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comments8.xml" ContentType="application/vnd.openxmlformats-officedocument.spreadsheetml.comments+xml"/>
  <Override PartName="/xl/comments7.xml" ContentType="application/vnd.openxmlformats-officedocument.spreadsheetml.comments+xml"/>
  <Override PartName="/xl/comments6.xml" ContentType="application/vnd.openxmlformats-officedocument.spreadsheetml.comments+xml"/>
  <Override PartName="/xl/comments13.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4.xml" ContentType="application/vnd.openxmlformats-officedocument.spreadsheetml.comments+xml"/>
  <Override PartName="/xl/comments12.xml" ContentType="application/vnd.openxmlformats-officedocument.spreadsheetml.comments+xml"/>
  <Override PartName="/xl/comments9.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docProps/custom.xml" ContentType="application/vnd.openxmlformats-officedocument.custom-properties+xml"/>
  <Override PartName="/xl/metadata" ContentType="application/binary"/>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Climate Change Program\Inventories\2023\Final 2026-09-17\"/>
    </mc:Choice>
  </mc:AlternateContent>
  <xr:revisionPtr revIDLastSave="0" documentId="8_{6B08B58C-D26F-4FCE-98B8-A1A19F15AD3C}" xr6:coauthVersionLast="47" xr6:coauthVersionMax="47" xr10:uidLastSave="{00000000-0000-0000-0000-000000000000}"/>
  <bookViews>
    <workbookView xWindow="19080" yWindow="-990" windowWidth="29040" windowHeight="15720" xr2:uid="{00000000-000D-0000-FFFF-FFFF00000000}"/>
  </bookViews>
  <sheets>
    <sheet name="Summary" sheetId="1" r:id="rId1"/>
    <sheet name="In-State Electricity" sheetId="2" r:id="rId2"/>
    <sheet name="Imported Electricity" sheetId="3" r:id="rId3"/>
    <sheet name="Residential" sheetId="4" r:id="rId4"/>
    <sheet name="Commercial" sheetId="5" r:id="rId5"/>
    <sheet name="Industrial" sheetId="6" r:id="rId6"/>
    <sheet name="On-Road Transportation" sheetId="7" r:id="rId7"/>
    <sheet name="Non-Road Transportation" sheetId="8" r:id="rId8"/>
    <sheet name="Other Transportation" sheetId="9" r:id="rId9"/>
    <sheet name="Natural Gas" sheetId="10" r:id="rId10"/>
    <sheet name="Coal Mining" sheetId="11" r:id="rId11"/>
    <sheet name="Cement" sheetId="12" r:id="rId12"/>
    <sheet name="Iron And Steel" sheetId="13" r:id="rId13"/>
    <sheet name="LimeT&amp;DSoda" sheetId="14" r:id="rId14"/>
    <sheet name="ODSSubs 100-yr" sheetId="15" r:id="rId15"/>
    <sheet name="ODSSubs 20-yr" sheetId="16" r:id="rId16"/>
    <sheet name="Agriculture" sheetId="17" r:id="rId17"/>
    <sheet name="Incinerators" sheetId="18" r:id="rId18"/>
    <sheet name="Landfill_I" sheetId="19" r:id="rId19"/>
    <sheet name="LFGTE_II" sheetId="20" r:id="rId20"/>
    <sheet name="Wastewater" sheetId="21" r:id="rId21"/>
    <sheet name="OpenBurn" sheetId="22" r:id="rId22"/>
    <sheet name="Land_Use" sheetId="23" r:id="rId23"/>
    <sheet name="long_format_output" sheetId="24" r:id="rId24"/>
  </sheets>
  <definedNames>
    <definedName name="_xlnm._FilterDatabase" localSheetId="7" hidden="1">'Non-Road Transportation'!$B$47:$L$5107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7" roundtripDataChecksum="Iy1E6I9ndATB/ayIEzhLbTTInyF8/7XE81wk35b5YRo="/>
    </ext>
  </extLst>
</workbook>
</file>

<file path=xl/calcChain.xml><?xml version="1.0" encoding="utf-8"?>
<calcChain xmlns="http://schemas.openxmlformats.org/spreadsheetml/2006/main">
  <c r="G293" i="24" l="1"/>
  <c r="A293" i="24"/>
  <c r="G292" i="24"/>
  <c r="A292" i="24"/>
  <c r="G291" i="24"/>
  <c r="A291" i="24"/>
  <c r="G290" i="24"/>
  <c r="A290" i="24"/>
  <c r="G289" i="24"/>
  <c r="A289" i="24"/>
  <c r="G288" i="24"/>
  <c r="A288" i="24"/>
  <c r="G287" i="24"/>
  <c r="A287" i="24"/>
  <c r="G286" i="24"/>
  <c r="A286" i="24"/>
  <c r="G285" i="24"/>
  <c r="A285" i="24"/>
  <c r="G284" i="24"/>
  <c r="A284" i="24"/>
  <c r="G283" i="24"/>
  <c r="A283" i="24"/>
  <c r="G282" i="24"/>
  <c r="A282" i="24"/>
  <c r="G281" i="24"/>
  <c r="A281" i="24"/>
  <c r="G280" i="24"/>
  <c r="A280" i="24"/>
  <c r="G279" i="24"/>
  <c r="A279" i="24"/>
  <c r="G278" i="24"/>
  <c r="A278" i="24"/>
  <c r="G277" i="24"/>
  <c r="A277" i="24"/>
  <c r="G276" i="24"/>
  <c r="A276" i="24"/>
  <c r="G275" i="24"/>
  <c r="A275" i="24"/>
  <c r="G274" i="24"/>
  <c r="A274" i="24"/>
  <c r="G273" i="24"/>
  <c r="A273" i="24"/>
  <c r="G272" i="24"/>
  <c r="A272" i="24"/>
  <c r="G271" i="24"/>
  <c r="A271" i="24"/>
  <c r="G270" i="24"/>
  <c r="A270" i="24"/>
  <c r="G269" i="24"/>
  <c r="A269" i="24"/>
  <c r="G268" i="24"/>
  <c r="A268" i="24"/>
  <c r="G267" i="24"/>
  <c r="A267" i="24"/>
  <c r="G266" i="24"/>
  <c r="A266" i="24"/>
  <c r="G265" i="24"/>
  <c r="A265" i="24"/>
  <c r="G264" i="24"/>
  <c r="A264" i="24"/>
  <c r="G263" i="24"/>
  <c r="A263" i="24"/>
  <c r="G262" i="24"/>
  <c r="A262" i="24"/>
  <c r="G261" i="24"/>
  <c r="A261" i="24"/>
  <c r="G260" i="24"/>
  <c r="A260" i="24"/>
  <c r="G259" i="24"/>
  <c r="A259" i="24"/>
  <c r="G258" i="24"/>
  <c r="A258" i="24"/>
  <c r="G257" i="24"/>
  <c r="A257" i="24"/>
  <c r="G256" i="24"/>
  <c r="A256" i="24"/>
  <c r="G255" i="24"/>
  <c r="A255" i="24"/>
  <c r="G254" i="24"/>
  <c r="A254" i="24"/>
  <c r="G253" i="24"/>
  <c r="A253" i="24"/>
  <c r="G252" i="24"/>
  <c r="A252" i="24"/>
  <c r="G251" i="24"/>
  <c r="A251" i="24"/>
  <c r="G250" i="24"/>
  <c r="A250" i="24"/>
  <c r="G249" i="24"/>
  <c r="A249" i="24"/>
  <c r="G248" i="24"/>
  <c r="A248" i="24"/>
  <c r="G247" i="24"/>
  <c r="A247" i="24"/>
  <c r="G246" i="24"/>
  <c r="A246" i="24"/>
  <c r="G245" i="24"/>
  <c r="A245" i="24"/>
  <c r="G244" i="24"/>
  <c r="A244" i="24"/>
  <c r="G243" i="24"/>
  <c r="A243" i="24"/>
  <c r="G242" i="24"/>
  <c r="A242" i="24"/>
  <c r="G241" i="24"/>
  <c r="A241" i="24"/>
  <c r="G240" i="24"/>
  <c r="A240" i="24"/>
  <c r="G239" i="24"/>
  <c r="A239" i="24"/>
  <c r="G238" i="24"/>
  <c r="A238" i="24"/>
  <c r="G237" i="24"/>
  <c r="A237" i="24"/>
  <c r="G236" i="24"/>
  <c r="A236" i="24"/>
  <c r="G235" i="24"/>
  <c r="A235" i="24"/>
  <c r="G234" i="24"/>
  <c r="A234" i="24"/>
  <c r="G233" i="24"/>
  <c r="A233" i="24"/>
  <c r="G232" i="24"/>
  <c r="A232" i="24"/>
  <c r="G231" i="24"/>
  <c r="A231" i="24"/>
  <c r="G230" i="24"/>
  <c r="A230" i="24"/>
  <c r="G229" i="24"/>
  <c r="A229" i="24"/>
  <c r="G228" i="24"/>
  <c r="A228" i="24"/>
  <c r="G227" i="24"/>
  <c r="A227" i="24"/>
  <c r="G226" i="24"/>
  <c r="A226" i="24"/>
  <c r="G225" i="24"/>
  <c r="A225" i="24"/>
  <c r="G224" i="24"/>
  <c r="A224" i="24"/>
  <c r="G223" i="24"/>
  <c r="A223" i="24"/>
  <c r="G222" i="24"/>
  <c r="A222" i="24"/>
  <c r="G221" i="24"/>
  <c r="A221" i="24"/>
  <c r="G220" i="24"/>
  <c r="A220" i="24"/>
  <c r="G219" i="24"/>
  <c r="A219" i="24"/>
  <c r="G218" i="24"/>
  <c r="A218" i="24"/>
  <c r="G217" i="24"/>
  <c r="A217" i="24"/>
  <c r="G216" i="24"/>
  <c r="A216" i="24"/>
  <c r="G215" i="24"/>
  <c r="A215" i="24"/>
  <c r="G214" i="24"/>
  <c r="A214" i="24"/>
  <c r="G213" i="24"/>
  <c r="A213" i="24"/>
  <c r="G212" i="24"/>
  <c r="A212" i="24"/>
  <c r="G211" i="24"/>
  <c r="A211" i="24"/>
  <c r="G210" i="24"/>
  <c r="A210" i="24"/>
  <c r="G209" i="24"/>
  <c r="A209" i="24"/>
  <c r="G208" i="24"/>
  <c r="A208" i="24"/>
  <c r="G207" i="24"/>
  <c r="A207" i="24"/>
  <c r="G206" i="24"/>
  <c r="A206" i="24"/>
  <c r="G205" i="24"/>
  <c r="A205" i="24"/>
  <c r="G204" i="24"/>
  <c r="A204" i="24"/>
  <c r="G203" i="24"/>
  <c r="A203" i="24"/>
  <c r="G202" i="24"/>
  <c r="A202" i="24"/>
  <c r="G201" i="24"/>
  <c r="A201" i="24"/>
  <c r="G200" i="24"/>
  <c r="A200" i="24"/>
  <c r="G199" i="24"/>
  <c r="A199" i="24"/>
  <c r="G198" i="24"/>
  <c r="A198" i="24"/>
  <c r="G197" i="24"/>
  <c r="A197" i="24"/>
  <c r="G196" i="24"/>
  <c r="A196" i="24"/>
  <c r="G195" i="24"/>
  <c r="A195" i="24"/>
  <c r="G194" i="24"/>
  <c r="A194" i="24"/>
  <c r="G193" i="24"/>
  <c r="A193" i="24"/>
  <c r="G192" i="24"/>
  <c r="A192" i="24"/>
  <c r="G191" i="24"/>
  <c r="A191" i="24"/>
  <c r="G190" i="24"/>
  <c r="A190" i="24"/>
  <c r="G189" i="24"/>
  <c r="A189" i="24"/>
  <c r="G188" i="24"/>
  <c r="A188" i="24"/>
  <c r="G187" i="24"/>
  <c r="A187" i="24"/>
  <c r="G186" i="24"/>
  <c r="A186" i="24"/>
  <c r="G185" i="24"/>
  <c r="A185" i="24"/>
  <c r="G184" i="24"/>
  <c r="A184" i="24"/>
  <c r="G183" i="24"/>
  <c r="A183" i="24"/>
  <c r="G182" i="24"/>
  <c r="A182" i="24"/>
  <c r="G181" i="24"/>
  <c r="A181" i="24"/>
  <c r="G180" i="24"/>
  <c r="A180" i="24"/>
  <c r="G179" i="24"/>
  <c r="A179" i="24"/>
  <c r="G178" i="24"/>
  <c r="A178" i="24"/>
  <c r="G177" i="24"/>
  <c r="A177" i="24"/>
  <c r="G176" i="24"/>
  <c r="A176" i="24"/>
  <c r="G175" i="24"/>
  <c r="A175" i="24"/>
  <c r="G174" i="24"/>
  <c r="A174" i="24"/>
  <c r="G173" i="24"/>
  <c r="A173" i="24"/>
  <c r="G172" i="24"/>
  <c r="A172" i="24"/>
  <c r="G171" i="24"/>
  <c r="A171" i="24"/>
  <c r="G170" i="24"/>
  <c r="A170" i="24"/>
  <c r="G169" i="24"/>
  <c r="A169" i="24"/>
  <c r="G168" i="24"/>
  <c r="A168" i="24"/>
  <c r="G167" i="24"/>
  <c r="A167" i="24"/>
  <c r="G166" i="24"/>
  <c r="A166" i="24"/>
  <c r="G165" i="24"/>
  <c r="A165" i="24"/>
  <c r="G164" i="24"/>
  <c r="A164" i="24"/>
  <c r="G163" i="24"/>
  <c r="A163" i="24"/>
  <c r="G162" i="24"/>
  <c r="A162" i="24"/>
  <c r="G161" i="24"/>
  <c r="A161" i="24"/>
  <c r="G160" i="24"/>
  <c r="A160" i="24"/>
  <c r="G159" i="24"/>
  <c r="A159" i="24"/>
  <c r="G158" i="24"/>
  <c r="A158" i="24"/>
  <c r="G157" i="24"/>
  <c r="A157" i="24"/>
  <c r="G156" i="24"/>
  <c r="A156" i="24"/>
  <c r="G155" i="24"/>
  <c r="A155" i="24"/>
  <c r="G154" i="24"/>
  <c r="A154" i="24"/>
  <c r="G153" i="24"/>
  <c r="A153" i="24"/>
  <c r="G152" i="24"/>
  <c r="A152" i="24"/>
  <c r="G151" i="24"/>
  <c r="A151" i="24"/>
  <c r="G150" i="24"/>
  <c r="A150" i="24"/>
  <c r="G149" i="24"/>
  <c r="A149" i="24"/>
  <c r="G148" i="24"/>
  <c r="A148" i="24"/>
  <c r="G147" i="24"/>
  <c r="A147" i="24"/>
  <c r="G146" i="24"/>
  <c r="A146" i="24"/>
  <c r="G145" i="24"/>
  <c r="A145" i="24"/>
  <c r="G144" i="24"/>
  <c r="A144" i="24"/>
  <c r="G143" i="24"/>
  <c r="A143" i="24"/>
  <c r="G142" i="24"/>
  <c r="A142" i="24"/>
  <c r="G141" i="24"/>
  <c r="A141" i="24"/>
  <c r="G140" i="24"/>
  <c r="A140" i="24"/>
  <c r="G139" i="24"/>
  <c r="A139" i="24"/>
  <c r="G138" i="24"/>
  <c r="A138" i="24"/>
  <c r="G137" i="24"/>
  <c r="A137" i="24"/>
  <c r="G136" i="24"/>
  <c r="A136" i="24"/>
  <c r="G135" i="24"/>
  <c r="A135" i="24"/>
  <c r="G134" i="24"/>
  <c r="A134" i="24"/>
  <c r="G133" i="24"/>
  <c r="A133" i="24"/>
  <c r="G132" i="24"/>
  <c r="A132" i="24"/>
  <c r="G131" i="24"/>
  <c r="A131" i="24"/>
  <c r="G130" i="24"/>
  <c r="A130" i="24"/>
  <c r="G129" i="24"/>
  <c r="A129" i="24"/>
  <c r="G128" i="24"/>
  <c r="A128" i="24"/>
  <c r="G127" i="24"/>
  <c r="A127" i="24"/>
  <c r="G126" i="24"/>
  <c r="A126" i="24"/>
  <c r="G125" i="24"/>
  <c r="A125" i="24"/>
  <c r="G124" i="24"/>
  <c r="A124" i="24"/>
  <c r="G123" i="24"/>
  <c r="A123" i="24"/>
  <c r="G122" i="24"/>
  <c r="A122" i="24"/>
  <c r="G121" i="24"/>
  <c r="A121" i="24"/>
  <c r="G120" i="24"/>
  <c r="A120" i="24"/>
  <c r="G119" i="24"/>
  <c r="A119" i="24"/>
  <c r="G118" i="24"/>
  <c r="A118" i="24"/>
  <c r="G117" i="24"/>
  <c r="A117" i="24"/>
  <c r="G116" i="24"/>
  <c r="A116" i="24"/>
  <c r="G115" i="24"/>
  <c r="A115" i="24"/>
  <c r="G114" i="24"/>
  <c r="A114" i="24"/>
  <c r="G113" i="24"/>
  <c r="A113" i="24"/>
  <c r="G112" i="24"/>
  <c r="A112" i="24"/>
  <c r="G111" i="24"/>
  <c r="A111" i="24"/>
  <c r="G110" i="24"/>
  <c r="A110" i="24"/>
  <c r="G109" i="24"/>
  <c r="A109" i="24"/>
  <c r="G108" i="24"/>
  <c r="A108" i="24"/>
  <c r="G107" i="24"/>
  <c r="A107" i="24"/>
  <c r="G106" i="24"/>
  <c r="A106" i="24"/>
  <c r="G105" i="24"/>
  <c r="A105" i="24"/>
  <c r="G104" i="24"/>
  <c r="A104" i="24"/>
  <c r="G103" i="24"/>
  <c r="A103" i="24"/>
  <c r="G102" i="24"/>
  <c r="A102" i="24"/>
  <c r="G101" i="24"/>
  <c r="A101" i="24"/>
  <c r="G100" i="24"/>
  <c r="A100" i="24"/>
  <c r="G99" i="24"/>
  <c r="A99" i="24"/>
  <c r="G98" i="24"/>
  <c r="A98" i="24"/>
  <c r="G97" i="24"/>
  <c r="A97" i="24"/>
  <c r="G96" i="24"/>
  <c r="A96" i="24"/>
  <c r="G95" i="24"/>
  <c r="A95" i="24"/>
  <c r="G94" i="24"/>
  <c r="A94" i="24"/>
  <c r="G93" i="24"/>
  <c r="A93" i="24"/>
  <c r="G92" i="24"/>
  <c r="A92" i="24"/>
  <c r="G91" i="24"/>
  <c r="A91" i="24"/>
  <c r="G90" i="24"/>
  <c r="A90" i="24"/>
  <c r="G89" i="24"/>
  <c r="A89" i="24"/>
  <c r="G88" i="24"/>
  <c r="A88" i="24"/>
  <c r="G87" i="24"/>
  <c r="A87" i="24"/>
  <c r="G86" i="24"/>
  <c r="A86" i="24"/>
  <c r="G85" i="24"/>
  <c r="A85" i="24"/>
  <c r="G84" i="24"/>
  <c r="A84" i="24"/>
  <c r="G83" i="24"/>
  <c r="A83" i="24"/>
  <c r="G82" i="24"/>
  <c r="A82" i="24"/>
  <c r="G81" i="24"/>
  <c r="A81" i="24"/>
  <c r="G80" i="24"/>
  <c r="A80" i="24"/>
  <c r="G79" i="24"/>
  <c r="A79" i="24"/>
  <c r="G78" i="24"/>
  <c r="A78" i="24"/>
  <c r="G77" i="24"/>
  <c r="A77" i="24"/>
  <c r="G76" i="24"/>
  <c r="A76" i="24"/>
  <c r="G75" i="24"/>
  <c r="A75" i="24"/>
  <c r="G74" i="24"/>
  <c r="A74" i="24"/>
  <c r="G73" i="24"/>
  <c r="A73" i="24"/>
  <c r="G72" i="24"/>
  <c r="A72" i="24"/>
  <c r="G71" i="24"/>
  <c r="A71" i="24"/>
  <c r="G70" i="24"/>
  <c r="A70" i="24"/>
  <c r="G69" i="24"/>
  <c r="A69" i="24"/>
  <c r="G68" i="24"/>
  <c r="A68" i="24"/>
  <c r="G67" i="24"/>
  <c r="A67" i="24"/>
  <c r="G66" i="24"/>
  <c r="A66" i="24"/>
  <c r="G65" i="24"/>
  <c r="A65" i="24"/>
  <c r="G64" i="24"/>
  <c r="A64" i="24"/>
  <c r="G63" i="24"/>
  <c r="A63" i="24"/>
  <c r="G62" i="24"/>
  <c r="A62" i="24"/>
  <c r="G61" i="24"/>
  <c r="A61" i="24"/>
  <c r="G60" i="24"/>
  <c r="A60" i="24"/>
  <c r="G59" i="24"/>
  <c r="A59" i="24"/>
  <c r="G58" i="24"/>
  <c r="A58" i="24"/>
  <c r="G57" i="24"/>
  <c r="A57" i="24"/>
  <c r="G56" i="24"/>
  <c r="A56" i="24"/>
  <c r="G55" i="24"/>
  <c r="A55" i="24"/>
  <c r="G54" i="24"/>
  <c r="A54" i="24"/>
  <c r="G53" i="24"/>
  <c r="A53" i="24"/>
  <c r="G52" i="24"/>
  <c r="A52" i="24"/>
  <c r="G51" i="24"/>
  <c r="A51" i="24"/>
  <c r="G50" i="24"/>
  <c r="A50" i="24"/>
  <c r="G49" i="24"/>
  <c r="A49" i="24"/>
  <c r="G48" i="24"/>
  <c r="A48" i="24"/>
  <c r="G47" i="24"/>
  <c r="A47" i="24"/>
  <c r="G46" i="24"/>
  <c r="A46" i="24"/>
  <c r="G45" i="24"/>
  <c r="A45" i="24"/>
  <c r="G44" i="24"/>
  <c r="A44" i="24"/>
  <c r="G43" i="24"/>
  <c r="A43" i="24"/>
  <c r="G42" i="24"/>
  <c r="A42" i="24"/>
  <c r="G41" i="24"/>
  <c r="A41" i="24"/>
  <c r="G40" i="24"/>
  <c r="A40" i="24"/>
  <c r="G39" i="24"/>
  <c r="A39" i="24"/>
  <c r="G38" i="24"/>
  <c r="A38" i="24"/>
  <c r="G37" i="24"/>
  <c r="A37" i="24"/>
  <c r="G36" i="24"/>
  <c r="A36" i="24"/>
  <c r="G35" i="24"/>
  <c r="A35" i="24"/>
  <c r="G34" i="24"/>
  <c r="A34" i="24"/>
  <c r="G33" i="24"/>
  <c r="A33" i="24"/>
  <c r="G32" i="24"/>
  <c r="A32" i="24"/>
  <c r="A31" i="24"/>
  <c r="A30" i="24"/>
  <c r="G29" i="24"/>
  <c r="A29" i="24"/>
  <c r="G28" i="24"/>
  <c r="A28" i="24"/>
  <c r="G27" i="24"/>
  <c r="A27" i="24"/>
  <c r="G26" i="24"/>
  <c r="A26" i="24"/>
  <c r="G25" i="24"/>
  <c r="A25" i="24"/>
  <c r="G24" i="24"/>
  <c r="A24" i="24"/>
  <c r="G23" i="24"/>
  <c r="A23" i="24"/>
  <c r="G22" i="24"/>
  <c r="A22" i="24"/>
  <c r="G21" i="24"/>
  <c r="A21" i="24"/>
  <c r="G20" i="24"/>
  <c r="A20" i="24"/>
  <c r="G19" i="24"/>
  <c r="A19" i="24"/>
  <c r="G18" i="24"/>
  <c r="A18" i="24"/>
  <c r="G17" i="24"/>
  <c r="A17" i="24"/>
  <c r="A16" i="24"/>
  <c r="A15" i="24"/>
  <c r="G14" i="24"/>
  <c r="A14" i="24"/>
  <c r="G13" i="24"/>
  <c r="A13" i="24"/>
  <c r="G12" i="24"/>
  <c r="A12" i="24"/>
  <c r="G11" i="24"/>
  <c r="A11" i="24"/>
  <c r="G10" i="24"/>
  <c r="A10" i="24"/>
  <c r="G9" i="24"/>
  <c r="A9" i="24"/>
  <c r="G8" i="24"/>
  <c r="A8" i="24"/>
  <c r="G7" i="24"/>
  <c r="A7" i="24"/>
  <c r="G6" i="24"/>
  <c r="A6" i="24"/>
  <c r="G5" i="24"/>
  <c r="A5" i="24"/>
  <c r="G4" i="24"/>
  <c r="A4" i="24"/>
  <c r="G3" i="24"/>
  <c r="A3" i="24"/>
  <c r="G2" i="24"/>
  <c r="A2" i="24"/>
  <c r="H10" i="10"/>
  <c r="I10" i="10"/>
  <c r="C103" i="23"/>
  <c r="D103" i="23"/>
  <c r="E103" i="23"/>
  <c r="F103" i="23"/>
  <c r="G103" i="23"/>
  <c r="H103" i="23"/>
  <c r="C274" i="23" s="1"/>
  <c r="C273" i="23" s="1"/>
  <c r="E172" i="1" s="1"/>
  <c r="D172" i="1" s="1"/>
  <c r="C262" i="17"/>
  <c r="D17" i="1"/>
  <c r="C281" i="23"/>
  <c r="C275" i="23"/>
  <c r="R245" i="23"/>
  <c r="Q245" i="23"/>
  <c r="P245" i="23"/>
  <c r="O245" i="23"/>
  <c r="N245" i="23"/>
  <c r="M245" i="23"/>
  <c r="F244" i="23"/>
  <c r="F243" i="23"/>
  <c r="R242" i="23"/>
  <c r="Q242" i="23"/>
  <c r="P242" i="23"/>
  <c r="O242" i="23"/>
  <c r="N242" i="23"/>
  <c r="M242" i="23"/>
  <c r="F240" i="23"/>
  <c r="F239" i="23"/>
  <c r="R238" i="23"/>
  <c r="Q238" i="23"/>
  <c r="P238" i="23"/>
  <c r="O238" i="23"/>
  <c r="N238" i="23"/>
  <c r="M238" i="23"/>
  <c r="R237" i="23"/>
  <c r="Q237" i="23"/>
  <c r="P237" i="23"/>
  <c r="O237" i="23"/>
  <c r="N237" i="23"/>
  <c r="M237" i="23"/>
  <c r="R232" i="23"/>
  <c r="Q232" i="23"/>
  <c r="P232" i="23"/>
  <c r="O232" i="23"/>
  <c r="N232" i="23"/>
  <c r="M232" i="23"/>
  <c r="R231" i="23"/>
  <c r="Q231" i="23"/>
  <c r="P231" i="23"/>
  <c r="O231" i="23"/>
  <c r="N231" i="23"/>
  <c r="M231" i="23"/>
  <c r="F231" i="23"/>
  <c r="R230" i="23"/>
  <c r="Q230" i="23"/>
  <c r="P230" i="23"/>
  <c r="O230" i="23"/>
  <c r="N230" i="23"/>
  <c r="M230" i="23"/>
  <c r="F230" i="23"/>
  <c r="R229" i="23"/>
  <c r="Q229" i="23"/>
  <c r="P229" i="23"/>
  <c r="O229" i="23"/>
  <c r="N229" i="23"/>
  <c r="M229" i="23"/>
  <c r="R228" i="23"/>
  <c r="R227" i="23"/>
  <c r="Q227" i="23"/>
  <c r="P227" i="23"/>
  <c r="O227" i="23"/>
  <c r="N227" i="23"/>
  <c r="M227" i="23"/>
  <c r="F227" i="23"/>
  <c r="R226" i="23"/>
  <c r="Q226" i="23"/>
  <c r="P226" i="23"/>
  <c r="O226" i="23"/>
  <c r="N226" i="23"/>
  <c r="M226" i="23"/>
  <c r="F226" i="23"/>
  <c r="R225" i="23"/>
  <c r="Q225" i="23"/>
  <c r="P225" i="23"/>
  <c r="O225" i="23"/>
  <c r="N225" i="23"/>
  <c r="M225" i="23"/>
  <c r="R224" i="23"/>
  <c r="Q224" i="23"/>
  <c r="P224" i="23"/>
  <c r="O224" i="23"/>
  <c r="N224" i="23"/>
  <c r="M224" i="23"/>
  <c r="L216" i="23"/>
  <c r="J216" i="23"/>
  <c r="J213" i="23" s="1"/>
  <c r="I216" i="23"/>
  <c r="G216" i="23"/>
  <c r="F216" i="23"/>
  <c r="D216" i="23"/>
  <c r="L214" i="23"/>
  <c r="J214" i="23"/>
  <c r="I214" i="23"/>
  <c r="G214" i="23"/>
  <c r="F214" i="23"/>
  <c r="D214" i="23"/>
  <c r="L212" i="23"/>
  <c r="J212" i="23"/>
  <c r="I212" i="23"/>
  <c r="I209" i="23" s="1"/>
  <c r="G212" i="23"/>
  <c r="G209" i="23" s="1"/>
  <c r="F212" i="23"/>
  <c r="D212" i="23"/>
  <c r="L210" i="23"/>
  <c r="J210" i="23"/>
  <c r="I210" i="23"/>
  <c r="G210" i="23"/>
  <c r="F210" i="23"/>
  <c r="F209" i="23" s="1"/>
  <c r="D210" i="23"/>
  <c r="D209" i="23" s="1"/>
  <c r="L209" i="23"/>
  <c r="J209" i="23"/>
  <c r="C203" i="23"/>
  <c r="C202" i="23"/>
  <c r="C201" i="23"/>
  <c r="C200" i="23"/>
  <c r="C199" i="23"/>
  <c r="C198" i="23"/>
  <c r="C192" i="23"/>
  <c r="C191" i="23"/>
  <c r="C190" i="23"/>
  <c r="C189" i="23"/>
  <c r="C188" i="23"/>
  <c r="C187" i="23"/>
  <c r="L183" i="23"/>
  <c r="J183" i="23"/>
  <c r="I183" i="23"/>
  <c r="G183" i="23"/>
  <c r="F183" i="23"/>
  <c r="D183" i="23"/>
  <c r="D182" i="23"/>
  <c r="L177" i="23"/>
  <c r="J177" i="23"/>
  <c r="I177" i="23"/>
  <c r="G177" i="23"/>
  <c r="F177" i="23"/>
  <c r="L176" i="23"/>
  <c r="J176" i="23"/>
  <c r="J182" i="23" s="1"/>
  <c r="I176" i="23"/>
  <c r="I182" i="23" s="1"/>
  <c r="G176" i="23"/>
  <c r="G182" i="23" s="1"/>
  <c r="F176" i="23"/>
  <c r="G151" i="23"/>
  <c r="F151" i="23"/>
  <c r="E151" i="23"/>
  <c r="D151" i="23"/>
  <c r="C151" i="23"/>
  <c r="G148" i="23"/>
  <c r="F148" i="23"/>
  <c r="F149" i="23" s="1"/>
  <c r="E148" i="23"/>
  <c r="D148" i="23"/>
  <c r="D149" i="23" s="1"/>
  <c r="C148" i="23"/>
  <c r="H144" i="23"/>
  <c r="G138" i="23"/>
  <c r="F138" i="23"/>
  <c r="E138" i="23"/>
  <c r="E139" i="23" s="1"/>
  <c r="D138" i="23"/>
  <c r="C138" i="23"/>
  <c r="G135" i="23"/>
  <c r="G136" i="23" s="1"/>
  <c r="F135" i="23"/>
  <c r="E135" i="23"/>
  <c r="E136" i="23" s="1"/>
  <c r="D135" i="23"/>
  <c r="C135" i="23"/>
  <c r="H131" i="23"/>
  <c r="E121" i="23"/>
  <c r="F121" i="23" s="1"/>
  <c r="E120" i="23"/>
  <c r="F120" i="23" s="1"/>
  <c r="G120" i="23" s="1"/>
  <c r="E119" i="23"/>
  <c r="F119" i="23" s="1"/>
  <c r="E118" i="23"/>
  <c r="F118" i="23" s="1"/>
  <c r="E117" i="23"/>
  <c r="F117" i="23" s="1"/>
  <c r="G117" i="23" s="1"/>
  <c r="E116" i="23"/>
  <c r="F116" i="23" s="1"/>
  <c r="G116" i="23" s="1"/>
  <c r="C277" i="23" s="1"/>
  <c r="C91" i="23"/>
  <c r="C272" i="23" s="1"/>
  <c r="C90" i="23"/>
  <c r="C271" i="23" s="1"/>
  <c r="C89" i="23"/>
  <c r="C270" i="23" s="1"/>
  <c r="C88" i="23"/>
  <c r="C269" i="23" s="1"/>
  <c r="C86" i="23"/>
  <c r="I82" i="23"/>
  <c r="H82" i="23"/>
  <c r="G82" i="23"/>
  <c r="F82" i="23"/>
  <c r="E82" i="23"/>
  <c r="D82" i="23"/>
  <c r="K7" i="23"/>
  <c r="J7" i="23"/>
  <c r="K6" i="23"/>
  <c r="J6" i="23"/>
  <c r="K5" i="23"/>
  <c r="J5" i="23"/>
  <c r="K4" i="23"/>
  <c r="J4" i="23"/>
  <c r="K3" i="23"/>
  <c r="R38" i="21"/>
  <c r="T38" i="21" s="1"/>
  <c r="R37" i="21"/>
  <c r="T37" i="21" s="1"/>
  <c r="D52" i="21" s="1"/>
  <c r="H52" i="21" s="1"/>
  <c r="P33" i="21"/>
  <c r="R33" i="21" s="1"/>
  <c r="D51" i="21" s="1"/>
  <c r="H51" i="21" s="1"/>
  <c r="B29" i="21"/>
  <c r="P29" i="21" s="1"/>
  <c r="R29" i="21" s="1"/>
  <c r="D50" i="21" s="1"/>
  <c r="H50" i="21" s="1"/>
  <c r="B25" i="21"/>
  <c r="P25" i="21" s="1"/>
  <c r="R25" i="21" s="1"/>
  <c r="D49" i="21" s="1"/>
  <c r="H49" i="21" s="1"/>
  <c r="X18" i="21"/>
  <c r="T18" i="21"/>
  <c r="N18" i="21"/>
  <c r="AE11" i="21"/>
  <c r="AD11" i="21"/>
  <c r="AE10" i="21"/>
  <c r="AD10" i="21"/>
  <c r="D10" i="21"/>
  <c r="AE9" i="21"/>
  <c r="AD9" i="21"/>
  <c r="R9" i="21"/>
  <c r="T9" i="21" s="1"/>
  <c r="D45" i="21" s="1"/>
  <c r="AE8" i="21"/>
  <c r="K62" i="20"/>
  <c r="O62" i="20" s="1"/>
  <c r="V62" i="20" s="1"/>
  <c r="J62" i="20"/>
  <c r="N62" i="20" s="1"/>
  <c r="U62" i="20" s="1"/>
  <c r="I62" i="20"/>
  <c r="F62" i="20"/>
  <c r="K60" i="20"/>
  <c r="O60" i="20" s="1"/>
  <c r="V60" i="20" s="1"/>
  <c r="J60" i="20"/>
  <c r="N60" i="20" s="1"/>
  <c r="U60" i="20" s="1"/>
  <c r="I60" i="20"/>
  <c r="F60" i="20"/>
  <c r="K58" i="20"/>
  <c r="O58" i="20" s="1"/>
  <c r="V58" i="20" s="1"/>
  <c r="J58" i="20"/>
  <c r="N58" i="20" s="1"/>
  <c r="U58" i="20" s="1"/>
  <c r="I58" i="20"/>
  <c r="F58" i="20"/>
  <c r="K56" i="20"/>
  <c r="O56" i="20" s="1"/>
  <c r="V56" i="20" s="1"/>
  <c r="J56" i="20"/>
  <c r="N56" i="20" s="1"/>
  <c r="U56" i="20" s="1"/>
  <c r="I56" i="20"/>
  <c r="F56" i="20"/>
  <c r="K54" i="20"/>
  <c r="O54" i="20" s="1"/>
  <c r="V54" i="20" s="1"/>
  <c r="J54" i="20"/>
  <c r="N54" i="20" s="1"/>
  <c r="U54" i="20" s="1"/>
  <c r="I54" i="20"/>
  <c r="F54" i="20"/>
  <c r="K52" i="20"/>
  <c r="O52" i="20" s="1"/>
  <c r="V52" i="20" s="1"/>
  <c r="J52" i="20"/>
  <c r="N52" i="20" s="1"/>
  <c r="U52" i="20" s="1"/>
  <c r="I52" i="20"/>
  <c r="F52" i="20"/>
  <c r="K50" i="20"/>
  <c r="O50" i="20" s="1"/>
  <c r="V50" i="20" s="1"/>
  <c r="J50" i="20"/>
  <c r="N50" i="20" s="1"/>
  <c r="U50" i="20" s="1"/>
  <c r="I50" i="20"/>
  <c r="F50" i="20"/>
  <c r="K48" i="20"/>
  <c r="O48" i="20" s="1"/>
  <c r="V48" i="20" s="1"/>
  <c r="J48" i="20"/>
  <c r="N48" i="20" s="1"/>
  <c r="U48" i="20" s="1"/>
  <c r="I48" i="20"/>
  <c r="F48" i="20"/>
  <c r="K46" i="20"/>
  <c r="O46" i="20" s="1"/>
  <c r="V46" i="20" s="1"/>
  <c r="J46" i="20"/>
  <c r="N46" i="20" s="1"/>
  <c r="U46" i="20" s="1"/>
  <c r="I46" i="20"/>
  <c r="F46" i="20"/>
  <c r="K44" i="20"/>
  <c r="O44" i="20" s="1"/>
  <c r="V44" i="20" s="1"/>
  <c r="J44" i="20"/>
  <c r="N44" i="20" s="1"/>
  <c r="U44" i="20" s="1"/>
  <c r="I44" i="20"/>
  <c r="F44" i="20"/>
  <c r="K42" i="20"/>
  <c r="O42" i="20" s="1"/>
  <c r="V42" i="20" s="1"/>
  <c r="J42" i="20"/>
  <c r="N42" i="20" s="1"/>
  <c r="U42" i="20" s="1"/>
  <c r="I42" i="20"/>
  <c r="F42" i="20"/>
  <c r="K40" i="20"/>
  <c r="O40" i="20" s="1"/>
  <c r="V40" i="20" s="1"/>
  <c r="J40" i="20"/>
  <c r="N40" i="20" s="1"/>
  <c r="U40" i="20" s="1"/>
  <c r="I40" i="20"/>
  <c r="F40" i="20"/>
  <c r="K38" i="20"/>
  <c r="O38" i="20" s="1"/>
  <c r="V38" i="20" s="1"/>
  <c r="J38" i="20"/>
  <c r="N38" i="20" s="1"/>
  <c r="U38" i="20" s="1"/>
  <c r="I38" i="20"/>
  <c r="F38" i="20"/>
  <c r="K36" i="20"/>
  <c r="O36" i="20" s="1"/>
  <c r="V36" i="20" s="1"/>
  <c r="J36" i="20"/>
  <c r="N36" i="20" s="1"/>
  <c r="U36" i="20" s="1"/>
  <c r="I36" i="20"/>
  <c r="F36" i="20"/>
  <c r="K34" i="20"/>
  <c r="O34" i="20" s="1"/>
  <c r="V34" i="20" s="1"/>
  <c r="J34" i="20"/>
  <c r="N34" i="20" s="1"/>
  <c r="U34" i="20" s="1"/>
  <c r="I34" i="20"/>
  <c r="F34" i="20"/>
  <c r="K32" i="20"/>
  <c r="O32" i="20" s="1"/>
  <c r="V32" i="20" s="1"/>
  <c r="J32" i="20"/>
  <c r="N32" i="20" s="1"/>
  <c r="U32" i="20" s="1"/>
  <c r="I32" i="20"/>
  <c r="F32" i="20"/>
  <c r="K30" i="20"/>
  <c r="O30" i="20" s="1"/>
  <c r="V30" i="20" s="1"/>
  <c r="J30" i="20"/>
  <c r="N30" i="20" s="1"/>
  <c r="U30" i="20" s="1"/>
  <c r="I30" i="20"/>
  <c r="F30" i="20"/>
  <c r="K28" i="20"/>
  <c r="O28" i="20" s="1"/>
  <c r="V28" i="20" s="1"/>
  <c r="J28" i="20"/>
  <c r="N28" i="20" s="1"/>
  <c r="U28" i="20" s="1"/>
  <c r="I28" i="20"/>
  <c r="F28" i="20"/>
  <c r="K26" i="20"/>
  <c r="O26" i="20" s="1"/>
  <c r="J26" i="20"/>
  <c r="N26" i="20" s="1"/>
  <c r="I26" i="20"/>
  <c r="F26" i="20"/>
  <c r="F8" i="20"/>
  <c r="J86" i="19"/>
  <c r="I86" i="19"/>
  <c r="J85" i="19"/>
  <c r="I85" i="19"/>
  <c r="J84" i="19"/>
  <c r="I84" i="19"/>
  <c r="J83" i="19"/>
  <c r="I83" i="19"/>
  <c r="J82" i="19"/>
  <c r="K77" i="19"/>
  <c r="D82" i="19" s="1"/>
  <c r="J77" i="19"/>
  <c r="D93" i="19" s="1"/>
  <c r="R75" i="19"/>
  <c r="R74" i="19"/>
  <c r="G74" i="19"/>
  <c r="E74" i="19"/>
  <c r="R72" i="19"/>
  <c r="M72" i="19"/>
  <c r="G72" i="19"/>
  <c r="E72" i="19"/>
  <c r="R70" i="19"/>
  <c r="G70" i="19"/>
  <c r="E70" i="19"/>
  <c r="R69" i="19"/>
  <c r="G69" i="19"/>
  <c r="E69" i="19"/>
  <c r="R68" i="19"/>
  <c r="G68" i="19"/>
  <c r="R66" i="19"/>
  <c r="G66" i="19"/>
  <c r="E66" i="19"/>
  <c r="E65" i="19"/>
  <c r="R64" i="19"/>
  <c r="G64" i="19"/>
  <c r="R63" i="19"/>
  <c r="G63" i="19"/>
  <c r="R61" i="19"/>
  <c r="G61" i="19"/>
  <c r="E61" i="19"/>
  <c r="R60" i="19"/>
  <c r="M60" i="19"/>
  <c r="G60" i="19"/>
  <c r="E60" i="19"/>
  <c r="R59" i="19"/>
  <c r="M59" i="19"/>
  <c r="G59" i="19"/>
  <c r="E59" i="19"/>
  <c r="R58" i="19"/>
  <c r="M58" i="19"/>
  <c r="G58" i="19"/>
  <c r="E58" i="19"/>
  <c r="R56" i="19"/>
  <c r="G56" i="19"/>
  <c r="E56" i="19"/>
  <c r="R54" i="19"/>
  <c r="M54" i="19"/>
  <c r="G54" i="19"/>
  <c r="E54" i="19"/>
  <c r="R52" i="19"/>
  <c r="M52" i="19"/>
  <c r="R51" i="19"/>
  <c r="M51" i="19"/>
  <c r="R49" i="19"/>
  <c r="M49" i="19"/>
  <c r="G49" i="19"/>
  <c r="E49" i="19"/>
  <c r="R47" i="19"/>
  <c r="G47" i="19"/>
  <c r="E47" i="19"/>
  <c r="R46" i="19"/>
  <c r="G46" i="19"/>
  <c r="E46" i="19"/>
  <c r="R44" i="19"/>
  <c r="G44" i="19"/>
  <c r="E44" i="19"/>
  <c r="R43" i="19"/>
  <c r="M43" i="19"/>
  <c r="G43" i="19"/>
  <c r="E43" i="19"/>
  <c r="R42" i="19"/>
  <c r="G42" i="19"/>
  <c r="E42" i="19"/>
  <c r="U41" i="19"/>
  <c r="R40" i="19"/>
  <c r="M40" i="19"/>
  <c r="E40" i="19"/>
  <c r="R39" i="19"/>
  <c r="G39" i="19"/>
  <c r="E39" i="19"/>
  <c r="R37" i="19"/>
  <c r="G37" i="19"/>
  <c r="E37" i="19"/>
  <c r="R36" i="19"/>
  <c r="M36" i="19"/>
  <c r="G36" i="19"/>
  <c r="E36" i="19"/>
  <c r="R34" i="19"/>
  <c r="M34" i="19"/>
  <c r="E34" i="19"/>
  <c r="R32" i="19"/>
  <c r="M32" i="19"/>
  <c r="G32" i="19"/>
  <c r="E32" i="19"/>
  <c r="R31" i="19"/>
  <c r="G31" i="19"/>
  <c r="E31" i="19"/>
  <c r="R29" i="19"/>
  <c r="M29" i="19"/>
  <c r="D29" i="19"/>
  <c r="R27" i="19"/>
  <c r="G27" i="19"/>
  <c r="E27" i="19"/>
  <c r="R26" i="19"/>
  <c r="G26" i="19"/>
  <c r="E26" i="19"/>
  <c r="R24" i="19"/>
  <c r="M24" i="19"/>
  <c r="R23" i="19"/>
  <c r="M23" i="19"/>
  <c r="G23" i="19"/>
  <c r="E23" i="19"/>
  <c r="R21" i="19"/>
  <c r="M21" i="19"/>
  <c r="G21" i="19"/>
  <c r="E21" i="19"/>
  <c r="R19" i="19"/>
  <c r="R18" i="19"/>
  <c r="M18" i="19"/>
  <c r="R17" i="19"/>
  <c r="G17" i="19"/>
  <c r="E17" i="19"/>
  <c r="R16" i="19"/>
  <c r="M16" i="19"/>
  <c r="G16" i="19"/>
  <c r="E16" i="19"/>
  <c r="R15" i="19"/>
  <c r="G15" i="19"/>
  <c r="E15" i="19"/>
  <c r="R14" i="19"/>
  <c r="G14" i="19"/>
  <c r="E14" i="19"/>
  <c r="R12" i="19"/>
  <c r="G12" i="19"/>
  <c r="E12" i="19"/>
  <c r="R11" i="19"/>
  <c r="M11" i="19"/>
  <c r="G11" i="19"/>
  <c r="E11" i="19"/>
  <c r="O17" i="18"/>
  <c r="O16" i="18"/>
  <c r="K14" i="18"/>
  <c r="J14" i="18"/>
  <c r="I14" i="18"/>
  <c r="E14" i="18"/>
  <c r="D14" i="18"/>
  <c r="C14" i="18"/>
  <c r="O11" i="18"/>
  <c r="N11" i="18"/>
  <c r="K11" i="18"/>
  <c r="J11" i="18"/>
  <c r="I11" i="18"/>
  <c r="L11" i="18" s="1"/>
  <c r="L22" i="18" s="1"/>
  <c r="F11" i="18"/>
  <c r="F22" i="18" s="1"/>
  <c r="O22" i="18" s="1"/>
  <c r="P22" i="18" s="1"/>
  <c r="E155" i="1" s="1"/>
  <c r="D155" i="1" s="1"/>
  <c r="O10" i="18"/>
  <c r="N10" i="18"/>
  <c r="K10" i="18"/>
  <c r="J10" i="18"/>
  <c r="I10" i="18"/>
  <c r="L10" i="18" s="1"/>
  <c r="L21" i="18" s="1"/>
  <c r="F10" i="18"/>
  <c r="F21" i="18" s="1"/>
  <c r="O21" i="18" s="1"/>
  <c r="P21" i="18" s="1"/>
  <c r="E154" i="1" s="1"/>
  <c r="D154" i="1" s="1"/>
  <c r="O9" i="18"/>
  <c r="N9" i="18"/>
  <c r="K9" i="18"/>
  <c r="J9" i="18"/>
  <c r="I9" i="18"/>
  <c r="L9" i="18" s="1"/>
  <c r="L20" i="18" s="1"/>
  <c r="F9" i="18"/>
  <c r="F20" i="18" s="1"/>
  <c r="O8" i="18"/>
  <c r="N8" i="18"/>
  <c r="L8" i="18"/>
  <c r="F8" i="18"/>
  <c r="O7" i="18"/>
  <c r="G264" i="17"/>
  <c r="E264" i="17"/>
  <c r="C263" i="17"/>
  <c r="E262" i="17"/>
  <c r="C261" i="17"/>
  <c r="G260" i="17"/>
  <c r="C260" i="17"/>
  <c r="G229" i="17"/>
  <c r="I229" i="17" s="1"/>
  <c r="K229" i="17" s="1"/>
  <c r="G228" i="17"/>
  <c r="I228" i="17" s="1"/>
  <c r="G224" i="17"/>
  <c r="I224" i="17" s="1"/>
  <c r="G218" i="17"/>
  <c r="E218" i="17"/>
  <c r="I218" i="17" s="1"/>
  <c r="W218" i="17" s="1"/>
  <c r="Y218" i="17" s="1"/>
  <c r="G217" i="17"/>
  <c r="I217" i="17" s="1"/>
  <c r="W217" i="17" s="1"/>
  <c r="Y217" i="17" s="1"/>
  <c r="G216" i="17"/>
  <c r="E216" i="17"/>
  <c r="I216" i="17" s="1"/>
  <c r="W216" i="17" s="1"/>
  <c r="Y216" i="17" s="1"/>
  <c r="G215" i="17"/>
  <c r="I215" i="17" s="1"/>
  <c r="W215" i="17" s="1"/>
  <c r="Y215" i="17" s="1"/>
  <c r="G214" i="17"/>
  <c r="I214" i="17" s="1"/>
  <c r="W214" i="17" s="1"/>
  <c r="Y214" i="17" s="1"/>
  <c r="G213" i="17"/>
  <c r="E213" i="17"/>
  <c r="I213" i="17" s="1"/>
  <c r="W213" i="17" s="1"/>
  <c r="Y213" i="17" s="1"/>
  <c r="G212" i="17"/>
  <c r="E212" i="17"/>
  <c r="I212" i="17" s="1"/>
  <c r="W212" i="17" s="1"/>
  <c r="G207" i="17"/>
  <c r="E207" i="17"/>
  <c r="I207" i="17" s="1"/>
  <c r="W207" i="17" s="1"/>
  <c r="Y207" i="17" s="1"/>
  <c r="G206" i="17"/>
  <c r="I206" i="17" s="1"/>
  <c r="W206" i="17" s="1"/>
  <c r="Y206" i="17" s="1"/>
  <c r="G205" i="17"/>
  <c r="E205" i="17"/>
  <c r="G204" i="17"/>
  <c r="I204" i="17" s="1"/>
  <c r="W204" i="17" s="1"/>
  <c r="Y204" i="17" s="1"/>
  <c r="G203" i="17"/>
  <c r="I203" i="17" s="1"/>
  <c r="W203" i="17" s="1"/>
  <c r="Y203" i="17" s="1"/>
  <c r="G202" i="17"/>
  <c r="I202" i="17" s="1"/>
  <c r="W202" i="17" s="1"/>
  <c r="Y202" i="17" s="1"/>
  <c r="G201" i="17"/>
  <c r="I201" i="17" s="1"/>
  <c r="W201" i="17" s="1"/>
  <c r="E188" i="17"/>
  <c r="C188" i="17"/>
  <c r="E187" i="17"/>
  <c r="C187" i="17"/>
  <c r="E186" i="17"/>
  <c r="E185" i="17"/>
  <c r="E183" i="17"/>
  <c r="E182" i="17"/>
  <c r="E181" i="17"/>
  <c r="E180" i="17"/>
  <c r="E179" i="17"/>
  <c r="E176" i="17"/>
  <c r="C176" i="17"/>
  <c r="E175" i="17"/>
  <c r="C175" i="17"/>
  <c r="E174" i="17"/>
  <c r="C174" i="17"/>
  <c r="E173" i="17"/>
  <c r="C173" i="17"/>
  <c r="E172" i="17"/>
  <c r="C172" i="17"/>
  <c r="E170" i="17"/>
  <c r="C170" i="17"/>
  <c r="E169" i="17"/>
  <c r="C169" i="17"/>
  <c r="E168" i="17"/>
  <c r="C168" i="17"/>
  <c r="E167" i="17"/>
  <c r="C167" i="17"/>
  <c r="E166" i="17"/>
  <c r="C166" i="17"/>
  <c r="E165" i="17"/>
  <c r="E164" i="17"/>
  <c r="E162" i="17"/>
  <c r="C162" i="17"/>
  <c r="E161" i="17"/>
  <c r="C161" i="17"/>
  <c r="C150" i="17"/>
  <c r="E137" i="17" s="1"/>
  <c r="C149" i="17"/>
  <c r="E136" i="17" s="1"/>
  <c r="C146" i="17"/>
  <c r="E133" i="17" s="1"/>
  <c r="C145" i="17"/>
  <c r="E132" i="17" s="1"/>
  <c r="C143" i="17"/>
  <c r="E130" i="17" s="1"/>
  <c r="C138" i="17"/>
  <c r="C135" i="17"/>
  <c r="C134" i="17"/>
  <c r="C131" i="17"/>
  <c r="I124" i="17"/>
  <c r="W124" i="17" s="1"/>
  <c r="I123" i="17"/>
  <c r="W123" i="17" s="1"/>
  <c r="I122" i="17"/>
  <c r="W122" i="17" s="1"/>
  <c r="I121" i="17"/>
  <c r="W121" i="17" s="1"/>
  <c r="I120" i="17"/>
  <c r="W120" i="17" s="1"/>
  <c r="G119" i="17"/>
  <c r="I119" i="17" s="1"/>
  <c r="G118" i="17"/>
  <c r="I118" i="17" s="1"/>
  <c r="G117" i="17"/>
  <c r="I117" i="17" s="1"/>
  <c r="G116" i="17"/>
  <c r="I116" i="17" s="1"/>
  <c r="G115" i="17"/>
  <c r="I115" i="17" s="1"/>
  <c r="G114" i="17"/>
  <c r="I114" i="17" s="1"/>
  <c r="G113" i="17"/>
  <c r="E113" i="17"/>
  <c r="I113" i="17" s="1"/>
  <c r="G112" i="17"/>
  <c r="I112" i="17" s="1"/>
  <c r="S112" i="17" s="1"/>
  <c r="G111" i="17"/>
  <c r="I111" i="17" s="1"/>
  <c r="S111" i="17" s="1"/>
  <c r="G110" i="17"/>
  <c r="E110" i="17"/>
  <c r="I110" i="17" s="1"/>
  <c r="S110" i="17" s="1"/>
  <c r="G109" i="17"/>
  <c r="E109" i="17"/>
  <c r="I109" i="17" s="1"/>
  <c r="S109" i="17" s="1"/>
  <c r="G108" i="17"/>
  <c r="I108" i="17" s="1"/>
  <c r="S108" i="17" s="1"/>
  <c r="G107" i="17"/>
  <c r="E107" i="17"/>
  <c r="I107" i="17" s="1"/>
  <c r="S107" i="17" s="1"/>
  <c r="G106" i="17"/>
  <c r="E106" i="17"/>
  <c r="I106" i="17" s="1"/>
  <c r="S106" i="17" s="1"/>
  <c r="G105" i="17"/>
  <c r="E105" i="17"/>
  <c r="I105" i="17" s="1"/>
  <c r="S105" i="17" s="1"/>
  <c r="G104" i="17"/>
  <c r="E104" i="17"/>
  <c r="I104" i="17" s="1"/>
  <c r="I98" i="17"/>
  <c r="E98" i="17"/>
  <c r="M97" i="17"/>
  <c r="O97" i="17" s="1"/>
  <c r="Q97" i="17" s="1"/>
  <c r="M96" i="17"/>
  <c r="O96" i="17" s="1"/>
  <c r="Q96" i="17" s="1"/>
  <c r="M94" i="17"/>
  <c r="O94" i="17" s="1"/>
  <c r="Q94" i="17" s="1"/>
  <c r="M93" i="17"/>
  <c r="O93" i="17" s="1"/>
  <c r="Q93" i="17" s="1"/>
  <c r="K92" i="17"/>
  <c r="O92" i="17" s="1"/>
  <c r="Q92" i="17" s="1"/>
  <c r="G92" i="17"/>
  <c r="K91" i="17"/>
  <c r="O91" i="17" s="1"/>
  <c r="Q91" i="17" s="1"/>
  <c r="G91" i="17"/>
  <c r="K90" i="17"/>
  <c r="O90" i="17" s="1"/>
  <c r="Q90" i="17" s="1"/>
  <c r="G90" i="17"/>
  <c r="K87" i="17"/>
  <c r="O87" i="17" s="1"/>
  <c r="Q87" i="17" s="1"/>
  <c r="G87" i="17"/>
  <c r="K86" i="17"/>
  <c r="O86" i="17" s="1"/>
  <c r="Q86" i="17" s="1"/>
  <c r="G86" i="17"/>
  <c r="K85" i="17"/>
  <c r="O85" i="17" s="1"/>
  <c r="Q85" i="17" s="1"/>
  <c r="G85" i="17"/>
  <c r="K84" i="17"/>
  <c r="O84" i="17" s="1"/>
  <c r="Q84" i="17" s="1"/>
  <c r="G84" i="17"/>
  <c r="K83" i="17"/>
  <c r="O83" i="17" s="1"/>
  <c r="Q83" i="17" s="1"/>
  <c r="G83" i="17"/>
  <c r="M81" i="17"/>
  <c r="O81" i="17" s="1"/>
  <c r="Q81" i="17" s="1"/>
  <c r="M80" i="17"/>
  <c r="O80" i="17" s="1"/>
  <c r="Q80" i="17" s="1"/>
  <c r="M78" i="17"/>
  <c r="K78" i="17"/>
  <c r="M77" i="17"/>
  <c r="K77" i="17"/>
  <c r="M70" i="17"/>
  <c r="G70" i="17"/>
  <c r="I70" i="17" s="1"/>
  <c r="M69" i="17"/>
  <c r="G69" i="17"/>
  <c r="I69" i="17" s="1"/>
  <c r="O69" i="17" s="1"/>
  <c r="S69" i="17" s="1"/>
  <c r="G68" i="17"/>
  <c r="I68" i="17" s="1"/>
  <c r="O68" i="17" s="1"/>
  <c r="S68" i="17" s="1"/>
  <c r="M67" i="17"/>
  <c r="G67" i="17"/>
  <c r="I67" i="17" s="1"/>
  <c r="O67" i="17" s="1"/>
  <c r="S67" i="17" s="1"/>
  <c r="G65" i="17"/>
  <c r="I65" i="17" s="1"/>
  <c r="O65" i="17" s="1"/>
  <c r="S65" i="17" s="1"/>
  <c r="M64" i="17"/>
  <c r="G64" i="17"/>
  <c r="I64" i="17" s="1"/>
  <c r="O64" i="17" s="1"/>
  <c r="S64" i="17" s="1"/>
  <c r="G63" i="17"/>
  <c r="I63" i="17" s="1"/>
  <c r="O63" i="17" s="1"/>
  <c r="S63" i="17" s="1"/>
  <c r="G62" i="17"/>
  <c r="I62" i="17" s="1"/>
  <c r="O62" i="17" s="1"/>
  <c r="S62" i="17" s="1"/>
  <c r="G61" i="17"/>
  <c r="I61" i="17" s="1"/>
  <c r="O61" i="17" s="1"/>
  <c r="S61" i="17" s="1"/>
  <c r="G58" i="17"/>
  <c r="I58" i="17" s="1"/>
  <c r="O58" i="17" s="1"/>
  <c r="S58" i="17" s="1"/>
  <c r="G57" i="17"/>
  <c r="I57" i="17" s="1"/>
  <c r="O57" i="17" s="1"/>
  <c r="S57" i="17" s="1"/>
  <c r="G56" i="17"/>
  <c r="I56" i="17" s="1"/>
  <c r="O56" i="17" s="1"/>
  <c r="S56" i="17" s="1"/>
  <c r="G55" i="17"/>
  <c r="I55" i="17" s="1"/>
  <c r="O55" i="17" s="1"/>
  <c r="S55" i="17" s="1"/>
  <c r="G54" i="17"/>
  <c r="I54" i="17" s="1"/>
  <c r="O54" i="17" s="1"/>
  <c r="S54" i="17" s="1"/>
  <c r="G52" i="17"/>
  <c r="I52" i="17" s="1"/>
  <c r="O52" i="17" s="1"/>
  <c r="S52" i="17" s="1"/>
  <c r="G51" i="17"/>
  <c r="I51" i="17" s="1"/>
  <c r="O51" i="17" s="1"/>
  <c r="S51" i="17" s="1"/>
  <c r="G50" i="17"/>
  <c r="I50" i="17" s="1"/>
  <c r="O50" i="17" s="1"/>
  <c r="S50" i="17" s="1"/>
  <c r="G49" i="17"/>
  <c r="I49" i="17" s="1"/>
  <c r="O49" i="17" s="1"/>
  <c r="S49" i="17" s="1"/>
  <c r="G48" i="17"/>
  <c r="I48" i="17" s="1"/>
  <c r="O48" i="17" s="1"/>
  <c r="S48" i="17" s="1"/>
  <c r="G47" i="17"/>
  <c r="I47" i="17" s="1"/>
  <c r="O47" i="17" s="1"/>
  <c r="S47" i="17" s="1"/>
  <c r="G46" i="17"/>
  <c r="I46" i="17" s="1"/>
  <c r="O46" i="17" s="1"/>
  <c r="S46" i="17" s="1"/>
  <c r="G45" i="17"/>
  <c r="I45" i="17" s="1"/>
  <c r="O45" i="17" s="1"/>
  <c r="S45" i="17" s="1"/>
  <c r="G43" i="17"/>
  <c r="I43" i="17" s="1"/>
  <c r="O43" i="17" s="1"/>
  <c r="S43" i="17" s="1"/>
  <c r="G42" i="17"/>
  <c r="I42" i="17" s="1"/>
  <c r="O42" i="17" s="1"/>
  <c r="S42" i="17" s="1"/>
  <c r="G35" i="17"/>
  <c r="I35" i="17" s="1"/>
  <c r="G34" i="17"/>
  <c r="I34" i="17" s="1"/>
  <c r="G33" i="17"/>
  <c r="I33" i="17" s="1"/>
  <c r="G32" i="17"/>
  <c r="I32" i="17" s="1"/>
  <c r="G30" i="17"/>
  <c r="I30" i="17" s="1"/>
  <c r="G29" i="17"/>
  <c r="I29" i="17" s="1"/>
  <c r="G28" i="17"/>
  <c r="I28" i="17" s="1"/>
  <c r="G27" i="17"/>
  <c r="I27" i="17" s="1"/>
  <c r="G26" i="17"/>
  <c r="I26" i="17" s="1"/>
  <c r="G25" i="17"/>
  <c r="I25" i="17" s="1"/>
  <c r="G24" i="17"/>
  <c r="I24" i="17" s="1"/>
  <c r="G23" i="17"/>
  <c r="I23" i="17" s="1"/>
  <c r="G22" i="17"/>
  <c r="I22" i="17" s="1"/>
  <c r="G20" i="17"/>
  <c r="I20" i="17" s="1"/>
  <c r="O19" i="17"/>
  <c r="N19" i="17"/>
  <c r="G19" i="17"/>
  <c r="I19" i="17" s="1"/>
  <c r="O18" i="17"/>
  <c r="N18" i="17"/>
  <c r="G18" i="17"/>
  <c r="I18" i="17" s="1"/>
  <c r="O17" i="17"/>
  <c r="N17" i="17"/>
  <c r="G17" i="17"/>
  <c r="O16" i="17"/>
  <c r="N16" i="17"/>
  <c r="O15" i="17"/>
  <c r="AL190" i="16"/>
  <c r="AK190" i="16"/>
  <c r="AJ190" i="16"/>
  <c r="AI190" i="16"/>
  <c r="AH190" i="16"/>
  <c r="AG190" i="16"/>
  <c r="AF190" i="16"/>
  <c r="AE190" i="16"/>
  <c r="AD190" i="16"/>
  <c r="AC190" i="16"/>
  <c r="AB190" i="16"/>
  <c r="AA190" i="16"/>
  <c r="Z190" i="16"/>
  <c r="Y190" i="16"/>
  <c r="X190" i="16"/>
  <c r="W190" i="16"/>
  <c r="V190" i="16"/>
  <c r="U190" i="16"/>
  <c r="T190" i="16"/>
  <c r="S190" i="16"/>
  <c r="R190" i="16"/>
  <c r="Q190" i="16"/>
  <c r="P190" i="16"/>
  <c r="O190" i="16"/>
  <c r="N190" i="16"/>
  <c r="M190" i="16"/>
  <c r="L190" i="16"/>
  <c r="K190" i="16"/>
  <c r="J190" i="16"/>
  <c r="I190" i="16"/>
  <c r="H190" i="16"/>
  <c r="G190" i="16"/>
  <c r="F190" i="16"/>
  <c r="AL189" i="16"/>
  <c r="AK189" i="16"/>
  <c r="AJ189" i="16"/>
  <c r="AI189" i="16"/>
  <c r="AH189" i="16"/>
  <c r="AG189" i="16"/>
  <c r="AF189" i="16"/>
  <c r="AE189" i="16"/>
  <c r="AD189" i="16"/>
  <c r="AC189" i="16"/>
  <c r="AB189" i="16"/>
  <c r="AA189" i="16"/>
  <c r="Z189" i="16"/>
  <c r="Y189" i="16"/>
  <c r="X189" i="16"/>
  <c r="W189" i="16"/>
  <c r="V189" i="16"/>
  <c r="U189" i="16"/>
  <c r="T189" i="16"/>
  <c r="S189" i="16"/>
  <c r="R189" i="16"/>
  <c r="Q189" i="16"/>
  <c r="P189" i="16"/>
  <c r="O189" i="16"/>
  <c r="N189" i="16"/>
  <c r="M189" i="16"/>
  <c r="L189" i="16"/>
  <c r="K189" i="16"/>
  <c r="J189" i="16"/>
  <c r="I189" i="16"/>
  <c r="H189" i="16"/>
  <c r="G189" i="16"/>
  <c r="F189" i="16"/>
  <c r="AL188" i="16"/>
  <c r="AK188" i="16"/>
  <c r="AJ188" i="16"/>
  <c r="AI188" i="16"/>
  <c r="AH188" i="16"/>
  <c r="AG188" i="16"/>
  <c r="AF188" i="16"/>
  <c r="AE188" i="16"/>
  <c r="AD188" i="16"/>
  <c r="AC188" i="16"/>
  <c r="AB188" i="16"/>
  <c r="AA188" i="16"/>
  <c r="Z188" i="16"/>
  <c r="Y188" i="16"/>
  <c r="X188" i="16"/>
  <c r="W188" i="16"/>
  <c r="V188" i="16"/>
  <c r="U188" i="16"/>
  <c r="T188" i="16"/>
  <c r="S188" i="16"/>
  <c r="R188" i="16"/>
  <c r="Q188" i="16"/>
  <c r="P188" i="16"/>
  <c r="O188" i="16"/>
  <c r="N188" i="16"/>
  <c r="M188" i="16"/>
  <c r="L188" i="16"/>
  <c r="K188" i="16"/>
  <c r="J188" i="16"/>
  <c r="I188" i="16"/>
  <c r="H188" i="16"/>
  <c r="G188" i="16"/>
  <c r="F188" i="16"/>
  <c r="AL187" i="16"/>
  <c r="AK187" i="16"/>
  <c r="AJ187" i="16"/>
  <c r="AI187" i="16"/>
  <c r="AH187" i="16"/>
  <c r="AG187" i="16"/>
  <c r="AF187" i="16"/>
  <c r="AE187" i="16"/>
  <c r="AD187" i="16"/>
  <c r="AC187" i="16"/>
  <c r="AB187" i="16"/>
  <c r="AA187" i="16"/>
  <c r="Z187" i="16"/>
  <c r="Y187" i="16"/>
  <c r="X187" i="16"/>
  <c r="W187" i="16"/>
  <c r="V187" i="16"/>
  <c r="U187" i="16"/>
  <c r="T187" i="16"/>
  <c r="S187" i="16"/>
  <c r="R187" i="16"/>
  <c r="Q187" i="16"/>
  <c r="P187" i="16"/>
  <c r="O187" i="16"/>
  <c r="N187" i="16"/>
  <c r="M187" i="16"/>
  <c r="L187" i="16"/>
  <c r="K187" i="16"/>
  <c r="J187" i="16"/>
  <c r="I187" i="16"/>
  <c r="H187" i="16"/>
  <c r="G187" i="16"/>
  <c r="F187" i="16"/>
  <c r="AL186" i="16"/>
  <c r="AK186" i="16"/>
  <c r="AJ186" i="16"/>
  <c r="AI186" i="16"/>
  <c r="AH186" i="16"/>
  <c r="AG186" i="16"/>
  <c r="AF186" i="16"/>
  <c r="AE186" i="16"/>
  <c r="AD186" i="16"/>
  <c r="AC186" i="16"/>
  <c r="AB186" i="16"/>
  <c r="AA186" i="16"/>
  <c r="Z186" i="16"/>
  <c r="Y186" i="16"/>
  <c r="X186" i="16"/>
  <c r="W186" i="16"/>
  <c r="V186" i="16"/>
  <c r="U186" i="16"/>
  <c r="T186" i="16"/>
  <c r="S186" i="16"/>
  <c r="R186" i="16"/>
  <c r="Q186" i="16"/>
  <c r="P186" i="16"/>
  <c r="O186" i="16"/>
  <c r="N186" i="16"/>
  <c r="M186" i="16"/>
  <c r="L186" i="16"/>
  <c r="K186" i="16"/>
  <c r="J186" i="16"/>
  <c r="I186" i="16"/>
  <c r="H186" i="16"/>
  <c r="G186" i="16"/>
  <c r="F186" i="16"/>
  <c r="AL185" i="16"/>
  <c r="AL192" i="16" s="1"/>
  <c r="AK185" i="16"/>
  <c r="AK192" i="16" s="1"/>
  <c r="AJ185" i="16"/>
  <c r="AJ192" i="16" s="1"/>
  <c r="AI185" i="16"/>
  <c r="AI192" i="16" s="1"/>
  <c r="AH185" i="16"/>
  <c r="AH192" i="16" s="1"/>
  <c r="AG185" i="16"/>
  <c r="AG192" i="16" s="1"/>
  <c r="AF185" i="16"/>
  <c r="AF192" i="16" s="1"/>
  <c r="AE185" i="16"/>
  <c r="AE192" i="16" s="1"/>
  <c r="AD185" i="16"/>
  <c r="AD192" i="16" s="1"/>
  <c r="AC185" i="16"/>
  <c r="AC192" i="16" s="1"/>
  <c r="AB185" i="16"/>
  <c r="AB192" i="16" s="1"/>
  <c r="AA185" i="16"/>
  <c r="AA192" i="16" s="1"/>
  <c r="Z185" i="16"/>
  <c r="Z192" i="16" s="1"/>
  <c r="Y185" i="16"/>
  <c r="Y192" i="16" s="1"/>
  <c r="X185" i="16"/>
  <c r="X192" i="16" s="1"/>
  <c r="W185" i="16"/>
  <c r="W192" i="16" s="1"/>
  <c r="V185" i="16"/>
  <c r="V192" i="16" s="1"/>
  <c r="U185" i="16"/>
  <c r="U192" i="16" s="1"/>
  <c r="T185" i="16"/>
  <c r="T192" i="16" s="1"/>
  <c r="S185" i="16"/>
  <c r="S192" i="16" s="1"/>
  <c r="R185" i="16"/>
  <c r="R192" i="16" s="1"/>
  <c r="Q185" i="16"/>
  <c r="Q192" i="16" s="1"/>
  <c r="P185" i="16"/>
  <c r="P192" i="16" s="1"/>
  <c r="O185" i="16"/>
  <c r="O192" i="16" s="1"/>
  <c r="N185" i="16"/>
  <c r="N192" i="16" s="1"/>
  <c r="M185" i="16"/>
  <c r="M192" i="16" s="1"/>
  <c r="L185" i="16"/>
  <c r="L192" i="16" s="1"/>
  <c r="K185" i="16"/>
  <c r="K192" i="16" s="1"/>
  <c r="J185" i="16"/>
  <c r="J192" i="16" s="1"/>
  <c r="I185" i="16"/>
  <c r="I192" i="16" s="1"/>
  <c r="H185" i="16"/>
  <c r="H192" i="16" s="1"/>
  <c r="G185" i="16"/>
  <c r="G192" i="16" s="1"/>
  <c r="F185" i="16"/>
  <c r="F192" i="16" s="1"/>
  <c r="AL156" i="16"/>
  <c r="AK156" i="16"/>
  <c r="AJ156" i="16"/>
  <c r="AI156" i="16"/>
  <c r="AH156" i="16"/>
  <c r="AG156" i="16"/>
  <c r="AF156" i="16"/>
  <c r="AE156" i="16"/>
  <c r="AD156" i="16"/>
  <c r="AC156" i="16"/>
  <c r="AB156" i="16"/>
  <c r="AA156" i="16"/>
  <c r="Z156" i="16"/>
  <c r="Y156" i="16"/>
  <c r="X156" i="16"/>
  <c r="W156" i="16"/>
  <c r="V156" i="16"/>
  <c r="U156" i="16"/>
  <c r="T156" i="16"/>
  <c r="S156" i="16"/>
  <c r="R156" i="16"/>
  <c r="Q156" i="16"/>
  <c r="P156" i="16"/>
  <c r="O156" i="16"/>
  <c r="N156" i="16"/>
  <c r="M156" i="16"/>
  <c r="L156" i="16"/>
  <c r="K156" i="16"/>
  <c r="J156" i="16"/>
  <c r="I156" i="16"/>
  <c r="H156" i="16"/>
  <c r="G156" i="16"/>
  <c r="F156" i="16"/>
  <c r="AL154" i="16"/>
  <c r="AK154" i="16"/>
  <c r="AJ154" i="16"/>
  <c r="AI154" i="16"/>
  <c r="AH154" i="16"/>
  <c r="AG154" i="16"/>
  <c r="AF154" i="16"/>
  <c r="AE154" i="16"/>
  <c r="AD154" i="16"/>
  <c r="AC154" i="16"/>
  <c r="AB154" i="16"/>
  <c r="AA154" i="16"/>
  <c r="Z154" i="16"/>
  <c r="Y154" i="16"/>
  <c r="X154" i="16"/>
  <c r="W154" i="16"/>
  <c r="V154" i="16"/>
  <c r="U154" i="16"/>
  <c r="T154" i="16"/>
  <c r="S154" i="16"/>
  <c r="R154" i="16"/>
  <c r="Q154" i="16"/>
  <c r="P154" i="16"/>
  <c r="O154" i="16"/>
  <c r="N154" i="16"/>
  <c r="M154" i="16"/>
  <c r="L154" i="16"/>
  <c r="K154" i="16"/>
  <c r="J154" i="16"/>
  <c r="I154" i="16"/>
  <c r="H154" i="16"/>
  <c r="G154" i="16"/>
  <c r="F154" i="16"/>
  <c r="AL153" i="16"/>
  <c r="AL158" i="16" s="1"/>
  <c r="AK153" i="16"/>
  <c r="AK158" i="16" s="1"/>
  <c r="AJ153" i="16"/>
  <c r="AJ158" i="16" s="1"/>
  <c r="AI153" i="16"/>
  <c r="AI158" i="16" s="1"/>
  <c r="AH153" i="16"/>
  <c r="AH158" i="16" s="1"/>
  <c r="AG153" i="16"/>
  <c r="AG158" i="16" s="1"/>
  <c r="AF153" i="16"/>
  <c r="AF158" i="16" s="1"/>
  <c r="AE153" i="16"/>
  <c r="AE158" i="16" s="1"/>
  <c r="AD153" i="16"/>
  <c r="AD158" i="16" s="1"/>
  <c r="AC153" i="16"/>
  <c r="AC158" i="16" s="1"/>
  <c r="AB153" i="16"/>
  <c r="AB158" i="16" s="1"/>
  <c r="AA153" i="16"/>
  <c r="AA158" i="16" s="1"/>
  <c r="Z153" i="16"/>
  <c r="Z158" i="16" s="1"/>
  <c r="Y153" i="16"/>
  <c r="Y158" i="16" s="1"/>
  <c r="X153" i="16"/>
  <c r="X158" i="16" s="1"/>
  <c r="W153" i="16"/>
  <c r="W158" i="16" s="1"/>
  <c r="V153" i="16"/>
  <c r="V158" i="16" s="1"/>
  <c r="U153" i="16"/>
  <c r="U158" i="16" s="1"/>
  <c r="T153" i="16"/>
  <c r="T158" i="16" s="1"/>
  <c r="S153" i="16"/>
  <c r="S158" i="16" s="1"/>
  <c r="R153" i="16"/>
  <c r="R158" i="16" s="1"/>
  <c r="Q153" i="16"/>
  <c r="Q158" i="16" s="1"/>
  <c r="P153" i="16"/>
  <c r="P158" i="16" s="1"/>
  <c r="O153" i="16"/>
  <c r="O158" i="16" s="1"/>
  <c r="N153" i="16"/>
  <c r="N158" i="16" s="1"/>
  <c r="M153" i="16"/>
  <c r="M158" i="16" s="1"/>
  <c r="L153" i="16"/>
  <c r="L158" i="16" s="1"/>
  <c r="K153" i="16"/>
  <c r="K158" i="16" s="1"/>
  <c r="J153" i="16"/>
  <c r="J158" i="16" s="1"/>
  <c r="I153" i="16"/>
  <c r="I158" i="16" s="1"/>
  <c r="H153" i="16"/>
  <c r="H158" i="16" s="1"/>
  <c r="G153" i="16"/>
  <c r="G158" i="16" s="1"/>
  <c r="F153" i="16"/>
  <c r="F158" i="16" s="1"/>
  <c r="AL152" i="16"/>
  <c r="AK152" i="16"/>
  <c r="AJ152" i="16"/>
  <c r="AI152" i="16"/>
  <c r="AH152" i="16"/>
  <c r="AG152" i="16"/>
  <c r="AF152" i="16"/>
  <c r="AE152" i="16"/>
  <c r="AD152" i="16"/>
  <c r="AC152" i="16"/>
  <c r="AB152" i="16"/>
  <c r="AA152" i="16"/>
  <c r="Z152" i="16"/>
  <c r="Y152" i="16"/>
  <c r="X152" i="16"/>
  <c r="W152" i="16"/>
  <c r="V152" i="16"/>
  <c r="U152" i="16"/>
  <c r="T152" i="16"/>
  <c r="S152" i="16"/>
  <c r="R152" i="16"/>
  <c r="Q152" i="16"/>
  <c r="P152" i="16"/>
  <c r="O152" i="16"/>
  <c r="N152" i="16"/>
  <c r="M152" i="16"/>
  <c r="L152" i="16"/>
  <c r="K152" i="16"/>
  <c r="J152" i="16"/>
  <c r="I152" i="16"/>
  <c r="H152" i="16"/>
  <c r="G152" i="16"/>
  <c r="F152" i="16"/>
  <c r="AL151" i="16"/>
  <c r="AK151" i="16"/>
  <c r="AJ151" i="16"/>
  <c r="AI151" i="16"/>
  <c r="AH151" i="16"/>
  <c r="AG151" i="16"/>
  <c r="AF151" i="16"/>
  <c r="AE151" i="16"/>
  <c r="AD151" i="16"/>
  <c r="AC151" i="16"/>
  <c r="AB151" i="16"/>
  <c r="AA151" i="16"/>
  <c r="AA157" i="16" s="1"/>
  <c r="Z151" i="16"/>
  <c r="Z157" i="16" s="1"/>
  <c r="Y151" i="16"/>
  <c r="Y157" i="16" s="1"/>
  <c r="X151" i="16"/>
  <c r="X157" i="16" s="1"/>
  <c r="W151" i="16"/>
  <c r="W157" i="16" s="1"/>
  <c r="V151" i="16"/>
  <c r="V157" i="16" s="1"/>
  <c r="U151" i="16"/>
  <c r="U157" i="16" s="1"/>
  <c r="T151" i="16"/>
  <c r="T157" i="16" s="1"/>
  <c r="S151" i="16"/>
  <c r="S157" i="16" s="1"/>
  <c r="R151" i="16"/>
  <c r="R157" i="16" s="1"/>
  <c r="Q151" i="16"/>
  <c r="Q157" i="16" s="1"/>
  <c r="P151" i="16"/>
  <c r="P157" i="16" s="1"/>
  <c r="O151" i="16"/>
  <c r="O157" i="16" s="1"/>
  <c r="N151" i="16"/>
  <c r="N157" i="16" s="1"/>
  <c r="M151" i="16"/>
  <c r="M157" i="16" s="1"/>
  <c r="L151" i="16"/>
  <c r="L157" i="16" s="1"/>
  <c r="K151" i="16"/>
  <c r="K157" i="16" s="1"/>
  <c r="J151" i="16"/>
  <c r="J157" i="16" s="1"/>
  <c r="I151" i="16"/>
  <c r="I157" i="16" s="1"/>
  <c r="H151" i="16"/>
  <c r="H157" i="16" s="1"/>
  <c r="G151" i="16"/>
  <c r="G157" i="16" s="1"/>
  <c r="F151" i="16"/>
  <c r="F157" i="16" s="1"/>
  <c r="AL150" i="16"/>
  <c r="AL157" i="16" s="1"/>
  <c r="AK150" i="16"/>
  <c r="AK157" i="16" s="1"/>
  <c r="AJ150" i="16"/>
  <c r="AJ157" i="16" s="1"/>
  <c r="AI150" i="16"/>
  <c r="AI157" i="16" s="1"/>
  <c r="AH150" i="16"/>
  <c r="AH157" i="16" s="1"/>
  <c r="AG150" i="16"/>
  <c r="AG157" i="16" s="1"/>
  <c r="AF150" i="16"/>
  <c r="AF157" i="16" s="1"/>
  <c r="AE150" i="16"/>
  <c r="AE157" i="16" s="1"/>
  <c r="AD150" i="16"/>
  <c r="AD157" i="16" s="1"/>
  <c r="AC150" i="16"/>
  <c r="AC157" i="16" s="1"/>
  <c r="AB150" i="16"/>
  <c r="AB157" i="16" s="1"/>
  <c r="AA150" i="16"/>
  <c r="Z150" i="16"/>
  <c r="Y150" i="16"/>
  <c r="X150" i="16"/>
  <c r="W150" i="16"/>
  <c r="V150" i="16"/>
  <c r="U150" i="16"/>
  <c r="T150" i="16"/>
  <c r="S150" i="16"/>
  <c r="R150" i="16"/>
  <c r="Q150" i="16"/>
  <c r="P150" i="16"/>
  <c r="O150" i="16"/>
  <c r="N150" i="16"/>
  <c r="M150" i="16"/>
  <c r="L150" i="16"/>
  <c r="K150" i="16"/>
  <c r="J150" i="16"/>
  <c r="I150" i="16"/>
  <c r="H150" i="16"/>
  <c r="G150" i="16"/>
  <c r="F150" i="16"/>
  <c r="AL149" i="16"/>
  <c r="AK149" i="16"/>
  <c r="AJ149" i="16"/>
  <c r="AI149" i="16"/>
  <c r="AH149" i="16"/>
  <c r="AG149" i="16"/>
  <c r="AF149" i="16"/>
  <c r="AE149" i="16"/>
  <c r="AD149" i="16"/>
  <c r="AC149" i="16"/>
  <c r="AB149" i="16"/>
  <c r="AA149" i="16"/>
  <c r="Z149" i="16"/>
  <c r="Y149" i="16"/>
  <c r="X149" i="16"/>
  <c r="W149" i="16"/>
  <c r="V149" i="16"/>
  <c r="U149" i="16"/>
  <c r="T149" i="16"/>
  <c r="S149" i="16"/>
  <c r="R149" i="16"/>
  <c r="Q149" i="16"/>
  <c r="P149" i="16"/>
  <c r="O149" i="16"/>
  <c r="N149" i="16"/>
  <c r="M149" i="16"/>
  <c r="L149" i="16"/>
  <c r="K149" i="16"/>
  <c r="J149" i="16"/>
  <c r="I149" i="16"/>
  <c r="H149" i="16"/>
  <c r="G149" i="16"/>
  <c r="F149" i="16"/>
  <c r="AL148" i="16"/>
  <c r="AK148" i="16"/>
  <c r="AJ148" i="16"/>
  <c r="AI148" i="16"/>
  <c r="AH148" i="16"/>
  <c r="AG148" i="16"/>
  <c r="AF148" i="16"/>
  <c r="AE148" i="16"/>
  <c r="AD148" i="16"/>
  <c r="AC148" i="16"/>
  <c r="AB148" i="16"/>
  <c r="AA148" i="16"/>
  <c r="Z148" i="16"/>
  <c r="Y148" i="16"/>
  <c r="X148" i="16"/>
  <c r="W148" i="16"/>
  <c r="V148" i="16"/>
  <c r="U148" i="16"/>
  <c r="T148" i="16"/>
  <c r="S148" i="16"/>
  <c r="R148" i="16"/>
  <c r="Q148" i="16"/>
  <c r="P148" i="16"/>
  <c r="O148" i="16"/>
  <c r="N148" i="16"/>
  <c r="M148" i="16"/>
  <c r="L148" i="16"/>
  <c r="K148" i="16"/>
  <c r="J148" i="16"/>
  <c r="I148" i="16"/>
  <c r="H148" i="16"/>
  <c r="G148" i="16"/>
  <c r="F148" i="16"/>
  <c r="AL147" i="16"/>
  <c r="AK147" i="16"/>
  <c r="AJ147" i="16"/>
  <c r="AI147" i="16"/>
  <c r="AH147" i="16"/>
  <c r="AG147" i="16"/>
  <c r="AF147" i="16"/>
  <c r="AE147" i="16"/>
  <c r="AD147" i="16"/>
  <c r="AC147" i="16"/>
  <c r="AB147" i="16"/>
  <c r="AA147" i="16"/>
  <c r="Z147" i="16"/>
  <c r="Y147" i="16"/>
  <c r="X147" i="16"/>
  <c r="W147" i="16"/>
  <c r="V147" i="16"/>
  <c r="U147" i="16"/>
  <c r="T147" i="16"/>
  <c r="S147" i="16"/>
  <c r="R147" i="16"/>
  <c r="Q147" i="16"/>
  <c r="P147" i="16"/>
  <c r="O147" i="16"/>
  <c r="N147" i="16"/>
  <c r="M147" i="16"/>
  <c r="L147" i="16"/>
  <c r="K147" i="16"/>
  <c r="J147" i="16"/>
  <c r="I147" i="16"/>
  <c r="H147" i="16"/>
  <c r="G147" i="16"/>
  <c r="F147" i="16"/>
  <c r="AL146" i="16"/>
  <c r="AK146" i="16"/>
  <c r="AJ146" i="16"/>
  <c r="AI146" i="16"/>
  <c r="AH146" i="16"/>
  <c r="AG146" i="16"/>
  <c r="AF146" i="16"/>
  <c r="AE146" i="16"/>
  <c r="AD146" i="16"/>
  <c r="AC146" i="16"/>
  <c r="AB146" i="16"/>
  <c r="AA146" i="16"/>
  <c r="Z146" i="16"/>
  <c r="Y146" i="16"/>
  <c r="X146" i="16"/>
  <c r="W146" i="16"/>
  <c r="V146" i="16"/>
  <c r="U146" i="16"/>
  <c r="T146" i="16"/>
  <c r="S146" i="16"/>
  <c r="R146" i="16"/>
  <c r="Q146" i="16"/>
  <c r="P146" i="16"/>
  <c r="O146" i="16"/>
  <c r="N146" i="16"/>
  <c r="M146" i="16"/>
  <c r="L146" i="16"/>
  <c r="K146" i="16"/>
  <c r="J146" i="16"/>
  <c r="I146" i="16"/>
  <c r="H146" i="16"/>
  <c r="G146" i="16"/>
  <c r="F146" i="16"/>
  <c r="AL145" i="16"/>
  <c r="AK145" i="16"/>
  <c r="AJ145" i="16"/>
  <c r="AI145" i="16"/>
  <c r="AH145" i="16"/>
  <c r="AG145" i="16"/>
  <c r="AF145" i="16"/>
  <c r="AE145" i="16"/>
  <c r="AD145" i="16"/>
  <c r="AC145" i="16"/>
  <c r="AB145" i="16"/>
  <c r="AA145" i="16"/>
  <c r="Z145" i="16"/>
  <c r="Y145" i="16"/>
  <c r="X145" i="16"/>
  <c r="W145" i="16"/>
  <c r="V145" i="16"/>
  <c r="U145" i="16"/>
  <c r="T145" i="16"/>
  <c r="S145" i="16"/>
  <c r="R145" i="16"/>
  <c r="Q145" i="16"/>
  <c r="P145" i="16"/>
  <c r="O145" i="16"/>
  <c r="N145" i="16"/>
  <c r="M145" i="16"/>
  <c r="L145" i="16"/>
  <c r="K145" i="16"/>
  <c r="J145" i="16"/>
  <c r="I145" i="16"/>
  <c r="H145" i="16"/>
  <c r="G145" i="16"/>
  <c r="F145" i="16"/>
  <c r="D139" i="16"/>
  <c r="E139" i="16" s="1"/>
  <c r="C139" i="16"/>
  <c r="B139" i="16"/>
  <c r="D138" i="16"/>
  <c r="C138" i="16"/>
  <c r="B138" i="16"/>
  <c r="D137" i="16"/>
  <c r="C137" i="16"/>
  <c r="B137" i="16"/>
  <c r="D136" i="16"/>
  <c r="C136" i="16"/>
  <c r="B136" i="16"/>
  <c r="D135" i="16"/>
  <c r="C135" i="16"/>
  <c r="B135" i="16"/>
  <c r="D134" i="16"/>
  <c r="C134" i="16"/>
  <c r="B134" i="16"/>
  <c r="D133" i="16"/>
  <c r="C133" i="16"/>
  <c r="B133" i="16"/>
  <c r="D132" i="16"/>
  <c r="C132" i="16"/>
  <c r="B132" i="16"/>
  <c r="D131" i="16"/>
  <c r="C131" i="16"/>
  <c r="B131" i="16"/>
  <c r="D130" i="16"/>
  <c r="C130" i="16"/>
  <c r="B130" i="16"/>
  <c r="D129" i="16"/>
  <c r="C129" i="16"/>
  <c r="B129" i="16"/>
  <c r="D128" i="16"/>
  <c r="C128" i="16"/>
  <c r="B128" i="16"/>
  <c r="D127" i="16"/>
  <c r="C127" i="16"/>
  <c r="B127" i="16"/>
  <c r="D126" i="16"/>
  <c r="C126" i="16"/>
  <c r="B126" i="16"/>
  <c r="D125" i="16"/>
  <c r="C125" i="16"/>
  <c r="B125" i="16"/>
  <c r="D124" i="16"/>
  <c r="C124" i="16"/>
  <c r="B124" i="16"/>
  <c r="D123" i="16"/>
  <c r="C123" i="16"/>
  <c r="B123" i="16"/>
  <c r="D122" i="16"/>
  <c r="C122" i="16"/>
  <c r="B122" i="16"/>
  <c r="D121" i="16"/>
  <c r="C121" i="16"/>
  <c r="B121" i="16"/>
  <c r="D120" i="16"/>
  <c r="C120" i="16"/>
  <c r="B120" i="16"/>
  <c r="D119" i="16"/>
  <c r="E119" i="16" s="1"/>
  <c r="C119" i="16"/>
  <c r="B119" i="16"/>
  <c r="D118" i="16"/>
  <c r="E118" i="16" s="1"/>
  <c r="C118" i="16"/>
  <c r="B118" i="16"/>
  <c r="D117" i="16"/>
  <c r="E117" i="16" s="1"/>
  <c r="C117" i="16"/>
  <c r="B117" i="16"/>
  <c r="D116" i="16"/>
  <c r="E116" i="16" s="1"/>
  <c r="C116" i="16"/>
  <c r="B116" i="16"/>
  <c r="D115" i="16"/>
  <c r="E115" i="16" s="1"/>
  <c r="C115" i="16"/>
  <c r="B115" i="16"/>
  <c r="D114" i="16"/>
  <c r="E114" i="16" s="1"/>
  <c r="C114" i="16"/>
  <c r="B114" i="16"/>
  <c r="D113" i="16"/>
  <c r="E113" i="16" s="1"/>
  <c r="C113" i="16"/>
  <c r="B113" i="16"/>
  <c r="D112" i="16"/>
  <c r="E112" i="16" s="1"/>
  <c r="C112" i="16"/>
  <c r="B112" i="16"/>
  <c r="D111" i="16"/>
  <c r="E111" i="16" s="1"/>
  <c r="C111" i="16"/>
  <c r="B111" i="16"/>
  <c r="D110" i="16"/>
  <c r="E110" i="16" s="1"/>
  <c r="C110" i="16"/>
  <c r="B110" i="16"/>
  <c r="D109" i="16"/>
  <c r="E109" i="16" s="1"/>
  <c r="C109" i="16"/>
  <c r="B109" i="16"/>
  <c r="D108" i="16"/>
  <c r="E108" i="16" s="1"/>
  <c r="C108" i="16"/>
  <c r="B108" i="16"/>
  <c r="D107" i="16"/>
  <c r="E107" i="16" s="1"/>
  <c r="C107" i="16"/>
  <c r="B107" i="16"/>
  <c r="D106" i="16"/>
  <c r="E106" i="16" s="1"/>
  <c r="C106" i="16"/>
  <c r="B106" i="16"/>
  <c r="AL105" i="16"/>
  <c r="AK105" i="16"/>
  <c r="AJ105" i="16"/>
  <c r="AI105" i="16"/>
  <c r="AH105" i="16"/>
  <c r="AG105" i="16"/>
  <c r="AF105" i="16"/>
  <c r="AE105" i="16"/>
  <c r="AD105" i="16"/>
  <c r="AC105" i="16"/>
  <c r="AB105" i="16"/>
  <c r="AA105" i="16"/>
  <c r="Z105" i="16"/>
  <c r="Y105" i="16"/>
  <c r="X105" i="16"/>
  <c r="W105" i="16"/>
  <c r="V105" i="16"/>
  <c r="U105" i="16"/>
  <c r="T105" i="16"/>
  <c r="S105" i="16"/>
  <c r="R105" i="16"/>
  <c r="Q105" i="16"/>
  <c r="P105" i="16"/>
  <c r="O105" i="16"/>
  <c r="N105" i="16"/>
  <c r="M105" i="16"/>
  <c r="L105" i="16"/>
  <c r="K105" i="16"/>
  <c r="J105" i="16"/>
  <c r="I105" i="16"/>
  <c r="H105" i="16"/>
  <c r="G105" i="16"/>
  <c r="F105" i="16"/>
  <c r="D105" i="16"/>
  <c r="C105" i="16"/>
  <c r="B105" i="16"/>
  <c r="R100" i="16"/>
  <c r="E100" i="16"/>
  <c r="R99" i="16"/>
  <c r="E99" i="16"/>
  <c r="R98" i="16"/>
  <c r="E98" i="16"/>
  <c r="R97" i="16"/>
  <c r="E97" i="16"/>
  <c r="E92" i="16"/>
  <c r="E91" i="16"/>
  <c r="E101" i="16" s="1"/>
  <c r="E87" i="16"/>
  <c r="E86" i="16"/>
  <c r="E85" i="16"/>
  <c r="E84" i="16"/>
  <c r="E83" i="16"/>
  <c r="E88" i="16" s="1"/>
  <c r="E80" i="16"/>
  <c r="E79" i="16"/>
  <c r="E78" i="16"/>
  <c r="E77" i="16"/>
  <c r="E76" i="16"/>
  <c r="E75" i="16"/>
  <c r="E74" i="16"/>
  <c r="E73" i="16"/>
  <c r="AL190" i="15"/>
  <c r="AK190" i="15"/>
  <c r="AJ190" i="15"/>
  <c r="AI190" i="15"/>
  <c r="AH190" i="15"/>
  <c r="AG190" i="15"/>
  <c r="AF190" i="15"/>
  <c r="AE190" i="15"/>
  <c r="AD190" i="15"/>
  <c r="AC190" i="15"/>
  <c r="AB190" i="15"/>
  <c r="AA190" i="15"/>
  <c r="Z190" i="15"/>
  <c r="Y190" i="15"/>
  <c r="X190" i="15"/>
  <c r="W190" i="15"/>
  <c r="V190" i="15"/>
  <c r="U190" i="15"/>
  <c r="T190" i="15"/>
  <c r="S190" i="15"/>
  <c r="R190" i="15"/>
  <c r="Q190" i="15"/>
  <c r="P190" i="15"/>
  <c r="O190" i="15"/>
  <c r="N190" i="15"/>
  <c r="M190" i="15"/>
  <c r="L190" i="15"/>
  <c r="K190" i="15"/>
  <c r="J190" i="15"/>
  <c r="I190" i="15"/>
  <c r="H190" i="15"/>
  <c r="G190" i="15"/>
  <c r="F190" i="15"/>
  <c r="AL189" i="15"/>
  <c r="AK189" i="15"/>
  <c r="AJ189" i="15"/>
  <c r="AI189" i="15"/>
  <c r="AH189" i="15"/>
  <c r="AG189" i="15"/>
  <c r="AF189" i="15"/>
  <c r="AE189" i="15"/>
  <c r="AD189" i="15"/>
  <c r="AC189" i="15"/>
  <c r="AB189" i="15"/>
  <c r="AA189" i="15"/>
  <c r="Z189" i="15"/>
  <c r="Y189" i="15"/>
  <c r="X189" i="15"/>
  <c r="W189" i="15"/>
  <c r="V189" i="15"/>
  <c r="U189" i="15"/>
  <c r="T189" i="15"/>
  <c r="S189" i="15"/>
  <c r="R189" i="15"/>
  <c r="Q189" i="15"/>
  <c r="P189" i="15"/>
  <c r="O189" i="15"/>
  <c r="N189" i="15"/>
  <c r="M189" i="15"/>
  <c r="L189" i="15"/>
  <c r="K189" i="15"/>
  <c r="J189" i="15"/>
  <c r="I189" i="15"/>
  <c r="H189" i="15"/>
  <c r="G189" i="15"/>
  <c r="F189" i="15"/>
  <c r="AL188" i="15"/>
  <c r="AK188" i="15"/>
  <c r="AJ188" i="15"/>
  <c r="AI188" i="15"/>
  <c r="AH188" i="15"/>
  <c r="AG188" i="15"/>
  <c r="AF188" i="15"/>
  <c r="AE188" i="15"/>
  <c r="AD188" i="15"/>
  <c r="AC188" i="15"/>
  <c r="AB188" i="15"/>
  <c r="AA188" i="15"/>
  <c r="Z188" i="15"/>
  <c r="Y188" i="15"/>
  <c r="X188" i="15"/>
  <c r="W188" i="15"/>
  <c r="V188" i="15"/>
  <c r="U188" i="15"/>
  <c r="T188" i="15"/>
  <c r="S188" i="15"/>
  <c r="R188" i="15"/>
  <c r="Q188" i="15"/>
  <c r="P188" i="15"/>
  <c r="O188" i="15"/>
  <c r="N188" i="15"/>
  <c r="M188" i="15"/>
  <c r="L188" i="15"/>
  <c r="K188" i="15"/>
  <c r="J188" i="15"/>
  <c r="I188" i="15"/>
  <c r="H188" i="15"/>
  <c r="G188" i="15"/>
  <c r="F188" i="15"/>
  <c r="AL187" i="15"/>
  <c r="AK187" i="15"/>
  <c r="AJ187" i="15"/>
  <c r="AI187" i="15"/>
  <c r="AH187" i="15"/>
  <c r="AG187" i="15"/>
  <c r="AF187" i="15"/>
  <c r="AE187" i="15"/>
  <c r="AD187" i="15"/>
  <c r="AC187" i="15"/>
  <c r="AB187" i="15"/>
  <c r="AA187" i="15"/>
  <c r="Z187" i="15"/>
  <c r="Y187" i="15"/>
  <c r="X187" i="15"/>
  <c r="W187" i="15"/>
  <c r="V187" i="15"/>
  <c r="U187" i="15"/>
  <c r="T187" i="15"/>
  <c r="S187" i="15"/>
  <c r="R187" i="15"/>
  <c r="Q187" i="15"/>
  <c r="P187" i="15"/>
  <c r="O187" i="15"/>
  <c r="N187" i="15"/>
  <c r="M187" i="15"/>
  <c r="L187" i="15"/>
  <c r="K187" i="15"/>
  <c r="J187" i="15"/>
  <c r="I187" i="15"/>
  <c r="H187" i="15"/>
  <c r="G187" i="15"/>
  <c r="F187" i="15"/>
  <c r="AL186" i="15"/>
  <c r="AK186" i="15"/>
  <c r="AJ186" i="15"/>
  <c r="AI186" i="15"/>
  <c r="AH186" i="15"/>
  <c r="AG186" i="15"/>
  <c r="AF186" i="15"/>
  <c r="AE186" i="15"/>
  <c r="AD186" i="15"/>
  <c r="AC186" i="15"/>
  <c r="AB186" i="15"/>
  <c r="AA186" i="15"/>
  <c r="Z186" i="15"/>
  <c r="Y186" i="15"/>
  <c r="X186" i="15"/>
  <c r="W186" i="15"/>
  <c r="V186" i="15"/>
  <c r="U186" i="15"/>
  <c r="T186" i="15"/>
  <c r="S186" i="15"/>
  <c r="R186" i="15"/>
  <c r="Q186" i="15"/>
  <c r="P186" i="15"/>
  <c r="O186" i="15"/>
  <c r="N186" i="15"/>
  <c r="M186" i="15"/>
  <c r="L186" i="15"/>
  <c r="K186" i="15"/>
  <c r="J186" i="15"/>
  <c r="I186" i="15"/>
  <c r="H186" i="15"/>
  <c r="G186" i="15"/>
  <c r="F186" i="15"/>
  <c r="AL185" i="15"/>
  <c r="AL192" i="15" s="1"/>
  <c r="AK185" i="15"/>
  <c r="AK192" i="15" s="1"/>
  <c r="AJ185" i="15"/>
  <c r="AJ192" i="15" s="1"/>
  <c r="AI185" i="15"/>
  <c r="AI192" i="15" s="1"/>
  <c r="AH185" i="15"/>
  <c r="AH192" i="15" s="1"/>
  <c r="AG185" i="15"/>
  <c r="AG192" i="15" s="1"/>
  <c r="AF185" i="15"/>
  <c r="AF192" i="15" s="1"/>
  <c r="AE185" i="15"/>
  <c r="AE192" i="15" s="1"/>
  <c r="AD185" i="15"/>
  <c r="AD192" i="15" s="1"/>
  <c r="AC185" i="15"/>
  <c r="AC192" i="15" s="1"/>
  <c r="AB185" i="15"/>
  <c r="AB192" i="15" s="1"/>
  <c r="AA185" i="15"/>
  <c r="AA192" i="15" s="1"/>
  <c r="Z185" i="15"/>
  <c r="Z192" i="15" s="1"/>
  <c r="Y185" i="15"/>
  <c r="Y192" i="15" s="1"/>
  <c r="X185" i="15"/>
  <c r="X192" i="15" s="1"/>
  <c r="W185" i="15"/>
  <c r="W192" i="15" s="1"/>
  <c r="V185" i="15"/>
  <c r="V192" i="15" s="1"/>
  <c r="U185" i="15"/>
  <c r="U192" i="15" s="1"/>
  <c r="T185" i="15"/>
  <c r="T192" i="15" s="1"/>
  <c r="S185" i="15"/>
  <c r="S192" i="15" s="1"/>
  <c r="R185" i="15"/>
  <c r="R192" i="15" s="1"/>
  <c r="Q185" i="15"/>
  <c r="Q192" i="15" s="1"/>
  <c r="P185" i="15"/>
  <c r="P192" i="15" s="1"/>
  <c r="O185" i="15"/>
  <c r="O192" i="15" s="1"/>
  <c r="N185" i="15"/>
  <c r="N192" i="15" s="1"/>
  <c r="M185" i="15"/>
  <c r="M192" i="15" s="1"/>
  <c r="L185" i="15"/>
  <c r="L192" i="15" s="1"/>
  <c r="K185" i="15"/>
  <c r="K192" i="15" s="1"/>
  <c r="J185" i="15"/>
  <c r="J192" i="15" s="1"/>
  <c r="I185" i="15"/>
  <c r="I192" i="15" s="1"/>
  <c r="H185" i="15"/>
  <c r="H192" i="15" s="1"/>
  <c r="G185" i="15"/>
  <c r="G192" i="15" s="1"/>
  <c r="F185" i="15"/>
  <c r="F192" i="15" s="1"/>
  <c r="AL154" i="15"/>
  <c r="AK154" i="15"/>
  <c r="AJ154" i="15"/>
  <c r="AI154" i="15"/>
  <c r="AH154" i="15"/>
  <c r="AG154" i="15"/>
  <c r="AF154" i="15"/>
  <c r="AE154" i="15"/>
  <c r="AD154" i="15"/>
  <c r="AC154" i="15"/>
  <c r="AB154" i="15"/>
  <c r="AA154" i="15"/>
  <c r="Z154" i="15"/>
  <c r="Y154" i="15"/>
  <c r="X154" i="15"/>
  <c r="W154" i="15"/>
  <c r="V154" i="15"/>
  <c r="U154" i="15"/>
  <c r="T154" i="15"/>
  <c r="S154" i="15"/>
  <c r="R154" i="15"/>
  <c r="Q154" i="15"/>
  <c r="P154" i="15"/>
  <c r="O154" i="15"/>
  <c r="N154" i="15"/>
  <c r="M154" i="15"/>
  <c r="L154" i="15"/>
  <c r="K154" i="15"/>
  <c r="J154" i="15"/>
  <c r="I154" i="15"/>
  <c r="H154" i="15"/>
  <c r="G154" i="15"/>
  <c r="F154" i="15"/>
  <c r="AL153" i="15"/>
  <c r="AL158" i="15" s="1"/>
  <c r="AK153" i="15"/>
  <c r="AK158" i="15" s="1"/>
  <c r="AJ153" i="15"/>
  <c r="AJ158" i="15" s="1"/>
  <c r="AI153" i="15"/>
  <c r="AI158" i="15" s="1"/>
  <c r="AH153" i="15"/>
  <c r="AH158" i="15" s="1"/>
  <c r="AG153" i="15"/>
  <c r="AG158" i="15" s="1"/>
  <c r="AF153" i="15"/>
  <c r="AF158" i="15" s="1"/>
  <c r="AE153" i="15"/>
  <c r="AE158" i="15" s="1"/>
  <c r="AD153" i="15"/>
  <c r="AD158" i="15" s="1"/>
  <c r="AC153" i="15"/>
  <c r="AC158" i="15" s="1"/>
  <c r="AB153" i="15"/>
  <c r="AB158" i="15" s="1"/>
  <c r="AA153" i="15"/>
  <c r="AA158" i="15" s="1"/>
  <c r="Z153" i="15"/>
  <c r="Z158" i="15" s="1"/>
  <c r="Y153" i="15"/>
  <c r="Y158" i="15" s="1"/>
  <c r="X153" i="15"/>
  <c r="X158" i="15" s="1"/>
  <c r="W153" i="15"/>
  <c r="W158" i="15" s="1"/>
  <c r="V153" i="15"/>
  <c r="V158" i="15" s="1"/>
  <c r="U153" i="15"/>
  <c r="U158" i="15" s="1"/>
  <c r="T153" i="15"/>
  <c r="T158" i="15" s="1"/>
  <c r="S153" i="15"/>
  <c r="S158" i="15" s="1"/>
  <c r="R153" i="15"/>
  <c r="R158" i="15" s="1"/>
  <c r="Q153" i="15"/>
  <c r="Q158" i="15" s="1"/>
  <c r="P153" i="15"/>
  <c r="P158" i="15" s="1"/>
  <c r="O153" i="15"/>
  <c r="O158" i="15" s="1"/>
  <c r="N153" i="15"/>
  <c r="N158" i="15" s="1"/>
  <c r="M153" i="15"/>
  <c r="M158" i="15" s="1"/>
  <c r="L153" i="15"/>
  <c r="L158" i="15" s="1"/>
  <c r="K153" i="15"/>
  <c r="K158" i="15" s="1"/>
  <c r="J153" i="15"/>
  <c r="J158" i="15" s="1"/>
  <c r="I153" i="15"/>
  <c r="I158" i="15" s="1"/>
  <c r="H153" i="15"/>
  <c r="H158" i="15" s="1"/>
  <c r="G153" i="15"/>
  <c r="G158" i="15" s="1"/>
  <c r="F153" i="15"/>
  <c r="F158" i="15" s="1"/>
  <c r="AL152" i="15"/>
  <c r="AK152" i="15"/>
  <c r="AJ152" i="15"/>
  <c r="AI152" i="15"/>
  <c r="AH152" i="15"/>
  <c r="AG152" i="15"/>
  <c r="AF152" i="15"/>
  <c r="AE152" i="15"/>
  <c r="AD152" i="15"/>
  <c r="AC152" i="15"/>
  <c r="AB152" i="15"/>
  <c r="AA152" i="15"/>
  <c r="Z152" i="15"/>
  <c r="Y152" i="15"/>
  <c r="X152" i="15"/>
  <c r="W152" i="15"/>
  <c r="V152" i="15"/>
  <c r="U152" i="15"/>
  <c r="T152" i="15"/>
  <c r="S152" i="15"/>
  <c r="R152" i="15"/>
  <c r="Q152" i="15"/>
  <c r="P152" i="15"/>
  <c r="O152" i="15"/>
  <c r="N152" i="15"/>
  <c r="M152" i="15"/>
  <c r="L152" i="15"/>
  <c r="K152" i="15"/>
  <c r="J152" i="15"/>
  <c r="I152" i="15"/>
  <c r="H152" i="15"/>
  <c r="G152" i="15"/>
  <c r="F152" i="15"/>
  <c r="AL151" i="15"/>
  <c r="AK151" i="15"/>
  <c r="AJ151" i="15"/>
  <c r="AI151" i="15"/>
  <c r="AH151" i="15"/>
  <c r="AG151" i="15"/>
  <c r="AF151" i="15"/>
  <c r="AE151" i="15"/>
  <c r="AD151" i="15"/>
  <c r="AC151" i="15"/>
  <c r="AB151" i="15"/>
  <c r="AA151" i="15"/>
  <c r="Z151" i="15"/>
  <c r="Y151" i="15"/>
  <c r="X151" i="15"/>
  <c r="W151" i="15"/>
  <c r="V151" i="15"/>
  <c r="U151" i="15"/>
  <c r="T151" i="15"/>
  <c r="S151" i="15"/>
  <c r="R151" i="15"/>
  <c r="Q151" i="15"/>
  <c r="P151" i="15"/>
  <c r="O151" i="15"/>
  <c r="N151" i="15"/>
  <c r="M151" i="15"/>
  <c r="L151" i="15"/>
  <c r="K151" i="15"/>
  <c r="J151" i="15"/>
  <c r="I151" i="15"/>
  <c r="H151" i="15"/>
  <c r="G151" i="15"/>
  <c r="F151" i="15"/>
  <c r="AL150" i="15"/>
  <c r="AK150" i="15"/>
  <c r="AJ150" i="15"/>
  <c r="AI150" i="15"/>
  <c r="AH150" i="15"/>
  <c r="AG150" i="15"/>
  <c r="AF150" i="15"/>
  <c r="AE150" i="15"/>
  <c r="AD150" i="15"/>
  <c r="AC150" i="15"/>
  <c r="AB150" i="15"/>
  <c r="AA150" i="15"/>
  <c r="Z150" i="15"/>
  <c r="Y150" i="15"/>
  <c r="X150" i="15"/>
  <c r="W150" i="15"/>
  <c r="V150" i="15"/>
  <c r="U150" i="15"/>
  <c r="T150" i="15"/>
  <c r="S150" i="15"/>
  <c r="R150" i="15"/>
  <c r="Q150" i="15"/>
  <c r="P150" i="15"/>
  <c r="O150" i="15"/>
  <c r="N150" i="15"/>
  <c r="M150" i="15"/>
  <c r="L150" i="15"/>
  <c r="K150" i="15"/>
  <c r="J150" i="15"/>
  <c r="I150" i="15"/>
  <c r="H150" i="15"/>
  <c r="G150" i="15"/>
  <c r="F150" i="15"/>
  <c r="AL149" i="15"/>
  <c r="AK149" i="15"/>
  <c r="AJ149" i="15"/>
  <c r="AI149" i="15"/>
  <c r="AH149" i="15"/>
  <c r="AG149" i="15"/>
  <c r="AF149" i="15"/>
  <c r="AE149" i="15"/>
  <c r="AD149" i="15"/>
  <c r="AC149" i="15"/>
  <c r="AB149" i="15"/>
  <c r="AA149" i="15"/>
  <c r="Z149" i="15"/>
  <c r="Y149" i="15"/>
  <c r="X149" i="15"/>
  <c r="W149" i="15"/>
  <c r="V149" i="15"/>
  <c r="U149" i="15"/>
  <c r="T149" i="15"/>
  <c r="S149" i="15"/>
  <c r="R149" i="15"/>
  <c r="Q149" i="15"/>
  <c r="P149" i="15"/>
  <c r="O149" i="15"/>
  <c r="N149" i="15"/>
  <c r="M149" i="15"/>
  <c r="L149" i="15"/>
  <c r="K149" i="15"/>
  <c r="J149" i="15"/>
  <c r="I149" i="15"/>
  <c r="H149" i="15"/>
  <c r="G149" i="15"/>
  <c r="F149" i="15"/>
  <c r="AL148" i="15"/>
  <c r="AK148" i="15"/>
  <c r="AJ148" i="15"/>
  <c r="AI148" i="15"/>
  <c r="AH148" i="15"/>
  <c r="AG148" i="15"/>
  <c r="AF148" i="15"/>
  <c r="AE148" i="15"/>
  <c r="AD148" i="15"/>
  <c r="AC148" i="15"/>
  <c r="AB148" i="15"/>
  <c r="AA148" i="15"/>
  <c r="Z148" i="15"/>
  <c r="Y148" i="15"/>
  <c r="X148" i="15"/>
  <c r="W148" i="15"/>
  <c r="V148" i="15"/>
  <c r="U148" i="15"/>
  <c r="T148" i="15"/>
  <c r="S148" i="15"/>
  <c r="R148" i="15"/>
  <c r="Q148" i="15"/>
  <c r="P148" i="15"/>
  <c r="O148" i="15"/>
  <c r="N148" i="15"/>
  <c r="M148" i="15"/>
  <c r="L148" i="15"/>
  <c r="K148" i="15"/>
  <c r="J148" i="15"/>
  <c r="I148" i="15"/>
  <c r="H148" i="15"/>
  <c r="G148" i="15"/>
  <c r="F148" i="15"/>
  <c r="AL147" i="15"/>
  <c r="AK147" i="15"/>
  <c r="AJ147" i="15"/>
  <c r="AI147" i="15"/>
  <c r="AH147" i="15"/>
  <c r="AG147" i="15"/>
  <c r="AF147" i="15"/>
  <c r="AE147" i="15"/>
  <c r="AD147" i="15"/>
  <c r="AC147" i="15"/>
  <c r="AB147" i="15"/>
  <c r="AA147" i="15"/>
  <c r="Z147" i="15"/>
  <c r="Y147" i="15"/>
  <c r="X147" i="15"/>
  <c r="W147" i="15"/>
  <c r="V147" i="15"/>
  <c r="U147" i="15"/>
  <c r="T147" i="15"/>
  <c r="S147" i="15"/>
  <c r="R147" i="15"/>
  <c r="Q147" i="15"/>
  <c r="P147" i="15"/>
  <c r="O147" i="15"/>
  <c r="N147" i="15"/>
  <c r="M147" i="15"/>
  <c r="L147" i="15"/>
  <c r="K147" i="15"/>
  <c r="J147" i="15"/>
  <c r="I147" i="15"/>
  <c r="H147" i="15"/>
  <c r="G147" i="15"/>
  <c r="F147" i="15"/>
  <c r="AL146" i="15"/>
  <c r="AL157" i="15" s="1"/>
  <c r="AK146" i="15"/>
  <c r="AK157" i="15" s="1"/>
  <c r="AJ146" i="15"/>
  <c r="AJ157" i="15" s="1"/>
  <c r="AI146" i="15"/>
  <c r="AI157" i="15" s="1"/>
  <c r="AH146" i="15"/>
  <c r="AH157" i="15" s="1"/>
  <c r="AG146" i="15"/>
  <c r="AG157" i="15" s="1"/>
  <c r="AF146" i="15"/>
  <c r="AF157" i="15" s="1"/>
  <c r="AE146" i="15"/>
  <c r="AE157" i="15" s="1"/>
  <c r="AD146" i="15"/>
  <c r="AD157" i="15" s="1"/>
  <c r="AC146" i="15"/>
  <c r="AC157" i="15" s="1"/>
  <c r="AB146" i="15"/>
  <c r="AB157" i="15" s="1"/>
  <c r="AA146" i="15"/>
  <c r="AA157" i="15" s="1"/>
  <c r="Z146" i="15"/>
  <c r="Z157" i="15" s="1"/>
  <c r="Y146" i="15"/>
  <c r="Y157" i="15" s="1"/>
  <c r="X146" i="15"/>
  <c r="X157" i="15" s="1"/>
  <c r="W146" i="15"/>
  <c r="W157" i="15" s="1"/>
  <c r="V146" i="15"/>
  <c r="V157" i="15" s="1"/>
  <c r="U146" i="15"/>
  <c r="U157" i="15" s="1"/>
  <c r="T146" i="15"/>
  <c r="T157" i="15" s="1"/>
  <c r="S146" i="15"/>
  <c r="S157" i="15" s="1"/>
  <c r="R146" i="15"/>
  <c r="R157" i="15" s="1"/>
  <c r="Q146" i="15"/>
  <c r="Q157" i="15" s="1"/>
  <c r="P146" i="15"/>
  <c r="P157" i="15" s="1"/>
  <c r="O146" i="15"/>
  <c r="O157" i="15" s="1"/>
  <c r="N146" i="15"/>
  <c r="N157" i="15" s="1"/>
  <c r="M146" i="15"/>
  <c r="M157" i="15" s="1"/>
  <c r="L146" i="15"/>
  <c r="L157" i="15" s="1"/>
  <c r="K146" i="15"/>
  <c r="K157" i="15" s="1"/>
  <c r="J146" i="15"/>
  <c r="J157" i="15" s="1"/>
  <c r="I146" i="15"/>
  <c r="I157" i="15" s="1"/>
  <c r="H146" i="15"/>
  <c r="H157" i="15" s="1"/>
  <c r="G146" i="15"/>
  <c r="G157" i="15" s="1"/>
  <c r="F146" i="15"/>
  <c r="F157" i="15" s="1"/>
  <c r="AL145" i="15"/>
  <c r="AL156" i="15" s="1"/>
  <c r="AK145" i="15"/>
  <c r="AK156" i="15" s="1"/>
  <c r="AJ145" i="15"/>
  <c r="AJ156" i="15" s="1"/>
  <c r="AI145" i="15"/>
  <c r="AI156" i="15" s="1"/>
  <c r="AH145" i="15"/>
  <c r="AH156" i="15" s="1"/>
  <c r="AG145" i="15"/>
  <c r="AG156" i="15" s="1"/>
  <c r="AF145" i="15"/>
  <c r="AF156" i="15" s="1"/>
  <c r="AE145" i="15"/>
  <c r="AE156" i="15" s="1"/>
  <c r="AD145" i="15"/>
  <c r="AD156" i="15" s="1"/>
  <c r="AC145" i="15"/>
  <c r="AC156" i="15" s="1"/>
  <c r="AB145" i="15"/>
  <c r="AB156" i="15" s="1"/>
  <c r="AA145" i="15"/>
  <c r="AA156" i="15" s="1"/>
  <c r="Z145" i="15"/>
  <c r="Z156" i="15" s="1"/>
  <c r="Y145" i="15"/>
  <c r="Y156" i="15" s="1"/>
  <c r="X145" i="15"/>
  <c r="X156" i="15" s="1"/>
  <c r="W145" i="15"/>
  <c r="W156" i="15" s="1"/>
  <c r="V145" i="15"/>
  <c r="V156" i="15" s="1"/>
  <c r="U145" i="15"/>
  <c r="U156" i="15" s="1"/>
  <c r="T145" i="15"/>
  <c r="T156" i="15" s="1"/>
  <c r="S145" i="15"/>
  <c r="S156" i="15" s="1"/>
  <c r="R145" i="15"/>
  <c r="R156" i="15" s="1"/>
  <c r="R160" i="15" s="1"/>
  <c r="Q145" i="15"/>
  <c r="Q156" i="15" s="1"/>
  <c r="Q160" i="15" s="1"/>
  <c r="P145" i="15"/>
  <c r="P156" i="15" s="1"/>
  <c r="P160" i="15" s="1"/>
  <c r="O145" i="15"/>
  <c r="O156" i="15" s="1"/>
  <c r="O160" i="15" s="1"/>
  <c r="N145" i="15"/>
  <c r="N156" i="15" s="1"/>
  <c r="N160" i="15" s="1"/>
  <c r="M145" i="15"/>
  <c r="M156" i="15" s="1"/>
  <c r="M160" i="15" s="1"/>
  <c r="L145" i="15"/>
  <c r="L156" i="15" s="1"/>
  <c r="L160" i="15" s="1"/>
  <c r="K145" i="15"/>
  <c r="K156" i="15" s="1"/>
  <c r="K160" i="15" s="1"/>
  <c r="J145" i="15"/>
  <c r="J156" i="15" s="1"/>
  <c r="J160" i="15" s="1"/>
  <c r="I145" i="15"/>
  <c r="I156" i="15" s="1"/>
  <c r="I160" i="15" s="1"/>
  <c r="H145" i="15"/>
  <c r="H156" i="15" s="1"/>
  <c r="H160" i="15" s="1"/>
  <c r="G145" i="15"/>
  <c r="G156" i="15" s="1"/>
  <c r="G160" i="15" s="1"/>
  <c r="F145" i="15"/>
  <c r="F156" i="15" s="1"/>
  <c r="F160" i="15" s="1"/>
  <c r="D139" i="15"/>
  <c r="E139" i="15" s="1"/>
  <c r="C139" i="15"/>
  <c r="B139" i="15"/>
  <c r="D138" i="15"/>
  <c r="C138" i="15"/>
  <c r="B138" i="15"/>
  <c r="D137" i="15"/>
  <c r="C137" i="15"/>
  <c r="B137" i="15"/>
  <c r="D136" i="15"/>
  <c r="C136" i="15"/>
  <c r="B136" i="15"/>
  <c r="D135" i="15"/>
  <c r="C135" i="15"/>
  <c r="B135" i="15"/>
  <c r="D134" i="15"/>
  <c r="C134" i="15"/>
  <c r="B134" i="15"/>
  <c r="D133" i="15"/>
  <c r="C133" i="15"/>
  <c r="B133" i="15"/>
  <c r="D132" i="15"/>
  <c r="C132" i="15"/>
  <c r="B132" i="15"/>
  <c r="D131" i="15"/>
  <c r="C131" i="15"/>
  <c r="B131" i="15"/>
  <c r="D130" i="15"/>
  <c r="C130" i="15"/>
  <c r="B130" i="15"/>
  <c r="D129" i="15"/>
  <c r="C129" i="15"/>
  <c r="B129" i="15"/>
  <c r="D128" i="15"/>
  <c r="C128" i="15"/>
  <c r="B128" i="15"/>
  <c r="D127" i="15"/>
  <c r="C127" i="15"/>
  <c r="B127" i="15"/>
  <c r="D126" i="15"/>
  <c r="C126" i="15"/>
  <c r="B126" i="15"/>
  <c r="D125" i="15"/>
  <c r="C125" i="15"/>
  <c r="B125" i="15"/>
  <c r="D124" i="15"/>
  <c r="C124" i="15"/>
  <c r="B124" i="15"/>
  <c r="D123" i="15"/>
  <c r="C123" i="15"/>
  <c r="B123" i="15"/>
  <c r="D122" i="15"/>
  <c r="C122" i="15"/>
  <c r="B122" i="15"/>
  <c r="D121" i="15"/>
  <c r="C121" i="15"/>
  <c r="B121" i="15"/>
  <c r="D120" i="15"/>
  <c r="C120" i="15"/>
  <c r="B120" i="15"/>
  <c r="D119" i="15"/>
  <c r="E119" i="15" s="1"/>
  <c r="C119" i="15"/>
  <c r="B119" i="15"/>
  <c r="D118" i="15"/>
  <c r="E118" i="15" s="1"/>
  <c r="C118" i="15"/>
  <c r="B118" i="15"/>
  <c r="D117" i="15"/>
  <c r="E117" i="15" s="1"/>
  <c r="C117" i="15"/>
  <c r="B117" i="15"/>
  <c r="D116" i="15"/>
  <c r="E116" i="15" s="1"/>
  <c r="C116" i="15"/>
  <c r="B116" i="15"/>
  <c r="D115" i="15"/>
  <c r="E115" i="15" s="1"/>
  <c r="C115" i="15"/>
  <c r="B115" i="15"/>
  <c r="D114" i="15"/>
  <c r="E114" i="15" s="1"/>
  <c r="C114" i="15"/>
  <c r="B114" i="15"/>
  <c r="D113" i="15"/>
  <c r="E113" i="15" s="1"/>
  <c r="C113" i="15"/>
  <c r="B113" i="15"/>
  <c r="D112" i="15"/>
  <c r="E112" i="15" s="1"/>
  <c r="C112" i="15"/>
  <c r="B112" i="15"/>
  <c r="D111" i="15"/>
  <c r="E111" i="15" s="1"/>
  <c r="C111" i="15"/>
  <c r="B111" i="15"/>
  <c r="D110" i="15"/>
  <c r="E110" i="15" s="1"/>
  <c r="C110" i="15"/>
  <c r="B110" i="15"/>
  <c r="D109" i="15"/>
  <c r="E109" i="15" s="1"/>
  <c r="C109" i="15"/>
  <c r="B109" i="15"/>
  <c r="D108" i="15"/>
  <c r="E108" i="15" s="1"/>
  <c r="C108" i="15"/>
  <c r="B108" i="15"/>
  <c r="D107" i="15"/>
  <c r="E107" i="15" s="1"/>
  <c r="C107" i="15"/>
  <c r="B107" i="15"/>
  <c r="D106" i="15"/>
  <c r="E106" i="15" s="1"/>
  <c r="C106" i="15"/>
  <c r="B106" i="15"/>
  <c r="AL105" i="15"/>
  <c r="AK105" i="15"/>
  <c r="AJ105" i="15"/>
  <c r="AI105" i="15"/>
  <c r="AH105" i="15"/>
  <c r="AG105" i="15"/>
  <c r="AF105" i="15"/>
  <c r="AE105" i="15"/>
  <c r="AD105" i="15"/>
  <c r="AC105" i="15"/>
  <c r="AB105" i="15"/>
  <c r="AA105" i="15"/>
  <c r="Z105" i="15"/>
  <c r="Y105" i="15"/>
  <c r="X105" i="15"/>
  <c r="W105" i="15"/>
  <c r="V105" i="15"/>
  <c r="U105" i="15"/>
  <c r="T105" i="15"/>
  <c r="S105" i="15"/>
  <c r="R105" i="15"/>
  <c r="Q105" i="15"/>
  <c r="P105" i="15"/>
  <c r="O105" i="15"/>
  <c r="N105" i="15"/>
  <c r="M105" i="15"/>
  <c r="L105" i="15"/>
  <c r="K105" i="15"/>
  <c r="J105" i="15"/>
  <c r="I105" i="15"/>
  <c r="H105" i="15"/>
  <c r="G105" i="15"/>
  <c r="F105" i="15"/>
  <c r="D105" i="15"/>
  <c r="C105" i="15"/>
  <c r="B105" i="15"/>
  <c r="R100" i="15"/>
  <c r="E100" i="15"/>
  <c r="R99" i="15"/>
  <c r="E99" i="15"/>
  <c r="R98" i="15"/>
  <c r="E98" i="15"/>
  <c r="R97" i="15"/>
  <c r="E97" i="15"/>
  <c r="E92" i="15"/>
  <c r="E91" i="15"/>
  <c r="E101" i="15" s="1"/>
  <c r="E87" i="15"/>
  <c r="E86" i="15"/>
  <c r="E85" i="15"/>
  <c r="E84" i="15"/>
  <c r="E83" i="15"/>
  <c r="E88" i="15" s="1"/>
  <c r="E80" i="15"/>
  <c r="E79" i="15"/>
  <c r="E78" i="15"/>
  <c r="E77" i="15"/>
  <c r="E76" i="15"/>
  <c r="E75" i="15"/>
  <c r="E74" i="15"/>
  <c r="E73" i="15"/>
  <c r="G26" i="14"/>
  <c r="I21" i="14"/>
  <c r="K21" i="14" s="1"/>
  <c r="I20" i="14"/>
  <c r="K20" i="14" s="1"/>
  <c r="K22" i="14" s="1"/>
  <c r="E123" i="1" s="1"/>
  <c r="G20" i="14"/>
  <c r="G15" i="14"/>
  <c r="I15" i="14" s="1"/>
  <c r="I16" i="14" s="1"/>
  <c r="E103" i="1" s="1"/>
  <c r="G14" i="14"/>
  <c r="N10" i="14"/>
  <c r="I26" i="14" s="1"/>
  <c r="M10" i="14"/>
  <c r="N9" i="14"/>
  <c r="M9" i="14"/>
  <c r="G9" i="14"/>
  <c r="N8" i="14"/>
  <c r="M8" i="14"/>
  <c r="G8" i="14"/>
  <c r="N7" i="14"/>
  <c r="M7" i="14"/>
  <c r="G7" i="14"/>
  <c r="I7" i="14" s="1"/>
  <c r="I10" i="14" s="1"/>
  <c r="E99" i="1" s="1"/>
  <c r="N6" i="14"/>
  <c r="E20" i="13"/>
  <c r="E19" i="13"/>
  <c r="F16" i="13"/>
  <c r="F14" i="13"/>
  <c r="F18" i="13" s="1"/>
  <c r="F10" i="13"/>
  <c r="F20" i="13" s="1"/>
  <c r="F9" i="13"/>
  <c r="F19" i="13" s="1"/>
  <c r="L30" i="12"/>
  <c r="F30" i="12"/>
  <c r="E30" i="12"/>
  <c r="K27" i="12"/>
  <c r="K26" i="12"/>
  <c r="F19" i="12"/>
  <c r="F22" i="12" s="1"/>
  <c r="E19" i="12"/>
  <c r="E22" i="12" s="1"/>
  <c r="K17" i="12"/>
  <c r="L17" i="12" s="1"/>
  <c r="K15" i="12"/>
  <c r="K11" i="12"/>
  <c r="E38" i="11"/>
  <c r="C38" i="11"/>
  <c r="E28" i="11"/>
  <c r="E27" i="11"/>
  <c r="F27" i="11" s="1"/>
  <c r="E26" i="11"/>
  <c r="D18" i="11"/>
  <c r="G18" i="11" s="1"/>
  <c r="D17" i="11"/>
  <c r="G17" i="11" s="1"/>
  <c r="L12" i="11"/>
  <c r="K12" i="11"/>
  <c r="L11" i="11"/>
  <c r="K11" i="11"/>
  <c r="G11" i="11"/>
  <c r="L10" i="11"/>
  <c r="K10" i="11"/>
  <c r="L9" i="11"/>
  <c r="K9" i="11"/>
  <c r="L8" i="11"/>
  <c r="G8" i="11"/>
  <c r="B52" i="10"/>
  <c r="D52" i="10" s="1"/>
  <c r="E41" i="10"/>
  <c r="E40" i="10"/>
  <c r="E39" i="10"/>
  <c r="E36" i="10"/>
  <c r="E35" i="10"/>
  <c r="E34" i="10"/>
  <c r="E33" i="10"/>
  <c r="C20" i="10"/>
  <c r="E20" i="10" s="1"/>
  <c r="C19" i="10"/>
  <c r="E19" i="10" s="1"/>
  <c r="E18" i="10"/>
  <c r="I9" i="10"/>
  <c r="H9" i="10"/>
  <c r="I8" i="10"/>
  <c r="H8" i="10"/>
  <c r="E8" i="10"/>
  <c r="F8" i="10" s="1"/>
  <c r="F9" i="10" s="1"/>
  <c r="D63" i="10" s="1"/>
  <c r="I7" i="10"/>
  <c r="H7" i="10"/>
  <c r="I6" i="10"/>
  <c r="E44" i="9"/>
  <c r="D44" i="9"/>
  <c r="G26" i="9"/>
  <c r="I26" i="9" s="1"/>
  <c r="L26" i="9" s="1"/>
  <c r="M26" i="9" s="1"/>
  <c r="C37" i="9" s="1"/>
  <c r="P20" i="9"/>
  <c r="Q20" i="9" s="1"/>
  <c r="D36" i="9" s="1"/>
  <c r="M20" i="9"/>
  <c r="H20" i="9"/>
  <c r="I20" i="9" s="1"/>
  <c r="C36" i="9" s="1"/>
  <c r="P19" i="9"/>
  <c r="Q19" i="9" s="1"/>
  <c r="D35" i="9" s="1"/>
  <c r="M19" i="9"/>
  <c r="N19" i="9" s="1"/>
  <c r="E35" i="9" s="1"/>
  <c r="E19" i="9"/>
  <c r="H19" i="9" s="1"/>
  <c r="I19" i="9" s="1"/>
  <c r="C35" i="9" s="1"/>
  <c r="P18" i="9"/>
  <c r="Q18" i="9" s="1"/>
  <c r="D34" i="9" s="1"/>
  <c r="D42" i="9" s="1"/>
  <c r="E66" i="1" s="1"/>
  <c r="D66" i="1" s="1"/>
  <c r="M18" i="9"/>
  <c r="E18" i="9"/>
  <c r="H18" i="9" s="1"/>
  <c r="I18" i="9" s="1"/>
  <c r="C34" i="9" s="1"/>
  <c r="P17" i="9"/>
  <c r="Q17" i="9" s="1"/>
  <c r="D33" i="9" s="1"/>
  <c r="M17" i="9"/>
  <c r="N17" i="9" s="1"/>
  <c r="E33" i="9" s="1"/>
  <c r="H17" i="9"/>
  <c r="I17" i="9" s="1"/>
  <c r="C33" i="9" s="1"/>
  <c r="P16" i="9"/>
  <c r="Q16" i="9" s="1"/>
  <c r="D32" i="9" s="1"/>
  <c r="M16" i="9"/>
  <c r="H16" i="9"/>
  <c r="I16" i="9" s="1"/>
  <c r="C32" i="9" s="1"/>
  <c r="K11" i="9"/>
  <c r="J11" i="9"/>
  <c r="K10" i="9"/>
  <c r="J10" i="9"/>
  <c r="J9" i="9"/>
  <c r="K8" i="9"/>
  <c r="J8" i="9"/>
  <c r="K7" i="9"/>
  <c r="L5107" i="8"/>
  <c r="K5107" i="8"/>
  <c r="L5106" i="8"/>
  <c r="K5106" i="8"/>
  <c r="L5105" i="8"/>
  <c r="K5105" i="8"/>
  <c r="L5104" i="8"/>
  <c r="K5104" i="8"/>
  <c r="L5103" i="8"/>
  <c r="K5103" i="8"/>
  <c r="L5102" i="8"/>
  <c r="K5102" i="8"/>
  <c r="L5101" i="8"/>
  <c r="K5101" i="8"/>
  <c r="L5100" i="8"/>
  <c r="K5100" i="8"/>
  <c r="L5099" i="8"/>
  <c r="K5099" i="8"/>
  <c r="L5098" i="8"/>
  <c r="K5098" i="8"/>
  <c r="L5097" i="8"/>
  <c r="K5097" i="8"/>
  <c r="L5096" i="8"/>
  <c r="K5096" i="8"/>
  <c r="L5095" i="8"/>
  <c r="K5095" i="8"/>
  <c r="L5094" i="8"/>
  <c r="K5094" i="8"/>
  <c r="L5093" i="8"/>
  <c r="K5093" i="8"/>
  <c r="L5092" i="8"/>
  <c r="K5092" i="8"/>
  <c r="L5091" i="8"/>
  <c r="K5091" i="8"/>
  <c r="L5090" i="8"/>
  <c r="K5090" i="8"/>
  <c r="L5089" i="8"/>
  <c r="K5089" i="8"/>
  <c r="L5088" i="8"/>
  <c r="K5088" i="8"/>
  <c r="L5087" i="8"/>
  <c r="K5087" i="8"/>
  <c r="L5086" i="8"/>
  <c r="K5086" i="8"/>
  <c r="L5085" i="8"/>
  <c r="K5085" i="8"/>
  <c r="L5084" i="8"/>
  <c r="K5084" i="8"/>
  <c r="L5083" i="8"/>
  <c r="K5083" i="8"/>
  <c r="L5082" i="8"/>
  <c r="K5082" i="8"/>
  <c r="L5081" i="8"/>
  <c r="K5081" i="8"/>
  <c r="L5080" i="8"/>
  <c r="K5080" i="8"/>
  <c r="L5079" i="8"/>
  <c r="K5079" i="8"/>
  <c r="L5078" i="8"/>
  <c r="K5078" i="8"/>
  <c r="L5077" i="8"/>
  <c r="K5077" i="8"/>
  <c r="L5076" i="8"/>
  <c r="K5076" i="8"/>
  <c r="L5075" i="8"/>
  <c r="K5075" i="8"/>
  <c r="L5074" i="8"/>
  <c r="K5074" i="8"/>
  <c r="L5073" i="8"/>
  <c r="K5073" i="8"/>
  <c r="L5072" i="8"/>
  <c r="K5072" i="8"/>
  <c r="L5071" i="8"/>
  <c r="K5071" i="8"/>
  <c r="L5070" i="8"/>
  <c r="K5070" i="8"/>
  <c r="L5069" i="8"/>
  <c r="K5069" i="8"/>
  <c r="L5068" i="8"/>
  <c r="K5068" i="8"/>
  <c r="L5067" i="8"/>
  <c r="K5067" i="8"/>
  <c r="L5066" i="8"/>
  <c r="K5066" i="8"/>
  <c r="L5065" i="8"/>
  <c r="K5065" i="8"/>
  <c r="L5064" i="8"/>
  <c r="K5064" i="8"/>
  <c r="L5063" i="8"/>
  <c r="K5063" i="8"/>
  <c r="L5062" i="8"/>
  <c r="K5062" i="8"/>
  <c r="L5061" i="8"/>
  <c r="K5061" i="8"/>
  <c r="L5060" i="8"/>
  <c r="K5060" i="8"/>
  <c r="L5059" i="8"/>
  <c r="K5059" i="8"/>
  <c r="L5058" i="8"/>
  <c r="K5058" i="8"/>
  <c r="L5057" i="8"/>
  <c r="K5057" i="8"/>
  <c r="L5056" i="8"/>
  <c r="K5056" i="8"/>
  <c r="L5055" i="8"/>
  <c r="K5055" i="8"/>
  <c r="L5054" i="8"/>
  <c r="K5054" i="8"/>
  <c r="L5053" i="8"/>
  <c r="K5053" i="8"/>
  <c r="L5052" i="8"/>
  <c r="K5052" i="8"/>
  <c r="L5051" i="8"/>
  <c r="K5051" i="8"/>
  <c r="L5050" i="8"/>
  <c r="K5050" i="8"/>
  <c r="L5049" i="8"/>
  <c r="K5049" i="8"/>
  <c r="L5048" i="8"/>
  <c r="K5048" i="8"/>
  <c r="L5047" i="8"/>
  <c r="K5047" i="8"/>
  <c r="L5046" i="8"/>
  <c r="K5046" i="8"/>
  <c r="L5045" i="8"/>
  <c r="K5045" i="8"/>
  <c r="L5044" i="8"/>
  <c r="K5044" i="8"/>
  <c r="L5043" i="8"/>
  <c r="K5043" i="8"/>
  <c r="L5042" i="8"/>
  <c r="K5042" i="8"/>
  <c r="L5041" i="8"/>
  <c r="K5041" i="8"/>
  <c r="L5040" i="8"/>
  <c r="K5040" i="8"/>
  <c r="L5039" i="8"/>
  <c r="K5039" i="8"/>
  <c r="L5038" i="8"/>
  <c r="K5038" i="8"/>
  <c r="L5037" i="8"/>
  <c r="K5037" i="8"/>
  <c r="L5036" i="8"/>
  <c r="K5036" i="8"/>
  <c r="L5035" i="8"/>
  <c r="K5035" i="8"/>
  <c r="L5034" i="8"/>
  <c r="K5034" i="8"/>
  <c r="L5033" i="8"/>
  <c r="K5033" i="8"/>
  <c r="L5032" i="8"/>
  <c r="K5032" i="8"/>
  <c r="L5031" i="8"/>
  <c r="K5031" i="8"/>
  <c r="L5030" i="8"/>
  <c r="K5030" i="8"/>
  <c r="L5029" i="8"/>
  <c r="K5029" i="8"/>
  <c r="L5028" i="8"/>
  <c r="K5028" i="8"/>
  <c r="L5027" i="8"/>
  <c r="K5027" i="8"/>
  <c r="L5026" i="8"/>
  <c r="K5026" i="8"/>
  <c r="L5025" i="8"/>
  <c r="K5025" i="8"/>
  <c r="L5024" i="8"/>
  <c r="K5024" i="8"/>
  <c r="L5023" i="8"/>
  <c r="K5023" i="8"/>
  <c r="L5022" i="8"/>
  <c r="K5022" i="8"/>
  <c r="L5021" i="8"/>
  <c r="K5021" i="8"/>
  <c r="L5020" i="8"/>
  <c r="K5020" i="8"/>
  <c r="L5019" i="8"/>
  <c r="K5019" i="8"/>
  <c r="L5018" i="8"/>
  <c r="K5018" i="8"/>
  <c r="L5017" i="8"/>
  <c r="K5017" i="8"/>
  <c r="L5016" i="8"/>
  <c r="K5016" i="8"/>
  <c r="L5015" i="8"/>
  <c r="K5015" i="8"/>
  <c r="L5014" i="8"/>
  <c r="K5014" i="8"/>
  <c r="L5013" i="8"/>
  <c r="K5013" i="8"/>
  <c r="L5012" i="8"/>
  <c r="K5012" i="8"/>
  <c r="L5011" i="8"/>
  <c r="K5011" i="8"/>
  <c r="L5010" i="8"/>
  <c r="K5010" i="8"/>
  <c r="L5009" i="8"/>
  <c r="K5009" i="8"/>
  <c r="L5008" i="8"/>
  <c r="K5008" i="8"/>
  <c r="L5007" i="8"/>
  <c r="K5007" i="8"/>
  <c r="L5006" i="8"/>
  <c r="K5006" i="8"/>
  <c r="L5005" i="8"/>
  <c r="K5005" i="8"/>
  <c r="L5004" i="8"/>
  <c r="K5004" i="8"/>
  <c r="L5003" i="8"/>
  <c r="K5003" i="8"/>
  <c r="L5002" i="8"/>
  <c r="K5002" i="8"/>
  <c r="L5001" i="8"/>
  <c r="K5001" i="8"/>
  <c r="L5000" i="8"/>
  <c r="K5000" i="8"/>
  <c r="L4999" i="8"/>
  <c r="K4999" i="8"/>
  <c r="L4998" i="8"/>
  <c r="K4998" i="8"/>
  <c r="L4997" i="8"/>
  <c r="K4997" i="8"/>
  <c r="L4996" i="8"/>
  <c r="K4996" i="8"/>
  <c r="L4995" i="8"/>
  <c r="K4995" i="8"/>
  <c r="L4994" i="8"/>
  <c r="K4994" i="8"/>
  <c r="L4993" i="8"/>
  <c r="K4993" i="8"/>
  <c r="L4992" i="8"/>
  <c r="K4992" i="8"/>
  <c r="L4991" i="8"/>
  <c r="K4991" i="8"/>
  <c r="L4990" i="8"/>
  <c r="K4990" i="8"/>
  <c r="L4989" i="8"/>
  <c r="K4989" i="8"/>
  <c r="L4988" i="8"/>
  <c r="K4988" i="8"/>
  <c r="L4987" i="8"/>
  <c r="K4987" i="8"/>
  <c r="L4986" i="8"/>
  <c r="K4986" i="8"/>
  <c r="L4985" i="8"/>
  <c r="K4985" i="8"/>
  <c r="L4984" i="8"/>
  <c r="K4984" i="8"/>
  <c r="L4983" i="8"/>
  <c r="K4983" i="8"/>
  <c r="L4982" i="8"/>
  <c r="K4982" i="8"/>
  <c r="L4981" i="8"/>
  <c r="K4981" i="8"/>
  <c r="L4980" i="8"/>
  <c r="K4980" i="8"/>
  <c r="L4979" i="8"/>
  <c r="K4979" i="8"/>
  <c r="L4978" i="8"/>
  <c r="K4978" i="8"/>
  <c r="L4977" i="8"/>
  <c r="K4977" i="8"/>
  <c r="L4976" i="8"/>
  <c r="K4976" i="8"/>
  <c r="L4975" i="8"/>
  <c r="K4975" i="8"/>
  <c r="L4974" i="8"/>
  <c r="K4974" i="8"/>
  <c r="L4973" i="8"/>
  <c r="K4973" i="8"/>
  <c r="L4972" i="8"/>
  <c r="K4972" i="8"/>
  <c r="L4971" i="8"/>
  <c r="K4971" i="8"/>
  <c r="L4970" i="8"/>
  <c r="K4970" i="8"/>
  <c r="L4969" i="8"/>
  <c r="K4969" i="8"/>
  <c r="L4968" i="8"/>
  <c r="K4968" i="8"/>
  <c r="L4967" i="8"/>
  <c r="K4967" i="8"/>
  <c r="L4966" i="8"/>
  <c r="K4966" i="8"/>
  <c r="L4965" i="8"/>
  <c r="K4965" i="8"/>
  <c r="L4964" i="8"/>
  <c r="K4964" i="8"/>
  <c r="L4963" i="8"/>
  <c r="K4963" i="8"/>
  <c r="L4962" i="8"/>
  <c r="K4962" i="8"/>
  <c r="L4961" i="8"/>
  <c r="K4961" i="8"/>
  <c r="L4960" i="8"/>
  <c r="K4960" i="8"/>
  <c r="L4959" i="8"/>
  <c r="K4959" i="8"/>
  <c r="L4958" i="8"/>
  <c r="K4958" i="8"/>
  <c r="L4957" i="8"/>
  <c r="K4957" i="8"/>
  <c r="L4956" i="8"/>
  <c r="K4956" i="8"/>
  <c r="L4955" i="8"/>
  <c r="K4955" i="8"/>
  <c r="L4954" i="8"/>
  <c r="K4954" i="8"/>
  <c r="L4953" i="8"/>
  <c r="K4953" i="8"/>
  <c r="L4952" i="8"/>
  <c r="K4952" i="8"/>
  <c r="L4951" i="8"/>
  <c r="K4951" i="8"/>
  <c r="L4950" i="8"/>
  <c r="K4950" i="8"/>
  <c r="L4949" i="8"/>
  <c r="K4949" i="8"/>
  <c r="L4948" i="8"/>
  <c r="K4948" i="8"/>
  <c r="L4947" i="8"/>
  <c r="K4947" i="8"/>
  <c r="L4946" i="8"/>
  <c r="K4946" i="8"/>
  <c r="L4945" i="8"/>
  <c r="K4945" i="8"/>
  <c r="L4944" i="8"/>
  <c r="K4944" i="8"/>
  <c r="L4943" i="8"/>
  <c r="K4943" i="8"/>
  <c r="L4942" i="8"/>
  <c r="K4942" i="8"/>
  <c r="L4941" i="8"/>
  <c r="K4941" i="8"/>
  <c r="L4940" i="8"/>
  <c r="K4940" i="8"/>
  <c r="L4939" i="8"/>
  <c r="K4939" i="8"/>
  <c r="L4938" i="8"/>
  <c r="K4938" i="8"/>
  <c r="L4937" i="8"/>
  <c r="K4937" i="8"/>
  <c r="L4936" i="8"/>
  <c r="K4936" i="8"/>
  <c r="L4935" i="8"/>
  <c r="K4935" i="8"/>
  <c r="L4934" i="8"/>
  <c r="K4934" i="8"/>
  <c r="L4933" i="8"/>
  <c r="K4933" i="8"/>
  <c r="L4932" i="8"/>
  <c r="K4932" i="8"/>
  <c r="L4931" i="8"/>
  <c r="K4931" i="8"/>
  <c r="L4930" i="8"/>
  <c r="K4930" i="8"/>
  <c r="L4929" i="8"/>
  <c r="K4929" i="8"/>
  <c r="L4928" i="8"/>
  <c r="K4928" i="8"/>
  <c r="L4927" i="8"/>
  <c r="K4927" i="8"/>
  <c r="L4926" i="8"/>
  <c r="K4926" i="8"/>
  <c r="L4925" i="8"/>
  <c r="K4925" i="8"/>
  <c r="L4924" i="8"/>
  <c r="K4924" i="8"/>
  <c r="L4923" i="8"/>
  <c r="K4923" i="8"/>
  <c r="L4922" i="8"/>
  <c r="K4922" i="8"/>
  <c r="L4921" i="8"/>
  <c r="K4921" i="8"/>
  <c r="L4920" i="8"/>
  <c r="K4920" i="8"/>
  <c r="L4919" i="8"/>
  <c r="K4919" i="8"/>
  <c r="L4918" i="8"/>
  <c r="K4918" i="8"/>
  <c r="L4917" i="8"/>
  <c r="K4917" i="8"/>
  <c r="L4916" i="8"/>
  <c r="K4916" i="8"/>
  <c r="L4915" i="8"/>
  <c r="K4915" i="8"/>
  <c r="L4914" i="8"/>
  <c r="K4914" i="8"/>
  <c r="L4913" i="8"/>
  <c r="K4913" i="8"/>
  <c r="L4912" i="8"/>
  <c r="K4912" i="8"/>
  <c r="L4911" i="8"/>
  <c r="K4911" i="8"/>
  <c r="L4910" i="8"/>
  <c r="K4910" i="8"/>
  <c r="L4909" i="8"/>
  <c r="K4909" i="8"/>
  <c r="L4908" i="8"/>
  <c r="K4908" i="8"/>
  <c r="L4907" i="8"/>
  <c r="K4907" i="8"/>
  <c r="L4906" i="8"/>
  <c r="K4906" i="8"/>
  <c r="L4905" i="8"/>
  <c r="K4905" i="8"/>
  <c r="L4904" i="8"/>
  <c r="K4904" i="8"/>
  <c r="L4903" i="8"/>
  <c r="K4903" i="8"/>
  <c r="L4902" i="8"/>
  <c r="K4902" i="8"/>
  <c r="L4901" i="8"/>
  <c r="K4901" i="8"/>
  <c r="L4900" i="8"/>
  <c r="K4900" i="8"/>
  <c r="L4899" i="8"/>
  <c r="K4899" i="8"/>
  <c r="L4898" i="8"/>
  <c r="K4898" i="8"/>
  <c r="L4897" i="8"/>
  <c r="K4897" i="8"/>
  <c r="L4896" i="8"/>
  <c r="K4896" i="8"/>
  <c r="L4895" i="8"/>
  <c r="K4895" i="8"/>
  <c r="L4894" i="8"/>
  <c r="K4894" i="8"/>
  <c r="L4893" i="8"/>
  <c r="K4893" i="8"/>
  <c r="L4892" i="8"/>
  <c r="K4892" i="8"/>
  <c r="L4891" i="8"/>
  <c r="K4891" i="8"/>
  <c r="L4890" i="8"/>
  <c r="K4890" i="8"/>
  <c r="L4889" i="8"/>
  <c r="K4889" i="8"/>
  <c r="L4888" i="8"/>
  <c r="K4888" i="8"/>
  <c r="L4887" i="8"/>
  <c r="K4887" i="8"/>
  <c r="L4886" i="8"/>
  <c r="K4886" i="8"/>
  <c r="L4885" i="8"/>
  <c r="K4885" i="8"/>
  <c r="L4884" i="8"/>
  <c r="K4884" i="8"/>
  <c r="L4883" i="8"/>
  <c r="K4883" i="8"/>
  <c r="L4882" i="8"/>
  <c r="K4882" i="8"/>
  <c r="L4881" i="8"/>
  <c r="K4881" i="8"/>
  <c r="L4880" i="8"/>
  <c r="K4880" i="8"/>
  <c r="L4879" i="8"/>
  <c r="K4879" i="8"/>
  <c r="L4878" i="8"/>
  <c r="K4878" i="8"/>
  <c r="L4877" i="8"/>
  <c r="K4877" i="8"/>
  <c r="L4876" i="8"/>
  <c r="K4876" i="8"/>
  <c r="L4875" i="8"/>
  <c r="K4875" i="8"/>
  <c r="L4874" i="8"/>
  <c r="K4874" i="8"/>
  <c r="L4873" i="8"/>
  <c r="K4873" i="8"/>
  <c r="L4872" i="8"/>
  <c r="K4872" i="8"/>
  <c r="L4871" i="8"/>
  <c r="K4871" i="8"/>
  <c r="L4870" i="8"/>
  <c r="K4870" i="8"/>
  <c r="L4869" i="8"/>
  <c r="K4869" i="8"/>
  <c r="L4868" i="8"/>
  <c r="K4868" i="8"/>
  <c r="L4867" i="8"/>
  <c r="K4867" i="8"/>
  <c r="L4866" i="8"/>
  <c r="K4866" i="8"/>
  <c r="L4865" i="8"/>
  <c r="K4865" i="8"/>
  <c r="L4864" i="8"/>
  <c r="K4864" i="8"/>
  <c r="L4863" i="8"/>
  <c r="K4863" i="8"/>
  <c r="L4862" i="8"/>
  <c r="K4862" i="8"/>
  <c r="L4861" i="8"/>
  <c r="K4861" i="8"/>
  <c r="L4860" i="8"/>
  <c r="K4860" i="8"/>
  <c r="L4859" i="8"/>
  <c r="K4859" i="8"/>
  <c r="L4858" i="8"/>
  <c r="K4858" i="8"/>
  <c r="L4857" i="8"/>
  <c r="K4857" i="8"/>
  <c r="L4856" i="8"/>
  <c r="K4856" i="8"/>
  <c r="L4855" i="8"/>
  <c r="K4855" i="8"/>
  <c r="L4854" i="8"/>
  <c r="K4854" i="8"/>
  <c r="L4853" i="8"/>
  <c r="K4853" i="8"/>
  <c r="L4852" i="8"/>
  <c r="K4852" i="8"/>
  <c r="L4851" i="8"/>
  <c r="K4851" i="8"/>
  <c r="L4850" i="8"/>
  <c r="K4850" i="8"/>
  <c r="L4849" i="8"/>
  <c r="K4849" i="8"/>
  <c r="L4848" i="8"/>
  <c r="K4848" i="8"/>
  <c r="L4847" i="8"/>
  <c r="K4847" i="8"/>
  <c r="L4846" i="8"/>
  <c r="K4846" i="8"/>
  <c r="L4845" i="8"/>
  <c r="K4845" i="8"/>
  <c r="L4844" i="8"/>
  <c r="K4844" i="8"/>
  <c r="L4843" i="8"/>
  <c r="K4843" i="8"/>
  <c r="L4842" i="8"/>
  <c r="K4842" i="8"/>
  <c r="L4841" i="8"/>
  <c r="K4841" i="8"/>
  <c r="L4840" i="8"/>
  <c r="K4840" i="8"/>
  <c r="L4839" i="8"/>
  <c r="K4839" i="8"/>
  <c r="L4838" i="8"/>
  <c r="K4838" i="8"/>
  <c r="L4837" i="8"/>
  <c r="K4837" i="8"/>
  <c r="L4836" i="8"/>
  <c r="K4836" i="8"/>
  <c r="L4835" i="8"/>
  <c r="K4835" i="8"/>
  <c r="L4834" i="8"/>
  <c r="K4834" i="8"/>
  <c r="L4833" i="8"/>
  <c r="K4833" i="8"/>
  <c r="L4832" i="8"/>
  <c r="K4832" i="8"/>
  <c r="L4831" i="8"/>
  <c r="K4831" i="8"/>
  <c r="L4830" i="8"/>
  <c r="K4830" i="8"/>
  <c r="L4829" i="8"/>
  <c r="K4829" i="8"/>
  <c r="L4828" i="8"/>
  <c r="K4828" i="8"/>
  <c r="L4827" i="8"/>
  <c r="K4827" i="8"/>
  <c r="L4826" i="8"/>
  <c r="K4826" i="8"/>
  <c r="L4825" i="8"/>
  <c r="K4825" i="8"/>
  <c r="L4824" i="8"/>
  <c r="K4824" i="8"/>
  <c r="L4823" i="8"/>
  <c r="K4823" i="8"/>
  <c r="L4822" i="8"/>
  <c r="K4822" i="8"/>
  <c r="L4821" i="8"/>
  <c r="K4821" i="8"/>
  <c r="L4820" i="8"/>
  <c r="K4820" i="8"/>
  <c r="L4819" i="8"/>
  <c r="K4819" i="8"/>
  <c r="L4818" i="8"/>
  <c r="K4818" i="8"/>
  <c r="L4817" i="8"/>
  <c r="K4817" i="8"/>
  <c r="L4816" i="8"/>
  <c r="K4816" i="8"/>
  <c r="L4815" i="8"/>
  <c r="K4815" i="8"/>
  <c r="L4814" i="8"/>
  <c r="K4814" i="8"/>
  <c r="L4813" i="8"/>
  <c r="K4813" i="8"/>
  <c r="L4812" i="8"/>
  <c r="K4812" i="8"/>
  <c r="L4811" i="8"/>
  <c r="K4811" i="8"/>
  <c r="L4810" i="8"/>
  <c r="K4810" i="8"/>
  <c r="L4809" i="8"/>
  <c r="K4809" i="8"/>
  <c r="L4808" i="8"/>
  <c r="K4808" i="8"/>
  <c r="L4807" i="8"/>
  <c r="K4807" i="8"/>
  <c r="L4806" i="8"/>
  <c r="K4806" i="8"/>
  <c r="L4805" i="8"/>
  <c r="K4805" i="8"/>
  <c r="L4804" i="8"/>
  <c r="K4804" i="8"/>
  <c r="L4803" i="8"/>
  <c r="K4803" i="8"/>
  <c r="L4802" i="8"/>
  <c r="K4802" i="8"/>
  <c r="L4801" i="8"/>
  <c r="K4801" i="8"/>
  <c r="L4800" i="8"/>
  <c r="K4800" i="8"/>
  <c r="L4799" i="8"/>
  <c r="K4799" i="8"/>
  <c r="L4798" i="8"/>
  <c r="K4798" i="8"/>
  <c r="L4797" i="8"/>
  <c r="K4797" i="8"/>
  <c r="L4796" i="8"/>
  <c r="K4796" i="8"/>
  <c r="L4795" i="8"/>
  <c r="K4795" i="8"/>
  <c r="L4794" i="8"/>
  <c r="K4794" i="8"/>
  <c r="L4793" i="8"/>
  <c r="K4793" i="8"/>
  <c r="L4792" i="8"/>
  <c r="K4792" i="8"/>
  <c r="L4791" i="8"/>
  <c r="K4791" i="8"/>
  <c r="L4790" i="8"/>
  <c r="K4790" i="8"/>
  <c r="L4789" i="8"/>
  <c r="K4789" i="8"/>
  <c r="L4788" i="8"/>
  <c r="K4788" i="8"/>
  <c r="L4787" i="8"/>
  <c r="K4787" i="8"/>
  <c r="L4786" i="8"/>
  <c r="K4786" i="8"/>
  <c r="L4785" i="8"/>
  <c r="K4785" i="8"/>
  <c r="L4784" i="8"/>
  <c r="K4784" i="8"/>
  <c r="L4783" i="8"/>
  <c r="K4783" i="8"/>
  <c r="L4782" i="8"/>
  <c r="K4782" i="8"/>
  <c r="L4781" i="8"/>
  <c r="K4781" i="8"/>
  <c r="L4780" i="8"/>
  <c r="K4780" i="8"/>
  <c r="L4779" i="8"/>
  <c r="K4779" i="8"/>
  <c r="L4778" i="8"/>
  <c r="K4778" i="8"/>
  <c r="L4777" i="8"/>
  <c r="K4777" i="8"/>
  <c r="L4776" i="8"/>
  <c r="K4776" i="8"/>
  <c r="L4775" i="8"/>
  <c r="K4775" i="8"/>
  <c r="L4774" i="8"/>
  <c r="K4774" i="8"/>
  <c r="L4773" i="8"/>
  <c r="K4773" i="8"/>
  <c r="L4772" i="8"/>
  <c r="K4772" i="8"/>
  <c r="L4771" i="8"/>
  <c r="K4771" i="8"/>
  <c r="L4770" i="8"/>
  <c r="K4770" i="8"/>
  <c r="L4769" i="8"/>
  <c r="K4769" i="8"/>
  <c r="L4768" i="8"/>
  <c r="K4768" i="8"/>
  <c r="L4767" i="8"/>
  <c r="K4767" i="8"/>
  <c r="L4766" i="8"/>
  <c r="K4766" i="8"/>
  <c r="L4765" i="8"/>
  <c r="K4765" i="8"/>
  <c r="L4764" i="8"/>
  <c r="K4764" i="8"/>
  <c r="L4763" i="8"/>
  <c r="K4763" i="8"/>
  <c r="L4762" i="8"/>
  <c r="K4762" i="8"/>
  <c r="L4761" i="8"/>
  <c r="K4761" i="8"/>
  <c r="L4760" i="8"/>
  <c r="K4760" i="8"/>
  <c r="L4759" i="8"/>
  <c r="K4759" i="8"/>
  <c r="L4758" i="8"/>
  <c r="K4758" i="8"/>
  <c r="L4757" i="8"/>
  <c r="K4757" i="8"/>
  <c r="L4756" i="8"/>
  <c r="K4756" i="8"/>
  <c r="L4755" i="8"/>
  <c r="K4755" i="8"/>
  <c r="L4754" i="8"/>
  <c r="K4754" i="8"/>
  <c r="L4753" i="8"/>
  <c r="K4753" i="8"/>
  <c r="L4752" i="8"/>
  <c r="K4752" i="8"/>
  <c r="L4751" i="8"/>
  <c r="K4751" i="8"/>
  <c r="L4750" i="8"/>
  <c r="K4750" i="8"/>
  <c r="L4749" i="8"/>
  <c r="K4749" i="8"/>
  <c r="L4748" i="8"/>
  <c r="K4748" i="8"/>
  <c r="L4747" i="8"/>
  <c r="K4747" i="8"/>
  <c r="L4746" i="8"/>
  <c r="K4746" i="8"/>
  <c r="L4745" i="8"/>
  <c r="K4745" i="8"/>
  <c r="L4744" i="8"/>
  <c r="K4744" i="8"/>
  <c r="L4743" i="8"/>
  <c r="K4743" i="8"/>
  <c r="L4742" i="8"/>
  <c r="K4742" i="8"/>
  <c r="L4741" i="8"/>
  <c r="K4741" i="8"/>
  <c r="L4740" i="8"/>
  <c r="K4740" i="8"/>
  <c r="L4739" i="8"/>
  <c r="K4739" i="8"/>
  <c r="L4738" i="8"/>
  <c r="K4738" i="8"/>
  <c r="L4737" i="8"/>
  <c r="K4737" i="8"/>
  <c r="L4736" i="8"/>
  <c r="K4736" i="8"/>
  <c r="L4735" i="8"/>
  <c r="K4735" i="8"/>
  <c r="L4734" i="8"/>
  <c r="K4734" i="8"/>
  <c r="L4733" i="8"/>
  <c r="K4733" i="8"/>
  <c r="L4732" i="8"/>
  <c r="K4732" i="8"/>
  <c r="L4731" i="8"/>
  <c r="K4731" i="8"/>
  <c r="L4730" i="8"/>
  <c r="K4730" i="8"/>
  <c r="L4729" i="8"/>
  <c r="K4729" i="8"/>
  <c r="L4728" i="8"/>
  <c r="K4728" i="8"/>
  <c r="L4727" i="8"/>
  <c r="K4727" i="8"/>
  <c r="L4726" i="8"/>
  <c r="K4726" i="8"/>
  <c r="L4725" i="8"/>
  <c r="K4725" i="8"/>
  <c r="L4724" i="8"/>
  <c r="K4724" i="8"/>
  <c r="L4723" i="8"/>
  <c r="K4723" i="8"/>
  <c r="L4722" i="8"/>
  <c r="K4722" i="8"/>
  <c r="L4721" i="8"/>
  <c r="K4721" i="8"/>
  <c r="L4720" i="8"/>
  <c r="K4720" i="8"/>
  <c r="L4719" i="8"/>
  <c r="K4719" i="8"/>
  <c r="L4718" i="8"/>
  <c r="K4718" i="8"/>
  <c r="L4717" i="8"/>
  <c r="K4717" i="8"/>
  <c r="L4716" i="8"/>
  <c r="K4716" i="8"/>
  <c r="L4715" i="8"/>
  <c r="K4715" i="8"/>
  <c r="L4714" i="8"/>
  <c r="K4714" i="8"/>
  <c r="L4713" i="8"/>
  <c r="K4713" i="8"/>
  <c r="L4712" i="8"/>
  <c r="K4712" i="8"/>
  <c r="L4711" i="8"/>
  <c r="K4711" i="8"/>
  <c r="L4710" i="8"/>
  <c r="K4710" i="8"/>
  <c r="L4709" i="8"/>
  <c r="K4709" i="8"/>
  <c r="L4708" i="8"/>
  <c r="K4708" i="8"/>
  <c r="L4707" i="8"/>
  <c r="K4707" i="8"/>
  <c r="L4706" i="8"/>
  <c r="K4706" i="8"/>
  <c r="L4705" i="8"/>
  <c r="K4705" i="8"/>
  <c r="L4704" i="8"/>
  <c r="K4704" i="8"/>
  <c r="L4703" i="8"/>
  <c r="K4703" i="8"/>
  <c r="L4702" i="8"/>
  <c r="K4702" i="8"/>
  <c r="L4701" i="8"/>
  <c r="K4701" i="8"/>
  <c r="L4700" i="8"/>
  <c r="K4700" i="8"/>
  <c r="L4699" i="8"/>
  <c r="K4699" i="8"/>
  <c r="L4698" i="8"/>
  <c r="K4698" i="8"/>
  <c r="L4697" i="8"/>
  <c r="K4697" i="8"/>
  <c r="L4696" i="8"/>
  <c r="K4696" i="8"/>
  <c r="L4695" i="8"/>
  <c r="K4695" i="8"/>
  <c r="L4694" i="8"/>
  <c r="K4694" i="8"/>
  <c r="L4693" i="8"/>
  <c r="K4693" i="8"/>
  <c r="L4692" i="8"/>
  <c r="K4692" i="8"/>
  <c r="L4691" i="8"/>
  <c r="K4691" i="8"/>
  <c r="L4690" i="8"/>
  <c r="K4690" i="8"/>
  <c r="L4689" i="8"/>
  <c r="K4689" i="8"/>
  <c r="L4688" i="8"/>
  <c r="K4688" i="8"/>
  <c r="L4687" i="8"/>
  <c r="K4687" i="8"/>
  <c r="L4686" i="8"/>
  <c r="K4686" i="8"/>
  <c r="L4685" i="8"/>
  <c r="K4685" i="8"/>
  <c r="L4684" i="8"/>
  <c r="K4684" i="8"/>
  <c r="L4683" i="8"/>
  <c r="K4683" i="8"/>
  <c r="L4682" i="8"/>
  <c r="K4682" i="8"/>
  <c r="L4681" i="8"/>
  <c r="K4681" i="8"/>
  <c r="L4680" i="8"/>
  <c r="K4680" i="8"/>
  <c r="L4679" i="8"/>
  <c r="K4679" i="8"/>
  <c r="L4678" i="8"/>
  <c r="K4678" i="8"/>
  <c r="L4677" i="8"/>
  <c r="K4677" i="8"/>
  <c r="L4676" i="8"/>
  <c r="K4676" i="8"/>
  <c r="L4675" i="8"/>
  <c r="K4675" i="8"/>
  <c r="L4674" i="8"/>
  <c r="K4674" i="8"/>
  <c r="L4673" i="8"/>
  <c r="K4673" i="8"/>
  <c r="L4672" i="8"/>
  <c r="K4672" i="8"/>
  <c r="L4671" i="8"/>
  <c r="K4671" i="8"/>
  <c r="L4670" i="8"/>
  <c r="K4670" i="8"/>
  <c r="L4669" i="8"/>
  <c r="K4669" i="8"/>
  <c r="L4668" i="8"/>
  <c r="K4668" i="8"/>
  <c r="L4667" i="8"/>
  <c r="K4667" i="8"/>
  <c r="L4666" i="8"/>
  <c r="K4666" i="8"/>
  <c r="L4665" i="8"/>
  <c r="K4665" i="8"/>
  <c r="L4664" i="8"/>
  <c r="K4664" i="8"/>
  <c r="L4663" i="8"/>
  <c r="K4663" i="8"/>
  <c r="L4662" i="8"/>
  <c r="K4662" i="8"/>
  <c r="L4661" i="8"/>
  <c r="K4661" i="8"/>
  <c r="L4660" i="8"/>
  <c r="K4660" i="8"/>
  <c r="L4659" i="8"/>
  <c r="K4659" i="8"/>
  <c r="L4658" i="8"/>
  <c r="K4658" i="8"/>
  <c r="L4657" i="8"/>
  <c r="K4657" i="8"/>
  <c r="L4656" i="8"/>
  <c r="K4656" i="8"/>
  <c r="L4655" i="8"/>
  <c r="K4655" i="8"/>
  <c r="L4654" i="8"/>
  <c r="K4654" i="8"/>
  <c r="L4653" i="8"/>
  <c r="K4653" i="8"/>
  <c r="L4652" i="8"/>
  <c r="K4652" i="8"/>
  <c r="L4651" i="8"/>
  <c r="K4651" i="8"/>
  <c r="L4650" i="8"/>
  <c r="K4650" i="8"/>
  <c r="L4649" i="8"/>
  <c r="K4649" i="8"/>
  <c r="L4648" i="8"/>
  <c r="K4648" i="8"/>
  <c r="L4647" i="8"/>
  <c r="K4647" i="8"/>
  <c r="L4646" i="8"/>
  <c r="K4646" i="8"/>
  <c r="L4645" i="8"/>
  <c r="K4645" i="8"/>
  <c r="L4644" i="8"/>
  <c r="K4644" i="8"/>
  <c r="L4643" i="8"/>
  <c r="K4643" i="8"/>
  <c r="L4642" i="8"/>
  <c r="K4642" i="8"/>
  <c r="L4641" i="8"/>
  <c r="K4641" i="8"/>
  <c r="L4640" i="8"/>
  <c r="K4640" i="8"/>
  <c r="L4639" i="8"/>
  <c r="K4639" i="8"/>
  <c r="L4638" i="8"/>
  <c r="K4638" i="8"/>
  <c r="L4637" i="8"/>
  <c r="K4637" i="8"/>
  <c r="L4636" i="8"/>
  <c r="K4636" i="8"/>
  <c r="L4635" i="8"/>
  <c r="K4635" i="8"/>
  <c r="L4634" i="8"/>
  <c r="K4634" i="8"/>
  <c r="L4633" i="8"/>
  <c r="K4633" i="8"/>
  <c r="L4632" i="8"/>
  <c r="K4632" i="8"/>
  <c r="L4631" i="8"/>
  <c r="K4631" i="8"/>
  <c r="L4630" i="8"/>
  <c r="K4630" i="8"/>
  <c r="L4629" i="8"/>
  <c r="K4629" i="8"/>
  <c r="L4628" i="8"/>
  <c r="K4628" i="8"/>
  <c r="L4627" i="8"/>
  <c r="K4627" i="8"/>
  <c r="L4626" i="8"/>
  <c r="K4626" i="8"/>
  <c r="L4625" i="8"/>
  <c r="K4625" i="8"/>
  <c r="L4624" i="8"/>
  <c r="K4624" i="8"/>
  <c r="L4623" i="8"/>
  <c r="K4623" i="8"/>
  <c r="L4622" i="8"/>
  <c r="K4622" i="8"/>
  <c r="L4621" i="8"/>
  <c r="K4621" i="8"/>
  <c r="L4620" i="8"/>
  <c r="K4620" i="8"/>
  <c r="L4619" i="8"/>
  <c r="K4619" i="8"/>
  <c r="L4618" i="8"/>
  <c r="K4618" i="8"/>
  <c r="L4617" i="8"/>
  <c r="K4617" i="8"/>
  <c r="L4616" i="8"/>
  <c r="K4616" i="8"/>
  <c r="L4615" i="8"/>
  <c r="K4615" i="8"/>
  <c r="L4614" i="8"/>
  <c r="K4614" i="8"/>
  <c r="L4613" i="8"/>
  <c r="K4613" i="8"/>
  <c r="L4612" i="8"/>
  <c r="K4612" i="8"/>
  <c r="L4611" i="8"/>
  <c r="K4611" i="8"/>
  <c r="L4610" i="8"/>
  <c r="K4610" i="8"/>
  <c r="L4609" i="8"/>
  <c r="K4609" i="8"/>
  <c r="L4608" i="8"/>
  <c r="K4608" i="8"/>
  <c r="L4607" i="8"/>
  <c r="K4607" i="8"/>
  <c r="L4606" i="8"/>
  <c r="K4606" i="8"/>
  <c r="L4605" i="8"/>
  <c r="K4605" i="8"/>
  <c r="L4604" i="8"/>
  <c r="K4604" i="8"/>
  <c r="L4603" i="8"/>
  <c r="K4603" i="8"/>
  <c r="L4602" i="8"/>
  <c r="K4602" i="8"/>
  <c r="L4601" i="8"/>
  <c r="K4601" i="8"/>
  <c r="L4600" i="8"/>
  <c r="K4600" i="8"/>
  <c r="L4599" i="8"/>
  <c r="K4599" i="8"/>
  <c r="L4598" i="8"/>
  <c r="K4598" i="8"/>
  <c r="L4597" i="8"/>
  <c r="K4597" i="8"/>
  <c r="L4596" i="8"/>
  <c r="K4596" i="8"/>
  <c r="L4595" i="8"/>
  <c r="K4595" i="8"/>
  <c r="L4594" i="8"/>
  <c r="K4594" i="8"/>
  <c r="L4593" i="8"/>
  <c r="K4593" i="8"/>
  <c r="L4592" i="8"/>
  <c r="K4592" i="8"/>
  <c r="L4591" i="8"/>
  <c r="K4591" i="8"/>
  <c r="L4590" i="8"/>
  <c r="K4590" i="8"/>
  <c r="L4589" i="8"/>
  <c r="K4589" i="8"/>
  <c r="L4588" i="8"/>
  <c r="K4588" i="8"/>
  <c r="L4587" i="8"/>
  <c r="K4587" i="8"/>
  <c r="L4586" i="8"/>
  <c r="K4586" i="8"/>
  <c r="L4585" i="8"/>
  <c r="K4585" i="8"/>
  <c r="L4584" i="8"/>
  <c r="K4584" i="8"/>
  <c r="L4583" i="8"/>
  <c r="K4583" i="8"/>
  <c r="L4582" i="8"/>
  <c r="K4582" i="8"/>
  <c r="L4581" i="8"/>
  <c r="K4581" i="8"/>
  <c r="L4580" i="8"/>
  <c r="K4580" i="8"/>
  <c r="L4579" i="8"/>
  <c r="K4579" i="8"/>
  <c r="L4578" i="8"/>
  <c r="K4578" i="8"/>
  <c r="L4577" i="8"/>
  <c r="K4577" i="8"/>
  <c r="L4576" i="8"/>
  <c r="K4576" i="8"/>
  <c r="L4575" i="8"/>
  <c r="K4575" i="8"/>
  <c r="L4574" i="8"/>
  <c r="K4574" i="8"/>
  <c r="L4573" i="8"/>
  <c r="K4573" i="8"/>
  <c r="L4572" i="8"/>
  <c r="K4572" i="8"/>
  <c r="L4571" i="8"/>
  <c r="K4571" i="8"/>
  <c r="L4570" i="8"/>
  <c r="K4570" i="8"/>
  <c r="L4569" i="8"/>
  <c r="K4569" i="8"/>
  <c r="L4568" i="8"/>
  <c r="K4568" i="8"/>
  <c r="L4567" i="8"/>
  <c r="K4567" i="8"/>
  <c r="L4566" i="8"/>
  <c r="K4566" i="8"/>
  <c r="L4565" i="8"/>
  <c r="K4565" i="8"/>
  <c r="L4564" i="8"/>
  <c r="K4564" i="8"/>
  <c r="L4563" i="8"/>
  <c r="K4563" i="8"/>
  <c r="L4562" i="8"/>
  <c r="K4562" i="8"/>
  <c r="L4561" i="8"/>
  <c r="K4561" i="8"/>
  <c r="L4560" i="8"/>
  <c r="K4560" i="8"/>
  <c r="L4559" i="8"/>
  <c r="K4559" i="8"/>
  <c r="L4558" i="8"/>
  <c r="K4558" i="8"/>
  <c r="L4557" i="8"/>
  <c r="K4557" i="8"/>
  <c r="L4556" i="8"/>
  <c r="K4556" i="8"/>
  <c r="L4555" i="8"/>
  <c r="K4555" i="8"/>
  <c r="L4554" i="8"/>
  <c r="K4554" i="8"/>
  <c r="L4553" i="8"/>
  <c r="K4553" i="8"/>
  <c r="L4552" i="8"/>
  <c r="K4552" i="8"/>
  <c r="L4551" i="8"/>
  <c r="K4551" i="8"/>
  <c r="L4550" i="8"/>
  <c r="K4550" i="8"/>
  <c r="L4549" i="8"/>
  <c r="K4549" i="8"/>
  <c r="L4548" i="8"/>
  <c r="K4548" i="8"/>
  <c r="L4547" i="8"/>
  <c r="K4547" i="8"/>
  <c r="L4546" i="8"/>
  <c r="K4546" i="8"/>
  <c r="L4545" i="8"/>
  <c r="K4545" i="8"/>
  <c r="L4544" i="8"/>
  <c r="K4544" i="8"/>
  <c r="L4543" i="8"/>
  <c r="K4543" i="8"/>
  <c r="L4542" i="8"/>
  <c r="K4542" i="8"/>
  <c r="L4541" i="8"/>
  <c r="K4541" i="8"/>
  <c r="L4540" i="8"/>
  <c r="K4540" i="8"/>
  <c r="L4539" i="8"/>
  <c r="K4539" i="8"/>
  <c r="L4538" i="8"/>
  <c r="K4538" i="8"/>
  <c r="L4537" i="8"/>
  <c r="K4537" i="8"/>
  <c r="L4536" i="8"/>
  <c r="K4536" i="8"/>
  <c r="L4535" i="8"/>
  <c r="K4535" i="8"/>
  <c r="L4534" i="8"/>
  <c r="K4534" i="8"/>
  <c r="L4533" i="8"/>
  <c r="K4533" i="8"/>
  <c r="L4532" i="8"/>
  <c r="K4532" i="8"/>
  <c r="L4531" i="8"/>
  <c r="K4531" i="8"/>
  <c r="L4530" i="8"/>
  <c r="K4530" i="8"/>
  <c r="L4529" i="8"/>
  <c r="K4529" i="8"/>
  <c r="L4528" i="8"/>
  <c r="K4528" i="8"/>
  <c r="L4527" i="8"/>
  <c r="K4527" i="8"/>
  <c r="L4526" i="8"/>
  <c r="K4526" i="8"/>
  <c r="L4525" i="8"/>
  <c r="K4525" i="8"/>
  <c r="L4524" i="8"/>
  <c r="K4524" i="8"/>
  <c r="L4523" i="8"/>
  <c r="K4523" i="8"/>
  <c r="L4522" i="8"/>
  <c r="K4522" i="8"/>
  <c r="L4521" i="8"/>
  <c r="K4521" i="8"/>
  <c r="L4520" i="8"/>
  <c r="K4520" i="8"/>
  <c r="L4519" i="8"/>
  <c r="K4519" i="8"/>
  <c r="L4518" i="8"/>
  <c r="K4518" i="8"/>
  <c r="L4517" i="8"/>
  <c r="K4517" i="8"/>
  <c r="L4516" i="8"/>
  <c r="K4516" i="8"/>
  <c r="L4515" i="8"/>
  <c r="K4515" i="8"/>
  <c r="L4514" i="8"/>
  <c r="K4514" i="8"/>
  <c r="L4513" i="8"/>
  <c r="K4513" i="8"/>
  <c r="L4512" i="8"/>
  <c r="K4512" i="8"/>
  <c r="L4511" i="8"/>
  <c r="K4511" i="8"/>
  <c r="L4510" i="8"/>
  <c r="K4510" i="8"/>
  <c r="L4509" i="8"/>
  <c r="K4509" i="8"/>
  <c r="L4508" i="8"/>
  <c r="K4508" i="8"/>
  <c r="L4507" i="8"/>
  <c r="K4507" i="8"/>
  <c r="L4506" i="8"/>
  <c r="K4506" i="8"/>
  <c r="L4505" i="8"/>
  <c r="K4505" i="8"/>
  <c r="L4504" i="8"/>
  <c r="K4504" i="8"/>
  <c r="L4503" i="8"/>
  <c r="K4503" i="8"/>
  <c r="L4502" i="8"/>
  <c r="K4502" i="8"/>
  <c r="L4501" i="8"/>
  <c r="K4501" i="8"/>
  <c r="L4500" i="8"/>
  <c r="K4500" i="8"/>
  <c r="L4499" i="8"/>
  <c r="K4499" i="8"/>
  <c r="L4498" i="8"/>
  <c r="K4498" i="8"/>
  <c r="L4497" i="8"/>
  <c r="K4497" i="8"/>
  <c r="L4496" i="8"/>
  <c r="K4496" i="8"/>
  <c r="L4495" i="8"/>
  <c r="K4495" i="8"/>
  <c r="L4494" i="8"/>
  <c r="K4494" i="8"/>
  <c r="L4493" i="8"/>
  <c r="K4493" i="8"/>
  <c r="L4492" i="8"/>
  <c r="K4492" i="8"/>
  <c r="L4491" i="8"/>
  <c r="K4491" i="8"/>
  <c r="L4490" i="8"/>
  <c r="K4490" i="8"/>
  <c r="L4489" i="8"/>
  <c r="K4489" i="8"/>
  <c r="L4488" i="8"/>
  <c r="K4488" i="8"/>
  <c r="L4487" i="8"/>
  <c r="K4487" i="8"/>
  <c r="L4486" i="8"/>
  <c r="K4486" i="8"/>
  <c r="L4485" i="8"/>
  <c r="K4485" i="8"/>
  <c r="L4484" i="8"/>
  <c r="K4484" i="8"/>
  <c r="L4483" i="8"/>
  <c r="K4483" i="8"/>
  <c r="L4482" i="8"/>
  <c r="K4482" i="8"/>
  <c r="L4481" i="8"/>
  <c r="K4481" i="8"/>
  <c r="L4480" i="8"/>
  <c r="K4480" i="8"/>
  <c r="L4479" i="8"/>
  <c r="K4479" i="8"/>
  <c r="L4478" i="8"/>
  <c r="K4478" i="8"/>
  <c r="L4477" i="8"/>
  <c r="K4477" i="8"/>
  <c r="L4476" i="8"/>
  <c r="K4476" i="8"/>
  <c r="L4475" i="8"/>
  <c r="K4475" i="8"/>
  <c r="L4474" i="8"/>
  <c r="K4474" i="8"/>
  <c r="L4473" i="8"/>
  <c r="K4473" i="8"/>
  <c r="L4472" i="8"/>
  <c r="K4472" i="8"/>
  <c r="L4471" i="8"/>
  <c r="K4471" i="8"/>
  <c r="L4470" i="8"/>
  <c r="K4470" i="8"/>
  <c r="L4469" i="8"/>
  <c r="K4469" i="8"/>
  <c r="L4468" i="8"/>
  <c r="K4468" i="8"/>
  <c r="L4467" i="8"/>
  <c r="K4467" i="8"/>
  <c r="L4466" i="8"/>
  <c r="K4466" i="8"/>
  <c r="L4465" i="8"/>
  <c r="K4465" i="8"/>
  <c r="L4464" i="8"/>
  <c r="K4464" i="8"/>
  <c r="L4463" i="8"/>
  <c r="K4463" i="8"/>
  <c r="L4462" i="8"/>
  <c r="K4462" i="8"/>
  <c r="L4461" i="8"/>
  <c r="K4461" i="8"/>
  <c r="L4460" i="8"/>
  <c r="K4460" i="8"/>
  <c r="L4459" i="8"/>
  <c r="K4459" i="8"/>
  <c r="L4458" i="8"/>
  <c r="K4458" i="8"/>
  <c r="L4457" i="8"/>
  <c r="K4457" i="8"/>
  <c r="L4456" i="8"/>
  <c r="K4456" i="8"/>
  <c r="L4455" i="8"/>
  <c r="K4455" i="8"/>
  <c r="L4454" i="8"/>
  <c r="K4454" i="8"/>
  <c r="L4453" i="8"/>
  <c r="K4453" i="8"/>
  <c r="L4452" i="8"/>
  <c r="K4452" i="8"/>
  <c r="L4451" i="8"/>
  <c r="K4451" i="8"/>
  <c r="L4450" i="8"/>
  <c r="K4450" i="8"/>
  <c r="L4449" i="8"/>
  <c r="K4449" i="8"/>
  <c r="L4448" i="8"/>
  <c r="K4448" i="8"/>
  <c r="L4447" i="8"/>
  <c r="K4447" i="8"/>
  <c r="L4446" i="8"/>
  <c r="K4446" i="8"/>
  <c r="L4445" i="8"/>
  <c r="K4445" i="8"/>
  <c r="L4444" i="8"/>
  <c r="K4444" i="8"/>
  <c r="L4443" i="8"/>
  <c r="K4443" i="8"/>
  <c r="L4442" i="8"/>
  <c r="K4442" i="8"/>
  <c r="L4441" i="8"/>
  <c r="K4441" i="8"/>
  <c r="L4440" i="8"/>
  <c r="K4440" i="8"/>
  <c r="L4439" i="8"/>
  <c r="K4439" i="8"/>
  <c r="L4438" i="8"/>
  <c r="K4438" i="8"/>
  <c r="L4437" i="8"/>
  <c r="K4437" i="8"/>
  <c r="L4436" i="8"/>
  <c r="K4436" i="8"/>
  <c r="L4435" i="8"/>
  <c r="K4435" i="8"/>
  <c r="L4434" i="8"/>
  <c r="K4434" i="8"/>
  <c r="L4433" i="8"/>
  <c r="K4433" i="8"/>
  <c r="L4432" i="8"/>
  <c r="K4432" i="8"/>
  <c r="L4431" i="8"/>
  <c r="K4431" i="8"/>
  <c r="L4430" i="8"/>
  <c r="K4430" i="8"/>
  <c r="L4429" i="8"/>
  <c r="K4429" i="8"/>
  <c r="L4428" i="8"/>
  <c r="K4428" i="8"/>
  <c r="L4427" i="8"/>
  <c r="K4427" i="8"/>
  <c r="L4426" i="8"/>
  <c r="K4426" i="8"/>
  <c r="L4425" i="8"/>
  <c r="K4425" i="8"/>
  <c r="L4424" i="8"/>
  <c r="K4424" i="8"/>
  <c r="L4423" i="8"/>
  <c r="K4423" i="8"/>
  <c r="L4422" i="8"/>
  <c r="K4422" i="8"/>
  <c r="L4421" i="8"/>
  <c r="K4421" i="8"/>
  <c r="L4420" i="8"/>
  <c r="K4420" i="8"/>
  <c r="L4419" i="8"/>
  <c r="K4419" i="8"/>
  <c r="L4418" i="8"/>
  <c r="K4418" i="8"/>
  <c r="L4417" i="8"/>
  <c r="K4417" i="8"/>
  <c r="L4416" i="8"/>
  <c r="K4416" i="8"/>
  <c r="L4415" i="8"/>
  <c r="K4415" i="8"/>
  <c r="L4414" i="8"/>
  <c r="K4414" i="8"/>
  <c r="L4413" i="8"/>
  <c r="K4413" i="8"/>
  <c r="L4412" i="8"/>
  <c r="K4412" i="8"/>
  <c r="L4411" i="8"/>
  <c r="K4411" i="8"/>
  <c r="L4410" i="8"/>
  <c r="K4410" i="8"/>
  <c r="L4409" i="8"/>
  <c r="K4409" i="8"/>
  <c r="L4408" i="8"/>
  <c r="K4408" i="8"/>
  <c r="L4407" i="8"/>
  <c r="K4407" i="8"/>
  <c r="L4406" i="8"/>
  <c r="K4406" i="8"/>
  <c r="L4405" i="8"/>
  <c r="K4405" i="8"/>
  <c r="L4404" i="8"/>
  <c r="K4404" i="8"/>
  <c r="L4403" i="8"/>
  <c r="K4403" i="8"/>
  <c r="L4402" i="8"/>
  <c r="K4402" i="8"/>
  <c r="L4401" i="8"/>
  <c r="K4401" i="8"/>
  <c r="L4400" i="8"/>
  <c r="K4400" i="8"/>
  <c r="L4399" i="8"/>
  <c r="K4399" i="8"/>
  <c r="L4398" i="8"/>
  <c r="K4398" i="8"/>
  <c r="L4397" i="8"/>
  <c r="K4397" i="8"/>
  <c r="L4396" i="8"/>
  <c r="K4396" i="8"/>
  <c r="L4395" i="8"/>
  <c r="K4395" i="8"/>
  <c r="L4394" i="8"/>
  <c r="K4394" i="8"/>
  <c r="L4393" i="8"/>
  <c r="K4393" i="8"/>
  <c r="L4392" i="8"/>
  <c r="K4392" i="8"/>
  <c r="L4391" i="8"/>
  <c r="K4391" i="8"/>
  <c r="L4390" i="8"/>
  <c r="K4390" i="8"/>
  <c r="L4389" i="8"/>
  <c r="K4389" i="8"/>
  <c r="L4388" i="8"/>
  <c r="K4388" i="8"/>
  <c r="L4387" i="8"/>
  <c r="K4387" i="8"/>
  <c r="L4386" i="8"/>
  <c r="K4386" i="8"/>
  <c r="L4385" i="8"/>
  <c r="K4385" i="8"/>
  <c r="L4384" i="8"/>
  <c r="K4384" i="8"/>
  <c r="L4383" i="8"/>
  <c r="K4383" i="8"/>
  <c r="L4382" i="8"/>
  <c r="K4382" i="8"/>
  <c r="L4381" i="8"/>
  <c r="K4381" i="8"/>
  <c r="L4380" i="8"/>
  <c r="K4380" i="8"/>
  <c r="L4379" i="8"/>
  <c r="K4379" i="8"/>
  <c r="L4378" i="8"/>
  <c r="K4378" i="8"/>
  <c r="L4377" i="8"/>
  <c r="K4377" i="8"/>
  <c r="L4376" i="8"/>
  <c r="K4376" i="8"/>
  <c r="L4375" i="8"/>
  <c r="K4375" i="8"/>
  <c r="L4374" i="8"/>
  <c r="K4374" i="8"/>
  <c r="L4373" i="8"/>
  <c r="K4373" i="8"/>
  <c r="L4372" i="8"/>
  <c r="K4372" i="8"/>
  <c r="L4371" i="8"/>
  <c r="K4371" i="8"/>
  <c r="L4370" i="8"/>
  <c r="K4370" i="8"/>
  <c r="L4369" i="8"/>
  <c r="K4369" i="8"/>
  <c r="L4368" i="8"/>
  <c r="K4368" i="8"/>
  <c r="L4367" i="8"/>
  <c r="K4367" i="8"/>
  <c r="L4366" i="8"/>
  <c r="K4366" i="8"/>
  <c r="L4365" i="8"/>
  <c r="K4365" i="8"/>
  <c r="L4364" i="8"/>
  <c r="K4364" i="8"/>
  <c r="L4363" i="8"/>
  <c r="K4363" i="8"/>
  <c r="L4362" i="8"/>
  <c r="K4362" i="8"/>
  <c r="L4361" i="8"/>
  <c r="K4361" i="8"/>
  <c r="L4360" i="8"/>
  <c r="K4360" i="8"/>
  <c r="L4359" i="8"/>
  <c r="K4359" i="8"/>
  <c r="L4358" i="8"/>
  <c r="K4358" i="8"/>
  <c r="L4357" i="8"/>
  <c r="K4357" i="8"/>
  <c r="L4356" i="8"/>
  <c r="K4356" i="8"/>
  <c r="L4355" i="8"/>
  <c r="K4355" i="8"/>
  <c r="L4354" i="8"/>
  <c r="K4354" i="8"/>
  <c r="L4353" i="8"/>
  <c r="K4353" i="8"/>
  <c r="L4352" i="8"/>
  <c r="K4352" i="8"/>
  <c r="L4351" i="8"/>
  <c r="K4351" i="8"/>
  <c r="L4350" i="8"/>
  <c r="K4350" i="8"/>
  <c r="L4349" i="8"/>
  <c r="K4349" i="8"/>
  <c r="L4348" i="8"/>
  <c r="K4348" i="8"/>
  <c r="L4347" i="8"/>
  <c r="K4347" i="8"/>
  <c r="L4346" i="8"/>
  <c r="K4346" i="8"/>
  <c r="L4345" i="8"/>
  <c r="K4345" i="8"/>
  <c r="L4344" i="8"/>
  <c r="K4344" i="8"/>
  <c r="L4343" i="8"/>
  <c r="K4343" i="8"/>
  <c r="L4342" i="8"/>
  <c r="K4342" i="8"/>
  <c r="L4341" i="8"/>
  <c r="K4341" i="8"/>
  <c r="L4340" i="8"/>
  <c r="K4340" i="8"/>
  <c r="L4339" i="8"/>
  <c r="K4339" i="8"/>
  <c r="L4338" i="8"/>
  <c r="K4338" i="8"/>
  <c r="L4337" i="8"/>
  <c r="K4337" i="8"/>
  <c r="L4336" i="8"/>
  <c r="K4336" i="8"/>
  <c r="L4335" i="8"/>
  <c r="K4335" i="8"/>
  <c r="L4334" i="8"/>
  <c r="K4334" i="8"/>
  <c r="L4333" i="8"/>
  <c r="K4333" i="8"/>
  <c r="L4332" i="8"/>
  <c r="K4332" i="8"/>
  <c r="L4331" i="8"/>
  <c r="K4331" i="8"/>
  <c r="L4330" i="8"/>
  <c r="K4330" i="8"/>
  <c r="L4329" i="8"/>
  <c r="K4329" i="8"/>
  <c r="L4328" i="8"/>
  <c r="K4328" i="8"/>
  <c r="L4327" i="8"/>
  <c r="K4327" i="8"/>
  <c r="L4326" i="8"/>
  <c r="K4326" i="8"/>
  <c r="L4325" i="8"/>
  <c r="K4325" i="8"/>
  <c r="L4324" i="8"/>
  <c r="K4324" i="8"/>
  <c r="L4323" i="8"/>
  <c r="K4323" i="8"/>
  <c r="L4322" i="8"/>
  <c r="K4322" i="8"/>
  <c r="L4321" i="8"/>
  <c r="K4321" i="8"/>
  <c r="L4320" i="8"/>
  <c r="K4320" i="8"/>
  <c r="L4319" i="8"/>
  <c r="K4319" i="8"/>
  <c r="L4318" i="8"/>
  <c r="K4318" i="8"/>
  <c r="L4317" i="8"/>
  <c r="K4317" i="8"/>
  <c r="L4316" i="8"/>
  <c r="K4316" i="8"/>
  <c r="L4315" i="8"/>
  <c r="K4315" i="8"/>
  <c r="L4314" i="8"/>
  <c r="K4314" i="8"/>
  <c r="L4313" i="8"/>
  <c r="K4313" i="8"/>
  <c r="L4312" i="8"/>
  <c r="K4312" i="8"/>
  <c r="L4311" i="8"/>
  <c r="K4311" i="8"/>
  <c r="L4310" i="8"/>
  <c r="K4310" i="8"/>
  <c r="L4309" i="8"/>
  <c r="K4309" i="8"/>
  <c r="L4308" i="8"/>
  <c r="K4308" i="8"/>
  <c r="L4307" i="8"/>
  <c r="K4307" i="8"/>
  <c r="L4306" i="8"/>
  <c r="K4306" i="8"/>
  <c r="L4305" i="8"/>
  <c r="K4305" i="8"/>
  <c r="L4304" i="8"/>
  <c r="K4304" i="8"/>
  <c r="L4303" i="8"/>
  <c r="K4303" i="8"/>
  <c r="L4302" i="8"/>
  <c r="K4302" i="8"/>
  <c r="L4301" i="8"/>
  <c r="K4301" i="8"/>
  <c r="L4300" i="8"/>
  <c r="K4300" i="8"/>
  <c r="L4299" i="8"/>
  <c r="K4299" i="8"/>
  <c r="L4298" i="8"/>
  <c r="K4298" i="8"/>
  <c r="L4297" i="8"/>
  <c r="K4297" i="8"/>
  <c r="L4296" i="8"/>
  <c r="K4296" i="8"/>
  <c r="L4295" i="8"/>
  <c r="K4295" i="8"/>
  <c r="L4294" i="8"/>
  <c r="K4294" i="8"/>
  <c r="L4293" i="8"/>
  <c r="K4293" i="8"/>
  <c r="L4292" i="8"/>
  <c r="K4292" i="8"/>
  <c r="L4291" i="8"/>
  <c r="K4291" i="8"/>
  <c r="L4290" i="8"/>
  <c r="K4290" i="8"/>
  <c r="L4289" i="8"/>
  <c r="K4289" i="8"/>
  <c r="L4288" i="8"/>
  <c r="K4288" i="8"/>
  <c r="L4287" i="8"/>
  <c r="K4287" i="8"/>
  <c r="L4286" i="8"/>
  <c r="K4286" i="8"/>
  <c r="L4285" i="8"/>
  <c r="K4285" i="8"/>
  <c r="L4284" i="8"/>
  <c r="K4284" i="8"/>
  <c r="L4283" i="8"/>
  <c r="K4283" i="8"/>
  <c r="L4282" i="8"/>
  <c r="K4282" i="8"/>
  <c r="L4281" i="8"/>
  <c r="K4281" i="8"/>
  <c r="L4280" i="8"/>
  <c r="K4280" i="8"/>
  <c r="L4279" i="8"/>
  <c r="K4279" i="8"/>
  <c r="L4278" i="8"/>
  <c r="K4278" i="8"/>
  <c r="L4277" i="8"/>
  <c r="K4277" i="8"/>
  <c r="L4276" i="8"/>
  <c r="K4276" i="8"/>
  <c r="L4275" i="8"/>
  <c r="K4275" i="8"/>
  <c r="L4274" i="8"/>
  <c r="K4274" i="8"/>
  <c r="L4273" i="8"/>
  <c r="K4273" i="8"/>
  <c r="L4272" i="8"/>
  <c r="K4272" i="8"/>
  <c r="L4271" i="8"/>
  <c r="K4271" i="8"/>
  <c r="L4270" i="8"/>
  <c r="K4270" i="8"/>
  <c r="L4269" i="8"/>
  <c r="K4269" i="8"/>
  <c r="L4268" i="8"/>
  <c r="K4268" i="8"/>
  <c r="L4267" i="8"/>
  <c r="K4267" i="8"/>
  <c r="L4266" i="8"/>
  <c r="K4266" i="8"/>
  <c r="L4265" i="8"/>
  <c r="K4265" i="8"/>
  <c r="L4264" i="8"/>
  <c r="K4264" i="8"/>
  <c r="L4263" i="8"/>
  <c r="K4263" i="8"/>
  <c r="L4262" i="8"/>
  <c r="K4262" i="8"/>
  <c r="L4261" i="8"/>
  <c r="K4261" i="8"/>
  <c r="L4260" i="8"/>
  <c r="K4260" i="8"/>
  <c r="L4259" i="8"/>
  <c r="K4259" i="8"/>
  <c r="L4258" i="8"/>
  <c r="K4258" i="8"/>
  <c r="L4257" i="8"/>
  <c r="K4257" i="8"/>
  <c r="L4256" i="8"/>
  <c r="K4256" i="8"/>
  <c r="L4255" i="8"/>
  <c r="K4255" i="8"/>
  <c r="L4254" i="8"/>
  <c r="K4254" i="8"/>
  <c r="L4253" i="8"/>
  <c r="K4253" i="8"/>
  <c r="L4252" i="8"/>
  <c r="K4252" i="8"/>
  <c r="L4251" i="8"/>
  <c r="K4251" i="8"/>
  <c r="L4250" i="8"/>
  <c r="K4250" i="8"/>
  <c r="L4249" i="8"/>
  <c r="K4249" i="8"/>
  <c r="L4248" i="8"/>
  <c r="K4248" i="8"/>
  <c r="L4247" i="8"/>
  <c r="K4247" i="8"/>
  <c r="L4246" i="8"/>
  <c r="K4246" i="8"/>
  <c r="L4245" i="8"/>
  <c r="K4245" i="8"/>
  <c r="L4244" i="8"/>
  <c r="K4244" i="8"/>
  <c r="L4243" i="8"/>
  <c r="K4243" i="8"/>
  <c r="L4242" i="8"/>
  <c r="K4242" i="8"/>
  <c r="L4241" i="8"/>
  <c r="K4241" i="8"/>
  <c r="L4240" i="8"/>
  <c r="K4240" i="8"/>
  <c r="L4239" i="8"/>
  <c r="K4239" i="8"/>
  <c r="L4238" i="8"/>
  <c r="K4238" i="8"/>
  <c r="L4237" i="8"/>
  <c r="K4237" i="8"/>
  <c r="L4236" i="8"/>
  <c r="K4236" i="8"/>
  <c r="L4235" i="8"/>
  <c r="K4235" i="8"/>
  <c r="L4234" i="8"/>
  <c r="K4234" i="8"/>
  <c r="L4233" i="8"/>
  <c r="K4233" i="8"/>
  <c r="L4232" i="8"/>
  <c r="K4232" i="8"/>
  <c r="L4231" i="8"/>
  <c r="K4231" i="8"/>
  <c r="L4230" i="8"/>
  <c r="K4230" i="8"/>
  <c r="L4229" i="8"/>
  <c r="K4229" i="8"/>
  <c r="L4228" i="8"/>
  <c r="K4228" i="8"/>
  <c r="L4227" i="8"/>
  <c r="K4227" i="8"/>
  <c r="L4226" i="8"/>
  <c r="K4226" i="8"/>
  <c r="L4225" i="8"/>
  <c r="K4225" i="8"/>
  <c r="L4224" i="8"/>
  <c r="K4224" i="8"/>
  <c r="L4223" i="8"/>
  <c r="K4223" i="8"/>
  <c r="L4222" i="8"/>
  <c r="K4222" i="8"/>
  <c r="L4221" i="8"/>
  <c r="K4221" i="8"/>
  <c r="L4220" i="8"/>
  <c r="K4220" i="8"/>
  <c r="L4219" i="8"/>
  <c r="K4219" i="8"/>
  <c r="L4218" i="8"/>
  <c r="K4218" i="8"/>
  <c r="L4217" i="8"/>
  <c r="K4217" i="8"/>
  <c r="L4216" i="8"/>
  <c r="K4216" i="8"/>
  <c r="L4215" i="8"/>
  <c r="K4215" i="8"/>
  <c r="L4214" i="8"/>
  <c r="K4214" i="8"/>
  <c r="L4213" i="8"/>
  <c r="K4213" i="8"/>
  <c r="L4212" i="8"/>
  <c r="K4212" i="8"/>
  <c r="L4211" i="8"/>
  <c r="K4211" i="8"/>
  <c r="L4210" i="8"/>
  <c r="K4210" i="8"/>
  <c r="L4209" i="8"/>
  <c r="K4209" i="8"/>
  <c r="L4208" i="8"/>
  <c r="K4208" i="8"/>
  <c r="L4207" i="8"/>
  <c r="K4207" i="8"/>
  <c r="L4206" i="8"/>
  <c r="K4206" i="8"/>
  <c r="L4205" i="8"/>
  <c r="K4205" i="8"/>
  <c r="L4204" i="8"/>
  <c r="K4204" i="8"/>
  <c r="L4203" i="8"/>
  <c r="K4203" i="8"/>
  <c r="L4202" i="8"/>
  <c r="K4202" i="8"/>
  <c r="L4201" i="8"/>
  <c r="K4201" i="8"/>
  <c r="L4200" i="8"/>
  <c r="K4200" i="8"/>
  <c r="L4199" i="8"/>
  <c r="K4199" i="8"/>
  <c r="L4198" i="8"/>
  <c r="K4198" i="8"/>
  <c r="L4197" i="8"/>
  <c r="K4197" i="8"/>
  <c r="L4196" i="8"/>
  <c r="K4196" i="8"/>
  <c r="L4195" i="8"/>
  <c r="K4195" i="8"/>
  <c r="L4194" i="8"/>
  <c r="K4194" i="8"/>
  <c r="L4193" i="8"/>
  <c r="K4193" i="8"/>
  <c r="L4192" i="8"/>
  <c r="K4192" i="8"/>
  <c r="L4191" i="8"/>
  <c r="K4191" i="8"/>
  <c r="L4190" i="8"/>
  <c r="K4190" i="8"/>
  <c r="L4189" i="8"/>
  <c r="K4189" i="8"/>
  <c r="L4188" i="8"/>
  <c r="K4188" i="8"/>
  <c r="L4187" i="8"/>
  <c r="K4187" i="8"/>
  <c r="L4186" i="8"/>
  <c r="K4186" i="8"/>
  <c r="L4185" i="8"/>
  <c r="K4185" i="8"/>
  <c r="L4184" i="8"/>
  <c r="K4184" i="8"/>
  <c r="L4183" i="8"/>
  <c r="K4183" i="8"/>
  <c r="L4182" i="8"/>
  <c r="K4182" i="8"/>
  <c r="L4181" i="8"/>
  <c r="K4181" i="8"/>
  <c r="L4180" i="8"/>
  <c r="K4180" i="8"/>
  <c r="L4179" i="8"/>
  <c r="K4179" i="8"/>
  <c r="L4178" i="8"/>
  <c r="K4178" i="8"/>
  <c r="L4177" i="8"/>
  <c r="K4177" i="8"/>
  <c r="L4176" i="8"/>
  <c r="K4176" i="8"/>
  <c r="L4175" i="8"/>
  <c r="K4175" i="8"/>
  <c r="L4174" i="8"/>
  <c r="K4174" i="8"/>
  <c r="L4173" i="8"/>
  <c r="K4173" i="8"/>
  <c r="L4172" i="8"/>
  <c r="K4172" i="8"/>
  <c r="L4171" i="8"/>
  <c r="K4171" i="8"/>
  <c r="L4170" i="8"/>
  <c r="K4170" i="8"/>
  <c r="L4169" i="8"/>
  <c r="K4169" i="8"/>
  <c r="L4168" i="8"/>
  <c r="K4168" i="8"/>
  <c r="L4167" i="8"/>
  <c r="K4167" i="8"/>
  <c r="L4166" i="8"/>
  <c r="K4166" i="8"/>
  <c r="L4165" i="8"/>
  <c r="K4165" i="8"/>
  <c r="L4164" i="8"/>
  <c r="K4164" i="8"/>
  <c r="L4163" i="8"/>
  <c r="K4163" i="8"/>
  <c r="L4162" i="8"/>
  <c r="K4162" i="8"/>
  <c r="L4161" i="8"/>
  <c r="K4161" i="8"/>
  <c r="L4160" i="8"/>
  <c r="K4160" i="8"/>
  <c r="L4159" i="8"/>
  <c r="K4159" i="8"/>
  <c r="L4158" i="8"/>
  <c r="K4158" i="8"/>
  <c r="L4157" i="8"/>
  <c r="K4157" i="8"/>
  <c r="L4156" i="8"/>
  <c r="K4156" i="8"/>
  <c r="L4155" i="8"/>
  <c r="K4155" i="8"/>
  <c r="L4154" i="8"/>
  <c r="K4154" i="8"/>
  <c r="L4153" i="8"/>
  <c r="K4153" i="8"/>
  <c r="L4152" i="8"/>
  <c r="K4152" i="8"/>
  <c r="L4151" i="8"/>
  <c r="K4151" i="8"/>
  <c r="L4150" i="8"/>
  <c r="K4150" i="8"/>
  <c r="L4149" i="8"/>
  <c r="K4149" i="8"/>
  <c r="L4148" i="8"/>
  <c r="K4148" i="8"/>
  <c r="L4147" i="8"/>
  <c r="K4147" i="8"/>
  <c r="L4146" i="8"/>
  <c r="K4146" i="8"/>
  <c r="L4145" i="8"/>
  <c r="K4145" i="8"/>
  <c r="L4144" i="8"/>
  <c r="K4144" i="8"/>
  <c r="L4143" i="8"/>
  <c r="K4143" i="8"/>
  <c r="L4142" i="8"/>
  <c r="K4142" i="8"/>
  <c r="L4141" i="8"/>
  <c r="K4141" i="8"/>
  <c r="L4140" i="8"/>
  <c r="K4140" i="8"/>
  <c r="L4139" i="8"/>
  <c r="K4139" i="8"/>
  <c r="L4138" i="8"/>
  <c r="K4138" i="8"/>
  <c r="L4137" i="8"/>
  <c r="K4137" i="8"/>
  <c r="L4136" i="8"/>
  <c r="K4136" i="8"/>
  <c r="L4135" i="8"/>
  <c r="K4135" i="8"/>
  <c r="L4134" i="8"/>
  <c r="K4134" i="8"/>
  <c r="L4133" i="8"/>
  <c r="K4133" i="8"/>
  <c r="L4132" i="8"/>
  <c r="K4132" i="8"/>
  <c r="L4131" i="8"/>
  <c r="K4131" i="8"/>
  <c r="L4130" i="8"/>
  <c r="K4130" i="8"/>
  <c r="L4129" i="8"/>
  <c r="K4129" i="8"/>
  <c r="L4128" i="8"/>
  <c r="K4128" i="8"/>
  <c r="L4127" i="8"/>
  <c r="K4127" i="8"/>
  <c r="L4126" i="8"/>
  <c r="K4126" i="8"/>
  <c r="L4125" i="8"/>
  <c r="K4125" i="8"/>
  <c r="L4124" i="8"/>
  <c r="K4124" i="8"/>
  <c r="L4123" i="8"/>
  <c r="K4123" i="8"/>
  <c r="L4122" i="8"/>
  <c r="K4122" i="8"/>
  <c r="L4121" i="8"/>
  <c r="K4121" i="8"/>
  <c r="L4120" i="8"/>
  <c r="K4120" i="8"/>
  <c r="L4119" i="8"/>
  <c r="K4119" i="8"/>
  <c r="L4118" i="8"/>
  <c r="K4118" i="8"/>
  <c r="L4117" i="8"/>
  <c r="K4117" i="8"/>
  <c r="L4116" i="8"/>
  <c r="K4116" i="8"/>
  <c r="L4115" i="8"/>
  <c r="K4115" i="8"/>
  <c r="L4114" i="8"/>
  <c r="K4114" i="8"/>
  <c r="L4113" i="8"/>
  <c r="K4113" i="8"/>
  <c r="L4112" i="8"/>
  <c r="K4112" i="8"/>
  <c r="L4111" i="8"/>
  <c r="K4111" i="8"/>
  <c r="L4110" i="8"/>
  <c r="K4110" i="8"/>
  <c r="L4109" i="8"/>
  <c r="K4109" i="8"/>
  <c r="L4108" i="8"/>
  <c r="K4108" i="8"/>
  <c r="L4107" i="8"/>
  <c r="K4107" i="8"/>
  <c r="L4106" i="8"/>
  <c r="K4106" i="8"/>
  <c r="L4105" i="8"/>
  <c r="K4105" i="8"/>
  <c r="L4104" i="8"/>
  <c r="K4104" i="8"/>
  <c r="L4103" i="8"/>
  <c r="K4103" i="8"/>
  <c r="L4102" i="8"/>
  <c r="K4102" i="8"/>
  <c r="L4101" i="8"/>
  <c r="K4101" i="8"/>
  <c r="L4100" i="8"/>
  <c r="K4100" i="8"/>
  <c r="L4099" i="8"/>
  <c r="K4099" i="8"/>
  <c r="L4098" i="8"/>
  <c r="K4098" i="8"/>
  <c r="L4097" i="8"/>
  <c r="K4097" i="8"/>
  <c r="L4096" i="8"/>
  <c r="K4096" i="8"/>
  <c r="L4095" i="8"/>
  <c r="K4095" i="8"/>
  <c r="L4094" i="8"/>
  <c r="K4094" i="8"/>
  <c r="L4093" i="8"/>
  <c r="K4093" i="8"/>
  <c r="L4092" i="8"/>
  <c r="K4092" i="8"/>
  <c r="L4091" i="8"/>
  <c r="K4091" i="8"/>
  <c r="L4090" i="8"/>
  <c r="K4090" i="8"/>
  <c r="L4089" i="8"/>
  <c r="K4089" i="8"/>
  <c r="L4088" i="8"/>
  <c r="K4088" i="8"/>
  <c r="L4087" i="8"/>
  <c r="K4087" i="8"/>
  <c r="L4086" i="8"/>
  <c r="K4086" i="8"/>
  <c r="L4085" i="8"/>
  <c r="K4085" i="8"/>
  <c r="L4084" i="8"/>
  <c r="K4084" i="8"/>
  <c r="L4083" i="8"/>
  <c r="K4083" i="8"/>
  <c r="L4082" i="8"/>
  <c r="K4082" i="8"/>
  <c r="L4081" i="8"/>
  <c r="K4081" i="8"/>
  <c r="L4080" i="8"/>
  <c r="K4080" i="8"/>
  <c r="L4079" i="8"/>
  <c r="K4079" i="8"/>
  <c r="L4078" i="8"/>
  <c r="K4078" i="8"/>
  <c r="L4077" i="8"/>
  <c r="K4077" i="8"/>
  <c r="L4076" i="8"/>
  <c r="K4076" i="8"/>
  <c r="L4075" i="8"/>
  <c r="K4075" i="8"/>
  <c r="L4074" i="8"/>
  <c r="K4074" i="8"/>
  <c r="L4073" i="8"/>
  <c r="K4073" i="8"/>
  <c r="L4072" i="8"/>
  <c r="K4072" i="8"/>
  <c r="L4071" i="8"/>
  <c r="K4071" i="8"/>
  <c r="L4070" i="8"/>
  <c r="K4070" i="8"/>
  <c r="L4069" i="8"/>
  <c r="K4069" i="8"/>
  <c r="L4068" i="8"/>
  <c r="K4068" i="8"/>
  <c r="L4067" i="8"/>
  <c r="K4067" i="8"/>
  <c r="L4066" i="8"/>
  <c r="K4066" i="8"/>
  <c r="L4065" i="8"/>
  <c r="K4065" i="8"/>
  <c r="L4064" i="8"/>
  <c r="K4064" i="8"/>
  <c r="L4063" i="8"/>
  <c r="K4063" i="8"/>
  <c r="L4062" i="8"/>
  <c r="K4062" i="8"/>
  <c r="L4061" i="8"/>
  <c r="K4061" i="8"/>
  <c r="L4060" i="8"/>
  <c r="K4060" i="8"/>
  <c r="L4059" i="8"/>
  <c r="K4059" i="8"/>
  <c r="L4058" i="8"/>
  <c r="K4058" i="8"/>
  <c r="L4057" i="8"/>
  <c r="K4057" i="8"/>
  <c r="L4056" i="8"/>
  <c r="K4056" i="8"/>
  <c r="L4055" i="8"/>
  <c r="K4055" i="8"/>
  <c r="L4054" i="8"/>
  <c r="K4054" i="8"/>
  <c r="L4053" i="8"/>
  <c r="K4053" i="8"/>
  <c r="L4052" i="8"/>
  <c r="K4052" i="8"/>
  <c r="L4051" i="8"/>
  <c r="K4051" i="8"/>
  <c r="L4050" i="8"/>
  <c r="K4050" i="8"/>
  <c r="L4049" i="8"/>
  <c r="K4049" i="8"/>
  <c r="L4048" i="8"/>
  <c r="K4048" i="8"/>
  <c r="L4047" i="8"/>
  <c r="K4047" i="8"/>
  <c r="L4046" i="8"/>
  <c r="K4046" i="8"/>
  <c r="L4045" i="8"/>
  <c r="K4045" i="8"/>
  <c r="L4044" i="8"/>
  <c r="K4044" i="8"/>
  <c r="L4043" i="8"/>
  <c r="K4043" i="8"/>
  <c r="L4042" i="8"/>
  <c r="K4042" i="8"/>
  <c r="L4041" i="8"/>
  <c r="K4041" i="8"/>
  <c r="L4040" i="8"/>
  <c r="K4040" i="8"/>
  <c r="L4039" i="8"/>
  <c r="K4039" i="8"/>
  <c r="L4038" i="8"/>
  <c r="K4038" i="8"/>
  <c r="L4037" i="8"/>
  <c r="K4037" i="8"/>
  <c r="L4036" i="8"/>
  <c r="K4036" i="8"/>
  <c r="L4035" i="8"/>
  <c r="K4035" i="8"/>
  <c r="L4034" i="8"/>
  <c r="K4034" i="8"/>
  <c r="L4033" i="8"/>
  <c r="K4033" i="8"/>
  <c r="L4032" i="8"/>
  <c r="K4032" i="8"/>
  <c r="L4031" i="8"/>
  <c r="K4031" i="8"/>
  <c r="L4030" i="8"/>
  <c r="K4030" i="8"/>
  <c r="L4029" i="8"/>
  <c r="K4029" i="8"/>
  <c r="L4028" i="8"/>
  <c r="K4028" i="8"/>
  <c r="L4027" i="8"/>
  <c r="K4027" i="8"/>
  <c r="L4026" i="8"/>
  <c r="K4026" i="8"/>
  <c r="L4025" i="8"/>
  <c r="K4025" i="8"/>
  <c r="L4024" i="8"/>
  <c r="K4024" i="8"/>
  <c r="L4023" i="8"/>
  <c r="K4023" i="8"/>
  <c r="L4022" i="8"/>
  <c r="K4022" i="8"/>
  <c r="L4021" i="8"/>
  <c r="K4021" i="8"/>
  <c r="L4020" i="8"/>
  <c r="K4020" i="8"/>
  <c r="L4019" i="8"/>
  <c r="K4019" i="8"/>
  <c r="L4018" i="8"/>
  <c r="K4018" i="8"/>
  <c r="L4017" i="8"/>
  <c r="K4017" i="8"/>
  <c r="L4016" i="8"/>
  <c r="K4016" i="8"/>
  <c r="L4015" i="8"/>
  <c r="K4015" i="8"/>
  <c r="L4014" i="8"/>
  <c r="K4014" i="8"/>
  <c r="L4013" i="8"/>
  <c r="K4013" i="8"/>
  <c r="L4012" i="8"/>
  <c r="K4012" i="8"/>
  <c r="L4011" i="8"/>
  <c r="K4011" i="8"/>
  <c r="L4010" i="8"/>
  <c r="K4010" i="8"/>
  <c r="L4009" i="8"/>
  <c r="K4009" i="8"/>
  <c r="L4008" i="8"/>
  <c r="K4008" i="8"/>
  <c r="L4007" i="8"/>
  <c r="K4007" i="8"/>
  <c r="L4006" i="8"/>
  <c r="K4006" i="8"/>
  <c r="L4005" i="8"/>
  <c r="K4005" i="8"/>
  <c r="L4004" i="8"/>
  <c r="K4004" i="8"/>
  <c r="L4003" i="8"/>
  <c r="K4003" i="8"/>
  <c r="L4002" i="8"/>
  <c r="K4002" i="8"/>
  <c r="L4001" i="8"/>
  <c r="K4001" i="8"/>
  <c r="L4000" i="8"/>
  <c r="K4000" i="8"/>
  <c r="L3999" i="8"/>
  <c r="K3999" i="8"/>
  <c r="L3998" i="8"/>
  <c r="K3998" i="8"/>
  <c r="L3997" i="8"/>
  <c r="K3997" i="8"/>
  <c r="L3996" i="8"/>
  <c r="K3996" i="8"/>
  <c r="L3995" i="8"/>
  <c r="K3995" i="8"/>
  <c r="L3994" i="8"/>
  <c r="K3994" i="8"/>
  <c r="L3993" i="8"/>
  <c r="K3993" i="8"/>
  <c r="L3992" i="8"/>
  <c r="K3992" i="8"/>
  <c r="L3991" i="8"/>
  <c r="K3991" i="8"/>
  <c r="L3990" i="8"/>
  <c r="K3990" i="8"/>
  <c r="L3989" i="8"/>
  <c r="K3989" i="8"/>
  <c r="L3988" i="8"/>
  <c r="K3988" i="8"/>
  <c r="L3987" i="8"/>
  <c r="K3987" i="8"/>
  <c r="L3986" i="8"/>
  <c r="K3986" i="8"/>
  <c r="L3985" i="8"/>
  <c r="K3985" i="8"/>
  <c r="L3984" i="8"/>
  <c r="K3984" i="8"/>
  <c r="L3983" i="8"/>
  <c r="K3983" i="8"/>
  <c r="L3982" i="8"/>
  <c r="K3982" i="8"/>
  <c r="L3981" i="8"/>
  <c r="K3981" i="8"/>
  <c r="L3980" i="8"/>
  <c r="K3980" i="8"/>
  <c r="L3979" i="8"/>
  <c r="K3979" i="8"/>
  <c r="L3978" i="8"/>
  <c r="K3978" i="8"/>
  <c r="L3977" i="8"/>
  <c r="K3977" i="8"/>
  <c r="L3976" i="8"/>
  <c r="K3976" i="8"/>
  <c r="L3975" i="8"/>
  <c r="K3975" i="8"/>
  <c r="L3974" i="8"/>
  <c r="K3974" i="8"/>
  <c r="L3973" i="8"/>
  <c r="K3973" i="8"/>
  <c r="L3972" i="8"/>
  <c r="K3972" i="8"/>
  <c r="L3971" i="8"/>
  <c r="K3971" i="8"/>
  <c r="L3970" i="8"/>
  <c r="K3970" i="8"/>
  <c r="L3969" i="8"/>
  <c r="K3969" i="8"/>
  <c r="L3968" i="8"/>
  <c r="K3968" i="8"/>
  <c r="L3967" i="8"/>
  <c r="K3967" i="8"/>
  <c r="L3966" i="8"/>
  <c r="K3966" i="8"/>
  <c r="L3965" i="8"/>
  <c r="K3965" i="8"/>
  <c r="L3964" i="8"/>
  <c r="K3964" i="8"/>
  <c r="L3963" i="8"/>
  <c r="K3963" i="8"/>
  <c r="L3962" i="8"/>
  <c r="K3962" i="8"/>
  <c r="L3961" i="8"/>
  <c r="K3961" i="8"/>
  <c r="L3960" i="8"/>
  <c r="K3960" i="8"/>
  <c r="L3959" i="8"/>
  <c r="K3959" i="8"/>
  <c r="L3958" i="8"/>
  <c r="K3958" i="8"/>
  <c r="L3957" i="8"/>
  <c r="K3957" i="8"/>
  <c r="L3956" i="8"/>
  <c r="K3956" i="8"/>
  <c r="L3955" i="8"/>
  <c r="K3955" i="8"/>
  <c r="L3954" i="8"/>
  <c r="K3954" i="8"/>
  <c r="L3953" i="8"/>
  <c r="K3953" i="8"/>
  <c r="L3952" i="8"/>
  <c r="K3952" i="8"/>
  <c r="L3951" i="8"/>
  <c r="K3951" i="8"/>
  <c r="L3950" i="8"/>
  <c r="K3950" i="8"/>
  <c r="L3949" i="8"/>
  <c r="K3949" i="8"/>
  <c r="L3948" i="8"/>
  <c r="K3948" i="8"/>
  <c r="L3947" i="8"/>
  <c r="K3947" i="8"/>
  <c r="L3946" i="8"/>
  <c r="K3946" i="8"/>
  <c r="L3945" i="8"/>
  <c r="K3945" i="8"/>
  <c r="L3944" i="8"/>
  <c r="K3944" i="8"/>
  <c r="L3943" i="8"/>
  <c r="K3943" i="8"/>
  <c r="L3942" i="8"/>
  <c r="K3942" i="8"/>
  <c r="L3941" i="8"/>
  <c r="K3941" i="8"/>
  <c r="L3940" i="8"/>
  <c r="K3940" i="8"/>
  <c r="L3939" i="8"/>
  <c r="K3939" i="8"/>
  <c r="L3938" i="8"/>
  <c r="K3938" i="8"/>
  <c r="L3937" i="8"/>
  <c r="K3937" i="8"/>
  <c r="L3936" i="8"/>
  <c r="K3936" i="8"/>
  <c r="L3935" i="8"/>
  <c r="K3935" i="8"/>
  <c r="L3934" i="8"/>
  <c r="K3934" i="8"/>
  <c r="L3933" i="8"/>
  <c r="K3933" i="8"/>
  <c r="L3932" i="8"/>
  <c r="K3932" i="8"/>
  <c r="L3931" i="8"/>
  <c r="K3931" i="8"/>
  <c r="L3930" i="8"/>
  <c r="K3930" i="8"/>
  <c r="L3929" i="8"/>
  <c r="K3929" i="8"/>
  <c r="L3928" i="8"/>
  <c r="K3928" i="8"/>
  <c r="L3927" i="8"/>
  <c r="K3927" i="8"/>
  <c r="L3926" i="8"/>
  <c r="K3926" i="8"/>
  <c r="L3925" i="8"/>
  <c r="K3925" i="8"/>
  <c r="L3924" i="8"/>
  <c r="K3924" i="8"/>
  <c r="L3923" i="8"/>
  <c r="K3923" i="8"/>
  <c r="L3922" i="8"/>
  <c r="K3922" i="8"/>
  <c r="L3921" i="8"/>
  <c r="K3921" i="8"/>
  <c r="L3920" i="8"/>
  <c r="K3920" i="8"/>
  <c r="L3919" i="8"/>
  <c r="K3919" i="8"/>
  <c r="L3918" i="8"/>
  <c r="K3918" i="8"/>
  <c r="L3917" i="8"/>
  <c r="K3917" i="8"/>
  <c r="L3916" i="8"/>
  <c r="K3916" i="8"/>
  <c r="L3915" i="8"/>
  <c r="K3915" i="8"/>
  <c r="L3914" i="8"/>
  <c r="K3914" i="8"/>
  <c r="L3913" i="8"/>
  <c r="K3913" i="8"/>
  <c r="L3912" i="8"/>
  <c r="K3912" i="8"/>
  <c r="L3911" i="8"/>
  <c r="K3911" i="8"/>
  <c r="L3910" i="8"/>
  <c r="K3910" i="8"/>
  <c r="L3909" i="8"/>
  <c r="K3909" i="8"/>
  <c r="L3908" i="8"/>
  <c r="K3908" i="8"/>
  <c r="L3907" i="8"/>
  <c r="K3907" i="8"/>
  <c r="L3906" i="8"/>
  <c r="K3906" i="8"/>
  <c r="L3905" i="8"/>
  <c r="K3905" i="8"/>
  <c r="L3904" i="8"/>
  <c r="K3904" i="8"/>
  <c r="L3903" i="8"/>
  <c r="K3903" i="8"/>
  <c r="L3902" i="8"/>
  <c r="K3902" i="8"/>
  <c r="L3901" i="8"/>
  <c r="K3901" i="8"/>
  <c r="L3900" i="8"/>
  <c r="K3900" i="8"/>
  <c r="L3899" i="8"/>
  <c r="K3899" i="8"/>
  <c r="L3898" i="8"/>
  <c r="K3898" i="8"/>
  <c r="L3897" i="8"/>
  <c r="K3897" i="8"/>
  <c r="L3896" i="8"/>
  <c r="K3896" i="8"/>
  <c r="L3895" i="8"/>
  <c r="K3895" i="8"/>
  <c r="L3894" i="8"/>
  <c r="K3894" i="8"/>
  <c r="L3893" i="8"/>
  <c r="K3893" i="8"/>
  <c r="L3892" i="8"/>
  <c r="K3892" i="8"/>
  <c r="L3891" i="8"/>
  <c r="K3891" i="8"/>
  <c r="L3890" i="8"/>
  <c r="K3890" i="8"/>
  <c r="L3889" i="8"/>
  <c r="K3889" i="8"/>
  <c r="L3888" i="8"/>
  <c r="K3888" i="8"/>
  <c r="L3887" i="8"/>
  <c r="K3887" i="8"/>
  <c r="L3886" i="8"/>
  <c r="K3886" i="8"/>
  <c r="L3885" i="8"/>
  <c r="K3885" i="8"/>
  <c r="L3884" i="8"/>
  <c r="K3884" i="8"/>
  <c r="L3883" i="8"/>
  <c r="K3883" i="8"/>
  <c r="L3882" i="8"/>
  <c r="K3882" i="8"/>
  <c r="L3881" i="8"/>
  <c r="K3881" i="8"/>
  <c r="L3880" i="8"/>
  <c r="K3880" i="8"/>
  <c r="L3879" i="8"/>
  <c r="K3879" i="8"/>
  <c r="L3878" i="8"/>
  <c r="K3878" i="8"/>
  <c r="L3877" i="8"/>
  <c r="K3877" i="8"/>
  <c r="L3876" i="8"/>
  <c r="K3876" i="8"/>
  <c r="L3875" i="8"/>
  <c r="K3875" i="8"/>
  <c r="L3874" i="8"/>
  <c r="K3874" i="8"/>
  <c r="L3873" i="8"/>
  <c r="K3873" i="8"/>
  <c r="L3872" i="8"/>
  <c r="K3872" i="8"/>
  <c r="L3871" i="8"/>
  <c r="K3871" i="8"/>
  <c r="L3870" i="8"/>
  <c r="K3870" i="8"/>
  <c r="L3869" i="8"/>
  <c r="K3869" i="8"/>
  <c r="L3868" i="8"/>
  <c r="K3868" i="8"/>
  <c r="L3867" i="8"/>
  <c r="K3867" i="8"/>
  <c r="L3866" i="8"/>
  <c r="K3866" i="8"/>
  <c r="L3865" i="8"/>
  <c r="K3865" i="8"/>
  <c r="L3864" i="8"/>
  <c r="K3864" i="8"/>
  <c r="L3863" i="8"/>
  <c r="K3863" i="8"/>
  <c r="L3862" i="8"/>
  <c r="K3862" i="8"/>
  <c r="L3861" i="8"/>
  <c r="K3861" i="8"/>
  <c r="L3860" i="8"/>
  <c r="K3860" i="8"/>
  <c r="L3859" i="8"/>
  <c r="K3859" i="8"/>
  <c r="L3858" i="8"/>
  <c r="K3858" i="8"/>
  <c r="L3857" i="8"/>
  <c r="K3857" i="8"/>
  <c r="L3856" i="8"/>
  <c r="K3856" i="8"/>
  <c r="L3855" i="8"/>
  <c r="K3855" i="8"/>
  <c r="L3854" i="8"/>
  <c r="K3854" i="8"/>
  <c r="L3853" i="8"/>
  <c r="K3853" i="8"/>
  <c r="L3852" i="8"/>
  <c r="K3852" i="8"/>
  <c r="L3851" i="8"/>
  <c r="K3851" i="8"/>
  <c r="L3850" i="8"/>
  <c r="K3850" i="8"/>
  <c r="L3849" i="8"/>
  <c r="K3849" i="8"/>
  <c r="L3848" i="8"/>
  <c r="K3848" i="8"/>
  <c r="L3847" i="8"/>
  <c r="K3847" i="8"/>
  <c r="L3846" i="8"/>
  <c r="K3846" i="8"/>
  <c r="L3845" i="8"/>
  <c r="K3845" i="8"/>
  <c r="L3844" i="8"/>
  <c r="K3844" i="8"/>
  <c r="L3843" i="8"/>
  <c r="K3843" i="8"/>
  <c r="L3842" i="8"/>
  <c r="K3842" i="8"/>
  <c r="L3841" i="8"/>
  <c r="K3841" i="8"/>
  <c r="L3840" i="8"/>
  <c r="K3840" i="8"/>
  <c r="L3839" i="8"/>
  <c r="K3839" i="8"/>
  <c r="L3838" i="8"/>
  <c r="K3838" i="8"/>
  <c r="L3837" i="8"/>
  <c r="K3837" i="8"/>
  <c r="L3836" i="8"/>
  <c r="K3836" i="8"/>
  <c r="L3835" i="8"/>
  <c r="K3835" i="8"/>
  <c r="L3834" i="8"/>
  <c r="K3834" i="8"/>
  <c r="L3833" i="8"/>
  <c r="K3833" i="8"/>
  <c r="L3832" i="8"/>
  <c r="K3832" i="8"/>
  <c r="L3831" i="8"/>
  <c r="K3831" i="8"/>
  <c r="L3830" i="8"/>
  <c r="K3830" i="8"/>
  <c r="L3829" i="8"/>
  <c r="K3829" i="8"/>
  <c r="L3828" i="8"/>
  <c r="K3828" i="8"/>
  <c r="L3827" i="8"/>
  <c r="K3827" i="8"/>
  <c r="L3826" i="8"/>
  <c r="K3826" i="8"/>
  <c r="L3825" i="8"/>
  <c r="K3825" i="8"/>
  <c r="L3824" i="8"/>
  <c r="K3824" i="8"/>
  <c r="L3823" i="8"/>
  <c r="K3823" i="8"/>
  <c r="L3822" i="8"/>
  <c r="K3822" i="8"/>
  <c r="L3821" i="8"/>
  <c r="K3821" i="8"/>
  <c r="L3820" i="8"/>
  <c r="K3820" i="8"/>
  <c r="L3819" i="8"/>
  <c r="K3819" i="8"/>
  <c r="L3818" i="8"/>
  <c r="K3818" i="8"/>
  <c r="L3817" i="8"/>
  <c r="K3817" i="8"/>
  <c r="L3816" i="8"/>
  <c r="K3816" i="8"/>
  <c r="L3815" i="8"/>
  <c r="K3815" i="8"/>
  <c r="L3814" i="8"/>
  <c r="K3814" i="8"/>
  <c r="L3813" i="8"/>
  <c r="K3813" i="8"/>
  <c r="L3812" i="8"/>
  <c r="K3812" i="8"/>
  <c r="L3811" i="8"/>
  <c r="K3811" i="8"/>
  <c r="L3810" i="8"/>
  <c r="K3810" i="8"/>
  <c r="L3809" i="8"/>
  <c r="K3809" i="8"/>
  <c r="L3808" i="8"/>
  <c r="K3808" i="8"/>
  <c r="L3807" i="8"/>
  <c r="K3807" i="8"/>
  <c r="L3806" i="8"/>
  <c r="K3806" i="8"/>
  <c r="L3805" i="8"/>
  <c r="K3805" i="8"/>
  <c r="L3804" i="8"/>
  <c r="K3804" i="8"/>
  <c r="L3803" i="8"/>
  <c r="K3803" i="8"/>
  <c r="L3802" i="8"/>
  <c r="K3802" i="8"/>
  <c r="L3801" i="8"/>
  <c r="K3801" i="8"/>
  <c r="L3800" i="8"/>
  <c r="K3800" i="8"/>
  <c r="L3799" i="8"/>
  <c r="K3799" i="8"/>
  <c r="L3798" i="8"/>
  <c r="K3798" i="8"/>
  <c r="L3797" i="8"/>
  <c r="K3797" i="8"/>
  <c r="L3796" i="8"/>
  <c r="K3796" i="8"/>
  <c r="L3795" i="8"/>
  <c r="K3795" i="8"/>
  <c r="L3794" i="8"/>
  <c r="K3794" i="8"/>
  <c r="L3793" i="8"/>
  <c r="K3793" i="8"/>
  <c r="L3792" i="8"/>
  <c r="K3792" i="8"/>
  <c r="L3791" i="8"/>
  <c r="K3791" i="8"/>
  <c r="L3790" i="8"/>
  <c r="K3790" i="8"/>
  <c r="L3789" i="8"/>
  <c r="K3789" i="8"/>
  <c r="L3788" i="8"/>
  <c r="K3788" i="8"/>
  <c r="L3787" i="8"/>
  <c r="K3787" i="8"/>
  <c r="L3786" i="8"/>
  <c r="K3786" i="8"/>
  <c r="L3785" i="8"/>
  <c r="K3785" i="8"/>
  <c r="L3784" i="8"/>
  <c r="K3784" i="8"/>
  <c r="L3783" i="8"/>
  <c r="K3783" i="8"/>
  <c r="L3782" i="8"/>
  <c r="K3782" i="8"/>
  <c r="L3781" i="8"/>
  <c r="K3781" i="8"/>
  <c r="L3780" i="8"/>
  <c r="K3780" i="8"/>
  <c r="L3779" i="8"/>
  <c r="K3779" i="8"/>
  <c r="L3778" i="8"/>
  <c r="K3778" i="8"/>
  <c r="L3777" i="8"/>
  <c r="K3777" i="8"/>
  <c r="L3776" i="8"/>
  <c r="K3776" i="8"/>
  <c r="L3775" i="8"/>
  <c r="K3775" i="8"/>
  <c r="L3774" i="8"/>
  <c r="K3774" i="8"/>
  <c r="L3773" i="8"/>
  <c r="K3773" i="8"/>
  <c r="L3772" i="8"/>
  <c r="K3772" i="8"/>
  <c r="L3771" i="8"/>
  <c r="K3771" i="8"/>
  <c r="L3770" i="8"/>
  <c r="K3770" i="8"/>
  <c r="L3769" i="8"/>
  <c r="K3769" i="8"/>
  <c r="L3768" i="8"/>
  <c r="K3768" i="8"/>
  <c r="L3767" i="8"/>
  <c r="K3767" i="8"/>
  <c r="L3766" i="8"/>
  <c r="K3766" i="8"/>
  <c r="L3765" i="8"/>
  <c r="K3765" i="8"/>
  <c r="L3764" i="8"/>
  <c r="K3764" i="8"/>
  <c r="L3763" i="8"/>
  <c r="K3763" i="8"/>
  <c r="L3762" i="8"/>
  <c r="K3762" i="8"/>
  <c r="L3761" i="8"/>
  <c r="K3761" i="8"/>
  <c r="L3760" i="8"/>
  <c r="K3760" i="8"/>
  <c r="L3759" i="8"/>
  <c r="K3759" i="8"/>
  <c r="L3758" i="8"/>
  <c r="K3758" i="8"/>
  <c r="L3757" i="8"/>
  <c r="K3757" i="8"/>
  <c r="L3756" i="8"/>
  <c r="K3756" i="8"/>
  <c r="L3755" i="8"/>
  <c r="K3755" i="8"/>
  <c r="L3754" i="8"/>
  <c r="K3754" i="8"/>
  <c r="L3753" i="8"/>
  <c r="K3753" i="8"/>
  <c r="L3752" i="8"/>
  <c r="K3752" i="8"/>
  <c r="L3751" i="8"/>
  <c r="K3751" i="8"/>
  <c r="L3750" i="8"/>
  <c r="K3750" i="8"/>
  <c r="L3749" i="8"/>
  <c r="K3749" i="8"/>
  <c r="L3748" i="8"/>
  <c r="K3748" i="8"/>
  <c r="L3747" i="8"/>
  <c r="K3747" i="8"/>
  <c r="L3746" i="8"/>
  <c r="K3746" i="8"/>
  <c r="L3745" i="8"/>
  <c r="K3745" i="8"/>
  <c r="L3744" i="8"/>
  <c r="K3744" i="8"/>
  <c r="L3743" i="8"/>
  <c r="K3743" i="8"/>
  <c r="L3742" i="8"/>
  <c r="K3742" i="8"/>
  <c r="L3741" i="8"/>
  <c r="K3741" i="8"/>
  <c r="L3740" i="8"/>
  <c r="K3740" i="8"/>
  <c r="L3739" i="8"/>
  <c r="K3739" i="8"/>
  <c r="L3738" i="8"/>
  <c r="K3738" i="8"/>
  <c r="L3737" i="8"/>
  <c r="K3737" i="8"/>
  <c r="L3736" i="8"/>
  <c r="K3736" i="8"/>
  <c r="L3735" i="8"/>
  <c r="K3735" i="8"/>
  <c r="L3734" i="8"/>
  <c r="K3734" i="8"/>
  <c r="L3733" i="8"/>
  <c r="K3733" i="8"/>
  <c r="L3732" i="8"/>
  <c r="K3732" i="8"/>
  <c r="L3731" i="8"/>
  <c r="K3731" i="8"/>
  <c r="L3730" i="8"/>
  <c r="K3730" i="8"/>
  <c r="L3729" i="8"/>
  <c r="K3729" i="8"/>
  <c r="L3728" i="8"/>
  <c r="K3728" i="8"/>
  <c r="L3727" i="8"/>
  <c r="K3727" i="8"/>
  <c r="L3726" i="8"/>
  <c r="K3726" i="8"/>
  <c r="L3725" i="8"/>
  <c r="K3725" i="8"/>
  <c r="L3724" i="8"/>
  <c r="K3724" i="8"/>
  <c r="L3723" i="8"/>
  <c r="K3723" i="8"/>
  <c r="L3722" i="8"/>
  <c r="K3722" i="8"/>
  <c r="L3721" i="8"/>
  <c r="K3721" i="8"/>
  <c r="L3720" i="8"/>
  <c r="K3720" i="8"/>
  <c r="L3719" i="8"/>
  <c r="K3719" i="8"/>
  <c r="L3718" i="8"/>
  <c r="K3718" i="8"/>
  <c r="L3717" i="8"/>
  <c r="K3717" i="8"/>
  <c r="L3716" i="8"/>
  <c r="K3716" i="8"/>
  <c r="L3715" i="8"/>
  <c r="K3715" i="8"/>
  <c r="L3714" i="8"/>
  <c r="K3714" i="8"/>
  <c r="L3713" i="8"/>
  <c r="K3713" i="8"/>
  <c r="L3712" i="8"/>
  <c r="K3712" i="8"/>
  <c r="L3711" i="8"/>
  <c r="K3711" i="8"/>
  <c r="L3710" i="8"/>
  <c r="K3710" i="8"/>
  <c r="L3709" i="8"/>
  <c r="K3709" i="8"/>
  <c r="L3708" i="8"/>
  <c r="K3708" i="8"/>
  <c r="L3707" i="8"/>
  <c r="K3707" i="8"/>
  <c r="L3706" i="8"/>
  <c r="K3706" i="8"/>
  <c r="L3705" i="8"/>
  <c r="K3705" i="8"/>
  <c r="L3704" i="8"/>
  <c r="K3704" i="8"/>
  <c r="L3703" i="8"/>
  <c r="K3703" i="8"/>
  <c r="L3702" i="8"/>
  <c r="K3702" i="8"/>
  <c r="L3701" i="8"/>
  <c r="K3701" i="8"/>
  <c r="L3700" i="8"/>
  <c r="K3700" i="8"/>
  <c r="L3699" i="8"/>
  <c r="K3699" i="8"/>
  <c r="L3698" i="8"/>
  <c r="K3698" i="8"/>
  <c r="L3697" i="8"/>
  <c r="K3697" i="8"/>
  <c r="L3696" i="8"/>
  <c r="K3696" i="8"/>
  <c r="L3695" i="8"/>
  <c r="K3695" i="8"/>
  <c r="L3694" i="8"/>
  <c r="K3694" i="8"/>
  <c r="L3693" i="8"/>
  <c r="K3693" i="8"/>
  <c r="L3692" i="8"/>
  <c r="K3692" i="8"/>
  <c r="L3691" i="8"/>
  <c r="K3691" i="8"/>
  <c r="L3690" i="8"/>
  <c r="K3690" i="8"/>
  <c r="L3689" i="8"/>
  <c r="K3689" i="8"/>
  <c r="L3688" i="8"/>
  <c r="K3688" i="8"/>
  <c r="L3687" i="8"/>
  <c r="K3687" i="8"/>
  <c r="L3686" i="8"/>
  <c r="K3686" i="8"/>
  <c r="L3685" i="8"/>
  <c r="K3685" i="8"/>
  <c r="L3684" i="8"/>
  <c r="K3684" i="8"/>
  <c r="L3683" i="8"/>
  <c r="K3683" i="8"/>
  <c r="L3682" i="8"/>
  <c r="K3682" i="8"/>
  <c r="L3681" i="8"/>
  <c r="K3681" i="8"/>
  <c r="L3680" i="8"/>
  <c r="K3680" i="8"/>
  <c r="L3679" i="8"/>
  <c r="K3679" i="8"/>
  <c r="L3678" i="8"/>
  <c r="K3678" i="8"/>
  <c r="L3677" i="8"/>
  <c r="K3677" i="8"/>
  <c r="L3676" i="8"/>
  <c r="K3676" i="8"/>
  <c r="L3675" i="8"/>
  <c r="K3675" i="8"/>
  <c r="L3674" i="8"/>
  <c r="K3674" i="8"/>
  <c r="L3673" i="8"/>
  <c r="K3673" i="8"/>
  <c r="L3672" i="8"/>
  <c r="K3672" i="8"/>
  <c r="L3671" i="8"/>
  <c r="K3671" i="8"/>
  <c r="L3670" i="8"/>
  <c r="K3670" i="8"/>
  <c r="L3669" i="8"/>
  <c r="K3669" i="8"/>
  <c r="L3668" i="8"/>
  <c r="K3668" i="8"/>
  <c r="L3667" i="8"/>
  <c r="K3667" i="8"/>
  <c r="L3666" i="8"/>
  <c r="K3666" i="8"/>
  <c r="L3665" i="8"/>
  <c r="K3665" i="8"/>
  <c r="L3664" i="8"/>
  <c r="K3664" i="8"/>
  <c r="L3663" i="8"/>
  <c r="K3663" i="8"/>
  <c r="L3662" i="8"/>
  <c r="K3662" i="8"/>
  <c r="L3661" i="8"/>
  <c r="K3661" i="8"/>
  <c r="L3660" i="8"/>
  <c r="K3660" i="8"/>
  <c r="L3659" i="8"/>
  <c r="K3659" i="8"/>
  <c r="L3658" i="8"/>
  <c r="K3658" i="8"/>
  <c r="L3657" i="8"/>
  <c r="K3657" i="8"/>
  <c r="L3656" i="8"/>
  <c r="K3656" i="8"/>
  <c r="L3655" i="8"/>
  <c r="K3655" i="8"/>
  <c r="L3654" i="8"/>
  <c r="K3654" i="8"/>
  <c r="L3653" i="8"/>
  <c r="K3653" i="8"/>
  <c r="L3652" i="8"/>
  <c r="K3652" i="8"/>
  <c r="L3651" i="8"/>
  <c r="K3651" i="8"/>
  <c r="L3650" i="8"/>
  <c r="K3650" i="8"/>
  <c r="L3649" i="8"/>
  <c r="K3649" i="8"/>
  <c r="L3648" i="8"/>
  <c r="K3648" i="8"/>
  <c r="L3647" i="8"/>
  <c r="K3647" i="8"/>
  <c r="L3646" i="8"/>
  <c r="K3646" i="8"/>
  <c r="L3645" i="8"/>
  <c r="K3645" i="8"/>
  <c r="L3644" i="8"/>
  <c r="K3644" i="8"/>
  <c r="L3643" i="8"/>
  <c r="K3643" i="8"/>
  <c r="L3642" i="8"/>
  <c r="K3642" i="8"/>
  <c r="L3641" i="8"/>
  <c r="K3641" i="8"/>
  <c r="L3640" i="8"/>
  <c r="K3640" i="8"/>
  <c r="L3639" i="8"/>
  <c r="K3639" i="8"/>
  <c r="L3638" i="8"/>
  <c r="K3638" i="8"/>
  <c r="L3637" i="8"/>
  <c r="K3637" i="8"/>
  <c r="L3636" i="8"/>
  <c r="K3636" i="8"/>
  <c r="L3635" i="8"/>
  <c r="K3635" i="8"/>
  <c r="L3634" i="8"/>
  <c r="K3634" i="8"/>
  <c r="L3633" i="8"/>
  <c r="K3633" i="8"/>
  <c r="L3632" i="8"/>
  <c r="K3632" i="8"/>
  <c r="L3631" i="8"/>
  <c r="K3631" i="8"/>
  <c r="L3630" i="8"/>
  <c r="K3630" i="8"/>
  <c r="L3629" i="8"/>
  <c r="K3629" i="8"/>
  <c r="L3628" i="8"/>
  <c r="K3628" i="8"/>
  <c r="L3627" i="8"/>
  <c r="K3627" i="8"/>
  <c r="L3626" i="8"/>
  <c r="K3626" i="8"/>
  <c r="L3625" i="8"/>
  <c r="K3625" i="8"/>
  <c r="L3624" i="8"/>
  <c r="K3624" i="8"/>
  <c r="L3623" i="8"/>
  <c r="K3623" i="8"/>
  <c r="L3622" i="8"/>
  <c r="K3622" i="8"/>
  <c r="L3621" i="8"/>
  <c r="K3621" i="8"/>
  <c r="L3620" i="8"/>
  <c r="K3620" i="8"/>
  <c r="L3619" i="8"/>
  <c r="K3619" i="8"/>
  <c r="L3618" i="8"/>
  <c r="K3618" i="8"/>
  <c r="L3617" i="8"/>
  <c r="K3617" i="8"/>
  <c r="L3616" i="8"/>
  <c r="K3616" i="8"/>
  <c r="L3615" i="8"/>
  <c r="K3615" i="8"/>
  <c r="L3614" i="8"/>
  <c r="K3614" i="8"/>
  <c r="L3613" i="8"/>
  <c r="K3613" i="8"/>
  <c r="L3612" i="8"/>
  <c r="K3612" i="8"/>
  <c r="L3611" i="8"/>
  <c r="K3611" i="8"/>
  <c r="L3610" i="8"/>
  <c r="K3610" i="8"/>
  <c r="L3609" i="8"/>
  <c r="K3609" i="8"/>
  <c r="L3608" i="8"/>
  <c r="K3608" i="8"/>
  <c r="L3607" i="8"/>
  <c r="K3607" i="8"/>
  <c r="L3606" i="8"/>
  <c r="K3606" i="8"/>
  <c r="L3605" i="8"/>
  <c r="K3605" i="8"/>
  <c r="L3604" i="8"/>
  <c r="K3604" i="8"/>
  <c r="L3603" i="8"/>
  <c r="K3603" i="8"/>
  <c r="L3602" i="8"/>
  <c r="K3602" i="8"/>
  <c r="L3601" i="8"/>
  <c r="K3601" i="8"/>
  <c r="L3600" i="8"/>
  <c r="K3600" i="8"/>
  <c r="L3599" i="8"/>
  <c r="K3599" i="8"/>
  <c r="L3598" i="8"/>
  <c r="K3598" i="8"/>
  <c r="L3597" i="8"/>
  <c r="K3597" i="8"/>
  <c r="L3596" i="8"/>
  <c r="K3596" i="8"/>
  <c r="L3595" i="8"/>
  <c r="K3595" i="8"/>
  <c r="L3594" i="8"/>
  <c r="K3594" i="8"/>
  <c r="L3593" i="8"/>
  <c r="K3593" i="8"/>
  <c r="L3592" i="8"/>
  <c r="K3592" i="8"/>
  <c r="L3591" i="8"/>
  <c r="K3591" i="8"/>
  <c r="L3590" i="8"/>
  <c r="K3590" i="8"/>
  <c r="L3589" i="8"/>
  <c r="K3589" i="8"/>
  <c r="L3588" i="8"/>
  <c r="K3588" i="8"/>
  <c r="L3587" i="8"/>
  <c r="K3587" i="8"/>
  <c r="L3586" i="8"/>
  <c r="K3586" i="8"/>
  <c r="L3585" i="8"/>
  <c r="K3585" i="8"/>
  <c r="L3584" i="8"/>
  <c r="K3584" i="8"/>
  <c r="L3583" i="8"/>
  <c r="K3583" i="8"/>
  <c r="L3582" i="8"/>
  <c r="K3582" i="8"/>
  <c r="L3581" i="8"/>
  <c r="K3581" i="8"/>
  <c r="L3580" i="8"/>
  <c r="K3580" i="8"/>
  <c r="L3579" i="8"/>
  <c r="K3579" i="8"/>
  <c r="L3578" i="8"/>
  <c r="K3578" i="8"/>
  <c r="L3577" i="8"/>
  <c r="K3577" i="8"/>
  <c r="L3576" i="8"/>
  <c r="K3576" i="8"/>
  <c r="L3575" i="8"/>
  <c r="K3575" i="8"/>
  <c r="L3574" i="8"/>
  <c r="K3574" i="8"/>
  <c r="L3573" i="8"/>
  <c r="K3573" i="8"/>
  <c r="L3572" i="8"/>
  <c r="K3572" i="8"/>
  <c r="L3571" i="8"/>
  <c r="K3571" i="8"/>
  <c r="L3570" i="8"/>
  <c r="K3570" i="8"/>
  <c r="L3569" i="8"/>
  <c r="K3569" i="8"/>
  <c r="L3568" i="8"/>
  <c r="K3568" i="8"/>
  <c r="L3567" i="8"/>
  <c r="K3567" i="8"/>
  <c r="L3566" i="8"/>
  <c r="K3566" i="8"/>
  <c r="L3565" i="8"/>
  <c r="K3565" i="8"/>
  <c r="L3564" i="8"/>
  <c r="K3564" i="8"/>
  <c r="L3563" i="8"/>
  <c r="K3563" i="8"/>
  <c r="L3562" i="8"/>
  <c r="K3562" i="8"/>
  <c r="L3561" i="8"/>
  <c r="K3561" i="8"/>
  <c r="L3560" i="8"/>
  <c r="K3560" i="8"/>
  <c r="L3559" i="8"/>
  <c r="K3559" i="8"/>
  <c r="L3558" i="8"/>
  <c r="K3558" i="8"/>
  <c r="L3557" i="8"/>
  <c r="K3557" i="8"/>
  <c r="L3556" i="8"/>
  <c r="K3556" i="8"/>
  <c r="L3555" i="8"/>
  <c r="K3555" i="8"/>
  <c r="L3554" i="8"/>
  <c r="K3554" i="8"/>
  <c r="L3553" i="8"/>
  <c r="K3553" i="8"/>
  <c r="L3552" i="8"/>
  <c r="K3552" i="8"/>
  <c r="L3551" i="8"/>
  <c r="K3551" i="8"/>
  <c r="L3550" i="8"/>
  <c r="K3550" i="8"/>
  <c r="L3549" i="8"/>
  <c r="K3549" i="8"/>
  <c r="L3548" i="8"/>
  <c r="K3548" i="8"/>
  <c r="L3547" i="8"/>
  <c r="K3547" i="8"/>
  <c r="L3546" i="8"/>
  <c r="K3546" i="8"/>
  <c r="L3545" i="8"/>
  <c r="K3545" i="8"/>
  <c r="L3544" i="8"/>
  <c r="K3544" i="8"/>
  <c r="L3543" i="8"/>
  <c r="K3543" i="8"/>
  <c r="L3542" i="8"/>
  <c r="K3542" i="8"/>
  <c r="L3541" i="8"/>
  <c r="K3541" i="8"/>
  <c r="L3540" i="8"/>
  <c r="K3540" i="8"/>
  <c r="L3539" i="8"/>
  <c r="K3539" i="8"/>
  <c r="L3538" i="8"/>
  <c r="K3538" i="8"/>
  <c r="L3537" i="8"/>
  <c r="K3537" i="8"/>
  <c r="L3536" i="8"/>
  <c r="K3536" i="8"/>
  <c r="L3535" i="8"/>
  <c r="K3535" i="8"/>
  <c r="L3534" i="8"/>
  <c r="K3534" i="8"/>
  <c r="L3533" i="8"/>
  <c r="K3533" i="8"/>
  <c r="L3532" i="8"/>
  <c r="K3532" i="8"/>
  <c r="L3531" i="8"/>
  <c r="K3531" i="8"/>
  <c r="L3530" i="8"/>
  <c r="K3530" i="8"/>
  <c r="L3529" i="8"/>
  <c r="K3529" i="8"/>
  <c r="L3528" i="8"/>
  <c r="K3528" i="8"/>
  <c r="L3527" i="8"/>
  <c r="K3527" i="8"/>
  <c r="L3526" i="8"/>
  <c r="K3526" i="8"/>
  <c r="L3525" i="8"/>
  <c r="K3525" i="8"/>
  <c r="L3524" i="8"/>
  <c r="K3524" i="8"/>
  <c r="L3523" i="8"/>
  <c r="K3523" i="8"/>
  <c r="L3522" i="8"/>
  <c r="K3522" i="8"/>
  <c r="L3521" i="8"/>
  <c r="K3521" i="8"/>
  <c r="L3520" i="8"/>
  <c r="K3520" i="8"/>
  <c r="L3519" i="8"/>
  <c r="K3519" i="8"/>
  <c r="L3518" i="8"/>
  <c r="K3518" i="8"/>
  <c r="L3517" i="8"/>
  <c r="K3517" i="8"/>
  <c r="L3516" i="8"/>
  <c r="K3516" i="8"/>
  <c r="L3515" i="8"/>
  <c r="K3515" i="8"/>
  <c r="L3514" i="8"/>
  <c r="K3514" i="8"/>
  <c r="L3513" i="8"/>
  <c r="K3513" i="8"/>
  <c r="L3512" i="8"/>
  <c r="K3512" i="8"/>
  <c r="L3511" i="8"/>
  <c r="K3511" i="8"/>
  <c r="L3510" i="8"/>
  <c r="K3510" i="8"/>
  <c r="L3509" i="8"/>
  <c r="K3509" i="8"/>
  <c r="L3508" i="8"/>
  <c r="K3508" i="8"/>
  <c r="L3507" i="8"/>
  <c r="K3507" i="8"/>
  <c r="L3506" i="8"/>
  <c r="K3506" i="8"/>
  <c r="L3505" i="8"/>
  <c r="K3505" i="8"/>
  <c r="L3504" i="8"/>
  <c r="K3504" i="8"/>
  <c r="L3503" i="8"/>
  <c r="K3503" i="8"/>
  <c r="L3502" i="8"/>
  <c r="K3502" i="8"/>
  <c r="L3501" i="8"/>
  <c r="K3501" i="8"/>
  <c r="L3500" i="8"/>
  <c r="K3500" i="8"/>
  <c r="L3499" i="8"/>
  <c r="K3499" i="8"/>
  <c r="L3498" i="8"/>
  <c r="K3498" i="8"/>
  <c r="L3497" i="8"/>
  <c r="K3497" i="8"/>
  <c r="L3496" i="8"/>
  <c r="K3496" i="8"/>
  <c r="L3495" i="8"/>
  <c r="K3495" i="8"/>
  <c r="L3494" i="8"/>
  <c r="K3494" i="8"/>
  <c r="L3493" i="8"/>
  <c r="K3493" i="8"/>
  <c r="L3492" i="8"/>
  <c r="K3492" i="8"/>
  <c r="L3491" i="8"/>
  <c r="K3491" i="8"/>
  <c r="L3490" i="8"/>
  <c r="K3490" i="8"/>
  <c r="L3489" i="8"/>
  <c r="K3489" i="8"/>
  <c r="L3488" i="8"/>
  <c r="K3488" i="8"/>
  <c r="L3487" i="8"/>
  <c r="K3487" i="8"/>
  <c r="L3486" i="8"/>
  <c r="K3486" i="8"/>
  <c r="L3485" i="8"/>
  <c r="K3485" i="8"/>
  <c r="L3484" i="8"/>
  <c r="K3484" i="8"/>
  <c r="L3483" i="8"/>
  <c r="K3483" i="8"/>
  <c r="L3482" i="8"/>
  <c r="K3482" i="8"/>
  <c r="L3481" i="8"/>
  <c r="K3481" i="8"/>
  <c r="L3480" i="8"/>
  <c r="K3480" i="8"/>
  <c r="L3479" i="8"/>
  <c r="K3479" i="8"/>
  <c r="L3478" i="8"/>
  <c r="K3478" i="8"/>
  <c r="L3477" i="8"/>
  <c r="K3477" i="8"/>
  <c r="L3476" i="8"/>
  <c r="K3476" i="8"/>
  <c r="L3475" i="8"/>
  <c r="K3475" i="8"/>
  <c r="L3474" i="8"/>
  <c r="K3474" i="8"/>
  <c r="L3473" i="8"/>
  <c r="K3473" i="8"/>
  <c r="L3472" i="8"/>
  <c r="K3472" i="8"/>
  <c r="L3471" i="8"/>
  <c r="K3471" i="8"/>
  <c r="L3470" i="8"/>
  <c r="K3470" i="8"/>
  <c r="L3469" i="8"/>
  <c r="K3469" i="8"/>
  <c r="L3468" i="8"/>
  <c r="K3468" i="8"/>
  <c r="L3467" i="8"/>
  <c r="K3467" i="8"/>
  <c r="L3466" i="8"/>
  <c r="K3466" i="8"/>
  <c r="L3465" i="8"/>
  <c r="K3465" i="8"/>
  <c r="L3464" i="8"/>
  <c r="K3464" i="8"/>
  <c r="L3463" i="8"/>
  <c r="K3463" i="8"/>
  <c r="L3462" i="8"/>
  <c r="K3462" i="8"/>
  <c r="L3461" i="8"/>
  <c r="K3461" i="8"/>
  <c r="L3460" i="8"/>
  <c r="K3460" i="8"/>
  <c r="L3459" i="8"/>
  <c r="K3459" i="8"/>
  <c r="L3458" i="8"/>
  <c r="K3458" i="8"/>
  <c r="L3457" i="8"/>
  <c r="K3457" i="8"/>
  <c r="L3456" i="8"/>
  <c r="K3456" i="8"/>
  <c r="L3455" i="8"/>
  <c r="K3455" i="8"/>
  <c r="L3454" i="8"/>
  <c r="K3454" i="8"/>
  <c r="L3453" i="8"/>
  <c r="K3453" i="8"/>
  <c r="L3452" i="8"/>
  <c r="K3452" i="8"/>
  <c r="L3451" i="8"/>
  <c r="K3451" i="8"/>
  <c r="L3450" i="8"/>
  <c r="K3450" i="8"/>
  <c r="L3449" i="8"/>
  <c r="K3449" i="8"/>
  <c r="L3448" i="8"/>
  <c r="K3448" i="8"/>
  <c r="L3447" i="8"/>
  <c r="K3447" i="8"/>
  <c r="L3446" i="8"/>
  <c r="K3446" i="8"/>
  <c r="L3445" i="8"/>
  <c r="K3445" i="8"/>
  <c r="L3444" i="8"/>
  <c r="K3444" i="8"/>
  <c r="L3443" i="8"/>
  <c r="K3443" i="8"/>
  <c r="L3442" i="8"/>
  <c r="K3442" i="8"/>
  <c r="L3441" i="8"/>
  <c r="K3441" i="8"/>
  <c r="L3440" i="8"/>
  <c r="K3440" i="8"/>
  <c r="L3439" i="8"/>
  <c r="K3439" i="8"/>
  <c r="L3438" i="8"/>
  <c r="K3438" i="8"/>
  <c r="L3437" i="8"/>
  <c r="K3437" i="8"/>
  <c r="L3436" i="8"/>
  <c r="K3436" i="8"/>
  <c r="L3435" i="8"/>
  <c r="K3435" i="8"/>
  <c r="L3434" i="8"/>
  <c r="K3434" i="8"/>
  <c r="L3433" i="8"/>
  <c r="K3433" i="8"/>
  <c r="L3432" i="8"/>
  <c r="K3432" i="8"/>
  <c r="L3431" i="8"/>
  <c r="K3431" i="8"/>
  <c r="L3430" i="8"/>
  <c r="K3430" i="8"/>
  <c r="L3429" i="8"/>
  <c r="K3429" i="8"/>
  <c r="L3428" i="8"/>
  <c r="K3428" i="8"/>
  <c r="L3427" i="8"/>
  <c r="K3427" i="8"/>
  <c r="L3426" i="8"/>
  <c r="K3426" i="8"/>
  <c r="L3425" i="8"/>
  <c r="K3425" i="8"/>
  <c r="L3424" i="8"/>
  <c r="K3424" i="8"/>
  <c r="L3423" i="8"/>
  <c r="K3423" i="8"/>
  <c r="L3422" i="8"/>
  <c r="K3422" i="8"/>
  <c r="L3421" i="8"/>
  <c r="K3421" i="8"/>
  <c r="L3420" i="8"/>
  <c r="K3420" i="8"/>
  <c r="L3419" i="8"/>
  <c r="K3419" i="8"/>
  <c r="L3418" i="8"/>
  <c r="K3418" i="8"/>
  <c r="L3417" i="8"/>
  <c r="K3417" i="8"/>
  <c r="L3416" i="8"/>
  <c r="K3416" i="8"/>
  <c r="L3415" i="8"/>
  <c r="K3415" i="8"/>
  <c r="L3414" i="8"/>
  <c r="K3414" i="8"/>
  <c r="L3413" i="8"/>
  <c r="K3413" i="8"/>
  <c r="L3412" i="8"/>
  <c r="K3412" i="8"/>
  <c r="L3411" i="8"/>
  <c r="K3411" i="8"/>
  <c r="L3410" i="8"/>
  <c r="K3410" i="8"/>
  <c r="L3409" i="8"/>
  <c r="K3409" i="8"/>
  <c r="L3408" i="8"/>
  <c r="K3408" i="8"/>
  <c r="L3407" i="8"/>
  <c r="K3407" i="8"/>
  <c r="L3406" i="8"/>
  <c r="K3406" i="8"/>
  <c r="L3405" i="8"/>
  <c r="K3405" i="8"/>
  <c r="L3404" i="8"/>
  <c r="K3404" i="8"/>
  <c r="L3403" i="8"/>
  <c r="K3403" i="8"/>
  <c r="L3402" i="8"/>
  <c r="K3402" i="8"/>
  <c r="L3401" i="8"/>
  <c r="K3401" i="8"/>
  <c r="L3400" i="8"/>
  <c r="K3400" i="8"/>
  <c r="L3399" i="8"/>
  <c r="K3399" i="8"/>
  <c r="L3398" i="8"/>
  <c r="K3398" i="8"/>
  <c r="L3397" i="8"/>
  <c r="K3397" i="8"/>
  <c r="L3396" i="8"/>
  <c r="K3396" i="8"/>
  <c r="L3395" i="8"/>
  <c r="K3395" i="8"/>
  <c r="L3394" i="8"/>
  <c r="K3394" i="8"/>
  <c r="L3393" i="8"/>
  <c r="K3393" i="8"/>
  <c r="L3392" i="8"/>
  <c r="K3392" i="8"/>
  <c r="L3391" i="8"/>
  <c r="K3391" i="8"/>
  <c r="L3390" i="8"/>
  <c r="K3390" i="8"/>
  <c r="L3389" i="8"/>
  <c r="K3389" i="8"/>
  <c r="L3388" i="8"/>
  <c r="K3388" i="8"/>
  <c r="L3387" i="8"/>
  <c r="K3387" i="8"/>
  <c r="L3386" i="8"/>
  <c r="K3386" i="8"/>
  <c r="L3385" i="8"/>
  <c r="K3385" i="8"/>
  <c r="L3384" i="8"/>
  <c r="K3384" i="8"/>
  <c r="L3383" i="8"/>
  <c r="K3383" i="8"/>
  <c r="L3382" i="8"/>
  <c r="K3382" i="8"/>
  <c r="L3381" i="8"/>
  <c r="K3381" i="8"/>
  <c r="L3380" i="8"/>
  <c r="K3380" i="8"/>
  <c r="L3379" i="8"/>
  <c r="K3379" i="8"/>
  <c r="L3378" i="8"/>
  <c r="K3378" i="8"/>
  <c r="L3377" i="8"/>
  <c r="K3377" i="8"/>
  <c r="L3376" i="8"/>
  <c r="K3376" i="8"/>
  <c r="L3375" i="8"/>
  <c r="K3375" i="8"/>
  <c r="L3374" i="8"/>
  <c r="K3374" i="8"/>
  <c r="L3373" i="8"/>
  <c r="K3373" i="8"/>
  <c r="L3372" i="8"/>
  <c r="K3372" i="8"/>
  <c r="L3371" i="8"/>
  <c r="K3371" i="8"/>
  <c r="L3370" i="8"/>
  <c r="K3370" i="8"/>
  <c r="L3369" i="8"/>
  <c r="K3369" i="8"/>
  <c r="L3368" i="8"/>
  <c r="K3368" i="8"/>
  <c r="L3367" i="8"/>
  <c r="K3367" i="8"/>
  <c r="L3366" i="8"/>
  <c r="K3366" i="8"/>
  <c r="L3365" i="8"/>
  <c r="K3365" i="8"/>
  <c r="L3364" i="8"/>
  <c r="K3364" i="8"/>
  <c r="L3363" i="8"/>
  <c r="K3363" i="8"/>
  <c r="L3362" i="8"/>
  <c r="K3362" i="8"/>
  <c r="L3361" i="8"/>
  <c r="K3361" i="8"/>
  <c r="L3360" i="8"/>
  <c r="K3360" i="8"/>
  <c r="L3359" i="8"/>
  <c r="K3359" i="8"/>
  <c r="L3358" i="8"/>
  <c r="K3358" i="8"/>
  <c r="L3357" i="8"/>
  <c r="K3357" i="8"/>
  <c r="L3356" i="8"/>
  <c r="K3356" i="8"/>
  <c r="L3355" i="8"/>
  <c r="K3355" i="8"/>
  <c r="L3354" i="8"/>
  <c r="K3354" i="8"/>
  <c r="L3353" i="8"/>
  <c r="K3353" i="8"/>
  <c r="L3352" i="8"/>
  <c r="K3352" i="8"/>
  <c r="L3351" i="8"/>
  <c r="K3351" i="8"/>
  <c r="L3350" i="8"/>
  <c r="K3350" i="8"/>
  <c r="L3349" i="8"/>
  <c r="K3349" i="8"/>
  <c r="L3348" i="8"/>
  <c r="K3348" i="8"/>
  <c r="L3347" i="8"/>
  <c r="K3347" i="8"/>
  <c r="L3346" i="8"/>
  <c r="K3346" i="8"/>
  <c r="L3345" i="8"/>
  <c r="K3345" i="8"/>
  <c r="L3344" i="8"/>
  <c r="K3344" i="8"/>
  <c r="L3343" i="8"/>
  <c r="K3343" i="8"/>
  <c r="L3342" i="8"/>
  <c r="K3342" i="8"/>
  <c r="L3341" i="8"/>
  <c r="K3341" i="8"/>
  <c r="L3340" i="8"/>
  <c r="K3340" i="8"/>
  <c r="L3339" i="8"/>
  <c r="K3339" i="8"/>
  <c r="L3338" i="8"/>
  <c r="K3338" i="8"/>
  <c r="L3337" i="8"/>
  <c r="K3337" i="8"/>
  <c r="L3336" i="8"/>
  <c r="K3336" i="8"/>
  <c r="L3335" i="8"/>
  <c r="K3335" i="8"/>
  <c r="L3334" i="8"/>
  <c r="K3334" i="8"/>
  <c r="L3333" i="8"/>
  <c r="K3333" i="8"/>
  <c r="L3332" i="8"/>
  <c r="K3332" i="8"/>
  <c r="L3331" i="8"/>
  <c r="K3331" i="8"/>
  <c r="L3330" i="8"/>
  <c r="K3330" i="8"/>
  <c r="L3329" i="8"/>
  <c r="K3329" i="8"/>
  <c r="L3328" i="8"/>
  <c r="K3328" i="8"/>
  <c r="L3327" i="8"/>
  <c r="K3327" i="8"/>
  <c r="L3326" i="8"/>
  <c r="K3326" i="8"/>
  <c r="L3325" i="8"/>
  <c r="K3325" i="8"/>
  <c r="L3324" i="8"/>
  <c r="K3324" i="8"/>
  <c r="L3323" i="8"/>
  <c r="K3323" i="8"/>
  <c r="L3322" i="8"/>
  <c r="K3322" i="8"/>
  <c r="L3321" i="8"/>
  <c r="K3321" i="8"/>
  <c r="L3320" i="8"/>
  <c r="K3320" i="8"/>
  <c r="L3319" i="8"/>
  <c r="K3319" i="8"/>
  <c r="L3318" i="8"/>
  <c r="K3318" i="8"/>
  <c r="L3317" i="8"/>
  <c r="K3317" i="8"/>
  <c r="L3316" i="8"/>
  <c r="K3316" i="8"/>
  <c r="L3315" i="8"/>
  <c r="K3315" i="8"/>
  <c r="L3314" i="8"/>
  <c r="K3314" i="8"/>
  <c r="L3313" i="8"/>
  <c r="K3313" i="8"/>
  <c r="L3312" i="8"/>
  <c r="K3312" i="8"/>
  <c r="L3311" i="8"/>
  <c r="K3311" i="8"/>
  <c r="L3310" i="8"/>
  <c r="K3310" i="8"/>
  <c r="L3309" i="8"/>
  <c r="K3309" i="8"/>
  <c r="L3308" i="8"/>
  <c r="K3308" i="8"/>
  <c r="L3307" i="8"/>
  <c r="K3307" i="8"/>
  <c r="L3306" i="8"/>
  <c r="K3306" i="8"/>
  <c r="L3305" i="8"/>
  <c r="K3305" i="8"/>
  <c r="L3304" i="8"/>
  <c r="K3304" i="8"/>
  <c r="L3303" i="8"/>
  <c r="K3303" i="8"/>
  <c r="L3302" i="8"/>
  <c r="K3302" i="8"/>
  <c r="L3301" i="8"/>
  <c r="K3301" i="8"/>
  <c r="L3300" i="8"/>
  <c r="K3300" i="8"/>
  <c r="L3299" i="8"/>
  <c r="K3299" i="8"/>
  <c r="L3298" i="8"/>
  <c r="K3298" i="8"/>
  <c r="L3297" i="8"/>
  <c r="K3297" i="8"/>
  <c r="L3296" i="8"/>
  <c r="K3296" i="8"/>
  <c r="L3295" i="8"/>
  <c r="K3295" i="8"/>
  <c r="L3294" i="8"/>
  <c r="K3294" i="8"/>
  <c r="L3293" i="8"/>
  <c r="K3293" i="8"/>
  <c r="L3292" i="8"/>
  <c r="K3292" i="8"/>
  <c r="L3291" i="8"/>
  <c r="K3291" i="8"/>
  <c r="L3290" i="8"/>
  <c r="K3290" i="8"/>
  <c r="L3289" i="8"/>
  <c r="K3289" i="8"/>
  <c r="L3288" i="8"/>
  <c r="K3288" i="8"/>
  <c r="L3287" i="8"/>
  <c r="K3287" i="8"/>
  <c r="L3286" i="8"/>
  <c r="K3286" i="8"/>
  <c r="L3285" i="8"/>
  <c r="K3285" i="8"/>
  <c r="L3284" i="8"/>
  <c r="K3284" i="8"/>
  <c r="L3283" i="8"/>
  <c r="K3283" i="8"/>
  <c r="L3282" i="8"/>
  <c r="K3282" i="8"/>
  <c r="L3281" i="8"/>
  <c r="K3281" i="8"/>
  <c r="L3280" i="8"/>
  <c r="K3280" i="8"/>
  <c r="L3279" i="8"/>
  <c r="K3279" i="8"/>
  <c r="L3278" i="8"/>
  <c r="K3278" i="8"/>
  <c r="L3277" i="8"/>
  <c r="K3277" i="8"/>
  <c r="L3276" i="8"/>
  <c r="K3276" i="8"/>
  <c r="L3275" i="8"/>
  <c r="K3275" i="8"/>
  <c r="L3274" i="8"/>
  <c r="K3274" i="8"/>
  <c r="L3273" i="8"/>
  <c r="K3273" i="8"/>
  <c r="L3272" i="8"/>
  <c r="K3272" i="8"/>
  <c r="L3271" i="8"/>
  <c r="K3271" i="8"/>
  <c r="L3270" i="8"/>
  <c r="K3270" i="8"/>
  <c r="L3269" i="8"/>
  <c r="K3269" i="8"/>
  <c r="L3268" i="8"/>
  <c r="K3268" i="8"/>
  <c r="L3267" i="8"/>
  <c r="K3267" i="8"/>
  <c r="L3266" i="8"/>
  <c r="K3266" i="8"/>
  <c r="L3265" i="8"/>
  <c r="K3265" i="8"/>
  <c r="L3264" i="8"/>
  <c r="K3264" i="8"/>
  <c r="L3263" i="8"/>
  <c r="K3263" i="8"/>
  <c r="L3262" i="8"/>
  <c r="K3262" i="8"/>
  <c r="L3261" i="8"/>
  <c r="K3261" i="8"/>
  <c r="L3260" i="8"/>
  <c r="K3260" i="8"/>
  <c r="L3259" i="8"/>
  <c r="K3259" i="8"/>
  <c r="L3258" i="8"/>
  <c r="K3258" i="8"/>
  <c r="L3257" i="8"/>
  <c r="K3257" i="8"/>
  <c r="L3256" i="8"/>
  <c r="K3256" i="8"/>
  <c r="L3255" i="8"/>
  <c r="K3255" i="8"/>
  <c r="L3254" i="8"/>
  <c r="K3254" i="8"/>
  <c r="L3253" i="8"/>
  <c r="K3253" i="8"/>
  <c r="L3252" i="8"/>
  <c r="K3252" i="8"/>
  <c r="L3251" i="8"/>
  <c r="K3251" i="8"/>
  <c r="L3250" i="8"/>
  <c r="K3250" i="8"/>
  <c r="L3249" i="8"/>
  <c r="K3249" i="8"/>
  <c r="L3248" i="8"/>
  <c r="K3248" i="8"/>
  <c r="L3247" i="8"/>
  <c r="K3247" i="8"/>
  <c r="L3246" i="8"/>
  <c r="K3246" i="8"/>
  <c r="L3245" i="8"/>
  <c r="K3245" i="8"/>
  <c r="L3244" i="8"/>
  <c r="K3244" i="8"/>
  <c r="L3243" i="8"/>
  <c r="K3243" i="8"/>
  <c r="L3242" i="8"/>
  <c r="K3242" i="8"/>
  <c r="L3241" i="8"/>
  <c r="K3241" i="8"/>
  <c r="L3240" i="8"/>
  <c r="K3240" i="8"/>
  <c r="L3239" i="8"/>
  <c r="K3239" i="8"/>
  <c r="L3238" i="8"/>
  <c r="K3238" i="8"/>
  <c r="L3237" i="8"/>
  <c r="K3237" i="8"/>
  <c r="L3236" i="8"/>
  <c r="K3236" i="8"/>
  <c r="L3235" i="8"/>
  <c r="K3235" i="8"/>
  <c r="L3234" i="8"/>
  <c r="K3234" i="8"/>
  <c r="L3233" i="8"/>
  <c r="K3233" i="8"/>
  <c r="L3232" i="8"/>
  <c r="K3232" i="8"/>
  <c r="L3231" i="8"/>
  <c r="K3231" i="8"/>
  <c r="L3230" i="8"/>
  <c r="K3230" i="8"/>
  <c r="L3229" i="8"/>
  <c r="K3229" i="8"/>
  <c r="L3228" i="8"/>
  <c r="K3228" i="8"/>
  <c r="L3227" i="8"/>
  <c r="K3227" i="8"/>
  <c r="L3226" i="8"/>
  <c r="K3226" i="8"/>
  <c r="L3225" i="8"/>
  <c r="K3225" i="8"/>
  <c r="L3224" i="8"/>
  <c r="K3224" i="8"/>
  <c r="L3223" i="8"/>
  <c r="K3223" i="8"/>
  <c r="L3222" i="8"/>
  <c r="K3222" i="8"/>
  <c r="L3221" i="8"/>
  <c r="K3221" i="8"/>
  <c r="L3220" i="8"/>
  <c r="K3220" i="8"/>
  <c r="L3219" i="8"/>
  <c r="K3219" i="8"/>
  <c r="L3218" i="8"/>
  <c r="K3218" i="8"/>
  <c r="L3217" i="8"/>
  <c r="K3217" i="8"/>
  <c r="L3216" i="8"/>
  <c r="K3216" i="8"/>
  <c r="L3215" i="8"/>
  <c r="K3215" i="8"/>
  <c r="L3214" i="8"/>
  <c r="K3214" i="8"/>
  <c r="L3213" i="8"/>
  <c r="K3213" i="8"/>
  <c r="L3212" i="8"/>
  <c r="K3212" i="8"/>
  <c r="L3211" i="8"/>
  <c r="K3211" i="8"/>
  <c r="L3210" i="8"/>
  <c r="K3210" i="8"/>
  <c r="L3209" i="8"/>
  <c r="K3209" i="8"/>
  <c r="L3208" i="8"/>
  <c r="K3208" i="8"/>
  <c r="L3207" i="8"/>
  <c r="K3207" i="8"/>
  <c r="L3206" i="8"/>
  <c r="K3206" i="8"/>
  <c r="L3205" i="8"/>
  <c r="K3205" i="8"/>
  <c r="L3204" i="8"/>
  <c r="K3204" i="8"/>
  <c r="L3203" i="8"/>
  <c r="K3203" i="8"/>
  <c r="L3202" i="8"/>
  <c r="K3202" i="8"/>
  <c r="L3201" i="8"/>
  <c r="K3201" i="8"/>
  <c r="L3200" i="8"/>
  <c r="K3200" i="8"/>
  <c r="L3199" i="8"/>
  <c r="K3199" i="8"/>
  <c r="L3198" i="8"/>
  <c r="K3198" i="8"/>
  <c r="L3197" i="8"/>
  <c r="K3197" i="8"/>
  <c r="L3196" i="8"/>
  <c r="K3196" i="8"/>
  <c r="L3195" i="8"/>
  <c r="K3195" i="8"/>
  <c r="L3194" i="8"/>
  <c r="K3194" i="8"/>
  <c r="L3193" i="8"/>
  <c r="K3193" i="8"/>
  <c r="L3192" i="8"/>
  <c r="K3192" i="8"/>
  <c r="L3191" i="8"/>
  <c r="K3191" i="8"/>
  <c r="L3190" i="8"/>
  <c r="K3190" i="8"/>
  <c r="L3189" i="8"/>
  <c r="K3189" i="8"/>
  <c r="L3188" i="8"/>
  <c r="K3188" i="8"/>
  <c r="L3187" i="8"/>
  <c r="K3187" i="8"/>
  <c r="L3186" i="8"/>
  <c r="K3186" i="8"/>
  <c r="L3185" i="8"/>
  <c r="K3185" i="8"/>
  <c r="L3184" i="8"/>
  <c r="K3184" i="8"/>
  <c r="L3183" i="8"/>
  <c r="K3183" i="8"/>
  <c r="L3182" i="8"/>
  <c r="K3182" i="8"/>
  <c r="L3181" i="8"/>
  <c r="K3181" i="8"/>
  <c r="L3180" i="8"/>
  <c r="K3180" i="8"/>
  <c r="L3179" i="8"/>
  <c r="K3179" i="8"/>
  <c r="L3178" i="8"/>
  <c r="K3178" i="8"/>
  <c r="L3177" i="8"/>
  <c r="K3177" i="8"/>
  <c r="L3176" i="8"/>
  <c r="K3176" i="8"/>
  <c r="L3175" i="8"/>
  <c r="K3175" i="8"/>
  <c r="L3174" i="8"/>
  <c r="K3174" i="8"/>
  <c r="L3173" i="8"/>
  <c r="K3173" i="8"/>
  <c r="L3172" i="8"/>
  <c r="K3172" i="8"/>
  <c r="L3171" i="8"/>
  <c r="K3171" i="8"/>
  <c r="L3170" i="8"/>
  <c r="K3170" i="8"/>
  <c r="L3169" i="8"/>
  <c r="K3169" i="8"/>
  <c r="L3168" i="8"/>
  <c r="K3168" i="8"/>
  <c r="L3167" i="8"/>
  <c r="K3167" i="8"/>
  <c r="L3166" i="8"/>
  <c r="K3166" i="8"/>
  <c r="L3165" i="8"/>
  <c r="K3165" i="8"/>
  <c r="L3164" i="8"/>
  <c r="K3164" i="8"/>
  <c r="L3163" i="8"/>
  <c r="K3163" i="8"/>
  <c r="L3162" i="8"/>
  <c r="K3162" i="8"/>
  <c r="L3161" i="8"/>
  <c r="K3161" i="8"/>
  <c r="L3160" i="8"/>
  <c r="K3160" i="8"/>
  <c r="L3159" i="8"/>
  <c r="K3159" i="8"/>
  <c r="L3158" i="8"/>
  <c r="K3158" i="8"/>
  <c r="L3157" i="8"/>
  <c r="K3157" i="8"/>
  <c r="L3156" i="8"/>
  <c r="K3156" i="8"/>
  <c r="L3155" i="8"/>
  <c r="K3155" i="8"/>
  <c r="L3154" i="8"/>
  <c r="K3154" i="8"/>
  <c r="L3153" i="8"/>
  <c r="K3153" i="8"/>
  <c r="L3152" i="8"/>
  <c r="K3152" i="8"/>
  <c r="L3151" i="8"/>
  <c r="K3151" i="8"/>
  <c r="L3150" i="8"/>
  <c r="K3150" i="8"/>
  <c r="L3149" i="8"/>
  <c r="K3149" i="8"/>
  <c r="L3148" i="8"/>
  <c r="K3148" i="8"/>
  <c r="L3147" i="8"/>
  <c r="K3147" i="8"/>
  <c r="L3146" i="8"/>
  <c r="K3146" i="8"/>
  <c r="L3145" i="8"/>
  <c r="K3145" i="8"/>
  <c r="L3144" i="8"/>
  <c r="K3144" i="8"/>
  <c r="L3143" i="8"/>
  <c r="K3143" i="8"/>
  <c r="L3142" i="8"/>
  <c r="K3142" i="8"/>
  <c r="L3141" i="8"/>
  <c r="K3141" i="8"/>
  <c r="L3140" i="8"/>
  <c r="K3140" i="8"/>
  <c r="L3139" i="8"/>
  <c r="K3139" i="8"/>
  <c r="L3138" i="8"/>
  <c r="K3138" i="8"/>
  <c r="L3137" i="8"/>
  <c r="K3137" i="8"/>
  <c r="L3136" i="8"/>
  <c r="K3136" i="8"/>
  <c r="L3135" i="8"/>
  <c r="K3135" i="8"/>
  <c r="L3134" i="8"/>
  <c r="K3134" i="8"/>
  <c r="L3133" i="8"/>
  <c r="K3133" i="8"/>
  <c r="L3132" i="8"/>
  <c r="K3132" i="8"/>
  <c r="L3131" i="8"/>
  <c r="K3131" i="8"/>
  <c r="L3130" i="8"/>
  <c r="K3130" i="8"/>
  <c r="L3129" i="8"/>
  <c r="K3129" i="8"/>
  <c r="L3128" i="8"/>
  <c r="K3128" i="8"/>
  <c r="L3127" i="8"/>
  <c r="K3127" i="8"/>
  <c r="L3126" i="8"/>
  <c r="K3126" i="8"/>
  <c r="L3125" i="8"/>
  <c r="K3125" i="8"/>
  <c r="L3124" i="8"/>
  <c r="K3124" i="8"/>
  <c r="L3123" i="8"/>
  <c r="K3123" i="8"/>
  <c r="L3122" i="8"/>
  <c r="K3122" i="8"/>
  <c r="L3121" i="8"/>
  <c r="K3121" i="8"/>
  <c r="L3120" i="8"/>
  <c r="K3120" i="8"/>
  <c r="L3119" i="8"/>
  <c r="K3119" i="8"/>
  <c r="L3118" i="8"/>
  <c r="K3118" i="8"/>
  <c r="L3117" i="8"/>
  <c r="K3117" i="8"/>
  <c r="L3116" i="8"/>
  <c r="K3116" i="8"/>
  <c r="L3115" i="8"/>
  <c r="K3115" i="8"/>
  <c r="L3114" i="8"/>
  <c r="K3114" i="8"/>
  <c r="L3113" i="8"/>
  <c r="K3113" i="8"/>
  <c r="L3112" i="8"/>
  <c r="K3112" i="8"/>
  <c r="L3111" i="8"/>
  <c r="K3111" i="8"/>
  <c r="L3110" i="8"/>
  <c r="K3110" i="8"/>
  <c r="L3109" i="8"/>
  <c r="K3109" i="8"/>
  <c r="L3108" i="8"/>
  <c r="K3108" i="8"/>
  <c r="L3107" i="8"/>
  <c r="K3107" i="8"/>
  <c r="L3106" i="8"/>
  <c r="K3106" i="8"/>
  <c r="L3105" i="8"/>
  <c r="K3105" i="8"/>
  <c r="L3104" i="8"/>
  <c r="K3104" i="8"/>
  <c r="L3103" i="8"/>
  <c r="K3103" i="8"/>
  <c r="L3102" i="8"/>
  <c r="K3102" i="8"/>
  <c r="L3101" i="8"/>
  <c r="K3101" i="8"/>
  <c r="L3100" i="8"/>
  <c r="K3100" i="8"/>
  <c r="L3099" i="8"/>
  <c r="K3099" i="8"/>
  <c r="L3098" i="8"/>
  <c r="K3098" i="8"/>
  <c r="L3097" i="8"/>
  <c r="K3097" i="8"/>
  <c r="L3096" i="8"/>
  <c r="K3096" i="8"/>
  <c r="L3095" i="8"/>
  <c r="K3095" i="8"/>
  <c r="L3094" i="8"/>
  <c r="K3094" i="8"/>
  <c r="L3093" i="8"/>
  <c r="K3093" i="8"/>
  <c r="L3092" i="8"/>
  <c r="K3092" i="8"/>
  <c r="L3091" i="8"/>
  <c r="K3091" i="8"/>
  <c r="L3090" i="8"/>
  <c r="K3090" i="8"/>
  <c r="L3089" i="8"/>
  <c r="K3089" i="8"/>
  <c r="L3088" i="8"/>
  <c r="K3088" i="8"/>
  <c r="L3087" i="8"/>
  <c r="K3087" i="8"/>
  <c r="L3086" i="8"/>
  <c r="K3086" i="8"/>
  <c r="L3085" i="8"/>
  <c r="K3085" i="8"/>
  <c r="L3084" i="8"/>
  <c r="K3084" i="8"/>
  <c r="L3083" i="8"/>
  <c r="K3083" i="8"/>
  <c r="L3082" i="8"/>
  <c r="K3082" i="8"/>
  <c r="L3081" i="8"/>
  <c r="K3081" i="8"/>
  <c r="L3080" i="8"/>
  <c r="K3080" i="8"/>
  <c r="L3079" i="8"/>
  <c r="K3079" i="8"/>
  <c r="L3078" i="8"/>
  <c r="K3078" i="8"/>
  <c r="L3077" i="8"/>
  <c r="K3077" i="8"/>
  <c r="L3076" i="8"/>
  <c r="K3076" i="8"/>
  <c r="L3075" i="8"/>
  <c r="K3075" i="8"/>
  <c r="L3074" i="8"/>
  <c r="K3074" i="8"/>
  <c r="L3073" i="8"/>
  <c r="K3073" i="8"/>
  <c r="L3072" i="8"/>
  <c r="K3072" i="8"/>
  <c r="L3071" i="8"/>
  <c r="K3071" i="8"/>
  <c r="L3070" i="8"/>
  <c r="K3070" i="8"/>
  <c r="L3069" i="8"/>
  <c r="K3069" i="8"/>
  <c r="L3068" i="8"/>
  <c r="K3068" i="8"/>
  <c r="L3067" i="8"/>
  <c r="K3067" i="8"/>
  <c r="L3066" i="8"/>
  <c r="K3066" i="8"/>
  <c r="L3065" i="8"/>
  <c r="K3065" i="8"/>
  <c r="L3064" i="8"/>
  <c r="K3064" i="8"/>
  <c r="L3063" i="8"/>
  <c r="K3063" i="8"/>
  <c r="L3062" i="8"/>
  <c r="K3062" i="8"/>
  <c r="L3061" i="8"/>
  <c r="K3061" i="8"/>
  <c r="L3060" i="8"/>
  <c r="K3060" i="8"/>
  <c r="L3059" i="8"/>
  <c r="K3059" i="8"/>
  <c r="L3058" i="8"/>
  <c r="K3058" i="8"/>
  <c r="L3057" i="8"/>
  <c r="K3057" i="8"/>
  <c r="L3056" i="8"/>
  <c r="K3056" i="8"/>
  <c r="L3055" i="8"/>
  <c r="K3055" i="8"/>
  <c r="L3054" i="8"/>
  <c r="K3054" i="8"/>
  <c r="L3053" i="8"/>
  <c r="K3053" i="8"/>
  <c r="L3052" i="8"/>
  <c r="K3052" i="8"/>
  <c r="L3051" i="8"/>
  <c r="K3051" i="8"/>
  <c r="L3050" i="8"/>
  <c r="K3050" i="8"/>
  <c r="L3049" i="8"/>
  <c r="K3049" i="8"/>
  <c r="L3048" i="8"/>
  <c r="K3048" i="8"/>
  <c r="L3047" i="8"/>
  <c r="K3047" i="8"/>
  <c r="L3046" i="8"/>
  <c r="K3046" i="8"/>
  <c r="L3045" i="8"/>
  <c r="K3045" i="8"/>
  <c r="L3044" i="8"/>
  <c r="K3044" i="8"/>
  <c r="L3043" i="8"/>
  <c r="K3043" i="8"/>
  <c r="L3042" i="8"/>
  <c r="K3042" i="8"/>
  <c r="L3041" i="8"/>
  <c r="K3041" i="8"/>
  <c r="L3040" i="8"/>
  <c r="K3040" i="8"/>
  <c r="L3039" i="8"/>
  <c r="K3039" i="8"/>
  <c r="L3038" i="8"/>
  <c r="K3038" i="8"/>
  <c r="L3037" i="8"/>
  <c r="K3037" i="8"/>
  <c r="L3036" i="8"/>
  <c r="K3036" i="8"/>
  <c r="L3035" i="8"/>
  <c r="K3035" i="8"/>
  <c r="L3034" i="8"/>
  <c r="K3034" i="8"/>
  <c r="L3033" i="8"/>
  <c r="K3033" i="8"/>
  <c r="L3032" i="8"/>
  <c r="K3032" i="8"/>
  <c r="L3031" i="8"/>
  <c r="K3031" i="8"/>
  <c r="L3030" i="8"/>
  <c r="K3030" i="8"/>
  <c r="L3029" i="8"/>
  <c r="K3029" i="8"/>
  <c r="L3028" i="8"/>
  <c r="K3028" i="8"/>
  <c r="L3027" i="8"/>
  <c r="K3027" i="8"/>
  <c r="L3026" i="8"/>
  <c r="K3026" i="8"/>
  <c r="L3025" i="8"/>
  <c r="K3025" i="8"/>
  <c r="L3024" i="8"/>
  <c r="K3024" i="8"/>
  <c r="L3023" i="8"/>
  <c r="K3023" i="8"/>
  <c r="L3022" i="8"/>
  <c r="K3022" i="8"/>
  <c r="L3021" i="8"/>
  <c r="K3021" i="8"/>
  <c r="L3020" i="8"/>
  <c r="K3020" i="8"/>
  <c r="L3019" i="8"/>
  <c r="K3019" i="8"/>
  <c r="L3018" i="8"/>
  <c r="K3018" i="8"/>
  <c r="L3017" i="8"/>
  <c r="K3017" i="8"/>
  <c r="L3016" i="8"/>
  <c r="K3016" i="8"/>
  <c r="L3015" i="8"/>
  <c r="K3015" i="8"/>
  <c r="L3014" i="8"/>
  <c r="K3014" i="8"/>
  <c r="L3013" i="8"/>
  <c r="K3013" i="8"/>
  <c r="L3012" i="8"/>
  <c r="K3012" i="8"/>
  <c r="L3011" i="8"/>
  <c r="K3011" i="8"/>
  <c r="L3010" i="8"/>
  <c r="K3010" i="8"/>
  <c r="L3009" i="8"/>
  <c r="K3009" i="8"/>
  <c r="L3008" i="8"/>
  <c r="K3008" i="8"/>
  <c r="L3007" i="8"/>
  <c r="K3007" i="8"/>
  <c r="L3006" i="8"/>
  <c r="K3006" i="8"/>
  <c r="L3005" i="8"/>
  <c r="K3005" i="8"/>
  <c r="L3004" i="8"/>
  <c r="K3004" i="8"/>
  <c r="L3003" i="8"/>
  <c r="K3003" i="8"/>
  <c r="L3002" i="8"/>
  <c r="K3002" i="8"/>
  <c r="L3001" i="8"/>
  <c r="K3001" i="8"/>
  <c r="L3000" i="8"/>
  <c r="K3000" i="8"/>
  <c r="L2999" i="8"/>
  <c r="K2999" i="8"/>
  <c r="L2998" i="8"/>
  <c r="K2998" i="8"/>
  <c r="L2997" i="8"/>
  <c r="K2997" i="8"/>
  <c r="L2996" i="8"/>
  <c r="K2996" i="8"/>
  <c r="L2995" i="8"/>
  <c r="K2995" i="8"/>
  <c r="L2994" i="8"/>
  <c r="K2994" i="8"/>
  <c r="L2993" i="8"/>
  <c r="K2993" i="8"/>
  <c r="L2992" i="8"/>
  <c r="K2992" i="8"/>
  <c r="L2991" i="8"/>
  <c r="K2991" i="8"/>
  <c r="L2990" i="8"/>
  <c r="K2990" i="8"/>
  <c r="L2989" i="8"/>
  <c r="K2989" i="8"/>
  <c r="L2988" i="8"/>
  <c r="K2988" i="8"/>
  <c r="L2987" i="8"/>
  <c r="K2987" i="8"/>
  <c r="L2986" i="8"/>
  <c r="K2986" i="8"/>
  <c r="L2985" i="8"/>
  <c r="K2985" i="8"/>
  <c r="L2984" i="8"/>
  <c r="K2984" i="8"/>
  <c r="L2983" i="8"/>
  <c r="K2983" i="8"/>
  <c r="L2982" i="8"/>
  <c r="K2982" i="8"/>
  <c r="L2981" i="8"/>
  <c r="K2981" i="8"/>
  <c r="L2980" i="8"/>
  <c r="K2980" i="8"/>
  <c r="L2979" i="8"/>
  <c r="K2979" i="8"/>
  <c r="L2978" i="8"/>
  <c r="K2978" i="8"/>
  <c r="L2977" i="8"/>
  <c r="K2977" i="8"/>
  <c r="L2976" i="8"/>
  <c r="K2976" i="8"/>
  <c r="L2975" i="8"/>
  <c r="K2975" i="8"/>
  <c r="L2974" i="8"/>
  <c r="K2974" i="8"/>
  <c r="L2973" i="8"/>
  <c r="K2973" i="8"/>
  <c r="L2972" i="8"/>
  <c r="K2972" i="8"/>
  <c r="L2971" i="8"/>
  <c r="K2971" i="8"/>
  <c r="L2970" i="8"/>
  <c r="K2970" i="8"/>
  <c r="L2969" i="8"/>
  <c r="K2969" i="8"/>
  <c r="L2968" i="8"/>
  <c r="K2968" i="8"/>
  <c r="L2967" i="8"/>
  <c r="K2967" i="8"/>
  <c r="L2966" i="8"/>
  <c r="K2966" i="8"/>
  <c r="L2965" i="8"/>
  <c r="K2965" i="8"/>
  <c r="L2964" i="8"/>
  <c r="K2964" i="8"/>
  <c r="L2963" i="8"/>
  <c r="K2963" i="8"/>
  <c r="L2962" i="8"/>
  <c r="K2962" i="8"/>
  <c r="L2961" i="8"/>
  <c r="K2961" i="8"/>
  <c r="L2960" i="8"/>
  <c r="K2960" i="8"/>
  <c r="L2959" i="8"/>
  <c r="K2959" i="8"/>
  <c r="L2958" i="8"/>
  <c r="K2958" i="8"/>
  <c r="L2957" i="8"/>
  <c r="K2957" i="8"/>
  <c r="L2956" i="8"/>
  <c r="K2956" i="8"/>
  <c r="L2955" i="8"/>
  <c r="K2955" i="8"/>
  <c r="L2954" i="8"/>
  <c r="K2954" i="8"/>
  <c r="L2953" i="8"/>
  <c r="K2953" i="8"/>
  <c r="L2952" i="8"/>
  <c r="K2952" i="8"/>
  <c r="L2951" i="8"/>
  <c r="K2951" i="8"/>
  <c r="L2950" i="8"/>
  <c r="K2950" i="8"/>
  <c r="L2949" i="8"/>
  <c r="K2949" i="8"/>
  <c r="L2948" i="8"/>
  <c r="K2948" i="8"/>
  <c r="L2947" i="8"/>
  <c r="K2947" i="8"/>
  <c r="L2946" i="8"/>
  <c r="K2946" i="8"/>
  <c r="L2945" i="8"/>
  <c r="K2945" i="8"/>
  <c r="L2944" i="8"/>
  <c r="K2944" i="8"/>
  <c r="L2943" i="8"/>
  <c r="K2943" i="8"/>
  <c r="L2942" i="8"/>
  <c r="K2942" i="8"/>
  <c r="L2941" i="8"/>
  <c r="K2941" i="8"/>
  <c r="L2940" i="8"/>
  <c r="K2940" i="8"/>
  <c r="L2939" i="8"/>
  <c r="K2939" i="8"/>
  <c r="L2938" i="8"/>
  <c r="K2938" i="8"/>
  <c r="L2937" i="8"/>
  <c r="K2937" i="8"/>
  <c r="L2936" i="8"/>
  <c r="K2936" i="8"/>
  <c r="L2935" i="8"/>
  <c r="K2935" i="8"/>
  <c r="L2934" i="8"/>
  <c r="K2934" i="8"/>
  <c r="L2933" i="8"/>
  <c r="K2933" i="8"/>
  <c r="L2932" i="8"/>
  <c r="K2932" i="8"/>
  <c r="L2931" i="8"/>
  <c r="K2931" i="8"/>
  <c r="L2930" i="8"/>
  <c r="K2930" i="8"/>
  <c r="L2929" i="8"/>
  <c r="K2929" i="8"/>
  <c r="L2928" i="8"/>
  <c r="K2928" i="8"/>
  <c r="L2927" i="8"/>
  <c r="K2927" i="8"/>
  <c r="L2926" i="8"/>
  <c r="K2926" i="8"/>
  <c r="L2925" i="8"/>
  <c r="K2925" i="8"/>
  <c r="L2924" i="8"/>
  <c r="K2924" i="8"/>
  <c r="L2923" i="8"/>
  <c r="K2923" i="8"/>
  <c r="L2922" i="8"/>
  <c r="K2922" i="8"/>
  <c r="L2921" i="8"/>
  <c r="K2921" i="8"/>
  <c r="L2920" i="8"/>
  <c r="K2920" i="8"/>
  <c r="L2919" i="8"/>
  <c r="K2919" i="8"/>
  <c r="L2918" i="8"/>
  <c r="K2918" i="8"/>
  <c r="L2917" i="8"/>
  <c r="K2917" i="8"/>
  <c r="L2916" i="8"/>
  <c r="K2916" i="8"/>
  <c r="L2915" i="8"/>
  <c r="K2915" i="8"/>
  <c r="L2914" i="8"/>
  <c r="K2914" i="8"/>
  <c r="L2913" i="8"/>
  <c r="K2913" i="8"/>
  <c r="L2912" i="8"/>
  <c r="K2912" i="8"/>
  <c r="L2911" i="8"/>
  <c r="K2911" i="8"/>
  <c r="L2910" i="8"/>
  <c r="K2910" i="8"/>
  <c r="L2909" i="8"/>
  <c r="K2909" i="8"/>
  <c r="L2908" i="8"/>
  <c r="K2908" i="8"/>
  <c r="L2907" i="8"/>
  <c r="K2907" i="8"/>
  <c r="L2906" i="8"/>
  <c r="K2906" i="8"/>
  <c r="L2905" i="8"/>
  <c r="K2905" i="8"/>
  <c r="L2904" i="8"/>
  <c r="K2904" i="8"/>
  <c r="L2903" i="8"/>
  <c r="K2903" i="8"/>
  <c r="L2902" i="8"/>
  <c r="K2902" i="8"/>
  <c r="L2901" i="8"/>
  <c r="K2901" i="8"/>
  <c r="L2900" i="8"/>
  <c r="K2900" i="8"/>
  <c r="L2899" i="8"/>
  <c r="K2899" i="8"/>
  <c r="L2898" i="8"/>
  <c r="K2898" i="8"/>
  <c r="L2897" i="8"/>
  <c r="K2897" i="8"/>
  <c r="L2896" i="8"/>
  <c r="K2896" i="8"/>
  <c r="L2895" i="8"/>
  <c r="K2895" i="8"/>
  <c r="L2894" i="8"/>
  <c r="K2894" i="8"/>
  <c r="L2893" i="8"/>
  <c r="K2893" i="8"/>
  <c r="L2892" i="8"/>
  <c r="K2892" i="8"/>
  <c r="L2891" i="8"/>
  <c r="K2891" i="8"/>
  <c r="L2890" i="8"/>
  <c r="K2890" i="8"/>
  <c r="L2889" i="8"/>
  <c r="K2889" i="8"/>
  <c r="L2888" i="8"/>
  <c r="K2888" i="8"/>
  <c r="L2887" i="8"/>
  <c r="K2887" i="8"/>
  <c r="L2886" i="8"/>
  <c r="K2886" i="8"/>
  <c r="L2885" i="8"/>
  <c r="K2885" i="8"/>
  <c r="L2884" i="8"/>
  <c r="K2884" i="8"/>
  <c r="L2883" i="8"/>
  <c r="K2883" i="8"/>
  <c r="L2882" i="8"/>
  <c r="K2882" i="8"/>
  <c r="L2881" i="8"/>
  <c r="K2881" i="8"/>
  <c r="L2880" i="8"/>
  <c r="K2880" i="8"/>
  <c r="L2879" i="8"/>
  <c r="K2879" i="8"/>
  <c r="L2878" i="8"/>
  <c r="K2878" i="8"/>
  <c r="L2877" i="8"/>
  <c r="K2877" i="8"/>
  <c r="L2876" i="8"/>
  <c r="K2876" i="8"/>
  <c r="L2875" i="8"/>
  <c r="K2875" i="8"/>
  <c r="L2874" i="8"/>
  <c r="K2874" i="8"/>
  <c r="L2873" i="8"/>
  <c r="K2873" i="8"/>
  <c r="L2872" i="8"/>
  <c r="K2872" i="8"/>
  <c r="L2871" i="8"/>
  <c r="K2871" i="8"/>
  <c r="L2870" i="8"/>
  <c r="K2870" i="8"/>
  <c r="L2869" i="8"/>
  <c r="K2869" i="8"/>
  <c r="L2868" i="8"/>
  <c r="K2868" i="8"/>
  <c r="L2867" i="8"/>
  <c r="K2867" i="8"/>
  <c r="L2866" i="8"/>
  <c r="K2866" i="8"/>
  <c r="L2865" i="8"/>
  <c r="K2865" i="8"/>
  <c r="L2864" i="8"/>
  <c r="K2864" i="8"/>
  <c r="L2863" i="8"/>
  <c r="K2863" i="8"/>
  <c r="L2862" i="8"/>
  <c r="K2862" i="8"/>
  <c r="L2861" i="8"/>
  <c r="K2861" i="8"/>
  <c r="L2860" i="8"/>
  <c r="K2860" i="8"/>
  <c r="L2859" i="8"/>
  <c r="K2859" i="8"/>
  <c r="L2858" i="8"/>
  <c r="K2858" i="8"/>
  <c r="L2857" i="8"/>
  <c r="K2857" i="8"/>
  <c r="L2856" i="8"/>
  <c r="K2856" i="8"/>
  <c r="L2855" i="8"/>
  <c r="K2855" i="8"/>
  <c r="L2854" i="8"/>
  <c r="K2854" i="8"/>
  <c r="L2853" i="8"/>
  <c r="K2853" i="8"/>
  <c r="L2852" i="8"/>
  <c r="K2852" i="8"/>
  <c r="L2851" i="8"/>
  <c r="K2851" i="8"/>
  <c r="L2850" i="8"/>
  <c r="K2850" i="8"/>
  <c r="L2849" i="8"/>
  <c r="K2849" i="8"/>
  <c r="L2848" i="8"/>
  <c r="K2848" i="8"/>
  <c r="L2847" i="8"/>
  <c r="K2847" i="8"/>
  <c r="L2846" i="8"/>
  <c r="K2846" i="8"/>
  <c r="L2845" i="8"/>
  <c r="K2845" i="8"/>
  <c r="L2844" i="8"/>
  <c r="K2844" i="8"/>
  <c r="L2843" i="8"/>
  <c r="K2843" i="8"/>
  <c r="L2842" i="8"/>
  <c r="K2842" i="8"/>
  <c r="L2841" i="8"/>
  <c r="K2841" i="8"/>
  <c r="L2840" i="8"/>
  <c r="K2840" i="8"/>
  <c r="L2839" i="8"/>
  <c r="K2839" i="8"/>
  <c r="L2838" i="8"/>
  <c r="K2838" i="8"/>
  <c r="L2837" i="8"/>
  <c r="K2837" i="8"/>
  <c r="L2836" i="8"/>
  <c r="K2836" i="8"/>
  <c r="L2835" i="8"/>
  <c r="K2835" i="8"/>
  <c r="L2834" i="8"/>
  <c r="K2834" i="8"/>
  <c r="L2833" i="8"/>
  <c r="K2833" i="8"/>
  <c r="L2832" i="8"/>
  <c r="K2832" i="8"/>
  <c r="L2831" i="8"/>
  <c r="K2831" i="8"/>
  <c r="L2830" i="8"/>
  <c r="K2830" i="8"/>
  <c r="L2829" i="8"/>
  <c r="K2829" i="8"/>
  <c r="L2828" i="8"/>
  <c r="K2828" i="8"/>
  <c r="L2827" i="8"/>
  <c r="K2827" i="8"/>
  <c r="L2826" i="8"/>
  <c r="K2826" i="8"/>
  <c r="L2825" i="8"/>
  <c r="K2825" i="8"/>
  <c r="L2824" i="8"/>
  <c r="K2824" i="8"/>
  <c r="L2823" i="8"/>
  <c r="K2823" i="8"/>
  <c r="L2822" i="8"/>
  <c r="K2822" i="8"/>
  <c r="L2821" i="8"/>
  <c r="K2821" i="8"/>
  <c r="L2820" i="8"/>
  <c r="K2820" i="8"/>
  <c r="L2819" i="8"/>
  <c r="K2819" i="8"/>
  <c r="L2818" i="8"/>
  <c r="K2818" i="8"/>
  <c r="L2817" i="8"/>
  <c r="K2817" i="8"/>
  <c r="L2816" i="8"/>
  <c r="K2816" i="8"/>
  <c r="L2815" i="8"/>
  <c r="K2815" i="8"/>
  <c r="L2814" i="8"/>
  <c r="K2814" i="8"/>
  <c r="L2813" i="8"/>
  <c r="K2813" i="8"/>
  <c r="L2812" i="8"/>
  <c r="K2812" i="8"/>
  <c r="L2811" i="8"/>
  <c r="K2811" i="8"/>
  <c r="L2810" i="8"/>
  <c r="K2810" i="8"/>
  <c r="L2809" i="8"/>
  <c r="K2809" i="8"/>
  <c r="L2808" i="8"/>
  <c r="K2808" i="8"/>
  <c r="L2807" i="8"/>
  <c r="K2807" i="8"/>
  <c r="L2806" i="8"/>
  <c r="K2806" i="8"/>
  <c r="L2805" i="8"/>
  <c r="K2805" i="8"/>
  <c r="L2804" i="8"/>
  <c r="K2804" i="8"/>
  <c r="L2803" i="8"/>
  <c r="K2803" i="8"/>
  <c r="L2802" i="8"/>
  <c r="K2802" i="8"/>
  <c r="L2801" i="8"/>
  <c r="K2801" i="8"/>
  <c r="L2800" i="8"/>
  <c r="K2800" i="8"/>
  <c r="L2799" i="8"/>
  <c r="K2799" i="8"/>
  <c r="L2798" i="8"/>
  <c r="K2798" i="8"/>
  <c r="L2797" i="8"/>
  <c r="K2797" i="8"/>
  <c r="L2796" i="8"/>
  <c r="K2796" i="8"/>
  <c r="L2795" i="8"/>
  <c r="K2795" i="8"/>
  <c r="L2794" i="8"/>
  <c r="K2794" i="8"/>
  <c r="L2793" i="8"/>
  <c r="K2793" i="8"/>
  <c r="L2792" i="8"/>
  <c r="K2792" i="8"/>
  <c r="L2791" i="8"/>
  <c r="K2791" i="8"/>
  <c r="L2790" i="8"/>
  <c r="K2790" i="8"/>
  <c r="L2789" i="8"/>
  <c r="K2789" i="8"/>
  <c r="L2788" i="8"/>
  <c r="K2788" i="8"/>
  <c r="L2787" i="8"/>
  <c r="K2787" i="8"/>
  <c r="L2786" i="8"/>
  <c r="K2786" i="8"/>
  <c r="L2785" i="8"/>
  <c r="K2785" i="8"/>
  <c r="L2784" i="8"/>
  <c r="K2784" i="8"/>
  <c r="L2783" i="8"/>
  <c r="K2783" i="8"/>
  <c r="L2782" i="8"/>
  <c r="K2782" i="8"/>
  <c r="L2781" i="8"/>
  <c r="K2781" i="8"/>
  <c r="L2780" i="8"/>
  <c r="K2780" i="8"/>
  <c r="L2779" i="8"/>
  <c r="K2779" i="8"/>
  <c r="L2778" i="8"/>
  <c r="K2778" i="8"/>
  <c r="L2777" i="8"/>
  <c r="K2777" i="8"/>
  <c r="L2776" i="8"/>
  <c r="K2776" i="8"/>
  <c r="L2775" i="8"/>
  <c r="K2775" i="8"/>
  <c r="L2774" i="8"/>
  <c r="K2774" i="8"/>
  <c r="L2773" i="8"/>
  <c r="K2773" i="8"/>
  <c r="L2772" i="8"/>
  <c r="K2772" i="8"/>
  <c r="L2771" i="8"/>
  <c r="K2771" i="8"/>
  <c r="L2770" i="8"/>
  <c r="K2770" i="8"/>
  <c r="L2769" i="8"/>
  <c r="K2769" i="8"/>
  <c r="L2768" i="8"/>
  <c r="K2768" i="8"/>
  <c r="L2767" i="8"/>
  <c r="K2767" i="8"/>
  <c r="L2766" i="8"/>
  <c r="K2766" i="8"/>
  <c r="L2765" i="8"/>
  <c r="K2765" i="8"/>
  <c r="L2764" i="8"/>
  <c r="K2764" i="8"/>
  <c r="L2763" i="8"/>
  <c r="K2763" i="8"/>
  <c r="L2762" i="8"/>
  <c r="K2762" i="8"/>
  <c r="L2761" i="8"/>
  <c r="K2761" i="8"/>
  <c r="L2760" i="8"/>
  <c r="K2760" i="8"/>
  <c r="L2759" i="8"/>
  <c r="K2759" i="8"/>
  <c r="L2758" i="8"/>
  <c r="K2758" i="8"/>
  <c r="L2757" i="8"/>
  <c r="K2757" i="8"/>
  <c r="L2756" i="8"/>
  <c r="K2756" i="8"/>
  <c r="L2755" i="8"/>
  <c r="K2755" i="8"/>
  <c r="L2754" i="8"/>
  <c r="K2754" i="8"/>
  <c r="L2753" i="8"/>
  <c r="K2753" i="8"/>
  <c r="L2752" i="8"/>
  <c r="K2752" i="8"/>
  <c r="L2751" i="8"/>
  <c r="K2751" i="8"/>
  <c r="L2750" i="8"/>
  <c r="K2750" i="8"/>
  <c r="L2749" i="8"/>
  <c r="K2749" i="8"/>
  <c r="L2748" i="8"/>
  <c r="K2748" i="8"/>
  <c r="L2747" i="8"/>
  <c r="K2747" i="8"/>
  <c r="L2746" i="8"/>
  <c r="K2746" i="8"/>
  <c r="L2745" i="8"/>
  <c r="K2745" i="8"/>
  <c r="L2744" i="8"/>
  <c r="K2744" i="8"/>
  <c r="L2743" i="8"/>
  <c r="K2743" i="8"/>
  <c r="L2742" i="8"/>
  <c r="K2742" i="8"/>
  <c r="L2741" i="8"/>
  <c r="K2741" i="8"/>
  <c r="L2740" i="8"/>
  <c r="K2740" i="8"/>
  <c r="L2739" i="8"/>
  <c r="K2739" i="8"/>
  <c r="L2738" i="8"/>
  <c r="K2738" i="8"/>
  <c r="L2737" i="8"/>
  <c r="K2737" i="8"/>
  <c r="L2736" i="8"/>
  <c r="K2736" i="8"/>
  <c r="L2735" i="8"/>
  <c r="K2735" i="8"/>
  <c r="L2734" i="8"/>
  <c r="K2734" i="8"/>
  <c r="L2733" i="8"/>
  <c r="K2733" i="8"/>
  <c r="L2732" i="8"/>
  <c r="K2732" i="8"/>
  <c r="L2731" i="8"/>
  <c r="K2731" i="8"/>
  <c r="L2730" i="8"/>
  <c r="K2730" i="8"/>
  <c r="L2729" i="8"/>
  <c r="K2729" i="8"/>
  <c r="L2728" i="8"/>
  <c r="K2728" i="8"/>
  <c r="L2727" i="8"/>
  <c r="K2727" i="8"/>
  <c r="L2726" i="8"/>
  <c r="K2726" i="8"/>
  <c r="L2725" i="8"/>
  <c r="K2725" i="8"/>
  <c r="L2724" i="8"/>
  <c r="K2724" i="8"/>
  <c r="L2723" i="8"/>
  <c r="K2723" i="8"/>
  <c r="L2722" i="8"/>
  <c r="K2722" i="8"/>
  <c r="L2721" i="8"/>
  <c r="K2721" i="8"/>
  <c r="L2720" i="8"/>
  <c r="K2720" i="8"/>
  <c r="L2719" i="8"/>
  <c r="K2719" i="8"/>
  <c r="L2718" i="8"/>
  <c r="K2718" i="8"/>
  <c r="L2717" i="8"/>
  <c r="K2717" i="8"/>
  <c r="L2716" i="8"/>
  <c r="K2716" i="8"/>
  <c r="L2715" i="8"/>
  <c r="K2715" i="8"/>
  <c r="L2714" i="8"/>
  <c r="K2714" i="8"/>
  <c r="L2713" i="8"/>
  <c r="K2713" i="8"/>
  <c r="L2712" i="8"/>
  <c r="K2712" i="8"/>
  <c r="L2711" i="8"/>
  <c r="K2711" i="8"/>
  <c r="L2710" i="8"/>
  <c r="K2710" i="8"/>
  <c r="L2709" i="8"/>
  <c r="K2709" i="8"/>
  <c r="L2708" i="8"/>
  <c r="K2708" i="8"/>
  <c r="L2707" i="8"/>
  <c r="K2707" i="8"/>
  <c r="L2706" i="8"/>
  <c r="K2706" i="8"/>
  <c r="L2705" i="8"/>
  <c r="K2705" i="8"/>
  <c r="L2704" i="8"/>
  <c r="K2704" i="8"/>
  <c r="L2703" i="8"/>
  <c r="K2703" i="8"/>
  <c r="L2702" i="8"/>
  <c r="K2702" i="8"/>
  <c r="L2701" i="8"/>
  <c r="K2701" i="8"/>
  <c r="L2700" i="8"/>
  <c r="K2700" i="8"/>
  <c r="L2699" i="8"/>
  <c r="K2699" i="8"/>
  <c r="L2698" i="8"/>
  <c r="K2698" i="8"/>
  <c r="L2697" i="8"/>
  <c r="K2697" i="8"/>
  <c r="L2696" i="8"/>
  <c r="K2696" i="8"/>
  <c r="L2695" i="8"/>
  <c r="K2695" i="8"/>
  <c r="L2694" i="8"/>
  <c r="K2694" i="8"/>
  <c r="L2693" i="8"/>
  <c r="K2693" i="8"/>
  <c r="L2692" i="8"/>
  <c r="K2692" i="8"/>
  <c r="L2691" i="8"/>
  <c r="K2691" i="8"/>
  <c r="L2690" i="8"/>
  <c r="K2690" i="8"/>
  <c r="L2689" i="8"/>
  <c r="K2689" i="8"/>
  <c r="L2688" i="8"/>
  <c r="K2688" i="8"/>
  <c r="L2687" i="8"/>
  <c r="K2687" i="8"/>
  <c r="L2686" i="8"/>
  <c r="K2686" i="8"/>
  <c r="L2685" i="8"/>
  <c r="K2685" i="8"/>
  <c r="L2684" i="8"/>
  <c r="K2684" i="8"/>
  <c r="L2683" i="8"/>
  <c r="K2683" i="8"/>
  <c r="L2682" i="8"/>
  <c r="K2682" i="8"/>
  <c r="L2681" i="8"/>
  <c r="K2681" i="8"/>
  <c r="L2680" i="8"/>
  <c r="K2680" i="8"/>
  <c r="L2679" i="8"/>
  <c r="K2679" i="8"/>
  <c r="L2678" i="8"/>
  <c r="K2678" i="8"/>
  <c r="L2677" i="8"/>
  <c r="K2677" i="8"/>
  <c r="L2676" i="8"/>
  <c r="K2676" i="8"/>
  <c r="L2675" i="8"/>
  <c r="K2675" i="8"/>
  <c r="L2674" i="8"/>
  <c r="K2674" i="8"/>
  <c r="L2673" i="8"/>
  <c r="K2673" i="8"/>
  <c r="L2672" i="8"/>
  <c r="K2672" i="8"/>
  <c r="L2671" i="8"/>
  <c r="K2671" i="8"/>
  <c r="L2670" i="8"/>
  <c r="K2670" i="8"/>
  <c r="L2669" i="8"/>
  <c r="K2669" i="8"/>
  <c r="L2668" i="8"/>
  <c r="K2668" i="8"/>
  <c r="L2667" i="8"/>
  <c r="K2667" i="8"/>
  <c r="L2666" i="8"/>
  <c r="K2666" i="8"/>
  <c r="L2665" i="8"/>
  <c r="K2665" i="8"/>
  <c r="L2664" i="8"/>
  <c r="K2664" i="8"/>
  <c r="L2663" i="8"/>
  <c r="K2663" i="8"/>
  <c r="L2662" i="8"/>
  <c r="K2662" i="8"/>
  <c r="L2661" i="8"/>
  <c r="K2661" i="8"/>
  <c r="L2660" i="8"/>
  <c r="K2660" i="8"/>
  <c r="L2659" i="8"/>
  <c r="K2659" i="8"/>
  <c r="L2658" i="8"/>
  <c r="K2658" i="8"/>
  <c r="L2657" i="8"/>
  <c r="K2657" i="8"/>
  <c r="L2656" i="8"/>
  <c r="K2656" i="8"/>
  <c r="L2655" i="8"/>
  <c r="K2655" i="8"/>
  <c r="L2654" i="8"/>
  <c r="K2654" i="8"/>
  <c r="L2653" i="8"/>
  <c r="K2653" i="8"/>
  <c r="L2652" i="8"/>
  <c r="K2652" i="8"/>
  <c r="L2651" i="8"/>
  <c r="K2651" i="8"/>
  <c r="L2650" i="8"/>
  <c r="K2650" i="8"/>
  <c r="L2649" i="8"/>
  <c r="K2649" i="8"/>
  <c r="L2648" i="8"/>
  <c r="K2648" i="8"/>
  <c r="L2647" i="8"/>
  <c r="K2647" i="8"/>
  <c r="L2646" i="8"/>
  <c r="K2646" i="8"/>
  <c r="L2645" i="8"/>
  <c r="K2645" i="8"/>
  <c r="L2644" i="8"/>
  <c r="K2644" i="8"/>
  <c r="L2643" i="8"/>
  <c r="K2643" i="8"/>
  <c r="L2642" i="8"/>
  <c r="K2642" i="8"/>
  <c r="L2641" i="8"/>
  <c r="K2641" i="8"/>
  <c r="L2640" i="8"/>
  <c r="K2640" i="8"/>
  <c r="L2639" i="8"/>
  <c r="K2639" i="8"/>
  <c r="L2638" i="8"/>
  <c r="K2638" i="8"/>
  <c r="L2637" i="8"/>
  <c r="K2637" i="8"/>
  <c r="L2636" i="8"/>
  <c r="K2636" i="8"/>
  <c r="L2635" i="8"/>
  <c r="K2635" i="8"/>
  <c r="L2634" i="8"/>
  <c r="K2634" i="8"/>
  <c r="L2633" i="8"/>
  <c r="K2633" i="8"/>
  <c r="L2632" i="8"/>
  <c r="K2632" i="8"/>
  <c r="L2631" i="8"/>
  <c r="K2631" i="8"/>
  <c r="L2630" i="8"/>
  <c r="K2630" i="8"/>
  <c r="L2629" i="8"/>
  <c r="K2629" i="8"/>
  <c r="L2628" i="8"/>
  <c r="K2628" i="8"/>
  <c r="L2627" i="8"/>
  <c r="K2627" i="8"/>
  <c r="L2626" i="8"/>
  <c r="K2626" i="8"/>
  <c r="L2625" i="8"/>
  <c r="K2625" i="8"/>
  <c r="L2624" i="8"/>
  <c r="K2624" i="8"/>
  <c r="L2623" i="8"/>
  <c r="K2623" i="8"/>
  <c r="L2622" i="8"/>
  <c r="K2622" i="8"/>
  <c r="L2621" i="8"/>
  <c r="K2621" i="8"/>
  <c r="L2620" i="8"/>
  <c r="K2620" i="8"/>
  <c r="L2619" i="8"/>
  <c r="K2619" i="8"/>
  <c r="L2618" i="8"/>
  <c r="K2618" i="8"/>
  <c r="L2617" i="8"/>
  <c r="K2617" i="8"/>
  <c r="L2616" i="8"/>
  <c r="K2616" i="8"/>
  <c r="L2615" i="8"/>
  <c r="K2615" i="8"/>
  <c r="L2614" i="8"/>
  <c r="K2614" i="8"/>
  <c r="L2613" i="8"/>
  <c r="K2613" i="8"/>
  <c r="L2612" i="8"/>
  <c r="K2612" i="8"/>
  <c r="L2611" i="8"/>
  <c r="K2611" i="8"/>
  <c r="L2610" i="8"/>
  <c r="K2610" i="8"/>
  <c r="L2609" i="8"/>
  <c r="K2609" i="8"/>
  <c r="L2608" i="8"/>
  <c r="K2608" i="8"/>
  <c r="L2607" i="8"/>
  <c r="K2607" i="8"/>
  <c r="L2606" i="8"/>
  <c r="K2606" i="8"/>
  <c r="L2605" i="8"/>
  <c r="K2605" i="8"/>
  <c r="L2604" i="8"/>
  <c r="K2604" i="8"/>
  <c r="L2603" i="8"/>
  <c r="K2603" i="8"/>
  <c r="L2602" i="8"/>
  <c r="K2602" i="8"/>
  <c r="L2601" i="8"/>
  <c r="K2601" i="8"/>
  <c r="L2600" i="8"/>
  <c r="K2600" i="8"/>
  <c r="L2599" i="8"/>
  <c r="K2599" i="8"/>
  <c r="L2598" i="8"/>
  <c r="K2598" i="8"/>
  <c r="L2597" i="8"/>
  <c r="K2597" i="8"/>
  <c r="L2596" i="8"/>
  <c r="K2596" i="8"/>
  <c r="L2595" i="8"/>
  <c r="K2595" i="8"/>
  <c r="L2594" i="8"/>
  <c r="K2594" i="8"/>
  <c r="L2593" i="8"/>
  <c r="K2593" i="8"/>
  <c r="L2592" i="8"/>
  <c r="K2592" i="8"/>
  <c r="L2591" i="8"/>
  <c r="K2591" i="8"/>
  <c r="L2590" i="8"/>
  <c r="K2590" i="8"/>
  <c r="L2589" i="8"/>
  <c r="K2589" i="8"/>
  <c r="L2588" i="8"/>
  <c r="K2588" i="8"/>
  <c r="L2587" i="8"/>
  <c r="K2587" i="8"/>
  <c r="L2586" i="8"/>
  <c r="K2586" i="8"/>
  <c r="L2585" i="8"/>
  <c r="K2585" i="8"/>
  <c r="L2584" i="8"/>
  <c r="K2584" i="8"/>
  <c r="L2583" i="8"/>
  <c r="K2583" i="8"/>
  <c r="L2582" i="8"/>
  <c r="K2582" i="8"/>
  <c r="L2581" i="8"/>
  <c r="K2581" i="8"/>
  <c r="L2580" i="8"/>
  <c r="K2580" i="8"/>
  <c r="L2579" i="8"/>
  <c r="K2579" i="8"/>
  <c r="L2578" i="8"/>
  <c r="K2578" i="8"/>
  <c r="L2577" i="8"/>
  <c r="K2577" i="8"/>
  <c r="L2576" i="8"/>
  <c r="K2576" i="8"/>
  <c r="L2575" i="8"/>
  <c r="K2575" i="8"/>
  <c r="L2574" i="8"/>
  <c r="K2574" i="8"/>
  <c r="L2573" i="8"/>
  <c r="K2573" i="8"/>
  <c r="L2572" i="8"/>
  <c r="K2572" i="8"/>
  <c r="L2571" i="8"/>
  <c r="K2571" i="8"/>
  <c r="L2570" i="8"/>
  <c r="K2570" i="8"/>
  <c r="L2569" i="8"/>
  <c r="K2569" i="8"/>
  <c r="L2568" i="8"/>
  <c r="K2568" i="8"/>
  <c r="L2567" i="8"/>
  <c r="K2567" i="8"/>
  <c r="L2566" i="8"/>
  <c r="K2566" i="8"/>
  <c r="L2565" i="8"/>
  <c r="K2565" i="8"/>
  <c r="L2564" i="8"/>
  <c r="K2564" i="8"/>
  <c r="L2563" i="8"/>
  <c r="K2563" i="8"/>
  <c r="L2562" i="8"/>
  <c r="K2562" i="8"/>
  <c r="L2561" i="8"/>
  <c r="K2561" i="8"/>
  <c r="L2560" i="8"/>
  <c r="K2560" i="8"/>
  <c r="L2559" i="8"/>
  <c r="K2559" i="8"/>
  <c r="L2558" i="8"/>
  <c r="K2558" i="8"/>
  <c r="L2557" i="8"/>
  <c r="K2557" i="8"/>
  <c r="L2556" i="8"/>
  <c r="K2556" i="8"/>
  <c r="L2555" i="8"/>
  <c r="K2555" i="8"/>
  <c r="L2554" i="8"/>
  <c r="K2554" i="8"/>
  <c r="L2553" i="8"/>
  <c r="K2553" i="8"/>
  <c r="L2552" i="8"/>
  <c r="K2552" i="8"/>
  <c r="L2551" i="8"/>
  <c r="K2551" i="8"/>
  <c r="L2550" i="8"/>
  <c r="K2550" i="8"/>
  <c r="L2549" i="8"/>
  <c r="K2549" i="8"/>
  <c r="L2548" i="8"/>
  <c r="K2548" i="8"/>
  <c r="L2547" i="8"/>
  <c r="K2547" i="8"/>
  <c r="L2546" i="8"/>
  <c r="K2546" i="8"/>
  <c r="L2545" i="8"/>
  <c r="K2545" i="8"/>
  <c r="L2544" i="8"/>
  <c r="K2544" i="8"/>
  <c r="L2543" i="8"/>
  <c r="K2543" i="8"/>
  <c r="L2542" i="8"/>
  <c r="K2542" i="8"/>
  <c r="L2541" i="8"/>
  <c r="K2541" i="8"/>
  <c r="L2540" i="8"/>
  <c r="K2540" i="8"/>
  <c r="L2539" i="8"/>
  <c r="K2539" i="8"/>
  <c r="L2538" i="8"/>
  <c r="K2538" i="8"/>
  <c r="L2537" i="8"/>
  <c r="K2537" i="8"/>
  <c r="L2536" i="8"/>
  <c r="K2536" i="8"/>
  <c r="L2535" i="8"/>
  <c r="K2535" i="8"/>
  <c r="L2534" i="8"/>
  <c r="K2534" i="8"/>
  <c r="L2533" i="8"/>
  <c r="K2533" i="8"/>
  <c r="L2532" i="8"/>
  <c r="K2532" i="8"/>
  <c r="L2531" i="8"/>
  <c r="K2531" i="8"/>
  <c r="L2530" i="8"/>
  <c r="K2530" i="8"/>
  <c r="L2529" i="8"/>
  <c r="K2529" i="8"/>
  <c r="L2528" i="8"/>
  <c r="K2528" i="8"/>
  <c r="L2527" i="8"/>
  <c r="K2527" i="8"/>
  <c r="L2526" i="8"/>
  <c r="K2526" i="8"/>
  <c r="L2525" i="8"/>
  <c r="K2525" i="8"/>
  <c r="L2524" i="8"/>
  <c r="K2524" i="8"/>
  <c r="L2523" i="8"/>
  <c r="K2523" i="8"/>
  <c r="L2522" i="8"/>
  <c r="K2522" i="8"/>
  <c r="L2521" i="8"/>
  <c r="K2521" i="8"/>
  <c r="L2520" i="8"/>
  <c r="K2520" i="8"/>
  <c r="L2519" i="8"/>
  <c r="K2519" i="8"/>
  <c r="L2518" i="8"/>
  <c r="K2518" i="8"/>
  <c r="L2517" i="8"/>
  <c r="K2517" i="8"/>
  <c r="L2516" i="8"/>
  <c r="K2516" i="8"/>
  <c r="L2515" i="8"/>
  <c r="K2515" i="8"/>
  <c r="L2514" i="8"/>
  <c r="K2514" i="8"/>
  <c r="L2513" i="8"/>
  <c r="K2513" i="8"/>
  <c r="L2512" i="8"/>
  <c r="K2512" i="8"/>
  <c r="L2511" i="8"/>
  <c r="K2511" i="8"/>
  <c r="L2510" i="8"/>
  <c r="K2510" i="8"/>
  <c r="L2509" i="8"/>
  <c r="K2509" i="8"/>
  <c r="L2508" i="8"/>
  <c r="K2508" i="8"/>
  <c r="L2507" i="8"/>
  <c r="K2507" i="8"/>
  <c r="L2506" i="8"/>
  <c r="K2506" i="8"/>
  <c r="L2505" i="8"/>
  <c r="K2505" i="8"/>
  <c r="L2504" i="8"/>
  <c r="K2504" i="8"/>
  <c r="L2503" i="8"/>
  <c r="K2503" i="8"/>
  <c r="L2502" i="8"/>
  <c r="K2502" i="8"/>
  <c r="L2501" i="8"/>
  <c r="K2501" i="8"/>
  <c r="L2500" i="8"/>
  <c r="K2500" i="8"/>
  <c r="L2499" i="8"/>
  <c r="K2499" i="8"/>
  <c r="L2498" i="8"/>
  <c r="K2498" i="8"/>
  <c r="L2497" i="8"/>
  <c r="K2497" i="8"/>
  <c r="L2496" i="8"/>
  <c r="K2496" i="8"/>
  <c r="L2495" i="8"/>
  <c r="K2495" i="8"/>
  <c r="L2494" i="8"/>
  <c r="K2494" i="8"/>
  <c r="L2493" i="8"/>
  <c r="K2493" i="8"/>
  <c r="L2492" i="8"/>
  <c r="K2492" i="8"/>
  <c r="L2491" i="8"/>
  <c r="K2491" i="8"/>
  <c r="L2490" i="8"/>
  <c r="K2490" i="8"/>
  <c r="L2489" i="8"/>
  <c r="K2489" i="8"/>
  <c r="L2488" i="8"/>
  <c r="K2488" i="8"/>
  <c r="L2487" i="8"/>
  <c r="K2487" i="8"/>
  <c r="L2486" i="8"/>
  <c r="K2486" i="8"/>
  <c r="L2485" i="8"/>
  <c r="K2485" i="8"/>
  <c r="L2484" i="8"/>
  <c r="K2484" i="8"/>
  <c r="L2483" i="8"/>
  <c r="K2483" i="8"/>
  <c r="L2482" i="8"/>
  <c r="K2482" i="8"/>
  <c r="L2481" i="8"/>
  <c r="K2481" i="8"/>
  <c r="L2480" i="8"/>
  <c r="K2480" i="8"/>
  <c r="L2479" i="8"/>
  <c r="K2479" i="8"/>
  <c r="L2478" i="8"/>
  <c r="K2478" i="8"/>
  <c r="L2477" i="8"/>
  <c r="K2477" i="8"/>
  <c r="L2476" i="8"/>
  <c r="K2476" i="8"/>
  <c r="L2475" i="8"/>
  <c r="K2475" i="8"/>
  <c r="L2474" i="8"/>
  <c r="K2474" i="8"/>
  <c r="L2473" i="8"/>
  <c r="K2473" i="8"/>
  <c r="L2472" i="8"/>
  <c r="K2472" i="8"/>
  <c r="L2471" i="8"/>
  <c r="K2471" i="8"/>
  <c r="L2470" i="8"/>
  <c r="K2470" i="8"/>
  <c r="L2469" i="8"/>
  <c r="K2469" i="8"/>
  <c r="L2468" i="8"/>
  <c r="K2468" i="8"/>
  <c r="L2467" i="8"/>
  <c r="K2467" i="8"/>
  <c r="L2466" i="8"/>
  <c r="K2466" i="8"/>
  <c r="L2465" i="8"/>
  <c r="K2465" i="8"/>
  <c r="L2464" i="8"/>
  <c r="K2464" i="8"/>
  <c r="L2463" i="8"/>
  <c r="K2463" i="8"/>
  <c r="L2462" i="8"/>
  <c r="K2462" i="8"/>
  <c r="L2461" i="8"/>
  <c r="K2461" i="8"/>
  <c r="L2460" i="8"/>
  <c r="K2460" i="8"/>
  <c r="L2459" i="8"/>
  <c r="K2459" i="8"/>
  <c r="L2458" i="8"/>
  <c r="K2458" i="8"/>
  <c r="L2457" i="8"/>
  <c r="K2457" i="8"/>
  <c r="L2456" i="8"/>
  <c r="K2456" i="8"/>
  <c r="L2455" i="8"/>
  <c r="K2455" i="8"/>
  <c r="L2454" i="8"/>
  <c r="K2454" i="8"/>
  <c r="L2453" i="8"/>
  <c r="K2453" i="8"/>
  <c r="L2452" i="8"/>
  <c r="K2452" i="8"/>
  <c r="L2451" i="8"/>
  <c r="K2451" i="8"/>
  <c r="L2450" i="8"/>
  <c r="K2450" i="8"/>
  <c r="L2449" i="8"/>
  <c r="K2449" i="8"/>
  <c r="L2448" i="8"/>
  <c r="K2448" i="8"/>
  <c r="L2447" i="8"/>
  <c r="K2447" i="8"/>
  <c r="L2446" i="8"/>
  <c r="K2446" i="8"/>
  <c r="L2445" i="8"/>
  <c r="K2445" i="8"/>
  <c r="L2444" i="8"/>
  <c r="K2444" i="8"/>
  <c r="L2443" i="8"/>
  <c r="K2443" i="8"/>
  <c r="L2442" i="8"/>
  <c r="K2442" i="8"/>
  <c r="L2441" i="8"/>
  <c r="K2441" i="8"/>
  <c r="L2440" i="8"/>
  <c r="K2440" i="8"/>
  <c r="L2439" i="8"/>
  <c r="K2439" i="8"/>
  <c r="L2438" i="8"/>
  <c r="K2438" i="8"/>
  <c r="L2437" i="8"/>
  <c r="K2437" i="8"/>
  <c r="L2436" i="8"/>
  <c r="K2436" i="8"/>
  <c r="L2435" i="8"/>
  <c r="K2435" i="8"/>
  <c r="L2434" i="8"/>
  <c r="K2434" i="8"/>
  <c r="L2433" i="8"/>
  <c r="K2433" i="8"/>
  <c r="L2432" i="8"/>
  <c r="K2432" i="8"/>
  <c r="L2431" i="8"/>
  <c r="K2431" i="8"/>
  <c r="L2430" i="8"/>
  <c r="K2430" i="8"/>
  <c r="L2429" i="8"/>
  <c r="K2429" i="8"/>
  <c r="L2428" i="8"/>
  <c r="K2428" i="8"/>
  <c r="L2427" i="8"/>
  <c r="K2427" i="8"/>
  <c r="L2426" i="8"/>
  <c r="K2426" i="8"/>
  <c r="L2425" i="8"/>
  <c r="K2425" i="8"/>
  <c r="L2424" i="8"/>
  <c r="K2424" i="8"/>
  <c r="L2423" i="8"/>
  <c r="K2423" i="8"/>
  <c r="L2422" i="8"/>
  <c r="K2422" i="8"/>
  <c r="L2421" i="8"/>
  <c r="K2421" i="8"/>
  <c r="L2420" i="8"/>
  <c r="K2420" i="8"/>
  <c r="L2419" i="8"/>
  <c r="K2419" i="8"/>
  <c r="L2418" i="8"/>
  <c r="K2418" i="8"/>
  <c r="L2417" i="8"/>
  <c r="K2417" i="8"/>
  <c r="L2416" i="8"/>
  <c r="K2416" i="8"/>
  <c r="L2415" i="8"/>
  <c r="K2415" i="8"/>
  <c r="L2414" i="8"/>
  <c r="K2414" i="8"/>
  <c r="L2413" i="8"/>
  <c r="K2413" i="8"/>
  <c r="L2412" i="8"/>
  <c r="K2412" i="8"/>
  <c r="L2411" i="8"/>
  <c r="K2411" i="8"/>
  <c r="L2410" i="8"/>
  <c r="K2410" i="8"/>
  <c r="L2409" i="8"/>
  <c r="K2409" i="8"/>
  <c r="L2408" i="8"/>
  <c r="K2408" i="8"/>
  <c r="L2407" i="8"/>
  <c r="K2407" i="8"/>
  <c r="L2406" i="8"/>
  <c r="K2406" i="8"/>
  <c r="L2405" i="8"/>
  <c r="K2405" i="8"/>
  <c r="L2404" i="8"/>
  <c r="K2404" i="8"/>
  <c r="L2403" i="8"/>
  <c r="K2403" i="8"/>
  <c r="L2402" i="8"/>
  <c r="K2402" i="8"/>
  <c r="L2401" i="8"/>
  <c r="K2401" i="8"/>
  <c r="L2400" i="8"/>
  <c r="K2400" i="8"/>
  <c r="L2399" i="8"/>
  <c r="K2399" i="8"/>
  <c r="L2398" i="8"/>
  <c r="K2398" i="8"/>
  <c r="L2397" i="8"/>
  <c r="K2397" i="8"/>
  <c r="L2396" i="8"/>
  <c r="K2396" i="8"/>
  <c r="L2395" i="8"/>
  <c r="K2395" i="8"/>
  <c r="L2394" i="8"/>
  <c r="K2394" i="8"/>
  <c r="L2393" i="8"/>
  <c r="K2393" i="8"/>
  <c r="L2392" i="8"/>
  <c r="K2392" i="8"/>
  <c r="L2391" i="8"/>
  <c r="K2391" i="8"/>
  <c r="L2390" i="8"/>
  <c r="K2390" i="8"/>
  <c r="L2389" i="8"/>
  <c r="K2389" i="8"/>
  <c r="L2388" i="8"/>
  <c r="K2388" i="8"/>
  <c r="L2387" i="8"/>
  <c r="K2387" i="8"/>
  <c r="L2386" i="8"/>
  <c r="K2386" i="8"/>
  <c r="L2385" i="8"/>
  <c r="K2385" i="8"/>
  <c r="L2384" i="8"/>
  <c r="K2384" i="8"/>
  <c r="L2383" i="8"/>
  <c r="K2383" i="8"/>
  <c r="L2382" i="8"/>
  <c r="K2382" i="8"/>
  <c r="L2381" i="8"/>
  <c r="K2381" i="8"/>
  <c r="L2380" i="8"/>
  <c r="K2380" i="8"/>
  <c r="L2379" i="8"/>
  <c r="K2379" i="8"/>
  <c r="L2378" i="8"/>
  <c r="K2378" i="8"/>
  <c r="L2377" i="8"/>
  <c r="K2377" i="8"/>
  <c r="L2376" i="8"/>
  <c r="K2376" i="8"/>
  <c r="L2375" i="8"/>
  <c r="K2375" i="8"/>
  <c r="L2374" i="8"/>
  <c r="K2374" i="8"/>
  <c r="L2373" i="8"/>
  <c r="K2373" i="8"/>
  <c r="L2372" i="8"/>
  <c r="K2372" i="8"/>
  <c r="L2371" i="8"/>
  <c r="K2371" i="8"/>
  <c r="L2370" i="8"/>
  <c r="K2370" i="8"/>
  <c r="L2369" i="8"/>
  <c r="K2369" i="8"/>
  <c r="L2368" i="8"/>
  <c r="K2368" i="8"/>
  <c r="L2367" i="8"/>
  <c r="K2367" i="8"/>
  <c r="L2366" i="8"/>
  <c r="K2366" i="8"/>
  <c r="L2365" i="8"/>
  <c r="K2365" i="8"/>
  <c r="L2364" i="8"/>
  <c r="K2364" i="8"/>
  <c r="L2363" i="8"/>
  <c r="K2363" i="8"/>
  <c r="L2362" i="8"/>
  <c r="K2362" i="8"/>
  <c r="L2361" i="8"/>
  <c r="K2361" i="8"/>
  <c r="L2360" i="8"/>
  <c r="K2360" i="8"/>
  <c r="L2359" i="8"/>
  <c r="K2359" i="8"/>
  <c r="L2358" i="8"/>
  <c r="K2358" i="8"/>
  <c r="L2357" i="8"/>
  <c r="K2357" i="8"/>
  <c r="L2356" i="8"/>
  <c r="K2356" i="8"/>
  <c r="L2355" i="8"/>
  <c r="K2355" i="8"/>
  <c r="L2354" i="8"/>
  <c r="K2354" i="8"/>
  <c r="L2353" i="8"/>
  <c r="K2353" i="8"/>
  <c r="L2352" i="8"/>
  <c r="K2352" i="8"/>
  <c r="L2351" i="8"/>
  <c r="K2351" i="8"/>
  <c r="L2350" i="8"/>
  <c r="K2350" i="8"/>
  <c r="L2349" i="8"/>
  <c r="K2349" i="8"/>
  <c r="L2348" i="8"/>
  <c r="K2348" i="8"/>
  <c r="L2347" i="8"/>
  <c r="K2347" i="8"/>
  <c r="L2346" i="8"/>
  <c r="K2346" i="8"/>
  <c r="L2345" i="8"/>
  <c r="K2345" i="8"/>
  <c r="L2344" i="8"/>
  <c r="K2344" i="8"/>
  <c r="L2343" i="8"/>
  <c r="K2343" i="8"/>
  <c r="L2342" i="8"/>
  <c r="K2342" i="8"/>
  <c r="L2341" i="8"/>
  <c r="K2341" i="8"/>
  <c r="L2340" i="8"/>
  <c r="K2340" i="8"/>
  <c r="L2339" i="8"/>
  <c r="K2339" i="8"/>
  <c r="L2338" i="8"/>
  <c r="K2338" i="8"/>
  <c r="L2337" i="8"/>
  <c r="K2337" i="8"/>
  <c r="L2336" i="8"/>
  <c r="K2336" i="8"/>
  <c r="L2335" i="8"/>
  <c r="K2335" i="8"/>
  <c r="L2334" i="8"/>
  <c r="K2334" i="8"/>
  <c r="L2333" i="8"/>
  <c r="K2333" i="8"/>
  <c r="L2332" i="8"/>
  <c r="K2332" i="8"/>
  <c r="L2331" i="8"/>
  <c r="K2331" i="8"/>
  <c r="L2330" i="8"/>
  <c r="K2330" i="8"/>
  <c r="L2329" i="8"/>
  <c r="K2329" i="8"/>
  <c r="L2328" i="8"/>
  <c r="K2328" i="8"/>
  <c r="L2327" i="8"/>
  <c r="K2327" i="8"/>
  <c r="L2326" i="8"/>
  <c r="K2326" i="8"/>
  <c r="L2325" i="8"/>
  <c r="K2325" i="8"/>
  <c r="L2324" i="8"/>
  <c r="K2324" i="8"/>
  <c r="L2323" i="8"/>
  <c r="K2323" i="8"/>
  <c r="L2322" i="8"/>
  <c r="K2322" i="8"/>
  <c r="L2321" i="8"/>
  <c r="K2321" i="8"/>
  <c r="L2320" i="8"/>
  <c r="K2320" i="8"/>
  <c r="L2319" i="8"/>
  <c r="K2319" i="8"/>
  <c r="L2318" i="8"/>
  <c r="K2318" i="8"/>
  <c r="L2317" i="8"/>
  <c r="K2317" i="8"/>
  <c r="L2316" i="8"/>
  <c r="K2316" i="8"/>
  <c r="L2315" i="8"/>
  <c r="K2315" i="8"/>
  <c r="L2314" i="8"/>
  <c r="K2314" i="8"/>
  <c r="L2313" i="8"/>
  <c r="K2313" i="8"/>
  <c r="L2312" i="8"/>
  <c r="K2312" i="8"/>
  <c r="L2311" i="8"/>
  <c r="K2311" i="8"/>
  <c r="L2310" i="8"/>
  <c r="K2310" i="8"/>
  <c r="L2309" i="8"/>
  <c r="K2309" i="8"/>
  <c r="L2308" i="8"/>
  <c r="K2308" i="8"/>
  <c r="L2307" i="8"/>
  <c r="K2307" i="8"/>
  <c r="L2306" i="8"/>
  <c r="K2306" i="8"/>
  <c r="L2305" i="8"/>
  <c r="K2305" i="8"/>
  <c r="L2304" i="8"/>
  <c r="K2304" i="8"/>
  <c r="L2303" i="8"/>
  <c r="K2303" i="8"/>
  <c r="L2302" i="8"/>
  <c r="K2302" i="8"/>
  <c r="L2301" i="8"/>
  <c r="K2301" i="8"/>
  <c r="L2300" i="8"/>
  <c r="K2300" i="8"/>
  <c r="L2299" i="8"/>
  <c r="K2299" i="8"/>
  <c r="L2298" i="8"/>
  <c r="K2298" i="8"/>
  <c r="L2297" i="8"/>
  <c r="K2297" i="8"/>
  <c r="L2296" i="8"/>
  <c r="K2296" i="8"/>
  <c r="L2295" i="8"/>
  <c r="K2295" i="8"/>
  <c r="L2294" i="8"/>
  <c r="K2294" i="8"/>
  <c r="L2293" i="8"/>
  <c r="K2293" i="8"/>
  <c r="L2292" i="8"/>
  <c r="K2292" i="8"/>
  <c r="L2291" i="8"/>
  <c r="K2291" i="8"/>
  <c r="L2290" i="8"/>
  <c r="K2290" i="8"/>
  <c r="L2289" i="8"/>
  <c r="K2289" i="8"/>
  <c r="L2288" i="8"/>
  <c r="K2288" i="8"/>
  <c r="L2287" i="8"/>
  <c r="K2287" i="8"/>
  <c r="L2286" i="8"/>
  <c r="K2286" i="8"/>
  <c r="L2285" i="8"/>
  <c r="K2285" i="8"/>
  <c r="L2284" i="8"/>
  <c r="K2284" i="8"/>
  <c r="L2283" i="8"/>
  <c r="K2283" i="8"/>
  <c r="L2282" i="8"/>
  <c r="K2282" i="8"/>
  <c r="L2281" i="8"/>
  <c r="K2281" i="8"/>
  <c r="L2280" i="8"/>
  <c r="K2280" i="8"/>
  <c r="L2279" i="8"/>
  <c r="K2279" i="8"/>
  <c r="L2278" i="8"/>
  <c r="K2278" i="8"/>
  <c r="L2277" i="8"/>
  <c r="K2277" i="8"/>
  <c r="L2276" i="8"/>
  <c r="K2276" i="8"/>
  <c r="L2275" i="8"/>
  <c r="K2275" i="8"/>
  <c r="L2274" i="8"/>
  <c r="K2274" i="8"/>
  <c r="L2273" i="8"/>
  <c r="K2273" i="8"/>
  <c r="L2272" i="8"/>
  <c r="K2272" i="8"/>
  <c r="L2271" i="8"/>
  <c r="K2271" i="8"/>
  <c r="L2270" i="8"/>
  <c r="K2270" i="8"/>
  <c r="L2269" i="8"/>
  <c r="K2269" i="8"/>
  <c r="L2268" i="8"/>
  <c r="K2268" i="8"/>
  <c r="L2267" i="8"/>
  <c r="K2267" i="8"/>
  <c r="L2266" i="8"/>
  <c r="K2266" i="8"/>
  <c r="L2265" i="8"/>
  <c r="K2265" i="8"/>
  <c r="L2264" i="8"/>
  <c r="K2264" i="8"/>
  <c r="L2263" i="8"/>
  <c r="K2263" i="8"/>
  <c r="L2262" i="8"/>
  <c r="K2262" i="8"/>
  <c r="L2261" i="8"/>
  <c r="K2261" i="8"/>
  <c r="L2260" i="8"/>
  <c r="K2260" i="8"/>
  <c r="L2259" i="8"/>
  <c r="K2259" i="8"/>
  <c r="L2258" i="8"/>
  <c r="K2258" i="8"/>
  <c r="L2257" i="8"/>
  <c r="K2257" i="8"/>
  <c r="L2256" i="8"/>
  <c r="K2256" i="8"/>
  <c r="L2255" i="8"/>
  <c r="K2255" i="8"/>
  <c r="L2254" i="8"/>
  <c r="K2254" i="8"/>
  <c r="L2253" i="8"/>
  <c r="K2253" i="8"/>
  <c r="L2252" i="8"/>
  <c r="K2252" i="8"/>
  <c r="L2251" i="8"/>
  <c r="K2251" i="8"/>
  <c r="L2250" i="8"/>
  <c r="K2250" i="8"/>
  <c r="L2249" i="8"/>
  <c r="K2249" i="8"/>
  <c r="L2248" i="8"/>
  <c r="K2248" i="8"/>
  <c r="L2247" i="8"/>
  <c r="K2247" i="8"/>
  <c r="L2246" i="8"/>
  <c r="K2246" i="8"/>
  <c r="L2245" i="8"/>
  <c r="K2245" i="8"/>
  <c r="L2244" i="8"/>
  <c r="K2244" i="8"/>
  <c r="L2243" i="8"/>
  <c r="K2243" i="8"/>
  <c r="L2242" i="8"/>
  <c r="K2242" i="8"/>
  <c r="L2241" i="8"/>
  <c r="K2241" i="8"/>
  <c r="L2240" i="8"/>
  <c r="K2240" i="8"/>
  <c r="L2239" i="8"/>
  <c r="K2239" i="8"/>
  <c r="L2238" i="8"/>
  <c r="K2238" i="8"/>
  <c r="L2237" i="8"/>
  <c r="K2237" i="8"/>
  <c r="L2236" i="8"/>
  <c r="K2236" i="8"/>
  <c r="L2235" i="8"/>
  <c r="K2235" i="8"/>
  <c r="L2234" i="8"/>
  <c r="K2234" i="8"/>
  <c r="L2233" i="8"/>
  <c r="K2233" i="8"/>
  <c r="L2232" i="8"/>
  <c r="K2232" i="8"/>
  <c r="L2231" i="8"/>
  <c r="K2231" i="8"/>
  <c r="L2230" i="8"/>
  <c r="K2230" i="8"/>
  <c r="L2229" i="8"/>
  <c r="K2229" i="8"/>
  <c r="L2228" i="8"/>
  <c r="K2228" i="8"/>
  <c r="L2227" i="8"/>
  <c r="K2227" i="8"/>
  <c r="L2226" i="8"/>
  <c r="K2226" i="8"/>
  <c r="L2225" i="8"/>
  <c r="K2225" i="8"/>
  <c r="L2224" i="8"/>
  <c r="K2224" i="8"/>
  <c r="L2223" i="8"/>
  <c r="K2223" i="8"/>
  <c r="L2222" i="8"/>
  <c r="K2222" i="8"/>
  <c r="L2221" i="8"/>
  <c r="K2221" i="8"/>
  <c r="L2220" i="8"/>
  <c r="K2220" i="8"/>
  <c r="L2219" i="8"/>
  <c r="K2219" i="8"/>
  <c r="L2218" i="8"/>
  <c r="K2218" i="8"/>
  <c r="L2217" i="8"/>
  <c r="K2217" i="8"/>
  <c r="L2216" i="8"/>
  <c r="K2216" i="8"/>
  <c r="L2215" i="8"/>
  <c r="K2215" i="8"/>
  <c r="L2214" i="8"/>
  <c r="K2214" i="8"/>
  <c r="L2213" i="8"/>
  <c r="K2213" i="8"/>
  <c r="L2212" i="8"/>
  <c r="K2212" i="8"/>
  <c r="L2211" i="8"/>
  <c r="K2211" i="8"/>
  <c r="L2210" i="8"/>
  <c r="K2210" i="8"/>
  <c r="L2209" i="8"/>
  <c r="K2209" i="8"/>
  <c r="L2208" i="8"/>
  <c r="K2208" i="8"/>
  <c r="L2207" i="8"/>
  <c r="K2207" i="8"/>
  <c r="L2206" i="8"/>
  <c r="K2206" i="8"/>
  <c r="L2205" i="8"/>
  <c r="K2205" i="8"/>
  <c r="L2204" i="8"/>
  <c r="K2204" i="8"/>
  <c r="L2203" i="8"/>
  <c r="K2203" i="8"/>
  <c r="L2202" i="8"/>
  <c r="K2202" i="8"/>
  <c r="L2201" i="8"/>
  <c r="K2201" i="8"/>
  <c r="L2200" i="8"/>
  <c r="K2200" i="8"/>
  <c r="L2199" i="8"/>
  <c r="K2199" i="8"/>
  <c r="L2198" i="8"/>
  <c r="K2198" i="8"/>
  <c r="L2197" i="8"/>
  <c r="K2197" i="8"/>
  <c r="L2196" i="8"/>
  <c r="K2196" i="8"/>
  <c r="L2195" i="8"/>
  <c r="K2195" i="8"/>
  <c r="L2194" i="8"/>
  <c r="K2194" i="8"/>
  <c r="L2193" i="8"/>
  <c r="K2193" i="8"/>
  <c r="L2192" i="8"/>
  <c r="K2192" i="8"/>
  <c r="L2191" i="8"/>
  <c r="K2191" i="8"/>
  <c r="L2190" i="8"/>
  <c r="K2190" i="8"/>
  <c r="L2189" i="8"/>
  <c r="K2189" i="8"/>
  <c r="L2188" i="8"/>
  <c r="K2188" i="8"/>
  <c r="L2187" i="8"/>
  <c r="K2187" i="8"/>
  <c r="L2186" i="8"/>
  <c r="K2186" i="8"/>
  <c r="L2185" i="8"/>
  <c r="K2185" i="8"/>
  <c r="L2184" i="8"/>
  <c r="K2184" i="8"/>
  <c r="L2183" i="8"/>
  <c r="K2183" i="8"/>
  <c r="L2182" i="8"/>
  <c r="K2182" i="8"/>
  <c r="L2181" i="8"/>
  <c r="K2181" i="8"/>
  <c r="L2180" i="8"/>
  <c r="K2180" i="8"/>
  <c r="L2179" i="8"/>
  <c r="K2179" i="8"/>
  <c r="L2178" i="8"/>
  <c r="K2178" i="8"/>
  <c r="L2177" i="8"/>
  <c r="K2177" i="8"/>
  <c r="L2176" i="8"/>
  <c r="K2176" i="8"/>
  <c r="L2175" i="8"/>
  <c r="K2175" i="8"/>
  <c r="L2174" i="8"/>
  <c r="K2174" i="8"/>
  <c r="L2173" i="8"/>
  <c r="K2173" i="8"/>
  <c r="L2172" i="8"/>
  <c r="K2172" i="8"/>
  <c r="L2171" i="8"/>
  <c r="K2171" i="8"/>
  <c r="L2170" i="8"/>
  <c r="K2170" i="8"/>
  <c r="L2169" i="8"/>
  <c r="K2169" i="8"/>
  <c r="L2168" i="8"/>
  <c r="K2168" i="8"/>
  <c r="L2167" i="8"/>
  <c r="K2167" i="8"/>
  <c r="L2166" i="8"/>
  <c r="K2166" i="8"/>
  <c r="L2165" i="8"/>
  <c r="K2165" i="8"/>
  <c r="L2164" i="8"/>
  <c r="K2164" i="8"/>
  <c r="L2163" i="8"/>
  <c r="K2163" i="8"/>
  <c r="L2162" i="8"/>
  <c r="K2162" i="8"/>
  <c r="L2161" i="8"/>
  <c r="K2161" i="8"/>
  <c r="L2160" i="8"/>
  <c r="K2160" i="8"/>
  <c r="L2159" i="8"/>
  <c r="K2159" i="8"/>
  <c r="L2158" i="8"/>
  <c r="K2158" i="8"/>
  <c r="L2157" i="8"/>
  <c r="K2157" i="8"/>
  <c r="L2156" i="8"/>
  <c r="K2156" i="8"/>
  <c r="L2155" i="8"/>
  <c r="K2155" i="8"/>
  <c r="L2154" i="8"/>
  <c r="K2154" i="8"/>
  <c r="L2153" i="8"/>
  <c r="K2153" i="8"/>
  <c r="L2152" i="8"/>
  <c r="K2152" i="8"/>
  <c r="L2151" i="8"/>
  <c r="K2151" i="8"/>
  <c r="L2150" i="8"/>
  <c r="K2150" i="8"/>
  <c r="L2149" i="8"/>
  <c r="K2149" i="8"/>
  <c r="L2148" i="8"/>
  <c r="K2148" i="8"/>
  <c r="L2147" i="8"/>
  <c r="K2147" i="8"/>
  <c r="L2146" i="8"/>
  <c r="K2146" i="8"/>
  <c r="L2145" i="8"/>
  <c r="K2145" i="8"/>
  <c r="L2144" i="8"/>
  <c r="K2144" i="8"/>
  <c r="L2143" i="8"/>
  <c r="K2143" i="8"/>
  <c r="L2142" i="8"/>
  <c r="K2142" i="8"/>
  <c r="L2141" i="8"/>
  <c r="K2141" i="8"/>
  <c r="L2140" i="8"/>
  <c r="K2140" i="8"/>
  <c r="L2139" i="8"/>
  <c r="K2139" i="8"/>
  <c r="L2138" i="8"/>
  <c r="K2138" i="8"/>
  <c r="L2137" i="8"/>
  <c r="K2137" i="8"/>
  <c r="L2136" i="8"/>
  <c r="K2136" i="8"/>
  <c r="L2135" i="8"/>
  <c r="K2135" i="8"/>
  <c r="L2134" i="8"/>
  <c r="K2134" i="8"/>
  <c r="L2133" i="8"/>
  <c r="K2133" i="8"/>
  <c r="L2132" i="8"/>
  <c r="K2132" i="8"/>
  <c r="L2131" i="8"/>
  <c r="K2131" i="8"/>
  <c r="L2130" i="8"/>
  <c r="K2130" i="8"/>
  <c r="L2129" i="8"/>
  <c r="K2129" i="8"/>
  <c r="L2128" i="8"/>
  <c r="K2128" i="8"/>
  <c r="L2127" i="8"/>
  <c r="K2127" i="8"/>
  <c r="L2126" i="8"/>
  <c r="K2126" i="8"/>
  <c r="L2125" i="8"/>
  <c r="K2125" i="8"/>
  <c r="L2124" i="8"/>
  <c r="K2124" i="8"/>
  <c r="L2123" i="8"/>
  <c r="K2123" i="8"/>
  <c r="L2122" i="8"/>
  <c r="K2122" i="8"/>
  <c r="L2121" i="8"/>
  <c r="K2121" i="8"/>
  <c r="L2120" i="8"/>
  <c r="K2120" i="8"/>
  <c r="L2119" i="8"/>
  <c r="K2119" i="8"/>
  <c r="L2118" i="8"/>
  <c r="K2118" i="8"/>
  <c r="L2117" i="8"/>
  <c r="K2117" i="8"/>
  <c r="L2116" i="8"/>
  <c r="K2116" i="8"/>
  <c r="L2115" i="8"/>
  <c r="K2115" i="8"/>
  <c r="L2114" i="8"/>
  <c r="K2114" i="8"/>
  <c r="L2113" i="8"/>
  <c r="K2113" i="8"/>
  <c r="L2112" i="8"/>
  <c r="K2112" i="8"/>
  <c r="L2111" i="8"/>
  <c r="K2111" i="8"/>
  <c r="L2110" i="8"/>
  <c r="K2110" i="8"/>
  <c r="L2109" i="8"/>
  <c r="K2109" i="8"/>
  <c r="L2108" i="8"/>
  <c r="K2108" i="8"/>
  <c r="L2107" i="8"/>
  <c r="K2107" i="8"/>
  <c r="L2106" i="8"/>
  <c r="K2106" i="8"/>
  <c r="L2105" i="8"/>
  <c r="K2105" i="8"/>
  <c r="L2104" i="8"/>
  <c r="K2104" i="8"/>
  <c r="L2103" i="8"/>
  <c r="K2103" i="8"/>
  <c r="L2102" i="8"/>
  <c r="K2102" i="8"/>
  <c r="L2101" i="8"/>
  <c r="K2101" i="8"/>
  <c r="L2100" i="8"/>
  <c r="K2100" i="8"/>
  <c r="L2099" i="8"/>
  <c r="K2099" i="8"/>
  <c r="L2098" i="8"/>
  <c r="K2098" i="8"/>
  <c r="L2097" i="8"/>
  <c r="K2097" i="8"/>
  <c r="L2096" i="8"/>
  <c r="K2096" i="8"/>
  <c r="L2095" i="8"/>
  <c r="K2095" i="8"/>
  <c r="L2094" i="8"/>
  <c r="K2094" i="8"/>
  <c r="L2093" i="8"/>
  <c r="K2093" i="8"/>
  <c r="L2092" i="8"/>
  <c r="K2092" i="8"/>
  <c r="L2091" i="8"/>
  <c r="K2091" i="8"/>
  <c r="L2090" i="8"/>
  <c r="K2090" i="8"/>
  <c r="L2089" i="8"/>
  <c r="K2089" i="8"/>
  <c r="L2088" i="8"/>
  <c r="K2088" i="8"/>
  <c r="L2087" i="8"/>
  <c r="K2087" i="8"/>
  <c r="L2086" i="8"/>
  <c r="K2086" i="8"/>
  <c r="L2085" i="8"/>
  <c r="K2085" i="8"/>
  <c r="L2084" i="8"/>
  <c r="K2084" i="8"/>
  <c r="L2083" i="8"/>
  <c r="K2083" i="8"/>
  <c r="L2082" i="8"/>
  <c r="K2082" i="8"/>
  <c r="L2081" i="8"/>
  <c r="K2081" i="8"/>
  <c r="L2080" i="8"/>
  <c r="K2080" i="8"/>
  <c r="L2079" i="8"/>
  <c r="K2079" i="8"/>
  <c r="L2078" i="8"/>
  <c r="K2078" i="8"/>
  <c r="L2077" i="8"/>
  <c r="K2077" i="8"/>
  <c r="L2076" i="8"/>
  <c r="K2076" i="8"/>
  <c r="L2075" i="8"/>
  <c r="K2075" i="8"/>
  <c r="L2074" i="8"/>
  <c r="K2074" i="8"/>
  <c r="L2073" i="8"/>
  <c r="K2073" i="8"/>
  <c r="L2072" i="8"/>
  <c r="K2072" i="8"/>
  <c r="L2071" i="8"/>
  <c r="K2071" i="8"/>
  <c r="L2070" i="8"/>
  <c r="K2070" i="8"/>
  <c r="L2069" i="8"/>
  <c r="K2069" i="8"/>
  <c r="L2068" i="8"/>
  <c r="K2068" i="8"/>
  <c r="L2067" i="8"/>
  <c r="K2067" i="8"/>
  <c r="L2066" i="8"/>
  <c r="K2066" i="8"/>
  <c r="L2065" i="8"/>
  <c r="K2065" i="8"/>
  <c r="L2064" i="8"/>
  <c r="K2064" i="8"/>
  <c r="L2063" i="8"/>
  <c r="K2063" i="8"/>
  <c r="L2062" i="8"/>
  <c r="K2062" i="8"/>
  <c r="L2061" i="8"/>
  <c r="K2061" i="8"/>
  <c r="L2060" i="8"/>
  <c r="K2060" i="8"/>
  <c r="L2059" i="8"/>
  <c r="K2059" i="8"/>
  <c r="L2058" i="8"/>
  <c r="K2058" i="8"/>
  <c r="L2057" i="8"/>
  <c r="K2057" i="8"/>
  <c r="L2056" i="8"/>
  <c r="K2056" i="8"/>
  <c r="L2055" i="8"/>
  <c r="K2055" i="8"/>
  <c r="L2054" i="8"/>
  <c r="K2054" i="8"/>
  <c r="L2053" i="8"/>
  <c r="K2053" i="8"/>
  <c r="L2052" i="8"/>
  <c r="K2052" i="8"/>
  <c r="L2051" i="8"/>
  <c r="K2051" i="8"/>
  <c r="L2050" i="8"/>
  <c r="K2050" i="8"/>
  <c r="L2049" i="8"/>
  <c r="K2049" i="8"/>
  <c r="L2048" i="8"/>
  <c r="K2048" i="8"/>
  <c r="L2047" i="8"/>
  <c r="K2047" i="8"/>
  <c r="L2046" i="8"/>
  <c r="K2046" i="8"/>
  <c r="L2045" i="8"/>
  <c r="K2045" i="8"/>
  <c r="L2044" i="8"/>
  <c r="K2044" i="8"/>
  <c r="L2043" i="8"/>
  <c r="K2043" i="8"/>
  <c r="L2042" i="8"/>
  <c r="K2042" i="8"/>
  <c r="L2041" i="8"/>
  <c r="K2041" i="8"/>
  <c r="L2040" i="8"/>
  <c r="K2040" i="8"/>
  <c r="L2039" i="8"/>
  <c r="K2039" i="8"/>
  <c r="L2038" i="8"/>
  <c r="K2038" i="8"/>
  <c r="L2037" i="8"/>
  <c r="K2037" i="8"/>
  <c r="L2036" i="8"/>
  <c r="K2036" i="8"/>
  <c r="L2035" i="8"/>
  <c r="K2035" i="8"/>
  <c r="L2034" i="8"/>
  <c r="K2034" i="8"/>
  <c r="L2033" i="8"/>
  <c r="K2033" i="8"/>
  <c r="L2032" i="8"/>
  <c r="K2032" i="8"/>
  <c r="L2031" i="8"/>
  <c r="K2031" i="8"/>
  <c r="L2030" i="8"/>
  <c r="K2030" i="8"/>
  <c r="L2029" i="8"/>
  <c r="K2029" i="8"/>
  <c r="L2028" i="8"/>
  <c r="K2028" i="8"/>
  <c r="L2027" i="8"/>
  <c r="K2027" i="8"/>
  <c r="L2026" i="8"/>
  <c r="K2026" i="8"/>
  <c r="L2025" i="8"/>
  <c r="K2025" i="8"/>
  <c r="L2024" i="8"/>
  <c r="K2024" i="8"/>
  <c r="L2023" i="8"/>
  <c r="K2023" i="8"/>
  <c r="L2022" i="8"/>
  <c r="K2022" i="8"/>
  <c r="L2021" i="8"/>
  <c r="K2021" i="8"/>
  <c r="L2020" i="8"/>
  <c r="K2020" i="8"/>
  <c r="L2019" i="8"/>
  <c r="K2019" i="8"/>
  <c r="L2018" i="8"/>
  <c r="K2018" i="8"/>
  <c r="L2017" i="8"/>
  <c r="K2017" i="8"/>
  <c r="L2016" i="8"/>
  <c r="K2016" i="8"/>
  <c r="L2015" i="8"/>
  <c r="K2015" i="8"/>
  <c r="L2014" i="8"/>
  <c r="K2014" i="8"/>
  <c r="L2013" i="8"/>
  <c r="K2013" i="8"/>
  <c r="L2012" i="8"/>
  <c r="K2012" i="8"/>
  <c r="L2011" i="8"/>
  <c r="K2011" i="8"/>
  <c r="L2010" i="8"/>
  <c r="K2010" i="8"/>
  <c r="L2009" i="8"/>
  <c r="K2009" i="8"/>
  <c r="L2008" i="8"/>
  <c r="K2008" i="8"/>
  <c r="L2007" i="8"/>
  <c r="K2007" i="8"/>
  <c r="L2006" i="8"/>
  <c r="K2006" i="8"/>
  <c r="L2005" i="8"/>
  <c r="K2005" i="8"/>
  <c r="L2004" i="8"/>
  <c r="K2004" i="8"/>
  <c r="L2003" i="8"/>
  <c r="K2003" i="8"/>
  <c r="L2002" i="8"/>
  <c r="K2002" i="8"/>
  <c r="L2001" i="8"/>
  <c r="K2001" i="8"/>
  <c r="L2000" i="8"/>
  <c r="K2000" i="8"/>
  <c r="L1999" i="8"/>
  <c r="K1999" i="8"/>
  <c r="L1998" i="8"/>
  <c r="K1998" i="8"/>
  <c r="L1997" i="8"/>
  <c r="K1997" i="8"/>
  <c r="L1996" i="8"/>
  <c r="K1996" i="8"/>
  <c r="L1995" i="8"/>
  <c r="K1995" i="8"/>
  <c r="L1994" i="8"/>
  <c r="K1994" i="8"/>
  <c r="L1993" i="8"/>
  <c r="K1993" i="8"/>
  <c r="L1992" i="8"/>
  <c r="K1992" i="8"/>
  <c r="L1991" i="8"/>
  <c r="K1991" i="8"/>
  <c r="L1990" i="8"/>
  <c r="K1990" i="8"/>
  <c r="L1989" i="8"/>
  <c r="K1989" i="8"/>
  <c r="L1988" i="8"/>
  <c r="K1988" i="8"/>
  <c r="L1987" i="8"/>
  <c r="K1987" i="8"/>
  <c r="L1986" i="8"/>
  <c r="K1986" i="8"/>
  <c r="L1985" i="8"/>
  <c r="K1985" i="8"/>
  <c r="L1984" i="8"/>
  <c r="K1984" i="8"/>
  <c r="L1983" i="8"/>
  <c r="K1983" i="8"/>
  <c r="L1982" i="8"/>
  <c r="K1982" i="8"/>
  <c r="L1981" i="8"/>
  <c r="K1981" i="8"/>
  <c r="L1980" i="8"/>
  <c r="K1980" i="8"/>
  <c r="L1979" i="8"/>
  <c r="K1979" i="8"/>
  <c r="L1978" i="8"/>
  <c r="K1978" i="8"/>
  <c r="L1977" i="8"/>
  <c r="K1977" i="8"/>
  <c r="L1976" i="8"/>
  <c r="K1976" i="8"/>
  <c r="L1975" i="8"/>
  <c r="K1975" i="8"/>
  <c r="L1974" i="8"/>
  <c r="K1974" i="8"/>
  <c r="L1973" i="8"/>
  <c r="K1973" i="8"/>
  <c r="L1972" i="8"/>
  <c r="K1972" i="8"/>
  <c r="L1971" i="8"/>
  <c r="K1971" i="8"/>
  <c r="L1970" i="8"/>
  <c r="K1970" i="8"/>
  <c r="L1969" i="8"/>
  <c r="K1969" i="8"/>
  <c r="L1968" i="8"/>
  <c r="K1968" i="8"/>
  <c r="L1967" i="8"/>
  <c r="K1967" i="8"/>
  <c r="L1966" i="8"/>
  <c r="K1966" i="8"/>
  <c r="L1965" i="8"/>
  <c r="K1965" i="8"/>
  <c r="L1964" i="8"/>
  <c r="K1964" i="8"/>
  <c r="L1963" i="8"/>
  <c r="K1963" i="8"/>
  <c r="L1962" i="8"/>
  <c r="K1962" i="8"/>
  <c r="L1961" i="8"/>
  <c r="K1961" i="8"/>
  <c r="L1960" i="8"/>
  <c r="K1960" i="8"/>
  <c r="L1959" i="8"/>
  <c r="K1959" i="8"/>
  <c r="L1958" i="8"/>
  <c r="K1958" i="8"/>
  <c r="L1957" i="8"/>
  <c r="K1957" i="8"/>
  <c r="L1956" i="8"/>
  <c r="K1956" i="8"/>
  <c r="L1955" i="8"/>
  <c r="K1955" i="8"/>
  <c r="L1954" i="8"/>
  <c r="K1954" i="8"/>
  <c r="L1953" i="8"/>
  <c r="K1953" i="8"/>
  <c r="L1952" i="8"/>
  <c r="K1952" i="8"/>
  <c r="L1951" i="8"/>
  <c r="K1951" i="8"/>
  <c r="L1950" i="8"/>
  <c r="K1950" i="8"/>
  <c r="L1949" i="8"/>
  <c r="K1949" i="8"/>
  <c r="L1948" i="8"/>
  <c r="K1948" i="8"/>
  <c r="L1947" i="8"/>
  <c r="K1947" i="8"/>
  <c r="L1946" i="8"/>
  <c r="K1946" i="8"/>
  <c r="L1945" i="8"/>
  <c r="K1945" i="8"/>
  <c r="L1944" i="8"/>
  <c r="K1944" i="8"/>
  <c r="L1943" i="8"/>
  <c r="K1943" i="8"/>
  <c r="L1942" i="8"/>
  <c r="K1942" i="8"/>
  <c r="L1941" i="8"/>
  <c r="K1941" i="8"/>
  <c r="L1940" i="8"/>
  <c r="K1940" i="8"/>
  <c r="L1939" i="8"/>
  <c r="K1939" i="8"/>
  <c r="L1938" i="8"/>
  <c r="K1938" i="8"/>
  <c r="L1937" i="8"/>
  <c r="K1937" i="8"/>
  <c r="L1936" i="8"/>
  <c r="K1936" i="8"/>
  <c r="L1935" i="8"/>
  <c r="K1935" i="8"/>
  <c r="L1934" i="8"/>
  <c r="K1934" i="8"/>
  <c r="L1933" i="8"/>
  <c r="K1933" i="8"/>
  <c r="L1932" i="8"/>
  <c r="K1932" i="8"/>
  <c r="L1931" i="8"/>
  <c r="K1931" i="8"/>
  <c r="L1930" i="8"/>
  <c r="K1930" i="8"/>
  <c r="L1929" i="8"/>
  <c r="K1929" i="8"/>
  <c r="L1928" i="8"/>
  <c r="K1928" i="8"/>
  <c r="L1927" i="8"/>
  <c r="K1927" i="8"/>
  <c r="L1926" i="8"/>
  <c r="K1926" i="8"/>
  <c r="L1925" i="8"/>
  <c r="K1925" i="8"/>
  <c r="L1924" i="8"/>
  <c r="K1924" i="8"/>
  <c r="L1923" i="8"/>
  <c r="K1923" i="8"/>
  <c r="L1922" i="8"/>
  <c r="K1922" i="8"/>
  <c r="L1921" i="8"/>
  <c r="K1921" i="8"/>
  <c r="L1920" i="8"/>
  <c r="K1920" i="8"/>
  <c r="L1919" i="8"/>
  <c r="K1919" i="8"/>
  <c r="L1918" i="8"/>
  <c r="K1918" i="8"/>
  <c r="L1917" i="8"/>
  <c r="K1917" i="8"/>
  <c r="L1916" i="8"/>
  <c r="K1916" i="8"/>
  <c r="L1915" i="8"/>
  <c r="K1915" i="8"/>
  <c r="L1914" i="8"/>
  <c r="K1914" i="8"/>
  <c r="L1913" i="8"/>
  <c r="K1913" i="8"/>
  <c r="L1912" i="8"/>
  <c r="K1912" i="8"/>
  <c r="L1911" i="8"/>
  <c r="K1911" i="8"/>
  <c r="L1910" i="8"/>
  <c r="K1910" i="8"/>
  <c r="L1909" i="8"/>
  <c r="K1909" i="8"/>
  <c r="L1908" i="8"/>
  <c r="K1908" i="8"/>
  <c r="L1907" i="8"/>
  <c r="K1907" i="8"/>
  <c r="L1906" i="8"/>
  <c r="K1906" i="8"/>
  <c r="L1905" i="8"/>
  <c r="K1905" i="8"/>
  <c r="L1904" i="8"/>
  <c r="K1904" i="8"/>
  <c r="L1903" i="8"/>
  <c r="K1903" i="8"/>
  <c r="L1902" i="8"/>
  <c r="K1902" i="8"/>
  <c r="L1901" i="8"/>
  <c r="K1901" i="8"/>
  <c r="L1900" i="8"/>
  <c r="K1900" i="8"/>
  <c r="L1899" i="8"/>
  <c r="K1899" i="8"/>
  <c r="L1898" i="8"/>
  <c r="K1898" i="8"/>
  <c r="L1897" i="8"/>
  <c r="K1897" i="8"/>
  <c r="L1896" i="8"/>
  <c r="K1896" i="8"/>
  <c r="L1895" i="8"/>
  <c r="K1895" i="8"/>
  <c r="L1894" i="8"/>
  <c r="K1894" i="8"/>
  <c r="L1893" i="8"/>
  <c r="K1893" i="8"/>
  <c r="L1892" i="8"/>
  <c r="K1892" i="8"/>
  <c r="L1891" i="8"/>
  <c r="K1891" i="8"/>
  <c r="L1890" i="8"/>
  <c r="K1890" i="8"/>
  <c r="L1889" i="8"/>
  <c r="K1889" i="8"/>
  <c r="L1888" i="8"/>
  <c r="K1888" i="8"/>
  <c r="L1887" i="8"/>
  <c r="K1887" i="8"/>
  <c r="L1886" i="8"/>
  <c r="K1886" i="8"/>
  <c r="L1885" i="8"/>
  <c r="K1885" i="8"/>
  <c r="L1884" i="8"/>
  <c r="K1884" i="8"/>
  <c r="L1883" i="8"/>
  <c r="K1883" i="8"/>
  <c r="L1882" i="8"/>
  <c r="K1882" i="8"/>
  <c r="L1881" i="8"/>
  <c r="K1881" i="8"/>
  <c r="L1880" i="8"/>
  <c r="K1880" i="8"/>
  <c r="L1879" i="8"/>
  <c r="K1879" i="8"/>
  <c r="L1878" i="8"/>
  <c r="K1878" i="8"/>
  <c r="L1877" i="8"/>
  <c r="K1877" i="8"/>
  <c r="L1876" i="8"/>
  <c r="K1876" i="8"/>
  <c r="L1875" i="8"/>
  <c r="K1875" i="8"/>
  <c r="L1874" i="8"/>
  <c r="K1874" i="8"/>
  <c r="L1873" i="8"/>
  <c r="K1873" i="8"/>
  <c r="L1872" i="8"/>
  <c r="K1872" i="8"/>
  <c r="L1871" i="8"/>
  <c r="K1871" i="8"/>
  <c r="L1870" i="8"/>
  <c r="K1870" i="8"/>
  <c r="L1869" i="8"/>
  <c r="K1869" i="8"/>
  <c r="L1868" i="8"/>
  <c r="K1868" i="8"/>
  <c r="L1867" i="8"/>
  <c r="K1867" i="8"/>
  <c r="L1866" i="8"/>
  <c r="K1866" i="8"/>
  <c r="L1865" i="8"/>
  <c r="K1865" i="8"/>
  <c r="L1864" i="8"/>
  <c r="K1864" i="8"/>
  <c r="L1863" i="8"/>
  <c r="K1863" i="8"/>
  <c r="L1862" i="8"/>
  <c r="K1862" i="8"/>
  <c r="L1861" i="8"/>
  <c r="K1861" i="8"/>
  <c r="L1860" i="8"/>
  <c r="K1860" i="8"/>
  <c r="L1859" i="8"/>
  <c r="K1859" i="8"/>
  <c r="L1858" i="8"/>
  <c r="K1858" i="8"/>
  <c r="L1857" i="8"/>
  <c r="K1857" i="8"/>
  <c r="L1856" i="8"/>
  <c r="K1856" i="8"/>
  <c r="L1855" i="8"/>
  <c r="K1855" i="8"/>
  <c r="L1854" i="8"/>
  <c r="K1854" i="8"/>
  <c r="L1853" i="8"/>
  <c r="K1853" i="8"/>
  <c r="L1852" i="8"/>
  <c r="K1852" i="8"/>
  <c r="L1851" i="8"/>
  <c r="K1851" i="8"/>
  <c r="L1850" i="8"/>
  <c r="K1850" i="8"/>
  <c r="L1849" i="8"/>
  <c r="K1849" i="8"/>
  <c r="L1848" i="8"/>
  <c r="K1848" i="8"/>
  <c r="L1847" i="8"/>
  <c r="K1847" i="8"/>
  <c r="L1846" i="8"/>
  <c r="K1846" i="8"/>
  <c r="L1845" i="8"/>
  <c r="K1845" i="8"/>
  <c r="L1844" i="8"/>
  <c r="K1844" i="8"/>
  <c r="L1843" i="8"/>
  <c r="K1843" i="8"/>
  <c r="L1842" i="8"/>
  <c r="K1842" i="8"/>
  <c r="L1841" i="8"/>
  <c r="K1841" i="8"/>
  <c r="L1840" i="8"/>
  <c r="K1840" i="8"/>
  <c r="L1839" i="8"/>
  <c r="K1839" i="8"/>
  <c r="L1838" i="8"/>
  <c r="K1838" i="8"/>
  <c r="L1837" i="8"/>
  <c r="K1837" i="8"/>
  <c r="L1836" i="8"/>
  <c r="K1836" i="8"/>
  <c r="L1835" i="8"/>
  <c r="K1835" i="8"/>
  <c r="L1834" i="8"/>
  <c r="K1834" i="8"/>
  <c r="L1833" i="8"/>
  <c r="K1833" i="8"/>
  <c r="L1832" i="8"/>
  <c r="K1832" i="8"/>
  <c r="L1831" i="8"/>
  <c r="K1831" i="8"/>
  <c r="L1830" i="8"/>
  <c r="K1830" i="8"/>
  <c r="L1829" i="8"/>
  <c r="K1829" i="8"/>
  <c r="L1828" i="8"/>
  <c r="K1828" i="8"/>
  <c r="L1827" i="8"/>
  <c r="K1827" i="8"/>
  <c r="L1826" i="8"/>
  <c r="K1826" i="8"/>
  <c r="L1825" i="8"/>
  <c r="K1825" i="8"/>
  <c r="L1824" i="8"/>
  <c r="K1824" i="8"/>
  <c r="L1823" i="8"/>
  <c r="K1823" i="8"/>
  <c r="L1822" i="8"/>
  <c r="K1822" i="8"/>
  <c r="L1821" i="8"/>
  <c r="K1821" i="8"/>
  <c r="L1820" i="8"/>
  <c r="K1820" i="8"/>
  <c r="L1819" i="8"/>
  <c r="K1819" i="8"/>
  <c r="L1818" i="8"/>
  <c r="K1818" i="8"/>
  <c r="L1817" i="8"/>
  <c r="K1817" i="8"/>
  <c r="L1816" i="8"/>
  <c r="K1816" i="8"/>
  <c r="L1815" i="8"/>
  <c r="K1815" i="8"/>
  <c r="L1814" i="8"/>
  <c r="K1814" i="8"/>
  <c r="L1813" i="8"/>
  <c r="K1813" i="8"/>
  <c r="L1812" i="8"/>
  <c r="K1812" i="8"/>
  <c r="L1811" i="8"/>
  <c r="K1811" i="8"/>
  <c r="L1810" i="8"/>
  <c r="K1810" i="8"/>
  <c r="L1809" i="8"/>
  <c r="K1809" i="8"/>
  <c r="L1808" i="8"/>
  <c r="K1808" i="8"/>
  <c r="L1807" i="8"/>
  <c r="K1807" i="8"/>
  <c r="L1806" i="8"/>
  <c r="K1806" i="8"/>
  <c r="L1805" i="8"/>
  <c r="K1805" i="8"/>
  <c r="L1804" i="8"/>
  <c r="K1804" i="8"/>
  <c r="L1803" i="8"/>
  <c r="K1803" i="8"/>
  <c r="L1802" i="8"/>
  <c r="K1802" i="8"/>
  <c r="L1801" i="8"/>
  <c r="K1801" i="8"/>
  <c r="L1800" i="8"/>
  <c r="K1800" i="8"/>
  <c r="L1799" i="8"/>
  <c r="K1799" i="8"/>
  <c r="L1798" i="8"/>
  <c r="K1798" i="8"/>
  <c r="L1797" i="8"/>
  <c r="K1797" i="8"/>
  <c r="L1796" i="8"/>
  <c r="K1796" i="8"/>
  <c r="L1795" i="8"/>
  <c r="K1795" i="8"/>
  <c r="L1794" i="8"/>
  <c r="K1794" i="8"/>
  <c r="L1793" i="8"/>
  <c r="K1793" i="8"/>
  <c r="L1792" i="8"/>
  <c r="K1792" i="8"/>
  <c r="L1791" i="8"/>
  <c r="K1791" i="8"/>
  <c r="L1790" i="8"/>
  <c r="K1790" i="8"/>
  <c r="L1789" i="8"/>
  <c r="K1789" i="8"/>
  <c r="L1788" i="8"/>
  <c r="K1788" i="8"/>
  <c r="L1787" i="8"/>
  <c r="K1787" i="8"/>
  <c r="L1786" i="8"/>
  <c r="K1786" i="8"/>
  <c r="L1785" i="8"/>
  <c r="K1785" i="8"/>
  <c r="L1784" i="8"/>
  <c r="K1784" i="8"/>
  <c r="L1783" i="8"/>
  <c r="K1783" i="8"/>
  <c r="L1782" i="8"/>
  <c r="K1782" i="8"/>
  <c r="L1781" i="8"/>
  <c r="K1781" i="8"/>
  <c r="L1780" i="8"/>
  <c r="K1780" i="8"/>
  <c r="L1779" i="8"/>
  <c r="K1779" i="8"/>
  <c r="L1778" i="8"/>
  <c r="K1778" i="8"/>
  <c r="L1777" i="8"/>
  <c r="K1777" i="8"/>
  <c r="L1776" i="8"/>
  <c r="K1776" i="8"/>
  <c r="L1775" i="8"/>
  <c r="K1775" i="8"/>
  <c r="L1774" i="8"/>
  <c r="K1774" i="8"/>
  <c r="L1773" i="8"/>
  <c r="K1773" i="8"/>
  <c r="L1772" i="8"/>
  <c r="K1772" i="8"/>
  <c r="L1771" i="8"/>
  <c r="K1771" i="8"/>
  <c r="L1770" i="8"/>
  <c r="K1770" i="8"/>
  <c r="L1769" i="8"/>
  <c r="K1769" i="8"/>
  <c r="L1768" i="8"/>
  <c r="K1768" i="8"/>
  <c r="L1767" i="8"/>
  <c r="K1767" i="8"/>
  <c r="L1766" i="8"/>
  <c r="K1766" i="8"/>
  <c r="L1765" i="8"/>
  <c r="K1765" i="8"/>
  <c r="L1764" i="8"/>
  <c r="K1764" i="8"/>
  <c r="L1763" i="8"/>
  <c r="K1763" i="8"/>
  <c r="L1762" i="8"/>
  <c r="K1762" i="8"/>
  <c r="L1761" i="8"/>
  <c r="K1761" i="8"/>
  <c r="L1760" i="8"/>
  <c r="K1760" i="8"/>
  <c r="L1759" i="8"/>
  <c r="K1759" i="8"/>
  <c r="L1758" i="8"/>
  <c r="K1758" i="8"/>
  <c r="L1757" i="8"/>
  <c r="K1757" i="8"/>
  <c r="L1756" i="8"/>
  <c r="K1756" i="8"/>
  <c r="L1755" i="8"/>
  <c r="K1755" i="8"/>
  <c r="L1754" i="8"/>
  <c r="K1754" i="8"/>
  <c r="L1753" i="8"/>
  <c r="K1753" i="8"/>
  <c r="L1752" i="8"/>
  <c r="K1752" i="8"/>
  <c r="L1751" i="8"/>
  <c r="K1751" i="8"/>
  <c r="L1750" i="8"/>
  <c r="K1750" i="8"/>
  <c r="L1749" i="8"/>
  <c r="K1749" i="8"/>
  <c r="L1748" i="8"/>
  <c r="K1748" i="8"/>
  <c r="L1747" i="8"/>
  <c r="K1747" i="8"/>
  <c r="L1746" i="8"/>
  <c r="K1746" i="8"/>
  <c r="L1745" i="8"/>
  <c r="K1745" i="8"/>
  <c r="L1744" i="8"/>
  <c r="K1744" i="8"/>
  <c r="L1743" i="8"/>
  <c r="K1743" i="8"/>
  <c r="L1742" i="8"/>
  <c r="K1742" i="8"/>
  <c r="L1741" i="8"/>
  <c r="K1741" i="8"/>
  <c r="L1740" i="8"/>
  <c r="K1740" i="8"/>
  <c r="L1739" i="8"/>
  <c r="K1739" i="8"/>
  <c r="L1738" i="8"/>
  <c r="K1738" i="8"/>
  <c r="L1737" i="8"/>
  <c r="K1737" i="8"/>
  <c r="L1736" i="8"/>
  <c r="K1736" i="8"/>
  <c r="L1735" i="8"/>
  <c r="K1735" i="8"/>
  <c r="L1734" i="8"/>
  <c r="K1734" i="8"/>
  <c r="L1733" i="8"/>
  <c r="K1733" i="8"/>
  <c r="L1732" i="8"/>
  <c r="K1732" i="8"/>
  <c r="L1731" i="8"/>
  <c r="K1731" i="8"/>
  <c r="L1730" i="8"/>
  <c r="K1730" i="8"/>
  <c r="L1729" i="8"/>
  <c r="K1729" i="8"/>
  <c r="L1728" i="8"/>
  <c r="K1728" i="8"/>
  <c r="L1727" i="8"/>
  <c r="K1727" i="8"/>
  <c r="L1726" i="8"/>
  <c r="K1726" i="8"/>
  <c r="L1725" i="8"/>
  <c r="K1725" i="8"/>
  <c r="L1724" i="8"/>
  <c r="K1724" i="8"/>
  <c r="L1723" i="8"/>
  <c r="K1723" i="8"/>
  <c r="L1722" i="8"/>
  <c r="K1722" i="8"/>
  <c r="L1721" i="8"/>
  <c r="K1721" i="8"/>
  <c r="L1720" i="8"/>
  <c r="K1720" i="8"/>
  <c r="L1719" i="8"/>
  <c r="K1719" i="8"/>
  <c r="L1718" i="8"/>
  <c r="K1718" i="8"/>
  <c r="L1717" i="8"/>
  <c r="K1717" i="8"/>
  <c r="L1716" i="8"/>
  <c r="K1716" i="8"/>
  <c r="L1715" i="8"/>
  <c r="K1715" i="8"/>
  <c r="L1714" i="8"/>
  <c r="K1714" i="8"/>
  <c r="L1713" i="8"/>
  <c r="K1713" i="8"/>
  <c r="L1712" i="8"/>
  <c r="K1712" i="8"/>
  <c r="L1711" i="8"/>
  <c r="K1711" i="8"/>
  <c r="L1710" i="8"/>
  <c r="K1710" i="8"/>
  <c r="L1709" i="8"/>
  <c r="K1709" i="8"/>
  <c r="L1708" i="8"/>
  <c r="K1708" i="8"/>
  <c r="L1707" i="8"/>
  <c r="K1707" i="8"/>
  <c r="L1706" i="8"/>
  <c r="K1706" i="8"/>
  <c r="L1705" i="8"/>
  <c r="K1705" i="8"/>
  <c r="L1704" i="8"/>
  <c r="K1704" i="8"/>
  <c r="L1703" i="8"/>
  <c r="K1703" i="8"/>
  <c r="L1702" i="8"/>
  <c r="K1702" i="8"/>
  <c r="L1701" i="8"/>
  <c r="K1701" i="8"/>
  <c r="L1700" i="8"/>
  <c r="K1700" i="8"/>
  <c r="L1699" i="8"/>
  <c r="K1699" i="8"/>
  <c r="L1698" i="8"/>
  <c r="K1698" i="8"/>
  <c r="L1697" i="8"/>
  <c r="K1697" i="8"/>
  <c r="L1696" i="8"/>
  <c r="K1696" i="8"/>
  <c r="L1695" i="8"/>
  <c r="K1695" i="8"/>
  <c r="L1694" i="8"/>
  <c r="K1694" i="8"/>
  <c r="L1693" i="8"/>
  <c r="K1693" i="8"/>
  <c r="L1692" i="8"/>
  <c r="K1692" i="8"/>
  <c r="L1691" i="8"/>
  <c r="K1691" i="8"/>
  <c r="L1690" i="8"/>
  <c r="K1690" i="8"/>
  <c r="L1689" i="8"/>
  <c r="K1689" i="8"/>
  <c r="L1688" i="8"/>
  <c r="K1688" i="8"/>
  <c r="L1687" i="8"/>
  <c r="K1687" i="8"/>
  <c r="L1686" i="8"/>
  <c r="K1686" i="8"/>
  <c r="L1685" i="8"/>
  <c r="K1685" i="8"/>
  <c r="L1684" i="8"/>
  <c r="K1684" i="8"/>
  <c r="L1683" i="8"/>
  <c r="K1683" i="8"/>
  <c r="L1682" i="8"/>
  <c r="K1682" i="8"/>
  <c r="L1681" i="8"/>
  <c r="K1681" i="8"/>
  <c r="L1680" i="8"/>
  <c r="K1680" i="8"/>
  <c r="L1679" i="8"/>
  <c r="K1679" i="8"/>
  <c r="L1678" i="8"/>
  <c r="K1678" i="8"/>
  <c r="L1677" i="8"/>
  <c r="K1677" i="8"/>
  <c r="L1676" i="8"/>
  <c r="K1676" i="8"/>
  <c r="L1675" i="8"/>
  <c r="K1675" i="8"/>
  <c r="L1674" i="8"/>
  <c r="K1674" i="8"/>
  <c r="L1673" i="8"/>
  <c r="K1673" i="8"/>
  <c r="L1672" i="8"/>
  <c r="K1672" i="8"/>
  <c r="L1671" i="8"/>
  <c r="K1671" i="8"/>
  <c r="L1670" i="8"/>
  <c r="K1670" i="8"/>
  <c r="L1669" i="8"/>
  <c r="K1669" i="8"/>
  <c r="L1668" i="8"/>
  <c r="K1668" i="8"/>
  <c r="L1667" i="8"/>
  <c r="K1667" i="8"/>
  <c r="L1666" i="8"/>
  <c r="K1666" i="8"/>
  <c r="L1665" i="8"/>
  <c r="K1665" i="8"/>
  <c r="L1664" i="8"/>
  <c r="K1664" i="8"/>
  <c r="L1663" i="8"/>
  <c r="K1663" i="8"/>
  <c r="L1662" i="8"/>
  <c r="K1662" i="8"/>
  <c r="L1661" i="8"/>
  <c r="K1661" i="8"/>
  <c r="L1660" i="8"/>
  <c r="K1660" i="8"/>
  <c r="L1659" i="8"/>
  <c r="K1659" i="8"/>
  <c r="L1658" i="8"/>
  <c r="K1658" i="8"/>
  <c r="L1657" i="8"/>
  <c r="K1657" i="8"/>
  <c r="L1656" i="8"/>
  <c r="K1656" i="8"/>
  <c r="L1655" i="8"/>
  <c r="K1655" i="8"/>
  <c r="L1654" i="8"/>
  <c r="K1654" i="8"/>
  <c r="L1653" i="8"/>
  <c r="K1653" i="8"/>
  <c r="L1652" i="8"/>
  <c r="K1652" i="8"/>
  <c r="L1651" i="8"/>
  <c r="K1651" i="8"/>
  <c r="L1650" i="8"/>
  <c r="K1650" i="8"/>
  <c r="L1649" i="8"/>
  <c r="K1649" i="8"/>
  <c r="L1648" i="8"/>
  <c r="K1648" i="8"/>
  <c r="L1647" i="8"/>
  <c r="K1647" i="8"/>
  <c r="L1646" i="8"/>
  <c r="K1646" i="8"/>
  <c r="L1645" i="8"/>
  <c r="K1645" i="8"/>
  <c r="L1644" i="8"/>
  <c r="K1644" i="8"/>
  <c r="L1643" i="8"/>
  <c r="K1643" i="8"/>
  <c r="L1642" i="8"/>
  <c r="K1642" i="8"/>
  <c r="L1641" i="8"/>
  <c r="K1641" i="8"/>
  <c r="L1640" i="8"/>
  <c r="K1640" i="8"/>
  <c r="L1639" i="8"/>
  <c r="K1639" i="8"/>
  <c r="L1638" i="8"/>
  <c r="K1638" i="8"/>
  <c r="L1637" i="8"/>
  <c r="K1637" i="8"/>
  <c r="L1636" i="8"/>
  <c r="K1636" i="8"/>
  <c r="L1635" i="8"/>
  <c r="K1635" i="8"/>
  <c r="L1634" i="8"/>
  <c r="K1634" i="8"/>
  <c r="L1633" i="8"/>
  <c r="K1633" i="8"/>
  <c r="L1632" i="8"/>
  <c r="K1632" i="8"/>
  <c r="L1631" i="8"/>
  <c r="K1631" i="8"/>
  <c r="L1630" i="8"/>
  <c r="K1630" i="8"/>
  <c r="L1629" i="8"/>
  <c r="K1629" i="8"/>
  <c r="L1628" i="8"/>
  <c r="K1628" i="8"/>
  <c r="L1627" i="8"/>
  <c r="K1627" i="8"/>
  <c r="L1626" i="8"/>
  <c r="K1626" i="8"/>
  <c r="L1625" i="8"/>
  <c r="K1625" i="8"/>
  <c r="L1624" i="8"/>
  <c r="K1624" i="8"/>
  <c r="L1623" i="8"/>
  <c r="K1623" i="8"/>
  <c r="L1622" i="8"/>
  <c r="K1622" i="8"/>
  <c r="L1621" i="8"/>
  <c r="K1621" i="8"/>
  <c r="L1620" i="8"/>
  <c r="K1620" i="8"/>
  <c r="L1619" i="8"/>
  <c r="K1619" i="8"/>
  <c r="L1618" i="8"/>
  <c r="K1618" i="8"/>
  <c r="L1617" i="8"/>
  <c r="K1617" i="8"/>
  <c r="L1616" i="8"/>
  <c r="K1616" i="8"/>
  <c r="L1615" i="8"/>
  <c r="K1615" i="8"/>
  <c r="L1614" i="8"/>
  <c r="K1614" i="8"/>
  <c r="L1613" i="8"/>
  <c r="K1613" i="8"/>
  <c r="L1612" i="8"/>
  <c r="K1612" i="8"/>
  <c r="L1611" i="8"/>
  <c r="K1611" i="8"/>
  <c r="L1610" i="8"/>
  <c r="K1610" i="8"/>
  <c r="L1609" i="8"/>
  <c r="K1609" i="8"/>
  <c r="L1608" i="8"/>
  <c r="K1608" i="8"/>
  <c r="L1607" i="8"/>
  <c r="K1607" i="8"/>
  <c r="L1606" i="8"/>
  <c r="K1606" i="8"/>
  <c r="L1605" i="8"/>
  <c r="K1605" i="8"/>
  <c r="L1604" i="8"/>
  <c r="K1604" i="8"/>
  <c r="L1603" i="8"/>
  <c r="K1603" i="8"/>
  <c r="L1602" i="8"/>
  <c r="K1602" i="8"/>
  <c r="L1601" i="8"/>
  <c r="K1601" i="8"/>
  <c r="L1600" i="8"/>
  <c r="K1600" i="8"/>
  <c r="L1599" i="8"/>
  <c r="K1599" i="8"/>
  <c r="L1598" i="8"/>
  <c r="K1598" i="8"/>
  <c r="L1597" i="8"/>
  <c r="K1597" i="8"/>
  <c r="L1596" i="8"/>
  <c r="K1596" i="8"/>
  <c r="L1595" i="8"/>
  <c r="K1595" i="8"/>
  <c r="L1594" i="8"/>
  <c r="K1594" i="8"/>
  <c r="L1593" i="8"/>
  <c r="K1593" i="8"/>
  <c r="L1592" i="8"/>
  <c r="K1592" i="8"/>
  <c r="L1591" i="8"/>
  <c r="K1591" i="8"/>
  <c r="L1590" i="8"/>
  <c r="K1590" i="8"/>
  <c r="L1589" i="8"/>
  <c r="K1589" i="8"/>
  <c r="L1588" i="8"/>
  <c r="K1588" i="8"/>
  <c r="L1587" i="8"/>
  <c r="K1587" i="8"/>
  <c r="L1586" i="8"/>
  <c r="K1586" i="8"/>
  <c r="L1585" i="8"/>
  <c r="K1585" i="8"/>
  <c r="L1584" i="8"/>
  <c r="K1584" i="8"/>
  <c r="L1583" i="8"/>
  <c r="K1583" i="8"/>
  <c r="L1582" i="8"/>
  <c r="K1582" i="8"/>
  <c r="L1581" i="8"/>
  <c r="K1581" i="8"/>
  <c r="L1580" i="8"/>
  <c r="K1580" i="8"/>
  <c r="L1579" i="8"/>
  <c r="K1579" i="8"/>
  <c r="L1578" i="8"/>
  <c r="K1578" i="8"/>
  <c r="L1577" i="8"/>
  <c r="K1577" i="8"/>
  <c r="L1576" i="8"/>
  <c r="K1576" i="8"/>
  <c r="L1575" i="8"/>
  <c r="K1575" i="8"/>
  <c r="L1574" i="8"/>
  <c r="K1574" i="8"/>
  <c r="L1573" i="8"/>
  <c r="K1573" i="8"/>
  <c r="L1572" i="8"/>
  <c r="K1572" i="8"/>
  <c r="L1571" i="8"/>
  <c r="K1571" i="8"/>
  <c r="L1570" i="8"/>
  <c r="K1570" i="8"/>
  <c r="L1569" i="8"/>
  <c r="K1569" i="8"/>
  <c r="L1568" i="8"/>
  <c r="K1568" i="8"/>
  <c r="L1567" i="8"/>
  <c r="K1567" i="8"/>
  <c r="L1566" i="8"/>
  <c r="K1566" i="8"/>
  <c r="L1565" i="8"/>
  <c r="K1565" i="8"/>
  <c r="L1564" i="8"/>
  <c r="K1564" i="8"/>
  <c r="L1563" i="8"/>
  <c r="K1563" i="8"/>
  <c r="L1562" i="8"/>
  <c r="K1562" i="8"/>
  <c r="L1561" i="8"/>
  <c r="K1561" i="8"/>
  <c r="L1560" i="8"/>
  <c r="K1560" i="8"/>
  <c r="L1559" i="8"/>
  <c r="K1559" i="8"/>
  <c r="L1558" i="8"/>
  <c r="K1558" i="8"/>
  <c r="L1557" i="8"/>
  <c r="K1557" i="8"/>
  <c r="L1556" i="8"/>
  <c r="K1556" i="8"/>
  <c r="L1555" i="8"/>
  <c r="K1555" i="8"/>
  <c r="L1554" i="8"/>
  <c r="K1554" i="8"/>
  <c r="L1553" i="8"/>
  <c r="K1553" i="8"/>
  <c r="L1552" i="8"/>
  <c r="K1552" i="8"/>
  <c r="L1551" i="8"/>
  <c r="K1551" i="8"/>
  <c r="L1550" i="8"/>
  <c r="K1550" i="8"/>
  <c r="L1549" i="8"/>
  <c r="K1549" i="8"/>
  <c r="L1548" i="8"/>
  <c r="K1548" i="8"/>
  <c r="L1547" i="8"/>
  <c r="K1547" i="8"/>
  <c r="L1546" i="8"/>
  <c r="K1546" i="8"/>
  <c r="L1545" i="8"/>
  <c r="K1545" i="8"/>
  <c r="L1544" i="8"/>
  <c r="K1544" i="8"/>
  <c r="L1543" i="8"/>
  <c r="K1543" i="8"/>
  <c r="L1542" i="8"/>
  <c r="K1542" i="8"/>
  <c r="L1541" i="8"/>
  <c r="K1541" i="8"/>
  <c r="L1540" i="8"/>
  <c r="K1540" i="8"/>
  <c r="L1539" i="8"/>
  <c r="K1539" i="8"/>
  <c r="L1538" i="8"/>
  <c r="K1538" i="8"/>
  <c r="L1537" i="8"/>
  <c r="K1537" i="8"/>
  <c r="L1536" i="8"/>
  <c r="K1536" i="8"/>
  <c r="L1535" i="8"/>
  <c r="K1535" i="8"/>
  <c r="L1534" i="8"/>
  <c r="K1534" i="8"/>
  <c r="L1533" i="8"/>
  <c r="K1533" i="8"/>
  <c r="L1532" i="8"/>
  <c r="K1532" i="8"/>
  <c r="L1531" i="8"/>
  <c r="K1531" i="8"/>
  <c r="L1530" i="8"/>
  <c r="K1530" i="8"/>
  <c r="L1529" i="8"/>
  <c r="K1529" i="8"/>
  <c r="L1528" i="8"/>
  <c r="K1528" i="8"/>
  <c r="L1527" i="8"/>
  <c r="K1527" i="8"/>
  <c r="L1526" i="8"/>
  <c r="K1526" i="8"/>
  <c r="L1525" i="8"/>
  <c r="K1525" i="8"/>
  <c r="L1524" i="8"/>
  <c r="K1524" i="8"/>
  <c r="L1523" i="8"/>
  <c r="K1523" i="8"/>
  <c r="L1522" i="8"/>
  <c r="K1522" i="8"/>
  <c r="L1521" i="8"/>
  <c r="K1521" i="8"/>
  <c r="L1520" i="8"/>
  <c r="K1520" i="8"/>
  <c r="L1519" i="8"/>
  <c r="K1519" i="8"/>
  <c r="L1518" i="8"/>
  <c r="K1518" i="8"/>
  <c r="L1517" i="8"/>
  <c r="K1517" i="8"/>
  <c r="L1516" i="8"/>
  <c r="K1516" i="8"/>
  <c r="L1515" i="8"/>
  <c r="K1515" i="8"/>
  <c r="L1514" i="8"/>
  <c r="K1514" i="8"/>
  <c r="L1513" i="8"/>
  <c r="K1513" i="8"/>
  <c r="L1512" i="8"/>
  <c r="K1512" i="8"/>
  <c r="L1511" i="8"/>
  <c r="K1511" i="8"/>
  <c r="L1510" i="8"/>
  <c r="K1510" i="8"/>
  <c r="L1509" i="8"/>
  <c r="K1509" i="8"/>
  <c r="L1508" i="8"/>
  <c r="K1508" i="8"/>
  <c r="L1507" i="8"/>
  <c r="K1507" i="8"/>
  <c r="L1506" i="8"/>
  <c r="K1506" i="8"/>
  <c r="L1505" i="8"/>
  <c r="K1505" i="8"/>
  <c r="L1504" i="8"/>
  <c r="K1504" i="8"/>
  <c r="L1503" i="8"/>
  <c r="K1503" i="8"/>
  <c r="L1502" i="8"/>
  <c r="K1502" i="8"/>
  <c r="L1501" i="8"/>
  <c r="K1501" i="8"/>
  <c r="L1500" i="8"/>
  <c r="K1500" i="8"/>
  <c r="L1499" i="8"/>
  <c r="K1499" i="8"/>
  <c r="L1498" i="8"/>
  <c r="K1498" i="8"/>
  <c r="L1497" i="8"/>
  <c r="K1497" i="8"/>
  <c r="L1496" i="8"/>
  <c r="K1496" i="8"/>
  <c r="L1495" i="8"/>
  <c r="K1495" i="8"/>
  <c r="L1494" i="8"/>
  <c r="K1494" i="8"/>
  <c r="L1493" i="8"/>
  <c r="K1493" i="8"/>
  <c r="L1492" i="8"/>
  <c r="K1492" i="8"/>
  <c r="L1491" i="8"/>
  <c r="K1491" i="8"/>
  <c r="L1490" i="8"/>
  <c r="K1490" i="8"/>
  <c r="L1489" i="8"/>
  <c r="K1489" i="8"/>
  <c r="L1488" i="8"/>
  <c r="K1488" i="8"/>
  <c r="L1487" i="8"/>
  <c r="K1487" i="8"/>
  <c r="L1486" i="8"/>
  <c r="K1486" i="8"/>
  <c r="L1485" i="8"/>
  <c r="K1485" i="8"/>
  <c r="L1484" i="8"/>
  <c r="K1484" i="8"/>
  <c r="L1483" i="8"/>
  <c r="K1483" i="8"/>
  <c r="L1482" i="8"/>
  <c r="K1482" i="8"/>
  <c r="L1481" i="8"/>
  <c r="K1481" i="8"/>
  <c r="L1480" i="8"/>
  <c r="K1480" i="8"/>
  <c r="L1479" i="8"/>
  <c r="K1479" i="8"/>
  <c r="L1478" i="8"/>
  <c r="K1478" i="8"/>
  <c r="L1477" i="8"/>
  <c r="K1477" i="8"/>
  <c r="L1476" i="8"/>
  <c r="K1476" i="8"/>
  <c r="L1475" i="8"/>
  <c r="K1475" i="8"/>
  <c r="L1474" i="8"/>
  <c r="K1474" i="8"/>
  <c r="L1473" i="8"/>
  <c r="K1473" i="8"/>
  <c r="L1472" i="8"/>
  <c r="K1472" i="8"/>
  <c r="L1471" i="8"/>
  <c r="K1471" i="8"/>
  <c r="L1470" i="8"/>
  <c r="K1470" i="8"/>
  <c r="L1469" i="8"/>
  <c r="K1469" i="8"/>
  <c r="L1468" i="8"/>
  <c r="K1468" i="8"/>
  <c r="L1467" i="8"/>
  <c r="K1467" i="8"/>
  <c r="L1466" i="8"/>
  <c r="K1466" i="8"/>
  <c r="L1465" i="8"/>
  <c r="K1465" i="8"/>
  <c r="L1464" i="8"/>
  <c r="K1464" i="8"/>
  <c r="L1463" i="8"/>
  <c r="K1463" i="8"/>
  <c r="L1462" i="8"/>
  <c r="K1462" i="8"/>
  <c r="L1461" i="8"/>
  <c r="K1461" i="8"/>
  <c r="L1460" i="8"/>
  <c r="K1460" i="8"/>
  <c r="L1459" i="8"/>
  <c r="K1459" i="8"/>
  <c r="L1458" i="8"/>
  <c r="K1458" i="8"/>
  <c r="L1457" i="8"/>
  <c r="K1457" i="8"/>
  <c r="L1456" i="8"/>
  <c r="K1456" i="8"/>
  <c r="L1455" i="8"/>
  <c r="K1455" i="8"/>
  <c r="L1454" i="8"/>
  <c r="K1454" i="8"/>
  <c r="L1453" i="8"/>
  <c r="K1453" i="8"/>
  <c r="L1452" i="8"/>
  <c r="K1452" i="8"/>
  <c r="L1451" i="8"/>
  <c r="K1451" i="8"/>
  <c r="L1450" i="8"/>
  <c r="K1450" i="8"/>
  <c r="L1449" i="8"/>
  <c r="K1449" i="8"/>
  <c r="L1448" i="8"/>
  <c r="K1448" i="8"/>
  <c r="L1447" i="8"/>
  <c r="K1447" i="8"/>
  <c r="L1446" i="8"/>
  <c r="K1446" i="8"/>
  <c r="L1445" i="8"/>
  <c r="K1445" i="8"/>
  <c r="L1444" i="8"/>
  <c r="K1444" i="8"/>
  <c r="L1443" i="8"/>
  <c r="K1443" i="8"/>
  <c r="L1442" i="8"/>
  <c r="K1442" i="8"/>
  <c r="L1441" i="8"/>
  <c r="K1441" i="8"/>
  <c r="L1440" i="8"/>
  <c r="K1440" i="8"/>
  <c r="L1439" i="8"/>
  <c r="K1439" i="8"/>
  <c r="L1438" i="8"/>
  <c r="K1438" i="8"/>
  <c r="L1437" i="8"/>
  <c r="K1437" i="8"/>
  <c r="L1436" i="8"/>
  <c r="K1436" i="8"/>
  <c r="L1435" i="8"/>
  <c r="K1435" i="8"/>
  <c r="L1434" i="8"/>
  <c r="K1434" i="8"/>
  <c r="L1433" i="8"/>
  <c r="K1433" i="8"/>
  <c r="L1432" i="8"/>
  <c r="K1432" i="8"/>
  <c r="L1431" i="8"/>
  <c r="K1431" i="8"/>
  <c r="L1430" i="8"/>
  <c r="K1430" i="8"/>
  <c r="L1429" i="8"/>
  <c r="K1429" i="8"/>
  <c r="L1428" i="8"/>
  <c r="K1428" i="8"/>
  <c r="L1427" i="8"/>
  <c r="K1427" i="8"/>
  <c r="L1426" i="8"/>
  <c r="K1426" i="8"/>
  <c r="L1425" i="8"/>
  <c r="K1425" i="8"/>
  <c r="L1424" i="8"/>
  <c r="K1424" i="8"/>
  <c r="L1423" i="8"/>
  <c r="K1423" i="8"/>
  <c r="L1422" i="8"/>
  <c r="K1422" i="8"/>
  <c r="L1421" i="8"/>
  <c r="K1421" i="8"/>
  <c r="L1420" i="8"/>
  <c r="K1420" i="8"/>
  <c r="L1419" i="8"/>
  <c r="K1419" i="8"/>
  <c r="L1418" i="8"/>
  <c r="K1418" i="8"/>
  <c r="L1417" i="8"/>
  <c r="K1417" i="8"/>
  <c r="L1416" i="8"/>
  <c r="K1416" i="8"/>
  <c r="L1415" i="8"/>
  <c r="K1415" i="8"/>
  <c r="L1414" i="8"/>
  <c r="K1414" i="8"/>
  <c r="L1413" i="8"/>
  <c r="K1413" i="8"/>
  <c r="L1412" i="8"/>
  <c r="K1412" i="8"/>
  <c r="L1411" i="8"/>
  <c r="K1411" i="8"/>
  <c r="L1410" i="8"/>
  <c r="K1410" i="8"/>
  <c r="L1409" i="8"/>
  <c r="K1409" i="8"/>
  <c r="L1408" i="8"/>
  <c r="K1408" i="8"/>
  <c r="L1407" i="8"/>
  <c r="K1407" i="8"/>
  <c r="L1406" i="8"/>
  <c r="K1406" i="8"/>
  <c r="L1405" i="8"/>
  <c r="K1405" i="8"/>
  <c r="L1404" i="8"/>
  <c r="K1404" i="8"/>
  <c r="L1403" i="8"/>
  <c r="K1403" i="8"/>
  <c r="L1402" i="8"/>
  <c r="K1402" i="8"/>
  <c r="L1401" i="8"/>
  <c r="K1401" i="8"/>
  <c r="L1400" i="8"/>
  <c r="K1400" i="8"/>
  <c r="L1399" i="8"/>
  <c r="K1399" i="8"/>
  <c r="L1398" i="8"/>
  <c r="K1398" i="8"/>
  <c r="L1397" i="8"/>
  <c r="K1397" i="8"/>
  <c r="L1396" i="8"/>
  <c r="K1396" i="8"/>
  <c r="L1395" i="8"/>
  <c r="K1395" i="8"/>
  <c r="L1394" i="8"/>
  <c r="K1394" i="8"/>
  <c r="L1393" i="8"/>
  <c r="K1393" i="8"/>
  <c r="L1392" i="8"/>
  <c r="K1392" i="8"/>
  <c r="L1391" i="8"/>
  <c r="K1391" i="8"/>
  <c r="L1390" i="8"/>
  <c r="K1390" i="8"/>
  <c r="L1389" i="8"/>
  <c r="K1389" i="8"/>
  <c r="L1388" i="8"/>
  <c r="K1388" i="8"/>
  <c r="L1387" i="8"/>
  <c r="K1387" i="8"/>
  <c r="L1386" i="8"/>
  <c r="K1386" i="8"/>
  <c r="L1385" i="8"/>
  <c r="K1385" i="8"/>
  <c r="L1384" i="8"/>
  <c r="K1384" i="8"/>
  <c r="L1383" i="8"/>
  <c r="K1383" i="8"/>
  <c r="L1382" i="8"/>
  <c r="K1382" i="8"/>
  <c r="L1381" i="8"/>
  <c r="K1381" i="8"/>
  <c r="L1380" i="8"/>
  <c r="K1380" i="8"/>
  <c r="L1379" i="8"/>
  <c r="K1379" i="8"/>
  <c r="L1378" i="8"/>
  <c r="K1378" i="8"/>
  <c r="L1377" i="8"/>
  <c r="K1377" i="8"/>
  <c r="L1376" i="8"/>
  <c r="K1376" i="8"/>
  <c r="L1375" i="8"/>
  <c r="K1375" i="8"/>
  <c r="L1374" i="8"/>
  <c r="K1374" i="8"/>
  <c r="L1373" i="8"/>
  <c r="K1373" i="8"/>
  <c r="L1372" i="8"/>
  <c r="K1372" i="8"/>
  <c r="L1371" i="8"/>
  <c r="K1371" i="8"/>
  <c r="L1370" i="8"/>
  <c r="K1370" i="8"/>
  <c r="L1369" i="8"/>
  <c r="K1369" i="8"/>
  <c r="L1368" i="8"/>
  <c r="K1368" i="8"/>
  <c r="L1367" i="8"/>
  <c r="K1367" i="8"/>
  <c r="L1366" i="8"/>
  <c r="K1366" i="8"/>
  <c r="L1365" i="8"/>
  <c r="K1365" i="8"/>
  <c r="L1364" i="8"/>
  <c r="K1364" i="8"/>
  <c r="L1363" i="8"/>
  <c r="K1363" i="8"/>
  <c r="L1362" i="8"/>
  <c r="K1362" i="8"/>
  <c r="L1361" i="8"/>
  <c r="K1361" i="8"/>
  <c r="L1360" i="8"/>
  <c r="K1360" i="8"/>
  <c r="L1359" i="8"/>
  <c r="K1359" i="8"/>
  <c r="L1358" i="8"/>
  <c r="K1358" i="8"/>
  <c r="L1357" i="8"/>
  <c r="K1357" i="8"/>
  <c r="L1356" i="8"/>
  <c r="K1356" i="8"/>
  <c r="L1355" i="8"/>
  <c r="K1355" i="8"/>
  <c r="L1354" i="8"/>
  <c r="K1354" i="8"/>
  <c r="L1353" i="8"/>
  <c r="K1353" i="8"/>
  <c r="L1352" i="8"/>
  <c r="K1352" i="8"/>
  <c r="L1351" i="8"/>
  <c r="K1351" i="8"/>
  <c r="L1350" i="8"/>
  <c r="K1350" i="8"/>
  <c r="L1349" i="8"/>
  <c r="K1349" i="8"/>
  <c r="L1348" i="8"/>
  <c r="K1348" i="8"/>
  <c r="L1347" i="8"/>
  <c r="K1347" i="8"/>
  <c r="L1346" i="8"/>
  <c r="K1346" i="8"/>
  <c r="L1345" i="8"/>
  <c r="K1345" i="8"/>
  <c r="L1344" i="8"/>
  <c r="K1344" i="8"/>
  <c r="L1343" i="8"/>
  <c r="K1343" i="8"/>
  <c r="L1342" i="8"/>
  <c r="K1342" i="8"/>
  <c r="L1341" i="8"/>
  <c r="K1341" i="8"/>
  <c r="L1340" i="8"/>
  <c r="K1340" i="8"/>
  <c r="L1339" i="8"/>
  <c r="K1339" i="8"/>
  <c r="L1338" i="8"/>
  <c r="K1338" i="8"/>
  <c r="L1337" i="8"/>
  <c r="K1337" i="8"/>
  <c r="L1336" i="8"/>
  <c r="K1336" i="8"/>
  <c r="L1335" i="8"/>
  <c r="K1335" i="8"/>
  <c r="L1334" i="8"/>
  <c r="K1334" i="8"/>
  <c r="L1333" i="8"/>
  <c r="K1333" i="8"/>
  <c r="L1332" i="8"/>
  <c r="K1332" i="8"/>
  <c r="L1331" i="8"/>
  <c r="K1331" i="8"/>
  <c r="L1330" i="8"/>
  <c r="K1330" i="8"/>
  <c r="L1329" i="8"/>
  <c r="K1329" i="8"/>
  <c r="L1328" i="8"/>
  <c r="K1328" i="8"/>
  <c r="L1327" i="8"/>
  <c r="K1327" i="8"/>
  <c r="L1326" i="8"/>
  <c r="K1326" i="8"/>
  <c r="L1325" i="8"/>
  <c r="K1325" i="8"/>
  <c r="L1324" i="8"/>
  <c r="K1324" i="8"/>
  <c r="L1323" i="8"/>
  <c r="K1323" i="8"/>
  <c r="L1322" i="8"/>
  <c r="K1322" i="8"/>
  <c r="L1321" i="8"/>
  <c r="K1321" i="8"/>
  <c r="L1320" i="8"/>
  <c r="K1320" i="8"/>
  <c r="L1319" i="8"/>
  <c r="K1319" i="8"/>
  <c r="L1318" i="8"/>
  <c r="K1318" i="8"/>
  <c r="L1317" i="8"/>
  <c r="K1317" i="8"/>
  <c r="L1316" i="8"/>
  <c r="K1316" i="8"/>
  <c r="L1315" i="8"/>
  <c r="K1315" i="8"/>
  <c r="L1314" i="8"/>
  <c r="K1314" i="8"/>
  <c r="L1313" i="8"/>
  <c r="K1313" i="8"/>
  <c r="L1312" i="8"/>
  <c r="K1312" i="8"/>
  <c r="L1311" i="8"/>
  <c r="K1311" i="8"/>
  <c r="L1310" i="8"/>
  <c r="K1310" i="8"/>
  <c r="L1309" i="8"/>
  <c r="K1309" i="8"/>
  <c r="L1308" i="8"/>
  <c r="K1308" i="8"/>
  <c r="L1307" i="8"/>
  <c r="K1307" i="8"/>
  <c r="L1306" i="8"/>
  <c r="K1306" i="8"/>
  <c r="L1305" i="8"/>
  <c r="K1305" i="8"/>
  <c r="L1304" i="8"/>
  <c r="K1304" i="8"/>
  <c r="L1303" i="8"/>
  <c r="K1303" i="8"/>
  <c r="L1302" i="8"/>
  <c r="K1302" i="8"/>
  <c r="L1301" i="8"/>
  <c r="K1301" i="8"/>
  <c r="L1300" i="8"/>
  <c r="K1300" i="8"/>
  <c r="L1299" i="8"/>
  <c r="K1299" i="8"/>
  <c r="L1298" i="8"/>
  <c r="K1298" i="8"/>
  <c r="L1297" i="8"/>
  <c r="K1297" i="8"/>
  <c r="L1296" i="8"/>
  <c r="K1296" i="8"/>
  <c r="L1295" i="8"/>
  <c r="K1295" i="8"/>
  <c r="L1294" i="8"/>
  <c r="K1294" i="8"/>
  <c r="L1293" i="8"/>
  <c r="K1293" i="8"/>
  <c r="L1292" i="8"/>
  <c r="K1292" i="8"/>
  <c r="L1291" i="8"/>
  <c r="K1291" i="8"/>
  <c r="L1290" i="8"/>
  <c r="K1290" i="8"/>
  <c r="L1289" i="8"/>
  <c r="K1289" i="8"/>
  <c r="L1288" i="8"/>
  <c r="K1288" i="8"/>
  <c r="L1287" i="8"/>
  <c r="K1287" i="8"/>
  <c r="L1286" i="8"/>
  <c r="K1286" i="8"/>
  <c r="L1285" i="8"/>
  <c r="K1285" i="8"/>
  <c r="L1284" i="8"/>
  <c r="K1284" i="8"/>
  <c r="L1283" i="8"/>
  <c r="K1283" i="8"/>
  <c r="L1282" i="8"/>
  <c r="K1282" i="8"/>
  <c r="L1281" i="8"/>
  <c r="K1281" i="8"/>
  <c r="L1280" i="8"/>
  <c r="K1280" i="8"/>
  <c r="L1279" i="8"/>
  <c r="K1279" i="8"/>
  <c r="L1278" i="8"/>
  <c r="K1278" i="8"/>
  <c r="L1277" i="8"/>
  <c r="K1277" i="8"/>
  <c r="L1276" i="8"/>
  <c r="K1276" i="8"/>
  <c r="L1275" i="8"/>
  <c r="K1275" i="8"/>
  <c r="L1274" i="8"/>
  <c r="K1274" i="8"/>
  <c r="L1273" i="8"/>
  <c r="K1273" i="8"/>
  <c r="L1272" i="8"/>
  <c r="K1272" i="8"/>
  <c r="L1271" i="8"/>
  <c r="K1271" i="8"/>
  <c r="L1270" i="8"/>
  <c r="K1270" i="8"/>
  <c r="L1269" i="8"/>
  <c r="K1269" i="8"/>
  <c r="L1268" i="8"/>
  <c r="K1268" i="8"/>
  <c r="L1267" i="8"/>
  <c r="K1267" i="8"/>
  <c r="L1266" i="8"/>
  <c r="K1266" i="8"/>
  <c r="L1265" i="8"/>
  <c r="K1265" i="8"/>
  <c r="L1264" i="8"/>
  <c r="K1264" i="8"/>
  <c r="L1263" i="8"/>
  <c r="K1263" i="8"/>
  <c r="L1262" i="8"/>
  <c r="K1262" i="8"/>
  <c r="L1261" i="8"/>
  <c r="K1261" i="8"/>
  <c r="L1260" i="8"/>
  <c r="K1260" i="8"/>
  <c r="L1259" i="8"/>
  <c r="K1259" i="8"/>
  <c r="L1258" i="8"/>
  <c r="K1258" i="8"/>
  <c r="L1257" i="8"/>
  <c r="K1257" i="8"/>
  <c r="L1256" i="8"/>
  <c r="K1256" i="8"/>
  <c r="L1255" i="8"/>
  <c r="K1255" i="8"/>
  <c r="L1254" i="8"/>
  <c r="K1254" i="8"/>
  <c r="L1253" i="8"/>
  <c r="K1253" i="8"/>
  <c r="L1252" i="8"/>
  <c r="K1252" i="8"/>
  <c r="L1251" i="8"/>
  <c r="K1251" i="8"/>
  <c r="L1250" i="8"/>
  <c r="K1250" i="8"/>
  <c r="L1249" i="8"/>
  <c r="K1249" i="8"/>
  <c r="L1248" i="8"/>
  <c r="K1248" i="8"/>
  <c r="L1247" i="8"/>
  <c r="K1247" i="8"/>
  <c r="L1246" i="8"/>
  <c r="K1246" i="8"/>
  <c r="L1245" i="8"/>
  <c r="K1245" i="8"/>
  <c r="L1244" i="8"/>
  <c r="K1244" i="8"/>
  <c r="L1243" i="8"/>
  <c r="K1243" i="8"/>
  <c r="L1242" i="8"/>
  <c r="K1242" i="8"/>
  <c r="L1241" i="8"/>
  <c r="K1241" i="8"/>
  <c r="L1240" i="8"/>
  <c r="K1240" i="8"/>
  <c r="L1239" i="8"/>
  <c r="K1239" i="8"/>
  <c r="L1238" i="8"/>
  <c r="K1238" i="8"/>
  <c r="L1237" i="8"/>
  <c r="K1237" i="8"/>
  <c r="L1236" i="8"/>
  <c r="K1236" i="8"/>
  <c r="L1235" i="8"/>
  <c r="K1235" i="8"/>
  <c r="L1234" i="8"/>
  <c r="K1234" i="8"/>
  <c r="L1233" i="8"/>
  <c r="K1233" i="8"/>
  <c r="L1232" i="8"/>
  <c r="K1232" i="8"/>
  <c r="L1231" i="8"/>
  <c r="K1231" i="8"/>
  <c r="L1230" i="8"/>
  <c r="K1230" i="8"/>
  <c r="L1229" i="8"/>
  <c r="K1229" i="8"/>
  <c r="L1228" i="8"/>
  <c r="K1228" i="8"/>
  <c r="L1227" i="8"/>
  <c r="K1227" i="8"/>
  <c r="L1226" i="8"/>
  <c r="K1226" i="8"/>
  <c r="L1225" i="8"/>
  <c r="K1225" i="8"/>
  <c r="L1224" i="8"/>
  <c r="K1224" i="8"/>
  <c r="L1223" i="8"/>
  <c r="K1223" i="8"/>
  <c r="L1222" i="8"/>
  <c r="K1222" i="8"/>
  <c r="L1221" i="8"/>
  <c r="K1221" i="8"/>
  <c r="L1220" i="8"/>
  <c r="K1220" i="8"/>
  <c r="L1219" i="8"/>
  <c r="K1219" i="8"/>
  <c r="L1218" i="8"/>
  <c r="K1218" i="8"/>
  <c r="L1217" i="8"/>
  <c r="K1217" i="8"/>
  <c r="L1216" i="8"/>
  <c r="K1216" i="8"/>
  <c r="L1215" i="8"/>
  <c r="K1215" i="8"/>
  <c r="L1214" i="8"/>
  <c r="K1214" i="8"/>
  <c r="L1213" i="8"/>
  <c r="K1213" i="8"/>
  <c r="L1212" i="8"/>
  <c r="K1212" i="8"/>
  <c r="L1211" i="8"/>
  <c r="K1211" i="8"/>
  <c r="L1210" i="8"/>
  <c r="K1210" i="8"/>
  <c r="L1209" i="8"/>
  <c r="K1209" i="8"/>
  <c r="L1208" i="8"/>
  <c r="K1208" i="8"/>
  <c r="L1207" i="8"/>
  <c r="K1207" i="8"/>
  <c r="L1206" i="8"/>
  <c r="K1206" i="8"/>
  <c r="L1205" i="8"/>
  <c r="K1205" i="8"/>
  <c r="L1204" i="8"/>
  <c r="K1204" i="8"/>
  <c r="L1203" i="8"/>
  <c r="K1203" i="8"/>
  <c r="L1202" i="8"/>
  <c r="K1202" i="8"/>
  <c r="L1201" i="8"/>
  <c r="K1201" i="8"/>
  <c r="L1200" i="8"/>
  <c r="K1200" i="8"/>
  <c r="L1199" i="8"/>
  <c r="K1199" i="8"/>
  <c r="L1198" i="8"/>
  <c r="K1198" i="8"/>
  <c r="L1197" i="8"/>
  <c r="K1197" i="8"/>
  <c r="L1196" i="8"/>
  <c r="K1196" i="8"/>
  <c r="L1195" i="8"/>
  <c r="K1195" i="8"/>
  <c r="L1194" i="8"/>
  <c r="K1194" i="8"/>
  <c r="L1193" i="8"/>
  <c r="K1193" i="8"/>
  <c r="L1192" i="8"/>
  <c r="K1192" i="8"/>
  <c r="L1191" i="8"/>
  <c r="K1191" i="8"/>
  <c r="L1190" i="8"/>
  <c r="K1190" i="8"/>
  <c r="L1189" i="8"/>
  <c r="K1189" i="8"/>
  <c r="L1188" i="8"/>
  <c r="K1188" i="8"/>
  <c r="L1187" i="8"/>
  <c r="K1187" i="8"/>
  <c r="L1186" i="8"/>
  <c r="K1186" i="8"/>
  <c r="L1185" i="8"/>
  <c r="K1185" i="8"/>
  <c r="L1184" i="8"/>
  <c r="K1184" i="8"/>
  <c r="L1183" i="8"/>
  <c r="K1183" i="8"/>
  <c r="L1182" i="8"/>
  <c r="K1182" i="8"/>
  <c r="L1181" i="8"/>
  <c r="K1181" i="8"/>
  <c r="L1180" i="8"/>
  <c r="K1180" i="8"/>
  <c r="L1179" i="8"/>
  <c r="K1179" i="8"/>
  <c r="L1178" i="8"/>
  <c r="K1178" i="8"/>
  <c r="L1177" i="8"/>
  <c r="K1177" i="8"/>
  <c r="L1176" i="8"/>
  <c r="K1176" i="8"/>
  <c r="L1175" i="8"/>
  <c r="K1175" i="8"/>
  <c r="L1174" i="8"/>
  <c r="K1174" i="8"/>
  <c r="L1173" i="8"/>
  <c r="K1173" i="8"/>
  <c r="L1172" i="8"/>
  <c r="K1172" i="8"/>
  <c r="L1171" i="8"/>
  <c r="K1171" i="8"/>
  <c r="L1170" i="8"/>
  <c r="K1170" i="8"/>
  <c r="L1169" i="8"/>
  <c r="K1169" i="8"/>
  <c r="L1168" i="8"/>
  <c r="K1168" i="8"/>
  <c r="L1167" i="8"/>
  <c r="K1167" i="8"/>
  <c r="L1166" i="8"/>
  <c r="K1166" i="8"/>
  <c r="L1165" i="8"/>
  <c r="K1165" i="8"/>
  <c r="L1164" i="8"/>
  <c r="K1164" i="8"/>
  <c r="L1163" i="8"/>
  <c r="K1163" i="8"/>
  <c r="L1162" i="8"/>
  <c r="K1162" i="8"/>
  <c r="L1161" i="8"/>
  <c r="K1161" i="8"/>
  <c r="L1160" i="8"/>
  <c r="K1160" i="8"/>
  <c r="L1159" i="8"/>
  <c r="K1159" i="8"/>
  <c r="L1158" i="8"/>
  <c r="K1158" i="8"/>
  <c r="L1157" i="8"/>
  <c r="K1157" i="8"/>
  <c r="L1156" i="8"/>
  <c r="K1156" i="8"/>
  <c r="L1155" i="8"/>
  <c r="K1155" i="8"/>
  <c r="L1154" i="8"/>
  <c r="K1154" i="8"/>
  <c r="L1153" i="8"/>
  <c r="K1153" i="8"/>
  <c r="L1152" i="8"/>
  <c r="K1152" i="8"/>
  <c r="L1151" i="8"/>
  <c r="K1151" i="8"/>
  <c r="L1150" i="8"/>
  <c r="K1150" i="8"/>
  <c r="L1149" i="8"/>
  <c r="K1149" i="8"/>
  <c r="L1148" i="8"/>
  <c r="K1148" i="8"/>
  <c r="L1147" i="8"/>
  <c r="K1147" i="8"/>
  <c r="L1146" i="8"/>
  <c r="K1146" i="8"/>
  <c r="L1145" i="8"/>
  <c r="K1145" i="8"/>
  <c r="L1144" i="8"/>
  <c r="K1144" i="8"/>
  <c r="L1143" i="8"/>
  <c r="K1143" i="8"/>
  <c r="L1142" i="8"/>
  <c r="K1142" i="8"/>
  <c r="L1141" i="8"/>
  <c r="K1141" i="8"/>
  <c r="L1140" i="8"/>
  <c r="K1140" i="8"/>
  <c r="L1139" i="8"/>
  <c r="K1139" i="8"/>
  <c r="L1138" i="8"/>
  <c r="K1138" i="8"/>
  <c r="L1137" i="8"/>
  <c r="K1137" i="8"/>
  <c r="L1136" i="8"/>
  <c r="K1136" i="8"/>
  <c r="L1135" i="8"/>
  <c r="K1135" i="8"/>
  <c r="L1134" i="8"/>
  <c r="K1134" i="8"/>
  <c r="L1133" i="8"/>
  <c r="K1133" i="8"/>
  <c r="L1132" i="8"/>
  <c r="K1132" i="8"/>
  <c r="L1131" i="8"/>
  <c r="K1131" i="8"/>
  <c r="L1130" i="8"/>
  <c r="K1130" i="8"/>
  <c r="L1129" i="8"/>
  <c r="K1129" i="8"/>
  <c r="L1128" i="8"/>
  <c r="K1128" i="8"/>
  <c r="L1127" i="8"/>
  <c r="K1127" i="8"/>
  <c r="L1126" i="8"/>
  <c r="K1126" i="8"/>
  <c r="L1125" i="8"/>
  <c r="K1125" i="8"/>
  <c r="L1124" i="8"/>
  <c r="K1124" i="8"/>
  <c r="L1123" i="8"/>
  <c r="K1123" i="8"/>
  <c r="L1122" i="8"/>
  <c r="K1122" i="8"/>
  <c r="L1121" i="8"/>
  <c r="K1121" i="8"/>
  <c r="L1120" i="8"/>
  <c r="K1120" i="8"/>
  <c r="L1119" i="8"/>
  <c r="K1119" i="8"/>
  <c r="L1118" i="8"/>
  <c r="K1118" i="8"/>
  <c r="L1117" i="8"/>
  <c r="K1117" i="8"/>
  <c r="L1116" i="8"/>
  <c r="K1116" i="8"/>
  <c r="L1115" i="8"/>
  <c r="K1115" i="8"/>
  <c r="L1114" i="8"/>
  <c r="K1114" i="8"/>
  <c r="L1113" i="8"/>
  <c r="K1113" i="8"/>
  <c r="L1112" i="8"/>
  <c r="K1112" i="8"/>
  <c r="L1111" i="8"/>
  <c r="K1111" i="8"/>
  <c r="L1110" i="8"/>
  <c r="K1110" i="8"/>
  <c r="L1109" i="8"/>
  <c r="K1109" i="8"/>
  <c r="L1108" i="8"/>
  <c r="K1108" i="8"/>
  <c r="L1107" i="8"/>
  <c r="K1107" i="8"/>
  <c r="L1106" i="8"/>
  <c r="K1106" i="8"/>
  <c r="L1105" i="8"/>
  <c r="K1105" i="8"/>
  <c r="L1104" i="8"/>
  <c r="K1104" i="8"/>
  <c r="L1103" i="8"/>
  <c r="K1103" i="8"/>
  <c r="L1102" i="8"/>
  <c r="K1102" i="8"/>
  <c r="L1101" i="8"/>
  <c r="K1101" i="8"/>
  <c r="L1100" i="8"/>
  <c r="K1100" i="8"/>
  <c r="L1099" i="8"/>
  <c r="K1099" i="8"/>
  <c r="L1098" i="8"/>
  <c r="K1098" i="8"/>
  <c r="L1097" i="8"/>
  <c r="K1097" i="8"/>
  <c r="L1096" i="8"/>
  <c r="K1096" i="8"/>
  <c r="L1095" i="8"/>
  <c r="K1095" i="8"/>
  <c r="L1094" i="8"/>
  <c r="K1094" i="8"/>
  <c r="L1093" i="8"/>
  <c r="K1093" i="8"/>
  <c r="L1092" i="8"/>
  <c r="K1092" i="8"/>
  <c r="L1091" i="8"/>
  <c r="K1091" i="8"/>
  <c r="L1090" i="8"/>
  <c r="K1090" i="8"/>
  <c r="L1089" i="8"/>
  <c r="K1089" i="8"/>
  <c r="L1088" i="8"/>
  <c r="K1088" i="8"/>
  <c r="L1087" i="8"/>
  <c r="K1087" i="8"/>
  <c r="L1086" i="8"/>
  <c r="K1086" i="8"/>
  <c r="L1085" i="8"/>
  <c r="K1085" i="8"/>
  <c r="L1084" i="8"/>
  <c r="K1084" i="8"/>
  <c r="L1083" i="8"/>
  <c r="K1083" i="8"/>
  <c r="L1082" i="8"/>
  <c r="K1082" i="8"/>
  <c r="L1081" i="8"/>
  <c r="K1081" i="8"/>
  <c r="L1080" i="8"/>
  <c r="K1080" i="8"/>
  <c r="L1079" i="8"/>
  <c r="K1079" i="8"/>
  <c r="L1078" i="8"/>
  <c r="K1078" i="8"/>
  <c r="L1077" i="8"/>
  <c r="K1077" i="8"/>
  <c r="L1076" i="8"/>
  <c r="K1076" i="8"/>
  <c r="L1075" i="8"/>
  <c r="K1075" i="8"/>
  <c r="L1074" i="8"/>
  <c r="K1074" i="8"/>
  <c r="L1073" i="8"/>
  <c r="K1073" i="8"/>
  <c r="L1072" i="8"/>
  <c r="K1072" i="8"/>
  <c r="L1071" i="8"/>
  <c r="K1071" i="8"/>
  <c r="L1070" i="8"/>
  <c r="K1070" i="8"/>
  <c r="L1069" i="8"/>
  <c r="K1069" i="8"/>
  <c r="L1068" i="8"/>
  <c r="K1068" i="8"/>
  <c r="L1067" i="8"/>
  <c r="K1067" i="8"/>
  <c r="L1066" i="8"/>
  <c r="K1066" i="8"/>
  <c r="L1065" i="8"/>
  <c r="K1065" i="8"/>
  <c r="L1064" i="8"/>
  <c r="K1064" i="8"/>
  <c r="L1063" i="8"/>
  <c r="K1063" i="8"/>
  <c r="L1062" i="8"/>
  <c r="K1062" i="8"/>
  <c r="L1061" i="8"/>
  <c r="K1061" i="8"/>
  <c r="L1060" i="8"/>
  <c r="K1060" i="8"/>
  <c r="L1059" i="8"/>
  <c r="K1059" i="8"/>
  <c r="L1058" i="8"/>
  <c r="K1058" i="8"/>
  <c r="L1057" i="8"/>
  <c r="K1057" i="8"/>
  <c r="L1056" i="8"/>
  <c r="K1056" i="8"/>
  <c r="L1055" i="8"/>
  <c r="K1055" i="8"/>
  <c r="L1054" i="8"/>
  <c r="K1054" i="8"/>
  <c r="L1053" i="8"/>
  <c r="K1053" i="8"/>
  <c r="L1052" i="8"/>
  <c r="K1052" i="8"/>
  <c r="L1051" i="8"/>
  <c r="K1051" i="8"/>
  <c r="L1050" i="8"/>
  <c r="K1050" i="8"/>
  <c r="L1049" i="8"/>
  <c r="K1049" i="8"/>
  <c r="L1048" i="8"/>
  <c r="K1048" i="8"/>
  <c r="L1047" i="8"/>
  <c r="K1047" i="8"/>
  <c r="L1046" i="8"/>
  <c r="K1046" i="8"/>
  <c r="L1045" i="8"/>
  <c r="K1045" i="8"/>
  <c r="L1044" i="8"/>
  <c r="K1044" i="8"/>
  <c r="L1043" i="8"/>
  <c r="K1043" i="8"/>
  <c r="L1042" i="8"/>
  <c r="K1042" i="8"/>
  <c r="L1041" i="8"/>
  <c r="K1041" i="8"/>
  <c r="L1040" i="8"/>
  <c r="K1040" i="8"/>
  <c r="L1039" i="8"/>
  <c r="K1039" i="8"/>
  <c r="L1038" i="8"/>
  <c r="K1038" i="8"/>
  <c r="L1037" i="8"/>
  <c r="K1037" i="8"/>
  <c r="L1036" i="8"/>
  <c r="K1036" i="8"/>
  <c r="L1035" i="8"/>
  <c r="K1035" i="8"/>
  <c r="L1034" i="8"/>
  <c r="K1034" i="8"/>
  <c r="L1033" i="8"/>
  <c r="K1033" i="8"/>
  <c r="L1032" i="8"/>
  <c r="K1032" i="8"/>
  <c r="L1031" i="8"/>
  <c r="K1031" i="8"/>
  <c r="L1030" i="8"/>
  <c r="K1030" i="8"/>
  <c r="L1029" i="8"/>
  <c r="K1029" i="8"/>
  <c r="L1028" i="8"/>
  <c r="K1028" i="8"/>
  <c r="L1027" i="8"/>
  <c r="K1027" i="8"/>
  <c r="L1026" i="8"/>
  <c r="K1026" i="8"/>
  <c r="L1025" i="8"/>
  <c r="K1025" i="8"/>
  <c r="L1024" i="8"/>
  <c r="K1024" i="8"/>
  <c r="L1023" i="8"/>
  <c r="K1023" i="8"/>
  <c r="L1022" i="8"/>
  <c r="K1022" i="8"/>
  <c r="L1021" i="8"/>
  <c r="K1021" i="8"/>
  <c r="L1020" i="8"/>
  <c r="K1020" i="8"/>
  <c r="L1019" i="8"/>
  <c r="K1019" i="8"/>
  <c r="L1018" i="8"/>
  <c r="K1018" i="8"/>
  <c r="L1017" i="8"/>
  <c r="K1017" i="8"/>
  <c r="L1016" i="8"/>
  <c r="K1016" i="8"/>
  <c r="L1015" i="8"/>
  <c r="K1015" i="8"/>
  <c r="L1014" i="8"/>
  <c r="K1014" i="8"/>
  <c r="L1013" i="8"/>
  <c r="K1013" i="8"/>
  <c r="L1012" i="8"/>
  <c r="K1012" i="8"/>
  <c r="L1011" i="8"/>
  <c r="K1011" i="8"/>
  <c r="L1010" i="8"/>
  <c r="K1010" i="8"/>
  <c r="L1009" i="8"/>
  <c r="K1009" i="8"/>
  <c r="L1008" i="8"/>
  <c r="K1008" i="8"/>
  <c r="L1007" i="8"/>
  <c r="K1007" i="8"/>
  <c r="L1006" i="8"/>
  <c r="K1006" i="8"/>
  <c r="L1005" i="8"/>
  <c r="K1005" i="8"/>
  <c r="L1004" i="8"/>
  <c r="K1004" i="8"/>
  <c r="L1003" i="8"/>
  <c r="K1003" i="8"/>
  <c r="L1002" i="8"/>
  <c r="K1002" i="8"/>
  <c r="L1001" i="8"/>
  <c r="K1001" i="8"/>
  <c r="L1000" i="8"/>
  <c r="K1000" i="8"/>
  <c r="L999" i="8"/>
  <c r="K999" i="8"/>
  <c r="L998" i="8"/>
  <c r="K998" i="8"/>
  <c r="L997" i="8"/>
  <c r="K997" i="8"/>
  <c r="L996" i="8"/>
  <c r="K996" i="8"/>
  <c r="L995" i="8"/>
  <c r="K995" i="8"/>
  <c r="L994" i="8"/>
  <c r="K994" i="8"/>
  <c r="L993" i="8"/>
  <c r="K993" i="8"/>
  <c r="L992" i="8"/>
  <c r="K992" i="8"/>
  <c r="L991" i="8"/>
  <c r="K991" i="8"/>
  <c r="L990" i="8"/>
  <c r="K990" i="8"/>
  <c r="L989" i="8"/>
  <c r="K989" i="8"/>
  <c r="L988" i="8"/>
  <c r="K988" i="8"/>
  <c r="L987" i="8"/>
  <c r="K987" i="8"/>
  <c r="L986" i="8"/>
  <c r="K986" i="8"/>
  <c r="L985" i="8"/>
  <c r="K985" i="8"/>
  <c r="L984" i="8"/>
  <c r="K984" i="8"/>
  <c r="L983" i="8"/>
  <c r="K983" i="8"/>
  <c r="L982" i="8"/>
  <c r="K982" i="8"/>
  <c r="L981" i="8"/>
  <c r="K981" i="8"/>
  <c r="L980" i="8"/>
  <c r="K980" i="8"/>
  <c r="L979" i="8"/>
  <c r="K979" i="8"/>
  <c r="L978" i="8"/>
  <c r="K978" i="8"/>
  <c r="L977" i="8"/>
  <c r="K977" i="8"/>
  <c r="L976" i="8"/>
  <c r="K976" i="8"/>
  <c r="L975" i="8"/>
  <c r="K975" i="8"/>
  <c r="L974" i="8"/>
  <c r="K974" i="8"/>
  <c r="L973" i="8"/>
  <c r="K973" i="8"/>
  <c r="L972" i="8"/>
  <c r="K972" i="8"/>
  <c r="L971" i="8"/>
  <c r="K971" i="8"/>
  <c r="L970" i="8"/>
  <c r="K970" i="8"/>
  <c r="L969" i="8"/>
  <c r="K969" i="8"/>
  <c r="L968" i="8"/>
  <c r="K968" i="8"/>
  <c r="L967" i="8"/>
  <c r="K967" i="8"/>
  <c r="L966" i="8"/>
  <c r="K966" i="8"/>
  <c r="L965" i="8"/>
  <c r="K965" i="8"/>
  <c r="L964" i="8"/>
  <c r="K964" i="8"/>
  <c r="L963" i="8"/>
  <c r="K963" i="8"/>
  <c r="L962" i="8"/>
  <c r="K962" i="8"/>
  <c r="L961" i="8"/>
  <c r="K961" i="8"/>
  <c r="L960" i="8"/>
  <c r="K960" i="8"/>
  <c r="L959" i="8"/>
  <c r="K959" i="8"/>
  <c r="L958" i="8"/>
  <c r="K958" i="8"/>
  <c r="L957" i="8"/>
  <c r="K957" i="8"/>
  <c r="L956" i="8"/>
  <c r="K956" i="8"/>
  <c r="L955" i="8"/>
  <c r="K955" i="8"/>
  <c r="L954" i="8"/>
  <c r="K954" i="8"/>
  <c r="L953" i="8"/>
  <c r="K953" i="8"/>
  <c r="L952" i="8"/>
  <c r="K952" i="8"/>
  <c r="L951" i="8"/>
  <c r="K951" i="8"/>
  <c r="L950" i="8"/>
  <c r="K950" i="8"/>
  <c r="L949" i="8"/>
  <c r="K949" i="8"/>
  <c r="L948" i="8"/>
  <c r="K948" i="8"/>
  <c r="L947" i="8"/>
  <c r="K947" i="8"/>
  <c r="L946" i="8"/>
  <c r="K946" i="8"/>
  <c r="L945" i="8"/>
  <c r="K945" i="8"/>
  <c r="L944" i="8"/>
  <c r="K944" i="8"/>
  <c r="L943" i="8"/>
  <c r="K943" i="8"/>
  <c r="L942" i="8"/>
  <c r="K942" i="8"/>
  <c r="L941" i="8"/>
  <c r="K941" i="8"/>
  <c r="L940" i="8"/>
  <c r="K940" i="8"/>
  <c r="L939" i="8"/>
  <c r="K939" i="8"/>
  <c r="L938" i="8"/>
  <c r="K938" i="8"/>
  <c r="L937" i="8"/>
  <c r="K937" i="8"/>
  <c r="L936" i="8"/>
  <c r="K936" i="8"/>
  <c r="L935" i="8"/>
  <c r="K935" i="8"/>
  <c r="L934" i="8"/>
  <c r="K934" i="8"/>
  <c r="L933" i="8"/>
  <c r="K933" i="8"/>
  <c r="L932" i="8"/>
  <c r="K932" i="8"/>
  <c r="L931" i="8"/>
  <c r="K931" i="8"/>
  <c r="L930" i="8"/>
  <c r="K930" i="8"/>
  <c r="L929" i="8"/>
  <c r="K929" i="8"/>
  <c r="L928" i="8"/>
  <c r="K928" i="8"/>
  <c r="L927" i="8"/>
  <c r="K927" i="8"/>
  <c r="L926" i="8"/>
  <c r="K926" i="8"/>
  <c r="L925" i="8"/>
  <c r="K925" i="8"/>
  <c r="L924" i="8"/>
  <c r="K924" i="8"/>
  <c r="L923" i="8"/>
  <c r="K923" i="8"/>
  <c r="L922" i="8"/>
  <c r="K922" i="8"/>
  <c r="L921" i="8"/>
  <c r="K921" i="8"/>
  <c r="L920" i="8"/>
  <c r="K920" i="8"/>
  <c r="L919" i="8"/>
  <c r="K919" i="8"/>
  <c r="L918" i="8"/>
  <c r="K918" i="8"/>
  <c r="L917" i="8"/>
  <c r="K917" i="8"/>
  <c r="L916" i="8"/>
  <c r="K916" i="8"/>
  <c r="L915" i="8"/>
  <c r="K915" i="8"/>
  <c r="L914" i="8"/>
  <c r="K914" i="8"/>
  <c r="L913" i="8"/>
  <c r="K913" i="8"/>
  <c r="L912" i="8"/>
  <c r="K912" i="8"/>
  <c r="L911" i="8"/>
  <c r="K911" i="8"/>
  <c r="L910" i="8"/>
  <c r="K910" i="8"/>
  <c r="L909" i="8"/>
  <c r="K909" i="8"/>
  <c r="L908" i="8"/>
  <c r="K908" i="8"/>
  <c r="L907" i="8"/>
  <c r="K907" i="8"/>
  <c r="L906" i="8"/>
  <c r="K906" i="8"/>
  <c r="L905" i="8"/>
  <c r="K905" i="8"/>
  <c r="L904" i="8"/>
  <c r="K904" i="8"/>
  <c r="L903" i="8"/>
  <c r="K903" i="8"/>
  <c r="L902" i="8"/>
  <c r="K902" i="8"/>
  <c r="L901" i="8"/>
  <c r="K901" i="8"/>
  <c r="L900" i="8"/>
  <c r="K900" i="8"/>
  <c r="L899" i="8"/>
  <c r="K899" i="8"/>
  <c r="L898" i="8"/>
  <c r="K898" i="8"/>
  <c r="L897" i="8"/>
  <c r="K897" i="8"/>
  <c r="L896" i="8"/>
  <c r="K896" i="8"/>
  <c r="L895" i="8"/>
  <c r="K895" i="8"/>
  <c r="L894" i="8"/>
  <c r="K894" i="8"/>
  <c r="L893" i="8"/>
  <c r="K893" i="8"/>
  <c r="L892" i="8"/>
  <c r="K892" i="8"/>
  <c r="L891" i="8"/>
  <c r="K891" i="8"/>
  <c r="L890" i="8"/>
  <c r="K890" i="8"/>
  <c r="L889" i="8"/>
  <c r="K889" i="8"/>
  <c r="L888" i="8"/>
  <c r="K888" i="8"/>
  <c r="L887" i="8"/>
  <c r="K887" i="8"/>
  <c r="L886" i="8"/>
  <c r="K886" i="8"/>
  <c r="L885" i="8"/>
  <c r="K885" i="8"/>
  <c r="L884" i="8"/>
  <c r="K884" i="8"/>
  <c r="L883" i="8"/>
  <c r="K883" i="8"/>
  <c r="L882" i="8"/>
  <c r="K882" i="8"/>
  <c r="L881" i="8"/>
  <c r="K881" i="8"/>
  <c r="L880" i="8"/>
  <c r="K880" i="8"/>
  <c r="L879" i="8"/>
  <c r="K879" i="8"/>
  <c r="L878" i="8"/>
  <c r="K878" i="8"/>
  <c r="L877" i="8"/>
  <c r="K877" i="8"/>
  <c r="L876" i="8"/>
  <c r="K876" i="8"/>
  <c r="L875" i="8"/>
  <c r="K875" i="8"/>
  <c r="L874" i="8"/>
  <c r="K874" i="8"/>
  <c r="L873" i="8"/>
  <c r="K873" i="8"/>
  <c r="L872" i="8"/>
  <c r="K872" i="8"/>
  <c r="L871" i="8"/>
  <c r="K871" i="8"/>
  <c r="L870" i="8"/>
  <c r="K870" i="8"/>
  <c r="L869" i="8"/>
  <c r="K869" i="8"/>
  <c r="L868" i="8"/>
  <c r="K868" i="8"/>
  <c r="L867" i="8"/>
  <c r="K867" i="8"/>
  <c r="L866" i="8"/>
  <c r="K866" i="8"/>
  <c r="L865" i="8"/>
  <c r="K865" i="8"/>
  <c r="L864" i="8"/>
  <c r="K864" i="8"/>
  <c r="L863" i="8"/>
  <c r="K863" i="8"/>
  <c r="L862" i="8"/>
  <c r="K862" i="8"/>
  <c r="L861" i="8"/>
  <c r="K861" i="8"/>
  <c r="L860" i="8"/>
  <c r="K860" i="8"/>
  <c r="L859" i="8"/>
  <c r="K859" i="8"/>
  <c r="L858" i="8"/>
  <c r="K858" i="8"/>
  <c r="L857" i="8"/>
  <c r="K857" i="8"/>
  <c r="L856" i="8"/>
  <c r="K856" i="8"/>
  <c r="L855" i="8"/>
  <c r="K855" i="8"/>
  <c r="L854" i="8"/>
  <c r="K854" i="8"/>
  <c r="L853" i="8"/>
  <c r="K853" i="8"/>
  <c r="L852" i="8"/>
  <c r="K852" i="8"/>
  <c r="L851" i="8"/>
  <c r="K851" i="8"/>
  <c r="L850" i="8"/>
  <c r="K850" i="8"/>
  <c r="L849" i="8"/>
  <c r="K849" i="8"/>
  <c r="L848" i="8"/>
  <c r="K848" i="8"/>
  <c r="L847" i="8"/>
  <c r="K847" i="8"/>
  <c r="L846" i="8"/>
  <c r="K846" i="8"/>
  <c r="L845" i="8"/>
  <c r="K845" i="8"/>
  <c r="L844" i="8"/>
  <c r="K844" i="8"/>
  <c r="L843" i="8"/>
  <c r="K843" i="8"/>
  <c r="L842" i="8"/>
  <c r="K842" i="8"/>
  <c r="L841" i="8"/>
  <c r="K841" i="8"/>
  <c r="L840" i="8"/>
  <c r="K840" i="8"/>
  <c r="L839" i="8"/>
  <c r="K839" i="8"/>
  <c r="L838" i="8"/>
  <c r="K838" i="8"/>
  <c r="L837" i="8"/>
  <c r="K837" i="8"/>
  <c r="L836" i="8"/>
  <c r="K836" i="8"/>
  <c r="L835" i="8"/>
  <c r="K835" i="8"/>
  <c r="L834" i="8"/>
  <c r="K834" i="8"/>
  <c r="L833" i="8"/>
  <c r="K833" i="8"/>
  <c r="L832" i="8"/>
  <c r="K832" i="8"/>
  <c r="L831" i="8"/>
  <c r="K831" i="8"/>
  <c r="L830" i="8"/>
  <c r="K830" i="8"/>
  <c r="L829" i="8"/>
  <c r="K829" i="8"/>
  <c r="L828" i="8"/>
  <c r="K828" i="8"/>
  <c r="L827" i="8"/>
  <c r="K827" i="8"/>
  <c r="L826" i="8"/>
  <c r="K826" i="8"/>
  <c r="L825" i="8"/>
  <c r="K825" i="8"/>
  <c r="L824" i="8"/>
  <c r="K824" i="8"/>
  <c r="L823" i="8"/>
  <c r="K823" i="8"/>
  <c r="L822" i="8"/>
  <c r="K822" i="8"/>
  <c r="L821" i="8"/>
  <c r="K821" i="8"/>
  <c r="L820" i="8"/>
  <c r="K820" i="8"/>
  <c r="L819" i="8"/>
  <c r="K819" i="8"/>
  <c r="L818" i="8"/>
  <c r="K818" i="8"/>
  <c r="L817" i="8"/>
  <c r="K817" i="8"/>
  <c r="L816" i="8"/>
  <c r="K816" i="8"/>
  <c r="L815" i="8"/>
  <c r="K815" i="8"/>
  <c r="L814" i="8"/>
  <c r="K814" i="8"/>
  <c r="L813" i="8"/>
  <c r="K813" i="8"/>
  <c r="L812" i="8"/>
  <c r="K812" i="8"/>
  <c r="L811" i="8"/>
  <c r="K811" i="8"/>
  <c r="L810" i="8"/>
  <c r="K810" i="8"/>
  <c r="L809" i="8"/>
  <c r="K809" i="8"/>
  <c r="L808" i="8"/>
  <c r="K808" i="8"/>
  <c r="L807" i="8"/>
  <c r="K807" i="8"/>
  <c r="L806" i="8"/>
  <c r="K806" i="8"/>
  <c r="L805" i="8"/>
  <c r="K805" i="8"/>
  <c r="L804" i="8"/>
  <c r="K804" i="8"/>
  <c r="L803" i="8"/>
  <c r="K803" i="8"/>
  <c r="L802" i="8"/>
  <c r="K802" i="8"/>
  <c r="L801" i="8"/>
  <c r="K801" i="8"/>
  <c r="L800" i="8"/>
  <c r="K800" i="8"/>
  <c r="L799" i="8"/>
  <c r="K799" i="8"/>
  <c r="L798" i="8"/>
  <c r="K798" i="8"/>
  <c r="L797" i="8"/>
  <c r="K797" i="8"/>
  <c r="L796" i="8"/>
  <c r="K796" i="8"/>
  <c r="L795" i="8"/>
  <c r="K795" i="8"/>
  <c r="L794" i="8"/>
  <c r="K794" i="8"/>
  <c r="L793" i="8"/>
  <c r="K793" i="8"/>
  <c r="L792" i="8"/>
  <c r="K792" i="8"/>
  <c r="L791" i="8"/>
  <c r="K791" i="8"/>
  <c r="L790" i="8"/>
  <c r="K790" i="8"/>
  <c r="L789" i="8"/>
  <c r="K789" i="8"/>
  <c r="L788" i="8"/>
  <c r="K788" i="8"/>
  <c r="L787" i="8"/>
  <c r="K787" i="8"/>
  <c r="L786" i="8"/>
  <c r="K786" i="8"/>
  <c r="L785" i="8"/>
  <c r="K785" i="8"/>
  <c r="L784" i="8"/>
  <c r="K784" i="8"/>
  <c r="L783" i="8"/>
  <c r="K783" i="8"/>
  <c r="L782" i="8"/>
  <c r="K782" i="8"/>
  <c r="L781" i="8"/>
  <c r="K781" i="8"/>
  <c r="L780" i="8"/>
  <c r="K780" i="8"/>
  <c r="L779" i="8"/>
  <c r="K779" i="8"/>
  <c r="L778" i="8"/>
  <c r="K778" i="8"/>
  <c r="L777" i="8"/>
  <c r="K777" i="8"/>
  <c r="L776" i="8"/>
  <c r="K776" i="8"/>
  <c r="L775" i="8"/>
  <c r="K775" i="8"/>
  <c r="L774" i="8"/>
  <c r="K774" i="8"/>
  <c r="L773" i="8"/>
  <c r="K773" i="8"/>
  <c r="L772" i="8"/>
  <c r="K772" i="8"/>
  <c r="L771" i="8"/>
  <c r="K771" i="8"/>
  <c r="L770" i="8"/>
  <c r="K770" i="8"/>
  <c r="L769" i="8"/>
  <c r="K769" i="8"/>
  <c r="L768" i="8"/>
  <c r="K768" i="8"/>
  <c r="L767" i="8"/>
  <c r="K767" i="8"/>
  <c r="L766" i="8"/>
  <c r="K766" i="8"/>
  <c r="L765" i="8"/>
  <c r="K765" i="8"/>
  <c r="L764" i="8"/>
  <c r="K764" i="8"/>
  <c r="L763" i="8"/>
  <c r="K763" i="8"/>
  <c r="L762" i="8"/>
  <c r="K762" i="8"/>
  <c r="L761" i="8"/>
  <c r="K761" i="8"/>
  <c r="L760" i="8"/>
  <c r="K760" i="8"/>
  <c r="L759" i="8"/>
  <c r="K759" i="8"/>
  <c r="L758" i="8"/>
  <c r="K758" i="8"/>
  <c r="L757" i="8"/>
  <c r="K757" i="8"/>
  <c r="L756" i="8"/>
  <c r="K756" i="8"/>
  <c r="L755" i="8"/>
  <c r="K755" i="8"/>
  <c r="L754" i="8"/>
  <c r="K754" i="8"/>
  <c r="L753" i="8"/>
  <c r="K753" i="8"/>
  <c r="L752" i="8"/>
  <c r="K752" i="8"/>
  <c r="L751" i="8"/>
  <c r="K751" i="8"/>
  <c r="L750" i="8"/>
  <c r="K750" i="8"/>
  <c r="L749" i="8"/>
  <c r="K749" i="8"/>
  <c r="L748" i="8"/>
  <c r="K748" i="8"/>
  <c r="L747" i="8"/>
  <c r="K747" i="8"/>
  <c r="L746" i="8"/>
  <c r="K746" i="8"/>
  <c r="L745" i="8"/>
  <c r="K745" i="8"/>
  <c r="L744" i="8"/>
  <c r="K744" i="8"/>
  <c r="L743" i="8"/>
  <c r="K743" i="8"/>
  <c r="L742" i="8"/>
  <c r="K742" i="8"/>
  <c r="L741" i="8"/>
  <c r="K741" i="8"/>
  <c r="L740" i="8"/>
  <c r="K740" i="8"/>
  <c r="L739" i="8"/>
  <c r="K739" i="8"/>
  <c r="L738" i="8"/>
  <c r="K738" i="8"/>
  <c r="L737" i="8"/>
  <c r="K737" i="8"/>
  <c r="L736" i="8"/>
  <c r="K736" i="8"/>
  <c r="L735" i="8"/>
  <c r="K735" i="8"/>
  <c r="L734" i="8"/>
  <c r="K734" i="8"/>
  <c r="L733" i="8"/>
  <c r="K733" i="8"/>
  <c r="L732" i="8"/>
  <c r="K732" i="8"/>
  <c r="L731" i="8"/>
  <c r="K731" i="8"/>
  <c r="L730" i="8"/>
  <c r="K730" i="8"/>
  <c r="L729" i="8"/>
  <c r="K729" i="8"/>
  <c r="L728" i="8"/>
  <c r="K728" i="8"/>
  <c r="L727" i="8"/>
  <c r="K727" i="8"/>
  <c r="L726" i="8"/>
  <c r="K726" i="8"/>
  <c r="L725" i="8"/>
  <c r="K725" i="8"/>
  <c r="L724" i="8"/>
  <c r="K724" i="8"/>
  <c r="L723" i="8"/>
  <c r="K723" i="8"/>
  <c r="L722" i="8"/>
  <c r="K722" i="8"/>
  <c r="L721" i="8"/>
  <c r="K721" i="8"/>
  <c r="L720" i="8"/>
  <c r="K720" i="8"/>
  <c r="L719" i="8"/>
  <c r="K719" i="8"/>
  <c r="L718" i="8"/>
  <c r="K718" i="8"/>
  <c r="L717" i="8"/>
  <c r="K717" i="8"/>
  <c r="L716" i="8"/>
  <c r="K716" i="8"/>
  <c r="L715" i="8"/>
  <c r="K715" i="8"/>
  <c r="L714" i="8"/>
  <c r="K714" i="8"/>
  <c r="L713" i="8"/>
  <c r="K713" i="8"/>
  <c r="L712" i="8"/>
  <c r="K712" i="8"/>
  <c r="L711" i="8"/>
  <c r="K711" i="8"/>
  <c r="L710" i="8"/>
  <c r="K710" i="8"/>
  <c r="L709" i="8"/>
  <c r="K709" i="8"/>
  <c r="L708" i="8"/>
  <c r="K708" i="8"/>
  <c r="L707" i="8"/>
  <c r="K707" i="8"/>
  <c r="L706" i="8"/>
  <c r="K706" i="8"/>
  <c r="L705" i="8"/>
  <c r="K705" i="8"/>
  <c r="L704" i="8"/>
  <c r="K704" i="8"/>
  <c r="L703" i="8"/>
  <c r="K703" i="8"/>
  <c r="L702" i="8"/>
  <c r="K702" i="8"/>
  <c r="L701" i="8"/>
  <c r="K701" i="8"/>
  <c r="L700" i="8"/>
  <c r="K700" i="8"/>
  <c r="L699" i="8"/>
  <c r="K699" i="8"/>
  <c r="L698" i="8"/>
  <c r="K698" i="8"/>
  <c r="L697" i="8"/>
  <c r="K697" i="8"/>
  <c r="L696" i="8"/>
  <c r="K696" i="8"/>
  <c r="L695" i="8"/>
  <c r="K695" i="8"/>
  <c r="L694" i="8"/>
  <c r="K694" i="8"/>
  <c r="L693" i="8"/>
  <c r="K693" i="8"/>
  <c r="L692" i="8"/>
  <c r="K692" i="8"/>
  <c r="L691" i="8"/>
  <c r="K691" i="8"/>
  <c r="L690" i="8"/>
  <c r="K690" i="8"/>
  <c r="L689" i="8"/>
  <c r="K689" i="8"/>
  <c r="L688" i="8"/>
  <c r="K688" i="8"/>
  <c r="L687" i="8"/>
  <c r="K687" i="8"/>
  <c r="L686" i="8"/>
  <c r="K686" i="8"/>
  <c r="L685" i="8"/>
  <c r="K685" i="8"/>
  <c r="L684" i="8"/>
  <c r="K684" i="8"/>
  <c r="L683" i="8"/>
  <c r="K683" i="8"/>
  <c r="L682" i="8"/>
  <c r="K682" i="8"/>
  <c r="L681" i="8"/>
  <c r="K681" i="8"/>
  <c r="L680" i="8"/>
  <c r="K680" i="8"/>
  <c r="L679" i="8"/>
  <c r="K679" i="8"/>
  <c r="L678" i="8"/>
  <c r="K678" i="8"/>
  <c r="L677" i="8"/>
  <c r="K677" i="8"/>
  <c r="L676" i="8"/>
  <c r="K676" i="8"/>
  <c r="L675" i="8"/>
  <c r="K675" i="8"/>
  <c r="L674" i="8"/>
  <c r="K674" i="8"/>
  <c r="L673" i="8"/>
  <c r="K673" i="8"/>
  <c r="L672" i="8"/>
  <c r="K672" i="8"/>
  <c r="L671" i="8"/>
  <c r="K671" i="8"/>
  <c r="L670" i="8"/>
  <c r="K670" i="8"/>
  <c r="L669" i="8"/>
  <c r="K669" i="8"/>
  <c r="L668" i="8"/>
  <c r="K668" i="8"/>
  <c r="L667" i="8"/>
  <c r="K667" i="8"/>
  <c r="L666" i="8"/>
  <c r="K666" i="8"/>
  <c r="L665" i="8"/>
  <c r="K665" i="8"/>
  <c r="L664" i="8"/>
  <c r="K664" i="8"/>
  <c r="L663" i="8"/>
  <c r="K663" i="8"/>
  <c r="L662" i="8"/>
  <c r="K662" i="8"/>
  <c r="L661" i="8"/>
  <c r="K661" i="8"/>
  <c r="L660" i="8"/>
  <c r="K660" i="8"/>
  <c r="L659" i="8"/>
  <c r="K659" i="8"/>
  <c r="L658" i="8"/>
  <c r="K658" i="8"/>
  <c r="L657" i="8"/>
  <c r="K657" i="8"/>
  <c r="L656" i="8"/>
  <c r="K656" i="8"/>
  <c r="L655" i="8"/>
  <c r="K655" i="8"/>
  <c r="L654" i="8"/>
  <c r="K654" i="8"/>
  <c r="L653" i="8"/>
  <c r="K653" i="8"/>
  <c r="L652" i="8"/>
  <c r="K652" i="8"/>
  <c r="L651" i="8"/>
  <c r="K651" i="8"/>
  <c r="L650" i="8"/>
  <c r="K650" i="8"/>
  <c r="L649" i="8"/>
  <c r="K649" i="8"/>
  <c r="L648" i="8"/>
  <c r="K648" i="8"/>
  <c r="L647" i="8"/>
  <c r="K647" i="8"/>
  <c r="L646" i="8"/>
  <c r="K646" i="8"/>
  <c r="L645" i="8"/>
  <c r="K645" i="8"/>
  <c r="L644" i="8"/>
  <c r="K644" i="8"/>
  <c r="L643" i="8"/>
  <c r="K643" i="8"/>
  <c r="L642" i="8"/>
  <c r="K642" i="8"/>
  <c r="L641" i="8"/>
  <c r="K641" i="8"/>
  <c r="L640" i="8"/>
  <c r="K640" i="8"/>
  <c r="L639" i="8"/>
  <c r="K639" i="8"/>
  <c r="L638" i="8"/>
  <c r="K638" i="8"/>
  <c r="L637" i="8"/>
  <c r="K637" i="8"/>
  <c r="L636" i="8"/>
  <c r="K636" i="8"/>
  <c r="L635" i="8"/>
  <c r="K635" i="8"/>
  <c r="L634" i="8"/>
  <c r="K634" i="8"/>
  <c r="L633" i="8"/>
  <c r="K633" i="8"/>
  <c r="L632" i="8"/>
  <c r="K632" i="8"/>
  <c r="L631" i="8"/>
  <c r="K631" i="8"/>
  <c r="L630" i="8"/>
  <c r="K630" i="8"/>
  <c r="L629" i="8"/>
  <c r="K629" i="8"/>
  <c r="L628" i="8"/>
  <c r="K628" i="8"/>
  <c r="L627" i="8"/>
  <c r="K627" i="8"/>
  <c r="L626" i="8"/>
  <c r="K626" i="8"/>
  <c r="L625" i="8"/>
  <c r="K625" i="8"/>
  <c r="L624" i="8"/>
  <c r="K624" i="8"/>
  <c r="L623" i="8"/>
  <c r="K623" i="8"/>
  <c r="L622" i="8"/>
  <c r="K622" i="8"/>
  <c r="L621" i="8"/>
  <c r="K621" i="8"/>
  <c r="L620" i="8"/>
  <c r="K620" i="8"/>
  <c r="L619" i="8"/>
  <c r="K619" i="8"/>
  <c r="L618" i="8"/>
  <c r="K618" i="8"/>
  <c r="L617" i="8"/>
  <c r="K617" i="8"/>
  <c r="L616" i="8"/>
  <c r="K616" i="8"/>
  <c r="L615" i="8"/>
  <c r="K615" i="8"/>
  <c r="L614" i="8"/>
  <c r="K614" i="8"/>
  <c r="L613" i="8"/>
  <c r="K613" i="8"/>
  <c r="L612" i="8"/>
  <c r="K612" i="8"/>
  <c r="L611" i="8"/>
  <c r="K611" i="8"/>
  <c r="L610" i="8"/>
  <c r="K610" i="8"/>
  <c r="L609" i="8"/>
  <c r="K609" i="8"/>
  <c r="L608" i="8"/>
  <c r="K608" i="8"/>
  <c r="L607" i="8"/>
  <c r="K607" i="8"/>
  <c r="L606" i="8"/>
  <c r="K606" i="8"/>
  <c r="L605" i="8"/>
  <c r="K605" i="8"/>
  <c r="L604" i="8"/>
  <c r="K604" i="8"/>
  <c r="L603" i="8"/>
  <c r="K603" i="8"/>
  <c r="L602" i="8"/>
  <c r="K602" i="8"/>
  <c r="L601" i="8"/>
  <c r="K601" i="8"/>
  <c r="L600" i="8"/>
  <c r="K600" i="8"/>
  <c r="L599" i="8"/>
  <c r="K599" i="8"/>
  <c r="L598" i="8"/>
  <c r="K598" i="8"/>
  <c r="L597" i="8"/>
  <c r="K597" i="8"/>
  <c r="L596" i="8"/>
  <c r="K596" i="8"/>
  <c r="L595" i="8"/>
  <c r="K595" i="8"/>
  <c r="L594" i="8"/>
  <c r="K594" i="8"/>
  <c r="L593" i="8"/>
  <c r="K593" i="8"/>
  <c r="L592" i="8"/>
  <c r="K592" i="8"/>
  <c r="L591" i="8"/>
  <c r="K591" i="8"/>
  <c r="L590" i="8"/>
  <c r="K590" i="8"/>
  <c r="L589" i="8"/>
  <c r="K589" i="8"/>
  <c r="L588" i="8"/>
  <c r="K588" i="8"/>
  <c r="L587" i="8"/>
  <c r="K587" i="8"/>
  <c r="L586" i="8"/>
  <c r="K586" i="8"/>
  <c r="L585" i="8"/>
  <c r="K585" i="8"/>
  <c r="L584" i="8"/>
  <c r="K584" i="8"/>
  <c r="L583" i="8"/>
  <c r="K583" i="8"/>
  <c r="L582" i="8"/>
  <c r="K582" i="8"/>
  <c r="L581" i="8"/>
  <c r="K581" i="8"/>
  <c r="L580" i="8"/>
  <c r="K580" i="8"/>
  <c r="L579" i="8"/>
  <c r="K579" i="8"/>
  <c r="L578" i="8"/>
  <c r="K578" i="8"/>
  <c r="L577" i="8"/>
  <c r="K577" i="8"/>
  <c r="L576" i="8"/>
  <c r="K576" i="8"/>
  <c r="L575" i="8"/>
  <c r="K575" i="8"/>
  <c r="L574" i="8"/>
  <c r="K574" i="8"/>
  <c r="L573" i="8"/>
  <c r="K573" i="8"/>
  <c r="L572" i="8"/>
  <c r="K572" i="8"/>
  <c r="L571" i="8"/>
  <c r="K571" i="8"/>
  <c r="L570" i="8"/>
  <c r="K570" i="8"/>
  <c r="L569" i="8"/>
  <c r="K569" i="8"/>
  <c r="L568" i="8"/>
  <c r="K568" i="8"/>
  <c r="L567" i="8"/>
  <c r="K567" i="8"/>
  <c r="L566" i="8"/>
  <c r="K566" i="8"/>
  <c r="L565" i="8"/>
  <c r="K565" i="8"/>
  <c r="L564" i="8"/>
  <c r="K564" i="8"/>
  <c r="L563" i="8"/>
  <c r="K563" i="8"/>
  <c r="L562" i="8"/>
  <c r="K562" i="8"/>
  <c r="L561" i="8"/>
  <c r="K561" i="8"/>
  <c r="L560" i="8"/>
  <c r="K560" i="8"/>
  <c r="L559" i="8"/>
  <c r="K559" i="8"/>
  <c r="L558" i="8"/>
  <c r="K558" i="8"/>
  <c r="L557" i="8"/>
  <c r="K557" i="8"/>
  <c r="L556" i="8"/>
  <c r="K556" i="8"/>
  <c r="L555" i="8"/>
  <c r="K555" i="8"/>
  <c r="L554" i="8"/>
  <c r="K554" i="8"/>
  <c r="L553" i="8"/>
  <c r="K553" i="8"/>
  <c r="L552" i="8"/>
  <c r="K552" i="8"/>
  <c r="L551" i="8"/>
  <c r="K551" i="8"/>
  <c r="L550" i="8"/>
  <c r="K550" i="8"/>
  <c r="L549" i="8"/>
  <c r="K549" i="8"/>
  <c r="L548" i="8"/>
  <c r="K548" i="8"/>
  <c r="L547" i="8"/>
  <c r="K547" i="8"/>
  <c r="L546" i="8"/>
  <c r="K546" i="8"/>
  <c r="L545" i="8"/>
  <c r="K545" i="8"/>
  <c r="L544" i="8"/>
  <c r="K544" i="8"/>
  <c r="L543" i="8"/>
  <c r="K543" i="8"/>
  <c r="L542" i="8"/>
  <c r="K542" i="8"/>
  <c r="L541" i="8"/>
  <c r="K541" i="8"/>
  <c r="L540" i="8"/>
  <c r="K540" i="8"/>
  <c r="L539" i="8"/>
  <c r="K539" i="8"/>
  <c r="L538" i="8"/>
  <c r="K538" i="8"/>
  <c r="L537" i="8"/>
  <c r="K537" i="8"/>
  <c r="L536" i="8"/>
  <c r="K536" i="8"/>
  <c r="L535" i="8"/>
  <c r="K535" i="8"/>
  <c r="L534" i="8"/>
  <c r="K534" i="8"/>
  <c r="L533" i="8"/>
  <c r="K533" i="8"/>
  <c r="L532" i="8"/>
  <c r="K532" i="8"/>
  <c r="L531" i="8"/>
  <c r="K531" i="8"/>
  <c r="L530" i="8"/>
  <c r="K530" i="8"/>
  <c r="L529" i="8"/>
  <c r="K529" i="8"/>
  <c r="L528" i="8"/>
  <c r="K528" i="8"/>
  <c r="L527" i="8"/>
  <c r="K527" i="8"/>
  <c r="L526" i="8"/>
  <c r="K526" i="8"/>
  <c r="L525" i="8"/>
  <c r="K525" i="8"/>
  <c r="L524" i="8"/>
  <c r="K524" i="8"/>
  <c r="L523" i="8"/>
  <c r="K523" i="8"/>
  <c r="L522" i="8"/>
  <c r="K522" i="8"/>
  <c r="L521" i="8"/>
  <c r="K521" i="8"/>
  <c r="L520" i="8"/>
  <c r="K520" i="8"/>
  <c r="L519" i="8"/>
  <c r="K519" i="8"/>
  <c r="L518" i="8"/>
  <c r="K518" i="8"/>
  <c r="L517" i="8"/>
  <c r="K517" i="8"/>
  <c r="L516" i="8"/>
  <c r="K516" i="8"/>
  <c r="L515" i="8"/>
  <c r="K515" i="8"/>
  <c r="L514" i="8"/>
  <c r="K514" i="8"/>
  <c r="L513" i="8"/>
  <c r="K513" i="8"/>
  <c r="L512" i="8"/>
  <c r="K512" i="8"/>
  <c r="L511" i="8"/>
  <c r="K511" i="8"/>
  <c r="L510" i="8"/>
  <c r="K510" i="8"/>
  <c r="L509" i="8"/>
  <c r="K509" i="8"/>
  <c r="L508" i="8"/>
  <c r="K508" i="8"/>
  <c r="L507" i="8"/>
  <c r="K507" i="8"/>
  <c r="L506" i="8"/>
  <c r="K506" i="8"/>
  <c r="L505" i="8"/>
  <c r="K505" i="8"/>
  <c r="L504" i="8"/>
  <c r="K504" i="8"/>
  <c r="L503" i="8"/>
  <c r="K503" i="8"/>
  <c r="L502" i="8"/>
  <c r="K502" i="8"/>
  <c r="L501" i="8"/>
  <c r="K501" i="8"/>
  <c r="L500" i="8"/>
  <c r="K500" i="8"/>
  <c r="L499" i="8"/>
  <c r="K499" i="8"/>
  <c r="L498" i="8"/>
  <c r="K498" i="8"/>
  <c r="L497" i="8"/>
  <c r="K497" i="8"/>
  <c r="L496" i="8"/>
  <c r="K496" i="8"/>
  <c r="L495" i="8"/>
  <c r="K495" i="8"/>
  <c r="L494" i="8"/>
  <c r="K494" i="8"/>
  <c r="L493" i="8"/>
  <c r="K493" i="8"/>
  <c r="L492" i="8"/>
  <c r="K492" i="8"/>
  <c r="L491" i="8"/>
  <c r="K491" i="8"/>
  <c r="L490" i="8"/>
  <c r="K490" i="8"/>
  <c r="L489" i="8"/>
  <c r="K489" i="8"/>
  <c r="L488" i="8"/>
  <c r="K488" i="8"/>
  <c r="L487" i="8"/>
  <c r="K487" i="8"/>
  <c r="L486" i="8"/>
  <c r="K486" i="8"/>
  <c r="L485" i="8"/>
  <c r="K485" i="8"/>
  <c r="L484" i="8"/>
  <c r="K484" i="8"/>
  <c r="L483" i="8"/>
  <c r="K483" i="8"/>
  <c r="L482" i="8"/>
  <c r="K482" i="8"/>
  <c r="L481" i="8"/>
  <c r="K481" i="8"/>
  <c r="L480" i="8"/>
  <c r="K480" i="8"/>
  <c r="L479" i="8"/>
  <c r="K479" i="8"/>
  <c r="L478" i="8"/>
  <c r="K478" i="8"/>
  <c r="L477" i="8"/>
  <c r="K477" i="8"/>
  <c r="L476" i="8"/>
  <c r="K476" i="8"/>
  <c r="L475" i="8"/>
  <c r="K475" i="8"/>
  <c r="L474" i="8"/>
  <c r="K474" i="8"/>
  <c r="L473" i="8"/>
  <c r="K473" i="8"/>
  <c r="L472" i="8"/>
  <c r="K472" i="8"/>
  <c r="L471" i="8"/>
  <c r="K471" i="8"/>
  <c r="L470" i="8"/>
  <c r="K470" i="8"/>
  <c r="L469" i="8"/>
  <c r="K469" i="8"/>
  <c r="L468" i="8"/>
  <c r="K468" i="8"/>
  <c r="L467" i="8"/>
  <c r="K467" i="8"/>
  <c r="L466" i="8"/>
  <c r="K466" i="8"/>
  <c r="L465" i="8"/>
  <c r="K465" i="8"/>
  <c r="L464" i="8"/>
  <c r="K464" i="8"/>
  <c r="L463" i="8"/>
  <c r="K463" i="8"/>
  <c r="L462" i="8"/>
  <c r="K462" i="8"/>
  <c r="L461" i="8"/>
  <c r="K461" i="8"/>
  <c r="L460" i="8"/>
  <c r="K460" i="8"/>
  <c r="L459" i="8"/>
  <c r="K459" i="8"/>
  <c r="L458" i="8"/>
  <c r="K458" i="8"/>
  <c r="L457" i="8"/>
  <c r="K457" i="8"/>
  <c r="L456" i="8"/>
  <c r="K456" i="8"/>
  <c r="L455" i="8"/>
  <c r="K455" i="8"/>
  <c r="L454" i="8"/>
  <c r="K454" i="8"/>
  <c r="L453" i="8"/>
  <c r="K453" i="8"/>
  <c r="L452" i="8"/>
  <c r="K452" i="8"/>
  <c r="L451" i="8"/>
  <c r="K451" i="8"/>
  <c r="L450" i="8"/>
  <c r="K450" i="8"/>
  <c r="L449" i="8"/>
  <c r="K449" i="8"/>
  <c r="L448" i="8"/>
  <c r="K448" i="8"/>
  <c r="L447" i="8"/>
  <c r="K447" i="8"/>
  <c r="L446" i="8"/>
  <c r="K446" i="8"/>
  <c r="L445" i="8"/>
  <c r="K445" i="8"/>
  <c r="L444" i="8"/>
  <c r="K444" i="8"/>
  <c r="L443" i="8"/>
  <c r="K443" i="8"/>
  <c r="L442" i="8"/>
  <c r="K442" i="8"/>
  <c r="L441" i="8"/>
  <c r="K441" i="8"/>
  <c r="L440" i="8"/>
  <c r="K440" i="8"/>
  <c r="L439" i="8"/>
  <c r="K439" i="8"/>
  <c r="L438" i="8"/>
  <c r="K438" i="8"/>
  <c r="L437" i="8"/>
  <c r="K437" i="8"/>
  <c r="L436" i="8"/>
  <c r="K436" i="8"/>
  <c r="L435" i="8"/>
  <c r="K435" i="8"/>
  <c r="L434" i="8"/>
  <c r="K434" i="8"/>
  <c r="L433" i="8"/>
  <c r="K433" i="8"/>
  <c r="L432" i="8"/>
  <c r="K432" i="8"/>
  <c r="L431" i="8"/>
  <c r="K431" i="8"/>
  <c r="L430" i="8"/>
  <c r="K430" i="8"/>
  <c r="L429" i="8"/>
  <c r="K429" i="8"/>
  <c r="L428" i="8"/>
  <c r="K428" i="8"/>
  <c r="L427" i="8"/>
  <c r="K427" i="8"/>
  <c r="L426" i="8"/>
  <c r="K426" i="8"/>
  <c r="L425" i="8"/>
  <c r="K425" i="8"/>
  <c r="L424" i="8"/>
  <c r="K424" i="8"/>
  <c r="L423" i="8"/>
  <c r="K423" i="8"/>
  <c r="L422" i="8"/>
  <c r="K422" i="8"/>
  <c r="L421" i="8"/>
  <c r="K421" i="8"/>
  <c r="L420" i="8"/>
  <c r="K420" i="8"/>
  <c r="L419" i="8"/>
  <c r="K419" i="8"/>
  <c r="L418" i="8"/>
  <c r="K418" i="8"/>
  <c r="L417" i="8"/>
  <c r="K417" i="8"/>
  <c r="L416" i="8"/>
  <c r="K416" i="8"/>
  <c r="L415" i="8"/>
  <c r="K415" i="8"/>
  <c r="L414" i="8"/>
  <c r="K414" i="8"/>
  <c r="L413" i="8"/>
  <c r="K413" i="8"/>
  <c r="L412" i="8"/>
  <c r="K412" i="8"/>
  <c r="L411" i="8"/>
  <c r="K411" i="8"/>
  <c r="L410" i="8"/>
  <c r="K410" i="8"/>
  <c r="L409" i="8"/>
  <c r="K409" i="8"/>
  <c r="L408" i="8"/>
  <c r="K408" i="8"/>
  <c r="L407" i="8"/>
  <c r="K407" i="8"/>
  <c r="L406" i="8"/>
  <c r="K406" i="8"/>
  <c r="L405" i="8"/>
  <c r="K405" i="8"/>
  <c r="L404" i="8"/>
  <c r="K404" i="8"/>
  <c r="L403" i="8"/>
  <c r="K403" i="8"/>
  <c r="L402" i="8"/>
  <c r="K402" i="8"/>
  <c r="L401" i="8"/>
  <c r="K401" i="8"/>
  <c r="L400" i="8"/>
  <c r="K400" i="8"/>
  <c r="L399" i="8"/>
  <c r="K399" i="8"/>
  <c r="L398" i="8"/>
  <c r="K398" i="8"/>
  <c r="L397" i="8"/>
  <c r="K397" i="8"/>
  <c r="L396" i="8"/>
  <c r="K396" i="8"/>
  <c r="L395" i="8"/>
  <c r="K395" i="8"/>
  <c r="L394" i="8"/>
  <c r="K394" i="8"/>
  <c r="L393" i="8"/>
  <c r="K393" i="8"/>
  <c r="L392" i="8"/>
  <c r="K392" i="8"/>
  <c r="L391" i="8"/>
  <c r="K391" i="8"/>
  <c r="L390" i="8"/>
  <c r="K390" i="8"/>
  <c r="L389" i="8"/>
  <c r="K389" i="8"/>
  <c r="L388" i="8"/>
  <c r="K388" i="8"/>
  <c r="L387" i="8"/>
  <c r="K387" i="8"/>
  <c r="L386" i="8"/>
  <c r="K386" i="8"/>
  <c r="L385" i="8"/>
  <c r="K385" i="8"/>
  <c r="L384" i="8"/>
  <c r="K384" i="8"/>
  <c r="L383" i="8"/>
  <c r="K383" i="8"/>
  <c r="L382" i="8"/>
  <c r="K382" i="8"/>
  <c r="L381" i="8"/>
  <c r="K381" i="8"/>
  <c r="L380" i="8"/>
  <c r="K380" i="8"/>
  <c r="L379" i="8"/>
  <c r="K379" i="8"/>
  <c r="L378" i="8"/>
  <c r="K378" i="8"/>
  <c r="L377" i="8"/>
  <c r="K377" i="8"/>
  <c r="L376" i="8"/>
  <c r="K376" i="8"/>
  <c r="L375" i="8"/>
  <c r="K375" i="8"/>
  <c r="L374" i="8"/>
  <c r="K374" i="8"/>
  <c r="L373" i="8"/>
  <c r="K373" i="8"/>
  <c r="L372" i="8"/>
  <c r="K372" i="8"/>
  <c r="L371" i="8"/>
  <c r="K371" i="8"/>
  <c r="L370" i="8"/>
  <c r="K370" i="8"/>
  <c r="L369" i="8"/>
  <c r="K369" i="8"/>
  <c r="L368" i="8"/>
  <c r="K368" i="8"/>
  <c r="L367" i="8"/>
  <c r="K367" i="8"/>
  <c r="L366" i="8"/>
  <c r="K366" i="8"/>
  <c r="L365" i="8"/>
  <c r="K365" i="8"/>
  <c r="L364" i="8"/>
  <c r="K364" i="8"/>
  <c r="L363" i="8"/>
  <c r="K363" i="8"/>
  <c r="L362" i="8"/>
  <c r="K362" i="8"/>
  <c r="L361" i="8"/>
  <c r="K361" i="8"/>
  <c r="L360" i="8"/>
  <c r="K360" i="8"/>
  <c r="L359" i="8"/>
  <c r="K359" i="8"/>
  <c r="L358" i="8"/>
  <c r="K358" i="8"/>
  <c r="L357" i="8"/>
  <c r="K357" i="8"/>
  <c r="L356" i="8"/>
  <c r="K356" i="8"/>
  <c r="L355" i="8"/>
  <c r="K355" i="8"/>
  <c r="L354" i="8"/>
  <c r="K354" i="8"/>
  <c r="L353" i="8"/>
  <c r="K353" i="8"/>
  <c r="L352" i="8"/>
  <c r="K352" i="8"/>
  <c r="L351" i="8"/>
  <c r="K351" i="8"/>
  <c r="L350" i="8"/>
  <c r="K350" i="8"/>
  <c r="L349" i="8"/>
  <c r="K349" i="8"/>
  <c r="L348" i="8"/>
  <c r="K348" i="8"/>
  <c r="L347" i="8"/>
  <c r="K347" i="8"/>
  <c r="L346" i="8"/>
  <c r="K346" i="8"/>
  <c r="L345" i="8"/>
  <c r="K345" i="8"/>
  <c r="L344" i="8"/>
  <c r="K344" i="8"/>
  <c r="L343" i="8"/>
  <c r="K343" i="8"/>
  <c r="L342" i="8"/>
  <c r="K342" i="8"/>
  <c r="L341" i="8"/>
  <c r="K341" i="8"/>
  <c r="L340" i="8"/>
  <c r="K340" i="8"/>
  <c r="L339" i="8"/>
  <c r="K339" i="8"/>
  <c r="L338" i="8"/>
  <c r="K338" i="8"/>
  <c r="L337" i="8"/>
  <c r="K337" i="8"/>
  <c r="L336" i="8"/>
  <c r="K336" i="8"/>
  <c r="L335" i="8"/>
  <c r="K335" i="8"/>
  <c r="L334" i="8"/>
  <c r="K334" i="8"/>
  <c r="L333" i="8"/>
  <c r="K333" i="8"/>
  <c r="L332" i="8"/>
  <c r="K332" i="8"/>
  <c r="L331" i="8"/>
  <c r="K331" i="8"/>
  <c r="L330" i="8"/>
  <c r="K330" i="8"/>
  <c r="L329" i="8"/>
  <c r="K329" i="8"/>
  <c r="L328" i="8"/>
  <c r="K328" i="8"/>
  <c r="L327" i="8"/>
  <c r="K327" i="8"/>
  <c r="L326" i="8"/>
  <c r="K326" i="8"/>
  <c r="L325" i="8"/>
  <c r="K325" i="8"/>
  <c r="L324" i="8"/>
  <c r="K324" i="8"/>
  <c r="L323" i="8"/>
  <c r="K323" i="8"/>
  <c r="L322" i="8"/>
  <c r="K322" i="8"/>
  <c r="L321" i="8"/>
  <c r="K321" i="8"/>
  <c r="L320" i="8"/>
  <c r="K320" i="8"/>
  <c r="L319" i="8"/>
  <c r="K319" i="8"/>
  <c r="L318" i="8"/>
  <c r="K318" i="8"/>
  <c r="L317" i="8"/>
  <c r="K317" i="8"/>
  <c r="L316" i="8"/>
  <c r="K316" i="8"/>
  <c r="L315" i="8"/>
  <c r="K315" i="8"/>
  <c r="L314" i="8"/>
  <c r="K314" i="8"/>
  <c r="L313" i="8"/>
  <c r="K313" i="8"/>
  <c r="L312" i="8"/>
  <c r="K312" i="8"/>
  <c r="L311" i="8"/>
  <c r="K311" i="8"/>
  <c r="L310" i="8"/>
  <c r="K310" i="8"/>
  <c r="L309" i="8"/>
  <c r="K309" i="8"/>
  <c r="L308" i="8"/>
  <c r="K308" i="8"/>
  <c r="L307" i="8"/>
  <c r="K307" i="8"/>
  <c r="L306" i="8"/>
  <c r="K306" i="8"/>
  <c r="L305" i="8"/>
  <c r="K305" i="8"/>
  <c r="L304" i="8"/>
  <c r="K304" i="8"/>
  <c r="L303" i="8"/>
  <c r="K303" i="8"/>
  <c r="L302" i="8"/>
  <c r="K302" i="8"/>
  <c r="L301" i="8"/>
  <c r="K301" i="8"/>
  <c r="L300" i="8"/>
  <c r="K300" i="8"/>
  <c r="L299" i="8"/>
  <c r="K299" i="8"/>
  <c r="L298" i="8"/>
  <c r="K298" i="8"/>
  <c r="L297" i="8"/>
  <c r="K297" i="8"/>
  <c r="L296" i="8"/>
  <c r="K296" i="8"/>
  <c r="L295" i="8"/>
  <c r="K295" i="8"/>
  <c r="L294" i="8"/>
  <c r="K294" i="8"/>
  <c r="L293" i="8"/>
  <c r="K293" i="8"/>
  <c r="L292" i="8"/>
  <c r="K292" i="8"/>
  <c r="L291" i="8"/>
  <c r="K291" i="8"/>
  <c r="L290" i="8"/>
  <c r="K290" i="8"/>
  <c r="L289" i="8"/>
  <c r="K289" i="8"/>
  <c r="L288" i="8"/>
  <c r="K288" i="8"/>
  <c r="L287" i="8"/>
  <c r="K287" i="8"/>
  <c r="L286" i="8"/>
  <c r="K286" i="8"/>
  <c r="L285" i="8"/>
  <c r="K285" i="8"/>
  <c r="L284" i="8"/>
  <c r="K284" i="8"/>
  <c r="L283" i="8"/>
  <c r="K283" i="8"/>
  <c r="L282" i="8"/>
  <c r="K282" i="8"/>
  <c r="L281" i="8"/>
  <c r="K281" i="8"/>
  <c r="L280" i="8"/>
  <c r="K280" i="8"/>
  <c r="L279" i="8"/>
  <c r="K279" i="8"/>
  <c r="L278" i="8"/>
  <c r="K278" i="8"/>
  <c r="L277" i="8"/>
  <c r="K277" i="8"/>
  <c r="L276" i="8"/>
  <c r="K276" i="8"/>
  <c r="L275" i="8"/>
  <c r="K275" i="8"/>
  <c r="L274" i="8"/>
  <c r="K274" i="8"/>
  <c r="L273" i="8"/>
  <c r="K273" i="8"/>
  <c r="L272" i="8"/>
  <c r="K272" i="8"/>
  <c r="L271" i="8"/>
  <c r="K271" i="8"/>
  <c r="L270" i="8"/>
  <c r="K270" i="8"/>
  <c r="L269" i="8"/>
  <c r="K269" i="8"/>
  <c r="L268" i="8"/>
  <c r="K268" i="8"/>
  <c r="L267" i="8"/>
  <c r="K267" i="8"/>
  <c r="L266" i="8"/>
  <c r="K266" i="8"/>
  <c r="L265" i="8"/>
  <c r="K265" i="8"/>
  <c r="L264" i="8"/>
  <c r="K264" i="8"/>
  <c r="L263" i="8"/>
  <c r="K263" i="8"/>
  <c r="L262" i="8"/>
  <c r="K262" i="8"/>
  <c r="L261" i="8"/>
  <c r="K261" i="8"/>
  <c r="L260" i="8"/>
  <c r="K260" i="8"/>
  <c r="L259" i="8"/>
  <c r="K259" i="8"/>
  <c r="L258" i="8"/>
  <c r="K258" i="8"/>
  <c r="L257" i="8"/>
  <c r="K257" i="8"/>
  <c r="L256" i="8"/>
  <c r="K256" i="8"/>
  <c r="L255" i="8"/>
  <c r="K255" i="8"/>
  <c r="L254" i="8"/>
  <c r="K254" i="8"/>
  <c r="L253" i="8"/>
  <c r="K253" i="8"/>
  <c r="L252" i="8"/>
  <c r="K252" i="8"/>
  <c r="L251" i="8"/>
  <c r="K251" i="8"/>
  <c r="L250" i="8"/>
  <c r="K250" i="8"/>
  <c r="L249" i="8"/>
  <c r="K249" i="8"/>
  <c r="L248" i="8"/>
  <c r="K248" i="8"/>
  <c r="L247" i="8"/>
  <c r="K247" i="8"/>
  <c r="L246" i="8"/>
  <c r="K246" i="8"/>
  <c r="L245" i="8"/>
  <c r="K245" i="8"/>
  <c r="L244" i="8"/>
  <c r="K244" i="8"/>
  <c r="L243" i="8"/>
  <c r="K243" i="8"/>
  <c r="L242" i="8"/>
  <c r="K242" i="8"/>
  <c r="L241" i="8"/>
  <c r="K241" i="8"/>
  <c r="L240" i="8"/>
  <c r="K240" i="8"/>
  <c r="L239" i="8"/>
  <c r="K239" i="8"/>
  <c r="L238" i="8"/>
  <c r="K238" i="8"/>
  <c r="L237" i="8"/>
  <c r="K237" i="8"/>
  <c r="L236" i="8"/>
  <c r="K236" i="8"/>
  <c r="L235" i="8"/>
  <c r="K235" i="8"/>
  <c r="L234" i="8"/>
  <c r="K234" i="8"/>
  <c r="L233" i="8"/>
  <c r="K233" i="8"/>
  <c r="L232" i="8"/>
  <c r="K232" i="8"/>
  <c r="L231" i="8"/>
  <c r="K231" i="8"/>
  <c r="L230" i="8"/>
  <c r="K230" i="8"/>
  <c r="L229" i="8"/>
  <c r="K229" i="8"/>
  <c r="L228" i="8"/>
  <c r="K228" i="8"/>
  <c r="L227" i="8"/>
  <c r="K227" i="8"/>
  <c r="L226" i="8"/>
  <c r="K226" i="8"/>
  <c r="L225" i="8"/>
  <c r="K225" i="8"/>
  <c r="L224" i="8"/>
  <c r="K224" i="8"/>
  <c r="L223" i="8"/>
  <c r="K223" i="8"/>
  <c r="L222" i="8"/>
  <c r="K222" i="8"/>
  <c r="L221" i="8"/>
  <c r="K221" i="8"/>
  <c r="L220" i="8"/>
  <c r="K220" i="8"/>
  <c r="L219" i="8"/>
  <c r="K219" i="8"/>
  <c r="L218" i="8"/>
  <c r="K218" i="8"/>
  <c r="L217" i="8"/>
  <c r="K217" i="8"/>
  <c r="L216" i="8"/>
  <c r="K216" i="8"/>
  <c r="L215" i="8"/>
  <c r="K215" i="8"/>
  <c r="L214" i="8"/>
  <c r="K214" i="8"/>
  <c r="L213" i="8"/>
  <c r="K213" i="8"/>
  <c r="L212" i="8"/>
  <c r="K212" i="8"/>
  <c r="L211" i="8"/>
  <c r="K211" i="8"/>
  <c r="L210" i="8"/>
  <c r="K210" i="8"/>
  <c r="L209" i="8"/>
  <c r="K209" i="8"/>
  <c r="L208" i="8"/>
  <c r="K208" i="8"/>
  <c r="L207" i="8"/>
  <c r="K207" i="8"/>
  <c r="L206" i="8"/>
  <c r="K206" i="8"/>
  <c r="L205" i="8"/>
  <c r="K205" i="8"/>
  <c r="L204" i="8"/>
  <c r="K204" i="8"/>
  <c r="L203" i="8"/>
  <c r="K203" i="8"/>
  <c r="L202" i="8"/>
  <c r="K202" i="8"/>
  <c r="L201" i="8"/>
  <c r="K201" i="8"/>
  <c r="L200" i="8"/>
  <c r="K200" i="8"/>
  <c r="L199" i="8"/>
  <c r="K199" i="8"/>
  <c r="L198" i="8"/>
  <c r="K198" i="8"/>
  <c r="L197" i="8"/>
  <c r="K197" i="8"/>
  <c r="L196" i="8"/>
  <c r="K196" i="8"/>
  <c r="L195" i="8"/>
  <c r="K195" i="8"/>
  <c r="L194" i="8"/>
  <c r="K194" i="8"/>
  <c r="L193" i="8"/>
  <c r="K193" i="8"/>
  <c r="L192" i="8"/>
  <c r="K192" i="8"/>
  <c r="L191" i="8"/>
  <c r="K191" i="8"/>
  <c r="L190" i="8"/>
  <c r="K190" i="8"/>
  <c r="L189" i="8"/>
  <c r="K189" i="8"/>
  <c r="L188" i="8"/>
  <c r="K188" i="8"/>
  <c r="L187" i="8"/>
  <c r="K187" i="8"/>
  <c r="L186" i="8"/>
  <c r="K186" i="8"/>
  <c r="L185" i="8"/>
  <c r="K185" i="8"/>
  <c r="L184" i="8"/>
  <c r="K184" i="8"/>
  <c r="L183" i="8"/>
  <c r="K183" i="8"/>
  <c r="L182" i="8"/>
  <c r="K182" i="8"/>
  <c r="L181" i="8"/>
  <c r="K181" i="8"/>
  <c r="L180" i="8"/>
  <c r="K180" i="8"/>
  <c r="L179" i="8"/>
  <c r="K179" i="8"/>
  <c r="L178" i="8"/>
  <c r="K178" i="8"/>
  <c r="L177" i="8"/>
  <c r="K177" i="8"/>
  <c r="L176" i="8"/>
  <c r="K176" i="8"/>
  <c r="L175" i="8"/>
  <c r="K175" i="8"/>
  <c r="L174" i="8"/>
  <c r="K174" i="8"/>
  <c r="L173" i="8"/>
  <c r="K173" i="8"/>
  <c r="L172" i="8"/>
  <c r="K172" i="8"/>
  <c r="L171" i="8"/>
  <c r="K171" i="8"/>
  <c r="L170" i="8"/>
  <c r="K170" i="8"/>
  <c r="L169" i="8"/>
  <c r="K169" i="8"/>
  <c r="L168" i="8"/>
  <c r="K168" i="8"/>
  <c r="L167" i="8"/>
  <c r="K167" i="8"/>
  <c r="L166" i="8"/>
  <c r="K166" i="8"/>
  <c r="L165" i="8"/>
  <c r="K165" i="8"/>
  <c r="L164" i="8"/>
  <c r="K164" i="8"/>
  <c r="L163" i="8"/>
  <c r="K163" i="8"/>
  <c r="L162" i="8"/>
  <c r="K162" i="8"/>
  <c r="L161" i="8"/>
  <c r="K161" i="8"/>
  <c r="L160" i="8"/>
  <c r="K160" i="8"/>
  <c r="L159" i="8"/>
  <c r="K159" i="8"/>
  <c r="L158" i="8"/>
  <c r="K158" i="8"/>
  <c r="L157" i="8"/>
  <c r="K157" i="8"/>
  <c r="L156" i="8"/>
  <c r="K156" i="8"/>
  <c r="L155" i="8"/>
  <c r="K155" i="8"/>
  <c r="L154" i="8"/>
  <c r="K154" i="8"/>
  <c r="L153" i="8"/>
  <c r="K153" i="8"/>
  <c r="L152" i="8"/>
  <c r="K152" i="8"/>
  <c r="L151" i="8"/>
  <c r="K151" i="8"/>
  <c r="L150" i="8"/>
  <c r="K150" i="8"/>
  <c r="L149" i="8"/>
  <c r="K149" i="8"/>
  <c r="L148" i="8"/>
  <c r="K148" i="8"/>
  <c r="L147" i="8"/>
  <c r="K147" i="8"/>
  <c r="L146" i="8"/>
  <c r="K146" i="8"/>
  <c r="L145" i="8"/>
  <c r="K145" i="8"/>
  <c r="L144" i="8"/>
  <c r="K144" i="8"/>
  <c r="L143" i="8"/>
  <c r="K143" i="8"/>
  <c r="L142" i="8"/>
  <c r="K142" i="8"/>
  <c r="L141" i="8"/>
  <c r="K141" i="8"/>
  <c r="L140" i="8"/>
  <c r="K140" i="8"/>
  <c r="L139" i="8"/>
  <c r="K139" i="8"/>
  <c r="L138" i="8"/>
  <c r="K138" i="8"/>
  <c r="L137" i="8"/>
  <c r="K137" i="8"/>
  <c r="L136" i="8"/>
  <c r="K136" i="8"/>
  <c r="L135" i="8"/>
  <c r="K135" i="8"/>
  <c r="L134" i="8"/>
  <c r="K134" i="8"/>
  <c r="L133" i="8"/>
  <c r="K133" i="8"/>
  <c r="L132" i="8"/>
  <c r="K132" i="8"/>
  <c r="L131" i="8"/>
  <c r="K131" i="8"/>
  <c r="L130" i="8"/>
  <c r="K130" i="8"/>
  <c r="L129" i="8"/>
  <c r="K129" i="8"/>
  <c r="L128" i="8"/>
  <c r="K128" i="8"/>
  <c r="L127" i="8"/>
  <c r="K127" i="8"/>
  <c r="L126" i="8"/>
  <c r="K126" i="8"/>
  <c r="L125" i="8"/>
  <c r="K125" i="8"/>
  <c r="L124" i="8"/>
  <c r="K124" i="8"/>
  <c r="L123" i="8"/>
  <c r="K123" i="8"/>
  <c r="L122" i="8"/>
  <c r="K122" i="8"/>
  <c r="L121" i="8"/>
  <c r="K121" i="8"/>
  <c r="L120" i="8"/>
  <c r="K120" i="8"/>
  <c r="L119" i="8"/>
  <c r="K119" i="8"/>
  <c r="L118" i="8"/>
  <c r="K118" i="8"/>
  <c r="L117" i="8"/>
  <c r="K117" i="8"/>
  <c r="L116" i="8"/>
  <c r="K116" i="8"/>
  <c r="L115" i="8"/>
  <c r="K115" i="8"/>
  <c r="L114" i="8"/>
  <c r="K114" i="8"/>
  <c r="L113" i="8"/>
  <c r="K113" i="8"/>
  <c r="L112" i="8"/>
  <c r="K112" i="8"/>
  <c r="L111" i="8"/>
  <c r="K111" i="8"/>
  <c r="L110" i="8"/>
  <c r="K110" i="8"/>
  <c r="L109" i="8"/>
  <c r="K109" i="8"/>
  <c r="L108" i="8"/>
  <c r="K108" i="8"/>
  <c r="L107" i="8"/>
  <c r="K107" i="8"/>
  <c r="L106" i="8"/>
  <c r="K106" i="8"/>
  <c r="L105" i="8"/>
  <c r="K105" i="8"/>
  <c r="L104" i="8"/>
  <c r="K104" i="8"/>
  <c r="L103" i="8"/>
  <c r="K103" i="8"/>
  <c r="L102" i="8"/>
  <c r="K102" i="8"/>
  <c r="L101" i="8"/>
  <c r="K101" i="8"/>
  <c r="L100" i="8"/>
  <c r="K100" i="8"/>
  <c r="L99" i="8"/>
  <c r="K99" i="8"/>
  <c r="L98" i="8"/>
  <c r="K98" i="8"/>
  <c r="L97" i="8"/>
  <c r="K97" i="8"/>
  <c r="L96" i="8"/>
  <c r="K96" i="8"/>
  <c r="L95" i="8"/>
  <c r="K95" i="8"/>
  <c r="L94" i="8"/>
  <c r="K94" i="8"/>
  <c r="L93" i="8"/>
  <c r="K93" i="8"/>
  <c r="L92" i="8"/>
  <c r="K92" i="8"/>
  <c r="L91" i="8"/>
  <c r="K91" i="8"/>
  <c r="L90" i="8"/>
  <c r="K90" i="8"/>
  <c r="L89" i="8"/>
  <c r="K89" i="8"/>
  <c r="L88" i="8"/>
  <c r="K88" i="8"/>
  <c r="L87" i="8"/>
  <c r="K87" i="8"/>
  <c r="L86" i="8"/>
  <c r="K86" i="8"/>
  <c r="L85" i="8"/>
  <c r="K85" i="8"/>
  <c r="L84" i="8"/>
  <c r="K84" i="8"/>
  <c r="L83" i="8"/>
  <c r="K83" i="8"/>
  <c r="L82" i="8"/>
  <c r="K82" i="8"/>
  <c r="L81" i="8"/>
  <c r="K81" i="8"/>
  <c r="L80" i="8"/>
  <c r="K80" i="8"/>
  <c r="L79" i="8"/>
  <c r="K79" i="8"/>
  <c r="L78" i="8"/>
  <c r="K78" i="8"/>
  <c r="L77" i="8"/>
  <c r="K77" i="8"/>
  <c r="L76" i="8"/>
  <c r="K76" i="8"/>
  <c r="L75" i="8"/>
  <c r="K75" i="8"/>
  <c r="L74" i="8"/>
  <c r="K74" i="8"/>
  <c r="L73" i="8"/>
  <c r="K73" i="8"/>
  <c r="L72" i="8"/>
  <c r="K72" i="8"/>
  <c r="L71" i="8"/>
  <c r="K71" i="8"/>
  <c r="L70" i="8"/>
  <c r="K70" i="8"/>
  <c r="L69" i="8"/>
  <c r="K69" i="8"/>
  <c r="L68" i="8"/>
  <c r="K68" i="8"/>
  <c r="L67" i="8"/>
  <c r="K67" i="8"/>
  <c r="L66" i="8"/>
  <c r="K66" i="8"/>
  <c r="L65" i="8"/>
  <c r="K65" i="8"/>
  <c r="L64" i="8"/>
  <c r="K64" i="8"/>
  <c r="L63" i="8"/>
  <c r="K63" i="8"/>
  <c r="L62" i="8"/>
  <c r="K62" i="8"/>
  <c r="L61" i="8"/>
  <c r="K61" i="8"/>
  <c r="L60" i="8"/>
  <c r="K60" i="8"/>
  <c r="L59" i="8"/>
  <c r="K59" i="8"/>
  <c r="L58" i="8"/>
  <c r="K58" i="8"/>
  <c r="L57" i="8"/>
  <c r="K57" i="8"/>
  <c r="L56" i="8"/>
  <c r="K56" i="8"/>
  <c r="L55" i="8"/>
  <c r="K55" i="8"/>
  <c r="L54" i="8"/>
  <c r="K54" i="8"/>
  <c r="L53" i="8"/>
  <c r="K53" i="8"/>
  <c r="L52" i="8"/>
  <c r="K52" i="8"/>
  <c r="L51" i="8"/>
  <c r="K51" i="8"/>
  <c r="L50" i="8"/>
  <c r="K50" i="8"/>
  <c r="L49" i="8"/>
  <c r="K49" i="8"/>
  <c r="L48" i="8"/>
  <c r="K48" i="8"/>
  <c r="E39" i="8"/>
  <c r="C39" i="8"/>
  <c r="E38" i="8"/>
  <c r="D38" i="8"/>
  <c r="C38" i="8"/>
  <c r="F37" i="8"/>
  <c r="E37" i="8"/>
  <c r="D37" i="8"/>
  <c r="C37" i="8"/>
  <c r="G37" i="8" s="1"/>
  <c r="H37" i="8" s="1"/>
  <c r="F36" i="8"/>
  <c r="E36" i="8"/>
  <c r="D36" i="8"/>
  <c r="C36" i="8"/>
  <c r="G36" i="8" s="1"/>
  <c r="H36" i="8" s="1"/>
  <c r="F35" i="8"/>
  <c r="E35" i="8"/>
  <c r="D35" i="8"/>
  <c r="C35" i="8"/>
  <c r="G35" i="8" s="1"/>
  <c r="H35" i="8" s="1"/>
  <c r="F34" i="8"/>
  <c r="E34" i="8"/>
  <c r="D34" i="8"/>
  <c r="C34" i="8"/>
  <c r="G34" i="8" s="1"/>
  <c r="H34" i="8" s="1"/>
  <c r="F33" i="8"/>
  <c r="E33" i="8"/>
  <c r="D33" i="8"/>
  <c r="C33" i="8"/>
  <c r="G33" i="8" s="1"/>
  <c r="H33" i="8" s="1"/>
  <c r="F32" i="8"/>
  <c r="E32" i="8"/>
  <c r="D32" i="8"/>
  <c r="C32" i="8"/>
  <c r="G32" i="8" s="1"/>
  <c r="H32" i="8" s="1"/>
  <c r="F30" i="8"/>
  <c r="E30" i="8"/>
  <c r="D30" i="8"/>
  <c r="C30" i="8"/>
  <c r="F23" i="8"/>
  <c r="E23" i="8"/>
  <c r="D23" i="8"/>
  <c r="C23" i="8"/>
  <c r="G23" i="8" s="1"/>
  <c r="H23" i="8" s="1"/>
  <c r="K13" i="8"/>
  <c r="J13" i="8"/>
  <c r="K12" i="8"/>
  <c r="J12" i="8"/>
  <c r="K11" i="8"/>
  <c r="J11" i="8"/>
  <c r="K10" i="8"/>
  <c r="J10" i="8"/>
  <c r="K9" i="8"/>
  <c r="I52" i="7"/>
  <c r="H52" i="7"/>
  <c r="I51" i="7"/>
  <c r="H51" i="7"/>
  <c r="I50" i="7"/>
  <c r="H50" i="7"/>
  <c r="X49" i="7"/>
  <c r="W49" i="7"/>
  <c r="I49" i="7"/>
  <c r="H49" i="7"/>
  <c r="I48" i="7"/>
  <c r="Q44" i="7"/>
  <c r="Q45" i="7" s="1"/>
  <c r="C51" i="7" s="1"/>
  <c r="P44" i="7"/>
  <c r="P45" i="7" s="1"/>
  <c r="E51" i="7" s="1"/>
  <c r="O44" i="7"/>
  <c r="O45" i="7" s="1"/>
  <c r="D51" i="7" s="1"/>
  <c r="M44" i="7"/>
  <c r="M45" i="7" s="1"/>
  <c r="C50" i="7" s="1"/>
  <c r="L44" i="7"/>
  <c r="L45" i="7" s="1"/>
  <c r="E50" i="7" s="1"/>
  <c r="E57" i="7" s="1"/>
  <c r="K44" i="7"/>
  <c r="K45" i="7" s="1"/>
  <c r="D50" i="7" s="1"/>
  <c r="D57" i="7" s="1"/>
  <c r="I44" i="7"/>
  <c r="I45" i="7" s="1"/>
  <c r="C49" i="7" s="1"/>
  <c r="H44" i="7"/>
  <c r="H45" i="7" s="1"/>
  <c r="E49" i="7" s="1"/>
  <c r="E56" i="7" s="1"/>
  <c r="E59" i="1" s="1"/>
  <c r="D59" i="1" s="1"/>
  <c r="G44" i="7"/>
  <c r="G45" i="7" s="1"/>
  <c r="D49" i="7" s="1"/>
  <c r="D56" i="7" s="1"/>
  <c r="E58" i="1" s="1"/>
  <c r="D58" i="1" s="1"/>
  <c r="E44" i="7"/>
  <c r="E45" i="7" s="1"/>
  <c r="C48" i="7" s="1"/>
  <c r="D44" i="7"/>
  <c r="D45" i="7" s="1"/>
  <c r="E48" i="7" s="1"/>
  <c r="E55" i="7" s="1"/>
  <c r="E51" i="1" s="1"/>
  <c r="D51" i="1" s="1"/>
  <c r="C44" i="7"/>
  <c r="C45" i="7" s="1"/>
  <c r="D48" i="7" s="1"/>
  <c r="D55" i="7" s="1"/>
  <c r="E50" i="1" s="1"/>
  <c r="D50" i="1" s="1"/>
  <c r="C124" i="6"/>
  <c r="D94" i="6"/>
  <c r="C94" i="6"/>
  <c r="D93" i="6"/>
  <c r="D92" i="6"/>
  <c r="D91" i="6"/>
  <c r="C91" i="6"/>
  <c r="D90" i="6"/>
  <c r="D89" i="6"/>
  <c r="C89" i="6"/>
  <c r="D88" i="6"/>
  <c r="D87" i="6"/>
  <c r="C87" i="6"/>
  <c r="D86" i="6"/>
  <c r="C86" i="6"/>
  <c r="D85" i="6"/>
  <c r="C85" i="6"/>
  <c r="D84" i="6"/>
  <c r="C84" i="6"/>
  <c r="D83" i="6"/>
  <c r="D82" i="6"/>
  <c r="D81" i="6"/>
  <c r="D80" i="6"/>
  <c r="D79" i="6"/>
  <c r="C79" i="6"/>
  <c r="D78" i="6"/>
  <c r="C78" i="6"/>
  <c r="D77" i="6"/>
  <c r="D76" i="6"/>
  <c r="C76" i="6"/>
  <c r="D75" i="6"/>
  <c r="C75" i="6"/>
  <c r="D74" i="6"/>
  <c r="D73" i="6"/>
  <c r="D72" i="6"/>
  <c r="C72" i="6"/>
  <c r="D63" i="6"/>
  <c r="C63" i="6"/>
  <c r="D62" i="6"/>
  <c r="D61" i="6"/>
  <c r="D60" i="6"/>
  <c r="C60" i="6"/>
  <c r="D59" i="6"/>
  <c r="D58" i="6"/>
  <c r="C58" i="6"/>
  <c r="D57" i="6"/>
  <c r="D56" i="6"/>
  <c r="C56" i="6"/>
  <c r="D55" i="6"/>
  <c r="C55" i="6"/>
  <c r="D54" i="6"/>
  <c r="C54" i="6"/>
  <c r="D53" i="6"/>
  <c r="C53" i="6"/>
  <c r="D52" i="6"/>
  <c r="D51" i="6"/>
  <c r="D50" i="6"/>
  <c r="D49" i="6"/>
  <c r="D48" i="6"/>
  <c r="C48" i="6"/>
  <c r="D47" i="6"/>
  <c r="C47" i="6"/>
  <c r="D46" i="6"/>
  <c r="D45" i="6"/>
  <c r="C45" i="6"/>
  <c r="D44" i="6"/>
  <c r="C44" i="6"/>
  <c r="L43" i="6"/>
  <c r="K43" i="6"/>
  <c r="D43" i="6"/>
  <c r="L42" i="6"/>
  <c r="H42" i="6" s="1"/>
  <c r="K42" i="6"/>
  <c r="D42" i="6"/>
  <c r="L41" i="6"/>
  <c r="K41" i="6"/>
  <c r="D41" i="6"/>
  <c r="C41" i="6"/>
  <c r="L40" i="6"/>
  <c r="K40" i="6"/>
  <c r="L39" i="6"/>
  <c r="C31" i="6"/>
  <c r="C30" i="6"/>
  <c r="E29" i="6"/>
  <c r="G29" i="6" s="1"/>
  <c r="J29" i="6" s="1"/>
  <c r="K29" i="6" s="1"/>
  <c r="C121" i="6" s="1"/>
  <c r="C28" i="6"/>
  <c r="E27" i="6"/>
  <c r="G27" i="6" s="1"/>
  <c r="J27" i="6" s="1"/>
  <c r="K27" i="6" s="1"/>
  <c r="C119" i="6" s="1"/>
  <c r="C26" i="6"/>
  <c r="E25" i="6"/>
  <c r="G25" i="6" s="1"/>
  <c r="J25" i="6" s="1"/>
  <c r="K25" i="6" s="1"/>
  <c r="C117" i="6" s="1"/>
  <c r="E24" i="6"/>
  <c r="G24" i="6" s="1"/>
  <c r="J24" i="6" s="1"/>
  <c r="K24" i="6" s="1"/>
  <c r="C116" i="6" s="1"/>
  <c r="E23" i="6"/>
  <c r="G23" i="6" s="1"/>
  <c r="J23" i="6" s="1"/>
  <c r="K23" i="6" s="1"/>
  <c r="C115" i="6" s="1"/>
  <c r="E22" i="6"/>
  <c r="G22" i="6" s="1"/>
  <c r="J22" i="6" s="1"/>
  <c r="K22" i="6" s="1"/>
  <c r="C114" i="6" s="1"/>
  <c r="C21" i="6"/>
  <c r="C20" i="6"/>
  <c r="C19" i="6"/>
  <c r="C18" i="6"/>
  <c r="E17" i="6"/>
  <c r="G17" i="6" s="1"/>
  <c r="J17" i="6" s="1"/>
  <c r="K17" i="6" s="1"/>
  <c r="C109" i="6" s="1"/>
  <c r="E16" i="6"/>
  <c r="G16" i="6" s="1"/>
  <c r="J16" i="6" s="1"/>
  <c r="K16" i="6" s="1"/>
  <c r="C108" i="6" s="1"/>
  <c r="C15" i="6"/>
  <c r="E14" i="6"/>
  <c r="G14" i="6" s="1"/>
  <c r="J14" i="6" s="1"/>
  <c r="K14" i="6" s="1"/>
  <c r="C106" i="6" s="1"/>
  <c r="E13" i="6"/>
  <c r="G13" i="6" s="1"/>
  <c r="J13" i="6" s="1"/>
  <c r="K13" i="6" s="1"/>
  <c r="C12" i="6"/>
  <c r="C11" i="6"/>
  <c r="E10" i="6"/>
  <c r="G10" i="6" s="1"/>
  <c r="J10" i="6" s="1"/>
  <c r="K10" i="6" s="1"/>
  <c r="C61" i="5"/>
  <c r="C39" i="5"/>
  <c r="E39" i="5" s="1"/>
  <c r="C24" i="5"/>
  <c r="E24" i="5" s="1"/>
  <c r="C16" i="5"/>
  <c r="C15" i="5"/>
  <c r="C14" i="5"/>
  <c r="C13" i="5"/>
  <c r="K12" i="5"/>
  <c r="J12" i="5"/>
  <c r="C12" i="5"/>
  <c r="K11" i="5"/>
  <c r="J11" i="5"/>
  <c r="C11" i="5"/>
  <c r="K10" i="5"/>
  <c r="J10" i="5"/>
  <c r="C10" i="5"/>
  <c r="K9" i="5"/>
  <c r="J9" i="5"/>
  <c r="F9" i="5"/>
  <c r="G9" i="5" s="1"/>
  <c r="K8" i="5"/>
  <c r="J7" i="5"/>
  <c r="C53" i="4"/>
  <c r="C35" i="4"/>
  <c r="E35" i="4" s="1"/>
  <c r="C22" i="4"/>
  <c r="E22" i="4" s="1"/>
  <c r="C14" i="4"/>
  <c r="D13" i="4"/>
  <c r="C13" i="4"/>
  <c r="K12" i="4"/>
  <c r="J12" i="4"/>
  <c r="D12" i="4"/>
  <c r="C12" i="4"/>
  <c r="K11" i="4"/>
  <c r="J11" i="4"/>
  <c r="D11" i="4"/>
  <c r="C11" i="4"/>
  <c r="K10" i="4"/>
  <c r="J10" i="4"/>
  <c r="D10" i="4"/>
  <c r="C10" i="4"/>
  <c r="K9" i="4"/>
  <c r="J9" i="4"/>
  <c r="D9" i="4"/>
  <c r="F9" i="4" s="1"/>
  <c r="G9" i="4" s="1"/>
  <c r="K8" i="4"/>
  <c r="J7" i="4"/>
  <c r="N59" i="3"/>
  <c r="M59" i="3"/>
  <c r="L59" i="3"/>
  <c r="K59" i="3"/>
  <c r="J59" i="3"/>
  <c r="I59" i="3"/>
  <c r="H59" i="3"/>
  <c r="G59" i="3"/>
  <c r="F59" i="3"/>
  <c r="E59" i="3"/>
  <c r="D59" i="3"/>
  <c r="C59" i="3"/>
  <c r="N52" i="3"/>
  <c r="M52" i="3"/>
  <c r="L52" i="3"/>
  <c r="K52" i="3"/>
  <c r="J52" i="3"/>
  <c r="I52" i="3"/>
  <c r="H52" i="3"/>
  <c r="G52" i="3"/>
  <c r="F52" i="3"/>
  <c r="E52" i="3"/>
  <c r="D52" i="3"/>
  <c r="C52" i="3"/>
  <c r="Y21" i="3"/>
  <c r="Y44" i="3" s="1"/>
  <c r="O53" i="3" s="1"/>
  <c r="X21" i="3"/>
  <c r="X44" i="3" s="1"/>
  <c r="W21" i="3"/>
  <c r="W44" i="3" s="1"/>
  <c r="V21" i="3"/>
  <c r="V44" i="3" s="1"/>
  <c r="U21" i="3"/>
  <c r="U44" i="3" s="1"/>
  <c r="T21" i="3"/>
  <c r="T44" i="3" s="1"/>
  <c r="S21" i="3"/>
  <c r="S44" i="3" s="1"/>
  <c r="R21" i="3"/>
  <c r="R44" i="3" s="1"/>
  <c r="Q21" i="3"/>
  <c r="Q44" i="3" s="1"/>
  <c r="P21" i="3"/>
  <c r="P44" i="3" s="1"/>
  <c r="O21" i="3"/>
  <c r="O44" i="3" s="1"/>
  <c r="N21" i="3"/>
  <c r="N44" i="3" s="1"/>
  <c r="M21" i="3"/>
  <c r="M44" i="3" s="1"/>
  <c r="L21" i="3"/>
  <c r="L44" i="3" s="1"/>
  <c r="K21" i="3"/>
  <c r="K44" i="3" s="1"/>
  <c r="J21" i="3"/>
  <c r="J44" i="3" s="1"/>
  <c r="I21" i="3"/>
  <c r="I44" i="3" s="1"/>
  <c r="H21" i="3"/>
  <c r="H44" i="3" s="1"/>
  <c r="G21" i="3"/>
  <c r="G44" i="3" s="1"/>
  <c r="F21" i="3"/>
  <c r="F44" i="3" s="1"/>
  <c r="E21" i="3"/>
  <c r="E44" i="3" s="1"/>
  <c r="D21" i="3"/>
  <c r="D44" i="3" s="1"/>
  <c r="C21" i="3"/>
  <c r="C44" i="3" s="1"/>
  <c r="I263" i="2"/>
  <c r="H263" i="2"/>
  <c r="I262" i="2"/>
  <c r="H262" i="2"/>
  <c r="I261" i="2"/>
  <c r="H261" i="2"/>
  <c r="I260" i="2"/>
  <c r="H260" i="2"/>
  <c r="I259" i="2"/>
  <c r="H258" i="2"/>
  <c r="O246" i="2"/>
  <c r="O255" i="2" s="1"/>
  <c r="O264" i="2" s="1"/>
  <c r="N246" i="2"/>
  <c r="N255" i="2" s="1"/>
  <c r="N264" i="2" s="1"/>
  <c r="M246" i="2"/>
  <c r="M255" i="2" s="1"/>
  <c r="M264" i="2" s="1"/>
  <c r="L233" i="2"/>
  <c r="O229" i="2"/>
  <c r="N229" i="2"/>
  <c r="M229" i="2"/>
  <c r="L229" i="2"/>
  <c r="O225" i="2"/>
  <c r="N225" i="2"/>
  <c r="M225" i="2"/>
  <c r="L225" i="2"/>
  <c r="L207" i="2"/>
  <c r="O206" i="2"/>
  <c r="N206" i="2"/>
  <c r="M206" i="2"/>
  <c r="O205" i="2"/>
  <c r="N205" i="2"/>
  <c r="M205" i="2"/>
  <c r="L203" i="2"/>
  <c r="O202" i="2"/>
  <c r="N202" i="2"/>
  <c r="M202" i="2"/>
  <c r="O201" i="2"/>
  <c r="N201" i="2"/>
  <c r="M201" i="2"/>
  <c r="O191" i="2"/>
  <c r="N191" i="2"/>
  <c r="M191" i="2"/>
  <c r="L191" i="2"/>
  <c r="L190" i="2"/>
  <c r="L189" i="2"/>
  <c r="L188" i="2"/>
  <c r="L187" i="2"/>
  <c r="L186" i="2"/>
  <c r="L185" i="2"/>
  <c r="L184" i="2"/>
  <c r="L183" i="2"/>
  <c r="L141" i="2"/>
  <c r="L140" i="2"/>
  <c r="L139" i="2"/>
  <c r="L138" i="2"/>
  <c r="L133" i="2"/>
  <c r="O132" i="2"/>
  <c r="N132" i="2"/>
  <c r="M132" i="2"/>
  <c r="O131" i="2"/>
  <c r="N131" i="2"/>
  <c r="M131" i="2"/>
  <c r="L129" i="2"/>
  <c r="O128" i="2"/>
  <c r="N128" i="2"/>
  <c r="M128" i="2"/>
  <c r="H128" i="2"/>
  <c r="O127" i="2"/>
  <c r="N127" i="2"/>
  <c r="M127" i="2"/>
  <c r="H127" i="2"/>
  <c r="L119" i="2"/>
  <c r="L115" i="2"/>
  <c r="L111" i="2"/>
  <c r="L103" i="2"/>
  <c r="L102" i="2"/>
  <c r="L99" i="2"/>
  <c r="O97" i="2"/>
  <c r="N97" i="2"/>
  <c r="L96" i="2"/>
  <c r="L95" i="2"/>
  <c r="H95" i="2"/>
  <c r="L93" i="2"/>
  <c r="L92" i="2"/>
  <c r="L91" i="2"/>
  <c r="O89" i="2"/>
  <c r="N89" i="2"/>
  <c r="L88" i="2"/>
  <c r="L87" i="2"/>
  <c r="H87" i="2"/>
  <c r="L84" i="2"/>
  <c r="O82" i="2"/>
  <c r="N82" i="2"/>
  <c r="M82" i="2"/>
  <c r="L80" i="2"/>
  <c r="O78" i="2"/>
  <c r="N78" i="2"/>
  <c r="L76" i="2"/>
  <c r="M76" i="2" s="1"/>
  <c r="L75" i="2"/>
  <c r="O71" i="2"/>
  <c r="N71" i="2"/>
  <c r="M71" i="2"/>
  <c r="M236" i="2" s="1"/>
  <c r="L69" i="2"/>
  <c r="O66" i="2"/>
  <c r="N66" i="2"/>
  <c r="H65" i="2"/>
  <c r="L64" i="2"/>
  <c r="L61" i="2"/>
  <c r="L60" i="2"/>
  <c r="L59" i="2"/>
  <c r="L54" i="2"/>
  <c r="L53" i="2"/>
  <c r="L50" i="2"/>
  <c r="L49" i="2"/>
  <c r="L46" i="2"/>
  <c r="L45" i="2"/>
  <c r="L41" i="2"/>
  <c r="O30" i="2"/>
  <c r="N30" i="2"/>
  <c r="L29" i="2"/>
  <c r="M29" i="2" s="1"/>
  <c r="J29" i="2"/>
  <c r="M28" i="2"/>
  <c r="O26" i="2"/>
  <c r="N26" i="2"/>
  <c r="L25" i="2"/>
  <c r="J25" i="2"/>
  <c r="M24" i="2"/>
  <c r="O21" i="2"/>
  <c r="N21" i="2"/>
  <c r="H21" i="2"/>
  <c r="L19" i="2"/>
  <c r="L17" i="2"/>
  <c r="L14" i="2"/>
  <c r="C194" i="1"/>
  <c r="C193" i="1"/>
  <c r="C192" i="1"/>
  <c r="C191" i="1"/>
  <c r="E178" i="1"/>
  <c r="D178" i="1"/>
  <c r="D167" i="1"/>
  <c r="D166" i="1"/>
  <c r="E165" i="1"/>
  <c r="D165" i="1"/>
  <c r="E164" i="1"/>
  <c r="D164" i="1"/>
  <c r="D161" i="1"/>
  <c r="D159" i="1"/>
  <c r="D150" i="1"/>
  <c r="D149" i="1"/>
  <c r="D144" i="1"/>
  <c r="D141" i="1"/>
  <c r="D140" i="1"/>
  <c r="D136" i="1"/>
  <c r="D134" i="1"/>
  <c r="D132" i="1"/>
  <c r="D129" i="1"/>
  <c r="D128" i="1"/>
  <c r="D127" i="1"/>
  <c r="E126" i="1"/>
  <c r="D126" i="1"/>
  <c r="D125" i="1"/>
  <c r="D124" i="1"/>
  <c r="D121" i="1"/>
  <c r="D120" i="1"/>
  <c r="D119" i="1"/>
  <c r="E118" i="1"/>
  <c r="D118" i="1"/>
  <c r="D116" i="1"/>
  <c r="D115" i="1"/>
  <c r="D112" i="1"/>
  <c r="D111" i="1"/>
  <c r="D109" i="1"/>
  <c r="D108" i="1"/>
  <c r="E107" i="1"/>
  <c r="D107" i="1"/>
  <c r="E106" i="1"/>
  <c r="D106" i="1"/>
  <c r="D105" i="1"/>
  <c r="D104" i="1"/>
  <c r="D101" i="1"/>
  <c r="D100" i="1"/>
  <c r="D97" i="1"/>
  <c r="D96" i="1"/>
  <c r="D92" i="1"/>
  <c r="D90" i="1"/>
  <c r="D88" i="1"/>
  <c r="D87" i="1"/>
  <c r="D86" i="1"/>
  <c r="E85" i="1"/>
  <c r="D85" i="1"/>
  <c r="D63" i="1"/>
  <c r="D55" i="1"/>
  <c r="D28" i="1"/>
  <c r="D27" i="1"/>
  <c r="D26" i="1"/>
  <c r="E25" i="1"/>
  <c r="D25" i="1"/>
  <c r="O70" i="17" l="1"/>
  <c r="S70" i="17" s="1"/>
  <c r="O78" i="17"/>
  <c r="Q78" i="17" s="1"/>
  <c r="I205" i="17"/>
  <c r="W205" i="17" s="1"/>
  <c r="Y205" i="17" s="1"/>
  <c r="M98" i="17"/>
  <c r="G98" i="17"/>
  <c r="S85" i="17"/>
  <c r="S84" i="17"/>
  <c r="S83" i="17"/>
  <c r="AA214" i="17"/>
  <c r="AA206" i="17"/>
  <c r="AA203" i="17"/>
  <c r="AA217" i="17"/>
  <c r="U70" i="17"/>
  <c r="U64" i="17"/>
  <c r="U57" i="17"/>
  <c r="U49" i="17"/>
  <c r="U47" i="17"/>
  <c r="K32" i="17"/>
  <c r="K28" i="17"/>
  <c r="K24" i="17"/>
  <c r="AA216" i="17"/>
  <c r="AA202" i="17"/>
  <c r="U69" i="17"/>
  <c r="U65" i="17"/>
  <c r="U61" i="17"/>
  <c r="U56" i="17"/>
  <c r="U54" i="17"/>
  <c r="U52" i="17"/>
  <c r="U48" i="17"/>
  <c r="U43" i="17"/>
  <c r="K33" i="17"/>
  <c r="K26" i="17"/>
  <c r="K23" i="17"/>
  <c r="AA218" i="17"/>
  <c r="S81" i="17"/>
  <c r="S78" i="17"/>
  <c r="U67" i="17"/>
  <c r="U62" i="17"/>
  <c r="U55" i="17"/>
  <c r="U50" i="17"/>
  <c r="U45" i="17"/>
  <c r="K34" i="17"/>
  <c r="K30" i="17"/>
  <c r="K29" i="17"/>
  <c r="K27" i="17"/>
  <c r="K25" i="17"/>
  <c r="K22" i="17"/>
  <c r="K19" i="17"/>
  <c r="S97" i="17"/>
  <c r="S96" i="17"/>
  <c r="S94" i="17"/>
  <c r="S93" i="17"/>
  <c r="S92" i="17"/>
  <c r="S91" i="17"/>
  <c r="S90" i="17"/>
  <c r="S87" i="17"/>
  <c r="S86" i="17"/>
  <c r="S80" i="17"/>
  <c r="U68" i="17"/>
  <c r="U63" i="17"/>
  <c r="U58" i="17"/>
  <c r="U51" i="17"/>
  <c r="U46" i="17"/>
  <c r="K35" i="17"/>
  <c r="K20" i="17"/>
  <c r="AA215" i="17"/>
  <c r="AA213" i="17"/>
  <c r="AA207" i="17"/>
  <c r="AA205" i="17"/>
  <c r="AA204" i="17"/>
  <c r="K18" i="17"/>
  <c r="J217" i="23"/>
  <c r="G118" i="23"/>
  <c r="C139" i="23"/>
  <c r="C157" i="23" s="1"/>
  <c r="G149" i="23"/>
  <c r="L182" i="23"/>
  <c r="F213" i="23"/>
  <c r="F217" i="23" s="1"/>
  <c r="L213" i="23"/>
  <c r="L217" i="23" s="1"/>
  <c r="G156" i="23"/>
  <c r="G119" i="23"/>
  <c r="D139" i="23"/>
  <c r="D157" i="23" s="1"/>
  <c r="C152" i="23"/>
  <c r="G213" i="23"/>
  <c r="G217" i="23" s="1"/>
  <c r="M228" i="23"/>
  <c r="D152" i="23"/>
  <c r="I213" i="23"/>
  <c r="I217" i="23" s="1"/>
  <c r="N228" i="23"/>
  <c r="D213" i="23"/>
  <c r="D217" i="23" s="1"/>
  <c r="C136" i="23"/>
  <c r="G152" i="23"/>
  <c r="Q228" i="23"/>
  <c r="D136" i="23"/>
  <c r="D156" i="23" s="1"/>
  <c r="C149" i="23"/>
  <c r="F182" i="23"/>
  <c r="F136" i="23"/>
  <c r="F156" i="23" s="1"/>
  <c r="E149" i="23"/>
  <c r="E156" i="23" s="1"/>
  <c r="G121" i="23"/>
  <c r="F139" i="23"/>
  <c r="E152" i="23"/>
  <c r="E157" i="23" s="1"/>
  <c r="O228" i="23"/>
  <c r="C258" i="23"/>
  <c r="G139" i="23"/>
  <c r="F152" i="23"/>
  <c r="P228" i="23"/>
  <c r="H8" i="11"/>
  <c r="H17" i="11"/>
  <c r="F28" i="11"/>
  <c r="H11" i="11"/>
  <c r="H18" i="11"/>
  <c r="E75" i="1"/>
  <c r="D75" i="1" s="1"/>
  <c r="N16" i="9"/>
  <c r="E32" i="9" s="1"/>
  <c r="E41" i="9" s="1"/>
  <c r="E79" i="1" s="1"/>
  <c r="D79" i="1" s="1"/>
  <c r="D43" i="9"/>
  <c r="E70" i="1" s="1"/>
  <c r="D70" i="1" s="1"/>
  <c r="D41" i="9"/>
  <c r="E78" i="1" s="1"/>
  <c r="D78" i="1" s="1"/>
  <c r="N18" i="9"/>
  <c r="E34" i="9" s="1"/>
  <c r="E42" i="9" s="1"/>
  <c r="E67" i="1" s="1"/>
  <c r="D67" i="1" s="1"/>
  <c r="F33" i="9"/>
  <c r="N20" i="9"/>
  <c r="E36" i="9" s="1"/>
  <c r="E43" i="9" s="1"/>
  <c r="E71" i="1" s="1"/>
  <c r="D71" i="1" s="1"/>
  <c r="H41" i="6"/>
  <c r="F41" i="10"/>
  <c r="F39" i="10"/>
  <c r="F36" i="10"/>
  <c r="F34" i="10"/>
  <c r="F19" i="10"/>
  <c r="F40" i="10"/>
  <c r="F35" i="10"/>
  <c r="F20" i="10"/>
  <c r="C105" i="6"/>
  <c r="O244" i="23"/>
  <c r="N244" i="23"/>
  <c r="R244" i="23"/>
  <c r="Q244" i="23"/>
  <c r="P244" i="23"/>
  <c r="M244" i="23"/>
  <c r="M243" i="23"/>
  <c r="R243" i="23"/>
  <c r="Q243" i="23"/>
  <c r="P243" i="23"/>
  <c r="O243" i="23"/>
  <c r="N243" i="23"/>
  <c r="N240" i="23"/>
  <c r="R240" i="23"/>
  <c r="Q240" i="23"/>
  <c r="P240" i="23"/>
  <c r="O240" i="23"/>
  <c r="M240" i="23"/>
  <c r="R239" i="23"/>
  <c r="Q239" i="23"/>
  <c r="P239" i="23"/>
  <c r="O239" i="23"/>
  <c r="N239" i="23"/>
  <c r="M239" i="23"/>
  <c r="L203" i="23"/>
  <c r="J203" i="23"/>
  <c r="I203" i="23"/>
  <c r="G203" i="23"/>
  <c r="D203" i="23"/>
  <c r="F203" i="23"/>
  <c r="G202" i="23"/>
  <c r="F202" i="23"/>
  <c r="L202" i="23"/>
  <c r="J202" i="23"/>
  <c r="I202" i="23"/>
  <c r="D202" i="23"/>
  <c r="L201" i="23"/>
  <c r="J201" i="23"/>
  <c r="I201" i="23"/>
  <c r="G201" i="23"/>
  <c r="F201" i="23"/>
  <c r="D201" i="23"/>
  <c r="L200" i="23"/>
  <c r="J200" i="23"/>
  <c r="I200" i="23"/>
  <c r="G200" i="23"/>
  <c r="F200" i="23"/>
  <c r="D200" i="23"/>
  <c r="L199" i="23"/>
  <c r="J199" i="23"/>
  <c r="I199" i="23"/>
  <c r="G199" i="23"/>
  <c r="F199" i="23"/>
  <c r="D199" i="23"/>
  <c r="L198" i="23"/>
  <c r="J198" i="23"/>
  <c r="I198" i="23"/>
  <c r="G198" i="23"/>
  <c r="F198" i="23"/>
  <c r="D198" i="23"/>
  <c r="L192" i="23"/>
  <c r="J192" i="23"/>
  <c r="I192" i="23"/>
  <c r="G192" i="23"/>
  <c r="F192" i="23"/>
  <c r="D192" i="23"/>
  <c r="J191" i="23"/>
  <c r="I191" i="23"/>
  <c r="G191" i="23"/>
  <c r="F191" i="23"/>
  <c r="D191" i="23"/>
  <c r="L191" i="23"/>
  <c r="L190" i="23"/>
  <c r="J190" i="23"/>
  <c r="I190" i="23"/>
  <c r="G190" i="23"/>
  <c r="F190" i="23"/>
  <c r="D190" i="23"/>
  <c r="L189" i="23"/>
  <c r="J189" i="23"/>
  <c r="I189" i="23"/>
  <c r="G189" i="23"/>
  <c r="F189" i="23"/>
  <c r="D189" i="23"/>
  <c r="L188" i="23"/>
  <c r="F188" i="23"/>
  <c r="J188" i="23"/>
  <c r="D188" i="23"/>
  <c r="G188" i="23"/>
  <c r="I188" i="23"/>
  <c r="L187" i="23"/>
  <c r="J187" i="23"/>
  <c r="I187" i="23"/>
  <c r="I193" i="23" s="1"/>
  <c r="G187" i="23"/>
  <c r="F187" i="23"/>
  <c r="F193" i="23" s="1"/>
  <c r="D187" i="23"/>
  <c r="H151" i="23"/>
  <c r="H152" i="23" s="1"/>
  <c r="H148" i="23"/>
  <c r="H149" i="23" s="1"/>
  <c r="H138" i="23"/>
  <c r="H139" i="23" s="1"/>
  <c r="H157" i="23" s="1"/>
  <c r="C280" i="23" s="1"/>
  <c r="E177" i="1" s="1"/>
  <c r="D177" i="1" s="1"/>
  <c r="H135" i="23"/>
  <c r="H136" i="23" s="1"/>
  <c r="E174" i="1"/>
  <c r="C276" i="23"/>
  <c r="C267" i="23"/>
  <c r="C87" i="23"/>
  <c r="F14" i="21"/>
  <c r="L14" i="21" s="1"/>
  <c r="R10" i="21"/>
  <c r="T10" i="21" s="1"/>
  <c r="D46" i="21" s="1"/>
  <c r="H45" i="21"/>
  <c r="D53" i="21"/>
  <c r="E162" i="1" s="1"/>
  <c r="M62" i="20"/>
  <c r="T62" i="20" s="1"/>
  <c r="L62" i="20"/>
  <c r="Q62" i="20" s="1"/>
  <c r="W62" i="20"/>
  <c r="R62" i="20"/>
  <c r="S62" i="20" s="1"/>
  <c r="M60" i="20"/>
  <c r="T60" i="20" s="1"/>
  <c r="L60" i="20"/>
  <c r="Q60" i="20" s="1"/>
  <c r="W60" i="20"/>
  <c r="R60" i="20"/>
  <c r="S60" i="20" s="1"/>
  <c r="M58" i="20"/>
  <c r="T58" i="20" s="1"/>
  <c r="L58" i="20"/>
  <c r="R67" i="20"/>
  <c r="T67" i="20" s="1"/>
  <c r="R66" i="20"/>
  <c r="T66" i="20" s="1"/>
  <c r="R58" i="20"/>
  <c r="S58" i="20" s="1"/>
  <c r="W58" i="20"/>
  <c r="M56" i="20"/>
  <c r="T56" i="20" s="1"/>
  <c r="L56" i="20"/>
  <c r="Q56" i="20" s="1"/>
  <c r="W56" i="20"/>
  <c r="R56" i="20"/>
  <c r="S56" i="20" s="1"/>
  <c r="M54" i="20"/>
  <c r="T54" i="20" s="1"/>
  <c r="L54" i="20"/>
  <c r="Q54" i="20" s="1"/>
  <c r="W54" i="20"/>
  <c r="R54" i="20"/>
  <c r="S54" i="20" s="1"/>
  <c r="M52" i="20"/>
  <c r="T52" i="20" s="1"/>
  <c r="L52" i="20"/>
  <c r="Q52" i="20" s="1"/>
  <c r="R52" i="20"/>
  <c r="S52" i="20" s="1"/>
  <c r="W52" i="20"/>
  <c r="M50" i="20"/>
  <c r="T50" i="20" s="1"/>
  <c r="L50" i="20"/>
  <c r="Q50" i="20" s="1"/>
  <c r="W50" i="20"/>
  <c r="R50" i="20"/>
  <c r="S50" i="20" s="1"/>
  <c r="L48" i="20"/>
  <c r="Q48" i="20" s="1"/>
  <c r="M48" i="20"/>
  <c r="T48" i="20" s="1"/>
  <c r="W48" i="20"/>
  <c r="R48" i="20"/>
  <c r="S48" i="20" s="1"/>
  <c r="M46" i="20"/>
  <c r="T46" i="20" s="1"/>
  <c r="L46" i="20"/>
  <c r="R69" i="20"/>
  <c r="T69" i="20" s="1"/>
  <c r="R70" i="20"/>
  <c r="T70" i="20" s="1"/>
  <c r="R46" i="20"/>
  <c r="S46" i="20" s="1"/>
  <c r="W46" i="20"/>
  <c r="L44" i="20"/>
  <c r="Q44" i="20" s="1"/>
  <c r="M44" i="20"/>
  <c r="T44" i="20" s="1"/>
  <c r="W44" i="20"/>
  <c r="R44" i="20"/>
  <c r="S44" i="20" s="1"/>
  <c r="M42" i="20"/>
  <c r="T42" i="20" s="1"/>
  <c r="L42" i="20"/>
  <c r="Q42" i="20" s="1"/>
  <c r="R42" i="20"/>
  <c r="S42" i="20" s="1"/>
  <c r="W42" i="20"/>
  <c r="L40" i="20"/>
  <c r="Q40" i="20" s="1"/>
  <c r="M40" i="20"/>
  <c r="T40" i="20" s="1"/>
  <c r="R40" i="20"/>
  <c r="S40" i="20" s="1"/>
  <c r="W40" i="20"/>
  <c r="M38" i="20"/>
  <c r="T38" i="20" s="1"/>
  <c r="L38" i="20"/>
  <c r="Q38" i="20" s="1"/>
  <c r="R38" i="20"/>
  <c r="S38" i="20" s="1"/>
  <c r="W38" i="20"/>
  <c r="L36" i="20"/>
  <c r="Q36" i="20" s="1"/>
  <c r="M36" i="20"/>
  <c r="T36" i="20" s="1"/>
  <c r="R36" i="20"/>
  <c r="S36" i="20" s="1"/>
  <c r="W36" i="20"/>
  <c r="L34" i="20"/>
  <c r="Q34" i="20" s="1"/>
  <c r="M34" i="20"/>
  <c r="T34" i="20" s="1"/>
  <c r="W34" i="20"/>
  <c r="R34" i="20"/>
  <c r="S34" i="20" s="1"/>
  <c r="M32" i="20"/>
  <c r="T32" i="20" s="1"/>
  <c r="L32" i="20"/>
  <c r="Q32" i="20" s="1"/>
  <c r="W32" i="20"/>
  <c r="R32" i="20"/>
  <c r="S32" i="20" s="1"/>
  <c r="M30" i="20"/>
  <c r="T30" i="20" s="1"/>
  <c r="L30" i="20"/>
  <c r="Q30" i="20" s="1"/>
  <c r="W30" i="20"/>
  <c r="R30" i="20"/>
  <c r="S30" i="20" s="1"/>
  <c r="M28" i="20"/>
  <c r="T28" i="20" s="1"/>
  <c r="L28" i="20"/>
  <c r="Q28" i="20" s="1"/>
  <c r="W28" i="20"/>
  <c r="R28" i="20"/>
  <c r="S28" i="20" s="1"/>
  <c r="V26" i="20"/>
  <c r="V64" i="20" s="1"/>
  <c r="O64" i="20"/>
  <c r="U26" i="20"/>
  <c r="U64" i="20" s="1"/>
  <c r="N64" i="20"/>
  <c r="L26" i="20"/>
  <c r="Q26" i="20" s="1"/>
  <c r="M26" i="20"/>
  <c r="R26" i="20"/>
  <c r="S26" i="20" s="1"/>
  <c r="W26" i="20"/>
  <c r="W64" i="20" s="1"/>
  <c r="Z46" i="20"/>
  <c r="Y46" i="20"/>
  <c r="X46" i="20"/>
  <c r="Z44" i="20"/>
  <c r="Y44" i="20"/>
  <c r="X44" i="20"/>
  <c r="Z42" i="20"/>
  <c r="Y42" i="20"/>
  <c r="X42" i="20"/>
  <c r="Z40" i="20"/>
  <c r="Y40" i="20"/>
  <c r="X40" i="20"/>
  <c r="Z38" i="20"/>
  <c r="Y38" i="20"/>
  <c r="X38" i="20"/>
  <c r="Z36" i="20"/>
  <c r="Y36" i="20"/>
  <c r="X36" i="20"/>
  <c r="Z34" i="20"/>
  <c r="Y34" i="20"/>
  <c r="X34" i="20"/>
  <c r="Z32" i="20"/>
  <c r="Y32" i="20"/>
  <c r="X32" i="20"/>
  <c r="Z62" i="20"/>
  <c r="Y62" i="20"/>
  <c r="X62" i="20"/>
  <c r="Z60" i="20"/>
  <c r="Y60" i="20"/>
  <c r="X60" i="20"/>
  <c r="Z30" i="20"/>
  <c r="Y30" i="20"/>
  <c r="X30" i="20"/>
  <c r="Z58" i="20"/>
  <c r="Y58" i="20"/>
  <c r="X58" i="20"/>
  <c r="Z56" i="20"/>
  <c r="Y56" i="20"/>
  <c r="X56" i="20"/>
  <c r="Z28" i="20"/>
  <c r="Y28" i="20"/>
  <c r="X28" i="20"/>
  <c r="Z54" i="20"/>
  <c r="Y54" i="20"/>
  <c r="X54" i="20"/>
  <c r="Z52" i="20"/>
  <c r="Y52" i="20"/>
  <c r="X52" i="20"/>
  <c r="Z26" i="20"/>
  <c r="Y26" i="20"/>
  <c r="X26" i="20"/>
  <c r="Z50" i="20"/>
  <c r="Y50" i="20"/>
  <c r="X50" i="20"/>
  <c r="Z48" i="20"/>
  <c r="Y48" i="20"/>
  <c r="X48" i="20"/>
  <c r="E82" i="19"/>
  <c r="T75" i="19"/>
  <c r="U75" i="19" s="1"/>
  <c r="V75" i="19" s="1"/>
  <c r="W75" i="19" s="1"/>
  <c r="X75" i="19" s="1"/>
  <c r="T74" i="19"/>
  <c r="U74" i="19" s="1"/>
  <c r="V74" i="19" s="1"/>
  <c r="W74" i="19" s="1"/>
  <c r="X74" i="19" s="1"/>
  <c r="T72" i="19"/>
  <c r="U72" i="19" s="1"/>
  <c r="V72" i="19" s="1"/>
  <c r="W72" i="19" s="1"/>
  <c r="X72" i="19" s="1"/>
  <c r="Q72" i="19"/>
  <c r="O72" i="19"/>
  <c r="P72" i="19" s="1"/>
  <c r="T70" i="19"/>
  <c r="U70" i="19" s="1"/>
  <c r="V70" i="19" s="1"/>
  <c r="W70" i="19" s="1"/>
  <c r="X70" i="19" s="1"/>
  <c r="T69" i="19"/>
  <c r="U69" i="19" s="1"/>
  <c r="V69" i="19" s="1"/>
  <c r="W69" i="19" s="1"/>
  <c r="X69" i="19" s="1"/>
  <c r="T68" i="19"/>
  <c r="U68" i="19" s="1"/>
  <c r="V68" i="19" s="1"/>
  <c r="W68" i="19" s="1"/>
  <c r="X68" i="19" s="1"/>
  <c r="T66" i="19"/>
  <c r="U66" i="19" s="1"/>
  <c r="V66" i="19" s="1"/>
  <c r="W66" i="19" s="1"/>
  <c r="X66" i="19" s="1"/>
  <c r="T64" i="19"/>
  <c r="U64" i="19" s="1"/>
  <c r="V64" i="19" s="1"/>
  <c r="W64" i="19" s="1"/>
  <c r="X64" i="19" s="1"/>
  <c r="T63" i="19"/>
  <c r="U63" i="19" s="1"/>
  <c r="V63" i="19" s="1"/>
  <c r="W63" i="19" s="1"/>
  <c r="X63" i="19" s="1"/>
  <c r="T61" i="19"/>
  <c r="U61" i="19" s="1"/>
  <c r="V61" i="19" s="1"/>
  <c r="W61" i="19" s="1"/>
  <c r="X61" i="19" s="1"/>
  <c r="T60" i="19"/>
  <c r="U60" i="19" s="1"/>
  <c r="V60" i="19" s="1"/>
  <c r="W60" i="19" s="1"/>
  <c r="X60" i="19" s="1"/>
  <c r="Q60" i="19"/>
  <c r="O60" i="19"/>
  <c r="P60" i="19" s="1"/>
  <c r="T59" i="19"/>
  <c r="U59" i="19" s="1"/>
  <c r="V59" i="19" s="1"/>
  <c r="W59" i="19" s="1"/>
  <c r="X59" i="19" s="1"/>
  <c r="Q59" i="19"/>
  <c r="O59" i="19"/>
  <c r="P59" i="19" s="1"/>
  <c r="T58" i="19"/>
  <c r="U58" i="19" s="1"/>
  <c r="V58" i="19" s="1"/>
  <c r="W58" i="19" s="1"/>
  <c r="X58" i="19" s="1"/>
  <c r="Q58" i="19"/>
  <c r="O58" i="19"/>
  <c r="P58" i="19" s="1"/>
  <c r="T56" i="19"/>
  <c r="U56" i="19" s="1"/>
  <c r="V56" i="19" s="1"/>
  <c r="W56" i="19" s="1"/>
  <c r="X56" i="19" s="1"/>
  <c r="T54" i="19"/>
  <c r="U54" i="19" s="1"/>
  <c r="V54" i="19" s="1"/>
  <c r="W54" i="19" s="1"/>
  <c r="X54" i="19" s="1"/>
  <c r="Q54" i="19"/>
  <c r="O54" i="19"/>
  <c r="P54" i="19" s="1"/>
  <c r="T52" i="19"/>
  <c r="U52" i="19" s="1"/>
  <c r="V52" i="19" s="1"/>
  <c r="W52" i="19" s="1"/>
  <c r="X52" i="19" s="1"/>
  <c r="Q52" i="19"/>
  <c r="O52" i="19"/>
  <c r="P52" i="19" s="1"/>
  <c r="T51" i="19"/>
  <c r="U51" i="19" s="1"/>
  <c r="V51" i="19" s="1"/>
  <c r="W51" i="19" s="1"/>
  <c r="X51" i="19" s="1"/>
  <c r="Q51" i="19"/>
  <c r="O51" i="19"/>
  <c r="P51" i="19" s="1"/>
  <c r="T49" i="19"/>
  <c r="U49" i="19" s="1"/>
  <c r="V49" i="19" s="1"/>
  <c r="W49" i="19" s="1"/>
  <c r="X49" i="19" s="1"/>
  <c r="O49" i="19"/>
  <c r="P49" i="19" s="1"/>
  <c r="Q49" i="19"/>
  <c r="T47" i="19"/>
  <c r="U47" i="19" s="1"/>
  <c r="V47" i="19" s="1"/>
  <c r="W47" i="19" s="1"/>
  <c r="X47" i="19" s="1"/>
  <c r="T46" i="19"/>
  <c r="U46" i="19" s="1"/>
  <c r="V46" i="19" s="1"/>
  <c r="W46" i="19" s="1"/>
  <c r="X46" i="19" s="1"/>
  <c r="T44" i="19"/>
  <c r="U44" i="19" s="1"/>
  <c r="V44" i="19" s="1"/>
  <c r="W44" i="19" s="1"/>
  <c r="X44" i="19" s="1"/>
  <c r="T43" i="19"/>
  <c r="U43" i="19" s="1"/>
  <c r="V43" i="19" s="1"/>
  <c r="W43" i="19" s="1"/>
  <c r="X43" i="19" s="1"/>
  <c r="Q43" i="19"/>
  <c r="O43" i="19"/>
  <c r="P43" i="19" s="1"/>
  <c r="T42" i="19"/>
  <c r="U42" i="19" s="1"/>
  <c r="V42" i="19" s="1"/>
  <c r="W42" i="19" s="1"/>
  <c r="X42" i="19" s="1"/>
  <c r="T40" i="19"/>
  <c r="U40" i="19" s="1"/>
  <c r="V40" i="19" s="1"/>
  <c r="W40" i="19" s="1"/>
  <c r="X40" i="19" s="1"/>
  <c r="Q40" i="19"/>
  <c r="O40" i="19"/>
  <c r="P40" i="19" s="1"/>
  <c r="T39" i="19"/>
  <c r="U39" i="19" s="1"/>
  <c r="V39" i="19" s="1"/>
  <c r="W39" i="19" s="1"/>
  <c r="X39" i="19" s="1"/>
  <c r="T37" i="19"/>
  <c r="U37" i="19" s="1"/>
  <c r="V37" i="19" s="1"/>
  <c r="W37" i="19" s="1"/>
  <c r="X37" i="19" s="1"/>
  <c r="T36" i="19"/>
  <c r="U36" i="19"/>
  <c r="V36" i="19" s="1"/>
  <c r="W36" i="19" s="1"/>
  <c r="O36" i="19"/>
  <c r="P36" i="19" s="1"/>
  <c r="X36" i="19" s="1"/>
  <c r="Q36" i="19"/>
  <c r="T34" i="19"/>
  <c r="U34" i="19" s="1"/>
  <c r="V34" i="19" s="1"/>
  <c r="W34" i="19" s="1"/>
  <c r="X34" i="19" s="1"/>
  <c r="Q34" i="19"/>
  <c r="O34" i="19"/>
  <c r="P34" i="19" s="1"/>
  <c r="T32" i="19"/>
  <c r="U32" i="19" s="1"/>
  <c r="V32" i="19" s="1"/>
  <c r="W32" i="19" s="1"/>
  <c r="X32" i="19" s="1"/>
  <c r="Q32" i="19"/>
  <c r="O32" i="19"/>
  <c r="P32" i="19" s="1"/>
  <c r="T31" i="19"/>
  <c r="U31" i="19" s="1"/>
  <c r="V31" i="19" s="1"/>
  <c r="W31" i="19" s="1"/>
  <c r="X31" i="19" s="1"/>
  <c r="T29" i="19"/>
  <c r="U29" i="19" s="1"/>
  <c r="V29" i="19" s="1"/>
  <c r="W29" i="19" s="1"/>
  <c r="X29" i="19" s="1"/>
  <c r="O29" i="19"/>
  <c r="P29" i="19" s="1"/>
  <c r="Q29" i="19"/>
  <c r="T27" i="19"/>
  <c r="U27" i="19" s="1"/>
  <c r="V27" i="19" s="1"/>
  <c r="W27" i="19" s="1"/>
  <c r="X27" i="19" s="1"/>
  <c r="T26" i="19"/>
  <c r="U26" i="19" s="1"/>
  <c r="V26" i="19" s="1"/>
  <c r="W26" i="19" s="1"/>
  <c r="X26" i="19" s="1"/>
  <c r="T24" i="19"/>
  <c r="U24" i="19" s="1"/>
  <c r="V24" i="19" s="1"/>
  <c r="W24" i="19" s="1"/>
  <c r="X24" i="19" s="1"/>
  <c r="Q24" i="19"/>
  <c r="O24" i="19"/>
  <c r="P24" i="19" s="1"/>
  <c r="T23" i="19"/>
  <c r="U23" i="19" s="1"/>
  <c r="V23" i="19" s="1"/>
  <c r="W23" i="19" s="1"/>
  <c r="X23" i="19" s="1"/>
  <c r="Q23" i="19"/>
  <c r="O23" i="19"/>
  <c r="P23" i="19" s="1"/>
  <c r="T21" i="19"/>
  <c r="U21" i="19" s="1"/>
  <c r="V21" i="19" s="1"/>
  <c r="W21" i="19" s="1"/>
  <c r="X21" i="19" s="1"/>
  <c r="Q21" i="19"/>
  <c r="O21" i="19"/>
  <c r="P21" i="19" s="1"/>
  <c r="T19" i="19"/>
  <c r="U19" i="19" s="1"/>
  <c r="V19" i="19" s="1"/>
  <c r="W19" i="19" s="1"/>
  <c r="X19" i="19" s="1"/>
  <c r="T18" i="19"/>
  <c r="U18" i="19" s="1"/>
  <c r="V18" i="19" s="1"/>
  <c r="W18" i="19" s="1"/>
  <c r="X18" i="19" s="1"/>
  <c r="Q18" i="19"/>
  <c r="O18" i="19"/>
  <c r="P18" i="19" s="1"/>
  <c r="T17" i="19"/>
  <c r="U17" i="19" s="1"/>
  <c r="V17" i="19" s="1"/>
  <c r="W17" i="19" s="1"/>
  <c r="X17" i="19" s="1"/>
  <c r="T16" i="19"/>
  <c r="U16" i="19" s="1"/>
  <c r="V16" i="19" s="1"/>
  <c r="W16" i="19" s="1"/>
  <c r="X16" i="19" s="1"/>
  <c r="Q16" i="19"/>
  <c r="O16" i="19"/>
  <c r="P16" i="19" s="1"/>
  <c r="U15" i="19"/>
  <c r="V15" i="19" s="1"/>
  <c r="W15" i="19" s="1"/>
  <c r="X15" i="19" s="1"/>
  <c r="T15" i="19"/>
  <c r="T14" i="19"/>
  <c r="U14" i="19" s="1"/>
  <c r="V14" i="19" s="1"/>
  <c r="W14" i="19" s="1"/>
  <c r="X14" i="19" s="1"/>
  <c r="T12" i="19"/>
  <c r="U12" i="19" s="1"/>
  <c r="V12" i="19" s="1"/>
  <c r="W12" i="19" s="1"/>
  <c r="X12" i="19" s="1"/>
  <c r="T11" i="19"/>
  <c r="R77" i="19"/>
  <c r="U11" i="19"/>
  <c r="M77" i="19"/>
  <c r="Q11" i="19"/>
  <c r="O11" i="19"/>
  <c r="K17" i="18"/>
  <c r="K16" i="18"/>
  <c r="K15" i="18"/>
  <c r="J17" i="18"/>
  <c r="J16" i="18"/>
  <c r="J15" i="18"/>
  <c r="I17" i="18"/>
  <c r="L17" i="18" s="1"/>
  <c r="I16" i="18"/>
  <c r="L16" i="18" s="1"/>
  <c r="I15" i="18"/>
  <c r="L15" i="18" s="1"/>
  <c r="E17" i="18"/>
  <c r="E16" i="18"/>
  <c r="E15" i="18"/>
  <c r="D17" i="18"/>
  <c r="D16" i="18"/>
  <c r="D15" i="18"/>
  <c r="C16" i="18"/>
  <c r="F16" i="18" s="1"/>
  <c r="C17" i="18"/>
  <c r="F17" i="18" s="1"/>
  <c r="C15" i="18"/>
  <c r="F15" i="18" s="1"/>
  <c r="K228" i="17"/>
  <c r="K230" i="17" s="1"/>
  <c r="C256" i="17" s="1"/>
  <c r="I256" i="17" s="1"/>
  <c r="I230" i="17"/>
  <c r="C244" i="17" s="1"/>
  <c r="K224" i="17"/>
  <c r="C255" i="17" s="1"/>
  <c r="C243" i="17"/>
  <c r="Y212" i="17"/>
  <c r="W219" i="17"/>
  <c r="Y201" i="17"/>
  <c r="W208" i="17"/>
  <c r="K188" i="17"/>
  <c r="Q188" i="17" s="1"/>
  <c r="G188" i="17"/>
  <c r="K187" i="17"/>
  <c r="Q187" i="17" s="1"/>
  <c r="G187" i="17"/>
  <c r="G186" i="17"/>
  <c r="K186" i="17"/>
  <c r="Q186" i="17" s="1"/>
  <c r="I186" i="17"/>
  <c r="O186" i="17" s="1"/>
  <c r="G185" i="17"/>
  <c r="K185" i="17"/>
  <c r="Q185" i="17" s="1"/>
  <c r="I185" i="17"/>
  <c r="O185" i="17" s="1"/>
  <c r="K183" i="17"/>
  <c r="Q183" i="17" s="1"/>
  <c r="I183" i="17"/>
  <c r="O183" i="17" s="1"/>
  <c r="G183" i="17"/>
  <c r="I182" i="17"/>
  <c r="O182" i="17" s="1"/>
  <c r="G182" i="17"/>
  <c r="I181" i="17"/>
  <c r="O181" i="17" s="1"/>
  <c r="G181" i="17"/>
  <c r="I180" i="17"/>
  <c r="O180" i="17" s="1"/>
  <c r="G180" i="17"/>
  <c r="I179" i="17"/>
  <c r="O179" i="17" s="1"/>
  <c r="G179" i="17"/>
  <c r="I176" i="17"/>
  <c r="O176" i="17" s="1"/>
  <c r="K176" i="17"/>
  <c r="Q176" i="17" s="1"/>
  <c r="G176" i="17"/>
  <c r="K175" i="17"/>
  <c r="Q175" i="17" s="1"/>
  <c r="I175" i="17"/>
  <c r="O175" i="17" s="1"/>
  <c r="G175" i="17"/>
  <c r="K174" i="17"/>
  <c r="Q174" i="17" s="1"/>
  <c r="I174" i="17"/>
  <c r="O174" i="17" s="1"/>
  <c r="G174" i="17"/>
  <c r="K173" i="17"/>
  <c r="Q173" i="17" s="1"/>
  <c r="I173" i="17"/>
  <c r="O173" i="17" s="1"/>
  <c r="G173" i="17"/>
  <c r="G172" i="17"/>
  <c r="K172" i="17"/>
  <c r="Q172" i="17" s="1"/>
  <c r="I172" i="17"/>
  <c r="O172" i="17" s="1"/>
  <c r="K170" i="17"/>
  <c r="Q170" i="17" s="1"/>
  <c r="G170" i="17"/>
  <c r="K169" i="17"/>
  <c r="Q169" i="17" s="1"/>
  <c r="G169" i="17"/>
  <c r="G168" i="17"/>
  <c r="K168" i="17"/>
  <c r="Q168" i="17" s="1"/>
  <c r="E189" i="17"/>
  <c r="S165" i="17" s="1"/>
  <c r="S166" i="17" s="1"/>
  <c r="K167" i="17"/>
  <c r="Q167" i="17" s="1"/>
  <c r="G167" i="17"/>
  <c r="K166" i="17"/>
  <c r="Q166" i="17" s="1"/>
  <c r="G166" i="17"/>
  <c r="G165" i="17"/>
  <c r="I165" i="17"/>
  <c r="O165" i="17" s="1"/>
  <c r="G164" i="17"/>
  <c r="I164" i="17"/>
  <c r="O164" i="17" s="1"/>
  <c r="K162" i="17"/>
  <c r="Q162" i="17" s="1"/>
  <c r="M162" i="17"/>
  <c r="I162" i="17"/>
  <c r="O162" i="17" s="1"/>
  <c r="G162" i="17"/>
  <c r="M161" i="17"/>
  <c r="M189" i="17" s="1"/>
  <c r="K161" i="17"/>
  <c r="I161" i="17"/>
  <c r="G161" i="17"/>
  <c r="C151" i="17"/>
  <c r="E138" i="17" s="1"/>
  <c r="C148" i="17"/>
  <c r="E135" i="17" s="1"/>
  <c r="C139" i="17"/>
  <c r="C147" i="17"/>
  <c r="C144" i="17" s="1"/>
  <c r="E134" i="17"/>
  <c r="K130" i="17"/>
  <c r="M130" i="17"/>
  <c r="S130" i="17" s="1"/>
  <c r="W130" i="17" s="1"/>
  <c r="S119" i="17"/>
  <c r="W119" i="17"/>
  <c r="S118" i="17"/>
  <c r="W118" i="17"/>
  <c r="S117" i="17"/>
  <c r="W117" i="17"/>
  <c r="S116" i="17"/>
  <c r="W116" i="17"/>
  <c r="S115" i="17"/>
  <c r="W115" i="17"/>
  <c r="S114" i="17"/>
  <c r="W114" i="17"/>
  <c r="S113" i="17"/>
  <c r="W113" i="17"/>
  <c r="W104" i="17"/>
  <c r="I125" i="17"/>
  <c r="K98" i="17"/>
  <c r="O77" i="17"/>
  <c r="U42" i="17"/>
  <c r="S71" i="17"/>
  <c r="E237" i="17" s="1"/>
  <c r="I17" i="17"/>
  <c r="G36" i="17"/>
  <c r="F139" i="16"/>
  <c r="F172" i="16" s="1"/>
  <c r="G139" i="16"/>
  <c r="G172" i="16" s="1"/>
  <c r="H139" i="16"/>
  <c r="H172" i="16" s="1"/>
  <c r="I139" i="16"/>
  <c r="I172" i="16" s="1"/>
  <c r="J139" i="16"/>
  <c r="J172" i="16" s="1"/>
  <c r="K139" i="16"/>
  <c r="K172" i="16" s="1"/>
  <c r="L139" i="16"/>
  <c r="L172" i="16" s="1"/>
  <c r="M139" i="16"/>
  <c r="M172" i="16" s="1"/>
  <c r="N139" i="16"/>
  <c r="N172" i="16" s="1"/>
  <c r="O139" i="16"/>
  <c r="O172" i="16" s="1"/>
  <c r="P139" i="16"/>
  <c r="P172" i="16" s="1"/>
  <c r="Q139" i="16"/>
  <c r="Q172" i="16" s="1"/>
  <c r="R139" i="16"/>
  <c r="R172" i="16" s="1"/>
  <c r="S139" i="16"/>
  <c r="S172" i="16" s="1"/>
  <c r="T139" i="16"/>
  <c r="T172" i="16" s="1"/>
  <c r="U139" i="16"/>
  <c r="U172" i="16" s="1"/>
  <c r="V139" i="16"/>
  <c r="V172" i="16" s="1"/>
  <c r="W139" i="16"/>
  <c r="W172" i="16" s="1"/>
  <c r="X139" i="16"/>
  <c r="X172" i="16" s="1"/>
  <c r="Y139" i="16"/>
  <c r="Y172" i="16" s="1"/>
  <c r="Z139" i="16"/>
  <c r="Z172" i="16" s="1"/>
  <c r="AA139" i="16"/>
  <c r="AA172" i="16" s="1"/>
  <c r="AB139" i="16"/>
  <c r="AB172" i="16" s="1"/>
  <c r="AC139" i="16"/>
  <c r="AC172" i="16" s="1"/>
  <c r="AD139" i="16"/>
  <c r="AD172" i="16" s="1"/>
  <c r="AE139" i="16"/>
  <c r="AE172" i="16" s="1"/>
  <c r="AF139" i="16"/>
  <c r="AF172" i="16" s="1"/>
  <c r="AG139" i="16"/>
  <c r="AG172" i="16" s="1"/>
  <c r="AH139" i="16"/>
  <c r="AH172" i="16" s="1"/>
  <c r="AI139" i="16"/>
  <c r="AI172" i="16" s="1"/>
  <c r="AJ139" i="16"/>
  <c r="AJ172" i="16" s="1"/>
  <c r="AK139" i="16"/>
  <c r="AK172" i="16" s="1"/>
  <c r="AL139" i="16"/>
  <c r="AL172" i="16" s="1"/>
  <c r="G119" i="16"/>
  <c r="G170" i="16" s="1"/>
  <c r="I119" i="16"/>
  <c r="I170" i="16" s="1"/>
  <c r="K119" i="16"/>
  <c r="K170" i="16" s="1"/>
  <c r="M119" i="16"/>
  <c r="M170" i="16" s="1"/>
  <c r="O119" i="16"/>
  <c r="O170" i="16" s="1"/>
  <c r="P119" i="16"/>
  <c r="P170" i="16" s="1"/>
  <c r="R119" i="16"/>
  <c r="R170" i="16" s="1"/>
  <c r="S119" i="16"/>
  <c r="S170" i="16" s="1"/>
  <c r="T119" i="16"/>
  <c r="T170" i="16" s="1"/>
  <c r="V119" i="16"/>
  <c r="V170" i="16" s="1"/>
  <c r="X119" i="16"/>
  <c r="X170" i="16" s="1"/>
  <c r="Y119" i="16"/>
  <c r="Y170" i="16" s="1"/>
  <c r="AA119" i="16"/>
  <c r="AA170" i="16" s="1"/>
  <c r="AB119" i="16"/>
  <c r="AB170" i="16" s="1"/>
  <c r="AD119" i="16"/>
  <c r="AD170" i="16" s="1"/>
  <c r="AF119" i="16"/>
  <c r="AF170" i="16" s="1"/>
  <c r="AG119" i="16"/>
  <c r="AG170" i="16" s="1"/>
  <c r="AI119" i="16"/>
  <c r="AI170" i="16" s="1"/>
  <c r="AJ119" i="16"/>
  <c r="AJ170" i="16" s="1"/>
  <c r="AL119" i="16"/>
  <c r="AL170" i="16" s="1"/>
  <c r="F119" i="16"/>
  <c r="F170" i="16" s="1"/>
  <c r="H119" i="16"/>
  <c r="H170" i="16" s="1"/>
  <c r="J119" i="16"/>
  <c r="J170" i="16" s="1"/>
  <c r="L119" i="16"/>
  <c r="L170" i="16" s="1"/>
  <c r="N119" i="16"/>
  <c r="N170" i="16" s="1"/>
  <c r="Q119" i="16"/>
  <c r="Q170" i="16" s="1"/>
  <c r="U119" i="16"/>
  <c r="U170" i="16" s="1"/>
  <c r="W119" i="16"/>
  <c r="W170" i="16" s="1"/>
  <c r="Z119" i="16"/>
  <c r="Z170" i="16" s="1"/>
  <c r="AC119" i="16"/>
  <c r="AC170" i="16" s="1"/>
  <c r="AE119" i="16"/>
  <c r="AE170" i="16" s="1"/>
  <c r="AH119" i="16"/>
  <c r="AH170" i="16" s="1"/>
  <c r="AK119" i="16"/>
  <c r="AK170" i="16" s="1"/>
  <c r="F118" i="16"/>
  <c r="G118" i="16"/>
  <c r="H118" i="16"/>
  <c r="I118" i="16"/>
  <c r="J118" i="16"/>
  <c r="K118" i="16"/>
  <c r="L118" i="16"/>
  <c r="M118" i="16"/>
  <c r="N118" i="16"/>
  <c r="O118" i="16"/>
  <c r="P118" i="16"/>
  <c r="Q118" i="16"/>
  <c r="R118" i="16"/>
  <c r="S118" i="16"/>
  <c r="T118" i="16"/>
  <c r="U118" i="16"/>
  <c r="W118" i="16"/>
  <c r="Z118" i="16"/>
  <c r="AC118" i="16"/>
  <c r="AE118" i="16"/>
  <c r="AH118" i="16"/>
  <c r="AL118" i="16"/>
  <c r="V118" i="16"/>
  <c r="X118" i="16"/>
  <c r="Y118" i="16"/>
  <c r="AA118" i="16"/>
  <c r="AB118" i="16"/>
  <c r="AD118" i="16"/>
  <c r="AF118" i="16"/>
  <c r="AG118" i="16"/>
  <c r="AI118" i="16"/>
  <c r="AJ118" i="16"/>
  <c r="AK118" i="16"/>
  <c r="F117" i="16"/>
  <c r="F169" i="16" s="1"/>
  <c r="G117" i="16"/>
  <c r="G169" i="16" s="1"/>
  <c r="H117" i="16"/>
  <c r="H169" i="16" s="1"/>
  <c r="I117" i="16"/>
  <c r="I169" i="16" s="1"/>
  <c r="J117" i="16"/>
  <c r="J169" i="16" s="1"/>
  <c r="K117" i="16"/>
  <c r="K169" i="16" s="1"/>
  <c r="L117" i="16"/>
  <c r="L169" i="16" s="1"/>
  <c r="M117" i="16"/>
  <c r="M169" i="16" s="1"/>
  <c r="N117" i="16"/>
  <c r="N169" i="16" s="1"/>
  <c r="O117" i="16"/>
  <c r="O169" i="16" s="1"/>
  <c r="P117" i="16"/>
  <c r="P169" i="16" s="1"/>
  <c r="Q117" i="16"/>
  <c r="Q169" i="16" s="1"/>
  <c r="R117" i="16"/>
  <c r="R169" i="16" s="1"/>
  <c r="S117" i="16"/>
  <c r="S169" i="16" s="1"/>
  <c r="T117" i="16"/>
  <c r="T169" i="16" s="1"/>
  <c r="U117" i="16"/>
  <c r="U169" i="16" s="1"/>
  <c r="V117" i="16"/>
  <c r="V169" i="16" s="1"/>
  <c r="W117" i="16"/>
  <c r="W169" i="16" s="1"/>
  <c r="X117" i="16"/>
  <c r="X169" i="16" s="1"/>
  <c r="Y117" i="16"/>
  <c r="Y169" i="16" s="1"/>
  <c r="Z117" i="16"/>
  <c r="Z169" i="16" s="1"/>
  <c r="AA117" i="16"/>
  <c r="AA169" i="16" s="1"/>
  <c r="AB117" i="16"/>
  <c r="AB169" i="16" s="1"/>
  <c r="AC117" i="16"/>
  <c r="AC169" i="16" s="1"/>
  <c r="AD117" i="16"/>
  <c r="AD169" i="16" s="1"/>
  <c r="AE117" i="16"/>
  <c r="AE169" i="16" s="1"/>
  <c r="AF117" i="16"/>
  <c r="AF169" i="16" s="1"/>
  <c r="AG117" i="16"/>
  <c r="AG169" i="16" s="1"/>
  <c r="AH117" i="16"/>
  <c r="AH169" i="16" s="1"/>
  <c r="AI117" i="16"/>
  <c r="AI169" i="16" s="1"/>
  <c r="AJ117" i="16"/>
  <c r="AJ169" i="16" s="1"/>
  <c r="AK117" i="16"/>
  <c r="AK169" i="16" s="1"/>
  <c r="AL117" i="16"/>
  <c r="AL169" i="16" s="1"/>
  <c r="F116" i="16"/>
  <c r="F168" i="16" s="1"/>
  <c r="G116" i="16"/>
  <c r="G168" i="16" s="1"/>
  <c r="H116" i="16"/>
  <c r="H168" i="16" s="1"/>
  <c r="I116" i="16"/>
  <c r="I168" i="16" s="1"/>
  <c r="J116" i="16"/>
  <c r="J168" i="16" s="1"/>
  <c r="K116" i="16"/>
  <c r="K168" i="16" s="1"/>
  <c r="L116" i="16"/>
  <c r="L168" i="16" s="1"/>
  <c r="M116" i="16"/>
  <c r="M168" i="16" s="1"/>
  <c r="N116" i="16"/>
  <c r="N168" i="16" s="1"/>
  <c r="O116" i="16"/>
  <c r="O168" i="16" s="1"/>
  <c r="P116" i="16"/>
  <c r="P168" i="16" s="1"/>
  <c r="Q116" i="16"/>
  <c r="Q168" i="16" s="1"/>
  <c r="R116" i="16"/>
  <c r="R168" i="16" s="1"/>
  <c r="S116" i="16"/>
  <c r="S168" i="16" s="1"/>
  <c r="T116" i="16"/>
  <c r="T168" i="16" s="1"/>
  <c r="U116" i="16"/>
  <c r="U168" i="16" s="1"/>
  <c r="V116" i="16"/>
  <c r="V168" i="16" s="1"/>
  <c r="W116" i="16"/>
  <c r="W168" i="16" s="1"/>
  <c r="X116" i="16"/>
  <c r="X168" i="16" s="1"/>
  <c r="Y116" i="16"/>
  <c r="Y168" i="16" s="1"/>
  <c r="Z116" i="16"/>
  <c r="Z168" i="16" s="1"/>
  <c r="AA116" i="16"/>
  <c r="AA168" i="16" s="1"/>
  <c r="AB116" i="16"/>
  <c r="AB168" i="16" s="1"/>
  <c r="AC116" i="16"/>
  <c r="AC168" i="16" s="1"/>
  <c r="AD116" i="16"/>
  <c r="AD168" i="16" s="1"/>
  <c r="AE116" i="16"/>
  <c r="AE168" i="16" s="1"/>
  <c r="AF116" i="16"/>
  <c r="AF168" i="16" s="1"/>
  <c r="AG116" i="16"/>
  <c r="AG168" i="16" s="1"/>
  <c r="AH116" i="16"/>
  <c r="AH168" i="16" s="1"/>
  <c r="AI116" i="16"/>
  <c r="AI168" i="16" s="1"/>
  <c r="AJ116" i="16"/>
  <c r="AJ168" i="16" s="1"/>
  <c r="AK116" i="16"/>
  <c r="AK168" i="16" s="1"/>
  <c r="AL116" i="16"/>
  <c r="AL168" i="16" s="1"/>
  <c r="F115" i="16"/>
  <c r="F167" i="16" s="1"/>
  <c r="G115" i="16"/>
  <c r="G167" i="16" s="1"/>
  <c r="H115" i="16"/>
  <c r="H167" i="16" s="1"/>
  <c r="I115" i="16"/>
  <c r="I167" i="16" s="1"/>
  <c r="J115" i="16"/>
  <c r="J167" i="16" s="1"/>
  <c r="K115" i="16"/>
  <c r="K167" i="16" s="1"/>
  <c r="L115" i="16"/>
  <c r="L167" i="16" s="1"/>
  <c r="M115" i="16"/>
  <c r="M167" i="16" s="1"/>
  <c r="N115" i="16"/>
  <c r="N167" i="16" s="1"/>
  <c r="O115" i="16"/>
  <c r="O167" i="16" s="1"/>
  <c r="P115" i="16"/>
  <c r="P167" i="16" s="1"/>
  <c r="Q115" i="16"/>
  <c r="Q167" i="16" s="1"/>
  <c r="R115" i="16"/>
  <c r="R167" i="16" s="1"/>
  <c r="S115" i="16"/>
  <c r="S167" i="16" s="1"/>
  <c r="T115" i="16"/>
  <c r="T167" i="16" s="1"/>
  <c r="U115" i="16"/>
  <c r="U167" i="16" s="1"/>
  <c r="V115" i="16"/>
  <c r="V167" i="16" s="1"/>
  <c r="W115" i="16"/>
  <c r="W167" i="16" s="1"/>
  <c r="X115" i="16"/>
  <c r="X167" i="16" s="1"/>
  <c r="Y115" i="16"/>
  <c r="Y167" i="16" s="1"/>
  <c r="Z115" i="16"/>
  <c r="Z167" i="16" s="1"/>
  <c r="AA115" i="16"/>
  <c r="AA167" i="16" s="1"/>
  <c r="AB115" i="16"/>
  <c r="AB167" i="16" s="1"/>
  <c r="AC115" i="16"/>
  <c r="AC167" i="16" s="1"/>
  <c r="AD115" i="16"/>
  <c r="AD167" i="16" s="1"/>
  <c r="AE115" i="16"/>
  <c r="AE167" i="16" s="1"/>
  <c r="AF115" i="16"/>
  <c r="AF167" i="16" s="1"/>
  <c r="AG115" i="16"/>
  <c r="AG167" i="16" s="1"/>
  <c r="AH115" i="16"/>
  <c r="AH167" i="16" s="1"/>
  <c r="AI115" i="16"/>
  <c r="AI167" i="16" s="1"/>
  <c r="AJ115" i="16"/>
  <c r="AJ167" i="16" s="1"/>
  <c r="AK115" i="16"/>
  <c r="AK167" i="16" s="1"/>
  <c r="AL115" i="16"/>
  <c r="AL167" i="16" s="1"/>
  <c r="H114" i="16"/>
  <c r="K114" i="16"/>
  <c r="O114" i="16"/>
  <c r="R114" i="16"/>
  <c r="U114" i="16"/>
  <c r="Y114" i="16"/>
  <c r="AC114" i="16"/>
  <c r="AE114" i="16"/>
  <c r="AH114" i="16"/>
  <c r="AI114" i="16"/>
  <c r="AK114" i="16"/>
  <c r="AL114" i="16"/>
  <c r="F114" i="16"/>
  <c r="G114" i="16"/>
  <c r="I114" i="16"/>
  <c r="J114" i="16"/>
  <c r="L114" i="16"/>
  <c r="M114" i="16"/>
  <c r="N114" i="16"/>
  <c r="P114" i="16"/>
  <c r="Q114" i="16"/>
  <c r="S114" i="16"/>
  <c r="T114" i="16"/>
  <c r="V114" i="16"/>
  <c r="W114" i="16"/>
  <c r="X114" i="16"/>
  <c r="Z114" i="16"/>
  <c r="AA114" i="16"/>
  <c r="AB114" i="16"/>
  <c r="AD114" i="16"/>
  <c r="AF114" i="16"/>
  <c r="AG114" i="16"/>
  <c r="AJ114" i="16"/>
  <c r="G113" i="16"/>
  <c r="H113" i="16"/>
  <c r="J113" i="16"/>
  <c r="K113" i="16"/>
  <c r="M113" i="16"/>
  <c r="N113" i="16"/>
  <c r="O113" i="16"/>
  <c r="Q113" i="16"/>
  <c r="S113" i="16"/>
  <c r="T113" i="16"/>
  <c r="U113" i="16"/>
  <c r="W113" i="16"/>
  <c r="X113" i="16"/>
  <c r="Z113" i="16"/>
  <c r="AA113" i="16"/>
  <c r="AC113" i="16"/>
  <c r="AE113" i="16"/>
  <c r="AF113" i="16"/>
  <c r="AH113" i="16"/>
  <c r="AI113" i="16"/>
  <c r="AK113" i="16"/>
  <c r="F113" i="16"/>
  <c r="I113" i="16"/>
  <c r="L113" i="16"/>
  <c r="P113" i="16"/>
  <c r="R113" i="16"/>
  <c r="V113" i="16"/>
  <c r="Y113" i="16"/>
  <c r="AB113" i="16"/>
  <c r="AD113" i="16"/>
  <c r="AG113" i="16"/>
  <c r="AJ113" i="16"/>
  <c r="AL113" i="16"/>
  <c r="F112" i="16"/>
  <c r="G112" i="16"/>
  <c r="H112" i="16"/>
  <c r="I112" i="16"/>
  <c r="J112" i="16"/>
  <c r="K112" i="16"/>
  <c r="L112" i="16"/>
  <c r="M112" i="16"/>
  <c r="N112" i="16"/>
  <c r="O112" i="16"/>
  <c r="P112" i="16"/>
  <c r="Q112" i="16"/>
  <c r="S112" i="16"/>
  <c r="T112" i="16"/>
  <c r="V112" i="16"/>
  <c r="W112" i="16"/>
  <c r="Y112" i="16"/>
  <c r="Z112" i="16"/>
  <c r="AB112" i="16"/>
  <c r="AD112" i="16"/>
  <c r="AE112" i="16"/>
  <c r="AG112" i="16"/>
  <c r="AH112" i="16"/>
  <c r="AI112" i="16"/>
  <c r="AK112" i="16"/>
  <c r="R112" i="16"/>
  <c r="U112" i="16"/>
  <c r="X112" i="16"/>
  <c r="AA112" i="16"/>
  <c r="AC112" i="16"/>
  <c r="AF112" i="16"/>
  <c r="AJ112" i="16"/>
  <c r="AL112" i="16"/>
  <c r="F111" i="16"/>
  <c r="F166" i="16" s="1"/>
  <c r="H111" i="16"/>
  <c r="H166" i="16" s="1"/>
  <c r="I111" i="16"/>
  <c r="I166" i="16" s="1"/>
  <c r="K111" i="16"/>
  <c r="K166" i="16" s="1"/>
  <c r="L111" i="16"/>
  <c r="L166" i="16" s="1"/>
  <c r="M111" i="16"/>
  <c r="M166" i="16" s="1"/>
  <c r="O111" i="16"/>
  <c r="O166" i="16" s="1"/>
  <c r="P111" i="16"/>
  <c r="P166" i="16" s="1"/>
  <c r="R111" i="16"/>
  <c r="S111" i="16"/>
  <c r="S166" i="16" s="1"/>
  <c r="U111" i="16"/>
  <c r="V111" i="16"/>
  <c r="X111" i="16"/>
  <c r="Y111" i="16"/>
  <c r="AA111" i="16"/>
  <c r="AB111" i="16"/>
  <c r="AC111" i="16"/>
  <c r="AE111" i="16"/>
  <c r="AF111" i="16"/>
  <c r="AH111" i="16"/>
  <c r="AI111" i="16"/>
  <c r="AJ111" i="16"/>
  <c r="AK111" i="16"/>
  <c r="AL111" i="16"/>
  <c r="G111" i="16"/>
  <c r="G166" i="16" s="1"/>
  <c r="J111" i="16"/>
  <c r="N111" i="16"/>
  <c r="N166" i="16" s="1"/>
  <c r="Q111" i="16"/>
  <c r="Q166" i="16" s="1"/>
  <c r="T111" i="16"/>
  <c r="W111" i="16"/>
  <c r="Z111" i="16"/>
  <c r="AD111" i="16"/>
  <c r="AG111" i="16"/>
  <c r="F110" i="16"/>
  <c r="H110" i="16"/>
  <c r="I110" i="16"/>
  <c r="J110" i="16"/>
  <c r="K110" i="16"/>
  <c r="M110" i="16"/>
  <c r="O110" i="16"/>
  <c r="P110" i="16"/>
  <c r="R110" i="16"/>
  <c r="T110" i="16"/>
  <c r="U110" i="16"/>
  <c r="W110" i="16"/>
  <c r="X110" i="16"/>
  <c r="Z110" i="16"/>
  <c r="AA110" i="16"/>
  <c r="AC110" i="16"/>
  <c r="AD110" i="16"/>
  <c r="AE110" i="16"/>
  <c r="AG110" i="16"/>
  <c r="AH110" i="16"/>
  <c r="AJ110" i="16"/>
  <c r="AK110" i="16"/>
  <c r="G110" i="16"/>
  <c r="L110" i="16"/>
  <c r="N110" i="16"/>
  <c r="Q110" i="16"/>
  <c r="S110" i="16"/>
  <c r="V110" i="16"/>
  <c r="Y110" i="16"/>
  <c r="AB110" i="16"/>
  <c r="AF110" i="16"/>
  <c r="AI110" i="16"/>
  <c r="AL110" i="16"/>
  <c r="H109" i="16"/>
  <c r="H165" i="16" s="1"/>
  <c r="K109" i="16"/>
  <c r="K165" i="16" s="1"/>
  <c r="O109" i="16"/>
  <c r="O165" i="16" s="1"/>
  <c r="R109" i="16"/>
  <c r="R165" i="16" s="1"/>
  <c r="T109" i="16"/>
  <c r="T165" i="16" s="1"/>
  <c r="W109" i="16"/>
  <c r="W165" i="16" s="1"/>
  <c r="Z109" i="16"/>
  <c r="Z165" i="16" s="1"/>
  <c r="AC109" i="16"/>
  <c r="AC165" i="16" s="1"/>
  <c r="AF109" i="16"/>
  <c r="AH109" i="16"/>
  <c r="AL109" i="16"/>
  <c r="F109" i="16"/>
  <c r="F165" i="16" s="1"/>
  <c r="G109" i="16"/>
  <c r="I109" i="16"/>
  <c r="I165" i="16" s="1"/>
  <c r="J109" i="16"/>
  <c r="J165" i="16" s="1"/>
  <c r="L109" i="16"/>
  <c r="L165" i="16" s="1"/>
  <c r="M109" i="16"/>
  <c r="M165" i="16" s="1"/>
  <c r="N109" i="16"/>
  <c r="N165" i="16" s="1"/>
  <c r="P109" i="16"/>
  <c r="P165" i="16" s="1"/>
  <c r="Q109" i="16"/>
  <c r="Q165" i="16" s="1"/>
  <c r="S109" i="16"/>
  <c r="S165" i="16" s="1"/>
  <c r="U109" i="16"/>
  <c r="U165" i="16" s="1"/>
  <c r="V109" i="16"/>
  <c r="V165" i="16" s="1"/>
  <c r="X109" i="16"/>
  <c r="Y109" i="16"/>
  <c r="AA109" i="16"/>
  <c r="AB109" i="16"/>
  <c r="AD109" i="16"/>
  <c r="AE109" i="16"/>
  <c r="AG109" i="16"/>
  <c r="AI109" i="16"/>
  <c r="AJ109" i="16"/>
  <c r="AK109" i="16"/>
  <c r="G108" i="16"/>
  <c r="H108" i="16"/>
  <c r="J108" i="16"/>
  <c r="L108" i="16"/>
  <c r="N108" i="16"/>
  <c r="P108" i="16"/>
  <c r="R108" i="16"/>
  <c r="S108" i="16"/>
  <c r="U108" i="16"/>
  <c r="V108" i="16"/>
  <c r="X108" i="16"/>
  <c r="Y108" i="16"/>
  <c r="Z108" i="16"/>
  <c r="AB108" i="16"/>
  <c r="AD108" i="16"/>
  <c r="AE108" i="16"/>
  <c r="AG108" i="16"/>
  <c r="AH108" i="16"/>
  <c r="AJ108" i="16"/>
  <c r="AK108" i="16"/>
  <c r="F108" i="16"/>
  <c r="I108" i="16"/>
  <c r="K108" i="16"/>
  <c r="M108" i="16"/>
  <c r="O108" i="16"/>
  <c r="Q108" i="16"/>
  <c r="T108" i="16"/>
  <c r="W108" i="16"/>
  <c r="AA108" i="16"/>
  <c r="AC108" i="16"/>
  <c r="AF108" i="16"/>
  <c r="AI108" i="16"/>
  <c r="AL108" i="16"/>
  <c r="F107" i="16"/>
  <c r="H107" i="16"/>
  <c r="I107" i="16"/>
  <c r="K107" i="16"/>
  <c r="L107" i="16"/>
  <c r="M107" i="16"/>
  <c r="N107" i="16"/>
  <c r="P107" i="16"/>
  <c r="Q107" i="16"/>
  <c r="S107" i="16"/>
  <c r="AB107" i="16"/>
  <c r="AD107" i="16"/>
  <c r="AE107" i="16"/>
  <c r="AG107" i="16"/>
  <c r="AH107" i="16"/>
  <c r="AI107" i="16"/>
  <c r="AK107" i="16"/>
  <c r="G107" i="16"/>
  <c r="J107" i="16"/>
  <c r="O107" i="16"/>
  <c r="R107" i="16"/>
  <c r="T107" i="16"/>
  <c r="U107" i="16"/>
  <c r="V107" i="16"/>
  <c r="W107" i="16"/>
  <c r="X107" i="16"/>
  <c r="Y107" i="16"/>
  <c r="Z107" i="16"/>
  <c r="AA107" i="16"/>
  <c r="AC107" i="16"/>
  <c r="AF107" i="16"/>
  <c r="AJ107" i="16"/>
  <c r="AL107" i="16"/>
  <c r="G106" i="16"/>
  <c r="H106" i="16"/>
  <c r="J106" i="16"/>
  <c r="K106" i="16"/>
  <c r="L106" i="16"/>
  <c r="O106" i="16"/>
  <c r="P106" i="16"/>
  <c r="R106" i="16"/>
  <c r="S106" i="16"/>
  <c r="U106" i="16"/>
  <c r="V106" i="16"/>
  <c r="X106" i="16"/>
  <c r="Y106" i="16"/>
  <c r="AA106" i="16"/>
  <c r="AC106" i="16"/>
  <c r="AE106" i="16"/>
  <c r="AF106" i="16"/>
  <c r="AH106" i="16"/>
  <c r="AI106" i="16"/>
  <c r="AJ106" i="16"/>
  <c r="AK106" i="16"/>
  <c r="AL106" i="16"/>
  <c r="F106" i="16"/>
  <c r="I106" i="16"/>
  <c r="M106" i="16"/>
  <c r="N106" i="16"/>
  <c r="Q106" i="16"/>
  <c r="T106" i="16"/>
  <c r="W106" i="16"/>
  <c r="Z106" i="16"/>
  <c r="AB106" i="16"/>
  <c r="AD106" i="16"/>
  <c r="AG106" i="16"/>
  <c r="G139" i="15"/>
  <c r="G172" i="15" s="1"/>
  <c r="I139" i="15"/>
  <c r="I172" i="15" s="1"/>
  <c r="K139" i="15"/>
  <c r="K172" i="15" s="1"/>
  <c r="L139" i="15"/>
  <c r="L172" i="15" s="1"/>
  <c r="M139" i="15"/>
  <c r="M172" i="15" s="1"/>
  <c r="O139" i="15"/>
  <c r="O172" i="15" s="1"/>
  <c r="Q139" i="15"/>
  <c r="Q172" i="15" s="1"/>
  <c r="S139" i="15"/>
  <c r="S172" i="15" s="1"/>
  <c r="U139" i="15"/>
  <c r="U172" i="15" s="1"/>
  <c r="W139" i="15"/>
  <c r="W172" i="15" s="1"/>
  <c r="Y139" i="15"/>
  <c r="Y172" i="15" s="1"/>
  <c r="AB139" i="15"/>
  <c r="AB172" i="15" s="1"/>
  <c r="AD139" i="15"/>
  <c r="AD172" i="15" s="1"/>
  <c r="AF139" i="15"/>
  <c r="AF172" i="15" s="1"/>
  <c r="AK139" i="15"/>
  <c r="AK172" i="15" s="1"/>
  <c r="AH139" i="15"/>
  <c r="AH172" i="15" s="1"/>
  <c r="AJ139" i="15"/>
  <c r="AJ172" i="15" s="1"/>
  <c r="F139" i="15"/>
  <c r="F172" i="15" s="1"/>
  <c r="H139" i="15"/>
  <c r="H172" i="15" s="1"/>
  <c r="J139" i="15"/>
  <c r="J172" i="15" s="1"/>
  <c r="N139" i="15"/>
  <c r="N172" i="15" s="1"/>
  <c r="P139" i="15"/>
  <c r="P172" i="15" s="1"/>
  <c r="R139" i="15"/>
  <c r="R172" i="15" s="1"/>
  <c r="T139" i="15"/>
  <c r="T172" i="15" s="1"/>
  <c r="V139" i="15"/>
  <c r="V172" i="15" s="1"/>
  <c r="X139" i="15"/>
  <c r="X172" i="15" s="1"/>
  <c r="Z139" i="15"/>
  <c r="Z172" i="15" s="1"/>
  <c r="AA139" i="15"/>
  <c r="AA172" i="15" s="1"/>
  <c r="AC139" i="15"/>
  <c r="AC172" i="15" s="1"/>
  <c r="AE139" i="15"/>
  <c r="AE172" i="15" s="1"/>
  <c r="AG139" i="15"/>
  <c r="AG172" i="15" s="1"/>
  <c r="AI139" i="15"/>
  <c r="AI172" i="15" s="1"/>
  <c r="AL139" i="15"/>
  <c r="AL172" i="15" s="1"/>
  <c r="F119" i="15"/>
  <c r="F170" i="15" s="1"/>
  <c r="G119" i="15"/>
  <c r="G170" i="15" s="1"/>
  <c r="H119" i="15"/>
  <c r="H170" i="15" s="1"/>
  <c r="I119" i="15"/>
  <c r="I170" i="15" s="1"/>
  <c r="J119" i="15"/>
  <c r="J170" i="15" s="1"/>
  <c r="K119" i="15"/>
  <c r="K170" i="15" s="1"/>
  <c r="L119" i="15"/>
  <c r="L170" i="15" s="1"/>
  <c r="M119" i="15"/>
  <c r="M170" i="15" s="1"/>
  <c r="N119" i="15"/>
  <c r="N170" i="15" s="1"/>
  <c r="O119" i="15"/>
  <c r="O170" i="15" s="1"/>
  <c r="P119" i="15"/>
  <c r="P170" i="15" s="1"/>
  <c r="Q119" i="15"/>
  <c r="Q170" i="15" s="1"/>
  <c r="R119" i="15"/>
  <c r="R170" i="15" s="1"/>
  <c r="S119" i="15"/>
  <c r="S170" i="15" s="1"/>
  <c r="T119" i="15"/>
  <c r="T170" i="15" s="1"/>
  <c r="U119" i="15"/>
  <c r="U170" i="15" s="1"/>
  <c r="V119" i="15"/>
  <c r="V170" i="15" s="1"/>
  <c r="W119" i="15"/>
  <c r="W170" i="15" s="1"/>
  <c r="X119" i="15"/>
  <c r="X170" i="15" s="1"/>
  <c r="Y119" i="15"/>
  <c r="Y170" i="15" s="1"/>
  <c r="Z119" i="15"/>
  <c r="Z170" i="15" s="1"/>
  <c r="AA119" i="15"/>
  <c r="AA170" i="15" s="1"/>
  <c r="AB119" i="15"/>
  <c r="AB170" i="15" s="1"/>
  <c r="AC119" i="15"/>
  <c r="AC170" i="15" s="1"/>
  <c r="AD119" i="15"/>
  <c r="AD170" i="15" s="1"/>
  <c r="AE119" i="15"/>
  <c r="AE170" i="15" s="1"/>
  <c r="AF119" i="15"/>
  <c r="AF170" i="15" s="1"/>
  <c r="AG119" i="15"/>
  <c r="AG170" i="15" s="1"/>
  <c r="AH119" i="15"/>
  <c r="AH170" i="15" s="1"/>
  <c r="AI119" i="15"/>
  <c r="AI170" i="15" s="1"/>
  <c r="AJ119" i="15"/>
  <c r="AJ170" i="15" s="1"/>
  <c r="AK119" i="15"/>
  <c r="AK170" i="15" s="1"/>
  <c r="AL119" i="15"/>
  <c r="AL170" i="15" s="1"/>
  <c r="F118" i="15"/>
  <c r="G118" i="15"/>
  <c r="H118" i="15"/>
  <c r="I118" i="15"/>
  <c r="J118" i="15"/>
  <c r="K118" i="15"/>
  <c r="L118" i="15"/>
  <c r="M118" i="15"/>
  <c r="N118" i="15"/>
  <c r="O118" i="15"/>
  <c r="P118" i="15"/>
  <c r="Q118" i="15"/>
  <c r="R118" i="15"/>
  <c r="S118" i="15"/>
  <c r="T118" i="15"/>
  <c r="U118" i="15"/>
  <c r="V118" i="15"/>
  <c r="W118" i="15"/>
  <c r="X118" i="15"/>
  <c r="Y118" i="15"/>
  <c r="Z118" i="15"/>
  <c r="AA118" i="15"/>
  <c r="AB118" i="15"/>
  <c r="AC118" i="15"/>
  <c r="AD118" i="15"/>
  <c r="AE118" i="15"/>
  <c r="AF118" i="15"/>
  <c r="AG118" i="15"/>
  <c r="AH118" i="15"/>
  <c r="AI118" i="15"/>
  <c r="AJ118" i="15"/>
  <c r="AK118" i="15"/>
  <c r="AL118" i="15"/>
  <c r="F117" i="15"/>
  <c r="F169" i="15" s="1"/>
  <c r="G117" i="15"/>
  <c r="G169" i="15" s="1"/>
  <c r="H117" i="15"/>
  <c r="H169" i="15" s="1"/>
  <c r="I117" i="15"/>
  <c r="I169" i="15" s="1"/>
  <c r="J117" i="15"/>
  <c r="J169" i="15" s="1"/>
  <c r="K117" i="15"/>
  <c r="K169" i="15" s="1"/>
  <c r="L117" i="15"/>
  <c r="M117" i="15"/>
  <c r="N117" i="15"/>
  <c r="O117" i="15"/>
  <c r="P117" i="15"/>
  <c r="Q117" i="15"/>
  <c r="R117" i="15"/>
  <c r="S117" i="15"/>
  <c r="T117" i="15"/>
  <c r="U117" i="15"/>
  <c r="V117" i="15"/>
  <c r="W117" i="15"/>
  <c r="X117" i="15"/>
  <c r="Y117" i="15"/>
  <c r="Z117" i="15"/>
  <c r="AA117" i="15"/>
  <c r="AB117" i="15"/>
  <c r="AC117" i="15"/>
  <c r="AD117" i="15"/>
  <c r="AE117" i="15"/>
  <c r="AF117" i="15"/>
  <c r="AG117" i="15"/>
  <c r="AH117" i="15"/>
  <c r="AI117" i="15"/>
  <c r="AJ117" i="15"/>
  <c r="AK117" i="15"/>
  <c r="AL117" i="15"/>
  <c r="F116" i="15"/>
  <c r="F168" i="15" s="1"/>
  <c r="G116" i="15"/>
  <c r="G168" i="15" s="1"/>
  <c r="H116" i="15"/>
  <c r="H168" i="15" s="1"/>
  <c r="I116" i="15"/>
  <c r="I168" i="15" s="1"/>
  <c r="J116" i="15"/>
  <c r="J168" i="15" s="1"/>
  <c r="K116" i="15"/>
  <c r="K168" i="15" s="1"/>
  <c r="L116" i="15"/>
  <c r="L168" i="15" s="1"/>
  <c r="M116" i="15"/>
  <c r="M168" i="15" s="1"/>
  <c r="N116" i="15"/>
  <c r="N168" i="15" s="1"/>
  <c r="O116" i="15"/>
  <c r="O168" i="15" s="1"/>
  <c r="P116" i="15"/>
  <c r="P168" i="15" s="1"/>
  <c r="Q116" i="15"/>
  <c r="Q168" i="15" s="1"/>
  <c r="R116" i="15"/>
  <c r="R168" i="15" s="1"/>
  <c r="S116" i="15"/>
  <c r="S168" i="15" s="1"/>
  <c r="T116" i="15"/>
  <c r="T168" i="15" s="1"/>
  <c r="U116" i="15"/>
  <c r="U168" i="15" s="1"/>
  <c r="V116" i="15"/>
  <c r="V168" i="15" s="1"/>
  <c r="W116" i="15"/>
  <c r="W168" i="15" s="1"/>
  <c r="X116" i="15"/>
  <c r="X168" i="15" s="1"/>
  <c r="Y116" i="15"/>
  <c r="Y168" i="15" s="1"/>
  <c r="Z116" i="15"/>
  <c r="Z168" i="15" s="1"/>
  <c r="AA116" i="15"/>
  <c r="AA168" i="15" s="1"/>
  <c r="AB116" i="15"/>
  <c r="AB168" i="15" s="1"/>
  <c r="AC116" i="15"/>
  <c r="AC168" i="15" s="1"/>
  <c r="AD116" i="15"/>
  <c r="AD168" i="15" s="1"/>
  <c r="AE116" i="15"/>
  <c r="AE168" i="15" s="1"/>
  <c r="AF116" i="15"/>
  <c r="AF168" i="15" s="1"/>
  <c r="AG116" i="15"/>
  <c r="AG168" i="15" s="1"/>
  <c r="AH116" i="15"/>
  <c r="AH168" i="15" s="1"/>
  <c r="AI116" i="15"/>
  <c r="AI168" i="15" s="1"/>
  <c r="AJ116" i="15"/>
  <c r="AJ168" i="15" s="1"/>
  <c r="AK116" i="15"/>
  <c r="AK168" i="15" s="1"/>
  <c r="AL116" i="15"/>
  <c r="AL168" i="15" s="1"/>
  <c r="F115" i="15"/>
  <c r="F167" i="15" s="1"/>
  <c r="G115" i="15"/>
  <c r="G167" i="15" s="1"/>
  <c r="H115" i="15"/>
  <c r="H167" i="15" s="1"/>
  <c r="I115" i="15"/>
  <c r="I167" i="15" s="1"/>
  <c r="J115" i="15"/>
  <c r="J167" i="15" s="1"/>
  <c r="K115" i="15"/>
  <c r="K167" i="15" s="1"/>
  <c r="L115" i="15"/>
  <c r="L167" i="15" s="1"/>
  <c r="M115" i="15"/>
  <c r="M167" i="15" s="1"/>
  <c r="N115" i="15"/>
  <c r="N167" i="15" s="1"/>
  <c r="O115" i="15"/>
  <c r="O167" i="15" s="1"/>
  <c r="P115" i="15"/>
  <c r="P167" i="15" s="1"/>
  <c r="Q115" i="15"/>
  <c r="Q167" i="15" s="1"/>
  <c r="R115" i="15"/>
  <c r="R167" i="15" s="1"/>
  <c r="S115" i="15"/>
  <c r="S167" i="15" s="1"/>
  <c r="T115" i="15"/>
  <c r="T167" i="15" s="1"/>
  <c r="U115" i="15"/>
  <c r="U167" i="15" s="1"/>
  <c r="V115" i="15"/>
  <c r="V167" i="15" s="1"/>
  <c r="W115" i="15"/>
  <c r="W167" i="15" s="1"/>
  <c r="X115" i="15"/>
  <c r="X167" i="15" s="1"/>
  <c r="Y115" i="15"/>
  <c r="Y167" i="15" s="1"/>
  <c r="Z115" i="15"/>
  <c r="Z167" i="15" s="1"/>
  <c r="AA115" i="15"/>
  <c r="AA167" i="15" s="1"/>
  <c r="AB115" i="15"/>
  <c r="AB167" i="15" s="1"/>
  <c r="AC115" i="15"/>
  <c r="AC167" i="15" s="1"/>
  <c r="AD115" i="15"/>
  <c r="AD167" i="15" s="1"/>
  <c r="AE115" i="15"/>
  <c r="AE167" i="15" s="1"/>
  <c r="AF115" i="15"/>
  <c r="AF167" i="15" s="1"/>
  <c r="AG115" i="15"/>
  <c r="AG167" i="15" s="1"/>
  <c r="AH115" i="15"/>
  <c r="AH167" i="15" s="1"/>
  <c r="AI115" i="15"/>
  <c r="AI167" i="15" s="1"/>
  <c r="AJ115" i="15"/>
  <c r="AJ167" i="15" s="1"/>
  <c r="AK115" i="15"/>
  <c r="AK167" i="15" s="1"/>
  <c r="AL115" i="15"/>
  <c r="AL167" i="15" s="1"/>
  <c r="F114" i="15"/>
  <c r="G114" i="15"/>
  <c r="H114" i="15"/>
  <c r="I114" i="15"/>
  <c r="J114" i="15"/>
  <c r="K114" i="15"/>
  <c r="L114" i="15"/>
  <c r="M114" i="15"/>
  <c r="N114" i="15"/>
  <c r="O114" i="15"/>
  <c r="P114" i="15"/>
  <c r="Q114" i="15"/>
  <c r="R114" i="15"/>
  <c r="S114" i="15"/>
  <c r="T114" i="15"/>
  <c r="U114" i="15"/>
  <c r="V114" i="15"/>
  <c r="W114" i="15"/>
  <c r="X114" i="15"/>
  <c r="Y114" i="15"/>
  <c r="Z114" i="15"/>
  <c r="AA114" i="15"/>
  <c r="AB114" i="15"/>
  <c r="AC114" i="15"/>
  <c r="AD114" i="15"/>
  <c r="AE114" i="15"/>
  <c r="AF114" i="15"/>
  <c r="AG114" i="15"/>
  <c r="AH114" i="15"/>
  <c r="AI114" i="15"/>
  <c r="AJ114" i="15"/>
  <c r="AK114" i="15"/>
  <c r="AL114" i="15"/>
  <c r="F113" i="15"/>
  <c r="G113" i="15"/>
  <c r="H113" i="15"/>
  <c r="I113" i="15"/>
  <c r="J113" i="15"/>
  <c r="K113" i="15"/>
  <c r="L113" i="15"/>
  <c r="M113" i="15"/>
  <c r="N113" i="15"/>
  <c r="O113" i="15"/>
  <c r="P113" i="15"/>
  <c r="Q113" i="15"/>
  <c r="R113" i="15"/>
  <c r="S113" i="15"/>
  <c r="T113" i="15"/>
  <c r="U113" i="15"/>
  <c r="V113" i="15"/>
  <c r="W113" i="15"/>
  <c r="X113" i="15"/>
  <c r="Y113" i="15"/>
  <c r="Z113" i="15"/>
  <c r="AA113" i="15"/>
  <c r="AB113" i="15"/>
  <c r="AC113" i="15"/>
  <c r="AD113" i="15"/>
  <c r="AE113" i="15"/>
  <c r="AF113" i="15"/>
  <c r="AG113" i="15"/>
  <c r="AH113" i="15"/>
  <c r="AI113" i="15"/>
  <c r="AJ113" i="15"/>
  <c r="AK113" i="15"/>
  <c r="AL113" i="15"/>
  <c r="F112" i="15"/>
  <c r="G112" i="15"/>
  <c r="H112" i="15"/>
  <c r="I112" i="15"/>
  <c r="J112" i="15"/>
  <c r="K112" i="15"/>
  <c r="L112" i="15"/>
  <c r="M112" i="15"/>
  <c r="N112" i="15"/>
  <c r="O112" i="15"/>
  <c r="P112" i="15"/>
  <c r="Q112" i="15"/>
  <c r="R112" i="15"/>
  <c r="S112" i="15"/>
  <c r="T112" i="15"/>
  <c r="U112" i="15"/>
  <c r="V112" i="15"/>
  <c r="W112" i="15"/>
  <c r="X112" i="15"/>
  <c r="Y112" i="15"/>
  <c r="Z112" i="15"/>
  <c r="AA112" i="15"/>
  <c r="AB112" i="15"/>
  <c r="AC112" i="15"/>
  <c r="AD112" i="15"/>
  <c r="AE112" i="15"/>
  <c r="AF112" i="15"/>
  <c r="AG112" i="15"/>
  <c r="AH112" i="15"/>
  <c r="AI112" i="15"/>
  <c r="AJ112" i="15"/>
  <c r="AK112" i="15"/>
  <c r="AL112" i="15"/>
  <c r="F111" i="15"/>
  <c r="G111" i="15"/>
  <c r="H111" i="15"/>
  <c r="I111" i="15"/>
  <c r="J111" i="15"/>
  <c r="K111" i="15"/>
  <c r="L111" i="15"/>
  <c r="M111" i="15"/>
  <c r="N111" i="15"/>
  <c r="O111" i="15"/>
  <c r="P111" i="15"/>
  <c r="Q111" i="15"/>
  <c r="R111" i="15"/>
  <c r="S111" i="15"/>
  <c r="T111" i="15"/>
  <c r="U111" i="15"/>
  <c r="V111" i="15"/>
  <c r="W111" i="15"/>
  <c r="X111" i="15"/>
  <c r="Y111" i="15"/>
  <c r="Z111" i="15"/>
  <c r="AA111" i="15"/>
  <c r="AB111" i="15"/>
  <c r="AC111" i="15"/>
  <c r="AD111" i="15"/>
  <c r="AE111" i="15"/>
  <c r="AF111" i="15"/>
  <c r="AG111" i="15"/>
  <c r="AH111" i="15"/>
  <c r="AI111" i="15"/>
  <c r="AJ111" i="15"/>
  <c r="AK111" i="15"/>
  <c r="AL111" i="15"/>
  <c r="F110" i="15"/>
  <c r="G110" i="15"/>
  <c r="H110" i="15"/>
  <c r="I110" i="15"/>
  <c r="J110" i="15"/>
  <c r="K110" i="15"/>
  <c r="L110" i="15"/>
  <c r="M110" i="15"/>
  <c r="N110" i="15"/>
  <c r="O110" i="15"/>
  <c r="P110" i="15"/>
  <c r="Q110" i="15"/>
  <c r="R110" i="15"/>
  <c r="S110" i="15"/>
  <c r="T110" i="15"/>
  <c r="U110" i="15"/>
  <c r="V110" i="15"/>
  <c r="W110" i="15"/>
  <c r="X110" i="15"/>
  <c r="Y110" i="15"/>
  <c r="Z110" i="15"/>
  <c r="AA110" i="15"/>
  <c r="AB110" i="15"/>
  <c r="AC110" i="15"/>
  <c r="AD110" i="15"/>
  <c r="AE110" i="15"/>
  <c r="AF110" i="15"/>
  <c r="AG110" i="15"/>
  <c r="AH110" i="15"/>
  <c r="AI110" i="15"/>
  <c r="AJ110" i="15"/>
  <c r="AK110" i="15"/>
  <c r="AL110" i="15"/>
  <c r="F109" i="15"/>
  <c r="F165" i="15" s="1"/>
  <c r="G109" i="15"/>
  <c r="G165" i="15" s="1"/>
  <c r="H109" i="15"/>
  <c r="H165" i="15" s="1"/>
  <c r="I109" i="15"/>
  <c r="I165" i="15" s="1"/>
  <c r="J109" i="15"/>
  <c r="J165" i="15" s="1"/>
  <c r="K109" i="15"/>
  <c r="K165" i="15" s="1"/>
  <c r="L109" i="15"/>
  <c r="L165" i="15" s="1"/>
  <c r="M109" i="15"/>
  <c r="M165" i="15" s="1"/>
  <c r="N109" i="15"/>
  <c r="N165" i="15" s="1"/>
  <c r="O109" i="15"/>
  <c r="O165" i="15" s="1"/>
  <c r="P109" i="15"/>
  <c r="P165" i="15" s="1"/>
  <c r="Q109" i="15"/>
  <c r="Q165" i="15" s="1"/>
  <c r="R109" i="15"/>
  <c r="R165" i="15" s="1"/>
  <c r="S109" i="15"/>
  <c r="S165" i="15" s="1"/>
  <c r="T109" i="15"/>
  <c r="T165" i="15" s="1"/>
  <c r="U109" i="15"/>
  <c r="U165" i="15" s="1"/>
  <c r="V109" i="15"/>
  <c r="V165" i="15" s="1"/>
  <c r="W109" i="15"/>
  <c r="W165" i="15" s="1"/>
  <c r="X109" i="15"/>
  <c r="X165" i="15" s="1"/>
  <c r="Y109" i="15"/>
  <c r="Y165" i="15" s="1"/>
  <c r="Z109" i="15"/>
  <c r="Z165" i="15" s="1"/>
  <c r="AA109" i="15"/>
  <c r="AA165" i="15" s="1"/>
  <c r="AB109" i="15"/>
  <c r="AB165" i="15" s="1"/>
  <c r="AC109" i="15"/>
  <c r="AC165" i="15" s="1"/>
  <c r="AD109" i="15"/>
  <c r="AD165" i="15" s="1"/>
  <c r="AE109" i="15"/>
  <c r="AE165" i="15" s="1"/>
  <c r="AF109" i="15"/>
  <c r="AF165" i="15" s="1"/>
  <c r="AG109" i="15"/>
  <c r="AG165" i="15" s="1"/>
  <c r="AH109" i="15"/>
  <c r="AH165" i="15" s="1"/>
  <c r="AI109" i="15"/>
  <c r="AI165" i="15" s="1"/>
  <c r="AJ109" i="15"/>
  <c r="AJ165" i="15" s="1"/>
  <c r="AK109" i="15"/>
  <c r="AK165" i="15" s="1"/>
  <c r="AL109" i="15"/>
  <c r="AL165" i="15" s="1"/>
  <c r="F108" i="15"/>
  <c r="G108" i="15"/>
  <c r="H108" i="15"/>
  <c r="I108" i="15"/>
  <c r="J108" i="15"/>
  <c r="K108" i="15"/>
  <c r="L108" i="15"/>
  <c r="M108" i="15"/>
  <c r="N108" i="15"/>
  <c r="O108" i="15"/>
  <c r="P108" i="15"/>
  <c r="Q108" i="15"/>
  <c r="R108" i="15"/>
  <c r="S108" i="15"/>
  <c r="T108" i="15"/>
  <c r="U108" i="15"/>
  <c r="V108" i="15"/>
  <c r="W108" i="15"/>
  <c r="X108" i="15"/>
  <c r="Y108" i="15"/>
  <c r="Z108" i="15"/>
  <c r="AA108" i="15"/>
  <c r="AB108" i="15"/>
  <c r="AC108" i="15"/>
  <c r="AD108" i="15"/>
  <c r="AE108" i="15"/>
  <c r="AF108" i="15"/>
  <c r="AG108" i="15"/>
  <c r="AH108" i="15"/>
  <c r="AI108" i="15"/>
  <c r="AJ108" i="15"/>
  <c r="AK108" i="15"/>
  <c r="AL108" i="15"/>
  <c r="F107" i="15"/>
  <c r="G107" i="15"/>
  <c r="H107" i="15"/>
  <c r="I107" i="15"/>
  <c r="J107" i="15"/>
  <c r="K107" i="15"/>
  <c r="L107" i="15"/>
  <c r="M107" i="15"/>
  <c r="N107" i="15"/>
  <c r="O107" i="15"/>
  <c r="P107" i="15"/>
  <c r="Q107" i="15"/>
  <c r="R107" i="15"/>
  <c r="S107" i="15"/>
  <c r="T107" i="15"/>
  <c r="U107" i="15"/>
  <c r="V107" i="15"/>
  <c r="W107" i="15"/>
  <c r="X107" i="15"/>
  <c r="Y107" i="15"/>
  <c r="Z107" i="15"/>
  <c r="AA107" i="15"/>
  <c r="AB107" i="15"/>
  <c r="AC107" i="15"/>
  <c r="AD107" i="15"/>
  <c r="AE107" i="15"/>
  <c r="AF107" i="15"/>
  <c r="AG107" i="15"/>
  <c r="AH107" i="15"/>
  <c r="AI107" i="15"/>
  <c r="AJ107" i="15"/>
  <c r="AK107" i="15"/>
  <c r="AL107" i="15"/>
  <c r="F106" i="15"/>
  <c r="G106" i="15"/>
  <c r="H106" i="15"/>
  <c r="I106" i="15"/>
  <c r="J106" i="15"/>
  <c r="K106" i="15"/>
  <c r="L106" i="15"/>
  <c r="M106" i="15"/>
  <c r="N106" i="15"/>
  <c r="O106" i="15"/>
  <c r="P106" i="15"/>
  <c r="Q106" i="15"/>
  <c r="R106" i="15"/>
  <c r="S106" i="15"/>
  <c r="T106" i="15"/>
  <c r="U106" i="15"/>
  <c r="V106" i="15"/>
  <c r="W106" i="15"/>
  <c r="X106" i="15"/>
  <c r="Y106" i="15"/>
  <c r="Z106" i="15"/>
  <c r="AA106" i="15"/>
  <c r="AB106" i="15"/>
  <c r="AC106" i="15"/>
  <c r="AD106" i="15"/>
  <c r="AE106" i="15"/>
  <c r="AF106" i="15"/>
  <c r="AG106" i="15"/>
  <c r="AH106" i="15"/>
  <c r="AI106" i="15"/>
  <c r="AJ106" i="15"/>
  <c r="AK106" i="15"/>
  <c r="AL106" i="15"/>
  <c r="E122" i="1"/>
  <c r="D123" i="1"/>
  <c r="D122" i="1" s="1"/>
  <c r="E102" i="1"/>
  <c r="D103" i="1"/>
  <c r="D102" i="1" s="1"/>
  <c r="E98" i="1"/>
  <c r="D99" i="1"/>
  <c r="D98" i="1" s="1"/>
  <c r="K19" i="12"/>
  <c r="L15" i="12"/>
  <c r="L19" i="12" s="1"/>
  <c r="L22" i="12" s="1"/>
  <c r="K30" i="12"/>
  <c r="K22" i="12"/>
  <c r="C36" i="12" s="1"/>
  <c r="D36" i="12" s="1"/>
  <c r="E95" i="1" s="1"/>
  <c r="F26" i="11"/>
  <c r="F29" i="11" s="1"/>
  <c r="D37" i="11" s="1"/>
  <c r="F37" i="11" s="1"/>
  <c r="E29" i="11"/>
  <c r="G52" i="10"/>
  <c r="H52" i="10" s="1"/>
  <c r="C66" i="10" s="1"/>
  <c r="J52" i="10"/>
  <c r="K52" i="10" s="1"/>
  <c r="E66" i="10" s="1"/>
  <c r="E67" i="10" s="1"/>
  <c r="E84" i="1" s="1"/>
  <c r="D84" i="1" s="1"/>
  <c r="M52" i="10"/>
  <c r="N52" i="10" s="1"/>
  <c r="D66" i="10" s="1"/>
  <c r="E42" i="10"/>
  <c r="F33" i="10"/>
  <c r="F18" i="10"/>
  <c r="E21" i="10"/>
  <c r="F63" i="10"/>
  <c r="F37" i="9"/>
  <c r="C44" i="9"/>
  <c r="F35" i="9"/>
  <c r="C43" i="9"/>
  <c r="C42" i="9"/>
  <c r="F32" i="9"/>
  <c r="C41" i="9"/>
  <c r="D31" i="8"/>
  <c r="E31" i="8"/>
  <c r="F31" i="8"/>
  <c r="C31" i="8"/>
  <c r="G31" i="8" s="1"/>
  <c r="H31" i="8" s="1"/>
  <c r="D39" i="8"/>
  <c r="G39" i="8" s="1"/>
  <c r="H39" i="8" s="1"/>
  <c r="D40" i="8"/>
  <c r="F39" i="8"/>
  <c r="F38" i="8"/>
  <c r="G38" i="8" s="1"/>
  <c r="H38" i="8" s="1"/>
  <c r="C40" i="8"/>
  <c r="G40" i="8" s="1"/>
  <c r="H40" i="8" s="1"/>
  <c r="E40" i="8"/>
  <c r="F40" i="8"/>
  <c r="D15" i="8"/>
  <c r="C15" i="8"/>
  <c r="F20" i="8"/>
  <c r="F14" i="8"/>
  <c r="E14" i="8"/>
  <c r="D14" i="8"/>
  <c r="C14" i="8"/>
  <c r="G14" i="8" s="1"/>
  <c r="H14" i="8" s="1"/>
  <c r="F13" i="8"/>
  <c r="E13" i="8"/>
  <c r="D13" i="8"/>
  <c r="F22" i="8"/>
  <c r="E22" i="8"/>
  <c r="D22" i="8"/>
  <c r="C22" i="8"/>
  <c r="G22" i="8" s="1"/>
  <c r="H22" i="8" s="1"/>
  <c r="F21" i="8"/>
  <c r="E21" i="8"/>
  <c r="D21" i="8"/>
  <c r="C21" i="8"/>
  <c r="G21" i="8" s="1"/>
  <c r="H21" i="8" s="1"/>
  <c r="C13" i="8"/>
  <c r="E20" i="8"/>
  <c r="D20" i="8"/>
  <c r="C20" i="8"/>
  <c r="F19" i="8"/>
  <c r="E19" i="8"/>
  <c r="D19" i="8"/>
  <c r="C19" i="8"/>
  <c r="G19" i="8" s="1"/>
  <c r="H19" i="8" s="1"/>
  <c r="F18" i="8"/>
  <c r="E18" i="8"/>
  <c r="D18" i="8"/>
  <c r="C18" i="8"/>
  <c r="G18" i="8" s="1"/>
  <c r="H18" i="8" s="1"/>
  <c r="F17" i="8"/>
  <c r="E17" i="8"/>
  <c r="D17" i="8"/>
  <c r="C17" i="8"/>
  <c r="F16" i="8"/>
  <c r="E16" i="8"/>
  <c r="D16" i="8"/>
  <c r="C16" i="8"/>
  <c r="G16" i="8" s="1"/>
  <c r="H16" i="8" s="1"/>
  <c r="F15" i="8"/>
  <c r="E15" i="8"/>
  <c r="G30" i="8"/>
  <c r="C41" i="8"/>
  <c r="C42" i="8" s="1"/>
  <c r="E62" i="1" s="1"/>
  <c r="D62" i="1" s="1"/>
  <c r="F50" i="7"/>
  <c r="C57" i="7"/>
  <c r="F57" i="7" s="1"/>
  <c r="F49" i="7"/>
  <c r="C56" i="7"/>
  <c r="F48" i="7"/>
  <c r="F52" i="7" s="1"/>
  <c r="C55" i="7"/>
  <c r="C132" i="6"/>
  <c r="G94" i="6"/>
  <c r="E94" i="6"/>
  <c r="E91" i="6"/>
  <c r="G91" i="6" s="1"/>
  <c r="E89" i="6"/>
  <c r="G89" i="6" s="1"/>
  <c r="I89" i="6" s="1"/>
  <c r="D119" i="6" s="1"/>
  <c r="E87" i="6"/>
  <c r="G87" i="6" s="1"/>
  <c r="E86" i="6"/>
  <c r="G86" i="6" s="1"/>
  <c r="I86" i="6" s="1"/>
  <c r="D116" i="6" s="1"/>
  <c r="E85" i="6"/>
  <c r="G85" i="6" s="1"/>
  <c r="E84" i="6"/>
  <c r="G84" i="6" s="1"/>
  <c r="E79" i="6"/>
  <c r="G79" i="6" s="1"/>
  <c r="E78" i="6"/>
  <c r="G78" i="6" s="1"/>
  <c r="E76" i="6"/>
  <c r="G76" i="6" s="1"/>
  <c r="E75" i="6"/>
  <c r="G75" i="6" s="1"/>
  <c r="E72" i="6"/>
  <c r="G72" i="6" s="1"/>
  <c r="G63" i="6"/>
  <c r="E63" i="6"/>
  <c r="E60" i="6"/>
  <c r="G60" i="6" s="1"/>
  <c r="E58" i="6"/>
  <c r="G58" i="6" s="1"/>
  <c r="E56" i="6"/>
  <c r="G56" i="6"/>
  <c r="E55" i="6"/>
  <c r="G55" i="6" s="1"/>
  <c r="E54" i="6"/>
  <c r="G54" i="6" s="1"/>
  <c r="E53" i="6"/>
  <c r="G53" i="6" s="1"/>
  <c r="E48" i="6"/>
  <c r="G48" i="6" s="1"/>
  <c r="E47" i="6"/>
  <c r="G47" i="6" s="1"/>
  <c r="E45" i="6"/>
  <c r="G45" i="6" s="1"/>
  <c r="E44" i="6"/>
  <c r="G44" i="6" s="1"/>
  <c r="H48" i="6"/>
  <c r="H56" i="6"/>
  <c r="H60" i="6"/>
  <c r="H47" i="6"/>
  <c r="H57" i="6"/>
  <c r="H58" i="6"/>
  <c r="H46" i="6"/>
  <c r="H59" i="6"/>
  <c r="H45" i="6"/>
  <c r="H63" i="6"/>
  <c r="H62" i="6"/>
  <c r="H61" i="6"/>
  <c r="H54" i="6"/>
  <c r="H49" i="6"/>
  <c r="H55" i="6"/>
  <c r="H52" i="6"/>
  <c r="H43" i="6"/>
  <c r="H51" i="6"/>
  <c r="H53" i="6"/>
  <c r="H50" i="6"/>
  <c r="H44" i="6"/>
  <c r="H94" i="6"/>
  <c r="H93" i="6"/>
  <c r="H78" i="6"/>
  <c r="H92" i="6"/>
  <c r="H77" i="6"/>
  <c r="H91" i="6"/>
  <c r="H90" i="6"/>
  <c r="H83" i="6"/>
  <c r="H89" i="6"/>
  <c r="H88" i="6"/>
  <c r="H76" i="6"/>
  <c r="H87" i="6"/>
  <c r="H86" i="6"/>
  <c r="H85" i="6"/>
  <c r="H84" i="6"/>
  <c r="H75" i="6"/>
  <c r="H82" i="6"/>
  <c r="H74" i="6"/>
  <c r="H81" i="6"/>
  <c r="H72" i="6"/>
  <c r="H80" i="6"/>
  <c r="H73" i="6"/>
  <c r="H79" i="6"/>
  <c r="E41" i="6"/>
  <c r="G41" i="6" s="1"/>
  <c r="I41" i="6" s="1"/>
  <c r="C93" i="6"/>
  <c r="C62" i="6"/>
  <c r="E31" i="6"/>
  <c r="G31" i="6" s="1"/>
  <c r="J31" i="6" s="1"/>
  <c r="K31" i="6" s="1"/>
  <c r="C123" i="6" s="1"/>
  <c r="C92" i="6"/>
  <c r="C61" i="6"/>
  <c r="E30" i="6"/>
  <c r="G30" i="6" s="1"/>
  <c r="J30" i="6" s="1"/>
  <c r="K30" i="6" s="1"/>
  <c r="C122" i="6" s="1"/>
  <c r="C90" i="6"/>
  <c r="C59" i="6"/>
  <c r="E28" i="6"/>
  <c r="G28" i="6" s="1"/>
  <c r="J28" i="6" s="1"/>
  <c r="K28" i="6" s="1"/>
  <c r="C120" i="6" s="1"/>
  <c r="C88" i="6"/>
  <c r="E26" i="6"/>
  <c r="G26" i="6" s="1"/>
  <c r="J26" i="6" s="1"/>
  <c r="K26" i="6" s="1"/>
  <c r="C118" i="6" s="1"/>
  <c r="C57" i="6"/>
  <c r="C83" i="6"/>
  <c r="C52" i="6"/>
  <c r="E21" i="6"/>
  <c r="G21" i="6" s="1"/>
  <c r="J21" i="6" s="1"/>
  <c r="K21" i="6" s="1"/>
  <c r="C113" i="6" s="1"/>
  <c r="C82" i="6"/>
  <c r="E20" i="6"/>
  <c r="G20" i="6" s="1"/>
  <c r="J20" i="6" s="1"/>
  <c r="K20" i="6" s="1"/>
  <c r="C112" i="6" s="1"/>
  <c r="C51" i="6"/>
  <c r="C81" i="6"/>
  <c r="C50" i="6"/>
  <c r="E19" i="6"/>
  <c r="G19" i="6" s="1"/>
  <c r="J19" i="6" s="1"/>
  <c r="K19" i="6" s="1"/>
  <c r="C111" i="6" s="1"/>
  <c r="C80" i="6"/>
  <c r="C49" i="6"/>
  <c r="E18" i="6"/>
  <c r="G18" i="6" s="1"/>
  <c r="J18" i="6" s="1"/>
  <c r="K18" i="6" s="1"/>
  <c r="C110" i="6" s="1"/>
  <c r="C77" i="6"/>
  <c r="C46" i="6"/>
  <c r="E15" i="6"/>
  <c r="G15" i="6" s="1"/>
  <c r="J15" i="6" s="1"/>
  <c r="K15" i="6" s="1"/>
  <c r="C107" i="6" s="1"/>
  <c r="C43" i="6"/>
  <c r="E12" i="6"/>
  <c r="G12" i="6" s="1"/>
  <c r="J12" i="6" s="1"/>
  <c r="K12" i="6" s="1"/>
  <c r="C104" i="6" s="1"/>
  <c r="C74" i="6"/>
  <c r="C73" i="6"/>
  <c r="E11" i="6"/>
  <c r="G11" i="6" s="1"/>
  <c r="J11" i="6" s="1"/>
  <c r="K11" i="6" s="1"/>
  <c r="C42" i="6"/>
  <c r="C102" i="6"/>
  <c r="C69" i="5"/>
  <c r="C46" i="5"/>
  <c r="E46" i="5" s="1"/>
  <c r="C31" i="5"/>
  <c r="E31" i="5" s="1"/>
  <c r="C45" i="5"/>
  <c r="E45" i="5" s="1"/>
  <c r="F15" i="5"/>
  <c r="G15" i="5" s="1"/>
  <c r="C60" i="5" s="1"/>
  <c r="C30" i="5"/>
  <c r="E30" i="5" s="1"/>
  <c r="C44" i="5"/>
  <c r="E44" i="5" s="1"/>
  <c r="F14" i="5"/>
  <c r="G14" i="5" s="1"/>
  <c r="C59" i="5" s="1"/>
  <c r="C29" i="5"/>
  <c r="E29" i="5" s="1"/>
  <c r="C43" i="5"/>
  <c r="E43" i="5" s="1"/>
  <c r="C28" i="5"/>
  <c r="E28" i="5" s="1"/>
  <c r="F13" i="5"/>
  <c r="G13" i="5" s="1"/>
  <c r="C58" i="5" s="1"/>
  <c r="F12" i="5"/>
  <c r="G12" i="5" s="1"/>
  <c r="C57" i="5" s="1"/>
  <c r="C27" i="5"/>
  <c r="E27" i="5" s="1"/>
  <c r="C42" i="5"/>
  <c r="E42" i="5" s="1"/>
  <c r="F28" i="5"/>
  <c r="F27" i="5"/>
  <c r="F26" i="5"/>
  <c r="F25" i="5"/>
  <c r="F24" i="5"/>
  <c r="G24" i="5" s="1"/>
  <c r="F31" i="5"/>
  <c r="F30" i="5"/>
  <c r="F29" i="5"/>
  <c r="F11" i="5"/>
  <c r="G11" i="5" s="1"/>
  <c r="C56" i="5" s="1"/>
  <c r="C41" i="5"/>
  <c r="E41" i="5" s="1"/>
  <c r="C26" i="5"/>
  <c r="E26" i="5" s="1"/>
  <c r="F40" i="5"/>
  <c r="F41" i="5"/>
  <c r="F42" i="5"/>
  <c r="F43" i="5"/>
  <c r="F44" i="5"/>
  <c r="F45" i="5"/>
  <c r="F46" i="5"/>
  <c r="F39" i="5"/>
  <c r="G39" i="5" s="1"/>
  <c r="C25" i="5"/>
  <c r="E25" i="5" s="1"/>
  <c r="C40" i="5"/>
  <c r="E40" i="5" s="1"/>
  <c r="F10" i="5"/>
  <c r="G10" i="5" s="1"/>
  <c r="C55" i="5" s="1"/>
  <c r="C54" i="5"/>
  <c r="C61" i="4"/>
  <c r="C40" i="4"/>
  <c r="E40" i="4" s="1"/>
  <c r="C27" i="4"/>
  <c r="E27" i="4" s="1"/>
  <c r="C39" i="4"/>
  <c r="E39" i="4" s="1"/>
  <c r="F13" i="4"/>
  <c r="G13" i="4" s="1"/>
  <c r="C26" i="4"/>
  <c r="E26" i="4" s="1"/>
  <c r="C38" i="4"/>
  <c r="E38" i="4" s="1"/>
  <c r="C25" i="4"/>
  <c r="E25" i="4" s="1"/>
  <c r="F12" i="4"/>
  <c r="G12" i="4" s="1"/>
  <c r="C51" i="4" s="1"/>
  <c r="F26" i="4"/>
  <c r="F25" i="4"/>
  <c r="F27" i="4"/>
  <c r="F24" i="4"/>
  <c r="F23" i="4"/>
  <c r="F22" i="4"/>
  <c r="G22" i="4" s="1"/>
  <c r="C24" i="4"/>
  <c r="E24" i="4" s="1"/>
  <c r="C37" i="4"/>
  <c r="E37" i="4" s="1"/>
  <c r="F11" i="4"/>
  <c r="G11" i="4" s="1"/>
  <c r="C50" i="4" s="1"/>
  <c r="F36" i="4"/>
  <c r="F37" i="4"/>
  <c r="F35" i="4"/>
  <c r="G35" i="4" s="1"/>
  <c r="F38" i="4"/>
  <c r="F39" i="4"/>
  <c r="F40" i="4"/>
  <c r="C36" i="4"/>
  <c r="E36" i="4" s="1"/>
  <c r="C23" i="4"/>
  <c r="E23" i="4" s="1"/>
  <c r="F10" i="4"/>
  <c r="G10" i="4" s="1"/>
  <c r="C49" i="4" s="1"/>
  <c r="C48" i="4"/>
  <c r="C53" i="3"/>
  <c r="C60" i="3" s="1"/>
  <c r="O52" i="3"/>
  <c r="L264" i="2"/>
  <c r="L255" i="2"/>
  <c r="L246" i="2"/>
  <c r="N115" i="2"/>
  <c r="L116" i="2"/>
  <c r="O115" i="2"/>
  <c r="M115" i="2"/>
  <c r="L112" i="2"/>
  <c r="O111" i="2"/>
  <c r="N111" i="2"/>
  <c r="M111" i="2"/>
  <c r="O103" i="2"/>
  <c r="M103" i="2"/>
  <c r="N103" i="2"/>
  <c r="O102" i="2"/>
  <c r="O245" i="2" s="1"/>
  <c r="O254" i="2" s="1"/>
  <c r="O263" i="2" s="1"/>
  <c r="N102" i="2"/>
  <c r="N245" i="2" s="1"/>
  <c r="N254" i="2" s="1"/>
  <c r="N263" i="2" s="1"/>
  <c r="M102" i="2"/>
  <c r="L97" i="2"/>
  <c r="M96" i="2" s="1"/>
  <c r="M95" i="2"/>
  <c r="L89" i="2"/>
  <c r="M88" i="2" s="1"/>
  <c r="M87" i="2"/>
  <c r="L81" i="2"/>
  <c r="M81" i="2" s="1"/>
  <c r="M80" i="2"/>
  <c r="L77" i="2"/>
  <c r="M77" i="2" s="1"/>
  <c r="M75" i="2"/>
  <c r="L70" i="2"/>
  <c r="M69" i="2"/>
  <c r="O64" i="2"/>
  <c r="M64" i="2"/>
  <c r="N64" i="2"/>
  <c r="L65" i="2"/>
  <c r="L55" i="2"/>
  <c r="L51" i="2"/>
  <c r="O49" i="2"/>
  <c r="N49" i="2"/>
  <c r="M49" i="2"/>
  <c r="L47" i="2"/>
  <c r="O45" i="2"/>
  <c r="N45" i="2"/>
  <c r="M45" i="2"/>
  <c r="L242" i="2"/>
  <c r="L251" i="2"/>
  <c r="L260" i="2"/>
  <c r="M25" i="2"/>
  <c r="O236" i="2"/>
  <c r="N236" i="2"/>
  <c r="L243" i="2"/>
  <c r="L261" i="2"/>
  <c r="L269" i="2" s="1"/>
  <c r="L252" i="2"/>
  <c r="L253" i="2"/>
  <c r="L15" i="2"/>
  <c r="O14" i="2"/>
  <c r="N14" i="2"/>
  <c r="M14" i="2"/>
  <c r="L262" i="2"/>
  <c r="L244" i="2"/>
  <c r="AJ160" i="16"/>
  <c r="V160" i="16"/>
  <c r="M160" i="16"/>
  <c r="F160" i="16"/>
  <c r="E135" i="16"/>
  <c r="E126" i="16"/>
  <c r="AL160" i="15"/>
  <c r="AK160" i="15"/>
  <c r="AJ160" i="15"/>
  <c r="AI160" i="15"/>
  <c r="AH160" i="15"/>
  <c r="AG160" i="15"/>
  <c r="AF160" i="15"/>
  <c r="AE160" i="15"/>
  <c r="AD160" i="15"/>
  <c r="AC160" i="15"/>
  <c r="AB160" i="15"/>
  <c r="AA160" i="15"/>
  <c r="Z160" i="15"/>
  <c r="Y160" i="15"/>
  <c r="X160" i="15"/>
  <c r="W160" i="15"/>
  <c r="V160" i="15"/>
  <c r="U160" i="15"/>
  <c r="T160" i="15"/>
  <c r="S160" i="15"/>
  <c r="E138" i="15"/>
  <c r="E137" i="15"/>
  <c r="E136" i="15"/>
  <c r="E135" i="15"/>
  <c r="E134" i="15"/>
  <c r="E133" i="15"/>
  <c r="E132" i="15"/>
  <c r="E131" i="15"/>
  <c r="E130" i="15"/>
  <c r="E129" i="15"/>
  <c r="E128" i="15"/>
  <c r="E127" i="15"/>
  <c r="E126" i="15"/>
  <c r="E125" i="15"/>
  <c r="E124" i="15"/>
  <c r="E123" i="15"/>
  <c r="E122" i="15"/>
  <c r="E121" i="15"/>
  <c r="E120" i="15"/>
  <c r="K26" i="14"/>
  <c r="E117" i="1" s="1"/>
  <c r="E134" i="16"/>
  <c r="E129" i="16"/>
  <c r="E124" i="16"/>
  <c r="N53" i="3"/>
  <c r="N60" i="3" s="1"/>
  <c r="N61" i="3" s="1"/>
  <c r="J53" i="3"/>
  <c r="J60" i="3" s="1"/>
  <c r="J61" i="3" s="1"/>
  <c r="H53" i="3"/>
  <c r="H60" i="3" s="1"/>
  <c r="H61" i="3" s="1"/>
  <c r="E53" i="3"/>
  <c r="E60" i="3" s="1"/>
  <c r="E61" i="3" s="1"/>
  <c r="AL160" i="16"/>
  <c r="AB160" i="16"/>
  <c r="Z160" i="16"/>
  <c r="X160" i="16"/>
  <c r="U160" i="16"/>
  <c r="Q160" i="16"/>
  <c r="O160" i="16"/>
  <c r="K160" i="16"/>
  <c r="I160" i="16"/>
  <c r="E131" i="16"/>
  <c r="E130" i="16"/>
  <c r="E125" i="16"/>
  <c r="E122" i="16"/>
  <c r="M53" i="3"/>
  <c r="M60" i="3" s="1"/>
  <c r="M61" i="3" s="1"/>
  <c r="F53" i="3"/>
  <c r="F60" i="3" s="1"/>
  <c r="F61" i="3" s="1"/>
  <c r="AG160" i="16"/>
  <c r="AD160" i="16"/>
  <c r="W160" i="16"/>
  <c r="E132" i="16"/>
  <c r="E127" i="16"/>
  <c r="E120" i="16"/>
  <c r="AF160" i="16"/>
  <c r="L160" i="16"/>
  <c r="E136" i="16"/>
  <c r="E123" i="16"/>
  <c r="Y160" i="16"/>
  <c r="E137" i="16"/>
  <c r="L53" i="3"/>
  <c r="L60" i="3" s="1"/>
  <c r="L61" i="3" s="1"/>
  <c r="I53" i="3"/>
  <c r="I60" i="3" s="1"/>
  <c r="I61" i="3" s="1"/>
  <c r="G53" i="3"/>
  <c r="G60" i="3" s="1"/>
  <c r="G61" i="3" s="1"/>
  <c r="D53" i="3"/>
  <c r="D60" i="3" s="1"/>
  <c r="D61" i="3" s="1"/>
  <c r="AK160" i="16"/>
  <c r="AE160" i="16"/>
  <c r="AA160" i="16"/>
  <c r="T160" i="16"/>
  <c r="R160" i="16"/>
  <c r="J160" i="16"/>
  <c r="G160" i="16"/>
  <c r="F51" i="7"/>
  <c r="K53" i="3"/>
  <c r="K60" i="3" s="1"/>
  <c r="K61" i="3" s="1"/>
  <c r="O20" i="18"/>
  <c r="P20" i="18" s="1"/>
  <c r="AI160" i="16"/>
  <c r="AC160" i="16"/>
  <c r="N160" i="16"/>
  <c r="E133" i="16"/>
  <c r="E128" i="16"/>
  <c r="E121" i="16"/>
  <c r="AH160" i="16"/>
  <c r="S160" i="16"/>
  <c r="P160" i="16"/>
  <c r="H160" i="16"/>
  <c r="E138" i="16"/>
  <c r="W125" i="17" l="1"/>
  <c r="AA105" i="17" s="1"/>
  <c r="AC105" i="17" s="1"/>
  <c r="C140" i="17"/>
  <c r="C141" i="17"/>
  <c r="G189" i="17"/>
  <c r="C193" i="17" s="1"/>
  <c r="C245" i="17"/>
  <c r="S125" i="17"/>
  <c r="AA104" i="17" s="1"/>
  <c r="U71" i="17"/>
  <c r="E249" i="17" s="1"/>
  <c r="E261" i="17" s="1"/>
  <c r="L194" i="23"/>
  <c r="C253" i="23" s="1"/>
  <c r="F204" i="23"/>
  <c r="C254" i="23"/>
  <c r="G204" i="23"/>
  <c r="E158" i="23"/>
  <c r="I204" i="23"/>
  <c r="F205" i="23"/>
  <c r="J204" i="23"/>
  <c r="G157" i="23"/>
  <c r="G158" i="23" s="1"/>
  <c r="D158" i="23"/>
  <c r="D205" i="23"/>
  <c r="D193" i="23"/>
  <c r="G205" i="23"/>
  <c r="J193" i="23"/>
  <c r="G194" i="23"/>
  <c r="L193" i="23"/>
  <c r="C252" i="23" s="1"/>
  <c r="C251" i="23" s="1"/>
  <c r="I194" i="23"/>
  <c r="L204" i="23"/>
  <c r="C256" i="23" s="1"/>
  <c r="I205" i="23"/>
  <c r="G193" i="23"/>
  <c r="D194" i="23"/>
  <c r="J205" i="23"/>
  <c r="F194" i="23"/>
  <c r="L205" i="23"/>
  <c r="C257" i="23" s="1"/>
  <c r="H156" i="23"/>
  <c r="C279" i="23" s="1"/>
  <c r="J194" i="23"/>
  <c r="D204" i="23"/>
  <c r="F157" i="23"/>
  <c r="F158" i="23" s="1"/>
  <c r="C156" i="23"/>
  <c r="C158" i="23" s="1"/>
  <c r="D35" i="11"/>
  <c r="F35" i="11" s="1"/>
  <c r="D36" i="11"/>
  <c r="F36" i="11" s="1"/>
  <c r="F36" i="9"/>
  <c r="F34" i="9"/>
  <c r="F38" i="9" s="1"/>
  <c r="I55" i="6"/>
  <c r="E116" i="6" s="1"/>
  <c r="I91" i="6"/>
  <c r="D121" i="6" s="1"/>
  <c r="I85" i="6"/>
  <c r="D115" i="6" s="1"/>
  <c r="I79" i="6"/>
  <c r="D109" i="6" s="1"/>
  <c r="I78" i="6"/>
  <c r="D108" i="6" s="1"/>
  <c r="I72" i="6"/>
  <c r="I60" i="6"/>
  <c r="E121" i="6" s="1"/>
  <c r="I76" i="6"/>
  <c r="D106" i="6" s="1"/>
  <c r="I94" i="6"/>
  <c r="D124" i="6" s="1"/>
  <c r="D132" i="6" s="1"/>
  <c r="F121" i="6"/>
  <c r="I58" i="6"/>
  <c r="E119" i="6" s="1"/>
  <c r="F119" i="6" s="1"/>
  <c r="I84" i="6"/>
  <c r="D114" i="6" s="1"/>
  <c r="I53" i="6"/>
  <c r="E114" i="6" s="1"/>
  <c r="I75" i="6"/>
  <c r="D105" i="6" s="1"/>
  <c r="I87" i="6"/>
  <c r="D117" i="6" s="1"/>
  <c r="G17" i="5"/>
  <c r="G26" i="5"/>
  <c r="E56" i="5" s="1"/>
  <c r="G25" i="5"/>
  <c r="E55" i="5" s="1"/>
  <c r="G40" i="5"/>
  <c r="D55" i="5" s="1"/>
  <c r="G39" i="4"/>
  <c r="E52" i="4" s="1"/>
  <c r="G23" i="4"/>
  <c r="D49" i="4" s="1"/>
  <c r="G24" i="4"/>
  <c r="D50" i="4" s="1"/>
  <c r="G36" i="4"/>
  <c r="E49" i="4" s="1"/>
  <c r="G27" i="4"/>
  <c r="D53" i="4" s="1"/>
  <c r="G40" i="4"/>
  <c r="E53" i="4" s="1"/>
  <c r="E61" i="4" s="1"/>
  <c r="F42" i="10"/>
  <c r="D65" i="10" s="1"/>
  <c r="F65" i="10" s="1"/>
  <c r="F21" i="10"/>
  <c r="D64" i="10" s="1"/>
  <c r="E173" i="1"/>
  <c r="D174" i="1" a="1"/>
  <c r="D174" i="1" s="1"/>
  <c r="D173" i="1" s="1"/>
  <c r="N14" i="21"/>
  <c r="F46" i="21" s="1"/>
  <c r="P18" i="21"/>
  <c r="R18" i="21" s="1"/>
  <c r="Z18" i="21" s="1"/>
  <c r="AB18" i="21" s="1"/>
  <c r="F47" i="21" s="1"/>
  <c r="H47" i="21" s="1"/>
  <c r="D162" i="1"/>
  <c r="T26" i="20"/>
  <c r="T64" i="20" s="1"/>
  <c r="D94" i="19" s="1"/>
  <c r="D95" i="19" s="1"/>
  <c r="D96" i="19" s="1"/>
  <c r="D97" i="19" s="1"/>
  <c r="E157" i="1" s="1"/>
  <c r="M64" i="20"/>
  <c r="D83" i="19" s="1"/>
  <c r="D86" i="19" s="1"/>
  <c r="E84" i="19"/>
  <c r="E86" i="19"/>
  <c r="V11" i="19"/>
  <c r="U77" i="19"/>
  <c r="P11" i="19"/>
  <c r="O77" i="19"/>
  <c r="I255" i="17"/>
  <c r="C257" i="17"/>
  <c r="C264" i="17"/>
  <c r="AA212" i="17"/>
  <c r="AA219" i="17" s="1"/>
  <c r="G254" i="17" s="1"/>
  <c r="G263" i="17" s="1"/>
  <c r="E146" i="1" s="1"/>
  <c r="D146" i="1" s="1"/>
  <c r="Y219" i="17"/>
  <c r="G242" i="17" s="1"/>
  <c r="AA201" i="17"/>
  <c r="AA208" i="17" s="1"/>
  <c r="E254" i="17" s="1"/>
  <c r="Y208" i="17"/>
  <c r="E242" i="17" s="1"/>
  <c r="Q161" i="17"/>
  <c r="Q189" i="17" s="1"/>
  <c r="K189" i="17"/>
  <c r="O161" i="17"/>
  <c r="O189" i="17" s="1"/>
  <c r="I189" i="17"/>
  <c r="E193" i="17"/>
  <c r="C152" i="17"/>
  <c r="E131" i="17"/>
  <c r="E139" i="17" s="1"/>
  <c r="Q130" i="17"/>
  <c r="S162" i="17"/>
  <c r="Q77" i="17"/>
  <c r="O98" i="17"/>
  <c r="K17" i="17"/>
  <c r="K36" i="17" s="1"/>
  <c r="E248" i="17" s="1"/>
  <c r="I36" i="17"/>
  <c r="E236" i="17" s="1"/>
  <c r="F196" i="15"/>
  <c r="F164" i="15"/>
  <c r="F175" i="15" s="1"/>
  <c r="F179" i="15" s="1"/>
  <c r="G196" i="15"/>
  <c r="G164" i="15"/>
  <c r="G175" i="15" s="1"/>
  <c r="H164" i="15"/>
  <c r="H175" i="15" s="1"/>
  <c r="H179" i="15" s="1"/>
  <c r="H196" i="15"/>
  <c r="H203" i="15" s="1"/>
  <c r="I196" i="15"/>
  <c r="I164" i="15"/>
  <c r="I175" i="15" s="1"/>
  <c r="I179" i="15" s="1"/>
  <c r="J196" i="15"/>
  <c r="J203" i="15" s="1"/>
  <c r="J164" i="15"/>
  <c r="J175" i="15" s="1"/>
  <c r="K196" i="15"/>
  <c r="K164" i="15"/>
  <c r="K175" i="15" s="1"/>
  <c r="K179" i="15" s="1"/>
  <c r="L164" i="15"/>
  <c r="L175" i="15" s="1"/>
  <c r="L179" i="15" s="1"/>
  <c r="L196" i="15"/>
  <c r="M196" i="15"/>
  <c r="M164" i="15"/>
  <c r="M175" i="15" s="1"/>
  <c r="N196" i="15"/>
  <c r="N164" i="15"/>
  <c r="N175" i="15" s="1"/>
  <c r="N179" i="15" s="1"/>
  <c r="O196" i="15"/>
  <c r="O164" i="15"/>
  <c r="O175" i="15" s="1"/>
  <c r="O179" i="15" s="1"/>
  <c r="P164" i="15"/>
  <c r="P175" i="15" s="1"/>
  <c r="P196" i="15"/>
  <c r="Q196" i="15"/>
  <c r="Q164" i="15"/>
  <c r="Q175" i="15" s="1"/>
  <c r="Q179" i="15" s="1"/>
  <c r="R196" i="15"/>
  <c r="R164" i="15"/>
  <c r="R175" i="15" s="1"/>
  <c r="S164" i="15"/>
  <c r="S175" i="15" s="1"/>
  <c r="S196" i="15"/>
  <c r="T196" i="15"/>
  <c r="T164" i="15"/>
  <c r="T175" i="15" s="1"/>
  <c r="U196" i="15"/>
  <c r="U164" i="15"/>
  <c r="U175" i="15" s="1"/>
  <c r="V196" i="15"/>
  <c r="V164" i="15"/>
  <c r="V175" i="15" s="1"/>
  <c r="W196" i="15"/>
  <c r="W164" i="15"/>
  <c r="W175" i="15" s="1"/>
  <c r="X164" i="15"/>
  <c r="X175" i="15" s="1"/>
  <c r="X196" i="15"/>
  <c r="Y196" i="15"/>
  <c r="Y164" i="15"/>
  <c r="Y175" i="15" s="1"/>
  <c r="Z196" i="15"/>
  <c r="Z164" i="15"/>
  <c r="Z175" i="15" s="1"/>
  <c r="AA196" i="15"/>
  <c r="AA164" i="15"/>
  <c r="AA175" i="15" s="1"/>
  <c r="AB164" i="15"/>
  <c r="AB175" i="15" s="1"/>
  <c r="AB196" i="15"/>
  <c r="AC196" i="15"/>
  <c r="AC164" i="15"/>
  <c r="AC175" i="15" s="1"/>
  <c r="AD196" i="15"/>
  <c r="AD164" i="15"/>
  <c r="AD175" i="15" s="1"/>
  <c r="AE196" i="15"/>
  <c r="AE164" i="15"/>
  <c r="AE175" i="15" s="1"/>
  <c r="AF164" i="15"/>
  <c r="AF175" i="15" s="1"/>
  <c r="AF196" i="15"/>
  <c r="AG196" i="15"/>
  <c r="AG164" i="15"/>
  <c r="AG175" i="15" s="1"/>
  <c r="AH164" i="15"/>
  <c r="AH175" i="15" s="1"/>
  <c r="AI164" i="15"/>
  <c r="AI175" i="15" s="1"/>
  <c r="AJ164" i="15"/>
  <c r="AJ175" i="15" s="1"/>
  <c r="AK164" i="15"/>
  <c r="AK175" i="15" s="1"/>
  <c r="AL164" i="15"/>
  <c r="AL175" i="15" s="1"/>
  <c r="D95" i="1"/>
  <c r="D94" i="1" s="1"/>
  <c r="E94" i="1"/>
  <c r="F66" i="10"/>
  <c r="C67" i="10"/>
  <c r="E82" i="1" s="1"/>
  <c r="F44" i="9"/>
  <c r="E73" i="1"/>
  <c r="F43" i="9"/>
  <c r="E69" i="1"/>
  <c r="F42" i="9"/>
  <c r="E65" i="1"/>
  <c r="F41" i="9"/>
  <c r="E77" i="1"/>
  <c r="G13" i="8"/>
  <c r="C24" i="8"/>
  <c r="C25" i="8" s="1"/>
  <c r="E61" i="1" s="1"/>
  <c r="H30" i="8"/>
  <c r="G41" i="8"/>
  <c r="H42" i="8" s="1"/>
  <c r="F56" i="7"/>
  <c r="E57" i="1"/>
  <c r="F55" i="7"/>
  <c r="F58" i="7" s="1"/>
  <c r="E49" i="1"/>
  <c r="D102" i="6"/>
  <c r="E102" i="6"/>
  <c r="E93" i="6"/>
  <c r="G93" i="6" s="1"/>
  <c r="I93" i="6" s="1"/>
  <c r="D123" i="6" s="1"/>
  <c r="E62" i="6"/>
  <c r="G62" i="6" s="1"/>
  <c r="I62" i="6" s="1"/>
  <c r="E123" i="6" s="1"/>
  <c r="E92" i="6"/>
  <c r="G92" i="6" s="1"/>
  <c r="I92" i="6" s="1"/>
  <c r="D122" i="6" s="1"/>
  <c r="E61" i="6"/>
  <c r="G61" i="6" s="1"/>
  <c r="I61" i="6" s="1"/>
  <c r="E122" i="6" s="1"/>
  <c r="E90" i="6"/>
  <c r="G90" i="6" s="1"/>
  <c r="I90" i="6" s="1"/>
  <c r="D120" i="6" s="1"/>
  <c r="E59" i="6"/>
  <c r="G59" i="6" s="1"/>
  <c r="I59" i="6" s="1"/>
  <c r="E120" i="6" s="1"/>
  <c r="E88" i="6"/>
  <c r="G88" i="6" s="1"/>
  <c r="I88" i="6" s="1"/>
  <c r="D118" i="6" s="1"/>
  <c r="E57" i="6"/>
  <c r="G57" i="6"/>
  <c r="I57" i="6" s="1"/>
  <c r="E118" i="6" s="1"/>
  <c r="E83" i="6"/>
  <c r="G83" i="6" s="1"/>
  <c r="I83" i="6" s="1"/>
  <c r="D113" i="6" s="1"/>
  <c r="E52" i="6"/>
  <c r="G52" i="6" s="1"/>
  <c r="I52" i="6" s="1"/>
  <c r="E113" i="6" s="1"/>
  <c r="E82" i="6"/>
  <c r="G82" i="6" s="1"/>
  <c r="I82" i="6" s="1"/>
  <c r="D112" i="6" s="1"/>
  <c r="E51" i="6"/>
  <c r="G51" i="6" s="1"/>
  <c r="I51" i="6" s="1"/>
  <c r="E112" i="6" s="1"/>
  <c r="E81" i="6"/>
  <c r="G81" i="6"/>
  <c r="I81" i="6" s="1"/>
  <c r="D111" i="6" s="1"/>
  <c r="E50" i="6"/>
  <c r="G50" i="6"/>
  <c r="I50" i="6" s="1"/>
  <c r="E111" i="6" s="1"/>
  <c r="F111" i="6"/>
  <c r="C130" i="6"/>
  <c r="E80" i="6"/>
  <c r="G80" i="6"/>
  <c r="I80" i="6" s="1"/>
  <c r="D110" i="6" s="1"/>
  <c r="E49" i="6"/>
  <c r="G49" i="6" s="1"/>
  <c r="I49" i="6" s="1"/>
  <c r="E110" i="6" s="1"/>
  <c r="E77" i="6"/>
  <c r="G77" i="6" s="1"/>
  <c r="I77" i="6" s="1"/>
  <c r="D107" i="6" s="1"/>
  <c r="E46" i="6"/>
  <c r="G46" i="6" s="1"/>
  <c r="I46" i="6" s="1"/>
  <c r="E107" i="6" s="1"/>
  <c r="E43" i="6"/>
  <c r="G43" i="6" s="1"/>
  <c r="I43" i="6" s="1"/>
  <c r="E104" i="6" s="1"/>
  <c r="C131" i="6"/>
  <c r="E74" i="6"/>
  <c r="G74" i="6" s="1"/>
  <c r="I74" i="6" s="1"/>
  <c r="D104" i="6" s="1"/>
  <c r="E73" i="6"/>
  <c r="G73" i="6"/>
  <c r="I73" i="6" s="1"/>
  <c r="E42" i="6"/>
  <c r="G42" i="6" s="1"/>
  <c r="I42" i="6" s="1"/>
  <c r="C67" i="5"/>
  <c r="E54" i="5"/>
  <c r="E66" i="5" s="1"/>
  <c r="D54" i="5"/>
  <c r="D66" i="5" s="1"/>
  <c r="C68" i="5"/>
  <c r="C66" i="5"/>
  <c r="D48" i="4"/>
  <c r="D58" i="4" s="1"/>
  <c r="E48" i="4"/>
  <c r="E58" i="4" s="1"/>
  <c r="C60" i="4"/>
  <c r="C58" i="4"/>
  <c r="O60" i="3"/>
  <c r="O61" i="3" s="1"/>
  <c r="E29" i="1" s="1"/>
  <c r="D29" i="1" s="1"/>
  <c r="C61" i="3"/>
  <c r="M116" i="2"/>
  <c r="N116" i="2"/>
  <c r="O116" i="2"/>
  <c r="M112" i="2"/>
  <c r="N112" i="2"/>
  <c r="O112" i="2"/>
  <c r="M70" i="2"/>
  <c r="M245" i="2" s="1"/>
  <c r="M254" i="2" s="1"/>
  <c r="M263" i="2" s="1"/>
  <c r="L245" i="2"/>
  <c r="L254" i="2"/>
  <c r="L256" i="2" s="1"/>
  <c r="L263" i="2"/>
  <c r="L270" i="2" s="1"/>
  <c r="M65" i="2"/>
  <c r="N65" i="2"/>
  <c r="O65" i="2"/>
  <c r="L265" i="2"/>
  <c r="L268" i="2"/>
  <c r="L271" i="2" s="1"/>
  <c r="L236" i="2"/>
  <c r="M13" i="2"/>
  <c r="M242" i="2" s="1"/>
  <c r="N13" i="2"/>
  <c r="N242" i="2" s="1"/>
  <c r="O13" i="2"/>
  <c r="O242" i="2" s="1"/>
  <c r="AL135" i="16"/>
  <c r="AK135" i="16"/>
  <c r="AJ135" i="16"/>
  <c r="AI135" i="16"/>
  <c r="AH135" i="16"/>
  <c r="AG135" i="16"/>
  <c r="AF135" i="16"/>
  <c r="AE135" i="16"/>
  <c r="AD135" i="16"/>
  <c r="AC135" i="16"/>
  <c r="AB135" i="16"/>
  <c r="AA135" i="16"/>
  <c r="Z135" i="16"/>
  <c r="Y135" i="16"/>
  <c r="X135" i="16"/>
  <c r="W135" i="16"/>
  <c r="V135" i="16"/>
  <c r="U135" i="16"/>
  <c r="T135" i="16"/>
  <c r="S135" i="16"/>
  <c r="R135" i="16"/>
  <c r="Q135" i="16"/>
  <c r="P135" i="16"/>
  <c r="O135" i="16"/>
  <c r="N135" i="16"/>
  <c r="M135" i="16"/>
  <c r="L135" i="16"/>
  <c r="K135" i="16"/>
  <c r="J135" i="16"/>
  <c r="I135" i="16"/>
  <c r="H135" i="16"/>
  <c r="G135" i="16"/>
  <c r="F135" i="16"/>
  <c r="AK126" i="16"/>
  <c r="AI126" i="16"/>
  <c r="AE126" i="16"/>
  <c r="AC126" i="16"/>
  <c r="AA126" i="16"/>
  <c r="Y126" i="16"/>
  <c r="W126" i="16"/>
  <c r="V126" i="16"/>
  <c r="U126" i="16"/>
  <c r="T126" i="16"/>
  <c r="S126" i="16"/>
  <c r="R126" i="16"/>
  <c r="Q126" i="16"/>
  <c r="P126" i="16"/>
  <c r="O126" i="16"/>
  <c r="N126" i="16"/>
  <c r="M126" i="16"/>
  <c r="J126" i="16"/>
  <c r="G126" i="16"/>
  <c r="AL126" i="16"/>
  <c r="AJ126" i="16"/>
  <c r="AH126" i="16"/>
  <c r="AG126" i="16"/>
  <c r="AF126" i="16"/>
  <c r="AD126" i="16"/>
  <c r="AB126" i="16"/>
  <c r="Z126" i="16"/>
  <c r="X126" i="16"/>
  <c r="L126" i="16"/>
  <c r="K126" i="16"/>
  <c r="I126" i="16"/>
  <c r="H126" i="16"/>
  <c r="F126" i="16"/>
  <c r="AL138" i="15"/>
  <c r="AK138" i="15"/>
  <c r="AI138" i="15"/>
  <c r="AF138" i="15"/>
  <c r="AD138" i="15"/>
  <c r="AC138" i="15"/>
  <c r="AA138" i="15"/>
  <c r="Y138" i="15"/>
  <c r="V138" i="15"/>
  <c r="T138" i="15"/>
  <c r="R138" i="15"/>
  <c r="P138" i="15"/>
  <c r="N138" i="15"/>
  <c r="L138" i="15"/>
  <c r="J138" i="15"/>
  <c r="H138" i="15"/>
  <c r="F138" i="15"/>
  <c r="AJ138" i="15"/>
  <c r="AH138" i="15"/>
  <c r="AG138" i="15"/>
  <c r="AE138" i="15"/>
  <c r="AB138" i="15"/>
  <c r="Z138" i="15"/>
  <c r="X138" i="15"/>
  <c r="W138" i="15"/>
  <c r="U138" i="15"/>
  <c r="S138" i="15"/>
  <c r="Q138" i="15"/>
  <c r="O138" i="15"/>
  <c r="M138" i="15"/>
  <c r="K138" i="15"/>
  <c r="I138" i="15"/>
  <c r="G138" i="15"/>
  <c r="AK137" i="15"/>
  <c r="AK173" i="15" s="1"/>
  <c r="AK177" i="15" s="1"/>
  <c r="AJ137" i="15"/>
  <c r="AJ173" i="15" s="1"/>
  <c r="AJ177" i="15" s="1"/>
  <c r="AH137" i="15"/>
  <c r="AH173" i="15" s="1"/>
  <c r="AH177" i="15" s="1"/>
  <c r="AE137" i="15"/>
  <c r="AE173" i="15" s="1"/>
  <c r="AE177" i="15" s="1"/>
  <c r="AB137" i="15"/>
  <c r="AB173" i="15" s="1"/>
  <c r="AB177" i="15" s="1"/>
  <c r="Z137" i="15"/>
  <c r="Z173" i="15" s="1"/>
  <c r="Z177" i="15" s="1"/>
  <c r="X137" i="15"/>
  <c r="X173" i="15" s="1"/>
  <c r="X177" i="15" s="1"/>
  <c r="V137" i="15"/>
  <c r="V173" i="15" s="1"/>
  <c r="V177" i="15" s="1"/>
  <c r="T137" i="15"/>
  <c r="T173" i="15" s="1"/>
  <c r="T177" i="15" s="1"/>
  <c r="R137" i="15"/>
  <c r="R173" i="15" s="1"/>
  <c r="R177" i="15" s="1"/>
  <c r="P137" i="15"/>
  <c r="P173" i="15" s="1"/>
  <c r="P177" i="15" s="1"/>
  <c r="N137" i="15"/>
  <c r="N173" i="15" s="1"/>
  <c r="N177" i="15" s="1"/>
  <c r="L137" i="15"/>
  <c r="L173" i="15" s="1"/>
  <c r="L177" i="15" s="1"/>
  <c r="J137" i="15"/>
  <c r="J173" i="15" s="1"/>
  <c r="J177" i="15" s="1"/>
  <c r="H137" i="15"/>
  <c r="H173" i="15" s="1"/>
  <c r="H177" i="15" s="1"/>
  <c r="F137" i="15"/>
  <c r="F173" i="15" s="1"/>
  <c r="F177" i="15" s="1"/>
  <c r="AL137" i="15"/>
  <c r="AL173" i="15" s="1"/>
  <c r="AL177" i="15" s="1"/>
  <c r="AI137" i="15"/>
  <c r="AI173" i="15" s="1"/>
  <c r="AI177" i="15" s="1"/>
  <c r="AG137" i="15"/>
  <c r="AG173" i="15" s="1"/>
  <c r="AG177" i="15" s="1"/>
  <c r="AF137" i="15"/>
  <c r="AF173" i="15" s="1"/>
  <c r="AF177" i="15" s="1"/>
  <c r="AD137" i="15"/>
  <c r="AD173" i="15" s="1"/>
  <c r="AD177" i="15" s="1"/>
  <c r="AC137" i="15"/>
  <c r="AC173" i="15" s="1"/>
  <c r="AC177" i="15" s="1"/>
  <c r="AA137" i="15"/>
  <c r="AA173" i="15" s="1"/>
  <c r="AA177" i="15" s="1"/>
  <c r="Y137" i="15"/>
  <c r="Y173" i="15" s="1"/>
  <c r="Y177" i="15" s="1"/>
  <c r="W137" i="15"/>
  <c r="W173" i="15" s="1"/>
  <c r="W177" i="15" s="1"/>
  <c r="U137" i="15"/>
  <c r="U173" i="15" s="1"/>
  <c r="U177" i="15" s="1"/>
  <c r="S137" i="15"/>
  <c r="S173" i="15" s="1"/>
  <c r="S177" i="15" s="1"/>
  <c r="Q137" i="15"/>
  <c r="Q173" i="15" s="1"/>
  <c r="Q177" i="15" s="1"/>
  <c r="O137" i="15"/>
  <c r="O173" i="15" s="1"/>
  <c r="O177" i="15" s="1"/>
  <c r="M137" i="15"/>
  <c r="M173" i="15" s="1"/>
  <c r="M177" i="15" s="1"/>
  <c r="K137" i="15"/>
  <c r="K173" i="15" s="1"/>
  <c r="K177" i="15" s="1"/>
  <c r="I137" i="15"/>
  <c r="I173" i="15" s="1"/>
  <c r="I177" i="15" s="1"/>
  <c r="G137" i="15"/>
  <c r="G173" i="15" s="1"/>
  <c r="G177" i="15" s="1"/>
  <c r="AL136" i="15"/>
  <c r="AL201" i="15" s="1"/>
  <c r="AI136" i="15"/>
  <c r="AI201" i="15" s="1"/>
  <c r="AH136" i="15"/>
  <c r="AF136" i="15"/>
  <c r="AD136" i="15"/>
  <c r="AB136" i="15"/>
  <c r="Z136" i="15"/>
  <c r="X136" i="15"/>
  <c r="V136" i="15"/>
  <c r="T136" i="15"/>
  <c r="R136" i="15"/>
  <c r="P136" i="15"/>
  <c r="N136" i="15"/>
  <c r="L136" i="15"/>
  <c r="I136" i="15"/>
  <c r="G136" i="15"/>
  <c r="F136" i="15"/>
  <c r="AK136" i="15"/>
  <c r="AJ136" i="15"/>
  <c r="AG136" i="15"/>
  <c r="AE136" i="15"/>
  <c r="AC136" i="15"/>
  <c r="AA136" i="15"/>
  <c r="Y136" i="15"/>
  <c r="W136" i="15"/>
  <c r="U136" i="15"/>
  <c r="S136" i="15"/>
  <c r="Q136" i="15"/>
  <c r="O136" i="15"/>
  <c r="M136" i="15"/>
  <c r="K136" i="15"/>
  <c r="K201" i="15" s="1"/>
  <c r="J136" i="15"/>
  <c r="J201" i="15" s="1"/>
  <c r="H136" i="15"/>
  <c r="H201" i="15" s="1"/>
  <c r="AL135" i="15"/>
  <c r="AI135" i="15"/>
  <c r="AG135" i="15"/>
  <c r="AD135" i="15"/>
  <c r="AB135" i="15"/>
  <c r="Z135" i="15"/>
  <c r="X135" i="15"/>
  <c r="AK135" i="15"/>
  <c r="AJ135" i="15"/>
  <c r="AH135" i="15"/>
  <c r="AF135" i="15"/>
  <c r="AE135" i="15"/>
  <c r="AC135" i="15"/>
  <c r="AA135" i="15"/>
  <c r="Y135" i="15"/>
  <c r="W135" i="15"/>
  <c r="V135" i="15"/>
  <c r="U135" i="15"/>
  <c r="T135" i="15"/>
  <c r="S135" i="15"/>
  <c r="R135" i="15"/>
  <c r="Q135" i="15"/>
  <c r="P135" i="15"/>
  <c r="O135" i="15"/>
  <c r="N135" i="15"/>
  <c r="M135" i="15"/>
  <c r="L135" i="15"/>
  <c r="K135" i="15"/>
  <c r="J135" i="15"/>
  <c r="I135" i="15"/>
  <c r="H135" i="15"/>
  <c r="G135" i="15"/>
  <c r="F135" i="15"/>
  <c r="AH134" i="15"/>
  <c r="AF134" i="15"/>
  <c r="AD134" i="15"/>
  <c r="AB134" i="15"/>
  <c r="Z134" i="15"/>
  <c r="X134" i="15"/>
  <c r="U134" i="15"/>
  <c r="R134" i="15"/>
  <c r="N134" i="15"/>
  <c r="K134" i="15"/>
  <c r="H134" i="15"/>
  <c r="F134" i="15"/>
  <c r="W134" i="15"/>
  <c r="S134" i="15"/>
  <c r="P134" i="15"/>
  <c r="L134" i="15"/>
  <c r="I134" i="15"/>
  <c r="AL134" i="15"/>
  <c r="AK134" i="15"/>
  <c r="AJ134" i="15"/>
  <c r="AI134" i="15"/>
  <c r="AG134" i="15"/>
  <c r="AE134" i="15"/>
  <c r="AC134" i="15"/>
  <c r="AA134" i="15"/>
  <c r="Y134" i="15"/>
  <c r="V134" i="15"/>
  <c r="T134" i="15"/>
  <c r="Q134" i="15"/>
  <c r="O134" i="15"/>
  <c r="M134" i="15"/>
  <c r="J134" i="15"/>
  <c r="G134" i="15"/>
  <c r="AL133" i="15"/>
  <c r="AJ133" i="15"/>
  <c r="AH133" i="15"/>
  <c r="AF133" i="15"/>
  <c r="AD133" i="15"/>
  <c r="AA133" i="15"/>
  <c r="X133" i="15"/>
  <c r="U133" i="15"/>
  <c r="R133" i="15"/>
  <c r="O133" i="15"/>
  <c r="M133" i="15"/>
  <c r="J133" i="15"/>
  <c r="G133" i="15"/>
  <c r="AK133" i="15"/>
  <c r="AI133" i="15"/>
  <c r="AG133" i="15"/>
  <c r="AC133" i="15"/>
  <c r="Z133" i="15"/>
  <c r="W133" i="15"/>
  <c r="T133" i="15"/>
  <c r="P133" i="15"/>
  <c r="L133" i="15"/>
  <c r="I133" i="15"/>
  <c r="F133" i="15"/>
  <c r="AE133" i="15"/>
  <c r="AB133" i="15"/>
  <c r="Y133" i="15"/>
  <c r="V133" i="15"/>
  <c r="S133" i="15"/>
  <c r="Q133" i="15"/>
  <c r="N133" i="15"/>
  <c r="K133" i="15"/>
  <c r="H133" i="15"/>
  <c r="AJ132" i="15"/>
  <c r="AF132" i="15"/>
  <c r="AD132" i="15"/>
  <c r="AB132" i="15"/>
  <c r="W132" i="15"/>
  <c r="T132" i="15"/>
  <c r="Q132" i="15"/>
  <c r="M132" i="15"/>
  <c r="J132" i="15"/>
  <c r="G132" i="15"/>
  <c r="AK132" i="15"/>
  <c r="AG132" i="15"/>
  <c r="AC132" i="15"/>
  <c r="AA132" i="15"/>
  <c r="Y132" i="15"/>
  <c r="V132" i="15"/>
  <c r="S132" i="15"/>
  <c r="P132" i="15"/>
  <c r="N132" i="15"/>
  <c r="L132" i="15"/>
  <c r="I132" i="15"/>
  <c r="F132" i="15"/>
  <c r="AL132" i="15"/>
  <c r="AI132" i="15"/>
  <c r="AH132" i="15"/>
  <c r="AE132" i="15"/>
  <c r="Z132" i="15"/>
  <c r="X132" i="15"/>
  <c r="U132" i="15"/>
  <c r="R132" i="15"/>
  <c r="O132" i="15"/>
  <c r="K132" i="15"/>
  <c r="H132" i="15"/>
  <c r="AK131" i="15"/>
  <c r="AK200" i="15" s="1"/>
  <c r="AI131" i="15"/>
  <c r="AI200" i="15" s="1"/>
  <c r="AE131" i="15"/>
  <c r="AE200" i="15" s="1"/>
  <c r="Z131" i="15"/>
  <c r="Z200" i="15" s="1"/>
  <c r="V131" i="15"/>
  <c r="V200" i="15" s="1"/>
  <c r="R131" i="15"/>
  <c r="R200" i="15" s="1"/>
  <c r="P131" i="15"/>
  <c r="P200" i="15" s="1"/>
  <c r="M131" i="15"/>
  <c r="M200" i="15" s="1"/>
  <c r="J131" i="15"/>
  <c r="J200" i="15" s="1"/>
  <c r="G131" i="15"/>
  <c r="AL131" i="15"/>
  <c r="AL200" i="15" s="1"/>
  <c r="AJ131" i="15"/>
  <c r="AJ200" i="15" s="1"/>
  <c r="AG131" i="15"/>
  <c r="AG200" i="15" s="1"/>
  <c r="AD131" i="15"/>
  <c r="AD200" i="15" s="1"/>
  <c r="AB131" i="15"/>
  <c r="AB200" i="15" s="1"/>
  <c r="Y131" i="15"/>
  <c r="W131" i="15"/>
  <c r="U131" i="15"/>
  <c r="S131" i="15"/>
  <c r="O131" i="15"/>
  <c r="L131" i="15"/>
  <c r="H131" i="15"/>
  <c r="F131" i="15"/>
  <c r="AH131" i="15"/>
  <c r="AF131" i="15"/>
  <c r="AC131" i="15"/>
  <c r="AA131" i="15"/>
  <c r="X131" i="15"/>
  <c r="T131" i="15"/>
  <c r="Q131" i="15"/>
  <c r="N131" i="15"/>
  <c r="K131" i="15"/>
  <c r="I131" i="15"/>
  <c r="AH130" i="15"/>
  <c r="AC130" i="15"/>
  <c r="AA130" i="15"/>
  <c r="Y130" i="15"/>
  <c r="W130" i="15"/>
  <c r="U130" i="15"/>
  <c r="R130" i="15"/>
  <c r="P130" i="15"/>
  <c r="M130" i="15"/>
  <c r="J130" i="15"/>
  <c r="G130" i="15"/>
  <c r="AG130" i="15"/>
  <c r="AE130" i="15"/>
  <c r="AB130" i="15"/>
  <c r="V130" i="15"/>
  <c r="T130" i="15"/>
  <c r="Q130" i="15"/>
  <c r="N130" i="15"/>
  <c r="K130" i="15"/>
  <c r="H130" i="15"/>
  <c r="AL130" i="15"/>
  <c r="AK130" i="15"/>
  <c r="AJ130" i="15"/>
  <c r="AI130" i="15"/>
  <c r="AF130" i="15"/>
  <c r="AD130" i="15"/>
  <c r="Z130" i="15"/>
  <c r="X130" i="15"/>
  <c r="S130" i="15"/>
  <c r="O130" i="15"/>
  <c r="L130" i="15"/>
  <c r="I130" i="15"/>
  <c r="F130" i="15"/>
  <c r="AL129" i="15"/>
  <c r="AL199" i="15" s="1"/>
  <c r="AK129" i="15"/>
  <c r="AK199" i="15" s="1"/>
  <c r="AJ129" i="15"/>
  <c r="AJ199" i="15" s="1"/>
  <c r="AI129" i="15"/>
  <c r="AI199" i="15" s="1"/>
  <c r="AH129" i="15"/>
  <c r="AH199" i="15" s="1"/>
  <c r="AG129" i="15"/>
  <c r="AG199" i="15" s="1"/>
  <c r="AF129" i="15"/>
  <c r="AF199" i="15" s="1"/>
  <c r="AE129" i="15"/>
  <c r="AE199" i="15" s="1"/>
  <c r="AD129" i="15"/>
  <c r="AD199" i="15" s="1"/>
  <c r="AC129" i="15"/>
  <c r="AC199" i="15" s="1"/>
  <c r="AB129" i="15"/>
  <c r="AB199" i="15" s="1"/>
  <c r="AA129" i="15"/>
  <c r="AA199" i="15" s="1"/>
  <c r="Z129" i="15"/>
  <c r="Z199" i="15" s="1"/>
  <c r="Y129" i="15"/>
  <c r="Y199" i="15" s="1"/>
  <c r="X129" i="15"/>
  <c r="X199" i="15" s="1"/>
  <c r="W129" i="15"/>
  <c r="W199" i="15" s="1"/>
  <c r="V129" i="15"/>
  <c r="V199" i="15" s="1"/>
  <c r="U129" i="15"/>
  <c r="U199" i="15" s="1"/>
  <c r="T129" i="15"/>
  <c r="T199" i="15" s="1"/>
  <c r="S129" i="15"/>
  <c r="S199" i="15" s="1"/>
  <c r="R129" i="15"/>
  <c r="R199" i="15" s="1"/>
  <c r="Q129" i="15"/>
  <c r="Q199" i="15" s="1"/>
  <c r="P129" i="15"/>
  <c r="P199" i="15" s="1"/>
  <c r="O129" i="15"/>
  <c r="O199" i="15" s="1"/>
  <c r="N129" i="15"/>
  <c r="N199" i="15" s="1"/>
  <c r="M129" i="15"/>
  <c r="M199" i="15" s="1"/>
  <c r="L129" i="15"/>
  <c r="L199" i="15" s="1"/>
  <c r="K129" i="15"/>
  <c r="K199" i="15" s="1"/>
  <c r="J129" i="15"/>
  <c r="J199" i="15" s="1"/>
  <c r="I129" i="15"/>
  <c r="I199" i="15" s="1"/>
  <c r="H129" i="15"/>
  <c r="H199" i="15" s="1"/>
  <c r="G129" i="15"/>
  <c r="G199" i="15" s="1"/>
  <c r="F129" i="15"/>
  <c r="F199" i="15" s="1"/>
  <c r="AL128" i="15"/>
  <c r="AL198" i="15" s="1"/>
  <c r="AK128" i="15"/>
  <c r="AK198" i="15" s="1"/>
  <c r="AJ128" i="15"/>
  <c r="AJ198" i="15" s="1"/>
  <c r="AI128" i="15"/>
  <c r="AI198" i="15" s="1"/>
  <c r="AH128" i="15"/>
  <c r="AH198" i="15" s="1"/>
  <c r="AG128" i="15"/>
  <c r="AG198" i="15" s="1"/>
  <c r="AF128" i="15"/>
  <c r="AF198" i="15" s="1"/>
  <c r="AE128" i="15"/>
  <c r="AE198" i="15" s="1"/>
  <c r="AD128" i="15"/>
  <c r="AD198" i="15" s="1"/>
  <c r="AC128" i="15"/>
  <c r="AC198" i="15" s="1"/>
  <c r="AB128" i="15"/>
  <c r="AB198" i="15" s="1"/>
  <c r="AA128" i="15"/>
  <c r="AA198" i="15" s="1"/>
  <c r="Z128" i="15"/>
  <c r="Z198" i="15" s="1"/>
  <c r="Y128" i="15"/>
  <c r="Y198" i="15" s="1"/>
  <c r="X128" i="15"/>
  <c r="X198" i="15" s="1"/>
  <c r="W128" i="15"/>
  <c r="W198" i="15" s="1"/>
  <c r="V128" i="15"/>
  <c r="V198" i="15" s="1"/>
  <c r="U128" i="15"/>
  <c r="U198" i="15" s="1"/>
  <c r="T128" i="15"/>
  <c r="T198" i="15" s="1"/>
  <c r="S128" i="15"/>
  <c r="S198" i="15" s="1"/>
  <c r="R128" i="15"/>
  <c r="R198" i="15" s="1"/>
  <c r="Q128" i="15"/>
  <c r="Q198" i="15" s="1"/>
  <c r="P128" i="15"/>
  <c r="P198" i="15" s="1"/>
  <c r="O128" i="15"/>
  <c r="O198" i="15" s="1"/>
  <c r="N128" i="15"/>
  <c r="N198" i="15" s="1"/>
  <c r="M128" i="15"/>
  <c r="M198" i="15" s="1"/>
  <c r="L128" i="15"/>
  <c r="L198" i="15" s="1"/>
  <c r="K128" i="15"/>
  <c r="K198" i="15" s="1"/>
  <c r="J128" i="15"/>
  <c r="J198" i="15" s="1"/>
  <c r="I128" i="15"/>
  <c r="I198" i="15" s="1"/>
  <c r="H128" i="15"/>
  <c r="H198" i="15" s="1"/>
  <c r="G128" i="15"/>
  <c r="G198" i="15" s="1"/>
  <c r="F128" i="15"/>
  <c r="F198" i="15" s="1"/>
  <c r="AL127" i="15"/>
  <c r="AK127" i="15"/>
  <c r="AJ127" i="15"/>
  <c r="AI127" i="15"/>
  <c r="AH127" i="15"/>
  <c r="AG127" i="15"/>
  <c r="AF127" i="15"/>
  <c r="AE127" i="15"/>
  <c r="AD127" i="15"/>
  <c r="AC127" i="15"/>
  <c r="AB127" i="15"/>
  <c r="AA127" i="15"/>
  <c r="Z127" i="15"/>
  <c r="Y127" i="15"/>
  <c r="X127" i="15"/>
  <c r="W127" i="15"/>
  <c r="V127" i="15"/>
  <c r="U127" i="15"/>
  <c r="T127" i="15"/>
  <c r="S127" i="15"/>
  <c r="R127" i="15"/>
  <c r="Q127" i="15"/>
  <c r="P127" i="15"/>
  <c r="O127" i="15"/>
  <c r="N127" i="15"/>
  <c r="M127" i="15"/>
  <c r="L127" i="15"/>
  <c r="K127" i="15"/>
  <c r="J127" i="15"/>
  <c r="I127" i="15"/>
  <c r="H127" i="15"/>
  <c r="G127" i="15"/>
  <c r="F127" i="15"/>
  <c r="AL126" i="15"/>
  <c r="AK126" i="15"/>
  <c r="AJ126" i="15"/>
  <c r="AI126" i="15"/>
  <c r="AH126" i="15"/>
  <c r="AG126" i="15"/>
  <c r="AF126" i="15"/>
  <c r="AE126" i="15"/>
  <c r="AD126" i="15"/>
  <c r="AC126" i="15"/>
  <c r="AB126" i="15"/>
  <c r="AA126" i="15"/>
  <c r="Z126" i="15"/>
  <c r="Y126" i="15"/>
  <c r="X126" i="15"/>
  <c r="W126" i="15"/>
  <c r="V126" i="15"/>
  <c r="U126" i="15"/>
  <c r="T126" i="15"/>
  <c r="S126" i="15"/>
  <c r="R126" i="15"/>
  <c r="Q126" i="15"/>
  <c r="P126" i="15"/>
  <c r="O126" i="15"/>
  <c r="N126" i="15"/>
  <c r="M126" i="15"/>
  <c r="L126" i="15"/>
  <c r="K126" i="15"/>
  <c r="J126" i="15"/>
  <c r="I126" i="15"/>
  <c r="H126" i="15"/>
  <c r="G126" i="15"/>
  <c r="F126" i="15"/>
  <c r="AL125" i="15"/>
  <c r="AK125" i="15"/>
  <c r="AJ125" i="15"/>
  <c r="AI125" i="15"/>
  <c r="AH125" i="15"/>
  <c r="AG125" i="15"/>
  <c r="AF125" i="15"/>
  <c r="AE125" i="15"/>
  <c r="AD125" i="15"/>
  <c r="AC125" i="15"/>
  <c r="AB125" i="15"/>
  <c r="AA125" i="15"/>
  <c r="Z125" i="15"/>
  <c r="Y125" i="15"/>
  <c r="X125" i="15"/>
  <c r="W125" i="15"/>
  <c r="V125" i="15"/>
  <c r="U125" i="15"/>
  <c r="T125" i="15"/>
  <c r="S125" i="15"/>
  <c r="R125" i="15"/>
  <c r="Q125" i="15"/>
  <c r="P125" i="15"/>
  <c r="O125" i="15"/>
  <c r="N125" i="15"/>
  <c r="M125" i="15"/>
  <c r="L125" i="15"/>
  <c r="K125" i="15"/>
  <c r="J125" i="15"/>
  <c r="I125" i="15"/>
  <c r="H125" i="15"/>
  <c r="G125" i="15"/>
  <c r="F125" i="15"/>
  <c r="AL124" i="15"/>
  <c r="AK124" i="15"/>
  <c r="AJ124" i="15"/>
  <c r="AI124" i="15"/>
  <c r="AH124" i="15"/>
  <c r="AG124" i="15"/>
  <c r="AF124" i="15"/>
  <c r="AE124" i="15"/>
  <c r="AD124" i="15"/>
  <c r="AC124" i="15"/>
  <c r="AB124" i="15"/>
  <c r="AA124" i="15"/>
  <c r="Z124" i="15"/>
  <c r="Y124" i="15"/>
  <c r="X124" i="15"/>
  <c r="W124" i="15"/>
  <c r="V124" i="15"/>
  <c r="U124" i="15"/>
  <c r="T124" i="15"/>
  <c r="S124" i="15"/>
  <c r="R124" i="15"/>
  <c r="Q124" i="15"/>
  <c r="P124" i="15"/>
  <c r="O124" i="15"/>
  <c r="N124" i="15"/>
  <c r="M124" i="15"/>
  <c r="L124" i="15"/>
  <c r="K124" i="15"/>
  <c r="J124" i="15"/>
  <c r="I124" i="15"/>
  <c r="H124" i="15"/>
  <c r="G124" i="15"/>
  <c r="F124" i="15"/>
  <c r="AL123" i="15"/>
  <c r="AK123" i="15"/>
  <c r="AJ123" i="15"/>
  <c r="AI123" i="15"/>
  <c r="AH123" i="15"/>
  <c r="AG123" i="15"/>
  <c r="AF123" i="15"/>
  <c r="AE123" i="15"/>
  <c r="AD123" i="15"/>
  <c r="AC123" i="15"/>
  <c r="AB123" i="15"/>
  <c r="AA123" i="15"/>
  <c r="Z123" i="15"/>
  <c r="Y123" i="15"/>
  <c r="X123" i="15"/>
  <c r="W123" i="15"/>
  <c r="V123" i="15"/>
  <c r="U123" i="15"/>
  <c r="T123" i="15"/>
  <c r="S123" i="15"/>
  <c r="R123" i="15"/>
  <c r="Q123" i="15"/>
  <c r="P123" i="15"/>
  <c r="O123" i="15"/>
  <c r="N123" i="15"/>
  <c r="M123" i="15"/>
  <c r="L123" i="15"/>
  <c r="K123" i="15"/>
  <c r="J123" i="15"/>
  <c r="I123" i="15"/>
  <c r="H123" i="15"/>
  <c r="G123" i="15"/>
  <c r="F123" i="15"/>
  <c r="AL122" i="15"/>
  <c r="AK122" i="15"/>
  <c r="AJ122" i="15"/>
  <c r="AI122" i="15"/>
  <c r="AH122" i="15"/>
  <c r="AG122" i="15"/>
  <c r="AF122" i="15"/>
  <c r="AE122" i="15"/>
  <c r="AD122" i="15"/>
  <c r="AC122" i="15"/>
  <c r="AB122" i="15"/>
  <c r="AA122" i="15"/>
  <c r="Z122" i="15"/>
  <c r="Y122" i="15"/>
  <c r="X122" i="15"/>
  <c r="W122" i="15"/>
  <c r="V122" i="15"/>
  <c r="U122" i="15"/>
  <c r="T122" i="15"/>
  <c r="S122" i="15"/>
  <c r="R122" i="15"/>
  <c r="Q122" i="15"/>
  <c r="P122" i="15"/>
  <c r="O122" i="15"/>
  <c r="N122" i="15"/>
  <c r="M122" i="15"/>
  <c r="L122" i="15"/>
  <c r="K122" i="15"/>
  <c r="J122" i="15"/>
  <c r="I122" i="15"/>
  <c r="H122" i="15"/>
  <c r="G122" i="15"/>
  <c r="F122" i="15"/>
  <c r="AL121" i="15"/>
  <c r="AK121" i="15"/>
  <c r="AJ121" i="15"/>
  <c r="AI121" i="15"/>
  <c r="AH121" i="15"/>
  <c r="AG121" i="15"/>
  <c r="AF121" i="15"/>
  <c r="AE121" i="15"/>
  <c r="AD121" i="15"/>
  <c r="AC121" i="15"/>
  <c r="AB121" i="15"/>
  <c r="AA121" i="15"/>
  <c r="Z121" i="15"/>
  <c r="Y121" i="15"/>
  <c r="X121" i="15"/>
  <c r="W121" i="15"/>
  <c r="V121" i="15"/>
  <c r="U121" i="15"/>
  <c r="T121" i="15"/>
  <c r="S121" i="15"/>
  <c r="R121" i="15"/>
  <c r="Q121" i="15"/>
  <c r="P121" i="15"/>
  <c r="O121" i="15"/>
  <c r="N121" i="15"/>
  <c r="N197" i="15" s="1"/>
  <c r="M121" i="15"/>
  <c r="M197" i="15" s="1"/>
  <c r="L121" i="15"/>
  <c r="L197" i="15" s="1"/>
  <c r="K121" i="15"/>
  <c r="K197" i="15" s="1"/>
  <c r="J121" i="15"/>
  <c r="J197" i="15" s="1"/>
  <c r="I121" i="15"/>
  <c r="I197" i="15" s="1"/>
  <c r="H121" i="15"/>
  <c r="H197" i="15" s="1"/>
  <c r="G121" i="15"/>
  <c r="G197" i="15" s="1"/>
  <c r="F121" i="15"/>
  <c r="F197" i="15" s="1"/>
  <c r="AL120" i="15"/>
  <c r="AL196" i="15" s="1"/>
  <c r="AL203" i="15" s="1"/>
  <c r="E113" i="1" s="1"/>
  <c r="E110" i="1" s="1"/>
  <c r="E93" i="1" s="1"/>
  <c r="E192" i="1" s="1"/>
  <c r="AK120" i="15"/>
  <c r="AK196" i="15" s="1"/>
  <c r="AJ120" i="15"/>
  <c r="AJ196" i="15" s="1"/>
  <c r="AI120" i="15"/>
  <c r="AI196" i="15" s="1"/>
  <c r="AI203" i="15" s="1"/>
  <c r="AH120" i="15"/>
  <c r="AH196" i="15" s="1"/>
  <c r="AG120" i="15"/>
  <c r="AF120" i="15"/>
  <c r="AE120" i="15"/>
  <c r="AD120" i="15"/>
  <c r="AC120" i="15"/>
  <c r="AB120" i="15"/>
  <c r="AA120" i="15"/>
  <c r="Z120" i="15"/>
  <c r="Y120" i="15"/>
  <c r="X120" i="15"/>
  <c r="W120" i="15"/>
  <c r="V120" i="15"/>
  <c r="U120" i="15"/>
  <c r="T120" i="15"/>
  <c r="S120" i="15"/>
  <c r="R120" i="15"/>
  <c r="Q120" i="15"/>
  <c r="Q171" i="15" s="1"/>
  <c r="P120" i="15"/>
  <c r="O120" i="15"/>
  <c r="O171" i="15" s="1"/>
  <c r="N120" i="15"/>
  <c r="N171" i="15" s="1"/>
  <c r="M120" i="15"/>
  <c r="L120" i="15"/>
  <c r="L171" i="15" s="1"/>
  <c r="K120" i="15"/>
  <c r="K171" i="15" s="1"/>
  <c r="J120" i="15"/>
  <c r="I120" i="15"/>
  <c r="I171" i="15" s="1"/>
  <c r="H120" i="15"/>
  <c r="H171" i="15" s="1"/>
  <c r="G120" i="15"/>
  <c r="F120" i="15"/>
  <c r="F171" i="15" s="1"/>
  <c r="D117" i="1" a="1"/>
  <c r="D117" i="1" s="1"/>
  <c r="D114" i="1" s="1"/>
  <c r="E114" i="1"/>
  <c r="AL134" i="16"/>
  <c r="AK134" i="16"/>
  <c r="AJ134" i="16"/>
  <c r="AI134" i="16"/>
  <c r="AH134" i="16"/>
  <c r="AG134" i="16"/>
  <c r="AF134" i="16"/>
  <c r="AE134" i="16"/>
  <c r="AD134" i="16"/>
  <c r="AC134" i="16"/>
  <c r="AB134" i="16"/>
  <c r="AA134" i="16"/>
  <c r="Z134" i="16"/>
  <c r="Y134" i="16"/>
  <c r="X134" i="16"/>
  <c r="W134" i="16"/>
  <c r="V134" i="16"/>
  <c r="U134" i="16"/>
  <c r="T134" i="16"/>
  <c r="S134" i="16"/>
  <c r="R134" i="16"/>
  <c r="Q134" i="16"/>
  <c r="P134" i="16"/>
  <c r="O134" i="16"/>
  <c r="N134" i="16"/>
  <c r="M134" i="16"/>
  <c r="L134" i="16"/>
  <c r="K134" i="16"/>
  <c r="J134" i="16"/>
  <c r="I134" i="16"/>
  <c r="H134" i="16"/>
  <c r="G134" i="16"/>
  <c r="F134" i="16"/>
  <c r="AK129" i="16"/>
  <c r="AK199" i="16" s="1"/>
  <c r="AJ129" i="16"/>
  <c r="AJ199" i="16" s="1"/>
  <c r="AH129" i="16"/>
  <c r="AH199" i="16" s="1"/>
  <c r="AG129" i="16"/>
  <c r="AG199" i="16" s="1"/>
  <c r="AE129" i="16"/>
  <c r="AE199" i="16" s="1"/>
  <c r="AC129" i="16"/>
  <c r="AC199" i="16" s="1"/>
  <c r="AA129" i="16"/>
  <c r="AA199" i="16" s="1"/>
  <c r="Y129" i="16"/>
  <c r="Y199" i="16" s="1"/>
  <c r="W129" i="16"/>
  <c r="W199" i="16" s="1"/>
  <c r="U129" i="16"/>
  <c r="U199" i="16" s="1"/>
  <c r="S129" i="16"/>
  <c r="S199" i="16" s="1"/>
  <c r="Q129" i="16"/>
  <c r="Q199" i="16" s="1"/>
  <c r="O129" i="16"/>
  <c r="O199" i="16" s="1"/>
  <c r="M129" i="16"/>
  <c r="M199" i="16" s="1"/>
  <c r="L129" i="16"/>
  <c r="L199" i="16" s="1"/>
  <c r="J129" i="16"/>
  <c r="J199" i="16" s="1"/>
  <c r="I129" i="16"/>
  <c r="I199" i="16" s="1"/>
  <c r="G129" i="16"/>
  <c r="G199" i="16" s="1"/>
  <c r="F129" i="16"/>
  <c r="F199" i="16" s="1"/>
  <c r="AL129" i="16"/>
  <c r="AL199" i="16" s="1"/>
  <c r="AI129" i="16"/>
  <c r="AI199" i="16" s="1"/>
  <c r="AF129" i="16"/>
  <c r="AF199" i="16" s="1"/>
  <c r="AD129" i="16"/>
  <c r="AD199" i="16" s="1"/>
  <c r="AB129" i="16"/>
  <c r="AB199" i="16" s="1"/>
  <c r="Z129" i="16"/>
  <c r="Z199" i="16" s="1"/>
  <c r="X129" i="16"/>
  <c r="X199" i="16" s="1"/>
  <c r="V129" i="16"/>
  <c r="V199" i="16" s="1"/>
  <c r="T129" i="16"/>
  <c r="T199" i="16" s="1"/>
  <c r="R129" i="16"/>
  <c r="R199" i="16" s="1"/>
  <c r="P129" i="16"/>
  <c r="P199" i="16" s="1"/>
  <c r="N129" i="16"/>
  <c r="N199" i="16" s="1"/>
  <c r="K129" i="16"/>
  <c r="K199" i="16" s="1"/>
  <c r="H129" i="16"/>
  <c r="H199" i="16" s="1"/>
  <c r="AL124" i="16"/>
  <c r="AK124" i="16"/>
  <c r="AI124" i="16"/>
  <c r="AF124" i="16"/>
  <c r="AB124" i="16"/>
  <c r="Y124" i="16"/>
  <c r="W124" i="16"/>
  <c r="S124" i="16"/>
  <c r="O124" i="16"/>
  <c r="M124" i="16"/>
  <c r="K124" i="16"/>
  <c r="I124" i="16"/>
  <c r="F124" i="16"/>
  <c r="AJ124" i="16"/>
  <c r="AH124" i="16"/>
  <c r="AG124" i="16"/>
  <c r="AE124" i="16"/>
  <c r="AD124" i="16"/>
  <c r="AC124" i="16"/>
  <c r="AA124" i="16"/>
  <c r="Z124" i="16"/>
  <c r="X124" i="16"/>
  <c r="V124" i="16"/>
  <c r="U124" i="16"/>
  <c r="T124" i="16"/>
  <c r="R124" i="16"/>
  <c r="Q124" i="16"/>
  <c r="P124" i="16"/>
  <c r="N124" i="16"/>
  <c r="L124" i="16"/>
  <c r="J124" i="16"/>
  <c r="H124" i="16"/>
  <c r="G124" i="16"/>
  <c r="AK131" i="16"/>
  <c r="AK200" i="16" s="1"/>
  <c r="AI131" i="16"/>
  <c r="AI200" i="16" s="1"/>
  <c r="AG131" i="16"/>
  <c r="AG200" i="16" s="1"/>
  <c r="AF131" i="16"/>
  <c r="AF200" i="16" s="1"/>
  <c r="AD131" i="16"/>
  <c r="AD200" i="16" s="1"/>
  <c r="AC131" i="16"/>
  <c r="AC200" i="16" s="1"/>
  <c r="AA131" i="16"/>
  <c r="AA200" i="16" s="1"/>
  <c r="Z131" i="16"/>
  <c r="Z200" i="16" s="1"/>
  <c r="Y131" i="16"/>
  <c r="Y200" i="16" s="1"/>
  <c r="W131" i="16"/>
  <c r="W200" i="16" s="1"/>
  <c r="V131" i="16"/>
  <c r="T131" i="16"/>
  <c r="S131" i="16"/>
  <c r="Q131" i="16"/>
  <c r="O131" i="16"/>
  <c r="N131" i="16"/>
  <c r="L131" i="16"/>
  <c r="K131" i="16"/>
  <c r="I131" i="16"/>
  <c r="H131" i="16"/>
  <c r="F131" i="16"/>
  <c r="AL131" i="16"/>
  <c r="AJ131" i="16"/>
  <c r="AH131" i="16"/>
  <c r="AE131" i="16"/>
  <c r="AB131" i="16"/>
  <c r="X131" i="16"/>
  <c r="U131" i="16"/>
  <c r="R131" i="16"/>
  <c r="P131" i="16"/>
  <c r="M131" i="16"/>
  <c r="J131" i="16"/>
  <c r="G131" i="16"/>
  <c r="AK130" i="16"/>
  <c r="AJ130" i="16"/>
  <c r="AH130" i="16"/>
  <c r="AF130" i="16"/>
  <c r="AE130" i="16"/>
  <c r="AC130" i="16"/>
  <c r="AB130" i="16"/>
  <c r="AA130" i="16"/>
  <c r="Y130" i="16"/>
  <c r="W130" i="16"/>
  <c r="V130" i="16"/>
  <c r="T130" i="16"/>
  <c r="R130" i="16"/>
  <c r="Q130" i="16"/>
  <c r="O130" i="16"/>
  <c r="N130" i="16"/>
  <c r="L130" i="16"/>
  <c r="K130" i="16"/>
  <c r="I130" i="16"/>
  <c r="H130" i="16"/>
  <c r="F130" i="16"/>
  <c r="AL130" i="16"/>
  <c r="AI130" i="16"/>
  <c r="AG130" i="16"/>
  <c r="AD130" i="16"/>
  <c r="Z130" i="16"/>
  <c r="X130" i="16"/>
  <c r="U130" i="16"/>
  <c r="S130" i="16"/>
  <c r="P130" i="16"/>
  <c r="M130" i="16"/>
  <c r="J130" i="16"/>
  <c r="G130" i="16"/>
  <c r="AK125" i="16"/>
  <c r="AI125" i="16"/>
  <c r="AG125" i="16"/>
  <c r="AF125" i="16"/>
  <c r="AD125" i="16"/>
  <c r="AC125" i="16"/>
  <c r="AA125" i="16"/>
  <c r="Z125" i="16"/>
  <c r="X125" i="16"/>
  <c r="V125" i="16"/>
  <c r="U125" i="16"/>
  <c r="S125" i="16"/>
  <c r="R125" i="16"/>
  <c r="Q125" i="16"/>
  <c r="O125" i="16"/>
  <c r="N125" i="16"/>
  <c r="M125" i="16"/>
  <c r="K125" i="16"/>
  <c r="J125" i="16"/>
  <c r="I125" i="16"/>
  <c r="G125" i="16"/>
  <c r="F125" i="16"/>
  <c r="AL125" i="16"/>
  <c r="AJ125" i="16"/>
  <c r="AH125" i="16"/>
  <c r="AE125" i="16"/>
  <c r="AB125" i="16"/>
  <c r="Y125" i="16"/>
  <c r="W125" i="16"/>
  <c r="T125" i="16"/>
  <c r="P125" i="16"/>
  <c r="L125" i="16"/>
  <c r="H125" i="16"/>
  <c r="AK122" i="16"/>
  <c r="AJ122" i="16"/>
  <c r="AH122" i="16"/>
  <c r="AF122" i="16"/>
  <c r="AD122" i="16"/>
  <c r="AB122" i="16"/>
  <c r="AA122" i="16"/>
  <c r="Y122" i="16"/>
  <c r="X122" i="16"/>
  <c r="V122" i="16"/>
  <c r="T122" i="16"/>
  <c r="R122" i="16"/>
  <c r="P122" i="16"/>
  <c r="O122" i="16"/>
  <c r="N122" i="16"/>
  <c r="L122" i="16"/>
  <c r="K122" i="16"/>
  <c r="I122" i="16"/>
  <c r="H122" i="16"/>
  <c r="F122" i="16"/>
  <c r="AL122" i="16"/>
  <c r="AI122" i="16"/>
  <c r="AG122" i="16"/>
  <c r="AE122" i="16"/>
  <c r="AC122" i="16"/>
  <c r="Z122" i="16"/>
  <c r="W122" i="16"/>
  <c r="U122" i="16"/>
  <c r="S122" i="16"/>
  <c r="Q122" i="16"/>
  <c r="M122" i="16"/>
  <c r="J122" i="16"/>
  <c r="G122" i="16"/>
  <c r="AK132" i="16"/>
  <c r="AG132" i="16"/>
  <c r="AD132" i="16"/>
  <c r="AA132" i="16"/>
  <c r="W132" i="16"/>
  <c r="S132" i="16"/>
  <c r="P132" i="16"/>
  <c r="M132" i="16"/>
  <c r="J132" i="16"/>
  <c r="G132" i="16"/>
  <c r="AL132" i="16"/>
  <c r="AJ132" i="16"/>
  <c r="AI132" i="16"/>
  <c r="AH132" i="16"/>
  <c r="AF132" i="16"/>
  <c r="AE132" i="16"/>
  <c r="AC132" i="16"/>
  <c r="AB132" i="16"/>
  <c r="Z132" i="16"/>
  <c r="Y132" i="16"/>
  <c r="X132" i="16"/>
  <c r="V132" i="16"/>
  <c r="U132" i="16"/>
  <c r="T132" i="16"/>
  <c r="R132" i="16"/>
  <c r="Q132" i="16"/>
  <c r="O132" i="16"/>
  <c r="N132" i="16"/>
  <c r="L132" i="16"/>
  <c r="K132" i="16"/>
  <c r="I132" i="16"/>
  <c r="H132" i="16"/>
  <c r="F132" i="16"/>
  <c r="AI127" i="16"/>
  <c r="AG127" i="16"/>
  <c r="AE127" i="16"/>
  <c r="AD127" i="16"/>
  <c r="AB127" i="16"/>
  <c r="AA127" i="16"/>
  <c r="Y127" i="16"/>
  <c r="W127" i="16"/>
  <c r="U127" i="16"/>
  <c r="T127" i="16"/>
  <c r="R127" i="16"/>
  <c r="P127" i="16"/>
  <c r="N127" i="16"/>
  <c r="M127" i="16"/>
  <c r="K127" i="16"/>
  <c r="J127" i="16"/>
  <c r="I127" i="16"/>
  <c r="G127" i="16"/>
  <c r="F127" i="16"/>
  <c r="AL127" i="16"/>
  <c r="AK127" i="16"/>
  <c r="AJ127" i="16"/>
  <c r="AH127" i="16"/>
  <c r="AF127" i="16"/>
  <c r="AC127" i="16"/>
  <c r="Z127" i="16"/>
  <c r="X127" i="16"/>
  <c r="V127" i="16"/>
  <c r="S127" i="16"/>
  <c r="Q127" i="16"/>
  <c r="O127" i="16"/>
  <c r="L127" i="16"/>
  <c r="H127" i="16"/>
  <c r="AL120" i="16"/>
  <c r="AK120" i="16"/>
  <c r="AI120" i="16"/>
  <c r="AG120" i="16"/>
  <c r="AE120" i="16"/>
  <c r="AJ120" i="16"/>
  <c r="AH120" i="16"/>
  <c r="AF120" i="16"/>
  <c r="AD120" i="16"/>
  <c r="AC120" i="16"/>
  <c r="AB120" i="16"/>
  <c r="AA120" i="16"/>
  <c r="Z120" i="16"/>
  <c r="Y120" i="16"/>
  <c r="X120" i="16"/>
  <c r="W120" i="16"/>
  <c r="V120" i="16"/>
  <c r="U120" i="16"/>
  <c r="T120" i="16"/>
  <c r="S120" i="16"/>
  <c r="R120" i="16"/>
  <c r="Q120" i="16"/>
  <c r="P120" i="16"/>
  <c r="O120" i="16"/>
  <c r="N120" i="16"/>
  <c r="M120" i="16"/>
  <c r="L120" i="16"/>
  <c r="K120" i="16"/>
  <c r="J120" i="16"/>
  <c r="I120" i="16"/>
  <c r="H120" i="16"/>
  <c r="G120" i="16"/>
  <c r="F120" i="16"/>
  <c r="AL136" i="16"/>
  <c r="AK136" i="16"/>
  <c r="AJ136" i="16"/>
  <c r="AI136" i="16"/>
  <c r="AH136" i="16"/>
  <c r="AG136" i="16"/>
  <c r="AF136" i="16"/>
  <c r="AE136" i="16"/>
  <c r="AD136" i="16"/>
  <c r="AC136" i="16"/>
  <c r="AB136" i="16"/>
  <c r="AA136" i="16"/>
  <c r="Z136" i="16"/>
  <c r="Y136" i="16"/>
  <c r="X136" i="16"/>
  <c r="W136" i="16"/>
  <c r="V136" i="16"/>
  <c r="U136" i="16"/>
  <c r="T136" i="16"/>
  <c r="S136" i="16"/>
  <c r="R136" i="16"/>
  <c r="Q136" i="16"/>
  <c r="P136" i="16"/>
  <c r="O136" i="16"/>
  <c r="N136" i="16"/>
  <c r="M136" i="16"/>
  <c r="L136" i="16"/>
  <c r="K136" i="16"/>
  <c r="J136" i="16"/>
  <c r="I136" i="16"/>
  <c r="H136" i="16"/>
  <c r="G136" i="16"/>
  <c r="F136" i="16"/>
  <c r="AL123" i="16"/>
  <c r="AJ123" i="16"/>
  <c r="AH123" i="16"/>
  <c r="AF123" i="16"/>
  <c r="AC123" i="16"/>
  <c r="Y123" i="16"/>
  <c r="W123" i="16"/>
  <c r="U123" i="16"/>
  <c r="Q123" i="16"/>
  <c r="M123" i="16"/>
  <c r="J123" i="16"/>
  <c r="G123" i="16"/>
  <c r="AK123" i="16"/>
  <c r="AI123" i="16"/>
  <c r="AG123" i="16"/>
  <c r="AE123" i="16"/>
  <c r="AD123" i="16"/>
  <c r="AB123" i="16"/>
  <c r="AA123" i="16"/>
  <c r="Z123" i="16"/>
  <c r="X123" i="16"/>
  <c r="V123" i="16"/>
  <c r="T123" i="16"/>
  <c r="S123" i="16"/>
  <c r="R123" i="16"/>
  <c r="P123" i="16"/>
  <c r="O123" i="16"/>
  <c r="N123" i="16"/>
  <c r="L123" i="16"/>
  <c r="K123" i="16"/>
  <c r="I123" i="16"/>
  <c r="H123" i="16"/>
  <c r="F123" i="16"/>
  <c r="AL137" i="16"/>
  <c r="AK137" i="16"/>
  <c r="AJ137" i="16"/>
  <c r="AI137" i="16"/>
  <c r="AH137" i="16"/>
  <c r="AG137" i="16"/>
  <c r="AF137" i="16"/>
  <c r="AE137" i="16"/>
  <c r="AD137" i="16"/>
  <c r="AC137" i="16"/>
  <c r="AB137" i="16"/>
  <c r="AA137" i="16"/>
  <c r="Z137" i="16"/>
  <c r="Y137" i="16"/>
  <c r="X137" i="16"/>
  <c r="W137" i="16"/>
  <c r="V137" i="16"/>
  <c r="U137" i="16"/>
  <c r="T137" i="16"/>
  <c r="S137" i="16"/>
  <c r="R137" i="16"/>
  <c r="Q137" i="16"/>
  <c r="P137" i="16"/>
  <c r="O137" i="16"/>
  <c r="N137" i="16"/>
  <c r="M137" i="16"/>
  <c r="L137" i="16"/>
  <c r="K137" i="16"/>
  <c r="J137" i="16"/>
  <c r="I137" i="16"/>
  <c r="H137" i="16"/>
  <c r="G137" i="16"/>
  <c r="F137" i="16"/>
  <c r="E153" i="1"/>
  <c r="P23" i="18"/>
  <c r="G133" i="16"/>
  <c r="AL133" i="16"/>
  <c r="AK133" i="16"/>
  <c r="AJ133" i="16"/>
  <c r="AI133" i="16"/>
  <c r="AH133" i="16"/>
  <c r="AG133" i="16"/>
  <c r="AF133" i="16"/>
  <c r="AE133" i="16"/>
  <c r="AD133" i="16"/>
  <c r="AC133" i="16"/>
  <c r="AB133" i="16"/>
  <c r="AA133" i="16"/>
  <c r="Z133" i="16"/>
  <c r="Y133" i="16"/>
  <c r="X133" i="16"/>
  <c r="W133" i="16"/>
  <c r="V133" i="16"/>
  <c r="U133" i="16"/>
  <c r="T133" i="16"/>
  <c r="S133" i="16"/>
  <c r="R133" i="16"/>
  <c r="Q133" i="16"/>
  <c r="P133" i="16"/>
  <c r="O133" i="16"/>
  <c r="N133" i="16"/>
  <c r="M133" i="16"/>
  <c r="L133" i="16"/>
  <c r="K133" i="16"/>
  <c r="J133" i="16"/>
  <c r="I133" i="16"/>
  <c r="H133" i="16"/>
  <c r="F133" i="16"/>
  <c r="AK128" i="16"/>
  <c r="AK198" i="16" s="1"/>
  <c r="AG128" i="16"/>
  <c r="AG198" i="16" s="1"/>
  <c r="AD128" i="16"/>
  <c r="AD198" i="16" s="1"/>
  <c r="AB128" i="16"/>
  <c r="AB198" i="16" s="1"/>
  <c r="Y128" i="16"/>
  <c r="Y198" i="16" s="1"/>
  <c r="V128" i="16"/>
  <c r="V198" i="16" s="1"/>
  <c r="T128" i="16"/>
  <c r="T198" i="16" s="1"/>
  <c r="Q128" i="16"/>
  <c r="Q198" i="16" s="1"/>
  <c r="O128" i="16"/>
  <c r="O198" i="16" s="1"/>
  <c r="L128" i="16"/>
  <c r="L198" i="16" s="1"/>
  <c r="I128" i="16"/>
  <c r="I198" i="16" s="1"/>
  <c r="G128" i="16"/>
  <c r="G198" i="16" s="1"/>
  <c r="AL128" i="16"/>
  <c r="AL198" i="16" s="1"/>
  <c r="AJ128" i="16"/>
  <c r="AJ198" i="16" s="1"/>
  <c r="AI128" i="16"/>
  <c r="AI198" i="16" s="1"/>
  <c r="AH128" i="16"/>
  <c r="AH198" i="16" s="1"/>
  <c r="AF128" i="16"/>
  <c r="AF198" i="16" s="1"/>
  <c r="AE128" i="16"/>
  <c r="AE198" i="16" s="1"/>
  <c r="AC128" i="16"/>
  <c r="AC198" i="16" s="1"/>
  <c r="AA128" i="16"/>
  <c r="AA198" i="16" s="1"/>
  <c r="Z128" i="16"/>
  <c r="Z198" i="16" s="1"/>
  <c r="X128" i="16"/>
  <c r="X198" i="16" s="1"/>
  <c r="W128" i="16"/>
  <c r="W198" i="16" s="1"/>
  <c r="U128" i="16"/>
  <c r="U198" i="16" s="1"/>
  <c r="S128" i="16"/>
  <c r="S198" i="16" s="1"/>
  <c r="R128" i="16"/>
  <c r="R198" i="16" s="1"/>
  <c r="P128" i="16"/>
  <c r="P198" i="16" s="1"/>
  <c r="N128" i="16"/>
  <c r="N198" i="16" s="1"/>
  <c r="M128" i="16"/>
  <c r="M198" i="16" s="1"/>
  <c r="K128" i="16"/>
  <c r="K198" i="16" s="1"/>
  <c r="J128" i="16"/>
  <c r="J198" i="16" s="1"/>
  <c r="H128" i="16"/>
  <c r="H198" i="16" s="1"/>
  <c r="F128" i="16"/>
  <c r="F198" i="16" s="1"/>
  <c r="AL121" i="16"/>
  <c r="AL197" i="16" s="1"/>
  <c r="AJ121" i="16"/>
  <c r="AJ197" i="16" s="1"/>
  <c r="AF121" i="16"/>
  <c r="AF197" i="16" s="1"/>
  <c r="AC121" i="16"/>
  <c r="AC197" i="16" s="1"/>
  <c r="AA121" i="16"/>
  <c r="AA197" i="16" s="1"/>
  <c r="X121" i="16"/>
  <c r="X197" i="16" s="1"/>
  <c r="U121" i="16"/>
  <c r="U197" i="16" s="1"/>
  <c r="R121" i="16"/>
  <c r="R197" i="16" s="1"/>
  <c r="N121" i="16"/>
  <c r="K121" i="16"/>
  <c r="H121" i="16"/>
  <c r="F121" i="16"/>
  <c r="AK121" i="16"/>
  <c r="AK197" i="16" s="1"/>
  <c r="AI121" i="16"/>
  <c r="AI197" i="16" s="1"/>
  <c r="AH121" i="16"/>
  <c r="AH197" i="16" s="1"/>
  <c r="AG121" i="16"/>
  <c r="AG197" i="16" s="1"/>
  <c r="AE121" i="16"/>
  <c r="AE197" i="16" s="1"/>
  <c r="AD121" i="16"/>
  <c r="AD197" i="16" s="1"/>
  <c r="AB121" i="16"/>
  <c r="AB197" i="16" s="1"/>
  <c r="Z121" i="16"/>
  <c r="Z197" i="16" s="1"/>
  <c r="Y121" i="16"/>
  <c r="Y197" i="16" s="1"/>
  <c r="W121" i="16"/>
  <c r="W197" i="16" s="1"/>
  <c r="V121" i="16"/>
  <c r="V197" i="16" s="1"/>
  <c r="T121" i="16"/>
  <c r="T197" i="16" s="1"/>
  <c r="S121" i="16"/>
  <c r="Q121" i="16"/>
  <c r="P121" i="16"/>
  <c r="O121" i="16"/>
  <c r="M121" i="16"/>
  <c r="L121" i="16"/>
  <c r="J121" i="16"/>
  <c r="J197" i="16" s="1"/>
  <c r="I121" i="16"/>
  <c r="G121" i="16"/>
  <c r="AL138" i="16"/>
  <c r="AK138" i="16"/>
  <c r="AJ138" i="16"/>
  <c r="AI138" i="16"/>
  <c r="AH138" i="16"/>
  <c r="AG138" i="16"/>
  <c r="AF138" i="16"/>
  <c r="AE138" i="16"/>
  <c r="AD138" i="16"/>
  <c r="AC138" i="16"/>
  <c r="AB138" i="16"/>
  <c r="AA138" i="16"/>
  <c r="Z138" i="16"/>
  <c r="Y138" i="16"/>
  <c r="X138" i="16"/>
  <c r="W138" i="16"/>
  <c r="V138" i="16"/>
  <c r="U138" i="16"/>
  <c r="T138" i="16"/>
  <c r="S138" i="16"/>
  <c r="R138" i="16"/>
  <c r="Q138" i="16"/>
  <c r="P138" i="16"/>
  <c r="O138" i="16"/>
  <c r="N138" i="16"/>
  <c r="M138" i="16"/>
  <c r="L138" i="16"/>
  <c r="K138" i="16"/>
  <c r="J138" i="16"/>
  <c r="I138" i="16"/>
  <c r="H138" i="16"/>
  <c r="G138" i="16"/>
  <c r="F138" i="16"/>
  <c r="Z64" i="20"/>
  <c r="Y64" i="20"/>
  <c r="X64" i="20"/>
  <c r="D85" i="19" s="1"/>
  <c r="T77" i="19"/>
  <c r="D84" i="19" s="1"/>
  <c r="Q77" i="19"/>
  <c r="G20" i="8"/>
  <c r="H20" i="8" s="1"/>
  <c r="G164" i="16"/>
  <c r="G175" i="16" s="1"/>
  <c r="H164" i="16"/>
  <c r="H175" i="16" s="1"/>
  <c r="J164" i="16"/>
  <c r="J175" i="16" s="1"/>
  <c r="K164" i="16"/>
  <c r="K175" i="16" s="1"/>
  <c r="L164" i="16"/>
  <c r="L175" i="16" s="1"/>
  <c r="O164" i="16"/>
  <c r="O175" i="16" s="1"/>
  <c r="P164" i="16"/>
  <c r="P175" i="16" s="1"/>
  <c r="R164" i="16"/>
  <c r="R175" i="16" s="1"/>
  <c r="S164" i="16"/>
  <c r="S175" i="16" s="1"/>
  <c r="U164" i="16"/>
  <c r="U175" i="16" s="1"/>
  <c r="V164" i="16"/>
  <c r="V175" i="16" s="1"/>
  <c r="X164" i="16"/>
  <c r="X175" i="16" s="1"/>
  <c r="Y164" i="16"/>
  <c r="Y175" i="16" s="1"/>
  <c r="AA164" i="16"/>
  <c r="AA175" i="16" s="1"/>
  <c r="AC164" i="16"/>
  <c r="AC175" i="16" s="1"/>
  <c r="AE164" i="16"/>
  <c r="AE175" i="16" s="1"/>
  <c r="AF164" i="16"/>
  <c r="AF175" i="16" s="1"/>
  <c r="AH164" i="16"/>
  <c r="AH175" i="16" s="1"/>
  <c r="AI164" i="16"/>
  <c r="AI175" i="16" s="1"/>
  <c r="AJ164" i="16"/>
  <c r="AJ175" i="16" s="1"/>
  <c r="AK164" i="16"/>
  <c r="AK175" i="16" s="1"/>
  <c r="AL164" i="16"/>
  <c r="AL175" i="16" s="1"/>
  <c r="F164" i="16"/>
  <c r="F175" i="16" s="1"/>
  <c r="I164" i="16"/>
  <c r="I175" i="16" s="1"/>
  <c r="M164" i="16"/>
  <c r="M175" i="16" s="1"/>
  <c r="N164" i="16"/>
  <c r="N175" i="16" s="1"/>
  <c r="Q164" i="16"/>
  <c r="Q175" i="16" s="1"/>
  <c r="T164" i="16"/>
  <c r="T175" i="16" s="1"/>
  <c r="W164" i="16"/>
  <c r="W175" i="16" s="1"/>
  <c r="Z164" i="16"/>
  <c r="Z175" i="16" s="1"/>
  <c r="AB164" i="16"/>
  <c r="AB175" i="16" s="1"/>
  <c r="AD164" i="16"/>
  <c r="AD175" i="16" s="1"/>
  <c r="AG164" i="16"/>
  <c r="AG175" i="16" s="1"/>
  <c r="D24" i="8"/>
  <c r="D25" i="8" s="1"/>
  <c r="E53" i="1" s="1"/>
  <c r="F116" i="6"/>
  <c r="G15" i="8"/>
  <c r="H15" i="8" s="1"/>
  <c r="L169" i="15"/>
  <c r="M169" i="15"/>
  <c r="N169" i="15"/>
  <c r="O169" i="15"/>
  <c r="P169" i="15"/>
  <c r="Q169" i="15"/>
  <c r="R169" i="15"/>
  <c r="S169" i="15"/>
  <c r="T169" i="15"/>
  <c r="U169" i="15"/>
  <c r="V169" i="15"/>
  <c r="W169" i="15"/>
  <c r="X169" i="15"/>
  <c r="Y169" i="15"/>
  <c r="Z169" i="15"/>
  <c r="AA169" i="15"/>
  <c r="AB169" i="15"/>
  <c r="AC169" i="15"/>
  <c r="AD169" i="15"/>
  <c r="AE169" i="15"/>
  <c r="AF169" i="15"/>
  <c r="AG169" i="15"/>
  <c r="AH169" i="15"/>
  <c r="AI169" i="15"/>
  <c r="AJ169" i="15"/>
  <c r="AK169" i="15"/>
  <c r="AL169" i="15"/>
  <c r="F166" i="15"/>
  <c r="F176" i="15" s="1"/>
  <c r="G166" i="15"/>
  <c r="H166" i="15"/>
  <c r="H176" i="15" s="1"/>
  <c r="I166" i="15"/>
  <c r="I176" i="15" s="1"/>
  <c r="J166" i="15"/>
  <c r="K166" i="15"/>
  <c r="K176" i="15" s="1"/>
  <c r="L166" i="15"/>
  <c r="L176" i="15" s="1"/>
  <c r="M166" i="15"/>
  <c r="N166" i="15"/>
  <c r="N176" i="15" s="1"/>
  <c r="O166" i="15"/>
  <c r="O176" i="15" s="1"/>
  <c r="P166" i="15"/>
  <c r="Q166" i="15"/>
  <c r="Q176" i="15" s="1"/>
  <c r="R166" i="15"/>
  <c r="S166" i="15"/>
  <c r="T166" i="15"/>
  <c r="U166" i="15"/>
  <c r="V166" i="15"/>
  <c r="W166" i="15"/>
  <c r="X166" i="15"/>
  <c r="Y166" i="15"/>
  <c r="Z166" i="15"/>
  <c r="AA166" i="15"/>
  <c r="AB166" i="15"/>
  <c r="AC166" i="15"/>
  <c r="AD166" i="15"/>
  <c r="AE166" i="15"/>
  <c r="AF166" i="15"/>
  <c r="AG166" i="15"/>
  <c r="AH166" i="15"/>
  <c r="AI166" i="15"/>
  <c r="AJ166" i="15"/>
  <c r="AK166" i="15"/>
  <c r="AL166" i="15"/>
  <c r="F200" i="15"/>
  <c r="G200" i="15"/>
  <c r="H200" i="15"/>
  <c r="G17" i="8"/>
  <c r="H17" i="8" s="1"/>
  <c r="W197" i="15"/>
  <c r="X197" i="15"/>
  <c r="Y197" i="15"/>
  <c r="Z197" i="15"/>
  <c r="AA197" i="15"/>
  <c r="AB197" i="15"/>
  <c r="AC197" i="15"/>
  <c r="AD197" i="15"/>
  <c r="AE197" i="15"/>
  <c r="AF197" i="15"/>
  <c r="AG197" i="15"/>
  <c r="AH197" i="15"/>
  <c r="AI197" i="15"/>
  <c r="AJ197" i="15"/>
  <c r="AK197" i="15"/>
  <c r="AL197" i="15"/>
  <c r="D41" i="8"/>
  <c r="D42" i="8" s="1"/>
  <c r="E54" i="1" s="1"/>
  <c r="D54" i="1" s="1"/>
  <c r="E41" i="8"/>
  <c r="E42" i="8" s="1"/>
  <c r="F41" i="8"/>
  <c r="F42" i="8" s="1"/>
  <c r="I63" i="6"/>
  <c r="E124" i="6" s="1"/>
  <c r="I56" i="6"/>
  <c r="E117" i="6" s="1"/>
  <c r="I54" i="6"/>
  <c r="E115" i="6" s="1"/>
  <c r="F115" i="6" s="1"/>
  <c r="I48" i="6"/>
  <c r="E109" i="6" s="1"/>
  <c r="F109" i="6" s="1"/>
  <c r="I47" i="6"/>
  <c r="E108" i="6" s="1"/>
  <c r="I45" i="6"/>
  <c r="E106" i="6" s="1"/>
  <c r="F106" i="6" s="1"/>
  <c r="I44" i="6"/>
  <c r="E105" i="6" s="1"/>
  <c r="G46" i="5"/>
  <c r="D61" i="5" s="1"/>
  <c r="G31" i="5"/>
  <c r="E61" i="5" s="1"/>
  <c r="E69" i="5" s="1"/>
  <c r="G45" i="5"/>
  <c r="D60" i="5" s="1"/>
  <c r="G30" i="5"/>
  <c r="E60" i="5" s="1"/>
  <c r="G44" i="5"/>
  <c r="D59" i="5" s="1"/>
  <c r="G29" i="5"/>
  <c r="E59" i="5" s="1"/>
  <c r="G43" i="5"/>
  <c r="D58" i="5" s="1"/>
  <c r="G28" i="5"/>
  <c r="E58" i="5" s="1"/>
  <c r="G27" i="5"/>
  <c r="E57" i="5" s="1"/>
  <c r="G42" i="5"/>
  <c r="D57" i="5" s="1"/>
  <c r="F57" i="5" s="1"/>
  <c r="G41" i="5"/>
  <c r="D56" i="5" s="1"/>
  <c r="E44" i="1"/>
  <c r="F24" i="8"/>
  <c r="F25" i="8" s="1"/>
  <c r="G26" i="4"/>
  <c r="D52" i="4" s="1"/>
  <c r="G38" i="4"/>
  <c r="E51" i="4" s="1"/>
  <c r="E59" i="4" s="1"/>
  <c r="G25" i="4"/>
  <c r="D51" i="4" s="1"/>
  <c r="G37" i="4"/>
  <c r="E50" i="4" s="1"/>
  <c r="L247" i="2"/>
  <c r="E24" i="8"/>
  <c r="E25" i="8" s="1"/>
  <c r="C268" i="23"/>
  <c r="C266" i="23" s="1"/>
  <c r="C92" i="23"/>
  <c r="R166" i="16"/>
  <c r="U166" i="16"/>
  <c r="V166" i="16"/>
  <c r="X166" i="16"/>
  <c r="Y166" i="16"/>
  <c r="AA166" i="16"/>
  <c r="AB166" i="16"/>
  <c r="AC166" i="16"/>
  <c r="AE166" i="16"/>
  <c r="AF166" i="16"/>
  <c r="AH166" i="16"/>
  <c r="AI166" i="16"/>
  <c r="AJ166" i="16"/>
  <c r="AK166" i="16"/>
  <c r="AL166" i="16"/>
  <c r="J166" i="16"/>
  <c r="T166" i="16"/>
  <c r="W166" i="16"/>
  <c r="Z166" i="16"/>
  <c r="AD166" i="16"/>
  <c r="AG166" i="16"/>
  <c r="AF165" i="16"/>
  <c r="AF196" i="16"/>
  <c r="AH165" i="16"/>
  <c r="AH196" i="16"/>
  <c r="AL165" i="16"/>
  <c r="AL196" i="16"/>
  <c r="G165" i="16"/>
  <c r="G196" i="16"/>
  <c r="X165" i="16"/>
  <c r="X196" i="16"/>
  <c r="Y165" i="16"/>
  <c r="Y196" i="16"/>
  <c r="AA165" i="16"/>
  <c r="AA196" i="16"/>
  <c r="AB165" i="16"/>
  <c r="AB196" i="16"/>
  <c r="AD165" i="16"/>
  <c r="AD196" i="16"/>
  <c r="AE165" i="16"/>
  <c r="AE196" i="16"/>
  <c r="AG165" i="16"/>
  <c r="AG196" i="16"/>
  <c r="AI165" i="16"/>
  <c r="AI196" i="16"/>
  <c r="AJ165" i="16"/>
  <c r="AJ196" i="16"/>
  <c r="AK165" i="16"/>
  <c r="AK196" i="16"/>
  <c r="K33" i="6"/>
  <c r="C103" i="6"/>
  <c r="C52" i="4"/>
  <c r="G15" i="4"/>
  <c r="M54" i="2"/>
  <c r="N54" i="2"/>
  <c r="O54" i="2"/>
  <c r="M53" i="2"/>
  <c r="M244" i="2" s="1"/>
  <c r="M253" i="2" s="1"/>
  <c r="M262" i="2" s="1"/>
  <c r="M270" i="2" s="1"/>
  <c r="E22" i="1" s="1"/>
  <c r="N53" i="2"/>
  <c r="N244" i="2" s="1"/>
  <c r="N253" i="2" s="1"/>
  <c r="N262" i="2" s="1"/>
  <c r="N270" i="2" s="1"/>
  <c r="E23" i="1" s="1"/>
  <c r="D23" i="1" s="1"/>
  <c r="O53" i="2"/>
  <c r="O244" i="2" s="1"/>
  <c r="O253" i="2" s="1"/>
  <c r="O262" i="2" s="1"/>
  <c r="O270" i="2" s="1"/>
  <c r="E24" i="1" s="1"/>
  <c r="D24" i="1" s="1"/>
  <c r="O50" i="2"/>
  <c r="N50" i="2"/>
  <c r="M50" i="2"/>
  <c r="O46" i="2"/>
  <c r="O243" i="2" s="1"/>
  <c r="O252" i="2" s="1"/>
  <c r="O261" i="2" s="1"/>
  <c r="O269" i="2" s="1"/>
  <c r="E20" i="1" s="1"/>
  <c r="D20" i="1" s="1"/>
  <c r="N46" i="2"/>
  <c r="N243" i="2" s="1"/>
  <c r="N252" i="2" s="1"/>
  <c r="N261" i="2" s="1"/>
  <c r="N269" i="2" s="1"/>
  <c r="E19" i="1" s="1"/>
  <c r="D19" i="1" s="1"/>
  <c r="M46" i="2"/>
  <c r="M243" i="2" s="1"/>
  <c r="M252" i="2" s="1"/>
  <c r="M261" i="2" s="1"/>
  <c r="M269" i="2" s="1"/>
  <c r="E18" i="1" s="1"/>
  <c r="E245" i="17" l="1"/>
  <c r="AC104" i="17"/>
  <c r="AC125" i="17" s="1"/>
  <c r="G250" i="17" s="1"/>
  <c r="I250" i="17" s="1"/>
  <c r="AA125" i="17"/>
  <c r="G238" i="17" s="1"/>
  <c r="C255" i="23"/>
  <c r="C284" i="23" s="1"/>
  <c r="E181" i="1" s="1"/>
  <c r="D181" i="1" s="1"/>
  <c r="H158" i="23"/>
  <c r="C283" i="23"/>
  <c r="C282" i="23" s="1"/>
  <c r="D38" i="11"/>
  <c r="F38" i="11"/>
  <c r="E91" i="1" s="1"/>
  <c r="E89" i="1" s="1"/>
  <c r="F45" i="9"/>
  <c r="F114" i="6"/>
  <c r="F108" i="6"/>
  <c r="F105" i="6"/>
  <c r="F102" i="6"/>
  <c r="F117" i="6"/>
  <c r="E130" i="6"/>
  <c r="D130" i="6"/>
  <c r="F130" i="6" s="1"/>
  <c r="F60" i="5"/>
  <c r="F67" i="5" s="1"/>
  <c r="F55" i="5"/>
  <c r="E68" i="5"/>
  <c r="G47" i="5"/>
  <c r="G32" i="5"/>
  <c r="F54" i="5"/>
  <c r="F53" i="4"/>
  <c r="F61" i="4" s="1"/>
  <c r="D61" i="4"/>
  <c r="G41" i="4"/>
  <c r="G28" i="4"/>
  <c r="D60" i="4"/>
  <c r="F48" i="4"/>
  <c r="F51" i="4"/>
  <c r="F49" i="4"/>
  <c r="D67" i="10"/>
  <c r="E83" i="1" s="1"/>
  <c r="F64" i="10"/>
  <c r="F67" i="10" s="1"/>
  <c r="E40" i="1"/>
  <c r="D40" i="1" s="1"/>
  <c r="E180" i="1"/>
  <c r="E176" i="1"/>
  <c r="C278" i="23"/>
  <c r="H46" i="21"/>
  <c r="H53" i="21" s="1"/>
  <c r="F53" i="21"/>
  <c r="E163" i="1" s="1"/>
  <c r="D157" i="1"/>
  <c r="W11" i="19"/>
  <c r="W77" i="19" s="1"/>
  <c r="V77" i="19"/>
  <c r="X11" i="19"/>
  <c r="X77" i="19" s="1"/>
  <c r="P77" i="19"/>
  <c r="C265" i="17"/>
  <c r="I264" i="17"/>
  <c r="E148" i="1"/>
  <c r="I254" i="17"/>
  <c r="E263" i="17"/>
  <c r="C153" i="17"/>
  <c r="C154" i="17"/>
  <c r="E140" i="17"/>
  <c r="E141" i="17"/>
  <c r="U130" i="17"/>
  <c r="Y130" i="17" s="1"/>
  <c r="S77" i="17"/>
  <c r="S98" i="17" s="1"/>
  <c r="G249" i="17" s="1"/>
  <c r="Q98" i="17"/>
  <c r="G237" i="17" s="1"/>
  <c r="E137" i="1"/>
  <c r="I248" i="17"/>
  <c r="E257" i="17"/>
  <c r="E260" i="17"/>
  <c r="D82" i="1"/>
  <c r="D73" i="1"/>
  <c r="E68" i="1"/>
  <c r="D69" i="1"/>
  <c r="D68" i="1" s="1"/>
  <c r="E64" i="1"/>
  <c r="D65" i="1"/>
  <c r="D64" i="1" s="1"/>
  <c r="E76" i="1"/>
  <c r="D77" i="1"/>
  <c r="D76" i="1" s="1"/>
  <c r="H13" i="8"/>
  <c r="G24" i="8"/>
  <c r="H25" i="8" s="1"/>
  <c r="E60" i="1"/>
  <c r="D61" i="1"/>
  <c r="D60" i="1" s="1"/>
  <c r="E56" i="1"/>
  <c r="D57" i="1"/>
  <c r="D56" i="1" s="1"/>
  <c r="E48" i="1"/>
  <c r="D49" i="1"/>
  <c r="D48" i="1" s="1"/>
  <c r="F66" i="5"/>
  <c r="F58" i="4"/>
  <c r="M247" i="2"/>
  <c r="M251" i="2"/>
  <c r="N247" i="2"/>
  <c r="N251" i="2"/>
  <c r="O247" i="2"/>
  <c r="O251" i="2"/>
  <c r="AC196" i="16"/>
  <c r="AC171" i="16"/>
  <c r="AC176" i="16" s="1"/>
  <c r="Z196" i="16"/>
  <c r="Z171" i="16"/>
  <c r="Z176" i="16" s="1"/>
  <c r="W196" i="16"/>
  <c r="W171" i="16"/>
  <c r="W176" i="16" s="1"/>
  <c r="V196" i="16"/>
  <c r="V171" i="16"/>
  <c r="V176" i="16" s="1"/>
  <c r="U196" i="16"/>
  <c r="U171" i="16"/>
  <c r="U176" i="16" s="1"/>
  <c r="T196" i="16"/>
  <c r="T171" i="16"/>
  <c r="T176" i="16" s="1"/>
  <c r="S196" i="16"/>
  <c r="S171" i="16"/>
  <c r="S176" i="16" s="1"/>
  <c r="R196" i="16"/>
  <c r="R171" i="16"/>
  <c r="R176" i="16" s="1"/>
  <c r="Q196" i="16"/>
  <c r="Q171" i="16"/>
  <c r="Q176" i="16" s="1"/>
  <c r="P196" i="16"/>
  <c r="P171" i="16"/>
  <c r="P176" i="16" s="1"/>
  <c r="O196" i="16"/>
  <c r="O171" i="16"/>
  <c r="O176" i="16" s="1"/>
  <c r="N196" i="16"/>
  <c r="N171" i="16"/>
  <c r="N176" i="16" s="1"/>
  <c r="M196" i="16"/>
  <c r="M171" i="16"/>
  <c r="M176" i="16" s="1"/>
  <c r="M179" i="16" s="1"/>
  <c r="L196" i="16"/>
  <c r="L171" i="16"/>
  <c r="L176" i="16" s="1"/>
  <c r="L179" i="16" s="1"/>
  <c r="K196" i="16"/>
  <c r="K171" i="16"/>
  <c r="K176" i="16" s="1"/>
  <c r="K179" i="16" s="1"/>
  <c r="J196" i="16"/>
  <c r="J171" i="16"/>
  <c r="J176" i="16" s="1"/>
  <c r="J179" i="16" s="1"/>
  <c r="I196" i="16"/>
  <c r="I171" i="16"/>
  <c r="I176" i="16" s="1"/>
  <c r="I179" i="16" s="1"/>
  <c r="H196" i="16"/>
  <c r="H171" i="16"/>
  <c r="H176" i="16" s="1"/>
  <c r="H179" i="16" s="1"/>
  <c r="F196" i="16"/>
  <c r="F171" i="16"/>
  <c r="F176" i="16" s="1"/>
  <c r="F179" i="16" s="1"/>
  <c r="E152" i="1"/>
  <c r="D153" i="1"/>
  <c r="D152" i="1" s="1"/>
  <c r="D53" i="1"/>
  <c r="D52" i="1" s="1"/>
  <c r="E52" i="1"/>
  <c r="F61" i="5"/>
  <c r="F69" i="5" s="1"/>
  <c r="D69" i="5"/>
  <c r="E45" i="1" s="1"/>
  <c r="D45" i="1" s="1"/>
  <c r="F56" i="5"/>
  <c r="D68" i="5"/>
  <c r="D44" i="1"/>
  <c r="E60" i="4"/>
  <c r="F50" i="4"/>
  <c r="E171" i="1"/>
  <c r="C59" i="4"/>
  <c r="E36" i="1" s="1"/>
  <c r="F52" i="4"/>
  <c r="D22" i="1"/>
  <c r="D21" i="1" s="1"/>
  <c r="E21" i="1"/>
  <c r="D18" i="1"/>
  <c r="E17" i="1"/>
  <c r="F86" i="19"/>
  <c r="F87" i="19" s="1"/>
  <c r="F88" i="19" s="1"/>
  <c r="C194" i="17"/>
  <c r="F123" i="6"/>
  <c r="F122" i="6"/>
  <c r="F120" i="6"/>
  <c r="F118" i="6"/>
  <c r="F113" i="6"/>
  <c r="F112" i="6"/>
  <c r="F110" i="6"/>
  <c r="F107" i="6"/>
  <c r="E131" i="6"/>
  <c r="AH201" i="15"/>
  <c r="AF201" i="15"/>
  <c r="AD201" i="15"/>
  <c r="AD203" i="15" s="1"/>
  <c r="AB201" i="15"/>
  <c r="AB203" i="15" s="1"/>
  <c r="Z201" i="15"/>
  <c r="Z203" i="15" s="1"/>
  <c r="X201" i="15"/>
  <c r="V201" i="15"/>
  <c r="T201" i="15"/>
  <c r="R201" i="15"/>
  <c r="P201" i="15"/>
  <c r="N201" i="15"/>
  <c r="L201" i="15"/>
  <c r="I201" i="15"/>
  <c r="G201" i="15"/>
  <c r="G203" i="15" s="1"/>
  <c r="F201" i="15"/>
  <c r="F203" i="15" s="1"/>
  <c r="AK201" i="15"/>
  <c r="AK203" i="15" s="1"/>
  <c r="AJ201" i="15"/>
  <c r="AJ203" i="15" s="1"/>
  <c r="AG201" i="15"/>
  <c r="AG203" i="15" s="1"/>
  <c r="AE201" i="15"/>
  <c r="AE203" i="15" s="1"/>
  <c r="AC201" i="15"/>
  <c r="AA201" i="15"/>
  <c r="Y201" i="15"/>
  <c r="W201" i="15"/>
  <c r="U201" i="15"/>
  <c r="S201" i="15"/>
  <c r="Q201" i="15"/>
  <c r="O201" i="15"/>
  <c r="M201" i="15"/>
  <c r="M203" i="15" s="1"/>
  <c r="Y200" i="15"/>
  <c r="Y203" i="15" s="1"/>
  <c r="W200" i="15"/>
  <c r="W203" i="15" s="1"/>
  <c r="U200" i="15"/>
  <c r="S200" i="15"/>
  <c r="O200" i="15"/>
  <c r="L200" i="15"/>
  <c r="L203" i="15" s="1"/>
  <c r="AH200" i="15"/>
  <c r="AH203" i="15" s="1"/>
  <c r="AF200" i="15"/>
  <c r="AF203" i="15" s="1"/>
  <c r="AC200" i="15"/>
  <c r="AC203" i="15" s="1"/>
  <c r="AA200" i="15"/>
  <c r="AA203" i="15" s="1"/>
  <c r="X200" i="15"/>
  <c r="X203" i="15" s="1"/>
  <c r="T200" i="15"/>
  <c r="Q200" i="15"/>
  <c r="N200" i="15"/>
  <c r="N203" i="15" s="1"/>
  <c r="K200" i="15"/>
  <c r="K203" i="15" s="1"/>
  <c r="I200" i="15"/>
  <c r="I203" i="15" s="1"/>
  <c r="P171" i="15"/>
  <c r="P176" i="15" s="1"/>
  <c r="P179" i="15" s="1"/>
  <c r="M171" i="15"/>
  <c r="M176" i="15" s="1"/>
  <c r="M179" i="15" s="1"/>
  <c r="J171" i="15"/>
  <c r="J176" i="15" s="1"/>
  <c r="J179" i="15" s="1"/>
  <c r="G171" i="15"/>
  <c r="G176" i="15" s="1"/>
  <c r="V197" i="15"/>
  <c r="U197" i="15"/>
  <c r="T197" i="15"/>
  <c r="S197" i="15"/>
  <c r="R197" i="15"/>
  <c r="Q197" i="15"/>
  <c r="P197" i="15"/>
  <c r="O197" i="15"/>
  <c r="AL171" i="15"/>
  <c r="AL176" i="15" s="1"/>
  <c r="AL179" i="15" s="1"/>
  <c r="AK171" i="15"/>
  <c r="AK176" i="15" s="1"/>
  <c r="AK179" i="15" s="1"/>
  <c r="AJ171" i="15"/>
  <c r="AJ176" i="15" s="1"/>
  <c r="AJ179" i="15" s="1"/>
  <c r="AI171" i="15"/>
  <c r="AI176" i="15" s="1"/>
  <c r="AI179" i="15" s="1"/>
  <c r="AH171" i="15"/>
  <c r="AH176" i="15" s="1"/>
  <c r="AH179" i="15" s="1"/>
  <c r="AG171" i="15"/>
  <c r="AG176" i="15" s="1"/>
  <c r="AG179" i="15" s="1"/>
  <c r="AF171" i="15"/>
  <c r="AF176" i="15" s="1"/>
  <c r="AE171" i="15"/>
  <c r="AE176" i="15" s="1"/>
  <c r="AE179" i="15" s="1"/>
  <c r="AD171" i="15"/>
  <c r="AD176" i="15" s="1"/>
  <c r="AD179" i="15" s="1"/>
  <c r="AC171" i="15"/>
  <c r="AC176" i="15" s="1"/>
  <c r="AC179" i="15" s="1"/>
  <c r="AB171" i="15"/>
  <c r="AB176" i="15" s="1"/>
  <c r="AB179" i="15" s="1"/>
  <c r="AA171" i="15"/>
  <c r="AA176" i="15" s="1"/>
  <c r="AA179" i="15" s="1"/>
  <c r="Z171" i="15"/>
  <c r="Z176" i="15" s="1"/>
  <c r="Z179" i="15" s="1"/>
  <c r="Y171" i="15"/>
  <c r="Y176" i="15" s="1"/>
  <c r="Y179" i="15" s="1"/>
  <c r="X171" i="15"/>
  <c r="X176" i="15" s="1"/>
  <c r="X179" i="15" s="1"/>
  <c r="W171" i="15"/>
  <c r="W176" i="15" s="1"/>
  <c r="W179" i="15" s="1"/>
  <c r="V171" i="15"/>
  <c r="V176" i="15" s="1"/>
  <c r="V179" i="15" s="1"/>
  <c r="U171" i="15"/>
  <c r="U176" i="15" s="1"/>
  <c r="U179" i="15" s="1"/>
  <c r="T171" i="15"/>
  <c r="T176" i="15" s="1"/>
  <c r="T179" i="15" s="1"/>
  <c r="S171" i="15"/>
  <c r="S176" i="15" s="1"/>
  <c r="S179" i="15" s="1"/>
  <c r="R171" i="15"/>
  <c r="R176" i="15" s="1"/>
  <c r="R179" i="15" s="1"/>
  <c r="G179" i="15"/>
  <c r="AF179" i="15"/>
  <c r="V200" i="16"/>
  <c r="T200" i="16"/>
  <c r="S200" i="16"/>
  <c r="Q200" i="16"/>
  <c r="O200" i="16"/>
  <c r="N200" i="16"/>
  <c r="L200" i="16"/>
  <c r="K200" i="16"/>
  <c r="I200" i="16"/>
  <c r="H200" i="16"/>
  <c r="F200" i="16"/>
  <c r="AL200" i="16"/>
  <c r="AL203" i="16" s="1"/>
  <c r="D113" i="1" s="1"/>
  <c r="D110" i="1" s="1"/>
  <c r="D93" i="1" s="1"/>
  <c r="D192" i="1" s="1"/>
  <c r="AJ200" i="16"/>
  <c r="AJ203" i="16" s="1"/>
  <c r="AH200" i="16"/>
  <c r="AH203" i="16" s="1"/>
  <c r="AE200" i="16"/>
  <c r="AE203" i="16" s="1"/>
  <c r="AB200" i="16"/>
  <c r="AB203" i="16" s="1"/>
  <c r="X200" i="16"/>
  <c r="X203" i="16" s="1"/>
  <c r="U200" i="16"/>
  <c r="R200" i="16"/>
  <c r="P200" i="16"/>
  <c r="M200" i="16"/>
  <c r="J200" i="16"/>
  <c r="G200" i="16"/>
  <c r="AL171" i="16"/>
  <c r="AL176" i="16" s="1"/>
  <c r="AL179" i="16" s="1"/>
  <c r="AK171" i="16"/>
  <c r="AK176" i="16" s="1"/>
  <c r="AK179" i="16" s="1"/>
  <c r="AI171" i="16"/>
  <c r="AI176" i="16" s="1"/>
  <c r="AI179" i="16" s="1"/>
  <c r="AG171" i="16"/>
  <c r="AG176" i="16" s="1"/>
  <c r="AG179" i="16" s="1"/>
  <c r="AE171" i="16"/>
  <c r="AE176" i="16" s="1"/>
  <c r="AE179" i="16" s="1"/>
  <c r="AJ171" i="16"/>
  <c r="AJ176" i="16" s="1"/>
  <c r="AJ179" i="16" s="1"/>
  <c r="AH171" i="16"/>
  <c r="AH176" i="16" s="1"/>
  <c r="AH179" i="16" s="1"/>
  <c r="AF171" i="16"/>
  <c r="AF176" i="16" s="1"/>
  <c r="AF179" i="16" s="1"/>
  <c r="AD171" i="16"/>
  <c r="AD176" i="16" s="1"/>
  <c r="AD179" i="16" s="1"/>
  <c r="AB171" i="16"/>
  <c r="AB176" i="16" s="1"/>
  <c r="AB179" i="16" s="1"/>
  <c r="AA171" i="16"/>
  <c r="AA176" i="16" s="1"/>
  <c r="AA179" i="16" s="1"/>
  <c r="Y171" i="16"/>
  <c r="Y176" i="16" s="1"/>
  <c r="Y179" i="16" s="1"/>
  <c r="X171" i="16"/>
  <c r="X176" i="16" s="1"/>
  <c r="G171" i="16"/>
  <c r="G176" i="16" s="1"/>
  <c r="AL201" i="16"/>
  <c r="AK201" i="16"/>
  <c r="AK203" i="16" s="1"/>
  <c r="AJ201" i="16"/>
  <c r="AI201" i="16"/>
  <c r="AI203" i="16" s="1"/>
  <c r="AH201" i="16"/>
  <c r="AG201" i="16"/>
  <c r="AG203" i="16" s="1"/>
  <c r="AF201" i="16"/>
  <c r="AF203" i="16" s="1"/>
  <c r="AE201" i="16"/>
  <c r="AD201" i="16"/>
  <c r="AD203" i="16" s="1"/>
  <c r="AC201" i="16"/>
  <c r="AB201" i="16"/>
  <c r="AA201" i="16"/>
  <c r="AA203" i="16" s="1"/>
  <c r="Z201" i="16"/>
  <c r="Y201" i="16"/>
  <c r="Y203" i="16" s="1"/>
  <c r="X201" i="16"/>
  <c r="W201" i="16"/>
  <c r="V201" i="16"/>
  <c r="U201" i="16"/>
  <c r="T201" i="16"/>
  <c r="S201" i="16"/>
  <c r="R201" i="16"/>
  <c r="Q201" i="16"/>
  <c r="P201" i="16"/>
  <c r="O201" i="16"/>
  <c r="N201" i="16"/>
  <c r="M201" i="16"/>
  <c r="L201" i="16"/>
  <c r="K201" i="16"/>
  <c r="J201" i="16"/>
  <c r="I201" i="16"/>
  <c r="H201" i="16"/>
  <c r="G201" i="16"/>
  <c r="F201" i="16"/>
  <c r="AL173" i="16"/>
  <c r="AL177" i="16" s="1"/>
  <c r="AK173" i="16"/>
  <c r="AK177" i="16" s="1"/>
  <c r="AJ173" i="16"/>
  <c r="AJ177" i="16" s="1"/>
  <c r="AI173" i="16"/>
  <c r="AI177" i="16" s="1"/>
  <c r="AH173" i="16"/>
  <c r="AH177" i="16" s="1"/>
  <c r="AG173" i="16"/>
  <c r="AG177" i="16" s="1"/>
  <c r="AF173" i="16"/>
  <c r="AF177" i="16" s="1"/>
  <c r="AE173" i="16"/>
  <c r="AE177" i="16" s="1"/>
  <c r="AD173" i="16"/>
  <c r="AD177" i="16" s="1"/>
  <c r="AC173" i="16"/>
  <c r="AC177" i="16" s="1"/>
  <c r="AB173" i="16"/>
  <c r="AB177" i="16" s="1"/>
  <c r="AA173" i="16"/>
  <c r="AA177" i="16" s="1"/>
  <c r="Z173" i="16"/>
  <c r="Z177" i="16" s="1"/>
  <c r="Y173" i="16"/>
  <c r="Y177" i="16" s="1"/>
  <c r="X173" i="16"/>
  <c r="X177" i="16" s="1"/>
  <c r="W173" i="16"/>
  <c r="W177" i="16" s="1"/>
  <c r="V173" i="16"/>
  <c r="V177" i="16" s="1"/>
  <c r="U173" i="16"/>
  <c r="U177" i="16" s="1"/>
  <c r="T173" i="16"/>
  <c r="T177" i="16" s="1"/>
  <c r="S173" i="16"/>
  <c r="S177" i="16" s="1"/>
  <c r="R173" i="16"/>
  <c r="R177" i="16" s="1"/>
  <c r="Q173" i="16"/>
  <c r="Q177" i="16" s="1"/>
  <c r="P173" i="16"/>
  <c r="P177" i="16" s="1"/>
  <c r="O173" i="16"/>
  <c r="O177" i="16" s="1"/>
  <c r="N173" i="16"/>
  <c r="N177" i="16" s="1"/>
  <c r="N197" i="16"/>
  <c r="H197" i="16"/>
  <c r="F197" i="16"/>
  <c r="Q197" i="16"/>
  <c r="P197" i="16"/>
  <c r="O197" i="16"/>
  <c r="L197" i="16"/>
  <c r="I197" i="16"/>
  <c r="E74" i="1"/>
  <c r="M173" i="16"/>
  <c r="M177" i="16" s="1"/>
  <c r="L173" i="16"/>
  <c r="L177" i="16" s="1"/>
  <c r="K173" i="16"/>
  <c r="K177" i="16" s="1"/>
  <c r="J173" i="16"/>
  <c r="J177" i="16" s="1"/>
  <c r="I173" i="16"/>
  <c r="I177" i="16" s="1"/>
  <c r="H173" i="16"/>
  <c r="H177" i="16" s="1"/>
  <c r="G173" i="16"/>
  <c r="G177" i="16" s="1"/>
  <c r="F173" i="16"/>
  <c r="F177" i="16" s="1"/>
  <c r="K197" i="16"/>
  <c r="S197" i="16"/>
  <c r="M197" i="16"/>
  <c r="G197" i="16"/>
  <c r="D67" i="5"/>
  <c r="E67" i="5"/>
  <c r="F59" i="5"/>
  <c r="F58" i="5"/>
  <c r="D59" i="4"/>
  <c r="D131" i="6"/>
  <c r="F104" i="6"/>
  <c r="D103" i="6"/>
  <c r="D129" i="6" s="1"/>
  <c r="E33" i="1" s="1"/>
  <c r="D33" i="1" s="1"/>
  <c r="I95" i="6"/>
  <c r="E103" i="6"/>
  <c r="E129" i="6" s="1"/>
  <c r="E34" i="1" s="1"/>
  <c r="D34" i="1" s="1"/>
  <c r="I64" i="6"/>
  <c r="E132" i="6"/>
  <c r="F124" i="6"/>
  <c r="C129" i="6"/>
  <c r="C265" i="23" l="1"/>
  <c r="C259" i="23"/>
  <c r="D91" i="1"/>
  <c r="D89" i="1" s="1"/>
  <c r="E37" i="1"/>
  <c r="D37" i="1" s="1"/>
  <c r="E41" i="1"/>
  <c r="D41" i="1" s="1"/>
  <c r="F103" i="6"/>
  <c r="F125" i="6" s="1"/>
  <c r="F131" i="6"/>
  <c r="E38" i="1"/>
  <c r="D38" i="1" s="1"/>
  <c r="E42" i="1"/>
  <c r="D42" i="1" s="1"/>
  <c r="F62" i="5"/>
  <c r="F59" i="4"/>
  <c r="D83" i="1"/>
  <c r="D81" i="1" s="1"/>
  <c r="E81" i="1"/>
  <c r="E80" i="1" s="1"/>
  <c r="E191" i="1" s="1"/>
  <c r="E179" i="1"/>
  <c r="D180" i="1"/>
  <c r="D179" i="1" s="1"/>
  <c r="E175" i="1"/>
  <c r="E170" i="1" s="1"/>
  <c r="D176" i="1"/>
  <c r="D175" i="1" s="1"/>
  <c r="E160" i="1"/>
  <c r="D163" i="1"/>
  <c r="D160" i="1" s="1"/>
  <c r="E147" i="1"/>
  <c r="D148" i="1"/>
  <c r="D147" i="1" s="1"/>
  <c r="I263" i="17"/>
  <c r="E145" i="1"/>
  <c r="K131" i="17"/>
  <c r="M131" i="17"/>
  <c r="S131" i="17" s="1"/>
  <c r="W131" i="17" s="1"/>
  <c r="I249" i="17"/>
  <c r="G261" i="17"/>
  <c r="D137" i="1"/>
  <c r="I260" i="17"/>
  <c r="E265" i="17"/>
  <c r="E133" i="1"/>
  <c r="E189" i="1"/>
  <c r="D189" i="1"/>
  <c r="M256" i="2"/>
  <c r="M260" i="2"/>
  <c r="N256" i="2"/>
  <c r="N260" i="2"/>
  <c r="O256" i="2"/>
  <c r="O260" i="2"/>
  <c r="D171" i="1"/>
  <c r="D36" i="1"/>
  <c r="E158" i="1"/>
  <c r="D101" i="19"/>
  <c r="G240" i="17"/>
  <c r="E194" i="17"/>
  <c r="F132" i="6"/>
  <c r="E46" i="1"/>
  <c r="E32" i="1"/>
  <c r="F129" i="6"/>
  <c r="AC203" i="16"/>
  <c r="AC179" i="16"/>
  <c r="Z203" i="16"/>
  <c r="Z179" i="16"/>
  <c r="U203" i="16"/>
  <c r="T203" i="16"/>
  <c r="T179" i="16"/>
  <c r="S179" i="16"/>
  <c r="R203" i="16"/>
  <c r="Q203" i="16"/>
  <c r="Q179" i="16"/>
  <c r="P203" i="16"/>
  <c r="O203" i="16"/>
  <c r="O179" i="16"/>
  <c r="N179" i="16"/>
  <c r="M203" i="16"/>
  <c r="L203" i="16"/>
  <c r="J203" i="16"/>
  <c r="I203" i="16"/>
  <c r="F203" i="16"/>
  <c r="W203" i="16"/>
  <c r="W179" i="16"/>
  <c r="V203" i="16"/>
  <c r="V179" i="16"/>
  <c r="U179" i="16"/>
  <c r="S203" i="16"/>
  <c r="R179" i="16"/>
  <c r="P179" i="16"/>
  <c r="N203" i="16"/>
  <c r="K203" i="16"/>
  <c r="H203" i="16"/>
  <c r="F68" i="5"/>
  <c r="F70" i="5" s="1"/>
  <c r="V203" i="15"/>
  <c r="U203" i="15"/>
  <c r="T203" i="15"/>
  <c r="S203" i="15"/>
  <c r="R203" i="15"/>
  <c r="Q203" i="15"/>
  <c r="P203" i="15"/>
  <c r="O203" i="15"/>
  <c r="X179" i="16"/>
  <c r="G179" i="16"/>
  <c r="G203" i="16"/>
  <c r="F60" i="4"/>
  <c r="F54" i="4"/>
  <c r="D74" i="1"/>
  <c r="D72" i="1" s="1"/>
  <c r="E72" i="1"/>
  <c r="D80" i="1" l="1"/>
  <c r="D191" i="1" s="1"/>
  <c r="F133" i="6"/>
  <c r="E39" i="1"/>
  <c r="D35" i="1"/>
  <c r="D39" i="1"/>
  <c r="E35" i="1"/>
  <c r="F62" i="4"/>
  <c r="E143" i="1"/>
  <c r="D145" i="1"/>
  <c r="D143" i="1" s="1"/>
  <c r="Q131" i="17"/>
  <c r="S161" i="17"/>
  <c r="S163" i="17" s="1"/>
  <c r="S168" i="17" s="1"/>
  <c r="C195" i="17" s="1"/>
  <c r="I261" i="17"/>
  <c r="E138" i="1"/>
  <c r="E131" i="1"/>
  <c r="D133" i="1"/>
  <c r="D131" i="1" s="1"/>
  <c r="M265" i="2"/>
  <c r="M268" i="2"/>
  <c r="N265" i="2"/>
  <c r="N268" i="2"/>
  <c r="O265" i="2"/>
  <c r="O268" i="2"/>
  <c r="E156" i="1"/>
  <c r="E151" i="1" s="1"/>
  <c r="D158" i="1"/>
  <c r="D156" i="1" s="1"/>
  <c r="D151" i="1" s="1"/>
  <c r="G252" i="17"/>
  <c r="I252" i="17" s="1"/>
  <c r="E43" i="1"/>
  <c r="D46" i="1"/>
  <c r="D43" i="1" s="1"/>
  <c r="D32" i="1"/>
  <c r="D31" i="1" s="1"/>
  <c r="E31" i="1"/>
  <c r="D170" i="1"/>
  <c r="D190" i="1"/>
  <c r="D47" i="1"/>
  <c r="E190" i="1"/>
  <c r="E47" i="1"/>
  <c r="D30" i="1" l="1"/>
  <c r="D188" i="1" s="1"/>
  <c r="G239" i="17"/>
  <c r="U131" i="17"/>
  <c r="Y131" i="17" s="1"/>
  <c r="Y132" i="17" s="1"/>
  <c r="G251" i="17" s="1"/>
  <c r="C196" i="17"/>
  <c r="E195" i="17"/>
  <c r="G241" i="17"/>
  <c r="E135" i="1"/>
  <c r="D138" i="1"/>
  <c r="D135" i="1" s="1"/>
  <c r="M271" i="2"/>
  <c r="E14" i="1"/>
  <c r="N271" i="2"/>
  <c r="E15" i="1"/>
  <c r="D15" i="1" s="1"/>
  <c r="O271" i="2"/>
  <c r="E16" i="1"/>
  <c r="D16" i="1" s="1"/>
  <c r="E194" i="1"/>
  <c r="D194" i="1"/>
  <c r="E30" i="1"/>
  <c r="E188" i="1" s="1"/>
  <c r="G245" i="17" l="1"/>
  <c r="I251" i="17"/>
  <c r="E196" i="17"/>
  <c r="G253" i="17"/>
  <c r="E13" i="1"/>
  <c r="E12" i="1" s="1"/>
  <c r="E11" i="1" s="1"/>
  <c r="D14" i="1"/>
  <c r="D13" i="1" s="1"/>
  <c r="D12" i="1" s="1"/>
  <c r="D11" i="1" s="1"/>
  <c r="E187" i="1" l="1"/>
  <c r="E10" i="1"/>
  <c r="D187" i="1"/>
  <c r="D10" i="1"/>
  <c r="I253" i="17"/>
  <c r="I257" i="17" s="1"/>
  <c r="G257" i="17"/>
  <c r="G262" i="17"/>
  <c r="I262" i="17" l="1"/>
  <c r="I265" i="17" s="1"/>
  <c r="E142" i="1"/>
  <c r="G265" i="17"/>
  <c r="E139" i="1" l="1"/>
  <c r="E130" i="1" s="1"/>
  <c r="D142" i="1"/>
  <c r="D139" i="1" s="1"/>
  <c r="D130" i="1" s="1"/>
  <c r="E168" i="1" l="1"/>
  <c r="E182" i="1" s="1"/>
  <c r="E193" i="1"/>
  <c r="E195" i="1" s="1"/>
  <c r="D168" i="1"/>
  <c r="D182" i="1" s="1"/>
  <c r="D193" i="1"/>
  <c r="D19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8" authorId="0" shapeId="0" xr:uid="{00000000-0006-0000-0000-000001000000}">
      <text>
        <r>
          <rPr>
            <sz val="8"/>
            <color rgb="FF000000"/>
            <rFont val="Calibri"/>
            <scheme val="minor"/>
          </rPr>
          <t>HFC and PFC emissions are reported in aggregate as a combination of many gases each having unique lifetimes and global warming potentials. Therefore a single GWP is not reported here. HFC and PFC emissions are reported under the subsector of ODS Substitutes using GWPs from IPCC AR6.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L77" authorId="0" shapeId="0" xr:uid="{00000000-0006-0000-0100-000003000000}">
      <text>
        <r>
          <rPr>
            <sz val="8"/>
            <color rgb="FF000000"/>
            <rFont val="Calibri"/>
            <scheme val="minor"/>
          </rPr>
          <t>Backcalculated
======</t>
        </r>
      </text>
    </comment>
    <comment ref="L81" authorId="0" shapeId="0" xr:uid="{00000000-0006-0000-0100-000002000000}">
      <text>
        <r>
          <rPr>
            <sz val="8"/>
            <color rgb="FF000000"/>
            <rFont val="Calibri"/>
            <scheme val="minor"/>
          </rPr>
          <t>Back Calculation to match Revised ECR
======</t>
        </r>
      </text>
    </comment>
    <comment ref="L194" authorId="0" shapeId="0" xr:uid="{00000000-0006-0000-0100-000001000000}">
      <text>
        <r>
          <rPr>
            <sz val="8"/>
            <color rgb="FF000000"/>
            <rFont val="Calibri"/>
            <scheme val="minor"/>
          </rPr>
          <t>Back Calculation from 40 CFR CO2 EF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D7" authorId="0" shapeId="0" xr:uid="{00000000-0006-0000-0300-000001000000}">
      <text>
        <r>
          <rPr>
            <sz val="8"/>
            <color rgb="FF000000"/>
            <rFont val="Calibri"/>
            <scheme val="minor"/>
          </rPr>
          <t>EPA SIT Version 2025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D7" authorId="0" shapeId="0" xr:uid="{00000000-0006-0000-0400-000003000000}">
      <text>
        <r>
          <rPr>
            <sz val="8"/>
            <color rgb="FF000000"/>
            <rFont val="Calibri"/>
            <scheme val="minor"/>
          </rPr>
          <t>EPA SIT Version 2025
======</t>
        </r>
      </text>
    </comment>
    <comment ref="C13" authorId="0" shapeId="0" xr:uid="{00000000-0006-0000-0400-000002000000}">
      <text>
        <r>
          <rPr>
            <sz val="8"/>
            <color rgb="FF000000"/>
            <rFont val="Calibri"/>
            <scheme val="minor"/>
          </rPr>
          <t>SEDS Motor Gasoline - SEDS Fuel Ethanol
======</t>
        </r>
      </text>
    </comment>
    <comment ref="C16" authorId="0" shapeId="0" xr:uid="{00000000-0006-0000-0400-000001000000}">
      <text>
        <r>
          <rPr>
            <sz val="8"/>
            <color rgb="FF000000"/>
            <rFont val="Calibri"/>
            <scheme val="minor"/>
          </rPr>
          <t>SEDS wood alone, not "wood and waste"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D7" authorId="0" shapeId="0" xr:uid="{00000000-0006-0000-0500-000004000000}">
      <text>
        <r>
          <rPr>
            <sz val="8"/>
            <color rgb="FF000000"/>
            <rFont val="Calibri"/>
            <scheme val="minor"/>
          </rPr>
          <t>EPA SIT Version 2025
======</t>
        </r>
      </text>
    </comment>
    <comment ref="H8" authorId="0" shapeId="0" xr:uid="{00000000-0006-0000-0500-000001000000}">
      <text>
        <r>
          <rPr>
            <sz val="8"/>
            <color rgb="FF000000"/>
            <rFont val="Calibri"/>
            <scheme val="minor"/>
          </rPr>
          <t>EPA SIT Version 2025
======</t>
        </r>
      </text>
    </comment>
    <comment ref="F9" authorId="0" shapeId="0" xr:uid="{00000000-0006-0000-0500-000005000000}">
      <text>
        <r>
          <rPr>
            <sz val="8"/>
            <color rgb="FF000000"/>
            <rFont val="Calibri"/>
            <scheme val="minor"/>
          </rPr>
          <t>EPA SIT Version 2025
======</t>
        </r>
      </text>
    </comment>
    <comment ref="C21" authorId="0" shapeId="0" xr:uid="{00000000-0006-0000-0500-000006000000}">
      <text>
        <r>
          <rPr>
            <sz val="8"/>
            <color rgb="FF000000"/>
            <rFont val="Calibri"/>
            <scheme val="minor"/>
          </rPr>
          <t>SEDS Motor Gasoline - SEDS Fuel Ethanol
======</t>
        </r>
      </text>
    </comment>
    <comment ref="H23" authorId="0" shapeId="0" xr:uid="{00000000-0006-0000-0500-000002000000}">
      <text>
        <r>
          <rPr>
            <sz val="8"/>
            <color rgb="FF000000"/>
            <rFont val="Calibri"/>
            <scheme val="minor"/>
          </rPr>
          <t>"The miscellaneous products category reported by EIA is assumed to be mostly petroleum refinery sulfur compounds that do not contain carbon." (EPA U.S. GHG Inventory Annex 2, page A-96)
======</t>
        </r>
      </text>
    </comment>
    <comment ref="C32" authorId="0" shapeId="0" xr:uid="{00000000-0006-0000-0500-000003000000}">
      <text>
        <r>
          <rPr>
            <sz val="8"/>
            <color rgb="FF000000"/>
            <rFont val="Calibri"/>
            <scheme val="minor"/>
          </rPr>
          <t>SEDS wood alone, not "wood and waste"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V44" authorId="0" shapeId="0" xr:uid="{00000000-0006-0000-0600-000001000000}">
      <text>
        <r>
          <rPr>
            <sz val="8"/>
            <color rgb="FF000000"/>
            <rFont val="Calibri"/>
            <scheme val="minor"/>
          </rPr>
          <t>EPA Report "Greenhouse Gas and Energy Consumption Rates for Onroad Vehicles in MOVES4" (EPA-420-R-23-026 August 2023)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D8" authorId="0" shapeId="0" xr:uid="{00000000-0006-0000-0800-000008000000}">
      <text>
        <r>
          <rPr>
            <sz val="8"/>
            <color rgb="FF000000"/>
            <rFont val="Calibri"/>
            <scheme val="minor"/>
          </rPr>
          <t>https://www.eia.gov/energyexplained/units-and-calculators/energy-conversion-calculators.php
======</t>
        </r>
      </text>
    </comment>
    <comment ref="C15" authorId="0" shapeId="0" xr:uid="{00000000-0006-0000-0800-000003000000}">
      <text>
        <r>
          <rPr>
            <sz val="8"/>
            <color rgb="FF000000"/>
            <rFont val="Calibri"/>
            <scheme val="minor"/>
          </rPr>
          <t>EIA SEDS (https://www.eia.gov/state/seds/seds-data-complete.php?sid=MD#Consumption)
======</t>
        </r>
      </text>
    </comment>
    <comment ref="D15" authorId="0" shapeId="0" xr:uid="{00000000-0006-0000-0800-000004000000}">
      <text>
        <r>
          <rPr>
            <sz val="8"/>
            <color rgb="FF000000"/>
            <rFont val="Calibri"/>
            <scheme val="minor"/>
          </rPr>
          <t>EIA Adjusted Distillate Fuel Oil and Kerosene Sales by End Use (https://www.eia.gov/dnav/pet/pet_cons_821usea_dcu_SMD_a.htm)
======</t>
        </r>
      </text>
    </comment>
    <comment ref="E15" authorId="0" shapeId="0" xr:uid="{00000000-0006-0000-0800-000005000000}">
      <text>
        <r>
          <rPr>
            <sz val="8"/>
            <color rgb="FF000000"/>
            <rFont val="Calibri"/>
            <scheme val="minor"/>
          </rPr>
          <t>EIA SEDS or calculated from physical units
======</t>
        </r>
      </text>
    </comment>
    <comment ref="F15" authorId="0" shapeId="0" xr:uid="{00000000-0006-0000-0800-000006000000}">
      <text>
        <r>
          <rPr>
            <sz val="8"/>
            <color rgb="FF000000"/>
            <rFont val="Calibri"/>
            <scheme val="minor"/>
          </rPr>
          <t>EPA SIT Version 2025
======</t>
        </r>
      </text>
    </comment>
    <comment ref="C25" authorId="0" shapeId="0" xr:uid="{00000000-0006-0000-0800-000007000000}">
      <text>
        <r>
          <rPr>
            <sz val="8"/>
            <color rgb="FF000000"/>
            <rFont val="Calibri"/>
            <scheme val="minor"/>
          </rPr>
          <t>EIA SEDS (https://www.eia.gov/state/seds/seds-data-complete.php?sid=MD#Consumption)
======</t>
        </r>
      </text>
    </comment>
    <comment ref="E25" authorId="0" shapeId="0" xr:uid="{00000000-0006-0000-0800-000009000000}">
      <text>
        <r>
          <rPr>
            <sz val="8"/>
            <color rgb="FF000000"/>
            <rFont val="Calibri"/>
            <scheme val="minor"/>
          </rPr>
          <t>EIA SEDS
======</t>
        </r>
      </text>
    </comment>
    <comment ref="H25" authorId="0" shapeId="0" xr:uid="{00000000-0006-0000-0800-000001000000}">
      <text>
        <r>
          <rPr>
            <sz val="8"/>
            <color rgb="FF000000"/>
            <rFont val="Calibri"/>
            <scheme val="minor"/>
          </rPr>
          <t>EPA SIT Version 2025
======</t>
        </r>
      </text>
    </comment>
    <comment ref="J25" authorId="0" shapeId="0" xr:uid="{00000000-0006-0000-0800-000002000000}">
      <text>
        <r>
          <rPr>
            <sz val="8"/>
            <color rgb="FF000000"/>
            <rFont val="Calibri"/>
            <scheme val="minor"/>
          </rPr>
          <t>EPA SIT Version 2025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C8" authorId="0" shapeId="0" xr:uid="{00000000-0006-0000-0900-000002000000}">
      <text>
        <r>
          <rPr>
            <sz val="8"/>
            <color rgb="FF000000"/>
            <rFont val="Calibri"/>
            <scheme val="minor"/>
          </rPr>
          <t>2017 is the last year for which the number of wells is reported for MD
======</t>
        </r>
      </text>
    </comment>
    <comment ref="E51" authorId="0" shapeId="0" xr:uid="{00000000-0006-0000-0900-000001000000}">
      <text>
        <r>
          <rPr>
            <sz val="8"/>
            <color rgb="FF000000"/>
            <rFont val="Calibri"/>
            <scheme val="minor"/>
          </rPr>
          <t>EPA SIT Version 2025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authors>
  <commentList>
    <comment ref="B92" authorId="0" shapeId="0" xr:uid="{00000000-0006-0000-0E00-000002000000}">
      <text>
        <r>
          <rPr>
            <sz val="8"/>
            <color rgb="FF000000"/>
            <rFont val="Calibri"/>
            <scheme val="minor"/>
          </rPr>
          <t>Proxy for PFC/PFPEs. See notes in above section.
======</t>
        </r>
      </text>
    </comment>
    <comment ref="B96" authorId="0" shapeId="0" xr:uid="{00000000-0006-0000-0E00-000001000000}">
      <text>
        <r>
          <rPr>
            <sz val="8"/>
            <color rgb="FF000000"/>
            <rFont val="Calibri"/>
            <scheme val="minor"/>
          </rPr>
          <t>HCFO-1233zd(E), HFO-1234yf, HFO-1234ze(E), and HFO-1336mzz(Z) do not appear by name in IPCC's AR5, but gases of similar names and chemical formula do appear. While the GWP values in AR5 are presented in rounded form, they are suitable in this application for scaling from AR5 to AR6 for the same time horizon. AR5 values presented as &lt;1 are used here as 0.5.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authors>
  <commentList>
    <comment ref="B92" authorId="0" shapeId="0" xr:uid="{00000000-0006-0000-0F00-000002000000}">
      <text>
        <r>
          <rPr>
            <sz val="8"/>
            <color rgb="FF000000"/>
            <rFont val="Calibri"/>
            <scheme val="minor"/>
          </rPr>
          <t>Proxy for PFC/PFPEs. See notes in above section.
======</t>
        </r>
      </text>
    </comment>
    <comment ref="B96" authorId="0" shapeId="0" xr:uid="{00000000-0006-0000-0F00-000001000000}">
      <text>
        <r>
          <rPr>
            <sz val="8"/>
            <color rgb="FF000000"/>
            <rFont val="Calibri"/>
            <scheme val="minor"/>
          </rPr>
          <t>HCFO-1233zd(E), HFO-1234yf, HFO-1234ze(E), and HFO-1336mzz(Z) do not appear by name in IPCC's AR5. For the purposes of calculating a ratio of 20-yr GWP to 100-yr GWP, values from IPCC's AR6 are used for these gases. Since the ratio would be influenced by the lifetime of the gas moreso than by the warming impact, the use of AR6 values as a proxy is not deemed to introduce significant uncertainty. Gases of similar names and chemical formula appear in AR5, however the GWP values are presented in rounded form, and thus would introduce greater uncertainty than using GWP values from AR6 in this application.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authors>
  <commentList>
    <comment ref="M40" authorId="0" shapeId="0" xr:uid="{00000000-0006-0000-1000-000012000000}">
      <text>
        <r>
          <rPr>
            <sz val="8"/>
            <color rgb="FF000000"/>
            <rFont val="Calibri"/>
            <scheme val="minor"/>
          </rPr>
          <t>The MCF per animal type is a weighted average of the MCFs per manure management system, weighted by the percent of manure managed in each type of system. It is state-specific and varies by year. MCF is the extent that potential for emitting methane is realized based on manure management system and climate.
======</t>
        </r>
      </text>
    </comment>
    <comment ref="Q40" authorId="0" shapeId="0" xr:uid="{00000000-0006-0000-1000-000017000000}">
      <text>
        <r>
          <rPr>
            <sz val="8"/>
            <color rgb="FF000000"/>
            <rFont val="Calibri"/>
            <scheme val="minor"/>
          </rPr>
          <t>U.S. EPA, Inventory of U.S. Greenhouse Gas Emissions and Sinks: 1990-2022, Annex 6, Density Conversions
======</t>
        </r>
      </text>
    </comment>
    <comment ref="C61" authorId="0" shapeId="0" xr:uid="{00000000-0006-0000-1000-000014000000}">
      <text>
        <r>
          <rPr>
            <sz val="8"/>
            <color rgb="FF000000"/>
            <rFont val="Calibri"/>
            <scheme val="minor"/>
          </rPr>
          <t>USDA Chickens and Eggs 2023 Summary-Total Layers (Feb 2024) Release.
======</t>
        </r>
      </text>
    </comment>
    <comment ref="C62" authorId="0" shapeId="0" xr:uid="{00000000-0006-0000-1000-000002000000}">
      <text>
        <r>
          <rPr>
            <sz val="8"/>
            <color rgb="FF000000"/>
            <rFont val="Calibri"/>
            <scheme val="minor"/>
          </rPr>
          <t>USDA Chickens and Eggs 2023 Summary-Total Pullets (February 2024)
======</t>
        </r>
      </text>
    </comment>
    <comment ref="C63" authorId="0" shapeId="0" xr:uid="{00000000-0006-0000-1000-000010000000}">
      <text>
        <r>
          <rPr>
            <sz val="8"/>
            <color rgb="FF000000"/>
            <rFont val="Calibri"/>
            <scheme val="minor"/>
          </rPr>
          <t>USDA Chickens and Eggs 2023 Summary -Other Chickens (February 2024) Release
======</t>
        </r>
      </text>
    </comment>
    <comment ref="C64" authorId="0" shapeId="0" xr:uid="{00000000-0006-0000-1000-000001000000}">
      <text>
        <r>
          <rPr>
            <sz val="8"/>
            <color rgb="FF000000"/>
            <rFont val="Calibri"/>
            <scheme val="minor"/>
          </rPr>
          <t>USDA Poultry- Production and Value 2023 Summary (April 2024) : Broilers (1,000 head) / Batch per year (5).
======</t>
        </r>
      </text>
    </comment>
    <comment ref="C65" authorId="0" shapeId="0" xr:uid="{00000000-0006-0000-1000-00000F000000}">
      <text>
        <r>
          <rPr>
            <sz val="8"/>
            <color rgb="FF000000"/>
            <rFont val="Calibri"/>
            <scheme val="minor"/>
          </rPr>
          <t>USDA Poultry- Production and Value: Turkeys: Production, Price and Value By State (Other State Withheld) / (Batch/Year =3)
======</t>
        </r>
      </text>
    </comment>
    <comment ref="E75" authorId="0" shapeId="0" xr:uid="{00000000-0006-0000-1000-00000E000000}">
      <text>
        <r>
          <rPr>
            <sz val="8"/>
            <color rgb="FF000000"/>
            <rFont val="Calibri"/>
            <scheme val="minor"/>
          </rPr>
          <t>All nitrogen values in this table are copied from EPA SIT and are calculated within SIT from the number of animals in the first column by applying nitrogen excretion rates, percentages of manure by types of management systems, and emission factors by management system.
======</t>
        </r>
      </text>
    </comment>
    <comment ref="C90" authorId="0" shapeId="0" xr:uid="{00000000-0006-0000-1000-000018000000}">
      <text>
        <r>
          <rPr>
            <sz val="8"/>
            <color rgb="FF000000"/>
            <rFont val="Calibri"/>
            <scheme val="minor"/>
          </rPr>
          <t>USDA Chickens and Eggs 2023 Summary-Total Layers (Feb 2024) Release.
======</t>
        </r>
      </text>
    </comment>
    <comment ref="C91" authorId="0" shapeId="0" xr:uid="{00000000-0006-0000-1000-000005000000}">
      <text>
        <r>
          <rPr>
            <sz val="8"/>
            <color rgb="FF000000"/>
            <rFont val="Calibri"/>
            <scheme val="minor"/>
          </rPr>
          <t>USDA Chickens and Eggs 2023 Summary-Total Pullets (February 2024)
======</t>
        </r>
      </text>
    </comment>
    <comment ref="C92" authorId="0" shapeId="0" xr:uid="{00000000-0006-0000-1000-000016000000}">
      <text>
        <r>
          <rPr>
            <sz val="8"/>
            <color rgb="FF000000"/>
            <rFont val="Calibri"/>
            <scheme val="minor"/>
          </rPr>
          <t>USDA Chickens and Eggs 2023 Summary -Other Chickens (February 2024) Release
======</t>
        </r>
      </text>
    </comment>
    <comment ref="C93" authorId="0" shapeId="0" xr:uid="{00000000-0006-0000-1000-000003000000}">
      <text>
        <r>
          <rPr>
            <sz val="8"/>
            <color rgb="FF000000"/>
            <rFont val="Calibri"/>
            <scheme val="minor"/>
          </rPr>
          <t>USDA Poultry- Production and Value 2023 Summary (April 2024) : Broilers (1,000 head) / Batch per year (5).
======</t>
        </r>
      </text>
    </comment>
    <comment ref="C94" authorId="0" shapeId="0" xr:uid="{00000000-0006-0000-1000-000013000000}">
      <text>
        <r>
          <rPr>
            <sz val="8"/>
            <color rgb="FF000000"/>
            <rFont val="Calibri"/>
            <scheme val="minor"/>
          </rPr>
          <t>USDA Poultry- Production and Value: Turkeys: Production, Price and Value By State (Other State Withheld) / (Batch/Year =3)
======</t>
        </r>
      </text>
    </comment>
    <comment ref="E129" authorId="0" shapeId="0" xr:uid="{00000000-0006-0000-1000-000011000000}">
      <text>
        <r>
          <rPr>
            <sz val="8"/>
            <color rgb="FF000000"/>
            <rFont val="Calibri"/>
            <scheme val="minor"/>
          </rPr>
          <t>65% of fertilizer consumption takes place from Jan-June and 35% from July-Dec (U.S. EPA National Inventory)
======</t>
        </r>
      </text>
    </comment>
    <comment ref="E159" authorId="0" shapeId="0" xr:uid="{00000000-0006-0000-1000-000004000000}">
      <text>
        <r>
          <rPr>
            <sz val="8"/>
            <color rgb="FF000000"/>
            <rFont val="Calibri"/>
            <scheme val="minor"/>
          </rPr>
          <t>Nitrogen values in this table are copied from EPA SIT and are calculated within SIT from the number of animals in the first column by applying nitrogen excretion rates.
======</t>
        </r>
      </text>
    </comment>
    <comment ref="G159" authorId="0" shapeId="0" xr:uid="{00000000-0006-0000-1000-000006000000}">
      <text>
        <r>
          <rPr>
            <sz val="8"/>
            <color rgb="FF000000"/>
            <rFont val="Calibri"/>
            <scheme val="minor"/>
          </rPr>
          <t>= Nitrogen Excreted x Volatilization Percent (20%) x NH3-NOx Emission Factor (0.01 kg N2O-N/kg N)
======</t>
        </r>
      </text>
    </comment>
    <comment ref="O159" authorId="0" shapeId="0" xr:uid="{00000000-0006-0000-1000-00000A000000}">
      <text>
        <r>
          <rPr>
            <sz val="8"/>
            <color rgb="FF000000"/>
            <rFont val="Calibri"/>
            <scheme val="minor"/>
          </rPr>
          <t>For cattle, swine, and other = (Nitrogen excreted of managed systems and daily spread) x (1 - Volatilization Percent of 20%) x (Non-volatized ground nitrogen emission factor of 0.0125 kg N2O-N/kg N) / 1000
For poultry = (Nitrogen excreted of managed systems) x (1 - Percent of poultry manure not managed of 4.2%) x (1 - Volatilization Percent of 20%) x (Non-volatized ground nitrogen emission factor of 0.0125 kg N2O-N/kg N) / 1000
======</t>
        </r>
      </text>
    </comment>
    <comment ref="Q159" authorId="0" shapeId="0" xr:uid="{00000000-0006-0000-1000-00000C000000}">
      <text>
        <r>
          <rPr>
            <sz val="8"/>
            <color rgb="FF000000"/>
            <rFont val="Calibri"/>
            <scheme val="minor"/>
          </rPr>
          <t>= (Nitrogen excreted of pasture, range, &amp; paddock) x (Pasture, range, &amp; paddock emission factor of 0.02 kg N2O-N/kg N) / 1000
======</t>
        </r>
      </text>
    </comment>
    <comment ref="S163" authorId="0" shapeId="0" xr:uid="{00000000-0006-0000-1000-000009000000}">
      <text>
        <r>
          <rPr>
            <sz val="8"/>
            <color rgb="FF000000"/>
            <rFont val="Calibri"/>
            <scheme val="minor"/>
          </rPr>
          <t>= (Total unvolatilized nitrogen from fertilizers) x (Leaching Percent of 30%) / 1000
======</t>
        </r>
      </text>
    </comment>
    <comment ref="S166" authorId="0" shapeId="0" xr:uid="{00000000-0006-0000-1000-00001B000000}">
      <text>
        <r>
          <rPr>
            <sz val="8"/>
            <color rgb="FF000000"/>
            <rFont val="Calibri"/>
            <scheme val="minor"/>
          </rPr>
          <t>= (Total nitrogen excreted) x (1 - Volatilization Percent for manure of 0%) x (Leaching Percent of 30%) / 1000
======</t>
        </r>
      </text>
    </comment>
    <comment ref="S168" authorId="0" shapeId="0" xr:uid="{00000000-0006-0000-1000-000019000000}">
      <text>
        <r>
          <rPr>
            <sz val="8"/>
            <color rgb="FF000000"/>
            <rFont val="Calibri"/>
            <scheme val="minor"/>
          </rPr>
          <t>= (total fertilizer and manure runoff/leached nitrogen) x (Leaching Emission Factor of 0.0075 kg N2O-N / kg N)
======</t>
        </r>
      </text>
    </comment>
    <comment ref="B170" authorId="0" shapeId="0" xr:uid="{00000000-0006-0000-1000-00000D000000}">
      <text>
        <r>
          <rPr>
            <sz val="8"/>
            <color rgb="FF000000"/>
            <rFont val="Calibri"/>
            <scheme val="minor"/>
          </rPr>
          <t>Total Beef Heifer = Heifer Stockers + Beef Replacement Heifers
======</t>
        </r>
      </text>
    </comment>
    <comment ref="C179" authorId="0" shapeId="0" xr:uid="{00000000-0006-0000-1000-00001D000000}">
      <text>
        <r>
          <rPr>
            <sz val="8"/>
            <color rgb="FF000000"/>
            <rFont val="Calibri"/>
            <scheme val="minor"/>
          </rPr>
          <t>USDA Chickens and Eggs 2023 Summary-Total Layers (Feb 2024) Release.
======</t>
        </r>
      </text>
    </comment>
    <comment ref="C180" authorId="0" shapeId="0" xr:uid="{00000000-0006-0000-1000-000008000000}">
      <text>
        <r>
          <rPr>
            <sz val="8"/>
            <color rgb="FF000000"/>
            <rFont val="Calibri"/>
            <scheme val="minor"/>
          </rPr>
          <t>USDA Chickens and Eggs 2023 Summary-Total Pullets (February 2024)
======</t>
        </r>
      </text>
    </comment>
    <comment ref="C181" authorId="0" shapeId="0" xr:uid="{00000000-0006-0000-1000-00001C000000}">
      <text>
        <r>
          <rPr>
            <sz val="8"/>
            <color rgb="FF000000"/>
            <rFont val="Calibri"/>
            <scheme val="minor"/>
          </rPr>
          <t>USDA Chickens and Eggs 2023 Summary -Other Chickens (February 2024) Release
======</t>
        </r>
      </text>
    </comment>
    <comment ref="C182" authorId="0" shapeId="0" xr:uid="{00000000-0006-0000-1000-000007000000}">
      <text>
        <r>
          <rPr>
            <sz val="8"/>
            <color rgb="FF000000"/>
            <rFont val="Calibri"/>
            <scheme val="minor"/>
          </rPr>
          <t>USDA Poultry- Production and Value 2023 Summary (April 2024) : Broilers (1,000 head) / Batch per year (5).
======</t>
        </r>
      </text>
    </comment>
    <comment ref="C183" authorId="0" shapeId="0" xr:uid="{00000000-0006-0000-1000-00001A000000}">
      <text>
        <r>
          <rPr>
            <sz val="8"/>
            <color rgb="FF000000"/>
            <rFont val="Calibri"/>
            <scheme val="minor"/>
          </rPr>
          <t>USDA Poultry- Production and Value: Turkeys: Production, Price and Value By State (Other State Withheld) / (Batch/Year =3)
======</t>
        </r>
      </text>
    </comment>
    <comment ref="Y200" authorId="0" shapeId="0" xr:uid="{00000000-0006-0000-1000-00000B000000}">
      <text>
        <r>
          <rPr>
            <sz val="8"/>
            <color rgb="FF000000"/>
            <rFont val="Calibri"/>
            <scheme val="minor"/>
          </rPr>
          <t>= Total C Released (metric tons C) x CH4-C Emissions Ratio (0.005) x CH4-C to CH4 conversion factor (16/12)
======</t>
        </r>
      </text>
    </comment>
    <comment ref="Y211" authorId="0" shapeId="0" xr:uid="{00000000-0006-0000-1000-000015000000}">
      <text>
        <r>
          <rPr>
            <sz val="8"/>
            <color rgb="FF000000"/>
            <rFont val="Calibri"/>
            <scheme val="minor"/>
          </rPr>
          <t>Total N Released (metric tons) x N2O-N Emission Ratio (0.007) x N2O-N to N2O conversion factor (44/28)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
  </authors>
  <commentList>
    <comment ref="L9" authorId="0" shapeId="0" xr:uid="{00000000-0006-0000-1200-000001000000}">
      <text>
        <r>
          <rPr>
            <sz val="8"/>
            <color rgb="FF000000"/>
            <rFont val="Calibri"/>
            <scheme val="minor"/>
          </rPr>
          <t>From LFGTE sheet
======</t>
        </r>
      </text>
    </comment>
    <comment ref="P9" authorId="0" shapeId="0" xr:uid="{00000000-0006-0000-1200-000004000000}">
      <text>
        <r>
          <rPr>
            <sz val="8"/>
            <color rgb="FF000000"/>
            <rFont val="Calibri"/>
            <scheme val="minor"/>
          </rPr>
          <t>Molecular mass ratio of CO2:CH4 = 44:16 = 2.75
======</t>
        </r>
      </text>
    </comment>
    <comment ref="Q9" authorId="0" shapeId="0" xr:uid="{00000000-0006-0000-1200-000006000000}">
      <text>
        <r>
          <rPr>
            <sz val="8"/>
            <color rgb="FF000000"/>
            <rFont val="Calibri"/>
            <scheme val="minor"/>
          </rPr>
          <t>Uncombusted Flare Emission of CH4 = mass flow of collected CH4 x (1 - flare control efficiency)
======</t>
        </r>
      </text>
    </comment>
    <comment ref="R9" authorId="0" shapeId="0" xr:uid="{00000000-0006-0000-1200-000007000000}">
      <text>
        <r>
          <rPr>
            <sz val="8"/>
            <color rgb="FF000000"/>
            <rFont val="Calibri"/>
            <scheme val="minor"/>
          </rPr>
          <t>= generated CH4 x (1 - collection efficiency)
======</t>
        </r>
      </text>
    </comment>
    <comment ref="T9" authorId="0" shapeId="0" xr:uid="{00000000-0006-0000-1200-000008000000}">
      <text>
        <r>
          <rPr>
            <sz val="8"/>
            <color rgb="FF000000"/>
            <rFont val="Calibri"/>
            <scheme val="minor"/>
          </rPr>
          <t>uncollected CH4 x surface oxidation factor
======</t>
        </r>
      </text>
    </comment>
    <comment ref="J36" authorId="0" shapeId="0" xr:uid="{00000000-0006-0000-1200-000003000000}">
      <text>
        <r>
          <rPr>
            <sz val="8"/>
            <color rgb="FF000000"/>
            <rFont val="Calibri"/>
            <scheme val="minor"/>
          </rPr>
          <t>Back-calculated from actual landfill gas flow
======</t>
        </r>
      </text>
    </comment>
    <comment ref="K36" authorId="0" shapeId="0" xr:uid="{00000000-0006-0000-1200-000005000000}">
      <text>
        <r>
          <rPr>
            <sz val="8"/>
            <color rgb="FF000000"/>
            <rFont val="Calibri"/>
            <scheme val="minor"/>
          </rPr>
          <t>Back-calculated from actual landfill gas flow
======</t>
        </r>
      </text>
    </comment>
    <comment ref="J60" authorId="0" shapeId="0" xr:uid="{00000000-0006-0000-1200-000009000000}">
      <text>
        <r>
          <rPr>
            <sz val="8"/>
            <color rgb="FF000000"/>
            <rFont val="Calibri"/>
            <scheme val="minor"/>
          </rPr>
          <t>Back-calculated from actual landfill gas flow
======</t>
        </r>
      </text>
    </comment>
    <comment ref="K60" authorId="0" shapeId="0" xr:uid="{00000000-0006-0000-1200-00000A000000}">
      <text>
        <r>
          <rPr>
            <sz val="8"/>
            <color rgb="FF000000"/>
            <rFont val="Calibri"/>
            <scheme val="minor"/>
          </rPr>
          <t>Back-calculated from actual landfill gas flow
======</t>
        </r>
      </text>
    </comment>
    <comment ref="E82" authorId="0" shapeId="0" xr:uid="{00000000-0006-0000-1200-000002000000}">
      <text>
        <r>
          <rPr>
            <sz val="8"/>
            <color rgb="FF000000"/>
            <rFont val="Calibri"/>
            <scheme val="minor"/>
          </rPr>
          <t>Calculated as 7% of methane generation from MSW landfills, per EPA SIT guidance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
  </authors>
  <commentList>
    <comment ref="H34" authorId="0" shapeId="0" xr:uid="{00000000-0006-0000-1300-000003000000}">
      <text>
        <r>
          <rPr>
            <sz val="8"/>
            <color rgb="FF000000"/>
            <rFont val="Calibri"/>
            <scheme val="minor"/>
          </rPr>
          <t>Assumed
======</t>
        </r>
      </text>
    </comment>
    <comment ref="P46" authorId="0" shapeId="0" xr:uid="{00000000-0006-0000-1300-000001000000}">
      <text>
        <r>
          <rPr>
            <sz val="8"/>
            <color rgb="FF000000"/>
            <rFont val="Calibri"/>
            <scheme val="minor"/>
          </rPr>
          <t>Back-calculated from actual landfill gas flow and assumed collection efficiency of 95%, due to underestimated methane generation from LandGEM
======</t>
        </r>
      </text>
    </comment>
    <comment ref="Q46" authorId="0" shapeId="0" xr:uid="{00000000-0006-0000-1300-000002000000}">
      <text>
        <r>
          <rPr>
            <sz val="8"/>
            <color rgb="FF000000"/>
            <rFont val="Calibri"/>
            <scheme val="minor"/>
          </rPr>
          <t>LandGEM methane generation is lower than the measured collected methane. 40 CFR Part 98 allows a landfill with a final cap or geomembrane cover to assume a collection efficiency of 95%.
======</t>
        </r>
      </text>
    </comment>
    <comment ref="P58" authorId="0" shapeId="0" xr:uid="{00000000-0006-0000-1300-000004000000}">
      <text>
        <r>
          <rPr>
            <sz val="8"/>
            <color rgb="FF000000"/>
            <rFont val="Calibri"/>
            <scheme val="minor"/>
          </rPr>
          <t>Back-calculated from actual landfill gas flow and assumed collection efficiency of 95%, due to underestimated methane generation from LandGEM
======</t>
        </r>
      </text>
    </comment>
    <comment ref="Q58" authorId="0" shapeId="0" xr:uid="{00000000-0006-0000-1300-000005000000}">
      <text>
        <r>
          <rPr>
            <sz val="8"/>
            <color rgb="FF000000"/>
            <rFont val="Calibri"/>
            <scheme val="minor"/>
          </rPr>
          <t>LandGEM methane generation is lower than the measured collected methane. The collection efficiency is taken from the facility's Emissions Certification Report, and is calculated based on the overall LFG flow.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
  </authors>
  <commentList>
    <comment ref="T17" authorId="0" shapeId="0" xr:uid="{00000000-0006-0000-1400-000002000000}">
      <text>
        <r>
          <rPr>
            <sz val="8"/>
            <color rgb="FF000000"/>
            <rFont val="Calibri"/>
            <scheme val="minor"/>
          </rPr>
          <t>MDE data (short tons): biosolids applied to agricultural land in MD / biosolids generated in MD
======</t>
        </r>
      </text>
    </comment>
    <comment ref="H24" authorId="0" shapeId="0" xr:uid="{00000000-0006-0000-1400-000001000000}">
      <text>
        <r>
          <rPr>
            <sz val="8"/>
            <color rgb="FF000000"/>
            <rFont val="Calibri"/>
            <scheme val="minor"/>
          </rPr>
          <t>Wastewater Organic Content
======</t>
        </r>
      </text>
    </comment>
    <comment ref="B25" authorId="0" shapeId="0" xr:uid="{00000000-0006-0000-1400-000006000000}">
      <text>
        <r>
          <rPr>
            <sz val="8"/>
            <color rgb="FF000000"/>
            <rFont val="Calibri"/>
            <scheme val="minor"/>
          </rPr>
          <t>2023 USDA "Red Meat, Slaughter, Commercial-Production, Measured in lbs"
======</t>
        </r>
      </text>
    </comment>
    <comment ref="H28" authorId="0" shapeId="0" xr:uid="{00000000-0006-0000-1400-000007000000}">
      <text>
        <r>
          <rPr>
            <sz val="8"/>
            <color rgb="FF000000"/>
            <rFont val="Calibri"/>
            <scheme val="minor"/>
          </rPr>
          <t>Wastewater Organic Content
======</t>
        </r>
      </text>
    </comment>
    <comment ref="B29" authorId="0" shapeId="0" xr:uid="{00000000-0006-0000-1400-000003000000}">
      <text>
        <r>
          <rPr>
            <sz val="8"/>
            <color rgb="FF000000"/>
            <rFont val="Calibri"/>
            <scheme val="minor"/>
          </rPr>
          <t>US Total Poultry Slaughtered ("POULTRY TOTALS, SLAUGHTER, FI - SLAUGHTERED, MEASURED IN LB, LIVE BASIS") is apportioned to the state based on the proportion of Young Chickens Slaughtered ("CHICKENS, YOUNG, SLAUGHTER, FI - SLAUGHTERED, MEASURED IN LB, LIVE BASIS") in MD to the national total.
======</t>
        </r>
      </text>
    </comment>
    <comment ref="H32" authorId="0" shapeId="0" xr:uid="{00000000-0006-0000-1400-000005000000}">
      <text>
        <r>
          <rPr>
            <sz val="8"/>
            <color rgb="FF000000"/>
            <rFont val="Calibri"/>
            <scheme val="minor"/>
          </rPr>
          <t>Wastewater Organic Content
======</t>
        </r>
      </text>
    </comment>
    <comment ref="J36" authorId="0" shapeId="0" xr:uid="{00000000-0006-0000-1400-000004000000}">
      <text>
        <r>
          <rPr>
            <sz val="8"/>
            <color rgb="FF000000"/>
            <rFont val="Calibri"/>
            <scheme val="minor"/>
          </rPr>
          <t>Wastewater Organic Content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
  </authors>
  <commentList>
    <comment ref="B23" authorId="0" shapeId="0" xr:uid="{00000000-0006-0000-1600-000003000000}">
      <text>
        <r>
          <rPr>
            <sz val="8"/>
            <color rgb="FF000000"/>
            <rFont val="Calibri"/>
            <scheme val="minor"/>
          </rPr>
          <t>There is a discontinuity in the time series between 1999 and 2000 due to a change in the land cover change dataset utilized.
======</t>
        </r>
      </text>
    </comment>
    <comment ref="D228" authorId="0" shapeId="0" xr:uid="{00000000-0006-0000-1600-000001000000}">
      <text>
        <r>
          <rPr>
            <sz val="8"/>
            <color rgb="FF000000"/>
            <rFont val="Calibri"/>
            <scheme val="minor"/>
          </rPr>
          <t>Taken as ratio to methane emission from reservoir surface
======</t>
        </r>
      </text>
    </comment>
    <comment ref="D241" authorId="0" shapeId="0" xr:uid="{00000000-0006-0000-1600-000002000000}">
      <text>
        <r>
          <rPr>
            <sz val="8"/>
            <color rgb="FF000000"/>
            <rFont val="Calibri"/>
            <scheme val="minor"/>
          </rPr>
          <t>Taken as ratio to methane emission from reservoir surface
======</t>
        </r>
      </text>
    </comment>
  </commentList>
</comments>
</file>

<file path=xl/sharedStrings.xml><?xml version="1.0" encoding="utf-8"?>
<sst xmlns="http://schemas.openxmlformats.org/spreadsheetml/2006/main" count="36428" uniqueCount="1965">
  <si>
    <t>Maryland 2023 GHG Emissions by Sector</t>
  </si>
  <si>
    <t>Global Warming Potential</t>
  </si>
  <si>
    <t>In-State Electricity Generation Emissions</t>
  </si>
  <si>
    <t>Imported Electricity Emissions for Maryland</t>
  </si>
  <si>
    <t>Emission Factors:</t>
  </si>
  <si>
    <t>kg/MMBTU</t>
  </si>
  <si>
    <t xml:space="preserve"> </t>
  </si>
  <si>
    <t>AR6 20-yr GWP</t>
  </si>
  <si>
    <t>lb/MMBTU</t>
  </si>
  <si>
    <t>AR6 100-yr GWP</t>
  </si>
  <si>
    <t>CO2</t>
  </si>
  <si>
    <t>EPA 40 CFR Part 98, Subpart C</t>
  </si>
  <si>
    <t>Amount of Electricity Imported</t>
  </si>
  <si>
    <t>CH4</t>
  </si>
  <si>
    <t>N2O</t>
  </si>
  <si>
    <t>Residential Fuel Use Emissions</t>
  </si>
  <si>
    <t>SF6</t>
  </si>
  <si>
    <t>Color Legend:</t>
  </si>
  <si>
    <t>Bitumunious Coal</t>
  </si>
  <si>
    <t>HFCs &amp; PFCs</t>
  </si>
  <si>
    <t>Electricity Consumption (MD Retail Sales) (MWh)</t>
  </si>
  <si>
    <t>see note</t>
  </si>
  <si>
    <t>Residential Sector CO2</t>
  </si>
  <si>
    <t>Data from Maryland Emissions Certification Report (ECR)</t>
  </si>
  <si>
    <t>Subbituminous Coal</t>
  </si>
  <si>
    <t>#2 Oil</t>
  </si>
  <si>
    <t>lbs/1,000 gal</t>
  </si>
  <si>
    <t>MMTCO2e</t>
  </si>
  <si>
    <t>Data from EPA Clean Air Markets Program Data (CAMPD)</t>
  </si>
  <si>
    <t>Natural Gas</t>
  </si>
  <si>
    <t>Consumption</t>
  </si>
  <si>
    <t>Carbon Content</t>
  </si>
  <si>
    <t>20-year GWP</t>
  </si>
  <si>
    <t>Residential</t>
  </si>
  <si>
    <t>Combustion</t>
  </si>
  <si>
    <t xml:space="preserve">Emissions </t>
  </si>
  <si>
    <t>100-year GWP</t>
  </si>
  <si>
    <t>Calculated Value</t>
  </si>
  <si>
    <t>Distillate Fuel Oil #2</t>
  </si>
  <si>
    <t>Commercial</t>
  </si>
  <si>
    <r>
      <rPr>
        <sz val="11"/>
        <color theme="1"/>
        <rFont val="Calibri"/>
      </rPr>
      <t>Energy Use (CO</t>
    </r>
    <r>
      <rPr>
        <vertAlign val="subscript"/>
        <sz val="11"/>
        <color theme="1"/>
        <rFont val="Calibri"/>
      </rPr>
      <t>2</t>
    </r>
    <r>
      <rPr>
        <sz val="11"/>
        <color theme="1"/>
        <rFont val="Calibri"/>
      </rPr>
      <t>, CH</t>
    </r>
    <r>
      <rPr>
        <vertAlign val="subscript"/>
        <sz val="11"/>
        <color theme="1"/>
        <rFont val="Calibri"/>
      </rPr>
      <t>4</t>
    </r>
    <r>
      <rPr>
        <sz val="11"/>
        <color theme="1"/>
        <rFont val="Calibri"/>
      </rPr>
      <t>, N</t>
    </r>
    <r>
      <rPr>
        <vertAlign val="subscript"/>
        <sz val="11"/>
        <color theme="1"/>
        <rFont val="Calibri"/>
      </rPr>
      <t>2</t>
    </r>
    <r>
      <rPr>
        <sz val="11"/>
        <color theme="1"/>
        <rFont val="Calibri"/>
      </rPr>
      <t>O)</t>
    </r>
  </si>
  <si>
    <t>Distillate Fuel Oil #6</t>
  </si>
  <si>
    <t>Industrial</t>
  </si>
  <si>
    <t>Transportation</t>
  </si>
  <si>
    <t>-</t>
  </si>
  <si>
    <t>Plant ID</t>
  </si>
  <si>
    <t>Plant Name</t>
  </si>
  <si>
    <t>Equipment Description</t>
  </si>
  <si>
    <t>Registration Number</t>
  </si>
  <si>
    <t>Fuel Type</t>
  </si>
  <si>
    <t>Fuel</t>
  </si>
  <si>
    <t>Fuel Consumption</t>
  </si>
  <si>
    <t>Fuel Consumption Units</t>
  </si>
  <si>
    <t>Heat Content</t>
  </si>
  <si>
    <t>Heat Content Units</t>
  </si>
  <si>
    <t>Heat Input (MMBTU)</t>
  </si>
  <si>
    <t>Other</t>
  </si>
  <si>
    <t>CO2 Emission (short tons)</t>
  </si>
  <si>
    <t>CH4 Emission (short tons)</t>
  </si>
  <si>
    <t>N2O Emission (short tons)</t>
  </si>
  <si>
    <t>(Billion Btu)</t>
  </si>
  <si>
    <t>(lb C/Million Btu)</t>
  </si>
  <si>
    <t>Electricity Use (Consumption)</t>
  </si>
  <si>
    <t>Efficiency (%)</t>
  </si>
  <si>
    <t>(short tons carbon)</t>
  </si>
  <si>
    <t>(MMTCO2e)</t>
  </si>
  <si>
    <t>Total Electricity Consumption (Retail Sales) (MWh)</t>
  </si>
  <si>
    <t>Electricity Production (in-state)</t>
  </si>
  <si>
    <t>001-0203</t>
  </si>
  <si>
    <t>AES WARRIOR RUN COGEN</t>
  </si>
  <si>
    <t>ACF Boiler</t>
  </si>
  <si>
    <t>001-3-0127</t>
  </si>
  <si>
    <t>Coal</t>
  </si>
  <si>
    <t>tons</t>
  </si>
  <si>
    <t>Electricity Consumption Accounting for Transmission and Distribution Losses (MWh)</t>
  </si>
  <si>
    <r>
      <rPr>
        <sz val="10"/>
        <color theme="1"/>
        <rFont val="Calibri"/>
      </rPr>
      <t>Btu</t>
    </r>
    <r>
      <rPr>
        <sz val="10"/>
        <color theme="1"/>
        <rFont val="Calibri"/>
      </rPr>
      <t>/lb</t>
    </r>
  </si>
  <si>
    <r>
      <rPr>
        <sz val="11"/>
        <color theme="1"/>
        <rFont val="Calibri"/>
      </rPr>
      <t>CO</t>
    </r>
    <r>
      <rPr>
        <vertAlign val="subscript"/>
        <sz val="11"/>
        <color theme="1"/>
        <rFont val="Calibri"/>
      </rPr>
      <t>2</t>
    </r>
  </si>
  <si>
    <t>Transmission and Distribution Losses (%)</t>
  </si>
  <si>
    <t>Distillate Fuel</t>
  </si>
  <si>
    <t>Diesel</t>
  </si>
  <si>
    <t>Total Gross Electricity Consumption (MWh)</t>
  </si>
  <si>
    <t>gallons</t>
  </si>
  <si>
    <t>Btu/gal</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</si>
  <si>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</si>
  <si>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</si>
  <si>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Sum for unit; CEM CO2 emissions for unit</t>
  </si>
  <si>
    <t>Kerosene</t>
  </si>
  <si>
    <r>
      <rPr>
        <sz val="11"/>
        <color theme="1"/>
        <rFont val="Calibri"/>
      </rPr>
      <t>CO</t>
    </r>
    <r>
      <rPr>
        <vertAlign val="subscript"/>
        <sz val="11"/>
        <color theme="1"/>
        <rFont val="Calibri"/>
      </rPr>
      <t>2</t>
    </r>
  </si>
  <si>
    <t>LPG (Propane)</t>
  </si>
  <si>
    <r>
      <rPr>
        <sz val="11"/>
        <color theme="1"/>
        <rFont val="Calibri"/>
      </rPr>
      <t>CH</t>
    </r>
    <r>
      <rPr>
        <vertAlign val="subscript"/>
        <sz val="11"/>
        <color theme="1"/>
        <rFont val="Calibri"/>
      </rPr>
      <t>4</t>
    </r>
  </si>
  <si>
    <t>Maryland In-State Gross Generation (MWh)</t>
  </si>
  <si>
    <t>Emergency Engine (Boiler Feed Pump)</t>
  </si>
  <si>
    <t>001-9-0081</t>
  </si>
  <si>
    <r>
      <rPr>
        <sz val="11"/>
        <color theme="1"/>
        <rFont val="Calibri"/>
      </rPr>
      <t>N</t>
    </r>
    <r>
      <rPr>
        <vertAlign val="subscript"/>
        <sz val="11"/>
        <color theme="1"/>
        <rFont val="Calibri"/>
      </rPr>
      <t>2</t>
    </r>
    <r>
      <rPr>
        <sz val="11"/>
        <color theme="1"/>
        <rFont val="Calibri"/>
      </rPr>
      <t>O</t>
    </r>
  </si>
  <si>
    <t>Oil</t>
  </si>
  <si>
    <t>Wood</t>
  </si>
  <si>
    <t>Limestone Dryer</t>
  </si>
  <si>
    <r>
      <rPr>
        <sz val="11"/>
        <color theme="1"/>
        <rFont val="Calibri"/>
      </rPr>
      <t>CO</t>
    </r>
    <r>
      <rPr>
        <vertAlign val="subscript"/>
        <sz val="11"/>
        <color theme="1"/>
        <rFont val="Calibri"/>
      </rPr>
      <t>2</t>
    </r>
  </si>
  <si>
    <t>001-6-0136</t>
  </si>
  <si>
    <t>scf</t>
  </si>
  <si>
    <t>Btu/scf</t>
  </si>
  <si>
    <t>Petroleum</t>
  </si>
  <si>
    <t>Total</t>
  </si>
  <si>
    <t>Other Gases</t>
  </si>
  <si>
    <r>
      <rPr>
        <sz val="11"/>
        <color theme="1"/>
        <rFont val="Calibri"/>
      </rPr>
      <t>CH</t>
    </r>
    <r>
      <rPr>
        <vertAlign val="subscript"/>
        <sz val="11"/>
        <color theme="1"/>
        <rFont val="Calibri"/>
      </rPr>
      <t>4</t>
    </r>
  </si>
  <si>
    <t>.</t>
  </si>
  <si>
    <t>Space Heaters</t>
  </si>
  <si>
    <t>Nuclear</t>
  </si>
  <si>
    <t>001-6-0243/0244</t>
  </si>
  <si>
    <r>
      <rPr>
        <sz val="11"/>
        <color theme="1"/>
        <rFont val="Calibri"/>
      </rPr>
      <t>N</t>
    </r>
    <r>
      <rPr>
        <vertAlign val="subscript"/>
        <sz val="11"/>
        <color theme="1"/>
        <rFont val="Calibri"/>
      </rPr>
      <t>2</t>
    </r>
    <r>
      <rPr>
        <sz val="11"/>
        <color theme="1"/>
        <rFont val="Calibri"/>
      </rPr>
      <t>O</t>
    </r>
  </si>
  <si>
    <t>Hydroelectric Conventional</t>
  </si>
  <si>
    <t>Wind</t>
  </si>
  <si>
    <t>Emission Factor</t>
  </si>
  <si>
    <t>GWP</t>
  </si>
  <si>
    <t>Solar Thermal and Photovoltaic (excluding small-scale)</t>
  </si>
  <si>
    <t>Wood and Wood Derived Fuels</t>
  </si>
  <si>
    <r>
      <rPr>
        <sz val="11"/>
        <color theme="1"/>
        <rFont val="Calibri"/>
      </rPr>
      <t>CO</t>
    </r>
    <r>
      <rPr>
        <vertAlign val="subscript"/>
        <sz val="11"/>
        <color theme="1"/>
        <rFont val="Calibri"/>
      </rPr>
      <t>2</t>
    </r>
  </si>
  <si>
    <t>Other Biomass</t>
  </si>
  <si>
    <r>
      <rPr>
        <sz val="11"/>
        <color theme="1"/>
        <rFont val="Calibri"/>
      </rPr>
      <t>CH</t>
    </r>
    <r>
      <rPr>
        <vertAlign val="subscript"/>
        <sz val="11"/>
        <color theme="1"/>
        <rFont val="Calibri"/>
      </rPr>
      <t>4</t>
    </r>
  </si>
  <si>
    <t>003-0468</t>
  </si>
  <si>
    <t>Brandon Shores</t>
  </si>
  <si>
    <t>Unit 1</t>
  </si>
  <si>
    <t>3-0015</t>
  </si>
  <si>
    <r>
      <rPr>
        <sz val="11"/>
        <color theme="1"/>
        <rFont val="Calibri"/>
      </rPr>
      <t>N</t>
    </r>
    <r>
      <rPr>
        <vertAlign val="subscript"/>
        <sz val="11"/>
        <color theme="1"/>
        <rFont val="Calibri"/>
      </rPr>
      <t>2</t>
    </r>
    <r>
      <rPr>
        <sz val="11"/>
        <color theme="1"/>
        <rFont val="Calibri"/>
      </rPr>
      <t>O</t>
    </r>
  </si>
  <si>
    <t>S-No. 2 Oil</t>
  </si>
  <si>
    <t>MMBTU/ Unit</t>
  </si>
  <si>
    <t xml:space="preserve">Net Imported Electricity </t>
  </si>
  <si>
    <t>P-Coal</t>
  </si>
  <si>
    <t>Imported Electricity to Meet Maryland Demand (MWh)</t>
  </si>
  <si>
    <t>Residential/Commercial/Industrial (RCI) Fuel Use</t>
  </si>
  <si>
    <t>MMBTU/ tons</t>
  </si>
  <si>
    <r>
      <rPr>
        <sz val="11"/>
        <color theme="1"/>
        <rFont val="Calibri"/>
      </rPr>
      <t>CO</t>
    </r>
    <r>
      <rPr>
        <vertAlign val="subscript"/>
        <sz val="11"/>
        <color theme="1"/>
        <rFont val="Calibri"/>
      </rPr>
      <t>2</t>
    </r>
  </si>
  <si>
    <t>Gross Imported Electricity to Meet MD Demand (MWh)</t>
  </si>
  <si>
    <r>
      <rPr>
        <sz val="11"/>
        <color theme="1"/>
        <rFont val="Calibri"/>
      </rPr>
      <t>CH</t>
    </r>
    <r>
      <rPr>
        <vertAlign val="subscript"/>
        <sz val="11"/>
        <color theme="1"/>
        <rFont val="Calibri"/>
      </rPr>
      <t>4</t>
    </r>
  </si>
  <si>
    <t>Unit 2</t>
  </si>
  <si>
    <t>3-0016</t>
  </si>
  <si>
    <r>
      <rPr>
        <sz val="11"/>
        <color theme="1"/>
        <rFont val="Calibri"/>
      </rPr>
      <t>N</t>
    </r>
    <r>
      <rPr>
        <vertAlign val="subscript"/>
        <sz val="11"/>
        <color theme="1"/>
        <rFont val="Calibri"/>
      </rPr>
      <t>2</t>
    </r>
    <r>
      <rPr>
        <sz val="11"/>
        <color theme="1"/>
        <rFont val="Calibri"/>
      </rPr>
      <t>O</t>
    </r>
  </si>
  <si>
    <t>Natural Gas &amp; LPG</t>
  </si>
  <si>
    <t>GHG Emissions Associated with Imported Electricity</t>
  </si>
  <si>
    <r>
      <rPr>
        <sz val="11"/>
        <color theme="1"/>
        <rFont val="Calibri"/>
      </rPr>
      <t>CO</t>
    </r>
    <r>
      <rPr>
        <vertAlign val="subscript"/>
        <sz val="11"/>
        <color theme="1"/>
        <rFont val="Calibri"/>
      </rPr>
      <t>2</t>
    </r>
  </si>
  <si>
    <t>Maryland Imported Electricity Consumption by Fuel Type</t>
  </si>
  <si>
    <t>(metric tons CH4 /BBtu)</t>
  </si>
  <si>
    <r>
      <rPr>
        <sz val="11"/>
        <color theme="1"/>
        <rFont val="Calibri"/>
      </rPr>
      <t>CH</t>
    </r>
    <r>
      <rPr>
        <vertAlign val="subscript"/>
        <sz val="11"/>
        <color theme="1"/>
        <rFont val="Calibri"/>
      </rPr>
      <t>4</t>
    </r>
  </si>
  <si>
    <t>Quench Pumps</t>
  </si>
  <si>
    <t>9-0988</t>
  </si>
  <si>
    <t>Hydroelectric</t>
  </si>
  <si>
    <t>ULS-Diesel</t>
  </si>
  <si>
    <t>Solid Waste</t>
  </si>
  <si>
    <t>Captured CH4</t>
  </si>
  <si>
    <t>Biomass</t>
  </si>
  <si>
    <t>MMBTU/Gallons</t>
  </si>
  <si>
    <t>Solar</t>
  </si>
  <si>
    <t>2023 PJM Electricity Generation Fuel Mix (%)</t>
  </si>
  <si>
    <r>
      <rPr>
        <sz val="11"/>
        <color theme="1"/>
        <rFont val="Calibri"/>
      </rPr>
      <t>N</t>
    </r>
    <r>
      <rPr>
        <vertAlign val="subscript"/>
        <sz val="11"/>
        <color theme="1"/>
        <rFont val="Calibri"/>
      </rPr>
      <t>2</t>
    </r>
    <r>
      <rPr>
        <sz val="11"/>
        <color theme="1"/>
        <rFont val="Calibri"/>
      </rPr>
      <t>O</t>
    </r>
  </si>
  <si>
    <t>Auxilliary Boiler 1</t>
  </si>
  <si>
    <t>4-0507</t>
  </si>
  <si>
    <t>MMBTU/ Gal</t>
  </si>
  <si>
    <r>
      <rPr>
        <sz val="11"/>
        <color theme="1"/>
        <rFont val="Calibri"/>
      </rPr>
      <t>CO</t>
    </r>
    <r>
      <rPr>
        <vertAlign val="subscript"/>
        <sz val="11"/>
        <color theme="1"/>
        <rFont val="Calibri"/>
      </rPr>
      <t>2</t>
    </r>
  </si>
  <si>
    <t>033-00014</t>
  </si>
  <si>
    <t>Chalk Point</t>
  </si>
  <si>
    <t>Unit 3</t>
  </si>
  <si>
    <t>1600-14-40998</t>
  </si>
  <si>
    <t>Gas</t>
  </si>
  <si>
    <t>MMBtu/1E+06 scf</t>
  </si>
  <si>
    <r>
      <rPr>
        <sz val="11"/>
        <color theme="1"/>
        <rFont val="Calibri"/>
      </rPr>
      <t>CH</t>
    </r>
    <r>
      <rPr>
        <vertAlign val="subscript"/>
        <sz val="11"/>
        <color theme="1"/>
        <rFont val="Calibri"/>
      </rPr>
      <t>4</t>
    </r>
  </si>
  <si>
    <t>Unit 4</t>
  </si>
  <si>
    <t>1600-14-40999</t>
  </si>
  <si>
    <r>
      <rPr>
        <sz val="11"/>
        <color theme="1"/>
        <rFont val="Calibri"/>
      </rPr>
      <t>N</t>
    </r>
    <r>
      <rPr>
        <vertAlign val="subscript"/>
        <sz val="11"/>
        <color theme="1"/>
        <rFont val="Calibri"/>
      </rPr>
      <t>2</t>
    </r>
    <r>
      <rPr>
        <sz val="11"/>
        <color theme="1"/>
        <rFont val="Calibri"/>
      </rPr>
      <t>O</t>
    </r>
  </si>
  <si>
    <t xml:space="preserve">Wood </t>
  </si>
  <si>
    <t>CT1</t>
  </si>
  <si>
    <t xml:space="preserve">Residential Sector 2023 GHG Emissions </t>
  </si>
  <si>
    <t>1600-14-40778</t>
  </si>
  <si>
    <t>2023 Maryland Import Share (MWh)</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</si>
  <si>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</si>
  <si>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</si>
  <si>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t>CT2</t>
  </si>
  <si>
    <t>1600-14-41145</t>
  </si>
  <si>
    <r>
      <rPr>
        <sz val="11"/>
        <color theme="1"/>
        <rFont val="Calibri"/>
      </rPr>
      <t>N</t>
    </r>
    <r>
      <rPr>
        <vertAlign val="subscript"/>
        <sz val="11"/>
        <color theme="1"/>
        <rFont val="Calibri"/>
      </rPr>
      <t>2</t>
    </r>
    <r>
      <rPr>
        <sz val="11"/>
        <color theme="1"/>
        <rFont val="Calibri"/>
      </rPr>
      <t>O</t>
    </r>
  </si>
  <si>
    <t>CT3</t>
  </si>
  <si>
    <t xml:space="preserve">Transportation </t>
  </si>
  <si>
    <t>1600-14-90752</t>
  </si>
  <si>
    <t>Onroad Gasoline</t>
  </si>
  <si>
    <r>
      <rPr>
        <sz val="11"/>
        <color theme="1"/>
        <rFont val="Calibri"/>
      </rPr>
      <t>CO</t>
    </r>
    <r>
      <rPr>
        <vertAlign val="subscript"/>
        <sz val="11"/>
        <color theme="1"/>
        <rFont val="Calibri"/>
      </rPr>
      <t>2</t>
    </r>
  </si>
  <si>
    <t>Application of Fuel-Specific Emissions Factors</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</si>
  <si>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</si>
  <si>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</si>
  <si>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2023 Imported Electricity CO2 Emissions Factor (metric tons/MWh)</t>
  </si>
  <si>
    <t>Nonroad Gasoline</t>
  </si>
  <si>
    <t>Fuel Type Category</t>
  </si>
  <si>
    <r>
      <rPr>
        <sz val="11"/>
        <color theme="1"/>
        <rFont val="Calibri"/>
      </rPr>
      <t>CO</t>
    </r>
    <r>
      <rPr>
        <vertAlign val="subscript"/>
        <sz val="11"/>
        <color theme="1"/>
        <rFont val="Calibri"/>
      </rPr>
      <t>2</t>
    </r>
  </si>
  <si>
    <t>CT4</t>
  </si>
  <si>
    <t>1600-14-90753</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</si>
  <si>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</si>
  <si>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</si>
  <si>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Onroad Diesel</t>
  </si>
  <si>
    <r>
      <rPr>
        <sz val="11"/>
        <color theme="1"/>
        <rFont val="Calibri"/>
      </rPr>
      <t>CO</t>
    </r>
    <r>
      <rPr>
        <vertAlign val="subscript"/>
        <sz val="11"/>
        <color theme="1"/>
        <rFont val="Calibri"/>
      </rPr>
      <t>2</t>
    </r>
  </si>
  <si>
    <t>2023 Imported Electricity CO2 Emissions (metric tons)</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</si>
  <si>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</si>
  <si>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</si>
  <si>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2023 Imported Electricity CO2 Emissions (MMTCO2)</t>
  </si>
  <si>
    <t>Nonroad Diesel</t>
  </si>
  <si>
    <t>CT5</t>
  </si>
  <si>
    <t>1600-14-90754</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</si>
  <si>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</si>
  <si>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</si>
  <si>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</si>
  <si>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Rail</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</si>
  <si>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</si>
  <si>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</si>
  <si>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t>CT6</t>
  </si>
  <si>
    <t>1600-14-90755</t>
  </si>
  <si>
    <r>
      <rPr>
        <sz val="11"/>
        <color theme="1"/>
        <rFont val="Calibri"/>
      </rPr>
      <t>N</t>
    </r>
    <r>
      <rPr>
        <vertAlign val="subscript"/>
        <sz val="11"/>
        <color theme="1"/>
        <rFont val="Calibri"/>
      </rPr>
      <t>2</t>
    </r>
    <r>
      <rPr>
        <sz val="11"/>
        <color theme="1"/>
        <rFont val="Calibri"/>
      </rPr>
      <t>O</t>
    </r>
  </si>
  <si>
    <t>Marine Vessels</t>
  </si>
  <si>
    <t>CE Aux. Boiler 5</t>
  </si>
  <si>
    <t>1600-14-41156</t>
  </si>
  <si>
    <r>
      <rPr>
        <sz val="11"/>
        <color theme="1"/>
        <rFont val="Calibri"/>
      </rPr>
      <t>CO</t>
    </r>
    <r>
      <rPr>
        <vertAlign val="subscript"/>
        <sz val="11"/>
        <color theme="1"/>
        <rFont val="Calibri"/>
      </rPr>
      <t>2</t>
    </r>
  </si>
  <si>
    <t>CE Aux. Boiler 6</t>
  </si>
  <si>
    <t>1600-14-41157</t>
  </si>
  <si>
    <t>CE Aux. Boiler 7</t>
  </si>
  <si>
    <t>1600-14-41158</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</si>
  <si>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</si>
  <si>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</si>
  <si>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Lubricants, Natural Gas, and LPG </t>
  </si>
  <si>
    <t>033-01827</t>
  </si>
  <si>
    <t>Chalkpoint -SMECO</t>
  </si>
  <si>
    <t>Combustion Turbine</t>
  </si>
  <si>
    <t>1827-5-074990</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</si>
  <si>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</si>
  <si>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</si>
  <si>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</si>
  <si>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Jet Fuel and Aviation Gasoline</t>
  </si>
  <si>
    <r>
      <rPr>
        <sz val="11"/>
        <color theme="1"/>
        <rFont val="Calibri"/>
      </rPr>
      <t>CO</t>
    </r>
    <r>
      <rPr>
        <vertAlign val="subscript"/>
        <sz val="11"/>
        <color theme="1"/>
        <rFont val="Calibri"/>
      </rPr>
      <t>2</t>
    </r>
  </si>
  <si>
    <t>003-0014</t>
  </si>
  <si>
    <t>HERBERT A WAGNER</t>
  </si>
  <si>
    <t>5-0489</t>
  </si>
  <si>
    <t>Mcf</t>
  </si>
  <si>
    <t>MMBTU/ Mcf</t>
  </si>
  <si>
    <r>
      <rPr>
        <sz val="11"/>
        <color theme="1"/>
        <rFont val="Calibri"/>
      </rPr>
      <t>CH</t>
    </r>
    <r>
      <rPr>
        <vertAlign val="subscript"/>
        <sz val="11"/>
        <color theme="1"/>
        <rFont val="Calibri"/>
      </rPr>
      <t>4</t>
    </r>
  </si>
  <si>
    <t>Residual Fuel</t>
  </si>
  <si>
    <t>P-No.5 Oil</t>
  </si>
  <si>
    <t>MMBTU/gallons</t>
  </si>
  <si>
    <r>
      <rPr>
        <sz val="11"/>
        <color theme="1"/>
        <rFont val="Calibri"/>
      </rPr>
      <t>N</t>
    </r>
    <r>
      <rPr>
        <vertAlign val="subscript"/>
        <sz val="11"/>
        <color theme="1"/>
        <rFont val="Calibri"/>
      </rPr>
      <t>2</t>
    </r>
    <r>
      <rPr>
        <sz val="11"/>
        <color theme="1"/>
        <rFont val="Calibri"/>
      </rPr>
      <t>O</t>
    </r>
  </si>
  <si>
    <t>Fossil Fuel Industry</t>
  </si>
  <si>
    <t>Natural Gas Industry</t>
  </si>
  <si>
    <t>3-0017</t>
  </si>
  <si>
    <t>S-Gas</t>
  </si>
  <si>
    <r>
      <rPr>
        <sz val="11"/>
        <color theme="1"/>
        <rFont val="Calibri"/>
      </rPr>
      <t>CO</t>
    </r>
    <r>
      <rPr>
        <vertAlign val="subscript"/>
        <sz val="11"/>
        <color theme="1"/>
        <rFont val="Calibri"/>
      </rPr>
      <t>2</t>
    </r>
  </si>
  <si>
    <t>3-0003</t>
  </si>
  <si>
    <r>
      <rPr>
        <sz val="11"/>
        <color theme="1"/>
        <rFont val="Calibri"/>
      </rPr>
      <t>CH</t>
    </r>
    <r>
      <rPr>
        <vertAlign val="subscript"/>
        <sz val="11"/>
        <color theme="1"/>
        <rFont val="Calibri"/>
      </rPr>
      <t>4</t>
    </r>
  </si>
  <si>
    <t>MMBtu/ tons</t>
  </si>
  <si>
    <r>
      <rPr>
        <sz val="11"/>
        <color theme="1"/>
        <rFont val="Calibri"/>
      </rPr>
      <t>N</t>
    </r>
    <r>
      <rPr>
        <vertAlign val="subscript"/>
        <sz val="11"/>
        <color theme="1"/>
        <rFont val="Calibri"/>
      </rPr>
      <t>2</t>
    </r>
    <r>
      <rPr>
        <sz val="11"/>
        <color theme="1"/>
        <rFont val="Calibri"/>
      </rPr>
      <t>O</t>
    </r>
  </si>
  <si>
    <t>Oil Industry</t>
  </si>
  <si>
    <t>MMBTU/ gallons</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</si>
  <si>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</si>
  <si>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</si>
  <si>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</si>
  <si>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Coal Mining</t>
  </si>
  <si>
    <t>Boiler 2 (Unit 4)</t>
  </si>
  <si>
    <t>4-0017</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</si>
  <si>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</si>
  <si>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</si>
  <si>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</si>
  <si>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Industrial Processes and Product Use</t>
  </si>
  <si>
    <t>CT</t>
  </si>
  <si>
    <t>4-0007</t>
  </si>
  <si>
    <t>No.2 Oil</t>
  </si>
  <si>
    <t>Cement Manufacture</t>
  </si>
  <si>
    <r>
      <rPr>
        <sz val="11"/>
        <color theme="1"/>
        <rFont val="Calibri"/>
      </rPr>
      <t>CO</t>
    </r>
    <r>
      <rPr>
        <vertAlign val="subscript"/>
        <sz val="11"/>
        <color theme="1"/>
        <rFont val="Calibri"/>
      </rPr>
      <t>2</t>
    </r>
  </si>
  <si>
    <t>024-025-0024</t>
  </si>
  <si>
    <t>Perryman</t>
  </si>
  <si>
    <t>Unit 51 CT</t>
  </si>
  <si>
    <t>5-0088</t>
  </si>
  <si>
    <t>MMBTU/ 10E+06 scf</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</si>
  <si>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</si>
  <si>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</si>
  <si>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Limestone and Dolomite </t>
  </si>
  <si>
    <t>BTU/gallons</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</si>
  <si>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</si>
  <si>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</si>
  <si>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</si>
  <si>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Unit 1 CT</t>
  </si>
  <si>
    <t>4-0081</t>
  </si>
  <si>
    <t xml:space="preserve">Soda Ash </t>
  </si>
  <si>
    <r>
      <rPr>
        <sz val="11"/>
        <color theme="1"/>
        <rFont val="Calibri"/>
      </rPr>
      <t>CO</t>
    </r>
    <r>
      <rPr>
        <vertAlign val="subscript"/>
        <sz val="11"/>
        <color theme="1"/>
        <rFont val="Calibri"/>
      </rPr>
      <t>2</t>
    </r>
  </si>
  <si>
    <t>Unit 3 CT</t>
  </si>
  <si>
    <t>4-0083</t>
  </si>
  <si>
    <t>Unit 4 CT</t>
  </si>
  <si>
    <t>4-0084</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</si>
  <si>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</si>
  <si>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</si>
  <si>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Unit 6A CT</t>
  </si>
  <si>
    <t>5-0353</t>
  </si>
  <si>
    <t>Iron and Steel</t>
  </si>
  <si>
    <t>Commercial Fuel Use Emissions</t>
  </si>
  <si>
    <r>
      <rPr>
        <sz val="11"/>
        <color theme="1"/>
        <rFont val="Calibri"/>
      </rPr>
      <t>CO</t>
    </r>
    <r>
      <rPr>
        <vertAlign val="subscript"/>
        <sz val="11"/>
        <color theme="1"/>
        <rFont val="Calibri"/>
      </rPr>
      <t>2</t>
    </r>
  </si>
  <si>
    <t>Commercial Sector CO2</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</si>
  <si>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</si>
  <si>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</si>
  <si>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ODS Substitutes</t>
  </si>
  <si>
    <r>
      <rPr>
        <sz val="11"/>
        <color theme="1"/>
        <rFont val="Calibri"/>
      </rPr>
      <t>CO</t>
    </r>
    <r>
      <rPr>
        <vertAlign val="subscript"/>
        <sz val="11"/>
        <color theme="1"/>
        <rFont val="Calibri"/>
      </rPr>
      <t>2</t>
    </r>
  </si>
  <si>
    <t>Unit 6B CT</t>
  </si>
  <si>
    <t>5-0354</t>
  </si>
  <si>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</si>
  <si>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</si>
  <si>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t>Electricity Transmission and Dist.</t>
  </si>
  <si>
    <t>019-0013</t>
  </si>
  <si>
    <t>Vienna Generating Station</t>
  </si>
  <si>
    <t>Unit 8</t>
  </si>
  <si>
    <t>4-0065-70</t>
  </si>
  <si>
    <t>#6 Oil</t>
  </si>
  <si>
    <t>Btu/gallons</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</si>
  <si>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</si>
  <si>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</si>
  <si>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</si>
  <si>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t>Semiconductor Manufacturing</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</si>
  <si>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</si>
  <si>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</si>
  <si>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t>Motor Gasoline</t>
  </si>
  <si>
    <r>
      <rPr>
        <sz val="11"/>
        <color theme="1"/>
        <rFont val="Calibri"/>
      </rPr>
      <t>HFC, PFC, SF</t>
    </r>
    <r>
      <rPr>
        <vertAlign val="subscript"/>
        <sz val="11"/>
        <color theme="1"/>
        <rFont val="Calibri"/>
      </rPr>
      <t>6</t>
    </r>
  </si>
  <si>
    <t>Aux Boiler</t>
  </si>
  <si>
    <t>4-0020-69</t>
  </si>
  <si>
    <t>Ammonia and Urea</t>
  </si>
  <si>
    <r>
      <rPr>
        <sz val="11"/>
        <color theme="1"/>
        <rFont val="Calibri"/>
      </rPr>
      <t>CO</t>
    </r>
    <r>
      <rPr>
        <vertAlign val="subscript"/>
        <sz val="11"/>
        <color theme="1"/>
        <rFont val="Calibri"/>
      </rPr>
      <t>2</t>
    </r>
  </si>
  <si>
    <t>Combustion Turbine CT1</t>
  </si>
  <si>
    <t>4-0114-79</t>
  </si>
  <si>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</si>
  <si>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</si>
  <si>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t>031-1822</t>
  </si>
  <si>
    <t>Dickerson Power LLC - Station H</t>
  </si>
  <si>
    <t>HCT1</t>
  </si>
  <si>
    <t>1518-22-90362</t>
  </si>
  <si>
    <t>MMBTU/1E+06 scf</t>
  </si>
  <si>
    <t>Aluminum Production</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</si>
  <si>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</si>
  <si>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</si>
  <si>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</si>
  <si>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t>Commercial Sector N2O</t>
  </si>
  <si>
    <t>Agriculture</t>
  </si>
  <si>
    <t>Emissions</t>
  </si>
  <si>
    <t>Enteric Fermentation</t>
  </si>
  <si>
    <r>
      <rPr>
        <sz val="11"/>
        <color theme="1"/>
        <rFont val="Calibri"/>
      </rPr>
      <t>CO</t>
    </r>
    <r>
      <rPr>
        <vertAlign val="subscript"/>
        <sz val="11"/>
        <color theme="1"/>
        <rFont val="Calibri"/>
      </rPr>
      <t>2</t>
    </r>
  </si>
  <si>
    <t>HCT2</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</si>
  <si>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</si>
  <si>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</si>
  <si>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Manure Management</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</si>
  <si>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</si>
  <si>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</si>
  <si>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</si>
  <si>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Gasoline Pump</t>
  </si>
  <si>
    <t>1500-19-90062</t>
  </si>
  <si>
    <t>Gasoline</t>
  </si>
  <si>
    <t>Agricultural Soils</t>
  </si>
  <si>
    <r>
      <rPr>
        <sz val="11"/>
        <color theme="1"/>
        <rFont val="Calibri"/>
      </rPr>
      <t>CO</t>
    </r>
    <r>
      <rPr>
        <vertAlign val="subscript"/>
        <sz val="11"/>
        <color theme="1"/>
        <rFont val="Calibri"/>
      </rPr>
      <t>2</t>
    </r>
  </si>
  <si>
    <t>017-0279</t>
  </si>
  <si>
    <r>
      <rPr>
        <sz val="11"/>
        <color theme="1"/>
        <rFont val="Calibri"/>
      </rPr>
      <t>CH</t>
    </r>
    <r>
      <rPr>
        <vertAlign val="subscript"/>
        <sz val="11"/>
        <color theme="1"/>
        <rFont val="Calibri"/>
      </rPr>
      <t>4</t>
    </r>
  </si>
  <si>
    <t>Morgantown Power LLC</t>
  </si>
  <si>
    <t>0800-14-4-0070</t>
  </si>
  <si>
    <r>
      <rPr>
        <sz val="11"/>
        <color theme="1"/>
        <rFont val="Calibri"/>
      </rPr>
      <t>N</t>
    </r>
    <r>
      <rPr>
        <vertAlign val="subscript"/>
        <sz val="11"/>
        <color theme="1"/>
        <rFont val="Calibri"/>
      </rPr>
      <t>2</t>
    </r>
    <r>
      <rPr>
        <sz val="11"/>
        <color theme="1"/>
        <rFont val="Calibri"/>
      </rPr>
      <t>O</t>
    </r>
  </si>
  <si>
    <t>0800-14-4-0071</t>
  </si>
  <si>
    <t>Agricultural Burning</t>
  </si>
  <si>
    <r>
      <rPr>
        <sz val="11"/>
        <color theme="1"/>
        <rFont val="Calibri"/>
      </rPr>
      <t>CO</t>
    </r>
    <r>
      <rPr>
        <vertAlign val="subscript"/>
        <sz val="11"/>
        <color theme="1"/>
        <rFont val="Calibri"/>
      </rPr>
      <t>2</t>
    </r>
  </si>
  <si>
    <t>Commercial Sector CH4</t>
  </si>
  <si>
    <t>033-2200</t>
  </si>
  <si>
    <t>Panda Brandywine</t>
  </si>
  <si>
    <t>5-0844</t>
  </si>
  <si>
    <r>
      <rPr>
        <sz val="11"/>
        <color theme="1"/>
        <rFont val="Calibri"/>
      </rPr>
      <t>CH</t>
    </r>
    <r>
      <rPr>
        <vertAlign val="subscript"/>
        <sz val="11"/>
        <color theme="1"/>
        <rFont val="Calibri"/>
      </rPr>
      <t>4</t>
    </r>
  </si>
  <si>
    <t>MMBTU/scf</t>
  </si>
  <si>
    <r>
      <rPr>
        <sz val="11"/>
        <color theme="1"/>
        <rFont val="Calibri"/>
      </rPr>
      <t>N</t>
    </r>
    <r>
      <rPr>
        <vertAlign val="subscript"/>
        <sz val="11"/>
        <color theme="1"/>
        <rFont val="Calibri"/>
      </rPr>
      <t>2</t>
    </r>
    <r>
      <rPr>
        <sz val="11"/>
        <color theme="1"/>
        <rFont val="Calibri"/>
      </rPr>
      <t>O</t>
    </r>
  </si>
  <si>
    <t xml:space="preserve">Urea Fertilizer Usage and Liming </t>
  </si>
  <si>
    <r>
      <rPr>
        <sz val="11"/>
        <color theme="1"/>
        <rFont val="Calibri"/>
      </rPr>
      <t>CO</t>
    </r>
    <r>
      <rPr>
        <vertAlign val="subscript"/>
        <sz val="11"/>
        <color theme="1"/>
        <rFont val="Calibri"/>
      </rPr>
      <t>2</t>
    </r>
  </si>
  <si>
    <t>Fuel Oil</t>
  </si>
  <si>
    <t>Btu/gallon</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</si>
  <si>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</si>
  <si>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</si>
  <si>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Waste Management</t>
  </si>
  <si>
    <t>Waste Combustion</t>
  </si>
  <si>
    <t>5-0845</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</si>
  <si>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</si>
  <si>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</si>
  <si>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</si>
  <si>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Landfills</t>
  </si>
  <si>
    <t xml:space="preserve">Commercial Sector 2023 GHG Emissions </t>
  </si>
  <si>
    <r>
      <rPr>
        <sz val="11"/>
        <color theme="1"/>
        <rFont val="Calibri"/>
      </rPr>
      <t>CO</t>
    </r>
    <r>
      <rPr>
        <vertAlign val="subscript"/>
        <sz val="11"/>
        <color theme="1"/>
        <rFont val="Calibri"/>
      </rPr>
      <t>2</t>
    </r>
  </si>
  <si>
    <t>9-1465</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</si>
  <si>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</si>
  <si>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</si>
  <si>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510-265</t>
  </si>
  <si>
    <t>Wastewater Management</t>
  </si>
  <si>
    <t>CPSG- Philadelphia Road Power</t>
  </si>
  <si>
    <t>4-0431</t>
  </si>
  <si>
    <t>MMBTU/1E+03 gallons</t>
  </si>
  <si>
    <r>
      <rPr>
        <sz val="11"/>
        <color theme="1"/>
        <rFont val="Calibri"/>
      </rPr>
      <t>CO</t>
    </r>
    <r>
      <rPr>
        <vertAlign val="subscript"/>
        <sz val="11"/>
        <color theme="1"/>
        <rFont val="Calibri"/>
      </rPr>
      <t>2</t>
    </r>
  </si>
  <si>
    <t>Unit 2 CT</t>
  </si>
  <si>
    <t>4-0432</t>
  </si>
  <si>
    <r>
      <rPr>
        <sz val="11"/>
        <color theme="1"/>
        <rFont val="Calibri"/>
      </rPr>
      <t>CH</t>
    </r>
    <r>
      <rPr>
        <vertAlign val="subscript"/>
        <sz val="11"/>
        <color theme="1"/>
        <rFont val="Calibri"/>
      </rPr>
      <t>4</t>
    </r>
  </si>
  <si>
    <t>4-0433</t>
  </si>
  <si>
    <r>
      <rPr>
        <sz val="11"/>
        <color theme="1"/>
        <rFont val="Calibri"/>
      </rPr>
      <t>N</t>
    </r>
    <r>
      <rPr>
        <vertAlign val="subscript"/>
        <sz val="11"/>
        <color theme="1"/>
        <rFont val="Calibri"/>
      </rPr>
      <t>2</t>
    </r>
    <r>
      <rPr>
        <sz val="11"/>
        <color theme="1"/>
        <rFont val="Calibri"/>
      </rPr>
      <t>O</t>
    </r>
  </si>
  <si>
    <t>4-0434</t>
  </si>
  <si>
    <t>Residential Open Burning</t>
  </si>
  <si>
    <r>
      <rPr>
        <sz val="11"/>
        <color theme="1"/>
        <rFont val="Calibri"/>
      </rPr>
      <t>CO</t>
    </r>
    <r>
      <rPr>
        <vertAlign val="subscript"/>
        <sz val="11"/>
        <color theme="1"/>
        <rFont val="Calibri"/>
      </rPr>
      <t>2</t>
    </r>
  </si>
  <si>
    <t>015-0202</t>
  </si>
  <si>
    <t>Rock Spring</t>
  </si>
  <si>
    <t>Turbine 1</t>
  </si>
  <si>
    <t>5-0076</t>
  </si>
  <si>
    <t>Turbine 2</t>
  </si>
  <si>
    <r>
      <rPr>
        <sz val="11"/>
        <color theme="1"/>
        <rFont val="Calibri"/>
      </rPr>
      <t>CH</t>
    </r>
    <r>
      <rPr>
        <vertAlign val="subscript"/>
        <sz val="11"/>
        <color theme="1"/>
        <rFont val="Calibri"/>
      </rPr>
      <t>4</t>
    </r>
  </si>
  <si>
    <t>5-0077</t>
  </si>
  <si>
    <r>
      <rPr>
        <sz val="11"/>
        <color theme="1"/>
        <rFont val="Calibri"/>
      </rPr>
      <t>N</t>
    </r>
    <r>
      <rPr>
        <vertAlign val="subscript"/>
        <sz val="11"/>
        <color theme="1"/>
        <rFont val="Calibri"/>
      </rPr>
      <t>2</t>
    </r>
    <r>
      <rPr>
        <sz val="11"/>
        <color theme="1"/>
        <rFont val="Calibri"/>
      </rPr>
      <t>O</t>
    </r>
  </si>
  <si>
    <t>Turbine 3</t>
  </si>
  <si>
    <t>5-0078</t>
  </si>
  <si>
    <r>
      <rPr>
        <b/>
        <sz val="11"/>
        <color theme="1"/>
        <rFont val="Calibri"/>
      </rPr>
      <t>Gross Emissions</t>
    </r>
    <r>
      <rPr>
        <sz val="11"/>
        <color theme="1"/>
        <rFont val="Calibri"/>
      </rPr>
      <t xml:space="preserve"> (Excludes Sinks)</t>
    </r>
  </si>
  <si>
    <t>Turbine 4</t>
  </si>
  <si>
    <t>5-0079</t>
  </si>
  <si>
    <t>NG Fuel Gas Heater</t>
  </si>
  <si>
    <t>6-0205</t>
  </si>
  <si>
    <t>041-0029</t>
  </si>
  <si>
    <t>Forestry and Land Use</t>
  </si>
  <si>
    <t>Easton Utility</t>
  </si>
  <si>
    <t>Unit 101</t>
  </si>
  <si>
    <t>9-0032</t>
  </si>
  <si>
    <t>Unit 102</t>
  </si>
  <si>
    <t>9-0031</t>
  </si>
  <si>
    <t>Unit 7</t>
  </si>
  <si>
    <t>9-0023</t>
  </si>
  <si>
    <t>Tree and Forest Carbon</t>
  </si>
  <si>
    <t>Unit 9</t>
  </si>
  <si>
    <t>9-0025</t>
  </si>
  <si>
    <t>Unit 10</t>
  </si>
  <si>
    <t>9-0026</t>
  </si>
  <si>
    <t>Wood Products and Landfilled Carbon</t>
  </si>
  <si>
    <t>Unit 11</t>
  </si>
  <si>
    <t>9-0027</t>
  </si>
  <si>
    <t>Unit 12</t>
  </si>
  <si>
    <t>9-0028</t>
  </si>
  <si>
    <t>Settlement Soils</t>
  </si>
  <si>
    <t>Unit 13</t>
  </si>
  <si>
    <t>9-0029</t>
  </si>
  <si>
    <r>
      <rPr>
        <sz val="11"/>
        <color theme="1"/>
        <rFont val="Calibri"/>
      </rPr>
      <t>N</t>
    </r>
    <r>
      <rPr>
        <vertAlign val="subscript"/>
        <sz val="11"/>
        <color theme="1"/>
        <rFont val="Calibri"/>
      </rPr>
      <t>2</t>
    </r>
    <r>
      <rPr>
        <sz val="11"/>
        <color theme="1"/>
        <rFont val="Calibri"/>
      </rPr>
      <t>O</t>
    </r>
  </si>
  <si>
    <t>Unit 14</t>
  </si>
  <si>
    <t>9-0030</t>
  </si>
  <si>
    <t>Forest Fires</t>
  </si>
  <si>
    <t>041-0069</t>
  </si>
  <si>
    <t>Easton Utility -Airport Park</t>
  </si>
  <si>
    <t>Unit 201</t>
  </si>
  <si>
    <t>20-9-0037</t>
  </si>
  <si>
    <r>
      <rPr>
        <sz val="11"/>
        <color theme="1"/>
        <rFont val="Calibri"/>
      </rPr>
      <t>CH</t>
    </r>
    <r>
      <rPr>
        <vertAlign val="subscript"/>
        <sz val="11"/>
        <color theme="1"/>
        <rFont val="Calibri"/>
      </rPr>
      <t>4</t>
    </r>
  </si>
  <si>
    <t>Unit 202</t>
  </si>
  <si>
    <t>20-9-0038</t>
  </si>
  <si>
    <t>Unit 203</t>
  </si>
  <si>
    <t>20-4-0101</t>
  </si>
  <si>
    <t>Unit 204</t>
  </si>
  <si>
    <t>20-4-0102</t>
  </si>
  <si>
    <r>
      <rPr>
        <sz val="11"/>
        <color theme="1"/>
        <rFont val="Calibri"/>
      </rPr>
      <t>N</t>
    </r>
    <r>
      <rPr>
        <vertAlign val="subscript"/>
        <sz val="11"/>
        <color theme="1"/>
        <rFont val="Calibri"/>
      </rPr>
      <t>2</t>
    </r>
    <r>
      <rPr>
        <sz val="11"/>
        <color theme="1"/>
        <rFont val="Calibri"/>
      </rPr>
      <t>O</t>
    </r>
  </si>
  <si>
    <t>Unit 21</t>
  </si>
  <si>
    <t>20-9-0033</t>
  </si>
  <si>
    <t>Agricultural Soil Carbon</t>
  </si>
  <si>
    <t>Unit 22</t>
  </si>
  <si>
    <t>20-9-0034</t>
  </si>
  <si>
    <t>Unit 23</t>
  </si>
  <si>
    <t>20-9-0035</t>
  </si>
  <si>
    <t>Wetlands and SAV</t>
  </si>
  <si>
    <t>Unit 24</t>
  </si>
  <si>
    <t>20-9-0036</t>
  </si>
  <si>
    <r>
      <rPr>
        <sz val="11"/>
        <color theme="1"/>
        <rFont val="Calibri"/>
      </rPr>
      <t>CO</t>
    </r>
    <r>
      <rPr>
        <vertAlign val="subscript"/>
        <sz val="11"/>
        <color theme="1"/>
        <rFont val="Calibri"/>
      </rPr>
      <t>2</t>
    </r>
  </si>
  <si>
    <t>047-0044</t>
  </si>
  <si>
    <t>Berlin Town Power Plant</t>
  </si>
  <si>
    <t>FM Diesel Gen</t>
  </si>
  <si>
    <t>9-2029</t>
  </si>
  <si>
    <r>
      <rPr>
        <sz val="11"/>
        <color theme="1"/>
        <rFont val="Calibri"/>
      </rPr>
      <t>CH</t>
    </r>
    <r>
      <rPr>
        <vertAlign val="subscript"/>
        <sz val="11"/>
        <color theme="1"/>
        <rFont val="Calibri"/>
      </rPr>
      <t>4</t>
    </r>
  </si>
  <si>
    <t>EMD Diesel Gen</t>
  </si>
  <si>
    <t>9-2028</t>
  </si>
  <si>
    <t>2952 BHP Cat G3520</t>
  </si>
  <si>
    <t>9-0105</t>
  </si>
  <si>
    <t>039-0017</t>
  </si>
  <si>
    <t>Connectiv - Crisfield Generation</t>
  </si>
  <si>
    <t>9-0021</t>
  </si>
  <si>
    <t>9-0022</t>
  </si>
  <si>
    <t>9-0024</t>
  </si>
  <si>
    <t>2023 (20-yr)</t>
  </si>
  <si>
    <t>2023 (100-yr)</t>
  </si>
  <si>
    <t>009-0012</t>
  </si>
  <si>
    <t>Calvert Cliffs Parkway Nuclear PP</t>
  </si>
  <si>
    <t>11 Aux Boiler</t>
  </si>
  <si>
    <t>4-0014</t>
  </si>
  <si>
    <t>RCI Fuel Use</t>
  </si>
  <si>
    <t>12 Aux Boiler</t>
  </si>
  <si>
    <t>4-0015</t>
  </si>
  <si>
    <t>Transportation - Onroad</t>
  </si>
  <si>
    <t>1B Emergency Generator</t>
  </si>
  <si>
    <t>4-0016</t>
  </si>
  <si>
    <t>Transportation - Nonroad</t>
  </si>
  <si>
    <t>2A Emergency Generator</t>
  </si>
  <si>
    <t>2B Emergency Generator</t>
  </si>
  <si>
    <t>4-0018</t>
  </si>
  <si>
    <t>1A Emergency Generator</t>
  </si>
  <si>
    <t>9-0015 &amp; 9-0016</t>
  </si>
  <si>
    <t>OC Emergency Generator</t>
  </si>
  <si>
    <t>9-0017 &amp; 9-0018</t>
  </si>
  <si>
    <t>Security Diesel generator</t>
  </si>
  <si>
    <t>4-0041</t>
  </si>
  <si>
    <t>Temporary Generator</t>
  </si>
  <si>
    <t>Total Gross Emissions</t>
  </si>
  <si>
    <t>027-0661</t>
  </si>
  <si>
    <t>Constellation New Energy @ Coastal Sunbelt Produce</t>
  </si>
  <si>
    <t>Generator 1</t>
  </si>
  <si>
    <t>9-0394</t>
  </si>
  <si>
    <t>Generator 2</t>
  </si>
  <si>
    <t>9-0395</t>
  </si>
  <si>
    <t>Generator 3</t>
  </si>
  <si>
    <t>9-0396</t>
  </si>
  <si>
    <t>Generator 4</t>
  </si>
  <si>
    <t>9-0397</t>
  </si>
  <si>
    <t>Generator 5</t>
  </si>
  <si>
    <t>9-0398</t>
  </si>
  <si>
    <t>017-0235</t>
  </si>
  <si>
    <t>CPV Maryland St. Charles Energy</t>
  </si>
  <si>
    <t>CT-11</t>
  </si>
  <si>
    <t>5-0012</t>
  </si>
  <si>
    <t>Btu/Scf</t>
  </si>
  <si>
    <t>HRSG Duct Burner 11</t>
  </si>
  <si>
    <t>CT-11 &amp; HRSG 11</t>
  </si>
  <si>
    <t>CT-12</t>
  </si>
  <si>
    <t>5-0013</t>
  </si>
  <si>
    <t>HRSG Duct Burner 12</t>
  </si>
  <si>
    <t>CT-12 &amp; HRSG 12</t>
  </si>
  <si>
    <t>Auxilliary Boiler</t>
  </si>
  <si>
    <t>5-2016</t>
  </si>
  <si>
    <t>Fuel Gas Heater</t>
  </si>
  <si>
    <t>6-0151</t>
  </si>
  <si>
    <t>Emergency Generator</t>
  </si>
  <si>
    <t>9-0158</t>
  </si>
  <si>
    <t>033-2737</t>
  </si>
  <si>
    <t>PSEG Keys Energy Center</t>
  </si>
  <si>
    <t>CT-1 &amp; HRSG 1</t>
  </si>
  <si>
    <t>5-1578</t>
  </si>
  <si>
    <t>CT-2 &amp; HRSG 2</t>
  </si>
  <si>
    <t>5-1579</t>
  </si>
  <si>
    <t>Auxilliary Boiler - AUXB1</t>
  </si>
  <si>
    <t>5-1582</t>
  </si>
  <si>
    <t>Emergency Generator - EG1</t>
  </si>
  <si>
    <t>9-1485</t>
  </si>
  <si>
    <t>015-0272</t>
  </si>
  <si>
    <t>Wildcat Point Generation Facility</t>
  </si>
  <si>
    <t>CT-1</t>
  </si>
  <si>
    <t>5-0129</t>
  </si>
  <si>
    <t>HRSG Duct Burner I</t>
  </si>
  <si>
    <t>CT-2</t>
  </si>
  <si>
    <t>5-0130</t>
  </si>
  <si>
    <t>HRSG Duct Burner 2</t>
  </si>
  <si>
    <t>Industrial Fuel Use Emissions</t>
  </si>
  <si>
    <t>Auxilliary Boiler -AUXB1</t>
  </si>
  <si>
    <t>Industrial Sector CO2</t>
  </si>
  <si>
    <t>5-0127</t>
  </si>
  <si>
    <t>Dew Point Burner I</t>
  </si>
  <si>
    <t>6-0128</t>
  </si>
  <si>
    <t>Emergency Generator -EG1</t>
  </si>
  <si>
    <t>9-216</t>
  </si>
  <si>
    <t xml:space="preserve">Total </t>
  </si>
  <si>
    <t>Percent</t>
  </si>
  <si>
    <t xml:space="preserve">Non-Energy </t>
  </si>
  <si>
    <t>Net Combustible or</t>
  </si>
  <si>
    <t>Non-Energy</t>
  </si>
  <si>
    <t>summation check</t>
  </si>
  <si>
    <t>Oxidizable Consumption</t>
  </si>
  <si>
    <t>Consumption (%)</t>
  </si>
  <si>
    <t>Storage Factor (%)</t>
  </si>
  <si>
    <t>Coking Coal</t>
  </si>
  <si>
    <t>Other Coal</t>
  </si>
  <si>
    <t>Asphalt and Road Oil</t>
  </si>
  <si>
    <t>Aviation Gasoline Blending Components</t>
  </si>
  <si>
    <t>GHG EMISSION SUMMARY (short tons)</t>
  </si>
  <si>
    <t>Crude Oil</t>
  </si>
  <si>
    <t>Feedstocks, Naphtha less than 401 F</t>
  </si>
  <si>
    <t>Feedstocks, Other Oils greater than 401 F</t>
  </si>
  <si>
    <t>Lubricants</t>
  </si>
  <si>
    <t>TOTAL</t>
  </si>
  <si>
    <t>Motor Gasoline Blending Components</t>
  </si>
  <si>
    <t>GHG EMISSION SUMMARY (metric tons)</t>
  </si>
  <si>
    <t>Misc. Petro Products</t>
  </si>
  <si>
    <t>CO2 Emission (metric tons)</t>
  </si>
  <si>
    <t>N2O Emission (metric tons)</t>
  </si>
  <si>
    <t>Petroleum Coke</t>
  </si>
  <si>
    <t>Pentanes Plus</t>
  </si>
  <si>
    <t>Still Gas</t>
  </si>
  <si>
    <t>Special Naphthas</t>
  </si>
  <si>
    <t>Unfinished Oils</t>
  </si>
  <si>
    <t>Waxes</t>
  </si>
  <si>
    <t>GHG EMISSION SUMMARY (MMTCO2e, 100-yr GWP)</t>
  </si>
  <si>
    <t>CO2 Emission (MMTCO2e)</t>
  </si>
  <si>
    <t>CH4 Emission (MMTCO2e)</t>
  </si>
  <si>
    <t>N2O Emission (MMTCO2e)</t>
  </si>
  <si>
    <t>Industrial Sector N2O</t>
  </si>
  <si>
    <t>Industrial Sector CH4</t>
  </si>
  <si>
    <t>(metric tons CH4)</t>
  </si>
  <si>
    <t>(MMTCO2E)</t>
  </si>
  <si>
    <t xml:space="preserve">Industrial Sector 2023 GHG Emissions </t>
  </si>
  <si>
    <t>On-Road Transportation Emissions</t>
  </si>
  <si>
    <t>MOVES4 Model Outputs</t>
  </si>
  <si>
    <t>2023 GHG Emissions by Pollutant Type and by Fuel Type (grams)</t>
  </si>
  <si>
    <t>2023 VMT</t>
  </si>
  <si>
    <t>2023 Fuel Consumption (kJ)</t>
  </si>
  <si>
    <t>CNG</t>
  </si>
  <si>
    <t>E85</t>
  </si>
  <si>
    <t>County</t>
  </si>
  <si>
    <r>
      <rPr>
        <b/>
        <sz val="10"/>
        <color theme="1"/>
        <rFont val="Calibri"/>
      </rPr>
      <t>CH</t>
    </r>
    <r>
      <rPr>
        <b/>
        <vertAlign val="subscript"/>
        <sz val="10"/>
        <color theme="1"/>
        <rFont val="Calibri"/>
      </rPr>
      <t>4</t>
    </r>
  </si>
  <si>
    <r>
      <rPr>
        <b/>
        <sz val="10"/>
        <color theme="1"/>
        <rFont val="Calibri"/>
      </rPr>
      <t>N</t>
    </r>
    <r>
      <rPr>
        <b/>
        <vertAlign val="subscript"/>
        <sz val="10"/>
        <color theme="1"/>
        <rFont val="Calibri"/>
      </rPr>
      <t>2</t>
    </r>
    <r>
      <rPr>
        <b/>
        <sz val="10"/>
        <color theme="1"/>
        <rFont val="Calibri"/>
      </rPr>
      <t>O</t>
    </r>
  </si>
  <si>
    <r>
      <rPr>
        <b/>
        <sz val="10"/>
        <color theme="1"/>
        <rFont val="Calibri"/>
      </rPr>
      <t>CO</t>
    </r>
    <r>
      <rPr>
        <b/>
        <vertAlign val="subscript"/>
        <sz val="10"/>
        <color theme="1"/>
        <rFont val="Calibri"/>
      </rPr>
      <t>2</t>
    </r>
  </si>
  <si>
    <r>
      <rPr>
        <b/>
        <sz val="10"/>
        <color theme="1"/>
        <rFont val="Calibri"/>
      </rPr>
      <t>CH</t>
    </r>
    <r>
      <rPr>
        <b/>
        <vertAlign val="subscript"/>
        <sz val="10"/>
        <color theme="1"/>
        <rFont val="Calibri"/>
      </rPr>
      <t>4</t>
    </r>
  </si>
  <si>
    <r>
      <rPr>
        <b/>
        <sz val="10"/>
        <color theme="1"/>
        <rFont val="Calibri"/>
      </rPr>
      <t>N</t>
    </r>
    <r>
      <rPr>
        <b/>
        <vertAlign val="subscript"/>
        <sz val="10"/>
        <color theme="1"/>
        <rFont val="Calibri"/>
      </rPr>
      <t>2</t>
    </r>
    <r>
      <rPr>
        <b/>
        <sz val="10"/>
        <color theme="1"/>
        <rFont val="Calibri"/>
      </rPr>
      <t>O</t>
    </r>
  </si>
  <si>
    <r>
      <rPr>
        <b/>
        <sz val="10"/>
        <color theme="1"/>
        <rFont val="Calibri"/>
      </rPr>
      <t>CO</t>
    </r>
    <r>
      <rPr>
        <b/>
        <vertAlign val="subscript"/>
        <sz val="10"/>
        <color theme="1"/>
        <rFont val="Calibri"/>
      </rPr>
      <t>2</t>
    </r>
  </si>
  <si>
    <r>
      <rPr>
        <b/>
        <sz val="10"/>
        <color theme="1"/>
        <rFont val="Calibri"/>
      </rPr>
      <t>CH</t>
    </r>
    <r>
      <rPr>
        <b/>
        <vertAlign val="subscript"/>
        <sz val="10"/>
        <color theme="1"/>
        <rFont val="Calibri"/>
      </rPr>
      <t>4</t>
    </r>
  </si>
  <si>
    <r>
      <rPr>
        <b/>
        <sz val="10"/>
        <color theme="1"/>
        <rFont val="Calibri"/>
      </rPr>
      <t>N</t>
    </r>
    <r>
      <rPr>
        <b/>
        <vertAlign val="subscript"/>
        <sz val="10"/>
        <color theme="1"/>
        <rFont val="Calibri"/>
      </rPr>
      <t>2</t>
    </r>
    <r>
      <rPr>
        <b/>
        <sz val="10"/>
        <color theme="1"/>
        <rFont val="Calibri"/>
      </rPr>
      <t>O</t>
    </r>
  </si>
  <si>
    <r>
      <rPr>
        <b/>
        <sz val="10"/>
        <color theme="1"/>
        <rFont val="Calibri"/>
      </rPr>
      <t>CO</t>
    </r>
    <r>
      <rPr>
        <b/>
        <vertAlign val="subscript"/>
        <sz val="10"/>
        <color theme="1"/>
        <rFont val="Calibri"/>
      </rPr>
      <t>2</t>
    </r>
  </si>
  <si>
    <r>
      <rPr>
        <b/>
        <sz val="10"/>
        <color theme="1"/>
        <rFont val="Calibri"/>
      </rPr>
      <t>CH</t>
    </r>
    <r>
      <rPr>
        <b/>
        <vertAlign val="subscript"/>
        <sz val="10"/>
        <color theme="1"/>
        <rFont val="Calibri"/>
      </rPr>
      <t>4</t>
    </r>
  </si>
  <si>
    <r>
      <rPr>
        <b/>
        <sz val="10"/>
        <color theme="1"/>
        <rFont val="Calibri"/>
      </rPr>
      <t>N</t>
    </r>
    <r>
      <rPr>
        <b/>
        <vertAlign val="subscript"/>
        <sz val="10"/>
        <color theme="1"/>
        <rFont val="Calibri"/>
      </rPr>
      <t>2</t>
    </r>
    <r>
      <rPr>
        <b/>
        <sz val="10"/>
        <color theme="1"/>
        <rFont val="Calibri"/>
      </rPr>
      <t>O</t>
    </r>
  </si>
  <si>
    <r>
      <rPr>
        <b/>
        <sz val="10"/>
        <color theme="1"/>
        <rFont val="Calibri"/>
      </rPr>
      <t>CO</t>
    </r>
    <r>
      <rPr>
        <b/>
        <vertAlign val="subscript"/>
        <sz val="10"/>
        <color theme="1"/>
        <rFont val="Calibri"/>
      </rPr>
      <t>2</t>
    </r>
  </si>
  <si>
    <t>VMT (million miles)</t>
  </si>
  <si>
    <t>Allegany</t>
  </si>
  <si>
    <t>Anne Arundel</t>
  </si>
  <si>
    <t>Baltimore County</t>
  </si>
  <si>
    <t>Baltimore</t>
  </si>
  <si>
    <t>Calvert</t>
  </si>
  <si>
    <t>Caroline</t>
  </si>
  <si>
    <t>Carroll</t>
  </si>
  <si>
    <t>Cecil</t>
  </si>
  <si>
    <t>Charles</t>
  </si>
  <si>
    <t>Dorchester</t>
  </si>
  <si>
    <t>Frederick</t>
  </si>
  <si>
    <t>Garrett</t>
  </si>
  <si>
    <t>Harford</t>
  </si>
  <si>
    <t>Howard</t>
  </si>
  <si>
    <t>Kent</t>
  </si>
  <si>
    <t>Montgomery</t>
  </si>
  <si>
    <t>Prince George's</t>
  </si>
  <si>
    <t>Queen Anne's</t>
  </si>
  <si>
    <t>Saint Mary's</t>
  </si>
  <si>
    <t>Somerset</t>
  </si>
  <si>
    <t>Talbot</t>
  </si>
  <si>
    <t>Washington</t>
  </si>
  <si>
    <t>Wicomico</t>
  </si>
  <si>
    <t>Worcester</t>
  </si>
  <si>
    <t>Baltimore City</t>
  </si>
  <si>
    <t>Summary Tables</t>
  </si>
  <si>
    <t>Gallons conversion:</t>
  </si>
  <si>
    <r>
      <rPr>
        <b/>
        <sz val="10"/>
        <color theme="1"/>
        <rFont val="Calibri"/>
      </rPr>
      <t>CH</t>
    </r>
    <r>
      <rPr>
        <b/>
        <vertAlign val="subscript"/>
        <sz val="10"/>
        <color theme="1"/>
        <rFont val="Calibri"/>
      </rPr>
      <t>4</t>
    </r>
  </si>
  <si>
    <r>
      <rPr>
        <b/>
        <sz val="10"/>
        <color theme="1"/>
        <rFont val="Calibri"/>
      </rPr>
      <t>N</t>
    </r>
    <r>
      <rPr>
        <b/>
        <vertAlign val="subscript"/>
        <sz val="10"/>
        <color theme="1"/>
        <rFont val="Calibri"/>
      </rPr>
      <t>2</t>
    </r>
    <r>
      <rPr>
        <b/>
        <sz val="10"/>
        <color theme="1"/>
        <rFont val="Calibri"/>
      </rPr>
      <t>O</t>
    </r>
  </si>
  <si>
    <r>
      <rPr>
        <b/>
        <sz val="10"/>
        <color theme="1"/>
        <rFont val="Calibri"/>
      </rPr>
      <t>CO</t>
    </r>
    <r>
      <rPr>
        <b/>
        <vertAlign val="subscript"/>
        <sz val="10"/>
        <color theme="1"/>
        <rFont val="Calibri"/>
      </rPr>
      <t>2</t>
    </r>
  </si>
  <si>
    <r>
      <rPr>
        <b/>
        <sz val="10"/>
        <color theme="1"/>
        <rFont val="Calibri"/>
      </rPr>
      <t>CH</t>
    </r>
    <r>
      <rPr>
        <b/>
        <vertAlign val="subscript"/>
        <sz val="10"/>
        <color theme="1"/>
        <rFont val="Calibri"/>
      </rPr>
      <t>4</t>
    </r>
  </si>
  <si>
    <r>
      <rPr>
        <b/>
        <sz val="10"/>
        <color theme="1"/>
        <rFont val="Calibri"/>
      </rPr>
      <t>N</t>
    </r>
    <r>
      <rPr>
        <b/>
        <vertAlign val="subscript"/>
        <sz val="10"/>
        <color theme="1"/>
        <rFont val="Calibri"/>
      </rPr>
      <t>2</t>
    </r>
    <r>
      <rPr>
        <b/>
        <sz val="10"/>
        <color theme="1"/>
        <rFont val="Calibri"/>
      </rPr>
      <t>O</t>
    </r>
  </si>
  <si>
    <r>
      <rPr>
        <b/>
        <sz val="10"/>
        <color theme="1"/>
        <rFont val="Calibri"/>
      </rPr>
      <t>CO</t>
    </r>
    <r>
      <rPr>
        <b/>
        <vertAlign val="subscript"/>
        <sz val="10"/>
        <color theme="1"/>
        <rFont val="Calibri"/>
      </rPr>
      <t>2</t>
    </r>
  </si>
  <si>
    <r>
      <rPr>
        <b/>
        <sz val="10"/>
        <color theme="1"/>
        <rFont val="Calibri"/>
      </rPr>
      <t>CH</t>
    </r>
    <r>
      <rPr>
        <b/>
        <vertAlign val="subscript"/>
        <sz val="10"/>
        <color theme="1"/>
        <rFont val="Calibri"/>
      </rPr>
      <t>4</t>
    </r>
  </si>
  <si>
    <r>
      <rPr>
        <b/>
        <sz val="10"/>
        <color theme="1"/>
        <rFont val="Calibri"/>
      </rPr>
      <t>N</t>
    </r>
    <r>
      <rPr>
        <b/>
        <vertAlign val="subscript"/>
        <sz val="10"/>
        <color theme="1"/>
        <rFont val="Calibri"/>
      </rPr>
      <t>2</t>
    </r>
    <r>
      <rPr>
        <b/>
        <sz val="10"/>
        <color theme="1"/>
        <rFont val="Calibri"/>
      </rPr>
      <t>O</t>
    </r>
  </si>
  <si>
    <r>
      <rPr>
        <b/>
        <sz val="10"/>
        <color theme="1"/>
        <rFont val="Calibri"/>
      </rPr>
      <t>CO</t>
    </r>
    <r>
      <rPr>
        <b/>
        <vertAlign val="subscript"/>
        <sz val="10"/>
        <color theme="1"/>
        <rFont val="Calibri"/>
      </rPr>
      <t>2</t>
    </r>
  </si>
  <si>
    <r>
      <rPr>
        <b/>
        <sz val="10"/>
        <color theme="1"/>
        <rFont val="Calibri"/>
      </rPr>
      <t>CH</t>
    </r>
    <r>
      <rPr>
        <b/>
        <vertAlign val="subscript"/>
        <sz val="10"/>
        <color theme="1"/>
        <rFont val="Calibri"/>
      </rPr>
      <t>4</t>
    </r>
  </si>
  <si>
    <r>
      <rPr>
        <b/>
        <sz val="10"/>
        <color theme="1"/>
        <rFont val="Calibri"/>
      </rPr>
      <t>N</t>
    </r>
    <r>
      <rPr>
        <b/>
        <vertAlign val="subscript"/>
        <sz val="10"/>
        <color theme="1"/>
        <rFont val="Calibri"/>
      </rPr>
      <t>2</t>
    </r>
    <r>
      <rPr>
        <b/>
        <sz val="10"/>
        <color theme="1"/>
        <rFont val="Calibri"/>
      </rPr>
      <t>O</t>
    </r>
  </si>
  <si>
    <r>
      <rPr>
        <b/>
        <sz val="10"/>
        <color theme="1"/>
        <rFont val="Calibri"/>
      </rPr>
      <t>CO</t>
    </r>
    <r>
      <rPr>
        <b/>
        <vertAlign val="subscript"/>
        <sz val="10"/>
        <color theme="1"/>
        <rFont val="Calibri"/>
      </rPr>
      <t>2</t>
    </r>
  </si>
  <si>
    <t>Metric tons</t>
  </si>
  <si>
    <t>Fuel Properties</t>
  </si>
  <si>
    <t>Gasohol (E10)</t>
  </si>
  <si>
    <t>Energy Content (kJ/g)</t>
  </si>
  <si>
    <t>Fuel Density (g/gal)</t>
  </si>
  <si>
    <t>CO2
(MMTCO2e)</t>
  </si>
  <si>
    <t>CH4
(MMTCO2e)</t>
  </si>
  <si>
    <t>N2O
(MMTCO2e)</t>
  </si>
  <si>
    <t>Total
(MMTCO2e)</t>
  </si>
  <si>
    <t>Gallons</t>
  </si>
  <si>
    <t>Non-Road Equipment Emissions</t>
  </si>
  <si>
    <t>Non-Road CO2</t>
  </si>
  <si>
    <t>Equipment Type</t>
  </si>
  <si>
    <t>CO2 Emissions (short tons) by Fuel Type</t>
  </si>
  <si>
    <t>Total CO2 Emissions
(short tons)</t>
  </si>
  <si>
    <t>Total CO2 Emissions
(MMTCO2e)</t>
  </si>
  <si>
    <t>LPG</t>
  </si>
  <si>
    <t>Lawn and Garden Equipment</t>
  </si>
  <si>
    <t>Construction and Mining Equipment</t>
  </si>
  <si>
    <t>Industrial Equipment</t>
  </si>
  <si>
    <t>Pleasure Craft</t>
  </si>
  <si>
    <t>Commercial Equipment</t>
  </si>
  <si>
    <t>Agricultural Equipment</t>
  </si>
  <si>
    <t>Recreational Equipment</t>
  </si>
  <si>
    <t>Airport Ground Support Equipment</t>
  </si>
  <si>
    <t>Logging Equipment</t>
  </si>
  <si>
    <t>Underground Mining Equipment</t>
  </si>
  <si>
    <t>Railroad Equipment</t>
  </si>
  <si>
    <t>Total CO2 Emissions (short tons)</t>
  </si>
  <si>
    <t>Total CO2 Emissions (MMTCO2e)</t>
  </si>
  <si>
    <t>Non-Road CH4</t>
  </si>
  <si>
    <t>CH4 Emissions (short tons) by Fuel Type</t>
  </si>
  <si>
    <t>Total CH4 Emissions
(short tons)</t>
  </si>
  <si>
    <t>Total CH4 Emissions
(MMTCO2e)</t>
  </si>
  <si>
    <t>Total CH4 Emissions (short tons)</t>
  </si>
  <si>
    <t>Total CH4 Emissions (MMTCO2e)</t>
  </si>
  <si>
    <t>Year</t>
  </si>
  <si>
    <t>CountyID</t>
  </si>
  <si>
    <t>SCC</t>
  </si>
  <si>
    <t>Tier 2 Description</t>
  </si>
  <si>
    <t>SCC Level Two</t>
  </si>
  <si>
    <t>SCC Level Three</t>
  </si>
  <si>
    <t>SCC Level Four</t>
  </si>
  <si>
    <r>
      <rPr>
        <b/>
        <sz val="9"/>
        <color theme="1"/>
        <rFont val="Calibri"/>
      </rPr>
      <t>CO</t>
    </r>
    <r>
      <rPr>
        <b/>
        <vertAlign val="subscript"/>
        <sz val="9"/>
        <color theme="1"/>
        <rFont val="Calibri"/>
      </rPr>
      <t>2</t>
    </r>
  </si>
  <si>
    <r>
      <rPr>
        <b/>
        <sz val="9"/>
        <color theme="1"/>
        <rFont val="Calibri"/>
      </rPr>
      <t>CH</t>
    </r>
    <r>
      <rPr>
        <b/>
        <vertAlign val="subscript"/>
        <sz val="9"/>
        <color theme="1"/>
        <rFont val="Calibri"/>
      </rPr>
      <t>4</t>
    </r>
  </si>
  <si>
    <t>24031</t>
  </si>
  <si>
    <t>2265004071</t>
  </si>
  <si>
    <t>Non-Road Gasoline</t>
  </si>
  <si>
    <t>Off-highway Vehicle Gasoline, 4-Stroke</t>
  </si>
  <si>
    <t>Turf Equipment (Commercial)</t>
  </si>
  <si>
    <t>24005</t>
  </si>
  <si>
    <t>2267003020</t>
  </si>
  <si>
    <t>Forklifts</t>
  </si>
  <si>
    <t>24033</t>
  </si>
  <si>
    <t>24510</t>
  </si>
  <si>
    <t>24003</t>
  </si>
  <si>
    <t>2270002060</t>
  </si>
  <si>
    <t>Non-Road Diesel</t>
  </si>
  <si>
    <t>Off-highway Vehicle Diesel</t>
  </si>
  <si>
    <t>Rubber Tire Loaders</t>
  </si>
  <si>
    <t>2270003060</t>
  </si>
  <si>
    <t>AC\Refrigeration</t>
  </si>
  <si>
    <t>2270002036</t>
  </si>
  <si>
    <t>Excavators</t>
  </si>
  <si>
    <t>2270002069</t>
  </si>
  <si>
    <t>Crawler Tractor/Dozers</t>
  </si>
  <si>
    <t>24027</t>
  </si>
  <si>
    <t>2265004056</t>
  </si>
  <si>
    <t>Lawn and Garden Tractors (Commercial)</t>
  </si>
  <si>
    <t>2270002051</t>
  </si>
  <si>
    <t>Off-highway Trucks</t>
  </si>
  <si>
    <t>24047</t>
  </si>
  <si>
    <t>2282005010</t>
  </si>
  <si>
    <t>Gasoline 2-Stroke</t>
  </si>
  <si>
    <t>Outboard</t>
  </si>
  <si>
    <t>24019</t>
  </si>
  <si>
    <t>24021</t>
  </si>
  <si>
    <t>2265004055</t>
  </si>
  <si>
    <t>Lawn and Garden Tractors (Residential)</t>
  </si>
  <si>
    <t>2270002066</t>
  </si>
  <si>
    <t>Tractors/Loaders/Backhoes</t>
  </si>
  <si>
    <t>2270008005</t>
  </si>
  <si>
    <t>2282010005</t>
  </si>
  <si>
    <t>Gasoline 4-Stroke</t>
  </si>
  <si>
    <t>Inboard/Sterndrive</t>
  </si>
  <si>
    <t>2270004066</t>
  </si>
  <si>
    <t>Chippers/Stump Grinders (Commercial)</t>
  </si>
  <si>
    <t>24043</t>
  </si>
  <si>
    <t>2265004011</t>
  </si>
  <si>
    <t>Lawn Mowers (Commercial)</t>
  </si>
  <si>
    <t>2265006005</t>
  </si>
  <si>
    <t>Generator Sets</t>
  </si>
  <si>
    <t>2265004031</t>
  </si>
  <si>
    <t>Leafblowers/Vacuums (Commercial)</t>
  </si>
  <si>
    <t>24037</t>
  </si>
  <si>
    <t>2282020005</t>
  </si>
  <si>
    <t>2270003020</t>
  </si>
  <si>
    <t>24041</t>
  </si>
  <si>
    <t>24013</t>
  </si>
  <si>
    <t>2270002072</t>
  </si>
  <si>
    <t>Skid Steer Loaders</t>
  </si>
  <si>
    <t>2270004046</t>
  </si>
  <si>
    <t>Front Mowers (Commercial)</t>
  </si>
  <si>
    <t>24039</t>
  </si>
  <si>
    <t>24025</t>
  </si>
  <si>
    <t>2270006005</t>
  </si>
  <si>
    <t>24035</t>
  </si>
  <si>
    <t>2270005015</t>
  </si>
  <si>
    <t>Agricultural Tractors</t>
  </si>
  <si>
    <t>2282005015</t>
  </si>
  <si>
    <t>Personal Water Craft</t>
  </si>
  <si>
    <t>2265004016</t>
  </si>
  <si>
    <t>Rotary Tillers &lt; 6 HP (Commercial)</t>
  </si>
  <si>
    <t>2270002057</t>
  </si>
  <si>
    <t>Rough Terrain Forklifts</t>
  </si>
  <si>
    <t>2270003070</t>
  </si>
  <si>
    <t>Terminal Tractors</t>
  </si>
  <si>
    <t>24045</t>
  </si>
  <si>
    <t>2265004010</t>
  </si>
  <si>
    <t>Lawn Mowers (Residential)</t>
  </si>
  <si>
    <t>2270002018</t>
  </si>
  <si>
    <t>Scrapers</t>
  </si>
  <si>
    <t>24017</t>
  </si>
  <si>
    <t>2270002048</t>
  </si>
  <si>
    <t>Graders</t>
  </si>
  <si>
    <t>24011</t>
  </si>
  <si>
    <t>2270002015</t>
  </si>
  <si>
    <t>Rollers</t>
  </si>
  <si>
    <t>2270006015</t>
  </si>
  <si>
    <t>Air Compressors</t>
  </si>
  <si>
    <t>24029</t>
  </si>
  <si>
    <t>24015</t>
  </si>
  <si>
    <t>2265006030</t>
  </si>
  <si>
    <t>Pressure Washers</t>
  </si>
  <si>
    <t>2270002045</t>
  </si>
  <si>
    <t>Cranes</t>
  </si>
  <si>
    <t>24001</t>
  </si>
  <si>
    <t>24009</t>
  </si>
  <si>
    <t>2260004021</t>
  </si>
  <si>
    <t>Off-highway Vehicle Gasoline</t>
  </si>
  <si>
    <t>2-Stroke Chain Saws &lt; 6 HP (Commercial)</t>
  </si>
  <si>
    <t>2270003040</t>
  </si>
  <si>
    <t>Other General Industrial Equipment</t>
  </si>
  <si>
    <t>2265004036</t>
  </si>
  <si>
    <t>4-Stroke Snowblowers (Commercial)</t>
  </si>
  <si>
    <t>2270003030</t>
  </si>
  <si>
    <t>Sweepers/Scrubbers</t>
  </si>
  <si>
    <t>2260004026</t>
  </si>
  <si>
    <t>Other Transportation Emissions</t>
  </si>
  <si>
    <t>Off-highway Vehicle Gasoline, 2-Stroke</t>
  </si>
  <si>
    <t>Trimmers/Edgers/Brush Cutters (Commercial)</t>
  </si>
  <si>
    <t>2260004031</t>
  </si>
  <si>
    <t>Energy Conversion Factor (Btu/Gallon)</t>
  </si>
  <si>
    <t>Distillate Fuel Oil</t>
  </si>
  <si>
    <t>24023</t>
  </si>
  <si>
    <t>Physical Units</t>
  </si>
  <si>
    <t>Energy Units</t>
  </si>
  <si>
    <t>CO2 Emissions</t>
  </si>
  <si>
    <r>
      <rPr>
        <b/>
        <sz val="10"/>
        <color rgb="FF000000"/>
        <rFont val="Calibri"/>
      </rPr>
      <t>N</t>
    </r>
    <r>
      <rPr>
        <b/>
        <vertAlign val="subscript"/>
        <sz val="10"/>
        <color rgb="FF000000"/>
        <rFont val="Calibri"/>
      </rPr>
      <t>2</t>
    </r>
    <r>
      <rPr>
        <b/>
        <sz val="10"/>
        <color rgb="FF000000"/>
        <rFont val="Calibri"/>
      </rPr>
      <t>O Emissions</t>
    </r>
  </si>
  <si>
    <r>
      <rPr>
        <b/>
        <sz val="10"/>
        <color rgb="FF000000"/>
        <rFont val="Calibri"/>
      </rPr>
      <t>CH</t>
    </r>
    <r>
      <rPr>
        <b/>
        <vertAlign val="subscript"/>
        <sz val="10"/>
        <color rgb="FF000000"/>
        <rFont val="Calibri"/>
      </rPr>
      <t>4</t>
    </r>
    <r>
      <rPr>
        <b/>
        <sz val="10"/>
        <color rgb="FF000000"/>
        <rFont val="Calibri"/>
      </rPr>
      <t xml:space="preserve"> Emissions</t>
    </r>
  </si>
  <si>
    <t>Thousand Barrels</t>
  </si>
  <si>
    <t>Thousand Gallons</t>
  </si>
  <si>
    <t>Billion Btu</t>
  </si>
  <si>
    <t>Carbon Content (lb C/Million Btu)</t>
  </si>
  <si>
    <t>Combustion Efficiency (%)</t>
  </si>
  <si>
    <t>Emissions
(short tons carbon)</t>
  </si>
  <si>
    <t>Emissions (MMTCO2e)</t>
  </si>
  <si>
    <t>Energy Content
(kg/Million Btu)</t>
  </si>
  <si>
    <t>Density Factor
(kg/gallon)</t>
  </si>
  <si>
    <t>Emission Factor
(g/kg fuel)</t>
  </si>
  <si>
    <t>Emissions
(metric tons N2O)</t>
  </si>
  <si>
    <t>Emissions
(MMTCO2e)</t>
  </si>
  <si>
    <t>Emissions
(metric tons CH4)</t>
  </si>
  <si>
    <t>Aviation Gasoline</t>
  </si>
  <si>
    <t>2265004066</t>
  </si>
  <si>
    <t>Jet Fuel, Kerosene Type</t>
  </si>
  <si>
    <t>2270009010</t>
  </si>
  <si>
    <t>Other Underground Mining Equipment</t>
  </si>
  <si>
    <t>Distillate Fuel Oil - Locomotive</t>
  </si>
  <si>
    <t>2265006025</t>
  </si>
  <si>
    <t>Welders</t>
  </si>
  <si>
    <t>Distillate Fuel Oil - Vessel Bunkering</t>
  </si>
  <si>
    <t>Residual Fuel Oil - Vessel Bunkering</t>
  </si>
  <si>
    <t>2265003020</t>
  </si>
  <si>
    <t>2265006010</t>
  </si>
  <si>
    <t>Pumps</t>
  </si>
  <si>
    <t>Percent Non-Energy Consumption (%)</t>
  </si>
  <si>
    <t>Non-Energy Consumption (Billion Btu)</t>
  </si>
  <si>
    <t>Net Combustible or Oxidizable Consumption (Billion Btu)</t>
  </si>
  <si>
    <t>Carbon Content (lbs C/Million Btu)</t>
  </si>
  <si>
    <t>2270006025</t>
  </si>
  <si>
    <t>GHG Emissions Summary</t>
  </si>
  <si>
    <t>2268003020</t>
  </si>
  <si>
    <t>2270002030</t>
  </si>
  <si>
    <t>Trenchers</t>
  </si>
  <si>
    <t>2265001030</t>
  </si>
  <si>
    <t>All Terrain Vehicles</t>
  </si>
  <si>
    <t>2265001050</t>
  </si>
  <si>
    <t>4-Stroke Golf Carts</t>
  </si>
  <si>
    <t>2270002075</t>
  </si>
  <si>
    <t>Off-highway Tractors</t>
  </si>
  <si>
    <t>Transportation Category</t>
  </si>
  <si>
    <t>2270002081</t>
  </si>
  <si>
    <t>Other Construction Equipment</t>
  </si>
  <si>
    <t>2270002033</t>
  </si>
  <si>
    <t>Bore/Drill Rigs</t>
  </si>
  <si>
    <t>2270002003</t>
  </si>
  <si>
    <t>Pavers</t>
  </si>
  <si>
    <t>2265004076</t>
  </si>
  <si>
    <t>Other Lawn and Garden Equipment (Commercial)</t>
  </si>
  <si>
    <t>2270006010</t>
  </si>
  <si>
    <t>2270004056</t>
  </si>
  <si>
    <t>2265004046</t>
  </si>
  <si>
    <t>Emissions from Natural Gas Activities in MD</t>
  </si>
  <si>
    <t>Natural Gas - Production</t>
  </si>
  <si>
    <t>Activity Data</t>
  </si>
  <si>
    <t>Total number of onshore wells</t>
  </si>
  <si>
    <t xml:space="preserve">Total  </t>
  </si>
  <si>
    <t>Number of wells obtained from EIA:</t>
  </si>
  <si>
    <t>https://www.eia.gov/dnav/ng/NG_PROD_WELLS_S1_A.htm</t>
  </si>
  <si>
    <t>Natural Gas - Transmission</t>
  </si>
  <si>
    <t>Miles of transmission pipeline</t>
  </si>
  <si>
    <t>2265004041</t>
  </si>
  <si>
    <t>Rear Engine Riding Mowers (Commercial)</t>
  </si>
  <si>
    <t>2265006015</t>
  </si>
  <si>
    <t>Number of gas transmission compressor stations</t>
  </si>
  <si>
    <t>2270004071</t>
  </si>
  <si>
    <t>Number of gas storage compressor stations</t>
  </si>
  <si>
    <t>Miles of transmission pipeline from US DOT PHMSA, "Gas Transmission &amp; Gathering Annual Data - 2010 to present" (Part P):</t>
  </si>
  <si>
    <t>https://www.phmsa.dot.gov/data-and-statistics/pipeline/gas-distribution-gas-gathering-gas-transmission-hazardous-liquids</t>
  </si>
  <si>
    <t>Number of gas transmission compressor stations = miles of transmission pipeline x 0.006 (EIIP, Volume VII: Chapter 5, March 2005)</t>
  </si>
  <si>
    <t>Number of gas storage compressor station  = miles of transmission pipeline x 0.0015 (EIIP, Volume VII: Chapter 5, March 2005)</t>
  </si>
  <si>
    <t>Natural Gas - Distribution</t>
  </si>
  <si>
    <t>Distribution pipeline</t>
  </si>
  <si>
    <t>Miles of cast iron distribution pipeline</t>
  </si>
  <si>
    <t>Miles of unprotected steel distribution pipeline</t>
  </si>
  <si>
    <t>Miles of protected steel distribution pipeline</t>
  </si>
  <si>
    <t>Miles of plastic distribution pipeline</t>
  </si>
  <si>
    <t>2270007015</t>
  </si>
  <si>
    <t>Forest Eqp - Feller/Bunch/Skidder</t>
  </si>
  <si>
    <t>Services</t>
  </si>
  <si>
    <t>Total number of services</t>
  </si>
  <si>
    <t>2260004036</t>
  </si>
  <si>
    <t>2-Stroke Snowblowers (Commercial)</t>
  </si>
  <si>
    <t>Number of unprotected steel services</t>
  </si>
  <si>
    <t>Number of protected steel services</t>
  </si>
  <si>
    <t>Miles of distribution pipeline and number of services from USDOT PHMSA, "Gas Distribution Annual Data - 2010 to present":</t>
  </si>
  <si>
    <t>Natural Gas - Consumption for Pipeline/Operations Use</t>
  </si>
  <si>
    <t>Natural Gas Consumption for Pipeline and Distribution Use</t>
  </si>
  <si>
    <t>N2O Emissions</t>
  </si>
  <si>
    <t>CH4 Emissions</t>
  </si>
  <si>
    <t>Coal Mining Emissions</t>
  </si>
  <si>
    <t>Maryland Natural Gas Consumption for Pipeline and Distribution Use (million cubic feet) obtained from EIA:</t>
  </si>
  <si>
    <t>CH4 emissions from Mines</t>
  </si>
  <si>
    <t>https://www.eia.gov/dnav/ng/hist/na1480_smd_2a.htm</t>
  </si>
  <si>
    <t>Maryland Heat Content of Natural Gas Consumed:</t>
  </si>
  <si>
    <t>https://www.eia.gov/dnav/ng/ng_cons_heat_dcu_SMD_a.htm</t>
  </si>
  <si>
    <t>Mine Type</t>
  </si>
  <si>
    <t>Natural Gas Industry Activity</t>
  </si>
  <si>
    <t>Production</t>
  </si>
  <si>
    <t>Underground Mines</t>
  </si>
  <si>
    <t>Transmission</t>
  </si>
  <si>
    <t>Distribution</t>
  </si>
  <si>
    <t>Pipeline/Operations Use</t>
  </si>
  <si>
    <t>2265004040</t>
  </si>
  <si>
    <t>Rear Engine Riding Mowers (Residential)</t>
  </si>
  <si>
    <t>Coal Basin</t>
  </si>
  <si>
    <t>Surface Mines</t>
  </si>
  <si>
    <t>Northern Appalachian Basin</t>
  </si>
  <si>
    <t>2265003040</t>
  </si>
  <si>
    <t>CH4 emissions from Post-Mining Activity</t>
  </si>
  <si>
    <t>2267004066</t>
  </si>
  <si>
    <t>Coal production data: Annual Report of the Maryland Bureau of Mines 2023:</t>
  </si>
  <si>
    <t>https://mde.maryland.gov/programs/land/mining/Documents/ANNUAL%20REPORTOFTHEBUREAUOFMINES%20%281%29.pdf</t>
  </si>
  <si>
    <t>CH4 emissions from Abandoned Coal Mines</t>
  </si>
  <si>
    <t>Mine Status</t>
  </si>
  <si>
    <t>Mine Status Distribution</t>
  </si>
  <si>
    <t>Vented</t>
  </si>
  <si>
    <t>Sealed</t>
  </si>
  <si>
    <t>Flooded</t>
  </si>
  <si>
    <t>2267006005</t>
  </si>
  <si>
    <t>Coal Mining Activity</t>
  </si>
  <si>
    <t>Mines</t>
  </si>
  <si>
    <t>Post-Mining Activity</t>
  </si>
  <si>
    <t>Cement Industry Production Emissions</t>
  </si>
  <si>
    <t>Abandoned Coal Mines</t>
  </si>
  <si>
    <t>Facility: Lehigh/Heidelberg (Union Bridge)</t>
  </si>
  <si>
    <t>Facility: Holcim (Hagerstown)</t>
  </si>
  <si>
    <t>CO2 Emissions (metric tons)</t>
  </si>
  <si>
    <t>CO2 Emissions (short tons)</t>
  </si>
  <si>
    <t>Kiln System Emissions (CEM measured)</t>
  </si>
  <si>
    <t>Kiln Fuel Combustion Emissions (calculated)</t>
  </si>
  <si>
    <t>metric tons</t>
  </si>
  <si>
    <t>short tons</t>
  </si>
  <si>
    <t>DBS (Preheater/Precalciner Kiln)</t>
  </si>
  <si>
    <t>Tire</t>
  </si>
  <si>
    <t>Fly Ash</t>
  </si>
  <si>
    <t>Cement Production Process Emissions (kiln emissions - fuel emissions)</t>
  </si>
  <si>
    <t>Non-Kiln Emissions (informational)</t>
  </si>
  <si>
    <t>Finish Mill (#2 Oil)</t>
  </si>
  <si>
    <t>Coal Mill Heater (#2 Oil)</t>
  </si>
  <si>
    <t>Total Facility Emissions  (informational)</t>
  </si>
  <si>
    <t>2270002054</t>
  </si>
  <si>
    <t>Crushing/Processing Equipment</t>
  </si>
  <si>
    <t>CO2 Emissions (MMTCO2)</t>
  </si>
  <si>
    <t>Total Cement Process Emissions</t>
  </si>
  <si>
    <t>2265004051</t>
  </si>
  <si>
    <t>Shredders &lt; 6 HP (Commercial)</t>
  </si>
  <si>
    <t>2268006020</t>
  </si>
  <si>
    <t>Gas Compressors</t>
  </si>
  <si>
    <t>2265002039</t>
  </si>
  <si>
    <t>Concrete/Industrial Saws</t>
  </si>
  <si>
    <t>2265003010</t>
  </si>
  <si>
    <t>Aerial Lifts</t>
  </si>
  <si>
    <t>2270003010</t>
  </si>
  <si>
    <t>2270005020</t>
  </si>
  <si>
    <t>Combines</t>
  </si>
  <si>
    <t>2265004035</t>
  </si>
  <si>
    <t>4-Stroke Snowblowers (Residential)</t>
  </si>
  <si>
    <t>2260001020</t>
  </si>
  <si>
    <t>2-Stroke Snowmobiles</t>
  </si>
  <si>
    <t>2260004025</t>
  </si>
  <si>
    <t>Trimmers/Edgers/Brush Cutters (Residential)</t>
  </si>
  <si>
    <t>2265003030</t>
  </si>
  <si>
    <t>2270002027</t>
  </si>
  <si>
    <t>Signal Boards/Light Plants</t>
  </si>
  <si>
    <t>2260001010</t>
  </si>
  <si>
    <t>Motorcycles: Off-road</t>
  </si>
  <si>
    <t>2265004075</t>
  </si>
  <si>
    <t>Other Lawn and Garden Equipment (Residential)</t>
  </si>
  <si>
    <t>2265004015</t>
  </si>
  <si>
    <t>Rotary Tillers &lt; 6 HP (Residential)</t>
  </si>
  <si>
    <t>2260004016</t>
  </si>
  <si>
    <t>2260004020</t>
  </si>
  <si>
    <t>2-Stroke Chain Saws &lt; 6 HP (Residential)</t>
  </si>
  <si>
    <t>2265008005</t>
  </si>
  <si>
    <t>4-Stroke Airport Ground Support Equipment</t>
  </si>
  <si>
    <t>2265002021</t>
  </si>
  <si>
    <t>Paving Equipment</t>
  </si>
  <si>
    <t>2260004030</t>
  </si>
  <si>
    <t>Leafblowers/Vacuums (Residential)</t>
  </si>
  <si>
    <t>2267003010</t>
  </si>
  <si>
    <t>2265002042</t>
  </si>
  <si>
    <t>Cement and Mortar Mixers</t>
  </si>
  <si>
    <t>2265002030</t>
  </si>
  <si>
    <t>2285002015</t>
  </si>
  <si>
    <t>Railway Maintenance</t>
  </si>
  <si>
    <t>2260006010</t>
  </si>
  <si>
    <t>2270001060</t>
  </si>
  <si>
    <t>Specialty Vehicles/Carts</t>
  </si>
  <si>
    <t>2260002039</t>
  </si>
  <si>
    <t>2260001060</t>
  </si>
  <si>
    <t>2-Stroke Specialty Vehicles/Carts</t>
  </si>
  <si>
    <t>2270004036</t>
  </si>
  <si>
    <t>Snowblowers (Commercial)</t>
  </si>
  <si>
    <t>2267006025</t>
  </si>
  <si>
    <t>2265001060</t>
  </si>
  <si>
    <t>4-Stroke Specialty Vehicles/Carts</t>
  </si>
  <si>
    <t>2270002021</t>
  </si>
  <si>
    <t>2268006005</t>
  </si>
  <si>
    <t>2267003030</t>
  </si>
  <si>
    <t>2265004026</t>
  </si>
  <si>
    <t>2267006015</t>
  </si>
  <si>
    <t>2260001030</t>
  </si>
  <si>
    <t>2270006030</t>
  </si>
  <si>
    <t>2265001010</t>
  </si>
  <si>
    <t>2265003070</t>
  </si>
  <si>
    <t>2265002066</t>
  </si>
  <si>
    <t>2267008005</t>
  </si>
  <si>
    <t>Off-highway Vehicle LPG</t>
  </si>
  <si>
    <t>LPG Airport Ground Support Equipment</t>
  </si>
  <si>
    <t>Iron &amp; Steel Industry Production Emissions</t>
  </si>
  <si>
    <t>Bleeders</t>
  </si>
  <si>
    <t>L Blast Furnace</t>
  </si>
  <si>
    <t>2265006035</t>
  </si>
  <si>
    <t>Hydro-power Units</t>
  </si>
  <si>
    <t>Sinter Plant</t>
  </si>
  <si>
    <t>BOF</t>
  </si>
  <si>
    <t>2270006035</t>
  </si>
  <si>
    <t>2265002009</t>
  </si>
  <si>
    <t>Plate Compactors</t>
  </si>
  <si>
    <t>2267006010</t>
  </si>
  <si>
    <t>Limestone &amp; Dolomite; Soda Ash; Ammonia &amp; Urea; Electric Power Transmission &amp; Distribution</t>
  </si>
  <si>
    <t>Limestone and Dolomite Use</t>
  </si>
  <si>
    <t>Consumption
(metric tons)</t>
  </si>
  <si>
    <t>CO2 Emissions
(metric tons)</t>
  </si>
  <si>
    <t>CO2 Emissions
(MMTCO2)</t>
  </si>
  <si>
    <t>Limestone</t>
  </si>
  <si>
    <t>x</t>
  </si>
  <si>
    <t>=</t>
  </si>
  <si>
    <t>Dolomite (excluding use in magnesium production)</t>
  </si>
  <si>
    <t>Magesium Production from Dolomite</t>
  </si>
  <si>
    <t>Soda Ash Manufacture and Consumption</t>
  </si>
  <si>
    <t>Manufacture or Consumption
(metric tons)</t>
  </si>
  <si>
    <t>Manufacture</t>
  </si>
  <si>
    <t>2265002015</t>
  </si>
  <si>
    <t>Ammonia Production and Urea Consumption</t>
  </si>
  <si>
    <t>Production or Consumption
(metric tons)</t>
  </si>
  <si>
    <t>Subract emissions from Urea</t>
  </si>
  <si>
    <t xml:space="preserve">Ammonia Production </t>
  </si>
  <si>
    <t>- (</t>
  </si>
  <si>
    <t>) =</t>
  </si>
  <si>
    <t>Urea Consumption</t>
  </si>
  <si>
    <t xml:space="preserve">   =</t>
  </si>
  <si>
    <t>Electric Power Transmission &amp; Distribution (T&amp;D)</t>
  </si>
  <si>
    <t>SF6 Consumption
(metric tons)</t>
  </si>
  <si>
    <t>Emission Factor
(t SF6/t consumption)</t>
  </si>
  <si>
    <t>SF6 Emissions
(metric tons)</t>
  </si>
  <si>
    <t>SF6 Emissions
(MMTCO2e)</t>
  </si>
  <si>
    <t>2260004035</t>
  </si>
  <si>
    <t>2-Stroke Snowblowers (Residential)</t>
  </si>
  <si>
    <t>Production
(metric tons)</t>
  </si>
  <si>
    <t>Emission Factor
(t CE/t production)</t>
  </si>
  <si>
    <t>PFC Emissions
(metric tons)</t>
  </si>
  <si>
    <t>PFC Emissions
(MMTCO2e)</t>
  </si>
  <si>
    <t>2270002024</t>
  </si>
  <si>
    <t>Surfacing Equipment</t>
  </si>
  <si>
    <t>2265002024</t>
  </si>
  <si>
    <t>2270002039</t>
  </si>
  <si>
    <t>2267003070</t>
  </si>
  <si>
    <t>2265002072</t>
  </si>
  <si>
    <t>2270003050</t>
  </si>
  <si>
    <t>Other Material Handling Equipment</t>
  </si>
  <si>
    <t>2270005055</t>
  </si>
  <si>
    <t>Other Agricultural Equipment</t>
  </si>
  <si>
    <t>2260002006</t>
  </si>
  <si>
    <t>Tampers/Rammers</t>
  </si>
  <si>
    <t>2265002033</t>
  </si>
  <si>
    <t>2265002003</t>
  </si>
  <si>
    <t>Maryland GHG Emissions from the Product Use of Substitutes for Ozone Depleting Substances</t>
  </si>
  <si>
    <t>EPA State-Level Data</t>
  </si>
  <si>
    <t>Data source entity</t>
  </si>
  <si>
    <t>U.S. Environmental Protection Agency</t>
  </si>
  <si>
    <t>Data source name</t>
  </si>
  <si>
    <t>Inventory of U.S. Greenhouse Gas Emissions and Sinks by State: 1990-2022</t>
  </si>
  <si>
    <t>Data source product</t>
  </si>
  <si>
    <t>2024 All State GHG Inventory Data Workbook (AllStateGHGData90-22_v082924.xlsx)</t>
  </si>
  <si>
    <t>sector</t>
  </si>
  <si>
    <t>subsector</t>
  </si>
  <si>
    <t>Product uses as substitutes for ODS</t>
  </si>
  <si>
    <t>category</t>
  </si>
  <si>
    <t>Substitution of Ozone Depleting Substances</t>
  </si>
  <si>
    <t>geo_ref</t>
  </si>
  <si>
    <t>MD</t>
  </si>
  <si>
    <t>units</t>
  </si>
  <si>
    <t>Tg (MMTCO2e, GWP=100-yr AR5)</t>
  </si>
  <si>
    <t>sub_category_1</t>
  </si>
  <si>
    <t>ghg_category</t>
  </si>
  <si>
    <t>ghg</t>
  </si>
  <si>
    <t>gwp</t>
  </si>
  <si>
    <t>Y1990</t>
  </si>
  <si>
    <t>Y1991</t>
  </si>
  <si>
    <t>Y1992</t>
  </si>
  <si>
    <t>Y1993</t>
  </si>
  <si>
    <t>Y1994</t>
  </si>
  <si>
    <t>Y1995</t>
  </si>
  <si>
    <t>Y1996</t>
  </si>
  <si>
    <t>Y1997</t>
  </si>
  <si>
    <t>Y1998</t>
  </si>
  <si>
    <t>Y1999</t>
  </si>
  <si>
    <t>Y2000</t>
  </si>
  <si>
    <t>Y2001</t>
  </si>
  <si>
    <t>Y2002</t>
  </si>
  <si>
    <t>Y2003</t>
  </si>
  <si>
    <t>Y2004</t>
  </si>
  <si>
    <t>Y2005</t>
  </si>
  <si>
    <t>Y2006</t>
  </si>
  <si>
    <t>Y2007</t>
  </si>
  <si>
    <t>Y2008</t>
  </si>
  <si>
    <t>Y2009</t>
  </si>
  <si>
    <t>Y2010</t>
  </si>
  <si>
    <t>Y2011</t>
  </si>
  <si>
    <t>Y2012</t>
  </si>
  <si>
    <t>Y2013</t>
  </si>
  <si>
    <t>Y2014</t>
  </si>
  <si>
    <t>Y2015</t>
  </si>
  <si>
    <t>Y2016</t>
  </si>
  <si>
    <t>Y2017</t>
  </si>
  <si>
    <t>Y2018</t>
  </si>
  <si>
    <t>Y2019</t>
  </si>
  <si>
    <t>Y2020</t>
  </si>
  <si>
    <t>Y2021</t>
  </si>
  <si>
    <t>Y2022</t>
  </si>
  <si>
    <t>Fire protection</t>
  </si>
  <si>
    <t>Carbon Dioxide</t>
  </si>
  <si>
    <t>Foam blowing agents</t>
  </si>
  <si>
    <t>Refrigeration and air-conditioning</t>
  </si>
  <si>
    <t>HFC</t>
  </si>
  <si>
    <t>HFC-125</t>
  </si>
  <si>
    <t>HFC-134a</t>
  </si>
  <si>
    <t>Metered does inhalers</t>
  </si>
  <si>
    <t>Other Aerosols</t>
  </si>
  <si>
    <t>HFC-143a</t>
  </si>
  <si>
    <t>HFC-23</t>
  </si>
  <si>
    <t>HFC-236fa</t>
  </si>
  <si>
    <t>HFC-32</t>
  </si>
  <si>
    <t>Other HFC</t>
  </si>
  <si>
    <t>2270005060</t>
  </si>
  <si>
    <t>Irrigation Sets</t>
  </si>
  <si>
    <t>Solvents</t>
  </si>
  <si>
    <t>PFC</t>
  </si>
  <si>
    <t>Other PFC</t>
  </si>
  <si>
    <t>2265002060</t>
  </si>
  <si>
    <t>PFC-14 (Perfluoromethane)</t>
  </si>
  <si>
    <t>Inventory of U.S. Greenhouse Gas Emissions and Sinks: 1990-2022</t>
  </si>
  <si>
    <t>2024 Chapter 4: Industrial Processes and Product Use (pdf) (2.23 MB, April 11, 2024, 430R24004)</t>
  </si>
  <si>
    <t>Table 4-125</t>
  </si>
  <si>
    <t>"Other Saturated HFCs represents an unspecified mix of saturated HFCs, which includes HFC-152a, HFC227ea, HFC-245fa, HFC-365mfc, and HFC-43-10mee</t>
  </si>
  <si>
    <t>Other PFCs and HFOs represents an unspecified mix of PFCs and HFOs, which includes HCFO-1233zd(E), HFO-1234yf, HFO-1234ze(E), HFO-1336mzz(Z), C4F10, and PFC/PFPEs, the latter being a proxy for a diverse</t>
  </si>
  <si>
    <t>collection of PFCs and perfluoropolyethers (PFPEs) employed for solvent applications. For estimating purposes, the GWP value used for PFC/PFPEs was based upon n-C6F14."</t>
  </si>
  <si>
    <t>Annex 3.9</t>
  </si>
  <si>
    <t>Other HFC and Other PFC are reported in aggregate due to confidentiality.</t>
  </si>
  <si>
    <t>Intergovernmental Panel on Climate Change</t>
  </si>
  <si>
    <t>Fifth Assessment Report; Sixth Assessment Report</t>
  </si>
  <si>
    <t>Chapter 8, Anthropogenic and Natural Radiative Forcing (AR5); Chapter 7, The Earth’s Energy Budget, Climate Feedbacks  and Climate Sensitivity (AR6)</t>
  </si>
  <si>
    <t>AR5 100-yr GWP</t>
  </si>
  <si>
    <t>Ratio of AR6 100-yr GWP : AR5 100-yr GWP</t>
  </si>
  <si>
    <t>HFC-152a</t>
  </si>
  <si>
    <t>HFC227ea</t>
  </si>
  <si>
    <t>HFC-245fa</t>
  </si>
  <si>
    <t>HFC-365mfc</t>
  </si>
  <si>
    <t>HFC-43-10mee</t>
  </si>
  <si>
    <t>C4F10</t>
  </si>
  <si>
    <t>n-C6F14</t>
  </si>
  <si>
    <t>Sixth Assessment Report</t>
  </si>
  <si>
    <t>The Physical Science Basis, Chapter 7 Supplementary Material, Table 7.SM.7</t>
  </si>
  <si>
    <t>AR6</t>
  </si>
  <si>
    <t>AR5</t>
  </si>
  <si>
    <t>Name</t>
  </si>
  <si>
    <t>Formula</t>
  </si>
  <si>
    <t>lifetime (yrs)</t>
  </si>
  <si>
    <t>lifetime (days)</t>
  </si>
  <si>
    <t>GWP20</t>
  </si>
  <si>
    <t>GWP100</t>
  </si>
  <si>
    <t>ratio</t>
  </si>
  <si>
    <t>HCFO-1233zd(E)</t>
  </si>
  <si>
    <t>(E)-CF3CH=CHCl</t>
  </si>
  <si>
    <t>(E)-1-Chloro-3,3,3trifluoroprop-1-ene</t>
  </si>
  <si>
    <t>trans-CF3 CH=CHCl</t>
  </si>
  <si>
    <t>HFO-1234yf</t>
  </si>
  <si>
    <t>CF3CF=CH2</t>
  </si>
  <si>
    <t>HFC-1234yf</t>
  </si>
  <si>
    <t>CF3 CF=CH2</t>
  </si>
  <si>
    <t>&lt;1</t>
  </si>
  <si>
    <t>HFO-1234ze(E)</t>
  </si>
  <si>
    <t>(E)-CF3CH=CHF</t>
  </si>
  <si>
    <t>(E)-HFC-1234ze</t>
  </si>
  <si>
    <t>trans-CF3 CH=CHF</t>
  </si>
  <si>
    <t>HFO-1336mzz(Z)</t>
  </si>
  <si>
    <t>(Z)-CF3CH=CHCF3</t>
  </si>
  <si>
    <t>(Z)-HFC-1336</t>
  </si>
  <si>
    <t>CF3 CH=CHCF3 (Z)</t>
  </si>
  <si>
    <t>GWP Conversion Ratio</t>
  </si>
  <si>
    <t>Ratio of 20-yr GWP : 100-yr GWP</t>
  </si>
  <si>
    <t>2270010010</t>
  </si>
  <si>
    <t>Other Oil Field Equipment</t>
  </si>
  <si>
    <t>2267003040</t>
  </si>
  <si>
    <t>2267002060</t>
  </si>
  <si>
    <t>2270002042</t>
  </si>
  <si>
    <t>2267002072</t>
  </si>
  <si>
    <t>GHG</t>
  </si>
  <si>
    <t>Total MMTCO2e</t>
  </si>
  <si>
    <t>2265004030</t>
  </si>
  <si>
    <t>2265002078</t>
  </si>
  <si>
    <t>Dumpers/Tenders</t>
  </si>
  <si>
    <t>2270005035</t>
  </si>
  <si>
    <t>Sprayers</t>
  </si>
  <si>
    <t>2270002009</t>
  </si>
  <si>
    <t>2265007010</t>
  </si>
  <si>
    <t>Shredders &gt; 6 HP</t>
  </si>
  <si>
    <t>2260006005</t>
  </si>
  <si>
    <t>2267002030</t>
  </si>
  <si>
    <t>2265003050</t>
  </si>
  <si>
    <t>2270005045</t>
  </si>
  <si>
    <t>Swathers</t>
  </si>
  <si>
    <t>Agricultural Emissions in Maryland</t>
  </si>
  <si>
    <t>EPA SIT Default (2023 data)</t>
  </si>
  <si>
    <t>EPA SIT Default (2022 data)</t>
  </si>
  <si>
    <t>USDA</t>
  </si>
  <si>
    <t>Enteric Fermentation Emissions</t>
  </si>
  <si>
    <t>Number of Animals
('000 head)</t>
  </si>
  <si>
    <t>CH4 Emissions
(kg)</t>
  </si>
  <si>
    <t>CH4 Emissions
(metric tons)</t>
  </si>
  <si>
    <t>CH4 Emissions
(MMTCO2e)</t>
  </si>
  <si>
    <t>Dairy Cattle</t>
  </si>
  <si>
    <t>Dairy Cows</t>
  </si>
  <si>
    <t>Dairy Replacement Heifers</t>
  </si>
  <si>
    <t xml:space="preserve">   Replacements 0-12 mos.</t>
  </si>
  <si>
    <t xml:space="preserve">   Replacements 12-24 mos.</t>
  </si>
  <si>
    <t>Beef Cattle</t>
  </si>
  <si>
    <t>Beef Cows</t>
  </si>
  <si>
    <t>2267002039</t>
  </si>
  <si>
    <t>2265002054</t>
  </si>
  <si>
    <t>Beef Replacement Heifers</t>
  </si>
  <si>
    <t>Heifer Stockers</t>
  </si>
  <si>
    <t>Steer Stockers</t>
  </si>
  <si>
    <t>Feedlot Heifers</t>
  </si>
  <si>
    <t>Feedlot Steer</t>
  </si>
  <si>
    <t>Bulls</t>
  </si>
  <si>
    <t>Sheep</t>
  </si>
  <si>
    <t>Goats</t>
  </si>
  <si>
    <t>Swine</t>
  </si>
  <si>
    <t>Horses</t>
  </si>
  <si>
    <t>Manure Management - Methane Emissions</t>
  </si>
  <si>
    <t>Typical Animal Mass (TAM) (kg)</t>
  </si>
  <si>
    <t>Total Volatile Solids (VS)
(kg/yr)</t>
  </si>
  <si>
    <t>Methane conversion factor (MCF)</t>
  </si>
  <si>
    <t>CH4 Emissions
(m^3)</t>
  </si>
  <si>
    <t>Methane Density
(kg/m^3)</t>
  </si>
  <si>
    <t>Calves</t>
  </si>
  <si>
    <t>Breeding Swine</t>
  </si>
  <si>
    <t>Market Under 60 lbs</t>
  </si>
  <si>
    <t>Market 60-119 lbs</t>
  </si>
  <si>
    <t>Market 120-179 lbs</t>
  </si>
  <si>
    <t>Market over 180 lbs</t>
  </si>
  <si>
    <t>Poultry</t>
  </si>
  <si>
    <t>Layers</t>
  </si>
  <si>
    <t>Hens &gt; 1 yr</t>
  </si>
  <si>
    <t>Pullets</t>
  </si>
  <si>
    <t>Chickens</t>
  </si>
  <si>
    <t>Broilers</t>
  </si>
  <si>
    <t>Turkeys</t>
  </si>
  <si>
    <t>2265005040</t>
  </si>
  <si>
    <t>Tillers &gt; 6 HP</t>
  </si>
  <si>
    <t>Sheep on Feed</t>
  </si>
  <si>
    <t>2265002057</t>
  </si>
  <si>
    <t>Sheep Not on Feed</t>
  </si>
  <si>
    <t>Manure Management - N20 Emissions</t>
  </si>
  <si>
    <t>Total K-Nitrogen Excreted
(kg)</t>
  </si>
  <si>
    <t>Unvolatilized N from Manure in Anaerobic Lagoons and Liquid Systems
(kg)</t>
  </si>
  <si>
    <t>Unvolatilized N from Manure in Solid Storage, Drylot &amp; Other Systems
(kg)</t>
  </si>
  <si>
    <t>N2O Emissions
(metric tons)</t>
  </si>
  <si>
    <t>N2O Emissions
(MMTCO2e)</t>
  </si>
  <si>
    <t>Dairy</t>
  </si>
  <si>
    <t>+</t>
  </si>
  <si>
    <t>NA</t>
  </si>
  <si>
    <t>2265003060</t>
  </si>
  <si>
    <t>4-Stroke AC\Refrigeration</t>
  </si>
  <si>
    <t>Agriculture Soils - Plant Residues &amp; Legumes</t>
  </si>
  <si>
    <t>2265002081</t>
  </si>
  <si>
    <t>Legumes and Crop Residue Calculations</t>
  </si>
  <si>
    <t>Crop</t>
  </si>
  <si>
    <t>Crop Units</t>
  </si>
  <si>
    <t>Crop Production (metric tons)</t>
  </si>
  <si>
    <t>Residue : Crop Mass Ratio</t>
  </si>
  <si>
    <t>Residue Dry Matter Fraction</t>
  </si>
  <si>
    <t xml:space="preserve">Fraction Residue Applied </t>
  </si>
  <si>
    <t>Nitrogen Content of Residue</t>
  </si>
  <si>
    <t>Nitrogen Returned to Soil (kg)</t>
  </si>
  <si>
    <t>N Content of Aboveground Biomass for N-fixing Crop Production</t>
  </si>
  <si>
    <t>N-Fixed by Crops (kg)</t>
  </si>
  <si>
    <t>Direct N2O Emissions
(metric tons)</t>
  </si>
  <si>
    <t>Direct N2O Emissions
(MMTCO2e)</t>
  </si>
  <si>
    <t xml:space="preserve">Alfalfa  </t>
  </si>
  <si>
    <t>'000 tons</t>
  </si>
  <si>
    <t>Residues</t>
  </si>
  <si>
    <t xml:space="preserve">Corn for Grain </t>
  </si>
  <si>
    <t>'000 bushels</t>
  </si>
  <si>
    <t>Legumes</t>
  </si>
  <si>
    <t xml:space="preserve">All Wheat </t>
  </si>
  <si>
    <t xml:space="preserve">Barley </t>
  </si>
  <si>
    <t>2270004076</t>
  </si>
  <si>
    <t>Sorghum for Grain</t>
  </si>
  <si>
    <t>Oats</t>
  </si>
  <si>
    <t>2282020010</t>
  </si>
  <si>
    <t>Rye</t>
  </si>
  <si>
    <t>Millet</t>
  </si>
  <si>
    <t>Rice</t>
  </si>
  <si>
    <t>'000 hundred weight</t>
  </si>
  <si>
    <t xml:space="preserve">Soybeans </t>
  </si>
  <si>
    <t>Peanuts</t>
  </si>
  <si>
    <t>'000 lbs</t>
  </si>
  <si>
    <t>Dry Edible Beans</t>
  </si>
  <si>
    <t>Dry Edible Peas</t>
  </si>
  <si>
    <t>Austrian Winter Peas</t>
  </si>
  <si>
    <t>Lentils</t>
  </si>
  <si>
    <t>Wrinkled Seed Peas</t>
  </si>
  <si>
    <t>Red Clover</t>
  </si>
  <si>
    <t>White Clover</t>
  </si>
  <si>
    <t>Birdsfoot Trefoil</t>
  </si>
  <si>
    <t>Arrowleaf Clover</t>
  </si>
  <si>
    <t>Crimson Clover</t>
  </si>
  <si>
    <t>2260004015</t>
  </si>
  <si>
    <t>2267002057</t>
  </si>
  <si>
    <t>Agriculture Soils - Plant Fertilizer Emissions</t>
  </si>
  <si>
    <t>Growing Year 2023</t>
  </si>
  <si>
    <t>N Content of Non-Manure Organics</t>
  </si>
  <si>
    <t>Indirect N2O Emissions
(MMTCO2e)</t>
  </si>
  <si>
    <t>Total N2O Emissions
(MMTCO2e)</t>
  </si>
  <si>
    <t xml:space="preserve">Synthetic </t>
  </si>
  <si>
    <t>n/a</t>
  </si>
  <si>
    <t xml:space="preserve">Organic  </t>
  </si>
  <si>
    <t>Dried Blood</t>
  </si>
  <si>
    <t>2265004025</t>
  </si>
  <si>
    <t>Compost</t>
  </si>
  <si>
    <t>Dried Manure</t>
  </si>
  <si>
    <t>Activated Sewage Sludge</t>
  </si>
  <si>
    <t>Other Sewage Sludge</t>
  </si>
  <si>
    <t>Tankage</t>
  </si>
  <si>
    <t xml:space="preserve">Other </t>
  </si>
  <si>
    <t>Dried Manure %</t>
  </si>
  <si>
    <t>Non-Manure Organics</t>
  </si>
  <si>
    <t>Manure Organics</t>
  </si>
  <si>
    <t>Growing Year 2024</t>
  </si>
  <si>
    <t>2270002078</t>
  </si>
  <si>
    <t>2267002015</t>
  </si>
  <si>
    <t>2267002081</t>
  </si>
  <si>
    <t>Agriculture Soils - Emissions from Animals &amp; Runoff</t>
  </si>
  <si>
    <t>K-NITROGEN EXCRETED BY MANAGEMENT SYSTEM (kg):</t>
  </si>
  <si>
    <t>DIRECT EMISSIONS (metric tons N):</t>
  </si>
  <si>
    <t>2265002045</t>
  </si>
  <si>
    <t>Managed Systems</t>
  </si>
  <si>
    <t>Unmanaged Systems - Pasture, Range, and Paddock</t>
  </si>
  <si>
    <t>Unmanaged Systems - Daily Spread</t>
  </si>
  <si>
    <t>Manure Applied to Soils</t>
  </si>
  <si>
    <t>Pasture, Range and Paddock</t>
  </si>
  <si>
    <t>Leaching and Runoff</t>
  </si>
  <si>
    <t>Year &amp; State</t>
  </si>
  <si>
    <t>Anaerobic Lagoon</t>
  </si>
  <si>
    <t>Liquid/ Slurry</t>
  </si>
  <si>
    <t>Daily Spread</t>
  </si>
  <si>
    <t>Solid Storage</t>
  </si>
  <si>
    <t>Pasture</t>
  </si>
  <si>
    <t>Deep Pit</t>
  </si>
  <si>
    <t>Unvolatilized N from Organic Fertilizers (kg)</t>
  </si>
  <si>
    <t xml:space="preserve">Dairy Cows </t>
  </si>
  <si>
    <t>2023MD</t>
  </si>
  <si>
    <t>Unvolatilized N from Synthetic Fertilizers (kg)</t>
  </si>
  <si>
    <t>Managed (Dry Lot)</t>
  </si>
  <si>
    <t>PRP (Pasture)</t>
  </si>
  <si>
    <t>Dairy Heifers</t>
  </si>
  <si>
    <t>STATE</t>
  </si>
  <si>
    <t>Dry Lot</t>
  </si>
  <si>
    <t>Total N excreted by Livestock (kg)</t>
  </si>
  <si>
    <t>Feedlot Beef</t>
  </si>
  <si>
    <t>NOF Beef</t>
  </si>
  <si>
    <t>Total Beef Heifers</t>
  </si>
  <si>
    <t>Poultry without bedding</t>
  </si>
  <si>
    <t>2260007005</t>
  </si>
  <si>
    <t>Chain Saws &gt; 6 HP</t>
  </si>
  <si>
    <t>State</t>
  </si>
  <si>
    <t>Litter</t>
  </si>
  <si>
    <t>Range</t>
  </si>
  <si>
    <t>On Feed (PRP)</t>
  </si>
  <si>
    <t>Not on Feed (PRP)</t>
  </si>
  <si>
    <t>2268006015</t>
  </si>
  <si>
    <t>Pasture, Range &amp; Paddock</t>
  </si>
  <si>
    <t>2285004015</t>
  </si>
  <si>
    <t>Gasoline, 4-Stroke</t>
  </si>
  <si>
    <t>2267001060</t>
  </si>
  <si>
    <t>LPG Specialty Vehicles/Carts</t>
  </si>
  <si>
    <t>2267003050</t>
  </si>
  <si>
    <t>Emissions from Animals &amp; Runoff Summary</t>
  </si>
  <si>
    <t>2265005035</t>
  </si>
  <si>
    <t>N2O Emissions (metric tons)</t>
  </si>
  <si>
    <t>N2O Emissions (MMTCO2e)</t>
  </si>
  <si>
    <t>Indirect Livestock N2O Emissions</t>
  </si>
  <si>
    <t>Direct Livestock N2O Emissions</t>
  </si>
  <si>
    <t>Leaching and Runoff N2O Emissions</t>
  </si>
  <si>
    <t>Total N2O Emissions</t>
  </si>
  <si>
    <t>2267002033</t>
  </si>
  <si>
    <t>Agricultural Residue Burning - CH4 Emissions</t>
  </si>
  <si>
    <t>Residue/Crop Ratio</t>
  </si>
  <si>
    <t>Fraction Residue Burned</t>
  </si>
  <si>
    <t>Dry Matter Fraction</t>
  </si>
  <si>
    <t>Burning Efficiency</t>
  </si>
  <si>
    <t>Combustion Efficiency</t>
  </si>
  <si>
    <t>Total C Released  (metric tons C)</t>
  </si>
  <si>
    <t>CH4 Emissions (metric tons)</t>
  </si>
  <si>
    <t>2267002045</t>
  </si>
  <si>
    <t>CH4 Emissions (MMTCO2e)</t>
  </si>
  <si>
    <t>Barley</t>
  </si>
  <si>
    <t>2268005060</t>
  </si>
  <si>
    <t>Corn</t>
  </si>
  <si>
    <t>'000 pounds</t>
  </si>
  <si>
    <t>'000 cwt</t>
  </si>
  <si>
    <t>Soybeans</t>
  </si>
  <si>
    <t>Sugarcane</t>
  </si>
  <si>
    <t>Wheat</t>
  </si>
  <si>
    <t>2267002003</t>
  </si>
  <si>
    <t>Agricultural Residue Burning - N2O Emissions</t>
  </si>
  <si>
    <t>Nitrogen Content</t>
  </si>
  <si>
    <t>Total N Released  (metric tons)</t>
  </si>
  <si>
    <t>Urea Fertilization - CO2 Emissions</t>
  </si>
  <si>
    <t>2265005060</t>
  </si>
  <si>
    <t>Emissions
(metric tons C)</t>
  </si>
  <si>
    <t>Urea</t>
  </si>
  <si>
    <t>Liming of Agricultural Soils - CO2 Emissions</t>
  </si>
  <si>
    <t>Dolomite</t>
  </si>
  <si>
    <t>2268006010</t>
  </si>
  <si>
    <t>Calculation Category</t>
  </si>
  <si>
    <t>CO2
(metric tons)</t>
  </si>
  <si>
    <t>CH4
(metric tons)</t>
  </si>
  <si>
    <t>N2O
(metric tons)</t>
  </si>
  <si>
    <t>Ag Soils - Crop Residues &amp; Legumes</t>
  </si>
  <si>
    <t>Ag Soils - Fertilizers</t>
  </si>
  <si>
    <t>Ag Soils - Livestock</t>
  </si>
  <si>
    <t>Ag Soils - Leaching/Runoff</t>
  </si>
  <si>
    <t>Agricultural Residue Burning</t>
  </si>
  <si>
    <t>Urea Fertilization</t>
  </si>
  <si>
    <t>Liming of Soils</t>
  </si>
  <si>
    <t>2268003070</t>
  </si>
  <si>
    <t>Inventory Category</t>
  </si>
  <si>
    <t>Urea Fertilization and Liming</t>
  </si>
  <si>
    <t>2265005055</t>
  </si>
  <si>
    <t>2265010010</t>
  </si>
  <si>
    <t>4-Stroke Other Oil Field Equipment</t>
  </si>
  <si>
    <t>Incinerator Emissions</t>
  </si>
  <si>
    <t>Wheelabrator Baltimore</t>
  </si>
  <si>
    <t>Montgomery County Resource Recovery Facility</t>
  </si>
  <si>
    <t>Emissions and MSW tonnage from Emissions Certification Report (ECR) (CO2 emissions measured by CEMS)</t>
  </si>
  <si>
    <t>MSW Processed (short tons)</t>
  </si>
  <si>
    <t>MSW Processed (tons)</t>
  </si>
  <si>
    <r>
      <rPr>
        <sz val="10"/>
        <color theme="1"/>
        <rFont val="Calibri"/>
      </rPr>
      <t>CH</t>
    </r>
    <r>
      <rPr>
        <vertAlign val="subscript"/>
        <sz val="10"/>
        <color theme="1"/>
        <rFont val="Calibri"/>
      </rPr>
      <t>4</t>
    </r>
    <r>
      <rPr>
        <sz val="10"/>
        <color theme="1"/>
        <rFont val="Calibri"/>
      </rPr>
      <t xml:space="preserve"> Emissions (short tons)</t>
    </r>
  </si>
  <si>
    <r>
      <rPr>
        <sz val="10"/>
        <color theme="1"/>
        <rFont val="Calibri"/>
      </rPr>
      <t>CH</t>
    </r>
    <r>
      <rPr>
        <vertAlign val="subscript"/>
        <sz val="10"/>
        <color theme="1"/>
        <rFont val="Calibri"/>
      </rPr>
      <t>4</t>
    </r>
    <r>
      <rPr>
        <sz val="10"/>
        <color theme="1"/>
        <rFont val="Calibri"/>
      </rPr>
      <t xml:space="preserve"> Emissions (short tons)</t>
    </r>
  </si>
  <si>
    <r>
      <rPr>
        <sz val="10"/>
        <color theme="1"/>
        <rFont val="Calibri"/>
      </rPr>
      <t>N</t>
    </r>
    <r>
      <rPr>
        <vertAlign val="subscript"/>
        <sz val="10"/>
        <color theme="1"/>
        <rFont val="Calibri"/>
      </rPr>
      <t>2</t>
    </r>
    <r>
      <rPr>
        <sz val="10"/>
        <color theme="1"/>
        <rFont val="Calibri"/>
      </rPr>
      <t>O Emissions (short tons)</t>
    </r>
  </si>
  <si>
    <r>
      <rPr>
        <sz val="10"/>
        <color theme="1"/>
        <rFont val="Calibri"/>
      </rPr>
      <t>N</t>
    </r>
    <r>
      <rPr>
        <vertAlign val="subscript"/>
        <sz val="10"/>
        <color theme="1"/>
        <rFont val="Calibri"/>
      </rPr>
      <t>2</t>
    </r>
    <r>
      <rPr>
        <sz val="10"/>
        <color theme="1"/>
        <rFont val="Calibri"/>
      </rPr>
      <t>O Emissions (short tons)</t>
    </r>
  </si>
  <si>
    <t>Emissions calculated from MSW tonnage and emissions factors for confirmation (informational)</t>
  </si>
  <si>
    <t>Heat Content and Emissions Factors for Stationary Combustion of Municipal Solid Waste</t>
  </si>
  <si>
    <t>MSW Heat Input (MMBTU)</t>
  </si>
  <si>
    <t>Heat Content (HHV)</t>
  </si>
  <si>
    <t>(MMBTU/short ton)</t>
  </si>
  <si>
    <t>CO2 Emission Factor</t>
  </si>
  <si>
    <r>
      <rPr>
        <sz val="10"/>
        <color theme="1"/>
        <rFont val="Calibri"/>
      </rPr>
      <t>kg CO</t>
    </r>
    <r>
      <rPr>
        <vertAlign val="subscript"/>
        <sz val="10"/>
        <color theme="1"/>
        <rFont val="Calibri"/>
      </rPr>
      <t>2</t>
    </r>
    <r>
      <rPr>
        <sz val="10"/>
        <color theme="1"/>
        <rFont val="Calibri"/>
      </rPr>
      <t>/MMBTU</t>
    </r>
  </si>
  <si>
    <t>U.S. EPA GHG Emission Factors Hub, Emission Factors for Greenhouse Gas Inventories</t>
  </si>
  <si>
    <r>
      <rPr>
        <sz val="10"/>
        <color theme="1"/>
        <rFont val="Calibri"/>
      </rPr>
      <t>CH</t>
    </r>
    <r>
      <rPr>
        <vertAlign val="subscript"/>
        <sz val="10"/>
        <color theme="1"/>
        <rFont val="Calibri"/>
      </rPr>
      <t>4</t>
    </r>
    <r>
      <rPr>
        <sz val="10"/>
        <color theme="1"/>
        <rFont val="Calibri"/>
      </rPr>
      <t xml:space="preserve"> Emissions (short tons)</t>
    </r>
  </si>
  <si>
    <r>
      <rPr>
        <sz val="10"/>
        <color theme="1"/>
        <rFont val="Calibri"/>
      </rPr>
      <t>CH</t>
    </r>
    <r>
      <rPr>
        <vertAlign val="subscript"/>
        <sz val="10"/>
        <color theme="1"/>
        <rFont val="Calibri"/>
      </rPr>
      <t>4</t>
    </r>
    <r>
      <rPr>
        <sz val="10"/>
        <color theme="1"/>
        <rFont val="Calibri"/>
      </rPr>
      <t xml:space="preserve"> Emissions (short tons)</t>
    </r>
  </si>
  <si>
    <t>2260002021</t>
  </si>
  <si>
    <t>CH4 Emission Factor</t>
  </si>
  <si>
    <r>
      <rPr>
        <sz val="10"/>
        <color theme="1"/>
        <rFont val="Calibri"/>
      </rPr>
      <t>kg CH</t>
    </r>
    <r>
      <rPr>
        <vertAlign val="subscript"/>
        <sz val="10"/>
        <color theme="1"/>
        <rFont val="Calibri"/>
      </rPr>
      <t>4</t>
    </r>
    <r>
      <rPr>
        <sz val="10"/>
        <color theme="1"/>
        <rFont val="Calibri"/>
      </rPr>
      <t>/MMBTU</t>
    </r>
  </si>
  <si>
    <t>https://www.epa.gov/system/files/documents/2025-01/ghg-emission-factors-hub-2025.pdf</t>
  </si>
  <si>
    <r>
      <rPr>
        <sz val="10"/>
        <color theme="1"/>
        <rFont val="Calibri"/>
      </rPr>
      <t>N</t>
    </r>
    <r>
      <rPr>
        <vertAlign val="subscript"/>
        <sz val="10"/>
        <color theme="1"/>
        <rFont val="Calibri"/>
      </rPr>
      <t>2</t>
    </r>
    <r>
      <rPr>
        <sz val="10"/>
        <color theme="1"/>
        <rFont val="Calibri"/>
      </rPr>
      <t>O Emissions (short tons)</t>
    </r>
  </si>
  <si>
    <r>
      <rPr>
        <sz val="10"/>
        <color theme="1"/>
        <rFont val="Calibri"/>
      </rPr>
      <t>N</t>
    </r>
    <r>
      <rPr>
        <vertAlign val="subscript"/>
        <sz val="10"/>
        <color theme="1"/>
        <rFont val="Calibri"/>
      </rPr>
      <t>2</t>
    </r>
    <r>
      <rPr>
        <sz val="10"/>
        <color theme="1"/>
        <rFont val="Calibri"/>
      </rPr>
      <t>O Emissions (short tons)</t>
    </r>
  </si>
  <si>
    <t>N2O Emission Factor</t>
  </si>
  <si>
    <r>
      <rPr>
        <sz val="10"/>
        <color theme="1"/>
        <rFont val="Calibri"/>
      </rPr>
      <t>kg N</t>
    </r>
    <r>
      <rPr>
        <vertAlign val="subscript"/>
        <sz val="10"/>
        <color theme="1"/>
        <rFont val="Calibri"/>
      </rPr>
      <t>2</t>
    </r>
    <r>
      <rPr>
        <sz val="10"/>
        <color theme="1"/>
        <rFont val="Calibri"/>
      </rPr>
      <t>O /MMBTU</t>
    </r>
  </si>
  <si>
    <t>U.S. EPA Greenhouse Gas Reporting Program, Subpart C (40 CFR Part 98, Subpart C), Tables C-1 &amp; C-2</t>
  </si>
  <si>
    <t>ECR total emissions converted to metric tons</t>
  </si>
  <si>
    <t>Landfill Emissions</t>
  </si>
  <si>
    <t>MD Total</t>
  </si>
  <si>
    <t>Uncontrolled Landfills</t>
  </si>
  <si>
    <t>Key data columns</t>
  </si>
  <si>
    <t>Flared Landfills</t>
  </si>
  <si>
    <t>LFTGE Landfills</t>
  </si>
  <si>
    <t>Facility Name</t>
  </si>
  <si>
    <t>Total Landfill Capacity (million tons)</t>
  </si>
  <si>
    <t>Correct Capacity (megagrams)</t>
  </si>
  <si>
    <t>Average Acceptance / Yearly Disposal (tons/yr)</t>
  </si>
  <si>
    <t>Average Acceptance / Yearly Disposal (Mg/yr)</t>
  </si>
  <si>
    <t>Year Opened</t>
  </si>
  <si>
    <t>Year Closed</t>
  </si>
  <si>
    <t>CO2 Generation (short tons) (LandGEM 3.3)</t>
  </si>
  <si>
    <t>CH4 Generation (short tons) (LandGEM 3.3)</t>
  </si>
  <si>
    <r>
      <rPr>
        <b/>
        <sz val="10"/>
        <color theme="1"/>
        <rFont val="Calibri"/>
      </rPr>
      <t xml:space="preserve"> CH</t>
    </r>
    <r>
      <rPr>
        <b/>
        <vertAlign val="subscript"/>
        <sz val="10"/>
        <color theme="1"/>
        <rFont val="Calibri"/>
      </rPr>
      <t>4</t>
    </r>
    <r>
      <rPr>
        <b/>
        <sz val="10"/>
        <color theme="1"/>
        <rFont val="Calibri"/>
      </rPr>
      <t xml:space="preserve"> Collection Efficiency (%)</t>
    </r>
  </si>
  <si>
    <r>
      <rPr>
        <b/>
        <sz val="10"/>
        <color theme="1"/>
        <rFont val="Calibri"/>
      </rPr>
      <t>CH</t>
    </r>
    <r>
      <rPr>
        <sz val="10"/>
        <color theme="1"/>
        <rFont val="Calibri"/>
      </rPr>
      <t>4</t>
    </r>
    <r>
      <rPr>
        <b/>
        <sz val="10"/>
        <color theme="1"/>
        <rFont val="Calibri"/>
      </rPr>
      <t xml:space="preserve"> Collected (short tons)</t>
    </r>
  </si>
  <si>
    <t>Flare Control Efficeincy (%)</t>
  </si>
  <si>
    <t>Amount of CH4 Flared (short tons)</t>
  </si>
  <si>
    <t>CO2 Generated from CH4 Combustion (short tons)</t>
  </si>
  <si>
    <t xml:space="preserve">Uncombusted CH4  (Flare Emission) (short tons) </t>
  </si>
  <si>
    <t>Uncollected Landfill CH4 (short tons)</t>
  </si>
  <si>
    <t>Surface Oxidation %</t>
  </si>
  <si>
    <t>Amount of CH4 Removed By Oxidation (short tons)</t>
  </si>
  <si>
    <t>Fugitive Landfill CH4 Emission (short tons)</t>
  </si>
  <si>
    <t>Total CH4 Emission (short tons)</t>
  </si>
  <si>
    <t xml:space="preserve">Total methane emissions (short tons CO2e) </t>
  </si>
  <si>
    <t>Total GHG Emissions (short tons CO2e)</t>
  </si>
  <si>
    <t>Mountainview Municipal Landfill</t>
  </si>
  <si>
    <t xml:space="preserve">                                                                                                                                                                                                                                                                                                      </t>
  </si>
  <si>
    <r>
      <rPr>
        <sz val="10"/>
        <color rgb="FF000000"/>
        <rFont val="Calibri"/>
      </rPr>
      <t>CO</t>
    </r>
    <r>
      <rPr>
        <vertAlign val="subscript"/>
        <sz val="10"/>
        <color rgb="FF000000"/>
        <rFont val="Calibri"/>
      </rPr>
      <t>2</t>
    </r>
    <r>
      <rPr>
        <sz val="10"/>
        <color rgb="FF000000"/>
        <rFont val="Calibri"/>
      </rPr>
      <t xml:space="preserve"> molecular mass =</t>
    </r>
  </si>
  <si>
    <t>g/gmol</t>
  </si>
  <si>
    <r>
      <rPr>
        <sz val="10"/>
        <color rgb="FF000000"/>
        <rFont val="Calibri"/>
      </rPr>
      <t>CH</t>
    </r>
    <r>
      <rPr>
        <vertAlign val="subscript"/>
        <sz val="10"/>
        <color rgb="FF000000"/>
        <rFont val="Calibri"/>
      </rPr>
      <t>4</t>
    </r>
    <r>
      <rPr>
        <sz val="10"/>
        <color rgb="FF000000"/>
        <rFont val="Calibri"/>
      </rPr>
      <t xml:space="preserve"> molecular mass =</t>
    </r>
  </si>
  <si>
    <t>Vale Summit</t>
  </si>
  <si>
    <t>Universal Gas Constant =</t>
  </si>
  <si>
    <r>
      <rPr>
        <sz val="10"/>
        <color rgb="FF000000"/>
        <rFont val="Calibri"/>
      </rPr>
      <t>m</t>
    </r>
    <r>
      <rPr>
        <vertAlign val="superscript"/>
        <sz val="10"/>
        <color rgb="FF000000"/>
        <rFont val="Calibri"/>
      </rPr>
      <t>3</t>
    </r>
    <r>
      <rPr>
        <sz val="10"/>
        <color rgb="FF000000"/>
        <rFont val="Calibri"/>
      </rPr>
      <t>-atm/gmol/K</t>
    </r>
  </si>
  <si>
    <t>Gas Temperature =</t>
  </si>
  <si>
    <t>°C</t>
  </si>
  <si>
    <t>°K</t>
  </si>
  <si>
    <r>
      <rPr>
        <sz val="10"/>
        <color rgb="FF000000"/>
        <rFont val="Calibri"/>
      </rPr>
      <t>1 m</t>
    </r>
    <r>
      <rPr>
        <vertAlign val="superscript"/>
        <sz val="10"/>
        <color rgb="FF000000"/>
        <rFont val="Calibri"/>
      </rPr>
      <t>3</t>
    </r>
    <r>
      <rPr>
        <sz val="10"/>
        <color rgb="FF000000"/>
        <rFont val="Calibri"/>
      </rPr>
      <t xml:space="preserve"> =35.31 ft</t>
    </r>
    <r>
      <rPr>
        <vertAlign val="superscript"/>
        <sz val="10"/>
        <color rgb="FF000000"/>
        <rFont val="Calibri"/>
      </rPr>
      <t>3</t>
    </r>
  </si>
  <si>
    <t>grams x 1.1023E-06 = short tons</t>
  </si>
  <si>
    <t>1 short ton = (lb *2,000)</t>
  </si>
  <si>
    <t>Pressure =</t>
  </si>
  <si>
    <t>atm</t>
  </si>
  <si>
    <r>
      <rPr>
        <sz val="10"/>
        <color rgb="FF000000"/>
        <rFont val="Calibri"/>
      </rPr>
      <t>Standard CH</t>
    </r>
    <r>
      <rPr>
        <vertAlign val="subscript"/>
        <sz val="10"/>
        <color rgb="FF000000"/>
        <rFont val="Calibri"/>
      </rPr>
      <t>4</t>
    </r>
    <r>
      <rPr>
        <sz val="10"/>
        <color rgb="FF000000"/>
        <rFont val="Calibri"/>
      </rPr>
      <t xml:space="preserve"> Heat Content =</t>
    </r>
  </si>
  <si>
    <t>Annapolis</t>
  </si>
  <si>
    <t>2265005045</t>
  </si>
  <si>
    <r>
      <rPr>
        <sz val="10"/>
        <color rgb="FF000000"/>
        <rFont val="Calibri"/>
      </rPr>
      <t>AP-42 CH</t>
    </r>
    <r>
      <rPr>
        <vertAlign val="subscript"/>
        <sz val="10"/>
        <color rgb="FF000000"/>
        <rFont val="Calibri"/>
      </rPr>
      <t>4</t>
    </r>
    <r>
      <rPr>
        <sz val="10"/>
        <color rgb="FF000000"/>
        <rFont val="Calibri"/>
      </rPr>
      <t xml:space="preserve"> Destruction Efficiency =</t>
    </r>
  </si>
  <si>
    <t>AP-42 CH4 Destruction Efficiency -Boilers =</t>
  </si>
  <si>
    <t>AP -42 CH4 Destruction Efficiency- LFGTE =</t>
  </si>
  <si>
    <r>
      <rPr>
        <sz val="10"/>
        <color rgb="FF000000"/>
        <rFont val="Calibri"/>
      </rPr>
      <t>AP-42 CH</t>
    </r>
    <r>
      <rPr>
        <vertAlign val="subscript"/>
        <sz val="10"/>
        <color rgb="FF000000"/>
        <rFont val="Calibri"/>
      </rPr>
      <t>4</t>
    </r>
    <r>
      <rPr>
        <sz val="10"/>
        <color rgb="FF000000"/>
        <rFont val="Calibri"/>
      </rPr>
      <t xml:space="preserve"> Emission Factor =</t>
    </r>
  </si>
  <si>
    <t>Fort G. Meade Municipal Landfill</t>
  </si>
  <si>
    <t>Site- Specific LFG Flows (MMscf/yr)</t>
  </si>
  <si>
    <t>Millersville Municipal Landfill</t>
  </si>
  <si>
    <t>Total Site-Specific LFG Collected (MMscf/yr)</t>
  </si>
  <si>
    <r>
      <rPr>
        <b/>
        <sz val="10"/>
        <color rgb="FF000000"/>
        <rFont val="Calibri"/>
      </rPr>
      <t>Site-Specific CH</t>
    </r>
    <r>
      <rPr>
        <b/>
        <vertAlign val="subscript"/>
        <sz val="10"/>
        <color rgb="FF000000"/>
        <rFont val="Calibri"/>
      </rPr>
      <t>4</t>
    </r>
    <r>
      <rPr>
        <b/>
        <sz val="10"/>
        <color rgb="FF000000"/>
        <rFont val="Calibri"/>
      </rPr>
      <t xml:space="preserve"> Content (%)</t>
    </r>
  </si>
  <si>
    <r>
      <rPr>
        <b/>
        <sz val="10"/>
        <color rgb="FF000000"/>
        <rFont val="Calibri"/>
      </rPr>
      <t>Site-Specific CO</t>
    </r>
    <r>
      <rPr>
        <b/>
        <vertAlign val="subscript"/>
        <sz val="10"/>
        <color rgb="FF000000"/>
        <rFont val="Calibri"/>
      </rPr>
      <t>2</t>
    </r>
    <r>
      <rPr>
        <b/>
        <sz val="10"/>
        <color rgb="FF000000"/>
        <rFont val="Calibri"/>
      </rPr>
      <t xml:space="preserve"> Content (%)</t>
    </r>
  </si>
  <si>
    <t>Site-Specific CH4 Flow (MMscf/yr)</t>
  </si>
  <si>
    <t>Total Site-Specific CH4 Flow (MMscf/yr)</t>
  </si>
  <si>
    <r>
      <rPr>
        <b/>
        <sz val="10"/>
        <color rgb="FF000000"/>
        <rFont val="Calibri"/>
      </rPr>
      <t>Site -Specific CH4 Flow (</t>
    </r>
    <r>
      <rPr>
        <b/>
        <sz val="10"/>
        <color rgb="FF000000"/>
        <rFont val="Calibri"/>
      </rPr>
      <t>short tons/yr</t>
    </r>
    <r>
      <rPr>
        <b/>
        <sz val="10"/>
        <color rgb="FF000000"/>
        <rFont val="Calibri"/>
      </rPr>
      <t>)</t>
    </r>
  </si>
  <si>
    <t>CH4 Generation Rate (MMscf/yr) (LandGEM)</t>
  </si>
  <si>
    <t>Average LFG Collection Efficiency</t>
  </si>
  <si>
    <r>
      <rPr>
        <b/>
        <sz val="10"/>
        <color rgb="FF000000"/>
        <rFont val="Calibri"/>
      </rPr>
      <t>Fugitive CO2 Emissions from Landfill (</t>
    </r>
    <r>
      <rPr>
        <b/>
        <sz val="10"/>
        <color rgb="FF000000"/>
        <rFont val="Calibri"/>
      </rPr>
      <t>m3/yr</t>
    </r>
    <r>
      <rPr>
        <b/>
        <sz val="10"/>
        <color rgb="FF000000"/>
        <rFont val="Calibri"/>
      </rPr>
      <t>)</t>
    </r>
  </si>
  <si>
    <t>Fugitive CO2 Emissions from Landfill (short tons/yr)</t>
  </si>
  <si>
    <t xml:space="preserve"> CO2 Emissions from LFG Burnt in Flares (short tons)</t>
  </si>
  <si>
    <t xml:space="preserve"> CO2 Emissions from LFG Burnt in Boilers (short tons)</t>
  </si>
  <si>
    <t xml:space="preserve"> CO2 Emissions from LFG Burnt at LFGTE (short tons)</t>
  </si>
  <si>
    <t>Fugitive CH4 Emissions from Landfill (short tons)</t>
  </si>
  <si>
    <t xml:space="preserve"> CH4 Emissions from LFG Burnt in Flares (short tons)</t>
  </si>
  <si>
    <t xml:space="preserve"> CH4 Emissions from LFG Burnt in Utility Boilers (short tons)</t>
  </si>
  <si>
    <t xml:space="preserve"> CH4 Emissions from LFG Burnt at LFGTE Plant (short tons)</t>
  </si>
  <si>
    <t>2265002027</t>
  </si>
  <si>
    <t>Flares</t>
  </si>
  <si>
    <t>Boilers</t>
  </si>
  <si>
    <t xml:space="preserve">LFGTE </t>
  </si>
  <si>
    <t>Sudley Road</t>
  </si>
  <si>
    <t>Solley Road</t>
  </si>
  <si>
    <t>Alpha Ridge Landfill</t>
  </si>
  <si>
    <t>Glen Burnie</t>
  </si>
  <si>
    <t>Quarantine Road Municipal Landfill</t>
  </si>
  <si>
    <t>2265005015</t>
  </si>
  <si>
    <t>2268010010</t>
  </si>
  <si>
    <t>Off-highway Vehicle CNG</t>
  </si>
  <si>
    <t>CNG Other Oil Field Equipment</t>
  </si>
  <si>
    <t>Eastern Municipal Landfill</t>
  </si>
  <si>
    <t>Norris Farm</t>
  </si>
  <si>
    <t>Brown Station</t>
  </si>
  <si>
    <t>2267002066</t>
  </si>
  <si>
    <t>Appeal Municipal Landfill</t>
  </si>
  <si>
    <t>Barstow</t>
  </si>
  <si>
    <t>2260002009</t>
  </si>
  <si>
    <t>Midshore I Regional Landfill</t>
  </si>
  <si>
    <t>Eastern Sanitary</t>
  </si>
  <si>
    <t>Hoods Mill</t>
  </si>
  <si>
    <t>Northern Municipal Landfill</t>
  </si>
  <si>
    <t>2268003060</t>
  </si>
  <si>
    <t>CNG AC\Refrigeration</t>
  </si>
  <si>
    <t>Gude Landfill</t>
  </si>
  <si>
    <t>Cecil County Central Landfill - Hog Hill</t>
  </si>
  <si>
    <t>Charles County Municipal LF #2</t>
  </si>
  <si>
    <t xml:space="preserve">Midshore I Regional </t>
  </si>
  <si>
    <t>Pisgah</t>
  </si>
  <si>
    <t xml:space="preserve">Dorchester </t>
  </si>
  <si>
    <t>Beulah HE #1</t>
  </si>
  <si>
    <t>Beulah HE #2</t>
  </si>
  <si>
    <t>Millersville Landfill</t>
  </si>
  <si>
    <t>Fort Detrick Municipal Landfill</t>
  </si>
  <si>
    <t>Reich's Ford A &amp; B Municipal Landfill</t>
  </si>
  <si>
    <t>Oaks Landfill</t>
  </si>
  <si>
    <t>Reich's Ford Site B-Cell 3 Municipal Landfill</t>
  </si>
  <si>
    <t>Garrett County SWD&amp;RF (or Del Signiore)</t>
  </si>
  <si>
    <t>Round Glade</t>
  </si>
  <si>
    <t>Newland Park</t>
  </si>
  <si>
    <t>Harford W.D. Center Municipal Landfill</t>
  </si>
  <si>
    <t>Quarantine Road</t>
  </si>
  <si>
    <t>Gude</t>
  </si>
  <si>
    <t>Alpha Ridge</t>
  </si>
  <si>
    <t>Reich Ford</t>
  </si>
  <si>
    <t>Nicholson</t>
  </si>
  <si>
    <t>Brown Station Landfill A</t>
  </si>
  <si>
    <t>Sandy Hill</t>
  </si>
  <si>
    <t>Brown Station Landfill B</t>
  </si>
  <si>
    <t>CDP/Sandy Hill</t>
  </si>
  <si>
    <t>Saint Andrews 1 &amp; 2 Municipal LF</t>
  </si>
  <si>
    <t>2260003030</t>
  </si>
  <si>
    <t>Somerset County Municipal LF (or Fairmount Rd)</t>
  </si>
  <si>
    <t>Beulah 2</t>
  </si>
  <si>
    <t>Westover/Ring</t>
  </si>
  <si>
    <t>Midshore II Regional Municipal LF</t>
  </si>
  <si>
    <t>Hancock Landfill</t>
  </si>
  <si>
    <r>
      <rPr>
        <sz val="10"/>
        <color theme="1"/>
        <rFont val="Calibri"/>
      </rPr>
      <t>Resh Road</t>
    </r>
    <r>
      <rPr>
        <sz val="10"/>
        <color theme="1"/>
        <rFont val="Calibri"/>
      </rPr>
      <t xml:space="preserve"> 1 &amp; 2 Municipal LF</t>
    </r>
  </si>
  <si>
    <t>Mountainview</t>
  </si>
  <si>
    <t>Forty West</t>
  </si>
  <si>
    <r>
      <rPr>
        <sz val="10"/>
        <color theme="1"/>
        <rFont val="Calibri"/>
      </rPr>
      <t xml:space="preserve">Newland Park Municipal LF - </t>
    </r>
    <r>
      <rPr>
        <sz val="10"/>
        <color theme="1"/>
        <rFont val="Calibri"/>
      </rPr>
      <t>Wicomico County Landfill</t>
    </r>
  </si>
  <si>
    <t xml:space="preserve">Harford </t>
  </si>
  <si>
    <t>Central Municipal LF - Worcester County Sanitary Landfill Cells 1, 4 &amp; 5</t>
  </si>
  <si>
    <t>Worcester County Sanitary Landfill Cells 2 &amp; 3</t>
  </si>
  <si>
    <t>Cecil County</t>
  </si>
  <si>
    <t>CH4 Emissions Summary</t>
  </si>
  <si>
    <t>MSW Landfills</t>
  </si>
  <si>
    <t>Industrial Landfills</t>
  </si>
  <si>
    <t>Total (MSW + Industrial)</t>
  </si>
  <si>
    <t>Northern</t>
  </si>
  <si>
    <t>CH4 Generated (short tons)</t>
  </si>
  <si>
    <t>2265005025</t>
  </si>
  <si>
    <t>Balers</t>
  </si>
  <si>
    <t>Charles County</t>
  </si>
  <si>
    <t>= Total CH4 Emissions (short tons)</t>
  </si>
  <si>
    <t>Total CH4 Emissions (metric tons)</t>
  </si>
  <si>
    <t>CO2 Emissions Summary</t>
  </si>
  <si>
    <t>CO2 Generated (short tons)</t>
  </si>
  <si>
    <t>+ CO2 from Combustion of Collected CH4 (short tons)</t>
  </si>
  <si>
    <t>= Total CO2 Emissions (short tons)</t>
  </si>
  <si>
    <t>Total CO2 Emissions (metric tons)</t>
  </si>
  <si>
    <t>Total CO2 Emissions (MMTCO2)</t>
  </si>
  <si>
    <t>Total GHG Emissions (MMTCO2e)</t>
  </si>
  <si>
    <t>Charles Back Calculated CH4 Generation Rate =</t>
  </si>
  <si>
    <t>MMSCf</t>
  </si>
  <si>
    <t>Charles Back Calculated CO2 Generation Rate =</t>
  </si>
  <si>
    <t>Sandy Hill Back Calculated CH4 Generation Rate =</t>
  </si>
  <si>
    <t>Sandy Hill Back Calculated CO2 Generation Rate =</t>
  </si>
  <si>
    <t>2267002021</t>
  </si>
  <si>
    <t>2267006030</t>
  </si>
  <si>
    <t>2267006035</t>
  </si>
  <si>
    <t>2270005025</t>
  </si>
  <si>
    <t>Wastewater Emissions</t>
  </si>
  <si>
    <t>input</t>
  </si>
  <si>
    <t>result</t>
  </si>
  <si>
    <t>Domestic Wastewater Treatment</t>
  </si>
  <si>
    <t>Methane Emissions from Domestic Wastewater Treatment</t>
  </si>
  <si>
    <t>2270002006</t>
  </si>
  <si>
    <t>Treatment Type</t>
  </si>
  <si>
    <t>Percent of population served by treatment type</t>
  </si>
  <si>
    <t>State Population</t>
  </si>
  <si>
    <t>Days per Year</t>
  </si>
  <si>
    <t>Percent of wastewater BOD5 anaerobically digested</t>
  </si>
  <si>
    <t>On-site Septic Systems</t>
  </si>
  <si>
    <t>Centralized Wastewater Treatment</t>
  </si>
  <si>
    <t>Direct Nitrous Oxide Emissions from Domestic Wastewater Treatment</t>
  </si>
  <si>
    <t>Fraction of Population not on Septic</t>
  </si>
  <si>
    <t>Nitrous Oxide Emissions from Biosolids</t>
  </si>
  <si>
    <t>Factor for Additional Non-Consumption Nitrogen</t>
  </si>
  <si>
    <t>Percentage of Biosolids Used as Fertilizer</t>
  </si>
  <si>
    <t>N2O:N2 molecular weight ratio</t>
  </si>
  <si>
    <t>Total (on-site &amp; centralized)</t>
  </si>
  <si>
    <t>x (1 -</t>
  </si>
  <si>
    <t>2267002054</t>
  </si>
  <si>
    <t>) x</t>
  </si>
  <si>
    <t>Industrial Wastewater Treatment</t>
  </si>
  <si>
    <t>Methane Emissions from Red Meat Processing</t>
  </si>
  <si>
    <t>Percent of COD anaerobically degraded</t>
  </si>
  <si>
    <t>Methane Emissions from Poultry Processing</t>
  </si>
  <si>
    <t>2267002024</t>
  </si>
  <si>
    <t>Methane Emissions from Fruit and Vegetables Processing</t>
  </si>
  <si>
    <t>Methane Emissions from Pulp and Paper Processing</t>
  </si>
  <si>
    <t>Material</t>
  </si>
  <si>
    <t>Residential Open Burning - Leaves, Brush, MSW</t>
  </si>
  <si>
    <t>Percent of BOD anaerobically degraded</t>
  </si>
  <si>
    <t>Woodpulp</t>
  </si>
  <si>
    <t>Open Burning</t>
  </si>
  <si>
    <t>Paper &amp; Paperboard</t>
  </si>
  <si>
    <t>Category</t>
  </si>
  <si>
    <t>Domestic Wastewater</t>
  </si>
  <si>
    <t>Biosolids</t>
  </si>
  <si>
    <t>Industrial Wastewater</t>
  </si>
  <si>
    <t>Red Meat</t>
  </si>
  <si>
    <t>Fruits &amp; Vegetables</t>
  </si>
  <si>
    <t>Pulp &amp; Paper</t>
  </si>
  <si>
    <t>Land Use, Land-Use Change, and Forestry Emissions and Sequestration</t>
  </si>
  <si>
    <r>
      <rPr>
        <b/>
        <sz val="11"/>
        <color rgb="FF1155CC"/>
        <rFont val="Calibri"/>
      </rPr>
      <t xml:space="preserve">(A) NASA-CMS/UMD Forest Carbon Monitoring </t>
    </r>
    <r>
      <rPr>
        <sz val="11"/>
        <color rgb="FF1155CC"/>
        <rFont val="Calibri"/>
      </rPr>
      <t>(for above ground biomass)</t>
    </r>
  </si>
  <si>
    <t>AGB stocks (Tg C)</t>
  </si>
  <si>
    <t>Net AGB flux 
(Tg C/yr)</t>
  </si>
  <si>
    <t>AGB Flux from existing trees 
(Tg C/yr)</t>
  </si>
  <si>
    <t>AGB Flux from Forest to Non-forest conversion 
(Tg C/yr)</t>
  </si>
  <si>
    <t>AGB Flux from Non-forest to Forest conversion 
(Tg C/yr)</t>
  </si>
  <si>
    <t>2265005010</t>
  </si>
  <si>
    <t>2-Wheel Tractors</t>
  </si>
  <si>
    <r>
      <rPr>
        <b/>
        <sz val="11"/>
        <color rgb="FF1155CC"/>
        <rFont val="Calibri"/>
      </rPr>
      <t xml:space="preserve">(B) USFS Model state-level estimates </t>
    </r>
    <r>
      <rPr>
        <sz val="11"/>
        <color rgb="FF1155CC"/>
        <rFont val="Calibri"/>
      </rPr>
      <t>(for other forest pools)</t>
    </r>
  </si>
  <si>
    <t>https://research.fs.usda.gov/treesearch/80890</t>
  </si>
  <si>
    <t>https://www.fs.usda.gov/rds/archive/catalog/RDS-2026-0031</t>
  </si>
  <si>
    <t>FRF_net_flux_by_State.csv; FCL_net_flux_by_State.csv; LCF_net_flux_by_State.csv</t>
  </si>
  <si>
    <t>Net CO2 Flux from Forest Pools in Forest Land Remaining Forest Land (MMT CO2 Eq.)</t>
  </si>
  <si>
    <t>2260006035</t>
  </si>
  <si>
    <t>Carbon Pools</t>
  </si>
  <si>
    <t>2268003030</t>
  </si>
  <si>
    <t>Dead Wood</t>
  </si>
  <si>
    <t>Soil (Mineral)</t>
  </si>
  <si>
    <t>Soil (Organic)</t>
  </si>
  <si>
    <t>Aboveground Biomass</t>
  </si>
  <si>
    <t>Belowground Biomass</t>
  </si>
  <si>
    <t>Net CO2 Flux from Forest C Pools in Land Converted to Forest Land by Land Use Change Category (MMT CO2 Eq.)</t>
  </si>
  <si>
    <t>Land Use Conversion</t>
  </si>
  <si>
    <t>Land Use/Carbon Pool</t>
  </si>
  <si>
    <t>Totals (Pools)</t>
  </si>
  <si>
    <t>Total Dead Wood Flux</t>
  </si>
  <si>
    <t>Total Litter Flux</t>
  </si>
  <si>
    <t>Total Soil (Mineral) Flux</t>
  </si>
  <si>
    <t>2260002054</t>
  </si>
  <si>
    <t>Total Aboveground Biomass Flux</t>
  </si>
  <si>
    <t>Total Belowground Biomass Flux</t>
  </si>
  <si>
    <t>Net CO2 Flux from Forest C Pools in Forest Land Converted to Land by Land Use Change Category (MMT CO2 Eq.)</t>
  </si>
  <si>
    <t>Calculated Belowground Biomass to Aboveground Biomass Ratio</t>
  </si>
  <si>
    <t>BGB:AGB ratio</t>
  </si>
  <si>
    <t>Tree and Forest Carbon Summary</t>
  </si>
  <si>
    <t>2260004071</t>
  </si>
  <si>
    <t>Above Ground Biomass Flux¹</t>
  </si>
  <si>
    <t>Below Ground Biomass Flux¹ ²</t>
  </si>
  <si>
    <t>Deadwood³</t>
  </si>
  <si>
    <t>Litter³</t>
  </si>
  <si>
    <t>Soil (Mineral)³</t>
  </si>
  <si>
    <t>Soil (Organic)³</t>
  </si>
  <si>
    <t>2265005030</t>
  </si>
  <si>
    <t>Agricultural Mowers</t>
  </si>
  <si>
    <t>Landfilled Yard Trimmings and Food Scraps</t>
  </si>
  <si>
    <t>Grass</t>
  </si>
  <si>
    <t>Leaves</t>
  </si>
  <si>
    <t>Branches</t>
  </si>
  <si>
    <t>Landfilled Food Scraps</t>
  </si>
  <si>
    <t>Total Wood Products and Landfills</t>
  </si>
  <si>
    <t>Total wood products and landfills</t>
  </si>
  <si>
    <t>Total Synthetic Fertilizer Applied to Settlements
(metric tons N)</t>
  </si>
  <si>
    <t>Emission Factor
(percent)</t>
  </si>
  <si>
    <t>Data source: Maryland Department of Natural Resources (DNR) Annual Wildland Fire Report</t>
  </si>
  <si>
    <t>https://dnr.maryland.gov/forests/pages/fire/index.aspx</t>
  </si>
  <si>
    <t>Wildfires</t>
  </si>
  <si>
    <t>Area Burned (acres)</t>
  </si>
  <si>
    <t>Area Burned (hectares)</t>
  </si>
  <si>
    <t>Average Biomass Density (kg dry matter / ha)</t>
  </si>
  <si>
    <t>Combustion efficiency (other temperate forests) (%)</t>
  </si>
  <si>
    <t>CH4 Emission Factor (g/kg dry matter burned)</t>
  </si>
  <si>
    <t>CH4 Emissons (metric tons)</t>
  </si>
  <si>
    <t>CH4 Emissons (MMTCO2e)</t>
  </si>
  <si>
    <t>N2O Emission Factor (g/kg dry matter burned)</t>
  </si>
  <si>
    <t>N2O Emissons (metric tons)</t>
  </si>
  <si>
    <t>N2O Emissons (MMTCO2e)</t>
  </si>
  <si>
    <t>Prescribed Burns</t>
  </si>
  <si>
    <t>Combustion efficiency (shrublands) (%)</t>
  </si>
  <si>
    <t>Forest Fires Summary</t>
  </si>
  <si>
    <t>Total*</t>
  </si>
  <si>
    <t>*Accounts for carbon stored in Cropland Remaining Cropland, Land Converted to Cropland, Grassland Remaining Grassland, and Land Converted to Grassland</t>
  </si>
  <si>
    <t>Wetlands and Submerged Aquatic Vegetation (SAV)</t>
  </si>
  <si>
    <t>Coastal Wetlands and SAV</t>
  </si>
  <si>
    <t>Data source for wetland extent: National Oceanic and Atmospheric Administration (NOAA) Coastal Change Analysis Program’s (C-CAP) regional land cover data products for 2006, 2010, 2016, and 2021</t>
  </si>
  <si>
    <t>Data source for SAV extent: Virginia Institute of Marine Science (VIMS) SAV Survey</t>
  </si>
  <si>
    <t>Area (acres)</t>
  </si>
  <si>
    <t>Wetland Category and Salinity</t>
  </si>
  <si>
    <t>Coastal Bays (Polyhaline) Estaurine Wetland</t>
  </si>
  <si>
    <t>Mesohaline Estaurine Wetlands</t>
  </si>
  <si>
    <t>Freshwater (Tidal Fresh) SAV</t>
  </si>
  <si>
    <t>Oligohaline SAV</t>
  </si>
  <si>
    <t>Mesohaline SAV</t>
  </si>
  <si>
    <t>Coastal Bays (Polyhaline) SAV</t>
  </si>
  <si>
    <t>Total, Wetlands</t>
  </si>
  <si>
    <t>Total, SAV</t>
  </si>
  <si>
    <t>Soil Carbon Burial (Mg CO2)</t>
  </si>
  <si>
    <t>Mg CO2 acre-1 yr-1</t>
  </si>
  <si>
    <t>Methane Emissions (Mg CH4)</t>
  </si>
  <si>
    <t>Mg CH4 ac-1 yr-1</t>
  </si>
  <si>
    <t>Coastal Bays Estaurine Wetland</t>
  </si>
  <si>
    <t>2270004031</t>
  </si>
  <si>
    <t>Freshwater SAV</t>
  </si>
  <si>
    <t>Coastal Bays SAV</t>
  </si>
  <si>
    <t>Carbon Flux from Wetland Landuse Change (Mg CO2)</t>
  </si>
  <si>
    <t>Wetland Land-Use Change (from U.S. EPA National Inventory)</t>
  </si>
  <si>
    <t>2023*</t>
  </si>
  <si>
    <t>Vegetated Coastal Wetlands Converted to Unvegetated Open Water Coastal Wetlands</t>
  </si>
  <si>
    <t>Biomass C Flux</t>
  </si>
  <si>
    <t>Dead Organic Matter C Flux</t>
  </si>
  <si>
    <t>Soil C Flux</t>
  </si>
  <si>
    <t>Unvegetated Open Water Coastal Wetlands Converted to Vegetated Coastal Wetlands</t>
  </si>
  <si>
    <t>Total, Wetland LU Change</t>
  </si>
  <si>
    <t>*available 2022 data</t>
  </si>
  <si>
    <t>Flooded Lands</t>
  </si>
  <si>
    <t>2268003040</t>
  </si>
  <si>
    <t>IPCC Emission Factors</t>
  </si>
  <si>
    <t>Surface Area (ha)</t>
  </si>
  <si>
    <t>Annual Methane Emissions (MT CH4)</t>
  </si>
  <si>
    <t>Flooded Land Category</t>
  </si>
  <si>
    <t>Climate Zone</t>
  </si>
  <si>
    <t>kg CH4 /ha/yr</t>
  </si>
  <si>
    <t>MT CO2-C /ha/yr</t>
  </si>
  <si>
    <t>MT CO2 /ha/yr</t>
  </si>
  <si>
    <t>Reservoirs &gt; 20 years old (&gt;= 8 ha)</t>
  </si>
  <si>
    <t>Cool Temperate</t>
  </si>
  <si>
    <t>Warm temperate moist</t>
  </si>
  <si>
    <t>Reservoirs &lt;= 20 years old (&gt;= 8 ha)</t>
  </si>
  <si>
    <t>Downstream Emission</t>
  </si>
  <si>
    <t>All</t>
  </si>
  <si>
    <t>Freshwater Ponds &gt; 20 years (&lt; 8 ha)</t>
  </si>
  <si>
    <t>Freshwater Ponds &lt;= 20 years old (&lt; 8 ha)</t>
  </si>
  <si>
    <t>Canals &amp; Ditches</t>
  </si>
  <si>
    <t>Annual CO2 Emissions (MT CO2)</t>
  </si>
  <si>
    <t>2268002081</t>
  </si>
  <si>
    <t>Wetlands &amp; SAV Summary</t>
  </si>
  <si>
    <t>Coastal Wetlands</t>
  </si>
  <si>
    <t>SAV</t>
  </si>
  <si>
    <t>Flooded Land</t>
  </si>
  <si>
    <t>2260005035</t>
  </si>
  <si>
    <t>Net Forest and Landuse Emissions</t>
  </si>
  <si>
    <t>Net Forest and Landuse Emissions (MMTCO2e)</t>
  </si>
  <si>
    <t>2265002006</t>
  </si>
  <si>
    <t>Agricultural Soil Carbon Flux</t>
  </si>
  <si>
    <t>¹Includes the landuse categories of Forest Land Remaining Forest Land, Land Converted to Forest Land, Forest Land Converted to Land, and Settlement Trees</t>
  </si>
  <si>
    <t>²Calculated from ratio to aboveground biomass</t>
  </si>
  <si>
    <t>³USFS state-level estimates, exclusive of settlement trees</t>
  </si>
  <si>
    <t>2270005030</t>
  </si>
  <si>
    <t>2285006015</t>
  </si>
  <si>
    <t>2265007015</t>
  </si>
  <si>
    <t>2260003040</t>
  </si>
  <si>
    <t>2270005010</t>
  </si>
  <si>
    <t>2267005060</t>
  </si>
  <si>
    <t>2268005055</t>
  </si>
  <si>
    <t>2270005040</t>
  </si>
  <si>
    <t>2260006015</t>
  </si>
  <si>
    <t>2267005055</t>
  </si>
  <si>
    <t>2260002027</t>
  </si>
  <si>
    <t>2265005020</t>
  </si>
  <si>
    <r>
      <t>CO</t>
    </r>
    <r>
      <rPr>
        <b/>
        <vertAlign val="subscript"/>
        <sz val="10"/>
        <color rgb="FF000000"/>
        <rFont val="Calibri"/>
        <family val="2"/>
      </rPr>
      <t>2</t>
    </r>
    <r>
      <rPr>
        <b/>
        <sz val="10"/>
        <color rgb="FF000000"/>
        <rFont val="Calibri"/>
      </rPr>
      <t xml:space="preserve"> Emissions</t>
    </r>
  </si>
  <si>
    <r>
      <t xml:space="preserve">Net Emissions </t>
    </r>
    <r>
      <rPr>
        <sz val="11"/>
        <color theme="1"/>
        <rFont val="Calibri"/>
      </rPr>
      <t>(Including Forestry, Land Use, and Agricultural Sinks)</t>
    </r>
  </si>
  <si>
    <t>End-Use Sector</t>
  </si>
  <si>
    <t>CH4 Emission (metric tons)</t>
  </si>
  <si>
    <r>
      <t>(metric tons N</t>
    </r>
    <r>
      <rPr>
        <b/>
        <vertAlign val="subscript"/>
        <sz val="10"/>
        <color theme="1"/>
        <rFont val="Calibri"/>
        <family val="2"/>
        <scheme val="minor"/>
      </rPr>
      <t>2</t>
    </r>
    <r>
      <rPr>
        <b/>
        <sz val="10"/>
        <color theme="1"/>
        <rFont val="Calibri"/>
        <family val="2"/>
        <scheme val="minor"/>
      </rPr>
      <t>O/BBtu)</t>
    </r>
  </si>
  <si>
    <r>
      <t>(metric tons N</t>
    </r>
    <r>
      <rPr>
        <b/>
        <vertAlign val="subscript"/>
        <sz val="10"/>
        <color theme="1"/>
        <rFont val="Calibri"/>
        <family val="2"/>
        <scheme val="minor"/>
      </rPr>
      <t>2</t>
    </r>
    <r>
      <rPr>
        <b/>
        <sz val="10"/>
        <color theme="1"/>
        <rFont val="Calibri"/>
        <family val="2"/>
        <scheme val="minor"/>
      </rPr>
      <t>O)</t>
    </r>
  </si>
  <si>
    <r>
      <t>(metric tons CH</t>
    </r>
    <r>
      <rPr>
        <b/>
        <vertAlign val="subscript"/>
        <sz val="10"/>
        <color theme="1"/>
        <rFont val="Calibri"/>
        <family val="2"/>
        <scheme val="minor"/>
      </rPr>
      <t>4</t>
    </r>
    <r>
      <rPr>
        <b/>
        <sz val="10"/>
        <color theme="1"/>
        <rFont val="Calibri"/>
        <family val="2"/>
        <scheme val="minor"/>
      </rPr>
      <t>)</t>
    </r>
  </si>
  <si>
    <r>
      <t>Residential Sector CH</t>
    </r>
    <r>
      <rPr>
        <b/>
        <vertAlign val="subscript"/>
        <sz val="10"/>
        <color rgb="FF548DD4"/>
        <rFont val="Calibri"/>
        <family val="2"/>
        <scheme val="minor"/>
      </rPr>
      <t>4</t>
    </r>
  </si>
  <si>
    <r>
      <t>(metric tons CH</t>
    </r>
    <r>
      <rPr>
        <b/>
        <vertAlign val="subscript"/>
        <sz val="10"/>
        <color theme="1"/>
        <rFont val="Calibri"/>
        <family val="2"/>
        <scheme val="minor"/>
      </rPr>
      <t>4</t>
    </r>
    <r>
      <rPr>
        <b/>
        <sz val="10"/>
        <color theme="1"/>
        <rFont val="Calibri"/>
        <family val="2"/>
        <scheme val="minor"/>
      </rPr>
      <t xml:space="preserve"> /BBtu)</t>
    </r>
  </si>
  <si>
    <r>
      <t>(MMTCO</t>
    </r>
    <r>
      <rPr>
        <b/>
        <vertAlign val="subscript"/>
        <sz val="10"/>
        <color theme="1"/>
        <rFont val="Calibri"/>
        <family val="2"/>
        <scheme val="major"/>
      </rPr>
      <t>2</t>
    </r>
    <r>
      <rPr>
        <b/>
        <sz val="10"/>
        <color theme="1"/>
        <rFont val="Calibri"/>
        <family val="2"/>
        <scheme val="major"/>
      </rPr>
      <t>E)</t>
    </r>
  </si>
  <si>
    <r>
      <t>(metric tons N</t>
    </r>
    <r>
      <rPr>
        <b/>
        <vertAlign val="subscript"/>
        <sz val="10"/>
        <color theme="1"/>
        <rFont val="Calibri"/>
        <family val="2"/>
        <scheme val="major"/>
      </rPr>
      <t>2</t>
    </r>
    <r>
      <rPr>
        <b/>
        <sz val="10"/>
        <color theme="1"/>
        <rFont val="Calibri"/>
        <family val="2"/>
        <scheme val="major"/>
      </rPr>
      <t>O/BBtu)</t>
    </r>
  </si>
  <si>
    <r>
      <t>(metric tons N</t>
    </r>
    <r>
      <rPr>
        <b/>
        <vertAlign val="subscript"/>
        <sz val="10"/>
        <color theme="1"/>
        <rFont val="Calibri"/>
        <family val="2"/>
        <scheme val="major"/>
      </rPr>
      <t>2</t>
    </r>
    <r>
      <rPr>
        <b/>
        <sz val="10"/>
        <color theme="1"/>
        <rFont val="Calibri"/>
        <family val="2"/>
        <scheme val="major"/>
      </rPr>
      <t>O)</t>
    </r>
  </si>
  <si>
    <t>On-Road Gasoline</t>
  </si>
  <si>
    <t>On-Road Diesel</t>
  </si>
  <si>
    <r>
      <t xml:space="preserve">Emission Factor
</t>
    </r>
    <r>
      <rPr>
        <sz val="10"/>
        <color theme="1"/>
        <rFont val="Calibri"/>
        <family val="2"/>
        <scheme val="minor"/>
      </rPr>
      <t>(metric tons CH4 per year per activity unit)</t>
    </r>
  </si>
  <si>
    <r>
      <t xml:space="preserve">Emissions
</t>
    </r>
    <r>
      <rPr>
        <sz val="10"/>
        <color theme="1"/>
        <rFont val="Calibri"/>
        <family val="2"/>
        <scheme val="minor"/>
      </rPr>
      <t>(metric tons CH4)</t>
    </r>
  </si>
  <si>
    <r>
      <t xml:space="preserve">Emissions
</t>
    </r>
    <r>
      <rPr>
        <sz val="10"/>
        <color theme="1"/>
        <rFont val="Calibri"/>
        <family val="2"/>
        <scheme val="minor"/>
      </rPr>
      <t>(MMTCO2e)</t>
    </r>
  </si>
  <si>
    <r>
      <t xml:space="preserve">Physical Units
</t>
    </r>
    <r>
      <rPr>
        <sz val="10"/>
        <color theme="1"/>
        <rFont val="Calibri"/>
        <family val="2"/>
        <scheme val="minor"/>
      </rPr>
      <t>(Million cubic feet)</t>
    </r>
  </si>
  <si>
    <r>
      <t xml:space="preserve">Heat Content
</t>
    </r>
    <r>
      <rPr>
        <sz val="10"/>
        <color theme="1"/>
        <rFont val="Calibri"/>
        <family val="2"/>
        <scheme val="minor"/>
      </rPr>
      <t>(Btu/cubic foot)</t>
    </r>
  </si>
  <si>
    <r>
      <t xml:space="preserve">Energy Units
</t>
    </r>
    <r>
      <rPr>
        <sz val="10"/>
        <color theme="1"/>
        <rFont val="Calibri"/>
        <family val="2"/>
        <scheme val="minor"/>
      </rPr>
      <t>(Billion Btu)</t>
    </r>
  </si>
  <si>
    <r>
      <t>Carbon Content</t>
    </r>
    <r>
      <rPr>
        <sz val="10"/>
        <color rgb="FF000000"/>
        <rFont val="Calibri"/>
        <family val="2"/>
        <scheme val="minor"/>
      </rPr>
      <t xml:space="preserve">
(lb C/Million Btu)</t>
    </r>
  </si>
  <si>
    <r>
      <t>Combustion Efficiency</t>
    </r>
    <r>
      <rPr>
        <sz val="10"/>
        <color theme="1"/>
        <rFont val="Calibri"/>
        <family val="2"/>
        <scheme val="minor"/>
      </rPr>
      <t xml:space="preserve"> (%)</t>
    </r>
  </si>
  <si>
    <r>
      <t xml:space="preserve">Emissions
</t>
    </r>
    <r>
      <rPr>
        <sz val="10"/>
        <color theme="1"/>
        <rFont val="Calibri"/>
        <family val="2"/>
        <scheme val="minor"/>
      </rPr>
      <t>(short tons carbon)</t>
    </r>
  </si>
  <si>
    <r>
      <t xml:space="preserve">Emission Factor
</t>
    </r>
    <r>
      <rPr>
        <sz val="10"/>
        <color rgb="FF000000"/>
        <rFont val="Calibri"/>
        <family val="2"/>
        <scheme val="minor"/>
      </rPr>
      <t>(Mt/BBtu)</t>
    </r>
  </si>
  <si>
    <r>
      <t xml:space="preserve">Emissions
</t>
    </r>
    <r>
      <rPr>
        <sz val="10"/>
        <color theme="1"/>
        <rFont val="Calibri"/>
        <family val="2"/>
        <scheme val="minor"/>
      </rPr>
      <t>(metric tons N2O)</t>
    </r>
  </si>
  <si>
    <r>
      <t xml:space="preserve">Measured Ventilation Emissions
</t>
    </r>
    <r>
      <rPr>
        <sz val="10"/>
        <color theme="1"/>
        <rFont val="Calibri"/>
        <family val="2"/>
        <scheme val="minor"/>
      </rPr>
      <t>(million cubic feet)</t>
    </r>
  </si>
  <si>
    <r>
      <t>Degasification System Emissions</t>
    </r>
    <r>
      <rPr>
        <sz val="10"/>
        <color theme="1"/>
        <rFont val="Calibri"/>
        <family val="2"/>
        <scheme val="minor"/>
      </rPr>
      <t xml:space="preserve">
(million cubic feet)</t>
    </r>
  </si>
  <si>
    <r>
      <t>Methane Recovered from Degasification Systems and Used for Energy</t>
    </r>
    <r>
      <rPr>
        <sz val="10"/>
        <color theme="1"/>
        <rFont val="Calibri"/>
        <family val="2"/>
        <scheme val="minor"/>
      </rPr>
      <t xml:space="preserve">
(million cubic feet)</t>
    </r>
  </si>
  <si>
    <r>
      <t xml:space="preserve">Methane Density
</t>
    </r>
    <r>
      <rPr>
        <sz val="10"/>
        <color theme="1"/>
        <rFont val="Calibri"/>
        <family val="2"/>
        <scheme val="minor"/>
      </rPr>
      <t>(g/ft3)</t>
    </r>
  </si>
  <si>
    <r>
      <t xml:space="preserve">Emissions </t>
    </r>
    <r>
      <rPr>
        <sz val="10"/>
        <color theme="1"/>
        <rFont val="Calibri"/>
        <family val="2"/>
        <scheme val="minor"/>
      </rPr>
      <t>(MMTCO2e)</t>
    </r>
  </si>
  <si>
    <r>
      <t xml:space="preserve">Surface Coal Production </t>
    </r>
    <r>
      <rPr>
        <sz val="10"/>
        <color theme="1"/>
        <rFont val="Calibri"/>
        <family val="2"/>
        <scheme val="minor"/>
      </rPr>
      <t>(short tons)</t>
    </r>
  </si>
  <si>
    <r>
      <t xml:space="preserve">Basin-specific emission factor </t>
    </r>
    <r>
      <rPr>
        <sz val="10"/>
        <color theme="1"/>
        <rFont val="Calibri"/>
        <family val="2"/>
        <scheme val="minor"/>
      </rPr>
      <t>(ft3/short ton)</t>
    </r>
  </si>
  <si>
    <r>
      <t xml:space="preserve">Coal Production </t>
    </r>
    <r>
      <rPr>
        <sz val="10"/>
        <color theme="1"/>
        <rFont val="Calibri"/>
        <family val="2"/>
        <scheme val="minor"/>
      </rPr>
      <t>(short tons)</t>
    </r>
  </si>
  <si>
    <r>
      <t xml:space="preserve">2023 Maryland Abandoned Mine Emissions
</t>
    </r>
    <r>
      <rPr>
        <sz val="10"/>
        <color theme="1"/>
        <rFont val="Calibri"/>
        <family val="2"/>
        <scheme val="minor"/>
      </rPr>
      <t>(Gg CH4/Year)</t>
    </r>
  </si>
  <si>
    <r>
      <t>CO</t>
    </r>
    <r>
      <rPr>
        <b/>
        <vertAlign val="subscript"/>
        <sz val="10"/>
        <color theme="1"/>
        <rFont val="Calibri"/>
        <family val="2"/>
        <scheme val="minor"/>
      </rPr>
      <t>2</t>
    </r>
    <r>
      <rPr>
        <b/>
        <sz val="10"/>
        <color theme="1"/>
        <rFont val="Calibri"/>
        <family val="2"/>
        <scheme val="minor"/>
      </rPr>
      <t xml:space="preserve"> Emissions (metric tons)</t>
    </r>
  </si>
  <si>
    <r>
      <t>CO</t>
    </r>
    <r>
      <rPr>
        <b/>
        <vertAlign val="subscript"/>
        <sz val="10"/>
        <color theme="1"/>
        <rFont val="Calibri"/>
        <family val="2"/>
        <scheme val="minor"/>
      </rPr>
      <t>2</t>
    </r>
    <r>
      <rPr>
        <b/>
        <sz val="10"/>
        <color theme="1"/>
        <rFont val="Calibri"/>
        <family val="2"/>
        <scheme val="minor"/>
      </rPr>
      <t xml:space="preserve"> Emissions (short tons)</t>
    </r>
  </si>
  <si>
    <r>
      <t>CO</t>
    </r>
    <r>
      <rPr>
        <vertAlign val="subscript"/>
        <sz val="10"/>
        <color theme="1"/>
        <rFont val="Calibri"/>
        <family val="2"/>
        <scheme val="minor"/>
      </rPr>
      <t>2</t>
    </r>
  </si>
  <si>
    <r>
      <t>CH</t>
    </r>
    <r>
      <rPr>
        <vertAlign val="subscript"/>
        <sz val="10"/>
        <color theme="1"/>
        <rFont val="Calibri"/>
        <family val="2"/>
        <scheme val="minor"/>
      </rPr>
      <t>4</t>
    </r>
  </si>
  <si>
    <r>
      <t>N</t>
    </r>
    <r>
      <rPr>
        <vertAlign val="subscript"/>
        <sz val="10"/>
        <color theme="1"/>
        <rFont val="Calibri"/>
        <family val="2"/>
        <scheme val="minor"/>
      </rPr>
      <t>2</t>
    </r>
    <r>
      <rPr>
        <sz val="8"/>
        <color theme="1"/>
        <rFont val="Calibri"/>
        <family val="2"/>
        <scheme val="minor"/>
      </rPr>
      <t>O</t>
    </r>
  </si>
  <si>
    <r>
      <t>Emission Factor
(t CO</t>
    </r>
    <r>
      <rPr>
        <b/>
        <vertAlign val="subscript"/>
        <sz val="10"/>
        <color theme="1"/>
        <rFont val="Calibri"/>
        <family val="2"/>
        <scheme val="minor"/>
      </rPr>
      <t>2</t>
    </r>
    <r>
      <rPr>
        <b/>
        <sz val="10"/>
        <color theme="1"/>
        <rFont val="Calibri"/>
        <family val="2"/>
        <scheme val="minor"/>
      </rPr>
      <t>/t production)</t>
    </r>
  </si>
  <si>
    <r>
      <t>Emission Factor
(mt CO</t>
    </r>
    <r>
      <rPr>
        <b/>
        <vertAlign val="subscript"/>
        <sz val="10"/>
        <color theme="1"/>
        <rFont val="Calibri"/>
        <family val="2"/>
        <scheme val="minor"/>
      </rPr>
      <t>2</t>
    </r>
    <r>
      <rPr>
        <b/>
        <sz val="10"/>
        <color theme="1"/>
        <rFont val="Calibri"/>
        <family val="2"/>
        <scheme val="minor"/>
      </rPr>
      <t>/mt activity)</t>
    </r>
  </si>
  <si>
    <t>Emissions by Subcategory</t>
  </si>
  <si>
    <t>Emissions by Gas</t>
  </si>
  <si>
    <t>Calculation of GWP Conversion Ratio</t>
  </si>
  <si>
    <t>Notes About Other HFC and Other PFC</t>
  </si>
  <si>
    <t>Conversion From AR5 100-yr GWP to AR6 20-yr GWP</t>
  </si>
  <si>
    <t>Conversion From AR5 100-yr GWP to AR6 100-yr GWP</t>
  </si>
  <si>
    <r>
      <t>Emission Factor
(kg CH</t>
    </r>
    <r>
      <rPr>
        <b/>
        <vertAlign val="subscript"/>
        <sz val="8"/>
        <color theme="1"/>
        <rFont val="Calibri"/>
        <family val="2"/>
        <scheme val="minor"/>
      </rPr>
      <t>4</t>
    </r>
    <r>
      <rPr>
        <b/>
        <sz val="8"/>
        <color theme="1"/>
        <rFont val="Calibri"/>
        <family val="2"/>
        <scheme val="minor"/>
      </rPr>
      <t>/head)</t>
    </r>
  </si>
  <si>
    <r>
      <t xml:space="preserve">Volatile Solids (VS) production per animal or animal mass
</t>
    </r>
    <r>
      <rPr>
        <sz val="8"/>
        <color theme="1"/>
        <rFont val="Calibri"/>
        <family val="2"/>
        <scheme val="minor"/>
      </rPr>
      <t>(kg VS/head/year, for cattle excluding calves)
(kg VS/1000 kg animal mass/day, for calves and all else)</t>
    </r>
  </si>
  <si>
    <r>
      <t xml:space="preserve">Methane producing capacity
</t>
    </r>
    <r>
      <rPr>
        <sz val="8"/>
        <color theme="1"/>
        <rFont val="Calibri"/>
        <family val="2"/>
        <scheme val="minor"/>
      </rPr>
      <t>(volume of methane per mass of VS)</t>
    </r>
    <r>
      <rPr>
        <b/>
        <sz val="8"/>
        <color theme="1"/>
        <rFont val="Calibri"/>
        <family val="2"/>
        <scheme val="minor"/>
      </rPr>
      <t xml:space="preserve">
</t>
    </r>
    <r>
      <rPr>
        <sz val="8"/>
        <color theme="1"/>
        <rFont val="Calibri"/>
        <family val="2"/>
        <scheme val="minor"/>
      </rPr>
      <t>(m^3 CH4 / kg VS)</t>
    </r>
  </si>
  <si>
    <r>
      <t>Emissions from Anaerobic Lagoons and Liquid Systems
(kg N</t>
    </r>
    <r>
      <rPr>
        <b/>
        <vertAlign val="subscript"/>
        <sz val="8"/>
        <color theme="1"/>
        <rFont val="Calibri"/>
        <family val="2"/>
        <scheme val="minor"/>
      </rPr>
      <t>2</t>
    </r>
    <r>
      <rPr>
        <b/>
        <sz val="8"/>
        <color theme="1"/>
        <rFont val="Calibri"/>
        <family val="2"/>
        <scheme val="minor"/>
      </rPr>
      <t>O-N)</t>
    </r>
  </si>
  <si>
    <r>
      <t>Emissions from Solid Storage, Drylot, &amp; Other Systems
(kg N</t>
    </r>
    <r>
      <rPr>
        <b/>
        <vertAlign val="subscript"/>
        <sz val="8"/>
        <color theme="1"/>
        <rFont val="Calibri"/>
        <family val="2"/>
        <scheme val="minor"/>
      </rPr>
      <t>2</t>
    </r>
    <r>
      <rPr>
        <b/>
        <sz val="8"/>
        <color theme="1"/>
        <rFont val="Calibri"/>
        <family val="2"/>
        <scheme val="minor"/>
      </rPr>
      <t>O-N)</t>
    </r>
  </si>
  <si>
    <r>
      <t>Total N</t>
    </r>
    <r>
      <rPr>
        <b/>
        <vertAlign val="subscript"/>
        <sz val="8"/>
        <color theme="1"/>
        <rFont val="Calibri"/>
        <family val="2"/>
        <scheme val="minor"/>
      </rPr>
      <t>2</t>
    </r>
    <r>
      <rPr>
        <b/>
        <sz val="8"/>
        <color theme="1"/>
        <rFont val="Calibri"/>
        <family val="2"/>
        <scheme val="minor"/>
      </rPr>
      <t>O Emissions
(kg N</t>
    </r>
    <r>
      <rPr>
        <b/>
        <vertAlign val="subscript"/>
        <sz val="8"/>
        <color theme="1"/>
        <rFont val="Calibri"/>
        <family val="2"/>
        <scheme val="minor"/>
      </rPr>
      <t>2</t>
    </r>
    <r>
      <rPr>
        <b/>
        <sz val="8"/>
        <color theme="1"/>
        <rFont val="Calibri"/>
        <family val="2"/>
        <scheme val="minor"/>
      </rPr>
      <t>O)</t>
    </r>
  </si>
  <si>
    <r>
      <t>Crop Production</t>
    </r>
    <r>
      <rPr>
        <sz val="8"/>
        <color theme="1"/>
        <rFont val="Calibri"/>
        <family val="2"/>
        <scheme val="minor"/>
      </rPr>
      <t xml:space="preserve"> (in specified units)</t>
    </r>
  </si>
  <si>
    <r>
      <t xml:space="preserve">Conversion Factor
(metric tons / crop units)
</t>
    </r>
    <r>
      <rPr>
        <sz val="8"/>
        <color theme="1"/>
        <rFont val="Calibri"/>
        <family val="2"/>
        <scheme val="minor"/>
      </rPr>
      <t>(e.g., metric tons/1,000 bushels)</t>
    </r>
  </si>
  <si>
    <r>
      <t>Emission Factor</t>
    </r>
    <r>
      <rPr>
        <sz val="8"/>
        <color theme="1"/>
        <rFont val="Calibri"/>
        <family val="2"/>
        <scheme val="minor"/>
      </rPr>
      <t xml:space="preserve">
(kg N2O-N/kg N)</t>
    </r>
  </si>
  <si>
    <r>
      <t>Total Fertilizer Use in Growing Year</t>
    </r>
    <r>
      <rPr>
        <sz val="8"/>
        <color theme="1"/>
        <rFont val="Calibri"/>
        <family val="2"/>
        <scheme val="minor"/>
      </rPr>
      <t xml:space="preserve"> (kg N)</t>
    </r>
  </si>
  <si>
    <r>
      <t>Total N in Fertilizers, Calendar Year</t>
    </r>
    <r>
      <rPr>
        <sz val="8"/>
        <color theme="1"/>
        <rFont val="Calibri"/>
        <family val="2"/>
        <scheme val="minor"/>
      </rPr>
      <t xml:space="preserve"> (kg N)</t>
    </r>
  </si>
  <si>
    <r>
      <t xml:space="preserve">Volatilzation Percent
</t>
    </r>
    <r>
      <rPr>
        <sz val="8"/>
        <color theme="1"/>
        <rFont val="Calibri"/>
        <family val="2"/>
        <scheme val="minor"/>
      </rPr>
      <t>(%)</t>
    </r>
  </si>
  <si>
    <r>
      <t xml:space="preserve">Unvolatized N
</t>
    </r>
    <r>
      <rPr>
        <sz val="8"/>
        <color theme="1"/>
        <rFont val="Calibri"/>
        <family val="2"/>
        <scheme val="minor"/>
      </rPr>
      <t>(kg)</t>
    </r>
  </si>
  <si>
    <r>
      <t xml:space="preserve">Volatized N
</t>
    </r>
    <r>
      <rPr>
        <sz val="8"/>
        <color theme="1"/>
        <rFont val="Calibri"/>
        <family val="2"/>
        <scheme val="minor"/>
      </rPr>
      <t>(kg)</t>
    </r>
  </si>
  <si>
    <r>
      <t>Direct N</t>
    </r>
    <r>
      <rPr>
        <b/>
        <vertAlign val="subscript"/>
        <sz val="8"/>
        <color theme="1"/>
        <rFont val="Calibri"/>
        <family val="2"/>
        <scheme val="minor"/>
      </rPr>
      <t>2</t>
    </r>
    <r>
      <rPr>
        <b/>
        <sz val="8"/>
        <color theme="1"/>
        <rFont val="Calibri"/>
        <family val="2"/>
        <scheme val="minor"/>
      </rPr>
      <t>O Emissions
(metric tons)</t>
    </r>
  </si>
  <si>
    <r>
      <t>Indirect N</t>
    </r>
    <r>
      <rPr>
        <b/>
        <vertAlign val="subscript"/>
        <sz val="8"/>
        <color theme="1"/>
        <rFont val="Calibri"/>
        <family val="2"/>
        <scheme val="minor"/>
      </rPr>
      <t>2</t>
    </r>
    <r>
      <rPr>
        <b/>
        <sz val="8"/>
        <color theme="1"/>
        <rFont val="Calibri"/>
        <family val="2"/>
        <scheme val="minor"/>
      </rPr>
      <t>O Emissions
(metric tons)</t>
    </r>
  </si>
  <si>
    <r>
      <t xml:space="preserve">Number of Animals
</t>
    </r>
    <r>
      <rPr>
        <sz val="8"/>
        <color theme="1"/>
        <rFont val="Calibri"/>
        <family val="2"/>
        <scheme val="minor"/>
      </rPr>
      <t>('000 head)</t>
    </r>
  </si>
  <si>
    <r>
      <t xml:space="preserve">Total K-Nitrogen Excreted
</t>
    </r>
    <r>
      <rPr>
        <sz val="8"/>
        <color theme="1"/>
        <rFont val="Calibri"/>
        <family val="2"/>
        <scheme val="minor"/>
      </rPr>
      <t>(kg)</t>
    </r>
  </si>
  <si>
    <r>
      <t>Indirect Animal N</t>
    </r>
    <r>
      <rPr>
        <b/>
        <vertAlign val="subscript"/>
        <sz val="8"/>
        <color theme="1"/>
        <rFont val="Calibri"/>
        <family val="2"/>
        <scheme val="minor"/>
      </rPr>
      <t>2</t>
    </r>
    <r>
      <rPr>
        <b/>
        <sz val="8"/>
        <color theme="1"/>
        <rFont val="Calibri"/>
        <family val="2"/>
        <scheme val="minor"/>
      </rPr>
      <t xml:space="preserve">O Emissions
</t>
    </r>
    <r>
      <rPr>
        <sz val="8"/>
        <color theme="1"/>
        <rFont val="Calibri"/>
        <family val="2"/>
        <scheme val="minor"/>
      </rPr>
      <t>(metric tons N)</t>
    </r>
  </si>
  <si>
    <r>
      <t>Percentage Breakdown of Manure Management Systems</t>
    </r>
    <r>
      <rPr>
        <sz val="8"/>
        <color theme="1"/>
        <rFont val="Calibri"/>
        <family val="2"/>
        <scheme val="minor"/>
      </rPr>
      <t xml:space="preserve"> (Source: EPA SIT 2024)</t>
    </r>
  </si>
  <si>
    <r>
      <t>Fertilizer Runoff/Leached</t>
    </r>
    <r>
      <rPr>
        <sz val="8"/>
        <color theme="1"/>
        <rFont val="Calibri"/>
        <family val="2"/>
        <scheme val="minor"/>
      </rPr>
      <t xml:space="preserve"> (metric tons N)</t>
    </r>
  </si>
  <si>
    <r>
      <t xml:space="preserve">Manure Runoff/Leached </t>
    </r>
    <r>
      <rPr>
        <sz val="8"/>
        <color theme="1"/>
        <rFont val="Calibri"/>
        <family val="2"/>
        <scheme val="minor"/>
      </rPr>
      <t>(metric tons N)</t>
    </r>
  </si>
  <si>
    <r>
      <t xml:space="preserve">TOTAL Runoff/Leached </t>
    </r>
    <r>
      <rPr>
        <sz val="8"/>
        <color theme="1"/>
        <rFont val="Calibri"/>
        <family val="2"/>
        <scheme val="minor"/>
      </rPr>
      <t>(metric tons N</t>
    </r>
    <r>
      <rPr>
        <vertAlign val="subscript"/>
        <sz val="8"/>
        <color theme="1"/>
        <rFont val="Calibri"/>
        <family val="2"/>
        <scheme val="minor"/>
      </rPr>
      <t>2</t>
    </r>
    <r>
      <rPr>
        <sz val="8"/>
        <color theme="1"/>
        <rFont val="Calibri"/>
        <family val="2"/>
        <scheme val="minor"/>
      </rPr>
      <t>O-N)</t>
    </r>
  </si>
  <si>
    <r>
      <t>N</t>
    </r>
    <r>
      <rPr>
        <b/>
        <vertAlign val="subscript"/>
        <sz val="8"/>
        <color theme="1"/>
        <rFont val="Calibri"/>
        <family val="2"/>
        <scheme val="minor"/>
      </rPr>
      <t>2</t>
    </r>
    <r>
      <rPr>
        <b/>
        <sz val="8"/>
        <color theme="1"/>
        <rFont val="Calibri"/>
        <family val="2"/>
        <scheme val="minor"/>
      </rPr>
      <t>O Emissions  (metric tons)</t>
    </r>
  </si>
  <si>
    <r>
      <t xml:space="preserve">Total Applied to Soil
</t>
    </r>
    <r>
      <rPr>
        <sz val="8"/>
        <color theme="1"/>
        <rFont val="Calibri"/>
        <family val="2"/>
        <scheme val="minor"/>
      </rPr>
      <t>(metric tons)</t>
    </r>
  </si>
  <si>
    <r>
      <t>Emission Factor</t>
    </r>
    <r>
      <rPr>
        <sz val="8"/>
        <color theme="1"/>
        <rFont val="Calibri"/>
        <family val="2"/>
        <scheme val="minor"/>
      </rPr>
      <t xml:space="preserve">
(metric ton C/metric ton urea)</t>
    </r>
  </si>
  <si>
    <r>
      <t xml:space="preserve">Total Applied to Soil
</t>
    </r>
    <r>
      <rPr>
        <sz val="8"/>
        <color theme="1"/>
        <rFont val="Calibri"/>
        <family val="2"/>
        <scheme val="minor"/>
      </rPr>
      <t>('000 metric tons)</t>
    </r>
  </si>
  <si>
    <r>
      <t>Emission Factor</t>
    </r>
    <r>
      <rPr>
        <sz val="8"/>
        <color theme="1"/>
        <rFont val="Calibri"/>
        <family val="2"/>
        <scheme val="minor"/>
      </rPr>
      <t xml:space="preserve">
(metric ton C/metric ton limestone or dolomite)</t>
    </r>
  </si>
  <si>
    <t>+ Collected CH4 that Remains Uncombusted (short tons)</t>
  </si>
  <si>
    <t>- CH4 Oxidized at the Surface (short tons)</t>
  </si>
  <si>
    <t>- CH4 Collected (Flare or Gas-to-Energy) (short tons)</t>
  </si>
  <si>
    <t>Supporting Calculations for Landfills with Landfill Gas Collection Systems</t>
  </si>
  <si>
    <r>
      <t xml:space="preserve">Per Capita BOD5
</t>
    </r>
    <r>
      <rPr>
        <sz val="10"/>
        <color theme="1"/>
        <rFont val="Calibri"/>
        <family val="2"/>
        <scheme val="minor"/>
      </rPr>
      <t>(kg/person/day)</t>
    </r>
  </si>
  <si>
    <r>
      <t xml:space="preserve">Unit Conversion
</t>
    </r>
    <r>
      <rPr>
        <sz val="10"/>
        <color theme="1"/>
        <rFont val="Calibri"/>
        <family val="2"/>
        <scheme val="minor"/>
      </rPr>
      <t>(metric tons/kg)</t>
    </r>
  </si>
  <si>
    <r>
      <t>Emission Factor</t>
    </r>
    <r>
      <rPr>
        <sz val="10"/>
        <color theme="1"/>
        <rFont val="Calibri"/>
        <family val="2"/>
        <scheme val="minor"/>
      </rPr>
      <t xml:space="preserve">
(Gg CH4/Gg BOD5)</t>
    </r>
  </si>
  <si>
    <r>
      <t xml:space="preserve">CH4 Emissions
</t>
    </r>
    <r>
      <rPr>
        <sz val="10"/>
        <color theme="1"/>
        <rFont val="Calibri"/>
        <family val="2"/>
        <scheme val="minor"/>
      </rPr>
      <t>(metric tons)</t>
    </r>
  </si>
  <si>
    <r>
      <t xml:space="preserve">CH4 Emissions
</t>
    </r>
    <r>
      <rPr>
        <sz val="10"/>
        <color theme="1"/>
        <rFont val="Calibri"/>
        <family val="2"/>
        <scheme val="minor"/>
      </rPr>
      <t>(MMTCO2e)</t>
    </r>
  </si>
  <si>
    <r>
      <t xml:space="preserve">Direct N2O Emissions from Wastewater Treatment
</t>
    </r>
    <r>
      <rPr>
        <sz val="10"/>
        <color theme="1"/>
        <rFont val="Calibri"/>
        <family val="2"/>
        <scheme val="minor"/>
      </rPr>
      <t>(g N2O/person/year)</t>
    </r>
  </si>
  <si>
    <r>
      <t xml:space="preserve">Unit Conversion
</t>
    </r>
    <r>
      <rPr>
        <sz val="10"/>
        <color theme="1"/>
        <rFont val="Calibri"/>
        <family val="2"/>
        <scheme val="minor"/>
      </rPr>
      <t>(metric ton/g)</t>
    </r>
  </si>
  <si>
    <r>
      <t xml:space="preserve">N2O Emissions
</t>
    </r>
    <r>
      <rPr>
        <sz val="10"/>
        <color theme="1"/>
        <rFont val="Calibri"/>
        <family val="2"/>
        <scheme val="minor"/>
      </rPr>
      <t>(metric tons)</t>
    </r>
  </si>
  <si>
    <r>
      <t xml:space="preserve">N2O Emissions
</t>
    </r>
    <r>
      <rPr>
        <sz val="10"/>
        <color theme="1"/>
        <rFont val="Calibri"/>
        <family val="2"/>
        <scheme val="minor"/>
      </rPr>
      <t>(MMTCO2e)</t>
    </r>
  </si>
  <si>
    <r>
      <t xml:space="preserve">Protein Consumption
</t>
    </r>
    <r>
      <rPr>
        <sz val="10"/>
        <color theme="1"/>
        <rFont val="Calibri"/>
        <family val="2"/>
        <scheme val="minor"/>
      </rPr>
      <t>(kg/person/year)</t>
    </r>
  </si>
  <si>
    <r>
      <t xml:space="preserve">Protein Nitrogen Content 
</t>
    </r>
    <r>
      <rPr>
        <sz val="10"/>
        <color theme="1"/>
        <rFont val="Calibri"/>
        <family val="2"/>
        <scheme val="minor"/>
      </rPr>
      <t>(kg N/kg protein)</t>
    </r>
  </si>
  <si>
    <r>
      <t xml:space="preserve">N in Domestic Wastewater
</t>
    </r>
    <r>
      <rPr>
        <sz val="10"/>
        <color theme="1"/>
        <rFont val="Calibri"/>
        <family val="2"/>
        <scheme val="minor"/>
      </rPr>
      <t>(metric tons)</t>
    </r>
  </si>
  <si>
    <r>
      <t xml:space="preserve">Direct N Emissions from Domestic Wastewater
</t>
    </r>
    <r>
      <rPr>
        <sz val="10"/>
        <color theme="1"/>
        <rFont val="Calibri"/>
        <family val="2"/>
        <scheme val="minor"/>
      </rPr>
      <t>(metric tons)</t>
    </r>
  </si>
  <si>
    <r>
      <t xml:space="preserve">N Available in Biosolids
</t>
    </r>
    <r>
      <rPr>
        <sz val="10"/>
        <color theme="1"/>
        <rFont val="Calibri"/>
        <family val="2"/>
        <scheme val="minor"/>
      </rPr>
      <t>(metric tons)</t>
    </r>
  </si>
  <si>
    <r>
      <t>Emission Factor</t>
    </r>
    <r>
      <rPr>
        <sz val="10"/>
        <color theme="1"/>
        <rFont val="Calibri"/>
        <family val="2"/>
        <scheme val="minor"/>
      </rPr>
      <t xml:space="preserve">
(kg N2O-N/kg sewage N-produced) </t>
    </r>
  </si>
  <si>
    <r>
      <t>N2O Emissions from Biosolids</t>
    </r>
    <r>
      <rPr>
        <sz val="10"/>
        <color theme="1"/>
        <rFont val="Calibri"/>
        <family val="2"/>
        <scheme val="minor"/>
      </rPr>
      <t xml:space="preserve"> (metric tons)</t>
    </r>
  </si>
  <si>
    <r>
      <t xml:space="preserve">N2O Emissions from Biosolids </t>
    </r>
    <r>
      <rPr>
        <sz val="10"/>
        <color theme="1"/>
        <rFont val="Calibri"/>
        <family val="2"/>
        <scheme val="minor"/>
      </rPr>
      <t>(MMTCO2e)</t>
    </r>
  </si>
  <si>
    <r>
      <t xml:space="preserve">Production Processed
</t>
    </r>
    <r>
      <rPr>
        <sz val="10"/>
        <color theme="1"/>
        <rFont val="Calibri"/>
        <family val="2"/>
        <scheme val="minor"/>
      </rPr>
      <t>(metric tons)</t>
    </r>
  </si>
  <si>
    <r>
      <t>Wastewater Outflow</t>
    </r>
    <r>
      <rPr>
        <sz val="10"/>
        <color theme="1"/>
        <rFont val="Calibri"/>
        <family val="2"/>
        <scheme val="minor"/>
      </rPr>
      <t xml:space="preserve"> (m3/metric ton production)</t>
    </r>
  </si>
  <si>
    <r>
      <t xml:space="preserve">Unit Conversion
</t>
    </r>
    <r>
      <rPr>
        <sz val="10"/>
        <color theme="1"/>
        <rFont val="Calibri"/>
        <family val="2"/>
        <scheme val="minor"/>
      </rPr>
      <t>(l/m3)</t>
    </r>
  </si>
  <si>
    <r>
      <t xml:space="preserve">Chemical Oxygen Demand (COD)
</t>
    </r>
    <r>
      <rPr>
        <sz val="10"/>
        <color theme="1"/>
        <rFont val="Calibri"/>
        <family val="2"/>
        <scheme val="minor"/>
      </rPr>
      <t xml:space="preserve"> (g COD/l)</t>
    </r>
  </si>
  <si>
    <r>
      <t xml:space="preserve">Emission Factor
</t>
    </r>
    <r>
      <rPr>
        <sz val="10"/>
        <color theme="1"/>
        <rFont val="Calibri"/>
        <family val="2"/>
        <scheme val="minor"/>
      </rPr>
      <t>(g CH4/g COD)</t>
    </r>
  </si>
  <si>
    <r>
      <t xml:space="preserve">Biochemical Oxygen Demand (BOD)
</t>
    </r>
    <r>
      <rPr>
        <sz val="10"/>
        <color theme="1"/>
        <rFont val="Calibri"/>
        <family val="2"/>
        <scheme val="minor"/>
      </rPr>
      <t xml:space="preserve"> (g BOD/l)</t>
    </r>
  </si>
  <si>
    <r>
      <t xml:space="preserve">Emission Factor
</t>
    </r>
    <r>
      <rPr>
        <sz val="10"/>
        <color theme="1"/>
        <rFont val="Calibri"/>
        <family val="2"/>
        <scheme val="minor"/>
      </rPr>
      <t>(g CH4/g BOD)</t>
    </r>
  </si>
  <si>
    <t>Sector</t>
  </si>
  <si>
    <t>Subsector</t>
  </si>
  <si>
    <t>Category/Fuel</t>
  </si>
  <si>
    <t>Electricity Use</t>
  </si>
  <si>
    <t>100-yr</t>
  </si>
  <si>
    <t>Net Imported Electricity</t>
  </si>
  <si>
    <t>20-yr</t>
  </si>
  <si>
    <t>Residential, Commercial, &amp; Industrial (RCI) Fuel Use</t>
  </si>
  <si>
    <t>On-road</t>
  </si>
  <si>
    <t>Non-road</t>
  </si>
  <si>
    <t>HFC, PFC, SF6</t>
  </si>
  <si>
    <r>
      <t>Residential Sector N</t>
    </r>
    <r>
      <rPr>
        <b/>
        <vertAlign val="subscript"/>
        <sz val="10"/>
        <color rgb="FF548DD4"/>
        <rFont val="Calibri"/>
        <family val="2"/>
        <scheme val="minor"/>
      </rPr>
      <t>2</t>
    </r>
    <r>
      <rPr>
        <b/>
        <sz val="10"/>
        <color rgb="FF548DD4"/>
        <rFont val="Calibri"/>
        <family val="2"/>
        <scheme val="minor"/>
      </rPr>
      <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</si>
</sst>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4">
    <numFmt numFmtId="41" formatCode="_(* #,##0_);_(* \(#,##0\);_(* &quot;-&quot;_);_(@_)"/>
    <numFmt numFmtId="43" formatCode="_(* #,##0.00_);_(* \(#,##0.00\);_(* &quot;-&quot;??_);_(@_)"/>
    <numFmt numFmtId="164" formatCode="0.0000"/>
    <numFmt numFmtId="165" formatCode="0.00000"/>
    <numFmt numFmtId="166" formatCode="0.000000"/>
    <numFmt numFmtId="167" formatCode="_(* #,##0_);_(* \(#,##0\);_(* &quot;-&quot;??_);_(@_)"/>
    <numFmt numFmtId="168" formatCode="0.000"/>
    <numFmt numFmtId="169" formatCode="#,##0.0"/>
    <numFmt numFmtId="170" formatCode="_(* #,##0.000_);_(* \(#,##0.000\);_(* &quot;-&quot;??_);_(@_)"/>
    <numFmt numFmtId="171" formatCode="#,##0.0000_);\(#,##0.0000\)"/>
    <numFmt numFmtId="172" formatCode="_(* #,##0.0000_);_(* \(#,##0.0000\);_(* &quot;-&quot;??_);_(@_)"/>
    <numFmt numFmtId="173" formatCode="m\-yyyy"/>
    <numFmt numFmtId="174" formatCode="_(* #,##0.0_);_(* \(#,##0.0\);_(* &quot;-&quot;??.0_);_(@_)"/>
    <numFmt numFmtId="175" formatCode="#,##0.0000"/>
    <numFmt numFmtId="176" formatCode="0.000000%"/>
    <numFmt numFmtId="177" formatCode="#,##0.000"/>
    <numFmt numFmtId="178" formatCode="#,##0.00000_);\(#,##0.00000\)"/>
    <numFmt numFmtId="179" formatCode="0.0%"/>
    <numFmt numFmtId="180" formatCode="#,##0.00000"/>
    <numFmt numFmtId="181" formatCode="0.000000000"/>
    <numFmt numFmtId="182" formatCode="0.00_)"/>
    <numFmt numFmtId="183" formatCode="#,##0.0_);\(#,##0.0\)"/>
    <numFmt numFmtId="184" formatCode="0.000_)"/>
    <numFmt numFmtId="185" formatCode="0.0000_)"/>
    <numFmt numFmtId="186" formatCode="0.0000000000"/>
    <numFmt numFmtId="187" formatCode="_(* #,##0.00000_);_(* \(#,##0.00000\);_(* &quot;-&quot;??_);_(@_)"/>
    <numFmt numFmtId="188" formatCode="_(* #,##0.000_);_(* \(#,##0.000\);_(* &quot;-&quot;??.0_);_(@_)"/>
    <numFmt numFmtId="189" formatCode="_(* #,##0.000_);_(* \(#,##0.000\);_(* &quot;-&quot;??.000_);_(@_)"/>
    <numFmt numFmtId="190" formatCode="_(* #,##0.000000_);_(* \(#,##0.000000\);_(* &quot;-&quot;??_);_(@_)"/>
    <numFmt numFmtId="191" formatCode="_(* #,##0.0000000_);_(* \(#,##0.0000000\);_(* &quot;-&quot;??_);_(@_)"/>
    <numFmt numFmtId="192" formatCode="_(* #,##0.0000_);_(* \(#,##0.0000\);_(* &quot;-&quot;??.00_);_(@_)"/>
    <numFmt numFmtId="193" formatCode="0.0"/>
    <numFmt numFmtId="194" formatCode="_(* #,##0.0000_);_(* \(#,##0.0000\);_(* &quot;-&quot;??.0000_);_(@_)"/>
    <numFmt numFmtId="195" formatCode="_(* #,##0.0_);_(* \(#,##0.0\);_(* &quot;-&quot;??_);_(@_)"/>
    <numFmt numFmtId="196" formatCode="_(* #,##0.00_);_(* \(#,##0.00\);_(* &quot;-&quot;??.00_);_(@_)"/>
    <numFmt numFmtId="197" formatCode="0_)"/>
    <numFmt numFmtId="198" formatCode="_(* #,##0.00000_);_(* \(#,##0.00000\);_(* &quot;-&quot;??.00_);_(@_)"/>
    <numFmt numFmtId="199" formatCode="_(* #,##0.0000_);_(* \(#,##0.0000\);_(* &quot;-&quot;??.0_);_(@_)"/>
    <numFmt numFmtId="200" formatCode="_(* #,##0.00_);_(* \(#,##0.00\);_(* &quot;-&quot;??.0_);_(@_)"/>
    <numFmt numFmtId="201" formatCode="_(* #,##0.00000_);_(* \(#,##0.00000\);_(* &quot;-&quot;??.00000_);_(@_)"/>
    <numFmt numFmtId="202" formatCode="_(* #,##0.0000_);_(* \(#,##0.0000\);_(* &quot;-&quot;??.000_);_(@_)"/>
    <numFmt numFmtId="203" formatCode="0.00000000"/>
    <numFmt numFmtId="204" formatCode="#,##0.0000000"/>
    <numFmt numFmtId="205" formatCode="0_);\(0\)"/>
  </numFmts>
  <fonts count="123" x14ac:knownFonts="1">
    <font>
      <sz val="8"/>
      <color rgb="FF000000"/>
      <name val="Calibri"/>
      <scheme val="minor"/>
    </font>
    <font>
      <sz val="11"/>
      <color theme="1"/>
      <name val="Calibri"/>
      <family val="2"/>
      <scheme val="minor"/>
    </font>
    <font>
      <sz val="8"/>
      <color theme="1"/>
      <name val="Calibri"/>
    </font>
    <font>
      <sz val="10"/>
      <color rgb="FF000000"/>
      <name val="Calibri"/>
    </font>
    <font>
      <b/>
      <sz val="14"/>
      <color theme="1"/>
      <name val="Calibri"/>
    </font>
    <font>
      <b/>
      <sz val="10"/>
      <color rgb="FF000000"/>
      <name val="Calibri"/>
    </font>
    <font>
      <i/>
      <sz val="10"/>
      <color rgb="FF000000"/>
      <name val="Calibri"/>
    </font>
    <font>
      <sz val="10"/>
      <color theme="1"/>
      <name val="Calibri"/>
    </font>
    <font>
      <sz val="9"/>
      <color theme="1"/>
      <name val="Calibri"/>
    </font>
    <font>
      <sz val="8"/>
      <name val="Calibri"/>
    </font>
    <font>
      <b/>
      <sz val="12"/>
      <color rgb="FF000000"/>
      <name val="Calibri"/>
    </font>
    <font>
      <sz val="8"/>
      <color rgb="FF000000"/>
      <name val="Arial"/>
    </font>
    <font>
      <sz val="7"/>
      <color theme="1"/>
      <name val="Calibri"/>
    </font>
    <font>
      <sz val="10"/>
      <color rgb="FF000080"/>
      <name val="Calibri"/>
    </font>
    <font>
      <b/>
      <sz val="10"/>
      <color theme="1"/>
      <name val="Calibri"/>
    </font>
    <font>
      <b/>
      <sz val="11"/>
      <color rgb="FFFFFFFF"/>
      <name val="Calibri"/>
    </font>
    <font>
      <b/>
      <sz val="11"/>
      <color theme="1"/>
      <name val="Calibri"/>
    </font>
    <font>
      <sz val="11"/>
      <color theme="1"/>
      <name val="Calibri"/>
    </font>
    <font>
      <sz val="10"/>
      <color rgb="FFFF0000"/>
      <name val="Calibri"/>
    </font>
    <font>
      <b/>
      <sz val="10"/>
      <color rgb="FFFF0000"/>
      <name val="Calibri"/>
    </font>
    <font>
      <i/>
      <sz val="11"/>
      <color theme="1"/>
      <name val="Calibri"/>
    </font>
    <font>
      <sz val="10"/>
      <color rgb="FF0000FF"/>
      <name val="Calibri"/>
    </font>
    <font>
      <sz val="8"/>
      <color theme="1"/>
      <name val="Calibri"/>
      <scheme val="minor"/>
    </font>
    <font>
      <i/>
      <sz val="10"/>
      <color theme="1"/>
      <name val="Calibri"/>
    </font>
    <font>
      <sz val="8"/>
      <color rgb="FFFF0000"/>
      <name val="Calibri"/>
    </font>
    <font>
      <sz val="11"/>
      <color rgb="FFFF0000"/>
      <name val="Calibri"/>
    </font>
    <font>
      <b/>
      <sz val="8"/>
      <color theme="1"/>
      <name val="Calibri"/>
    </font>
    <font>
      <b/>
      <sz val="12"/>
      <color rgb="FF548DD4"/>
      <name val="Calibri"/>
    </font>
    <font>
      <b/>
      <sz val="18"/>
      <color rgb="FF548DD4"/>
      <name val="Calibri"/>
    </font>
    <font>
      <sz val="10"/>
      <color rgb="FF000000"/>
      <name val="Arial"/>
    </font>
    <font>
      <sz val="9"/>
      <color rgb="FF000000"/>
      <name val="Calibri"/>
    </font>
    <font>
      <b/>
      <sz val="12"/>
      <color theme="1"/>
      <name val="Calibri"/>
    </font>
    <font>
      <sz val="8"/>
      <color theme="1"/>
      <name val="Calibri"/>
    </font>
    <font>
      <b/>
      <i/>
      <sz val="10"/>
      <color theme="1"/>
      <name val="Calibri"/>
    </font>
    <font>
      <sz val="8"/>
      <color rgb="FF00B0F0"/>
      <name val="Calibri"/>
      <scheme val="minor"/>
    </font>
    <font>
      <sz val="10"/>
      <color rgb="FF00B0F0"/>
      <name val="Calibri"/>
    </font>
    <font>
      <b/>
      <sz val="9"/>
      <color theme="1"/>
      <name val="Calibri"/>
    </font>
    <font>
      <sz val="11"/>
      <color rgb="FF000000"/>
      <name val="Calibri"/>
    </font>
    <font>
      <b/>
      <sz val="10"/>
      <color rgb="FF00B050"/>
      <name val="Calibri"/>
    </font>
    <font>
      <sz val="10"/>
      <color rgb="FFCCCCCC"/>
      <name val="Calibri"/>
    </font>
    <font>
      <u/>
      <sz val="9"/>
      <color rgb="FF0000FF"/>
      <name val="Calibri"/>
    </font>
    <font>
      <sz val="10"/>
      <color rgb="FFFF00FF"/>
      <name val="Calibri"/>
    </font>
    <font>
      <b/>
      <sz val="11"/>
      <color theme="0"/>
      <name val="Calibri"/>
    </font>
    <font>
      <b/>
      <sz val="11"/>
      <color theme="8"/>
      <name val="Calibri"/>
    </font>
    <font>
      <sz val="11"/>
      <color theme="1"/>
      <name val="Arial Narrow"/>
    </font>
    <font>
      <i/>
      <sz val="11"/>
      <color theme="1"/>
      <name val="Arial Narrow"/>
    </font>
    <font>
      <b/>
      <sz val="11"/>
      <color rgb="FF1155CC"/>
      <name val="Calibri"/>
    </font>
    <font>
      <b/>
      <sz val="9"/>
      <color rgb="FF000000"/>
      <name val="Calibri"/>
    </font>
    <font>
      <sz val="9"/>
      <color rgb="FF0563C1"/>
      <name val="Calibri"/>
    </font>
    <font>
      <i/>
      <sz val="9"/>
      <color theme="1"/>
      <name val="Calibri"/>
    </font>
    <font>
      <sz val="9"/>
      <color rgb="FFFF0000"/>
      <name val="Calibri"/>
    </font>
    <font>
      <vertAlign val="subscript"/>
      <sz val="11"/>
      <color theme="1"/>
      <name val="Calibri"/>
    </font>
    <font>
      <b/>
      <vertAlign val="subscript"/>
      <sz val="10"/>
      <color rgb="FF000000"/>
      <name val="Calibri"/>
    </font>
    <font>
      <b/>
      <vertAlign val="subscript"/>
      <sz val="10"/>
      <color theme="1"/>
      <name val="Calibri"/>
    </font>
    <font>
      <b/>
      <vertAlign val="subscript"/>
      <sz val="9"/>
      <color theme="1"/>
      <name val="Calibri"/>
    </font>
    <font>
      <vertAlign val="subscript"/>
      <sz val="10"/>
      <color theme="1"/>
      <name val="Calibri"/>
    </font>
    <font>
      <vertAlign val="subscript"/>
      <sz val="10"/>
      <color rgb="FF000000"/>
      <name val="Calibri"/>
    </font>
    <font>
      <vertAlign val="superscript"/>
      <sz val="10"/>
      <color rgb="FF000000"/>
      <name val="Calibri"/>
    </font>
    <font>
      <sz val="11"/>
      <color rgb="FF1155CC"/>
      <name val="Calibri"/>
    </font>
    <font>
      <b/>
      <sz val="10"/>
      <color rgb="FF000000"/>
      <name val="Calibri"/>
      <family val="2"/>
    </font>
    <font>
      <b/>
      <vertAlign val="subscript"/>
      <sz val="10"/>
      <color rgb="FF000000"/>
      <name val="Calibri"/>
      <family val="2"/>
    </font>
    <font>
      <b/>
      <sz val="11"/>
      <color theme="1"/>
      <name val="Calibri"/>
      <family val="2"/>
      <scheme val="minor"/>
    </font>
    <font>
      <b/>
      <sz val="8"/>
      <color theme="1"/>
      <name val="Calibri"/>
      <family val="2"/>
    </font>
    <font>
      <sz val="8"/>
      <color rgb="FF000000"/>
      <name val="Calibri"/>
      <family val="2"/>
      <scheme val="minor"/>
    </font>
    <font>
      <sz val="14"/>
      <color theme="1"/>
      <name val="Calibri"/>
      <family val="2"/>
      <scheme val="minor"/>
    </font>
    <font>
      <sz val="8"/>
      <color theme="1"/>
      <name val="Calibri"/>
      <family val="2"/>
      <scheme val="minor"/>
    </font>
    <font>
      <i/>
      <sz val="26"/>
      <color theme="1"/>
      <name val="Calibri"/>
      <family val="2"/>
      <scheme val="minor"/>
    </font>
    <font>
      <sz val="10"/>
      <color theme="1"/>
      <name val="Calibri"/>
      <family val="2"/>
      <scheme val="minor"/>
    </font>
    <font>
      <b/>
      <sz val="8"/>
      <color theme="1"/>
      <name val="Calibri"/>
      <family val="2"/>
      <scheme val="minor"/>
    </font>
    <font>
      <sz val="8"/>
      <name val="Calibri"/>
      <family val="2"/>
      <scheme val="minor"/>
    </font>
    <font>
      <b/>
      <sz val="7"/>
      <color theme="1"/>
      <name val="Calibri"/>
      <family val="2"/>
      <scheme val="minor"/>
    </font>
    <font>
      <sz val="7"/>
      <color theme="1"/>
      <name val="Calibri"/>
      <family val="2"/>
      <scheme val="minor"/>
    </font>
    <font>
      <b/>
      <vertAlign val="subscript"/>
      <sz val="8"/>
      <color theme="1"/>
      <name val="Calibri"/>
      <family val="2"/>
      <scheme val="minor"/>
    </font>
    <font>
      <sz val="9"/>
      <color theme="1"/>
      <name val="Calibri"/>
      <family val="2"/>
      <scheme val="minor"/>
    </font>
    <font>
      <sz val="10"/>
      <color rgb="FF000000"/>
      <name val="Calibri"/>
      <family val="2"/>
      <scheme val="minor"/>
    </font>
    <font>
      <i/>
      <sz val="10"/>
      <color theme="1"/>
      <name val="Calibri"/>
      <family val="2"/>
      <scheme val="minor"/>
    </font>
    <font>
      <b/>
      <sz val="10"/>
      <color theme="1"/>
      <name val="Calibri"/>
      <family val="2"/>
      <scheme val="minor"/>
    </font>
    <font>
      <sz val="10"/>
      <name val="Calibri"/>
      <family val="2"/>
      <scheme val="minor"/>
    </font>
    <font>
      <b/>
      <vertAlign val="subscript"/>
      <sz val="10"/>
      <color theme="1"/>
      <name val="Calibri"/>
      <family val="2"/>
      <scheme val="minor"/>
    </font>
    <font>
      <b/>
      <u/>
      <sz val="10"/>
      <color theme="1"/>
      <name val="Calibri"/>
      <family val="2"/>
      <scheme val="minor"/>
    </font>
    <font>
      <b/>
      <sz val="10"/>
      <color rgb="FF548DD4"/>
      <name val="Calibri"/>
      <family val="2"/>
      <scheme val="minor"/>
    </font>
    <font>
      <b/>
      <vertAlign val="subscript"/>
      <sz val="10"/>
      <color rgb="FF548DD4"/>
      <name val="Calibri"/>
      <family val="2"/>
      <scheme val="minor"/>
    </font>
    <font>
      <b/>
      <sz val="12"/>
      <color theme="1"/>
      <name val="Calibri"/>
      <family val="2"/>
      <scheme val="minor"/>
    </font>
    <font>
      <sz val="10"/>
      <color theme="1"/>
      <name val="Calibri"/>
      <family val="2"/>
      <scheme val="major"/>
    </font>
    <font>
      <sz val="10"/>
      <color rgb="FF000000"/>
      <name val="Calibri"/>
      <family val="2"/>
      <scheme val="major"/>
    </font>
    <font>
      <i/>
      <sz val="10"/>
      <color theme="1"/>
      <name val="Calibri"/>
      <family val="2"/>
      <scheme val="major"/>
    </font>
    <font>
      <sz val="10"/>
      <color rgb="FFFF0000"/>
      <name val="Calibri"/>
      <family val="2"/>
      <scheme val="major"/>
    </font>
    <font>
      <b/>
      <sz val="10"/>
      <color rgb="FF000000"/>
      <name val="Calibri"/>
      <family val="2"/>
      <scheme val="major"/>
    </font>
    <font>
      <b/>
      <sz val="10"/>
      <color theme="1"/>
      <name val="Calibri"/>
      <family val="2"/>
      <scheme val="major"/>
    </font>
    <font>
      <b/>
      <vertAlign val="subscript"/>
      <sz val="10"/>
      <color theme="1"/>
      <name val="Calibri"/>
      <family val="2"/>
      <scheme val="major"/>
    </font>
    <font>
      <sz val="10"/>
      <name val="Calibri"/>
      <family val="2"/>
      <scheme val="major"/>
    </font>
    <font>
      <b/>
      <sz val="12"/>
      <color theme="1"/>
      <name val="Calibri"/>
      <family val="2"/>
      <scheme val="major"/>
    </font>
    <font>
      <b/>
      <sz val="10"/>
      <color rgb="FF548DD4"/>
      <name val="Calibri"/>
      <family val="2"/>
      <scheme val="major"/>
    </font>
    <font>
      <b/>
      <sz val="12"/>
      <color rgb="FF548DD4"/>
      <name val="Calibri"/>
      <family val="2"/>
      <scheme val="minor"/>
    </font>
    <font>
      <b/>
      <sz val="11"/>
      <color rgb="FF548DD4"/>
      <name val="Calibri"/>
      <family val="2"/>
      <scheme val="minor"/>
    </font>
    <font>
      <u/>
      <sz val="9"/>
      <color theme="10"/>
      <name val="Calibri"/>
      <family val="2"/>
      <scheme val="minor"/>
    </font>
    <font>
      <sz val="9"/>
      <color theme="10"/>
      <name val="Calibri"/>
      <family val="2"/>
      <scheme val="minor"/>
    </font>
    <font>
      <sz val="8"/>
      <color rgb="FFFF0000"/>
      <name val="Calibri"/>
      <family val="2"/>
      <scheme val="minor"/>
    </font>
    <font>
      <b/>
      <sz val="10"/>
      <color rgb="FFFF0000"/>
      <name val="Calibri"/>
      <family val="2"/>
      <scheme val="minor"/>
    </font>
    <font>
      <b/>
      <sz val="10"/>
      <color rgb="FF000000"/>
      <name val="Calibri"/>
      <family val="2"/>
      <scheme val="minor"/>
    </font>
    <font>
      <sz val="10"/>
      <color rgb="FFFF0000"/>
      <name val="Calibri"/>
      <family val="2"/>
      <scheme val="minor"/>
    </font>
    <font>
      <u/>
      <sz val="10"/>
      <color theme="10"/>
      <name val="Calibri"/>
      <family val="2"/>
      <scheme val="minor"/>
    </font>
    <font>
      <sz val="10"/>
      <color theme="10"/>
      <name val="Calibri"/>
      <family val="2"/>
      <scheme val="minor"/>
    </font>
    <font>
      <u/>
      <sz val="10"/>
      <color rgb="FF0000FF"/>
      <name val="Calibri"/>
      <family val="2"/>
      <scheme val="minor"/>
    </font>
    <font>
      <sz val="10"/>
      <color rgb="FFFFFFFF"/>
      <name val="Calibri"/>
      <family val="2"/>
      <scheme val="minor"/>
    </font>
    <font>
      <sz val="10"/>
      <color rgb="FFFF00FF"/>
      <name val="Calibri"/>
      <family val="2"/>
      <scheme val="minor"/>
    </font>
    <font>
      <b/>
      <sz val="10"/>
      <color rgb="FFFF00FF"/>
      <name val="Calibri"/>
      <family val="2"/>
      <scheme val="minor"/>
    </font>
    <font>
      <vertAlign val="subscript"/>
      <sz val="10"/>
      <color theme="1"/>
      <name val="Calibri"/>
      <family val="2"/>
      <scheme val="minor"/>
    </font>
    <font>
      <b/>
      <sz val="12"/>
      <color theme="1"/>
      <name val="Calibri"/>
      <family val="2"/>
    </font>
    <font>
      <sz val="12"/>
      <name val="Calibri"/>
      <family val="2"/>
    </font>
    <font>
      <b/>
      <sz val="11"/>
      <color theme="0"/>
      <name val="Calibri"/>
      <family val="2"/>
    </font>
    <font>
      <sz val="12"/>
      <color theme="1"/>
      <name val="Calibri"/>
      <family val="2"/>
      <scheme val="minor"/>
    </font>
    <font>
      <b/>
      <sz val="8"/>
      <color rgb="FFFF0000"/>
      <name val="Calibri"/>
      <family val="2"/>
      <scheme val="minor"/>
    </font>
    <font>
      <sz val="8"/>
      <color rgb="FFFFFFFF"/>
      <name val="Calibri"/>
      <family val="2"/>
      <scheme val="minor"/>
    </font>
    <font>
      <i/>
      <sz val="8"/>
      <color theme="1"/>
      <name val="Calibri"/>
      <family val="2"/>
      <scheme val="minor"/>
    </font>
    <font>
      <vertAlign val="subscript"/>
      <sz val="8"/>
      <color theme="1"/>
      <name val="Calibri"/>
      <family val="2"/>
      <scheme val="minor"/>
    </font>
    <font>
      <sz val="10"/>
      <color theme="1"/>
      <name val="Calibri"/>
      <family val="2"/>
    </font>
    <font>
      <b/>
      <sz val="10"/>
      <color rgb="FF000080"/>
      <name val="Calibri"/>
      <family val="2"/>
      <scheme val="minor"/>
    </font>
    <font>
      <b/>
      <sz val="12"/>
      <color rgb="FF1155CC"/>
      <name val="Calibri"/>
      <family val="2"/>
      <scheme val="minor"/>
    </font>
    <font>
      <b/>
      <i/>
      <sz val="10"/>
      <color theme="1"/>
      <name val="Calibri"/>
      <family val="2"/>
      <scheme val="minor"/>
    </font>
    <font>
      <sz val="11"/>
      <color rgb="FF0000FF"/>
      <name val="Calibri"/>
      <family val="2"/>
      <scheme val="minor"/>
    </font>
    <font>
      <b/>
      <sz val="12"/>
      <color rgb="FF000000"/>
      <name val="Calibri"/>
      <family val="2"/>
      <scheme val="minor"/>
    </font>
    <font>
      <sz val="8"/>
      <color rgb="FF000000"/>
      <name val="Calibri"/>
      <scheme val="minor"/>
    </font>
  </fonts>
  <fills count="31">
    <fill>
      <patternFill patternType="none"/>
    </fill>
    <fill>
      <patternFill patternType="gray125"/>
    </fill>
    <fill>
      <patternFill patternType="solid">
        <fgColor rgb="FFFFFFFF"/>
        <bgColor rgb="FFFFFFFF"/>
      </patternFill>
    </fill>
    <fill>
      <patternFill patternType="solid">
        <fgColor rgb="FF00B0F0"/>
        <bgColor rgb="FF00B0F0"/>
      </patternFill>
    </fill>
    <fill>
      <patternFill patternType="solid">
        <fgColor rgb="FFCFE2F3"/>
        <bgColor rgb="FFCFE2F3"/>
      </patternFill>
    </fill>
    <fill>
      <patternFill patternType="solid">
        <fgColor rgb="FFF3F3F3"/>
        <bgColor rgb="FFF3F3F3"/>
      </patternFill>
    </fill>
    <fill>
      <patternFill patternType="solid">
        <fgColor rgb="FFD9D2E9"/>
        <bgColor rgb="FFD9D2E9"/>
      </patternFill>
    </fill>
    <fill>
      <patternFill patternType="solid">
        <fgColor rgb="FF333333"/>
        <bgColor rgb="FF333333"/>
      </patternFill>
    </fill>
    <fill>
      <patternFill patternType="solid">
        <fgColor rgb="FFFFFF99"/>
        <bgColor rgb="FFFFFF99"/>
      </patternFill>
    </fill>
    <fill>
      <patternFill patternType="solid">
        <fgColor rgb="FFFCE5CD"/>
        <bgColor rgb="FFFCE5CD"/>
      </patternFill>
    </fill>
    <fill>
      <patternFill patternType="solid">
        <fgColor rgb="FFD8D8D8"/>
        <bgColor rgb="FFD8D8D8"/>
      </patternFill>
    </fill>
    <fill>
      <patternFill patternType="solid">
        <fgColor rgb="FFBFBFBF"/>
        <bgColor rgb="FFBFBFBF"/>
      </patternFill>
    </fill>
    <fill>
      <patternFill patternType="solid">
        <fgColor rgb="FFD9D9D9"/>
        <bgColor rgb="FFD9D9D9"/>
      </patternFill>
    </fill>
    <fill>
      <patternFill patternType="solid">
        <fgColor theme="0"/>
        <bgColor theme="0"/>
      </patternFill>
    </fill>
    <fill>
      <patternFill patternType="solid">
        <fgColor rgb="FFFFCC99"/>
        <bgColor rgb="FFFFCC99"/>
      </patternFill>
    </fill>
    <fill>
      <patternFill patternType="solid">
        <fgColor rgb="FFCCFFFF"/>
        <bgColor rgb="FFCCFFFF"/>
      </patternFill>
    </fill>
    <fill>
      <patternFill patternType="solid">
        <fgColor rgb="FFCCFFCC"/>
        <bgColor rgb="FFCCFFCC"/>
      </patternFill>
    </fill>
    <fill>
      <patternFill patternType="solid">
        <fgColor rgb="FFFF99CC"/>
        <bgColor rgb="FFFF99CC"/>
      </patternFill>
    </fill>
    <fill>
      <patternFill patternType="solid">
        <fgColor rgb="FFCC99FF"/>
        <bgColor rgb="FFCC99FF"/>
      </patternFill>
    </fill>
    <fill>
      <patternFill patternType="solid">
        <fgColor rgb="FF92D050"/>
        <bgColor rgb="FF92D050"/>
      </patternFill>
    </fill>
    <fill>
      <patternFill patternType="solid">
        <fgColor theme="8"/>
        <bgColor theme="8"/>
      </patternFill>
    </fill>
    <fill>
      <patternFill patternType="solid">
        <fgColor rgb="FFF2F2F2"/>
        <bgColor rgb="FFF2F2F2"/>
      </patternFill>
    </fill>
    <fill>
      <patternFill patternType="solid">
        <fgColor rgb="FFFF9900"/>
        <bgColor rgb="FFFF9900"/>
      </patternFill>
    </fill>
    <fill>
      <patternFill patternType="solid">
        <fgColor rgb="FFFFF2CC"/>
        <bgColor rgb="FFFFF2CC"/>
      </patternFill>
    </fill>
    <fill>
      <patternFill patternType="solid">
        <fgColor rgb="FF33CCCC"/>
        <bgColor rgb="FF33CCCC"/>
      </patternFill>
    </fill>
    <fill>
      <patternFill patternType="solid">
        <fgColor rgb="FFC9DAF8"/>
        <bgColor rgb="FFC9DAF8"/>
      </patternFill>
    </fill>
    <fill>
      <patternFill patternType="solid">
        <fgColor rgb="FFD9EAD3"/>
        <bgColor rgb="FFD9EAD3"/>
      </patternFill>
    </fill>
    <fill>
      <patternFill patternType="solid">
        <fgColor rgb="FFA4C2F4"/>
        <bgColor rgb="FFA4C2F4"/>
      </patternFill>
    </fill>
    <fill>
      <patternFill patternType="solid">
        <fgColor rgb="FFFCE4D6"/>
        <bgColor rgb="FFFCE4D6"/>
      </patternFill>
    </fill>
    <fill>
      <patternFill patternType="solid">
        <fgColor rgb="FF99CC00"/>
        <bgColor rgb="FF99CC00"/>
      </patternFill>
    </fill>
    <fill>
      <patternFill patternType="solid">
        <fgColor rgb="FFEAD1DC"/>
        <bgColor rgb="FFEAD1DC"/>
      </patternFill>
    </fill>
  </fills>
  <borders count="20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double">
        <color rgb="FF000000"/>
      </left>
      <right style="thin">
        <color rgb="FF000000"/>
      </right>
      <top style="double">
        <color rgb="FF000000"/>
      </top>
      <bottom style="thin">
        <color rgb="FFFFFFFF"/>
      </bottom>
      <diagonal/>
    </border>
    <border>
      <left style="medium">
        <color rgb="FF000000"/>
      </left>
      <right/>
      <top style="medium">
        <color rgb="FF000000"/>
      </top>
      <bottom style="medium">
        <color rgb="FF000000"/>
      </bottom>
      <diagonal/>
    </border>
    <border>
      <left style="thin">
        <color rgb="FF000000"/>
      </left>
      <right style="thin">
        <color rgb="FF000000"/>
      </right>
      <top style="double">
        <color rgb="FF000000"/>
      </top>
      <bottom style="thin">
        <color rgb="FFFFFFFF"/>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style="thin">
        <color rgb="FF000000"/>
      </right>
      <top/>
      <bottom style="thin">
        <color rgb="FF000000"/>
      </bottom>
      <diagonal/>
    </border>
    <border>
      <left style="thin">
        <color rgb="FF000000"/>
      </left>
      <right style="double">
        <color rgb="FF000000"/>
      </right>
      <top style="double">
        <color rgb="FF000000"/>
      </top>
      <bottom style="thin">
        <color rgb="FFFFFFFF"/>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double">
        <color rgb="FF000000"/>
      </left>
      <right style="thin">
        <color rgb="FF000000"/>
      </right>
      <top style="thin">
        <color rgb="FFFFFFFF"/>
      </top>
      <bottom style="medium">
        <color rgb="FF000000"/>
      </bottom>
      <diagonal/>
    </border>
    <border>
      <left style="thin">
        <color rgb="FF000000"/>
      </left>
      <right style="thin">
        <color rgb="FF000000"/>
      </right>
      <top style="thin">
        <color rgb="FFFFFFFF"/>
      </top>
      <bottom style="medium">
        <color rgb="FF000000"/>
      </bottom>
      <diagonal/>
    </border>
    <border>
      <left style="medium">
        <color rgb="FF000000"/>
      </left>
      <right style="medium">
        <color rgb="FFC0C0C0"/>
      </right>
      <top/>
      <bottom style="thin">
        <color rgb="FF000000"/>
      </bottom>
      <diagonal/>
    </border>
    <border>
      <left style="medium">
        <color rgb="FFC0C0C0"/>
      </left>
      <right style="medium">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style="double">
        <color rgb="FF000000"/>
      </right>
      <top style="thin">
        <color rgb="FFFFFFFF"/>
      </top>
      <bottom style="medium">
        <color rgb="FF000000"/>
      </bottom>
      <diagonal/>
    </border>
    <border>
      <left/>
      <right style="medium">
        <color rgb="FF000000"/>
      </right>
      <top style="medium">
        <color rgb="FF000000"/>
      </top>
      <bottom/>
      <diagonal/>
    </border>
    <border>
      <left style="medium">
        <color rgb="FF000000"/>
      </left>
      <right/>
      <top style="thin">
        <color rgb="FF000000"/>
      </top>
      <bottom style="thin">
        <color rgb="FFC0C0C0"/>
      </bottom>
      <diagonal/>
    </border>
    <border>
      <left style="medium">
        <color rgb="FF000000"/>
      </left>
      <right/>
      <top/>
      <bottom/>
      <diagonal/>
    </border>
    <border>
      <left style="double">
        <color rgb="FF000000"/>
      </left>
      <right style="thin">
        <color rgb="FF000000"/>
      </right>
      <top/>
      <bottom style="thin">
        <color rgb="FF000000"/>
      </bottom>
      <diagonal/>
    </border>
    <border>
      <left style="medium">
        <color rgb="FF000000"/>
      </left>
      <right/>
      <top style="thin">
        <color rgb="FFC0C0C0"/>
      </top>
      <bottom style="thin">
        <color rgb="FFC0C0C0"/>
      </bottom>
      <diagonal/>
    </border>
    <border>
      <left style="thin">
        <color rgb="FF000000"/>
      </left>
      <right/>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bottom/>
      <diagonal/>
    </border>
    <border>
      <left style="thin">
        <color rgb="FF000000"/>
      </left>
      <right style="double">
        <color rgb="FF000000"/>
      </right>
      <top/>
      <bottom style="thin">
        <color rgb="FF000000"/>
      </bottom>
      <diagonal/>
    </border>
    <border>
      <left style="double">
        <color rgb="FF000000"/>
      </left>
      <right style="thin">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right style="medium">
        <color rgb="FF000000"/>
      </right>
      <top/>
      <bottom/>
      <diagonal/>
    </border>
    <border>
      <left style="double">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double">
        <color rgb="FF000000"/>
      </right>
      <top style="thin">
        <color rgb="FF000000"/>
      </top>
      <bottom style="medium">
        <color rgb="FF000000"/>
      </bottom>
      <diagonal/>
    </border>
    <border>
      <left style="double">
        <color rgb="FF000000"/>
      </left>
      <right/>
      <top/>
      <bottom style="double">
        <color rgb="FF000000"/>
      </bottom>
      <diagonal/>
    </border>
    <border>
      <left/>
      <right/>
      <top/>
      <bottom style="double">
        <color rgb="FF000000"/>
      </bottom>
      <diagonal/>
    </border>
    <border>
      <left style="thin">
        <color rgb="FF000000"/>
      </left>
      <right style="thin">
        <color rgb="FF000000"/>
      </right>
      <top/>
      <bottom style="double">
        <color rgb="FF000000"/>
      </bottom>
      <diagonal/>
    </border>
    <border>
      <left style="thin">
        <color rgb="FF000000"/>
      </left>
      <right style="double">
        <color rgb="FF000000"/>
      </right>
      <top/>
      <bottom style="double">
        <color rgb="FF000000"/>
      </bottom>
      <diagonal/>
    </border>
    <border>
      <left style="medium">
        <color rgb="FF000000"/>
      </left>
      <right/>
      <top/>
      <bottom style="medium">
        <color rgb="FF000000"/>
      </bottom>
      <diagonal/>
    </border>
    <border>
      <left style="double">
        <color rgb="FF000000"/>
      </left>
      <right style="thin">
        <color rgb="FF000000"/>
      </right>
      <top style="medium">
        <color rgb="FF000000"/>
      </top>
      <bottom style="thin">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medium">
        <color rgb="FF000000"/>
      </top>
      <bottom style="thin">
        <color rgb="FF000000"/>
      </bottom>
      <diagonal/>
    </border>
    <border>
      <left style="thin">
        <color rgb="FF000000"/>
      </left>
      <right style="double">
        <color rgb="FF000000"/>
      </right>
      <top style="medium">
        <color rgb="FF000000"/>
      </top>
      <bottom style="thin">
        <color rgb="FF000000"/>
      </bottom>
      <diagonal/>
    </border>
    <border>
      <left style="medium">
        <color rgb="FF000000"/>
      </left>
      <right/>
      <top style="thin">
        <color rgb="FFC0C0C0"/>
      </top>
      <bottom style="thin">
        <color rgb="FF000000"/>
      </bottom>
      <diagonal/>
    </border>
    <border>
      <left style="double">
        <color rgb="FF000000"/>
      </left>
      <right/>
      <top style="double">
        <color rgb="FF000000"/>
      </top>
      <bottom style="thin">
        <color rgb="FFFFFFFF"/>
      </bottom>
      <diagonal/>
    </border>
    <border>
      <left style="thin">
        <color rgb="FF000000"/>
      </left>
      <right/>
      <top style="double">
        <color rgb="FF000000"/>
      </top>
      <bottom style="thin">
        <color rgb="FFFFFFFF"/>
      </bottom>
      <diagonal/>
    </border>
    <border>
      <left style="thin">
        <color rgb="FF000000"/>
      </left>
      <right/>
      <top style="thin">
        <color rgb="FFFFFFFF"/>
      </top>
      <bottom style="medium">
        <color rgb="FF000000"/>
      </bottom>
      <diagonal/>
    </border>
    <border>
      <left style="double">
        <color rgb="FF000000"/>
      </left>
      <right style="double">
        <color rgb="FF000000"/>
      </right>
      <top/>
      <bottom style="double">
        <color rgb="FF000000"/>
      </bottom>
      <diagonal/>
    </border>
    <border>
      <left/>
      <right/>
      <top style="medium">
        <color rgb="FF000000"/>
      </top>
      <bottom/>
      <diagonal/>
    </border>
    <border>
      <left/>
      <right style="double">
        <color rgb="FF000000"/>
      </right>
      <top style="double">
        <color rgb="FF000000"/>
      </top>
      <bottom style="thin">
        <color rgb="FFFFFFFF"/>
      </bottom>
      <diagonal/>
    </border>
    <border>
      <left/>
      <right style="double">
        <color rgb="FF000000"/>
      </right>
      <top style="thin">
        <color rgb="FFFFFFFF"/>
      </top>
      <bottom style="medium">
        <color rgb="FF000000"/>
      </bottom>
      <diagonal/>
    </border>
    <border>
      <left/>
      <right style="double">
        <color rgb="FF000000"/>
      </right>
      <top style="medium">
        <color rgb="FF000000"/>
      </top>
      <bottom style="thin">
        <color rgb="FF000000"/>
      </bottom>
      <diagonal/>
    </border>
    <border>
      <left/>
      <right style="double">
        <color rgb="FF000000"/>
      </right>
      <top style="thin">
        <color rgb="FF000000"/>
      </top>
      <bottom style="thin">
        <color rgb="FF000000"/>
      </bottom>
      <diagonal/>
    </border>
    <border>
      <left style="double">
        <color rgb="FF000000"/>
      </left>
      <right style="thin">
        <color rgb="FF000000"/>
      </right>
      <top/>
      <bottom/>
      <diagonal/>
    </border>
    <border>
      <left style="thin">
        <color rgb="FF000000"/>
      </left>
      <right style="thin">
        <color rgb="FF000000"/>
      </right>
      <top/>
      <bottom/>
      <diagonal/>
    </border>
    <border>
      <left style="thin">
        <color rgb="FF000000"/>
      </left>
      <right style="double">
        <color rgb="FF000000"/>
      </right>
      <top/>
      <bottom/>
      <diagonal/>
    </border>
    <border>
      <left style="double">
        <color rgb="FF000000"/>
      </left>
      <right/>
      <top style="medium">
        <color rgb="FF000000"/>
      </top>
      <bottom style="double">
        <color rgb="FF000000"/>
      </bottom>
      <diagonal/>
    </border>
    <border>
      <left/>
      <right/>
      <top style="medium">
        <color rgb="FF000000"/>
      </top>
      <bottom style="double">
        <color rgb="FF000000"/>
      </bottom>
      <diagonal/>
    </border>
    <border>
      <left style="thin">
        <color rgb="FF000000"/>
      </left>
      <right style="thin">
        <color rgb="FF000000"/>
      </right>
      <top style="medium">
        <color rgb="FF000000"/>
      </top>
      <bottom style="double">
        <color rgb="FF000000"/>
      </bottom>
      <diagonal/>
    </border>
    <border>
      <left/>
      <right style="double">
        <color rgb="FF000000"/>
      </right>
      <top style="medium">
        <color rgb="FF000000"/>
      </top>
      <bottom style="double">
        <color rgb="FF000000"/>
      </bottom>
      <diagonal/>
    </border>
    <border>
      <left/>
      <right style="double">
        <color rgb="FF000000"/>
      </right>
      <top style="thin">
        <color rgb="FF000000"/>
      </top>
      <bottom style="medium">
        <color rgb="FF000000"/>
      </bottom>
      <diagonal/>
    </border>
    <border>
      <left style="thin">
        <color rgb="FF000000"/>
      </left>
      <right style="thin">
        <color rgb="FF000000"/>
      </right>
      <top/>
      <bottom style="double">
        <color rgb="FF000000"/>
      </bottom>
      <diagonal/>
    </border>
    <border>
      <left/>
      <right style="double">
        <color rgb="FF000000"/>
      </right>
      <top/>
      <bottom style="double">
        <color rgb="FF000000"/>
      </bottom>
      <diagonal/>
    </border>
    <border>
      <left style="double">
        <color rgb="FF000000"/>
      </left>
      <right/>
      <top style="thin">
        <color rgb="FFFFFFFF"/>
      </top>
      <bottom style="medium">
        <color rgb="FF000000"/>
      </bottom>
      <diagonal/>
    </border>
    <border>
      <left style="medium">
        <color rgb="FF000000"/>
      </left>
      <right/>
      <top/>
      <bottom style="thin">
        <color rgb="FF000000"/>
      </bottom>
      <diagonal/>
    </border>
    <border>
      <left style="double">
        <color rgb="FF000000"/>
      </left>
      <right style="double">
        <color rgb="FF000000"/>
      </right>
      <top style="double">
        <color rgb="FF000000"/>
      </top>
      <bottom style="thin">
        <color rgb="FFFFFFFF"/>
      </bottom>
      <diagonal/>
    </border>
    <border>
      <left style="double">
        <color rgb="FF000000"/>
      </left>
      <right style="double">
        <color rgb="FF000000"/>
      </right>
      <top style="thin">
        <color rgb="FFFFFFFF"/>
      </top>
      <bottom style="medium">
        <color rgb="FF000000"/>
      </bottom>
      <diagonal/>
    </border>
    <border>
      <left style="double">
        <color rgb="FF000000"/>
      </left>
      <right/>
      <top/>
      <bottom style="thin">
        <color rgb="FF000000"/>
      </bottom>
      <diagonal/>
    </border>
    <border>
      <left/>
      <right/>
      <top/>
      <bottom style="thin">
        <color rgb="FF000000"/>
      </bottom>
      <diagonal/>
    </border>
    <border>
      <left style="double">
        <color rgb="FF000000"/>
      </left>
      <right style="double">
        <color rgb="FF000000"/>
      </right>
      <top/>
      <bottom style="thin">
        <color rgb="FF000000"/>
      </bottom>
      <diagonal/>
    </border>
    <border>
      <left style="double">
        <color rgb="FF000000"/>
      </left>
      <right/>
      <top style="thin">
        <color rgb="FF000000"/>
      </top>
      <bottom style="thin">
        <color rgb="FF000000"/>
      </bottom>
      <diagonal/>
    </border>
    <border>
      <left style="double">
        <color rgb="FF000000"/>
      </left>
      <right style="double">
        <color rgb="FF000000"/>
      </right>
      <top style="thin">
        <color rgb="FF000000"/>
      </top>
      <bottom style="thin">
        <color rgb="FF000000"/>
      </bottom>
      <diagonal/>
    </border>
    <border>
      <left style="double">
        <color rgb="FF000000"/>
      </left>
      <right/>
      <top style="thin">
        <color rgb="FF000000"/>
      </top>
      <bottom style="medium">
        <color rgb="FF000000"/>
      </bottom>
      <diagonal/>
    </border>
    <border>
      <left/>
      <right/>
      <top style="thin">
        <color rgb="FF000000"/>
      </top>
      <bottom style="medium">
        <color rgb="FF000000"/>
      </bottom>
      <diagonal/>
    </border>
    <border>
      <left style="double">
        <color rgb="FF000000"/>
      </left>
      <right style="double">
        <color rgb="FF000000"/>
      </right>
      <top style="thin">
        <color rgb="FF000000"/>
      </top>
      <bottom style="medium">
        <color rgb="FF000000"/>
      </bottom>
      <diagonal/>
    </border>
    <border>
      <left/>
      <right style="medium">
        <color rgb="FF000000"/>
      </right>
      <top/>
      <bottom style="thin">
        <color rgb="FF000000"/>
      </bottom>
      <diagonal/>
    </border>
    <border>
      <left style="thin">
        <color rgb="FF000000"/>
      </left>
      <right/>
      <top style="medium">
        <color rgb="FF000000"/>
      </top>
      <bottom style="double">
        <color rgb="FF000000"/>
      </bottom>
      <diagonal/>
    </border>
    <border>
      <left style="double">
        <color rgb="FF000000"/>
      </left>
      <right style="double">
        <color rgb="FF000000"/>
      </right>
      <top style="medium">
        <color rgb="FF000000"/>
      </top>
      <bottom style="double">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double">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double">
        <color rgb="FF000000"/>
      </top>
      <bottom/>
      <diagonal/>
    </border>
    <border>
      <left style="thin">
        <color rgb="FF000000"/>
      </left>
      <right style="double">
        <color rgb="FF000000"/>
      </right>
      <top style="double">
        <color rgb="FF000000"/>
      </top>
      <bottom/>
      <diagonal/>
    </border>
    <border>
      <left style="double">
        <color rgb="FF000000"/>
      </left>
      <right style="thin">
        <color rgb="FF000000"/>
      </right>
      <top/>
      <bottom/>
      <diagonal/>
    </border>
    <border>
      <left style="thin">
        <color rgb="FF000000"/>
      </left>
      <right style="thin">
        <color rgb="FF000000"/>
      </right>
      <top/>
      <bottom/>
      <diagonal/>
    </border>
    <border>
      <left style="thin">
        <color rgb="FF000000"/>
      </left>
      <right style="double">
        <color rgb="FF000000"/>
      </right>
      <top/>
      <bottom/>
      <diagonal/>
    </border>
    <border>
      <left style="double">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double">
        <color rgb="FF000000"/>
      </right>
      <top/>
      <bottom style="medium">
        <color rgb="FF000000"/>
      </bottom>
      <diagonal/>
    </border>
    <border>
      <left style="double">
        <color rgb="FF000000"/>
      </left>
      <right style="thin">
        <color rgb="FF000000"/>
      </right>
      <top style="medium">
        <color rgb="FF000000"/>
      </top>
      <bottom style="double">
        <color rgb="FF000000"/>
      </bottom>
      <diagonal/>
    </border>
    <border>
      <left style="thin">
        <color rgb="FF000000"/>
      </left>
      <right style="double">
        <color rgb="FF000000"/>
      </right>
      <top style="medium">
        <color rgb="FF000000"/>
      </top>
      <bottom style="double">
        <color rgb="FF000000"/>
      </bottom>
      <diagonal/>
    </border>
    <border>
      <left style="thin">
        <color rgb="FF000000"/>
      </left>
      <right style="thin">
        <color rgb="FF000000"/>
      </right>
      <top/>
      <bottom style="medium">
        <color rgb="FF000000"/>
      </bottom>
      <diagonal/>
    </border>
    <border>
      <left style="double">
        <color rgb="FF000000"/>
      </left>
      <right style="thin">
        <color rgb="FF000000"/>
      </right>
      <top/>
      <bottom style="double">
        <color rgb="FF000000"/>
      </bottom>
      <diagonal/>
    </border>
    <border>
      <left style="thin">
        <color rgb="FF000000"/>
      </left>
      <right style="double">
        <color rgb="FF000000"/>
      </right>
      <top/>
      <bottom style="double">
        <color rgb="FF000000"/>
      </bottom>
      <diagonal/>
    </border>
    <border>
      <left style="double">
        <color rgb="FF000000"/>
      </left>
      <right/>
      <top style="medium">
        <color rgb="FF000000"/>
      </top>
      <bottom style="thin">
        <color rgb="FF000000"/>
      </bottom>
      <diagonal/>
    </border>
    <border>
      <left style="double">
        <color rgb="FF000000"/>
      </left>
      <right style="thin">
        <color rgb="FF000000"/>
      </right>
      <top style="thin">
        <color rgb="FF000000"/>
      </top>
      <bottom/>
      <diagonal/>
    </border>
    <border>
      <left style="double">
        <color rgb="FF000000"/>
      </left>
      <right style="double">
        <color rgb="FF000000"/>
      </right>
      <top style="thin">
        <color rgb="FF000000"/>
      </top>
      <bottom/>
      <diagonal/>
    </border>
    <border>
      <left style="thin">
        <color rgb="FF000000"/>
      </left>
      <right/>
      <top/>
      <bottom style="medium">
        <color rgb="FF000000"/>
      </bottom>
      <diagonal/>
    </border>
    <border>
      <left style="double">
        <color rgb="FF000000"/>
      </left>
      <right style="double">
        <color rgb="FF000000"/>
      </right>
      <top/>
      <bottom style="medium">
        <color rgb="FF000000"/>
      </bottom>
      <diagonal/>
    </border>
    <border>
      <left style="double">
        <color rgb="FF000000"/>
      </left>
      <right style="double">
        <color rgb="FF000000"/>
      </right>
      <top/>
      <bottom style="double">
        <color rgb="FF000000"/>
      </bottom>
      <diagonal/>
    </border>
    <border>
      <left style="medium">
        <color rgb="FF000000"/>
      </left>
      <right style="thin">
        <color rgb="FF000000"/>
      </right>
      <top style="medium">
        <color rgb="FF000000"/>
      </top>
      <bottom/>
      <diagonal/>
    </border>
    <border>
      <left/>
      <right/>
      <top style="medium">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top/>
      <bottom style="thin">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top/>
      <bottom/>
      <diagonal/>
    </border>
    <border>
      <left style="double">
        <color rgb="FF000000"/>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style="double">
        <color rgb="FF000000"/>
      </right>
      <top style="double">
        <color rgb="FF000000"/>
      </top>
      <bottom style="thin">
        <color rgb="FF000000"/>
      </bottom>
      <diagonal/>
    </border>
    <border>
      <left style="double">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double">
        <color rgb="FF000000"/>
      </right>
      <top style="thin">
        <color rgb="FF000000"/>
      </top>
      <bottom style="double">
        <color rgb="FF000000"/>
      </bottom>
      <diagonal/>
    </border>
    <border>
      <left style="double">
        <color rgb="FF000000"/>
      </left>
      <right/>
      <top style="thin">
        <color rgb="FF000000"/>
      </top>
      <bottom style="double">
        <color rgb="FF000000"/>
      </bottom>
      <diagonal/>
    </border>
    <border>
      <left style="double">
        <color rgb="FF000000"/>
      </left>
      <right/>
      <top/>
      <bottom/>
      <diagonal/>
    </border>
    <border>
      <left style="double">
        <color rgb="FF000000"/>
      </left>
      <right/>
      <top style="double">
        <color rgb="FF000000"/>
      </top>
      <bottom style="thin">
        <color rgb="FF000000"/>
      </bottom>
      <diagonal/>
    </border>
    <border>
      <left/>
      <right/>
      <top style="double">
        <color rgb="FF000000"/>
      </top>
      <bottom style="thin">
        <color rgb="FF000000"/>
      </bottom>
      <diagonal/>
    </border>
    <border>
      <left/>
      <right style="double">
        <color rgb="FF000000"/>
      </right>
      <top style="double">
        <color rgb="FF000000"/>
      </top>
      <bottom style="thin">
        <color rgb="FF000000"/>
      </bottom>
      <diagonal/>
    </border>
    <border>
      <left style="double">
        <color rgb="FF000000"/>
      </left>
      <right/>
      <top style="double">
        <color rgb="FF000000"/>
      </top>
      <bottom/>
      <diagonal/>
    </border>
    <border>
      <left style="thin">
        <color rgb="FF000000"/>
      </left>
      <right style="thin">
        <color rgb="FF000000"/>
      </right>
      <top style="double">
        <color rgb="FF000000"/>
      </top>
      <bottom/>
      <diagonal/>
    </border>
    <border>
      <left style="thin">
        <color rgb="FF000000"/>
      </left>
      <right/>
      <top style="double">
        <color rgb="FF000000"/>
      </top>
      <bottom/>
      <diagonal/>
    </border>
    <border>
      <left style="double">
        <color rgb="FF000000"/>
      </left>
      <right style="double">
        <color rgb="FF000000"/>
      </right>
      <top style="double">
        <color rgb="FF000000"/>
      </top>
      <bottom/>
      <diagonal/>
    </border>
    <border>
      <left style="double">
        <color rgb="FF000000"/>
      </left>
      <right style="double">
        <color rgb="FF000000"/>
      </right>
      <top style="medium">
        <color rgb="FF000000"/>
      </top>
      <bottom style="thin">
        <color rgb="FF000000"/>
      </bottom>
      <diagonal/>
    </border>
    <border>
      <left style="double">
        <color rgb="FF000000"/>
      </left>
      <right style="double">
        <color rgb="FF000000"/>
      </right>
      <top/>
      <bottom/>
      <diagonal/>
    </border>
    <border>
      <left style="double">
        <color rgb="FF000000"/>
      </left>
      <right style="thin">
        <color rgb="FF000000"/>
      </right>
      <top/>
      <bottom style="double">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top style="medium">
        <color rgb="FF000000"/>
      </top>
      <bottom/>
      <diagonal/>
    </border>
    <border>
      <left style="thin">
        <color rgb="FF000000"/>
      </left>
      <right/>
      <top/>
      <bottom/>
      <diagonal/>
    </border>
    <border>
      <left style="thin">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medium">
        <color rgb="FF000000"/>
      </left>
      <right style="medium">
        <color rgb="FF000000"/>
      </right>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rgb="FF000000"/>
      </top>
      <bottom/>
      <diagonal/>
    </border>
    <border>
      <left/>
      <right style="medium">
        <color rgb="FF000000"/>
      </right>
      <top style="thin">
        <color rgb="FF000000"/>
      </top>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right style="thin">
        <color rgb="FF000000"/>
      </right>
      <top/>
      <bottom style="medium">
        <color rgb="FF000000"/>
      </bottom>
      <diagonal/>
    </border>
    <border>
      <left/>
      <right style="thin">
        <color rgb="FF000000"/>
      </right>
      <top style="thin">
        <color rgb="FF000000"/>
      </top>
      <bottom style="medium">
        <color rgb="FF000000"/>
      </bottom>
      <diagonal/>
    </border>
    <border>
      <left/>
      <right/>
      <top style="medium">
        <color rgb="FF000000"/>
      </top>
      <bottom/>
      <diagonal/>
    </border>
    <border>
      <left style="thin">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medium">
        <color rgb="FF000000"/>
      </top>
      <bottom/>
      <diagonal/>
    </border>
    <border>
      <left/>
      <right style="thin">
        <color rgb="FF000000"/>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medium">
        <color rgb="FF000000"/>
      </bottom>
      <diagonal/>
    </border>
    <border>
      <left/>
      <right style="thin">
        <color rgb="FF000000"/>
      </right>
      <top/>
      <bottom style="medium">
        <color rgb="FF000000"/>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style="thin">
        <color rgb="FF000000"/>
      </top>
      <bottom/>
      <diagonal/>
    </border>
    <border>
      <left/>
      <right/>
      <top style="medium">
        <color rgb="FF000000"/>
      </top>
      <bottom style="medium">
        <color rgb="FF000000"/>
      </bottom>
      <diagonal/>
    </border>
    <border>
      <left/>
      <right/>
      <top/>
      <bottom/>
      <diagonal/>
    </border>
    <border>
      <left/>
      <right/>
      <top/>
      <bottom/>
      <diagonal/>
    </border>
    <border>
      <left/>
      <right style="thin">
        <color rgb="FF000000"/>
      </right>
      <top style="medium">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s>
  <cellStyleXfs count="2">
    <xf numFmtId="0" fontId="0" fillId="0" borderId="0"/>
    <xf numFmtId="0" fontId="122" fillId="0" borderId="200"/>
  </cellStyleXfs>
  <cellXfs count="2065">
    <xf numFmtId="0" fontId="0" fillId="0" borderId="0" xfId="0"/>
    <xf numFmtId="0" fontId="2" fillId="0" borderId="0" xfId="0" applyFont="1"/>
    <xf numFmtId="0" fontId="3" fillId="0" borderId="0" xfId="0" applyFont="1"/>
    <xf numFmtId="0" fontId="3" fillId="0" borderId="0" xfId="0" applyFont="1" applyAlignment="1">
      <alignment horizontal="left"/>
    </xf>
    <xf numFmtId="0" fontId="4" fillId="0" borderId="0" xfId="0" applyFont="1"/>
    <xf numFmtId="0" fontId="3" fillId="0" borderId="0" xfId="0" applyFont="1" applyAlignment="1">
      <alignment vertical="top"/>
    </xf>
    <xf numFmtId="0" fontId="5" fillId="0" borderId="0" xfId="0" applyFont="1" applyAlignment="1">
      <alignment horizontal="left"/>
    </xf>
    <xf numFmtId="0" fontId="6" fillId="0" borderId="0" xfId="0" applyFont="1"/>
    <xf numFmtId="0" fontId="7" fillId="0" borderId="0" xfId="0" applyFont="1"/>
    <xf numFmtId="0" fontId="8" fillId="0" borderId="0" xfId="0" applyFont="1"/>
    <xf numFmtId="0" fontId="2" fillId="0" borderId="0" xfId="0" applyFont="1" applyAlignment="1">
      <alignment horizontal="center"/>
    </xf>
    <xf numFmtId="0" fontId="10" fillId="0" borderId="0" xfId="0" applyFont="1"/>
    <xf numFmtId="0" fontId="11" fillId="0" borderId="0" xfId="0" applyFont="1"/>
    <xf numFmtId="0" fontId="7" fillId="0" borderId="1" xfId="0" applyFont="1" applyBorder="1" applyAlignment="1">
      <alignment horizontal="center"/>
    </xf>
    <xf numFmtId="0" fontId="8" fillId="0" borderId="3" xfId="0" applyFont="1" applyBorder="1" applyAlignment="1">
      <alignment horizontal="right"/>
    </xf>
    <xf numFmtId="0" fontId="8" fillId="0" borderId="5" xfId="0" applyFont="1" applyBorder="1" applyAlignment="1">
      <alignment horizontal="center"/>
    </xf>
    <xf numFmtId="0" fontId="12" fillId="0" borderId="0" xfId="0" applyFont="1" applyAlignment="1">
      <alignment horizontal="left"/>
    </xf>
    <xf numFmtId="0" fontId="13" fillId="0" borderId="0" xfId="0" applyFont="1" applyAlignment="1">
      <alignment horizontal="left" vertical="top"/>
    </xf>
    <xf numFmtId="0" fontId="8" fillId="0" borderId="6" xfId="0" applyFont="1" applyBorder="1" applyAlignment="1">
      <alignment horizontal="center"/>
    </xf>
    <xf numFmtId="0" fontId="7" fillId="0" borderId="6" xfId="0" applyFont="1" applyBorder="1" applyAlignment="1">
      <alignment horizontal="center"/>
    </xf>
    <xf numFmtId="0" fontId="3" fillId="0" borderId="6" xfId="0" applyFont="1" applyBorder="1" applyAlignment="1">
      <alignment horizontal="center" wrapText="1"/>
    </xf>
    <xf numFmtId="0" fontId="3" fillId="0" borderId="0" xfId="0" applyFont="1" applyAlignment="1">
      <alignment horizontal="left" wrapText="1"/>
    </xf>
    <xf numFmtId="3" fontId="8" fillId="0" borderId="7" xfId="0" applyNumberFormat="1" applyFont="1" applyBorder="1" applyAlignment="1">
      <alignment horizontal="center"/>
    </xf>
    <xf numFmtId="0" fontId="14" fillId="0" borderId="0" xfId="0" applyFont="1"/>
    <xf numFmtId="3" fontId="2" fillId="0" borderId="0" xfId="0" applyNumberFormat="1" applyFont="1"/>
    <xf numFmtId="0" fontId="3" fillId="0" borderId="6" xfId="0" applyFont="1" applyBorder="1" applyAlignment="1">
      <alignment horizontal="left"/>
    </xf>
    <xf numFmtId="0" fontId="3" fillId="0" borderId="6" xfId="0" applyFont="1" applyBorder="1" applyAlignment="1">
      <alignment horizontal="right" wrapText="1"/>
    </xf>
    <xf numFmtId="0" fontId="8" fillId="0" borderId="0" xfId="0" applyFont="1" applyAlignment="1">
      <alignment horizontal="right"/>
    </xf>
    <xf numFmtId="0" fontId="5" fillId="4" borderId="9" xfId="0" applyFont="1" applyFill="1" applyBorder="1" applyAlignment="1">
      <alignment horizontal="left" wrapText="1"/>
    </xf>
    <xf numFmtId="0" fontId="5" fillId="0" borderId="0" xfId="0" applyFont="1" applyAlignment="1">
      <alignment horizontal="left" wrapText="1"/>
    </xf>
    <xf numFmtId="0" fontId="3" fillId="0" borderId="6" xfId="0" applyFont="1" applyBorder="1" applyAlignment="1">
      <alignment horizontal="left" wrapText="1"/>
    </xf>
    <xf numFmtId="0" fontId="5" fillId="5" borderId="6" xfId="0" applyFont="1" applyFill="1" applyBorder="1"/>
    <xf numFmtId="0" fontId="5" fillId="5" borderId="11" xfId="0" applyFont="1" applyFill="1" applyBorder="1" applyAlignment="1">
      <alignment horizontal="center"/>
    </xf>
    <xf numFmtId="0" fontId="5" fillId="6" borderId="9" xfId="0" applyFont="1" applyFill="1" applyBorder="1" applyAlignment="1">
      <alignment horizontal="left" wrapText="1"/>
    </xf>
    <xf numFmtId="0" fontId="3" fillId="0" borderId="6" xfId="0" applyFont="1" applyBorder="1" applyAlignment="1">
      <alignment horizontal="right"/>
    </xf>
    <xf numFmtId="0" fontId="14" fillId="5" borderId="11" xfId="0" applyFont="1" applyFill="1" applyBorder="1" applyAlignment="1">
      <alignment horizontal="center"/>
    </xf>
    <xf numFmtId="1" fontId="16" fillId="8" borderId="16" xfId="0" applyNumberFormat="1" applyFont="1" applyFill="1" applyBorder="1" applyAlignment="1">
      <alignment horizontal="center"/>
    </xf>
    <xf numFmtId="0" fontId="3" fillId="0" borderId="5" xfId="0" applyFont="1" applyBorder="1"/>
    <xf numFmtId="3" fontId="3" fillId="0" borderId="6" xfId="0" applyNumberFormat="1" applyFont="1" applyBorder="1" applyAlignment="1">
      <alignment horizontal="right"/>
    </xf>
    <xf numFmtId="3" fontId="3" fillId="0" borderId="17" xfId="0" applyNumberFormat="1" applyFont="1" applyBorder="1" applyAlignment="1">
      <alignment horizontal="center"/>
    </xf>
    <xf numFmtId="0" fontId="5" fillId="9" borderId="9" xfId="0" applyFont="1" applyFill="1" applyBorder="1" applyAlignment="1">
      <alignment horizontal="left" wrapText="1"/>
    </xf>
    <xf numFmtId="3" fontId="7" fillId="0" borderId="17" xfId="0" applyNumberFormat="1" applyFont="1" applyBorder="1" applyAlignment="1">
      <alignment horizontal="center"/>
    </xf>
    <xf numFmtId="0" fontId="3" fillId="0" borderId="17" xfId="0" applyFont="1" applyBorder="1" applyAlignment="1">
      <alignment horizontal="center"/>
    </xf>
    <xf numFmtId="164" fontId="17" fillId="8" borderId="21" xfId="0" applyNumberFormat="1" applyFont="1" applyFill="1" applyBorder="1" applyAlignment="1">
      <alignment horizontal="center"/>
    </xf>
    <xf numFmtId="165" fontId="2" fillId="0" borderId="0" xfId="0" applyNumberFormat="1" applyFont="1"/>
    <xf numFmtId="0" fontId="7" fillId="0" borderId="17" xfId="0" applyFont="1" applyBorder="1" applyAlignment="1">
      <alignment horizontal="center"/>
    </xf>
    <xf numFmtId="0" fontId="16" fillId="0" borderId="24" xfId="0" applyFont="1" applyBorder="1"/>
    <xf numFmtId="0" fontId="17" fillId="0" borderId="25" xfId="0" applyFont="1" applyBorder="1"/>
    <xf numFmtId="0" fontId="5" fillId="4" borderId="26" xfId="0" applyFont="1" applyFill="1" applyBorder="1"/>
    <xf numFmtId="3" fontId="3" fillId="4" borderId="27" xfId="0" applyNumberFormat="1" applyFont="1" applyFill="1" applyBorder="1" applyAlignment="1">
      <alignment horizontal="center"/>
    </xf>
    <xf numFmtId="0" fontId="3" fillId="0" borderId="28" xfId="0" applyFont="1" applyBorder="1" applyAlignment="1">
      <alignment horizontal="left"/>
    </xf>
    <xf numFmtId="164" fontId="16" fillId="8" borderId="21" xfId="0" applyNumberFormat="1" applyFont="1" applyFill="1" applyBorder="1" applyAlignment="1">
      <alignment horizontal="center"/>
    </xf>
    <xf numFmtId="0" fontId="3" fillId="0" borderId="29" xfId="0" applyFont="1" applyBorder="1" applyAlignment="1">
      <alignment horizontal="left"/>
    </xf>
    <xf numFmtId="3" fontId="7" fillId="4" borderId="27" xfId="0" applyNumberFormat="1" applyFont="1" applyFill="1" applyBorder="1" applyAlignment="1">
      <alignment horizontal="center"/>
    </xf>
    <xf numFmtId="0" fontId="2" fillId="2" borderId="6" xfId="0" applyFont="1" applyFill="1" applyBorder="1" applyAlignment="1">
      <alignment horizontal="left"/>
    </xf>
    <xf numFmtId="0" fontId="18" fillId="0" borderId="29" xfId="0" applyFont="1" applyBorder="1" applyAlignment="1">
      <alignment horizontal="left"/>
    </xf>
    <xf numFmtId="0" fontId="3" fillId="0" borderId="31" xfId="0" applyFont="1" applyBorder="1" applyAlignment="1">
      <alignment horizontal="left"/>
    </xf>
    <xf numFmtId="0" fontId="17" fillId="0" borderId="32" xfId="0" applyFont="1" applyBorder="1"/>
    <xf numFmtId="0" fontId="17" fillId="0" borderId="1" xfId="0" applyFont="1" applyBorder="1"/>
    <xf numFmtId="0" fontId="3" fillId="0" borderId="33" xfId="0" applyFont="1" applyBorder="1" applyAlignment="1">
      <alignment horizontal="left"/>
    </xf>
    <xf numFmtId="3" fontId="3" fillId="4" borderId="9" xfId="0" applyNumberFormat="1" applyFont="1" applyFill="1" applyBorder="1" applyAlignment="1">
      <alignment horizontal="right"/>
    </xf>
    <xf numFmtId="0" fontId="7" fillId="0" borderId="0" xfId="0" applyFont="1" applyAlignment="1">
      <alignment horizontal="left"/>
    </xf>
    <xf numFmtId="0" fontId="19" fillId="0" borderId="0" xfId="0" applyFont="1"/>
    <xf numFmtId="0" fontId="17" fillId="0" borderId="35" xfId="0" applyFont="1" applyBorder="1"/>
    <xf numFmtId="0" fontId="18" fillId="0" borderId="0" xfId="0" applyFont="1"/>
    <xf numFmtId="0" fontId="20" fillId="0" borderId="1" xfId="0" applyFont="1" applyBorder="1"/>
    <xf numFmtId="3" fontId="3" fillId="9" borderId="9" xfId="0" applyNumberFormat="1" applyFont="1" applyFill="1" applyBorder="1" applyAlignment="1">
      <alignment horizontal="right"/>
    </xf>
    <xf numFmtId="0" fontId="3" fillId="5" borderId="6" xfId="0" applyFont="1" applyFill="1" applyBorder="1"/>
    <xf numFmtId="166" fontId="17" fillId="0" borderId="0" xfId="0" applyNumberFormat="1" applyFont="1"/>
    <xf numFmtId="0" fontId="5" fillId="5" borderId="6" xfId="0" applyFont="1" applyFill="1" applyBorder="1" applyAlignment="1">
      <alignment horizontal="center"/>
    </xf>
    <xf numFmtId="4" fontId="3" fillId="9" borderId="9" xfId="0" applyNumberFormat="1" applyFont="1" applyFill="1" applyBorder="1" applyAlignment="1">
      <alignment horizontal="right"/>
    </xf>
    <xf numFmtId="0" fontId="17" fillId="0" borderId="1" xfId="0" applyFont="1" applyBorder="1" applyAlignment="1">
      <alignment horizontal="left"/>
    </xf>
    <xf numFmtId="0" fontId="3" fillId="0" borderId="6" xfId="0" applyFont="1" applyBorder="1"/>
    <xf numFmtId="10" fontId="3" fillId="0" borderId="6" xfId="0" applyNumberFormat="1" applyFont="1" applyBorder="1" applyAlignment="1">
      <alignment horizontal="center"/>
    </xf>
    <xf numFmtId="4" fontId="3" fillId="9" borderId="38" xfId="0" applyNumberFormat="1" applyFont="1" applyFill="1" applyBorder="1" applyAlignment="1">
      <alignment horizontal="right"/>
    </xf>
    <xf numFmtId="164" fontId="17" fillId="0" borderId="21" xfId="0" applyNumberFormat="1" applyFont="1" applyBorder="1" applyAlignment="1">
      <alignment horizontal="center"/>
    </xf>
    <xf numFmtId="0" fontId="5" fillId="4" borderId="6" xfId="0" applyFont="1" applyFill="1" applyBorder="1"/>
    <xf numFmtId="0" fontId="2" fillId="2" borderId="6" xfId="0" applyFont="1" applyFill="1" applyBorder="1" applyAlignment="1">
      <alignment horizontal="right"/>
    </xf>
    <xf numFmtId="3" fontId="3" fillId="4" borderId="6" xfId="0" applyNumberFormat="1" applyFont="1" applyFill="1" applyBorder="1" applyAlignment="1">
      <alignment horizontal="center"/>
    </xf>
    <xf numFmtId="165" fontId="8" fillId="0" borderId="0" xfId="0" applyNumberFormat="1" applyFont="1"/>
    <xf numFmtId="0" fontId="6" fillId="0" borderId="0" xfId="0" applyFont="1" applyAlignment="1">
      <alignment horizontal="left"/>
    </xf>
    <xf numFmtId="0" fontId="7" fillId="0" borderId="0" xfId="0" applyFont="1" applyAlignment="1">
      <alignment horizontal="right"/>
    </xf>
    <xf numFmtId="3" fontId="6" fillId="9" borderId="9" xfId="0" applyNumberFormat="1" applyFont="1" applyFill="1" applyBorder="1" applyAlignment="1">
      <alignment horizontal="right"/>
    </xf>
    <xf numFmtId="3" fontId="6" fillId="4" borderId="9" xfId="0" applyNumberFormat="1" applyFont="1" applyFill="1" applyBorder="1" applyAlignment="1">
      <alignment horizontal="right"/>
    </xf>
    <xf numFmtId="4" fontId="6" fillId="4" borderId="9" xfId="0" applyNumberFormat="1" applyFont="1" applyFill="1" applyBorder="1" applyAlignment="1">
      <alignment horizontal="right"/>
    </xf>
    <xf numFmtId="4" fontId="6" fillId="4" borderId="38" xfId="0" applyNumberFormat="1" applyFont="1" applyFill="1" applyBorder="1" applyAlignment="1">
      <alignment horizontal="right"/>
    </xf>
    <xf numFmtId="0" fontId="7" fillId="0" borderId="42" xfId="0" applyFont="1" applyBorder="1" applyAlignment="1">
      <alignment horizontal="right"/>
    </xf>
    <xf numFmtId="0" fontId="21" fillId="0" borderId="0" xfId="0" applyFont="1"/>
    <xf numFmtId="3" fontId="2" fillId="2" borderId="6" xfId="0" applyNumberFormat="1" applyFont="1" applyFill="1" applyBorder="1" applyAlignment="1">
      <alignment horizontal="right"/>
    </xf>
    <xf numFmtId="169" fontId="3" fillId="4" borderId="9" xfId="0" applyNumberFormat="1" applyFont="1" applyFill="1" applyBorder="1" applyAlignment="1">
      <alignment horizontal="right"/>
    </xf>
    <xf numFmtId="3" fontId="3" fillId="4" borderId="38" xfId="0" applyNumberFormat="1" applyFont="1" applyFill="1" applyBorder="1" applyAlignment="1">
      <alignment horizontal="right"/>
    </xf>
    <xf numFmtId="0" fontId="5" fillId="5" borderId="6" xfId="0" applyFont="1" applyFill="1" applyBorder="1" applyAlignment="1">
      <alignment horizontal="left"/>
    </xf>
    <xf numFmtId="0" fontId="3" fillId="0" borderId="5" xfId="0" applyFont="1" applyBorder="1" applyAlignment="1">
      <alignment horizontal="left"/>
    </xf>
    <xf numFmtId="0" fontId="7" fillId="0" borderId="42" xfId="0" applyFont="1" applyBorder="1"/>
    <xf numFmtId="0" fontId="7" fillId="0" borderId="0" xfId="0" applyFont="1" applyAlignment="1">
      <alignment horizontal="left" vertical="top" wrapText="1"/>
    </xf>
    <xf numFmtId="2" fontId="7" fillId="4" borderId="9" xfId="0" applyNumberFormat="1" applyFont="1" applyFill="1" applyBorder="1"/>
    <xf numFmtId="0" fontId="7" fillId="4" borderId="9" xfId="0" applyFont="1" applyFill="1" applyBorder="1"/>
    <xf numFmtId="0" fontId="7" fillId="4" borderId="38" xfId="0" applyFont="1" applyFill="1" applyBorder="1"/>
    <xf numFmtId="0" fontId="3" fillId="0" borderId="51" xfId="0" applyFont="1" applyBorder="1" applyAlignment="1">
      <alignment horizontal="left"/>
    </xf>
    <xf numFmtId="0" fontId="3" fillId="0" borderId="53" xfId="0" applyFont="1" applyBorder="1" applyAlignment="1">
      <alignment horizontal="left"/>
    </xf>
    <xf numFmtId="0" fontId="7" fillId="0" borderId="53" xfId="0" applyFont="1" applyBorder="1"/>
    <xf numFmtId="0" fontId="7" fillId="0" borderId="54" xfId="0" applyFont="1" applyBorder="1"/>
    <xf numFmtId="0" fontId="7" fillId="0" borderId="29" xfId="0" applyFont="1" applyBorder="1"/>
    <xf numFmtId="0" fontId="7" fillId="0" borderId="31" xfId="0" applyFont="1" applyBorder="1"/>
    <xf numFmtId="49" fontId="3" fillId="0" borderId="0" xfId="0" applyNumberFormat="1" applyFont="1" applyAlignment="1">
      <alignment horizontal="left"/>
    </xf>
    <xf numFmtId="0" fontId="5" fillId="4" borderId="26" xfId="0" applyFont="1" applyFill="1" applyBorder="1" applyAlignment="1">
      <alignment horizontal="left"/>
    </xf>
    <xf numFmtId="0" fontId="3" fillId="4" borderId="9" xfId="0" applyFont="1" applyFill="1" applyBorder="1" applyAlignment="1">
      <alignment horizontal="right"/>
    </xf>
    <xf numFmtId="0" fontId="17" fillId="0" borderId="57" xfId="0" applyFont="1" applyBorder="1"/>
    <xf numFmtId="2" fontId="3" fillId="4" borderId="38" xfId="0" applyNumberFormat="1" applyFont="1" applyFill="1" applyBorder="1" applyAlignment="1">
      <alignment horizontal="right"/>
    </xf>
    <xf numFmtId="2" fontId="3" fillId="9" borderId="9" xfId="0" applyNumberFormat="1" applyFont="1" applyFill="1" applyBorder="1" applyAlignment="1">
      <alignment horizontal="right"/>
    </xf>
    <xf numFmtId="10" fontId="2" fillId="0" borderId="0" xfId="0" applyNumberFormat="1" applyFont="1"/>
    <xf numFmtId="2" fontId="6" fillId="9" borderId="9" xfId="0" applyNumberFormat="1" applyFont="1" applyFill="1" applyBorder="1" applyAlignment="1">
      <alignment horizontal="right"/>
    </xf>
    <xf numFmtId="2" fontId="6" fillId="9" borderId="38" xfId="0" applyNumberFormat="1" applyFont="1" applyFill="1" applyBorder="1" applyAlignment="1">
      <alignment horizontal="right"/>
    </xf>
    <xf numFmtId="0" fontId="3" fillId="0" borderId="42" xfId="0" applyFont="1" applyBorder="1"/>
    <xf numFmtId="0" fontId="3" fillId="4" borderId="38" xfId="0" applyFont="1" applyFill="1" applyBorder="1" applyAlignment="1">
      <alignment horizontal="right"/>
    </xf>
    <xf numFmtId="11" fontId="3" fillId="0" borderId="0" xfId="0" applyNumberFormat="1" applyFont="1" applyAlignment="1">
      <alignment horizontal="left"/>
    </xf>
    <xf numFmtId="0" fontId="3" fillId="0" borderId="0" xfId="0" applyFont="1" applyAlignment="1">
      <alignment horizontal="right"/>
    </xf>
    <xf numFmtId="0" fontId="6" fillId="9" borderId="9" xfId="0" applyFont="1" applyFill="1" applyBorder="1" applyAlignment="1">
      <alignment horizontal="right"/>
    </xf>
    <xf numFmtId="0" fontId="6" fillId="9" borderId="38" xfId="0" applyFont="1" applyFill="1" applyBorder="1" applyAlignment="1">
      <alignment horizontal="right"/>
    </xf>
    <xf numFmtId="0" fontId="3" fillId="0" borderId="42" xfId="0" applyFont="1" applyBorder="1" applyAlignment="1">
      <alignment horizontal="right"/>
    </xf>
    <xf numFmtId="0" fontId="3" fillId="5" borderId="6" xfId="0" applyFont="1" applyFill="1" applyBorder="1" applyAlignment="1">
      <alignment horizontal="left"/>
    </xf>
    <xf numFmtId="173" fontId="3" fillId="0" borderId="0" xfId="0" applyNumberFormat="1" applyFont="1" applyAlignment="1">
      <alignment horizontal="left"/>
    </xf>
    <xf numFmtId="1" fontId="3" fillId="4" borderId="9" xfId="0" applyNumberFormat="1" applyFont="1" applyFill="1" applyBorder="1" applyAlignment="1">
      <alignment horizontal="right"/>
    </xf>
    <xf numFmtId="175" fontId="3" fillId="4" borderId="9" xfId="0" applyNumberFormat="1" applyFont="1" applyFill="1" applyBorder="1" applyAlignment="1">
      <alignment horizontal="right"/>
    </xf>
    <xf numFmtId="0" fontId="3" fillId="0" borderId="53" xfId="0" applyFont="1" applyBorder="1" applyAlignment="1">
      <alignment horizontal="right"/>
    </xf>
    <xf numFmtId="0" fontId="3" fillId="0" borderId="54" xfId="0" applyFont="1" applyBorder="1" applyAlignment="1">
      <alignment horizontal="right"/>
    </xf>
    <xf numFmtId="0" fontId="3" fillId="0" borderId="29" xfId="0" applyFont="1" applyBorder="1" applyAlignment="1">
      <alignment horizontal="right"/>
    </xf>
    <xf numFmtId="0" fontId="3" fillId="0" borderId="31" xfId="0" applyFont="1" applyBorder="1" applyAlignment="1">
      <alignment horizontal="right"/>
    </xf>
    <xf numFmtId="176" fontId="3" fillId="0" borderId="6" xfId="0" applyNumberFormat="1" applyFont="1" applyBorder="1" applyAlignment="1">
      <alignment horizontal="center"/>
    </xf>
    <xf numFmtId="3" fontId="3" fillId="0" borderId="0" xfId="0" applyNumberFormat="1" applyFont="1" applyAlignment="1">
      <alignment horizontal="right"/>
    </xf>
    <xf numFmtId="11" fontId="3" fillId="0" borderId="0" xfId="0" applyNumberFormat="1" applyFont="1" applyAlignment="1">
      <alignment horizontal="right"/>
    </xf>
    <xf numFmtId="9" fontId="3" fillId="0" borderId="6" xfId="0" applyNumberFormat="1" applyFont="1" applyBorder="1" applyAlignment="1">
      <alignment horizontal="center"/>
    </xf>
    <xf numFmtId="11" fontId="3" fillId="0" borderId="42" xfId="0" applyNumberFormat="1" applyFont="1" applyBorder="1" applyAlignment="1">
      <alignment horizontal="right"/>
    </xf>
    <xf numFmtId="168" fontId="3" fillId="4" borderId="9" xfId="0" applyNumberFormat="1" applyFont="1" applyFill="1" applyBorder="1" applyAlignment="1">
      <alignment horizontal="right"/>
    </xf>
    <xf numFmtId="164" fontId="3" fillId="4" borderId="38" xfId="0" applyNumberFormat="1" applyFont="1" applyFill="1" applyBorder="1" applyAlignment="1">
      <alignment horizontal="right"/>
    </xf>
    <xf numFmtId="2" fontId="3" fillId="4" borderId="9" xfId="0" applyNumberFormat="1" applyFont="1" applyFill="1" applyBorder="1" applyAlignment="1">
      <alignment horizontal="right"/>
    </xf>
    <xf numFmtId="168" fontId="3" fillId="4" borderId="38" xfId="0" applyNumberFormat="1" applyFont="1" applyFill="1" applyBorder="1" applyAlignment="1">
      <alignment horizontal="right"/>
    </xf>
    <xf numFmtId="169" fontId="3" fillId="4" borderId="27" xfId="0" applyNumberFormat="1" applyFont="1" applyFill="1" applyBorder="1" applyAlignment="1">
      <alignment horizontal="center"/>
    </xf>
    <xf numFmtId="4" fontId="3" fillId="0" borderId="0" xfId="0" applyNumberFormat="1" applyFont="1" applyAlignment="1">
      <alignment horizontal="right"/>
    </xf>
    <xf numFmtId="4" fontId="3" fillId="0" borderId="42" xfId="0" applyNumberFormat="1" applyFont="1" applyBorder="1" applyAlignment="1">
      <alignment horizontal="right"/>
    </xf>
    <xf numFmtId="177" fontId="3" fillId="9" borderId="38" xfId="0" applyNumberFormat="1" applyFont="1" applyFill="1" applyBorder="1" applyAlignment="1">
      <alignment horizontal="right"/>
    </xf>
    <xf numFmtId="3" fontId="23" fillId="9" borderId="9" xfId="0" applyNumberFormat="1" applyFont="1" applyFill="1" applyBorder="1" applyAlignment="1">
      <alignment horizontal="right"/>
    </xf>
    <xf numFmtId="0" fontId="6" fillId="4" borderId="9" xfId="0" applyFont="1" applyFill="1" applyBorder="1" applyAlignment="1">
      <alignment horizontal="right"/>
    </xf>
    <xf numFmtId="2" fontId="6" fillId="4" borderId="38" xfId="0" applyNumberFormat="1" applyFont="1" applyFill="1" applyBorder="1" applyAlignment="1">
      <alignment horizontal="right"/>
    </xf>
    <xf numFmtId="175" fontId="3" fillId="0" borderId="6" xfId="0" applyNumberFormat="1" applyFont="1" applyBorder="1" applyAlignment="1">
      <alignment horizontal="center"/>
    </xf>
    <xf numFmtId="3" fontId="3" fillId="0" borderId="6" xfId="0" applyNumberFormat="1" applyFont="1" applyBorder="1" applyAlignment="1">
      <alignment horizontal="center"/>
    </xf>
    <xf numFmtId="3" fontId="22" fillId="0" borderId="0" xfId="0" applyNumberFormat="1" applyFont="1"/>
    <xf numFmtId="164" fontId="17" fillId="2" borderId="21" xfId="0" applyNumberFormat="1" applyFont="1" applyFill="1" applyBorder="1" applyAlignment="1">
      <alignment horizontal="center"/>
    </xf>
    <xf numFmtId="177" fontId="3" fillId="9" borderId="9" xfId="0" applyNumberFormat="1" applyFont="1" applyFill="1" applyBorder="1" applyAlignment="1">
      <alignment horizontal="right"/>
    </xf>
    <xf numFmtId="175" fontId="3" fillId="9" borderId="38" xfId="0" applyNumberFormat="1" applyFont="1" applyFill="1" applyBorder="1" applyAlignment="1">
      <alignment horizontal="right"/>
    </xf>
    <xf numFmtId="2" fontId="6" fillId="4" borderId="9" xfId="0" applyNumberFormat="1" applyFont="1" applyFill="1" applyBorder="1" applyAlignment="1">
      <alignment horizontal="right"/>
    </xf>
    <xf numFmtId="0" fontId="5" fillId="4" borderId="6" xfId="0" applyFont="1" applyFill="1" applyBorder="1" applyAlignment="1">
      <alignment horizontal="left"/>
    </xf>
    <xf numFmtId="4" fontId="3" fillId="4" borderId="6" xfId="0" applyNumberFormat="1" applyFont="1" applyFill="1" applyBorder="1" applyAlignment="1">
      <alignment horizontal="center"/>
    </xf>
    <xf numFmtId="4" fontId="5" fillId="4" borderId="6" xfId="0" applyNumberFormat="1" applyFont="1" applyFill="1" applyBorder="1" applyAlignment="1">
      <alignment horizontal="center"/>
    </xf>
    <xf numFmtId="165" fontId="24" fillId="0" borderId="0" xfId="0" applyNumberFormat="1" applyFont="1"/>
    <xf numFmtId="0" fontId="5" fillId="0" borderId="0" xfId="0" applyFont="1"/>
    <xf numFmtId="4" fontId="3" fillId="4" borderId="9" xfId="0" applyNumberFormat="1" applyFont="1" applyFill="1" applyBorder="1" applyAlignment="1">
      <alignment horizontal="right"/>
    </xf>
    <xf numFmtId="4" fontId="3" fillId="4" borderId="38" xfId="0" applyNumberFormat="1" applyFont="1" applyFill="1" applyBorder="1" applyAlignment="1">
      <alignment horizontal="right"/>
    </xf>
    <xf numFmtId="3" fontId="3" fillId="0" borderId="29" xfId="0" applyNumberFormat="1" applyFont="1" applyBorder="1" applyAlignment="1">
      <alignment horizontal="right"/>
    </xf>
    <xf numFmtId="3" fontId="3" fillId="2" borderId="62" xfId="0" applyNumberFormat="1" applyFont="1" applyFill="1" applyBorder="1" applyAlignment="1">
      <alignment horizontal="right"/>
    </xf>
    <xf numFmtId="4" fontId="3" fillId="0" borderId="29" xfId="0" applyNumberFormat="1" applyFont="1" applyBorder="1" applyAlignment="1">
      <alignment horizontal="right"/>
    </xf>
    <xf numFmtId="4" fontId="3" fillId="0" borderId="31" xfId="0" applyNumberFormat="1" applyFont="1" applyBorder="1" applyAlignment="1">
      <alignment horizontal="right"/>
    </xf>
    <xf numFmtId="3" fontId="7" fillId="9" borderId="9" xfId="0" applyNumberFormat="1" applyFont="1" applyFill="1" applyBorder="1" applyAlignment="1">
      <alignment horizontal="right"/>
    </xf>
    <xf numFmtId="1" fontId="6" fillId="4" borderId="9" xfId="0" applyNumberFormat="1" applyFont="1" applyFill="1" applyBorder="1" applyAlignment="1">
      <alignment horizontal="right"/>
    </xf>
    <xf numFmtId="168" fontId="6" fillId="9" borderId="38" xfId="0" applyNumberFormat="1" applyFont="1" applyFill="1" applyBorder="1" applyAlignment="1">
      <alignment horizontal="right"/>
    </xf>
    <xf numFmtId="0" fontId="3" fillId="0" borderId="53" xfId="0" applyFont="1" applyBorder="1"/>
    <xf numFmtId="0" fontId="3" fillId="0" borderId="54" xfId="0" applyFont="1" applyBorder="1"/>
    <xf numFmtId="0" fontId="3" fillId="0" borderId="29" xfId="0" applyFont="1" applyBorder="1"/>
    <xf numFmtId="0" fontId="3" fillId="0" borderId="31" xfId="0" applyFont="1" applyBorder="1"/>
    <xf numFmtId="49" fontId="7" fillId="0" borderId="0" xfId="0" applyNumberFormat="1" applyFont="1" applyAlignment="1">
      <alignment horizontal="left"/>
    </xf>
    <xf numFmtId="1" fontId="14" fillId="0" borderId="0" xfId="0" applyNumberFormat="1" applyFont="1" applyAlignment="1">
      <alignment horizontal="left"/>
    </xf>
    <xf numFmtId="1" fontId="3" fillId="0" borderId="0" xfId="0" applyNumberFormat="1" applyFont="1" applyAlignment="1">
      <alignment horizontal="left"/>
    </xf>
    <xf numFmtId="2" fontId="3" fillId="9" borderId="38" xfId="0" applyNumberFormat="1" applyFont="1" applyFill="1" applyBorder="1" applyAlignment="1">
      <alignment horizontal="right"/>
    </xf>
    <xf numFmtId="3" fontId="3" fillId="6" borderId="9" xfId="0" applyNumberFormat="1" applyFont="1" applyFill="1" applyBorder="1" applyAlignment="1">
      <alignment horizontal="right"/>
    </xf>
    <xf numFmtId="0" fontId="16" fillId="0" borderId="25" xfId="0" applyFont="1" applyBorder="1"/>
    <xf numFmtId="3" fontId="3" fillId="0" borderId="0" xfId="0" applyNumberFormat="1" applyFont="1" applyAlignment="1">
      <alignment horizontal="left"/>
    </xf>
    <xf numFmtId="164" fontId="16" fillId="8" borderId="21" xfId="0" applyNumberFormat="1" applyFont="1" applyFill="1" applyBorder="1" applyAlignment="1">
      <alignment horizontal="center" wrapText="1"/>
    </xf>
    <xf numFmtId="177" fontId="3" fillId="4" borderId="38" xfId="0" applyNumberFormat="1" applyFont="1" applyFill="1" applyBorder="1" applyAlignment="1">
      <alignment horizontal="right"/>
    </xf>
    <xf numFmtId="0" fontId="18" fillId="0" borderId="0" xfId="0" applyFont="1" applyAlignment="1">
      <alignment horizontal="left"/>
    </xf>
    <xf numFmtId="0" fontId="3" fillId="9" borderId="9" xfId="0" applyFont="1" applyFill="1" applyBorder="1" applyAlignment="1">
      <alignment horizontal="right"/>
    </xf>
    <xf numFmtId="0" fontId="3" fillId="9" borderId="38" xfId="0" applyFont="1" applyFill="1" applyBorder="1" applyAlignment="1">
      <alignment horizontal="right"/>
    </xf>
    <xf numFmtId="0" fontId="5" fillId="0" borderId="0" xfId="0" applyFont="1" applyAlignment="1">
      <alignment horizontal="right"/>
    </xf>
    <xf numFmtId="175" fontId="3" fillId="0" borderId="0" xfId="0" applyNumberFormat="1" applyFont="1" applyAlignment="1">
      <alignment horizontal="right"/>
    </xf>
    <xf numFmtId="175" fontId="3" fillId="0" borderId="42" xfId="0" applyNumberFormat="1" applyFont="1" applyBorder="1" applyAlignment="1">
      <alignment horizontal="right"/>
    </xf>
    <xf numFmtId="0" fontId="7" fillId="0" borderId="33" xfId="0" applyFont="1" applyBorder="1" applyAlignment="1">
      <alignment horizontal="left"/>
    </xf>
    <xf numFmtId="0" fontId="16" fillId="0" borderId="78" xfId="0" applyFont="1" applyBorder="1"/>
    <xf numFmtId="0" fontId="16" fillId="0" borderId="1" xfId="0" applyFont="1" applyBorder="1"/>
    <xf numFmtId="0" fontId="16" fillId="0" borderId="92" xfId="0" applyFont="1" applyBorder="1"/>
    <xf numFmtId="0" fontId="20" fillId="0" borderId="93" xfId="0" applyFont="1" applyBorder="1"/>
    <xf numFmtId="164" fontId="25" fillId="0" borderId="21" xfId="0" applyNumberFormat="1" applyFont="1" applyBorder="1" applyAlignment="1">
      <alignment horizontal="center"/>
    </xf>
    <xf numFmtId="173" fontId="3" fillId="0" borderId="53" xfId="0" applyNumberFormat="1" applyFont="1" applyBorder="1" applyAlignment="1">
      <alignment horizontal="left"/>
    </xf>
    <xf numFmtId="173" fontId="3" fillId="0" borderId="29" xfId="0" applyNumberFormat="1" applyFont="1" applyBorder="1" applyAlignment="1">
      <alignment horizontal="left"/>
    </xf>
    <xf numFmtId="0" fontId="16" fillId="0" borderId="94" xfId="0" applyFont="1" applyBorder="1"/>
    <xf numFmtId="0" fontId="20" fillId="0" borderId="95" xfId="0" applyFont="1" applyBorder="1"/>
    <xf numFmtId="0" fontId="17" fillId="0" borderId="0" xfId="0" applyFont="1"/>
    <xf numFmtId="0" fontId="2" fillId="0" borderId="97" xfId="0" applyFont="1" applyBorder="1"/>
    <xf numFmtId="0" fontId="26" fillId="11" borderId="37" xfId="0" applyFont="1" applyFill="1" applyBorder="1" applyAlignment="1">
      <alignment horizontal="center"/>
    </xf>
    <xf numFmtId="4" fontId="3" fillId="0" borderId="0" xfId="0" applyNumberFormat="1" applyFont="1" applyAlignment="1">
      <alignment horizontal="left"/>
    </xf>
    <xf numFmtId="0" fontId="26" fillId="11" borderId="98" xfId="0" applyFont="1" applyFill="1" applyBorder="1" applyAlignment="1">
      <alignment horizontal="center"/>
    </xf>
    <xf numFmtId="0" fontId="2" fillId="0" borderId="99" xfId="0" applyFont="1" applyBorder="1"/>
    <xf numFmtId="164" fontId="2" fillId="0" borderId="6" xfId="0" applyNumberFormat="1" applyFont="1" applyBorder="1" applyAlignment="1">
      <alignment horizontal="center"/>
    </xf>
    <xf numFmtId="164" fontId="2" fillId="0" borderId="100" xfId="0" applyNumberFormat="1" applyFont="1" applyBorder="1" applyAlignment="1">
      <alignment horizontal="center"/>
    </xf>
    <xf numFmtId="166" fontId="2" fillId="0" borderId="0" xfId="0" applyNumberFormat="1" applyFont="1"/>
    <xf numFmtId="3" fontId="18" fillId="0" borderId="0" xfId="0" applyNumberFormat="1" applyFont="1" applyAlignment="1">
      <alignment horizontal="left"/>
    </xf>
    <xf numFmtId="177" fontId="3" fillId="4" borderId="9" xfId="0" applyNumberFormat="1" applyFont="1" applyFill="1" applyBorder="1" applyAlignment="1">
      <alignment horizontal="right"/>
    </xf>
    <xf numFmtId="175" fontId="3" fillId="4" borderId="38" xfId="0" applyNumberFormat="1" applyFont="1" applyFill="1" applyBorder="1" applyAlignment="1">
      <alignment horizontal="right"/>
    </xf>
    <xf numFmtId="4" fontId="3" fillId="0" borderId="53" xfId="0" applyNumberFormat="1" applyFont="1" applyBorder="1" applyAlignment="1">
      <alignment horizontal="right"/>
    </xf>
    <xf numFmtId="0" fontId="3" fillId="0" borderId="29" xfId="0" applyFont="1" applyBorder="1" applyAlignment="1">
      <alignment horizontal="center"/>
    </xf>
    <xf numFmtId="3" fontId="6" fillId="0" borderId="0" xfId="0" applyNumberFormat="1" applyFont="1" applyAlignment="1">
      <alignment horizontal="center"/>
    </xf>
    <xf numFmtId="4" fontId="6" fillId="0" borderId="0" xfId="0" applyNumberFormat="1" applyFont="1" applyAlignment="1">
      <alignment horizontal="center"/>
    </xf>
    <xf numFmtId="0" fontId="5" fillId="0" borderId="6" xfId="0" applyFont="1" applyBorder="1" applyAlignment="1">
      <alignment horizontal="left" wrapText="1"/>
    </xf>
    <xf numFmtId="4" fontId="3" fillId="0" borderId="6" xfId="0" applyNumberFormat="1" applyFont="1" applyBorder="1" applyAlignment="1">
      <alignment horizontal="right"/>
    </xf>
    <xf numFmtId="3" fontId="3" fillId="12" borderId="6" xfId="0" applyNumberFormat="1" applyFont="1" applyFill="1" applyBorder="1" applyAlignment="1">
      <alignment horizontal="right"/>
    </xf>
    <xf numFmtId="4" fontId="3" fillId="12" borderId="6" xfId="0" applyNumberFormat="1" applyFont="1" applyFill="1" applyBorder="1" applyAlignment="1">
      <alignment horizontal="right"/>
    </xf>
    <xf numFmtId="0" fontId="28" fillId="0" borderId="0" xfId="0" applyFont="1" applyAlignment="1">
      <alignment horizontal="left"/>
    </xf>
    <xf numFmtId="0" fontId="28" fillId="0" borderId="0" xfId="0" applyFont="1"/>
    <xf numFmtId="0" fontId="29" fillId="0" borderId="0" xfId="0" applyFont="1"/>
    <xf numFmtId="0" fontId="30" fillId="2" borderId="26" xfId="0" applyFont="1" applyFill="1" applyBorder="1" applyAlignment="1">
      <alignment horizontal="left"/>
    </xf>
    <xf numFmtId="0" fontId="30" fillId="0" borderId="17" xfId="0" applyFont="1" applyBorder="1"/>
    <xf numFmtId="177" fontId="3" fillId="0" borderId="6" xfId="0" applyNumberFormat="1" applyFont="1" applyBorder="1" applyAlignment="1">
      <alignment horizontal="right"/>
    </xf>
    <xf numFmtId="175" fontId="3" fillId="0" borderId="6" xfId="0" applyNumberFormat="1" applyFont="1" applyBorder="1" applyAlignment="1">
      <alignment horizontal="right"/>
    </xf>
    <xf numFmtId="4" fontId="5" fillId="0" borderId="0" xfId="0" applyNumberFormat="1" applyFont="1" applyAlignment="1">
      <alignment horizontal="right"/>
    </xf>
    <xf numFmtId="3" fontId="30" fillId="0" borderId="17" xfId="0" applyNumberFormat="1" applyFont="1" applyBorder="1"/>
    <xf numFmtId="180" fontId="3" fillId="0" borderId="6" xfId="0" applyNumberFormat="1" applyFont="1" applyBorder="1" applyAlignment="1">
      <alignment horizontal="right"/>
    </xf>
    <xf numFmtId="177" fontId="3" fillId="12" borderId="6" xfId="0" applyNumberFormat="1" applyFont="1" applyFill="1" applyBorder="1" applyAlignment="1">
      <alignment horizontal="right"/>
    </xf>
    <xf numFmtId="175" fontId="3" fillId="12" borderId="6" xfId="0" applyNumberFormat="1" applyFont="1" applyFill="1" applyBorder="1" applyAlignment="1">
      <alignment horizontal="right"/>
    </xf>
    <xf numFmtId="0" fontId="30" fillId="0" borderId="0" xfId="0" applyFont="1" applyAlignment="1">
      <alignment horizontal="left"/>
    </xf>
    <xf numFmtId="0" fontId="30" fillId="2" borderId="9" xfId="0" applyFont="1" applyFill="1" applyBorder="1" applyAlignment="1">
      <alignment horizontal="right"/>
    </xf>
    <xf numFmtId="175" fontId="5" fillId="0" borderId="0" xfId="0" applyNumberFormat="1" applyFont="1" applyAlignment="1">
      <alignment horizontal="right"/>
    </xf>
    <xf numFmtId="0" fontId="14" fillId="0" borderId="0" xfId="0" applyFont="1" applyAlignment="1">
      <alignment horizontal="left" vertical="center"/>
    </xf>
    <xf numFmtId="0" fontId="7" fillId="0" borderId="0" xfId="0" applyFont="1" applyAlignment="1">
      <alignment horizontal="center"/>
    </xf>
    <xf numFmtId="0" fontId="23" fillId="0" borderId="0" xfId="0" applyFont="1" applyAlignment="1">
      <alignment horizontal="center"/>
    </xf>
    <xf numFmtId="0" fontId="31" fillId="0" borderId="0" xfId="0" applyFont="1" applyAlignment="1">
      <alignment horizontal="left" vertical="center"/>
    </xf>
    <xf numFmtId="0" fontId="23" fillId="0" borderId="0" xfId="0" applyFont="1"/>
    <xf numFmtId="0" fontId="5" fillId="4" borderId="0" xfId="0" applyFont="1" applyFill="1"/>
    <xf numFmtId="0" fontId="7" fillId="4" borderId="0" xfId="0" applyFont="1" applyFill="1"/>
    <xf numFmtId="0" fontId="14" fillId="0" borderId="0" xfId="0" applyFont="1" applyAlignment="1">
      <alignment horizontal="left"/>
    </xf>
    <xf numFmtId="0" fontId="14" fillId="0" borderId="0" xfId="0" applyFont="1" applyAlignment="1">
      <alignment horizontal="center"/>
    </xf>
    <xf numFmtId="0" fontId="14" fillId="0" borderId="6" xfId="0" applyFont="1" applyBorder="1" applyAlignment="1">
      <alignment horizontal="center"/>
    </xf>
    <xf numFmtId="0" fontId="7" fillId="0" borderId="6" xfId="0" applyFont="1" applyBorder="1"/>
    <xf numFmtId="167" fontId="7" fillId="0" borderId="6" xfId="0" applyNumberFormat="1" applyFont="1" applyBorder="1"/>
    <xf numFmtId="167" fontId="7" fillId="0" borderId="0" xfId="0" applyNumberFormat="1" applyFont="1"/>
    <xf numFmtId="3" fontId="7" fillId="0" borderId="6" xfId="0" applyNumberFormat="1" applyFont="1" applyBorder="1"/>
    <xf numFmtId="0" fontId="7" fillId="10" borderId="6" xfId="0" applyFont="1" applyFill="1" applyBorder="1"/>
    <xf numFmtId="167" fontId="7" fillId="10" borderId="6" xfId="0" applyNumberFormat="1" applyFont="1" applyFill="1" applyBorder="1"/>
    <xf numFmtId="167" fontId="14" fillId="0" borderId="0" xfId="0" applyNumberFormat="1" applyFont="1"/>
    <xf numFmtId="3" fontId="7" fillId="10" borderId="6" xfId="0" applyNumberFormat="1" applyFont="1" applyFill="1" applyBorder="1"/>
    <xf numFmtId="0" fontId="5" fillId="4" borderId="0" xfId="0" applyFont="1" applyFill="1" applyAlignment="1">
      <alignment vertical="center"/>
    </xf>
    <xf numFmtId="0" fontId="32" fillId="4" borderId="0" xfId="0" applyFont="1" applyFill="1"/>
    <xf numFmtId="0" fontId="14" fillId="0" borderId="6" xfId="0" applyFont="1" applyBorder="1"/>
    <xf numFmtId="3" fontId="7" fillId="0" borderId="6" xfId="0" applyNumberFormat="1" applyFont="1" applyBorder="1" applyAlignment="1">
      <alignment horizontal="right"/>
    </xf>
    <xf numFmtId="181" fontId="7" fillId="0" borderId="0" xfId="0" applyNumberFormat="1" applyFont="1"/>
    <xf numFmtId="169" fontId="7" fillId="0" borderId="6" xfId="0" applyNumberFormat="1" applyFont="1" applyBorder="1" applyAlignment="1">
      <alignment horizontal="right"/>
    </xf>
    <xf numFmtId="181" fontId="7" fillId="0" borderId="0" xfId="0" applyNumberFormat="1" applyFont="1" applyAlignment="1">
      <alignment horizontal="center"/>
    </xf>
    <xf numFmtId="168" fontId="7" fillId="0" borderId="6" xfId="0" applyNumberFormat="1" applyFont="1" applyBorder="1" applyAlignment="1">
      <alignment horizontal="right"/>
    </xf>
    <xf numFmtId="165" fontId="7" fillId="0" borderId="6" xfId="0" applyNumberFormat="1" applyFont="1" applyBorder="1" applyAlignment="1">
      <alignment horizontal="right"/>
    </xf>
    <xf numFmtId="164" fontId="7" fillId="0" borderId="6" xfId="0" applyNumberFormat="1" applyFont="1" applyBorder="1" applyAlignment="1">
      <alignment horizontal="right"/>
    </xf>
    <xf numFmtId="0" fontId="14" fillId="10" borderId="6" xfId="0" applyFont="1" applyFill="1" applyBorder="1"/>
    <xf numFmtId="2" fontId="7" fillId="0" borderId="6" xfId="0" applyNumberFormat="1" applyFont="1" applyBorder="1" applyAlignment="1">
      <alignment horizontal="right"/>
    </xf>
    <xf numFmtId="0" fontId="7" fillId="2" borderId="6" xfId="0" applyFont="1" applyFill="1" applyBorder="1" applyAlignment="1">
      <alignment horizontal="right"/>
    </xf>
    <xf numFmtId="0" fontId="7" fillId="2" borderId="6" xfId="0" applyFont="1" applyFill="1" applyBorder="1" applyAlignment="1">
      <alignment horizontal="center"/>
    </xf>
    <xf numFmtId="0" fontId="7" fillId="2" borderId="6" xfId="0" applyFont="1" applyFill="1" applyBorder="1" applyAlignment="1">
      <alignment horizontal="left"/>
    </xf>
    <xf numFmtId="0" fontId="7" fillId="10" borderId="6" xfId="0" applyFont="1" applyFill="1" applyBorder="1" applyAlignment="1">
      <alignment wrapText="1"/>
    </xf>
    <xf numFmtId="167" fontId="7" fillId="10" borderId="6" xfId="0" applyNumberFormat="1" applyFont="1" applyFill="1" applyBorder="1" applyAlignment="1">
      <alignment vertical="center" wrapText="1"/>
    </xf>
    <xf numFmtId="0" fontId="3" fillId="10" borderId="6" xfId="0" applyFont="1" applyFill="1" applyBorder="1"/>
    <xf numFmtId="164" fontId="7" fillId="10" borderId="6" xfId="0" applyNumberFormat="1" applyFont="1" applyFill="1" applyBorder="1" applyAlignment="1">
      <alignment horizontal="center"/>
    </xf>
    <xf numFmtId="0" fontId="5" fillId="10" borderId="6" xfId="0" applyFont="1" applyFill="1" applyBorder="1" applyAlignment="1">
      <alignment horizontal="right"/>
    </xf>
    <xf numFmtId="2" fontId="14" fillId="10" borderId="6" xfId="0" applyNumberFormat="1" applyFont="1" applyFill="1" applyBorder="1" applyAlignment="1">
      <alignment horizontal="right"/>
    </xf>
    <xf numFmtId="3" fontId="7" fillId="2" borderId="6" xfId="0" applyNumberFormat="1" applyFont="1" applyFill="1" applyBorder="1" applyAlignment="1">
      <alignment horizontal="right"/>
    </xf>
    <xf numFmtId="168" fontId="7" fillId="0" borderId="6" xfId="0" applyNumberFormat="1" applyFont="1" applyBorder="1"/>
    <xf numFmtId="0" fontId="7" fillId="13" borderId="0" xfId="0" applyFont="1" applyFill="1"/>
    <xf numFmtId="167" fontId="7" fillId="0" borderId="0" xfId="0" applyNumberFormat="1" applyFont="1" applyAlignment="1">
      <alignment vertical="center"/>
    </xf>
    <xf numFmtId="0" fontId="31" fillId="0" borderId="0" xfId="0" applyFont="1"/>
    <xf numFmtId="0" fontId="33" fillId="0" borderId="0" xfId="0" applyFont="1"/>
    <xf numFmtId="0" fontId="18" fillId="0" borderId="0" xfId="0" applyFont="1" applyAlignment="1">
      <alignment horizontal="left" wrapText="1"/>
    </xf>
    <xf numFmtId="0" fontId="5" fillId="0" borderId="0" xfId="0" applyFont="1" applyAlignment="1">
      <alignment vertical="center"/>
    </xf>
    <xf numFmtId="0" fontId="7" fillId="2" borderId="6" xfId="0" applyFont="1" applyFill="1" applyBorder="1"/>
    <xf numFmtId="0" fontId="34" fillId="0" borderId="0" xfId="0" applyFont="1"/>
    <xf numFmtId="0" fontId="35" fillId="0" borderId="0" xfId="0" applyFont="1"/>
    <xf numFmtId="0" fontId="32" fillId="0" borderId="0" xfId="0" applyFont="1"/>
    <xf numFmtId="0" fontId="7" fillId="0" borderId="100" xfId="0" applyFont="1" applyBorder="1"/>
    <xf numFmtId="0" fontId="3" fillId="0" borderId="99" xfId="0" applyFont="1" applyBorder="1"/>
    <xf numFmtId="3" fontId="7" fillId="0" borderId="100" xfId="0" applyNumberFormat="1" applyFont="1" applyBorder="1"/>
    <xf numFmtId="3" fontId="7" fillId="0" borderId="21" xfId="0" applyNumberFormat="1" applyFont="1" applyBorder="1"/>
    <xf numFmtId="2" fontId="7" fillId="0" borderId="21" xfId="0" applyNumberFormat="1" applyFont="1" applyBorder="1"/>
    <xf numFmtId="3" fontId="7" fillId="2" borderId="6" xfId="0" applyNumberFormat="1" applyFont="1" applyFill="1" applyBorder="1" applyAlignment="1">
      <alignment horizontal="center"/>
    </xf>
    <xf numFmtId="0" fontId="3" fillId="0" borderId="101" xfId="0" applyFont="1" applyBorder="1"/>
    <xf numFmtId="3" fontId="7" fillId="0" borderId="44" xfId="0" applyNumberFormat="1" applyFont="1" applyBorder="1"/>
    <xf numFmtId="3" fontId="7" fillId="0" borderId="102" xfId="0" applyNumberFormat="1" applyFont="1" applyBorder="1"/>
    <xf numFmtId="3" fontId="7" fillId="0" borderId="129" xfId="0" applyNumberFormat="1" applyFont="1" applyBorder="1"/>
    <xf numFmtId="2" fontId="7" fillId="0" borderId="129" xfId="0" applyNumberFormat="1" applyFont="1" applyBorder="1"/>
    <xf numFmtId="0" fontId="5" fillId="0" borderId="127" xfId="0" applyFont="1" applyBorder="1"/>
    <xf numFmtId="3" fontId="7" fillId="0" borderId="5" xfId="0" applyNumberFormat="1" applyFont="1" applyBorder="1"/>
    <xf numFmtId="3" fontId="7" fillId="0" borderId="130" xfId="0" applyNumberFormat="1" applyFont="1" applyBorder="1"/>
    <xf numFmtId="3" fontId="7" fillId="0" borderId="16" xfId="0" applyNumberFormat="1" applyFont="1" applyBorder="1"/>
    <xf numFmtId="2" fontId="7" fillId="0" borderId="16" xfId="0" applyNumberFormat="1" applyFont="1" applyBorder="1"/>
    <xf numFmtId="0" fontId="5" fillId="10" borderId="101" xfId="0" applyFont="1" applyFill="1" applyBorder="1"/>
    <xf numFmtId="2" fontId="14" fillId="10" borderId="44" xfId="0" applyNumberFormat="1" applyFont="1" applyFill="1" applyBorder="1"/>
    <xf numFmtId="2" fontId="14" fillId="10" borderId="45" xfId="0" applyNumberFormat="1" applyFont="1" applyFill="1" applyBorder="1"/>
    <xf numFmtId="2" fontId="14" fillId="10" borderId="96" xfId="0" applyNumberFormat="1" applyFont="1" applyFill="1" applyBorder="1"/>
    <xf numFmtId="4" fontId="7" fillId="0" borderId="6" xfId="0" applyNumberFormat="1" applyFont="1" applyBorder="1"/>
    <xf numFmtId="4" fontId="7" fillId="0" borderId="100" xfId="0" applyNumberFormat="1" applyFont="1" applyBorder="1"/>
    <xf numFmtId="4" fontId="7" fillId="0" borderId="21" xfId="0" applyNumberFormat="1" applyFont="1" applyBorder="1"/>
    <xf numFmtId="164" fontId="7" fillId="0" borderId="21" xfId="0" applyNumberFormat="1" applyFont="1" applyBorder="1"/>
    <xf numFmtId="2" fontId="7" fillId="0" borderId="0" xfId="0" applyNumberFormat="1" applyFont="1"/>
    <xf numFmtId="4" fontId="7" fillId="0" borderId="44" xfId="0" applyNumberFormat="1" applyFont="1" applyBorder="1"/>
    <xf numFmtId="4" fontId="7" fillId="0" borderId="102" xfId="0" applyNumberFormat="1" applyFont="1" applyBorder="1"/>
    <xf numFmtId="4" fontId="7" fillId="0" borderId="129" xfId="0" applyNumberFormat="1" applyFont="1" applyBorder="1"/>
    <xf numFmtId="4" fontId="7" fillId="0" borderId="5" xfId="0" applyNumberFormat="1" applyFont="1" applyBorder="1"/>
    <xf numFmtId="4" fontId="7" fillId="0" borderId="130" xfId="0" applyNumberFormat="1" applyFont="1" applyBorder="1"/>
    <xf numFmtId="4" fontId="7" fillId="0" borderId="16" xfId="0" applyNumberFormat="1" applyFont="1" applyBorder="1"/>
    <xf numFmtId="164" fontId="14" fillId="10" borderId="44" xfId="0" applyNumberFormat="1" applyFont="1" applyFill="1" applyBorder="1"/>
    <xf numFmtId="164" fontId="14" fillId="10" borderId="96" xfId="0" applyNumberFormat="1" applyFont="1" applyFill="1" applyBorder="1"/>
    <xf numFmtId="0" fontId="36" fillId="0" borderId="6" xfId="0" applyFont="1" applyBorder="1" applyAlignment="1">
      <alignment horizontal="center"/>
    </xf>
    <xf numFmtId="0" fontId="17" fillId="0" borderId="0" xfId="0" applyFont="1" applyAlignment="1">
      <alignment horizontal="center"/>
    </xf>
    <xf numFmtId="175" fontId="8" fillId="0" borderId="6" xfId="0" applyNumberFormat="1" applyFont="1" applyBorder="1" applyAlignment="1">
      <alignment horizontal="center"/>
    </xf>
    <xf numFmtId="0" fontId="8" fillId="0" borderId="6" xfId="0" applyFont="1" applyBorder="1"/>
    <xf numFmtId="0" fontId="37" fillId="0" borderId="0" xfId="0" applyFont="1"/>
    <xf numFmtId="167" fontId="38" fillId="0" borderId="0" xfId="0" applyNumberFormat="1" applyFont="1"/>
    <xf numFmtId="4" fontId="7" fillId="0" borderId="0" xfId="0" applyNumberFormat="1" applyFont="1"/>
    <xf numFmtId="0" fontId="7" fillId="0" borderId="6" xfId="0" applyFont="1" applyBorder="1" applyAlignment="1">
      <alignment horizontal="left"/>
    </xf>
    <xf numFmtId="3" fontId="7" fillId="0" borderId="6" xfId="0" applyNumberFormat="1" applyFont="1" applyBorder="1" applyAlignment="1">
      <alignment horizontal="center"/>
    </xf>
    <xf numFmtId="0" fontId="5" fillId="0" borderId="0" xfId="0" applyFont="1" applyAlignment="1">
      <alignment horizontal="center"/>
    </xf>
    <xf numFmtId="0" fontId="5" fillId="10" borderId="100" xfId="0" applyFont="1" applyFill="1" applyBorder="1" applyAlignment="1">
      <alignment horizontal="center"/>
    </xf>
    <xf numFmtId="0" fontId="22" fillId="0" borderId="33" xfId="0" applyFont="1" applyBorder="1"/>
    <xf numFmtId="0" fontId="5" fillId="0" borderId="42" xfId="0" applyFont="1" applyBorder="1" applyAlignment="1">
      <alignment horizontal="center"/>
    </xf>
    <xf numFmtId="0" fontId="5" fillId="10" borderId="1" xfId="0" applyFont="1" applyFill="1" applyBorder="1"/>
    <xf numFmtId="0" fontId="5" fillId="10" borderId="99" xfId="0" applyFont="1" applyFill="1" applyBorder="1" applyAlignment="1">
      <alignment horizontal="center" wrapText="1"/>
    </xf>
    <xf numFmtId="0" fontId="5" fillId="10" borderId="6" xfId="0" applyFont="1" applyFill="1" applyBorder="1" applyAlignment="1">
      <alignment horizontal="center" wrapText="1"/>
    </xf>
    <xf numFmtId="0" fontId="5" fillId="10" borderId="100" xfId="0" applyFont="1" applyFill="1" applyBorder="1" applyAlignment="1">
      <alignment horizontal="center" wrapText="1"/>
    </xf>
    <xf numFmtId="0" fontId="5" fillId="10" borderId="127" xfId="0" applyFont="1" applyFill="1" applyBorder="1" applyAlignment="1">
      <alignment horizontal="center" wrapText="1"/>
    </xf>
    <xf numFmtId="0" fontId="5" fillId="10" borderId="5" xfId="0" applyFont="1" applyFill="1" applyBorder="1" applyAlignment="1">
      <alignment horizontal="center" wrapText="1"/>
    </xf>
    <xf numFmtId="0" fontId="14" fillId="10" borderId="130" xfId="0" applyFont="1" applyFill="1" applyBorder="1" applyAlignment="1">
      <alignment horizontal="center" wrapText="1"/>
    </xf>
    <xf numFmtId="0" fontId="14" fillId="10" borderId="99" xfId="0" applyFont="1" applyFill="1" applyBorder="1" applyAlignment="1">
      <alignment horizontal="center" wrapText="1"/>
    </xf>
    <xf numFmtId="0" fontId="14" fillId="10" borderId="1" xfId="0" applyFont="1" applyFill="1" applyBorder="1" applyAlignment="1">
      <alignment horizontal="center" wrapText="1"/>
    </xf>
    <xf numFmtId="0" fontId="14" fillId="10" borderId="127" xfId="0" applyFont="1" applyFill="1" applyBorder="1" applyAlignment="1">
      <alignment horizontal="center" wrapText="1"/>
    </xf>
    <xf numFmtId="0" fontId="14" fillId="10" borderId="5" xfId="0" applyFont="1" applyFill="1" applyBorder="1" applyAlignment="1">
      <alignment horizontal="center" wrapText="1"/>
    </xf>
    <xf numFmtId="0" fontId="3" fillId="0" borderId="36" xfId="0" applyFont="1" applyBorder="1"/>
    <xf numFmtId="167" fontId="7" fillId="0" borderId="127" xfId="0" applyNumberFormat="1" applyFont="1" applyBorder="1"/>
    <xf numFmtId="167" fontId="39" fillId="0" borderId="5" xfId="0" applyNumberFormat="1" applyFont="1" applyBorder="1" applyAlignment="1">
      <alignment horizontal="center"/>
    </xf>
    <xf numFmtId="167" fontId="3" fillId="0" borderId="130" xfId="0" applyNumberFormat="1" applyFont="1" applyBorder="1"/>
    <xf numFmtId="2" fontId="3" fillId="0" borderId="127" xfId="0" applyNumberFormat="1" applyFont="1" applyBorder="1"/>
    <xf numFmtId="9" fontId="3" fillId="0" borderId="5" xfId="0" applyNumberFormat="1" applyFont="1" applyBorder="1"/>
    <xf numFmtId="167" fontId="3" fillId="0" borderId="5" xfId="0" applyNumberFormat="1" applyFont="1" applyBorder="1"/>
    <xf numFmtId="168" fontId="7" fillId="0" borderId="130" xfId="0" applyNumberFormat="1" applyFont="1" applyBorder="1"/>
    <xf numFmtId="43" fontId="7" fillId="0" borderId="127" xfId="0" applyNumberFormat="1" applyFont="1" applyBorder="1"/>
    <xf numFmtId="0" fontId="7" fillId="0" borderId="36" xfId="0" applyFont="1" applyBorder="1" applyAlignment="1">
      <alignment horizontal="center"/>
    </xf>
    <xf numFmtId="182" fontId="7" fillId="0" borderId="127" xfId="0" applyNumberFormat="1" applyFont="1" applyBorder="1" applyAlignment="1">
      <alignment horizontal="right"/>
    </xf>
    <xf numFmtId="168" fontId="7" fillId="0" borderId="5" xfId="0" applyNumberFormat="1" applyFont="1" applyBorder="1"/>
    <xf numFmtId="164" fontId="7" fillId="0" borderId="130" xfId="0" applyNumberFormat="1" applyFont="1" applyBorder="1"/>
    <xf numFmtId="182" fontId="7" fillId="0" borderId="127" xfId="0" applyNumberFormat="1" applyFont="1" applyBorder="1"/>
    <xf numFmtId="37" fontId="7" fillId="0" borderId="0" xfId="0" applyNumberFormat="1" applyFont="1"/>
    <xf numFmtId="183" fontId="7" fillId="0" borderId="0" xfId="0" applyNumberFormat="1" applyFont="1"/>
    <xf numFmtId="0" fontId="3" fillId="0" borderId="1" xfId="0" applyFont="1" applyBorder="1"/>
    <xf numFmtId="167" fontId="7" fillId="0" borderId="99" xfId="0" applyNumberFormat="1" applyFont="1" applyBorder="1"/>
    <xf numFmtId="167" fontId="7" fillId="0" borderId="6" xfId="0" applyNumberFormat="1" applyFont="1" applyBorder="1" applyAlignment="1">
      <alignment horizontal="center"/>
    </xf>
    <xf numFmtId="167" fontId="3" fillId="0" borderId="100" xfId="0" applyNumberFormat="1" applyFont="1" applyBorder="1"/>
    <xf numFmtId="2" fontId="7" fillId="0" borderId="99" xfId="0" applyNumberFormat="1" applyFont="1" applyBorder="1"/>
    <xf numFmtId="9" fontId="3" fillId="0" borderId="6" xfId="0" applyNumberFormat="1" applyFont="1" applyBorder="1"/>
    <xf numFmtId="167" fontId="3" fillId="0" borderId="6" xfId="0" applyNumberFormat="1" applyFont="1" applyBorder="1"/>
    <xf numFmtId="168" fontId="7" fillId="0" borderId="100" xfId="0" applyNumberFormat="1" applyFont="1" applyBorder="1"/>
    <xf numFmtId="43" fontId="7" fillId="0" borderId="99" xfId="0" applyNumberFormat="1" applyFont="1" applyBorder="1"/>
    <xf numFmtId="182" fontId="7" fillId="0" borderId="99" xfId="0" applyNumberFormat="1" applyFont="1" applyBorder="1" applyAlignment="1">
      <alignment horizontal="right"/>
    </xf>
    <xf numFmtId="164" fontId="7" fillId="0" borderId="100" xfId="0" applyNumberFormat="1" applyFont="1" applyBorder="1"/>
    <xf numFmtId="184" fontId="7" fillId="0" borderId="99" xfId="0" applyNumberFormat="1" applyFont="1" applyBorder="1"/>
    <xf numFmtId="41" fontId="7" fillId="0" borderId="99" xfId="0" applyNumberFormat="1" applyFont="1" applyBorder="1" applyAlignment="1">
      <alignment horizontal="center"/>
    </xf>
    <xf numFmtId="41" fontId="7" fillId="0" borderId="6" xfId="0" applyNumberFormat="1" applyFont="1" applyBorder="1"/>
    <xf numFmtId="2" fontId="3" fillId="0" borderId="99" xfId="0" applyNumberFormat="1" applyFont="1" applyBorder="1"/>
    <xf numFmtId="0" fontId="7" fillId="0" borderId="99" xfId="0" applyFont="1" applyBorder="1" applyAlignment="1">
      <alignment horizontal="center"/>
    </xf>
    <xf numFmtId="184" fontId="7" fillId="0" borderId="1" xfId="0" applyNumberFormat="1" applyFont="1" applyBorder="1"/>
    <xf numFmtId="182" fontId="7" fillId="0" borderId="99" xfId="0" applyNumberFormat="1" applyFont="1" applyBorder="1"/>
    <xf numFmtId="39" fontId="7" fillId="0" borderId="0" xfId="0" applyNumberFormat="1" applyFont="1"/>
    <xf numFmtId="0" fontId="7" fillId="0" borderId="127" xfId="0" applyFont="1" applyBorder="1" applyAlignment="1">
      <alignment horizontal="center"/>
    </xf>
    <xf numFmtId="184" fontId="7" fillId="0" borderId="131" xfId="0" applyNumberFormat="1" applyFont="1" applyBorder="1"/>
    <xf numFmtId="185" fontId="7" fillId="0" borderId="99" xfId="0" applyNumberFormat="1" applyFont="1" applyBorder="1"/>
    <xf numFmtId="167" fontId="7" fillId="0" borderId="101" xfId="0" applyNumberFormat="1" applyFont="1" applyBorder="1"/>
    <xf numFmtId="167" fontId="7" fillId="0" borderId="44" xfId="0" applyNumberFormat="1" applyFont="1" applyBorder="1" applyAlignment="1">
      <alignment horizontal="center"/>
    </xf>
    <xf numFmtId="167" fontId="3" fillId="0" borderId="102" xfId="0" applyNumberFormat="1" applyFont="1" applyBorder="1"/>
    <xf numFmtId="2" fontId="3" fillId="0" borderId="101" xfId="0" applyNumberFormat="1" applyFont="1" applyBorder="1"/>
    <xf numFmtId="9" fontId="3" fillId="0" borderId="44" xfId="0" applyNumberFormat="1" applyFont="1" applyBorder="1"/>
    <xf numFmtId="167" fontId="3" fillId="0" borderId="44" xfId="0" applyNumberFormat="1" applyFont="1" applyBorder="1"/>
    <xf numFmtId="168" fontId="7" fillId="0" borderId="102" xfId="0" applyNumberFormat="1" applyFont="1" applyBorder="1"/>
    <xf numFmtId="0" fontId="3" fillId="0" borderId="99" xfId="0" applyFont="1" applyBorder="1" applyAlignment="1">
      <alignment horizontal="center"/>
    </xf>
    <xf numFmtId="185" fontId="7" fillId="0" borderId="101" xfId="0" applyNumberFormat="1" applyFont="1" applyBorder="1"/>
    <xf numFmtId="168" fontId="7" fillId="0" borderId="44" xfId="0" applyNumberFormat="1" applyFont="1" applyBorder="1"/>
    <xf numFmtId="164" fontId="7" fillId="0" borderId="102" xfId="0" applyNumberFormat="1" applyFont="1" applyBorder="1"/>
    <xf numFmtId="43" fontId="7" fillId="0" borderId="0" xfId="0" applyNumberFormat="1" applyFont="1"/>
    <xf numFmtId="0" fontId="3" fillId="0" borderId="33" xfId="0" applyFont="1" applyBorder="1"/>
    <xf numFmtId="0" fontId="3" fillId="0" borderId="0" xfId="0" applyFont="1" applyAlignment="1">
      <alignment horizontal="center"/>
    </xf>
    <xf numFmtId="0" fontId="3" fillId="0" borderId="82" xfId="0" applyFont="1" applyBorder="1"/>
    <xf numFmtId="0" fontId="5" fillId="10" borderId="1" xfId="0" applyFont="1" applyFill="1" applyBorder="1" applyAlignment="1">
      <alignment horizontal="center"/>
    </xf>
    <xf numFmtId="0" fontId="3" fillId="0" borderId="78" xfId="0" applyFont="1" applyBorder="1"/>
    <xf numFmtId="0" fontId="5" fillId="10" borderId="36" xfId="0" applyFont="1" applyFill="1" applyBorder="1"/>
    <xf numFmtId="0" fontId="5" fillId="10" borderId="1" xfId="0" applyFont="1" applyFill="1" applyBorder="1" applyAlignment="1">
      <alignment horizontal="center" wrapText="1"/>
    </xf>
    <xf numFmtId="167" fontId="3" fillId="0" borderId="132" xfId="0" applyNumberFormat="1" applyFont="1" applyBorder="1"/>
    <xf numFmtId="10" fontId="3" fillId="0" borderId="6" xfId="0" applyNumberFormat="1" applyFont="1" applyBorder="1" applyAlignment="1">
      <alignment horizontal="right"/>
    </xf>
    <xf numFmtId="10" fontId="3" fillId="0" borderId="5" xfId="0" applyNumberFormat="1" applyFont="1" applyBorder="1" applyAlignment="1">
      <alignment horizontal="right"/>
    </xf>
    <xf numFmtId="167" fontId="3" fillId="0" borderId="36" xfId="0" applyNumberFormat="1" applyFont="1" applyBorder="1"/>
    <xf numFmtId="2" fontId="3" fillId="0" borderId="133" xfId="0" applyNumberFormat="1" applyFont="1" applyBorder="1" applyAlignment="1">
      <alignment horizontal="center"/>
    </xf>
    <xf numFmtId="9" fontId="3" fillId="0" borderId="115" xfId="0" applyNumberFormat="1" applyFont="1" applyBorder="1"/>
    <xf numFmtId="167" fontId="3" fillId="0" borderId="115" xfId="0" applyNumberFormat="1" applyFont="1" applyBorder="1"/>
    <xf numFmtId="168" fontId="7" fillId="0" borderId="132" xfId="0" applyNumberFormat="1" applyFont="1" applyBorder="1"/>
    <xf numFmtId="179" fontId="3" fillId="0" borderId="0" xfId="0" applyNumberFormat="1" applyFont="1"/>
    <xf numFmtId="168" fontId="7" fillId="0" borderId="0" xfId="0" applyNumberFormat="1" applyFont="1"/>
    <xf numFmtId="168" fontId="14" fillId="0" borderId="0" xfId="0" applyNumberFormat="1" applyFont="1"/>
    <xf numFmtId="167" fontId="3" fillId="0" borderId="0" xfId="0" applyNumberFormat="1" applyFont="1"/>
    <xf numFmtId="9" fontId="3" fillId="0" borderId="0" xfId="0" applyNumberFormat="1" applyFont="1"/>
    <xf numFmtId="2" fontId="3" fillId="0" borderId="0" xfId="0" applyNumberFormat="1" applyFont="1"/>
    <xf numFmtId="0" fontId="31" fillId="4" borderId="0" xfId="0" applyFont="1" applyFill="1"/>
    <xf numFmtId="0" fontId="7" fillId="0" borderId="134" xfId="0" applyFont="1" applyBorder="1"/>
    <xf numFmtId="2" fontId="7" fillId="0" borderId="1" xfId="0" applyNumberFormat="1" applyFont="1" applyBorder="1" applyAlignment="1">
      <alignment horizontal="right"/>
    </xf>
    <xf numFmtId="164" fontId="7" fillId="0" borderId="134" xfId="0" applyNumberFormat="1" applyFont="1" applyBorder="1"/>
    <xf numFmtId="186" fontId="7" fillId="0" borderId="0" xfId="0" applyNumberFormat="1" applyFont="1" applyAlignment="1">
      <alignment horizontal="center"/>
    </xf>
    <xf numFmtId="164" fontId="7" fillId="0" borderId="0" xfId="0" applyNumberFormat="1" applyFont="1"/>
    <xf numFmtId="0" fontId="5" fillId="10" borderId="6" xfId="0" applyFont="1" applyFill="1" applyBorder="1"/>
    <xf numFmtId="43" fontId="14" fillId="0" borderId="0" xfId="0" applyNumberFormat="1" applyFont="1"/>
    <xf numFmtId="164" fontId="7" fillId="0" borderId="6" xfId="0" applyNumberFormat="1" applyFont="1" applyBorder="1"/>
    <xf numFmtId="1" fontId="7" fillId="0" borderId="0" xfId="0" applyNumberFormat="1" applyFont="1"/>
    <xf numFmtId="0" fontId="40" fillId="0" borderId="0" xfId="0" applyFont="1"/>
    <xf numFmtId="0" fontId="7" fillId="0" borderId="101" xfId="0" applyFont="1" applyBorder="1"/>
    <xf numFmtId="0" fontId="7" fillId="0" borderId="102" xfId="0" applyFont="1" applyBorder="1"/>
    <xf numFmtId="167" fontId="7" fillId="0" borderId="0" xfId="0" applyNumberFormat="1" applyFont="1" applyAlignment="1">
      <alignment horizontal="center"/>
    </xf>
    <xf numFmtId="0" fontId="7" fillId="10" borderId="44" xfId="0" applyFont="1" applyFill="1" applyBorder="1"/>
    <xf numFmtId="0" fontId="7" fillId="0" borderId="0" xfId="0" applyFont="1" applyAlignment="1">
      <alignment vertical="top"/>
    </xf>
    <xf numFmtId="2" fontId="41" fillId="0" borderId="0" xfId="0" applyNumberFormat="1" applyFont="1" applyAlignment="1">
      <alignment horizontal="center"/>
    </xf>
    <xf numFmtId="3" fontId="5" fillId="0" borderId="0" xfId="0" applyNumberFormat="1" applyFont="1" applyAlignment="1">
      <alignment horizontal="center"/>
    </xf>
    <xf numFmtId="4" fontId="3" fillId="0" borderId="0" xfId="0" applyNumberFormat="1" applyFont="1" applyAlignment="1">
      <alignment horizontal="center"/>
    </xf>
    <xf numFmtId="0" fontId="7" fillId="0" borderId="33" xfId="0" applyFont="1" applyBorder="1"/>
    <xf numFmtId="167" fontId="7" fillId="0" borderId="7" xfId="0" applyNumberFormat="1" applyFont="1" applyBorder="1"/>
    <xf numFmtId="0" fontId="42" fillId="20" borderId="9" xfId="0" applyFont="1" applyFill="1" applyBorder="1"/>
    <xf numFmtId="0" fontId="17" fillId="20" borderId="9" xfId="0" applyFont="1" applyFill="1" applyBorder="1"/>
    <xf numFmtId="0" fontId="17" fillId="20" borderId="0" xfId="0" applyFont="1" applyFill="1"/>
    <xf numFmtId="0" fontId="16" fillId="0" borderId="0" xfId="0" applyFont="1"/>
    <xf numFmtId="164" fontId="17" fillId="0" borderId="0" xfId="0" applyNumberFormat="1" applyFont="1"/>
    <xf numFmtId="2" fontId="17" fillId="0" borderId="0" xfId="0" applyNumberFormat="1" applyFont="1"/>
    <xf numFmtId="0" fontId="43" fillId="21" borderId="9" xfId="0" applyFont="1" applyFill="1" applyBorder="1"/>
    <xf numFmtId="0" fontId="17" fillId="21" borderId="9" xfId="0" applyFont="1" applyFill="1" applyBorder="1"/>
    <xf numFmtId="2" fontId="43" fillId="21" borderId="9" xfId="0" applyNumberFormat="1" applyFont="1" applyFill="1" applyBorder="1"/>
    <xf numFmtId="2" fontId="16" fillId="0" borderId="0" xfId="0" applyNumberFormat="1" applyFont="1"/>
    <xf numFmtId="0" fontId="17" fillId="21" borderId="0" xfId="0" applyFont="1" applyFill="1"/>
    <xf numFmtId="0" fontId="14" fillId="10" borderId="28" xfId="0" applyFont="1" applyFill="1" applyBorder="1"/>
    <xf numFmtId="0" fontId="7" fillId="10" borderId="29" xfId="0" applyFont="1" applyFill="1" applyBorder="1"/>
    <xf numFmtId="0" fontId="7" fillId="10" borderId="31" xfId="0" applyFont="1" applyFill="1" applyBorder="1"/>
    <xf numFmtId="0" fontId="14" fillId="5" borderId="6" xfId="0" applyFont="1" applyFill="1" applyBorder="1" applyAlignment="1">
      <alignment horizontal="center"/>
    </xf>
    <xf numFmtId="0" fontId="14" fillId="5" borderId="100" xfId="0" applyFont="1" applyFill="1" applyBorder="1" applyAlignment="1">
      <alignment horizontal="center"/>
    </xf>
    <xf numFmtId="0" fontId="7" fillId="4" borderId="92" xfId="0" applyFont="1" applyFill="1" applyBorder="1"/>
    <xf numFmtId="0" fontId="7" fillId="4" borderId="4" xfId="0" applyFont="1" applyFill="1" applyBorder="1"/>
    <xf numFmtId="0" fontId="7" fillId="4" borderId="93" xfId="0" applyFont="1" applyFill="1" applyBorder="1"/>
    <xf numFmtId="0" fontId="7" fillId="0" borderId="99" xfId="0" applyFont="1" applyBorder="1"/>
    <xf numFmtId="167" fontId="7" fillId="0" borderId="100" xfId="0" applyNumberFormat="1" applyFont="1" applyBorder="1" applyAlignment="1">
      <alignment horizontal="center"/>
    </xf>
    <xf numFmtId="195" fontId="7" fillId="0" borderId="6" xfId="0" applyNumberFormat="1" applyFont="1" applyBorder="1" applyAlignment="1">
      <alignment horizontal="center"/>
    </xf>
    <xf numFmtId="195" fontId="7" fillId="0" borderId="100" xfId="0" applyNumberFormat="1" applyFont="1" applyBorder="1" applyAlignment="1">
      <alignment horizontal="center"/>
    </xf>
    <xf numFmtId="200" fontId="7" fillId="0" borderId="6" xfId="0" applyNumberFormat="1" applyFont="1" applyBorder="1" applyAlignment="1">
      <alignment horizontal="center"/>
    </xf>
    <xf numFmtId="200" fontId="7" fillId="0" borderId="100" xfId="0" applyNumberFormat="1" applyFont="1" applyBorder="1" applyAlignment="1">
      <alignment horizontal="center"/>
    </xf>
    <xf numFmtId="3" fontId="7" fillId="2" borderId="6" xfId="0" applyNumberFormat="1" applyFont="1" applyFill="1" applyBorder="1"/>
    <xf numFmtId="0" fontId="22" fillId="0" borderId="42" xfId="0" applyFont="1" applyBorder="1"/>
    <xf numFmtId="167" fontId="7" fillId="0" borderId="0" xfId="0" applyNumberFormat="1" applyFont="1" applyAlignment="1">
      <alignment horizontal="right"/>
    </xf>
    <xf numFmtId="43" fontId="7" fillId="0" borderId="100" xfId="0" applyNumberFormat="1" applyFont="1" applyBorder="1"/>
    <xf numFmtId="0" fontId="30" fillId="0" borderId="0" xfId="0" applyFont="1"/>
    <xf numFmtId="174" fontId="7" fillId="0" borderId="100" xfId="0" applyNumberFormat="1" applyFont="1" applyBorder="1" applyAlignment="1">
      <alignment horizontal="center"/>
    </xf>
    <xf numFmtId="0" fontId="44" fillId="0" borderId="0" xfId="0" applyFont="1"/>
    <xf numFmtId="0" fontId="44" fillId="0" borderId="0" xfId="0" applyFont="1" applyAlignment="1">
      <alignment vertical="top"/>
    </xf>
    <xf numFmtId="0" fontId="45" fillId="0" borderId="0" xfId="0" applyFont="1"/>
    <xf numFmtId="167" fontId="22" fillId="0" borderId="0" xfId="0" applyNumberFormat="1" applyFont="1"/>
    <xf numFmtId="0" fontId="14" fillId="10" borderId="97" xfId="0" applyFont="1" applyFill="1" applyBorder="1"/>
    <xf numFmtId="43" fontId="7" fillId="0" borderId="17" xfId="0" applyNumberFormat="1" applyFont="1" applyBorder="1" applyAlignment="1">
      <alignment horizontal="center"/>
    </xf>
    <xf numFmtId="0" fontId="22" fillId="8" borderId="6" xfId="0" applyFont="1" applyFill="1" applyBorder="1"/>
    <xf numFmtId="196" fontId="7" fillId="0" borderId="100" xfId="0" applyNumberFormat="1" applyFont="1" applyBorder="1" applyAlignment="1">
      <alignment horizontal="center"/>
    </xf>
    <xf numFmtId="0" fontId="7" fillId="24" borderId="6" xfId="0" applyFont="1" applyFill="1" applyBorder="1"/>
    <xf numFmtId="201" fontId="7" fillId="0" borderId="100" xfId="0" applyNumberFormat="1" applyFont="1" applyBorder="1" applyAlignment="1">
      <alignment horizontal="center"/>
    </xf>
    <xf numFmtId="0" fontId="7" fillId="18" borderId="6" xfId="0" applyFont="1" applyFill="1" applyBorder="1"/>
    <xf numFmtId="49" fontId="7" fillId="0" borderId="0" xfId="0" applyNumberFormat="1" applyFont="1"/>
    <xf numFmtId="43" fontId="7" fillId="0" borderId="194" xfId="0" applyNumberFormat="1" applyFont="1" applyBorder="1" applyAlignment="1">
      <alignment horizontal="center"/>
    </xf>
    <xf numFmtId="174" fontId="7" fillId="0" borderId="102" xfId="0" applyNumberFormat="1" applyFont="1" applyBorder="1" applyAlignment="1">
      <alignment horizontal="center"/>
    </xf>
    <xf numFmtId="49" fontId="7" fillId="0" borderId="0" xfId="0" applyNumberFormat="1" applyFont="1" applyAlignment="1">
      <alignment horizontal="center"/>
    </xf>
    <xf numFmtId="49" fontId="18" fillId="0" borderId="0" xfId="0" applyNumberFormat="1" applyFont="1" applyAlignment="1">
      <alignment horizontal="center"/>
    </xf>
    <xf numFmtId="189" fontId="7" fillId="0" borderId="100" xfId="0" applyNumberFormat="1" applyFont="1" applyBorder="1" applyAlignment="1">
      <alignment horizontal="center"/>
    </xf>
    <xf numFmtId="0" fontId="14" fillId="0" borderId="155" xfId="0" applyFont="1" applyBorder="1" applyAlignment="1">
      <alignment horizontal="center" vertical="center"/>
    </xf>
    <xf numFmtId="0" fontId="14" fillId="10" borderId="101" xfId="0" applyFont="1" applyFill="1" applyBorder="1"/>
    <xf numFmtId="0" fontId="14" fillId="0" borderId="158" xfId="0" applyFont="1" applyBorder="1" applyAlignment="1">
      <alignment horizontal="center" vertical="center"/>
    </xf>
    <xf numFmtId="0" fontId="14" fillId="0" borderId="191" xfId="0" applyFont="1" applyBorder="1" applyAlignment="1">
      <alignment horizontal="center" vertical="center" wrapText="1"/>
    </xf>
    <xf numFmtId="196" fontId="14" fillId="10" borderId="102" xfId="0" applyNumberFormat="1" applyFont="1" applyFill="1" applyBorder="1"/>
    <xf numFmtId="49" fontId="14" fillId="0" borderId="191" xfId="0" applyNumberFormat="1" applyFont="1" applyBorder="1" applyAlignment="1">
      <alignment horizontal="center" vertical="center" wrapText="1"/>
    </xf>
    <xf numFmtId="188" fontId="7" fillId="0" borderId="0" xfId="0" applyNumberFormat="1" applyFont="1"/>
    <xf numFmtId="0" fontId="14" fillId="0" borderId="156" xfId="0" applyFont="1" applyBorder="1" applyAlignment="1">
      <alignment horizontal="center" vertical="center" wrapText="1"/>
    </xf>
    <xf numFmtId="43" fontId="7" fillId="0" borderId="0" xfId="0" applyNumberFormat="1" applyFont="1" applyAlignment="1">
      <alignment horizontal="right"/>
    </xf>
    <xf numFmtId="0" fontId="14" fillId="0" borderId="158" xfId="0" applyFont="1" applyBorder="1" applyAlignment="1">
      <alignment horizontal="center" vertical="center" wrapText="1"/>
    </xf>
    <xf numFmtId="0" fontId="14" fillId="8" borderId="191" xfId="0" applyFont="1" applyFill="1" applyBorder="1" applyAlignment="1">
      <alignment horizontal="center" vertical="center" wrapText="1"/>
    </xf>
    <xf numFmtId="0" fontId="14" fillId="8" borderId="156" xfId="0" applyFont="1" applyFill="1" applyBorder="1" applyAlignment="1">
      <alignment horizontal="center" vertical="center" wrapText="1"/>
    </xf>
    <xf numFmtId="172" fontId="7" fillId="0" borderId="0" xfId="0" applyNumberFormat="1" applyFont="1" applyAlignment="1">
      <alignment horizontal="center"/>
    </xf>
    <xf numFmtId="43" fontId="7" fillId="0" borderId="0" xfId="0" applyNumberFormat="1" applyFont="1" applyAlignment="1">
      <alignment horizontal="center"/>
    </xf>
    <xf numFmtId="43" fontId="14" fillId="0" borderId="0" xfId="0" applyNumberFormat="1" applyFont="1" applyAlignment="1">
      <alignment horizontal="right"/>
    </xf>
    <xf numFmtId="0" fontId="7" fillId="0" borderId="127" xfId="0" applyFont="1" applyBorder="1"/>
    <xf numFmtId="0" fontId="7" fillId="0" borderId="130" xfId="0" applyFont="1" applyBorder="1"/>
    <xf numFmtId="43" fontId="14" fillId="0" borderId="0" xfId="0" applyNumberFormat="1" applyFont="1" applyAlignment="1">
      <alignment horizontal="center"/>
    </xf>
    <xf numFmtId="0" fontId="7" fillId="0" borderId="17" xfId="0" applyFont="1" applyBorder="1"/>
    <xf numFmtId="49" fontId="7" fillId="0" borderId="5" xfId="0" applyNumberFormat="1" applyFont="1" applyBorder="1" applyAlignment="1">
      <alignment horizontal="center"/>
    </xf>
    <xf numFmtId="0" fontId="7" fillId="0" borderId="5" xfId="0" applyFont="1" applyBorder="1" applyAlignment="1">
      <alignment horizontal="center"/>
    </xf>
    <xf numFmtId="49" fontId="7" fillId="0" borderId="5" xfId="0" applyNumberFormat="1" applyFont="1" applyBorder="1"/>
    <xf numFmtId="49" fontId="7" fillId="0" borderId="130" xfId="0" applyNumberFormat="1" applyFont="1" applyBorder="1" applyAlignment="1">
      <alignment horizontal="center"/>
    </xf>
    <xf numFmtId="3" fontId="7" fillId="8" borderId="17" xfId="0" applyNumberFormat="1" applyFont="1" applyFill="1" applyBorder="1"/>
    <xf numFmtId="3" fontId="7" fillId="8" borderId="5" xfId="0" applyNumberFormat="1" applyFont="1" applyFill="1" applyBorder="1"/>
    <xf numFmtId="3" fontId="7" fillId="8" borderId="5" xfId="0" applyNumberFormat="1" applyFont="1" applyFill="1" applyBorder="1" applyAlignment="1">
      <alignment horizontal="center"/>
    </xf>
    <xf numFmtId="3" fontId="7" fillId="0" borderId="5" xfId="0" applyNumberFormat="1" applyFont="1" applyBorder="1" applyAlignment="1">
      <alignment horizontal="center"/>
    </xf>
    <xf numFmtId="3" fontId="7" fillId="0" borderId="130" xfId="0" applyNumberFormat="1" applyFont="1" applyBorder="1" applyAlignment="1">
      <alignment horizontal="center"/>
    </xf>
    <xf numFmtId="0" fontId="14" fillId="0" borderId="99" xfId="0" applyFont="1" applyBorder="1"/>
    <xf numFmtId="0" fontId="7" fillId="24" borderId="100" xfId="0" applyFont="1" applyFill="1" applyBorder="1"/>
    <xf numFmtId="168" fontId="7" fillId="24" borderId="2" xfId="0" applyNumberFormat="1" applyFont="1" applyFill="1" applyBorder="1"/>
    <xf numFmtId="167" fontId="7" fillId="24" borderId="6" xfId="0" applyNumberFormat="1" applyFont="1" applyFill="1" applyBorder="1"/>
    <xf numFmtId="3" fontId="7" fillId="24" borderId="6" xfId="0" applyNumberFormat="1" applyFont="1" applyFill="1" applyBorder="1" applyAlignment="1">
      <alignment horizontal="center"/>
    </xf>
    <xf numFmtId="202" fontId="14" fillId="0" borderId="0" xfId="0" applyNumberFormat="1" applyFont="1" applyAlignment="1">
      <alignment horizontal="right"/>
    </xf>
    <xf numFmtId="0" fontId="7" fillId="24" borderId="6" xfId="0" applyFont="1" applyFill="1" applyBorder="1" applyAlignment="1">
      <alignment horizontal="center"/>
    </xf>
    <xf numFmtId="1" fontId="7" fillId="24" borderId="100" xfId="0" applyNumberFormat="1" applyFont="1" applyFill="1" applyBorder="1" applyAlignment="1">
      <alignment horizontal="center"/>
    </xf>
    <xf numFmtId="3" fontId="3" fillId="24" borderId="2" xfId="0" applyNumberFormat="1" applyFont="1" applyFill="1" applyBorder="1"/>
    <xf numFmtId="3" fontId="3" fillId="24" borderId="6" xfId="0" applyNumberFormat="1" applyFont="1" applyFill="1" applyBorder="1"/>
    <xf numFmtId="9" fontId="3" fillId="24" borderId="6" xfId="0" applyNumberFormat="1" applyFont="1" applyFill="1" applyBorder="1" applyAlignment="1">
      <alignment horizontal="center"/>
    </xf>
    <xf numFmtId="3" fontId="3" fillId="24" borderId="6" xfId="0" applyNumberFormat="1" applyFont="1" applyFill="1" applyBorder="1" applyAlignment="1">
      <alignment horizontal="center"/>
    </xf>
    <xf numFmtId="0" fontId="3" fillId="2" borderId="0" xfId="0" applyFont="1" applyFill="1"/>
    <xf numFmtId="0" fontId="3" fillId="2" borderId="0" xfId="0" applyFont="1" applyFill="1" applyAlignment="1">
      <alignment vertical="top"/>
    </xf>
    <xf numFmtId="0" fontId="3" fillId="2" borderId="28" xfId="0" applyFont="1" applyFill="1" applyBorder="1"/>
    <xf numFmtId="0" fontId="3" fillId="2" borderId="29" xfId="0" applyFont="1" applyFill="1" applyBorder="1"/>
    <xf numFmtId="3" fontId="3" fillId="24" borderId="100" xfId="0" applyNumberFormat="1" applyFont="1" applyFill="1" applyBorder="1" applyAlignment="1">
      <alignment horizontal="center"/>
    </xf>
    <xf numFmtId="0" fontId="3" fillId="2" borderId="31" xfId="0" applyFont="1" applyFill="1" applyBorder="1"/>
    <xf numFmtId="0" fontId="3" fillId="2" borderId="33" xfId="0" applyFont="1" applyFill="1" applyBorder="1"/>
    <xf numFmtId="4" fontId="3" fillId="2" borderId="0" xfId="0" applyNumberFormat="1" applyFont="1" applyFill="1"/>
    <xf numFmtId="168" fontId="7" fillId="2" borderId="2" xfId="0" applyNumberFormat="1" applyFont="1" applyFill="1" applyBorder="1"/>
    <xf numFmtId="0" fontId="3" fillId="2" borderId="42" xfId="0" applyFont="1" applyFill="1" applyBorder="1"/>
    <xf numFmtId="1" fontId="7" fillId="0" borderId="100" xfId="0" applyNumberFormat="1" applyFont="1" applyBorder="1" applyAlignment="1">
      <alignment horizontal="center"/>
    </xf>
    <xf numFmtId="3" fontId="3" fillId="8" borderId="2" xfId="0" applyNumberFormat="1" applyFont="1" applyFill="1" applyBorder="1"/>
    <xf numFmtId="3" fontId="3" fillId="8" borderId="6" xfId="0" applyNumberFormat="1" applyFont="1" applyFill="1" applyBorder="1"/>
    <xf numFmtId="9" fontId="3" fillId="2" borderId="6" xfId="0" applyNumberFormat="1" applyFont="1" applyFill="1" applyBorder="1" applyAlignment="1">
      <alignment horizontal="center"/>
    </xf>
    <xf numFmtId="3" fontId="3" fillId="8" borderId="6" xfId="0" applyNumberFormat="1" applyFont="1" applyFill="1" applyBorder="1" applyAlignment="1">
      <alignment horizontal="center"/>
    </xf>
    <xf numFmtId="3" fontId="3" fillId="2" borderId="6" xfId="0" applyNumberFormat="1" applyFont="1" applyFill="1" applyBorder="1" applyAlignment="1">
      <alignment horizontal="center"/>
    </xf>
    <xf numFmtId="0" fontId="5" fillId="2" borderId="0" xfId="0" applyFont="1" applyFill="1"/>
    <xf numFmtId="3" fontId="3" fillId="2" borderId="100" xfId="0" applyNumberFormat="1" applyFont="1" applyFill="1" applyBorder="1" applyAlignment="1">
      <alignment horizontal="center"/>
    </xf>
    <xf numFmtId="0" fontId="5" fillId="2" borderId="33" xfId="0" applyFont="1" applyFill="1" applyBorder="1"/>
    <xf numFmtId="0" fontId="7" fillId="2" borderId="0" xfId="0" applyFont="1" applyFill="1" applyAlignment="1">
      <alignment horizontal="center"/>
    </xf>
    <xf numFmtId="0" fontId="3" fillId="2" borderId="6" xfId="0" applyFont="1" applyFill="1" applyBorder="1" applyAlignment="1">
      <alignment horizontal="center"/>
    </xf>
    <xf numFmtId="10" fontId="3" fillId="2" borderId="0" xfId="0" applyNumberFormat="1" applyFont="1" applyFill="1"/>
    <xf numFmtId="0" fontId="7" fillId="2" borderId="0" xfId="0" applyFont="1" applyFill="1" applyAlignment="1">
      <alignment horizontal="left"/>
    </xf>
    <xf numFmtId="0" fontId="3" fillId="2" borderId="51" xfId="0" applyFont="1" applyFill="1" applyBorder="1"/>
    <xf numFmtId="0" fontId="3" fillId="2" borderId="53" xfId="0" applyFont="1" applyFill="1" applyBorder="1"/>
    <xf numFmtId="0" fontId="3" fillId="2" borderId="54" xfId="0" applyFont="1" applyFill="1" applyBorder="1"/>
    <xf numFmtId="0" fontId="7" fillId="2" borderId="0" xfId="0" applyFont="1" applyFill="1" applyAlignment="1">
      <alignment horizontal="right"/>
    </xf>
    <xf numFmtId="0" fontId="5" fillId="10" borderId="28" xfId="0" applyFont="1" applyFill="1" applyBorder="1" applyAlignment="1">
      <alignment horizontal="center" wrapText="1"/>
    </xf>
    <xf numFmtId="0" fontId="7" fillId="18" borderId="100" xfId="0" applyFont="1" applyFill="1" applyBorder="1"/>
    <xf numFmtId="0" fontId="5" fillId="10" borderId="195" xfId="0" applyFont="1" applyFill="1" applyBorder="1" applyAlignment="1">
      <alignment horizontal="center" wrapText="1"/>
    </xf>
    <xf numFmtId="168" fontId="7" fillId="18" borderId="2" xfId="0" applyNumberFormat="1" applyFont="1" applyFill="1" applyBorder="1"/>
    <xf numFmtId="0" fontId="5" fillId="10" borderId="190" xfId="0" applyFont="1" applyFill="1" applyBorder="1" applyAlignment="1">
      <alignment horizontal="center" wrapText="1"/>
    </xf>
    <xf numFmtId="167" fontId="7" fillId="18" borderId="6" xfId="0" applyNumberFormat="1" applyFont="1" applyFill="1" applyBorder="1"/>
    <xf numFmtId="0" fontId="5" fillId="10" borderId="162" xfId="0" applyFont="1" applyFill="1" applyBorder="1" applyAlignment="1">
      <alignment horizontal="center" wrapText="1"/>
    </xf>
    <xf numFmtId="3" fontId="7" fillId="18" borderId="6" xfId="0" applyNumberFormat="1" applyFont="1" applyFill="1" applyBorder="1" applyAlignment="1">
      <alignment horizontal="center"/>
    </xf>
    <xf numFmtId="0" fontId="7" fillId="18" borderId="6" xfId="0" applyFont="1" applyFill="1" applyBorder="1" applyAlignment="1">
      <alignment horizontal="center"/>
    </xf>
    <xf numFmtId="0" fontId="5" fillId="10" borderId="29" xfId="0" applyFont="1" applyFill="1" applyBorder="1" applyAlignment="1">
      <alignment horizontal="center" wrapText="1"/>
    </xf>
    <xf numFmtId="1" fontId="7" fillId="18" borderId="100" xfId="0" applyNumberFormat="1" applyFont="1" applyFill="1" applyBorder="1" applyAlignment="1">
      <alignment horizontal="center"/>
    </xf>
    <xf numFmtId="3" fontId="3" fillId="18" borderId="2" xfId="0" applyNumberFormat="1" applyFont="1" applyFill="1" applyBorder="1"/>
    <xf numFmtId="3" fontId="3" fillId="18" borderId="6" xfId="0" applyNumberFormat="1" applyFont="1" applyFill="1" applyBorder="1"/>
    <xf numFmtId="9" fontId="3" fillId="18" borderId="6" xfId="0" applyNumberFormat="1" applyFont="1" applyFill="1" applyBorder="1" applyAlignment="1">
      <alignment horizontal="center"/>
    </xf>
    <xf numFmtId="3" fontId="3" fillId="18" borderId="6" xfId="0" applyNumberFormat="1" applyFont="1" applyFill="1" applyBorder="1" applyAlignment="1">
      <alignment horizontal="center"/>
    </xf>
    <xf numFmtId="10" fontId="3" fillId="18" borderId="6" xfId="0" applyNumberFormat="1" applyFont="1" applyFill="1" applyBorder="1" applyAlignment="1">
      <alignment horizontal="center"/>
    </xf>
    <xf numFmtId="0" fontId="5" fillId="10" borderId="124" xfId="0" applyFont="1" applyFill="1" applyBorder="1" applyAlignment="1">
      <alignment horizontal="center" wrapText="1"/>
    </xf>
    <xf numFmtId="0" fontId="5" fillId="10" borderId="196" xfId="0" applyFont="1" applyFill="1" applyBorder="1" applyAlignment="1">
      <alignment horizontal="center" wrapText="1"/>
    </xf>
    <xf numFmtId="0" fontId="5" fillId="0" borderId="0" xfId="0" applyFont="1" applyAlignment="1">
      <alignment horizontal="center" wrapText="1"/>
    </xf>
    <xf numFmtId="0" fontId="7" fillId="10" borderId="78" xfId="0" applyFont="1" applyFill="1" applyBorder="1"/>
    <xf numFmtId="0" fontId="7" fillId="19" borderId="99" xfId="0" applyFont="1" applyFill="1" applyBorder="1" applyAlignment="1">
      <alignment horizontal="center"/>
    </xf>
    <xf numFmtId="0" fontId="7" fillId="19" borderId="6" xfId="0" applyFont="1" applyFill="1" applyBorder="1" applyAlignment="1">
      <alignment horizontal="center"/>
    </xf>
    <xf numFmtId="0" fontId="7" fillId="19" borderId="100" xfId="0" applyFont="1" applyFill="1" applyBorder="1" applyAlignment="1">
      <alignment horizontal="center"/>
    </xf>
    <xf numFmtId="0" fontId="7" fillId="10" borderId="17" xfId="0" applyFont="1" applyFill="1" applyBorder="1"/>
    <xf numFmtId="0" fontId="7" fillId="10" borderId="5" xfId="0" applyFont="1" applyFill="1" applyBorder="1"/>
    <xf numFmtId="0" fontId="7" fillId="10" borderId="36" xfId="0" applyFont="1" applyFill="1" applyBorder="1"/>
    <xf numFmtId="0" fontId="7" fillId="10" borderId="82" xfId="0" applyFont="1" applyFill="1" applyBorder="1"/>
    <xf numFmtId="0" fontId="7" fillId="10" borderId="127" xfId="0" applyFont="1" applyFill="1" applyBorder="1"/>
    <xf numFmtId="0" fontId="7" fillId="10" borderId="130" xfId="0" applyFont="1" applyFill="1" applyBorder="1"/>
    <xf numFmtId="3" fontId="3" fillId="18" borderId="100" xfId="0" applyNumberFormat="1" applyFont="1" applyFill="1" applyBorder="1" applyAlignment="1">
      <alignment horizontal="center"/>
    </xf>
    <xf numFmtId="0" fontId="7" fillId="2" borderId="92" xfId="0" applyFont="1" applyFill="1" applyBorder="1" applyAlignment="1">
      <alignment horizontal="center"/>
    </xf>
    <xf numFmtId="0" fontId="3" fillId="2" borderId="99" xfId="0" applyFont="1" applyFill="1" applyBorder="1" applyAlignment="1">
      <alignment horizontal="center"/>
    </xf>
    <xf numFmtId="0" fontId="3" fillId="2" borderId="100" xfId="0" applyFont="1" applyFill="1" applyBorder="1" applyAlignment="1">
      <alignment horizontal="center"/>
    </xf>
    <xf numFmtId="167" fontId="3" fillId="2" borderId="2" xfId="0" applyNumberFormat="1" applyFont="1" applyFill="1" applyBorder="1" applyAlignment="1">
      <alignment horizontal="center"/>
    </xf>
    <xf numFmtId="10" fontId="3" fillId="2" borderId="6" xfId="0" applyNumberFormat="1" applyFont="1" applyFill="1" applyBorder="1" applyAlignment="1">
      <alignment horizontal="center"/>
    </xf>
    <xf numFmtId="10" fontId="3" fillId="2" borderId="1" xfId="0" applyNumberFormat="1" applyFont="1" applyFill="1" applyBorder="1" applyAlignment="1">
      <alignment horizontal="center"/>
    </xf>
    <xf numFmtId="2" fontId="3" fillId="2" borderId="99" xfId="0" applyNumberFormat="1" applyFont="1" applyFill="1" applyBorder="1" applyAlignment="1">
      <alignment horizontal="center"/>
    </xf>
    <xf numFmtId="2" fontId="3" fillId="2" borderId="6" xfId="0" applyNumberFormat="1" applyFont="1" applyFill="1" applyBorder="1" applyAlignment="1">
      <alignment horizontal="center"/>
    </xf>
    <xf numFmtId="2" fontId="3" fillId="2" borderId="100" xfId="0" applyNumberFormat="1" applyFont="1" applyFill="1" applyBorder="1" applyAlignment="1">
      <alignment horizontal="center"/>
    </xf>
    <xf numFmtId="2" fontId="3" fillId="2" borderId="4" xfId="0" applyNumberFormat="1" applyFont="1" applyFill="1" applyBorder="1" applyAlignment="1">
      <alignment horizontal="center"/>
    </xf>
    <xf numFmtId="4" fontId="3" fillId="2" borderId="99" xfId="0" applyNumberFormat="1" applyFont="1" applyFill="1" applyBorder="1" applyAlignment="1">
      <alignment horizontal="center"/>
    </xf>
    <xf numFmtId="3" fontId="7" fillId="2" borderId="0" xfId="0" applyNumberFormat="1" applyFont="1" applyFill="1" applyAlignment="1">
      <alignment horizontal="right"/>
    </xf>
    <xf numFmtId="4" fontId="3" fillId="2" borderId="6" xfId="0" applyNumberFormat="1" applyFont="1" applyFill="1" applyBorder="1" applyAlignment="1">
      <alignment horizontal="center"/>
    </xf>
    <xf numFmtId="4" fontId="3" fillId="2" borderId="100" xfId="0" applyNumberFormat="1" applyFont="1" applyFill="1" applyBorder="1" applyAlignment="1">
      <alignment horizontal="center"/>
    </xf>
    <xf numFmtId="0" fontId="7" fillId="24" borderId="2" xfId="0" applyFont="1" applyFill="1" applyBorder="1"/>
    <xf numFmtId="193" fontId="3" fillId="2" borderId="17" xfId="0" applyNumberFormat="1" applyFont="1" applyFill="1" applyBorder="1" applyAlignment="1">
      <alignment horizontal="center"/>
    </xf>
    <xf numFmtId="10" fontId="7" fillId="2" borderId="5" xfId="0" applyNumberFormat="1" applyFont="1" applyFill="1" applyBorder="1" applyAlignment="1">
      <alignment horizontal="center"/>
    </xf>
    <xf numFmtId="167" fontId="3" fillId="2" borderId="5" xfId="0" applyNumberFormat="1" applyFont="1" applyFill="1" applyBorder="1" applyAlignment="1">
      <alignment horizontal="center"/>
    </xf>
    <xf numFmtId="167" fontId="3" fillId="2" borderId="36" xfId="0" applyNumberFormat="1" applyFont="1" applyFill="1" applyBorder="1" applyAlignment="1">
      <alignment horizontal="center"/>
    </xf>
    <xf numFmtId="167" fontId="3" fillId="2" borderId="127" xfId="0" applyNumberFormat="1" applyFont="1" applyFill="1" applyBorder="1" applyAlignment="1">
      <alignment horizontal="center"/>
    </xf>
    <xf numFmtId="37" fontId="3" fillId="2" borderId="5" xfId="0" applyNumberFormat="1" applyFont="1" applyFill="1" applyBorder="1" applyAlignment="1">
      <alignment horizontal="center"/>
    </xf>
    <xf numFmtId="167" fontId="3" fillId="2" borderId="130" xfId="0" applyNumberFormat="1" applyFont="1" applyFill="1" applyBorder="1" applyAlignment="1">
      <alignment horizontal="center"/>
    </xf>
    <xf numFmtId="167" fontId="3" fillId="2" borderId="82" xfId="0" applyNumberFormat="1" applyFont="1" applyFill="1" applyBorder="1" applyAlignment="1">
      <alignment horizontal="center"/>
    </xf>
    <xf numFmtId="195" fontId="3" fillId="2" borderId="127" xfId="0" applyNumberFormat="1" applyFont="1" applyFill="1" applyBorder="1" applyAlignment="1">
      <alignment horizontal="center"/>
    </xf>
    <xf numFmtId="183" fontId="3" fillId="2" borderId="5" xfId="0" applyNumberFormat="1" applyFont="1" applyFill="1" applyBorder="1" applyAlignment="1">
      <alignment horizontal="center"/>
    </xf>
    <xf numFmtId="195" fontId="3" fillId="2" borderId="130" xfId="0" applyNumberFormat="1" applyFont="1" applyFill="1" applyBorder="1" applyAlignment="1">
      <alignment horizontal="center"/>
    </xf>
    <xf numFmtId="195" fontId="3" fillId="2" borderId="0" xfId="0" applyNumberFormat="1" applyFont="1" applyFill="1" applyAlignment="1">
      <alignment horizontal="center"/>
    </xf>
    <xf numFmtId="0" fontId="7" fillId="2" borderId="2" xfId="0" applyFont="1" applyFill="1" applyBorder="1"/>
    <xf numFmtId="193" fontId="3" fillId="2" borderId="2" xfId="0" applyNumberFormat="1" applyFont="1" applyFill="1" applyBorder="1" applyAlignment="1">
      <alignment horizontal="center"/>
    </xf>
    <xf numFmtId="10" fontId="7" fillId="2" borderId="6" xfId="0" applyNumberFormat="1" applyFont="1" applyFill="1" applyBorder="1" applyAlignment="1">
      <alignment horizontal="center"/>
    </xf>
    <xf numFmtId="3" fontId="3" fillId="2" borderId="1" xfId="0" applyNumberFormat="1" applyFont="1" applyFill="1" applyBorder="1" applyAlignment="1">
      <alignment horizontal="center"/>
    </xf>
    <xf numFmtId="3" fontId="3" fillId="2" borderId="99" xfId="0" applyNumberFormat="1" applyFont="1" applyFill="1" applyBorder="1" applyAlignment="1">
      <alignment horizontal="center"/>
    </xf>
    <xf numFmtId="3" fontId="3" fillId="2" borderId="4" xfId="0" applyNumberFormat="1" applyFont="1" applyFill="1" applyBorder="1" applyAlignment="1">
      <alignment horizontal="center"/>
    </xf>
    <xf numFmtId="4" fontId="3" fillId="2" borderId="0" xfId="0" applyNumberFormat="1" applyFont="1" applyFill="1" applyAlignment="1">
      <alignment horizontal="center"/>
    </xf>
    <xf numFmtId="0" fontId="3" fillId="2" borderId="6" xfId="0" applyFont="1" applyFill="1" applyBorder="1"/>
    <xf numFmtId="3" fontId="3" fillId="2" borderId="6" xfId="0" applyNumberFormat="1" applyFont="1" applyFill="1" applyBorder="1"/>
    <xf numFmtId="3" fontId="3" fillId="2" borderId="100" xfId="0" applyNumberFormat="1" applyFont="1" applyFill="1" applyBorder="1"/>
    <xf numFmtId="0" fontId="7" fillId="2" borderId="92" xfId="0" applyFont="1" applyFill="1" applyBorder="1"/>
    <xf numFmtId="0" fontId="3" fillId="2" borderId="99" xfId="0" applyFont="1" applyFill="1" applyBorder="1"/>
    <xf numFmtId="0" fontId="3" fillId="2" borderId="100" xfId="0" applyFont="1" applyFill="1" applyBorder="1"/>
    <xf numFmtId="0" fontId="3" fillId="2" borderId="2" xfId="0" applyFont="1" applyFill="1" applyBorder="1"/>
    <xf numFmtId="0" fontId="3" fillId="2" borderId="1" xfId="0" applyFont="1" applyFill="1" applyBorder="1"/>
    <xf numFmtId="0" fontId="3" fillId="2" borderId="4" xfId="0" applyFont="1" applyFill="1" applyBorder="1"/>
    <xf numFmtId="179" fontId="3" fillId="24" borderId="6" xfId="0" applyNumberFormat="1" applyFont="1" applyFill="1" applyBorder="1" applyAlignment="1">
      <alignment horizontal="center"/>
    </xf>
    <xf numFmtId="4" fontId="3" fillId="2" borderId="2" xfId="0" applyNumberFormat="1" applyFont="1" applyFill="1" applyBorder="1" applyAlignment="1">
      <alignment horizontal="center"/>
    </xf>
    <xf numFmtId="2" fontId="7" fillId="2" borderId="92" xfId="0" applyNumberFormat="1" applyFont="1" applyFill="1" applyBorder="1" applyAlignment="1">
      <alignment horizontal="center"/>
    </xf>
    <xf numFmtId="179" fontId="3" fillId="18" borderId="6" xfId="0" applyNumberFormat="1" applyFont="1" applyFill="1" applyBorder="1" applyAlignment="1">
      <alignment horizontal="center"/>
    </xf>
    <xf numFmtId="0" fontId="7" fillId="2" borderId="99" xfId="0" applyFont="1" applyFill="1" applyBorder="1" applyAlignment="1">
      <alignment horizontal="center"/>
    </xf>
    <xf numFmtId="0" fontId="7" fillId="2" borderId="100" xfId="0" applyFont="1" applyFill="1" applyBorder="1" applyAlignment="1">
      <alignment horizontal="center"/>
    </xf>
    <xf numFmtId="167" fontId="7" fillId="2" borderId="2" xfId="0" applyNumberFormat="1" applyFont="1" applyFill="1" applyBorder="1" applyAlignment="1">
      <alignment horizontal="center"/>
    </xf>
    <xf numFmtId="10" fontId="7" fillId="2" borderId="1" xfId="0" applyNumberFormat="1" applyFont="1" applyFill="1" applyBorder="1" applyAlignment="1">
      <alignment horizontal="center"/>
    </xf>
    <xf numFmtId="4" fontId="3" fillId="25" borderId="2" xfId="0" applyNumberFormat="1" applyFont="1" applyFill="1" applyBorder="1" applyAlignment="1">
      <alignment horizontal="center"/>
    </xf>
    <xf numFmtId="3" fontId="7" fillId="24" borderId="2" xfId="0" applyNumberFormat="1" applyFont="1" applyFill="1" applyBorder="1"/>
    <xf numFmtId="3" fontId="7" fillId="24" borderId="6" xfId="0" applyNumberFormat="1" applyFont="1" applyFill="1" applyBorder="1"/>
    <xf numFmtId="0" fontId="3" fillId="2" borderId="2" xfId="0" applyFont="1" applyFill="1" applyBorder="1" applyAlignment="1">
      <alignment horizontal="right"/>
    </xf>
    <xf numFmtId="1" fontId="7" fillId="0" borderId="6" xfId="0" applyNumberFormat="1" applyFont="1" applyBorder="1" applyAlignment="1">
      <alignment horizontal="center"/>
    </xf>
    <xf numFmtId="4" fontId="7" fillId="2" borderId="99" xfId="0" applyNumberFormat="1" applyFont="1" applyFill="1" applyBorder="1" applyAlignment="1">
      <alignment horizontal="center"/>
    </xf>
    <xf numFmtId="2" fontId="3" fillId="2" borderId="2" xfId="0" applyNumberFormat="1" applyFont="1" applyFill="1" applyBorder="1" applyAlignment="1">
      <alignment horizontal="right"/>
    </xf>
    <xf numFmtId="167" fontId="3" fillId="2" borderId="2" xfId="0" applyNumberFormat="1" applyFont="1" applyFill="1" applyBorder="1" applyAlignment="1">
      <alignment horizontal="right"/>
    </xf>
    <xf numFmtId="4" fontId="3" fillId="2" borderId="2" xfId="0" applyNumberFormat="1" applyFont="1" applyFill="1" applyBorder="1" applyAlignment="1">
      <alignment horizontal="right"/>
    </xf>
    <xf numFmtId="169" fontId="3" fillId="8" borderId="2" xfId="0" applyNumberFormat="1" applyFont="1" applyFill="1" applyBorder="1"/>
    <xf numFmtId="169" fontId="3" fillId="8" borderId="6" xfId="0" applyNumberFormat="1" applyFont="1" applyFill="1" applyBorder="1"/>
    <xf numFmtId="169" fontId="3" fillId="8" borderId="6" xfId="0" applyNumberFormat="1" applyFont="1" applyFill="1" applyBorder="1" applyAlignment="1">
      <alignment horizontal="center"/>
    </xf>
    <xf numFmtId="4" fontId="3" fillId="8" borderId="6" xfId="0" applyNumberFormat="1" applyFont="1" applyFill="1" applyBorder="1" applyAlignment="1">
      <alignment horizontal="center"/>
    </xf>
    <xf numFmtId="0" fontId="7" fillId="0" borderId="159" xfId="0" applyFont="1" applyBorder="1"/>
    <xf numFmtId="0" fontId="7" fillId="0" borderId="160" xfId="0" applyFont="1" applyBorder="1"/>
    <xf numFmtId="0" fontId="7" fillId="2" borderId="10" xfId="0" applyFont="1" applyFill="1" applyBorder="1"/>
    <xf numFmtId="0" fontId="7" fillId="2" borderId="7" xfId="0" applyFont="1" applyFill="1" applyBorder="1"/>
    <xf numFmtId="0" fontId="7" fillId="0" borderId="7" xfId="0" applyFont="1" applyBorder="1"/>
    <xf numFmtId="3" fontId="3" fillId="8" borderId="10" xfId="0" applyNumberFormat="1" applyFont="1" applyFill="1" applyBorder="1"/>
    <xf numFmtId="3" fontId="3" fillId="8" borderId="7" xfId="0" applyNumberFormat="1" applyFont="1" applyFill="1" applyBorder="1"/>
    <xf numFmtId="0" fontId="3" fillId="2" borderId="7" xfId="0" applyFont="1" applyFill="1" applyBorder="1" applyAlignment="1">
      <alignment horizontal="center"/>
    </xf>
    <xf numFmtId="3" fontId="3" fillId="8" borderId="7" xfId="0" applyNumberFormat="1" applyFont="1" applyFill="1" applyBorder="1" applyAlignment="1">
      <alignment horizontal="center"/>
    </xf>
    <xf numFmtId="3" fontId="3" fillId="2" borderId="7" xfId="0" applyNumberFormat="1" applyFont="1" applyFill="1" applyBorder="1" applyAlignment="1">
      <alignment horizontal="center"/>
    </xf>
    <xf numFmtId="3" fontId="3" fillId="2" borderId="160" xfId="0" applyNumberFormat="1" applyFont="1" applyFill="1" applyBorder="1" applyAlignment="1">
      <alignment horizontal="center"/>
    </xf>
    <xf numFmtId="0" fontId="14" fillId="10" borderId="155" xfId="0" applyFont="1" applyFill="1" applyBorder="1"/>
    <xf numFmtId="0" fontId="7" fillId="10" borderId="158" xfId="0" applyFont="1" applyFill="1" applyBorder="1"/>
    <xf numFmtId="0" fontId="7" fillId="10" borderId="191" xfId="0" applyFont="1" applyFill="1" applyBorder="1"/>
    <xf numFmtId="167" fontId="7" fillId="10" borderId="156" xfId="0" applyNumberFormat="1" applyFont="1" applyFill="1" applyBorder="1"/>
    <xf numFmtId="0" fontId="7" fillId="10" borderId="156" xfId="0" applyFont="1" applyFill="1" applyBorder="1"/>
    <xf numFmtId="3" fontId="5" fillId="10" borderId="191" xfId="0" applyNumberFormat="1" applyFont="1" applyFill="1" applyBorder="1"/>
    <xf numFmtId="3" fontId="5" fillId="10" borderId="156" xfId="0" applyNumberFormat="1" applyFont="1" applyFill="1" applyBorder="1"/>
    <xf numFmtId="0" fontId="3" fillId="10" borderId="156" xfId="0" applyFont="1" applyFill="1" applyBorder="1" applyAlignment="1">
      <alignment horizontal="center"/>
    </xf>
    <xf numFmtId="3" fontId="5" fillId="10" borderId="156" xfId="0" applyNumberFormat="1" applyFont="1" applyFill="1" applyBorder="1" applyAlignment="1">
      <alignment horizontal="center"/>
    </xf>
    <xf numFmtId="3" fontId="5" fillId="10" borderId="158" xfId="0" applyNumberFormat="1" applyFont="1" applyFill="1" applyBorder="1" applyAlignment="1">
      <alignment horizontal="center"/>
    </xf>
    <xf numFmtId="0" fontId="14" fillId="0" borderId="0" xfId="0" applyFont="1" applyAlignment="1">
      <alignment wrapText="1"/>
    </xf>
    <xf numFmtId="0" fontId="14" fillId="10" borderId="155" xfId="0" applyFont="1" applyFill="1" applyBorder="1" applyAlignment="1">
      <alignment horizontal="center" wrapText="1"/>
    </xf>
    <xf numFmtId="0" fontId="14" fillId="10" borderId="156" xfId="0" applyFont="1" applyFill="1" applyBorder="1" applyAlignment="1">
      <alignment horizontal="center" wrapText="1"/>
    </xf>
    <xf numFmtId="0" fontId="14" fillId="10" borderId="158" xfId="0" applyFont="1" applyFill="1" applyBorder="1" applyAlignment="1">
      <alignment horizontal="center" wrapText="1"/>
    </xf>
    <xf numFmtId="0" fontId="7" fillId="0" borderId="97" xfId="0" applyFont="1" applyBorder="1"/>
    <xf numFmtId="3" fontId="7" fillId="0" borderId="37" xfId="0" applyNumberFormat="1" applyFont="1" applyBorder="1"/>
    <xf numFmtId="0" fontId="7" fillId="0" borderId="98" xfId="0" applyFont="1" applyBorder="1"/>
    <xf numFmtId="3" fontId="7" fillId="0" borderId="0" xfId="0" applyNumberFormat="1" applyFont="1"/>
    <xf numFmtId="0" fontId="7" fillId="0" borderId="99" xfId="0" quotePrefix="1" applyFont="1" applyBorder="1"/>
    <xf numFmtId="0" fontId="7" fillId="0" borderId="6" xfId="0" applyFont="1" applyBorder="1" applyAlignment="1">
      <alignment horizontal="right"/>
    </xf>
    <xf numFmtId="0" fontId="7" fillId="0" borderId="44" xfId="0" applyFont="1" applyBorder="1" applyAlignment="1">
      <alignment horizontal="right"/>
    </xf>
    <xf numFmtId="0" fontId="7" fillId="0" borderId="97" xfId="0" quotePrefix="1" applyFont="1" applyBorder="1"/>
    <xf numFmtId="10" fontId="7" fillId="0" borderId="6" xfId="0" applyNumberFormat="1" applyFont="1" applyBorder="1" applyAlignment="1">
      <alignment horizontal="center"/>
    </xf>
    <xf numFmtId="3" fontId="7" fillId="0" borderId="98" xfId="0" applyNumberFormat="1" applyFont="1" applyBorder="1"/>
    <xf numFmtId="0" fontId="14" fillId="10" borderId="156" xfId="0" applyFont="1" applyFill="1" applyBorder="1"/>
    <xf numFmtId="2" fontId="14" fillId="10" borderId="158" xfId="0" applyNumberFormat="1" applyFont="1" applyFill="1" applyBorder="1"/>
    <xf numFmtId="0" fontId="3" fillId="2" borderId="4" xfId="0" applyFont="1" applyFill="1" applyBorder="1" applyAlignment="1">
      <alignment horizontal="center"/>
    </xf>
    <xf numFmtId="0" fontId="3" fillId="2" borderId="2" xfId="0" applyFont="1" applyFill="1" applyBorder="1" applyAlignment="1">
      <alignment horizontal="center"/>
    </xf>
    <xf numFmtId="172" fontId="7" fillId="0" borderId="0" xfId="0" applyNumberFormat="1" applyFont="1"/>
    <xf numFmtId="4" fontId="3" fillId="2" borderId="1" xfId="0" applyNumberFormat="1" applyFont="1" applyFill="1" applyBorder="1" applyAlignment="1">
      <alignment horizontal="center"/>
    </xf>
    <xf numFmtId="4" fontId="3" fillId="2" borderId="4" xfId="0" applyNumberFormat="1" applyFont="1" applyFill="1" applyBorder="1" applyAlignment="1">
      <alignment horizontal="center"/>
    </xf>
    <xf numFmtId="0" fontId="14" fillId="10" borderId="166" xfId="0" applyFont="1" applyFill="1" applyBorder="1" applyAlignment="1">
      <alignment horizontal="center" wrapText="1"/>
    </xf>
    <xf numFmtId="171" fontId="7" fillId="0" borderId="0" xfId="0" applyNumberFormat="1" applyFont="1"/>
    <xf numFmtId="0" fontId="7" fillId="2" borderId="197" xfId="0" applyFont="1" applyFill="1" applyBorder="1" applyAlignment="1">
      <alignment horizontal="center"/>
    </xf>
    <xf numFmtId="0" fontId="3" fillId="2" borderId="159" xfId="0" applyFont="1" applyFill="1" applyBorder="1" applyAlignment="1">
      <alignment horizontal="center"/>
    </xf>
    <xf numFmtId="0" fontId="3" fillId="2" borderId="160" xfId="0" applyFont="1" applyFill="1" applyBorder="1" applyAlignment="1">
      <alignment horizontal="center"/>
    </xf>
    <xf numFmtId="0" fontId="3" fillId="2" borderId="10" xfId="0" applyFont="1" applyFill="1" applyBorder="1" applyAlignment="1">
      <alignment horizontal="right"/>
    </xf>
    <xf numFmtId="10" fontId="3" fillId="2" borderId="7" xfId="0" applyNumberFormat="1" applyFont="1" applyFill="1" applyBorder="1" applyAlignment="1">
      <alignment horizontal="center"/>
    </xf>
    <xf numFmtId="10" fontId="3" fillId="2" borderId="8" xfId="0" applyNumberFormat="1" applyFont="1" applyFill="1" applyBorder="1" applyAlignment="1">
      <alignment horizontal="center"/>
    </xf>
    <xf numFmtId="0" fontId="3" fillId="2" borderId="179" xfId="0" applyFont="1" applyFill="1" applyBorder="1" applyAlignment="1">
      <alignment horizontal="center"/>
    </xf>
    <xf numFmtId="4" fontId="5" fillId="2" borderId="159" xfId="0" applyNumberFormat="1" applyFont="1" applyFill="1" applyBorder="1" applyAlignment="1">
      <alignment horizontal="center"/>
    </xf>
    <xf numFmtId="4" fontId="5" fillId="2" borderId="7" xfId="0" applyNumberFormat="1" applyFont="1" applyFill="1" applyBorder="1" applyAlignment="1">
      <alignment horizontal="center"/>
    </xf>
    <xf numFmtId="4" fontId="5" fillId="2" borderId="160" xfId="0" applyNumberFormat="1" applyFont="1" applyFill="1" applyBorder="1" applyAlignment="1">
      <alignment horizontal="center"/>
    </xf>
    <xf numFmtId="0" fontId="3" fillId="2" borderId="10" xfId="0" applyFont="1" applyFill="1" applyBorder="1" applyAlignment="1">
      <alignment horizontal="center"/>
    </xf>
    <xf numFmtId="0" fontId="7" fillId="2" borderId="7" xfId="0" applyFont="1" applyFill="1" applyBorder="1" applyAlignment="1">
      <alignment horizontal="center"/>
    </xf>
    <xf numFmtId="4" fontId="3" fillId="2" borderId="7" xfId="0" applyNumberFormat="1" applyFont="1" applyFill="1" applyBorder="1" applyAlignment="1">
      <alignment horizontal="center"/>
    </xf>
    <xf numFmtId="4" fontId="3" fillId="2" borderId="8" xfId="0" applyNumberFormat="1" applyFont="1" applyFill="1" applyBorder="1" applyAlignment="1">
      <alignment horizontal="center"/>
    </xf>
    <xf numFmtId="4" fontId="3" fillId="2" borderId="179" xfId="0" applyNumberFormat="1" applyFont="1" applyFill="1" applyBorder="1" applyAlignment="1">
      <alignment horizontal="center"/>
    </xf>
    <xf numFmtId="4" fontId="3" fillId="2" borderId="159" xfId="0" applyNumberFormat="1" applyFont="1" applyFill="1" applyBorder="1" applyAlignment="1">
      <alignment horizontal="center"/>
    </xf>
    <xf numFmtId="4" fontId="3" fillId="2" borderId="160" xfId="0" applyNumberFormat="1" applyFont="1" applyFill="1" applyBorder="1" applyAlignment="1">
      <alignment horizontal="center"/>
    </xf>
    <xf numFmtId="0" fontId="5" fillId="10" borderId="13" xfId="0" applyFont="1" applyFill="1" applyBorder="1" applyAlignment="1">
      <alignment horizontal="center"/>
    </xf>
    <xf numFmtId="0" fontId="5" fillId="10" borderId="155" xfId="0" applyFont="1" applyFill="1" applyBorder="1" applyAlignment="1">
      <alignment horizontal="center"/>
    </xf>
    <xf numFmtId="0" fontId="5" fillId="10" borderId="156" xfId="0" applyFont="1" applyFill="1" applyBorder="1" applyAlignment="1">
      <alignment horizontal="center"/>
    </xf>
    <xf numFmtId="0" fontId="5" fillId="10" borderId="158" xfId="0" applyFont="1" applyFill="1" applyBorder="1" applyAlignment="1">
      <alignment horizontal="center"/>
    </xf>
    <xf numFmtId="0" fontId="5" fillId="10" borderId="191" xfId="0" applyFont="1" applyFill="1" applyBorder="1" applyAlignment="1">
      <alignment horizontal="center"/>
    </xf>
    <xf numFmtId="0" fontId="5" fillId="10" borderId="157" xfId="0" applyFont="1" applyFill="1" applyBorder="1" applyAlignment="1">
      <alignment horizontal="center"/>
    </xf>
    <xf numFmtId="0" fontId="5" fillId="10" borderId="192" xfId="0" applyFont="1" applyFill="1" applyBorder="1" applyAlignment="1">
      <alignment horizontal="center"/>
    </xf>
    <xf numFmtId="3" fontId="5" fillId="10" borderId="155" xfId="0" applyNumberFormat="1" applyFont="1" applyFill="1" applyBorder="1" applyAlignment="1">
      <alignment horizontal="center"/>
    </xf>
    <xf numFmtId="3" fontId="5" fillId="10" borderId="191" xfId="0" applyNumberFormat="1" applyFont="1" applyFill="1" applyBorder="1" applyAlignment="1">
      <alignment horizontal="center"/>
    </xf>
    <xf numFmtId="4" fontId="5" fillId="10" borderId="156" xfId="0" applyNumberFormat="1" applyFont="1" applyFill="1" applyBorder="1" applyAlignment="1">
      <alignment horizontal="center"/>
    </xf>
    <xf numFmtId="4" fontId="5" fillId="10" borderId="157" xfId="0" applyNumberFormat="1" applyFont="1" applyFill="1" applyBorder="1" applyAlignment="1">
      <alignment horizontal="center"/>
    </xf>
    <xf numFmtId="3" fontId="5" fillId="10" borderId="192" xfId="0" applyNumberFormat="1" applyFont="1" applyFill="1" applyBorder="1" applyAlignment="1">
      <alignment horizontal="center"/>
    </xf>
    <xf numFmtId="4" fontId="3" fillId="25" borderId="0" xfId="0" applyNumberFormat="1" applyFont="1" applyFill="1" applyAlignment="1">
      <alignment horizontal="center"/>
    </xf>
    <xf numFmtId="3" fontId="3" fillId="2" borderId="0" xfId="0" applyNumberFormat="1" applyFont="1" applyFill="1" applyAlignment="1">
      <alignment horizontal="center"/>
    </xf>
    <xf numFmtId="0" fontId="3" fillId="2" borderId="0" xfId="0" applyFont="1" applyFill="1" applyAlignment="1">
      <alignment horizontal="center"/>
    </xf>
    <xf numFmtId="3" fontId="3" fillId="2" borderId="0" xfId="0" applyNumberFormat="1" applyFont="1" applyFill="1"/>
    <xf numFmtId="0" fontId="17" fillId="0" borderId="6" xfId="0" applyFont="1" applyBorder="1"/>
    <xf numFmtId="0" fontId="16" fillId="27" borderId="9" xfId="0" applyFont="1" applyFill="1" applyBorder="1"/>
    <xf numFmtId="0" fontId="17" fillId="27" borderId="9" xfId="0" applyFont="1" applyFill="1" applyBorder="1"/>
    <xf numFmtId="0" fontId="46" fillId="0" borderId="0" xfId="0" applyFont="1"/>
    <xf numFmtId="0" fontId="47" fillId="0" borderId="0" xfId="0" applyFont="1" applyAlignment="1">
      <alignment horizontal="center" wrapText="1"/>
    </xf>
    <xf numFmtId="0" fontId="47" fillId="28" borderId="6" xfId="0" applyFont="1" applyFill="1" applyBorder="1" applyAlignment="1">
      <alignment horizontal="center" wrapText="1"/>
    </xf>
    <xf numFmtId="0" fontId="30" fillId="0" borderId="6" xfId="0" applyFont="1" applyBorder="1" applyAlignment="1">
      <alignment horizontal="center" wrapText="1"/>
    </xf>
    <xf numFmtId="0" fontId="30" fillId="0" borderId="141" xfId="0" applyFont="1" applyBorder="1" applyAlignment="1">
      <alignment horizontal="center" wrapText="1"/>
    </xf>
    <xf numFmtId="0" fontId="30" fillId="0" borderId="5" xfId="0" applyFont="1" applyBorder="1" applyAlignment="1">
      <alignment horizontal="center" wrapText="1"/>
    </xf>
    <xf numFmtId="168" fontId="30" fillId="0" borderId="5" xfId="0" applyNumberFormat="1" applyFont="1" applyBorder="1" applyAlignment="1">
      <alignment horizontal="center" wrapText="1"/>
    </xf>
    <xf numFmtId="168" fontId="30" fillId="0" borderId="6" xfId="0" applyNumberFormat="1" applyFont="1" applyBorder="1" applyAlignment="1">
      <alignment horizontal="center" wrapText="1"/>
    </xf>
    <xf numFmtId="0" fontId="48" fillId="0" borderId="0" xfId="0" applyFont="1"/>
    <xf numFmtId="0" fontId="36" fillId="28" borderId="199" xfId="0" applyFont="1" applyFill="1" applyBorder="1"/>
    <xf numFmtId="0" fontId="36" fillId="28" borderId="200" xfId="0" applyFont="1" applyFill="1" applyBorder="1"/>
    <xf numFmtId="0" fontId="36" fillId="0" borderId="200" xfId="0" applyFont="1" applyBorder="1"/>
    <xf numFmtId="0" fontId="36" fillId="0" borderId="1" xfId="0" applyFont="1" applyBorder="1"/>
    <xf numFmtId="0" fontId="36" fillId="0" borderId="2" xfId="0" applyFont="1" applyBorder="1"/>
    <xf numFmtId="0" fontId="36" fillId="10" borderId="6" xfId="0" applyFont="1" applyFill="1" applyBorder="1" applyAlignment="1">
      <alignment horizontal="center"/>
    </xf>
    <xf numFmtId="0" fontId="36" fillId="0" borderId="0" xfId="0" applyFont="1" applyAlignment="1">
      <alignment horizontal="right"/>
    </xf>
    <xf numFmtId="0" fontId="8" fillId="0" borderId="1" xfId="0" applyFont="1" applyBorder="1"/>
    <xf numFmtId="0" fontId="8" fillId="0" borderId="2" xfId="0" applyFont="1" applyBorder="1"/>
    <xf numFmtId="0" fontId="8" fillId="0" borderId="8" xfId="0" applyFont="1" applyBorder="1"/>
    <xf numFmtId="0" fontId="8" fillId="0" borderId="10" xfId="0" applyFont="1" applyBorder="1"/>
    <xf numFmtId="0" fontId="8" fillId="0" borderId="7" xfId="0" applyFont="1" applyBorder="1" applyAlignment="1">
      <alignment horizontal="center"/>
    </xf>
    <xf numFmtId="0" fontId="8" fillId="0" borderId="55" xfId="0" applyFont="1" applyBorder="1"/>
    <xf numFmtId="0" fontId="8" fillId="0" borderId="201" xfId="0" applyFont="1" applyBorder="1"/>
    <xf numFmtId="0" fontId="8" fillId="0" borderId="37" xfId="0" applyFont="1" applyBorder="1" applyAlignment="1">
      <alignment horizontal="center"/>
    </xf>
    <xf numFmtId="0" fontId="8" fillId="0" borderId="0" xfId="0" applyFont="1" applyAlignment="1">
      <alignment horizontal="center"/>
    </xf>
    <xf numFmtId="0" fontId="36" fillId="0" borderId="6" xfId="0" applyFont="1" applyBorder="1"/>
    <xf numFmtId="0" fontId="8" fillId="0" borderId="37" xfId="0" applyFont="1" applyBorder="1"/>
    <xf numFmtId="168" fontId="8" fillId="0" borderId="6" xfId="0" applyNumberFormat="1" applyFont="1" applyBorder="1" applyAlignment="1">
      <alignment horizontal="center"/>
    </xf>
    <xf numFmtId="0" fontId="36" fillId="0" borderId="0" xfId="0" applyFont="1"/>
    <xf numFmtId="0" fontId="36" fillId="10" borderId="6" xfId="0" applyFont="1" applyFill="1" applyBorder="1"/>
    <xf numFmtId="0" fontId="25" fillId="0" borderId="0" xfId="0" applyFont="1"/>
    <xf numFmtId="168" fontId="8" fillId="0" borderId="6" xfId="0" applyNumberFormat="1" applyFont="1" applyBorder="1"/>
    <xf numFmtId="168" fontId="50" fillId="0" borderId="0" xfId="0" applyNumberFormat="1" applyFont="1"/>
    <xf numFmtId="0" fontId="47" fillId="10" borderId="6" xfId="0" applyFont="1" applyFill="1" applyBorder="1"/>
    <xf numFmtId="168" fontId="36" fillId="10" borderId="6" xfId="0" applyNumberFormat="1" applyFont="1" applyFill="1" applyBorder="1"/>
    <xf numFmtId="0" fontId="8" fillId="0" borderId="5" xfId="0" applyFont="1" applyBorder="1"/>
    <xf numFmtId="0" fontId="36" fillId="0" borderId="82" xfId="0" applyFont="1" applyBorder="1"/>
    <xf numFmtId="0" fontId="8" fillId="0" borderId="82" xfId="0" applyFont="1" applyBorder="1"/>
    <xf numFmtId="0" fontId="8" fillId="0" borderId="5" xfId="0" applyFont="1" applyBorder="1" applyAlignment="1">
      <alignment horizontal="left"/>
    </xf>
    <xf numFmtId="0" fontId="8" fillId="2" borderId="27" xfId="0" applyFont="1" applyFill="1" applyBorder="1" applyAlignment="1">
      <alignment horizontal="right"/>
    </xf>
    <xf numFmtId="0" fontId="8" fillId="2" borderId="6" xfId="0" applyFont="1" applyFill="1" applyBorder="1" applyAlignment="1">
      <alignment horizontal="right"/>
    </xf>
    <xf numFmtId="0" fontId="36" fillId="10" borderId="6" xfId="0" applyFont="1" applyFill="1" applyBorder="1" applyAlignment="1">
      <alignment horizontal="center" wrapText="1"/>
    </xf>
    <xf numFmtId="0" fontId="36" fillId="10" borderId="2" xfId="0" applyFont="1" applyFill="1" applyBorder="1" applyAlignment="1">
      <alignment horizontal="center" wrapText="1"/>
    </xf>
    <xf numFmtId="0" fontId="8" fillId="0" borderId="6" xfId="0" applyFont="1" applyBorder="1" applyAlignment="1">
      <alignment horizontal="center" wrapText="1"/>
    </xf>
    <xf numFmtId="3" fontId="8" fillId="0" borderId="17" xfId="0" applyNumberFormat="1" applyFont="1" applyBorder="1" applyAlignment="1">
      <alignment horizontal="center" wrapText="1"/>
    </xf>
    <xf numFmtId="9" fontId="8" fillId="0" borderId="17" xfId="0" applyNumberFormat="1" applyFont="1" applyBorder="1" applyAlignment="1">
      <alignment horizontal="center" wrapText="1"/>
    </xf>
    <xf numFmtId="2" fontId="8" fillId="0" borderId="17" xfId="0" applyNumberFormat="1" applyFont="1" applyBorder="1" applyAlignment="1">
      <alignment horizontal="center" wrapText="1"/>
    </xf>
    <xf numFmtId="177" fontId="8" fillId="0" borderId="17" xfId="0" applyNumberFormat="1" applyFont="1" applyBorder="1" applyAlignment="1">
      <alignment horizontal="center" wrapText="1"/>
    </xf>
    <xf numFmtId="3" fontId="8" fillId="0" borderId="6" xfId="0" applyNumberFormat="1" applyFont="1" applyBorder="1" applyAlignment="1">
      <alignment horizontal="center" wrapText="1"/>
    </xf>
    <xf numFmtId="9" fontId="8" fillId="0" borderId="6" xfId="0" applyNumberFormat="1" applyFont="1" applyBorder="1" applyAlignment="1">
      <alignment horizontal="center" wrapText="1"/>
    </xf>
    <xf numFmtId="0" fontId="36" fillId="0" borderId="0" xfId="0" applyFont="1" applyAlignment="1">
      <alignment horizontal="center"/>
    </xf>
    <xf numFmtId="3" fontId="8" fillId="0" borderId="17" xfId="0" applyNumberFormat="1" applyFont="1" applyBorder="1" applyAlignment="1">
      <alignment horizontal="center"/>
    </xf>
    <xf numFmtId="0" fontId="8" fillId="0" borderId="0" xfId="0" applyFont="1" applyAlignment="1">
      <alignment horizontal="left"/>
    </xf>
    <xf numFmtId="0" fontId="8" fillId="0" borderId="44" xfId="0" applyFont="1" applyBorder="1"/>
    <xf numFmtId="9" fontId="8" fillId="0" borderId="194" xfId="0" applyNumberFormat="1" applyFont="1" applyBorder="1" applyAlignment="1">
      <alignment horizontal="center"/>
    </xf>
    <xf numFmtId="0" fontId="8" fillId="0" borderId="17" xfId="0" applyFont="1" applyBorder="1" applyAlignment="1">
      <alignment horizontal="center"/>
    </xf>
    <xf numFmtId="175" fontId="8" fillId="0" borderId="194" xfId="0" applyNumberFormat="1" applyFont="1" applyBorder="1" applyAlignment="1">
      <alignment horizontal="center"/>
    </xf>
    <xf numFmtId="0" fontId="36" fillId="10" borderId="11" xfId="0" applyFont="1" applyFill="1" applyBorder="1" applyAlignment="1">
      <alignment horizontal="center"/>
    </xf>
    <xf numFmtId="175" fontId="8" fillId="2" borderId="6" xfId="0" applyNumberFormat="1" applyFont="1" applyFill="1" applyBorder="1" applyAlignment="1">
      <alignment horizontal="center"/>
    </xf>
    <xf numFmtId="204" fontId="17" fillId="0" borderId="0" xfId="0" applyNumberFormat="1" applyFont="1"/>
    <xf numFmtId="0" fontId="36" fillId="10" borderId="27" xfId="0" applyFont="1" applyFill="1" applyBorder="1" applyAlignment="1">
      <alignment horizontal="center"/>
    </xf>
    <xf numFmtId="168" fontId="8" fillId="2" borderId="27" xfId="0" applyNumberFormat="1" applyFont="1" applyFill="1" applyBorder="1" applyAlignment="1">
      <alignment horizontal="center"/>
    </xf>
    <xf numFmtId="168" fontId="8" fillId="2" borderId="6" xfId="0" applyNumberFormat="1" applyFont="1" applyFill="1" applyBorder="1" applyAlignment="1">
      <alignment horizontal="center"/>
    </xf>
    <xf numFmtId="0" fontId="36" fillId="29" borderId="1" xfId="0" applyFont="1" applyFill="1" applyBorder="1" applyAlignment="1">
      <alignment horizontal="left"/>
    </xf>
    <xf numFmtId="0" fontId="36" fillId="29" borderId="4" xfId="0" applyFont="1" applyFill="1" applyBorder="1" applyAlignment="1">
      <alignment horizontal="center"/>
    </xf>
    <xf numFmtId="0" fontId="36" fillId="29" borderId="2" xfId="0" applyFont="1" applyFill="1" applyBorder="1" applyAlignment="1">
      <alignment horizontal="center"/>
    </xf>
    <xf numFmtId="0" fontId="36" fillId="23" borderId="6" xfId="0" applyFont="1" applyFill="1" applyBorder="1"/>
    <xf numFmtId="0" fontId="2" fillId="0" borderId="6" xfId="0" applyFont="1" applyBorder="1"/>
    <xf numFmtId="0" fontId="36" fillId="10" borderId="202" xfId="0" applyFont="1" applyFill="1" applyBorder="1" applyAlignment="1">
      <alignment horizontal="center"/>
    </xf>
    <xf numFmtId="3" fontId="8" fillId="0" borderId="17" xfId="0" applyNumberFormat="1" applyFont="1" applyBorder="1" applyAlignment="1">
      <alignment horizontal="right"/>
    </xf>
    <xf numFmtId="3" fontId="8" fillId="5" borderId="17" xfId="0" applyNumberFormat="1" applyFont="1" applyFill="1" applyBorder="1" applyAlignment="1">
      <alignment horizontal="right"/>
    </xf>
    <xf numFmtId="3" fontId="17" fillId="0" borderId="0" xfId="0" applyNumberFormat="1" applyFont="1"/>
    <xf numFmtId="0" fontId="2" fillId="0" borderId="44" xfId="0" applyFont="1" applyBorder="1"/>
    <xf numFmtId="3" fontId="8" fillId="0" borderId="194" xfId="0" applyNumberFormat="1" applyFont="1" applyBorder="1" applyAlignment="1">
      <alignment horizontal="right"/>
    </xf>
    <xf numFmtId="3" fontId="8" fillId="5" borderId="194" xfId="0" applyNumberFormat="1" applyFont="1" applyFill="1" applyBorder="1" applyAlignment="1">
      <alignment horizontal="right"/>
    </xf>
    <xf numFmtId="0" fontId="2" fillId="0" borderId="5" xfId="0" applyFont="1" applyBorder="1"/>
    <xf numFmtId="3" fontId="8" fillId="0" borderId="3" xfId="0" applyNumberFormat="1" applyFont="1" applyBorder="1" applyAlignment="1">
      <alignment horizontal="right"/>
    </xf>
    <xf numFmtId="3" fontId="8" fillId="5" borderId="3" xfId="0" applyNumberFormat="1" applyFont="1" applyFill="1" applyBorder="1" applyAlignment="1">
      <alignment horizontal="right"/>
    </xf>
    <xf numFmtId="3" fontId="8" fillId="0" borderId="201" xfId="0" applyNumberFormat="1" applyFont="1" applyBorder="1" applyAlignment="1">
      <alignment horizontal="right"/>
    </xf>
    <xf numFmtId="3" fontId="8" fillId="5" borderId="201" xfId="0" applyNumberFormat="1" applyFont="1" applyFill="1" applyBorder="1" applyAlignment="1">
      <alignment horizontal="right"/>
    </xf>
    <xf numFmtId="4" fontId="8" fillId="0" borderId="17" xfId="0" applyNumberFormat="1" applyFont="1" applyBorder="1" applyAlignment="1">
      <alignment horizontal="right"/>
    </xf>
    <xf numFmtId="4" fontId="8" fillId="0" borderId="194" xfId="0" applyNumberFormat="1" applyFont="1" applyBorder="1" applyAlignment="1">
      <alignment horizontal="right"/>
    </xf>
    <xf numFmtId="4" fontId="8" fillId="0" borderId="3" xfId="0" applyNumberFormat="1" applyFont="1" applyBorder="1" applyAlignment="1">
      <alignment horizontal="right"/>
    </xf>
    <xf numFmtId="0" fontId="17" fillId="0" borderId="37" xfId="0" applyFont="1" applyBorder="1"/>
    <xf numFmtId="177" fontId="8" fillId="0" borderId="17" xfId="0" applyNumberFormat="1" applyFont="1" applyBorder="1" applyAlignment="1">
      <alignment horizontal="right"/>
    </xf>
    <xf numFmtId="0" fontId="8" fillId="0" borderId="68" xfId="0" applyFont="1" applyBorder="1"/>
    <xf numFmtId="0" fontId="36" fillId="29" borderId="4" xfId="0" applyFont="1" applyFill="1" applyBorder="1" applyAlignment="1">
      <alignment horizontal="left"/>
    </xf>
    <xf numFmtId="0" fontId="36" fillId="29" borderId="2" xfId="0" applyFont="1" applyFill="1" applyBorder="1" applyAlignment="1">
      <alignment horizontal="left"/>
    </xf>
    <xf numFmtId="0" fontId="8" fillId="23" borderId="6" xfId="0" applyFont="1" applyFill="1" applyBorder="1"/>
    <xf numFmtId="0" fontId="36" fillId="0" borderId="6" xfId="0" applyFont="1" applyBorder="1" applyAlignment="1">
      <alignment wrapText="1"/>
    </xf>
    <xf numFmtId="3" fontId="36" fillId="0" borderId="6" xfId="0" applyNumberFormat="1" applyFont="1" applyBorder="1" applyAlignment="1">
      <alignment horizontal="right" wrapText="1"/>
    </xf>
    <xf numFmtId="3" fontId="8" fillId="0" borderId="6" xfId="0" applyNumberFormat="1" applyFont="1" applyBorder="1" applyAlignment="1">
      <alignment horizontal="right" wrapText="1"/>
    </xf>
    <xf numFmtId="205" fontId="36" fillId="0" borderId="6" xfId="0" applyNumberFormat="1" applyFont="1" applyBorder="1" applyAlignment="1">
      <alignment horizontal="right" wrapText="1"/>
    </xf>
    <xf numFmtId="205" fontId="8" fillId="0" borderId="6" xfId="0" applyNumberFormat="1" applyFont="1" applyBorder="1" applyAlignment="1">
      <alignment horizontal="right" wrapText="1"/>
    </xf>
    <xf numFmtId="0" fontId="8" fillId="0" borderId="7" xfId="0" applyFont="1" applyBorder="1"/>
    <xf numFmtId="0" fontId="2" fillId="0" borderId="7" xfId="0" applyFont="1" applyBorder="1"/>
    <xf numFmtId="205" fontId="8" fillId="0" borderId="7" xfId="0" applyNumberFormat="1" applyFont="1" applyBorder="1" applyAlignment="1">
      <alignment horizontal="right" wrapText="1"/>
    </xf>
    <xf numFmtId="0" fontId="2" fillId="0" borderId="37" xfId="0" applyFont="1" applyBorder="1"/>
    <xf numFmtId="3" fontId="8" fillId="0" borderId="37" xfId="0" applyNumberFormat="1" applyFont="1" applyBorder="1" applyAlignment="1">
      <alignment horizontal="right"/>
    </xf>
    <xf numFmtId="0" fontId="47" fillId="0" borderId="0" xfId="0" applyFont="1" applyAlignment="1">
      <alignment horizontal="center"/>
    </xf>
    <xf numFmtId="0" fontId="47" fillId="0" borderId="127" xfId="0" applyFont="1" applyBorder="1" applyAlignment="1">
      <alignment horizontal="center"/>
    </xf>
    <xf numFmtId="0" fontId="47" fillId="0" borderId="17" xfId="0" applyFont="1" applyBorder="1" applyAlignment="1">
      <alignment horizontal="center"/>
    </xf>
    <xf numFmtId="0" fontId="47" fillId="0" borderId="89" xfId="0" applyFont="1" applyBorder="1" applyAlignment="1">
      <alignment horizontal="center"/>
    </xf>
    <xf numFmtId="0" fontId="47" fillId="0" borderId="130" xfId="0" applyFont="1" applyBorder="1" applyAlignment="1">
      <alignment horizontal="center"/>
    </xf>
    <xf numFmtId="0" fontId="30" fillId="0" borderId="1" xfId="0" applyFont="1" applyBorder="1" applyAlignment="1">
      <alignment horizontal="right"/>
    </xf>
    <xf numFmtId="0" fontId="30" fillId="0" borderId="99" xfId="0" applyFont="1" applyBorder="1"/>
    <xf numFmtId="0" fontId="30" fillId="0" borderId="2" xfId="0" applyFont="1" applyBorder="1" applyAlignment="1">
      <alignment horizontal="right"/>
    </xf>
    <xf numFmtId="0" fontId="30" fillId="0" borderId="2" xfId="0" applyFont="1" applyBorder="1"/>
    <xf numFmtId="2" fontId="8" fillId="0" borderId="89" xfId="0" applyNumberFormat="1" applyFont="1" applyBorder="1" applyAlignment="1">
      <alignment horizontal="right"/>
    </xf>
    <xf numFmtId="3" fontId="8" fillId="0" borderId="127" xfId="0" applyNumberFormat="1" applyFont="1" applyBorder="1" applyAlignment="1">
      <alignment horizontal="right"/>
    </xf>
    <xf numFmtId="3" fontId="8" fillId="0" borderId="130" xfId="0" applyNumberFormat="1" applyFont="1" applyBorder="1" applyAlignment="1">
      <alignment horizontal="right"/>
    </xf>
    <xf numFmtId="3" fontId="8" fillId="0" borderId="89" xfId="0" applyNumberFormat="1" applyFont="1" applyBorder="1" applyAlignment="1">
      <alignment horizontal="right"/>
    </xf>
    <xf numFmtId="3" fontId="8" fillId="0" borderId="0" xfId="0" applyNumberFormat="1" applyFont="1" applyAlignment="1">
      <alignment horizontal="right"/>
    </xf>
    <xf numFmtId="0" fontId="30" fillId="0" borderId="36" xfId="0" applyFont="1" applyBorder="1" applyAlignment="1">
      <alignment horizontal="right"/>
    </xf>
    <xf numFmtId="0" fontId="30" fillId="0" borderId="127" xfId="0" applyFont="1" applyBorder="1"/>
    <xf numFmtId="0" fontId="30" fillId="0" borderId="17" xfId="0" applyFont="1" applyBorder="1" applyAlignment="1">
      <alignment horizontal="right"/>
    </xf>
    <xf numFmtId="0" fontId="8" fillId="0" borderId="36" xfId="0" applyFont="1" applyBorder="1" applyAlignment="1">
      <alignment horizontal="right"/>
    </xf>
    <xf numFmtId="0" fontId="8" fillId="0" borderId="127" xfId="0" applyFont="1" applyBorder="1"/>
    <xf numFmtId="0" fontId="8" fillId="0" borderId="17" xfId="0" applyFont="1" applyBorder="1" applyAlignment="1">
      <alignment horizontal="right"/>
    </xf>
    <xf numFmtId="9" fontId="30" fillId="0" borderId="17" xfId="0" applyNumberFormat="1" applyFont="1" applyBorder="1" applyAlignment="1">
      <alignment horizontal="right"/>
    </xf>
    <xf numFmtId="0" fontId="30" fillId="0" borderId="130" xfId="0" applyFont="1" applyBorder="1"/>
    <xf numFmtId="0" fontId="30" fillId="0" borderId="133" xfId="0" applyFont="1" applyBorder="1"/>
    <xf numFmtId="0" fontId="30" fillId="0" borderId="194" xfId="0" applyFont="1" applyBorder="1" applyAlignment="1">
      <alignment horizontal="right"/>
    </xf>
    <xf numFmtId="0" fontId="30" fillId="0" borderId="194" xfId="0" applyFont="1" applyBorder="1"/>
    <xf numFmtId="2" fontId="8" fillId="0" borderId="54" xfId="0" applyNumberFormat="1" applyFont="1" applyBorder="1" applyAlignment="1">
      <alignment horizontal="right"/>
    </xf>
    <xf numFmtId="3" fontId="8" fillId="0" borderId="133" xfId="0" applyNumberFormat="1" applyFont="1" applyBorder="1" applyAlignment="1">
      <alignment horizontal="right"/>
    </xf>
    <xf numFmtId="3" fontId="8" fillId="0" borderId="132" xfId="0" applyNumberFormat="1" applyFont="1" applyBorder="1" applyAlignment="1">
      <alignment horizontal="right"/>
    </xf>
    <xf numFmtId="3" fontId="8" fillId="0" borderId="54" xfId="0" applyNumberFormat="1" applyFont="1" applyBorder="1" applyAlignment="1">
      <alignment horizontal="right"/>
    </xf>
    <xf numFmtId="0" fontId="47" fillId="0" borderId="6" xfId="0" applyFont="1" applyBorder="1"/>
    <xf numFmtId="175" fontId="36" fillId="0" borderId="6" xfId="0" applyNumberFormat="1" applyFont="1" applyBorder="1" applyAlignment="1">
      <alignment horizontal="center"/>
    </xf>
    <xf numFmtId="49" fontId="30" fillId="0" borderId="6" xfId="0" applyNumberFormat="1" applyFont="1" applyBorder="1"/>
    <xf numFmtId="175" fontId="36" fillId="10" borderId="6" xfId="0" applyNumberFormat="1" applyFont="1" applyFill="1" applyBorder="1" applyAlignment="1">
      <alignment horizontal="center"/>
    </xf>
    <xf numFmtId="0" fontId="16" fillId="5" borderId="6" xfId="0" applyFont="1" applyFill="1" applyBorder="1" applyAlignment="1">
      <alignment horizontal="center"/>
    </xf>
    <xf numFmtId="0" fontId="16" fillId="10" borderId="6" xfId="0" applyFont="1" applyFill="1" applyBorder="1"/>
    <xf numFmtId="175" fontId="16" fillId="10" borderId="6" xfId="0" applyNumberFormat="1" applyFont="1" applyFill="1" applyBorder="1" applyAlignment="1">
      <alignment horizontal="center"/>
    </xf>
    <xf numFmtId="0" fontId="16" fillId="0" borderId="6" xfId="0" applyFont="1" applyBorder="1"/>
    <xf numFmtId="175" fontId="16" fillId="0" borderId="6" xfId="0" applyNumberFormat="1" applyFont="1" applyBorder="1" applyAlignment="1">
      <alignment horizontal="center"/>
    </xf>
    <xf numFmtId="49" fontId="17" fillId="0" borderId="6" xfId="0" applyNumberFormat="1" applyFont="1" applyBorder="1" applyAlignment="1">
      <alignment horizontal="left"/>
    </xf>
    <xf numFmtId="175" fontId="17" fillId="0" borderId="6" xfId="0" applyNumberFormat="1" applyFont="1" applyBorder="1" applyAlignment="1">
      <alignment horizontal="center"/>
    </xf>
    <xf numFmtId="49" fontId="16" fillId="0" borderId="0" xfId="0" applyNumberFormat="1" applyFont="1"/>
    <xf numFmtId="0" fontId="16" fillId="0" borderId="6" xfId="0" applyFont="1" applyBorder="1" applyAlignment="1">
      <alignment horizontal="left"/>
    </xf>
    <xf numFmtId="0" fontId="7" fillId="2" borderId="9" xfId="0" applyFont="1" applyFill="1" applyBorder="1"/>
    <xf numFmtId="175" fontId="8" fillId="0" borderId="0" xfId="0" applyNumberFormat="1" applyFont="1" applyAlignment="1">
      <alignment horizontal="center"/>
    </xf>
    <xf numFmtId="0" fontId="17" fillId="0" borderId="1" xfId="0" applyFont="1" applyBorder="1" applyAlignment="1">
      <alignment horizontal="left" indent="2"/>
    </xf>
    <xf numFmtId="0" fontId="14" fillId="10" borderId="6" xfId="0" applyFont="1" applyFill="1" applyBorder="1" applyAlignment="1">
      <alignment horizontal="center" wrapText="1"/>
    </xf>
    <xf numFmtId="0" fontId="14" fillId="10" borderId="37" xfId="0" applyFont="1" applyFill="1" applyBorder="1" applyAlignment="1">
      <alignment wrapText="1"/>
    </xf>
    <xf numFmtId="0" fontId="14" fillId="10" borderId="98" xfId="0" applyFont="1" applyFill="1" applyBorder="1" applyAlignment="1">
      <alignment wrapText="1"/>
    </xf>
    <xf numFmtId="178" fontId="17" fillId="0" borderId="96" xfId="0" applyNumberFormat="1" applyFont="1" applyBorder="1" applyAlignment="1">
      <alignment horizontal="center"/>
    </xf>
    <xf numFmtId="0" fontId="62" fillId="0" borderId="101" xfId="0" applyFont="1" applyBorder="1"/>
    <xf numFmtId="164" fontId="62" fillId="0" borderId="44" xfId="0" applyNumberFormat="1" applyFont="1" applyBorder="1" applyAlignment="1">
      <alignment horizontal="center"/>
    </xf>
    <xf numFmtId="164" fontId="62" fillId="0" borderId="102" xfId="0" applyNumberFormat="1" applyFont="1" applyBorder="1" applyAlignment="1">
      <alignment horizontal="center"/>
    </xf>
    <xf numFmtId="0" fontId="63" fillId="0" borderId="0" xfId="0" applyFont="1"/>
    <xf numFmtId="0" fontId="64" fillId="0" borderId="0" xfId="0" applyFont="1"/>
    <xf numFmtId="0" fontId="65" fillId="0" borderId="0" xfId="0" applyFont="1"/>
    <xf numFmtId="0" fontId="66" fillId="0" borderId="0" xfId="0" applyFont="1"/>
    <xf numFmtId="0" fontId="67" fillId="0" borderId="0" xfId="0" applyFont="1"/>
    <xf numFmtId="0" fontId="70" fillId="0" borderId="0" xfId="0" applyFont="1" applyAlignment="1">
      <alignment horizontal="center"/>
    </xf>
    <xf numFmtId="0" fontId="65" fillId="0" borderId="0" xfId="0" applyFont="1" applyAlignment="1">
      <alignment horizontal="center"/>
    </xf>
    <xf numFmtId="167" fontId="65" fillId="0" borderId="6" xfId="0" applyNumberFormat="1" applyFont="1" applyBorder="1"/>
    <xf numFmtId="167" fontId="65" fillId="0" borderId="44" xfId="0" applyNumberFormat="1" applyFont="1" applyBorder="1"/>
    <xf numFmtId="168" fontId="70" fillId="0" borderId="0" xfId="0" applyNumberFormat="1" applyFont="1"/>
    <xf numFmtId="164" fontId="70" fillId="0" borderId="0" xfId="0" applyNumberFormat="1" applyFont="1"/>
    <xf numFmtId="0" fontId="65" fillId="4" borderId="0" xfId="0" applyFont="1" applyFill="1"/>
    <xf numFmtId="164" fontId="65" fillId="0" borderId="6" xfId="0" applyNumberFormat="1" applyFont="1" applyBorder="1"/>
    <xf numFmtId="0" fontId="68" fillId="0" borderId="0" xfId="0" applyFont="1"/>
    <xf numFmtId="3" fontId="65" fillId="0" borderId="0" xfId="0" applyNumberFormat="1" applyFont="1"/>
    <xf numFmtId="0" fontId="73" fillId="0" borderId="0" xfId="0" applyFont="1"/>
    <xf numFmtId="0" fontId="74" fillId="0" borderId="0" xfId="0" applyFont="1"/>
    <xf numFmtId="0" fontId="75" fillId="0" borderId="0" xfId="0" applyFont="1"/>
    <xf numFmtId="0" fontId="67" fillId="0" borderId="12" xfId="0" applyFont="1" applyBorder="1"/>
    <xf numFmtId="0" fontId="76" fillId="0" borderId="14" xfId="0" applyFont="1" applyBorder="1" applyAlignment="1">
      <alignment horizontal="center"/>
    </xf>
    <xf numFmtId="0" fontId="76" fillId="0" borderId="18" xfId="0" applyFont="1" applyBorder="1" applyAlignment="1">
      <alignment horizontal="center"/>
    </xf>
    <xf numFmtId="0" fontId="76" fillId="0" borderId="0" xfId="0" applyFont="1" applyAlignment="1">
      <alignment horizontal="center"/>
    </xf>
    <xf numFmtId="0" fontId="76" fillId="0" borderId="22" xfId="0" applyFont="1" applyBorder="1"/>
    <xf numFmtId="0" fontId="76" fillId="0" borderId="23" xfId="0" applyFont="1" applyBorder="1" applyAlignment="1">
      <alignment horizontal="center"/>
    </xf>
    <xf numFmtId="0" fontId="76" fillId="0" borderId="30" xfId="0" applyFont="1" applyBorder="1" applyAlignment="1">
      <alignment horizontal="center"/>
    </xf>
    <xf numFmtId="0" fontId="67" fillId="2" borderId="6" xfId="0" applyFont="1" applyFill="1" applyBorder="1" applyAlignment="1">
      <alignment horizontal="left"/>
    </xf>
    <xf numFmtId="0" fontId="67" fillId="0" borderId="34" xfId="0" applyFont="1" applyBorder="1"/>
    <xf numFmtId="37" fontId="67" fillId="0" borderId="5" xfId="0" applyNumberFormat="1" applyFont="1" applyBorder="1"/>
    <xf numFmtId="2" fontId="67" fillId="0" borderId="5" xfId="0" applyNumberFormat="1" applyFont="1" applyBorder="1"/>
    <xf numFmtId="9" fontId="67" fillId="0" borderId="36" xfId="0" applyNumberFormat="1" applyFont="1" applyBorder="1"/>
    <xf numFmtId="167" fontId="67" fillId="0" borderId="37" xfId="0" applyNumberFormat="1" applyFont="1" applyBorder="1"/>
    <xf numFmtId="164" fontId="67" fillId="0" borderId="39" xfId="0" applyNumberFormat="1" applyFont="1" applyBorder="1"/>
    <xf numFmtId="0" fontId="67" fillId="0" borderId="0" xfId="0" applyFont="1" applyAlignment="1">
      <alignment horizontal="center"/>
    </xf>
    <xf numFmtId="0" fontId="67" fillId="2" borderId="6" xfId="0" applyFont="1" applyFill="1" applyBorder="1" applyAlignment="1">
      <alignment horizontal="right"/>
    </xf>
    <xf numFmtId="168" fontId="67" fillId="0" borderId="0" xfId="0" applyNumberFormat="1" applyFont="1"/>
    <xf numFmtId="0" fontId="67" fillId="0" borderId="40" xfId="0" applyFont="1" applyBorder="1"/>
    <xf numFmtId="167" fontId="67" fillId="0" borderId="6" xfId="0" applyNumberFormat="1" applyFont="1" applyBorder="1"/>
    <xf numFmtId="2" fontId="67" fillId="0" borderId="6" xfId="0" applyNumberFormat="1" applyFont="1" applyBorder="1"/>
    <xf numFmtId="9" fontId="67" fillId="0" borderId="1" xfId="0" applyNumberFormat="1" applyFont="1" applyBorder="1"/>
    <xf numFmtId="164" fontId="67" fillId="0" borderId="41" xfId="0" applyNumberFormat="1" applyFont="1" applyBorder="1"/>
    <xf numFmtId="3" fontId="67" fillId="2" borderId="6" xfId="0" applyNumberFormat="1" applyFont="1" applyFill="1" applyBorder="1" applyAlignment="1">
      <alignment horizontal="right"/>
    </xf>
    <xf numFmtId="0" fontId="67" fillId="0" borderId="43" xfId="0" applyFont="1" applyBorder="1"/>
    <xf numFmtId="167" fontId="67" fillId="0" borderId="44" xfId="0" applyNumberFormat="1" applyFont="1" applyBorder="1"/>
    <xf numFmtId="2" fontId="67" fillId="0" borderId="44" xfId="0" applyNumberFormat="1" applyFont="1" applyBorder="1" applyAlignment="1">
      <alignment horizontal="right"/>
    </xf>
    <xf numFmtId="9" fontId="67" fillId="0" borderId="45" xfId="0" applyNumberFormat="1" applyFont="1" applyBorder="1"/>
    <xf numFmtId="164" fontId="67" fillId="0" borderId="46" xfId="0" applyNumberFormat="1" applyFont="1" applyBorder="1"/>
    <xf numFmtId="0" fontId="67" fillId="0" borderId="47" xfId="0" applyFont="1" applyBorder="1"/>
    <xf numFmtId="0" fontId="67" fillId="0" borderId="48" xfId="0" applyFont="1" applyBorder="1"/>
    <xf numFmtId="0" fontId="76" fillId="0" borderId="48" xfId="0" applyFont="1" applyBorder="1"/>
    <xf numFmtId="0" fontId="76" fillId="10" borderId="49" xfId="0" applyFont="1" applyFill="1" applyBorder="1" applyAlignment="1">
      <alignment horizontal="center"/>
    </xf>
    <xf numFmtId="164" fontId="76" fillId="10" borderId="50" xfId="0" applyNumberFormat="1" applyFont="1" applyFill="1" applyBorder="1"/>
    <xf numFmtId="1" fontId="67" fillId="0" borderId="0" xfId="0" applyNumberFormat="1" applyFont="1"/>
    <xf numFmtId="0" fontId="67" fillId="0" borderId="52" xfId="0" applyFont="1" applyBorder="1"/>
    <xf numFmtId="37" fontId="67" fillId="0" borderId="37" xfId="0" applyNumberFormat="1" applyFont="1" applyBorder="1"/>
    <xf numFmtId="165" fontId="67" fillId="0" borderId="37" xfId="0" applyNumberFormat="1" applyFont="1" applyBorder="1"/>
    <xf numFmtId="170" fontId="67" fillId="0" borderId="55" xfId="0" applyNumberFormat="1" applyFont="1" applyBorder="1"/>
    <xf numFmtId="171" fontId="67" fillId="0" borderId="56" xfId="0" applyNumberFormat="1" applyFont="1" applyBorder="1" applyAlignment="1">
      <alignment horizontal="right"/>
    </xf>
    <xf numFmtId="167" fontId="67" fillId="0" borderId="0" xfId="0" applyNumberFormat="1" applyFont="1" applyAlignment="1">
      <alignment horizontal="center"/>
    </xf>
    <xf numFmtId="164" fontId="67" fillId="0" borderId="0" xfId="0" applyNumberFormat="1" applyFont="1"/>
    <xf numFmtId="165" fontId="67" fillId="0" borderId="6" xfId="0" applyNumberFormat="1" applyFont="1" applyBorder="1"/>
    <xf numFmtId="170" fontId="67" fillId="0" borderId="1" xfId="0" applyNumberFormat="1" applyFont="1" applyBorder="1"/>
    <xf numFmtId="172" fontId="67" fillId="0" borderId="41" xfId="0" applyNumberFormat="1" applyFont="1" applyBorder="1" applyAlignment="1">
      <alignment horizontal="center"/>
    </xf>
    <xf numFmtId="165" fontId="67" fillId="0" borderId="44" xfId="0" applyNumberFormat="1" applyFont="1" applyBorder="1"/>
    <xf numFmtId="170" fontId="67" fillId="0" borderId="45" xfId="0" applyNumberFormat="1" applyFont="1" applyBorder="1"/>
    <xf numFmtId="172" fontId="67" fillId="0" borderId="46" xfId="0" applyNumberFormat="1" applyFont="1" applyBorder="1" applyAlignment="1">
      <alignment horizontal="center"/>
    </xf>
    <xf numFmtId="172" fontId="76" fillId="10" borderId="50" xfId="0" applyNumberFormat="1" applyFont="1" applyFill="1" applyBorder="1"/>
    <xf numFmtId="168" fontId="76" fillId="0" borderId="0" xfId="0" applyNumberFormat="1" applyFont="1"/>
    <xf numFmtId="164" fontId="76" fillId="0" borderId="0" xfId="0" applyNumberFormat="1" applyFont="1"/>
    <xf numFmtId="165" fontId="67" fillId="0" borderId="5" xfId="0" applyNumberFormat="1" applyFont="1" applyBorder="1"/>
    <xf numFmtId="43" fontId="67" fillId="0" borderId="36" xfId="0" applyNumberFormat="1" applyFont="1" applyBorder="1"/>
    <xf numFmtId="174" fontId="67" fillId="0" borderId="37" xfId="0" applyNumberFormat="1" applyFont="1" applyBorder="1"/>
    <xf numFmtId="171" fontId="67" fillId="0" borderId="39" xfId="0" applyNumberFormat="1" applyFont="1" applyBorder="1"/>
    <xf numFmtId="43" fontId="67" fillId="0" borderId="1" xfId="0" applyNumberFormat="1" applyFont="1" applyBorder="1"/>
    <xf numFmtId="174" fontId="67" fillId="0" borderId="6" xfId="0" applyNumberFormat="1" applyFont="1" applyBorder="1"/>
    <xf numFmtId="172" fontId="67" fillId="0" borderId="41" xfId="0" applyNumberFormat="1" applyFont="1" applyBorder="1"/>
    <xf numFmtId="43" fontId="67" fillId="0" borderId="45" xfId="0" applyNumberFormat="1" applyFont="1" applyBorder="1"/>
    <xf numFmtId="174" fontId="67" fillId="0" borderId="44" xfId="0" applyNumberFormat="1" applyFont="1" applyBorder="1"/>
    <xf numFmtId="172" fontId="67" fillId="0" borderId="46" xfId="0" applyNumberFormat="1" applyFont="1" applyBorder="1"/>
    <xf numFmtId="0" fontId="67" fillId="4" borderId="0" xfId="0" applyFont="1" applyFill="1"/>
    <xf numFmtId="0" fontId="74" fillId="4" borderId="0" xfId="0" applyFont="1" applyFill="1"/>
    <xf numFmtId="0" fontId="67" fillId="0" borderId="58" xfId="0" applyFont="1" applyBorder="1"/>
    <xf numFmtId="0" fontId="76" fillId="0" borderId="59" xfId="0" applyFont="1" applyBorder="1" applyAlignment="1">
      <alignment horizontal="center"/>
    </xf>
    <xf numFmtId="0" fontId="76" fillId="0" borderId="60" xfId="0" applyFont="1" applyBorder="1" applyAlignment="1">
      <alignment horizontal="center"/>
    </xf>
    <xf numFmtId="164" fontId="67" fillId="0" borderId="36" xfId="0" applyNumberFormat="1" applyFont="1" applyBorder="1"/>
    <xf numFmtId="164" fontId="67" fillId="0" borderId="5" xfId="0" applyNumberFormat="1" applyFont="1" applyBorder="1"/>
    <xf numFmtId="172" fontId="67" fillId="0" borderId="0" xfId="0" applyNumberFormat="1" applyFont="1"/>
    <xf numFmtId="164" fontId="67" fillId="0" borderId="1" xfId="0" applyNumberFormat="1" applyFont="1" applyBorder="1"/>
    <xf numFmtId="164" fontId="67" fillId="0" borderId="6" xfId="0" applyNumberFormat="1" applyFont="1" applyBorder="1"/>
    <xf numFmtId="164" fontId="67" fillId="0" borderId="44" xfId="0" applyNumberFormat="1" applyFont="1" applyBorder="1"/>
    <xf numFmtId="0" fontId="76" fillId="0" borderId="0" xfId="0" applyFont="1"/>
    <xf numFmtId="0" fontId="76" fillId="10" borderId="50" xfId="0" applyFont="1" applyFill="1" applyBorder="1" applyAlignment="1">
      <alignment horizontal="center"/>
    </xf>
    <xf numFmtId="43" fontId="76" fillId="10" borderId="61" xfId="0" applyNumberFormat="1" applyFont="1" applyFill="1" applyBorder="1"/>
    <xf numFmtId="172" fontId="76" fillId="0" borderId="0" xfId="0" applyNumberFormat="1" applyFont="1"/>
    <xf numFmtId="3" fontId="67" fillId="0" borderId="0" xfId="0" applyNumberFormat="1" applyFont="1"/>
    <xf numFmtId="2" fontId="67" fillId="0" borderId="0" xfId="0" applyNumberFormat="1" applyFont="1"/>
    <xf numFmtId="0" fontId="79" fillId="0" borderId="0" xfId="0" applyFont="1"/>
    <xf numFmtId="3" fontId="76" fillId="0" borderId="0" xfId="0" applyNumberFormat="1" applyFont="1"/>
    <xf numFmtId="2" fontId="76" fillId="0" borderId="0" xfId="0" applyNumberFormat="1" applyFont="1"/>
    <xf numFmtId="0" fontId="80" fillId="0" borderId="0" xfId="0" applyFont="1"/>
    <xf numFmtId="0" fontId="76" fillId="4" borderId="0" xfId="0" applyFont="1" applyFill="1"/>
    <xf numFmtId="0" fontId="67" fillId="0" borderId="200" xfId="0" applyFont="1" applyBorder="1"/>
    <xf numFmtId="0" fontId="76" fillId="0" borderId="200" xfId="0" applyFont="1" applyBorder="1"/>
    <xf numFmtId="0" fontId="76" fillId="0" borderId="200" xfId="0" applyFont="1" applyBorder="1" applyAlignment="1">
      <alignment horizontal="center"/>
    </xf>
    <xf numFmtId="164" fontId="76" fillId="0" borderId="200" xfId="0" applyNumberFormat="1" applyFont="1" applyBorder="1"/>
    <xf numFmtId="172" fontId="76" fillId="0" borderId="200" xfId="0" applyNumberFormat="1" applyFont="1" applyBorder="1"/>
    <xf numFmtId="0" fontId="71" fillId="0" borderId="0" xfId="0" applyFont="1" applyAlignment="1">
      <alignment horizontal="center"/>
    </xf>
    <xf numFmtId="0" fontId="76" fillId="0" borderId="63" xfId="0" applyFont="1" applyBorder="1" applyAlignment="1">
      <alignment horizontal="center"/>
    </xf>
    <xf numFmtId="0" fontId="76" fillId="0" borderId="64" xfId="0" applyFont="1" applyBorder="1" applyAlignment="1">
      <alignment horizontal="center"/>
    </xf>
    <xf numFmtId="164" fontId="67" fillId="0" borderId="65" xfId="0" applyNumberFormat="1" applyFont="1" applyBorder="1"/>
    <xf numFmtId="1" fontId="67" fillId="0" borderId="0" xfId="0" applyNumberFormat="1" applyFont="1" applyAlignment="1">
      <alignment horizontal="center"/>
    </xf>
    <xf numFmtId="37" fontId="67" fillId="0" borderId="6" xfId="0" applyNumberFormat="1" applyFont="1" applyBorder="1"/>
    <xf numFmtId="164" fontId="67" fillId="0" borderId="66" xfId="0" applyNumberFormat="1" applyFont="1" applyBorder="1"/>
    <xf numFmtId="0" fontId="67" fillId="0" borderId="67" xfId="0" applyFont="1" applyBorder="1"/>
    <xf numFmtId="167" fontId="67" fillId="0" borderId="68" xfId="0" applyNumberFormat="1" applyFont="1" applyBorder="1"/>
    <xf numFmtId="9" fontId="67" fillId="0" borderId="68" xfId="0" applyNumberFormat="1" applyFont="1" applyBorder="1"/>
    <xf numFmtId="37" fontId="67" fillId="0" borderId="68" xfId="0" applyNumberFormat="1" applyFont="1" applyBorder="1"/>
    <xf numFmtId="164" fontId="67" fillId="0" borderId="69" xfId="0" applyNumberFormat="1" applyFont="1" applyBorder="1"/>
    <xf numFmtId="0" fontId="67" fillId="0" borderId="70" xfId="0" applyFont="1" applyBorder="1"/>
    <xf numFmtId="0" fontId="67" fillId="0" borderId="71" xfId="0" applyFont="1" applyBorder="1"/>
    <xf numFmtId="0" fontId="76" fillId="10" borderId="72" xfId="0" applyFont="1" applyFill="1" applyBorder="1" applyAlignment="1">
      <alignment horizontal="center"/>
    </xf>
    <xf numFmtId="164" fontId="76" fillId="10" borderId="73" xfId="0" applyNumberFormat="1" applyFont="1" applyFill="1" applyBorder="1"/>
    <xf numFmtId="170" fontId="67" fillId="0" borderId="36" xfId="0" applyNumberFormat="1" applyFont="1" applyBorder="1"/>
    <xf numFmtId="164" fontId="67" fillId="0" borderId="74" xfId="0" applyNumberFormat="1" applyFont="1" applyBorder="1"/>
    <xf numFmtId="167" fontId="67" fillId="0" borderId="48" xfId="0" applyNumberFormat="1" applyFont="1" applyBorder="1"/>
    <xf numFmtId="0" fontId="76" fillId="10" borderId="75" xfId="0" applyFont="1" applyFill="1" applyBorder="1" applyAlignment="1">
      <alignment horizontal="center"/>
    </xf>
    <xf numFmtId="164" fontId="76" fillId="10" borderId="76" xfId="0" applyNumberFormat="1" applyFont="1" applyFill="1" applyBorder="1"/>
    <xf numFmtId="0" fontId="76" fillId="0" borderId="77" xfId="0" applyFont="1" applyBorder="1"/>
    <xf numFmtId="43" fontId="67" fillId="0" borderId="55" xfId="0" applyNumberFormat="1" applyFont="1" applyBorder="1" applyAlignment="1">
      <alignment horizontal="center"/>
    </xf>
    <xf numFmtId="43" fontId="67" fillId="0" borderId="1" xfId="0" applyNumberFormat="1" applyFont="1" applyBorder="1" applyAlignment="1">
      <alignment horizontal="center"/>
    </xf>
    <xf numFmtId="43" fontId="67" fillId="0" borderId="45" xfId="0" applyNumberFormat="1" applyFont="1" applyBorder="1" applyAlignment="1">
      <alignment horizontal="center"/>
    </xf>
    <xf numFmtId="0" fontId="76" fillId="0" borderId="79" xfId="0" applyFont="1" applyBorder="1" applyAlignment="1">
      <alignment horizontal="center"/>
    </xf>
    <xf numFmtId="0" fontId="76" fillId="0" borderId="80" xfId="0" applyFont="1" applyBorder="1" applyAlignment="1">
      <alignment horizontal="center"/>
    </xf>
    <xf numFmtId="0" fontId="67" fillId="0" borderId="81" xfId="0" applyFont="1" applyBorder="1"/>
    <xf numFmtId="164" fontId="67" fillId="0" borderId="5" xfId="0" applyNumberFormat="1" applyFont="1" applyBorder="1" applyAlignment="1">
      <alignment horizontal="right"/>
    </xf>
    <xf numFmtId="164" fontId="67" fillId="0" borderId="82" xfId="0" applyNumberFormat="1" applyFont="1" applyBorder="1" applyAlignment="1">
      <alignment horizontal="right"/>
    </xf>
    <xf numFmtId="164" fontId="67" fillId="0" borderId="36" xfId="0" applyNumberFormat="1" applyFont="1" applyBorder="1" applyAlignment="1">
      <alignment horizontal="right"/>
    </xf>
    <xf numFmtId="164" fontId="67" fillId="0" borderId="83" xfId="0" applyNumberFormat="1" applyFont="1" applyBorder="1" applyAlignment="1">
      <alignment horizontal="right"/>
    </xf>
    <xf numFmtId="0" fontId="67" fillId="0" borderId="84" xfId="0" applyFont="1" applyBorder="1"/>
    <xf numFmtId="164" fontId="67" fillId="0" borderId="6" xfId="0" applyNumberFormat="1" applyFont="1" applyBorder="1" applyAlignment="1">
      <alignment horizontal="right"/>
    </xf>
    <xf numFmtId="164" fontId="67" fillId="0" borderId="4" xfId="0" applyNumberFormat="1" applyFont="1" applyBorder="1" applyAlignment="1">
      <alignment horizontal="right"/>
    </xf>
    <xf numFmtId="164" fontId="67" fillId="0" borderId="1" xfId="0" applyNumberFormat="1" applyFont="1" applyBorder="1" applyAlignment="1">
      <alignment horizontal="right"/>
    </xf>
    <xf numFmtId="164" fontId="67" fillId="0" borderId="85" xfId="0" applyNumberFormat="1" applyFont="1" applyBorder="1" applyAlignment="1">
      <alignment horizontal="right"/>
    </xf>
    <xf numFmtId="0" fontId="67" fillId="0" borderId="86" xfId="0" applyFont="1" applyBorder="1"/>
    <xf numFmtId="164" fontId="67" fillId="0" borderId="44" xfId="0" applyNumberFormat="1" applyFont="1" applyBorder="1" applyAlignment="1">
      <alignment horizontal="right"/>
    </xf>
    <xf numFmtId="164" fontId="67" fillId="0" borderId="87" xfId="0" applyNumberFormat="1" applyFont="1" applyBorder="1" applyAlignment="1">
      <alignment horizontal="right"/>
    </xf>
    <xf numFmtId="164" fontId="67" fillId="0" borderId="45" xfId="0" applyNumberFormat="1" applyFont="1" applyBorder="1" applyAlignment="1">
      <alignment horizontal="right"/>
    </xf>
    <xf numFmtId="164" fontId="67" fillId="0" borderId="88" xfId="0" applyNumberFormat="1" applyFont="1" applyBorder="1" applyAlignment="1">
      <alignment horizontal="right"/>
    </xf>
    <xf numFmtId="0" fontId="76" fillId="10" borderId="90" xfId="0" applyFont="1" applyFill="1" applyBorder="1" applyAlignment="1">
      <alignment horizontal="center"/>
    </xf>
    <xf numFmtId="2" fontId="76" fillId="10" borderId="91" xfId="0" applyNumberFormat="1" applyFont="1" applyFill="1" applyBorder="1"/>
    <xf numFmtId="164" fontId="67" fillId="0" borderId="45" xfId="0" applyNumberFormat="1" applyFont="1" applyBorder="1"/>
    <xf numFmtId="164" fontId="67" fillId="0" borderId="88" xfId="0" applyNumberFormat="1" applyFont="1" applyBorder="1"/>
    <xf numFmtId="43" fontId="76" fillId="10" borderId="61" xfId="0" applyNumberFormat="1" applyFont="1" applyFill="1" applyBorder="1" applyAlignment="1">
      <alignment horizontal="right"/>
    </xf>
    <xf numFmtId="0" fontId="61" fillId="0" borderId="0" xfId="0" applyFont="1"/>
    <xf numFmtId="0" fontId="82" fillId="0" borderId="0" xfId="0" applyFont="1"/>
    <xf numFmtId="0" fontId="83" fillId="0" borderId="0" xfId="0" applyFont="1"/>
    <xf numFmtId="10" fontId="84" fillId="0" borderId="0" xfId="0" applyNumberFormat="1" applyFont="1" applyAlignment="1">
      <alignment horizontal="right"/>
    </xf>
    <xf numFmtId="2" fontId="84" fillId="0" borderId="0" xfId="0" applyNumberFormat="1" applyFont="1" applyAlignment="1">
      <alignment horizontal="right"/>
    </xf>
    <xf numFmtId="0" fontId="84" fillId="0" borderId="0" xfId="0" applyFont="1"/>
    <xf numFmtId="0" fontId="85" fillId="0" borderId="0" xfId="0" applyFont="1"/>
    <xf numFmtId="0" fontId="86" fillId="0" borderId="0" xfId="0" applyFont="1" applyAlignment="1">
      <alignment horizontal="left" wrapText="1"/>
    </xf>
    <xf numFmtId="0" fontId="87" fillId="0" borderId="48" xfId="0" applyFont="1" applyBorder="1"/>
    <xf numFmtId="0" fontId="84" fillId="0" borderId="48" xfId="0" applyFont="1" applyBorder="1"/>
    <xf numFmtId="0" fontId="84" fillId="0" borderId="103" xfId="0" applyFont="1" applyBorder="1"/>
    <xf numFmtId="0" fontId="87" fillId="0" borderId="104" xfId="0" applyFont="1" applyBorder="1" applyAlignment="1">
      <alignment horizontal="center"/>
    </xf>
    <xf numFmtId="0" fontId="84" fillId="0" borderId="105" xfId="0" applyFont="1" applyBorder="1"/>
    <xf numFmtId="0" fontId="87" fillId="0" borderId="105" xfId="0" applyFont="1" applyBorder="1" applyAlignment="1">
      <alignment horizontal="center"/>
    </xf>
    <xf numFmtId="0" fontId="84" fillId="0" borderId="106" xfId="0" applyFont="1" applyBorder="1"/>
    <xf numFmtId="0" fontId="84" fillId="0" borderId="107" xfId="0" applyFont="1" applyBorder="1"/>
    <xf numFmtId="0" fontId="87" fillId="0" borderId="108" xfId="0" applyFont="1" applyBorder="1" applyAlignment="1">
      <alignment horizontal="center"/>
    </xf>
    <xf numFmtId="0" fontId="84" fillId="0" borderId="108" xfId="0" applyFont="1" applyBorder="1"/>
    <xf numFmtId="0" fontId="88" fillId="0" borderId="108" xfId="0" applyFont="1" applyBorder="1" applyAlignment="1">
      <alignment horizontal="center"/>
    </xf>
    <xf numFmtId="0" fontId="88" fillId="0" borderId="109" xfId="0" applyFont="1" applyBorder="1" applyAlignment="1">
      <alignment horizontal="center"/>
    </xf>
    <xf numFmtId="0" fontId="88" fillId="0" borderId="0" xfId="0" applyFont="1" applyAlignment="1">
      <alignment horizontal="center"/>
    </xf>
    <xf numFmtId="0" fontId="87" fillId="0" borderId="110" xfId="0" applyFont="1" applyBorder="1"/>
    <xf numFmtId="0" fontId="87" fillId="0" borderId="111" xfId="0" applyFont="1" applyBorder="1" applyAlignment="1">
      <alignment horizontal="center"/>
    </xf>
    <xf numFmtId="0" fontId="88" fillId="0" borderId="112" xfId="0" applyFont="1" applyBorder="1" applyAlignment="1">
      <alignment horizontal="center"/>
    </xf>
    <xf numFmtId="0" fontId="87" fillId="0" borderId="0" xfId="0" applyFont="1" applyAlignment="1">
      <alignment horizontal="center"/>
    </xf>
    <xf numFmtId="179" fontId="88" fillId="0" borderId="0" xfId="0" applyNumberFormat="1" applyFont="1" applyAlignment="1">
      <alignment horizontal="center"/>
    </xf>
    <xf numFmtId="0" fontId="84" fillId="0" borderId="34" xfId="0" applyFont="1" applyBorder="1"/>
    <xf numFmtId="37" fontId="84" fillId="0" borderId="5" xfId="0" applyNumberFormat="1" applyFont="1" applyBorder="1"/>
    <xf numFmtId="10" fontId="84" fillId="0" borderId="6" xfId="0" applyNumberFormat="1" applyFont="1" applyBorder="1" applyAlignment="1">
      <alignment horizontal="right"/>
    </xf>
    <xf numFmtId="37" fontId="84" fillId="0" borderId="5" xfId="0" applyNumberFormat="1" applyFont="1" applyBorder="1" applyAlignment="1">
      <alignment horizontal="right"/>
    </xf>
    <xf numFmtId="37" fontId="84" fillId="0" borderId="6" xfId="0" applyNumberFormat="1" applyFont="1" applyBorder="1" applyAlignment="1">
      <alignment horizontal="right"/>
    </xf>
    <xf numFmtId="2" fontId="84" fillId="0" borderId="5" xfId="0" applyNumberFormat="1" applyFont="1" applyBorder="1" applyAlignment="1">
      <alignment horizontal="right"/>
    </xf>
    <xf numFmtId="9" fontId="84" fillId="0" borderId="5" xfId="0" applyNumberFormat="1" applyFont="1" applyBorder="1" applyAlignment="1">
      <alignment horizontal="right"/>
    </xf>
    <xf numFmtId="37" fontId="83" fillId="0" borderId="5" xfId="0" applyNumberFormat="1" applyFont="1" applyBorder="1"/>
    <xf numFmtId="171" fontId="83" fillId="0" borderId="39" xfId="0" applyNumberFormat="1" applyFont="1" applyBorder="1"/>
    <xf numFmtId="0" fontId="84" fillId="0" borderId="0" xfId="0" applyFont="1" applyAlignment="1">
      <alignment horizontal="center"/>
    </xf>
    <xf numFmtId="168" fontId="83" fillId="0" borderId="0" xfId="0" applyNumberFormat="1" applyFont="1"/>
    <xf numFmtId="1" fontId="84" fillId="0" borderId="0" xfId="0" applyNumberFormat="1" applyFont="1" applyAlignment="1">
      <alignment horizontal="center"/>
    </xf>
    <xf numFmtId="179" fontId="83" fillId="0" borderId="0" xfId="0" applyNumberFormat="1" applyFont="1" applyAlignment="1">
      <alignment horizontal="center"/>
    </xf>
    <xf numFmtId="0" fontId="84" fillId="0" borderId="40" xfId="0" applyFont="1" applyBorder="1"/>
    <xf numFmtId="167" fontId="84" fillId="0" borderId="6" xfId="0" applyNumberFormat="1" applyFont="1" applyBorder="1"/>
    <xf numFmtId="2" fontId="84" fillId="0" borderId="6" xfId="0" applyNumberFormat="1" applyFont="1" applyBorder="1" applyAlignment="1">
      <alignment horizontal="right"/>
    </xf>
    <xf numFmtId="9" fontId="84" fillId="0" borderId="6" xfId="0" applyNumberFormat="1" applyFont="1" applyBorder="1" applyAlignment="1">
      <alignment horizontal="right"/>
    </xf>
    <xf numFmtId="37" fontId="83" fillId="0" borderId="6" xfId="0" applyNumberFormat="1" applyFont="1" applyBorder="1"/>
    <xf numFmtId="172" fontId="83" fillId="0" borderId="41" xfId="0" applyNumberFormat="1" applyFont="1" applyBorder="1"/>
    <xf numFmtId="0" fontId="84" fillId="0" borderId="40" xfId="0" applyFont="1" applyBorder="1" applyAlignment="1">
      <alignment wrapText="1"/>
    </xf>
    <xf numFmtId="37" fontId="84" fillId="0" borderId="6" xfId="0" applyNumberFormat="1" applyFont="1" applyBorder="1"/>
    <xf numFmtId="171" fontId="83" fillId="0" borderId="41" xfId="0" applyNumberFormat="1" applyFont="1" applyBorder="1"/>
    <xf numFmtId="2" fontId="83" fillId="0" borderId="6" xfId="0" applyNumberFormat="1" applyFont="1" applyBorder="1" applyAlignment="1">
      <alignment horizontal="right"/>
    </xf>
    <xf numFmtId="180" fontId="83" fillId="0" borderId="41" xfId="0" applyNumberFormat="1" applyFont="1" applyBorder="1"/>
    <xf numFmtId="10" fontId="84" fillId="0" borderId="7" xfId="0" applyNumberFormat="1" applyFont="1" applyBorder="1" applyAlignment="1">
      <alignment horizontal="right"/>
    </xf>
    <xf numFmtId="0" fontId="83" fillId="0" borderId="43" xfId="0" applyFont="1" applyBorder="1"/>
    <xf numFmtId="167" fontId="84" fillId="0" borderId="44" xfId="0" applyNumberFormat="1" applyFont="1" applyBorder="1"/>
    <xf numFmtId="167" fontId="84" fillId="0" borderId="7" xfId="0" applyNumberFormat="1" applyFont="1" applyBorder="1"/>
    <xf numFmtId="167" fontId="84" fillId="0" borderId="7" xfId="0" applyNumberFormat="1" applyFont="1" applyBorder="1" applyAlignment="1">
      <alignment horizontal="right"/>
    </xf>
    <xf numFmtId="0" fontId="83" fillId="0" borderId="7" xfId="0" applyFont="1" applyBorder="1"/>
    <xf numFmtId="2" fontId="84" fillId="0" borderId="7" xfId="0" applyNumberFormat="1" applyFont="1" applyBorder="1" applyAlignment="1">
      <alignment horizontal="right"/>
    </xf>
    <xf numFmtId="179" fontId="84" fillId="0" borderId="7" xfId="0" applyNumberFormat="1" applyFont="1" applyBorder="1" applyAlignment="1">
      <alignment horizontal="center"/>
    </xf>
    <xf numFmtId="37" fontId="83" fillId="0" borderId="7" xfId="0" applyNumberFormat="1" applyFont="1" applyBorder="1"/>
    <xf numFmtId="172" fontId="83" fillId="0" borderId="7" xfId="0" applyNumberFormat="1" applyFont="1" applyBorder="1"/>
    <xf numFmtId="0" fontId="84" fillId="0" borderId="113" xfId="0" applyFont="1" applyBorder="1"/>
    <xf numFmtId="0" fontId="84" fillId="0" borderId="72" xfId="0" applyFont="1" applyBorder="1"/>
    <xf numFmtId="0" fontId="87" fillId="0" borderId="72" xfId="0" applyFont="1" applyBorder="1" applyAlignment="1">
      <alignment horizontal="center"/>
    </xf>
    <xf numFmtId="0" fontId="87" fillId="10" borderId="72" xfId="0" applyFont="1" applyFill="1" applyBorder="1" applyAlignment="1">
      <alignment horizontal="center"/>
    </xf>
    <xf numFmtId="172" fontId="87" fillId="10" borderId="114" xfId="0" applyNumberFormat="1" applyFont="1" applyFill="1" applyBorder="1"/>
    <xf numFmtId="0" fontId="88" fillId="0" borderId="48" xfId="0" applyFont="1" applyBorder="1"/>
    <xf numFmtId="0" fontId="83" fillId="0" borderId="103" xfId="0" applyFont="1" applyBorder="1"/>
    <xf numFmtId="0" fontId="83" fillId="0" borderId="107" xfId="0" applyFont="1" applyBorder="1"/>
    <xf numFmtId="0" fontId="83" fillId="2" borderId="6" xfId="0" applyFont="1" applyFill="1" applyBorder="1" applyAlignment="1">
      <alignment horizontal="left"/>
    </xf>
    <xf numFmtId="0" fontId="83" fillId="2" borderId="6" xfId="0" applyFont="1" applyFill="1" applyBorder="1" applyAlignment="1">
      <alignment horizontal="right"/>
    </xf>
    <xf numFmtId="0" fontId="88" fillId="0" borderId="110" xfId="0" applyFont="1" applyBorder="1"/>
    <xf numFmtId="0" fontId="88" fillId="0" borderId="111" xfId="0" applyFont="1" applyBorder="1" applyAlignment="1">
      <alignment horizontal="center"/>
    </xf>
    <xf numFmtId="165" fontId="84" fillId="0" borderId="5" xfId="0" applyNumberFormat="1" applyFont="1" applyBorder="1" applyAlignment="1">
      <alignment horizontal="right"/>
    </xf>
    <xf numFmtId="168" fontId="84" fillId="0" borderId="5" xfId="0" applyNumberFormat="1" applyFont="1" applyBorder="1"/>
    <xf numFmtId="167" fontId="84" fillId="0" borderId="5" xfId="0" applyNumberFormat="1" applyFont="1" applyBorder="1"/>
    <xf numFmtId="164" fontId="83" fillId="0" borderId="39" xfId="0" applyNumberFormat="1" applyFont="1" applyBorder="1" applyAlignment="1">
      <alignment horizontal="right"/>
    </xf>
    <xf numFmtId="165" fontId="84" fillId="0" borderId="6" xfId="0" applyNumberFormat="1" applyFont="1" applyBorder="1" applyAlignment="1">
      <alignment horizontal="right"/>
    </xf>
    <xf numFmtId="168" fontId="84" fillId="0" borderId="6" xfId="0" applyNumberFormat="1" applyFont="1" applyBorder="1"/>
    <xf numFmtId="164" fontId="83" fillId="0" borderId="41" xfId="0" applyNumberFormat="1" applyFont="1" applyBorder="1" applyAlignment="1">
      <alignment horizontal="right"/>
    </xf>
    <xf numFmtId="3" fontId="83" fillId="2" borderId="6" xfId="0" applyNumberFormat="1" applyFont="1" applyFill="1" applyBorder="1" applyAlignment="1">
      <alignment horizontal="right"/>
    </xf>
    <xf numFmtId="10" fontId="84" fillId="0" borderId="44" xfId="0" applyNumberFormat="1" applyFont="1" applyBorder="1" applyAlignment="1">
      <alignment horizontal="right"/>
    </xf>
    <xf numFmtId="37" fontId="84" fillId="0" borderId="115" xfId="0" applyNumberFormat="1" applyFont="1" applyBorder="1" applyAlignment="1">
      <alignment horizontal="right"/>
    </xf>
    <xf numFmtId="165" fontId="84" fillId="0" borderId="44" xfId="0" applyNumberFormat="1" applyFont="1" applyBorder="1" applyAlignment="1">
      <alignment horizontal="right"/>
    </xf>
    <xf numFmtId="168" fontId="84" fillId="0" borderId="44" xfId="0" applyNumberFormat="1" applyFont="1" applyBorder="1"/>
    <xf numFmtId="164" fontId="83" fillId="0" borderId="46" xfId="0" applyNumberFormat="1" applyFont="1" applyBorder="1" applyAlignment="1">
      <alignment horizontal="right"/>
    </xf>
    <xf numFmtId="0" fontId="83" fillId="0" borderId="116" xfId="0" applyFont="1" applyBorder="1"/>
    <xf numFmtId="0" fontId="84" fillId="0" borderId="75" xfId="0" applyFont="1" applyBorder="1"/>
    <xf numFmtId="0" fontId="88" fillId="10" borderId="75" xfId="0" applyFont="1" applyFill="1" applyBorder="1" applyAlignment="1">
      <alignment horizontal="center"/>
    </xf>
    <xf numFmtId="172" fontId="88" fillId="10" borderId="117" xfId="0" applyNumberFormat="1" applyFont="1" applyFill="1" applyBorder="1" applyAlignment="1">
      <alignment horizontal="center"/>
    </xf>
    <xf numFmtId="0" fontId="83" fillId="0" borderId="0" xfId="0" applyFont="1" applyAlignment="1">
      <alignment horizontal="center"/>
    </xf>
    <xf numFmtId="168" fontId="88" fillId="0" borderId="0" xfId="0" applyNumberFormat="1" applyFont="1"/>
    <xf numFmtId="0" fontId="84" fillId="0" borderId="118" xfId="0" applyFont="1" applyBorder="1"/>
    <xf numFmtId="165" fontId="84" fillId="0" borderId="37" xfId="0" applyNumberFormat="1" applyFont="1" applyBorder="1" applyAlignment="1">
      <alignment horizontal="right"/>
    </xf>
    <xf numFmtId="174" fontId="84" fillId="0" borderId="37" xfId="0" applyNumberFormat="1" applyFont="1" applyBorder="1"/>
    <xf numFmtId="0" fontId="84" fillId="0" borderId="84" xfId="0" applyFont="1" applyBorder="1"/>
    <xf numFmtId="174" fontId="84" fillId="0" borderId="6" xfId="0" applyNumberFormat="1" applyFont="1" applyBorder="1"/>
    <xf numFmtId="0" fontId="84" fillId="0" borderId="84" xfId="0" applyFont="1" applyBorder="1" applyAlignment="1">
      <alignment wrapText="1"/>
    </xf>
    <xf numFmtId="0" fontId="83" fillId="0" borderId="86" xfId="0" applyFont="1" applyBorder="1"/>
    <xf numFmtId="174" fontId="84" fillId="0" borderId="44" xfId="0" applyNumberFormat="1" applyFont="1" applyBorder="1"/>
    <xf numFmtId="0" fontId="84" fillId="0" borderId="47" xfId="0" applyFont="1" applyBorder="1"/>
    <xf numFmtId="172" fontId="88" fillId="10" borderId="76" xfId="0" applyNumberFormat="1" applyFont="1" applyFill="1" applyBorder="1"/>
    <xf numFmtId="0" fontId="83" fillId="4" borderId="0" xfId="0" applyFont="1" applyFill="1"/>
    <xf numFmtId="0" fontId="87" fillId="0" borderId="48" xfId="0" applyFont="1" applyBorder="1" applyAlignment="1">
      <alignment horizontal="center"/>
    </xf>
    <xf numFmtId="0" fontId="84" fillId="0" borderId="12" xfId="0" applyFont="1" applyBorder="1"/>
    <xf numFmtId="0" fontId="88" fillId="0" borderId="59" xfId="0" applyFont="1" applyBorder="1" applyAlignment="1">
      <alignment horizontal="center"/>
    </xf>
    <xf numFmtId="0" fontId="88" fillId="0" borderId="79" xfId="0" applyFont="1" applyBorder="1" applyAlignment="1">
      <alignment horizontal="center"/>
    </xf>
    <xf numFmtId="0" fontId="87" fillId="0" borderId="22" xfId="0" applyFont="1" applyBorder="1"/>
    <xf numFmtId="0" fontId="88" fillId="0" borderId="60" xfId="0" applyFont="1" applyBorder="1" applyAlignment="1">
      <alignment horizontal="center"/>
    </xf>
    <xf numFmtId="0" fontId="88" fillId="0" borderId="80" xfId="0" applyFont="1" applyBorder="1" applyAlignment="1">
      <alignment horizontal="center"/>
    </xf>
    <xf numFmtId="164" fontId="84" fillId="0" borderId="5" xfId="0" applyNumberFormat="1" applyFont="1" applyBorder="1" applyAlignment="1">
      <alignment horizontal="right"/>
    </xf>
    <xf numFmtId="164" fontId="84" fillId="0" borderId="36" xfId="0" applyNumberFormat="1" applyFont="1" applyBorder="1" applyAlignment="1">
      <alignment horizontal="right"/>
    </xf>
    <xf numFmtId="164" fontId="83" fillId="0" borderId="83" xfId="0" applyNumberFormat="1" applyFont="1" applyBorder="1" applyAlignment="1">
      <alignment horizontal="right"/>
    </xf>
    <xf numFmtId="1" fontId="83" fillId="0" borderId="0" xfId="0" applyNumberFormat="1" applyFont="1"/>
    <xf numFmtId="164" fontId="84" fillId="0" borderId="6" xfId="0" applyNumberFormat="1" applyFont="1" applyBorder="1" applyAlignment="1">
      <alignment horizontal="right"/>
    </xf>
    <xf numFmtId="164" fontId="84" fillId="0" borderId="1" xfId="0" applyNumberFormat="1" applyFont="1" applyBorder="1" applyAlignment="1">
      <alignment horizontal="right"/>
    </xf>
    <xf numFmtId="164" fontId="83" fillId="0" borderId="85" xfId="0" applyNumberFormat="1" applyFont="1" applyBorder="1" applyAlignment="1">
      <alignment horizontal="right"/>
    </xf>
    <xf numFmtId="0" fontId="83" fillId="0" borderId="119" xfId="0" applyFont="1" applyBorder="1"/>
    <xf numFmtId="164" fontId="84" fillId="0" borderId="7" xfId="0" applyNumberFormat="1" applyFont="1" applyBorder="1" applyAlignment="1">
      <alignment horizontal="right"/>
    </xf>
    <xf numFmtId="164" fontId="84" fillId="0" borderId="8" xfId="0" applyNumberFormat="1" applyFont="1" applyBorder="1" applyAlignment="1">
      <alignment horizontal="right"/>
    </xf>
    <xf numFmtId="164" fontId="83" fillId="0" borderId="120" xfId="0" applyNumberFormat="1" applyFont="1" applyBorder="1" applyAlignment="1">
      <alignment horizontal="right"/>
    </xf>
    <xf numFmtId="171" fontId="87" fillId="0" borderId="72" xfId="0" applyNumberFormat="1" applyFont="1" applyBorder="1" applyAlignment="1">
      <alignment horizontal="right"/>
    </xf>
    <xf numFmtId="172" fontId="87" fillId="0" borderId="72" xfId="0" applyNumberFormat="1" applyFont="1" applyBorder="1" applyAlignment="1">
      <alignment horizontal="right"/>
    </xf>
    <xf numFmtId="0" fontId="88" fillId="10" borderId="90" xfId="0" applyFont="1" applyFill="1" applyBorder="1" applyAlignment="1">
      <alignment horizontal="center"/>
    </xf>
    <xf numFmtId="39" fontId="88" fillId="10" borderId="91" xfId="0" applyNumberFormat="1" applyFont="1" applyFill="1" applyBorder="1" applyAlignment="1">
      <alignment horizontal="right"/>
    </xf>
    <xf numFmtId="0" fontId="83" fillId="0" borderId="58" xfId="0" applyFont="1" applyBorder="1"/>
    <xf numFmtId="0" fontId="88" fillId="0" borderId="14" xfId="0" applyFont="1" applyBorder="1" applyAlignment="1">
      <alignment horizontal="center"/>
    </xf>
    <xf numFmtId="0" fontId="88" fillId="0" borderId="22" xfId="0" applyFont="1" applyBorder="1"/>
    <xf numFmtId="0" fontId="88" fillId="0" borderId="23" xfId="0" applyFont="1" applyBorder="1" applyAlignment="1">
      <alignment horizontal="center"/>
    </xf>
    <xf numFmtId="0" fontId="83" fillId="0" borderId="34" xfId="0" applyFont="1" applyBorder="1"/>
    <xf numFmtId="164" fontId="83" fillId="0" borderId="5" xfId="0" applyNumberFormat="1" applyFont="1" applyBorder="1" applyAlignment="1">
      <alignment horizontal="right"/>
    </xf>
    <xf numFmtId="164" fontId="83" fillId="0" borderId="36" xfId="0" applyNumberFormat="1" applyFont="1" applyBorder="1" applyAlignment="1">
      <alignment horizontal="right"/>
    </xf>
    <xf numFmtId="0" fontId="83" fillId="0" borderId="40" xfId="0" applyFont="1" applyBorder="1"/>
    <xf numFmtId="164" fontId="83" fillId="0" borderId="115" xfId="0" applyNumberFormat="1" applyFont="1" applyBorder="1" applyAlignment="1">
      <alignment horizontal="right"/>
    </xf>
    <xf numFmtId="164" fontId="83" fillId="0" borderId="121" xfId="0" applyNumberFormat="1" applyFont="1" applyBorder="1" applyAlignment="1">
      <alignment horizontal="right"/>
    </xf>
    <xf numFmtId="164" fontId="83" fillId="0" borderId="122" xfId="0" applyNumberFormat="1" applyFont="1" applyBorder="1" applyAlignment="1">
      <alignment horizontal="right"/>
    </xf>
    <xf numFmtId="0" fontId="83" fillId="0" borderId="47" xfId="0" applyFont="1" applyBorder="1"/>
    <xf numFmtId="0" fontId="83" fillId="0" borderId="48" xfId="0" applyFont="1" applyBorder="1"/>
    <xf numFmtId="0" fontId="88" fillId="10" borderId="117" xfId="0" applyFont="1" applyFill="1" applyBorder="1" applyAlignment="1">
      <alignment horizontal="center"/>
    </xf>
    <xf numFmtId="43" fontId="88" fillId="10" borderId="123" xfId="0" applyNumberFormat="1" applyFont="1" applyFill="1" applyBorder="1" applyAlignment="1">
      <alignment horizontal="right"/>
    </xf>
    <xf numFmtId="0" fontId="91" fillId="0" borderId="0" xfId="0" applyFont="1"/>
    <xf numFmtId="0" fontId="92" fillId="0" borderId="0" xfId="0" applyFont="1"/>
    <xf numFmtId="0" fontId="88" fillId="4" borderId="0" xfId="0" applyFont="1" applyFill="1"/>
    <xf numFmtId="0" fontId="84" fillId="0" borderId="200" xfId="0" applyFont="1" applyBorder="1"/>
    <xf numFmtId="0" fontId="87" fillId="0" borderId="200" xfId="0" applyFont="1" applyBorder="1" applyAlignment="1">
      <alignment horizontal="center"/>
    </xf>
    <xf numFmtId="172" fontId="87" fillId="0" borderId="200" xfId="0" applyNumberFormat="1" applyFont="1" applyBorder="1"/>
    <xf numFmtId="0" fontId="83" fillId="0" borderId="200" xfId="0" applyFont="1" applyBorder="1"/>
    <xf numFmtId="0" fontId="88" fillId="0" borderId="200" xfId="0" applyFont="1" applyBorder="1" applyAlignment="1">
      <alignment horizontal="center"/>
    </xf>
    <xf numFmtId="172" fontId="88" fillId="0" borderId="200" xfId="0" applyNumberFormat="1" applyFont="1" applyBorder="1" applyAlignment="1">
      <alignment horizontal="center"/>
    </xf>
    <xf numFmtId="0" fontId="93" fillId="0" borderId="0" xfId="0" applyFont="1"/>
    <xf numFmtId="0" fontId="94" fillId="0" borderId="0" xfId="0" applyFont="1"/>
    <xf numFmtId="0" fontId="7" fillId="2" borderId="200" xfId="0" applyFont="1" applyFill="1" applyBorder="1" applyAlignment="1">
      <alignment horizontal="left"/>
    </xf>
    <xf numFmtId="3" fontId="7" fillId="2" borderId="200" xfId="0" applyNumberFormat="1" applyFont="1" applyFill="1" applyBorder="1" applyAlignment="1">
      <alignment horizontal="right"/>
    </xf>
    <xf numFmtId="167" fontId="65" fillId="0" borderId="0" xfId="0" applyNumberFormat="1" applyFont="1" applyAlignment="1">
      <alignment horizontal="center"/>
    </xf>
    <xf numFmtId="0" fontId="76" fillId="10" borderId="136" xfId="0" applyFont="1" applyFill="1" applyBorder="1" applyAlignment="1">
      <alignment horizontal="center" vertical="center"/>
    </xf>
    <xf numFmtId="0" fontId="76" fillId="10" borderId="136" xfId="0" applyFont="1" applyFill="1" applyBorder="1" applyAlignment="1">
      <alignment horizontal="center" vertical="center" wrapText="1"/>
    </xf>
    <xf numFmtId="0" fontId="76" fillId="10" borderId="137" xfId="0" applyFont="1" applyFill="1" applyBorder="1" applyAlignment="1">
      <alignment horizontal="center" vertical="center" wrapText="1"/>
    </xf>
    <xf numFmtId="167" fontId="74" fillId="0" borderId="5" xfId="0" applyNumberFormat="1" applyFont="1" applyBorder="1"/>
    <xf numFmtId="170" fontId="67" fillId="0" borderId="5" xfId="0" applyNumberFormat="1" applyFont="1" applyBorder="1"/>
    <xf numFmtId="172" fontId="67" fillId="0" borderId="39" xfId="0" applyNumberFormat="1" applyFont="1" applyBorder="1"/>
    <xf numFmtId="172" fontId="76" fillId="10" borderId="142" xfId="0" applyNumberFormat="1" applyFont="1" applyFill="1" applyBorder="1"/>
    <xf numFmtId="0" fontId="95" fillId="0" borderId="0" xfId="0" applyFont="1"/>
    <xf numFmtId="0" fontId="96" fillId="0" borderId="0" xfId="0" applyFont="1"/>
    <xf numFmtId="167" fontId="67" fillId="0" borderId="5" xfId="0" applyNumberFormat="1" applyFont="1" applyBorder="1"/>
    <xf numFmtId="170" fontId="67" fillId="0" borderId="39" xfId="0" applyNumberFormat="1" applyFont="1" applyBorder="1"/>
    <xf numFmtId="1" fontId="67" fillId="0" borderId="6" xfId="0" applyNumberFormat="1" applyFont="1" applyBorder="1"/>
    <xf numFmtId="170" fontId="67" fillId="0" borderId="41" xfId="0" applyNumberFormat="1" applyFont="1" applyBorder="1"/>
    <xf numFmtId="0" fontId="67" fillId="10" borderId="141" xfId="0" applyFont="1" applyFill="1" applyBorder="1"/>
    <xf numFmtId="167" fontId="76" fillId="10" borderId="141" xfId="0" applyNumberFormat="1" applyFont="1" applyFill="1" applyBorder="1"/>
    <xf numFmtId="170" fontId="76" fillId="10" borderId="142" xfId="0" applyNumberFormat="1" applyFont="1" applyFill="1" applyBorder="1"/>
    <xf numFmtId="0" fontId="67" fillId="0" borderId="6" xfId="0" applyFont="1" applyBorder="1"/>
    <xf numFmtId="0" fontId="67" fillId="0" borderId="6" xfId="0" applyFont="1" applyBorder="1" applyAlignment="1">
      <alignment horizontal="center" wrapText="1"/>
    </xf>
    <xf numFmtId="0" fontId="98" fillId="0" borderId="6" xfId="0" applyFont="1" applyBorder="1"/>
    <xf numFmtId="0" fontId="98" fillId="0" borderId="41" xfId="0" applyFont="1" applyBorder="1"/>
    <xf numFmtId="167" fontId="74" fillId="0" borderId="6" xfId="0" applyNumberFormat="1" applyFont="1" applyBorder="1" applyAlignment="1">
      <alignment horizontal="center" vertical="center"/>
    </xf>
    <xf numFmtId="2" fontId="67" fillId="0" borderId="6" xfId="0" applyNumberFormat="1" applyFont="1" applyBorder="1" applyAlignment="1">
      <alignment horizontal="right" vertical="center"/>
    </xf>
    <xf numFmtId="188" fontId="74" fillId="0" borderId="41" xfId="0" applyNumberFormat="1" applyFont="1" applyBorder="1" applyAlignment="1">
      <alignment horizontal="center" vertical="center"/>
    </xf>
    <xf numFmtId="0" fontId="97" fillId="0" borderId="0" xfId="0" applyFont="1"/>
    <xf numFmtId="168" fontId="67" fillId="0" borderId="6" xfId="0" applyNumberFormat="1" applyFont="1" applyBorder="1" applyAlignment="1">
      <alignment horizontal="right" vertical="center"/>
    </xf>
    <xf numFmtId="0" fontId="67" fillId="10" borderId="141" xfId="0" applyFont="1" applyFill="1" applyBorder="1" applyAlignment="1">
      <alignment horizontal="center" vertical="center"/>
    </xf>
    <xf numFmtId="167" fontId="99" fillId="10" borderId="141" xfId="0" applyNumberFormat="1" applyFont="1" applyFill="1" applyBorder="1" applyAlignment="1">
      <alignment horizontal="center" vertical="center"/>
    </xf>
    <xf numFmtId="170" fontId="99" fillId="10" borderId="142" xfId="0" applyNumberFormat="1" applyFont="1" applyFill="1" applyBorder="1" applyAlignment="1">
      <alignment horizontal="center" vertical="center"/>
    </xf>
    <xf numFmtId="0" fontId="76" fillId="10" borderId="34" xfId="0" applyFont="1" applyFill="1" applyBorder="1" applyAlignment="1">
      <alignment horizontal="center" wrapText="1"/>
    </xf>
    <xf numFmtId="0" fontId="76" fillId="10" borderId="5" xfId="0" applyFont="1" applyFill="1" applyBorder="1" applyAlignment="1">
      <alignment horizontal="center" wrapText="1"/>
    </xf>
    <xf numFmtId="0" fontId="76" fillId="10" borderId="39" xfId="0" applyFont="1" applyFill="1" applyBorder="1" applyAlignment="1">
      <alignment horizontal="center" wrapText="1"/>
    </xf>
    <xf numFmtId="0" fontId="99" fillId="10" borderId="40" xfId="0" applyFont="1" applyFill="1" applyBorder="1" applyAlignment="1">
      <alignment horizontal="center" wrapText="1"/>
    </xf>
    <xf numFmtId="0" fontId="76" fillId="10" borderId="6" xfId="0" applyFont="1" applyFill="1" applyBorder="1" applyAlignment="1">
      <alignment horizontal="center" wrapText="1"/>
    </xf>
    <xf numFmtId="0" fontId="76" fillId="10" borderId="41" xfId="0" applyFont="1" applyFill="1" applyBorder="1" applyAlignment="1">
      <alignment horizontal="center" wrapText="1"/>
    </xf>
    <xf numFmtId="0" fontId="76" fillId="10" borderId="5" xfId="0" applyFont="1" applyFill="1" applyBorder="1" applyAlignment="1">
      <alignment horizontal="center" vertical="center" wrapText="1"/>
    </xf>
    <xf numFmtId="0" fontId="76" fillId="10" borderId="39" xfId="0" applyFont="1" applyFill="1" applyBorder="1" applyAlignment="1">
      <alignment horizontal="center" vertical="center" wrapText="1"/>
    </xf>
    <xf numFmtId="167" fontId="67" fillId="0" borderId="138" xfId="0" applyNumberFormat="1" applyFont="1" applyBorder="1" applyAlignment="1">
      <alignment horizontal="center"/>
    </xf>
    <xf numFmtId="167" fontId="67" fillId="0" borderId="141" xfId="0" applyNumberFormat="1" applyFont="1" applyBorder="1"/>
    <xf numFmtId="167" fontId="67" fillId="0" borderId="142" xfId="0" applyNumberFormat="1" applyFont="1" applyBorder="1"/>
    <xf numFmtId="2" fontId="67" fillId="0" borderId="138" xfId="0" applyNumberFormat="1" applyFont="1" applyBorder="1" applyAlignment="1">
      <alignment horizontal="center"/>
    </xf>
    <xf numFmtId="9" fontId="67" fillId="0" borderId="141" xfId="0" applyNumberFormat="1" applyFont="1" applyBorder="1" applyAlignment="1">
      <alignment horizontal="center"/>
    </xf>
    <xf numFmtId="189" fontId="67" fillId="0" borderId="142" xfId="0" applyNumberFormat="1" applyFont="1" applyBorder="1"/>
    <xf numFmtId="165" fontId="67" fillId="0" borderId="138" xfId="0" applyNumberFormat="1" applyFont="1" applyBorder="1" applyAlignment="1">
      <alignment horizontal="center"/>
    </xf>
    <xf numFmtId="168" fontId="67" fillId="0" borderId="141" xfId="0" applyNumberFormat="1" applyFont="1" applyBorder="1"/>
    <xf numFmtId="172" fontId="67" fillId="0" borderId="142" xfId="0" applyNumberFormat="1" applyFont="1" applyBorder="1"/>
    <xf numFmtId="190" fontId="100" fillId="0" borderId="0" xfId="0" applyNumberFormat="1" applyFont="1"/>
    <xf numFmtId="191" fontId="67" fillId="0" borderId="0" xfId="0" applyNumberFormat="1" applyFont="1"/>
    <xf numFmtId="0" fontId="82" fillId="4" borderId="0" xfId="0" applyFont="1" applyFill="1"/>
    <xf numFmtId="0" fontId="76" fillId="0" borderId="148" xfId="0" applyFont="1" applyBorder="1"/>
    <xf numFmtId="0" fontId="76" fillId="0" borderId="149" xfId="0" applyFont="1" applyBorder="1" applyAlignment="1">
      <alignment horizontal="center" wrapText="1"/>
    </xf>
    <xf numFmtId="0" fontId="76" fillId="0" borderId="150" xfId="0" applyFont="1" applyBorder="1" applyAlignment="1">
      <alignment horizontal="center" wrapText="1"/>
    </xf>
    <xf numFmtId="0" fontId="76" fillId="0" borderId="151" xfId="0" applyFont="1" applyBorder="1" applyAlignment="1">
      <alignment horizontal="center" wrapText="1"/>
    </xf>
    <xf numFmtId="1" fontId="67" fillId="0" borderId="37" xfId="0" applyNumberFormat="1" applyFont="1" applyBorder="1"/>
    <xf numFmtId="164" fontId="67" fillId="0" borderId="55" xfId="0" applyNumberFormat="1" applyFont="1" applyBorder="1"/>
    <xf numFmtId="1" fontId="67" fillId="0" borderId="55" xfId="0" applyNumberFormat="1" applyFont="1" applyBorder="1"/>
    <xf numFmtId="164" fontId="67" fillId="0" borderId="152" xfId="0" applyNumberFormat="1" applyFont="1" applyBorder="1"/>
    <xf numFmtId="1" fontId="67" fillId="0" borderId="1" xfId="0" applyNumberFormat="1" applyFont="1" applyBorder="1"/>
    <xf numFmtId="2" fontId="67" fillId="0" borderId="83" xfId="0" applyNumberFormat="1" applyFont="1" applyBorder="1"/>
    <xf numFmtId="2" fontId="67" fillId="0" borderId="153" xfId="0" applyNumberFormat="1" applyFont="1" applyBorder="1"/>
    <xf numFmtId="0" fontId="76" fillId="10" borderId="154" xfId="0" applyFont="1" applyFill="1" applyBorder="1" applyAlignment="1">
      <alignment horizontal="center"/>
    </xf>
    <xf numFmtId="43" fontId="76" fillId="10" borderId="72" xfId="0" applyNumberFormat="1" applyFont="1" applyFill="1" applyBorder="1"/>
    <xf numFmtId="192" fontId="76" fillId="10" borderId="114" xfId="0" applyNumberFormat="1" applyFont="1" applyFill="1" applyBorder="1"/>
    <xf numFmtId="43" fontId="76" fillId="10" borderId="91" xfId="0" applyNumberFormat="1" applyFont="1" applyFill="1" applyBorder="1"/>
    <xf numFmtId="43" fontId="65" fillId="0" borderId="0" xfId="0" applyNumberFormat="1" applyFont="1"/>
    <xf numFmtId="167" fontId="76" fillId="0" borderId="0" xfId="0" applyNumberFormat="1" applyFont="1"/>
    <xf numFmtId="187" fontId="76" fillId="0" borderId="0" xfId="0" applyNumberFormat="1" applyFont="1"/>
    <xf numFmtId="0" fontId="74" fillId="14" borderId="9" xfId="0" applyFont="1" applyFill="1" applyBorder="1"/>
    <xf numFmtId="0" fontId="67" fillId="14" borderId="9" xfId="0" applyFont="1" applyFill="1" applyBorder="1"/>
    <xf numFmtId="0" fontId="67" fillId="14" borderId="9" xfId="0" applyFont="1" applyFill="1" applyBorder="1" applyAlignment="1">
      <alignment horizontal="center"/>
    </xf>
    <xf numFmtId="0" fontId="67" fillId="10" borderId="135" xfId="0" applyFont="1" applyFill="1" applyBorder="1" applyAlignment="1">
      <alignment vertical="center"/>
    </xf>
    <xf numFmtId="0" fontId="67" fillId="0" borderId="34" xfId="0" applyFont="1" applyBorder="1" applyAlignment="1">
      <alignment vertical="center" wrapText="1"/>
    </xf>
    <xf numFmtId="0" fontId="76" fillId="10" borderId="138" xfId="0" applyFont="1" applyFill="1" applyBorder="1"/>
    <xf numFmtId="0" fontId="67" fillId="10" borderId="139" xfId="0" applyFont="1" applyFill="1" applyBorder="1"/>
    <xf numFmtId="0" fontId="67" fillId="10" borderId="140" xfId="0" applyFont="1" applyFill="1" applyBorder="1"/>
    <xf numFmtId="172" fontId="76" fillId="10" borderId="141" xfId="0" applyNumberFormat="1" applyFont="1" applyFill="1" applyBorder="1"/>
    <xf numFmtId="0" fontId="101" fillId="0" borderId="0" xfId="0" applyFont="1"/>
    <xf numFmtId="0" fontId="102" fillId="0" borderId="0" xfId="0" applyFont="1"/>
    <xf numFmtId="0" fontId="74" fillId="15" borderId="9" xfId="0" applyFont="1" applyFill="1" applyBorder="1"/>
    <xf numFmtId="0" fontId="67" fillId="15" borderId="9" xfId="0" applyFont="1" applyFill="1" applyBorder="1" applyAlignment="1">
      <alignment horizontal="center"/>
    </xf>
    <xf numFmtId="0" fontId="67" fillId="15" borderId="9" xfId="0" applyFont="1" applyFill="1" applyBorder="1"/>
    <xf numFmtId="0" fontId="67" fillId="10" borderId="135" xfId="0" applyFont="1" applyFill="1" applyBorder="1"/>
    <xf numFmtId="1" fontId="100" fillId="0" borderId="0" xfId="0" applyNumberFormat="1" applyFont="1"/>
    <xf numFmtId="167" fontId="100" fillId="0" borderId="0" xfId="0" applyNumberFormat="1" applyFont="1" applyAlignment="1">
      <alignment horizontal="left"/>
    </xf>
    <xf numFmtId="0" fontId="67" fillId="0" borderId="40" xfId="0" applyFont="1" applyBorder="1" applyAlignment="1">
      <alignment vertical="center" wrapText="1"/>
    </xf>
    <xf numFmtId="167" fontId="67" fillId="0" borderId="0" xfId="0" applyNumberFormat="1" applyFont="1" applyAlignment="1">
      <alignment horizontal="left"/>
    </xf>
    <xf numFmtId="0" fontId="76" fillId="10" borderId="143" xfId="0" applyFont="1" applyFill="1" applyBorder="1"/>
    <xf numFmtId="167" fontId="76" fillId="0" borderId="0" xfId="0" applyNumberFormat="1" applyFont="1" applyAlignment="1">
      <alignment horizontal="center"/>
    </xf>
    <xf numFmtId="0" fontId="67" fillId="0" borderId="0" xfId="0" applyFont="1" applyAlignment="1">
      <alignment wrapText="1"/>
    </xf>
    <xf numFmtId="0" fontId="74" fillId="16" borderId="9" xfId="0" applyFont="1" applyFill="1" applyBorder="1"/>
    <xf numFmtId="0" fontId="67" fillId="16" borderId="9" xfId="0" applyFont="1" applyFill="1" applyBorder="1"/>
    <xf numFmtId="0" fontId="76" fillId="0" borderId="40" xfId="0" applyFont="1" applyBorder="1" applyAlignment="1">
      <alignment horizontal="left"/>
    </xf>
    <xf numFmtId="0" fontId="98" fillId="0" borderId="0" xfId="0" applyFont="1"/>
    <xf numFmtId="0" fontId="67" fillId="0" borderId="40" xfId="0" applyFont="1" applyBorder="1" applyAlignment="1">
      <alignment horizontal="left" wrapText="1"/>
    </xf>
    <xf numFmtId="170" fontId="74" fillId="0" borderId="144" xfId="0" applyNumberFormat="1" applyFont="1" applyBorder="1"/>
    <xf numFmtId="0" fontId="100" fillId="0" borderId="0" xfId="0" applyFont="1"/>
    <xf numFmtId="3" fontId="100" fillId="0" borderId="0" xfId="0" applyNumberFormat="1" applyFont="1"/>
    <xf numFmtId="170" fontId="99" fillId="0" borderId="144" xfId="0" applyNumberFormat="1" applyFont="1" applyBorder="1"/>
    <xf numFmtId="0" fontId="74" fillId="17" borderId="9" xfId="0" applyFont="1" applyFill="1" applyBorder="1"/>
    <xf numFmtId="0" fontId="67" fillId="17" borderId="9" xfId="0" applyFont="1" applyFill="1" applyBorder="1"/>
    <xf numFmtId="0" fontId="103" fillId="0" borderId="0" xfId="0" applyFont="1"/>
    <xf numFmtId="43" fontId="67" fillId="0" borderId="0" xfId="0" applyNumberFormat="1" applyFont="1"/>
    <xf numFmtId="0" fontId="99" fillId="14" borderId="9" xfId="0" applyFont="1" applyFill="1" applyBorder="1"/>
    <xf numFmtId="0" fontId="99" fillId="15" borderId="9" xfId="0" applyFont="1" applyFill="1" applyBorder="1"/>
    <xf numFmtId="0" fontId="99" fillId="16" borderId="9" xfId="0" applyFont="1" applyFill="1" applyBorder="1"/>
    <xf numFmtId="0" fontId="67" fillId="2" borderId="11" xfId="0" applyFont="1" applyFill="1" applyBorder="1" applyAlignment="1">
      <alignment horizontal="right"/>
    </xf>
    <xf numFmtId="0" fontId="67" fillId="2" borderId="204" xfId="0" applyFont="1" applyFill="1" applyBorder="1" applyAlignment="1">
      <alignment horizontal="right"/>
    </xf>
    <xf numFmtId="0" fontId="99" fillId="17" borderId="9" xfId="0" applyFont="1" applyFill="1" applyBorder="1"/>
    <xf numFmtId="0" fontId="67" fillId="0" borderId="0" xfId="0" applyFont="1" applyAlignment="1">
      <alignment horizontal="left" vertical="top" wrapText="1"/>
    </xf>
    <xf numFmtId="0" fontId="104" fillId="0" borderId="0" xfId="0" applyFont="1"/>
    <xf numFmtId="0" fontId="76" fillId="0" borderId="0" xfId="0" applyFont="1" applyAlignment="1">
      <alignment horizontal="center" wrapText="1"/>
    </xf>
    <xf numFmtId="0" fontId="76" fillId="0" borderId="0" xfId="0" applyFont="1" applyAlignment="1">
      <alignment horizontal="left"/>
    </xf>
    <xf numFmtId="0" fontId="76" fillId="10" borderId="97" xfId="0" applyFont="1" applyFill="1" applyBorder="1" applyAlignment="1">
      <alignment horizontal="left"/>
    </xf>
    <xf numFmtId="0" fontId="76" fillId="10" borderId="37" xfId="0" applyFont="1" applyFill="1" applyBorder="1" applyAlignment="1">
      <alignment horizontal="center" wrapText="1"/>
    </xf>
    <xf numFmtId="0" fontId="76" fillId="10" borderId="98" xfId="0" applyFont="1" applyFill="1" applyBorder="1" applyAlignment="1">
      <alignment horizontal="center" wrapText="1"/>
    </xf>
    <xf numFmtId="3" fontId="76" fillId="10" borderId="20" xfId="0" applyNumberFormat="1" applyFont="1" applyFill="1" applyBorder="1" applyAlignment="1">
      <alignment horizontal="center" wrapText="1"/>
    </xf>
    <xf numFmtId="0" fontId="76" fillId="10" borderId="97" xfId="0" applyFont="1" applyFill="1" applyBorder="1" applyAlignment="1">
      <alignment horizontal="center" wrapText="1"/>
    </xf>
    <xf numFmtId="0" fontId="67" fillId="0" borderId="101" xfId="0" applyFont="1" applyBorder="1" applyAlignment="1">
      <alignment horizontal="left"/>
    </xf>
    <xf numFmtId="3" fontId="67" fillId="18" borderId="44" xfId="0" applyNumberFormat="1" applyFont="1" applyFill="1" applyBorder="1" applyAlignment="1">
      <alignment horizontal="center"/>
    </xf>
    <xf numFmtId="3" fontId="67" fillId="18" borderId="102" xfId="0" applyNumberFormat="1" applyFont="1" applyFill="1" applyBorder="1" applyAlignment="1">
      <alignment horizontal="center"/>
    </xf>
    <xf numFmtId="0" fontId="67" fillId="0" borderId="95" xfId="0" applyFont="1" applyBorder="1" applyAlignment="1">
      <alignment horizontal="center"/>
    </xf>
    <xf numFmtId="0" fontId="67" fillId="0" borderId="101" xfId="0" applyFont="1" applyBorder="1"/>
    <xf numFmtId="0" fontId="67" fillId="0" borderId="102" xfId="0" applyFont="1" applyBorder="1"/>
    <xf numFmtId="4" fontId="67" fillId="0" borderId="0" xfId="0" applyNumberFormat="1" applyFont="1"/>
    <xf numFmtId="3" fontId="67" fillId="0" borderId="0" xfId="0" applyNumberFormat="1" applyFont="1" applyAlignment="1">
      <alignment horizontal="center"/>
    </xf>
    <xf numFmtId="167" fontId="67" fillId="0" borderId="0" xfId="0" applyNumberFormat="1" applyFont="1"/>
    <xf numFmtId="0" fontId="76" fillId="10" borderId="37" xfId="0" applyFont="1" applyFill="1" applyBorder="1" applyAlignment="1">
      <alignment horizontal="left"/>
    </xf>
    <xf numFmtId="3" fontId="76" fillId="10" borderId="98" xfId="0" applyNumberFormat="1" applyFont="1" applyFill="1" applyBorder="1" applyAlignment="1">
      <alignment horizontal="center" wrapText="1"/>
    </xf>
    <xf numFmtId="0" fontId="67" fillId="0" borderId="44" xfId="0" applyFont="1" applyBorder="1" applyAlignment="1">
      <alignment horizontal="left"/>
    </xf>
    <xf numFmtId="193" fontId="67" fillId="0" borderId="101" xfId="0" applyNumberFormat="1" applyFont="1" applyBorder="1" applyAlignment="1">
      <alignment horizontal="center"/>
    </xf>
    <xf numFmtId="0" fontId="67" fillId="0" borderId="102" xfId="0" applyFont="1" applyBorder="1" applyAlignment="1">
      <alignment horizontal="center"/>
    </xf>
    <xf numFmtId="167" fontId="67" fillId="0" borderId="101" xfId="0" applyNumberFormat="1" applyFont="1" applyBorder="1"/>
    <xf numFmtId="194" fontId="67" fillId="0" borderId="102" xfId="0" applyNumberFormat="1" applyFont="1" applyBorder="1"/>
    <xf numFmtId="0" fontId="67" fillId="0" borderId="0" xfId="0" applyFont="1" applyAlignment="1">
      <alignment horizontal="left"/>
    </xf>
    <xf numFmtId="3" fontId="76" fillId="0" borderId="0" xfId="0" applyNumberFormat="1" applyFont="1" applyAlignment="1">
      <alignment horizontal="center" wrapText="1"/>
    </xf>
    <xf numFmtId="193" fontId="67" fillId="0" borderId="0" xfId="0" applyNumberFormat="1" applyFont="1"/>
    <xf numFmtId="0" fontId="67" fillId="0" borderId="99" xfId="0" applyFont="1" applyBorder="1" applyAlignment="1">
      <alignment horizontal="left"/>
    </xf>
    <xf numFmtId="0" fontId="67" fillId="0" borderId="6" xfId="0" applyFont="1" applyBorder="1" applyAlignment="1">
      <alignment horizontal="left"/>
    </xf>
    <xf numFmtId="3" fontId="67" fillId="18" borderId="100" xfId="0" applyNumberFormat="1" applyFont="1" applyFill="1" applyBorder="1" applyAlignment="1">
      <alignment horizontal="center"/>
    </xf>
    <xf numFmtId="193" fontId="67" fillId="0" borderId="99" xfId="0" applyNumberFormat="1" applyFont="1" applyBorder="1" applyAlignment="1">
      <alignment horizontal="center"/>
    </xf>
    <xf numFmtId="0" fontId="67" fillId="0" borderId="100" xfId="0" applyFont="1" applyBorder="1" applyAlignment="1">
      <alignment horizontal="center"/>
    </xf>
    <xf numFmtId="167" fontId="67" fillId="0" borderId="99" xfId="0" applyNumberFormat="1" applyFont="1" applyBorder="1"/>
    <xf numFmtId="194" fontId="67" fillId="0" borderId="100" xfId="0" applyNumberFormat="1" applyFont="1" applyBorder="1"/>
    <xf numFmtId="0" fontId="76" fillId="10" borderId="37" xfId="0" applyFont="1" applyFill="1" applyBorder="1" applyAlignment="1">
      <alignment horizontal="center" vertical="center" wrapText="1"/>
    </xf>
    <xf numFmtId="0" fontId="76" fillId="0" borderId="0" xfId="0" applyFont="1" applyAlignment="1">
      <alignment horizontal="center" vertical="center" wrapText="1"/>
    </xf>
    <xf numFmtId="0" fontId="67" fillId="0" borderId="0" xfId="0" applyFont="1" applyAlignment="1">
      <alignment vertical="center"/>
    </xf>
    <xf numFmtId="0" fontId="67" fillId="0" borderId="99" xfId="0" applyFont="1" applyBorder="1" applyAlignment="1">
      <alignment horizontal="left" vertical="center" wrapText="1"/>
    </xf>
    <xf numFmtId="0" fontId="67" fillId="10" borderId="6" xfId="0" applyFont="1" applyFill="1" applyBorder="1"/>
    <xf numFmtId="179" fontId="67" fillId="0" borderId="100" xfId="0" applyNumberFormat="1" applyFont="1" applyBorder="1"/>
    <xf numFmtId="0" fontId="67" fillId="0" borderId="101" xfId="0" applyFont="1" applyBorder="1" applyAlignment="1">
      <alignment horizontal="left" vertical="center" wrapText="1"/>
    </xf>
    <xf numFmtId="0" fontId="67" fillId="10" borderId="44" xfId="0" applyFont="1" applyFill="1" applyBorder="1"/>
    <xf numFmtId="179" fontId="67" fillId="0" borderId="102" xfId="0" applyNumberFormat="1" applyFont="1" applyBorder="1"/>
    <xf numFmtId="0" fontId="67" fillId="0" borderId="155" xfId="0" applyFont="1" applyBorder="1" applyAlignment="1">
      <alignment horizontal="left" vertical="top" wrapText="1"/>
    </xf>
    <xf numFmtId="168" fontId="67" fillId="18" borderId="156" xfId="0" applyNumberFormat="1" applyFont="1" applyFill="1" applyBorder="1" applyAlignment="1">
      <alignment horizontal="center"/>
    </xf>
    <xf numFmtId="0" fontId="65" fillId="10" borderId="157" xfId="0" applyFont="1" applyFill="1" applyBorder="1"/>
    <xf numFmtId="167" fontId="67" fillId="0" borderId="13" xfId="0" applyNumberFormat="1" applyFont="1" applyBorder="1"/>
    <xf numFmtId="194" fontId="67" fillId="0" borderId="158" xfId="0" applyNumberFormat="1" applyFont="1" applyBorder="1"/>
    <xf numFmtId="2" fontId="67" fillId="0" borderId="152" xfId="0" applyNumberFormat="1" applyFont="1" applyBorder="1"/>
    <xf numFmtId="1" fontId="76" fillId="10" borderId="72" xfId="0" applyNumberFormat="1" applyFont="1" applyFill="1" applyBorder="1"/>
    <xf numFmtId="1" fontId="76" fillId="10" borderId="114" xfId="0" applyNumberFormat="1" applyFont="1" applyFill="1" applyBorder="1"/>
    <xf numFmtId="0" fontId="67" fillId="2" borderId="200" xfId="0" applyFont="1" applyFill="1" applyBorder="1" applyAlignment="1">
      <alignment horizontal="left"/>
    </xf>
    <xf numFmtId="3" fontId="67" fillId="2" borderId="200" xfId="0" applyNumberFormat="1" applyFont="1" applyFill="1" applyBorder="1" applyAlignment="1">
      <alignment horizontal="right"/>
    </xf>
    <xf numFmtId="0" fontId="67" fillId="0" borderId="0" xfId="0" applyFont="1" applyAlignment="1">
      <alignment vertical="top"/>
    </xf>
    <xf numFmtId="0" fontId="76" fillId="5" borderId="6" xfId="0" applyFont="1" applyFill="1" applyBorder="1" applyAlignment="1">
      <alignment wrapText="1"/>
    </xf>
    <xf numFmtId="0" fontId="74" fillId="3" borderId="1" xfId="0" applyFont="1" applyFill="1" applyBorder="1" applyAlignment="1">
      <alignment vertical="top"/>
    </xf>
    <xf numFmtId="0" fontId="65" fillId="3" borderId="4" xfId="0" applyFont="1" applyFill="1" applyBorder="1"/>
    <xf numFmtId="0" fontId="65" fillId="3" borderId="2" xfId="0" applyFont="1" applyFill="1" applyBorder="1"/>
    <xf numFmtId="3" fontId="67" fillId="0" borderId="6" xfId="0" applyNumberFormat="1" applyFont="1" applyBorder="1"/>
    <xf numFmtId="0" fontId="99" fillId="0" borderId="0" xfId="0" applyFont="1" applyAlignment="1">
      <alignment horizontal="center" vertical="top"/>
    </xf>
    <xf numFmtId="0" fontId="74" fillId="0" borderId="0" xfId="0" applyFont="1" applyAlignment="1">
      <alignment vertical="top"/>
    </xf>
    <xf numFmtId="0" fontId="99" fillId="0" borderId="0" xfId="0" applyFont="1" applyAlignment="1">
      <alignment horizontal="center" vertical="top" wrapText="1"/>
    </xf>
    <xf numFmtId="0" fontId="74" fillId="4" borderId="0" xfId="0" applyFont="1" applyFill="1" applyAlignment="1">
      <alignment vertical="center"/>
    </xf>
    <xf numFmtId="0" fontId="105" fillId="0" borderId="0" xfId="0" applyFont="1" applyAlignment="1">
      <alignment horizontal="center"/>
    </xf>
    <xf numFmtId="2" fontId="105" fillId="0" borderId="0" xfId="0" applyNumberFormat="1" applyFont="1" applyAlignment="1">
      <alignment horizontal="center"/>
    </xf>
    <xf numFmtId="0" fontId="74" fillId="0" borderId="0" xfId="0" applyFont="1" applyAlignment="1">
      <alignment horizontal="center"/>
    </xf>
    <xf numFmtId="0" fontId="74" fillId="0" borderId="6" xfId="0" applyFont="1" applyBorder="1" applyAlignment="1">
      <alignment vertical="top"/>
    </xf>
    <xf numFmtId="11" fontId="105" fillId="0" borderId="0" xfId="0" applyNumberFormat="1" applyFont="1" applyAlignment="1">
      <alignment horizontal="center"/>
    </xf>
    <xf numFmtId="0" fontId="76" fillId="5" borderId="6" xfId="0" applyFont="1" applyFill="1" applyBorder="1"/>
    <xf numFmtId="0" fontId="65" fillId="5" borderId="6" xfId="0" applyFont="1" applyFill="1" applyBorder="1"/>
    <xf numFmtId="3" fontId="67" fillId="5" borderId="6" xfId="0" applyNumberFormat="1" applyFont="1" applyFill="1" applyBorder="1"/>
    <xf numFmtId="11" fontId="106" fillId="0" borderId="0" xfId="0" applyNumberFormat="1" applyFont="1" applyAlignment="1">
      <alignment horizontal="center"/>
    </xf>
    <xf numFmtId="4" fontId="106" fillId="0" borderId="0" xfId="0" applyNumberFormat="1" applyFont="1" applyAlignment="1">
      <alignment horizontal="center"/>
    </xf>
    <xf numFmtId="0" fontId="74" fillId="10" borderId="0" xfId="0" applyFont="1" applyFill="1" applyAlignment="1">
      <alignment vertical="center"/>
    </xf>
    <xf numFmtId="0" fontId="65" fillId="10" borderId="0" xfId="0" applyFont="1" applyFill="1"/>
    <xf numFmtId="0" fontId="106" fillId="0" borderId="0" xfId="0" applyFont="1" applyAlignment="1">
      <alignment horizontal="center"/>
    </xf>
    <xf numFmtId="0" fontId="74" fillId="10" borderId="1" xfId="0" applyFont="1" applyFill="1" applyBorder="1" applyAlignment="1">
      <alignment vertical="top"/>
    </xf>
    <xf numFmtId="0" fontId="65" fillId="10" borderId="4" xfId="0" applyFont="1" applyFill="1" applyBorder="1"/>
    <xf numFmtId="0" fontId="65" fillId="10" borderId="2" xfId="0" applyFont="1" applyFill="1" applyBorder="1"/>
    <xf numFmtId="0" fontId="99" fillId="0" borderId="0" xfId="0" applyFont="1" applyAlignment="1">
      <alignment horizontal="left"/>
    </xf>
    <xf numFmtId="3" fontId="99" fillId="0" borderId="0" xfId="0" applyNumberFormat="1" applyFont="1" applyAlignment="1">
      <alignment horizontal="center"/>
    </xf>
    <xf numFmtId="4" fontId="99" fillId="0" borderId="0" xfId="0" applyNumberFormat="1" applyFont="1" applyAlignment="1">
      <alignment horizontal="center"/>
    </xf>
    <xf numFmtId="0" fontId="99" fillId="0" borderId="0" xfId="0" applyFont="1" applyAlignment="1">
      <alignment horizontal="center"/>
    </xf>
    <xf numFmtId="0" fontId="99" fillId="0" borderId="0" xfId="0" applyFont="1"/>
    <xf numFmtId="0" fontId="74" fillId="0" borderId="0" xfId="0" applyFont="1" applyAlignment="1">
      <alignment horizontal="center" vertical="top"/>
    </xf>
    <xf numFmtId="3" fontId="100" fillId="0" borderId="0" xfId="0" applyNumberFormat="1" applyFont="1" applyAlignment="1">
      <alignment horizontal="center" wrapText="1"/>
    </xf>
    <xf numFmtId="0" fontId="67" fillId="0" borderId="0" xfId="0" applyFont="1" applyAlignment="1">
      <alignment horizontal="center" vertical="top" wrapText="1"/>
    </xf>
    <xf numFmtId="3" fontId="67" fillId="0" borderId="0" xfId="0" applyNumberFormat="1" applyFont="1" applyAlignment="1">
      <alignment horizontal="center" wrapText="1"/>
    </xf>
    <xf numFmtId="4" fontId="67" fillId="0" borderId="0" xfId="0" applyNumberFormat="1" applyFont="1" applyAlignment="1">
      <alignment horizontal="center" wrapText="1"/>
    </xf>
    <xf numFmtId="0" fontId="67" fillId="0" borderId="0" xfId="0" applyFont="1" applyAlignment="1">
      <alignment horizontal="center" wrapText="1"/>
    </xf>
    <xf numFmtId="169" fontId="100" fillId="0" borderId="0" xfId="0" applyNumberFormat="1" applyFont="1" applyAlignment="1">
      <alignment horizontal="center" wrapText="1"/>
    </xf>
    <xf numFmtId="3" fontId="74" fillId="0" borderId="0" xfId="0" applyNumberFormat="1" applyFont="1" applyAlignment="1">
      <alignment horizontal="center"/>
    </xf>
    <xf numFmtId="4" fontId="74" fillId="0" borderId="0" xfId="0" applyNumberFormat="1" applyFont="1" applyAlignment="1">
      <alignment horizontal="center"/>
    </xf>
    <xf numFmtId="3" fontId="76" fillId="0" borderId="0" xfId="0" applyNumberFormat="1" applyFont="1" applyAlignment="1">
      <alignment horizontal="center"/>
    </xf>
    <xf numFmtId="4" fontId="76" fillId="0" borderId="0" xfId="0" applyNumberFormat="1" applyFont="1" applyAlignment="1">
      <alignment horizontal="center"/>
    </xf>
    <xf numFmtId="0" fontId="100" fillId="0" borderId="0" xfId="0" applyFont="1" applyAlignment="1">
      <alignment horizontal="left"/>
    </xf>
    <xf numFmtId="2" fontId="99" fillId="0" borderId="0" xfId="0" applyNumberFormat="1" applyFont="1" applyAlignment="1">
      <alignment horizontal="center"/>
    </xf>
    <xf numFmtId="3" fontId="99" fillId="0" borderId="0" xfId="0" applyNumberFormat="1" applyFont="1"/>
    <xf numFmtId="4" fontId="99" fillId="0" borderId="0" xfId="0" applyNumberFormat="1" applyFont="1"/>
    <xf numFmtId="164" fontId="99" fillId="0" borderId="0" xfId="0" applyNumberFormat="1" applyFont="1"/>
    <xf numFmtId="3" fontId="74" fillId="0" borderId="0" xfId="0" applyNumberFormat="1" applyFont="1"/>
    <xf numFmtId="43" fontId="74" fillId="0" borderId="0" xfId="0" applyNumberFormat="1" applyFont="1"/>
    <xf numFmtId="0" fontId="65" fillId="0" borderId="97" xfId="0" applyFont="1" applyBorder="1"/>
    <xf numFmtId="0" fontId="65" fillId="0" borderId="37" xfId="0" applyFont="1" applyBorder="1"/>
    <xf numFmtId="0" fontId="76" fillId="0" borderId="37" xfId="0" applyFont="1" applyBorder="1"/>
    <xf numFmtId="0" fontId="76" fillId="0" borderId="98" xfId="0" applyFont="1" applyBorder="1"/>
    <xf numFmtId="0" fontId="65" fillId="0" borderId="159" xfId="0" applyFont="1" applyBorder="1"/>
    <xf numFmtId="0" fontId="65" fillId="0" borderId="7" xfId="0" applyFont="1" applyBorder="1"/>
    <xf numFmtId="0" fontId="65" fillId="0" borderId="160" xfId="0" applyFont="1" applyBorder="1"/>
    <xf numFmtId="2" fontId="65" fillId="0" borderId="6" xfId="0" applyNumberFormat="1" applyFont="1" applyBorder="1" applyAlignment="1">
      <alignment horizontal="center"/>
    </xf>
    <xf numFmtId="0" fontId="65" fillId="0" borderId="100" xfId="0" applyFont="1" applyBorder="1" applyAlignment="1">
      <alignment horizontal="center"/>
    </xf>
    <xf numFmtId="0" fontId="76" fillId="10" borderId="99" xfId="0" applyFont="1" applyFill="1" applyBorder="1"/>
    <xf numFmtId="0" fontId="65" fillId="10" borderId="6" xfId="0" applyFont="1" applyFill="1" applyBorder="1"/>
    <xf numFmtId="2" fontId="65" fillId="10" borderId="6" xfId="0" applyNumberFormat="1" applyFont="1" applyFill="1" applyBorder="1" applyAlignment="1">
      <alignment horizontal="center"/>
    </xf>
    <xf numFmtId="0" fontId="65" fillId="10" borderId="100" xfId="0" applyFont="1" applyFill="1" applyBorder="1" applyAlignment="1">
      <alignment horizontal="center"/>
    </xf>
    <xf numFmtId="0" fontId="76" fillId="0" borderId="101" xfId="0" applyFont="1" applyBorder="1"/>
    <xf numFmtId="0" fontId="65" fillId="0" borderId="44" xfId="0" applyFont="1" applyBorder="1"/>
    <xf numFmtId="2" fontId="65" fillId="0" borderId="7" xfId="0" applyNumberFormat="1" applyFont="1" applyBorder="1" applyAlignment="1">
      <alignment horizontal="center"/>
    </xf>
    <xf numFmtId="0" fontId="65" fillId="0" borderId="160" xfId="0" applyFont="1" applyBorder="1" applyAlignment="1">
      <alignment horizontal="center"/>
    </xf>
    <xf numFmtId="0" fontId="76" fillId="0" borderId="161" xfId="0" applyFont="1" applyBorder="1"/>
    <xf numFmtId="2" fontId="65" fillId="0" borderId="162" xfId="0" applyNumberFormat="1" applyFont="1" applyBorder="1" applyAlignment="1">
      <alignment horizontal="center"/>
    </xf>
    <xf numFmtId="0" fontId="65" fillId="0" borderId="16" xfId="0" applyFont="1" applyBorder="1" applyAlignment="1">
      <alignment horizontal="center"/>
    </xf>
    <xf numFmtId="0" fontId="68" fillId="10" borderId="99" xfId="0" applyFont="1" applyFill="1" applyBorder="1"/>
    <xf numFmtId="2" fontId="65" fillId="10" borderId="163" xfId="0" applyNumberFormat="1" applyFont="1" applyFill="1" applyBorder="1" applyAlignment="1">
      <alignment horizontal="center"/>
    </xf>
    <xf numFmtId="0" fontId="65" fillId="10" borderId="21" xfId="0" applyFont="1" applyFill="1" applyBorder="1" applyAlignment="1">
      <alignment horizontal="center"/>
    </xf>
    <xf numFmtId="2" fontId="65" fillId="0" borderId="134" xfId="0" applyNumberFormat="1" applyFont="1" applyBorder="1" applyAlignment="1">
      <alignment horizontal="center"/>
    </xf>
    <xf numFmtId="0" fontId="65" fillId="0" borderId="129" xfId="0" applyFont="1" applyBorder="1" applyAlignment="1">
      <alignment horizontal="center"/>
    </xf>
    <xf numFmtId="0" fontId="76" fillId="10" borderId="155" xfId="0" applyFont="1" applyFill="1" applyBorder="1"/>
    <xf numFmtId="0" fontId="65" fillId="10" borderId="156" xfId="0" applyFont="1" applyFill="1" applyBorder="1"/>
    <xf numFmtId="2" fontId="65" fillId="10" borderId="164" xfId="0" applyNumberFormat="1" applyFont="1" applyFill="1" applyBorder="1" applyAlignment="1">
      <alignment horizontal="center"/>
    </xf>
    <xf numFmtId="0" fontId="65" fillId="10" borderId="165" xfId="0" applyFont="1" applyFill="1" applyBorder="1" applyAlignment="1">
      <alignment horizontal="center"/>
    </xf>
    <xf numFmtId="0" fontId="65" fillId="0" borderId="68" xfId="0" applyFont="1" applyBorder="1"/>
    <xf numFmtId="0" fontId="65" fillId="0" borderId="166" xfId="0" applyFont="1" applyBorder="1" applyAlignment="1">
      <alignment horizontal="center"/>
    </xf>
    <xf numFmtId="0" fontId="65" fillId="10" borderId="166" xfId="0" applyFont="1" applyFill="1" applyBorder="1" applyAlignment="1">
      <alignment horizontal="center"/>
    </xf>
    <xf numFmtId="0" fontId="65" fillId="19" borderId="167" xfId="0" applyFont="1" applyFill="1" applyBorder="1"/>
    <xf numFmtId="0" fontId="65" fillId="19" borderId="168" xfId="0" applyFont="1" applyFill="1" applyBorder="1"/>
    <xf numFmtId="2" fontId="65" fillId="19" borderId="169" xfId="0" applyNumberFormat="1" applyFont="1" applyFill="1" applyBorder="1" applyAlignment="1">
      <alignment horizontal="center"/>
    </xf>
    <xf numFmtId="0" fontId="65" fillId="19" borderId="170" xfId="0" applyFont="1" applyFill="1" applyBorder="1" applyAlignment="1">
      <alignment horizontal="center"/>
    </xf>
    <xf numFmtId="0" fontId="76" fillId="19" borderId="99" xfId="0" applyFont="1" applyFill="1" applyBorder="1"/>
    <xf numFmtId="0" fontId="65" fillId="19" borderId="6" xfId="0" applyFont="1" applyFill="1" applyBorder="1"/>
    <xf numFmtId="2" fontId="65" fillId="19" borderId="171" xfId="0" applyNumberFormat="1" applyFont="1" applyFill="1" applyBorder="1" applyAlignment="1">
      <alignment horizontal="center"/>
    </xf>
    <xf numFmtId="0" fontId="65" fillId="19" borderId="21" xfId="0" applyFont="1" applyFill="1" applyBorder="1" applyAlignment="1">
      <alignment horizontal="center"/>
    </xf>
    <xf numFmtId="0" fontId="65" fillId="19" borderId="172" xfId="0" applyFont="1" applyFill="1" applyBorder="1"/>
    <xf numFmtId="0" fontId="65" fillId="19" borderId="173" xfId="0" applyFont="1" applyFill="1" applyBorder="1"/>
    <xf numFmtId="2" fontId="65" fillId="19" borderId="174" xfId="0" applyNumberFormat="1" applyFont="1" applyFill="1" applyBorder="1" applyAlignment="1">
      <alignment horizontal="center"/>
    </xf>
    <xf numFmtId="0" fontId="65" fillId="19" borderId="96" xfId="0" applyFont="1" applyFill="1" applyBorder="1" applyAlignment="1">
      <alignment horizontal="center"/>
    </xf>
    <xf numFmtId="0" fontId="65" fillId="0" borderId="133" xfId="0" applyFont="1" applyBorder="1"/>
    <xf numFmtId="0" fontId="65" fillId="0" borderId="115" xfId="0" applyFont="1" applyBorder="1"/>
    <xf numFmtId="0" fontId="65" fillId="0" borderId="121" xfId="0" applyFont="1" applyBorder="1"/>
    <xf numFmtId="0" fontId="65" fillId="0" borderId="175" xfId="0" applyFont="1" applyBorder="1"/>
    <xf numFmtId="0" fontId="67" fillId="0" borderId="53" xfId="0" applyFont="1" applyBorder="1"/>
    <xf numFmtId="0" fontId="67" fillId="10" borderId="177" xfId="0" applyFont="1" applyFill="1" applyBorder="1"/>
    <xf numFmtId="0" fontId="67" fillId="10" borderId="178" xfId="0" applyFont="1" applyFill="1" applyBorder="1"/>
    <xf numFmtId="0" fontId="67" fillId="0" borderId="33" xfId="0" applyFont="1" applyBorder="1"/>
    <xf numFmtId="0" fontId="76" fillId="0" borderId="5" xfId="0" applyFont="1" applyBorder="1" applyAlignment="1">
      <alignment horizontal="center" vertical="center" wrapText="1"/>
    </xf>
    <xf numFmtId="0" fontId="76" fillId="0" borderId="5" xfId="0" applyFont="1" applyBorder="1" applyAlignment="1">
      <alignment horizontal="center" wrapText="1"/>
    </xf>
    <xf numFmtId="0" fontId="67" fillId="0" borderId="42" xfId="0" applyFont="1" applyBorder="1"/>
    <xf numFmtId="0" fontId="67" fillId="0" borderId="92" xfId="0" applyFont="1" applyBorder="1"/>
    <xf numFmtId="0" fontId="67" fillId="0" borderId="0" xfId="0" quotePrefix="1" applyFont="1" applyAlignment="1">
      <alignment horizontal="center"/>
    </xf>
    <xf numFmtId="164" fontId="67" fillId="0" borderId="42" xfId="0" applyNumberFormat="1" applyFont="1" applyBorder="1"/>
    <xf numFmtId="167" fontId="67" fillId="0" borderId="6" xfId="0" applyNumberFormat="1" applyFont="1" applyBorder="1" applyAlignment="1">
      <alignment horizontal="right"/>
    </xf>
    <xf numFmtId="167" fontId="67" fillId="0" borderId="7" xfId="0" applyNumberFormat="1" applyFont="1" applyBorder="1"/>
    <xf numFmtId="0" fontId="76" fillId="5" borderId="1" xfId="0" applyFont="1" applyFill="1" applyBorder="1" applyAlignment="1">
      <alignment horizontal="right"/>
    </xf>
    <xf numFmtId="0" fontId="67" fillId="5" borderId="2" xfId="0" applyFont="1" applyFill="1" applyBorder="1"/>
    <xf numFmtId="0" fontId="67" fillId="0" borderId="51" xfId="0" applyFont="1" applyBorder="1"/>
    <xf numFmtId="0" fontId="67" fillId="0" borderId="54" xfId="0" applyFont="1" applyBorder="1"/>
    <xf numFmtId="0" fontId="76" fillId="0" borderId="130" xfId="0" applyFont="1" applyBorder="1" applyAlignment="1">
      <alignment horizontal="center" wrapText="1"/>
    </xf>
    <xf numFmtId="0" fontId="67" fillId="0" borderId="92" xfId="0" applyFont="1" applyBorder="1" applyAlignment="1">
      <alignment horizontal="left"/>
    </xf>
    <xf numFmtId="193" fontId="67" fillId="0" borderId="6" xfId="0" applyNumberFormat="1" applyFont="1" applyBorder="1"/>
    <xf numFmtId="167" fontId="67" fillId="0" borderId="100" xfId="0" applyNumberFormat="1" applyFont="1" applyBorder="1"/>
    <xf numFmtId="43" fontId="67" fillId="0" borderId="6" xfId="0" applyNumberFormat="1" applyFont="1" applyBorder="1"/>
    <xf numFmtId="0" fontId="76" fillId="0" borderId="0" xfId="0" applyFont="1" applyAlignment="1">
      <alignment horizontal="right"/>
    </xf>
    <xf numFmtId="0" fontId="76" fillId="0" borderId="0" xfId="0" applyFont="1" applyAlignment="1">
      <alignment horizontal="center" vertical="center"/>
    </xf>
    <xf numFmtId="0" fontId="76" fillId="0" borderId="130" xfId="0" applyFont="1" applyBorder="1" applyAlignment="1">
      <alignment horizontal="center" vertical="center" wrapText="1"/>
    </xf>
    <xf numFmtId="0" fontId="67" fillId="0" borderId="161" xfId="0" applyFont="1" applyBorder="1" applyAlignment="1">
      <alignment horizontal="center"/>
    </xf>
    <xf numFmtId="174" fontId="67" fillId="0" borderId="2" xfId="0" applyNumberFormat="1" applyFont="1" applyBorder="1" applyAlignment="1">
      <alignment horizontal="right"/>
    </xf>
    <xf numFmtId="195" fontId="67" fillId="0" borderId="6" xfId="0" applyNumberFormat="1" applyFont="1" applyBorder="1"/>
    <xf numFmtId="0" fontId="100" fillId="0" borderId="0" xfId="0" applyFont="1" applyAlignment="1">
      <alignment wrapText="1"/>
    </xf>
    <xf numFmtId="0" fontId="76" fillId="0" borderId="203" xfId="0" applyFont="1" applyBorder="1" applyAlignment="1">
      <alignment horizontal="center" vertical="center" wrapText="1"/>
    </xf>
    <xf numFmtId="167" fontId="67" fillId="0" borderId="130" xfId="0" applyNumberFormat="1" applyFont="1" applyBorder="1"/>
    <xf numFmtId="167" fontId="67" fillId="0" borderId="0" xfId="0" applyNumberFormat="1" applyFont="1" applyAlignment="1">
      <alignment horizontal="right"/>
    </xf>
    <xf numFmtId="37" fontId="67" fillId="0" borderId="0" xfId="0" applyNumberFormat="1" applyFont="1" applyAlignment="1">
      <alignment horizontal="right"/>
    </xf>
    <xf numFmtId="0" fontId="67" fillId="0" borderId="0" xfId="0" applyFont="1" applyAlignment="1">
      <alignment horizontal="left" wrapText="1"/>
    </xf>
    <xf numFmtId="0" fontId="76" fillId="10" borderId="176" xfId="0" applyFont="1" applyFill="1" applyBorder="1"/>
    <xf numFmtId="164" fontId="76" fillId="5" borderId="2" xfId="0" applyNumberFormat="1" applyFont="1" applyFill="1" applyBorder="1"/>
    <xf numFmtId="194" fontId="76" fillId="5" borderId="100" xfId="0" applyNumberFormat="1" applyFont="1" applyFill="1" applyBorder="1"/>
    <xf numFmtId="194" fontId="76" fillId="0" borderId="100" xfId="0" applyNumberFormat="1" applyFont="1" applyBorder="1"/>
    <xf numFmtId="0" fontId="110" fillId="20" borderId="9" xfId="0" applyFont="1" applyFill="1" applyBorder="1"/>
    <xf numFmtId="169" fontId="67" fillId="14" borderId="6" xfId="0" applyNumberFormat="1" applyFont="1" applyFill="1" applyBorder="1" applyAlignment="1">
      <alignment horizontal="center"/>
    </xf>
    <xf numFmtId="169" fontId="67" fillId="22" borderId="6" xfId="0" applyNumberFormat="1" applyFont="1" applyFill="1" applyBorder="1" applyAlignment="1">
      <alignment horizontal="center"/>
    </xf>
    <xf numFmtId="3" fontId="67" fillId="23" borderId="6" xfId="0" applyNumberFormat="1" applyFont="1" applyFill="1" applyBorder="1" applyAlignment="1">
      <alignment horizontal="center"/>
    </xf>
    <xf numFmtId="0" fontId="111" fillId="4" borderId="19" xfId="0" applyFont="1" applyFill="1" applyBorder="1"/>
    <xf numFmtId="0" fontId="65" fillId="4" borderId="125" xfId="0" applyFont="1" applyFill="1" applyBorder="1"/>
    <xf numFmtId="0" fontId="65" fillId="4" borderId="20" xfId="0" applyFont="1" applyFill="1" applyBorder="1"/>
    <xf numFmtId="0" fontId="65" fillId="0" borderId="127" xfId="0" applyFont="1" applyBorder="1"/>
    <xf numFmtId="0" fontId="68" fillId="10" borderId="5" xfId="0" applyFont="1" applyFill="1" applyBorder="1" applyAlignment="1">
      <alignment horizontal="center" vertical="center" wrapText="1"/>
    </xf>
    <xf numFmtId="0" fontId="68" fillId="10" borderId="5" xfId="0" applyFont="1" applyFill="1" applyBorder="1" applyAlignment="1">
      <alignment vertical="center"/>
    </xf>
    <xf numFmtId="0" fontId="68" fillId="10" borderId="130" xfId="0" applyFont="1" applyFill="1" applyBorder="1" applyAlignment="1">
      <alignment horizontal="center" vertical="center" wrapText="1"/>
    </xf>
    <xf numFmtId="0" fontId="68" fillId="0" borderId="99" xfId="0" applyFont="1" applyBorder="1"/>
    <xf numFmtId="0" fontId="65" fillId="0" borderId="6" xfId="0" applyFont="1" applyBorder="1" applyAlignment="1">
      <alignment horizontal="center"/>
    </xf>
    <xf numFmtId="0" fontId="65" fillId="0" borderId="6" xfId="0" applyFont="1" applyBorder="1"/>
    <xf numFmtId="0" fontId="65" fillId="0" borderId="100" xfId="0" applyFont="1" applyBorder="1"/>
    <xf numFmtId="0" fontId="65" fillId="0" borderId="99" xfId="0" applyFont="1" applyBorder="1" applyAlignment="1">
      <alignment horizontal="left"/>
    </xf>
    <xf numFmtId="169" fontId="65" fillId="14" borderId="6" xfId="0" applyNumberFormat="1" applyFont="1" applyFill="1" applyBorder="1" applyAlignment="1">
      <alignment horizontal="center"/>
    </xf>
    <xf numFmtId="193" fontId="65" fillId="0" borderId="6" xfId="0" applyNumberFormat="1" applyFont="1" applyBorder="1" applyAlignment="1">
      <alignment horizontal="center"/>
    </xf>
    <xf numFmtId="168" fontId="65" fillId="0" borderId="100" xfId="0" applyNumberFormat="1" applyFont="1" applyBorder="1"/>
    <xf numFmtId="3" fontId="65" fillId="0" borderId="6" xfId="0" applyNumberFormat="1" applyFont="1" applyBorder="1" applyAlignment="1">
      <alignment horizontal="center"/>
    </xf>
    <xf numFmtId="169" fontId="65" fillId="0" borderId="6" xfId="0" applyNumberFormat="1" applyFont="1" applyBorder="1" applyAlignment="1">
      <alignment horizontal="center"/>
    </xf>
    <xf numFmtId="0" fontId="68" fillId="10" borderId="101" xfId="0" applyFont="1" applyFill="1" applyBorder="1"/>
    <xf numFmtId="0" fontId="65" fillId="10" borderId="44" xfId="0" applyFont="1" applyFill="1" applyBorder="1" applyAlignment="1">
      <alignment horizontal="center"/>
    </xf>
    <xf numFmtId="167" fontId="68" fillId="10" borderId="44" xfId="0" applyNumberFormat="1" applyFont="1" applyFill="1" applyBorder="1"/>
    <xf numFmtId="0" fontId="68" fillId="10" borderId="44" xfId="0" applyFont="1" applyFill="1" applyBorder="1" applyAlignment="1">
      <alignment horizontal="center"/>
    </xf>
    <xf numFmtId="0" fontId="65" fillId="10" borderId="44" xfId="0" applyFont="1" applyFill="1" applyBorder="1"/>
    <xf numFmtId="168" fontId="68" fillId="10" borderId="102" xfId="0" applyNumberFormat="1" applyFont="1" applyFill="1" applyBorder="1"/>
    <xf numFmtId="0" fontId="70" fillId="0" borderId="0" xfId="0" applyFont="1"/>
    <xf numFmtId="167" fontId="70" fillId="0" borderId="0" xfId="0" applyNumberFormat="1" applyFont="1"/>
    <xf numFmtId="0" fontId="111" fillId="4" borderId="125" xfId="0" applyFont="1" applyFill="1" applyBorder="1"/>
    <xf numFmtId="0" fontId="111" fillId="4" borderId="20" xfId="0" applyFont="1" applyFill="1" applyBorder="1"/>
    <xf numFmtId="0" fontId="68" fillId="10" borderId="115" xfId="0" applyFont="1" applyFill="1" applyBorder="1" applyAlignment="1">
      <alignment horizontal="center" wrapText="1"/>
    </xf>
    <xf numFmtId="0" fontId="68" fillId="10" borderId="115" xfId="0" applyFont="1" applyFill="1" applyBorder="1" applyAlignment="1">
      <alignment horizontal="center"/>
    </xf>
    <xf numFmtId="0" fontId="68" fillId="0" borderId="127" xfId="0" applyFont="1" applyBorder="1"/>
    <xf numFmtId="0" fontId="68" fillId="0" borderId="55" xfId="0" applyFont="1" applyBorder="1" applyAlignment="1">
      <alignment horizontal="center" vertical="center" wrapText="1"/>
    </xf>
    <xf numFmtId="0" fontId="65" fillId="0" borderId="125" xfId="0" applyFont="1" applyBorder="1" applyAlignment="1">
      <alignment vertical="center"/>
    </xf>
    <xf numFmtId="0" fontId="65" fillId="0" borderId="29" xfId="0" applyFont="1" applyBorder="1" applyAlignment="1">
      <alignment horizontal="center" vertical="center"/>
    </xf>
    <xf numFmtId="0" fontId="68" fillId="0" borderId="125" xfId="0" applyFont="1" applyBorder="1" applyAlignment="1">
      <alignment horizontal="center" vertical="center" wrapText="1"/>
    </xf>
    <xf numFmtId="0" fontId="65" fillId="0" borderId="125" xfId="0" applyFont="1" applyBorder="1" applyAlignment="1">
      <alignment horizontal="center"/>
    </xf>
    <xf numFmtId="168" fontId="112" fillId="0" borderId="125" xfId="0" applyNumberFormat="1" applyFont="1" applyBorder="1" applyAlignment="1">
      <alignment horizontal="center" vertical="center" wrapText="1"/>
    </xf>
    <xf numFmtId="0" fontId="65" fillId="0" borderId="125" xfId="0" applyFont="1" applyBorder="1" applyAlignment="1">
      <alignment horizontal="center" vertical="center" wrapText="1"/>
    </xf>
    <xf numFmtId="0" fontId="68" fillId="0" borderId="20" xfId="0" applyFont="1" applyBorder="1" applyAlignment="1">
      <alignment horizontal="center" vertical="center" wrapText="1"/>
    </xf>
    <xf numFmtId="0" fontId="65" fillId="0" borderId="1" xfId="0" applyFont="1" applyBorder="1" applyAlignment="1">
      <alignment horizontal="center"/>
    </xf>
    <xf numFmtId="0" fontId="65" fillId="0" borderId="4" xfId="0" applyFont="1" applyBorder="1" applyAlignment="1">
      <alignment horizontal="center"/>
    </xf>
    <xf numFmtId="0" fontId="65" fillId="0" borderId="2" xfId="0" applyFont="1" applyBorder="1" applyAlignment="1">
      <alignment horizontal="center"/>
    </xf>
    <xf numFmtId="167" fontId="65" fillId="0" borderId="6" xfId="0" applyNumberFormat="1" applyFont="1" applyBorder="1" applyAlignment="1">
      <alignment horizontal="center"/>
    </xf>
    <xf numFmtId="0" fontId="65" fillId="0" borderId="6" xfId="0" applyFont="1" applyBorder="1" applyAlignment="1">
      <alignment horizontal="center" vertical="center"/>
    </xf>
    <xf numFmtId="168" fontId="65" fillId="0" borderId="6" xfId="0" applyNumberFormat="1" applyFont="1" applyBorder="1" applyAlignment="1">
      <alignment horizontal="center" vertical="center"/>
    </xf>
    <xf numFmtId="168" fontId="65" fillId="0" borderId="6" xfId="0" applyNumberFormat="1" applyFont="1" applyBorder="1" applyAlignment="1">
      <alignment horizontal="center"/>
    </xf>
    <xf numFmtId="168" fontId="65" fillId="0" borderId="100" xfId="0" applyNumberFormat="1" applyFont="1" applyBorder="1" applyAlignment="1">
      <alignment horizontal="right"/>
    </xf>
    <xf numFmtId="3" fontId="65" fillId="0" borderId="171" xfId="0" applyNumberFormat="1" applyFont="1" applyBorder="1" applyAlignment="1">
      <alignment horizontal="center"/>
    </xf>
    <xf numFmtId="3" fontId="65" fillId="0" borderId="4" xfId="0" applyNumberFormat="1" applyFont="1" applyBorder="1" applyAlignment="1">
      <alignment horizontal="center"/>
    </xf>
    <xf numFmtId="169" fontId="65" fillId="0" borderId="4" xfId="0" applyNumberFormat="1" applyFont="1" applyBorder="1" applyAlignment="1">
      <alignment horizontal="center"/>
    </xf>
    <xf numFmtId="167" fontId="65" fillId="0" borderId="4" xfId="0" applyNumberFormat="1" applyFont="1" applyBorder="1" applyAlignment="1">
      <alignment horizontal="center"/>
    </xf>
    <xf numFmtId="2" fontId="65" fillId="0" borderId="4" xfId="0" applyNumberFormat="1" applyFont="1" applyBorder="1" applyAlignment="1">
      <alignment horizontal="center"/>
    </xf>
    <xf numFmtId="168" fontId="65" fillId="0" borderId="93" xfId="0" applyNumberFormat="1" applyFont="1" applyBorder="1" applyAlignment="1">
      <alignment horizontal="right"/>
    </xf>
    <xf numFmtId="37" fontId="65" fillId="0" borderId="6" xfId="0" applyNumberFormat="1" applyFont="1" applyBorder="1" applyAlignment="1">
      <alignment horizontal="right"/>
    </xf>
    <xf numFmtId="179" fontId="65" fillId="0" borderId="6" xfId="0" applyNumberFormat="1" applyFont="1" applyBorder="1" applyAlignment="1">
      <alignment horizontal="center"/>
    </xf>
    <xf numFmtId="193" fontId="65" fillId="0" borderId="4" xfId="0" applyNumberFormat="1" applyFont="1" applyBorder="1" applyAlignment="1">
      <alignment horizontal="center"/>
    </xf>
    <xf numFmtId="179" fontId="65" fillId="0" borderId="4" xfId="0" applyNumberFormat="1" applyFont="1" applyBorder="1" applyAlignment="1">
      <alignment horizontal="center"/>
    </xf>
    <xf numFmtId="0" fontId="65" fillId="0" borderId="7" xfId="0" applyFont="1" applyBorder="1" applyAlignment="1">
      <alignment horizontal="center"/>
    </xf>
    <xf numFmtId="3" fontId="65" fillId="0" borderId="8" xfId="0" applyNumberFormat="1" applyFont="1" applyBorder="1" applyAlignment="1">
      <alignment horizontal="center"/>
    </xf>
    <xf numFmtId="0" fontId="65" fillId="0" borderId="179" xfId="0" applyFont="1" applyBorder="1" applyAlignment="1">
      <alignment horizontal="center"/>
    </xf>
    <xf numFmtId="3" fontId="65" fillId="0" borderId="179" xfId="0" applyNumberFormat="1" applyFont="1" applyBorder="1" applyAlignment="1">
      <alignment horizontal="center"/>
    </xf>
    <xf numFmtId="167" fontId="65" fillId="0" borderId="179" xfId="0" applyNumberFormat="1" applyFont="1" applyBorder="1" applyAlignment="1">
      <alignment horizontal="center"/>
    </xf>
    <xf numFmtId="2" fontId="65" fillId="0" borderId="179" xfId="0" applyNumberFormat="1" applyFont="1" applyBorder="1" applyAlignment="1">
      <alignment horizontal="center"/>
    </xf>
    <xf numFmtId="168" fontId="65" fillId="0" borderId="179" xfId="0" applyNumberFormat="1" applyFont="1" applyBorder="1" applyAlignment="1">
      <alignment horizontal="center"/>
    </xf>
    <xf numFmtId="168" fontId="65" fillId="0" borderId="180" xfId="0" applyNumberFormat="1" applyFont="1" applyBorder="1" applyAlignment="1">
      <alignment horizontal="right"/>
    </xf>
    <xf numFmtId="3" fontId="113" fillId="0" borderId="82" xfId="0" applyNumberFormat="1" applyFont="1" applyBorder="1" applyAlignment="1">
      <alignment horizontal="center"/>
    </xf>
    <xf numFmtId="0" fontId="113" fillId="2" borderId="82" xfId="0" applyFont="1" applyFill="1" applyBorder="1" applyAlignment="1">
      <alignment horizontal="center"/>
    </xf>
    <xf numFmtId="3" fontId="113" fillId="2" borderId="82" xfId="0" applyNumberFormat="1" applyFont="1" applyFill="1" applyBorder="1" applyAlignment="1">
      <alignment horizontal="center"/>
    </xf>
    <xf numFmtId="167" fontId="113" fillId="2" borderId="82" xfId="0" applyNumberFormat="1" applyFont="1" applyFill="1" applyBorder="1" applyAlignment="1">
      <alignment horizontal="center"/>
    </xf>
    <xf numFmtId="2" fontId="113" fillId="2" borderId="82" xfId="0" applyNumberFormat="1" applyFont="1" applyFill="1" applyBorder="1" applyAlignment="1">
      <alignment horizontal="center"/>
    </xf>
    <xf numFmtId="168" fontId="65" fillId="2" borderId="82" xfId="0" applyNumberFormat="1" applyFont="1" applyFill="1" applyBorder="1" applyAlignment="1">
      <alignment horizontal="center" vertical="center"/>
    </xf>
    <xf numFmtId="0" fontId="65" fillId="0" borderId="82" xfId="0" applyFont="1" applyBorder="1"/>
    <xf numFmtId="168" fontId="113" fillId="2" borderId="89" xfId="0" applyNumberFormat="1" applyFont="1" applyFill="1" applyBorder="1" applyAlignment="1">
      <alignment horizontal="right"/>
    </xf>
    <xf numFmtId="3" fontId="65" fillId="23" borderId="5" xfId="0" applyNumberFormat="1" applyFont="1" applyFill="1" applyBorder="1" applyAlignment="1">
      <alignment horizontal="center"/>
    </xf>
    <xf numFmtId="0" fontId="65" fillId="0" borderId="5" xfId="0" applyFont="1" applyBorder="1" applyAlignment="1">
      <alignment horizontal="center"/>
    </xf>
    <xf numFmtId="169" fontId="65" fillId="0" borderId="5" xfId="0" applyNumberFormat="1" applyFont="1" applyBorder="1" applyAlignment="1">
      <alignment horizontal="center"/>
    </xf>
    <xf numFmtId="167" fontId="65" fillId="0" borderId="5" xfId="0" applyNumberFormat="1" applyFont="1" applyBorder="1" applyAlignment="1">
      <alignment horizontal="center"/>
    </xf>
    <xf numFmtId="2" fontId="65" fillId="0" borderId="5" xfId="0" applyNumberFormat="1" applyFont="1" applyBorder="1" applyAlignment="1">
      <alignment horizontal="center"/>
    </xf>
    <xf numFmtId="168" fontId="65" fillId="0" borderId="5" xfId="0" applyNumberFormat="1" applyFont="1" applyBorder="1" applyAlignment="1">
      <alignment horizontal="center" vertical="center"/>
    </xf>
    <xf numFmtId="168" fontId="65" fillId="0" borderId="5" xfId="0" applyNumberFormat="1" applyFont="1" applyBorder="1" applyAlignment="1">
      <alignment horizontal="center"/>
    </xf>
    <xf numFmtId="3" fontId="65" fillId="23" borderId="6" xfId="0" applyNumberFormat="1" applyFont="1" applyFill="1" applyBorder="1" applyAlignment="1">
      <alignment horizontal="center"/>
    </xf>
    <xf numFmtId="169" fontId="65" fillId="23" borderId="6" xfId="0" applyNumberFormat="1" applyFont="1" applyFill="1" applyBorder="1" applyAlignment="1">
      <alignment horizontal="center"/>
    </xf>
    <xf numFmtId="168" fontId="65" fillId="0" borderId="4" xfId="0" applyNumberFormat="1" applyFont="1" applyBorder="1" applyAlignment="1">
      <alignment horizontal="center"/>
    </xf>
    <xf numFmtId="167" fontId="68" fillId="10" borderId="44" xfId="0" applyNumberFormat="1" applyFont="1" applyFill="1" applyBorder="1" applyAlignment="1">
      <alignment horizontal="center"/>
    </xf>
    <xf numFmtId="168" fontId="68" fillId="10" borderId="102" xfId="0" applyNumberFormat="1" applyFont="1" applyFill="1" applyBorder="1" applyAlignment="1">
      <alignment horizontal="right"/>
    </xf>
    <xf numFmtId="167" fontId="70" fillId="0" borderId="0" xfId="0" applyNumberFormat="1" applyFont="1" applyAlignment="1">
      <alignment horizontal="center"/>
    </xf>
    <xf numFmtId="168" fontId="70" fillId="0" borderId="0" xfId="0" applyNumberFormat="1" applyFont="1" applyAlignment="1">
      <alignment horizontal="right"/>
    </xf>
    <xf numFmtId="0" fontId="71" fillId="4" borderId="125" xfId="0" applyFont="1" applyFill="1" applyBorder="1" applyAlignment="1">
      <alignment horizontal="center"/>
    </xf>
    <xf numFmtId="167" fontId="70" fillId="4" borderId="125" xfId="0" applyNumberFormat="1" applyFont="1" applyFill="1" applyBorder="1"/>
    <xf numFmtId="0" fontId="70" fillId="4" borderId="125" xfId="0" applyFont="1" applyFill="1" applyBorder="1" applyAlignment="1">
      <alignment horizontal="center"/>
    </xf>
    <xf numFmtId="164" fontId="70" fillId="4" borderId="125" xfId="0" applyNumberFormat="1" applyFont="1" applyFill="1" applyBorder="1"/>
    <xf numFmtId="168" fontId="70" fillId="4" borderId="125" xfId="0" applyNumberFormat="1" applyFont="1" applyFill="1" applyBorder="1"/>
    <xf numFmtId="169" fontId="68" fillId="0" borderId="36" xfId="0" applyNumberFormat="1" applyFont="1" applyBorder="1" applyAlignment="1">
      <alignment horizontal="center" vertical="center" wrapText="1"/>
    </xf>
    <xf numFmtId="0" fontId="65" fillId="0" borderId="82" xfId="0" applyFont="1" applyBorder="1" applyAlignment="1">
      <alignment vertical="center"/>
    </xf>
    <xf numFmtId="0" fontId="68" fillId="0" borderId="82" xfId="0" applyFont="1" applyBorder="1"/>
    <xf numFmtId="0" fontId="65" fillId="0" borderId="82" xfId="0" applyFont="1" applyBorder="1" applyAlignment="1">
      <alignment horizontal="center"/>
    </xf>
    <xf numFmtId="43" fontId="65" fillId="0" borderId="89" xfId="0" applyNumberFormat="1" applyFont="1" applyBorder="1"/>
    <xf numFmtId="169" fontId="65" fillId="0" borderId="1" xfId="0" applyNumberFormat="1" applyFont="1" applyBorder="1" applyAlignment="1">
      <alignment horizontal="center"/>
    </xf>
    <xf numFmtId="0" fontId="65" fillId="0" borderId="4" xfId="0" applyFont="1" applyBorder="1" applyAlignment="1">
      <alignment horizontal="right"/>
    </xf>
    <xf numFmtId="0" fontId="65" fillId="0" borderId="4" xfId="0" applyFont="1" applyBorder="1"/>
    <xf numFmtId="167" fontId="65" fillId="0" borderId="4" xfId="0" applyNumberFormat="1" applyFont="1" applyBorder="1"/>
    <xf numFmtId="167" fontId="65" fillId="0" borderId="93" xfId="0" applyNumberFormat="1" applyFont="1" applyBorder="1" applyAlignment="1">
      <alignment horizontal="center"/>
    </xf>
    <xf numFmtId="187" fontId="65" fillId="0" borderId="4" xfId="0" applyNumberFormat="1" applyFont="1" applyBorder="1" applyAlignment="1">
      <alignment horizontal="center"/>
    </xf>
    <xf numFmtId="0" fontId="65" fillId="0" borderId="179" xfId="0" applyFont="1" applyBorder="1" applyAlignment="1">
      <alignment horizontal="right"/>
    </xf>
    <xf numFmtId="0" fontId="113" fillId="2" borderId="82" xfId="0" applyFont="1" applyFill="1" applyBorder="1" applyAlignment="1">
      <alignment horizontal="right"/>
    </xf>
    <xf numFmtId="3" fontId="65" fillId="10" borderId="44" xfId="0" applyNumberFormat="1" applyFont="1" applyFill="1" applyBorder="1" applyAlignment="1">
      <alignment horizontal="center"/>
    </xf>
    <xf numFmtId="167" fontId="65" fillId="10" borderId="44" xfId="0" applyNumberFormat="1" applyFont="1" applyFill="1" applyBorder="1"/>
    <xf numFmtId="167" fontId="65" fillId="10" borderId="44" xfId="0" applyNumberFormat="1" applyFont="1" applyFill="1" applyBorder="1" applyAlignment="1">
      <alignment horizontal="center"/>
    </xf>
    <xf numFmtId="189" fontId="68" fillId="10" borderId="102" xfId="0" applyNumberFormat="1" applyFont="1" applyFill="1" applyBorder="1" applyAlignment="1">
      <alignment horizontal="center"/>
    </xf>
    <xf numFmtId="0" fontId="111" fillId="4" borderId="97" xfId="0" applyFont="1" applyFill="1" applyBorder="1"/>
    <xf numFmtId="0" fontId="71" fillId="4" borderId="181" xfId="0" applyFont="1" applyFill="1" applyBorder="1" applyAlignment="1">
      <alignment horizontal="center"/>
    </xf>
    <xf numFmtId="0" fontId="70" fillId="4" borderId="181" xfId="0" applyFont="1" applyFill="1" applyBorder="1" applyAlignment="1">
      <alignment horizontal="center"/>
    </xf>
    <xf numFmtId="168" fontId="70" fillId="4" borderId="181" xfId="0" applyNumberFormat="1" applyFont="1" applyFill="1" applyBorder="1"/>
    <xf numFmtId="0" fontId="65" fillId="4" borderId="181" xfId="0" applyFont="1" applyFill="1" applyBorder="1"/>
    <xf numFmtId="164" fontId="70" fillId="4" borderId="181" xfId="0" applyNumberFormat="1" applyFont="1" applyFill="1" applyBorder="1"/>
    <xf numFmtId="0" fontId="65" fillId="4" borderId="182" xfId="0" applyFont="1" applyFill="1" applyBorder="1"/>
    <xf numFmtId="0" fontId="68" fillId="8" borderId="51" xfId="0" applyFont="1" applyFill="1" applyBorder="1"/>
    <xf numFmtId="0" fontId="65" fillId="0" borderId="53" xfId="0" applyFont="1" applyBorder="1"/>
    <xf numFmtId="167" fontId="65" fillId="0" borderId="53" xfId="0" applyNumberFormat="1" applyFont="1" applyBorder="1"/>
    <xf numFmtId="195" fontId="65" fillId="0" borderId="53" xfId="0" applyNumberFormat="1" applyFont="1" applyBorder="1"/>
    <xf numFmtId="0" fontId="65" fillId="0" borderId="54" xfId="0" applyFont="1" applyBorder="1"/>
    <xf numFmtId="0" fontId="68" fillId="10" borderId="155" xfId="0" applyFont="1" applyFill="1" applyBorder="1" applyAlignment="1">
      <alignment horizontal="center" wrapText="1"/>
    </xf>
    <xf numFmtId="0" fontId="68" fillId="10" borderId="156" xfId="0" applyFont="1" applyFill="1" applyBorder="1" applyAlignment="1">
      <alignment horizontal="center" wrapText="1"/>
    </xf>
    <xf numFmtId="0" fontId="68" fillId="0" borderId="156" xfId="0" applyFont="1" applyBorder="1" applyAlignment="1">
      <alignment horizontal="center" wrapText="1"/>
    </xf>
    <xf numFmtId="0" fontId="68" fillId="10" borderId="156" xfId="0" applyFont="1" applyFill="1" applyBorder="1"/>
    <xf numFmtId="0" fontId="68" fillId="10" borderId="156" xfId="0" applyFont="1" applyFill="1" applyBorder="1" applyAlignment="1">
      <alignment horizontal="center"/>
    </xf>
    <xf numFmtId="0" fontId="65" fillId="0" borderId="156" xfId="0" applyFont="1" applyBorder="1"/>
    <xf numFmtId="0" fontId="68" fillId="10" borderId="158" xfId="0" applyFont="1" applyFill="1" applyBorder="1" applyAlignment="1">
      <alignment horizontal="center" wrapText="1"/>
    </xf>
    <xf numFmtId="0" fontId="65" fillId="0" borderId="97" xfId="0" applyFont="1" applyBorder="1" applyAlignment="1">
      <alignment vertical="center" wrapText="1"/>
    </xf>
    <xf numFmtId="0" fontId="65" fillId="0" borderId="37" xfId="0" quotePrefix="1" applyFont="1" applyBorder="1" applyAlignment="1">
      <alignment horizontal="left" wrapText="1"/>
    </xf>
    <xf numFmtId="0" fontId="68" fillId="0" borderId="37" xfId="0" applyFont="1" applyBorder="1" applyAlignment="1">
      <alignment horizontal="center" wrapText="1"/>
    </xf>
    <xf numFmtId="167" fontId="65" fillId="14" borderId="37" xfId="0" applyNumberFormat="1" applyFont="1" applyFill="1" applyBorder="1" applyAlignment="1">
      <alignment wrapText="1"/>
    </xf>
    <xf numFmtId="0" fontId="68" fillId="0" borderId="37" xfId="0" applyFont="1" applyBorder="1" applyAlignment="1">
      <alignment wrapText="1"/>
    </xf>
    <xf numFmtId="193" fontId="65" fillId="0" borderId="37" xfId="0" applyNumberFormat="1" applyFont="1" applyBorder="1" applyAlignment="1">
      <alignment horizontal="center" vertical="center"/>
    </xf>
    <xf numFmtId="167" fontId="65" fillId="0" borderId="37" xfId="0" applyNumberFormat="1" applyFont="1" applyBorder="1" applyAlignment="1">
      <alignment vertical="center"/>
    </xf>
    <xf numFmtId="167" fontId="68" fillId="0" borderId="37" xfId="0" applyNumberFormat="1" applyFont="1" applyBorder="1" applyAlignment="1">
      <alignment horizontal="center" wrapText="1"/>
    </xf>
    <xf numFmtId="0" fontId="65" fillId="0" borderId="37" xfId="0" applyFont="1" applyBorder="1" applyAlignment="1">
      <alignment horizontal="center" vertical="center"/>
    </xf>
    <xf numFmtId="167" fontId="65" fillId="0" borderId="37" xfId="0" applyNumberFormat="1" applyFont="1" applyBorder="1" applyAlignment="1">
      <alignment horizontal="center" vertical="center"/>
    </xf>
    <xf numFmtId="0" fontId="65" fillId="0" borderId="37" xfId="0" applyFont="1" applyBorder="1" applyAlignment="1">
      <alignment horizontal="center"/>
    </xf>
    <xf numFmtId="167" fontId="65" fillId="0" borderId="37" xfId="0" applyNumberFormat="1" applyFont="1" applyBorder="1" applyAlignment="1">
      <alignment horizontal="center"/>
    </xf>
    <xf numFmtId="0" fontId="68" fillId="10" borderId="37" xfId="0" applyFont="1" applyFill="1" applyBorder="1" applyAlignment="1">
      <alignment horizontal="right"/>
    </xf>
    <xf numFmtId="195" fontId="65" fillId="0" borderId="37" xfId="0" applyNumberFormat="1" applyFont="1" applyBorder="1" applyAlignment="1">
      <alignment horizontal="center"/>
    </xf>
    <xf numFmtId="172" fontId="65" fillId="0" borderId="98" xfId="0" applyNumberFormat="1" applyFont="1" applyBorder="1" applyAlignment="1">
      <alignment horizontal="center"/>
    </xf>
    <xf numFmtId="0" fontId="65" fillId="0" borderId="99" xfId="0" applyFont="1" applyBorder="1"/>
    <xf numFmtId="0" fontId="65" fillId="0" borderId="6" xfId="0" quotePrefix="1" applyFont="1" applyBorder="1" applyAlignment="1">
      <alignment horizontal="left" wrapText="1"/>
    </xf>
    <xf numFmtId="0" fontId="65" fillId="0" borderId="6" xfId="0" applyFont="1" applyBorder="1" applyAlignment="1">
      <alignment horizontal="left" wrapText="1"/>
    </xf>
    <xf numFmtId="167" fontId="65" fillId="14" borderId="6" xfId="0" applyNumberFormat="1" applyFont="1" applyFill="1" applyBorder="1"/>
    <xf numFmtId="193" fontId="65" fillId="0" borderId="6" xfId="0" applyNumberFormat="1" applyFont="1" applyBorder="1" applyAlignment="1">
      <alignment horizontal="center" vertical="center"/>
    </xf>
    <xf numFmtId="167" fontId="65" fillId="0" borderId="6" xfId="0" applyNumberFormat="1" applyFont="1" applyBorder="1" applyAlignment="1">
      <alignment vertical="center"/>
    </xf>
    <xf numFmtId="167" fontId="65" fillId="0" borderId="6" xfId="0" applyNumberFormat="1" applyFont="1" applyBorder="1" applyAlignment="1">
      <alignment horizontal="center" vertical="center"/>
    </xf>
    <xf numFmtId="0" fontId="68" fillId="10" borderId="6" xfId="0" applyFont="1" applyFill="1" applyBorder="1" applyAlignment="1">
      <alignment horizontal="right"/>
    </xf>
    <xf numFmtId="195" fontId="65" fillId="0" borderId="6" xfId="0" applyNumberFormat="1" applyFont="1" applyBorder="1" applyAlignment="1">
      <alignment horizontal="center"/>
    </xf>
    <xf numFmtId="172" fontId="65" fillId="0" borderId="100" xfId="0" applyNumberFormat="1" applyFont="1" applyBorder="1" applyAlignment="1">
      <alignment horizontal="center"/>
    </xf>
    <xf numFmtId="167" fontId="65" fillId="0" borderId="1" xfId="0" applyNumberFormat="1" applyFont="1" applyBorder="1" applyAlignment="1">
      <alignment horizontal="center"/>
    </xf>
    <xf numFmtId="0" fontId="65" fillId="0" borderId="134" xfId="0" applyFont="1" applyBorder="1"/>
    <xf numFmtId="195" fontId="65" fillId="0" borderId="0" xfId="0" applyNumberFormat="1" applyFont="1"/>
    <xf numFmtId="0" fontId="65" fillId="0" borderId="42" xfId="0" applyFont="1" applyBorder="1"/>
    <xf numFmtId="167" fontId="65" fillId="22" borderId="6" xfId="0" applyNumberFormat="1" applyFont="1" applyFill="1" applyBorder="1"/>
    <xf numFmtId="167" fontId="65" fillId="14" borderId="6" xfId="0" applyNumberFormat="1" applyFont="1" applyFill="1" applyBorder="1" applyAlignment="1">
      <alignment wrapText="1"/>
    </xf>
    <xf numFmtId="165" fontId="65" fillId="0" borderId="0" xfId="0" applyNumberFormat="1" applyFont="1"/>
    <xf numFmtId="0" fontId="65" fillId="0" borderId="99" xfId="0" applyFont="1" applyBorder="1" applyAlignment="1">
      <alignment wrapText="1"/>
    </xf>
    <xf numFmtId="0" fontId="65" fillId="0" borderId="0" xfId="0" applyFont="1" applyAlignment="1">
      <alignment vertical="top" wrapText="1"/>
    </xf>
    <xf numFmtId="1" fontId="65" fillId="0" borderId="6" xfId="0" applyNumberFormat="1" applyFont="1" applyBorder="1" applyAlignment="1">
      <alignment horizontal="center" vertical="center"/>
    </xf>
    <xf numFmtId="0" fontId="65" fillId="0" borderId="36" xfId="0" applyFont="1" applyBorder="1"/>
    <xf numFmtId="0" fontId="68" fillId="10" borderId="44" xfId="0" applyFont="1" applyFill="1" applyBorder="1"/>
    <xf numFmtId="167" fontId="68" fillId="10" borderId="44" xfId="0" applyNumberFormat="1" applyFont="1" applyFill="1" applyBorder="1" applyAlignment="1">
      <alignment vertical="center"/>
    </xf>
    <xf numFmtId="167" fontId="68" fillId="10" borderId="44" xfId="0" applyNumberFormat="1" applyFont="1" applyFill="1" applyBorder="1" applyAlignment="1">
      <alignment horizontal="center" vertical="center"/>
    </xf>
    <xf numFmtId="168" fontId="68" fillId="10" borderId="44" xfId="0" applyNumberFormat="1" applyFont="1" applyFill="1" applyBorder="1"/>
    <xf numFmtId="167" fontId="68" fillId="10" borderId="44" xfId="0" applyNumberFormat="1" applyFont="1" applyFill="1" applyBorder="1" applyAlignment="1">
      <alignment horizontal="center" wrapText="1"/>
    </xf>
    <xf numFmtId="0" fontId="68" fillId="10" borderId="44" xfId="0" applyFont="1" applyFill="1" applyBorder="1" applyAlignment="1">
      <alignment horizontal="center" vertical="center"/>
    </xf>
    <xf numFmtId="0" fontId="65" fillId="10" borderId="115" xfId="0" applyFont="1" applyFill="1" applyBorder="1"/>
    <xf numFmtId="195" fontId="65" fillId="10" borderId="44" xfId="0" applyNumberFormat="1" applyFont="1" applyFill="1" applyBorder="1"/>
    <xf numFmtId="170" fontId="68" fillId="10" borderId="102" xfId="0" applyNumberFormat="1" applyFont="1" applyFill="1" applyBorder="1"/>
    <xf numFmtId="167" fontId="68" fillId="0" borderId="0" xfId="0" applyNumberFormat="1" applyFont="1" applyAlignment="1">
      <alignment horizontal="center" vertical="center"/>
    </xf>
    <xf numFmtId="0" fontId="68" fillId="0" borderId="0" xfId="0" applyFont="1" applyAlignment="1">
      <alignment horizontal="center" vertical="center"/>
    </xf>
    <xf numFmtId="167" fontId="68" fillId="0" borderId="0" xfId="0" applyNumberFormat="1" applyFont="1" applyAlignment="1">
      <alignment horizontal="center" vertical="center" wrapText="1"/>
    </xf>
    <xf numFmtId="0" fontId="70" fillId="0" borderId="53" xfId="0" applyFont="1" applyBorder="1"/>
    <xf numFmtId="0" fontId="71" fillId="0" borderId="53" xfId="0" applyFont="1" applyBorder="1" applyAlignment="1">
      <alignment horizontal="center"/>
    </xf>
    <xf numFmtId="167" fontId="70" fillId="0" borderId="53" xfId="0" applyNumberFormat="1" applyFont="1" applyBorder="1"/>
    <xf numFmtId="0" fontId="70" fillId="0" borderId="53" xfId="0" applyFont="1" applyBorder="1" applyAlignment="1">
      <alignment horizontal="center"/>
    </xf>
    <xf numFmtId="164" fontId="70" fillId="0" borderId="53" xfId="0" applyNumberFormat="1" applyFont="1" applyBorder="1"/>
    <xf numFmtId="168" fontId="70" fillId="0" borderId="53" xfId="0" applyNumberFormat="1" applyFont="1" applyBorder="1"/>
    <xf numFmtId="0" fontId="111" fillId="4" borderId="183" xfId="0" applyFont="1" applyFill="1" applyBorder="1" applyAlignment="1">
      <alignment horizontal="left"/>
    </xf>
    <xf numFmtId="0" fontId="65" fillId="0" borderId="0" xfId="0" applyFont="1" applyAlignment="1">
      <alignment vertical="center"/>
    </xf>
    <xf numFmtId="0" fontId="68" fillId="10" borderId="132" xfId="0" applyFont="1" applyFill="1" applyBorder="1" applyAlignment="1">
      <alignment horizontal="center" wrapText="1"/>
    </xf>
    <xf numFmtId="0" fontId="68" fillId="0" borderId="127" xfId="0" applyFont="1" applyBorder="1" applyAlignment="1">
      <alignment horizontal="left" wrapText="1"/>
    </xf>
    <xf numFmtId="167" fontId="65" fillId="14" borderId="5" xfId="0" applyNumberFormat="1" applyFont="1" applyFill="1" applyBorder="1"/>
    <xf numFmtId="167" fontId="65" fillId="0" borderId="5" xfId="0" applyNumberFormat="1" applyFont="1" applyBorder="1"/>
    <xf numFmtId="167" fontId="63" fillId="0" borderId="130" xfId="0" applyNumberFormat="1" applyFont="1" applyBorder="1" applyAlignment="1">
      <alignment horizontal="center"/>
    </xf>
    <xf numFmtId="167" fontId="65" fillId="0" borderId="17" xfId="0" applyNumberFormat="1" applyFont="1" applyBorder="1"/>
    <xf numFmtId="9" fontId="65" fillId="0" borderId="5" xfId="0" applyNumberFormat="1" applyFont="1" applyBorder="1" applyAlignment="1">
      <alignment horizontal="center"/>
    </xf>
    <xf numFmtId="0" fontId="65" fillId="0" borderId="5" xfId="0" applyFont="1" applyBorder="1"/>
    <xf numFmtId="167" fontId="65" fillId="0" borderId="5" xfId="0" applyNumberFormat="1" applyFont="1" applyBorder="1" applyAlignment="1">
      <alignment horizontal="center" wrapText="1"/>
    </xf>
    <xf numFmtId="174" fontId="65" fillId="0" borderId="5" xfId="0" applyNumberFormat="1" applyFont="1" applyBorder="1" applyAlignment="1">
      <alignment horizontal="center"/>
    </xf>
    <xf numFmtId="172" fontId="65" fillId="0" borderId="5" xfId="0" applyNumberFormat="1" applyFont="1" applyBorder="1" applyAlignment="1">
      <alignment horizontal="center"/>
    </xf>
    <xf numFmtId="0" fontId="68" fillId="0" borderId="101" xfId="0" applyFont="1" applyBorder="1" applyAlignment="1">
      <alignment horizontal="left" wrapText="1"/>
    </xf>
    <xf numFmtId="167" fontId="65" fillId="0" borderId="44" xfId="0" applyNumberFormat="1" applyFont="1" applyBorder="1" applyAlignment="1">
      <alignment horizontal="center"/>
    </xf>
    <xf numFmtId="167" fontId="63" fillId="0" borderId="102" xfId="0" applyNumberFormat="1" applyFont="1" applyBorder="1" applyAlignment="1">
      <alignment horizontal="center"/>
    </xf>
    <xf numFmtId="167" fontId="65" fillId="0" borderId="185" xfId="0" applyNumberFormat="1" applyFont="1" applyBorder="1" applyAlignment="1">
      <alignment horizontal="center"/>
    </xf>
    <xf numFmtId="9" fontId="65" fillId="0" borderId="44" xfId="0" applyNumberFormat="1" applyFont="1" applyBorder="1" applyAlignment="1">
      <alignment horizontal="center"/>
    </xf>
    <xf numFmtId="167" fontId="65" fillId="0" borderId="44" xfId="0" applyNumberFormat="1" applyFont="1" applyBorder="1" applyAlignment="1">
      <alignment horizontal="center" wrapText="1"/>
    </xf>
    <xf numFmtId="167" fontId="65" fillId="0" borderId="45" xfId="0" applyNumberFormat="1" applyFont="1" applyBorder="1" applyAlignment="1">
      <alignment horizontal="center" wrapText="1"/>
    </xf>
    <xf numFmtId="0" fontId="65" fillId="0" borderId="44" xfId="0" applyFont="1" applyBorder="1" applyAlignment="1">
      <alignment horizontal="center"/>
    </xf>
    <xf numFmtId="196" fontId="65" fillId="0" borderId="115" xfId="0" applyNumberFormat="1" applyFont="1" applyBorder="1" applyAlignment="1">
      <alignment horizontal="center"/>
    </xf>
    <xf numFmtId="172" fontId="65" fillId="0" borderId="115" xfId="0" applyNumberFormat="1" applyFont="1" applyBorder="1" applyAlignment="1">
      <alignment horizontal="center"/>
    </xf>
    <xf numFmtId="172" fontId="65" fillId="0" borderId="160" xfId="0" applyNumberFormat="1" applyFont="1" applyBorder="1" applyAlignment="1">
      <alignment horizontal="center"/>
    </xf>
    <xf numFmtId="0" fontId="65" fillId="0" borderId="127" xfId="0" applyFont="1" applyBorder="1" applyAlignment="1">
      <alignment horizontal="left"/>
    </xf>
    <xf numFmtId="167" fontId="65" fillId="0" borderId="0" xfId="0" applyNumberFormat="1" applyFont="1"/>
    <xf numFmtId="170" fontId="68" fillId="10" borderId="158" xfId="0" applyNumberFormat="1" applyFont="1" applyFill="1" applyBorder="1"/>
    <xf numFmtId="167" fontId="63" fillId="0" borderId="100" xfId="0" applyNumberFormat="1" applyFont="1" applyBorder="1" applyAlignment="1">
      <alignment horizontal="center"/>
    </xf>
    <xf numFmtId="9" fontId="65" fillId="0" borderId="0" xfId="0" applyNumberFormat="1" applyFont="1" applyAlignment="1">
      <alignment horizontal="center"/>
    </xf>
    <xf numFmtId="0" fontId="114" fillId="0" borderId="99" xfId="0" applyFont="1" applyBorder="1"/>
    <xf numFmtId="9" fontId="65" fillId="0" borderId="6" xfId="0" applyNumberFormat="1" applyFont="1" applyBorder="1"/>
    <xf numFmtId="9" fontId="65" fillId="0" borderId="100" xfId="0" applyNumberFormat="1" applyFont="1" applyBorder="1"/>
    <xf numFmtId="167" fontId="65" fillId="0" borderId="100" xfId="0" applyNumberFormat="1" applyFont="1" applyBorder="1"/>
    <xf numFmtId="0" fontId="114" fillId="0" borderId="101" xfId="0" applyFont="1" applyBorder="1"/>
    <xf numFmtId="167" fontId="65" fillId="0" borderId="102" xfId="0" applyNumberFormat="1" applyFont="1" applyBorder="1"/>
    <xf numFmtId="0" fontId="68" fillId="10" borderId="155" xfId="0" applyFont="1" applyFill="1" applyBorder="1" applyAlignment="1">
      <alignment horizontal="center" vertical="center"/>
    </xf>
    <xf numFmtId="167" fontId="68" fillId="10" borderId="158" xfId="0" applyNumberFormat="1" applyFont="1" applyFill="1" applyBorder="1" applyAlignment="1">
      <alignment horizontal="center" vertical="center" wrapText="1"/>
    </xf>
    <xf numFmtId="167" fontId="68" fillId="0" borderId="0" xfId="0" applyNumberFormat="1" applyFont="1" applyAlignment="1">
      <alignment horizontal="center" wrapText="1"/>
    </xf>
    <xf numFmtId="167" fontId="65" fillId="14" borderId="130" xfId="0" applyNumberFormat="1" applyFont="1" applyFill="1" applyBorder="1"/>
    <xf numFmtId="0" fontId="68" fillId="0" borderId="99" xfId="0" applyFont="1" applyBorder="1" applyAlignment="1">
      <alignment horizontal="left" wrapText="1"/>
    </xf>
    <xf numFmtId="167" fontId="65" fillId="0" borderId="100" xfId="0" applyNumberFormat="1" applyFont="1" applyBorder="1" applyAlignment="1">
      <alignment horizontal="center"/>
    </xf>
    <xf numFmtId="167" fontId="65" fillId="14" borderId="100" xfId="0" applyNumberFormat="1" applyFont="1" applyFill="1" applyBorder="1"/>
    <xf numFmtId="0" fontId="65" fillId="4" borderId="186" xfId="0" applyFont="1" applyFill="1" applyBorder="1"/>
    <xf numFmtId="0" fontId="65" fillId="0" borderId="51" xfId="0" applyFont="1" applyBorder="1" applyAlignment="1">
      <alignment horizontal="left"/>
    </xf>
    <xf numFmtId="0" fontId="65" fillId="0" borderId="53" xfId="0" applyFont="1" applyBorder="1" applyAlignment="1">
      <alignment horizontal="center"/>
    </xf>
    <xf numFmtId="0" fontId="68" fillId="10" borderId="187" xfId="0" applyFont="1" applyFill="1" applyBorder="1" applyAlignment="1">
      <alignment horizontal="left"/>
    </xf>
    <xf numFmtId="0" fontId="68" fillId="10" borderId="188" xfId="0" applyFont="1" applyFill="1" applyBorder="1" applyAlignment="1">
      <alignment horizontal="center"/>
    </xf>
    <xf numFmtId="0" fontId="68" fillId="10" borderId="189" xfId="0" applyFont="1" applyFill="1" applyBorder="1" applyAlignment="1">
      <alignment horizontal="center"/>
    </xf>
    <xf numFmtId="0" fontId="68" fillId="10" borderId="53" xfId="0" applyFont="1" applyFill="1" applyBorder="1" applyAlignment="1">
      <alignment horizontal="center"/>
    </xf>
    <xf numFmtId="0" fontId="68" fillId="10" borderId="10" xfId="0" applyFont="1" applyFill="1" applyBorder="1" applyAlignment="1">
      <alignment horizontal="center"/>
    </xf>
    <xf numFmtId="0" fontId="65" fillId="0" borderId="179" xfId="0" applyFont="1" applyBorder="1"/>
    <xf numFmtId="0" fontId="68" fillId="10" borderId="8" xfId="0" applyFont="1" applyFill="1" applyBorder="1" applyAlignment="1">
      <alignment horizontal="left"/>
    </xf>
    <xf numFmtId="0" fontId="68" fillId="10" borderId="179" xfId="0" applyFont="1" applyFill="1" applyBorder="1" applyAlignment="1">
      <alignment horizontal="center"/>
    </xf>
    <xf numFmtId="0" fontId="65" fillId="0" borderId="124" xfId="0" applyFont="1" applyBorder="1" applyAlignment="1">
      <alignment horizontal="center" wrapText="1"/>
    </xf>
    <xf numFmtId="167" fontId="68" fillId="10" borderId="190" xfId="0" applyNumberFormat="1" applyFont="1" applyFill="1" applyBorder="1" applyAlignment="1">
      <alignment horizontal="center" vertical="center" wrapText="1"/>
    </xf>
    <xf numFmtId="0" fontId="68" fillId="10" borderId="190" xfId="0" applyFont="1" applyFill="1" applyBorder="1" applyAlignment="1">
      <alignment horizontal="center" wrapText="1"/>
    </xf>
    <xf numFmtId="0" fontId="65" fillId="0" borderId="162" xfId="0" applyFont="1" applyBorder="1" applyAlignment="1">
      <alignment horizontal="center" wrapText="1"/>
    </xf>
    <xf numFmtId="0" fontId="65" fillId="0" borderId="156" xfId="0" applyFont="1" applyBorder="1" applyAlignment="1">
      <alignment horizontal="center" wrapText="1"/>
    </xf>
    <xf numFmtId="0" fontId="68" fillId="10" borderId="156" xfId="0" applyFont="1" applyFill="1" applyBorder="1" applyAlignment="1">
      <alignment horizontal="center" vertical="center" wrapText="1"/>
    </xf>
    <xf numFmtId="0" fontId="68" fillId="10" borderId="157" xfId="0" applyFont="1" applyFill="1" applyBorder="1" applyAlignment="1">
      <alignment horizontal="center" wrapText="1"/>
    </xf>
    <xf numFmtId="0" fontId="68" fillId="10" borderId="191" xfId="0" applyFont="1" applyFill="1" applyBorder="1" applyAlignment="1">
      <alignment horizontal="center" wrapText="1"/>
    </xf>
    <xf numFmtId="0" fontId="65" fillId="0" borderId="157" xfId="0" applyFont="1" applyBorder="1" applyAlignment="1">
      <alignment horizontal="center" wrapText="1"/>
    </xf>
    <xf numFmtId="0" fontId="65" fillId="0" borderId="192" xfId="0" applyFont="1" applyBorder="1" applyAlignment="1">
      <alignment horizontal="center" wrapText="1"/>
    </xf>
    <xf numFmtId="0" fontId="65" fillId="0" borderId="192" xfId="0" applyFont="1" applyBorder="1"/>
    <xf numFmtId="0" fontId="65" fillId="0" borderId="15" xfId="0" applyFont="1" applyBorder="1"/>
    <xf numFmtId="9" fontId="68" fillId="0" borderId="0" xfId="0" applyNumberFormat="1" applyFont="1" applyAlignment="1">
      <alignment horizontal="center"/>
    </xf>
    <xf numFmtId="0" fontId="68" fillId="0" borderId="0" xfId="0" applyFont="1" applyAlignment="1">
      <alignment horizontal="center"/>
    </xf>
    <xf numFmtId="0" fontId="68" fillId="0" borderId="0" xfId="0" applyFont="1" applyAlignment="1">
      <alignment horizontal="center" wrapText="1"/>
    </xf>
    <xf numFmtId="0" fontId="68" fillId="0" borderId="97" xfId="0" applyFont="1" applyBorder="1"/>
    <xf numFmtId="167" fontId="68" fillId="0" borderId="55" xfId="0" applyNumberFormat="1" applyFont="1" applyBorder="1" applyAlignment="1">
      <alignment horizontal="center" wrapText="1"/>
    </xf>
    <xf numFmtId="0" fontId="97" fillId="0" borderId="125" xfId="0" applyFont="1" applyBorder="1" applyAlignment="1">
      <alignment horizontal="center" wrapText="1"/>
    </xf>
    <xf numFmtId="0" fontId="65" fillId="0" borderId="125" xfId="0" applyFont="1" applyBorder="1" applyAlignment="1">
      <alignment horizontal="center" wrapText="1"/>
    </xf>
    <xf numFmtId="0" fontId="68" fillId="0" borderId="125" xfId="0" applyFont="1" applyBorder="1" applyAlignment="1">
      <alignment horizontal="center" wrapText="1"/>
    </xf>
    <xf numFmtId="0" fontId="65" fillId="0" borderId="125" xfId="0" applyFont="1" applyBorder="1" applyAlignment="1">
      <alignment horizontal="left"/>
    </xf>
    <xf numFmtId="0" fontId="65" fillId="0" borderId="82" xfId="0" applyFont="1" applyBorder="1" applyAlignment="1">
      <alignment horizontal="center" wrapText="1"/>
    </xf>
    <xf numFmtId="0" fontId="65" fillId="0" borderId="82" xfId="0" applyFont="1" applyBorder="1" applyAlignment="1">
      <alignment horizontal="left"/>
    </xf>
    <xf numFmtId="9" fontId="68" fillId="0" borderId="6" xfId="0" applyNumberFormat="1" applyFont="1" applyBorder="1" applyAlignment="1">
      <alignment horizontal="left" wrapText="1"/>
    </xf>
    <xf numFmtId="9" fontId="68" fillId="0" borderId="6" xfId="0" applyNumberFormat="1" applyFont="1" applyBorder="1" applyAlignment="1">
      <alignment horizontal="center" wrapText="1"/>
    </xf>
    <xf numFmtId="9" fontId="68" fillId="0" borderId="6" xfId="0" applyNumberFormat="1" applyFont="1" applyBorder="1" applyAlignment="1">
      <alignment horizontal="left"/>
    </xf>
    <xf numFmtId="197" fontId="63" fillId="0" borderId="99" xfId="0" applyNumberFormat="1" applyFont="1" applyBorder="1" applyAlignment="1">
      <alignment horizontal="left"/>
    </xf>
    <xf numFmtId="3" fontId="65" fillId="0" borderId="6" xfId="0" applyNumberFormat="1" applyFont="1" applyBorder="1" applyAlignment="1">
      <alignment horizontal="right"/>
    </xf>
    <xf numFmtId="0" fontId="65" fillId="0" borderId="1" xfId="0" applyFont="1" applyBorder="1"/>
    <xf numFmtId="167" fontId="65" fillId="0" borderId="6" xfId="0" applyNumberFormat="1" applyFont="1" applyBorder="1" applyAlignment="1">
      <alignment horizontal="right"/>
    </xf>
    <xf numFmtId="0" fontId="65" fillId="0" borderId="93" xfId="0" applyFont="1" applyBorder="1"/>
    <xf numFmtId="9" fontId="65" fillId="0" borderId="6" xfId="0" applyNumberFormat="1" applyFont="1" applyBorder="1" applyAlignment="1">
      <alignment horizontal="center"/>
    </xf>
    <xf numFmtId="0" fontId="68" fillId="0" borderId="4" xfId="0" applyFont="1" applyBorder="1"/>
    <xf numFmtId="0" fontId="68" fillId="0" borderId="6" xfId="0" applyFont="1" applyBorder="1" applyAlignment="1">
      <alignment horizontal="center" wrapText="1"/>
    </xf>
    <xf numFmtId="195" fontId="65" fillId="0" borderId="1" xfId="0" applyNumberFormat="1" applyFont="1" applyBorder="1" applyAlignment="1">
      <alignment horizontal="center"/>
    </xf>
    <xf numFmtId="167" fontId="68" fillId="10" borderId="6" xfId="0" applyNumberFormat="1" applyFont="1" applyFill="1" applyBorder="1" applyAlignment="1">
      <alignment horizontal="right"/>
    </xf>
    <xf numFmtId="0" fontId="68" fillId="10" borderId="4" xfId="0" applyFont="1" applyFill="1" applyBorder="1"/>
    <xf numFmtId="0" fontId="65" fillId="10" borderId="93" xfId="0" applyFont="1" applyFill="1" applyBorder="1"/>
    <xf numFmtId="9" fontId="65" fillId="0" borderId="0" xfId="0" applyNumberFormat="1" applyFont="1"/>
    <xf numFmtId="0" fontId="65" fillId="0" borderId="6" xfId="0" applyFont="1" applyBorder="1" applyAlignment="1">
      <alignment horizontal="right"/>
    </xf>
    <xf numFmtId="0" fontId="68" fillId="0" borderId="1" xfId="0" applyFont="1" applyBorder="1" applyAlignment="1">
      <alignment horizontal="left"/>
    </xf>
    <xf numFmtId="167" fontId="65" fillId="0" borderId="0" xfId="0" applyNumberFormat="1" applyFont="1" applyAlignment="1">
      <alignment horizontal="right"/>
    </xf>
    <xf numFmtId="167" fontId="65" fillId="0" borderId="1" xfId="0" applyNumberFormat="1" applyFont="1" applyBorder="1"/>
    <xf numFmtId="0" fontId="65" fillId="0" borderId="45" xfId="0" applyFont="1" applyBorder="1"/>
    <xf numFmtId="167" fontId="68" fillId="10" borderId="44" xfId="0" applyNumberFormat="1" applyFont="1" applyFill="1" applyBorder="1" applyAlignment="1">
      <alignment horizontal="right"/>
    </xf>
    <xf numFmtId="0" fontId="68" fillId="10" borderId="87" xfId="0" applyFont="1" applyFill="1" applyBorder="1"/>
    <xf numFmtId="0" fontId="65" fillId="10" borderId="87" xfId="0" applyFont="1" applyFill="1" applyBorder="1"/>
    <xf numFmtId="0" fontId="65" fillId="10" borderId="95" xfId="0" applyFont="1" applyFill="1" applyBorder="1"/>
    <xf numFmtId="0" fontId="65" fillId="0" borderId="33" xfId="0" applyFont="1" applyBorder="1"/>
    <xf numFmtId="4" fontId="65" fillId="0" borderId="0" xfId="0" applyNumberFormat="1" applyFont="1"/>
    <xf numFmtId="0" fontId="65" fillId="0" borderId="33" xfId="0" applyFont="1" applyBorder="1" applyAlignment="1">
      <alignment horizontal="left"/>
    </xf>
    <xf numFmtId="0" fontId="68" fillId="0" borderId="33" xfId="0" applyFont="1" applyBorder="1" applyAlignment="1">
      <alignment horizontal="left"/>
    </xf>
    <xf numFmtId="9" fontId="97" fillId="0" borderId="0" xfId="0" applyNumberFormat="1" applyFont="1"/>
    <xf numFmtId="195" fontId="65" fillId="0" borderId="8" xfId="0" applyNumberFormat="1" applyFont="1" applyBorder="1" applyAlignment="1">
      <alignment horizontal="center"/>
    </xf>
    <xf numFmtId="167" fontId="65" fillId="0" borderId="179" xfId="0" applyNumberFormat="1" applyFont="1" applyBorder="1"/>
    <xf numFmtId="3" fontId="65" fillId="0" borderId="179" xfId="0" applyNumberFormat="1" applyFont="1" applyBorder="1" applyAlignment="1">
      <alignment horizontal="right"/>
    </xf>
    <xf numFmtId="195" fontId="65" fillId="0" borderId="82" xfId="0" applyNumberFormat="1" applyFont="1" applyBorder="1" applyAlignment="1">
      <alignment horizontal="center"/>
    </xf>
    <xf numFmtId="167" fontId="65" fillId="0" borderId="82" xfId="0" applyNumberFormat="1" applyFont="1" applyBorder="1" applyAlignment="1">
      <alignment horizontal="center"/>
    </xf>
    <xf numFmtId="167" fontId="65" fillId="0" borderId="82" xfId="0" applyNumberFormat="1" applyFont="1" applyBorder="1"/>
    <xf numFmtId="3" fontId="65" fillId="0" borderId="82" xfId="0" applyNumberFormat="1" applyFont="1" applyBorder="1" applyAlignment="1">
      <alignment horizontal="right"/>
    </xf>
    <xf numFmtId="3" fontId="65" fillId="0" borderId="5" xfId="0" applyNumberFormat="1" applyFont="1" applyBorder="1" applyAlignment="1">
      <alignment horizontal="right"/>
    </xf>
    <xf numFmtId="0" fontId="65" fillId="0" borderId="36" xfId="0" applyFont="1" applyBorder="1" applyAlignment="1">
      <alignment horizontal="center"/>
    </xf>
    <xf numFmtId="0" fontId="68" fillId="0" borderId="6" xfId="0" applyFont="1" applyBorder="1" applyAlignment="1">
      <alignment horizontal="left"/>
    </xf>
    <xf numFmtId="169" fontId="65" fillId="23" borderId="7" xfId="0" applyNumberFormat="1" applyFont="1" applyFill="1" applyBorder="1" applyAlignment="1">
      <alignment horizontal="center"/>
    </xf>
    <xf numFmtId="167" fontId="65" fillId="0" borderId="7" xfId="0" applyNumberFormat="1" applyFont="1" applyBorder="1" applyAlignment="1">
      <alignment horizontal="center"/>
    </xf>
    <xf numFmtId="195" fontId="65" fillId="0" borderId="7" xfId="0" applyNumberFormat="1" applyFont="1" applyBorder="1" applyAlignment="1">
      <alignment horizontal="center"/>
    </xf>
    <xf numFmtId="167" fontId="65" fillId="0" borderId="7" xfId="0" applyNumberFormat="1" applyFont="1" applyBorder="1"/>
    <xf numFmtId="3" fontId="65" fillId="0" borderId="7" xfId="0" applyNumberFormat="1" applyFont="1" applyBorder="1" applyAlignment="1">
      <alignment horizontal="right"/>
    </xf>
    <xf numFmtId="167" fontId="65" fillId="0" borderId="8" xfId="0" applyNumberFormat="1" applyFont="1" applyBorder="1"/>
    <xf numFmtId="0" fontId="68" fillId="0" borderId="92" xfId="0" applyFont="1" applyBorder="1"/>
    <xf numFmtId="195" fontId="65" fillId="0" borderId="4" xfId="0" applyNumberFormat="1" applyFont="1" applyBorder="1" applyAlignment="1">
      <alignment horizontal="center"/>
    </xf>
    <xf numFmtId="169" fontId="65" fillId="14" borderId="5" xfId="0" applyNumberFormat="1" applyFont="1" applyFill="1" applyBorder="1" applyAlignment="1">
      <alignment horizontal="center"/>
    </xf>
    <xf numFmtId="167" fontId="65" fillId="0" borderId="36" xfId="0" applyNumberFormat="1" applyFont="1" applyBorder="1"/>
    <xf numFmtId="0" fontId="68" fillId="10" borderId="159" xfId="0" applyFont="1" applyFill="1" applyBorder="1"/>
    <xf numFmtId="167" fontId="65" fillId="10" borderId="7" xfId="0" applyNumberFormat="1" applyFont="1" applyFill="1" applyBorder="1" applyAlignment="1">
      <alignment horizontal="center"/>
    </xf>
    <xf numFmtId="0" fontId="65" fillId="10" borderId="7" xfId="0" applyFont="1" applyFill="1" applyBorder="1" applyAlignment="1">
      <alignment horizontal="center"/>
    </xf>
    <xf numFmtId="167" fontId="68" fillId="10" borderId="7" xfId="0" applyNumberFormat="1" applyFont="1" applyFill="1" applyBorder="1" applyAlignment="1">
      <alignment horizontal="center"/>
    </xf>
    <xf numFmtId="0" fontId="65" fillId="10" borderId="7" xfId="0" applyFont="1" applyFill="1" applyBorder="1"/>
    <xf numFmtId="3" fontId="68" fillId="10" borderId="7" xfId="0" applyNumberFormat="1" applyFont="1" applyFill="1" applyBorder="1" applyAlignment="1">
      <alignment horizontal="right"/>
    </xf>
    <xf numFmtId="167" fontId="68" fillId="10" borderId="8" xfId="0" applyNumberFormat="1" applyFont="1" applyFill="1" applyBorder="1" applyAlignment="1">
      <alignment horizontal="center"/>
    </xf>
    <xf numFmtId="0" fontId="68" fillId="0" borderId="29" xfId="0" applyFont="1" applyBorder="1"/>
    <xf numFmtId="167" fontId="65" fillId="0" borderId="29" xfId="0" applyNumberFormat="1" applyFont="1" applyBorder="1" applyAlignment="1">
      <alignment horizontal="center"/>
    </xf>
    <xf numFmtId="0" fontId="65" fillId="0" borderId="29" xfId="0" applyFont="1" applyBorder="1" applyAlignment="1">
      <alignment horizontal="center"/>
    </xf>
    <xf numFmtId="0" fontId="68" fillId="0" borderId="29" xfId="0" applyFont="1" applyBorder="1" applyAlignment="1">
      <alignment horizontal="center"/>
    </xf>
    <xf numFmtId="0" fontId="65" fillId="0" borderId="29" xfId="0" applyFont="1" applyBorder="1"/>
    <xf numFmtId="0" fontId="68" fillId="8" borderId="19" xfId="0" applyFont="1" applyFill="1" applyBorder="1"/>
    <xf numFmtId="167" fontId="65" fillId="8" borderId="125" xfId="0" applyNumberFormat="1" applyFont="1" applyFill="1" applyBorder="1"/>
    <xf numFmtId="0" fontId="65" fillId="8" borderId="125" xfId="0" applyFont="1" applyFill="1" applyBorder="1"/>
    <xf numFmtId="0" fontId="65" fillId="8" borderId="20" xfId="0" applyFont="1" applyFill="1" applyBorder="1"/>
    <xf numFmtId="167" fontId="68" fillId="0" borderId="127" xfId="0" applyNumberFormat="1" applyFont="1" applyBorder="1" applyAlignment="1">
      <alignment horizontal="center" vertical="center"/>
    </xf>
    <xf numFmtId="0" fontId="68" fillId="0" borderId="5" xfId="0" applyFont="1" applyBorder="1" applyAlignment="1">
      <alignment horizontal="center" wrapText="1"/>
    </xf>
    <xf numFmtId="0" fontId="68" fillId="0" borderId="5" xfId="0" applyFont="1" applyBorder="1"/>
    <xf numFmtId="0" fontId="68" fillId="0" borderId="130" xfId="0" applyFont="1" applyBorder="1" applyAlignment="1">
      <alignment horizontal="center" wrapText="1"/>
    </xf>
    <xf numFmtId="0" fontId="65" fillId="0" borderId="99" xfId="0" applyFont="1" applyBorder="1" applyAlignment="1">
      <alignment horizontal="right" wrapText="1"/>
    </xf>
    <xf numFmtId="0" fontId="68" fillId="0" borderId="6" xfId="0" applyFont="1" applyBorder="1"/>
    <xf numFmtId="0" fontId="68" fillId="0" borderId="0" xfId="0" applyFont="1" applyAlignment="1">
      <alignment horizontal="right" vertical="center"/>
    </xf>
    <xf numFmtId="187" fontId="65" fillId="0" borderId="0" xfId="0" applyNumberFormat="1" applyFont="1" applyAlignment="1">
      <alignment horizontal="center"/>
    </xf>
    <xf numFmtId="0" fontId="65" fillId="0" borderId="0" xfId="0" applyFont="1" applyAlignment="1">
      <alignment horizontal="right"/>
    </xf>
    <xf numFmtId="0" fontId="65" fillId="0" borderId="99" xfId="0" applyFont="1" applyBorder="1" applyAlignment="1">
      <alignment horizontal="right"/>
    </xf>
    <xf numFmtId="0" fontId="68" fillId="10" borderId="101" xfId="0" applyFont="1" applyFill="1" applyBorder="1" applyAlignment="1">
      <alignment horizontal="right"/>
    </xf>
    <xf numFmtId="170" fontId="68" fillId="10" borderId="102" xfId="0" applyNumberFormat="1" applyFont="1" applyFill="1" applyBorder="1" applyAlignment="1">
      <alignment horizontal="center"/>
    </xf>
    <xf numFmtId="0" fontId="68" fillId="0" borderId="0" xfId="0" applyFont="1" applyAlignment="1">
      <alignment horizontal="left" wrapText="1"/>
    </xf>
    <xf numFmtId="0" fontId="113" fillId="0" borderId="0" xfId="0" applyFont="1"/>
    <xf numFmtId="0" fontId="68" fillId="10" borderId="133" xfId="0" applyFont="1" applyFill="1" applyBorder="1" applyAlignment="1">
      <alignment horizontal="center"/>
    </xf>
    <xf numFmtId="0" fontId="68" fillId="10" borderId="44" xfId="0" applyFont="1" applyFill="1" applyBorder="1" applyAlignment="1">
      <alignment horizontal="center" wrapText="1"/>
    </xf>
    <xf numFmtId="0" fontId="68" fillId="0" borderId="115" xfId="0" applyFont="1" applyBorder="1" applyAlignment="1">
      <alignment horizontal="center" wrapText="1"/>
    </xf>
    <xf numFmtId="0" fontId="68" fillId="10" borderId="115" xfId="0" applyFont="1" applyFill="1" applyBorder="1"/>
    <xf numFmtId="167" fontId="68" fillId="10" borderId="115" xfId="0" applyNumberFormat="1" applyFont="1" applyFill="1" applyBorder="1" applyAlignment="1">
      <alignment horizontal="center" wrapText="1"/>
    </xf>
    <xf numFmtId="0" fontId="65" fillId="0" borderId="5" xfId="0" quotePrefix="1" applyFont="1" applyBorder="1"/>
    <xf numFmtId="3" fontId="65" fillId="14" borderId="5" xfId="0" applyNumberFormat="1" applyFont="1" applyFill="1" applyBorder="1" applyAlignment="1">
      <alignment horizontal="center"/>
    </xf>
    <xf numFmtId="167" fontId="65" fillId="0" borderId="5" xfId="0" applyNumberFormat="1" applyFont="1" applyBorder="1" applyAlignment="1">
      <alignment horizontal="right"/>
    </xf>
    <xf numFmtId="195" fontId="65" fillId="0" borderId="5" xfId="0" applyNumberFormat="1" applyFont="1" applyBorder="1"/>
    <xf numFmtId="165" fontId="65" fillId="0" borderId="6" xfId="0" applyNumberFormat="1" applyFont="1" applyBorder="1" applyAlignment="1">
      <alignment horizontal="center"/>
    </xf>
    <xf numFmtId="4" fontId="65" fillId="0" borderId="5" xfId="0" applyNumberFormat="1" applyFont="1" applyBorder="1" applyAlignment="1">
      <alignment horizontal="right"/>
    </xf>
    <xf numFmtId="43" fontId="65" fillId="0" borderId="5" xfId="0" applyNumberFormat="1" applyFont="1" applyBorder="1" applyAlignment="1">
      <alignment horizontal="center"/>
    </xf>
    <xf numFmtId="198" fontId="65" fillId="0" borderId="130" xfId="0" applyNumberFormat="1" applyFont="1" applyBorder="1" applyAlignment="1">
      <alignment horizontal="right"/>
    </xf>
    <xf numFmtId="0" fontId="71" fillId="0" borderId="0" xfId="0" applyFont="1" applyAlignment="1">
      <alignment horizontal="right"/>
    </xf>
    <xf numFmtId="0" fontId="65" fillId="0" borderId="6" xfId="0" quotePrefix="1" applyFont="1" applyBorder="1"/>
    <xf numFmtId="3" fontId="65" fillId="14" borderId="6" xfId="0" applyNumberFormat="1" applyFont="1" applyFill="1" applyBorder="1" applyAlignment="1">
      <alignment horizontal="center"/>
    </xf>
    <xf numFmtId="195" fontId="65" fillId="0" borderId="6" xfId="0" applyNumberFormat="1" applyFont="1" applyBorder="1"/>
    <xf numFmtId="172" fontId="65" fillId="0" borderId="6" xfId="0" applyNumberFormat="1" applyFont="1" applyBorder="1" applyAlignment="1">
      <alignment horizontal="center"/>
    </xf>
    <xf numFmtId="4" fontId="65" fillId="0" borderId="6" xfId="0" applyNumberFormat="1" applyFont="1" applyBorder="1" applyAlignment="1">
      <alignment horizontal="right"/>
    </xf>
    <xf numFmtId="43" fontId="65" fillId="0" borderId="6" xfId="0" applyNumberFormat="1" applyFont="1" applyBorder="1" applyAlignment="1">
      <alignment horizontal="center"/>
    </xf>
    <xf numFmtId="199" fontId="65" fillId="0" borderId="130" xfId="0" applyNumberFormat="1" applyFont="1" applyBorder="1" applyAlignment="1">
      <alignment horizontal="right"/>
    </xf>
    <xf numFmtId="3" fontId="65" fillId="0" borderId="130" xfId="0" applyNumberFormat="1" applyFont="1" applyBorder="1" applyAlignment="1">
      <alignment horizontal="right"/>
    </xf>
    <xf numFmtId="196" fontId="68" fillId="10" borderId="44" xfId="0" applyNumberFormat="1" applyFont="1" applyFill="1" applyBorder="1"/>
    <xf numFmtId="164" fontId="68" fillId="10" borderId="102" xfId="0" applyNumberFormat="1" applyFont="1" applyFill="1" applyBorder="1" applyAlignment="1">
      <alignment horizontal="right"/>
    </xf>
    <xf numFmtId="0" fontId="71" fillId="0" borderId="0" xfId="0" applyFont="1"/>
    <xf numFmtId="0" fontId="113" fillId="0" borderId="42" xfId="0" applyFont="1" applyBorder="1"/>
    <xf numFmtId="0" fontId="68" fillId="10" borderId="102" xfId="0" applyFont="1" applyFill="1" applyBorder="1" applyAlignment="1">
      <alignment horizontal="center" wrapText="1"/>
    </xf>
    <xf numFmtId="0" fontId="65" fillId="0" borderId="2" xfId="0" applyFont="1" applyBorder="1" applyAlignment="1">
      <alignment horizontal="left"/>
    </xf>
    <xf numFmtId="3" fontId="65" fillId="0" borderId="5" xfId="0" applyNumberFormat="1" applyFont="1" applyBorder="1"/>
    <xf numFmtId="4" fontId="65" fillId="0" borderId="5" xfId="0" applyNumberFormat="1" applyFont="1" applyBorder="1"/>
    <xf numFmtId="166" fontId="65" fillId="0" borderId="130" xfId="0" applyNumberFormat="1" applyFont="1" applyBorder="1"/>
    <xf numFmtId="3" fontId="65" fillId="0" borderId="6" xfId="0" applyNumberFormat="1" applyFont="1" applyBorder="1"/>
    <xf numFmtId="4" fontId="65" fillId="0" borderId="6" xfId="0" applyNumberFormat="1" applyFont="1" applyBorder="1"/>
    <xf numFmtId="165" fontId="65" fillId="0" borderId="100" xfId="0" applyNumberFormat="1" applyFont="1" applyBorder="1"/>
    <xf numFmtId="1" fontId="65" fillId="0" borderId="100" xfId="0" applyNumberFormat="1" applyFont="1" applyBorder="1"/>
    <xf numFmtId="164" fontId="65" fillId="0" borderId="100" xfId="0" applyNumberFormat="1" applyFont="1" applyBorder="1"/>
    <xf numFmtId="0" fontId="68" fillId="10" borderId="193" xfId="0" applyFont="1" applyFill="1" applyBorder="1"/>
    <xf numFmtId="164" fontId="68" fillId="10" borderId="102" xfId="0" applyNumberFormat="1" applyFont="1" applyFill="1" applyBorder="1"/>
    <xf numFmtId="168" fontId="70" fillId="4" borderId="20" xfId="0" applyNumberFormat="1" applyFont="1" applyFill="1" applyBorder="1"/>
    <xf numFmtId="0" fontId="65" fillId="10" borderId="101" xfId="0" applyFont="1" applyFill="1" applyBorder="1"/>
    <xf numFmtId="0" fontId="65" fillId="10" borderId="53" xfId="0" applyFont="1" applyFill="1" applyBorder="1"/>
    <xf numFmtId="0" fontId="65" fillId="10" borderId="53" xfId="0" applyFont="1" applyFill="1" applyBorder="1" applyAlignment="1">
      <alignment wrapText="1"/>
    </xf>
    <xf numFmtId="3" fontId="65" fillId="0" borderId="133" xfId="0" applyNumberFormat="1" applyFont="1" applyBorder="1"/>
    <xf numFmtId="3" fontId="65" fillId="14" borderId="115" xfId="0" applyNumberFormat="1" applyFont="1" applyFill="1" applyBorder="1" applyAlignment="1">
      <alignment horizontal="center"/>
    </xf>
    <xf numFmtId="0" fontId="65" fillId="0" borderId="53" xfId="0" quotePrefix="1" applyFont="1" applyBorder="1" applyAlignment="1">
      <alignment horizontal="center"/>
    </xf>
    <xf numFmtId="3" fontId="65" fillId="0" borderId="53" xfId="0" applyNumberFormat="1" applyFont="1" applyBorder="1"/>
    <xf numFmtId="3" fontId="65" fillId="0" borderId="115" xfId="0" applyNumberFormat="1" applyFont="1" applyBorder="1" applyAlignment="1">
      <alignment horizontal="center"/>
    </xf>
    <xf numFmtId="177" fontId="65" fillId="0" borderId="132" xfId="0" applyNumberFormat="1" applyFont="1" applyBorder="1" applyAlignment="1">
      <alignment horizontal="center"/>
    </xf>
    <xf numFmtId="3" fontId="65" fillId="0" borderId="127" xfId="0" applyNumberFormat="1" applyFont="1" applyBorder="1"/>
    <xf numFmtId="0" fontId="65" fillId="14" borderId="5" xfId="0" applyFont="1" applyFill="1" applyBorder="1" applyAlignment="1">
      <alignment horizontal="right"/>
    </xf>
    <xf numFmtId="0" fontId="65" fillId="0" borderId="5" xfId="0" applyFont="1" applyBorder="1" applyAlignment="1">
      <alignment horizontal="right"/>
    </xf>
    <xf numFmtId="0" fontId="65" fillId="0" borderId="5" xfId="0" quotePrefix="1" applyFont="1" applyBorder="1" applyAlignment="1">
      <alignment horizontal="center"/>
    </xf>
    <xf numFmtId="3" fontId="65" fillId="0" borderId="5" xfId="0" applyNumberFormat="1" applyFont="1" applyBorder="1" applyAlignment="1">
      <alignment horizontal="center"/>
    </xf>
    <xf numFmtId="177" fontId="65" fillId="0" borderId="130" xfId="0" applyNumberFormat="1" applyFont="1" applyBorder="1" applyAlignment="1">
      <alignment horizontal="center"/>
    </xf>
    <xf numFmtId="0" fontId="65" fillId="14" borderId="6" xfId="0" applyFont="1" applyFill="1" applyBorder="1" applyAlignment="1">
      <alignment horizontal="right"/>
    </xf>
    <xf numFmtId="0" fontId="65" fillId="0" borderId="6" xfId="0" quotePrefix="1" applyFont="1" applyBorder="1" applyAlignment="1">
      <alignment horizontal="center"/>
    </xf>
    <xf numFmtId="177" fontId="65" fillId="0" borderId="100" xfId="0" applyNumberFormat="1" applyFont="1" applyBorder="1" applyAlignment="1">
      <alignment horizontal="center"/>
    </xf>
    <xf numFmtId="3" fontId="68" fillId="10" borderId="44" xfId="0" applyNumberFormat="1" applyFont="1" applyFill="1" applyBorder="1"/>
    <xf numFmtId="0" fontId="76" fillId="10" borderId="6" xfId="0" applyFont="1" applyFill="1" applyBorder="1"/>
    <xf numFmtId="2" fontId="67" fillId="0" borderId="0" xfId="0" applyNumberFormat="1" applyFont="1" applyAlignment="1">
      <alignment horizontal="right"/>
    </xf>
    <xf numFmtId="0" fontId="99" fillId="10" borderId="6" xfId="0" applyFont="1" applyFill="1" applyBorder="1" applyAlignment="1">
      <alignment horizontal="right"/>
    </xf>
    <xf numFmtId="3" fontId="76" fillId="10" borderId="6" xfId="0" applyNumberFormat="1" applyFont="1" applyFill="1" applyBorder="1" applyAlignment="1">
      <alignment horizontal="right"/>
    </xf>
    <xf numFmtId="2" fontId="76" fillId="0" borderId="0" xfId="0" applyNumberFormat="1" applyFont="1" applyAlignment="1">
      <alignment horizontal="right"/>
    </xf>
    <xf numFmtId="168" fontId="67" fillId="0" borderId="6" xfId="0" applyNumberFormat="1" applyFont="1" applyBorder="1"/>
    <xf numFmtId="2" fontId="67" fillId="0" borderId="6" xfId="0" applyNumberFormat="1" applyFont="1" applyBorder="1" applyAlignment="1">
      <alignment horizontal="right"/>
    </xf>
    <xf numFmtId="189" fontId="67" fillId="0" borderId="6" xfId="0" applyNumberFormat="1" applyFont="1" applyBorder="1"/>
    <xf numFmtId="170" fontId="67" fillId="0" borderId="6" xfId="0" applyNumberFormat="1" applyFont="1" applyBorder="1"/>
    <xf numFmtId="168" fontId="67" fillId="0" borderId="6" xfId="0" applyNumberFormat="1" applyFont="1" applyBorder="1" applyAlignment="1">
      <alignment horizontal="right"/>
    </xf>
    <xf numFmtId="177" fontId="67" fillId="0" borderId="6" xfId="0" applyNumberFormat="1" applyFont="1" applyBorder="1"/>
    <xf numFmtId="2" fontId="76" fillId="10" borderId="6" xfId="0" applyNumberFormat="1" applyFont="1" applyFill="1" applyBorder="1" applyAlignment="1">
      <alignment horizontal="right"/>
    </xf>
    <xf numFmtId="167" fontId="68" fillId="0" borderId="115" xfId="0" applyNumberFormat="1" applyFont="1" applyBorder="1" applyAlignment="1">
      <alignment horizontal="center" wrapText="1"/>
    </xf>
    <xf numFmtId="167" fontId="68" fillId="10" borderId="132" xfId="0" applyNumberFormat="1" applyFont="1" applyFill="1" applyBorder="1" applyAlignment="1">
      <alignment horizontal="center" wrapText="1"/>
    </xf>
    <xf numFmtId="167" fontId="68" fillId="0" borderId="184" xfId="0" applyNumberFormat="1" applyFont="1" applyBorder="1" applyAlignment="1">
      <alignment horizontal="center" wrapText="1"/>
    </xf>
    <xf numFmtId="0" fontId="68" fillId="0" borderId="115" xfId="0" applyFont="1" applyBorder="1" applyAlignment="1">
      <alignment horizontal="left" wrapText="1"/>
    </xf>
    <xf numFmtId="169" fontId="68" fillId="10" borderId="115" xfId="0" applyNumberFormat="1" applyFont="1" applyFill="1" applyBorder="1" applyAlignment="1">
      <alignment horizontal="center" wrapText="1"/>
    </xf>
    <xf numFmtId="0" fontId="68" fillId="0" borderId="133" xfId="0" applyFont="1" applyBorder="1"/>
    <xf numFmtId="0" fontId="68" fillId="10" borderId="130" xfId="0" applyFont="1" applyFill="1" applyBorder="1" applyAlignment="1">
      <alignment horizontal="center" wrapText="1"/>
    </xf>
    <xf numFmtId="0" fontId="67" fillId="2" borderId="171" xfId="0" applyFont="1" applyFill="1" applyBorder="1" applyAlignment="1">
      <alignment horizontal="left"/>
    </xf>
    <xf numFmtId="0" fontId="67" fillId="2" borderId="205" xfId="0" applyFont="1" applyFill="1" applyBorder="1" applyAlignment="1">
      <alignment horizontal="right"/>
    </xf>
    <xf numFmtId="0" fontId="116" fillId="0" borderId="101" xfId="0" quotePrefix="1" applyFont="1" applyBorder="1"/>
    <xf numFmtId="0" fontId="116" fillId="0" borderId="99" xfId="0" quotePrefix="1" applyFont="1" applyBorder="1"/>
    <xf numFmtId="0" fontId="108" fillId="0" borderId="0" xfId="0" applyFont="1"/>
    <xf numFmtId="0" fontId="117" fillId="0" borderId="0" xfId="0" applyFont="1" applyAlignment="1">
      <alignment vertical="center"/>
    </xf>
    <xf numFmtId="0" fontId="99" fillId="0" borderId="0" xfId="0" applyFont="1" applyAlignment="1">
      <alignment vertical="center"/>
    </xf>
    <xf numFmtId="0" fontId="67" fillId="0" borderId="0" xfId="0" applyFont="1" applyAlignment="1">
      <alignment horizontal="right" vertical="center"/>
    </xf>
    <xf numFmtId="0" fontId="99" fillId="0" borderId="0" xfId="0" applyFont="1" applyAlignment="1">
      <alignment horizontal="right"/>
    </xf>
    <xf numFmtId="0" fontId="74" fillId="23" borderId="6" xfId="0" applyFont="1" applyFill="1" applyBorder="1" applyAlignment="1">
      <alignment horizontal="center" vertical="center"/>
    </xf>
    <xf numFmtId="0" fontId="74" fillId="0" borderId="0" xfId="0" applyFont="1" applyAlignment="1">
      <alignment horizontal="center" vertical="center"/>
    </xf>
    <xf numFmtId="0" fontId="74" fillId="26" borderId="6" xfId="0" applyFont="1" applyFill="1" applyBorder="1" applyAlignment="1">
      <alignment horizontal="center" vertical="center"/>
    </xf>
    <xf numFmtId="0" fontId="118" fillId="0" borderId="0" xfId="0" applyFont="1" applyAlignment="1">
      <alignment vertical="center"/>
    </xf>
    <xf numFmtId="0" fontId="99" fillId="10" borderId="13" xfId="0" applyFont="1" applyFill="1" applyBorder="1" applyAlignment="1">
      <alignment vertical="center"/>
    </xf>
    <xf numFmtId="0" fontId="99" fillId="10" borderId="192" xfId="0" applyFont="1" applyFill="1" applyBorder="1" applyAlignment="1">
      <alignment vertical="center"/>
    </xf>
    <xf numFmtId="0" fontId="99" fillId="10" borderId="198" xfId="0" applyFont="1" applyFill="1" applyBorder="1" applyAlignment="1">
      <alignment vertical="center"/>
    </xf>
    <xf numFmtId="0" fontId="65" fillId="2" borderId="0" xfId="0" applyFont="1" applyFill="1" applyAlignment="1">
      <alignment horizontal="center"/>
    </xf>
    <xf numFmtId="0" fontId="76" fillId="5" borderId="127" xfId="0" applyFont="1" applyFill="1" applyBorder="1" applyAlignment="1">
      <alignment horizontal="center" vertical="center" wrapText="1"/>
    </xf>
    <xf numFmtId="0" fontId="76" fillId="5" borderId="17" xfId="0" applyFont="1" applyFill="1" applyBorder="1" applyAlignment="1">
      <alignment horizontal="center" vertical="center" wrapText="1"/>
    </xf>
    <xf numFmtId="0" fontId="76" fillId="5" borderId="5" xfId="0" applyFont="1" applyFill="1" applyBorder="1" applyAlignment="1">
      <alignment horizontal="center" vertical="center" wrapText="1"/>
    </xf>
    <xf numFmtId="0" fontId="76" fillId="5" borderId="5" xfId="0" applyFont="1" applyFill="1" applyBorder="1" applyAlignment="1">
      <alignment horizontal="center" wrapText="1"/>
    </xf>
    <xf numFmtId="0" fontId="67" fillId="5" borderId="5" xfId="0" applyFont="1" applyFill="1" applyBorder="1" applyAlignment="1">
      <alignment horizontal="center" wrapText="1"/>
    </xf>
    <xf numFmtId="0" fontId="76" fillId="5" borderId="130" xfId="0" applyFont="1" applyFill="1" applyBorder="1" applyAlignment="1">
      <alignment horizontal="center" vertical="center" wrapText="1"/>
    </xf>
    <xf numFmtId="0" fontId="65" fillId="2" borderId="0" xfId="0" applyFont="1" applyFill="1" applyAlignment="1">
      <alignment horizontal="right"/>
    </xf>
    <xf numFmtId="10" fontId="67" fillId="23" borderId="11" xfId="0" applyNumberFormat="1" applyFont="1" applyFill="1" applyBorder="1"/>
    <xf numFmtId="0" fontId="67" fillId="0" borderId="6" xfId="0" applyFont="1" applyBorder="1" applyAlignment="1">
      <alignment horizontal="center"/>
    </xf>
    <xf numFmtId="167" fontId="67" fillId="23" borderId="6" xfId="0" applyNumberFormat="1" applyFont="1" applyFill="1" applyBorder="1"/>
    <xf numFmtId="9" fontId="67" fillId="0" borderId="6" xfId="0" applyNumberFormat="1" applyFont="1" applyBorder="1"/>
    <xf numFmtId="0" fontId="67" fillId="0" borderId="6" xfId="0" quotePrefix="1" applyFont="1" applyBorder="1" applyAlignment="1">
      <alignment horizontal="center"/>
    </xf>
    <xf numFmtId="0" fontId="76" fillId="0" borderId="6" xfId="0" applyFont="1" applyBorder="1" applyAlignment="1">
      <alignment horizontal="center"/>
    </xf>
    <xf numFmtId="168" fontId="67" fillId="26" borderId="100" xfId="0" applyNumberFormat="1" applyFont="1" applyFill="1" applyBorder="1"/>
    <xf numFmtId="10" fontId="67" fillId="0" borderId="44" xfId="0" applyNumberFormat="1" applyFont="1" applyBorder="1"/>
    <xf numFmtId="10" fontId="67" fillId="23" borderId="193" xfId="0" applyNumberFormat="1" applyFont="1" applyFill="1" applyBorder="1"/>
    <xf numFmtId="0" fontId="67" fillId="0" borderId="44" xfId="0" applyFont="1" applyBorder="1" applyAlignment="1">
      <alignment horizontal="center"/>
    </xf>
    <xf numFmtId="167" fontId="67" fillId="23" borderId="44" xfId="0" applyNumberFormat="1" applyFont="1" applyFill="1" applyBorder="1"/>
    <xf numFmtId="2" fontId="67" fillId="0" borderId="44" xfId="0" applyNumberFormat="1" applyFont="1" applyBorder="1"/>
    <xf numFmtId="1" fontId="67" fillId="0" borderId="44" xfId="0" applyNumberFormat="1" applyFont="1" applyBorder="1"/>
    <xf numFmtId="170" fontId="67" fillId="0" borderId="44" xfId="0" applyNumberFormat="1" applyFont="1" applyBorder="1"/>
    <xf numFmtId="43" fontId="67" fillId="0" borderId="44" xfId="0" applyNumberFormat="1" applyFont="1" applyBorder="1"/>
    <xf numFmtId="9" fontId="67" fillId="0" borderId="44" xfId="0" applyNumberFormat="1" applyFont="1" applyBorder="1"/>
    <xf numFmtId="0" fontId="67" fillId="0" borderId="44" xfId="0" quotePrefix="1" applyFont="1" applyBorder="1" applyAlignment="1">
      <alignment horizontal="center"/>
    </xf>
    <xf numFmtId="0" fontId="76" fillId="0" borderId="44" xfId="0" applyFont="1" applyBorder="1" applyAlignment="1">
      <alignment horizontal="center"/>
    </xf>
    <xf numFmtId="168" fontId="67" fillId="26" borderId="102" xfId="0" applyNumberFormat="1" applyFont="1" applyFill="1" applyBorder="1"/>
    <xf numFmtId="0" fontId="99" fillId="10" borderId="176" xfId="0" applyFont="1" applyFill="1" applyBorder="1" applyAlignment="1">
      <alignment vertical="center"/>
    </xf>
    <xf numFmtId="0" fontId="67" fillId="10" borderId="198" xfId="0" applyFont="1" applyFill="1" applyBorder="1"/>
    <xf numFmtId="0" fontId="67" fillId="2" borderId="0" xfId="0" applyFont="1" applyFill="1"/>
    <xf numFmtId="0" fontId="67" fillId="5" borderId="5" xfId="0" applyFont="1" applyFill="1" applyBorder="1"/>
    <xf numFmtId="167" fontId="67" fillId="23" borderId="44" xfId="0" applyNumberFormat="1" applyFont="1" applyFill="1" applyBorder="1" applyAlignment="1">
      <alignment horizontal="center"/>
    </xf>
    <xf numFmtId="10" fontId="67" fillId="23" borderId="44" xfId="0" applyNumberFormat="1" applyFont="1" applyFill="1" applyBorder="1" applyAlignment="1">
      <alignment horizontal="center"/>
    </xf>
    <xf numFmtId="195" fontId="67" fillId="0" borderId="44" xfId="0" applyNumberFormat="1" applyFont="1" applyBorder="1" applyAlignment="1">
      <alignment vertical="center"/>
    </xf>
    <xf numFmtId="190" fontId="67" fillId="0" borderId="44" xfId="0" applyNumberFormat="1" applyFont="1" applyBorder="1"/>
    <xf numFmtId="2" fontId="67" fillId="0" borderId="44" xfId="0" applyNumberFormat="1" applyFont="1" applyBorder="1" applyAlignment="1">
      <alignment horizontal="center"/>
    </xf>
    <xf numFmtId="0" fontId="76" fillId="0" borderId="44" xfId="0" quotePrefix="1" applyFont="1" applyBorder="1" applyAlignment="1">
      <alignment horizontal="center"/>
    </xf>
    <xf numFmtId="0" fontId="76" fillId="2" borderId="0" xfId="0" applyFont="1" applyFill="1"/>
    <xf numFmtId="43" fontId="67" fillId="23" borderId="44" xfId="0" applyNumberFormat="1" applyFont="1" applyFill="1" applyBorder="1"/>
    <xf numFmtId="167" fontId="67" fillId="0" borderId="44" xfId="0" quotePrefix="1" applyNumberFormat="1" applyFont="1" applyBorder="1" applyAlignment="1">
      <alignment horizontal="center"/>
    </xf>
    <xf numFmtId="179" fontId="67" fillId="23" borderId="44" xfId="0" applyNumberFormat="1" applyFont="1" applyFill="1" applyBorder="1"/>
    <xf numFmtId="168" fontId="67" fillId="0" borderId="44" xfId="0" applyNumberFormat="1" applyFont="1" applyBorder="1"/>
    <xf numFmtId="168" fontId="67" fillId="0" borderId="44" xfId="0" applyNumberFormat="1" applyFont="1" applyBorder="1" applyAlignment="1">
      <alignment horizontal="center"/>
    </xf>
    <xf numFmtId="43" fontId="76" fillId="0" borderId="0" xfId="0" applyNumberFormat="1" applyFont="1"/>
    <xf numFmtId="9" fontId="76" fillId="0" borderId="0" xfId="0" applyNumberFormat="1" applyFont="1"/>
    <xf numFmtId="170" fontId="76" fillId="0" borderId="0" xfId="0" applyNumberFormat="1" applyFont="1"/>
    <xf numFmtId="0" fontId="67" fillId="5" borderId="5" xfId="0" applyFont="1" applyFill="1" applyBorder="1" applyAlignment="1">
      <alignment horizontal="center" vertical="center" wrapText="1"/>
    </xf>
    <xf numFmtId="167" fontId="67" fillId="23" borderId="101" xfId="0" applyNumberFormat="1" applyFont="1" applyFill="1" applyBorder="1" applyAlignment="1">
      <alignment horizontal="center"/>
    </xf>
    <xf numFmtId="193" fontId="67" fillId="0" borderId="44" xfId="0" applyNumberFormat="1" applyFont="1" applyBorder="1" applyAlignment="1">
      <alignment horizontal="center"/>
    </xf>
    <xf numFmtId="167" fontId="67" fillId="0" borderId="44" xfId="0" applyNumberFormat="1" applyFont="1" applyBorder="1" applyAlignment="1">
      <alignment horizontal="center"/>
    </xf>
    <xf numFmtId="43" fontId="67" fillId="0" borderId="44" xfId="0" applyNumberFormat="1" applyFont="1" applyBorder="1" applyAlignment="1">
      <alignment horizontal="center"/>
    </xf>
    <xf numFmtId="9" fontId="67" fillId="0" borderId="44" xfId="0" applyNumberFormat="1" applyFont="1" applyBorder="1" applyAlignment="1">
      <alignment horizontal="center"/>
    </xf>
    <xf numFmtId="43" fontId="67" fillId="0" borderId="0" xfId="0" applyNumberFormat="1" applyFont="1" applyAlignment="1">
      <alignment horizontal="center"/>
    </xf>
    <xf numFmtId="166" fontId="67" fillId="0" borderId="0" xfId="0" applyNumberFormat="1" applyFont="1" applyAlignment="1">
      <alignment horizontal="center"/>
    </xf>
    <xf numFmtId="0" fontId="76" fillId="5" borderId="127" xfId="0" applyFont="1" applyFill="1" applyBorder="1" applyAlignment="1">
      <alignment horizontal="center" wrapText="1"/>
    </xf>
    <xf numFmtId="0" fontId="67" fillId="0" borderId="5" xfId="0" applyFont="1" applyBorder="1" applyAlignment="1">
      <alignment horizontal="center" wrapText="1"/>
    </xf>
    <xf numFmtId="0" fontId="67" fillId="0" borderId="5" xfId="0" applyFont="1" applyBorder="1"/>
    <xf numFmtId="168" fontId="67" fillId="0" borderId="0" xfId="0" applyNumberFormat="1" applyFont="1" applyAlignment="1">
      <alignment horizontal="center"/>
    </xf>
    <xf numFmtId="166" fontId="65" fillId="0" borderId="0" xfId="0" applyNumberFormat="1" applyFont="1"/>
    <xf numFmtId="37" fontId="76" fillId="0" borderId="0" xfId="0" applyNumberFormat="1" applyFont="1" applyAlignment="1">
      <alignment horizontal="center"/>
    </xf>
    <xf numFmtId="37" fontId="67" fillId="0" borderId="0" xfId="0" applyNumberFormat="1" applyFont="1" applyAlignment="1">
      <alignment horizontal="center"/>
    </xf>
    <xf numFmtId="0" fontId="99" fillId="10" borderId="15" xfId="0" applyFont="1" applyFill="1" applyBorder="1" applyAlignment="1">
      <alignment vertical="center"/>
    </xf>
    <xf numFmtId="0" fontId="67" fillId="5" borderId="5" xfId="0" applyFont="1" applyFill="1" applyBorder="1" applyAlignment="1">
      <alignment vertical="center"/>
    </xf>
    <xf numFmtId="0" fontId="67" fillId="0" borderId="99" xfId="0" applyFont="1" applyBorder="1" applyAlignment="1">
      <alignment horizontal="center" wrapText="1"/>
    </xf>
    <xf numFmtId="0" fontId="67" fillId="23" borderId="6" xfId="0" applyFont="1" applyFill="1" applyBorder="1" applyAlignment="1">
      <alignment horizontal="center"/>
    </xf>
    <xf numFmtId="1" fontId="67" fillId="0" borderId="6" xfId="0" applyNumberFormat="1" applyFont="1" applyBorder="1" applyAlignment="1">
      <alignment horizontal="center"/>
    </xf>
    <xf numFmtId="167" fontId="67" fillId="0" borderId="6" xfId="0" applyNumberFormat="1" applyFont="1" applyBorder="1" applyAlignment="1">
      <alignment horizontal="center"/>
    </xf>
    <xf numFmtId="193" fontId="67" fillId="0" borderId="6" xfId="0" applyNumberFormat="1" applyFont="1" applyBorder="1" applyAlignment="1">
      <alignment horizontal="center"/>
    </xf>
    <xf numFmtId="43" fontId="67" fillId="0" borderId="6" xfId="0" applyNumberFormat="1" applyFont="1" applyBorder="1" applyAlignment="1">
      <alignment horizontal="center"/>
    </xf>
    <xf numFmtId="179" fontId="67" fillId="0" borderId="6" xfId="0" applyNumberFormat="1" applyFont="1" applyBorder="1" applyAlignment="1">
      <alignment horizontal="center"/>
    </xf>
    <xf numFmtId="190" fontId="67" fillId="0" borderId="6" xfId="0" applyNumberFormat="1" applyFont="1" applyBorder="1"/>
    <xf numFmtId="37" fontId="67" fillId="0" borderId="6" xfId="0" applyNumberFormat="1" applyFont="1" applyBorder="1" applyAlignment="1">
      <alignment horizontal="center"/>
    </xf>
    <xf numFmtId="0" fontId="67" fillId="0" borderId="101" xfId="0" applyFont="1" applyBorder="1" applyAlignment="1">
      <alignment horizontal="center" wrapText="1"/>
    </xf>
    <xf numFmtId="0" fontId="74" fillId="23" borderId="44" xfId="0" applyFont="1" applyFill="1" applyBorder="1" applyAlignment="1">
      <alignment horizontal="center"/>
    </xf>
    <xf numFmtId="1" fontId="67" fillId="0" borderId="44" xfId="0" applyNumberFormat="1" applyFont="1" applyBorder="1" applyAlignment="1">
      <alignment horizontal="center"/>
    </xf>
    <xf numFmtId="179" fontId="67" fillId="0" borderId="44" xfId="0" applyNumberFormat="1" applyFont="1" applyBorder="1" applyAlignment="1">
      <alignment horizontal="center"/>
    </xf>
    <xf numFmtId="37" fontId="67" fillId="0" borderId="44" xfId="0" applyNumberFormat="1" applyFont="1" applyBorder="1" applyAlignment="1">
      <alignment horizontal="center"/>
    </xf>
    <xf numFmtId="0" fontId="76" fillId="10" borderId="7" xfId="0" applyFont="1" applyFill="1" applyBorder="1"/>
    <xf numFmtId="0" fontId="76" fillId="10" borderId="7" xfId="0" applyFont="1" applyFill="1" applyBorder="1" applyAlignment="1">
      <alignment horizontal="center"/>
    </xf>
    <xf numFmtId="0" fontId="76" fillId="10" borderId="7" xfId="0" applyFont="1" applyFill="1" applyBorder="1" applyAlignment="1">
      <alignment horizontal="center" wrapText="1"/>
    </xf>
    <xf numFmtId="0" fontId="119" fillId="5" borderId="1" xfId="0" applyFont="1" applyFill="1" applyBorder="1"/>
    <xf numFmtId="0" fontId="67" fillId="5" borderId="4" xfId="0" applyFont="1" applyFill="1" applyBorder="1"/>
    <xf numFmtId="2" fontId="67" fillId="5" borderId="2" xfId="0" applyNumberFormat="1" applyFont="1" applyFill="1" applyBorder="1" applyAlignment="1">
      <alignment horizontal="right"/>
    </xf>
    <xf numFmtId="168" fontId="67" fillId="0" borderId="5" xfId="0" applyNumberFormat="1" applyFont="1" applyBorder="1"/>
    <xf numFmtId="0" fontId="67" fillId="0" borderId="5" xfId="0" applyFont="1" applyBorder="1" applyAlignment="1">
      <alignment horizontal="center"/>
    </xf>
    <xf numFmtId="2" fontId="67" fillId="0" borderId="5" xfId="0" applyNumberFormat="1" applyFont="1" applyBorder="1" applyAlignment="1">
      <alignment horizontal="right"/>
    </xf>
    <xf numFmtId="203" fontId="67" fillId="5" borderId="4" xfId="0" applyNumberFormat="1" applyFont="1" applyFill="1" applyBorder="1"/>
    <xf numFmtId="168" fontId="67" fillId="0" borderId="5" xfId="0" applyNumberFormat="1" applyFont="1" applyBorder="1" applyAlignment="1">
      <alignment horizontal="right"/>
    </xf>
    <xf numFmtId="0" fontId="1" fillId="0" borderId="0" xfId="0" applyFont="1"/>
    <xf numFmtId="0" fontId="120" fillId="0" borderId="0" xfId="0" applyFont="1" applyAlignment="1">
      <alignment wrapText="1"/>
    </xf>
    <xf numFmtId="0" fontId="1" fillId="0" borderId="0" xfId="0" applyFont="1" applyAlignment="1">
      <alignment wrapText="1"/>
    </xf>
    <xf numFmtId="0" fontId="1" fillId="0" borderId="0" xfId="0" applyFont="1" applyAlignment="1">
      <alignment horizontal="left" wrapText="1"/>
    </xf>
    <xf numFmtId="0" fontId="61" fillId="0" borderId="0" xfId="0" applyFont="1" applyAlignment="1">
      <alignment horizontal="center"/>
    </xf>
    <xf numFmtId="0" fontId="1" fillId="0" borderId="6" xfId="0" applyFont="1" applyBorder="1"/>
    <xf numFmtId="0" fontId="61" fillId="0" borderId="6" xfId="0" applyFont="1" applyBorder="1" applyAlignment="1">
      <alignment horizontal="center" wrapText="1"/>
    </xf>
    <xf numFmtId="0" fontId="1" fillId="0" borderId="6" xfId="0" applyFont="1" applyBorder="1" applyAlignment="1">
      <alignment horizontal="left"/>
    </xf>
    <xf numFmtId="167" fontId="1" fillId="0" borderId="0" xfId="0" applyNumberFormat="1" applyFont="1"/>
    <xf numFmtId="0" fontId="121" fillId="0" borderId="0" xfId="0" applyFont="1"/>
    <xf numFmtId="0" fontId="17" fillId="0" borderId="9" xfId="0" applyFont="1" applyBorder="1"/>
    <xf numFmtId="0" fontId="47" fillId="0" borderId="200" xfId="0" applyFont="1" applyBorder="1"/>
    <xf numFmtId="168" fontId="36" fillId="0" borderId="200" xfId="0" applyNumberFormat="1" applyFont="1" applyBorder="1"/>
    <xf numFmtId="0" fontId="16" fillId="0" borderId="78" xfId="0" applyFont="1" applyBorder="1"/>
    <xf numFmtId="0" fontId="9" fillId="0" borderId="89" xfId="0" applyFont="1" applyBorder="1"/>
    <xf numFmtId="0" fontId="16" fillId="0" borderId="92" xfId="0" applyFont="1" applyBorder="1"/>
    <xf numFmtId="0" fontId="9" fillId="0" borderId="93" xfId="0" applyFont="1" applyBorder="1"/>
    <xf numFmtId="0" fontId="8" fillId="2" borderId="1" xfId="0" applyFont="1" applyFill="1" applyBorder="1" applyAlignment="1">
      <alignment horizontal="center"/>
    </xf>
    <xf numFmtId="0" fontId="9" fillId="0" borderId="2" xfId="0" applyFont="1" applyBorder="1"/>
    <xf numFmtId="3" fontId="8" fillId="0" borderId="8" xfId="0" applyNumberFormat="1" applyFont="1" applyBorder="1" applyAlignment="1">
      <alignment horizontal="center"/>
    </xf>
    <xf numFmtId="0" fontId="9" fillId="0" borderId="10" xfId="0" applyFont="1" applyBorder="1"/>
    <xf numFmtId="0" fontId="15" fillId="7" borderId="13" xfId="0" applyFont="1" applyFill="1" applyBorder="1"/>
    <xf numFmtId="0" fontId="9" fillId="0" borderId="15" xfId="0" applyFont="1" applyBorder="1"/>
    <xf numFmtId="0" fontId="17" fillId="0" borderId="19" xfId="0" applyFont="1" applyBorder="1"/>
    <xf numFmtId="0" fontId="9" fillId="0" borderId="20" xfId="0" applyFont="1" applyBorder="1"/>
    <xf numFmtId="0" fontId="7" fillId="0" borderId="1" xfId="0" applyFont="1" applyBorder="1" applyAlignment="1">
      <alignment horizontal="center"/>
    </xf>
    <xf numFmtId="0" fontId="9" fillId="0" borderId="4" xfId="0" applyFont="1" applyBorder="1"/>
    <xf numFmtId="0" fontId="27" fillId="10" borderId="1" xfId="0" applyFont="1" applyFill="1" applyBorder="1"/>
    <xf numFmtId="0" fontId="30" fillId="2" borderId="1" xfId="0" applyFont="1" applyFill="1" applyBorder="1" applyAlignment="1">
      <alignment horizontal="center"/>
    </xf>
    <xf numFmtId="0" fontId="5" fillId="3" borderId="1" xfId="0" applyFont="1" applyFill="1" applyBorder="1"/>
    <xf numFmtId="0" fontId="14" fillId="0" borderId="1" xfId="0" applyFont="1" applyBorder="1"/>
    <xf numFmtId="0" fontId="67" fillId="2" borderId="1" xfId="0" applyFont="1" applyFill="1" applyBorder="1" applyAlignment="1">
      <alignment horizontal="center"/>
    </xf>
    <xf numFmtId="0" fontId="77" fillId="0" borderId="2" xfId="0" applyFont="1" applyBorder="1"/>
    <xf numFmtId="0" fontId="83" fillId="2" borderId="1" xfId="0" applyFont="1" applyFill="1" applyBorder="1" applyAlignment="1">
      <alignment horizontal="center"/>
    </xf>
    <xf numFmtId="0" fontId="90" fillId="0" borderId="2" xfId="0" applyFont="1" applyBorder="1"/>
    <xf numFmtId="0" fontId="7" fillId="2" borderId="1" xfId="0" applyFont="1" applyFill="1" applyBorder="1" applyAlignment="1">
      <alignment horizontal="center"/>
    </xf>
    <xf numFmtId="0" fontId="14" fillId="5" borderId="1" xfId="0" applyFont="1" applyFill="1" applyBorder="1" applyAlignment="1">
      <alignment horizontal="center"/>
    </xf>
    <xf numFmtId="0" fontId="5" fillId="0" borderId="126" xfId="0" applyFont="1" applyBorder="1" applyAlignment="1">
      <alignment wrapText="1"/>
    </xf>
    <xf numFmtId="0" fontId="9" fillId="0" borderId="128" xfId="0" applyFont="1" applyBorder="1" applyAlignment="1">
      <alignment wrapText="1"/>
    </xf>
    <xf numFmtId="0" fontId="5" fillId="0" borderId="124" xfId="0" applyFont="1" applyBorder="1"/>
    <xf numFmtId="0" fontId="9" fillId="0" borderId="127" xfId="0" applyFont="1" applyBorder="1"/>
    <xf numFmtId="0" fontId="5" fillId="5" borderId="55" xfId="0" applyFont="1" applyFill="1" applyBorder="1"/>
    <xf numFmtId="0" fontId="9" fillId="0" borderId="125" xfId="0" applyFont="1" applyBorder="1"/>
    <xf numFmtId="0" fontId="5" fillId="4" borderId="19" xfId="0" applyFont="1" applyFill="1" applyBorder="1" applyAlignment="1">
      <alignment horizontal="center"/>
    </xf>
    <xf numFmtId="0" fontId="5" fillId="10" borderId="92" xfId="0" applyFont="1" applyFill="1" applyBorder="1" applyAlignment="1">
      <alignment horizontal="center"/>
    </xf>
    <xf numFmtId="0" fontId="59" fillId="4" borderId="19" xfId="0" applyFont="1" applyFill="1" applyBorder="1" applyAlignment="1">
      <alignment horizontal="center"/>
    </xf>
    <xf numFmtId="0" fontId="7" fillId="0" borderId="1" xfId="0" applyFont="1" applyBorder="1"/>
    <xf numFmtId="0" fontId="76" fillId="5" borderId="145" xfId="0" applyFont="1" applyFill="1" applyBorder="1" applyAlignment="1">
      <alignment horizontal="center" wrapText="1"/>
    </xf>
    <xf numFmtId="0" fontId="77" fillId="0" borderId="146" xfId="0" applyFont="1" applyBorder="1"/>
    <xf numFmtId="0" fontId="77" fillId="0" borderId="147" xfId="0" applyFont="1" applyBorder="1"/>
    <xf numFmtId="0" fontId="67" fillId="0" borderId="0" xfId="0" applyFont="1" applyAlignment="1">
      <alignment wrapText="1"/>
    </xf>
    <xf numFmtId="0" fontId="74" fillId="0" borderId="0" xfId="0" applyFont="1"/>
    <xf numFmtId="0" fontId="69" fillId="0" borderId="2" xfId="0" applyFont="1" applyBorder="1"/>
    <xf numFmtId="0" fontId="99" fillId="0" borderId="0" xfId="0" applyFont="1"/>
    <xf numFmtId="0" fontId="63" fillId="0" borderId="0" xfId="0" applyFont="1"/>
    <xf numFmtId="0" fontId="108" fillId="11" borderId="1" xfId="0" applyFont="1" applyFill="1" applyBorder="1"/>
    <xf numFmtId="0" fontId="109" fillId="0" borderId="4" xfId="0" applyFont="1" applyBorder="1"/>
    <xf numFmtId="0" fontId="109" fillId="0" borderId="2" xfId="0" applyFont="1" applyBorder="1"/>
    <xf numFmtId="0" fontId="3" fillId="2" borderId="0" xfId="0" applyFont="1" applyFill="1"/>
    <xf numFmtId="0" fontId="0" fillId="0" borderId="0" xfId="0"/>
    <xf numFmtId="0" fontId="5" fillId="10" borderId="19" xfId="0" applyFont="1" applyFill="1" applyBorder="1" applyAlignment="1">
      <alignment horizontal="center" vertical="center" wrapText="1"/>
    </xf>
    <xf numFmtId="0" fontId="47" fillId="4" borderId="19" xfId="0" applyFont="1" applyFill="1" applyBorder="1" applyAlignment="1">
      <alignment horizontal="center"/>
    </xf>
    <xf numFmtId="0" fontId="47" fillId="26" borderId="19" xfId="0" applyFont="1" applyFill="1" applyBorder="1" applyAlignment="1">
      <alignment horizontal="center"/>
    </xf>
    <xf numFmtId="0" fontId="2" fillId="2" borderId="1" xfId="0" applyFont="1" applyFill="1" applyBorder="1" applyAlignment="1">
      <alignment horizontal="center"/>
    </xf>
    <xf numFmtId="0" fontId="49" fillId="0" borderId="0" xfId="0" applyFont="1"/>
    <xf numFmtId="0" fontId="47" fillId="9" borderId="19" xfId="0" applyFont="1" applyFill="1" applyBorder="1" applyAlignment="1">
      <alignment horizontal="center"/>
    </xf>
    <xf numFmtId="0" fontId="47" fillId="30" borderId="19" xfId="0" applyFont="1" applyFill="1" applyBorder="1" applyAlignment="1">
      <alignment horizontal="center"/>
    </xf>
    <xf numFmtId="0" fontId="8" fillId="0" borderId="200" xfId="1" applyFont="1"/>
    <xf numFmtId="181" fontId="8" fillId="0" borderId="200" xfId="1" applyNumberFormat="1" applyFont="1"/>
    <xf numFmtId="0" fontId="122" fillId="0" borderId="200" xfId="1"/>
    <xf numFmtId="164" fontId="8" fillId="0" borderId="200" xfId="1" applyNumberFormat="1" applyFont="1"/>
    <xf numFmtId="181" fontId="22" fillId="0" borderId="200" xfId="1" applyNumberFormat="1" applyFont="1"/>
    <xf numFmtId="181" fontId="8" fillId="0" borderId="0" xfId="0" applyNumberFormat="1" applyFont="1"/>
    <xf numFmtId="164" fontId="8" fillId="0" borderId="0" xfId="0" applyNumberFormat="1" applyFont="1"/>
  </cellXfs>
  <cellStyles count="2">
    <cellStyle name="Normal" xfId="0" builtinId="0"/>
    <cellStyle name="Normal 2" xfId="1" xr:uid="{B7172976-D7EB-4BCD-A487-C4F54BD804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customschemas.google.com/relationships/workbookmetadata" Target="metadata"/><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38100</xdr:colOff>
      <xdr:row>2</xdr:row>
      <xdr:rowOff>19050</xdr:rowOff>
    </xdr:from>
    <xdr:ext cx="8477250" cy="1095375"/>
    <xdr:sp macro="" textlink="">
      <xdr:nvSpPr>
        <xdr:cNvPr id="3" name="Shape 3">
          <a:extLst>
            <a:ext uri="{FF2B5EF4-FFF2-40B4-BE49-F238E27FC236}">
              <a16:creationId xmlns:a16="http://schemas.microsoft.com/office/drawing/2014/main" id="{00000000-0008-0000-0300-000003000000}"/>
            </a:ext>
          </a:extLst>
        </xdr:cNvPr>
        <xdr:cNvSpPr txBox="1"/>
      </xdr:nvSpPr>
      <xdr:spPr>
        <a:xfrm>
          <a:off x="285750" y="628650"/>
          <a:ext cx="8477250" cy="109537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None/>
          </a:pPr>
          <a:r>
            <a:rPr lang="en-US" sz="800"/>
            <a:t>Emissions in this sector are calculated using the methods of the U.S. Environmental Protection Agency’s (EPA) State Inventory Tool (SIT) with state-level fuel consumption data from the U.S. Energy Information Administration (EIA).</a:t>
          </a:r>
          <a:endParaRPr sz="800"/>
        </a:p>
        <a:p>
          <a:pPr marL="0" lvl="0" indent="0" algn="l" rtl="0">
            <a:spcBef>
              <a:spcPts val="0"/>
            </a:spcBef>
            <a:spcAft>
              <a:spcPts val="0"/>
            </a:spcAft>
            <a:buNone/>
          </a:pPr>
          <a:endParaRPr sz="800"/>
        </a:p>
        <a:p>
          <a:pPr marL="0" lvl="0" indent="0" algn="l" rtl="0">
            <a:spcBef>
              <a:spcPts val="0"/>
            </a:spcBef>
            <a:spcAft>
              <a:spcPts val="0"/>
            </a:spcAft>
            <a:buNone/>
          </a:pPr>
          <a:r>
            <a:rPr lang="en-US" sz="800"/>
            <a:t>CO2 emissions are calculated for each fuel as the product of fuel consumption, carbon content, and combustion efficiency. The resulting emissions are then converted from mass of carbon to CO2 by applying a ratio of the molecular weight of carbon dioxide to carbon.</a:t>
          </a:r>
          <a:endParaRPr sz="800"/>
        </a:p>
        <a:p>
          <a:pPr marL="0" lvl="0" indent="0" algn="l" rtl="0">
            <a:spcBef>
              <a:spcPts val="0"/>
            </a:spcBef>
            <a:spcAft>
              <a:spcPts val="0"/>
            </a:spcAft>
            <a:buNone/>
          </a:pPr>
          <a:endParaRPr sz="800"/>
        </a:p>
        <a:p>
          <a:pPr marL="0" lvl="0" indent="0" algn="l" rtl="0">
            <a:spcBef>
              <a:spcPts val="0"/>
            </a:spcBef>
            <a:spcAft>
              <a:spcPts val="0"/>
            </a:spcAft>
            <a:buNone/>
          </a:pPr>
          <a:r>
            <a:rPr lang="en-US" sz="800"/>
            <a:t>CH4 and N2O emissions are calculated for each fuel as the product of fuel consumption and emission factor. The resulting emissions in metric tons are then multiplied by the relevant global warming potential.</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2</xdr:row>
      <xdr:rowOff>0</xdr:rowOff>
    </xdr:from>
    <xdr:ext cx="7820025" cy="1143000"/>
    <xdr:sp macro="" textlink="">
      <xdr:nvSpPr>
        <xdr:cNvPr id="4" name="Shape 4">
          <a:extLst>
            <a:ext uri="{FF2B5EF4-FFF2-40B4-BE49-F238E27FC236}">
              <a16:creationId xmlns:a16="http://schemas.microsoft.com/office/drawing/2014/main" id="{00000000-0008-0000-0400-000004000000}"/>
            </a:ext>
          </a:extLst>
        </xdr:cNvPr>
        <xdr:cNvSpPr txBox="1"/>
      </xdr:nvSpPr>
      <xdr:spPr>
        <a:xfrm>
          <a:off x="1445525" y="3356153"/>
          <a:ext cx="7800900" cy="10353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None/>
          </a:pPr>
          <a:r>
            <a:rPr lang="en-US" sz="800"/>
            <a:t>Emissions in this sector are calculated using the methods of the U.S. Environmental Protection Agency’s (EPA) State Inventory Tool (SIT) with state-level fuel consumption data from the U.S. Energy Information Administration (EIA).</a:t>
          </a:r>
          <a:endParaRPr sz="800"/>
        </a:p>
        <a:p>
          <a:pPr marL="0" lvl="0" indent="0" algn="l" rtl="0">
            <a:spcBef>
              <a:spcPts val="0"/>
            </a:spcBef>
            <a:spcAft>
              <a:spcPts val="0"/>
            </a:spcAft>
            <a:buNone/>
          </a:pPr>
          <a:endParaRPr sz="800"/>
        </a:p>
        <a:p>
          <a:pPr marL="0" lvl="0" indent="0" algn="l" rtl="0">
            <a:spcBef>
              <a:spcPts val="0"/>
            </a:spcBef>
            <a:spcAft>
              <a:spcPts val="0"/>
            </a:spcAft>
            <a:buNone/>
          </a:pPr>
          <a:r>
            <a:rPr lang="en-US" sz="800"/>
            <a:t>CO2 emissions are calculated for each fuel as the product of fuel consumption, carbon content, and combustion efficiency. The resulting emissions are then converted from mass of carbon to CO2 by applying a ratio of the molecular weight of carbon dioxide to carbon.</a:t>
          </a:r>
          <a:endParaRPr sz="800"/>
        </a:p>
        <a:p>
          <a:pPr marL="0" lvl="0" indent="0" algn="l" rtl="0">
            <a:spcBef>
              <a:spcPts val="0"/>
            </a:spcBef>
            <a:spcAft>
              <a:spcPts val="0"/>
            </a:spcAft>
            <a:buNone/>
          </a:pPr>
          <a:endParaRPr sz="800"/>
        </a:p>
        <a:p>
          <a:pPr marL="0" lvl="0" indent="0" algn="l" rtl="0">
            <a:spcBef>
              <a:spcPts val="0"/>
            </a:spcBef>
            <a:spcAft>
              <a:spcPts val="0"/>
            </a:spcAft>
            <a:buNone/>
          </a:pPr>
          <a:r>
            <a:rPr lang="en-US" sz="800"/>
            <a:t>CH4 and N2O emissions are calculated for each fuel as the product of fuel consumption and emission factor. The resulting emissions in metric tons are then multiplied by the relevant global warming potential.</a:t>
          </a:r>
          <a:endParaRPr sz="800"/>
        </a:p>
        <a:p>
          <a:pPr marL="0" lvl="0" indent="0" algn="l" rtl="0">
            <a:spcBef>
              <a:spcPts val="0"/>
            </a:spcBef>
            <a:spcAft>
              <a:spcPts val="0"/>
            </a:spcAft>
            <a:buClr>
              <a:srgbClr val="000000"/>
            </a:buClr>
            <a:buSzPts val="800"/>
            <a:buFont typeface="Arial"/>
            <a:buNone/>
          </a:pPr>
          <a:endParaRPr sz="8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26670</xdr:colOff>
      <xdr:row>2</xdr:row>
      <xdr:rowOff>0</xdr:rowOff>
    </xdr:from>
    <xdr:ext cx="9829800" cy="1390650"/>
    <xdr:sp macro="" textlink="">
      <xdr:nvSpPr>
        <xdr:cNvPr id="5" name="Shape 5">
          <a:extLst>
            <a:ext uri="{FF2B5EF4-FFF2-40B4-BE49-F238E27FC236}">
              <a16:creationId xmlns:a16="http://schemas.microsoft.com/office/drawing/2014/main" id="{00000000-0008-0000-0500-000005000000}"/>
            </a:ext>
          </a:extLst>
        </xdr:cNvPr>
        <xdr:cNvSpPr txBox="1"/>
      </xdr:nvSpPr>
      <xdr:spPr>
        <a:xfrm>
          <a:off x="807720" y="371475"/>
          <a:ext cx="9829800" cy="139065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None/>
          </a:pPr>
          <a:r>
            <a:rPr lang="en-US" sz="800"/>
            <a:t>Emissions in this sector are calculated using the methods of the U.S. Environmental Protection Agency’s (EPA) State Inventory Tool (SIT) with state-level fuel consumption data from the U.S. Energy Information Administration (EIA).</a:t>
          </a:r>
          <a:endParaRPr sz="800"/>
        </a:p>
        <a:p>
          <a:pPr marL="0" lvl="0" indent="0" algn="l" rtl="0">
            <a:spcBef>
              <a:spcPts val="0"/>
            </a:spcBef>
            <a:spcAft>
              <a:spcPts val="0"/>
            </a:spcAft>
            <a:buNone/>
          </a:pPr>
          <a:endParaRPr sz="800"/>
        </a:p>
        <a:p>
          <a:pPr marL="0" lvl="0" indent="0" algn="l" rtl="0">
            <a:spcBef>
              <a:spcPts val="0"/>
            </a:spcBef>
            <a:spcAft>
              <a:spcPts val="0"/>
            </a:spcAft>
            <a:buNone/>
          </a:pPr>
          <a:r>
            <a:rPr lang="en-US" sz="800"/>
            <a:t>CO2 emissions are discounted for the carbon stored in fuel-derived products. First, the amount of non-energy consumption is calculated from total consumption by applying the percent of non-energy consumption. The non-energy consumption is then multiplied by the storage factor and the resulting amount of stored fuel is backed out of the total consumption. The result is the amount of fuel that is either combusted for energy or oxidized from the non-stored portion of non-energy consumption. In other words, it is the amount of fuel consumption that is combustible or oxidizable because the amount of fuel that will remain stored in non-energy uses has been subtracted out. Emissions are calculated for each fuel as the product of fuel consumption, carbon content, and combustion efficiency. The resulting emissions are then converted from mass of carbon to CO2 by applying a ratio of the molecular weight of carbon dioxide to carbon.</a:t>
          </a:r>
          <a:endParaRPr sz="800"/>
        </a:p>
        <a:p>
          <a:pPr marL="0" lvl="0" indent="0" algn="l" rtl="0">
            <a:spcBef>
              <a:spcPts val="0"/>
            </a:spcBef>
            <a:spcAft>
              <a:spcPts val="0"/>
            </a:spcAft>
            <a:buNone/>
          </a:pPr>
          <a:endParaRPr sz="800"/>
        </a:p>
        <a:p>
          <a:pPr marL="0" lvl="0" indent="0" algn="l" rtl="0">
            <a:spcBef>
              <a:spcPts val="0"/>
            </a:spcBef>
            <a:spcAft>
              <a:spcPts val="0"/>
            </a:spcAft>
            <a:buNone/>
          </a:pPr>
          <a:r>
            <a:rPr lang="en-US" sz="800"/>
            <a:t>CH4 and N2O emissions are calculated for each fuel as the product of fuel consumption and emission factor. The fuel consumption is only the consumption for energy use (the non-energy consumption is subtracted from the total consumption). The resulting emissions in metric tons are then multiplied by the relevant global warming potential.</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209550</xdr:colOff>
      <xdr:row>2</xdr:row>
      <xdr:rowOff>66675</xdr:rowOff>
    </xdr:from>
    <xdr:ext cx="10172700" cy="895350"/>
    <xdr:sp macro="" textlink="">
      <xdr:nvSpPr>
        <xdr:cNvPr id="6" name="Shape 6">
          <a:extLst>
            <a:ext uri="{FF2B5EF4-FFF2-40B4-BE49-F238E27FC236}">
              <a16:creationId xmlns:a16="http://schemas.microsoft.com/office/drawing/2014/main" id="{00000000-0008-0000-0600-000006000000}"/>
            </a:ext>
          </a:extLst>
        </xdr:cNvPr>
        <xdr:cNvSpPr txBox="1"/>
      </xdr:nvSpPr>
      <xdr:spPr>
        <a:xfrm>
          <a:off x="269175" y="3341850"/>
          <a:ext cx="10153650" cy="8763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mj-lt"/>
              <a:ea typeface="Arial"/>
              <a:cs typeface="Arial"/>
              <a:sym typeface="Arial"/>
            </a:rPr>
            <a:t>GHG emissions from fossil fuel combustion for on-road transportation are calculated </a:t>
          </a:r>
          <a:r>
            <a:rPr lang="en-US" sz="800">
              <a:latin typeface="+mj-lt"/>
            </a:rPr>
            <a:t>using</a:t>
          </a:r>
          <a:r>
            <a:rPr lang="en-US" sz="800" b="0" i="0" u="none" strike="noStrike">
              <a:solidFill>
                <a:srgbClr val="000000"/>
              </a:solidFill>
              <a:latin typeface="+mj-lt"/>
              <a:ea typeface="Arial"/>
              <a:cs typeface="Arial"/>
              <a:sym typeface="Arial"/>
            </a:rPr>
            <a:t> the EPA MOVES model. MOVES is the U.S. EPA Motor Vehicle Emission Simulator. It is used to create emission factors or emission inventories for both on-road motor vehicles and non-road equipment.  In the modeling process, the user specifies vehicle types, time </a:t>
          </a:r>
          <a:r>
            <a:rPr lang="en-US" sz="800">
              <a:latin typeface="+mj-lt"/>
            </a:rPr>
            <a:t>periods</a:t>
          </a:r>
          <a:r>
            <a:rPr lang="en-US" sz="800" b="0" i="0" u="none" strike="noStrike">
              <a:solidFill>
                <a:srgbClr val="000000"/>
              </a:solidFill>
              <a:latin typeface="+mj-lt"/>
              <a:ea typeface="Arial"/>
              <a:cs typeface="Arial"/>
              <a:sym typeface="Arial"/>
            </a:rPr>
            <a:t>, geographical areas, pollutants, vehicle operating characteristics, and road types to be modeled. The model </a:t>
          </a:r>
          <a:r>
            <a:rPr lang="en-US" sz="800">
              <a:latin typeface="+mj-lt"/>
            </a:rPr>
            <a:t>calculates</a:t>
          </a:r>
          <a:r>
            <a:rPr lang="en-US" sz="800" b="0" i="0" u="none" strike="noStrike">
              <a:solidFill>
                <a:srgbClr val="000000"/>
              </a:solidFill>
              <a:latin typeface="+mj-lt"/>
              <a:ea typeface="Arial"/>
              <a:cs typeface="Arial"/>
              <a:sym typeface="Arial"/>
            </a:rPr>
            <a:t> </a:t>
          </a:r>
          <a:r>
            <a:rPr lang="en-US" sz="800">
              <a:latin typeface="+mj-lt"/>
            </a:rPr>
            <a:t>vehicle</a:t>
          </a:r>
          <a:r>
            <a:rPr lang="en-US" sz="800" b="0" i="0" u="none" strike="noStrike">
              <a:solidFill>
                <a:srgbClr val="000000"/>
              </a:solidFill>
              <a:latin typeface="+mj-lt"/>
              <a:ea typeface="Arial"/>
              <a:cs typeface="Arial"/>
              <a:sym typeface="Arial"/>
            </a:rPr>
            <a:t> operating processes, such as running, starts, or hoteling, and provides estimates of total emissions or emission rates per vehicle or unit of activity. The resulting fuel emissions, in grams, are then converted to million metric tons of carbon dioxide equivalent (MMTCO</a:t>
          </a:r>
          <a:r>
            <a:rPr lang="en-US" sz="800" b="0" i="0" u="none" strike="noStrike" baseline="-25000">
              <a:solidFill>
                <a:srgbClr val="000000"/>
              </a:solidFill>
              <a:latin typeface="+mj-lt"/>
              <a:ea typeface="Arial"/>
              <a:cs typeface="Arial"/>
              <a:sym typeface="Arial"/>
            </a:rPr>
            <a:t>2</a:t>
          </a:r>
          <a:r>
            <a:rPr lang="en-US" sz="800">
              <a:latin typeface="+mj-lt"/>
            </a:rPr>
            <a:t>e</a:t>
          </a:r>
          <a:r>
            <a:rPr lang="en-US" sz="800" b="0" i="0" u="none" strike="noStrike">
              <a:solidFill>
                <a:srgbClr val="000000"/>
              </a:solidFill>
              <a:latin typeface="+mj-lt"/>
              <a:ea typeface="Arial"/>
              <a:cs typeface="Arial"/>
              <a:sym typeface="Arial"/>
            </a:rPr>
            <a:t>)</a:t>
          </a:r>
          <a:r>
            <a:rPr lang="en-US" sz="800">
              <a:latin typeface="+mj-lt"/>
            </a:rPr>
            <a:t>. </a:t>
          </a:r>
          <a:r>
            <a:rPr lang="en-US" sz="800" b="0" i="0" u="none" strike="noStrike">
              <a:solidFill>
                <a:srgbClr val="000000"/>
              </a:solidFill>
              <a:latin typeface="+mj-lt"/>
              <a:ea typeface="Arial"/>
              <a:cs typeface="Arial"/>
              <a:sym typeface="Arial"/>
            </a:rPr>
            <a:t>For further detail on this method, refer to EPA MOVES User's Guide.</a:t>
          </a:r>
          <a:endParaRPr sz="1400">
            <a:latin typeface="+mj-lt"/>
          </a:endParaRPr>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28575</xdr:colOff>
      <xdr:row>2</xdr:row>
      <xdr:rowOff>19050</xdr:rowOff>
    </xdr:from>
    <xdr:ext cx="10677525" cy="752475"/>
    <xdr:sp macro="" textlink="">
      <xdr:nvSpPr>
        <xdr:cNvPr id="7" name="Shape 7">
          <a:extLst>
            <a:ext uri="{FF2B5EF4-FFF2-40B4-BE49-F238E27FC236}">
              <a16:creationId xmlns:a16="http://schemas.microsoft.com/office/drawing/2014/main" id="{00000000-0008-0000-0700-000007000000}"/>
            </a:ext>
          </a:extLst>
        </xdr:cNvPr>
        <xdr:cNvSpPr txBox="1"/>
      </xdr:nvSpPr>
      <xdr:spPr>
        <a:xfrm>
          <a:off x="16763" y="3413288"/>
          <a:ext cx="10658475" cy="73342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a:t>Non-road equipment includes emissions from mobile equipment that are normally not operated on public roadways. The types of equipment included are listed below and are those reported by the U.S. Environmental Protection Agency (EPA) MOtor Vehicle Emission Simulator (MOVES) model. MOVES does not cover aircraft, locomotives, and commercial marine vessels.</a:t>
          </a:r>
          <a:endParaRPr sz="800"/>
        </a:p>
        <a:p>
          <a:pPr marL="0" lvl="0" indent="0" algn="l" rtl="0">
            <a:spcBef>
              <a:spcPts val="0"/>
            </a:spcBef>
            <a:spcAft>
              <a:spcPts val="0"/>
            </a:spcAft>
            <a:buClr>
              <a:srgbClr val="000000"/>
            </a:buClr>
            <a:buSzPts val="800"/>
            <a:buFont typeface="Arial"/>
            <a:buNone/>
          </a:pPr>
          <a:endParaRPr sz="800"/>
        </a:p>
        <a:p>
          <a:pPr marL="0" lvl="0" indent="0" algn="l" rtl="0">
            <a:spcBef>
              <a:spcPts val="0"/>
            </a:spcBef>
            <a:spcAft>
              <a:spcPts val="0"/>
            </a:spcAft>
            <a:buClr>
              <a:srgbClr val="000000"/>
            </a:buClr>
            <a:buSzPts val="800"/>
            <a:buFont typeface="Arial"/>
            <a:buNone/>
          </a:pPr>
          <a:r>
            <a:rPr lang="en-US" sz="800"/>
            <a:t>CO</a:t>
          </a:r>
          <a:r>
            <a:rPr lang="en-US" sz="800" baseline="-25000"/>
            <a:t>2</a:t>
          </a:r>
          <a:r>
            <a:rPr lang="en-US" sz="800"/>
            <a:t> and CH</a:t>
          </a:r>
          <a:r>
            <a:rPr lang="en-US" sz="800" baseline="-25000"/>
            <a:t>4</a:t>
          </a:r>
          <a:r>
            <a:rPr lang="en-US" sz="800"/>
            <a:t> emissions from non-road equipment are determined using the MOVES model nonroad module. The model estimates emissions and fuel consumption for the following fuels: gasoline, diesel, compressed natural gas, and liquefied petroleum gas. Note, MOVES does not model N2O emissions for non-road equipment.</a:t>
          </a:r>
          <a:endParaRPr sz="1400"/>
        </a:p>
      </xdr:txBody>
    </xdr: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2</xdr:row>
      <xdr:rowOff>0</xdr:rowOff>
    </xdr:from>
    <xdr:ext cx="10696575" cy="733425"/>
    <xdr:sp macro="" textlink="">
      <xdr:nvSpPr>
        <xdr:cNvPr id="8" name="Shape 8">
          <a:extLst>
            <a:ext uri="{FF2B5EF4-FFF2-40B4-BE49-F238E27FC236}">
              <a16:creationId xmlns:a16="http://schemas.microsoft.com/office/drawing/2014/main" id="{00000000-0008-0000-0800-000008000000}"/>
            </a:ext>
          </a:extLst>
        </xdr:cNvPr>
        <xdr:cNvSpPr txBox="1"/>
      </xdr:nvSpPr>
      <xdr:spPr>
        <a:xfrm>
          <a:off x="0" y="3422813"/>
          <a:ext cx="10692000" cy="71437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a:t>Other transportation includes the transportation modes of aviation, rail, and marine vessels and also includes emissions from the use of lubricants in the transportation sector.</a:t>
          </a:r>
          <a:endParaRPr sz="800"/>
        </a:p>
        <a:p>
          <a:pPr marL="0" lvl="0" indent="0" algn="l" rtl="0">
            <a:spcBef>
              <a:spcPts val="0"/>
            </a:spcBef>
            <a:spcAft>
              <a:spcPts val="0"/>
            </a:spcAft>
            <a:buClr>
              <a:srgbClr val="000000"/>
            </a:buClr>
            <a:buSzPts val="800"/>
            <a:buFont typeface="Arial"/>
            <a:buNone/>
          </a:pPr>
          <a:endParaRPr sz="800"/>
        </a:p>
        <a:p>
          <a:pPr marL="0" lvl="0" indent="0" algn="l" rtl="0">
            <a:spcBef>
              <a:spcPts val="0"/>
            </a:spcBef>
            <a:spcAft>
              <a:spcPts val="0"/>
            </a:spcAft>
            <a:buClr>
              <a:srgbClr val="000000"/>
            </a:buClr>
            <a:buSzPts val="800"/>
            <a:buFont typeface="Arial"/>
            <a:buNone/>
          </a:pPr>
          <a:r>
            <a:rPr lang="en-US" sz="800"/>
            <a:t>Emissions are calculated using the methods of the U.S. Environmental Protection Agency’s (EPA) State Inventory Tool (SIT) with state-level fuel consumption data from the U.S. Energy Information Administration (EIA). In simple terms, emissions are determined based on multiplying the amount of fuel consumption by emission factors. For CO</a:t>
          </a:r>
          <a:r>
            <a:rPr lang="en-US" sz="800" baseline="-25000"/>
            <a:t>2</a:t>
          </a:r>
          <a:r>
            <a:rPr lang="en-US" sz="800"/>
            <a:t> emissions, the emission factor is in the form of carbon content combined with combustion efficiency. Additionally, emissions from lubricants are discounted for the carbon stored through non-energy uses.</a:t>
          </a:r>
          <a:endParaRPr sz="1400"/>
        </a:p>
      </xdr:txBody>
    </xdr:sp>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2</xdr:row>
      <xdr:rowOff>0</xdr:rowOff>
    </xdr:from>
    <xdr:ext cx="10487025" cy="1162050"/>
    <xdr:sp macro="" textlink="">
      <xdr:nvSpPr>
        <xdr:cNvPr id="9" name="Shape 9">
          <a:extLst>
            <a:ext uri="{FF2B5EF4-FFF2-40B4-BE49-F238E27FC236}">
              <a16:creationId xmlns:a16="http://schemas.microsoft.com/office/drawing/2014/main" id="{00000000-0008-0000-0900-000009000000}"/>
            </a:ext>
          </a:extLst>
        </xdr:cNvPr>
        <xdr:cNvSpPr txBox="1"/>
      </xdr:nvSpPr>
      <xdr:spPr>
        <a:xfrm>
          <a:off x="112025" y="2694150"/>
          <a:ext cx="10467900" cy="11457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a:t>The natural gas industry sub-sector includes four categories of emissions.</a:t>
          </a:r>
          <a:endParaRPr sz="800"/>
        </a:p>
        <a:p>
          <a:pPr marL="0" lvl="0" indent="0" algn="l" rtl="0">
            <a:spcBef>
              <a:spcPts val="0"/>
            </a:spcBef>
            <a:spcAft>
              <a:spcPts val="0"/>
            </a:spcAft>
            <a:buClr>
              <a:srgbClr val="000000"/>
            </a:buClr>
            <a:buSzPts val="800"/>
            <a:buFont typeface="Arial"/>
            <a:buNone/>
          </a:pPr>
          <a:endParaRPr sz="800"/>
        </a:p>
        <a:p>
          <a:pPr marL="0" lvl="0" indent="0" algn="l" rtl="0">
            <a:spcBef>
              <a:spcPts val="0"/>
            </a:spcBef>
            <a:spcAft>
              <a:spcPts val="0"/>
            </a:spcAft>
            <a:buClr>
              <a:srgbClr val="000000"/>
            </a:buClr>
            <a:buSzPts val="800"/>
            <a:buFont typeface="Arial"/>
            <a:buNone/>
          </a:pPr>
          <a:r>
            <a:rPr lang="en-US" sz="800"/>
            <a:t>The production, transmission, and distribution categories are solely considering methane emissions. The methods and emission factors are from the U.S. Environmental Protection Agency’s (EPA) State Inventory Tool (SIT) Natural Gas and Oil Module. State-level activity data (wells, pipeline, services, stations) are from U.S. Department of Transportation (USDOT) Pipeline and Hazardous Materials Safety Administration (PHMSA) and U.S. Energy Information Administration (EIA).</a:t>
          </a:r>
          <a:endParaRPr sz="800"/>
        </a:p>
        <a:p>
          <a:pPr marL="0" lvl="0" indent="0" algn="l" rtl="0">
            <a:spcBef>
              <a:spcPts val="0"/>
            </a:spcBef>
            <a:spcAft>
              <a:spcPts val="0"/>
            </a:spcAft>
            <a:buClr>
              <a:srgbClr val="000000"/>
            </a:buClr>
            <a:buSzPts val="800"/>
            <a:buFont typeface="Arial"/>
            <a:buNone/>
          </a:pPr>
          <a:endParaRPr sz="800"/>
        </a:p>
        <a:p>
          <a:pPr marL="0" lvl="0" indent="0" algn="l" rtl="0">
            <a:spcBef>
              <a:spcPts val="0"/>
            </a:spcBef>
            <a:spcAft>
              <a:spcPts val="0"/>
            </a:spcAft>
            <a:buClr>
              <a:srgbClr val="000000"/>
            </a:buClr>
            <a:buSzPts val="800"/>
            <a:buFont typeface="Arial"/>
            <a:buNone/>
          </a:pPr>
          <a:r>
            <a:rPr lang="en-US" sz="800"/>
            <a:t>The category of pipeline/operations use covers combustion emissions associated with natural gas consumed at compressor stations and LNG facilities. The methods and emissions factors are from the EPA SIT Fossil Fuel Combustion Module (emission factors for CH4 and N2O are from the EPA SIT Stationary Combustion module). State-level fuel consumption data from the EIA.</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2</xdr:row>
      <xdr:rowOff>0</xdr:rowOff>
    </xdr:from>
    <xdr:ext cx="9877425" cy="2238375"/>
    <xdr:sp macro="" textlink="">
      <xdr:nvSpPr>
        <xdr:cNvPr id="10" name="Shape 10">
          <a:extLst>
            <a:ext uri="{FF2B5EF4-FFF2-40B4-BE49-F238E27FC236}">
              <a16:creationId xmlns:a16="http://schemas.microsoft.com/office/drawing/2014/main" id="{00000000-0008-0000-0A00-00000A000000}"/>
            </a:ext>
          </a:extLst>
        </xdr:cNvPr>
        <xdr:cNvSpPr txBox="1"/>
      </xdr:nvSpPr>
      <xdr:spPr>
        <a:xfrm>
          <a:off x="416825" y="2484600"/>
          <a:ext cx="9858300" cy="21507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Coal Mining are calculated by summing the emissions from underground mines, surface mines, and post-mining activities.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Underground mine emissions are comprised of two parts: methane emitted from ventilation systems and methane emitted from degasification systems. Emissions from degasification systems are equal to the difference between methane removed through degasification and methane used for energy purposes. </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Surface mine emissions are the product of surface coal mine production and a basin-specific EF.  </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Emissions from post-mining activities, such as transportation and coal handling, are equal to the sum of post-mining emissions from underground and surface mines; the emissions are each calculated as the product of coal production times a basin and mine-type specific EF.  </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Total emissions from coal mining are the sum of emissions from underground mines, surface mines, and post-mining activities at both types of mines.</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Abandoned Coal Mines are calculated by summing the emissions from mines that are vented, sealed, or flooded.</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Different coal seams vary in the amount of gas present initially and the way the methane is adsorbed to the coal (i.e. some coals release methane more readily than others).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A vented mine is one that can release methane to the atmosphere freely.  The emissions of vented mines will depend on time since abandonment and coal characteristics.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A sealed mine has been sealed to prevent the escape of methane.  However given the nature of the rock used to seal mines, such sealing is never 100 percent effective.  The effect of a seal is to slow the methane emissions to spread them out over a longer period of time.</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After a mine is abandoned and in a flood prone area, the mine will fill up with water.  A completely flooded mine releases little to no methane to the atmosphere.  Therefore, most emissions will occur in the first few years following abandonment.</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For more information, please refer to the Coal Mining chapter of the EPA SIT User's Guide.</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2</xdr:row>
      <xdr:rowOff>0</xdr:rowOff>
    </xdr:from>
    <xdr:ext cx="9734550" cy="1066800"/>
    <xdr:sp macro="" textlink="">
      <xdr:nvSpPr>
        <xdr:cNvPr id="11" name="Shape 11">
          <a:extLst>
            <a:ext uri="{FF2B5EF4-FFF2-40B4-BE49-F238E27FC236}">
              <a16:creationId xmlns:a16="http://schemas.microsoft.com/office/drawing/2014/main" id="{00000000-0008-0000-0B00-00000B000000}"/>
            </a:ext>
          </a:extLst>
        </xdr:cNvPr>
        <xdr:cNvSpPr txBox="1"/>
      </xdr:nvSpPr>
      <xdr:spPr>
        <a:xfrm>
          <a:off x="488250" y="3256125"/>
          <a:ext cx="9715500" cy="104775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cement production consist of CO2 emissions produced from the following processes that follow the EPA Mandatory Greenhouse Gases Reporting </a:t>
          </a:r>
          <a:r>
            <a:rPr lang="en-US" sz="800"/>
            <a:t>Methodology</a:t>
          </a:r>
          <a:r>
            <a:rPr lang="en-US" sz="800" b="0" i="0" u="none" strike="noStrike">
              <a:solidFill>
                <a:srgbClr val="000000"/>
              </a:solidFill>
              <a:latin typeface="Arial"/>
              <a:ea typeface="Arial"/>
              <a:cs typeface="Arial"/>
              <a:sym typeface="Arial"/>
            </a:rPr>
            <a:t>.</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Raw materials converted to Clinker;</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Calcinations of Clinker Kiln Dust (CKD) leaving the Kiln system;</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Organic carbon content of Raw Meal.</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masonry cement are accounted for in the Lime Production estimates).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wsDr>
</file>

<file path=xl/drawings/drawing10.xml><?xml version="1.0" encoding="utf-8"?>
<xdr:wsDr xmlns:xdr="http://schemas.openxmlformats.org/drawingml/2006/spreadsheetDrawing" xmlns:a="http://schemas.openxmlformats.org/drawingml/2006/main">
  <xdr:oneCellAnchor>
    <xdr:from>
      <xdr:col>1</xdr:col>
      <xdr:colOff>19050</xdr:colOff>
      <xdr:row>1</xdr:row>
      <xdr:rowOff>9525</xdr:rowOff>
    </xdr:from>
    <xdr:ext cx="7372350" cy="923925"/>
    <xdr:sp macro="" textlink="">
      <xdr:nvSpPr>
        <xdr:cNvPr id="12" name="Shape 12">
          <a:extLst>
            <a:ext uri="{FF2B5EF4-FFF2-40B4-BE49-F238E27FC236}">
              <a16:creationId xmlns:a16="http://schemas.microsoft.com/office/drawing/2014/main" id="{00000000-0008-0000-0C00-00000C000000}"/>
            </a:ext>
          </a:extLst>
        </xdr:cNvPr>
        <xdr:cNvSpPr txBox="1"/>
      </xdr:nvSpPr>
      <xdr:spPr>
        <a:xfrm>
          <a:off x="1664588" y="3322800"/>
          <a:ext cx="7362825" cy="9144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900" b="0" i="0" u="none" strike="noStrike">
              <a:solidFill>
                <a:srgbClr val="000000"/>
              </a:solidFill>
              <a:latin typeface="+mn-lt"/>
              <a:ea typeface="Arial"/>
              <a:cs typeface="Arial"/>
              <a:sym typeface="Arial"/>
            </a:rPr>
            <a:t>Emissions from iron &amp; steel production processes produce greenhouse gas emissions. Predominant sources of process-related CO2 emissions in the iron and steel manufacturing industry include:</a:t>
          </a:r>
          <a:endParaRPr sz="900">
            <a:latin typeface="+mn-lt"/>
          </a:endParaRPr>
        </a:p>
        <a:p>
          <a:pPr marL="0" lvl="0" indent="0" algn="l" rtl="0">
            <a:spcBef>
              <a:spcPts val="0"/>
            </a:spcBef>
            <a:spcAft>
              <a:spcPts val="0"/>
            </a:spcAft>
            <a:buClr>
              <a:srgbClr val="000000"/>
            </a:buClr>
            <a:buSzPts val="800"/>
            <a:buFont typeface="Arial"/>
            <a:buNone/>
          </a:pPr>
          <a:r>
            <a:rPr lang="en-US" sz="900" b="0" i="0" u="none" strike="noStrike">
              <a:solidFill>
                <a:srgbClr val="000000"/>
              </a:solidFill>
              <a:latin typeface="+mn-lt"/>
              <a:ea typeface="Arial"/>
              <a:cs typeface="Arial"/>
              <a:sym typeface="Arial"/>
            </a:rPr>
            <a:t>        • Sinter Strand;</a:t>
          </a:r>
          <a:endParaRPr sz="900">
            <a:latin typeface="+mn-lt"/>
          </a:endParaRPr>
        </a:p>
        <a:p>
          <a:pPr marL="0" lvl="0" indent="0" algn="l" rtl="0">
            <a:spcBef>
              <a:spcPts val="0"/>
            </a:spcBef>
            <a:spcAft>
              <a:spcPts val="0"/>
            </a:spcAft>
            <a:buClr>
              <a:srgbClr val="000000"/>
            </a:buClr>
            <a:buSzPts val="800"/>
            <a:buFont typeface="Arial"/>
            <a:buNone/>
          </a:pPr>
          <a:r>
            <a:rPr lang="en-US" sz="900" b="0" i="0" u="none" strike="noStrike">
              <a:solidFill>
                <a:srgbClr val="000000"/>
              </a:solidFill>
              <a:latin typeface="+mn-lt"/>
              <a:ea typeface="Arial"/>
              <a:cs typeface="Arial"/>
              <a:sym typeface="Arial"/>
            </a:rPr>
            <a:t>        • L-Blast Furnace (Iron production);</a:t>
          </a:r>
          <a:endParaRPr sz="900">
            <a:latin typeface="+mn-lt"/>
          </a:endParaRPr>
        </a:p>
        <a:p>
          <a:pPr marL="0" lvl="0" indent="0" algn="l" rtl="0">
            <a:spcBef>
              <a:spcPts val="0"/>
            </a:spcBef>
            <a:spcAft>
              <a:spcPts val="0"/>
            </a:spcAft>
            <a:buClr>
              <a:srgbClr val="000000"/>
            </a:buClr>
            <a:buSzPts val="800"/>
            <a:buFont typeface="Arial"/>
            <a:buNone/>
          </a:pPr>
          <a:r>
            <a:rPr lang="en-US" sz="900" b="0" i="0" u="none" strike="noStrike">
              <a:solidFill>
                <a:srgbClr val="000000"/>
              </a:solidFill>
              <a:latin typeface="+mn-lt"/>
              <a:ea typeface="Arial"/>
              <a:cs typeface="Arial"/>
              <a:sym typeface="Arial"/>
            </a:rPr>
            <a:t>        • Basic Oxygen Furnace –Steel Production (BOF).</a:t>
          </a:r>
          <a:endParaRPr sz="900">
            <a:latin typeface="+mn-lt"/>
          </a:endParaRPr>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oneCellAnchor>
    <xdr:from>
      <xdr:col>0</xdr:col>
      <xdr:colOff>-29175075</xdr:colOff>
      <xdr:row>15</xdr:row>
      <xdr:rowOff>-34318575</xdr:rowOff>
    </xdr:from>
    <xdr:ext cx="69903975" cy="69903975"/>
    <xdr:sp macro="" textlink="">
      <xdr:nvSpPr>
        <xdr:cNvPr id="13" name="Shape 13">
          <a:extLst>
            <a:ext uri="{FF2B5EF4-FFF2-40B4-BE49-F238E27FC236}">
              <a16:creationId xmlns:a16="http://schemas.microsoft.com/office/drawing/2014/main" id="{00000000-0008-0000-0C00-00000D000000}"/>
            </a:ext>
          </a:extLst>
        </xdr:cNvPr>
        <xdr:cNvSpPr/>
      </xdr:nvSpPr>
      <xdr:spPr>
        <a:xfrm rot="-33577">
          <a:off x="255" y="-361"/>
          <a:ext cx="10691490" cy="7560721"/>
        </a:xfrm>
        <a:prstGeom prst="rect">
          <a:avLst/>
        </a:prstGeom>
        <a:noFill/>
        <a:ln>
          <a:noFill/>
        </a:ln>
        <a:effectLst>
          <a:outerShdw blurRad="149987" dist="250190" dir="8460000" algn="ctr">
            <a:srgbClr val="000000">
              <a:alpha val="22745"/>
            </a:srgbClr>
          </a:outerShdw>
        </a:effectLst>
      </xdr:spPr>
      <xdr:txBody>
        <a:bodyPr spcFirstLastPara="1" wrap="square" lIns="91425" tIns="45700" rIns="91425" bIns="45700" anchor="t" anchorCtr="0">
          <a:noAutofit/>
        </a:bodyPr>
        <a:lstStyle/>
        <a:p>
          <a:pPr marL="0" lvl="0" indent="0" algn="ctr" rtl="0">
            <a:spcBef>
              <a:spcPts val="0"/>
            </a:spcBef>
            <a:spcAft>
              <a:spcPts val="0"/>
            </a:spcAft>
            <a:buClr>
              <a:srgbClr val="F4F0E2"/>
            </a:buClr>
            <a:buSzPts val="5400"/>
            <a:buFont typeface="Calibri"/>
            <a:buNone/>
          </a:pPr>
          <a:r>
            <a:rPr lang="en-US" sz="5400" b="1" cap="none">
              <a:solidFill>
                <a:srgbClr val="F4F0E2"/>
              </a:solidFill>
              <a:latin typeface="Calibri"/>
              <a:ea typeface="Calibri"/>
              <a:cs typeface="Calibri"/>
              <a:sym typeface="Calibri"/>
            </a:rPr>
            <a:t>F               I            N           A       L</a:t>
          </a:r>
          <a:endParaRPr sz="1400"/>
        </a:p>
      </xdr:txBody>
    </xdr:sp>
    <xdr:clientData fLocksWithSheet="0"/>
  </xdr:oneCellAnchor>
</xdr:wsDr>
</file>

<file path=xl/drawings/drawing11.xml><?xml version="1.0" encoding="utf-8"?>
<xdr:wsDr xmlns:xdr="http://schemas.openxmlformats.org/drawingml/2006/spreadsheetDrawing" xmlns:a="http://schemas.openxmlformats.org/drawingml/2006/main">
  <xdr:oneCellAnchor>
    <xdr:from>
      <xdr:col>1</xdr:col>
      <xdr:colOff>19050</xdr:colOff>
      <xdr:row>2</xdr:row>
      <xdr:rowOff>9525</xdr:rowOff>
    </xdr:from>
    <xdr:ext cx="10067925" cy="2200275"/>
    <xdr:sp macro="" textlink="">
      <xdr:nvSpPr>
        <xdr:cNvPr id="14" name="Shape 14">
          <a:extLst>
            <a:ext uri="{FF2B5EF4-FFF2-40B4-BE49-F238E27FC236}">
              <a16:creationId xmlns:a16="http://schemas.microsoft.com/office/drawing/2014/main" id="{00000000-0008-0000-0D00-00000E000000}"/>
            </a:ext>
          </a:extLst>
        </xdr:cNvPr>
        <xdr:cNvSpPr txBox="1"/>
      </xdr:nvSpPr>
      <xdr:spPr>
        <a:xfrm>
          <a:off x="321575" y="2475075"/>
          <a:ext cx="10048800" cy="21816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Limestone &amp; Dolomite</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limestone and dolomite use result from industrial consumption.  The quantities of limestone consumed for industrial purposes, dolomite consumed for industrial purposes, and magnesium produced from dolomite are multiplied by their respective emission factors.  Industrial uses include the consumption of limestone and dolomite for flux stone production, glass manufacturing, flue gas desulfurization (FGD), Mg production through the thermic reduction of dolomite, chemical stone manufacturing, mine dusting or acid water treatment, acid neutralization, and sugar refining.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Soda Ash</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soda ash manufacture and consumption are calculated by multiplying the quantity of soda ash manufactured and the quantity of soda ash consumed by their respective emission factors.  Maryland does not manufacture soda ash.</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endParaRPr sz="800"/>
        </a:p>
        <a:p>
          <a:pPr marL="0" lvl="0" indent="0" algn="l" rtl="0">
            <a:spcBef>
              <a:spcPts val="0"/>
            </a:spcBef>
            <a:spcAft>
              <a:spcPts val="0"/>
            </a:spcAft>
            <a:buClr>
              <a:srgbClr val="000000"/>
            </a:buClr>
            <a:buSzPts val="800"/>
            <a:buFont typeface="Arial"/>
            <a:buNone/>
          </a:pPr>
          <a:r>
            <a:rPr lang="en-US" sz="800" b="1"/>
            <a:t>Ammonia Production and Urea Consumption</a:t>
          </a:r>
          <a:endParaRPr sz="800" b="1"/>
        </a:p>
        <a:p>
          <a:pPr marL="0" lvl="0" indent="0" algn="l" rtl="0">
            <a:spcBef>
              <a:spcPts val="0"/>
            </a:spcBef>
            <a:spcAft>
              <a:spcPts val="0"/>
            </a:spcAft>
            <a:buSzPts val="800"/>
            <a:buFont typeface="Arial"/>
            <a:buNone/>
          </a:pPr>
          <a:r>
            <a:rPr lang="en-US" sz="800"/>
            <a:t>Emissions from ammonia production and urea application are calculated by multiplying the quantity of ammonia produced and urea applied by their respective emission factors. Emissions from urea application are subtracted from emissions due to ammonia production.</a:t>
          </a:r>
          <a:endParaRPr sz="800"/>
        </a:p>
        <a:p>
          <a:pPr marL="0" lvl="0" indent="0" algn="l" rtl="0">
            <a:spcBef>
              <a:spcPts val="0"/>
            </a:spcBef>
            <a:spcAft>
              <a:spcPts val="0"/>
            </a:spcAft>
            <a:buSzPts val="800"/>
            <a:buFont typeface="Arial"/>
            <a:buNone/>
          </a:pPr>
          <a:endParaRPr sz="800"/>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Electric Power Transmission and Distribution</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electric power transmission and distribution are calculated by multiplying the quantity of SF6 consumed by an emission factor.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Additional information on these calculations is available in the </a:t>
          </a:r>
          <a:r>
            <a:rPr lang="en-US" sz="800"/>
            <a:t>Industrial Processes Chapter of the EPA State Inventory Tool User's Guide</a:t>
          </a:r>
          <a:r>
            <a:rPr lang="en-US" sz="800" b="0" i="0" u="none" strike="noStrike">
              <a:solidFill>
                <a:srgbClr val="000000"/>
              </a:solidFill>
              <a:latin typeface="Arial"/>
              <a:ea typeface="Arial"/>
              <a:cs typeface="Arial"/>
              <a:sym typeface="Arial"/>
            </a:rPr>
            <a:t>.</a:t>
          </a:r>
          <a:endParaRPr sz="800" b="0" i="0" u="none" strike="noStrike">
            <a:solidFill>
              <a:srgbClr val="000000"/>
            </a:solidFill>
            <a:latin typeface="Arial"/>
            <a:ea typeface="Arial"/>
            <a:cs typeface="Arial"/>
            <a:sym typeface="Arial"/>
          </a:endParaRPr>
        </a:p>
      </xdr:txBody>
    </xdr:sp>
    <xdr:clientData fLocksWithSheet="0"/>
  </xdr:oneCellAnchor>
</xdr:wsDr>
</file>

<file path=xl/drawings/drawing12.xml><?xml version="1.0" encoding="utf-8"?>
<xdr:wsDr xmlns:xdr="http://schemas.openxmlformats.org/drawingml/2006/spreadsheetDrawing" xmlns:a="http://schemas.openxmlformats.org/drawingml/2006/main">
  <xdr:oneCellAnchor>
    <xdr:from>
      <xdr:col>1</xdr:col>
      <xdr:colOff>19050</xdr:colOff>
      <xdr:row>2</xdr:row>
      <xdr:rowOff>19050</xdr:rowOff>
    </xdr:from>
    <xdr:ext cx="10629900" cy="5734050"/>
    <xdr:sp macro="" textlink="">
      <xdr:nvSpPr>
        <xdr:cNvPr id="15" name="Shape 15">
          <a:extLst>
            <a:ext uri="{FF2B5EF4-FFF2-40B4-BE49-F238E27FC236}">
              <a16:creationId xmlns:a16="http://schemas.microsoft.com/office/drawing/2014/main" id="{00000000-0008-0000-1000-00000F000000}"/>
            </a:ext>
          </a:extLst>
        </xdr:cNvPr>
        <xdr:cNvSpPr txBox="1"/>
      </xdr:nvSpPr>
      <xdr:spPr>
        <a:xfrm>
          <a:off x="0" y="1470200"/>
          <a:ext cx="10617900" cy="57108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mn-lt"/>
              <a:ea typeface="Arial"/>
              <a:cs typeface="Arial"/>
              <a:sym typeface="Arial"/>
            </a:rPr>
            <a:t>Enteric Fermentation</a:t>
          </a:r>
          <a:endParaRPr sz="800" b="0" i="0" u="none" strike="noStrike">
            <a:solidFill>
              <a:srgbClr val="000000"/>
            </a:solidFill>
            <a:latin typeface="+mn-lt"/>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mn-lt"/>
              <a:ea typeface="Arial"/>
              <a:cs typeface="Arial"/>
              <a:sym typeface="Arial"/>
            </a:rPr>
            <a:t>Emissions from Enteric Fermentation are calculated by multiplying each animal population by an animal- and region-specific emission factor.  Those resulting values, in kg CH4, are then converted to million metric tons (MMTCH4) and</a:t>
          </a:r>
          <a:r>
            <a:rPr lang="en-US" sz="800">
              <a:latin typeface="+mn-lt"/>
            </a:rPr>
            <a:t> </a:t>
          </a:r>
          <a:r>
            <a:rPr lang="en-US" sz="800" b="0" i="0" u="none" strike="noStrike">
              <a:solidFill>
                <a:srgbClr val="000000"/>
              </a:solidFill>
              <a:latin typeface="+mn-lt"/>
              <a:ea typeface="Arial"/>
              <a:cs typeface="Arial"/>
              <a:sym typeface="Arial"/>
            </a:rPr>
            <a:t>MMT carbon dioxide  equivalent (MMTCO2E), and then summed across animal types within a given year.</a:t>
          </a:r>
          <a:endParaRPr sz="1400">
            <a:latin typeface="+mn-lt"/>
          </a:endParaRPr>
        </a:p>
        <a:p>
          <a:pPr marL="0" lvl="0" indent="0" algn="l" rtl="0">
            <a:spcBef>
              <a:spcPts val="0"/>
            </a:spcBef>
            <a:spcAft>
              <a:spcPts val="0"/>
            </a:spcAft>
            <a:buSzPts val="800"/>
            <a:buFont typeface="Arial"/>
            <a:buNone/>
          </a:pPr>
          <a:endParaRPr sz="800" b="0" i="0" u="none" strike="noStrike">
            <a:solidFill>
              <a:srgbClr val="000000"/>
            </a:solidFill>
            <a:latin typeface="+mn-lt"/>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mn-lt"/>
              <a:ea typeface="Arial"/>
              <a:cs typeface="Arial"/>
              <a:sym typeface="Arial"/>
            </a:rPr>
            <a:t>Manure Management</a:t>
          </a:r>
          <a:endParaRPr sz="800" b="0" i="0" u="none" strike="noStrike">
            <a:solidFill>
              <a:srgbClr val="000000"/>
            </a:solidFill>
            <a:latin typeface="+mn-lt"/>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mn-lt"/>
              <a:ea typeface="Arial"/>
              <a:cs typeface="Arial"/>
              <a:sym typeface="Arial"/>
            </a:rPr>
            <a:t>Methane emissions from Manure Management are calculated by multiplying each animal population by the typical animal mass (TAM) and the average volatile solids (VS) produced per kilogram (kg) of animal mass per year to estimate the amount of VS produced. For each animal, this VS total is </a:t>
          </a:r>
          <a:r>
            <a:rPr lang="en-US" sz="800">
              <a:latin typeface="+mn-lt"/>
            </a:rPr>
            <a:t>multiplied</a:t>
          </a:r>
          <a:r>
            <a:rPr lang="en-US" sz="800" b="0" i="0" u="none" strike="noStrike">
              <a:solidFill>
                <a:srgbClr val="000000"/>
              </a:solidFill>
              <a:latin typeface="+mn-lt"/>
              <a:ea typeface="Arial"/>
              <a:cs typeface="Arial"/>
              <a:sym typeface="Arial"/>
            </a:rPr>
            <a:t> by the maximum potential emissions factor and by the methane conversion factor (MCF) of the manure system by the percentage manure managed in that system.  This yields methane emissions in cubic meters which are then converted to MMT carbon dioxide equivalent (MMTCO2E), and then summed.</a:t>
          </a:r>
          <a:endParaRPr sz="1400">
            <a:latin typeface="+mn-lt"/>
          </a:endParaRPr>
        </a:p>
        <a:p>
          <a:pPr marL="0" lvl="0" indent="0" algn="l" rtl="0">
            <a:spcBef>
              <a:spcPts val="0"/>
            </a:spcBef>
            <a:spcAft>
              <a:spcPts val="0"/>
            </a:spcAft>
            <a:buSzPts val="800"/>
            <a:buFont typeface="Arial"/>
            <a:buNone/>
          </a:pPr>
          <a:endParaRPr sz="800" b="0" i="0" u="none" strike="noStrike">
            <a:solidFill>
              <a:srgbClr val="000000"/>
            </a:solidFill>
            <a:latin typeface="+mn-lt"/>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mn-lt"/>
              <a:ea typeface="Arial"/>
              <a:cs typeface="Arial"/>
              <a:sym typeface="Arial"/>
            </a:rPr>
            <a:t>N2O emissions from Manure Management are calculated by multiplying each animal population by the typical animal mass (TAM) by the amount of Kjejdahl nitrogen produced per kilogram of animal mass per year. This value is then multiplied by a non-volatization factor and the proportion of waste processed in liquid and solid management systems to give two totals of unvolatized N.  Each of these are multiplied by an emission factor specific to the management system to give two totals of nitrogen emissions. These totals are then summed and converted to N2O.  This amount is then converted to MMT carbon dioxide equivalent (MMTCO2E), and then summed.  </a:t>
          </a:r>
          <a:endParaRPr sz="1400">
            <a:latin typeface="+mn-lt"/>
          </a:endParaRPr>
        </a:p>
        <a:p>
          <a:pPr marL="0" lvl="0" indent="0" algn="l" rtl="0">
            <a:spcBef>
              <a:spcPts val="0"/>
            </a:spcBef>
            <a:spcAft>
              <a:spcPts val="0"/>
            </a:spcAft>
            <a:buSzPts val="800"/>
            <a:buFont typeface="Arial"/>
            <a:buNone/>
          </a:pPr>
          <a:endParaRPr sz="800" b="0" i="0" u="none" strike="noStrike">
            <a:solidFill>
              <a:srgbClr val="000000"/>
            </a:solidFill>
            <a:latin typeface="+mn-lt"/>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mn-lt"/>
              <a:ea typeface="Arial"/>
              <a:cs typeface="Arial"/>
              <a:sym typeface="Arial"/>
            </a:rPr>
            <a:t>Ag Soils – Plant: Residues &amp; Legumes</a:t>
          </a:r>
          <a:endParaRPr sz="800" b="0" i="0" u="none" strike="noStrike">
            <a:solidFill>
              <a:srgbClr val="000000"/>
            </a:solidFill>
            <a:latin typeface="+mn-lt"/>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mn-lt"/>
              <a:ea typeface="Arial"/>
              <a:cs typeface="Arial"/>
              <a:sym typeface="Arial"/>
            </a:rPr>
            <a:t>Emissions from Plant Residues are calculated by first converting the crop production to metric tons.  This value is multiplied by the ratio of plant residue to crop mass, the fraction of dry matter in the residue, the fraction of residue applied, and the N content of the residue.  These values are summed to yield total N returned to soils, multiplied by an emission factor (EF), and converted to N2O.  For Legumes, the crop production is multiplied by the residue to crop mass ratio, the dry matter fraction, and the N content of above-ground biomass.  These values are then summed to yield total N-fixed by crops, multiplied by an EF, and converted to N2O.  Emissions from histosols are calculated by converting acres cultivated into hectares, multiplying by an EF, and then converting to N2O.  This amount is converted to MMT carbon dioxide equivalent (MMTCO2E).</a:t>
          </a:r>
          <a:endParaRPr sz="1400">
            <a:latin typeface="+mn-lt"/>
          </a:endParaRPr>
        </a:p>
        <a:p>
          <a:pPr marL="0" lvl="0" indent="0" algn="l" rtl="0">
            <a:spcBef>
              <a:spcPts val="0"/>
            </a:spcBef>
            <a:spcAft>
              <a:spcPts val="0"/>
            </a:spcAft>
            <a:buSzPts val="800"/>
            <a:buFont typeface="Arial"/>
            <a:buNone/>
          </a:pPr>
          <a:endParaRPr sz="800" b="0" i="0" u="none" strike="noStrike">
            <a:solidFill>
              <a:srgbClr val="000000"/>
            </a:solidFill>
            <a:latin typeface="+mn-lt"/>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mn-lt"/>
              <a:ea typeface="Arial"/>
              <a:cs typeface="Arial"/>
              <a:sym typeface="Arial"/>
            </a:rPr>
            <a:t>Ag Soils – Plant: Fertilizers</a:t>
          </a:r>
          <a:endParaRPr sz="800" b="0" i="0" u="none" strike="noStrike">
            <a:solidFill>
              <a:srgbClr val="000000"/>
            </a:solidFill>
            <a:latin typeface="+mn-lt"/>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mn-lt"/>
              <a:ea typeface="Arial"/>
              <a:cs typeface="Arial"/>
              <a:sym typeface="Arial"/>
            </a:rPr>
            <a:t>Emissions of N2O from Fertilizers are calculated by first adjusting synthetic and organic fertilizer use data (in kg N) to calendar year.  The amount of N in synthetic fertilizer is multiplied by a synthetic volatilization rate to estimate volatilized N.  According to the IPCC Good Practice Guidance, the manure portion of organic fertilizers is subtracted from the total of organic fertilizers. Then, the amount of N in non-manure organic fertilizer is multiplied by the fraction N in other organics and by an organic volatilization rate to estimate organic volatilized N.  Unvolatilized N for synthetic and organic fertilizer is calculated using the remaining fraction of the volatilization rates.  These categories are summed, multiplied by an EF, and converted to metric tons of N2O emitted.  </a:t>
          </a:r>
          <a:endParaRPr sz="1400">
            <a:latin typeface="+mn-lt"/>
          </a:endParaRPr>
        </a:p>
        <a:p>
          <a:pPr marL="0" lvl="0" indent="0" algn="l" rtl="0">
            <a:spcBef>
              <a:spcPts val="0"/>
            </a:spcBef>
            <a:spcAft>
              <a:spcPts val="0"/>
            </a:spcAft>
            <a:buSzPts val="800"/>
            <a:buFont typeface="Arial"/>
            <a:buNone/>
          </a:pPr>
          <a:endParaRPr sz="800" b="0" i="0" u="none" strike="noStrike">
            <a:solidFill>
              <a:srgbClr val="000000"/>
            </a:solidFill>
            <a:latin typeface="+mn-lt"/>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mn-lt"/>
              <a:ea typeface="Arial"/>
              <a:cs typeface="Arial"/>
              <a:sym typeface="Arial"/>
            </a:rPr>
            <a:t>Ag Soils – Animals</a:t>
          </a:r>
          <a:endParaRPr sz="800" b="0" i="0" u="none" strike="noStrike">
            <a:solidFill>
              <a:srgbClr val="000000"/>
            </a:solidFill>
            <a:latin typeface="+mn-lt"/>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mn-lt"/>
              <a:ea typeface="Arial"/>
              <a:cs typeface="Arial"/>
              <a:sym typeface="Arial"/>
            </a:rPr>
            <a:t>Emissions from Animals are calculated by multiplying each animal population by the typical animal mass (TAM) by the amount of K-Nitrogen (K-N) produced per kilogram of animal mass per year for total K-N excreted.  Indirect emissions are estimated by multiplying K-N by a volatization rate and EF to give emissions of N.  Direct emissions from pasture, range, and paddock are calculated by multiplying K-N by the percent of manure in pastures and an EF for that system.  Direct emissions from manure applied to soils are calculated by multiplying K-N for daily spread and managed systems by the percent of manure in these systems and an EF for each system, excluding a small percent of managed manure used as feed.  These totals are then summed and converted to N2O.  Unvolatized N from fertilizers, calculated on the previous worksheet, and K-N from manure are multiplied by a leaching EF to give emissions from leaching and runoff.  The emissions summary for each year converts the total direct and indirect estimates for livestock and runoff/leaching to MTN2O, and then MMT carbon dioxide equivalent (MMTCO2E).</a:t>
          </a:r>
          <a:endParaRPr sz="1400">
            <a:latin typeface="+mn-lt"/>
          </a:endParaRPr>
        </a:p>
        <a:p>
          <a:pPr marL="0" lvl="0" indent="0" algn="l" rtl="0">
            <a:spcBef>
              <a:spcPts val="0"/>
            </a:spcBef>
            <a:spcAft>
              <a:spcPts val="0"/>
            </a:spcAft>
            <a:buSzPts val="800"/>
            <a:buFont typeface="Arial"/>
            <a:buNone/>
          </a:pPr>
          <a:endParaRPr sz="800" b="0" i="0" u="none" strike="noStrike">
            <a:solidFill>
              <a:srgbClr val="000000"/>
            </a:solidFill>
            <a:latin typeface="+mn-lt"/>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mn-lt"/>
              <a:ea typeface="Arial"/>
              <a:cs typeface="Arial"/>
              <a:sym typeface="Arial"/>
            </a:rPr>
            <a:t>Ag Residue Burning</a:t>
          </a:r>
          <a:endParaRPr sz="800" b="0" i="0" u="none" strike="noStrike">
            <a:solidFill>
              <a:srgbClr val="000000"/>
            </a:solidFill>
            <a:latin typeface="+mn-lt"/>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mn-lt"/>
              <a:ea typeface="Arial"/>
              <a:cs typeface="Arial"/>
              <a:sym typeface="Arial"/>
            </a:rPr>
            <a:t>Emissions from Agricultural Residue Burning are calculated by multiplying the amount of crop produced by a series of factors to calculate the amount of crop residue produced and burned, the resultant dry matter, and the carbon/nitrogen content of this dry matter.  From these, the amount of carbon and nitrogen released can be determined, and thus methane and nitrous oxide emissions quantified.  Those resulting values, in metric tons of gas, are converted to million metric tons carbon dioxide equivalent MMTCO2E, and then summed.</a:t>
          </a:r>
          <a:endParaRPr sz="1400">
            <a:latin typeface="+mn-lt"/>
          </a:endParaRPr>
        </a:p>
        <a:p>
          <a:pPr marL="0" lvl="0" indent="0" algn="l" rtl="0">
            <a:spcBef>
              <a:spcPts val="0"/>
            </a:spcBef>
            <a:spcAft>
              <a:spcPts val="0"/>
            </a:spcAft>
            <a:buSzPts val="800"/>
            <a:buFont typeface="Arial"/>
            <a:buNone/>
          </a:pPr>
          <a:endParaRPr sz="800">
            <a:latin typeface="+mn-lt"/>
          </a:endParaRPr>
        </a:p>
        <a:p>
          <a:pPr marL="0" lvl="0" indent="0" algn="l" rtl="0">
            <a:spcBef>
              <a:spcPts val="0"/>
            </a:spcBef>
            <a:spcAft>
              <a:spcPts val="0"/>
            </a:spcAft>
            <a:buSzPts val="800"/>
            <a:buFont typeface="Arial"/>
            <a:buNone/>
          </a:pPr>
          <a:r>
            <a:rPr lang="en-US" sz="800" b="1">
              <a:latin typeface="+mn-lt"/>
            </a:rPr>
            <a:t>Urea Fertilization</a:t>
          </a:r>
          <a:endParaRPr sz="800" b="1">
            <a:latin typeface="+mn-lt"/>
          </a:endParaRPr>
        </a:p>
        <a:p>
          <a:pPr marL="0" lvl="0" indent="0" algn="l" rtl="0">
            <a:spcBef>
              <a:spcPts val="0"/>
            </a:spcBef>
            <a:spcAft>
              <a:spcPts val="0"/>
            </a:spcAft>
            <a:buSzPts val="800"/>
            <a:buFont typeface="Arial"/>
            <a:buNone/>
          </a:pPr>
          <a:r>
            <a:rPr lang="en-US" sz="800">
              <a:latin typeface="+mn-lt"/>
            </a:rPr>
            <a:t>The use of urea as a fertilizer results in CO2 emissions that were previously fixed during the industrial production process. The amount of urea applied to soil is multiplied by the carbon emission factor, and then converted to million metric tons carbon dioxide equivalent.</a:t>
          </a:r>
          <a:endParaRPr sz="800">
            <a:latin typeface="+mn-lt"/>
          </a:endParaRPr>
        </a:p>
        <a:p>
          <a:pPr marL="0" lvl="0" indent="0" algn="l" rtl="0">
            <a:spcBef>
              <a:spcPts val="0"/>
            </a:spcBef>
            <a:spcAft>
              <a:spcPts val="0"/>
            </a:spcAft>
            <a:buSzPts val="800"/>
            <a:buFont typeface="Arial"/>
            <a:buNone/>
          </a:pPr>
          <a:endParaRPr sz="800">
            <a:latin typeface="+mn-lt"/>
          </a:endParaRPr>
        </a:p>
        <a:p>
          <a:pPr marL="0" lvl="0" indent="0" algn="l" rtl="0">
            <a:spcBef>
              <a:spcPts val="0"/>
            </a:spcBef>
            <a:spcAft>
              <a:spcPts val="0"/>
            </a:spcAft>
            <a:buSzPts val="800"/>
            <a:buFont typeface="Arial"/>
            <a:buNone/>
          </a:pPr>
          <a:r>
            <a:rPr lang="en-US" sz="800" b="1">
              <a:latin typeface="+mn-lt"/>
            </a:rPr>
            <a:t>Liming of Soils</a:t>
          </a:r>
          <a:endParaRPr sz="800">
            <a:latin typeface="+mn-lt"/>
          </a:endParaRPr>
        </a:p>
        <a:p>
          <a:pPr marL="0" lvl="0" indent="0" algn="l" rtl="0">
            <a:spcBef>
              <a:spcPts val="0"/>
            </a:spcBef>
            <a:spcAft>
              <a:spcPts val="0"/>
            </a:spcAft>
            <a:buSzPts val="800"/>
            <a:buFont typeface="Arial"/>
            <a:buNone/>
          </a:pPr>
          <a:r>
            <a:rPr lang="en-US" sz="800">
              <a:latin typeface="+mn-lt"/>
            </a:rPr>
            <a:t>Emissions from Liming of Soils are calculated by summing carbon emissions from the application of both limestone and dolomite to soil. The masses of limestone and dolomite are multiplied by their carbon emission factors, converted to million metric tons carbon dioxide equivalent, and then summed.</a:t>
          </a:r>
          <a:endParaRPr sz="800">
            <a:latin typeface="+mn-lt"/>
          </a:endParaRPr>
        </a:p>
        <a:p>
          <a:pPr marL="0" lvl="0" indent="0" algn="l" rtl="0">
            <a:spcBef>
              <a:spcPts val="0"/>
            </a:spcBef>
            <a:spcAft>
              <a:spcPts val="0"/>
            </a:spcAft>
            <a:buSzPts val="800"/>
            <a:buFont typeface="Arial"/>
            <a:buNone/>
          </a:pPr>
          <a:endParaRPr sz="800">
            <a:latin typeface="+mn-lt"/>
          </a:endParaRPr>
        </a:p>
        <a:p>
          <a:pPr marL="0" lvl="0" indent="0" algn="l" rtl="0">
            <a:spcBef>
              <a:spcPts val="0"/>
            </a:spcBef>
            <a:spcAft>
              <a:spcPts val="0"/>
            </a:spcAft>
            <a:buSzPts val="800"/>
            <a:buFont typeface="Arial"/>
            <a:buNone/>
          </a:pPr>
          <a:r>
            <a:rPr lang="en-US" sz="800">
              <a:latin typeface="+mn-lt"/>
            </a:rPr>
            <a:t>For more information, please refer to the Agriculture Chapter of the EPA SIT User's Guide.</a:t>
          </a:r>
          <a:endParaRPr sz="800">
            <a:latin typeface="+mn-lt"/>
          </a:endParaRPr>
        </a:p>
      </xdr:txBody>
    </xdr:sp>
    <xdr:clientData fLocksWithSheet="0"/>
  </xdr:oneCellAnchor>
</xdr:wsDr>
</file>

<file path=xl/drawings/drawing13.xml><?xml version="1.0" encoding="utf-8"?>
<xdr:wsDr xmlns:xdr="http://schemas.openxmlformats.org/drawingml/2006/spreadsheetDrawing" xmlns:a="http://schemas.openxmlformats.org/drawingml/2006/main">
  <xdr:oneCellAnchor>
    <xdr:from>
      <xdr:col>1</xdr:col>
      <xdr:colOff>19050</xdr:colOff>
      <xdr:row>2</xdr:row>
      <xdr:rowOff>9525</xdr:rowOff>
    </xdr:from>
    <xdr:ext cx="9886950" cy="638175"/>
    <xdr:sp macro="" textlink="">
      <xdr:nvSpPr>
        <xdr:cNvPr id="16" name="Shape 16">
          <a:extLst>
            <a:ext uri="{FF2B5EF4-FFF2-40B4-BE49-F238E27FC236}">
              <a16:creationId xmlns:a16="http://schemas.microsoft.com/office/drawing/2014/main" id="{00000000-0008-0000-1100-000010000000}"/>
            </a:ext>
          </a:extLst>
        </xdr:cNvPr>
        <xdr:cNvSpPr txBox="1"/>
      </xdr:nvSpPr>
      <xdr:spPr>
        <a:xfrm>
          <a:off x="121550" y="3413297"/>
          <a:ext cx="10449000" cy="5751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Carbon dioxide (CO2) emission from Municipal Solid Waste (MSW) combustion in incinerators was estimated from the CO2 Emissions CEM </a:t>
          </a:r>
          <a:r>
            <a:rPr lang="en-US" sz="800"/>
            <a:t>reporting at the facility. </a:t>
          </a:r>
          <a:r>
            <a:rPr lang="en-US" sz="800" b="0" i="0" u="none" strike="noStrike">
              <a:solidFill>
                <a:srgbClr val="000000"/>
              </a:solidFill>
              <a:latin typeface="Arial"/>
              <a:ea typeface="Arial"/>
              <a:cs typeface="Arial"/>
              <a:sym typeface="Arial"/>
            </a:rPr>
            <a:t>CH4 and N2O emissions were estimated multiplying the tonnage of MSW combusted by the default EPA Municipal Solid Waste heat value and emission factors from the EP</a:t>
          </a:r>
          <a:r>
            <a:rPr lang="en-US" sz="800"/>
            <a:t>A </a:t>
          </a:r>
          <a:r>
            <a:rPr lang="en-US" sz="800" b="0" i="0" u="none" strike="noStrike">
              <a:solidFill>
                <a:srgbClr val="000000"/>
              </a:solidFill>
              <a:latin typeface="Arial"/>
              <a:ea typeface="Arial"/>
              <a:cs typeface="Arial"/>
              <a:sym typeface="Arial"/>
            </a:rPr>
            <a:t>Mandatory Greenhouse Gas Reporting Rule. All material burned was included in the analysis.</a:t>
          </a:r>
          <a:endParaRPr sz="1400"/>
        </a:p>
      </xdr:txBody>
    </xdr:sp>
    <xdr:clientData fLocksWithSheet="0"/>
  </xdr:oneCellAnchor>
</xdr:wsDr>
</file>

<file path=xl/drawings/drawing14.xml><?xml version="1.0" encoding="utf-8"?>
<xdr:wsDr xmlns:xdr="http://schemas.openxmlformats.org/drawingml/2006/spreadsheetDrawing" xmlns:a="http://schemas.openxmlformats.org/drawingml/2006/main">
  <xdr:oneCellAnchor>
    <xdr:from>
      <xdr:col>1</xdr:col>
      <xdr:colOff>19050</xdr:colOff>
      <xdr:row>2</xdr:row>
      <xdr:rowOff>9525</xdr:rowOff>
    </xdr:from>
    <xdr:ext cx="9801225" cy="1257300"/>
    <xdr:sp macro="" textlink="">
      <xdr:nvSpPr>
        <xdr:cNvPr id="17" name="Shape 17">
          <a:extLst>
            <a:ext uri="{FF2B5EF4-FFF2-40B4-BE49-F238E27FC236}">
              <a16:creationId xmlns:a16="http://schemas.microsoft.com/office/drawing/2014/main" id="{00000000-0008-0000-1200-000011000000}"/>
            </a:ext>
          </a:extLst>
        </xdr:cNvPr>
        <xdr:cNvSpPr txBox="1"/>
      </xdr:nvSpPr>
      <xdr:spPr>
        <a:xfrm>
          <a:off x="454925" y="3075150"/>
          <a:ext cx="9782100" cy="12315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900">
              <a:latin typeface="+mj-lt"/>
            </a:rPr>
            <a:t>Emissions from landfills are calculated using the U.S. EPA Landfill Gas Emissions Model (LandGEM). </a:t>
          </a:r>
          <a:r>
            <a:rPr lang="en-US" sz="900" b="0" i="0" u="none" strike="noStrike">
              <a:solidFill>
                <a:srgbClr val="000000"/>
              </a:solidFill>
              <a:latin typeface="+mj-lt"/>
              <a:ea typeface="Arial"/>
              <a:cs typeface="Arial"/>
              <a:sym typeface="Arial"/>
            </a:rPr>
            <a:t>Estimation of carbon dioxide (CO2) emission from Landfill gas flaring / conversion to energy generation was based on the amount of CH4 collected by the collection system from the total amount of CH4 generated from the Landfill and the control devices efficiency. CO2 emission estimate was based on the stoichiometric combustion </a:t>
          </a:r>
          <a:r>
            <a:rPr lang="en-US" sz="900">
              <a:latin typeface="+mj-lt"/>
            </a:rPr>
            <a:t>reaction equation</a:t>
          </a:r>
          <a:r>
            <a:rPr lang="en-US" sz="900" b="0" i="0" u="none" strike="noStrike">
              <a:solidFill>
                <a:srgbClr val="000000"/>
              </a:solidFill>
              <a:latin typeface="+mj-lt"/>
              <a:ea typeface="Arial"/>
              <a:cs typeface="Arial"/>
              <a:sym typeface="Arial"/>
            </a:rPr>
            <a:t> (1) below. </a:t>
          </a:r>
          <a:endParaRPr sz="900">
            <a:latin typeface="+mj-lt"/>
          </a:endParaRPr>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CH</a:t>
          </a:r>
          <a:r>
            <a:rPr lang="en-US" sz="800" b="0" i="0" u="none" strike="noStrike" baseline="-25000">
              <a:solidFill>
                <a:srgbClr val="000000"/>
              </a:solidFill>
              <a:latin typeface="Arial"/>
              <a:ea typeface="Arial"/>
              <a:cs typeface="Arial"/>
              <a:sym typeface="Arial"/>
            </a:rPr>
            <a:t>4</a:t>
          </a:r>
          <a:r>
            <a:rPr lang="en-US" sz="800" b="0" i="0" u="none" strike="noStrike">
              <a:solidFill>
                <a:srgbClr val="000000"/>
              </a:solidFill>
              <a:latin typeface="Arial"/>
              <a:ea typeface="Arial"/>
              <a:cs typeface="Arial"/>
              <a:sym typeface="Arial"/>
            </a:rPr>
            <a:t> + 2O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+ 2H</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O (Equation 1)</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1 Kmol CH</a:t>
          </a:r>
          <a:r>
            <a:rPr lang="en-US" sz="800" b="0" i="0" u="none" strike="noStrike" baseline="-25000">
              <a:solidFill>
                <a:srgbClr val="000000"/>
              </a:solidFill>
              <a:latin typeface="Arial"/>
              <a:ea typeface="Arial"/>
              <a:cs typeface="Arial"/>
              <a:sym typeface="Arial"/>
            </a:rPr>
            <a:t>4</a:t>
          </a:r>
          <a:r>
            <a:rPr lang="en-US" sz="800" b="0" i="0" u="none" strike="noStrike">
              <a:solidFill>
                <a:srgbClr val="000000"/>
              </a:solidFill>
              <a:latin typeface="Arial"/>
              <a:ea typeface="Arial"/>
              <a:cs typeface="Arial"/>
              <a:sym typeface="Arial"/>
            </a:rPr>
            <a:t> =&gt; 1 Kmol CO</a:t>
          </a:r>
          <a:r>
            <a:rPr lang="en-US" sz="800" b="0" i="0" u="none" strike="noStrike" baseline="-25000">
              <a:solidFill>
                <a:srgbClr val="000000"/>
              </a:solidFill>
              <a:latin typeface="Arial"/>
              <a:ea typeface="Arial"/>
              <a:cs typeface="Arial"/>
              <a:sym typeface="Arial"/>
            </a:rPr>
            <a:t>2</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16 g CH</a:t>
          </a:r>
          <a:r>
            <a:rPr lang="en-US" sz="800" b="0" i="0" u="none" strike="noStrike" baseline="-25000">
              <a:solidFill>
                <a:srgbClr val="000000"/>
              </a:solidFill>
              <a:latin typeface="Arial"/>
              <a:ea typeface="Arial"/>
              <a:cs typeface="Arial"/>
              <a:sym typeface="Arial"/>
            </a:rPr>
            <a:t>4</a:t>
          </a:r>
          <a:r>
            <a:rPr lang="en-US" sz="800" b="0" i="0" u="none" strike="noStrike">
              <a:solidFill>
                <a:srgbClr val="000000"/>
              </a:solidFill>
              <a:latin typeface="Arial"/>
              <a:ea typeface="Arial"/>
              <a:cs typeface="Arial"/>
              <a:sym typeface="Arial"/>
            </a:rPr>
            <a:t>     =&gt;  44 g CO</a:t>
          </a:r>
          <a:r>
            <a:rPr lang="en-US" sz="800" b="0" i="0" u="none" strike="noStrike" baseline="-25000">
              <a:solidFill>
                <a:srgbClr val="000000"/>
              </a:solidFill>
              <a:latin typeface="Arial"/>
              <a:ea typeface="Arial"/>
              <a:cs typeface="Arial"/>
              <a:sym typeface="Arial"/>
            </a:rPr>
            <a:t>2</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1 g CH</a:t>
          </a:r>
          <a:r>
            <a:rPr lang="en-US" sz="800" b="0" i="0" u="none" strike="noStrike" baseline="-25000">
              <a:solidFill>
                <a:srgbClr val="000000"/>
              </a:solidFill>
              <a:latin typeface="Arial"/>
              <a:ea typeface="Arial"/>
              <a:cs typeface="Arial"/>
              <a:sym typeface="Arial"/>
            </a:rPr>
            <a:t>4</a:t>
          </a:r>
          <a:r>
            <a:rPr lang="en-US" sz="800" b="0" i="0" u="none" strike="noStrike">
              <a:solidFill>
                <a:srgbClr val="000000"/>
              </a:solidFill>
              <a:latin typeface="Arial"/>
              <a:ea typeface="Arial"/>
              <a:cs typeface="Arial"/>
              <a:sym typeface="Arial"/>
            </a:rPr>
            <a:t>      =&gt;   2.75 g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wsDr>
</file>

<file path=xl/drawings/drawing15.xml><?xml version="1.0" encoding="utf-8"?>
<xdr:wsDr xmlns:xdr="http://schemas.openxmlformats.org/drawingml/2006/spreadsheetDrawing" xmlns:a="http://schemas.openxmlformats.org/drawingml/2006/main">
  <xdr:oneCellAnchor>
    <xdr:from>
      <xdr:col>1</xdr:col>
      <xdr:colOff>28575</xdr:colOff>
      <xdr:row>2</xdr:row>
      <xdr:rowOff>9525</xdr:rowOff>
    </xdr:from>
    <xdr:ext cx="10353675" cy="1238250"/>
    <xdr:sp macro="" textlink="">
      <xdr:nvSpPr>
        <xdr:cNvPr id="18" name="Shape 18">
          <a:extLst>
            <a:ext uri="{FF2B5EF4-FFF2-40B4-BE49-F238E27FC236}">
              <a16:creationId xmlns:a16="http://schemas.microsoft.com/office/drawing/2014/main" id="{00000000-0008-0000-1400-000012000000}"/>
            </a:ext>
          </a:extLst>
        </xdr:cNvPr>
        <xdr:cNvSpPr txBox="1"/>
      </xdr:nvSpPr>
      <xdr:spPr>
        <a:xfrm>
          <a:off x="178700" y="2136949"/>
          <a:ext cx="10334700" cy="12150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To calculate methane emissions from municipal wastewater treatment, the total annual BOD5 production in metric tons is multiplied by the fraction that is treated anaerobically and by the CH4 produced per metric ton of BOD5</a:t>
          </a:r>
          <a:r>
            <a:rPr lang="en-US" sz="800"/>
            <a:t>.</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Municipal wastewater treatment direct N2O emissions are calculated by multiplying total population by an N2O emission factor per person per year.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Municipal wastewater N2O emissions from biosolids are calculated by multiplying the total annual protein consumption by the nitrogen content of protein and </a:t>
          </a:r>
          <a:r>
            <a:rPr lang="en-US" sz="800"/>
            <a:t>factor</a:t>
          </a:r>
          <a:r>
            <a:rPr lang="en-US" sz="800" b="0" i="0" u="none" strike="noStrike">
              <a:solidFill>
                <a:srgbClr val="000000"/>
              </a:solidFill>
              <a:latin typeface="Arial"/>
              <a:ea typeface="Arial"/>
              <a:cs typeface="Arial"/>
              <a:sym typeface="Arial"/>
            </a:rPr>
            <a:t> of non-consumed, an N2O emission factor per metric ton of nitrogen treated, subtracting direct emissions</a:t>
          </a:r>
          <a:r>
            <a:rPr lang="en-US" sz="800"/>
            <a:t>.</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treatment of industrial wastewater from fruit and vegetables, red meat, poultry, and paper </a:t>
          </a:r>
          <a:r>
            <a:rPr lang="en-US" sz="800"/>
            <a:t>and pulp processing </a:t>
          </a:r>
          <a:r>
            <a:rPr lang="en-US" sz="800" b="0" i="0" u="none" strike="noStrike">
              <a:solidFill>
                <a:srgbClr val="000000"/>
              </a:solidFill>
              <a:latin typeface="Arial"/>
              <a:ea typeface="Arial"/>
              <a:cs typeface="Arial"/>
              <a:sym typeface="Arial"/>
            </a:rPr>
            <a:t>is based annual metric tons produced and factored by the volume of wastewater produced per unit production, the average organic matter content of wastewater from those processes, a CH4 emission factor, the percent treated anaerobically.</a:t>
          </a:r>
          <a:endParaRPr sz="1400"/>
        </a:p>
      </xdr:txBody>
    </xdr:sp>
    <xdr:clientData fLocksWithSheet="0"/>
  </xdr:oneCellAnchor>
</xdr:wsDr>
</file>

<file path=xl/drawings/drawing16.xml><?xml version="1.0" encoding="utf-8"?>
<xdr:wsDr xmlns:xdr="http://schemas.openxmlformats.org/drawingml/2006/spreadsheetDrawing" xmlns:a="http://schemas.openxmlformats.org/drawingml/2006/main">
  <xdr:oneCellAnchor>
    <xdr:from>
      <xdr:col>1</xdr:col>
      <xdr:colOff>9525</xdr:colOff>
      <xdr:row>2</xdr:row>
      <xdr:rowOff>9525</xdr:rowOff>
    </xdr:from>
    <xdr:ext cx="6858000" cy="990600"/>
    <xdr:sp macro="" textlink="">
      <xdr:nvSpPr>
        <xdr:cNvPr id="19" name="Shape 19">
          <a:extLst>
            <a:ext uri="{FF2B5EF4-FFF2-40B4-BE49-F238E27FC236}">
              <a16:creationId xmlns:a16="http://schemas.microsoft.com/office/drawing/2014/main" id="{00000000-0008-0000-1500-000013000000}"/>
            </a:ext>
          </a:extLst>
        </xdr:cNvPr>
        <xdr:cNvSpPr txBox="1"/>
      </xdr:nvSpPr>
      <xdr:spPr>
        <a:xfrm>
          <a:off x="1926525" y="3275175"/>
          <a:ext cx="6839100" cy="9678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900" b="0" i="0" u="none" strike="noStrike">
              <a:solidFill>
                <a:srgbClr val="000000"/>
              </a:solidFill>
              <a:latin typeface="+mn-lt"/>
              <a:ea typeface="Arial"/>
              <a:cs typeface="Arial"/>
              <a:sym typeface="Arial"/>
            </a:rPr>
            <a:t>The method used to calculate emissions is presented in a study/survey conducted by the Mid-Atlantic/Northeast Visibility Union (MANE-VU), titled “Open Burning in Residential Areas Emissions Inventory Development Report”. The purpose of the survey was to obtain data for developing activity estimates and control information (e.g., bans on burning) that would form the basis of an improved open burning emission inventory for Mid-Atlantic/Northeast Visibility Union (MANE-VU) states.</a:t>
          </a:r>
          <a:endParaRPr sz="1600">
            <a:latin typeface="+mn-lt"/>
          </a:endParaRPr>
        </a:p>
        <a:p>
          <a:pPr marL="0" lvl="0" indent="0" algn="l" rtl="0">
            <a:spcBef>
              <a:spcPts val="0"/>
            </a:spcBef>
            <a:spcAft>
              <a:spcPts val="0"/>
            </a:spcAft>
            <a:buSzPts val="800"/>
            <a:buFont typeface="Arial"/>
            <a:buNone/>
          </a:pPr>
          <a:endParaRPr sz="900" b="0" i="0" u="none" strike="noStrike">
            <a:solidFill>
              <a:srgbClr val="000000"/>
            </a:solidFill>
            <a:latin typeface="+mn-lt"/>
            <a:ea typeface="Arial"/>
            <a:cs typeface="Arial"/>
            <a:sym typeface="Arial"/>
          </a:endParaRPr>
        </a:p>
        <a:p>
          <a:pPr marL="0" lvl="0" indent="0" algn="l" rtl="0">
            <a:spcBef>
              <a:spcPts val="0"/>
            </a:spcBef>
            <a:spcAft>
              <a:spcPts val="0"/>
            </a:spcAft>
            <a:buClr>
              <a:srgbClr val="000000"/>
            </a:buClr>
            <a:buSzPts val="800"/>
            <a:buFont typeface="Arial"/>
            <a:buNone/>
          </a:pPr>
          <a:r>
            <a:rPr lang="en-US" sz="900" b="0" i="0" u="none" strike="noStrike">
              <a:solidFill>
                <a:srgbClr val="000000"/>
              </a:solidFill>
              <a:latin typeface="+mn-lt"/>
              <a:ea typeface="Arial"/>
              <a:cs typeface="Arial"/>
              <a:sym typeface="Arial"/>
            </a:rPr>
            <a:t>Emission factors in lbs/ton total mass were taken from AP-42 Table 2.5-1, Emission Factors for Open Burning of Municipal Refuse and from a 1997 EPA research paper on open burning.</a:t>
          </a:r>
          <a:endParaRPr sz="1600">
            <a:latin typeface="+mn-lt"/>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8" Type="http://schemas.openxmlformats.org/officeDocument/2006/relationships/comments" Target="../comments8.xml"/><Relationship Id="rId3" Type="http://schemas.openxmlformats.org/officeDocument/2006/relationships/hyperlink" Target="https://www.phmsa.dot.gov/data-and-statistics/pipeline/gas-distribution-gas-gathering-gas-transmission-hazardous-liquids" TargetMode="External"/><Relationship Id="rId7" Type="http://schemas.openxmlformats.org/officeDocument/2006/relationships/vmlDrawing" Target="../drawings/vmlDrawing8.vml"/><Relationship Id="rId2" Type="http://schemas.openxmlformats.org/officeDocument/2006/relationships/hyperlink" Target="https://www.phmsa.dot.gov/data-and-statistics/pipeline/gas-distribution-gas-gathering-gas-transmission-hazardous-liquids" TargetMode="External"/><Relationship Id="rId1" Type="http://schemas.openxmlformats.org/officeDocument/2006/relationships/hyperlink" Target="https://www.eia.gov/dnav/ng/NG_PROD_WELLS_S1_A.htm" TargetMode="External"/><Relationship Id="rId6" Type="http://schemas.openxmlformats.org/officeDocument/2006/relationships/drawing" Target="../drawings/drawing7.xml"/><Relationship Id="rId5" Type="http://schemas.openxmlformats.org/officeDocument/2006/relationships/hyperlink" Target="https://www.eia.gov/dnav/ng/ng_cons_heat_dcu_SMD_a.htm" TargetMode="External"/><Relationship Id="rId4" Type="http://schemas.openxmlformats.org/officeDocument/2006/relationships/hyperlink" Target="https://www.eia.gov/dnav/ng/hist/na1480_smd_2a.htm"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mde.maryland.gov/programs/land/mining/Documents/ANNUAL%20REPORTOFTHEBUREAUOFMINES%20%281%29.pdf"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2.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s://www.epa.gov/system/files/documents/2025-01/ghg-emission-factors-hub-2025.pdf" TargetMode="External"/></Relationships>
</file>

<file path=xl/worksheets/_rels/sheet19.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4.xml"/></Relationships>
</file>

<file path=xl/worksheets/_rels/sheet20.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5.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3.xml.rels><?xml version="1.0" encoding="UTF-8" standalone="yes"?>
<Relationships xmlns="http://schemas.openxmlformats.org/package/2006/relationships"><Relationship Id="rId3" Type="http://schemas.openxmlformats.org/officeDocument/2006/relationships/hyperlink" Target="https://dnr.maryland.gov/forests/pages/fire/index.aspx" TargetMode="External"/><Relationship Id="rId2" Type="http://schemas.openxmlformats.org/officeDocument/2006/relationships/hyperlink" Target="https://www.fs.usda.gov/rds/archive/catalog/RDS-2026-0031" TargetMode="External"/><Relationship Id="rId1" Type="http://schemas.openxmlformats.org/officeDocument/2006/relationships/hyperlink" Target="https://research.fs.usda.gov/treesearch/80890" TargetMode="External"/><Relationship Id="rId5" Type="http://schemas.openxmlformats.org/officeDocument/2006/relationships/comments" Target="../comments15.xml"/><Relationship Id="rId4" Type="http://schemas.openxmlformats.org/officeDocument/2006/relationships/vmlDrawing" Target="../drawings/vmlDrawing1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000"/>
  <sheetViews>
    <sheetView showGridLines="0" tabSelected="1" zoomScaleNormal="100" workbookViewId="0"/>
  </sheetViews>
  <sheetFormatPr defaultColWidth="16.83203125" defaultRowHeight="15" customHeight="1" x14ac:dyDescent="0.2"/>
  <cols>
    <col min="1" max="1" width="4.5" customWidth="1"/>
    <col min="2" max="2" width="8" customWidth="1"/>
    <col min="3" max="3" width="75.83203125" customWidth="1"/>
    <col min="6" max="7" width="14.1640625" customWidth="1"/>
    <col min="8" max="9" width="13.33203125" customWidth="1"/>
    <col min="10" max="26" width="8.83203125" customWidth="1"/>
  </cols>
  <sheetData>
    <row r="1" spans="1:36" ht="18.75" x14ac:dyDescent="0.3">
      <c r="A1" s="1"/>
      <c r="B1" s="4"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36" ht="15" customHeight="1" x14ac:dyDescent="0.2">
      <c r="A2" s="1"/>
      <c r="B2" s="1"/>
      <c r="C2" s="9"/>
      <c r="D2" s="2008" t="s">
        <v>1</v>
      </c>
      <c r="E2" s="2009"/>
      <c r="F2" s="10"/>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5" customHeight="1" x14ac:dyDescent="0.3">
      <c r="A3" s="1"/>
      <c r="B3" s="4"/>
      <c r="C3" s="14"/>
      <c r="D3" s="15" t="s">
        <v>7</v>
      </c>
      <c r="E3" s="15" t="s">
        <v>9</v>
      </c>
      <c r="F3" s="16"/>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row>
    <row r="4" spans="1:36" ht="15" customHeight="1" x14ac:dyDescent="0.3">
      <c r="A4" s="1"/>
      <c r="B4" s="4"/>
      <c r="C4" s="14" t="s">
        <v>10</v>
      </c>
      <c r="D4" s="18">
        <v>1</v>
      </c>
      <c r="E4" s="18">
        <v>1</v>
      </c>
      <c r="F4" s="10"/>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row>
    <row r="5" spans="1:36" ht="15" customHeight="1" x14ac:dyDescent="0.3">
      <c r="A5" s="1"/>
      <c r="B5" s="4"/>
      <c r="C5" s="14" t="s">
        <v>13</v>
      </c>
      <c r="D5" s="18">
        <v>81.2</v>
      </c>
      <c r="E5" s="18">
        <v>27.9</v>
      </c>
      <c r="F5" s="10"/>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row>
    <row r="6" spans="1:36" ht="15" customHeight="1" x14ac:dyDescent="0.3">
      <c r="A6" s="1"/>
      <c r="B6" s="4"/>
      <c r="C6" s="14" t="s">
        <v>14</v>
      </c>
      <c r="D6" s="18">
        <v>273</v>
      </c>
      <c r="E6" s="18">
        <v>273</v>
      </c>
      <c r="F6" s="10"/>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row>
    <row r="7" spans="1:36" ht="15" customHeight="1" x14ac:dyDescent="0.3">
      <c r="A7" s="1"/>
      <c r="B7" s="4"/>
      <c r="C7" s="14" t="s">
        <v>16</v>
      </c>
      <c r="D7" s="22">
        <v>18200</v>
      </c>
      <c r="E7" s="22">
        <v>24300</v>
      </c>
      <c r="F7" s="10"/>
      <c r="G7" s="24"/>
      <c r="H7" s="24"/>
      <c r="I7" s="1"/>
      <c r="J7" s="1"/>
      <c r="K7" s="1"/>
      <c r="L7" s="1"/>
      <c r="M7" s="1"/>
      <c r="N7" s="1"/>
      <c r="O7" s="1"/>
      <c r="P7" s="1"/>
      <c r="Q7" s="1"/>
      <c r="R7" s="1"/>
      <c r="S7" s="1"/>
      <c r="T7" s="1"/>
      <c r="U7" s="1"/>
      <c r="V7" s="1"/>
      <c r="W7" s="1"/>
      <c r="X7" s="1"/>
      <c r="Y7" s="1"/>
      <c r="Z7" s="1"/>
      <c r="AA7" s="1"/>
      <c r="AB7" s="1"/>
      <c r="AC7" s="1"/>
      <c r="AD7" s="1"/>
      <c r="AE7" s="1"/>
      <c r="AF7" s="1"/>
      <c r="AG7" s="1"/>
      <c r="AH7" s="1"/>
      <c r="AI7" s="1"/>
      <c r="AJ7" s="1"/>
    </row>
    <row r="8" spans="1:36" ht="15" customHeight="1" x14ac:dyDescent="0.2">
      <c r="A8" s="1"/>
      <c r="B8" s="1"/>
      <c r="C8" s="27" t="s">
        <v>19</v>
      </c>
      <c r="D8" s="2010" t="s">
        <v>21</v>
      </c>
      <c r="E8" s="2011"/>
      <c r="F8" s="10"/>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1"/>
      <c r="B9" s="2012" t="s">
        <v>27</v>
      </c>
      <c r="C9" s="2013"/>
      <c r="D9" s="36" t="s">
        <v>32</v>
      </c>
      <c r="E9" s="36" t="s">
        <v>36</v>
      </c>
      <c r="F9" s="10"/>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row>
    <row r="10" spans="1:36" ht="18" x14ac:dyDescent="0.35">
      <c r="A10" s="1"/>
      <c r="B10" s="2014" t="s">
        <v>40</v>
      </c>
      <c r="C10" s="2015"/>
      <c r="D10" s="43">
        <f t="shared" ref="D10:E10" si="0">D11+D30+D47+D80</f>
        <v>65.852033320967237</v>
      </c>
      <c r="E10" s="43">
        <f t="shared" si="0"/>
        <v>63.431094291493906</v>
      </c>
      <c r="F10" s="10"/>
      <c r="G10" s="1"/>
      <c r="H10" s="44"/>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row>
    <row r="11" spans="1:36" x14ac:dyDescent="0.25">
      <c r="A11" s="1"/>
      <c r="B11" s="46" t="s">
        <v>62</v>
      </c>
      <c r="C11" s="47"/>
      <c r="D11" s="51">
        <f t="shared" ref="D11:E11" si="1">D12+D29</f>
        <v>16.578080388352056</v>
      </c>
      <c r="E11" s="51">
        <f t="shared" si="1"/>
        <v>16.55762123500746</v>
      </c>
      <c r="F11" s="1"/>
      <c r="G11" s="1"/>
      <c r="H11" s="44"/>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57"/>
      <c r="C12" s="58" t="s">
        <v>67</v>
      </c>
      <c r="D12" s="43">
        <f t="shared" ref="D12:E12" si="2">D13+D17+D21+D25</f>
        <v>8.3233099845723633</v>
      </c>
      <c r="E12" s="43">
        <f t="shared" si="2"/>
        <v>8.3028508312277669</v>
      </c>
      <c r="F12" s="1"/>
      <c r="G12" s="1"/>
      <c r="H12" s="44"/>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63"/>
      <c r="C13" s="65" t="s">
        <v>72</v>
      </c>
      <c r="D13" s="43">
        <f t="shared" ref="D13:E13" si="3">SUM(D14:D16)</f>
        <v>2.058671083433198</v>
      </c>
      <c r="E13" s="43">
        <f t="shared" si="3"/>
        <v>2.0455463376885827</v>
      </c>
      <c r="F13" s="1"/>
      <c r="G13" s="1"/>
      <c r="H13" s="44"/>
      <c r="I13" s="68"/>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ht="18" x14ac:dyDescent="0.35">
      <c r="A14" s="1"/>
      <c r="B14" s="63"/>
      <c r="C14" s="861" t="s">
        <v>76</v>
      </c>
      <c r="D14" s="75">
        <f t="shared" ref="D14:D16" si="4">E14/_xlfn.XLOOKUP(C14,C$4:C$7,E$4:E$7,"ERROR")*_xlfn.XLOOKUP(C14,C$4:C$7,D$4:D$7,"ERROR")</f>
        <v>2.0288820964991947</v>
      </c>
      <c r="E14" s="75">
        <f>'In-State Electricity'!M268</f>
        <v>2.0288820964991947</v>
      </c>
      <c r="F14" s="9"/>
      <c r="G14" s="1"/>
      <c r="H14" s="44"/>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row>
    <row r="15" spans="1:36" ht="18" x14ac:dyDescent="0.35">
      <c r="A15" s="1"/>
      <c r="B15" s="63"/>
      <c r="C15" s="861" t="s">
        <v>83</v>
      </c>
      <c r="D15" s="75">
        <f t="shared" si="4"/>
        <v>1.9994922222565294E-2</v>
      </c>
      <c r="E15" s="75">
        <f>'In-State Electricity'!N268</f>
        <v>6.8701764779503897E-3</v>
      </c>
      <c r="F15" s="79"/>
      <c r="G15" s="1"/>
      <c r="H15" s="44"/>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row>
    <row r="16" spans="1:36" ht="18" x14ac:dyDescent="0.35">
      <c r="A16" s="1"/>
      <c r="B16" s="63"/>
      <c r="C16" s="861" t="s">
        <v>84</v>
      </c>
      <c r="D16" s="75">
        <f t="shared" si="4"/>
        <v>9.7940647114379813E-3</v>
      </c>
      <c r="E16" s="75">
        <f>'In-State Electricity'!O268</f>
        <v>9.7940647114379813E-3</v>
      </c>
      <c r="F16" s="79"/>
      <c r="G16" s="1"/>
      <c r="H16" s="44"/>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x14ac:dyDescent="0.25">
      <c r="A17" s="1"/>
      <c r="B17" s="63"/>
      <c r="C17" s="65" t="s">
        <v>29</v>
      </c>
      <c r="D17" s="43">
        <f>SUM(D18:D20)</f>
        <v>6.1631691748272734</v>
      </c>
      <c r="E17" s="43">
        <f t="shared" ref="E17" si="5">SUM(E18:E20)</f>
        <v>6.1562221791908103</v>
      </c>
      <c r="F17" s="9"/>
      <c r="G17" s="1"/>
      <c r="H17" s="44"/>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ht="18" x14ac:dyDescent="0.35">
      <c r="A18" s="1"/>
      <c r="B18" s="63"/>
      <c r="C18" s="861" t="s">
        <v>87</v>
      </c>
      <c r="D18" s="75">
        <f t="shared" ref="D18:D20" si="6">E18/_xlfn.XLOOKUP(C18,C$4:C$7,E$4:E$7,"ERROR")*_xlfn.XLOOKUP(C18,C$4:C$7,D$4:D$7,"ERROR")</f>
        <v>6.1475896222033191</v>
      </c>
      <c r="E18" s="75">
        <f>'In-State Electricity'!M269</f>
        <v>6.1475896222033191</v>
      </c>
      <c r="F18" s="1"/>
      <c r="G18" s="1"/>
      <c r="H18" s="44"/>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row>
    <row r="19" spans="1:36" ht="18" x14ac:dyDescent="0.35">
      <c r="A19" s="1"/>
      <c r="B19" s="63"/>
      <c r="C19" s="861" t="s">
        <v>89</v>
      </c>
      <c r="D19" s="75">
        <f t="shared" si="6"/>
        <v>1.0583415491196242E-2</v>
      </c>
      <c r="E19" s="75">
        <f>'In-State Electricity'!N269</f>
        <v>3.6364198547336837E-3</v>
      </c>
      <c r="F19" s="1"/>
      <c r="G19" s="1"/>
      <c r="H19" s="44"/>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row>
    <row r="20" spans="1:36" ht="18" x14ac:dyDescent="0.35">
      <c r="A20" s="1"/>
      <c r="B20" s="63"/>
      <c r="C20" s="861" t="s">
        <v>93</v>
      </c>
      <c r="D20" s="75">
        <f t="shared" si="6"/>
        <v>4.9961371327576932E-3</v>
      </c>
      <c r="E20" s="75">
        <f>'In-State Electricity'!O269</f>
        <v>4.9961371327576932E-3</v>
      </c>
      <c r="F20" s="1"/>
      <c r="G20" s="1"/>
      <c r="H20" s="44"/>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x14ac:dyDescent="0.25">
      <c r="A21" s="1"/>
      <c r="B21" s="63"/>
      <c r="C21" s="65" t="s">
        <v>94</v>
      </c>
      <c r="D21" s="43">
        <f t="shared" ref="D21:E21" si="7">SUM(D22:D24)</f>
        <v>0.10146972631189179</v>
      </c>
      <c r="E21" s="43">
        <f t="shared" si="7"/>
        <v>0.10108231434837352</v>
      </c>
      <c r="F21" s="1"/>
      <c r="G21" s="1"/>
      <c r="H21" s="44"/>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ht="18" x14ac:dyDescent="0.35">
      <c r="A22" s="1"/>
      <c r="B22" s="63"/>
      <c r="C22" s="861" t="s">
        <v>97</v>
      </c>
      <c r="D22" s="75">
        <f t="shared" ref="D22:D24" si="8">E22/_xlfn.XLOOKUP(C22,C$4:C$7,E$4:E$7,"ERROR")*_xlfn.XLOOKUP(C22,C$4:C$7,D$4:D$7,"ERROR")</f>
        <v>0.10068322764775174</v>
      </c>
      <c r="E22" s="75">
        <f>'In-State Electricity'!M270</f>
        <v>0.10068322764775174</v>
      </c>
      <c r="F22" s="1"/>
      <c r="G22" s="1"/>
      <c r="H22" s="44"/>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ht="18" x14ac:dyDescent="0.35">
      <c r="A23" s="1"/>
      <c r="B23" s="63"/>
      <c r="C23" s="861" t="s">
        <v>104</v>
      </c>
      <c r="D23" s="75">
        <f t="shared" si="8"/>
        <v>5.9020359170136019E-4</v>
      </c>
      <c r="E23" s="75">
        <f>'In-State Electricity'!N270</f>
        <v>2.0279162818310283E-4</v>
      </c>
      <c r="F23" s="1"/>
      <c r="G23" s="1"/>
      <c r="H23" s="44"/>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ht="18" x14ac:dyDescent="0.35">
      <c r="A24" s="1"/>
      <c r="B24" s="63"/>
      <c r="C24" s="861" t="s">
        <v>109</v>
      </c>
      <c r="D24" s="75">
        <f t="shared" si="8"/>
        <v>1.9629507243868561E-4</v>
      </c>
      <c r="E24" s="75">
        <f>'In-State Electricity'!O270</f>
        <v>1.9629507243868561E-4</v>
      </c>
      <c r="F24" s="1"/>
      <c r="G24" s="1"/>
      <c r="H24" s="44"/>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x14ac:dyDescent="0.25">
      <c r="A25" s="1"/>
      <c r="B25" s="63"/>
      <c r="C25" s="65" t="s">
        <v>95</v>
      </c>
      <c r="D25" s="43">
        <f t="shared" ref="D25:E25" si="9">SUM(D26:D28)</f>
        <v>0</v>
      </c>
      <c r="E25" s="43">
        <f t="shared" si="9"/>
        <v>0</v>
      </c>
      <c r="F25" s="1"/>
      <c r="G25" s="1"/>
      <c r="H25" s="44"/>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ht="18" x14ac:dyDescent="0.35">
      <c r="A26" s="1"/>
      <c r="B26" s="63"/>
      <c r="C26" s="861" t="s">
        <v>116</v>
      </c>
      <c r="D26" s="75">
        <f t="shared" ref="D26:D28" si="10">E26/_xlfn.XLOOKUP(C26,C$4:C$7,E$4:E$7,"ERROR")*_xlfn.XLOOKUP(C26,C$4:C$7,D$4:D$7,"ERROR")</f>
        <v>0</v>
      </c>
      <c r="E26" s="75">
        <v>0</v>
      </c>
      <c r="F26" s="1"/>
      <c r="G26" s="1"/>
      <c r="H26" s="44"/>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18" x14ac:dyDescent="0.35">
      <c r="A27" s="1"/>
      <c r="B27" s="63"/>
      <c r="C27" s="861" t="s">
        <v>118</v>
      </c>
      <c r="D27" s="75">
        <f t="shared" si="10"/>
        <v>0</v>
      </c>
      <c r="E27" s="75">
        <v>0</v>
      </c>
      <c r="F27" s="1"/>
      <c r="G27" s="1"/>
      <c r="H27" s="44"/>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ht="18" x14ac:dyDescent="0.35">
      <c r="A28" s="1"/>
      <c r="B28" s="63"/>
      <c r="C28" s="861" t="s">
        <v>123</v>
      </c>
      <c r="D28" s="75">
        <f t="shared" si="10"/>
        <v>0</v>
      </c>
      <c r="E28" s="75">
        <v>0</v>
      </c>
      <c r="F28" s="1"/>
      <c r="G28" s="1"/>
      <c r="H28" s="44"/>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x14ac:dyDescent="0.25">
      <c r="A29" s="1"/>
      <c r="B29" s="107"/>
      <c r="C29" s="58" t="s">
        <v>126</v>
      </c>
      <c r="D29" s="75">
        <f>E29</f>
        <v>8.2547704037796912</v>
      </c>
      <c r="E29" s="75">
        <f>'Imported Electricity'!O61</f>
        <v>8.2547704037796912</v>
      </c>
      <c r="F29" s="1"/>
      <c r="G29" s="1"/>
      <c r="H29" s="44"/>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x14ac:dyDescent="0.25">
      <c r="A30" s="1"/>
      <c r="B30" s="46" t="s">
        <v>129</v>
      </c>
      <c r="C30" s="47"/>
      <c r="D30" s="51">
        <f t="shared" ref="D30:E30" si="11">D31+D35+D39+D43</f>
        <v>13.077784030235895</v>
      </c>
      <c r="E30" s="51">
        <f t="shared" si="11"/>
        <v>12.90931985507431</v>
      </c>
      <c r="F30" s="1"/>
      <c r="G30" s="1"/>
      <c r="H30" s="110"/>
      <c r="I30" s="110"/>
      <c r="J30" s="1"/>
      <c r="K30" s="110"/>
      <c r="L30" s="110"/>
      <c r="M30" s="1"/>
      <c r="N30" s="1"/>
      <c r="O30" s="1"/>
      <c r="P30" s="1"/>
      <c r="Q30" s="1"/>
      <c r="R30" s="1"/>
      <c r="S30" s="1"/>
      <c r="T30" s="1"/>
      <c r="U30" s="1"/>
      <c r="V30" s="1"/>
      <c r="W30" s="1"/>
      <c r="X30" s="1"/>
      <c r="Y30" s="1"/>
      <c r="Z30" s="1"/>
      <c r="AA30" s="1"/>
      <c r="AB30" s="1"/>
      <c r="AC30" s="1"/>
      <c r="AD30" s="1"/>
      <c r="AE30" s="1"/>
      <c r="AF30" s="1"/>
      <c r="AG30" s="1"/>
      <c r="AH30" s="1"/>
      <c r="AI30" s="1"/>
      <c r="AJ30" s="1"/>
    </row>
    <row r="31" spans="1:36" x14ac:dyDescent="0.25">
      <c r="A31" s="1"/>
      <c r="B31" s="57"/>
      <c r="C31" s="71" t="s">
        <v>72</v>
      </c>
      <c r="D31" s="43">
        <f t="shared" ref="D31:E31" si="12">SUM(D32:D34)</f>
        <v>0.8308182842314964</v>
      </c>
      <c r="E31" s="43">
        <f t="shared" si="12"/>
        <v>0.82633374466537735</v>
      </c>
      <c r="F31" s="1"/>
      <c r="G31" s="1"/>
      <c r="H31" s="44"/>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18" x14ac:dyDescent="0.35">
      <c r="A32" s="1"/>
      <c r="B32" s="63"/>
      <c r="C32" s="861" t="s">
        <v>131</v>
      </c>
      <c r="D32" s="75">
        <f t="shared" ref="D32:D34" si="13">E32/_xlfn.XLOOKUP(C32,C$4:C$7,E$4:E$7,"ERROR")*_xlfn.XLOOKUP(C32,C$4:C$7,D$4:D$7,"ERROR")</f>
        <v>0.8205408638187115</v>
      </c>
      <c r="E32" s="75">
        <f>Residential!C58+Commercial!C66+Industrial!C129</f>
        <v>0.8205408638187115</v>
      </c>
      <c r="F32" s="1"/>
      <c r="G32" s="1"/>
      <c r="H32" s="44"/>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18" x14ac:dyDescent="0.35">
      <c r="A33" s="1"/>
      <c r="B33" s="63"/>
      <c r="C33" s="861" t="s">
        <v>133</v>
      </c>
      <c r="D33" s="75">
        <f t="shared" si="13"/>
        <v>6.8319814778397565E-3</v>
      </c>
      <c r="E33" s="75">
        <f>Residential!E58+Commercial!D66+Industrial!D129</f>
        <v>2.347441911720803E-3</v>
      </c>
      <c r="F33" s="1"/>
      <c r="G33" s="1"/>
      <c r="H33" s="44"/>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18" x14ac:dyDescent="0.35">
      <c r="A34" s="1"/>
      <c r="B34" s="63"/>
      <c r="C34" s="861" t="s">
        <v>136</v>
      </c>
      <c r="D34" s="75">
        <f t="shared" si="13"/>
        <v>3.4454389349450501E-3</v>
      </c>
      <c r="E34" s="75">
        <f>Residential!D58+Commercial!E66+Industrial!E129</f>
        <v>3.4454389349450501E-3</v>
      </c>
      <c r="F34" s="1"/>
      <c r="G34" s="1"/>
      <c r="H34" s="44"/>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x14ac:dyDescent="0.25">
      <c r="A35" s="1"/>
      <c r="B35" s="63"/>
      <c r="C35" s="71" t="s">
        <v>137</v>
      </c>
      <c r="D35" s="43">
        <f t="shared" ref="D35:E35" si="14">SUM(D36:D38)</f>
        <v>9.1232037724752448</v>
      </c>
      <c r="E35" s="43">
        <f t="shared" si="14"/>
        <v>9.0811706652453132</v>
      </c>
      <c r="F35" s="1"/>
      <c r="G35" s="1"/>
      <c r="H35" s="44"/>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ht="18" x14ac:dyDescent="0.35">
      <c r="A36" s="1"/>
      <c r="B36" s="63"/>
      <c r="C36" s="861" t="s">
        <v>139</v>
      </c>
      <c r="D36" s="75">
        <f t="shared" ref="D36:D38" si="15">E36/_xlfn.XLOOKUP(C36,C$4:C$7,E$4:E$7,"ERROR")*_xlfn.XLOOKUP(C36,C$4:C$7,D$4:D$7,"ERROR")</f>
        <v>9.0535913200798621</v>
      </c>
      <c r="E36" s="75">
        <f>Residential!C59+Commercial!C67+Industrial!C130</f>
        <v>9.0535913200798621</v>
      </c>
      <c r="F36" s="1"/>
      <c r="G36" s="1"/>
      <c r="H36" s="44"/>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8" x14ac:dyDescent="0.35">
      <c r="A37" s="1"/>
      <c r="B37" s="63"/>
      <c r="C37" s="861" t="s">
        <v>142</v>
      </c>
      <c r="D37" s="75">
        <f t="shared" si="15"/>
        <v>6.4035427900007338E-2</v>
      </c>
      <c r="E37" s="75">
        <f>Residential!E59+Commercial!D67+Industrial!D130</f>
        <v>2.200232067007641E-2</v>
      </c>
      <c r="F37" s="1"/>
      <c r="G37" s="1"/>
      <c r="H37" s="44"/>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18" x14ac:dyDescent="0.35">
      <c r="A38" s="1"/>
      <c r="B38" s="63"/>
      <c r="C38" s="861" t="s">
        <v>153</v>
      </c>
      <c r="D38" s="75">
        <f t="shared" si="15"/>
        <v>5.5770244953758825E-3</v>
      </c>
      <c r="E38" s="75">
        <f>Residential!D59+Commercial!E67+Industrial!E130</f>
        <v>5.5770244953758825E-3</v>
      </c>
      <c r="F38" s="1"/>
      <c r="G38" s="1"/>
      <c r="H38" s="44"/>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x14ac:dyDescent="0.25">
      <c r="A39" s="1"/>
      <c r="B39" s="63"/>
      <c r="C39" s="71" t="s">
        <v>101</v>
      </c>
      <c r="D39" s="43">
        <f t="shared" ref="D39:E39" si="16">SUM(D40:D42)</f>
        <v>2.9564335927677128</v>
      </c>
      <c r="E39" s="43">
        <f t="shared" si="16"/>
        <v>2.9393323664865627</v>
      </c>
      <c r="F39" s="1"/>
      <c r="G39" s="1"/>
      <c r="H39" s="44"/>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8" x14ac:dyDescent="0.35">
      <c r="A40" s="1"/>
      <c r="B40" s="63"/>
      <c r="C40" s="861" t="s">
        <v>157</v>
      </c>
      <c r="D40" s="75">
        <f t="shared" ref="D40:D42" si="17">E40/_xlfn.XLOOKUP(C40,C$4:C$7,E$4:E$7,"ERROR")*_xlfn.XLOOKUP(C40,C$4:C$7,D$4:D$7,"ERROR")</f>
        <v>2.9241046188268891</v>
      </c>
      <c r="E40" s="75">
        <f>Residential!C60+Commercial!C68+Industrial!C131</f>
        <v>2.9241046188268891</v>
      </c>
      <c r="F40" s="1"/>
      <c r="G40" s="1"/>
      <c r="H40" s="44"/>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ht="18" x14ac:dyDescent="0.35">
      <c r="A41" s="1"/>
      <c r="B41" s="63"/>
      <c r="C41" s="861" t="s">
        <v>164</v>
      </c>
      <c r="D41" s="75">
        <f t="shared" si="17"/>
        <v>2.6052900075598105E-2</v>
      </c>
      <c r="E41" s="75">
        <f>Residential!E60+Commercial!D68+Industrial!D131</f>
        <v>8.9516737944481169E-3</v>
      </c>
      <c r="F41" s="1"/>
      <c r="G41" s="1"/>
      <c r="H41" s="44"/>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18" x14ac:dyDescent="0.35">
      <c r="A42" s="1"/>
      <c r="B42" s="63"/>
      <c r="C42" s="861" t="s">
        <v>167</v>
      </c>
      <c r="D42" s="75">
        <f t="shared" si="17"/>
        <v>6.2760738652258112E-3</v>
      </c>
      <c r="E42" s="75">
        <f>Residential!D60+Commercial!E68+Industrial!E131</f>
        <v>6.2760738652258112E-3</v>
      </c>
      <c r="F42" s="1"/>
      <c r="G42" s="1"/>
      <c r="H42" s="44"/>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row>
    <row r="43" spans="1:36" x14ac:dyDescent="0.25">
      <c r="A43" s="1"/>
      <c r="B43" s="63"/>
      <c r="C43" s="71" t="s">
        <v>168</v>
      </c>
      <c r="D43" s="43">
        <f t="shared" ref="D43:E43" si="18">SUM(D44:D46)</f>
        <v>0.16732838076144177</v>
      </c>
      <c r="E43" s="43">
        <f t="shared" si="18"/>
        <v>6.2483078677058476E-2</v>
      </c>
      <c r="F43" s="1"/>
      <c r="G43" s="1"/>
      <c r="H43" s="44"/>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row>
    <row r="44" spans="1:36" ht="18" x14ac:dyDescent="0.35">
      <c r="A44" s="1"/>
      <c r="B44" s="63"/>
      <c r="C44" s="861" t="s">
        <v>173</v>
      </c>
      <c r="D44" s="75">
        <f t="shared" ref="D44:D46" si="19">E44/_xlfn.XLOOKUP(C44,C$4:C$7,E$4:E$7,"ERROR")*_xlfn.XLOOKUP(C44,C$4:C$7,D$4:D$7,"ERROR")</f>
        <v>0</v>
      </c>
      <c r="E44" s="75">
        <f>Residential!C61+Commercial!C69+Industrial!C132</f>
        <v>0</v>
      </c>
      <c r="F44" s="1"/>
      <c r="G44" s="1"/>
      <c r="H44" s="44"/>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ht="18" x14ac:dyDescent="0.35">
      <c r="A45" s="1"/>
      <c r="B45" s="63"/>
      <c r="C45" s="861" t="s">
        <v>174</v>
      </c>
      <c r="D45" s="75">
        <f t="shared" si="19"/>
        <v>0.15972680167452014</v>
      </c>
      <c r="E45" s="75">
        <f>Residential!E61+Commercial!D69+Industrial!D132</f>
        <v>5.4881499590136842E-2</v>
      </c>
      <c r="F45" s="1"/>
      <c r="G45" s="1"/>
      <c r="H45" s="44"/>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ht="18" x14ac:dyDescent="0.35">
      <c r="A46" s="1"/>
      <c r="B46" s="107"/>
      <c r="C46" s="861" t="s">
        <v>177</v>
      </c>
      <c r="D46" s="75">
        <f t="shared" si="19"/>
        <v>7.6015790869216355E-3</v>
      </c>
      <c r="E46" s="75">
        <f>Residential!D61+Commercial!E69+Industrial!E132</f>
        <v>7.6015790869216355E-3</v>
      </c>
      <c r="F46" s="1"/>
      <c r="G46" s="1"/>
      <c r="H46" s="44"/>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6" x14ac:dyDescent="0.25">
      <c r="A47" s="1"/>
      <c r="B47" s="46" t="s">
        <v>179</v>
      </c>
      <c r="C47" s="47"/>
      <c r="D47" s="51">
        <f t="shared" ref="D47:E47" si="20">D48+D52+D56+D60+D64+D68+D72+D76</f>
        <v>31.520845566491406</v>
      </c>
      <c r="E47" s="51">
        <f t="shared" si="20"/>
        <v>31.3802080527466</v>
      </c>
      <c r="F47" s="1"/>
      <c r="G47" s="1"/>
      <c r="H47" s="44"/>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x14ac:dyDescent="0.25">
      <c r="A48" s="1"/>
      <c r="B48" s="57"/>
      <c r="C48" s="71" t="s">
        <v>181</v>
      </c>
      <c r="D48" s="43">
        <f t="shared" ref="D48:E48" si="21">SUM(D49:D51)</f>
        <v>20.74313006904756</v>
      </c>
      <c r="E48" s="43">
        <f t="shared" si="21"/>
        <v>20.699489720422651</v>
      </c>
      <c r="F48" s="1"/>
      <c r="G48" s="44"/>
      <c r="H48" s="44"/>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row>
    <row r="49" spans="1:36" ht="18" x14ac:dyDescent="0.35">
      <c r="A49" s="1"/>
      <c r="B49" s="63"/>
      <c r="C49" s="861" t="s">
        <v>182</v>
      </c>
      <c r="D49" s="75">
        <f t="shared" ref="D49:D51" si="22">E49/_xlfn.XLOOKUP(C49,C$4:C$7,E$4:E$7,"ERROR")*_xlfn.XLOOKUP(C49,C$4:C$7,D$4:D$7,"ERROR")</f>
        <v>20.582046233656232</v>
      </c>
      <c r="E49" s="75">
        <f>'On-Road Transportation'!C55</f>
        <v>20.582046233656232</v>
      </c>
      <c r="F49" s="1"/>
      <c r="G49" s="44"/>
      <c r="H49" s="44"/>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ht="18" x14ac:dyDescent="0.35">
      <c r="A50" s="1"/>
      <c r="B50" s="63"/>
      <c r="C50" s="861" t="s">
        <v>184</v>
      </c>
      <c r="D50" s="75">
        <f t="shared" si="22"/>
        <v>6.6483983270971644E-2</v>
      </c>
      <c r="E50" s="75">
        <f>'On-Road Transportation'!D55</f>
        <v>2.284363464606045E-2</v>
      </c>
      <c r="F50" s="1"/>
      <c r="G50" s="44"/>
      <c r="H50" s="44"/>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18" x14ac:dyDescent="0.35">
      <c r="A51" s="1"/>
      <c r="B51" s="63"/>
      <c r="C51" s="861" t="s">
        <v>185</v>
      </c>
      <c r="D51" s="75">
        <f t="shared" si="22"/>
        <v>9.4599852120355876E-2</v>
      </c>
      <c r="E51" s="75">
        <f>'On-Road Transportation'!E55</f>
        <v>9.4599852120355876E-2</v>
      </c>
      <c r="F51" s="1"/>
      <c r="G51" s="44"/>
      <c r="H51" s="44"/>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x14ac:dyDescent="0.25">
      <c r="A52" s="1"/>
      <c r="B52" s="63"/>
      <c r="C52" s="71" t="s">
        <v>187</v>
      </c>
      <c r="D52" s="43">
        <f t="shared" ref="D52:E52" si="23">SUM(D53:D55)</f>
        <v>1.0643931371162656</v>
      </c>
      <c r="E52" s="43">
        <f t="shared" si="23"/>
        <v>1.0207125255442742</v>
      </c>
      <c r="F52" s="1"/>
      <c r="G52" s="44"/>
      <c r="H52" s="44"/>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ht="18" x14ac:dyDescent="0.35">
      <c r="A53" s="1"/>
      <c r="B53" s="63"/>
      <c r="C53" s="861" t="s">
        <v>189</v>
      </c>
      <c r="D53" s="75">
        <f t="shared" ref="D53:D55" si="24">E53/_xlfn.XLOOKUP(C53,C$4:C$7,E$4:E$7,"ERROR")*_xlfn.XLOOKUP(C53,C$4:C$7,D$4:D$7,"ERROR")</f>
        <v>0.99784781517169341</v>
      </c>
      <c r="E53" s="147">
        <f>'Non-Road Transportation'!D25</f>
        <v>0.99784781517169341</v>
      </c>
      <c r="F53" s="1"/>
      <c r="G53" s="44"/>
      <c r="H53" s="44"/>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row>
    <row r="54" spans="1:36" ht="18" x14ac:dyDescent="0.35">
      <c r="A54" s="1"/>
      <c r="B54" s="63"/>
      <c r="C54" s="861" t="s">
        <v>192</v>
      </c>
      <c r="D54" s="75">
        <f t="shared" si="24"/>
        <v>6.6545321944572161E-2</v>
      </c>
      <c r="E54" s="147">
        <f>'Non-Road Transportation'!D42</f>
        <v>2.2864710372580827E-2</v>
      </c>
      <c r="F54" s="1"/>
      <c r="G54" s="44"/>
      <c r="H54" s="44"/>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row>
    <row r="55" spans="1:36" ht="18" x14ac:dyDescent="0.35">
      <c r="A55" s="1"/>
      <c r="B55" s="63"/>
      <c r="C55" s="861" t="s">
        <v>193</v>
      </c>
      <c r="D55" s="75">
        <f t="shared" si="24"/>
        <v>0</v>
      </c>
      <c r="E55" s="75">
        <v>0</v>
      </c>
      <c r="F55" s="1"/>
      <c r="G55" s="44"/>
      <c r="H55" s="44"/>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row>
    <row r="56" spans="1:36" x14ac:dyDescent="0.25">
      <c r="A56" s="1"/>
      <c r="B56" s="63"/>
      <c r="C56" s="71" t="s">
        <v>194</v>
      </c>
      <c r="D56" s="43">
        <f t="shared" ref="D56:E56" si="25">SUM(D57:D59)</f>
        <v>4.9951041096242985</v>
      </c>
      <c r="E56" s="43">
        <f t="shared" si="25"/>
        <v>4.9894641468667293</v>
      </c>
      <c r="F56" s="1"/>
      <c r="G56" s="44"/>
      <c r="H56" s="44"/>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row>
    <row r="57" spans="1:36" ht="18" x14ac:dyDescent="0.35">
      <c r="A57" s="1"/>
      <c r="B57" s="63"/>
      <c r="C57" s="861" t="s">
        <v>195</v>
      </c>
      <c r="D57" s="75">
        <f t="shared" ref="D57:D59" si="26">E57/_xlfn.XLOOKUP(C57,C$4:C$7,E$4:E$7,"ERROR")*_xlfn.XLOOKUP(C57,C$4:C$7,D$4:D$7,"ERROR")</f>
        <v>4.8337259219430573</v>
      </c>
      <c r="E57" s="75">
        <f>'On-Road Transportation'!C56</f>
        <v>4.8337259219430573</v>
      </c>
      <c r="F57" s="1"/>
      <c r="G57" s="44"/>
      <c r="H57" s="44"/>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row>
    <row r="58" spans="1:36" ht="18" x14ac:dyDescent="0.35">
      <c r="A58" s="1"/>
      <c r="B58" s="63"/>
      <c r="C58" s="861" t="s">
        <v>197</v>
      </c>
      <c r="D58" s="75">
        <f t="shared" si="26"/>
        <v>8.5922134317929222E-3</v>
      </c>
      <c r="E58" s="75">
        <f>'On-Road Transportation'!D56</f>
        <v>2.952250674224415E-3</v>
      </c>
      <c r="F58" s="1"/>
      <c r="G58" s="44"/>
      <c r="H58" s="44"/>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row>
    <row r="59" spans="1:36" ht="18" x14ac:dyDescent="0.35">
      <c r="A59" s="1"/>
      <c r="B59" s="63"/>
      <c r="C59" s="861" t="s">
        <v>198</v>
      </c>
      <c r="D59" s="75">
        <f t="shared" si="26"/>
        <v>0.15278597424944754</v>
      </c>
      <c r="E59" s="75">
        <f>'On-Road Transportation'!E56</f>
        <v>0.15278597424944754</v>
      </c>
      <c r="F59" s="1"/>
      <c r="G59" s="44"/>
      <c r="H59" s="44"/>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row>
    <row r="60" spans="1:36" x14ac:dyDescent="0.25">
      <c r="A60" s="1"/>
      <c r="B60" s="63"/>
      <c r="C60" s="71" t="s">
        <v>200</v>
      </c>
      <c r="D60" s="43">
        <f t="shared" ref="D60:E60" si="27">SUM(D61:D63)</f>
        <v>1.1286742270060659</v>
      </c>
      <c r="E60" s="43">
        <f t="shared" si="27"/>
        <v>1.1277754443050492</v>
      </c>
      <c r="F60" s="1"/>
      <c r="G60" s="44"/>
      <c r="H60" s="44"/>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row>
    <row r="61" spans="1:36" ht="18" x14ac:dyDescent="0.35">
      <c r="A61" s="1"/>
      <c r="B61" s="63"/>
      <c r="C61" s="861" t="s">
        <v>203</v>
      </c>
      <c r="D61" s="75">
        <f t="shared" ref="D61:D63" si="28">E61/_xlfn.XLOOKUP(C61,C$4:C$7,E$4:E$7,"ERROR")*_xlfn.XLOOKUP(C61,C$4:C$7,D$4:D$7,"ERROR")</f>
        <v>1.1273049745609898</v>
      </c>
      <c r="E61" s="147">
        <f>'Non-Road Transportation'!C25</f>
        <v>1.1273049745609898</v>
      </c>
      <c r="F61" s="1"/>
      <c r="G61" s="154"/>
      <c r="H61" s="44"/>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row>
    <row r="62" spans="1:36" ht="18" x14ac:dyDescent="0.35">
      <c r="A62" s="1"/>
      <c r="B62" s="63"/>
      <c r="C62" s="861" t="s">
        <v>204</v>
      </c>
      <c r="D62" s="75">
        <f t="shared" si="28"/>
        <v>1.3692524450761524E-3</v>
      </c>
      <c r="E62" s="147">
        <f>'Non-Road Transportation'!C42</f>
        <v>4.7046974405941689E-4</v>
      </c>
      <c r="F62" s="1"/>
      <c r="G62" s="154"/>
      <c r="H62" s="44"/>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row>
    <row r="63" spans="1:36" ht="18" x14ac:dyDescent="0.35">
      <c r="A63" s="1"/>
      <c r="B63" s="63"/>
      <c r="C63" s="861" t="s">
        <v>205</v>
      </c>
      <c r="D63" s="75">
        <f t="shared" si="28"/>
        <v>0</v>
      </c>
      <c r="E63" s="75">
        <v>0</v>
      </c>
      <c r="F63" s="1"/>
      <c r="G63" s="44"/>
      <c r="H63" s="44"/>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row>
    <row r="64" spans="1:36" x14ac:dyDescent="0.25">
      <c r="A64" s="1"/>
      <c r="B64" s="63"/>
      <c r="C64" s="71" t="s">
        <v>206</v>
      </c>
      <c r="D64" s="43">
        <f t="shared" ref="D64:E64" si="29">SUM(D65:D67)</f>
        <v>0.32275015364596921</v>
      </c>
      <c r="E64" s="43">
        <f t="shared" si="29"/>
        <v>0.31895405044540859</v>
      </c>
      <c r="F64" s="1"/>
      <c r="G64" s="44"/>
      <c r="H64" s="44"/>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row>
    <row r="65" spans="1:36" ht="18" x14ac:dyDescent="0.35">
      <c r="A65" s="1"/>
      <c r="B65" s="63"/>
      <c r="C65" s="861" t="s">
        <v>207</v>
      </c>
      <c r="D65" s="75">
        <f t="shared" ref="D65:D67" si="30">E65/_xlfn.XLOOKUP(C65,C$4:C$7,E$4:E$7,"ERROR")*_xlfn.XLOOKUP(C65,C$4:C$7,D$4:D$7,"ERROR")</f>
        <v>0.3148291497443686</v>
      </c>
      <c r="E65" s="75">
        <f>'Other Transportation'!C42</f>
        <v>0.3148291497443686</v>
      </c>
      <c r="F65" s="1"/>
      <c r="G65" s="44"/>
      <c r="H65" s="44"/>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row>
    <row r="66" spans="1:36" ht="18" x14ac:dyDescent="0.35">
      <c r="A66" s="1"/>
      <c r="B66" s="63"/>
      <c r="C66" s="861" t="s">
        <v>208</v>
      </c>
      <c r="D66" s="75">
        <f t="shared" si="30"/>
        <v>5.7831816113605751E-3</v>
      </c>
      <c r="E66" s="75">
        <f>'Other Transportation'!D42</f>
        <v>1.9870784108000001E-3</v>
      </c>
      <c r="F66" s="1"/>
      <c r="G66" s="44"/>
      <c r="H66" s="44"/>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row>
    <row r="67" spans="1:36" ht="18" x14ac:dyDescent="0.35">
      <c r="A67" s="1"/>
      <c r="B67" s="63"/>
      <c r="C67" s="861" t="s">
        <v>211</v>
      </c>
      <c r="D67" s="75">
        <f t="shared" si="30"/>
        <v>2.1378222902399997E-3</v>
      </c>
      <c r="E67" s="75">
        <f>'Other Transportation'!E42</f>
        <v>2.1378222902399997E-3</v>
      </c>
      <c r="F67" s="1"/>
      <c r="G67" s="44"/>
      <c r="H67" s="44"/>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row>
    <row r="68" spans="1:36" x14ac:dyDescent="0.25">
      <c r="A68" s="1"/>
      <c r="B68" s="63"/>
      <c r="C68" s="71" t="s">
        <v>212</v>
      </c>
      <c r="D68" s="43">
        <f t="shared" ref="D68:E68" si="31">SUM(D69:D71)</f>
        <v>9.9241098128523997E-2</v>
      </c>
      <c r="E68" s="43">
        <f t="shared" si="31"/>
        <v>9.342351300330029E-2</v>
      </c>
      <c r="F68" s="1"/>
      <c r="G68" s="44"/>
      <c r="H68" s="44"/>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row>
    <row r="69" spans="1:36" ht="18" x14ac:dyDescent="0.35">
      <c r="A69" s="1"/>
      <c r="B69" s="63"/>
      <c r="C69" s="861" t="s">
        <v>215</v>
      </c>
      <c r="D69" s="75">
        <f t="shared" ref="D69:D71" si="32">E69/_xlfn.XLOOKUP(C69,C$4:C$7,E$4:E$7,"ERROR")*_xlfn.XLOOKUP(C69,C$4:C$7,D$4:D$7,"ERROR")</f>
        <v>8.9851745858525511E-2</v>
      </c>
      <c r="E69" s="75">
        <f>'Other Transportation'!C43</f>
        <v>8.9851745858525511E-2</v>
      </c>
      <c r="F69" s="1"/>
      <c r="G69" s="154"/>
      <c r="H69" s="44"/>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row>
    <row r="70" spans="1:36" ht="18" x14ac:dyDescent="0.35">
      <c r="A70" s="1"/>
      <c r="B70" s="63"/>
      <c r="C70" s="861" t="s">
        <v>220</v>
      </c>
      <c r="D70" s="75">
        <f t="shared" si="32"/>
        <v>8.862812611034979E-3</v>
      </c>
      <c r="E70" s="75">
        <f>'Other Transportation'!D43</f>
        <v>3.0452274858112794E-3</v>
      </c>
      <c r="F70" s="1"/>
      <c r="G70" s="154"/>
      <c r="H70" s="44"/>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row>
    <row r="71" spans="1:36" ht="18" x14ac:dyDescent="0.35">
      <c r="A71" s="1"/>
      <c r="B71" s="63"/>
      <c r="C71" s="861" t="s">
        <v>221</v>
      </c>
      <c r="D71" s="75">
        <f t="shared" si="32"/>
        <v>5.265396589635E-4</v>
      </c>
      <c r="E71" s="75">
        <f>'Other Transportation'!E43</f>
        <v>5.265396589635E-4</v>
      </c>
      <c r="F71" s="1"/>
      <c r="G71" s="44"/>
      <c r="H71" s="44"/>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row>
    <row r="72" spans="1:36" x14ac:dyDescent="0.25">
      <c r="A72" s="1"/>
      <c r="B72" s="63"/>
      <c r="C72" s="71" t="s">
        <v>222</v>
      </c>
      <c r="D72" s="43">
        <f t="shared" ref="D72:E72" si="33">SUM(D73:D75)</f>
        <v>0.36214548609072017</v>
      </c>
      <c r="E72" s="43">
        <f t="shared" si="33"/>
        <v>0.33843444894055419</v>
      </c>
      <c r="F72" s="1"/>
      <c r="G72" s="44"/>
      <c r="H72" s="44"/>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row>
    <row r="73" spans="1:36" ht="18" x14ac:dyDescent="0.35">
      <c r="A73" s="1"/>
      <c r="B73" s="63"/>
      <c r="C73" s="861" t="s">
        <v>227</v>
      </c>
      <c r="D73" s="75">
        <f t="shared" ref="D73:D75" si="34">E73/_xlfn.XLOOKUP(C73,C$4:C$7,E$4:E$7,"ERROR")*_xlfn.XLOOKUP(C73,C$4:C$7,D$4:D$7,"ERROR")</f>
        <v>0.32548565543867947</v>
      </c>
      <c r="E73" s="75">
        <f>'Other Transportation'!C44+'On-Road Transportation'!C57+'Non-Road Transportation'!E25+'Non-Road Transportation'!F25</f>
        <v>0.32548565543867947</v>
      </c>
      <c r="F73" s="1"/>
      <c r="G73" s="44"/>
      <c r="H73" s="44"/>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row>
    <row r="74" spans="1:36" ht="18" x14ac:dyDescent="0.35">
      <c r="A74" s="1"/>
      <c r="B74" s="63"/>
      <c r="C74" s="861" t="s">
        <v>228</v>
      </c>
      <c r="D74" s="75">
        <f t="shared" si="34"/>
        <v>3.6122630705318542E-2</v>
      </c>
      <c r="E74" s="75">
        <f>'Other Transportation'!D44+'On-Road Transportation'!D57+'Non-Road Transportation'!E42+'Non-Road Transportation'!F42</f>
        <v>1.2411593555152553E-2</v>
      </c>
      <c r="F74" s="1"/>
      <c r="G74" s="44"/>
      <c r="H74" s="44"/>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row>
    <row r="75" spans="1:36" ht="18" x14ac:dyDescent="0.35">
      <c r="A75" s="1"/>
      <c r="B75" s="63"/>
      <c r="C75" s="861" t="s">
        <v>229</v>
      </c>
      <c r="D75" s="75">
        <f t="shared" si="34"/>
        <v>5.3719994672221422E-4</v>
      </c>
      <c r="E75" s="75">
        <f>'Other Transportation'!E44+'On-Road Transportation'!E57</f>
        <v>5.3719994672221422E-4</v>
      </c>
      <c r="F75" s="1"/>
      <c r="G75" s="44"/>
      <c r="H75" s="44"/>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row>
    <row r="76" spans="1:36" x14ac:dyDescent="0.25">
      <c r="A76" s="1"/>
      <c r="B76" s="63"/>
      <c r="C76" s="71" t="s">
        <v>230</v>
      </c>
      <c r="D76" s="43">
        <f t="shared" ref="D76:E76" si="35">SUM(D77:D79)</f>
        <v>2.8054072858320054</v>
      </c>
      <c r="E76" s="43">
        <f t="shared" si="35"/>
        <v>2.7919542032186344</v>
      </c>
      <c r="F76" s="1"/>
      <c r="G76" s="44"/>
      <c r="H76" s="44"/>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row>
    <row r="77" spans="1:36" ht="18" x14ac:dyDescent="0.35">
      <c r="A77" s="1"/>
      <c r="B77" s="63"/>
      <c r="C77" s="861" t="s">
        <v>231</v>
      </c>
      <c r="D77" s="75">
        <f t="shared" ref="D77:D79" si="36">E77/_xlfn.XLOOKUP(C77,C$4:C$7,E$4:E$7,"ERROR")*_xlfn.XLOOKUP(C77,C$4:C$7,D$4:D$7,"ERROR")</f>
        <v>2.7617744013616741</v>
      </c>
      <c r="E77" s="75">
        <f>'Other Transportation'!C41</f>
        <v>2.7617744013616741</v>
      </c>
      <c r="F77" s="1"/>
      <c r="G77" s="44"/>
      <c r="H77" s="44"/>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row>
    <row r="78" spans="1:36" ht="18" x14ac:dyDescent="0.35">
      <c r="A78" s="1"/>
      <c r="B78" s="63"/>
      <c r="C78" s="861" t="s">
        <v>237</v>
      </c>
      <c r="D78" s="75">
        <f t="shared" si="36"/>
        <v>2.049512773369119E-2</v>
      </c>
      <c r="E78" s="75">
        <f>'Other Transportation'!D41</f>
        <v>7.0420451203200016E-3</v>
      </c>
      <c r="F78" s="1"/>
      <c r="G78" s="44"/>
      <c r="H78" s="44"/>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row>
    <row r="79" spans="1:36" ht="18" x14ac:dyDescent="0.35">
      <c r="A79" s="1"/>
      <c r="B79" s="107"/>
      <c r="C79" s="861" t="s">
        <v>241</v>
      </c>
      <c r="D79" s="75">
        <f t="shared" si="36"/>
        <v>2.3137756736639998E-2</v>
      </c>
      <c r="E79" s="75">
        <f>'Other Transportation'!E41</f>
        <v>2.3137756736639998E-2</v>
      </c>
      <c r="F79" s="1"/>
      <c r="G79" s="44"/>
      <c r="H79" s="44"/>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row>
    <row r="80" spans="1:36" x14ac:dyDescent="0.25">
      <c r="A80" s="1"/>
      <c r="B80" s="46" t="s">
        <v>242</v>
      </c>
      <c r="C80" s="47"/>
      <c r="D80" s="51">
        <f t="shared" ref="D80:E80" si="37">D81+D85+D89</f>
        <v>4.6753233358878834</v>
      </c>
      <c r="E80" s="51">
        <f t="shared" si="37"/>
        <v>2.5839451486655367</v>
      </c>
      <c r="F80" s="1"/>
      <c r="G80" s="1"/>
      <c r="H80" s="44"/>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row>
    <row r="81" spans="1:36" x14ac:dyDescent="0.25">
      <c r="A81" s="1"/>
      <c r="B81" s="57"/>
      <c r="C81" s="71" t="s">
        <v>243</v>
      </c>
      <c r="D81" s="43">
        <f t="shared" ref="D81:E81" si="38">SUM(D82:D84)</f>
        <v>4.4390950875794086</v>
      </c>
      <c r="E81" s="43">
        <f t="shared" si="38"/>
        <v>2.5027780534955064</v>
      </c>
      <c r="F81" s="1"/>
      <c r="G81" s="1"/>
      <c r="H81" s="44"/>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row>
    <row r="82" spans="1:36" ht="18" x14ac:dyDescent="0.35">
      <c r="A82" s="1"/>
      <c r="B82" s="63"/>
      <c r="C82" s="861" t="s">
        <v>246</v>
      </c>
      <c r="D82" s="75">
        <f t="shared" ref="D82:D84" si="39">E82/_xlfn.XLOOKUP(C82,C$4:C$7,E$4:E$7,"ERROR")*_xlfn.XLOOKUP(C82,C$4:C$7,D$4:D$7,"ERROR")</f>
        <v>1.4884796825887354</v>
      </c>
      <c r="E82" s="75">
        <f>'Natural Gas'!C67</f>
        <v>1.4884796825887354</v>
      </c>
      <c r="F82" s="1"/>
      <c r="G82" s="1"/>
      <c r="H82" s="44"/>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row>
    <row r="83" spans="1:36" ht="18" x14ac:dyDescent="0.35">
      <c r="A83" s="1"/>
      <c r="B83" s="63"/>
      <c r="C83" s="861" t="s">
        <v>248</v>
      </c>
      <c r="D83" s="75">
        <f t="shared" si="39"/>
        <v>2.9498863633698464</v>
      </c>
      <c r="E83" s="75">
        <f>'Natural Gas'!D67</f>
        <v>1.0135693292859447</v>
      </c>
      <c r="F83" s="1"/>
      <c r="G83" s="1"/>
      <c r="H83" s="44"/>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row>
    <row r="84" spans="1:36" ht="18" x14ac:dyDescent="0.35">
      <c r="A84" s="1"/>
      <c r="B84" s="63"/>
      <c r="C84" s="861" t="s">
        <v>250</v>
      </c>
      <c r="D84" s="75">
        <f t="shared" si="39"/>
        <v>7.290416208261555E-4</v>
      </c>
      <c r="E84" s="75">
        <f>'Natural Gas'!E67</f>
        <v>7.290416208261555E-4</v>
      </c>
      <c r="F84" s="1"/>
      <c r="G84" s="1"/>
      <c r="H84" s="44"/>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row>
    <row r="85" spans="1:36" x14ac:dyDescent="0.25">
      <c r="A85" s="1"/>
      <c r="B85" s="63"/>
      <c r="C85" s="71" t="s">
        <v>251</v>
      </c>
      <c r="D85" s="43">
        <f t="shared" ref="D85:E85" si="40">SUM(D86:D88)</f>
        <v>0</v>
      </c>
      <c r="E85" s="43">
        <f t="shared" si="40"/>
        <v>0</v>
      </c>
      <c r="F85" s="1"/>
      <c r="G85" s="1"/>
      <c r="H85" s="44"/>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row>
    <row r="86" spans="1:36" ht="18" x14ac:dyDescent="0.35">
      <c r="A86" s="1"/>
      <c r="B86" s="63"/>
      <c r="C86" s="861" t="s">
        <v>253</v>
      </c>
      <c r="D86" s="75">
        <f t="shared" ref="D86:D88" si="41">E86/_xlfn.XLOOKUP(C86,C$4:C$7,E$4:E$7,"ERROR")*_xlfn.XLOOKUP(C86,C$4:C$7,D$4:D$7,"ERROR")</f>
        <v>0</v>
      </c>
      <c r="E86" s="75">
        <v>0</v>
      </c>
      <c r="F86" s="1"/>
      <c r="G86" s="1"/>
      <c r="H86" s="44"/>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row>
    <row r="87" spans="1:36" ht="18" x14ac:dyDescent="0.35">
      <c r="A87" s="1"/>
      <c r="B87" s="63"/>
      <c r="C87" s="861" t="s">
        <v>254</v>
      </c>
      <c r="D87" s="75">
        <f t="shared" si="41"/>
        <v>0</v>
      </c>
      <c r="E87" s="75">
        <v>0</v>
      </c>
      <c r="F87" s="1"/>
      <c r="G87" s="1"/>
      <c r="H87" s="44"/>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row>
    <row r="88" spans="1:36" ht="18" x14ac:dyDescent="0.35">
      <c r="A88" s="1"/>
      <c r="B88" s="63"/>
      <c r="C88" s="861" t="s">
        <v>255</v>
      </c>
      <c r="D88" s="75">
        <f t="shared" si="41"/>
        <v>0</v>
      </c>
      <c r="E88" s="75">
        <v>0</v>
      </c>
      <c r="F88" s="1"/>
      <c r="G88" s="1"/>
      <c r="H88" s="44"/>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row>
    <row r="89" spans="1:36" x14ac:dyDescent="0.25">
      <c r="A89" s="1"/>
      <c r="B89" s="63"/>
      <c r="C89" s="71" t="s">
        <v>256</v>
      </c>
      <c r="D89" s="43">
        <f t="shared" ref="D89:E89" si="42">SUM(D90:D92)</f>
        <v>0.23622824830847466</v>
      </c>
      <c r="E89" s="43">
        <f t="shared" si="42"/>
        <v>8.1167095170030082E-2</v>
      </c>
      <c r="F89" s="1"/>
      <c r="G89" s="1"/>
      <c r="H89" s="44"/>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row>
    <row r="90" spans="1:36" ht="18" x14ac:dyDescent="0.35">
      <c r="A90" s="1"/>
      <c r="B90" s="63"/>
      <c r="C90" s="861" t="s">
        <v>259</v>
      </c>
      <c r="D90" s="75">
        <f t="shared" ref="D90:D92" si="43">E90/_xlfn.XLOOKUP(C90,C$4:C$7,E$4:E$7,"ERROR")*_xlfn.XLOOKUP(C90,C$4:C$7,D$4:D$7,"ERROR")</f>
        <v>0</v>
      </c>
      <c r="E90" s="75">
        <v>0</v>
      </c>
      <c r="F90" s="1"/>
      <c r="G90" s="1"/>
      <c r="H90" s="44"/>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row>
    <row r="91" spans="1:36" ht="18" x14ac:dyDescent="0.35">
      <c r="A91" s="1"/>
      <c r="B91" s="63"/>
      <c r="C91" s="861" t="s">
        <v>260</v>
      </c>
      <c r="D91" s="75">
        <f t="shared" si="43"/>
        <v>0.23622824830847466</v>
      </c>
      <c r="E91" s="75">
        <f>'Coal Mining'!F38</f>
        <v>8.1167095170030082E-2</v>
      </c>
      <c r="F91" s="1"/>
      <c r="G91" s="1"/>
      <c r="H91" s="44"/>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row>
    <row r="92" spans="1:36" ht="18" x14ac:dyDescent="0.35">
      <c r="A92" s="1"/>
      <c r="B92" s="107"/>
      <c r="C92" s="861" t="s">
        <v>261</v>
      </c>
      <c r="D92" s="75">
        <f t="shared" si="43"/>
        <v>0</v>
      </c>
      <c r="E92" s="75">
        <v>0</v>
      </c>
      <c r="F92" s="1"/>
      <c r="G92" s="1"/>
      <c r="H92" s="44"/>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row>
    <row r="93" spans="1:36" x14ac:dyDescent="0.25">
      <c r="A93" s="1"/>
      <c r="B93" s="46" t="s">
        <v>262</v>
      </c>
      <c r="C93" s="174"/>
      <c r="D93" s="176">
        <f t="shared" ref="D93:E93" si="44">D94+D98+D102+D106+D110+D114+D118+D122+D126</f>
        <v>10.319240319619867</v>
      </c>
      <c r="E93" s="176">
        <f t="shared" si="44"/>
        <v>5.805742658535852</v>
      </c>
      <c r="F93" s="1"/>
      <c r="G93" s="1"/>
      <c r="H93" s="44"/>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row>
    <row r="94" spans="1:36" x14ac:dyDescent="0.25">
      <c r="A94" s="1"/>
      <c r="B94" s="57"/>
      <c r="C94" s="71" t="s">
        <v>266</v>
      </c>
      <c r="D94" s="43">
        <f t="shared" ref="D94:E94" si="45">SUM(D95:D97)</f>
        <v>1.523930612083491</v>
      </c>
      <c r="E94" s="43">
        <f t="shared" si="45"/>
        <v>1.523930612083491</v>
      </c>
      <c r="F94" s="1"/>
      <c r="G94" s="1"/>
      <c r="H94" s="44"/>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row>
    <row r="95" spans="1:36" ht="18" x14ac:dyDescent="0.35">
      <c r="A95" s="1"/>
      <c r="B95" s="63"/>
      <c r="C95" s="861" t="s">
        <v>267</v>
      </c>
      <c r="D95" s="75">
        <f t="shared" ref="D95:D97" si="46">E95/_xlfn.XLOOKUP(C95,C$4:C$7,E$4:E$7,"ERROR")*_xlfn.XLOOKUP(C95,C$4:C$7,D$4:D$7,"ERROR")</f>
        <v>1.523930612083491</v>
      </c>
      <c r="E95" s="75">
        <f>Cement!D36</f>
        <v>1.523930612083491</v>
      </c>
      <c r="F95" s="1"/>
      <c r="G95" s="1"/>
      <c r="H95" s="44"/>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row>
    <row r="96" spans="1:36" ht="18" x14ac:dyDescent="0.35">
      <c r="A96" s="1"/>
      <c r="B96" s="63"/>
      <c r="C96" s="861" t="s">
        <v>273</v>
      </c>
      <c r="D96" s="75">
        <f t="shared" si="46"/>
        <v>0</v>
      </c>
      <c r="E96" s="75">
        <v>0</v>
      </c>
      <c r="F96" s="1"/>
      <c r="G96" s="1"/>
      <c r="H96" s="44"/>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row>
    <row r="97" spans="1:36" ht="18" x14ac:dyDescent="0.35">
      <c r="A97" s="1"/>
      <c r="B97" s="63"/>
      <c r="C97" s="861" t="s">
        <v>274</v>
      </c>
      <c r="D97" s="75">
        <f t="shared" si="46"/>
        <v>0</v>
      </c>
      <c r="E97" s="75">
        <v>0</v>
      </c>
      <c r="F97" s="1"/>
      <c r="G97" s="1"/>
      <c r="H97" s="44"/>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row>
    <row r="98" spans="1:36" x14ac:dyDescent="0.25">
      <c r="A98" s="1"/>
      <c r="B98" s="63"/>
      <c r="C98" s="71" t="s">
        <v>275</v>
      </c>
      <c r="D98" s="43">
        <f t="shared" ref="D98:E98" si="47">SUM(D99:D101)</f>
        <v>0.2232934</v>
      </c>
      <c r="E98" s="43">
        <f t="shared" si="47"/>
        <v>0.2232934</v>
      </c>
      <c r="F98" s="1"/>
      <c r="G98" s="1"/>
      <c r="H98" s="44"/>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row>
    <row r="99" spans="1:36" ht="18" x14ac:dyDescent="0.35">
      <c r="A99" s="1"/>
      <c r="B99" s="63"/>
      <c r="C99" s="861" t="s">
        <v>277</v>
      </c>
      <c r="D99" s="75">
        <f t="shared" ref="D99:D101" si="48">E99/_xlfn.XLOOKUP(C99,C$4:C$7,E$4:E$7,"ERROR")*_xlfn.XLOOKUP(C99,C$4:C$7,D$4:D$7,"ERROR")</f>
        <v>0.2232934</v>
      </c>
      <c r="E99" s="75">
        <f>'LimeT&amp;DSoda'!I10</f>
        <v>0.2232934</v>
      </c>
      <c r="F99" s="1"/>
      <c r="G99" s="1"/>
      <c r="H99" s="44"/>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row>
    <row r="100" spans="1:36" ht="18" x14ac:dyDescent="0.35">
      <c r="A100" s="1"/>
      <c r="B100" s="63"/>
      <c r="C100" s="861" t="s">
        <v>278</v>
      </c>
      <c r="D100" s="75">
        <f t="shared" si="48"/>
        <v>0</v>
      </c>
      <c r="E100" s="75">
        <v>0</v>
      </c>
      <c r="F100" s="1"/>
      <c r="G100" s="1"/>
      <c r="H100" s="44"/>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row>
    <row r="101" spans="1:36" ht="18" x14ac:dyDescent="0.35">
      <c r="A101" s="1"/>
      <c r="B101" s="63"/>
      <c r="C101" s="861" t="s">
        <v>279</v>
      </c>
      <c r="D101" s="75">
        <f t="shared" si="48"/>
        <v>0</v>
      </c>
      <c r="E101" s="75">
        <v>0</v>
      </c>
      <c r="F101" s="1"/>
      <c r="G101" s="1"/>
      <c r="H101" s="44"/>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row>
    <row r="102" spans="1:36" x14ac:dyDescent="0.25">
      <c r="A102" s="1"/>
      <c r="B102" s="63"/>
      <c r="C102" s="71" t="s">
        <v>282</v>
      </c>
      <c r="D102" s="43">
        <f t="shared" ref="D102:E102" si="49">SUM(D103:D105)</f>
        <v>3.4139559999999999E-2</v>
      </c>
      <c r="E102" s="43">
        <f t="shared" si="49"/>
        <v>3.4139559999999999E-2</v>
      </c>
      <c r="F102" s="1"/>
      <c r="G102" s="1"/>
      <c r="H102" s="44"/>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row>
    <row r="103" spans="1:36" ht="18" x14ac:dyDescent="0.35">
      <c r="A103" s="1"/>
      <c r="B103" s="63"/>
      <c r="C103" s="861" t="s">
        <v>283</v>
      </c>
      <c r="D103" s="75">
        <f t="shared" ref="D103:D105" si="50">E103/_xlfn.XLOOKUP(C103,C$4:C$7,E$4:E$7,"ERROR")*_xlfn.XLOOKUP(C103,C$4:C$7,D$4:D$7,"ERROR")</f>
        <v>3.4139559999999999E-2</v>
      </c>
      <c r="E103" s="75">
        <f>'LimeT&amp;DSoda'!I16</f>
        <v>3.4139559999999999E-2</v>
      </c>
      <c r="F103" s="1"/>
      <c r="G103" s="1"/>
      <c r="H103" s="44"/>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row>
    <row r="104" spans="1:36" ht="18" x14ac:dyDescent="0.35">
      <c r="A104" s="1"/>
      <c r="B104" s="63"/>
      <c r="C104" s="861" t="s">
        <v>288</v>
      </c>
      <c r="D104" s="75">
        <f t="shared" si="50"/>
        <v>0</v>
      </c>
      <c r="E104" s="75">
        <v>0</v>
      </c>
      <c r="F104" s="1"/>
      <c r="G104" s="1"/>
      <c r="H104" s="44"/>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row>
    <row r="105" spans="1:36" ht="18" x14ac:dyDescent="0.35">
      <c r="A105" s="1"/>
      <c r="B105" s="63"/>
      <c r="C105" s="861" t="s">
        <v>289</v>
      </c>
      <c r="D105" s="75">
        <f t="shared" si="50"/>
        <v>0</v>
      </c>
      <c r="E105" s="75">
        <v>0</v>
      </c>
      <c r="F105" s="1"/>
      <c r="G105" s="1"/>
      <c r="H105" s="44"/>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row>
    <row r="106" spans="1:36" x14ac:dyDescent="0.25">
      <c r="A106" s="1"/>
      <c r="B106" s="63"/>
      <c r="C106" s="71" t="s">
        <v>292</v>
      </c>
      <c r="D106" s="43">
        <f t="shared" ref="D106:E106" si="51">SUM(D107:D109)</f>
        <v>0</v>
      </c>
      <c r="E106" s="43">
        <f t="shared" si="51"/>
        <v>0</v>
      </c>
      <c r="F106" s="1"/>
      <c r="G106" s="1"/>
      <c r="H106" s="44"/>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row>
    <row r="107" spans="1:36" ht="18" x14ac:dyDescent="0.35">
      <c r="A107" s="1"/>
      <c r="B107" s="63"/>
      <c r="C107" s="861" t="s">
        <v>294</v>
      </c>
      <c r="D107" s="75">
        <f t="shared" ref="D107:D109" si="52">E107/_xlfn.XLOOKUP(C107,C$4:C$7,E$4:E$7,"ERROR")*_xlfn.XLOOKUP(C107,C$4:C$7,D$4:D$7,"ERROR")</f>
        <v>0</v>
      </c>
      <c r="E107" s="75">
        <f>'Iron And Steel'!E18/1000000</f>
        <v>0</v>
      </c>
      <c r="F107" s="1"/>
      <c r="G107" s="1"/>
      <c r="H107" s="44"/>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row>
    <row r="108" spans="1:36" ht="18" x14ac:dyDescent="0.35">
      <c r="A108" s="1"/>
      <c r="B108" s="63"/>
      <c r="C108" s="861" t="s">
        <v>296</v>
      </c>
      <c r="D108" s="75">
        <f t="shared" si="52"/>
        <v>0</v>
      </c>
      <c r="E108" s="75">
        <v>0</v>
      </c>
      <c r="F108" s="1"/>
      <c r="G108" s="1"/>
      <c r="H108" s="44"/>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row>
    <row r="109" spans="1:36" ht="18" x14ac:dyDescent="0.35">
      <c r="A109" s="1"/>
      <c r="B109" s="63"/>
      <c r="C109" s="861" t="s">
        <v>297</v>
      </c>
      <c r="D109" s="75">
        <f t="shared" si="52"/>
        <v>0</v>
      </c>
      <c r="E109" s="75">
        <v>0</v>
      </c>
      <c r="F109" s="1"/>
      <c r="G109" s="1"/>
      <c r="H109" s="44"/>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row>
    <row r="110" spans="1:36" x14ac:dyDescent="0.25">
      <c r="A110" s="1"/>
      <c r="B110" s="63"/>
      <c r="C110" s="71" t="s">
        <v>298</v>
      </c>
      <c r="D110" s="43">
        <f t="shared" ref="D110:E110" si="53">SUM(D111:D113)</f>
        <v>8.4785337175363775</v>
      </c>
      <c r="E110" s="43">
        <f t="shared" si="53"/>
        <v>3.945516056452361</v>
      </c>
      <c r="F110" s="1"/>
      <c r="G110" s="1"/>
      <c r="H110" s="44"/>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row>
    <row r="111" spans="1:36" ht="18" x14ac:dyDescent="0.35">
      <c r="A111" s="1"/>
      <c r="B111" s="63"/>
      <c r="C111" s="861" t="s">
        <v>299</v>
      </c>
      <c r="D111" s="75">
        <f t="shared" ref="D111:D112" si="54">E111/_xlfn.XLOOKUP(C111,C$4:C$7,E$4:E$7,"ERROR")*_xlfn.XLOOKUP(C111,C$4:C$7,D$4:D$7,"ERROR")</f>
        <v>0</v>
      </c>
      <c r="E111" s="75">
        <v>0</v>
      </c>
      <c r="F111" s="1"/>
      <c r="G111" s="1"/>
      <c r="H111" s="44"/>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row>
    <row r="112" spans="1:36" ht="18" x14ac:dyDescent="0.35">
      <c r="A112" s="1"/>
      <c r="B112" s="63"/>
      <c r="C112" s="861" t="s">
        <v>302</v>
      </c>
      <c r="D112" s="75">
        <f t="shared" si="54"/>
        <v>0</v>
      </c>
      <c r="E112" s="75">
        <v>0</v>
      </c>
      <c r="F112" s="1"/>
      <c r="G112" s="1"/>
      <c r="H112" s="44"/>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row>
    <row r="113" spans="1:36" ht="18" x14ac:dyDescent="0.35">
      <c r="A113" s="1"/>
      <c r="B113" s="63"/>
      <c r="C113" s="861" t="s">
        <v>303</v>
      </c>
      <c r="D113" s="75">
        <f>'ODSSubs 20-yr'!AL203</f>
        <v>8.4785337175363775</v>
      </c>
      <c r="E113" s="75">
        <f>'ODSSubs 100-yr'!AL203</f>
        <v>3.945516056452361</v>
      </c>
      <c r="F113" s="1"/>
      <c r="G113" s="1"/>
      <c r="H113" s="44"/>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row>
    <row r="114" spans="1:36" x14ac:dyDescent="0.25">
      <c r="A114" s="1"/>
      <c r="B114" s="63"/>
      <c r="C114" s="71" t="s">
        <v>304</v>
      </c>
      <c r="D114" s="43">
        <f t="shared" ref="D114:E114" si="55">SUM(D115:D117)</f>
        <v>5.824E-2</v>
      </c>
      <c r="E114" s="43">
        <f t="shared" si="55"/>
        <v>7.7759999999999996E-2</v>
      </c>
      <c r="F114" s="1"/>
      <c r="G114" s="1"/>
      <c r="H114" s="44"/>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row>
    <row r="115" spans="1:36" ht="18" x14ac:dyDescent="0.35">
      <c r="A115" s="1"/>
      <c r="B115" s="63"/>
      <c r="C115" s="861" t="s">
        <v>311</v>
      </c>
      <c r="D115" s="75">
        <f t="shared" ref="D115:D116" si="56">E115/_xlfn.XLOOKUP(C115,C$4:C$7,E$4:E$7,"ERROR")*_xlfn.XLOOKUP(C115,C$4:C$7,D$4:D$7,"ERROR")</f>
        <v>0</v>
      </c>
      <c r="E115" s="75">
        <v>0</v>
      </c>
      <c r="F115" s="1"/>
      <c r="G115" s="1"/>
      <c r="H115" s="44"/>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row>
    <row r="116" spans="1:36" ht="18" x14ac:dyDescent="0.35">
      <c r="A116" s="1"/>
      <c r="B116" s="63"/>
      <c r="C116" s="861" t="s">
        <v>312</v>
      </c>
      <c r="D116" s="75">
        <f t="shared" si="56"/>
        <v>0</v>
      </c>
      <c r="E116" s="75">
        <v>0</v>
      </c>
      <c r="F116" s="1"/>
      <c r="G116" s="1"/>
      <c r="H116" s="44"/>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row>
    <row r="117" spans="1:36" ht="18" x14ac:dyDescent="0.35">
      <c r="A117" s="1"/>
      <c r="B117" s="63"/>
      <c r="C117" s="861" t="s">
        <v>313</v>
      </c>
      <c r="D117" s="75">
        <f t="array" ref="D117">E117/_xlfn.XLOOKUP("SF6",C$4:C$7,E$4:E$7,"ERROR")*_xlfn.XLOOKUP("SF6",C$4:C$7,D$4:D$7,"ERROR")</f>
        <v>5.824E-2</v>
      </c>
      <c r="E117" s="75">
        <f>'LimeT&amp;DSoda'!K26</f>
        <v>7.7759999999999996E-2</v>
      </c>
      <c r="F117" s="1"/>
      <c r="G117" s="1"/>
      <c r="H117" s="44"/>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row>
    <row r="118" spans="1:36" x14ac:dyDescent="0.25">
      <c r="A118" s="1"/>
      <c r="B118" s="63"/>
      <c r="C118" s="71" t="s">
        <v>314</v>
      </c>
      <c r="D118" s="43">
        <f t="shared" ref="D118:E118" si="57">SUM(D119:D121)</f>
        <v>0</v>
      </c>
      <c r="E118" s="43">
        <f t="shared" si="57"/>
        <v>0</v>
      </c>
      <c r="F118" s="1"/>
      <c r="G118" s="1"/>
      <c r="H118" s="44"/>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row>
    <row r="119" spans="1:36" ht="18" x14ac:dyDescent="0.35">
      <c r="A119" s="1"/>
      <c r="B119" s="63"/>
      <c r="C119" s="861" t="s">
        <v>315</v>
      </c>
      <c r="D119" s="75">
        <f t="shared" ref="D119:D120" si="58">E119/_xlfn.XLOOKUP(C119,C$4:C$7,E$4:E$7,"ERROR")*_xlfn.XLOOKUP(C119,C$4:C$7,D$4:D$7,"ERROR")</f>
        <v>0</v>
      </c>
      <c r="E119" s="75">
        <v>0</v>
      </c>
      <c r="F119" s="1"/>
      <c r="G119" s="1"/>
      <c r="H119" s="44"/>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row>
    <row r="120" spans="1:36" ht="18" x14ac:dyDescent="0.35">
      <c r="A120" s="1"/>
      <c r="B120" s="63"/>
      <c r="C120" s="861" t="s">
        <v>316</v>
      </c>
      <c r="D120" s="75">
        <f t="shared" si="58"/>
        <v>0</v>
      </c>
      <c r="E120" s="75">
        <v>0</v>
      </c>
      <c r="F120" s="1"/>
      <c r="G120" s="1"/>
      <c r="H120" s="44"/>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row>
    <row r="121" spans="1:36" ht="18" x14ac:dyDescent="0.35">
      <c r="A121" s="1"/>
      <c r="B121" s="63"/>
      <c r="C121" s="861" t="s">
        <v>318</v>
      </c>
      <c r="D121" s="75">
        <f>E121</f>
        <v>0</v>
      </c>
      <c r="E121" s="75">
        <v>0</v>
      </c>
      <c r="F121" s="1"/>
      <c r="G121" s="1"/>
      <c r="H121" s="44"/>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row>
    <row r="122" spans="1:36" x14ac:dyDescent="0.25">
      <c r="A122" s="1"/>
      <c r="B122" s="63"/>
      <c r="C122" s="71" t="s">
        <v>321</v>
      </c>
      <c r="D122" s="43">
        <f t="shared" ref="D122:E122" si="59">SUM(D123:D125)</f>
        <v>1.1030300000000001E-3</v>
      </c>
      <c r="E122" s="43">
        <f t="shared" si="59"/>
        <v>1.1030300000000001E-3</v>
      </c>
      <c r="F122" s="1"/>
      <c r="G122" s="1"/>
      <c r="H122" s="44"/>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row>
    <row r="123" spans="1:36" ht="18" x14ac:dyDescent="0.35">
      <c r="A123" s="1"/>
      <c r="B123" s="63"/>
      <c r="C123" s="861" t="s">
        <v>322</v>
      </c>
      <c r="D123" s="75">
        <f t="shared" ref="D123:D124" si="60">E123/_xlfn.XLOOKUP(C123,C$4:C$7,E$4:E$7,"ERROR")*_xlfn.XLOOKUP(C123,C$4:C$7,D$4:D$7,"ERROR")</f>
        <v>1.1030300000000001E-3</v>
      </c>
      <c r="E123" s="75">
        <f>'LimeT&amp;DSoda'!K22</f>
        <v>1.1030300000000001E-3</v>
      </c>
      <c r="F123" s="1"/>
      <c r="G123" s="1"/>
      <c r="H123" s="44"/>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row>
    <row r="124" spans="1:36" ht="18" x14ac:dyDescent="0.35">
      <c r="A124" s="1"/>
      <c r="B124" s="63"/>
      <c r="C124" s="861" t="s">
        <v>325</v>
      </c>
      <c r="D124" s="75">
        <f t="shared" si="60"/>
        <v>0</v>
      </c>
      <c r="E124" s="75">
        <v>0</v>
      </c>
      <c r="F124" s="1"/>
      <c r="G124" s="1"/>
      <c r="H124" s="44"/>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row>
    <row r="125" spans="1:36" ht="18" x14ac:dyDescent="0.35">
      <c r="A125" s="1"/>
      <c r="B125" s="63"/>
      <c r="C125" s="861" t="s">
        <v>326</v>
      </c>
      <c r="D125" s="75">
        <f>E125</f>
        <v>0</v>
      </c>
      <c r="E125" s="75">
        <v>0</v>
      </c>
      <c r="F125" s="1"/>
      <c r="G125" s="1"/>
      <c r="H125" s="44"/>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row>
    <row r="126" spans="1:36" x14ac:dyDescent="0.25">
      <c r="A126" s="1"/>
      <c r="B126" s="63"/>
      <c r="C126" s="71" t="s">
        <v>332</v>
      </c>
      <c r="D126" s="43">
        <f t="shared" ref="D126:E126" si="61">SUM(D127:D129)</f>
        <v>0</v>
      </c>
      <c r="E126" s="43">
        <f t="shared" si="61"/>
        <v>0</v>
      </c>
      <c r="F126" s="1"/>
      <c r="G126" s="1"/>
      <c r="H126" s="44"/>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row>
    <row r="127" spans="1:36" ht="18" x14ac:dyDescent="0.35">
      <c r="A127" s="1"/>
      <c r="B127" s="63"/>
      <c r="C127" s="861" t="s">
        <v>333</v>
      </c>
      <c r="D127" s="75">
        <f t="shared" ref="D127:D128" si="62">E127/_xlfn.XLOOKUP(C127,C$4:C$7,E$4:E$7,"ERROR")*_xlfn.XLOOKUP(C127,C$4:C$7,D$4:D$7,"ERROR")</f>
        <v>0</v>
      </c>
      <c r="E127" s="75">
        <v>0</v>
      </c>
      <c r="F127" s="1"/>
      <c r="G127" s="1"/>
      <c r="H127" s="44"/>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row>
    <row r="128" spans="1:36" ht="18" x14ac:dyDescent="0.35">
      <c r="A128" s="1"/>
      <c r="B128" s="63"/>
      <c r="C128" s="861" t="s">
        <v>334</v>
      </c>
      <c r="D128" s="75">
        <f t="shared" si="62"/>
        <v>0</v>
      </c>
      <c r="E128" s="75">
        <v>0</v>
      </c>
      <c r="F128" s="1"/>
      <c r="G128" s="1"/>
      <c r="H128" s="44"/>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row>
    <row r="129" spans="1:36" ht="18" x14ac:dyDescent="0.35">
      <c r="A129" s="1"/>
      <c r="B129" s="107"/>
      <c r="C129" s="861" t="s">
        <v>335</v>
      </c>
      <c r="D129" s="75">
        <f>E129</f>
        <v>0</v>
      </c>
      <c r="E129" s="75">
        <v>0</v>
      </c>
      <c r="F129" s="1"/>
      <c r="G129" s="1"/>
      <c r="H129" s="44"/>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row>
    <row r="130" spans="1:36" x14ac:dyDescent="0.25">
      <c r="A130" s="1"/>
      <c r="B130" s="46" t="s">
        <v>337</v>
      </c>
      <c r="C130" s="174"/>
      <c r="D130" s="51">
        <f t="shared" ref="D130:E130" si="63">D131+D135+D139+D143+D147</f>
        <v>2.717886417118009</v>
      </c>
      <c r="E130" s="51">
        <f t="shared" si="63"/>
        <v>1.6373743336816398</v>
      </c>
      <c r="F130" s="1"/>
      <c r="G130" s="1"/>
      <c r="H130" s="44"/>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row>
    <row r="131" spans="1:36" x14ac:dyDescent="0.25">
      <c r="A131" s="1"/>
      <c r="B131" s="57"/>
      <c r="C131" s="71" t="s">
        <v>339</v>
      </c>
      <c r="D131" s="43">
        <f t="shared" ref="D131:E131" si="64">SUM(D132:D134)</f>
        <v>1.126554184</v>
      </c>
      <c r="E131" s="43">
        <f t="shared" si="64"/>
        <v>0.38707957799999998</v>
      </c>
      <c r="F131" s="1"/>
      <c r="G131" s="1"/>
      <c r="H131" s="44"/>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row>
    <row r="132" spans="1:36" ht="18" x14ac:dyDescent="0.35">
      <c r="A132" s="1"/>
      <c r="B132" s="63"/>
      <c r="C132" s="861" t="s">
        <v>340</v>
      </c>
      <c r="D132" s="75">
        <f t="shared" ref="D132:D134" si="65">E132/_xlfn.XLOOKUP(C132,C$4:C$7,E$4:E$7,"ERROR")*_xlfn.XLOOKUP(C132,C$4:C$7,D$4:D$7,"ERROR")</f>
        <v>0</v>
      </c>
      <c r="E132" s="75">
        <v>0</v>
      </c>
      <c r="F132" s="1"/>
      <c r="G132" s="1"/>
      <c r="H132" s="44"/>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row>
    <row r="133" spans="1:36" ht="18" x14ac:dyDescent="0.35">
      <c r="A133" s="1"/>
      <c r="B133" s="63"/>
      <c r="C133" s="861" t="s">
        <v>342</v>
      </c>
      <c r="D133" s="75">
        <f t="shared" si="65"/>
        <v>1.126554184</v>
      </c>
      <c r="E133" s="75">
        <f>Agriculture!E260</f>
        <v>0.38707957799999998</v>
      </c>
      <c r="F133" s="1"/>
      <c r="G133" s="1"/>
      <c r="H133" s="44"/>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row>
    <row r="134" spans="1:36" ht="18" x14ac:dyDescent="0.35">
      <c r="A134" s="1"/>
      <c r="B134" s="63"/>
      <c r="C134" s="861" t="s">
        <v>343</v>
      </c>
      <c r="D134" s="75">
        <f t="shared" si="65"/>
        <v>0</v>
      </c>
      <c r="E134" s="75">
        <v>0</v>
      </c>
      <c r="F134" s="1"/>
      <c r="G134" s="1"/>
      <c r="H134" s="44"/>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row>
    <row r="135" spans="1:36" x14ac:dyDescent="0.25">
      <c r="A135" s="1"/>
      <c r="B135" s="63"/>
      <c r="C135" s="71" t="s">
        <v>344</v>
      </c>
      <c r="D135" s="43">
        <f t="shared" ref="D135:E135" si="66">SUM(D136:D138)</f>
        <v>0.71468339915964474</v>
      </c>
      <c r="E135" s="43">
        <f t="shared" si="66"/>
        <v>0.37458493568732198</v>
      </c>
      <c r="F135" s="1"/>
      <c r="G135" s="1"/>
      <c r="H135" s="44"/>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row>
    <row r="136" spans="1:36" ht="18" x14ac:dyDescent="0.35">
      <c r="A136" s="1"/>
      <c r="B136" s="63"/>
      <c r="C136" s="861" t="s">
        <v>345</v>
      </c>
      <c r="D136" s="75">
        <f t="shared" ref="D136:D138" si="67">E136/_xlfn.XLOOKUP(C136,C$4:C$7,E$4:E$7,"ERROR")*_xlfn.XLOOKUP(C136,C$4:C$7,D$4:D$7,"ERROR")</f>
        <v>0</v>
      </c>
      <c r="E136" s="75">
        <v>0</v>
      </c>
      <c r="F136" s="1"/>
      <c r="G136" s="1"/>
      <c r="H136" s="44"/>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row>
    <row r="137" spans="1:36" ht="18" x14ac:dyDescent="0.35">
      <c r="A137" s="1"/>
      <c r="B137" s="63"/>
      <c r="C137" s="861" t="s">
        <v>346</v>
      </c>
      <c r="D137" s="75">
        <f t="shared" si="67"/>
        <v>0.51812373797284439</v>
      </c>
      <c r="E137" s="75">
        <f>Agriculture!E261</f>
        <v>0.17802527450052164</v>
      </c>
      <c r="F137" s="1"/>
      <c r="G137" s="1"/>
      <c r="H137" s="44"/>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row>
    <row r="138" spans="1:36" ht="18" x14ac:dyDescent="0.35">
      <c r="A138" s="1"/>
      <c r="B138" s="63"/>
      <c r="C138" s="861" t="s">
        <v>347</v>
      </c>
      <c r="D138" s="75">
        <f t="shared" si="67"/>
        <v>0.19655966118680038</v>
      </c>
      <c r="E138" s="75">
        <f>Agriculture!G261</f>
        <v>0.19655966118680038</v>
      </c>
      <c r="F138" s="44"/>
      <c r="G138" s="1"/>
      <c r="H138" s="44"/>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row>
    <row r="139" spans="1:36" x14ac:dyDescent="0.25">
      <c r="A139" s="1"/>
      <c r="B139" s="63"/>
      <c r="C139" s="71" t="s">
        <v>351</v>
      </c>
      <c r="D139" s="43">
        <f t="shared" ref="D139:E139" si="68">SUM(D140:D142)</f>
        <v>0.75413618561212881</v>
      </c>
      <c r="E139" s="43">
        <f t="shared" si="68"/>
        <v>0.75413618561212881</v>
      </c>
      <c r="F139" s="1"/>
      <c r="G139" s="1"/>
      <c r="H139" s="44"/>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row>
    <row r="140" spans="1:36" ht="18" x14ac:dyDescent="0.35">
      <c r="A140" s="1"/>
      <c r="B140" s="63"/>
      <c r="C140" s="861" t="s">
        <v>352</v>
      </c>
      <c r="D140" s="75">
        <f t="shared" ref="D140:D142" si="69">E140/_xlfn.XLOOKUP(C140,C$4:C$7,E$4:E$7,"ERROR")*_xlfn.XLOOKUP(C140,C$4:C$7,D$4:D$7,"ERROR")</f>
        <v>0</v>
      </c>
      <c r="E140" s="75">
        <v>0</v>
      </c>
      <c r="F140" s="1"/>
      <c r="G140" s="1"/>
      <c r="H140" s="44"/>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row>
    <row r="141" spans="1:36" ht="18" x14ac:dyDescent="0.35">
      <c r="A141" s="1"/>
      <c r="B141" s="63"/>
      <c r="C141" s="861" t="s">
        <v>354</v>
      </c>
      <c r="D141" s="75">
        <f t="shared" si="69"/>
        <v>0</v>
      </c>
      <c r="E141" s="75">
        <v>0</v>
      </c>
      <c r="F141" s="1"/>
      <c r="G141" s="1"/>
      <c r="H141" s="44"/>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row>
    <row r="142" spans="1:36" ht="18" x14ac:dyDescent="0.35">
      <c r="A142" s="1"/>
      <c r="B142" s="63"/>
      <c r="C142" s="861" t="s">
        <v>357</v>
      </c>
      <c r="D142" s="75">
        <f t="shared" si="69"/>
        <v>0.75413618561212881</v>
      </c>
      <c r="E142" s="75">
        <f>Agriculture!G262</f>
        <v>0.75413618561212881</v>
      </c>
      <c r="F142" s="1"/>
      <c r="G142" s="1"/>
      <c r="H142" s="44"/>
      <c r="I142" s="1"/>
      <c r="J142" s="44"/>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row>
    <row r="143" spans="1:36" x14ac:dyDescent="0.25">
      <c r="A143" s="1"/>
      <c r="B143" s="63"/>
      <c r="C143" s="71" t="s">
        <v>359</v>
      </c>
      <c r="D143" s="43">
        <f t="shared" ref="D143:E143" si="70">SUM(D144:D146)</f>
        <v>1.6059650129024632E-3</v>
      </c>
      <c r="E143" s="43">
        <f t="shared" si="70"/>
        <v>6.6695104885559637E-4</v>
      </c>
      <c r="F143" s="1"/>
      <c r="G143" s="1"/>
      <c r="H143" s="44"/>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row>
    <row r="144" spans="1:36" ht="18" x14ac:dyDescent="0.35">
      <c r="A144" s="1"/>
      <c r="B144" s="63"/>
      <c r="C144" s="861" t="s">
        <v>360</v>
      </c>
      <c r="D144" s="75">
        <f t="shared" ref="D144:D146" si="71">E144/_xlfn.XLOOKUP(C144,C$4:C$7,E$4:E$7,"ERROR")*_xlfn.XLOOKUP(C144,C$4:C$7,D$4:D$7,"ERROR")</f>
        <v>0</v>
      </c>
      <c r="E144" s="75">
        <v>0</v>
      </c>
      <c r="F144" s="1"/>
      <c r="G144" s="1"/>
      <c r="H144" s="44"/>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row>
    <row r="145" spans="1:36" ht="18" x14ac:dyDescent="0.35">
      <c r="A145" s="1"/>
      <c r="B145" s="63"/>
      <c r="C145" s="861" t="s">
        <v>365</v>
      </c>
      <c r="D145" s="75">
        <f t="shared" si="71"/>
        <v>1.4305428495423188E-3</v>
      </c>
      <c r="E145" s="75">
        <f>Agriculture!E263</f>
        <v>4.9152888549545189E-4</v>
      </c>
      <c r="F145" s="1"/>
      <c r="G145" s="1"/>
      <c r="H145" s="44"/>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row>
    <row r="146" spans="1:36" ht="18" x14ac:dyDescent="0.35">
      <c r="A146" s="1"/>
      <c r="B146" s="63"/>
      <c r="C146" s="861" t="s">
        <v>367</v>
      </c>
      <c r="D146" s="75">
        <f t="shared" si="71"/>
        <v>1.7542216336014445E-4</v>
      </c>
      <c r="E146" s="75">
        <f>Agriculture!G263</f>
        <v>1.7542216336014445E-4</v>
      </c>
      <c r="F146" s="1"/>
      <c r="G146" s="1"/>
      <c r="H146" s="44"/>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row>
    <row r="147" spans="1:36" x14ac:dyDescent="0.25">
      <c r="A147" s="1"/>
      <c r="B147" s="63"/>
      <c r="C147" s="71" t="s">
        <v>368</v>
      </c>
      <c r="D147" s="43">
        <f t="shared" ref="D147:E147" si="72">SUM(D148:D150)</f>
        <v>0.12090668333333333</v>
      </c>
      <c r="E147" s="43">
        <f t="shared" si="72"/>
        <v>0.12090668333333333</v>
      </c>
      <c r="F147" s="1"/>
      <c r="G147" s="1"/>
      <c r="H147" s="44"/>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row>
    <row r="148" spans="1:36" ht="18" x14ac:dyDescent="0.35">
      <c r="A148" s="1"/>
      <c r="B148" s="63"/>
      <c r="C148" s="861" t="s">
        <v>369</v>
      </c>
      <c r="D148" s="75">
        <f t="shared" ref="D148:D150" si="73">E148/_xlfn.XLOOKUP(C148,C$4:C$7,E$4:E$7,"ERROR")*_xlfn.XLOOKUP(C148,C$4:C$7,D$4:D$7,"ERROR")</f>
        <v>0.12090668333333333</v>
      </c>
      <c r="E148" s="75">
        <f>Agriculture!C264</f>
        <v>0.12090668333333333</v>
      </c>
      <c r="F148" s="1"/>
      <c r="G148" s="1"/>
      <c r="H148" s="44"/>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row>
    <row r="149" spans="1:36" ht="18" x14ac:dyDescent="0.35">
      <c r="A149" s="1"/>
      <c r="B149" s="63"/>
      <c r="C149" s="861" t="s">
        <v>372</v>
      </c>
      <c r="D149" s="75">
        <f t="shared" si="73"/>
        <v>0</v>
      </c>
      <c r="E149" s="75">
        <v>0</v>
      </c>
      <c r="F149" s="1"/>
      <c r="G149" s="1"/>
      <c r="H149" s="44"/>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row>
    <row r="150" spans="1:36" ht="18" x14ac:dyDescent="0.35">
      <c r="A150" s="1"/>
      <c r="B150" s="107"/>
      <c r="C150" s="861" t="s">
        <v>373</v>
      </c>
      <c r="D150" s="75">
        <f t="shared" si="73"/>
        <v>0</v>
      </c>
      <c r="E150" s="75">
        <v>0</v>
      </c>
      <c r="F150" s="1"/>
      <c r="G150" s="1"/>
      <c r="H150" s="44"/>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row>
    <row r="151" spans="1:36" x14ac:dyDescent="0.25">
      <c r="A151" s="1"/>
      <c r="B151" s="185" t="s">
        <v>374</v>
      </c>
      <c r="C151" s="186"/>
      <c r="D151" s="176">
        <f t="shared" ref="D151:E151" si="74">D152+D156+D160+D164</f>
        <v>8.7056121854746742</v>
      </c>
      <c r="E151" s="176">
        <f t="shared" si="74"/>
        <v>4.1653280445776666</v>
      </c>
      <c r="F151" s="1"/>
      <c r="G151" s="1"/>
      <c r="H151" s="44"/>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row>
    <row r="152" spans="1:36" x14ac:dyDescent="0.25">
      <c r="A152" s="1"/>
      <c r="B152" s="57"/>
      <c r="C152" s="71" t="s">
        <v>375</v>
      </c>
      <c r="D152" s="43">
        <f t="shared" ref="D152:E152" si="75">SUM(D153:D155)</f>
        <v>1.1952794833900584</v>
      </c>
      <c r="E152" s="43">
        <f t="shared" si="75"/>
        <v>1.1951884250948448</v>
      </c>
      <c r="F152" s="1"/>
      <c r="G152" s="1"/>
      <c r="H152" s="44"/>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row>
    <row r="153" spans="1:36" ht="18" x14ac:dyDescent="0.35">
      <c r="A153" s="1"/>
      <c r="B153" s="63"/>
      <c r="C153" s="861" t="s">
        <v>377</v>
      </c>
      <c r="D153" s="75">
        <f t="shared" ref="D153:D155" si="76">E153/_xlfn.XLOOKUP(C153,C$4:C$7,E$4:E$7,"ERROR")*_xlfn.XLOOKUP(C153,C$4:C$7,D$4:D$7,"ERROR")</f>
        <v>1.1871958784179502</v>
      </c>
      <c r="E153" s="75">
        <f>Incinerators!P20</f>
        <v>1.1871958784179502</v>
      </c>
      <c r="F153" s="1"/>
      <c r="G153" s="1"/>
      <c r="H153" s="44"/>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row>
    <row r="154" spans="1:36" ht="18" x14ac:dyDescent="0.35">
      <c r="A154" s="1"/>
      <c r="B154" s="63"/>
      <c r="C154" s="861" t="s">
        <v>378</v>
      </c>
      <c r="D154" s="75">
        <f t="shared" si="76"/>
        <v>1.3872295631039999E-4</v>
      </c>
      <c r="E154" s="75">
        <f>Incinerators!P21</f>
        <v>4.7664661096799994E-5</v>
      </c>
      <c r="F154" s="1"/>
      <c r="G154" s="1"/>
      <c r="H154" s="44"/>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row>
    <row r="155" spans="1:36" ht="18" x14ac:dyDescent="0.35">
      <c r="A155" s="1"/>
      <c r="B155" s="63"/>
      <c r="C155" s="861" t="s">
        <v>379</v>
      </c>
      <c r="D155" s="75">
        <f t="shared" si="76"/>
        <v>7.9448820157980004E-3</v>
      </c>
      <c r="E155" s="75">
        <f>Incinerators!P22</f>
        <v>7.9448820157980004E-3</v>
      </c>
      <c r="F155" s="1"/>
      <c r="G155" s="1"/>
      <c r="H155" s="44"/>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row>
    <row r="156" spans="1:36" x14ac:dyDescent="0.25">
      <c r="A156" s="1"/>
      <c r="B156" s="63"/>
      <c r="C156" s="71" t="s">
        <v>380</v>
      </c>
      <c r="D156" s="43">
        <f t="shared" ref="D156:E156" si="77">SUM(D157:D159)</f>
        <v>5.845082862976624</v>
      </c>
      <c r="E156" s="43">
        <f t="shared" si="77"/>
        <v>2.2945813341864714</v>
      </c>
      <c r="F156" s="1"/>
      <c r="G156" s="1"/>
      <c r="H156" s="44"/>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row>
    <row r="157" spans="1:36" ht="18" x14ac:dyDescent="0.35">
      <c r="A157" s="1"/>
      <c r="B157" s="63"/>
      <c r="C157" s="861" t="s">
        <v>382</v>
      </c>
      <c r="D157" s="75">
        <f t="shared" ref="D157:D159" si="78">E157/_xlfn.XLOOKUP(C157,C$4:C$7,E$4:E$7,"ERROR")*_xlfn.XLOOKUP(C157,C$4:C$7,D$4:D$7,"ERROR")</f>
        <v>0.43606364838449641</v>
      </c>
      <c r="E157" s="75">
        <f>Landfill_I!D97</f>
        <v>0.43606364838449641</v>
      </c>
      <c r="F157" s="1"/>
      <c r="G157" s="1"/>
      <c r="H157" s="44"/>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row>
    <row r="158" spans="1:36" ht="18" x14ac:dyDescent="0.35">
      <c r="A158" s="1"/>
      <c r="B158" s="63"/>
      <c r="C158" s="861" t="s">
        <v>384</v>
      </c>
      <c r="D158" s="75">
        <f t="shared" si="78"/>
        <v>5.4090192145921279</v>
      </c>
      <c r="E158" s="75">
        <f>Landfill_I!F88</f>
        <v>1.8585176858019747</v>
      </c>
      <c r="F158" s="1"/>
      <c r="G158" s="1"/>
      <c r="H158" s="44"/>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row>
    <row r="159" spans="1:36" ht="18" x14ac:dyDescent="0.35">
      <c r="A159" s="1"/>
      <c r="B159" s="63"/>
      <c r="C159" s="861" t="s">
        <v>385</v>
      </c>
      <c r="D159" s="75">
        <f t="shared" si="78"/>
        <v>0</v>
      </c>
      <c r="E159" s="75">
        <v>0</v>
      </c>
      <c r="F159" s="1"/>
      <c r="G159" s="1"/>
      <c r="H159" s="44"/>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row>
    <row r="160" spans="1:36" x14ac:dyDescent="0.25">
      <c r="A160" s="1"/>
      <c r="B160" s="63"/>
      <c r="C160" s="71" t="s">
        <v>387</v>
      </c>
      <c r="D160" s="43">
        <f t="shared" ref="D160:E160" si="79">SUM(D161:D163)</f>
        <v>1.6322498391079916</v>
      </c>
      <c r="E160" s="43">
        <f t="shared" si="79"/>
        <v>0.64255828529635062</v>
      </c>
      <c r="F160" s="1"/>
      <c r="G160" s="1"/>
      <c r="H160" s="44"/>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row>
    <row r="161" spans="1:36" ht="18" x14ac:dyDescent="0.35">
      <c r="A161" s="1"/>
      <c r="B161" s="63"/>
      <c r="C161" s="861" t="s">
        <v>391</v>
      </c>
      <c r="D161" s="75">
        <f t="shared" ref="D161:D163" si="80">E161/_xlfn.XLOOKUP(C161,C$4:C$7,E$4:E$7,"ERROR")*_xlfn.XLOOKUP(C161,C$4:C$7,D$4:D$7,"ERROR")</f>
        <v>0</v>
      </c>
      <c r="E161" s="75">
        <v>0</v>
      </c>
      <c r="F161" s="1"/>
      <c r="G161" s="1"/>
      <c r="H161" s="44"/>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row>
    <row r="162" spans="1:36" ht="18" x14ac:dyDescent="0.35">
      <c r="A162" s="1"/>
      <c r="B162" s="63"/>
      <c r="C162" s="861" t="s">
        <v>394</v>
      </c>
      <c r="D162" s="75">
        <f t="shared" si="80"/>
        <v>1.5077477330113556</v>
      </c>
      <c r="E162" s="75">
        <f>Wastewater!D53</f>
        <v>0.51805617919971447</v>
      </c>
      <c r="F162" s="1"/>
      <c r="G162" s="1"/>
      <c r="H162" s="44"/>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row>
    <row r="163" spans="1:36" ht="18" x14ac:dyDescent="0.35">
      <c r="A163" s="1"/>
      <c r="B163" s="63"/>
      <c r="C163" s="861" t="s">
        <v>396</v>
      </c>
      <c r="D163" s="75">
        <f t="shared" si="80"/>
        <v>0.1245021060966361</v>
      </c>
      <c r="E163" s="75">
        <f>Wastewater!F53</f>
        <v>0.1245021060966361</v>
      </c>
      <c r="F163" s="1"/>
      <c r="G163" s="1"/>
      <c r="H163" s="44"/>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row>
    <row r="164" spans="1:36" x14ac:dyDescent="0.25">
      <c r="A164" s="1"/>
      <c r="B164" s="63"/>
      <c r="C164" s="71" t="s">
        <v>398</v>
      </c>
      <c r="D164" s="43">
        <f t="shared" ref="D164:E164" si="81">SUM(D165:D167)</f>
        <v>3.3000000000000002E-2</v>
      </c>
      <c r="E164" s="43">
        <f t="shared" si="81"/>
        <v>3.3000000000000002E-2</v>
      </c>
      <c r="F164" s="1"/>
      <c r="G164" s="1"/>
      <c r="H164" s="44"/>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row>
    <row r="165" spans="1:36" ht="18" x14ac:dyDescent="0.35">
      <c r="A165" s="1"/>
      <c r="B165" s="63"/>
      <c r="C165" s="861" t="s">
        <v>399</v>
      </c>
      <c r="D165" s="75">
        <f t="shared" ref="D165:D167" si="82">E165/_xlfn.XLOOKUP(C165,C$4:C$7,E$4:E$7,"ERROR")*_xlfn.XLOOKUP(C165,C$4:C$7,D$4:D$7,"ERROR")</f>
        <v>3.3000000000000002E-2</v>
      </c>
      <c r="E165" s="75">
        <f>OpenBurn!C6</f>
        <v>3.3000000000000002E-2</v>
      </c>
      <c r="F165" s="1"/>
      <c r="G165" s="1"/>
      <c r="H165" s="44"/>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row>
    <row r="166" spans="1:36" ht="18" x14ac:dyDescent="0.35">
      <c r="A166" s="1"/>
      <c r="B166" s="63"/>
      <c r="C166" s="861" t="s">
        <v>405</v>
      </c>
      <c r="D166" s="75">
        <f t="shared" si="82"/>
        <v>0</v>
      </c>
      <c r="E166" s="75">
        <v>0</v>
      </c>
      <c r="F166" s="1"/>
      <c r="G166" s="1"/>
      <c r="H166" s="44"/>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row>
    <row r="167" spans="1:36" ht="18" x14ac:dyDescent="0.35">
      <c r="A167" s="1"/>
      <c r="B167" s="107"/>
      <c r="C167" s="861" t="s">
        <v>407</v>
      </c>
      <c r="D167" s="75">
        <f t="shared" si="82"/>
        <v>0</v>
      </c>
      <c r="E167" s="75">
        <v>0</v>
      </c>
      <c r="F167" s="1"/>
      <c r="G167" s="1"/>
      <c r="H167" s="44"/>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row>
    <row r="168" spans="1:36" x14ac:dyDescent="0.25">
      <c r="A168" s="1"/>
      <c r="B168" s="2004" t="s">
        <v>410</v>
      </c>
      <c r="C168" s="2005"/>
      <c r="D168" s="51">
        <f t="shared" ref="D168:E168" si="83">D151+D130+D93+D80+D47+D30+D11</f>
        <v>87.59477224317979</v>
      </c>
      <c r="E168" s="51">
        <f t="shared" si="83"/>
        <v>75.039539328289067</v>
      </c>
      <c r="F168" s="44"/>
      <c r="G168" s="44"/>
      <c r="H168" s="44"/>
      <c r="I168" s="44"/>
      <c r="J168" s="44"/>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row>
    <row r="169" spans="1:36" x14ac:dyDescent="0.25">
      <c r="A169" s="1"/>
      <c r="B169" s="187"/>
      <c r="C169" s="188"/>
      <c r="D169" s="189"/>
      <c r="E169" s="189"/>
      <c r="F169" s="1"/>
      <c r="G169" s="1"/>
      <c r="H169" s="44"/>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row>
    <row r="170" spans="1:36" x14ac:dyDescent="0.25">
      <c r="A170" s="1"/>
      <c r="B170" s="2004" t="s">
        <v>416</v>
      </c>
      <c r="C170" s="2005"/>
      <c r="D170" s="51">
        <f t="shared" ref="D170:E170" si="84">D171+D172+D173+D175+D178+D179</f>
        <v>-9.6783442803863817</v>
      </c>
      <c r="E170" s="51">
        <f t="shared" si="84"/>
        <v>-10.430388332289402</v>
      </c>
      <c r="F170" s="1"/>
      <c r="G170" s="1"/>
      <c r="H170" s="44"/>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row>
    <row r="171" spans="1:36" x14ac:dyDescent="0.25">
      <c r="A171" s="1"/>
      <c r="B171" s="57"/>
      <c r="C171" s="58" t="s">
        <v>424</v>
      </c>
      <c r="D171" s="75">
        <f t="shared" ref="D171:D172" si="85">E171</f>
        <v>-8.5884259921962087</v>
      </c>
      <c r="E171" s="75">
        <f>Land_Use!C266</f>
        <v>-8.5884259921962087</v>
      </c>
      <c r="F171" s="1"/>
      <c r="G171" s="1"/>
      <c r="H171" s="44"/>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row>
    <row r="172" spans="1:36" x14ac:dyDescent="0.25">
      <c r="A172" s="1"/>
      <c r="B172" s="63"/>
      <c r="C172" s="58" t="s">
        <v>429</v>
      </c>
      <c r="D172" s="75">
        <f t="shared" si="85"/>
        <v>-0.80628999999999995</v>
      </c>
      <c r="E172" s="75">
        <f>Land_Use!C273</f>
        <v>-0.80628999999999995</v>
      </c>
      <c r="F172" s="1"/>
      <c r="G172" s="1"/>
      <c r="H172" s="44"/>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row>
    <row r="173" spans="1:36" x14ac:dyDescent="0.25">
      <c r="A173" s="1"/>
      <c r="B173" s="63"/>
      <c r="C173" s="58" t="s">
        <v>434</v>
      </c>
      <c r="D173" s="43">
        <f t="shared" ref="D173:E173" si="86">D174</f>
        <v>1.725438E-2</v>
      </c>
      <c r="E173" s="43">
        <f t="shared" si="86"/>
        <v>1.725438E-2</v>
      </c>
      <c r="F173" s="1"/>
      <c r="G173" s="1"/>
      <c r="H173" s="44"/>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row>
    <row r="174" spans="1:36" ht="18" x14ac:dyDescent="0.35">
      <c r="A174" s="1"/>
      <c r="B174" s="63"/>
      <c r="C174" s="861" t="s">
        <v>437</v>
      </c>
      <c r="D174" s="75">
        <f t="array" ref="D174">E174/_xlfn.XLOOKUP(C174,C$4:C$7,E$4:E$7,"ERROR")*_xlfn.XLOOKUP(C174,C$4:C$7,D$4:D$7,"ERROR")</f>
        <v>1.725438E-2</v>
      </c>
      <c r="E174" s="75">
        <f>Land_Use!C277</f>
        <v>1.725438E-2</v>
      </c>
      <c r="F174" s="1"/>
      <c r="G174" s="1"/>
      <c r="H174" s="44"/>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row>
    <row r="175" spans="1:36" x14ac:dyDescent="0.25">
      <c r="A175" s="1"/>
      <c r="B175" s="63"/>
      <c r="C175" s="58" t="s">
        <v>440</v>
      </c>
      <c r="D175" s="43">
        <f t="shared" ref="D175:E175" si="87">D176+D177</f>
        <v>0.32312977165469253</v>
      </c>
      <c r="E175" s="43">
        <f t="shared" si="87"/>
        <v>0.13011250875251248</v>
      </c>
      <c r="F175" s="1"/>
      <c r="G175" s="1"/>
      <c r="H175" s="44"/>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row>
    <row r="176" spans="1:36" ht="18" x14ac:dyDescent="0.35">
      <c r="A176" s="1"/>
      <c r="B176" s="63"/>
      <c r="C176" s="861" t="s">
        <v>445</v>
      </c>
      <c r="D176" s="75">
        <f t="shared" ref="D176:D177" si="88">E176/_xlfn.XLOOKUP(C176,C$4:C$7,E$4:E$7,"ERROR")*_xlfn.XLOOKUP(C176,C$4:C$7,D$4:D$7,"ERROR")</f>
        <v>0.29405256562208293</v>
      </c>
      <c r="E176" s="75">
        <f>Land_Use!C279</f>
        <v>0.10103530271990287</v>
      </c>
      <c r="F176" s="1"/>
      <c r="G176" s="1"/>
      <c r="H176" s="44"/>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row>
    <row r="177" spans="1:36" ht="18" x14ac:dyDescent="0.35">
      <c r="A177" s="1"/>
      <c r="B177" s="63"/>
      <c r="C177" s="861" t="s">
        <v>452</v>
      </c>
      <c r="D177" s="75">
        <f t="shared" si="88"/>
        <v>2.9077206032609618E-2</v>
      </c>
      <c r="E177" s="75">
        <f>Land_Use!C280</f>
        <v>2.9077206032609618E-2</v>
      </c>
      <c r="F177" s="1"/>
      <c r="G177" s="1"/>
      <c r="H177" s="44"/>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row>
    <row r="178" spans="1:36" x14ac:dyDescent="0.25">
      <c r="A178" s="1"/>
      <c r="B178" s="63"/>
      <c r="C178" s="58" t="s">
        <v>455</v>
      </c>
      <c r="D178" s="75">
        <f>E178</f>
        <v>-0.936648598</v>
      </c>
      <c r="E178" s="75">
        <f>Land_Use!C281</f>
        <v>-0.936648598</v>
      </c>
      <c r="F178" s="1"/>
      <c r="G178" s="1"/>
      <c r="H178" s="44"/>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row>
    <row r="179" spans="1:36" x14ac:dyDescent="0.25">
      <c r="A179" s="1"/>
      <c r="B179" s="63"/>
      <c r="C179" s="58" t="s">
        <v>460</v>
      </c>
      <c r="D179" s="43">
        <f t="shared" ref="D179:E179" si="89">D180+D181</f>
        <v>0.31263615815513413</v>
      </c>
      <c r="E179" s="43">
        <f t="shared" si="89"/>
        <v>-0.24639063084570667</v>
      </c>
      <c r="F179" s="1"/>
      <c r="G179" s="1"/>
      <c r="H179" s="44"/>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row>
    <row r="180" spans="1:36" ht="18" x14ac:dyDescent="0.35">
      <c r="A180" s="1"/>
      <c r="B180" s="63"/>
      <c r="C180" s="861" t="s">
        <v>463</v>
      </c>
      <c r="D180" s="75">
        <f t="shared" ref="D180:D181" si="90">E180/_xlfn.XLOOKUP(C180,C$4:C$7,E$4:E$7,"ERROR")*_xlfn.XLOOKUP(C180,C$4:C$7,D$4:D$7,"ERROR")</f>
        <v>-0.53901440970355763</v>
      </c>
      <c r="E180" s="75">
        <f>Land_Use!C283</f>
        <v>-0.53901440970355763</v>
      </c>
      <c r="F180" s="1"/>
      <c r="G180" s="1"/>
      <c r="H180" s="44"/>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row>
    <row r="181" spans="1:36" ht="18" x14ac:dyDescent="0.35">
      <c r="A181" s="1"/>
      <c r="B181" s="107"/>
      <c r="C181" s="861" t="s">
        <v>468</v>
      </c>
      <c r="D181" s="75">
        <f t="shared" si="90"/>
        <v>0.85165056785869175</v>
      </c>
      <c r="E181" s="75">
        <f>Land_Use!C284</f>
        <v>0.29262377885785096</v>
      </c>
      <c r="F181" s="1"/>
      <c r="G181" s="1"/>
      <c r="H181" s="44"/>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row>
    <row r="182" spans="1:36" x14ac:dyDescent="0.25">
      <c r="A182" s="1"/>
      <c r="B182" s="2006" t="s">
        <v>1851</v>
      </c>
      <c r="C182" s="2007"/>
      <c r="D182" s="51">
        <f t="shared" ref="D182:E182" si="91">D168+D170</f>
        <v>77.916427962793406</v>
      </c>
      <c r="E182" s="51">
        <f t="shared" si="91"/>
        <v>64.60915099599967</v>
      </c>
      <c r="F182" s="1"/>
      <c r="G182" s="1"/>
      <c r="H182" s="44"/>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row>
    <row r="183" spans="1:36" x14ac:dyDescent="0.25">
      <c r="A183" s="1"/>
      <c r="B183" s="192"/>
      <c r="C183" s="193"/>
      <c r="D183" s="865"/>
      <c r="E183" s="865"/>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row>
    <row r="184" spans="1:36" x14ac:dyDescent="0.25">
      <c r="A184" s="1"/>
      <c r="B184" s="194"/>
      <c r="C184" s="194"/>
      <c r="D184" s="1"/>
      <c r="E184" s="68"/>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row>
    <row r="185" spans="1:36" x14ac:dyDescent="0.25">
      <c r="A185" s="1"/>
      <c r="B185" s="194"/>
      <c r="C185" s="194"/>
      <c r="D185" s="1"/>
      <c r="E185" s="68"/>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row>
    <row r="186" spans="1:36" ht="15" customHeight="1" x14ac:dyDescent="0.25">
      <c r="A186" s="1"/>
      <c r="B186" s="194"/>
      <c r="C186" s="195"/>
      <c r="D186" s="196" t="s">
        <v>478</v>
      </c>
      <c r="E186" s="198" t="s">
        <v>479</v>
      </c>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row>
    <row r="187" spans="1:36" ht="15" customHeight="1" x14ac:dyDescent="0.25">
      <c r="A187" s="1"/>
      <c r="B187" s="194"/>
      <c r="C187" s="199" t="s">
        <v>62</v>
      </c>
      <c r="D187" s="200">
        <f t="shared" ref="D187:E187" si="92">D11</f>
        <v>16.578080388352056</v>
      </c>
      <c r="E187" s="201">
        <f t="shared" si="92"/>
        <v>16.55762123500746</v>
      </c>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row>
    <row r="188" spans="1:36" ht="15" customHeight="1" x14ac:dyDescent="0.25">
      <c r="A188" s="1"/>
      <c r="B188" s="194"/>
      <c r="C188" s="199" t="s">
        <v>484</v>
      </c>
      <c r="D188" s="200">
        <f t="shared" ref="D188:E188" si="93">D30</f>
        <v>13.077784030235895</v>
      </c>
      <c r="E188" s="201">
        <f t="shared" si="93"/>
        <v>12.90931985507431</v>
      </c>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row>
    <row r="189" spans="1:36" ht="15" customHeight="1" x14ac:dyDescent="0.25">
      <c r="A189" s="1"/>
      <c r="B189" s="194"/>
      <c r="C189" s="199" t="s">
        <v>487</v>
      </c>
      <c r="D189" s="200">
        <f t="shared" ref="D189:E189" si="94">D48+D56</f>
        <v>25.73823417867186</v>
      </c>
      <c r="E189" s="201">
        <f t="shared" si="94"/>
        <v>25.688953867289381</v>
      </c>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row>
    <row r="190" spans="1:36" ht="15" customHeight="1" x14ac:dyDescent="0.25">
      <c r="A190" s="1"/>
      <c r="B190" s="194"/>
      <c r="C190" s="199" t="s">
        <v>490</v>
      </c>
      <c r="D190" s="200">
        <f t="shared" ref="D190:E190" si="95">D52+D60+D64+D68+D72+D76</f>
        <v>5.78261138781955</v>
      </c>
      <c r="E190" s="201">
        <f t="shared" si="95"/>
        <v>5.6912541854572209</v>
      </c>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row>
    <row r="191" spans="1:36" ht="15" customHeight="1" x14ac:dyDescent="0.25">
      <c r="A191" s="1"/>
      <c r="B191" s="194"/>
      <c r="C191" s="199" t="str">
        <f>B80</f>
        <v>Fossil Fuel Industry</v>
      </c>
      <c r="D191" s="200">
        <f t="shared" ref="D191:E191" si="96">D80</f>
        <v>4.6753233358878834</v>
      </c>
      <c r="E191" s="201">
        <f t="shared" si="96"/>
        <v>2.5839451486655367</v>
      </c>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row>
    <row r="192" spans="1:36" ht="15" customHeight="1" x14ac:dyDescent="0.25">
      <c r="A192" s="1"/>
      <c r="B192" s="194"/>
      <c r="C192" s="199" t="str">
        <f>B93</f>
        <v>Industrial Processes and Product Use</v>
      </c>
      <c r="D192" s="200">
        <f t="shared" ref="D192:E192" si="97">D93</f>
        <v>10.319240319619867</v>
      </c>
      <c r="E192" s="201">
        <f t="shared" si="97"/>
        <v>5.805742658535852</v>
      </c>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row>
    <row r="193" spans="1:36" ht="15" customHeight="1" x14ac:dyDescent="0.25">
      <c r="A193" s="1"/>
      <c r="B193" s="194"/>
      <c r="C193" s="199" t="str">
        <f>B130</f>
        <v>Agriculture</v>
      </c>
      <c r="D193" s="200">
        <f t="shared" ref="D193:E193" si="98">D130</f>
        <v>2.717886417118009</v>
      </c>
      <c r="E193" s="201">
        <f t="shared" si="98"/>
        <v>1.6373743336816398</v>
      </c>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row>
    <row r="194" spans="1:36" ht="15" customHeight="1" x14ac:dyDescent="0.25">
      <c r="A194" s="1"/>
      <c r="B194" s="194"/>
      <c r="C194" s="199" t="str">
        <f>B151</f>
        <v>Waste Management</v>
      </c>
      <c r="D194" s="200">
        <f t="shared" ref="D194:E194" si="99">D151</f>
        <v>8.7056121854746742</v>
      </c>
      <c r="E194" s="201">
        <f t="shared" si="99"/>
        <v>4.1653280445776666</v>
      </c>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row>
    <row r="195" spans="1:36" ht="15" customHeight="1" x14ac:dyDescent="0.2">
      <c r="A195" s="1"/>
      <c r="B195" s="1"/>
      <c r="C195" s="866" t="s">
        <v>501</v>
      </c>
      <c r="D195" s="867">
        <f t="shared" ref="D195:E195" si="100">SUM(D187:D194)</f>
        <v>87.594772243179804</v>
      </c>
      <c r="E195" s="868">
        <f t="shared" si="100"/>
        <v>75.039539328289052</v>
      </c>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row>
    <row r="196" spans="1:36" ht="11.25" x14ac:dyDescent="0.2">
      <c r="A196" s="1"/>
      <c r="B196" s="1"/>
      <c r="C196" s="1"/>
      <c r="D196" s="1"/>
      <c r="E196" s="202"/>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row>
    <row r="197" spans="1:36" ht="11.25" x14ac:dyDescent="0.2">
      <c r="A197" s="1"/>
      <c r="B197" s="1"/>
      <c r="C197" s="1"/>
      <c r="D197" s="1"/>
      <c r="E197" s="202"/>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row>
    <row r="198" spans="1:36" ht="11.25" x14ac:dyDescent="0.2">
      <c r="A198" s="1"/>
      <c r="B198" s="1"/>
      <c r="C198" s="1"/>
      <c r="D198" s="1"/>
      <c r="E198" s="202"/>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row>
    <row r="199" spans="1:36" ht="11.25" x14ac:dyDescent="0.2">
      <c r="A199" s="1"/>
      <c r="B199" s="1"/>
      <c r="C199" s="1"/>
      <c r="D199" s="1"/>
      <c r="E199" s="202"/>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row>
    <row r="200" spans="1:36" ht="11.25" x14ac:dyDescent="0.2">
      <c r="A200" s="1"/>
      <c r="B200" s="1"/>
      <c r="C200" s="1"/>
      <c r="D200" s="1"/>
      <c r="E200" s="202"/>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row>
    <row r="201" spans="1:36" ht="11.25" x14ac:dyDescent="0.2">
      <c r="A201" s="1"/>
      <c r="B201" s="1"/>
      <c r="C201" s="1"/>
      <c r="D201" s="1"/>
      <c r="E201" s="202"/>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row>
    <row r="202" spans="1:36" ht="11.25" x14ac:dyDescent="0.2">
      <c r="A202" s="1"/>
      <c r="B202" s="1"/>
      <c r="C202" s="1"/>
      <c r="D202" s="1"/>
      <c r="E202" s="202"/>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row>
    <row r="203" spans="1:36" ht="11.25" x14ac:dyDescent="0.2">
      <c r="A203" s="1"/>
      <c r="B203" s="1"/>
      <c r="C203" s="1"/>
      <c r="D203" s="1"/>
      <c r="E203" s="202"/>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row>
    <row r="204" spans="1:36" ht="11.25" x14ac:dyDescent="0.2">
      <c r="A204" s="1"/>
      <c r="B204" s="1"/>
      <c r="C204" s="1"/>
      <c r="D204" s="1"/>
      <c r="E204" s="202"/>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row>
    <row r="205" spans="1:36" ht="11.25" x14ac:dyDescent="0.2">
      <c r="A205" s="1"/>
      <c r="B205" s="1"/>
      <c r="C205" s="1"/>
      <c r="D205" s="1"/>
      <c r="E205" s="202"/>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row>
    <row r="206" spans="1:36" ht="11.25" x14ac:dyDescent="0.2">
      <c r="A206" s="1"/>
      <c r="B206" s="1"/>
      <c r="C206" s="1"/>
      <c r="D206" s="1"/>
      <c r="E206" s="202"/>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row>
    <row r="207" spans="1:36" ht="11.25" x14ac:dyDescent="0.2">
      <c r="A207" s="1"/>
      <c r="B207" s="1"/>
      <c r="C207" s="1"/>
      <c r="D207" s="1"/>
      <c r="E207" s="202"/>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row>
    <row r="208" spans="1:36" ht="11.25" x14ac:dyDescent="0.2">
      <c r="A208" s="1"/>
      <c r="B208" s="1"/>
      <c r="C208" s="1"/>
      <c r="D208" s="1"/>
      <c r="E208" s="202"/>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row>
    <row r="209" spans="1:36" ht="11.25" x14ac:dyDescent="0.2">
      <c r="A209" s="1"/>
      <c r="B209" s="1"/>
      <c r="C209" s="1"/>
      <c r="D209" s="1"/>
      <c r="E209" s="202"/>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row>
    <row r="210" spans="1:36" ht="11.25" x14ac:dyDescent="0.2">
      <c r="A210" s="1"/>
      <c r="B210" s="1"/>
      <c r="C210" s="1"/>
      <c r="D210" s="1"/>
      <c r="E210" s="202"/>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row>
    <row r="211" spans="1:36" ht="11.25" x14ac:dyDescent="0.2">
      <c r="A211" s="1"/>
      <c r="B211" s="1"/>
      <c r="C211" s="1"/>
      <c r="D211" s="1"/>
      <c r="E211" s="202"/>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row>
    <row r="212" spans="1:36" ht="11.25" x14ac:dyDescent="0.2">
      <c r="A212" s="1"/>
      <c r="B212" s="1"/>
      <c r="C212" s="1"/>
      <c r="D212" s="1"/>
      <c r="E212" s="202"/>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row>
    <row r="213" spans="1:36" ht="11.25" x14ac:dyDescent="0.2">
      <c r="A213" s="1"/>
      <c r="B213" s="1"/>
      <c r="C213" s="1"/>
      <c r="D213" s="1"/>
      <c r="E213" s="202"/>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row>
    <row r="214" spans="1:36" ht="11.25" x14ac:dyDescent="0.2">
      <c r="A214" s="1"/>
      <c r="B214" s="1"/>
      <c r="C214" s="1"/>
      <c r="D214" s="1"/>
      <c r="E214" s="202"/>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row>
    <row r="215" spans="1:36" ht="11.25" x14ac:dyDescent="0.2">
      <c r="A215" s="1"/>
      <c r="B215" s="1"/>
      <c r="C215" s="1"/>
      <c r="D215" s="1"/>
      <c r="E215" s="202"/>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row>
    <row r="216" spans="1:36" ht="11.25" x14ac:dyDescent="0.2">
      <c r="A216" s="1"/>
      <c r="B216" s="1"/>
      <c r="C216" s="1"/>
      <c r="D216" s="1"/>
      <c r="E216" s="202"/>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row>
    <row r="217" spans="1:36" ht="11.25" x14ac:dyDescent="0.2">
      <c r="A217" s="1"/>
      <c r="B217" s="1"/>
      <c r="C217" s="1"/>
      <c r="D217" s="1"/>
      <c r="E217" s="202"/>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row>
    <row r="218" spans="1:36" ht="11.25" x14ac:dyDescent="0.2">
      <c r="A218" s="1"/>
      <c r="B218" s="1"/>
      <c r="C218" s="1"/>
      <c r="D218" s="1"/>
      <c r="E218" s="202"/>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row>
    <row r="219" spans="1:36" ht="11.25" x14ac:dyDescent="0.2">
      <c r="A219" s="1"/>
      <c r="B219" s="1"/>
      <c r="C219" s="1"/>
      <c r="D219" s="1"/>
      <c r="E219" s="202"/>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row>
    <row r="220" spans="1:36" ht="11.25" x14ac:dyDescent="0.2">
      <c r="A220" s="1"/>
      <c r="B220" s="1"/>
      <c r="C220" s="1"/>
      <c r="D220" s="1"/>
      <c r="E220" s="202"/>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row>
    <row r="221" spans="1:36" ht="11.25" x14ac:dyDescent="0.2">
      <c r="A221" s="1"/>
      <c r="B221" s="1"/>
      <c r="C221" s="1"/>
      <c r="D221" s="1"/>
      <c r="E221" s="202"/>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row>
    <row r="222" spans="1:36" ht="11.25" x14ac:dyDescent="0.2">
      <c r="A222" s="1"/>
      <c r="B222" s="1"/>
      <c r="C222" s="1"/>
      <c r="D222" s="1"/>
      <c r="E222" s="202"/>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row>
    <row r="223" spans="1:36" ht="11.25" x14ac:dyDescent="0.2">
      <c r="A223" s="1"/>
      <c r="B223" s="1"/>
      <c r="C223" s="1"/>
      <c r="D223" s="1"/>
      <c r="E223" s="202"/>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row>
    <row r="224" spans="1:36" ht="11.25" x14ac:dyDescent="0.2">
      <c r="A224" s="1"/>
      <c r="B224" s="1"/>
      <c r="C224" s="1"/>
      <c r="D224" s="1"/>
      <c r="E224" s="202"/>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row>
    <row r="225" spans="1:36" ht="11.25" x14ac:dyDescent="0.2">
      <c r="A225" s="1"/>
      <c r="B225" s="1"/>
      <c r="C225" s="1"/>
      <c r="D225" s="1"/>
      <c r="E225" s="202"/>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row>
    <row r="226" spans="1:36" ht="11.25" x14ac:dyDescent="0.2">
      <c r="A226" s="1"/>
      <c r="B226" s="1"/>
      <c r="C226" s="1"/>
      <c r="D226" s="1"/>
      <c r="E226" s="202"/>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row>
    <row r="227" spans="1:36" ht="11.25" x14ac:dyDescent="0.2">
      <c r="A227" s="1"/>
      <c r="B227" s="1"/>
      <c r="C227" s="1"/>
      <c r="D227" s="1"/>
      <c r="E227" s="202"/>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row>
    <row r="228" spans="1:36" ht="11.25" x14ac:dyDescent="0.2">
      <c r="A228" s="1"/>
      <c r="B228" s="1"/>
      <c r="C228" s="1"/>
      <c r="D228" s="1"/>
      <c r="E228" s="202"/>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row>
    <row r="229" spans="1:36" ht="11.25" x14ac:dyDescent="0.2">
      <c r="A229" s="1"/>
      <c r="B229" s="1"/>
      <c r="C229" s="1"/>
      <c r="D229" s="1"/>
      <c r="E229" s="202"/>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row>
    <row r="230" spans="1:36" ht="11.25" x14ac:dyDescent="0.2">
      <c r="A230" s="1"/>
      <c r="B230" s="1"/>
      <c r="C230" s="1"/>
      <c r="D230" s="1"/>
      <c r="E230" s="202"/>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row>
    <row r="231" spans="1:36" ht="11.25" x14ac:dyDescent="0.2">
      <c r="A231" s="1"/>
      <c r="B231" s="1"/>
      <c r="C231" s="1"/>
      <c r="D231" s="1"/>
      <c r="E231" s="202"/>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row>
    <row r="232" spans="1:36" ht="11.25" x14ac:dyDescent="0.2">
      <c r="A232" s="1"/>
      <c r="B232" s="1"/>
      <c r="C232" s="1"/>
      <c r="D232" s="1"/>
      <c r="E232" s="202"/>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row>
    <row r="233" spans="1:36" ht="11.25" x14ac:dyDescent="0.2">
      <c r="A233" s="1"/>
      <c r="B233" s="1"/>
      <c r="C233" s="1"/>
      <c r="D233" s="1"/>
      <c r="E233" s="202"/>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row>
    <row r="234" spans="1:36" ht="11.25" x14ac:dyDescent="0.2">
      <c r="A234" s="1"/>
      <c r="B234" s="1"/>
      <c r="C234" s="1"/>
      <c r="D234" s="1"/>
      <c r="E234" s="202"/>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row>
    <row r="235" spans="1:36" ht="11.25" x14ac:dyDescent="0.2">
      <c r="A235" s="1"/>
      <c r="B235" s="1"/>
      <c r="C235" s="1"/>
      <c r="D235" s="1"/>
      <c r="E235" s="202"/>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row>
    <row r="236" spans="1:36" ht="11.25" x14ac:dyDescent="0.2">
      <c r="A236" s="1"/>
      <c r="B236" s="1"/>
      <c r="C236" s="1"/>
      <c r="D236" s="1"/>
      <c r="E236" s="202"/>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row>
    <row r="237" spans="1:36" ht="11.25" x14ac:dyDescent="0.2">
      <c r="A237" s="1"/>
      <c r="B237" s="1"/>
      <c r="C237" s="1"/>
      <c r="D237" s="1"/>
      <c r="E237" s="202"/>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row>
    <row r="238" spans="1:36" ht="11.25" x14ac:dyDescent="0.2">
      <c r="A238" s="1"/>
      <c r="B238" s="1"/>
      <c r="C238" s="1"/>
      <c r="D238" s="1"/>
      <c r="E238" s="202"/>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row>
    <row r="239" spans="1:36" ht="11.25" x14ac:dyDescent="0.2">
      <c r="A239" s="1"/>
      <c r="B239" s="1"/>
      <c r="C239" s="1"/>
      <c r="D239" s="1"/>
      <c r="E239" s="202"/>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row>
    <row r="240" spans="1:36" ht="11.25" x14ac:dyDescent="0.2">
      <c r="A240" s="1"/>
      <c r="B240" s="1"/>
      <c r="C240" s="1"/>
      <c r="D240" s="1"/>
      <c r="E240" s="202"/>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row>
    <row r="241" spans="1:36" ht="11.25" x14ac:dyDescent="0.2">
      <c r="A241" s="1"/>
      <c r="B241" s="1"/>
      <c r="C241" s="1"/>
      <c r="D241" s="1"/>
      <c r="E241" s="202"/>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row>
    <row r="242" spans="1:36" ht="11.25" x14ac:dyDescent="0.2">
      <c r="A242" s="1"/>
      <c r="B242" s="1"/>
      <c r="C242" s="1"/>
      <c r="D242" s="1"/>
      <c r="E242" s="202"/>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row>
    <row r="243" spans="1:36" ht="11.25" x14ac:dyDescent="0.2">
      <c r="A243" s="1"/>
      <c r="B243" s="1"/>
      <c r="C243" s="1"/>
      <c r="D243" s="1"/>
      <c r="E243" s="202"/>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row>
    <row r="244" spans="1:36" ht="11.25" x14ac:dyDescent="0.2">
      <c r="A244" s="1"/>
      <c r="B244" s="1"/>
      <c r="C244" s="1"/>
      <c r="D244" s="1"/>
      <c r="E244" s="202"/>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row>
    <row r="245" spans="1:36" ht="11.25" x14ac:dyDescent="0.2">
      <c r="A245" s="1"/>
      <c r="B245" s="1"/>
      <c r="C245" s="1"/>
      <c r="D245" s="1"/>
      <c r="E245" s="202"/>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row>
    <row r="246" spans="1:36" ht="11.25" x14ac:dyDescent="0.2">
      <c r="A246" s="1"/>
      <c r="B246" s="1"/>
      <c r="C246" s="1"/>
      <c r="D246" s="1"/>
      <c r="E246" s="202"/>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row>
    <row r="247" spans="1:36" ht="11.25" x14ac:dyDescent="0.2">
      <c r="A247" s="1"/>
      <c r="B247" s="1"/>
      <c r="C247" s="1"/>
      <c r="D247" s="1"/>
      <c r="E247" s="202"/>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row>
    <row r="248" spans="1:36" ht="11.25" x14ac:dyDescent="0.2">
      <c r="A248" s="1"/>
      <c r="B248" s="1"/>
      <c r="C248" s="1"/>
      <c r="D248" s="1"/>
      <c r="E248" s="202"/>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row>
    <row r="249" spans="1:36" ht="11.25" x14ac:dyDescent="0.2">
      <c r="A249" s="1"/>
      <c r="B249" s="1"/>
      <c r="C249" s="1"/>
      <c r="D249" s="1"/>
      <c r="E249" s="202"/>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row>
    <row r="250" spans="1:36" ht="11.25" x14ac:dyDescent="0.2">
      <c r="A250" s="1"/>
      <c r="B250" s="1"/>
      <c r="C250" s="1"/>
      <c r="D250" s="1"/>
      <c r="E250" s="202"/>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row>
    <row r="251" spans="1:36" ht="11.25" x14ac:dyDescent="0.2">
      <c r="A251" s="1"/>
      <c r="B251" s="1"/>
      <c r="C251" s="1"/>
      <c r="D251" s="1"/>
      <c r="E251" s="202"/>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row>
    <row r="252" spans="1:36" ht="11.25" x14ac:dyDescent="0.2">
      <c r="A252" s="1"/>
      <c r="B252" s="1"/>
      <c r="C252" s="1"/>
      <c r="D252" s="1"/>
      <c r="E252" s="202"/>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row>
    <row r="253" spans="1:36" ht="11.25" x14ac:dyDescent="0.2">
      <c r="A253" s="1"/>
      <c r="B253" s="1"/>
      <c r="C253" s="1"/>
      <c r="D253" s="1"/>
      <c r="E253" s="202"/>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row>
    <row r="254" spans="1:36" ht="11.25" x14ac:dyDescent="0.2">
      <c r="A254" s="1"/>
      <c r="B254" s="1"/>
      <c r="C254" s="1"/>
      <c r="D254" s="1"/>
      <c r="E254" s="202"/>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row>
    <row r="255" spans="1:36" ht="11.25" x14ac:dyDescent="0.2">
      <c r="A255" s="1"/>
      <c r="B255" s="1"/>
      <c r="C255" s="1"/>
      <c r="D255" s="1"/>
      <c r="E255" s="202"/>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row>
    <row r="256" spans="1:36" ht="11.25" x14ac:dyDescent="0.2">
      <c r="A256" s="1"/>
      <c r="B256" s="1"/>
      <c r="C256" s="1"/>
      <c r="D256" s="1"/>
      <c r="E256" s="202"/>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row>
    <row r="257" spans="1:36" ht="11.25" x14ac:dyDescent="0.2">
      <c r="A257" s="1"/>
      <c r="B257" s="1"/>
      <c r="C257" s="1"/>
      <c r="D257" s="1"/>
      <c r="E257" s="202"/>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row>
    <row r="258" spans="1:36" ht="11.25" x14ac:dyDescent="0.2">
      <c r="A258" s="1"/>
      <c r="B258" s="1"/>
      <c r="C258" s="1"/>
      <c r="D258" s="1"/>
      <c r="E258" s="202"/>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row>
    <row r="259" spans="1:36" ht="11.25" x14ac:dyDescent="0.2">
      <c r="A259" s="1"/>
      <c r="B259" s="1"/>
      <c r="C259" s="1"/>
      <c r="D259" s="1"/>
      <c r="E259" s="202"/>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row>
    <row r="260" spans="1:36" ht="11.25" x14ac:dyDescent="0.2">
      <c r="A260" s="1"/>
      <c r="B260" s="1"/>
      <c r="C260" s="1"/>
      <c r="D260" s="1"/>
      <c r="E260" s="202"/>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row>
    <row r="261" spans="1:36" ht="11.25" x14ac:dyDescent="0.2">
      <c r="A261" s="1"/>
      <c r="B261" s="1"/>
      <c r="C261" s="1"/>
      <c r="D261" s="1"/>
      <c r="E261" s="202"/>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row>
    <row r="262" spans="1:36" ht="11.25" x14ac:dyDescent="0.2">
      <c r="A262" s="1"/>
      <c r="B262" s="1"/>
      <c r="C262" s="1"/>
      <c r="D262" s="1"/>
      <c r="E262" s="202"/>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row>
    <row r="263" spans="1:36" ht="11.25" x14ac:dyDescent="0.2">
      <c r="A263" s="1"/>
      <c r="B263" s="1"/>
      <c r="C263" s="1"/>
      <c r="D263" s="1"/>
      <c r="E263" s="202"/>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row>
    <row r="264" spans="1:36" ht="11.25" x14ac:dyDescent="0.2">
      <c r="A264" s="1"/>
      <c r="B264" s="1"/>
      <c r="C264" s="1"/>
      <c r="D264" s="1"/>
      <c r="E264" s="202"/>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row>
    <row r="265" spans="1:36" ht="11.25" x14ac:dyDescent="0.2">
      <c r="A265" s="1"/>
      <c r="B265" s="1"/>
      <c r="C265" s="1"/>
      <c r="D265" s="1"/>
      <c r="E265" s="202"/>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row>
    <row r="266" spans="1:36" ht="11.25" x14ac:dyDescent="0.2">
      <c r="A266" s="1"/>
      <c r="B266" s="1"/>
      <c r="C266" s="1"/>
      <c r="D266" s="1"/>
      <c r="E266" s="202"/>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row>
    <row r="267" spans="1:36" ht="11.25" x14ac:dyDescent="0.2">
      <c r="A267" s="1"/>
      <c r="B267" s="1"/>
      <c r="C267" s="1"/>
      <c r="D267" s="1"/>
      <c r="E267" s="202"/>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row>
    <row r="268" spans="1:36" ht="11.25" x14ac:dyDescent="0.2">
      <c r="A268" s="1"/>
      <c r="B268" s="1"/>
      <c r="C268" s="1"/>
      <c r="D268" s="1"/>
      <c r="E268" s="202"/>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row>
    <row r="269" spans="1:36" ht="11.25" x14ac:dyDescent="0.2">
      <c r="A269" s="1"/>
      <c r="B269" s="1"/>
      <c r="C269" s="1"/>
      <c r="D269" s="1"/>
      <c r="E269" s="202"/>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row>
    <row r="270" spans="1:36" ht="11.25" x14ac:dyDescent="0.2">
      <c r="A270" s="1"/>
      <c r="B270" s="1"/>
      <c r="C270" s="1"/>
      <c r="D270" s="1"/>
      <c r="E270" s="202"/>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row>
    <row r="271" spans="1:36" ht="11.25" x14ac:dyDescent="0.2">
      <c r="A271" s="1"/>
      <c r="B271" s="1"/>
      <c r="C271" s="1"/>
      <c r="D271" s="1"/>
      <c r="E271" s="202"/>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row>
    <row r="272" spans="1:36" ht="11.25" x14ac:dyDescent="0.2">
      <c r="A272" s="1"/>
      <c r="B272" s="1"/>
      <c r="C272" s="1"/>
      <c r="D272" s="1"/>
      <c r="E272" s="202"/>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row>
    <row r="273" spans="1:36" ht="11.25" x14ac:dyDescent="0.2">
      <c r="A273" s="1"/>
      <c r="B273" s="1"/>
      <c r="C273" s="1"/>
      <c r="D273" s="1"/>
      <c r="E273" s="202"/>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row>
    <row r="274" spans="1:36" ht="11.25" x14ac:dyDescent="0.2">
      <c r="A274" s="1"/>
      <c r="B274" s="1"/>
      <c r="C274" s="1"/>
      <c r="D274" s="1"/>
      <c r="E274" s="202"/>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row>
    <row r="275" spans="1:36" ht="11.25" x14ac:dyDescent="0.2">
      <c r="A275" s="1"/>
      <c r="B275" s="1"/>
      <c r="C275" s="1"/>
      <c r="D275" s="1"/>
      <c r="E275" s="202"/>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row>
    <row r="276" spans="1:36" ht="11.25" x14ac:dyDescent="0.2">
      <c r="A276" s="1"/>
      <c r="B276" s="1"/>
      <c r="C276" s="1"/>
      <c r="D276" s="1"/>
      <c r="E276" s="202"/>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row>
    <row r="277" spans="1:36" ht="11.25" x14ac:dyDescent="0.2">
      <c r="A277" s="1"/>
      <c r="B277" s="1"/>
      <c r="C277" s="1"/>
      <c r="D277" s="1"/>
      <c r="E277" s="202"/>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row>
    <row r="278" spans="1:36" ht="11.25" x14ac:dyDescent="0.2">
      <c r="A278" s="1"/>
      <c r="B278" s="1"/>
      <c r="C278" s="1"/>
      <c r="D278" s="1"/>
      <c r="E278" s="202"/>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row>
    <row r="279" spans="1:36" ht="11.25" x14ac:dyDescent="0.2">
      <c r="A279" s="1"/>
      <c r="B279" s="1"/>
      <c r="C279" s="1"/>
      <c r="D279" s="1"/>
      <c r="E279" s="202"/>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row>
    <row r="280" spans="1:36" ht="11.25" x14ac:dyDescent="0.2">
      <c r="A280" s="1"/>
      <c r="B280" s="1"/>
      <c r="C280" s="1"/>
      <c r="D280" s="1"/>
      <c r="E280" s="202"/>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row>
    <row r="281" spans="1:36" ht="11.25" x14ac:dyDescent="0.2">
      <c r="A281" s="1"/>
      <c r="B281" s="1"/>
      <c r="C281" s="1"/>
      <c r="D281" s="1"/>
      <c r="E281" s="202"/>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row>
    <row r="282" spans="1:36" ht="11.25" x14ac:dyDescent="0.2">
      <c r="A282" s="1"/>
      <c r="B282" s="1"/>
      <c r="C282" s="1"/>
      <c r="D282" s="1"/>
      <c r="E282" s="202"/>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row>
    <row r="283" spans="1:36" ht="11.25" x14ac:dyDescent="0.2">
      <c r="A283" s="1"/>
      <c r="B283" s="1"/>
      <c r="C283" s="1"/>
      <c r="D283" s="1"/>
      <c r="E283" s="202"/>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row>
    <row r="284" spans="1:36" ht="11.25" x14ac:dyDescent="0.2">
      <c r="A284" s="1"/>
      <c r="B284" s="1"/>
      <c r="C284" s="1"/>
      <c r="D284" s="1"/>
      <c r="E284" s="202"/>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row>
    <row r="285" spans="1:36" ht="11.25" x14ac:dyDescent="0.2">
      <c r="A285" s="1"/>
      <c r="B285" s="1"/>
      <c r="C285" s="1"/>
      <c r="D285" s="1"/>
      <c r="E285" s="202"/>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row>
    <row r="286" spans="1:36" ht="11.25" x14ac:dyDescent="0.2">
      <c r="A286" s="1"/>
      <c r="B286" s="1"/>
      <c r="C286" s="1"/>
      <c r="D286" s="1"/>
      <c r="E286" s="202"/>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row>
    <row r="287" spans="1:36" ht="11.25" x14ac:dyDescent="0.2">
      <c r="A287" s="1"/>
      <c r="B287" s="1"/>
      <c r="C287" s="1"/>
      <c r="D287" s="1"/>
      <c r="E287" s="202"/>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row>
    <row r="288" spans="1:36" ht="11.25" x14ac:dyDescent="0.2">
      <c r="A288" s="1"/>
      <c r="B288" s="1"/>
      <c r="C288" s="1"/>
      <c r="D288" s="1"/>
      <c r="E288" s="202"/>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row>
    <row r="289" spans="1:36" ht="11.25" x14ac:dyDescent="0.2">
      <c r="A289" s="1"/>
      <c r="B289" s="1"/>
      <c r="C289" s="1"/>
      <c r="D289" s="1"/>
      <c r="E289" s="202"/>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row>
    <row r="290" spans="1:36" ht="11.25" x14ac:dyDescent="0.2">
      <c r="A290" s="1"/>
      <c r="B290" s="1"/>
      <c r="C290" s="1"/>
      <c r="D290" s="1"/>
      <c r="E290" s="202"/>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row>
    <row r="291" spans="1:36" ht="11.25" x14ac:dyDescent="0.2">
      <c r="A291" s="1"/>
      <c r="B291" s="1"/>
      <c r="C291" s="1"/>
      <c r="D291" s="1"/>
      <c r="E291" s="202"/>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row>
    <row r="292" spans="1:36" ht="11.25" x14ac:dyDescent="0.2">
      <c r="A292" s="1"/>
      <c r="B292" s="1"/>
      <c r="C292" s="1"/>
      <c r="D292" s="1"/>
      <c r="E292" s="202"/>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row>
    <row r="293" spans="1:36" ht="11.25" x14ac:dyDescent="0.2">
      <c r="A293" s="1"/>
      <c r="B293" s="1"/>
      <c r="C293" s="1"/>
      <c r="D293" s="1"/>
      <c r="E293" s="202"/>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row>
    <row r="294" spans="1:36" ht="11.25" x14ac:dyDescent="0.2">
      <c r="A294" s="1"/>
      <c r="B294" s="1"/>
      <c r="C294" s="1"/>
      <c r="D294" s="1"/>
      <c r="E294" s="202"/>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row>
    <row r="295" spans="1:36" ht="11.25" x14ac:dyDescent="0.2">
      <c r="A295" s="1"/>
      <c r="B295" s="1"/>
      <c r="C295" s="1"/>
      <c r="D295" s="1"/>
      <c r="E295" s="202"/>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row>
    <row r="296" spans="1:36" ht="11.25" x14ac:dyDescent="0.2">
      <c r="A296" s="1"/>
      <c r="B296" s="1"/>
      <c r="C296" s="1"/>
      <c r="D296" s="1"/>
      <c r="E296" s="202"/>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row>
    <row r="297" spans="1:36" ht="11.25" x14ac:dyDescent="0.2">
      <c r="A297" s="1"/>
      <c r="B297" s="1"/>
      <c r="C297" s="1"/>
      <c r="D297" s="1"/>
      <c r="E297" s="202"/>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row>
    <row r="298" spans="1:36" ht="11.25" x14ac:dyDescent="0.2">
      <c r="A298" s="1"/>
      <c r="B298" s="1"/>
      <c r="C298" s="1"/>
      <c r="D298" s="1"/>
      <c r="E298" s="202"/>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row>
    <row r="299" spans="1:36" ht="11.25" x14ac:dyDescent="0.2">
      <c r="A299" s="1"/>
      <c r="B299" s="1"/>
      <c r="C299" s="1"/>
      <c r="D299" s="1"/>
      <c r="E299" s="202"/>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row>
    <row r="300" spans="1:36" ht="11.25" x14ac:dyDescent="0.2">
      <c r="A300" s="1"/>
      <c r="B300" s="1"/>
      <c r="C300" s="1"/>
      <c r="D300" s="1"/>
      <c r="E300" s="202"/>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row>
    <row r="301" spans="1:36" ht="11.25" x14ac:dyDescent="0.2">
      <c r="A301" s="1"/>
      <c r="B301" s="1"/>
      <c r="C301" s="1"/>
      <c r="D301" s="1"/>
      <c r="E301" s="202"/>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row>
    <row r="302" spans="1:36" ht="11.25" x14ac:dyDescent="0.2">
      <c r="A302" s="1"/>
      <c r="B302" s="1"/>
      <c r="C302" s="1"/>
      <c r="D302" s="1"/>
      <c r="E302" s="202"/>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row>
    <row r="303" spans="1:36" ht="11.25" x14ac:dyDescent="0.2">
      <c r="A303" s="1"/>
      <c r="B303" s="1"/>
      <c r="C303" s="1"/>
      <c r="D303" s="1"/>
      <c r="E303" s="202"/>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row>
    <row r="304" spans="1:36" ht="11.25" x14ac:dyDescent="0.2">
      <c r="A304" s="1"/>
      <c r="B304" s="1"/>
      <c r="C304" s="1"/>
      <c r="D304" s="1"/>
      <c r="E304" s="202"/>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row>
    <row r="305" spans="1:36" ht="11.25" x14ac:dyDescent="0.2">
      <c r="A305" s="1"/>
      <c r="B305" s="1"/>
      <c r="C305" s="1"/>
      <c r="D305" s="1"/>
      <c r="E305" s="202"/>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row>
    <row r="306" spans="1:36" ht="11.25" x14ac:dyDescent="0.2">
      <c r="A306" s="1"/>
      <c r="B306" s="1"/>
      <c r="C306" s="1"/>
      <c r="D306" s="1"/>
      <c r="E306" s="202"/>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row>
    <row r="307" spans="1:36" ht="11.25" x14ac:dyDescent="0.2">
      <c r="A307" s="1"/>
      <c r="B307" s="1"/>
      <c r="C307" s="1"/>
      <c r="D307" s="1"/>
      <c r="E307" s="202"/>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row>
    <row r="308" spans="1:36" ht="11.25" x14ac:dyDescent="0.2">
      <c r="A308" s="1"/>
      <c r="B308" s="1"/>
      <c r="C308" s="1"/>
      <c r="D308" s="1"/>
      <c r="E308" s="202"/>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row>
    <row r="309" spans="1:36" ht="11.25" x14ac:dyDescent="0.2">
      <c r="A309" s="1"/>
      <c r="B309" s="1"/>
      <c r="C309" s="1"/>
      <c r="D309" s="1"/>
      <c r="E309" s="202"/>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row>
    <row r="310" spans="1:36" ht="11.25" x14ac:dyDescent="0.2">
      <c r="A310" s="1"/>
      <c r="B310" s="1"/>
      <c r="C310" s="1"/>
      <c r="D310" s="1"/>
      <c r="E310" s="202"/>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row>
    <row r="311" spans="1:36" ht="11.25" x14ac:dyDescent="0.2">
      <c r="A311" s="1"/>
      <c r="B311" s="1"/>
      <c r="C311" s="1"/>
      <c r="D311" s="1"/>
      <c r="E311" s="202"/>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row>
    <row r="312" spans="1:36" ht="11.25" x14ac:dyDescent="0.2">
      <c r="A312" s="1"/>
      <c r="B312" s="1"/>
      <c r="C312" s="1"/>
      <c r="D312" s="1"/>
      <c r="E312" s="202"/>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row>
    <row r="313" spans="1:36" ht="11.25" x14ac:dyDescent="0.2">
      <c r="A313" s="1"/>
      <c r="B313" s="1"/>
      <c r="C313" s="1"/>
      <c r="D313" s="1"/>
      <c r="E313" s="202"/>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row>
    <row r="314" spans="1:36" ht="11.25" x14ac:dyDescent="0.2">
      <c r="A314" s="1"/>
      <c r="B314" s="1"/>
      <c r="C314" s="1"/>
      <c r="D314" s="1"/>
      <c r="E314" s="202"/>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row>
    <row r="315" spans="1:36" ht="11.25" x14ac:dyDescent="0.2">
      <c r="A315" s="1"/>
      <c r="B315" s="1"/>
      <c r="C315" s="1"/>
      <c r="D315" s="1"/>
      <c r="E315" s="202"/>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row>
    <row r="316" spans="1:36" ht="11.25" x14ac:dyDescent="0.2">
      <c r="A316" s="1"/>
      <c r="B316" s="1"/>
      <c r="C316" s="1"/>
      <c r="D316" s="1"/>
      <c r="E316" s="202"/>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row>
    <row r="317" spans="1:36" ht="11.25" x14ac:dyDescent="0.2">
      <c r="A317" s="1"/>
      <c r="B317" s="1"/>
      <c r="C317" s="1"/>
      <c r="D317" s="1"/>
      <c r="E317" s="202"/>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row>
    <row r="318" spans="1:36" ht="11.25" x14ac:dyDescent="0.2">
      <c r="A318" s="1"/>
      <c r="B318" s="1"/>
      <c r="C318" s="1"/>
      <c r="D318" s="1"/>
      <c r="E318" s="202"/>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row>
    <row r="319" spans="1:36" ht="11.25" x14ac:dyDescent="0.2">
      <c r="A319" s="1"/>
      <c r="B319" s="1"/>
      <c r="C319" s="1"/>
      <c r="D319" s="1"/>
      <c r="E319" s="202"/>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row>
    <row r="320" spans="1:36" ht="11.25" x14ac:dyDescent="0.2">
      <c r="A320" s="1"/>
      <c r="B320" s="1"/>
      <c r="C320" s="1"/>
      <c r="D320" s="1"/>
      <c r="E320" s="202"/>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row>
    <row r="321" spans="1:36" ht="11.25" x14ac:dyDescent="0.2">
      <c r="A321" s="1"/>
      <c r="B321" s="1"/>
      <c r="C321" s="1"/>
      <c r="D321" s="1"/>
      <c r="E321" s="202"/>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row>
    <row r="322" spans="1:36" ht="11.25" x14ac:dyDescent="0.2">
      <c r="A322" s="1"/>
      <c r="B322" s="1"/>
      <c r="C322" s="1"/>
      <c r="D322" s="1"/>
      <c r="E322" s="202"/>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row>
    <row r="323" spans="1:36" ht="11.25" x14ac:dyDescent="0.2">
      <c r="A323" s="1"/>
      <c r="B323" s="1"/>
      <c r="C323" s="1"/>
      <c r="D323" s="1"/>
      <c r="E323" s="202"/>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row>
    <row r="324" spans="1:36" ht="11.25" x14ac:dyDescent="0.2">
      <c r="A324" s="1"/>
      <c r="B324" s="1"/>
      <c r="C324" s="1"/>
      <c r="D324" s="1"/>
      <c r="E324" s="202"/>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row>
    <row r="325" spans="1:36" ht="11.25" x14ac:dyDescent="0.2">
      <c r="A325" s="1"/>
      <c r="B325" s="1"/>
      <c r="C325" s="1"/>
      <c r="D325" s="1"/>
      <c r="E325" s="202"/>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row>
    <row r="326" spans="1:36" ht="11.25" x14ac:dyDescent="0.2">
      <c r="A326" s="1"/>
      <c r="B326" s="1"/>
      <c r="C326" s="1"/>
      <c r="D326" s="1"/>
      <c r="E326" s="202"/>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row>
    <row r="327" spans="1:36" ht="11.25" x14ac:dyDescent="0.2">
      <c r="A327" s="1"/>
      <c r="B327" s="1"/>
      <c r="C327" s="1"/>
      <c r="D327" s="1"/>
      <c r="E327" s="202"/>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row>
    <row r="328" spans="1:36" ht="11.25" x14ac:dyDescent="0.2">
      <c r="A328" s="1"/>
      <c r="B328" s="1"/>
      <c r="C328" s="1"/>
      <c r="D328" s="1"/>
      <c r="E328" s="202"/>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row>
    <row r="329" spans="1:36" ht="11.25" x14ac:dyDescent="0.2">
      <c r="A329" s="1"/>
      <c r="B329" s="1"/>
      <c r="C329" s="1"/>
      <c r="D329" s="1"/>
      <c r="E329" s="202"/>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row>
    <row r="330" spans="1:36" ht="11.25" x14ac:dyDescent="0.2">
      <c r="A330" s="1"/>
      <c r="B330" s="1"/>
      <c r="C330" s="1"/>
      <c r="D330" s="1"/>
      <c r="E330" s="202"/>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row>
    <row r="331" spans="1:36" ht="11.25" x14ac:dyDescent="0.2">
      <c r="A331" s="1"/>
      <c r="B331" s="1"/>
      <c r="C331" s="1"/>
      <c r="D331" s="1"/>
      <c r="E331" s="202"/>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row>
    <row r="332" spans="1:36" ht="11.25" x14ac:dyDescent="0.2">
      <c r="A332" s="1"/>
      <c r="B332" s="1"/>
      <c r="C332" s="1"/>
      <c r="D332" s="1"/>
      <c r="E332" s="202"/>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row>
    <row r="333" spans="1:36" ht="11.25" x14ac:dyDescent="0.2">
      <c r="A333" s="1"/>
      <c r="B333" s="1"/>
      <c r="C333" s="1"/>
      <c r="D333" s="1"/>
      <c r="E333" s="202"/>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row>
    <row r="334" spans="1:36" ht="11.25" x14ac:dyDescent="0.2">
      <c r="A334" s="1"/>
      <c r="B334" s="1"/>
      <c r="C334" s="1"/>
      <c r="D334" s="1"/>
      <c r="E334" s="202"/>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row>
    <row r="335" spans="1:36" ht="11.25" x14ac:dyDescent="0.2">
      <c r="A335" s="1"/>
      <c r="B335" s="1"/>
      <c r="C335" s="1"/>
      <c r="D335" s="1"/>
      <c r="E335" s="202"/>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row>
    <row r="336" spans="1:36" ht="11.25" x14ac:dyDescent="0.2">
      <c r="A336" s="1"/>
      <c r="B336" s="1"/>
      <c r="C336" s="1"/>
      <c r="D336" s="1"/>
      <c r="E336" s="202"/>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row>
    <row r="337" spans="1:36" ht="11.25" x14ac:dyDescent="0.2">
      <c r="A337" s="1"/>
      <c r="B337" s="1"/>
      <c r="C337" s="1"/>
      <c r="D337" s="1"/>
      <c r="E337" s="202"/>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row>
    <row r="338" spans="1:36" ht="11.25" x14ac:dyDescent="0.2">
      <c r="A338" s="1"/>
      <c r="B338" s="1"/>
      <c r="C338" s="1"/>
      <c r="D338" s="1"/>
      <c r="E338" s="202"/>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row>
    <row r="339" spans="1:36" ht="11.25" x14ac:dyDescent="0.2">
      <c r="A339" s="1"/>
      <c r="B339" s="1"/>
      <c r="C339" s="1"/>
      <c r="D339" s="1"/>
      <c r="E339" s="202"/>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row>
    <row r="340" spans="1:36" ht="11.25" x14ac:dyDescent="0.2">
      <c r="A340" s="1"/>
      <c r="B340" s="1"/>
      <c r="C340" s="1"/>
      <c r="D340" s="1"/>
      <c r="E340" s="202"/>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row>
    <row r="341" spans="1:36" ht="11.25" x14ac:dyDescent="0.2">
      <c r="A341" s="1"/>
      <c r="B341" s="1"/>
      <c r="C341" s="1"/>
      <c r="D341" s="1"/>
      <c r="E341" s="202"/>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row>
    <row r="342" spans="1:36" ht="11.25" x14ac:dyDescent="0.2">
      <c r="A342" s="1"/>
      <c r="B342" s="1"/>
      <c r="C342" s="1"/>
      <c r="D342" s="1"/>
      <c r="E342" s="202"/>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row>
    <row r="343" spans="1:36" ht="11.25" x14ac:dyDescent="0.2">
      <c r="A343" s="1"/>
      <c r="B343" s="1"/>
      <c r="C343" s="1"/>
      <c r="D343" s="1"/>
      <c r="E343" s="202"/>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row>
    <row r="344" spans="1:36" ht="11.25" x14ac:dyDescent="0.2">
      <c r="A344" s="1"/>
      <c r="B344" s="1"/>
      <c r="C344" s="1"/>
      <c r="D344" s="1"/>
      <c r="E344" s="202"/>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row>
    <row r="345" spans="1:36" ht="11.25" x14ac:dyDescent="0.2">
      <c r="A345" s="1"/>
      <c r="B345" s="1"/>
      <c r="C345" s="1"/>
      <c r="D345" s="1"/>
      <c r="E345" s="202"/>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row>
    <row r="346" spans="1:36" ht="11.25" x14ac:dyDescent="0.2">
      <c r="A346" s="1"/>
      <c r="B346" s="1"/>
      <c r="C346" s="1"/>
      <c r="D346" s="1"/>
      <c r="E346" s="202"/>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row>
    <row r="347" spans="1:36" ht="11.25" x14ac:dyDescent="0.2">
      <c r="A347" s="1"/>
      <c r="B347" s="1"/>
      <c r="C347" s="1"/>
      <c r="D347" s="1"/>
      <c r="E347" s="202"/>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row>
    <row r="348" spans="1:36" ht="11.25" x14ac:dyDescent="0.2">
      <c r="A348" s="1"/>
      <c r="B348" s="1"/>
      <c r="C348" s="1"/>
      <c r="D348" s="1"/>
      <c r="E348" s="202"/>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row>
    <row r="349" spans="1:36" ht="11.25" x14ac:dyDescent="0.2">
      <c r="A349" s="1"/>
      <c r="B349" s="1"/>
      <c r="C349" s="1"/>
      <c r="D349" s="1"/>
      <c r="E349" s="202"/>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row>
    <row r="350" spans="1:36" ht="11.25" x14ac:dyDescent="0.2">
      <c r="A350" s="1"/>
      <c r="B350" s="1"/>
      <c r="C350" s="1"/>
      <c r="D350" s="1"/>
      <c r="E350" s="202"/>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row>
    <row r="351" spans="1:36" ht="11.25" x14ac:dyDescent="0.2">
      <c r="A351" s="1"/>
      <c r="B351" s="1"/>
      <c r="C351" s="1"/>
      <c r="D351" s="1"/>
      <c r="E351" s="202"/>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row>
    <row r="352" spans="1:36" ht="11.25" x14ac:dyDescent="0.2">
      <c r="A352" s="1"/>
      <c r="B352" s="1"/>
      <c r="C352" s="1"/>
      <c r="D352" s="1"/>
      <c r="E352" s="202"/>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row>
    <row r="353" spans="1:36" ht="11.25" x14ac:dyDescent="0.2">
      <c r="A353" s="1"/>
      <c r="B353" s="1"/>
      <c r="C353" s="1"/>
      <c r="D353" s="1"/>
      <c r="E353" s="202"/>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row>
    <row r="354" spans="1:36" ht="11.25" x14ac:dyDescent="0.2">
      <c r="A354" s="1"/>
      <c r="B354" s="1"/>
      <c r="C354" s="1"/>
      <c r="D354" s="1"/>
      <c r="E354" s="202"/>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row>
    <row r="355" spans="1:36" ht="11.25" x14ac:dyDescent="0.2">
      <c r="A355" s="1"/>
      <c r="B355" s="1"/>
      <c r="C355" s="1"/>
      <c r="D355" s="1"/>
      <c r="E355" s="202"/>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row>
    <row r="356" spans="1:36" ht="11.25" x14ac:dyDescent="0.2">
      <c r="A356" s="1"/>
      <c r="B356" s="1"/>
      <c r="C356" s="1"/>
      <c r="D356" s="1"/>
      <c r="E356" s="202"/>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row>
    <row r="357" spans="1:36" ht="11.25" x14ac:dyDescent="0.2">
      <c r="A357" s="1"/>
      <c r="B357" s="1"/>
      <c r="C357" s="1"/>
      <c r="D357" s="1"/>
      <c r="E357" s="202"/>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row>
    <row r="358" spans="1:36" ht="11.25" x14ac:dyDescent="0.2">
      <c r="A358" s="1"/>
      <c r="B358" s="1"/>
      <c r="C358" s="1"/>
      <c r="D358" s="1"/>
      <c r="E358" s="202"/>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row>
    <row r="359" spans="1:36" ht="11.25" x14ac:dyDescent="0.2">
      <c r="A359" s="1"/>
      <c r="B359" s="1"/>
      <c r="C359" s="1"/>
      <c r="D359" s="1"/>
      <c r="E359" s="202"/>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row>
    <row r="360" spans="1:36" ht="11.25" x14ac:dyDescent="0.2">
      <c r="A360" s="1"/>
      <c r="B360" s="1"/>
      <c r="C360" s="1"/>
      <c r="D360" s="1"/>
      <c r="E360" s="202"/>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row>
    <row r="361" spans="1:36" ht="11.25" x14ac:dyDescent="0.2">
      <c r="A361" s="1"/>
      <c r="B361" s="1"/>
      <c r="C361" s="1"/>
      <c r="D361" s="1"/>
      <c r="E361" s="202"/>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row>
    <row r="362" spans="1:36" ht="11.25" x14ac:dyDescent="0.2">
      <c r="A362" s="1"/>
      <c r="B362" s="1"/>
      <c r="C362" s="1"/>
      <c r="D362" s="1"/>
      <c r="E362" s="202"/>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row>
    <row r="363" spans="1:36" ht="11.25" x14ac:dyDescent="0.2">
      <c r="A363" s="1"/>
      <c r="B363" s="1"/>
      <c r="C363" s="1"/>
      <c r="D363" s="1"/>
      <c r="E363" s="202"/>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row>
    <row r="364" spans="1:36" ht="11.25" x14ac:dyDescent="0.2">
      <c r="A364" s="1"/>
      <c r="B364" s="1"/>
      <c r="C364" s="1"/>
      <c r="D364" s="1"/>
      <c r="E364" s="202"/>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row>
    <row r="365" spans="1:36" ht="11.25" x14ac:dyDescent="0.2">
      <c r="A365" s="1"/>
      <c r="B365" s="1"/>
      <c r="C365" s="1"/>
      <c r="D365" s="1"/>
      <c r="E365" s="202"/>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row>
    <row r="366" spans="1:36" ht="11.25" x14ac:dyDescent="0.2">
      <c r="A366" s="1"/>
      <c r="B366" s="1"/>
      <c r="C366" s="1"/>
      <c r="D366" s="1"/>
      <c r="E366" s="202"/>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row>
    <row r="367" spans="1:36" ht="11.25" x14ac:dyDescent="0.2">
      <c r="A367" s="1"/>
      <c r="B367" s="1"/>
      <c r="C367" s="1"/>
      <c r="D367" s="1"/>
      <c r="E367" s="202"/>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row>
    <row r="368" spans="1:36" ht="11.25" x14ac:dyDescent="0.2">
      <c r="A368" s="1"/>
      <c r="B368" s="1"/>
      <c r="C368" s="1"/>
      <c r="D368" s="1"/>
      <c r="E368" s="202"/>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row>
    <row r="369" spans="1:36" ht="11.25" x14ac:dyDescent="0.2">
      <c r="A369" s="1"/>
      <c r="B369" s="1"/>
      <c r="C369" s="1"/>
      <c r="D369" s="1"/>
      <c r="E369" s="202"/>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row>
    <row r="370" spans="1:36" ht="11.25" x14ac:dyDescent="0.2">
      <c r="A370" s="1"/>
      <c r="B370" s="1"/>
      <c r="C370" s="1"/>
      <c r="D370" s="1"/>
      <c r="E370" s="202"/>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row>
    <row r="371" spans="1:36" ht="11.25" x14ac:dyDescent="0.2">
      <c r="A371" s="1"/>
      <c r="B371" s="1"/>
      <c r="C371" s="1"/>
      <c r="D371" s="1"/>
      <c r="E371" s="202"/>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row>
    <row r="372" spans="1:36" ht="11.25" x14ac:dyDescent="0.2">
      <c r="A372" s="1"/>
      <c r="B372" s="1"/>
      <c r="C372" s="1"/>
      <c r="D372" s="1"/>
      <c r="E372" s="202"/>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row>
    <row r="373" spans="1:36" ht="11.25" x14ac:dyDescent="0.2">
      <c r="A373" s="1"/>
      <c r="B373" s="1"/>
      <c r="C373" s="1"/>
      <c r="D373" s="1"/>
      <c r="E373" s="202"/>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row>
    <row r="374" spans="1:36" ht="11.25" x14ac:dyDescent="0.2">
      <c r="A374" s="1"/>
      <c r="B374" s="1"/>
      <c r="C374" s="1"/>
      <c r="D374" s="1"/>
      <c r="E374" s="202"/>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row>
    <row r="375" spans="1:36" ht="11.25" x14ac:dyDescent="0.2">
      <c r="A375" s="1"/>
      <c r="B375" s="1"/>
      <c r="C375" s="1"/>
      <c r="D375" s="1"/>
      <c r="E375" s="202"/>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row>
    <row r="376" spans="1:36" ht="11.25" x14ac:dyDescent="0.2">
      <c r="A376" s="1"/>
      <c r="B376" s="1"/>
      <c r="C376" s="1"/>
      <c r="D376" s="1"/>
      <c r="E376" s="202"/>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row>
    <row r="377" spans="1:36" ht="11.25" x14ac:dyDescent="0.2">
      <c r="A377" s="1"/>
      <c r="B377" s="1"/>
      <c r="C377" s="1"/>
      <c r="D377" s="1"/>
      <c r="E377" s="202"/>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row>
    <row r="378" spans="1:36" ht="11.25" x14ac:dyDescent="0.2">
      <c r="A378" s="1"/>
      <c r="B378" s="1"/>
      <c r="C378" s="1"/>
      <c r="D378" s="1"/>
      <c r="E378" s="202"/>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row>
    <row r="379" spans="1:36" ht="11.25" x14ac:dyDescent="0.2">
      <c r="A379" s="1"/>
      <c r="B379" s="1"/>
      <c r="C379" s="1"/>
      <c r="D379" s="1"/>
      <c r="E379" s="202"/>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row>
    <row r="380" spans="1:36" ht="11.25" x14ac:dyDescent="0.2">
      <c r="A380" s="1"/>
      <c r="B380" s="1"/>
      <c r="C380" s="1"/>
      <c r="D380" s="1"/>
      <c r="E380" s="202"/>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row>
    <row r="381" spans="1:36" ht="11.25" x14ac:dyDescent="0.2">
      <c r="A381" s="1"/>
      <c r="B381" s="1"/>
      <c r="C381" s="1"/>
      <c r="D381" s="1"/>
      <c r="E381" s="202"/>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row>
    <row r="382" spans="1:36" ht="11.25" x14ac:dyDescent="0.2">
      <c r="A382" s="1"/>
      <c r="B382" s="1"/>
      <c r="C382" s="1"/>
      <c r="D382" s="1"/>
      <c r="E382" s="202"/>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row>
    <row r="383" spans="1:36" ht="11.25" x14ac:dyDescent="0.2">
      <c r="A383" s="1"/>
      <c r="B383" s="1"/>
      <c r="C383" s="1"/>
      <c r="D383" s="1"/>
      <c r="E383" s="202"/>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row>
    <row r="384" spans="1:36" ht="11.25" x14ac:dyDescent="0.2">
      <c r="A384" s="1"/>
      <c r="B384" s="1"/>
      <c r="C384" s="1"/>
      <c r="D384" s="1"/>
      <c r="E384" s="202"/>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row>
    <row r="385" spans="1:36" ht="11.25" x14ac:dyDescent="0.2">
      <c r="A385" s="1"/>
      <c r="B385" s="1"/>
      <c r="C385" s="1"/>
      <c r="D385" s="1"/>
      <c r="E385" s="202"/>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row>
    <row r="386" spans="1:36" ht="11.25" x14ac:dyDescent="0.2">
      <c r="A386" s="1"/>
      <c r="B386" s="1"/>
      <c r="C386" s="1"/>
      <c r="D386" s="1"/>
      <c r="E386" s="202"/>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row>
    <row r="387" spans="1:36" ht="11.25" x14ac:dyDescent="0.2">
      <c r="A387" s="1"/>
      <c r="B387" s="1"/>
      <c r="C387" s="1"/>
      <c r="D387" s="1"/>
      <c r="E387" s="202"/>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row>
    <row r="388" spans="1:36" ht="11.25" x14ac:dyDescent="0.2">
      <c r="A388" s="1"/>
      <c r="B388" s="1"/>
      <c r="C388" s="1"/>
      <c r="D388" s="1"/>
      <c r="E388" s="202"/>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row>
    <row r="389" spans="1:36" ht="11.25" x14ac:dyDescent="0.2">
      <c r="A389" s="1"/>
      <c r="B389" s="1"/>
      <c r="C389" s="1"/>
      <c r="D389" s="1"/>
      <c r="E389" s="202"/>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row>
    <row r="390" spans="1:36" ht="11.25" x14ac:dyDescent="0.2">
      <c r="A390" s="1"/>
      <c r="B390" s="1"/>
      <c r="C390" s="1"/>
      <c r="D390" s="1"/>
      <c r="E390" s="202"/>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row>
    <row r="391" spans="1:36" ht="11.25" x14ac:dyDescent="0.2">
      <c r="A391" s="1"/>
      <c r="B391" s="1"/>
      <c r="C391" s="1"/>
      <c r="D391" s="1"/>
      <c r="E391" s="202"/>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row>
    <row r="392" spans="1:36" ht="11.25" x14ac:dyDescent="0.2">
      <c r="A392" s="1"/>
      <c r="B392" s="1"/>
      <c r="C392" s="1"/>
      <c r="D392" s="1"/>
      <c r="E392" s="202"/>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row>
    <row r="393" spans="1:36" ht="11.25" x14ac:dyDescent="0.2">
      <c r="A393" s="1"/>
      <c r="B393" s="1"/>
      <c r="C393" s="1"/>
      <c r="D393" s="1"/>
      <c r="E393" s="202"/>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row>
    <row r="394" spans="1:36" ht="11.25" x14ac:dyDescent="0.2">
      <c r="A394" s="1"/>
      <c r="B394" s="1"/>
      <c r="C394" s="1"/>
      <c r="D394" s="1"/>
      <c r="E394" s="202"/>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row>
    <row r="395" spans="1:36" ht="11.25" x14ac:dyDescent="0.2">
      <c r="A395" s="1"/>
      <c r="B395" s="1"/>
      <c r="C395" s="1"/>
      <c r="D395" s="1"/>
      <c r="E395" s="202"/>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row>
    <row r="396" spans="1:36" ht="11.25" x14ac:dyDescent="0.2">
      <c r="A396" s="1"/>
      <c r="B396" s="1"/>
      <c r="C396" s="1"/>
      <c r="D396" s="1"/>
      <c r="E396" s="202"/>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row>
    <row r="397" spans="1:36" ht="11.25" x14ac:dyDescent="0.2">
      <c r="A397" s="1"/>
      <c r="B397" s="1"/>
      <c r="C397" s="1"/>
      <c r="D397" s="1"/>
      <c r="E397" s="202"/>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row>
    <row r="398" spans="1:36" ht="11.25" x14ac:dyDescent="0.2">
      <c r="A398" s="1"/>
      <c r="B398" s="1"/>
      <c r="C398" s="1"/>
      <c r="D398" s="1"/>
      <c r="E398" s="202"/>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row>
    <row r="399" spans="1:36" ht="11.25" x14ac:dyDescent="0.2">
      <c r="A399" s="1"/>
      <c r="B399" s="1"/>
      <c r="C399" s="1"/>
      <c r="D399" s="1"/>
      <c r="E399" s="202"/>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row>
    <row r="400" spans="1:36" ht="11.25" x14ac:dyDescent="0.2">
      <c r="A400" s="1"/>
      <c r="B400" s="1"/>
      <c r="C400" s="1"/>
      <c r="D400" s="1"/>
      <c r="E400" s="202"/>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row>
    <row r="401" spans="1:36" ht="11.25" x14ac:dyDescent="0.2">
      <c r="A401" s="1"/>
      <c r="B401" s="1"/>
      <c r="C401" s="1"/>
      <c r="D401" s="1"/>
      <c r="E401" s="202"/>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row>
    <row r="402" spans="1:36" ht="11.25" x14ac:dyDescent="0.2">
      <c r="A402" s="1"/>
      <c r="B402" s="1"/>
      <c r="C402" s="1"/>
      <c r="D402" s="1"/>
      <c r="E402" s="202"/>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row>
    <row r="403" spans="1:36" ht="11.25" x14ac:dyDescent="0.2">
      <c r="A403" s="1"/>
      <c r="B403" s="1"/>
      <c r="C403" s="1"/>
      <c r="D403" s="1"/>
      <c r="E403" s="202"/>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row>
    <row r="404" spans="1:36" ht="11.25" x14ac:dyDescent="0.2">
      <c r="A404" s="1"/>
      <c r="B404" s="1"/>
      <c r="C404" s="1"/>
      <c r="D404" s="1"/>
      <c r="E404" s="202"/>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row>
    <row r="405" spans="1:36" ht="11.25" x14ac:dyDescent="0.2">
      <c r="A405" s="1"/>
      <c r="B405" s="1"/>
      <c r="C405" s="1"/>
      <c r="D405" s="1"/>
      <c r="E405" s="202"/>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row>
    <row r="406" spans="1:36" ht="11.25" x14ac:dyDescent="0.2">
      <c r="A406" s="1"/>
      <c r="B406" s="1"/>
      <c r="C406" s="1"/>
      <c r="D406" s="1"/>
      <c r="E406" s="202"/>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row>
    <row r="407" spans="1:36" ht="11.25" x14ac:dyDescent="0.2">
      <c r="A407" s="1"/>
      <c r="B407" s="1"/>
      <c r="C407" s="1"/>
      <c r="D407" s="1"/>
      <c r="E407" s="202"/>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row>
    <row r="408" spans="1:36" ht="11.25" x14ac:dyDescent="0.2">
      <c r="A408" s="1"/>
      <c r="B408" s="1"/>
      <c r="C408" s="1"/>
      <c r="D408" s="1"/>
      <c r="E408" s="202"/>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row>
    <row r="409" spans="1:36" ht="11.25" x14ac:dyDescent="0.2">
      <c r="A409" s="1"/>
      <c r="B409" s="1"/>
      <c r="C409" s="1"/>
      <c r="D409" s="1"/>
      <c r="E409" s="202"/>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row>
    <row r="410" spans="1:36" ht="11.25" x14ac:dyDescent="0.2">
      <c r="A410" s="1"/>
      <c r="B410" s="1"/>
      <c r="C410" s="1"/>
      <c r="D410" s="1"/>
      <c r="E410" s="202"/>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row>
    <row r="411" spans="1:36" ht="11.25" x14ac:dyDescent="0.2">
      <c r="A411" s="1"/>
      <c r="B411" s="1"/>
      <c r="C411" s="1"/>
      <c r="D411" s="1"/>
      <c r="E411" s="202"/>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row>
    <row r="412" spans="1:36" ht="11.25" x14ac:dyDescent="0.2">
      <c r="A412" s="1"/>
      <c r="B412" s="1"/>
      <c r="C412" s="1"/>
      <c r="D412" s="1"/>
      <c r="E412" s="202"/>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row>
    <row r="413" spans="1:36" ht="11.25" x14ac:dyDescent="0.2">
      <c r="A413" s="1"/>
      <c r="B413" s="1"/>
      <c r="C413" s="1"/>
      <c r="D413" s="1"/>
      <c r="E413" s="202"/>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row>
    <row r="414" spans="1:36" ht="11.25" x14ac:dyDescent="0.2">
      <c r="A414" s="1"/>
      <c r="B414" s="1"/>
      <c r="C414" s="1"/>
      <c r="D414" s="1"/>
      <c r="E414" s="202"/>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row>
    <row r="415" spans="1:36" ht="11.25" x14ac:dyDescent="0.2">
      <c r="A415" s="1"/>
      <c r="B415" s="1"/>
      <c r="C415" s="1"/>
      <c r="D415" s="1"/>
      <c r="E415" s="202"/>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row>
    <row r="416" spans="1:36" ht="11.25" x14ac:dyDescent="0.2">
      <c r="A416" s="1"/>
      <c r="B416" s="1"/>
      <c r="C416" s="1"/>
      <c r="D416" s="1"/>
      <c r="E416" s="202"/>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row>
    <row r="417" spans="1:36" ht="11.25" x14ac:dyDescent="0.2">
      <c r="A417" s="1"/>
      <c r="B417" s="1"/>
      <c r="C417" s="1"/>
      <c r="D417" s="1"/>
      <c r="E417" s="202"/>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row>
    <row r="418" spans="1:36" ht="11.25" x14ac:dyDescent="0.2">
      <c r="A418" s="1"/>
      <c r="B418" s="1"/>
      <c r="C418" s="1"/>
      <c r="D418" s="1"/>
      <c r="E418" s="202"/>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row>
    <row r="419" spans="1:36" ht="11.25" x14ac:dyDescent="0.2">
      <c r="A419" s="1"/>
      <c r="B419" s="1"/>
      <c r="C419" s="1"/>
      <c r="D419" s="1"/>
      <c r="E419" s="202"/>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row>
    <row r="420" spans="1:36" ht="11.25" x14ac:dyDescent="0.2">
      <c r="A420" s="1"/>
      <c r="B420" s="1"/>
      <c r="C420" s="1"/>
      <c r="D420" s="1"/>
      <c r="E420" s="202"/>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row>
    <row r="421" spans="1:36" ht="11.25" x14ac:dyDescent="0.2">
      <c r="A421" s="1"/>
      <c r="B421" s="1"/>
      <c r="C421" s="1"/>
      <c r="D421" s="1"/>
      <c r="E421" s="202"/>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row>
    <row r="422" spans="1:36" ht="11.25" x14ac:dyDescent="0.2">
      <c r="A422" s="1"/>
      <c r="B422" s="1"/>
      <c r="C422" s="1"/>
      <c r="D422" s="1"/>
      <c r="E422" s="202"/>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row>
    <row r="423" spans="1:36" ht="11.25" x14ac:dyDescent="0.2">
      <c r="A423" s="1"/>
      <c r="B423" s="1"/>
      <c r="C423" s="1"/>
      <c r="D423" s="1"/>
      <c r="E423" s="202"/>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row>
    <row r="424" spans="1:36" ht="11.25" x14ac:dyDescent="0.2">
      <c r="A424" s="1"/>
      <c r="B424" s="1"/>
      <c r="C424" s="1"/>
      <c r="D424" s="1"/>
      <c r="E424" s="202"/>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row>
    <row r="425" spans="1:36" ht="11.25" x14ac:dyDescent="0.2">
      <c r="A425" s="1"/>
      <c r="B425" s="1"/>
      <c r="C425" s="1"/>
      <c r="D425" s="1"/>
      <c r="E425" s="202"/>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row>
    <row r="426" spans="1:36" ht="11.25" x14ac:dyDescent="0.2">
      <c r="A426" s="1"/>
      <c r="B426" s="1"/>
      <c r="C426" s="1"/>
      <c r="D426" s="1"/>
      <c r="E426" s="202"/>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row>
    <row r="427" spans="1:36" ht="11.25" x14ac:dyDescent="0.2">
      <c r="A427" s="1"/>
      <c r="B427" s="1"/>
      <c r="C427" s="1"/>
      <c r="D427" s="1"/>
      <c r="E427" s="202"/>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row>
    <row r="428" spans="1:36" ht="11.25" x14ac:dyDescent="0.2">
      <c r="A428" s="1"/>
      <c r="B428" s="1"/>
      <c r="C428" s="1"/>
      <c r="D428" s="1"/>
      <c r="E428" s="202"/>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row>
    <row r="429" spans="1:36" ht="11.25" x14ac:dyDescent="0.2">
      <c r="A429" s="1"/>
      <c r="B429" s="1"/>
      <c r="C429" s="1"/>
      <c r="D429" s="1"/>
      <c r="E429" s="202"/>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row>
    <row r="430" spans="1:36" ht="11.25" x14ac:dyDescent="0.2">
      <c r="A430" s="1"/>
      <c r="B430" s="1"/>
      <c r="C430" s="1"/>
      <c r="D430" s="1"/>
      <c r="E430" s="202"/>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row>
    <row r="431" spans="1:36" ht="11.25" x14ac:dyDescent="0.2">
      <c r="A431" s="1"/>
      <c r="B431" s="1"/>
      <c r="C431" s="1"/>
      <c r="D431" s="1"/>
      <c r="E431" s="202"/>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row>
    <row r="432" spans="1:36" ht="11.25" x14ac:dyDescent="0.2">
      <c r="A432" s="1"/>
      <c r="B432" s="1"/>
      <c r="C432" s="1"/>
      <c r="D432" s="1"/>
      <c r="E432" s="202"/>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row>
    <row r="433" spans="1:36" ht="11.25" x14ac:dyDescent="0.2">
      <c r="A433" s="1"/>
      <c r="B433" s="1"/>
      <c r="C433" s="1"/>
      <c r="D433" s="1"/>
      <c r="E433" s="202"/>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row>
    <row r="434" spans="1:36" ht="11.25" x14ac:dyDescent="0.2">
      <c r="A434" s="1"/>
      <c r="B434" s="1"/>
      <c r="C434" s="1"/>
      <c r="D434" s="1"/>
      <c r="E434" s="202"/>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row>
    <row r="435" spans="1:36" ht="11.25" x14ac:dyDescent="0.2">
      <c r="A435" s="1"/>
      <c r="B435" s="1"/>
      <c r="C435" s="1"/>
      <c r="D435" s="1"/>
      <c r="E435" s="202"/>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row>
    <row r="436" spans="1:36" ht="11.25" x14ac:dyDescent="0.2">
      <c r="A436" s="1"/>
      <c r="B436" s="1"/>
      <c r="C436" s="1"/>
      <c r="D436" s="1"/>
      <c r="E436" s="202"/>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row>
    <row r="437" spans="1:36" ht="11.25" x14ac:dyDescent="0.2">
      <c r="A437" s="1"/>
      <c r="B437" s="1"/>
      <c r="C437" s="1"/>
      <c r="D437" s="1"/>
      <c r="E437" s="202"/>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row>
    <row r="438" spans="1:36" ht="11.25" x14ac:dyDescent="0.2">
      <c r="A438" s="1"/>
      <c r="B438" s="1"/>
      <c r="C438" s="1"/>
      <c r="D438" s="1"/>
      <c r="E438" s="202"/>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row>
    <row r="439" spans="1:36" ht="11.25" x14ac:dyDescent="0.2">
      <c r="A439" s="1"/>
      <c r="B439" s="1"/>
      <c r="C439" s="1"/>
      <c r="D439" s="1"/>
      <c r="E439" s="202"/>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row>
    <row r="440" spans="1:36" ht="11.25" x14ac:dyDescent="0.2">
      <c r="A440" s="1"/>
      <c r="B440" s="1"/>
      <c r="C440" s="1"/>
      <c r="D440" s="1"/>
      <c r="E440" s="202"/>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row>
    <row r="441" spans="1:36" ht="11.25" x14ac:dyDescent="0.2">
      <c r="A441" s="1"/>
      <c r="B441" s="1"/>
      <c r="C441" s="1"/>
      <c r="D441" s="1"/>
      <c r="E441" s="202"/>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row>
    <row r="442" spans="1:36" ht="11.25" x14ac:dyDescent="0.2">
      <c r="A442" s="1"/>
      <c r="B442" s="1"/>
      <c r="C442" s="1"/>
      <c r="D442" s="1"/>
      <c r="E442" s="202"/>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row>
    <row r="443" spans="1:36" ht="11.25" x14ac:dyDescent="0.2">
      <c r="A443" s="1"/>
      <c r="B443" s="1"/>
      <c r="C443" s="1"/>
      <c r="D443" s="1"/>
      <c r="E443" s="202"/>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row>
    <row r="444" spans="1:36" ht="11.25" x14ac:dyDescent="0.2">
      <c r="A444" s="1"/>
      <c r="B444" s="1"/>
      <c r="C444" s="1"/>
      <c r="D444" s="1"/>
      <c r="E444" s="202"/>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row>
    <row r="445" spans="1:36" ht="11.25" x14ac:dyDescent="0.2">
      <c r="A445" s="1"/>
      <c r="B445" s="1"/>
      <c r="C445" s="1"/>
      <c r="D445" s="1"/>
      <c r="E445" s="202"/>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row>
    <row r="446" spans="1:36" ht="11.25" x14ac:dyDescent="0.2">
      <c r="A446" s="1"/>
      <c r="B446" s="1"/>
      <c r="C446" s="1"/>
      <c r="D446" s="1"/>
      <c r="E446" s="202"/>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row>
    <row r="447" spans="1:36" ht="11.25" x14ac:dyDescent="0.2">
      <c r="A447" s="1"/>
      <c r="B447" s="1"/>
      <c r="C447" s="1"/>
      <c r="D447" s="1"/>
      <c r="E447" s="202"/>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row>
    <row r="448" spans="1:36" ht="11.25" x14ac:dyDescent="0.2">
      <c r="A448" s="1"/>
      <c r="B448" s="1"/>
      <c r="C448" s="1"/>
      <c r="D448" s="1"/>
      <c r="E448" s="202"/>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row>
    <row r="449" spans="1:36" ht="11.25" x14ac:dyDescent="0.2">
      <c r="A449" s="1"/>
      <c r="B449" s="1"/>
      <c r="C449" s="1"/>
      <c r="D449" s="1"/>
      <c r="E449" s="202"/>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row>
    <row r="450" spans="1:36" ht="11.25" x14ac:dyDescent="0.2">
      <c r="A450" s="1"/>
      <c r="B450" s="1"/>
      <c r="C450" s="1"/>
      <c r="D450" s="1"/>
      <c r="E450" s="202"/>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row>
    <row r="451" spans="1:36" ht="11.25" x14ac:dyDescent="0.2">
      <c r="A451" s="1"/>
      <c r="B451" s="1"/>
      <c r="C451" s="1"/>
      <c r="D451" s="1"/>
      <c r="E451" s="202"/>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row>
    <row r="452" spans="1:36" ht="11.25" x14ac:dyDescent="0.2">
      <c r="A452" s="1"/>
      <c r="B452" s="1"/>
      <c r="C452" s="1"/>
      <c r="D452" s="1"/>
      <c r="E452" s="202"/>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row>
    <row r="453" spans="1:36" ht="11.25" x14ac:dyDescent="0.2">
      <c r="A453" s="1"/>
      <c r="B453" s="1"/>
      <c r="C453" s="1"/>
      <c r="D453" s="1"/>
      <c r="E453" s="202"/>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row>
    <row r="454" spans="1:36" ht="11.25" x14ac:dyDescent="0.2">
      <c r="A454" s="1"/>
      <c r="B454" s="1"/>
      <c r="C454" s="1"/>
      <c r="D454" s="1"/>
      <c r="E454" s="202"/>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row>
    <row r="455" spans="1:36" ht="11.25" x14ac:dyDescent="0.2">
      <c r="A455" s="1"/>
      <c r="B455" s="1"/>
      <c r="C455" s="1"/>
      <c r="D455" s="1"/>
      <c r="E455" s="202"/>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row>
    <row r="456" spans="1:36" ht="11.25" x14ac:dyDescent="0.2">
      <c r="A456" s="1"/>
      <c r="B456" s="1"/>
      <c r="C456" s="1"/>
      <c r="D456" s="1"/>
      <c r="E456" s="202"/>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row>
    <row r="457" spans="1:36" ht="11.25" x14ac:dyDescent="0.2">
      <c r="A457" s="1"/>
      <c r="B457" s="1"/>
      <c r="C457" s="1"/>
      <c r="D457" s="1"/>
      <c r="E457" s="202"/>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row>
    <row r="458" spans="1:36" ht="11.25" x14ac:dyDescent="0.2">
      <c r="A458" s="1"/>
      <c r="B458" s="1"/>
      <c r="C458" s="1"/>
      <c r="D458" s="1"/>
      <c r="E458" s="202"/>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row>
    <row r="459" spans="1:36" ht="11.25" x14ac:dyDescent="0.2">
      <c r="A459" s="1"/>
      <c r="B459" s="1"/>
      <c r="C459" s="1"/>
      <c r="D459" s="1"/>
      <c r="E459" s="202"/>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row>
    <row r="460" spans="1:36" ht="11.25" x14ac:dyDescent="0.2">
      <c r="A460" s="1"/>
      <c r="B460" s="1"/>
      <c r="C460" s="1"/>
      <c r="D460" s="1"/>
      <c r="E460" s="202"/>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row>
    <row r="461" spans="1:36" ht="11.25" x14ac:dyDescent="0.2">
      <c r="A461" s="1"/>
      <c r="B461" s="1"/>
      <c r="C461" s="1"/>
      <c r="D461" s="1"/>
      <c r="E461" s="202"/>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row>
    <row r="462" spans="1:36" ht="11.25" x14ac:dyDescent="0.2">
      <c r="A462" s="1"/>
      <c r="B462" s="1"/>
      <c r="C462" s="1"/>
      <c r="D462" s="1"/>
      <c r="E462" s="202"/>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row>
    <row r="463" spans="1:36" ht="11.25" x14ac:dyDescent="0.2">
      <c r="A463" s="1"/>
      <c r="B463" s="1"/>
      <c r="C463" s="1"/>
      <c r="D463" s="1"/>
      <c r="E463" s="202"/>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row>
    <row r="464" spans="1:36" ht="11.25" x14ac:dyDescent="0.2">
      <c r="A464" s="1"/>
      <c r="B464" s="1"/>
      <c r="C464" s="1"/>
      <c r="D464" s="1"/>
      <c r="E464" s="202"/>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row>
    <row r="465" spans="1:36" ht="11.25" x14ac:dyDescent="0.2">
      <c r="A465" s="1"/>
      <c r="B465" s="1"/>
      <c r="C465" s="1"/>
      <c r="D465" s="1"/>
      <c r="E465" s="202"/>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row>
    <row r="466" spans="1:36" ht="11.25" x14ac:dyDescent="0.2">
      <c r="A466" s="1"/>
      <c r="B466" s="1"/>
      <c r="C466" s="1"/>
      <c r="D466" s="1"/>
      <c r="E466" s="202"/>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row>
    <row r="467" spans="1:36" ht="11.25" x14ac:dyDescent="0.2">
      <c r="A467" s="1"/>
      <c r="B467" s="1"/>
      <c r="C467" s="1"/>
      <c r="D467" s="1"/>
      <c r="E467" s="202"/>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row>
    <row r="468" spans="1:36" ht="11.25" x14ac:dyDescent="0.2">
      <c r="A468" s="1"/>
      <c r="B468" s="1"/>
      <c r="C468" s="1"/>
      <c r="D468" s="1"/>
      <c r="E468" s="202"/>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row>
    <row r="469" spans="1:36" ht="11.25" x14ac:dyDescent="0.2">
      <c r="A469" s="1"/>
      <c r="B469" s="1"/>
      <c r="C469" s="1"/>
      <c r="D469" s="1"/>
      <c r="E469" s="202"/>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row>
    <row r="470" spans="1:36" ht="11.25" x14ac:dyDescent="0.2">
      <c r="A470" s="1"/>
      <c r="B470" s="1"/>
      <c r="C470" s="1"/>
      <c r="D470" s="1"/>
      <c r="E470" s="202"/>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row>
    <row r="471" spans="1:36" ht="11.25" x14ac:dyDescent="0.2">
      <c r="A471" s="1"/>
      <c r="B471" s="1"/>
      <c r="C471" s="1"/>
      <c r="D471" s="1"/>
      <c r="E471" s="202"/>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row>
    <row r="472" spans="1:36" ht="11.25" x14ac:dyDescent="0.2">
      <c r="A472" s="1"/>
      <c r="B472" s="1"/>
      <c r="C472" s="1"/>
      <c r="D472" s="1"/>
      <c r="E472" s="202"/>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row>
    <row r="473" spans="1:36" ht="11.25" x14ac:dyDescent="0.2">
      <c r="A473" s="1"/>
      <c r="B473" s="1"/>
      <c r="C473" s="1"/>
      <c r="D473" s="1"/>
      <c r="E473" s="202"/>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row>
    <row r="474" spans="1:36" ht="11.25" x14ac:dyDescent="0.2">
      <c r="A474" s="1"/>
      <c r="B474" s="1"/>
      <c r="C474" s="1"/>
      <c r="D474" s="1"/>
      <c r="E474" s="202"/>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row>
    <row r="475" spans="1:36" ht="11.25" x14ac:dyDescent="0.2">
      <c r="A475" s="1"/>
      <c r="B475" s="1"/>
      <c r="C475" s="1"/>
      <c r="D475" s="1"/>
      <c r="E475" s="202"/>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row>
    <row r="476" spans="1:36" ht="11.25" x14ac:dyDescent="0.2">
      <c r="A476" s="1"/>
      <c r="B476" s="1"/>
      <c r="C476" s="1"/>
      <c r="D476" s="1"/>
      <c r="E476" s="202"/>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row>
    <row r="477" spans="1:36" ht="11.25" x14ac:dyDescent="0.2">
      <c r="A477" s="1"/>
      <c r="B477" s="1"/>
      <c r="C477" s="1"/>
      <c r="D477" s="1"/>
      <c r="E477" s="202"/>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row>
    <row r="478" spans="1:36" ht="11.25" x14ac:dyDescent="0.2">
      <c r="A478" s="1"/>
      <c r="B478" s="1"/>
      <c r="C478" s="1"/>
      <c r="D478" s="1"/>
      <c r="E478" s="202"/>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row>
    <row r="479" spans="1:36" ht="11.25" x14ac:dyDescent="0.2">
      <c r="A479" s="1"/>
      <c r="B479" s="1"/>
      <c r="C479" s="1"/>
      <c r="D479" s="1"/>
      <c r="E479" s="202"/>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row>
    <row r="480" spans="1:36" ht="11.25" x14ac:dyDescent="0.2">
      <c r="A480" s="1"/>
      <c r="B480" s="1"/>
      <c r="C480" s="1"/>
      <c r="D480" s="1"/>
      <c r="E480" s="202"/>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row>
    <row r="481" spans="1:36" ht="11.25" x14ac:dyDescent="0.2">
      <c r="A481" s="1"/>
      <c r="B481" s="1"/>
      <c r="C481" s="1"/>
      <c r="D481" s="1"/>
      <c r="E481" s="202"/>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row>
    <row r="482" spans="1:36" ht="11.25" x14ac:dyDescent="0.2">
      <c r="A482" s="1"/>
      <c r="B482" s="1"/>
      <c r="C482" s="1"/>
      <c r="D482" s="1"/>
      <c r="E482" s="202"/>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row>
    <row r="483" spans="1:36" ht="11.25" x14ac:dyDescent="0.2">
      <c r="A483" s="1"/>
      <c r="B483" s="1"/>
      <c r="C483" s="1"/>
      <c r="D483" s="1"/>
      <c r="E483" s="202"/>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row>
    <row r="484" spans="1:36" ht="11.25" x14ac:dyDescent="0.2">
      <c r="A484" s="1"/>
      <c r="B484" s="1"/>
      <c r="C484" s="1"/>
      <c r="D484" s="1"/>
      <c r="E484" s="202"/>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row>
    <row r="485" spans="1:36" ht="11.25" x14ac:dyDescent="0.2">
      <c r="A485" s="1"/>
      <c r="B485" s="1"/>
      <c r="C485" s="1"/>
      <c r="D485" s="1"/>
      <c r="E485" s="202"/>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row>
    <row r="486" spans="1:36" ht="11.25" x14ac:dyDescent="0.2">
      <c r="A486" s="1"/>
      <c r="B486" s="1"/>
      <c r="C486" s="1"/>
      <c r="D486" s="1"/>
      <c r="E486" s="202"/>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row>
    <row r="487" spans="1:36" ht="11.25" x14ac:dyDescent="0.2">
      <c r="A487" s="1"/>
      <c r="B487" s="1"/>
      <c r="C487" s="1"/>
      <c r="D487" s="1"/>
      <c r="E487" s="202"/>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row>
    <row r="488" spans="1:36" ht="11.25" x14ac:dyDescent="0.2">
      <c r="A488" s="1"/>
      <c r="B488" s="1"/>
      <c r="C488" s="1"/>
      <c r="D488" s="1"/>
      <c r="E488" s="202"/>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row>
    <row r="489" spans="1:36" ht="11.25" x14ac:dyDescent="0.2">
      <c r="A489" s="1"/>
      <c r="B489" s="1"/>
      <c r="C489" s="1"/>
      <c r="D489" s="1"/>
      <c r="E489" s="202"/>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row>
    <row r="490" spans="1:36" ht="11.25" x14ac:dyDescent="0.2">
      <c r="A490" s="1"/>
      <c r="B490" s="1"/>
      <c r="C490" s="1"/>
      <c r="D490" s="1"/>
      <c r="E490" s="202"/>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row>
    <row r="491" spans="1:36" ht="11.25" x14ac:dyDescent="0.2">
      <c r="A491" s="1"/>
      <c r="B491" s="1"/>
      <c r="C491" s="1"/>
      <c r="D491" s="1"/>
      <c r="E491" s="202"/>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row>
    <row r="492" spans="1:36" ht="11.25" x14ac:dyDescent="0.2">
      <c r="A492" s="1"/>
      <c r="B492" s="1"/>
      <c r="C492" s="1"/>
      <c r="D492" s="1"/>
      <c r="E492" s="202"/>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row>
    <row r="493" spans="1:36" ht="11.25" x14ac:dyDescent="0.2">
      <c r="A493" s="1"/>
      <c r="B493" s="1"/>
      <c r="C493" s="1"/>
      <c r="D493" s="1"/>
      <c r="E493" s="202"/>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row>
    <row r="494" spans="1:36" ht="11.25" x14ac:dyDescent="0.2">
      <c r="A494" s="1"/>
      <c r="B494" s="1"/>
      <c r="C494" s="1"/>
      <c r="D494" s="1"/>
      <c r="E494" s="202"/>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row>
    <row r="495" spans="1:36" ht="11.25" x14ac:dyDescent="0.2">
      <c r="A495" s="1"/>
      <c r="B495" s="1"/>
      <c r="C495" s="1"/>
      <c r="D495" s="1"/>
      <c r="E495" s="202"/>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row>
    <row r="496" spans="1:36" ht="11.25" x14ac:dyDescent="0.2">
      <c r="A496" s="1"/>
      <c r="B496" s="1"/>
      <c r="C496" s="1"/>
      <c r="D496" s="1"/>
      <c r="E496" s="202"/>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row>
    <row r="497" spans="1:36" ht="11.25" x14ac:dyDescent="0.2">
      <c r="A497" s="1"/>
      <c r="B497" s="1"/>
      <c r="C497" s="1"/>
      <c r="D497" s="1"/>
      <c r="E497" s="202"/>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row>
    <row r="498" spans="1:36" ht="11.25" x14ac:dyDescent="0.2">
      <c r="A498" s="1"/>
      <c r="B498" s="1"/>
      <c r="C498" s="1"/>
      <c r="D498" s="1"/>
      <c r="E498" s="202"/>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row>
    <row r="499" spans="1:36" ht="11.25" x14ac:dyDescent="0.2">
      <c r="A499" s="1"/>
      <c r="B499" s="1"/>
      <c r="C499" s="1"/>
      <c r="D499" s="1"/>
      <c r="E499" s="202"/>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row>
    <row r="500" spans="1:36" ht="11.25" x14ac:dyDescent="0.2">
      <c r="A500" s="1"/>
      <c r="B500" s="1"/>
      <c r="C500" s="1"/>
      <c r="D500" s="1"/>
      <c r="E500" s="202"/>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row>
    <row r="501" spans="1:36" ht="11.25" x14ac:dyDescent="0.2">
      <c r="A501" s="1"/>
      <c r="B501" s="1"/>
      <c r="C501" s="1"/>
      <c r="D501" s="1"/>
      <c r="E501" s="202"/>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row>
    <row r="502" spans="1:36" ht="11.25" x14ac:dyDescent="0.2">
      <c r="A502" s="1"/>
      <c r="B502" s="1"/>
      <c r="C502" s="1"/>
      <c r="D502" s="1"/>
      <c r="E502" s="202"/>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row>
    <row r="503" spans="1:36" ht="11.25" x14ac:dyDescent="0.2">
      <c r="A503" s="1"/>
      <c r="B503" s="1"/>
      <c r="C503" s="1"/>
      <c r="D503" s="1"/>
      <c r="E503" s="202"/>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row>
    <row r="504" spans="1:36" ht="11.25" x14ac:dyDescent="0.2">
      <c r="A504" s="1"/>
      <c r="B504" s="1"/>
      <c r="C504" s="1"/>
      <c r="D504" s="1"/>
      <c r="E504" s="202"/>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row>
    <row r="505" spans="1:36" ht="11.25" x14ac:dyDescent="0.2">
      <c r="A505" s="1"/>
      <c r="B505" s="1"/>
      <c r="C505" s="1"/>
      <c r="D505" s="1"/>
      <c r="E505" s="202"/>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row>
    <row r="506" spans="1:36" ht="11.25" x14ac:dyDescent="0.2">
      <c r="A506" s="1"/>
      <c r="B506" s="1"/>
      <c r="C506" s="1"/>
      <c r="D506" s="1"/>
      <c r="E506" s="202"/>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row>
    <row r="507" spans="1:36" ht="11.25" x14ac:dyDescent="0.2">
      <c r="A507" s="1"/>
      <c r="B507" s="1"/>
      <c r="C507" s="1"/>
      <c r="D507" s="1"/>
      <c r="E507" s="202"/>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row>
    <row r="508" spans="1:36" ht="11.25" x14ac:dyDescent="0.2">
      <c r="A508" s="1"/>
      <c r="B508" s="1"/>
      <c r="C508" s="1"/>
      <c r="D508" s="1"/>
      <c r="E508" s="202"/>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row>
    <row r="509" spans="1:36" ht="11.25" x14ac:dyDescent="0.2">
      <c r="A509" s="1"/>
      <c r="B509" s="1"/>
      <c r="C509" s="1"/>
      <c r="D509" s="1"/>
      <c r="E509" s="202"/>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row>
    <row r="510" spans="1:36" ht="11.25" x14ac:dyDescent="0.2">
      <c r="A510" s="1"/>
      <c r="B510" s="1"/>
      <c r="C510" s="1"/>
      <c r="D510" s="1"/>
      <c r="E510" s="202"/>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row>
    <row r="511" spans="1:36" ht="11.25" x14ac:dyDescent="0.2">
      <c r="A511" s="1"/>
      <c r="B511" s="1"/>
      <c r="C511" s="1"/>
      <c r="D511" s="1"/>
      <c r="E511" s="202"/>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row>
    <row r="512" spans="1:36" ht="11.25" x14ac:dyDescent="0.2">
      <c r="A512" s="1"/>
      <c r="B512" s="1"/>
      <c r="C512" s="1"/>
      <c r="D512" s="1"/>
      <c r="E512" s="202"/>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row>
    <row r="513" spans="1:36" ht="11.25" x14ac:dyDescent="0.2">
      <c r="A513" s="1"/>
      <c r="B513" s="1"/>
      <c r="C513" s="1"/>
      <c r="D513" s="1"/>
      <c r="E513" s="202"/>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row>
    <row r="514" spans="1:36" ht="11.25" x14ac:dyDescent="0.2">
      <c r="A514" s="1"/>
      <c r="B514" s="1"/>
      <c r="C514" s="1"/>
      <c r="D514" s="1"/>
      <c r="E514" s="202"/>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row>
    <row r="515" spans="1:36" ht="11.25" x14ac:dyDescent="0.2">
      <c r="A515" s="1"/>
      <c r="B515" s="1"/>
      <c r="C515" s="1"/>
      <c r="D515" s="1"/>
      <c r="E515" s="202"/>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row>
    <row r="516" spans="1:36" ht="11.25" x14ac:dyDescent="0.2">
      <c r="A516" s="1"/>
      <c r="B516" s="1"/>
      <c r="C516" s="1"/>
      <c r="D516" s="1"/>
      <c r="E516" s="202"/>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row>
    <row r="517" spans="1:36" ht="11.25" x14ac:dyDescent="0.2">
      <c r="A517" s="1"/>
      <c r="B517" s="1"/>
      <c r="C517" s="1"/>
      <c r="D517" s="1"/>
      <c r="E517" s="202"/>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row>
    <row r="518" spans="1:36" ht="11.25" x14ac:dyDescent="0.2">
      <c r="A518" s="1"/>
      <c r="B518" s="1"/>
      <c r="C518" s="1"/>
      <c r="D518" s="1"/>
      <c r="E518" s="202"/>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row>
    <row r="519" spans="1:36" ht="11.25" x14ac:dyDescent="0.2">
      <c r="A519" s="1"/>
      <c r="B519" s="1"/>
      <c r="C519" s="1"/>
      <c r="D519" s="1"/>
      <c r="E519" s="202"/>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row>
    <row r="520" spans="1:36" ht="11.25" x14ac:dyDescent="0.2">
      <c r="A520" s="1"/>
      <c r="B520" s="1"/>
      <c r="C520" s="1"/>
      <c r="D520" s="1"/>
      <c r="E520" s="202"/>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row>
    <row r="521" spans="1:36" ht="11.25" x14ac:dyDescent="0.2">
      <c r="A521" s="1"/>
      <c r="B521" s="1"/>
      <c r="C521" s="1"/>
      <c r="D521" s="1"/>
      <c r="E521" s="202"/>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row>
    <row r="522" spans="1:36" ht="11.25" x14ac:dyDescent="0.2">
      <c r="A522" s="1"/>
      <c r="B522" s="1"/>
      <c r="C522" s="1"/>
      <c r="D522" s="1"/>
      <c r="E522" s="202"/>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row>
    <row r="523" spans="1:36" ht="11.25" x14ac:dyDescent="0.2">
      <c r="A523" s="1"/>
      <c r="B523" s="1"/>
      <c r="C523" s="1"/>
      <c r="D523" s="1"/>
      <c r="E523" s="202"/>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row>
    <row r="524" spans="1:36" ht="11.25" x14ac:dyDescent="0.2">
      <c r="A524" s="1"/>
      <c r="B524" s="1"/>
      <c r="C524" s="1"/>
      <c r="D524" s="1"/>
      <c r="E524" s="202"/>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row>
    <row r="525" spans="1:36" ht="11.25" x14ac:dyDescent="0.2">
      <c r="A525" s="1"/>
      <c r="B525" s="1"/>
      <c r="C525" s="1"/>
      <c r="D525" s="1"/>
      <c r="E525" s="202"/>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row>
    <row r="526" spans="1:36" ht="11.25" x14ac:dyDescent="0.2">
      <c r="A526" s="1"/>
      <c r="B526" s="1"/>
      <c r="C526" s="1"/>
      <c r="D526" s="1"/>
      <c r="E526" s="202"/>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row>
    <row r="527" spans="1:36" ht="11.25" x14ac:dyDescent="0.2">
      <c r="A527" s="1"/>
      <c r="B527" s="1"/>
      <c r="C527" s="1"/>
      <c r="D527" s="1"/>
      <c r="E527" s="202"/>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row>
    <row r="528" spans="1:36" ht="11.25" x14ac:dyDescent="0.2">
      <c r="A528" s="1"/>
      <c r="B528" s="1"/>
      <c r="C528" s="1"/>
      <c r="D528" s="1"/>
      <c r="E528" s="202"/>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row>
    <row r="529" spans="1:36" ht="11.25" x14ac:dyDescent="0.2">
      <c r="A529" s="1"/>
      <c r="B529" s="1"/>
      <c r="C529" s="1"/>
      <c r="D529" s="1"/>
      <c r="E529" s="202"/>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row>
    <row r="530" spans="1:36" ht="11.25" x14ac:dyDescent="0.2">
      <c r="A530" s="1"/>
      <c r="B530" s="1"/>
      <c r="C530" s="1"/>
      <c r="D530" s="1"/>
      <c r="E530" s="202"/>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row>
    <row r="531" spans="1:36" ht="11.25" x14ac:dyDescent="0.2">
      <c r="A531" s="1"/>
      <c r="B531" s="1"/>
      <c r="C531" s="1"/>
      <c r="D531" s="1"/>
      <c r="E531" s="202"/>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row>
    <row r="532" spans="1:36" ht="11.25" x14ac:dyDescent="0.2">
      <c r="A532" s="1"/>
      <c r="B532" s="1"/>
      <c r="C532" s="1"/>
      <c r="D532" s="1"/>
      <c r="E532" s="202"/>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row>
    <row r="533" spans="1:36" ht="11.25" x14ac:dyDescent="0.2">
      <c r="A533" s="1"/>
      <c r="B533" s="1"/>
      <c r="C533" s="1"/>
      <c r="D533" s="1"/>
      <c r="E533" s="202"/>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row>
    <row r="534" spans="1:36" ht="11.25" x14ac:dyDescent="0.2">
      <c r="A534" s="1"/>
      <c r="B534" s="1"/>
      <c r="C534" s="1"/>
      <c r="D534" s="1"/>
      <c r="E534" s="202"/>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row>
    <row r="535" spans="1:36" ht="11.25" x14ac:dyDescent="0.2">
      <c r="A535" s="1"/>
      <c r="B535" s="1"/>
      <c r="C535" s="1"/>
      <c r="D535" s="1"/>
      <c r="E535" s="202"/>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row>
    <row r="536" spans="1:36" ht="11.25" x14ac:dyDescent="0.2">
      <c r="A536" s="1"/>
      <c r="B536" s="1"/>
      <c r="C536" s="1"/>
      <c r="D536" s="1"/>
      <c r="E536" s="202"/>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row>
    <row r="537" spans="1:36" ht="11.25" x14ac:dyDescent="0.2">
      <c r="A537" s="1"/>
      <c r="B537" s="1"/>
      <c r="C537" s="1"/>
      <c r="D537" s="1"/>
      <c r="E537" s="202"/>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row>
    <row r="538" spans="1:36" ht="11.25" x14ac:dyDescent="0.2">
      <c r="A538" s="1"/>
      <c r="B538" s="1"/>
      <c r="C538" s="1"/>
      <c r="D538" s="1"/>
      <c r="E538" s="202"/>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row>
    <row r="539" spans="1:36" ht="11.25" x14ac:dyDescent="0.2">
      <c r="A539" s="1"/>
      <c r="B539" s="1"/>
      <c r="C539" s="1"/>
      <c r="D539" s="1"/>
      <c r="E539" s="202"/>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row>
    <row r="540" spans="1:36" ht="11.25" x14ac:dyDescent="0.2">
      <c r="A540" s="1"/>
      <c r="B540" s="1"/>
      <c r="C540" s="1"/>
      <c r="D540" s="1"/>
      <c r="E540" s="202"/>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row>
    <row r="541" spans="1:36" ht="11.25" x14ac:dyDescent="0.2">
      <c r="A541" s="1"/>
      <c r="B541" s="1"/>
      <c r="C541" s="1"/>
      <c r="D541" s="1"/>
      <c r="E541" s="202"/>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row>
    <row r="542" spans="1:36" ht="11.25" x14ac:dyDescent="0.2">
      <c r="A542" s="1"/>
      <c r="B542" s="1"/>
      <c r="C542" s="1"/>
      <c r="D542" s="1"/>
      <c r="E542" s="202"/>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row>
    <row r="543" spans="1:36" ht="11.25" x14ac:dyDescent="0.2">
      <c r="A543" s="1"/>
      <c r="B543" s="1"/>
      <c r="C543" s="1"/>
      <c r="D543" s="1"/>
      <c r="E543" s="202"/>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row>
    <row r="544" spans="1:36" ht="11.25" x14ac:dyDescent="0.2">
      <c r="A544" s="1"/>
      <c r="B544" s="1"/>
      <c r="C544" s="1"/>
      <c r="D544" s="1"/>
      <c r="E544" s="202"/>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row>
    <row r="545" spans="1:36" ht="11.25" x14ac:dyDescent="0.2">
      <c r="A545" s="1"/>
      <c r="B545" s="1"/>
      <c r="C545" s="1"/>
      <c r="D545" s="1"/>
      <c r="E545" s="202"/>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row>
    <row r="546" spans="1:36" ht="11.25" x14ac:dyDescent="0.2">
      <c r="A546" s="1"/>
      <c r="B546" s="1"/>
      <c r="C546" s="1"/>
      <c r="D546" s="1"/>
      <c r="E546" s="202"/>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row>
    <row r="547" spans="1:36" ht="11.25" x14ac:dyDescent="0.2">
      <c r="A547" s="1"/>
      <c r="B547" s="1"/>
      <c r="C547" s="1"/>
      <c r="D547" s="1"/>
      <c r="E547" s="202"/>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row>
    <row r="548" spans="1:36" ht="11.25" x14ac:dyDescent="0.2">
      <c r="A548" s="1"/>
      <c r="B548" s="1"/>
      <c r="C548" s="1"/>
      <c r="D548" s="1"/>
      <c r="E548" s="202"/>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row>
    <row r="549" spans="1:36" ht="11.25" x14ac:dyDescent="0.2">
      <c r="A549" s="1"/>
      <c r="B549" s="1"/>
      <c r="C549" s="1"/>
      <c r="D549" s="1"/>
      <c r="E549" s="202"/>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row>
    <row r="550" spans="1:36" ht="11.25" x14ac:dyDescent="0.2">
      <c r="A550" s="1"/>
      <c r="B550" s="1"/>
      <c r="C550" s="1"/>
      <c r="D550" s="1"/>
      <c r="E550" s="202"/>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row>
    <row r="551" spans="1:36" ht="11.25" x14ac:dyDescent="0.2">
      <c r="A551" s="1"/>
      <c r="B551" s="1"/>
      <c r="C551" s="1"/>
      <c r="D551" s="1"/>
      <c r="E551" s="202"/>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row>
    <row r="552" spans="1:36" ht="11.25" x14ac:dyDescent="0.2">
      <c r="A552" s="1"/>
      <c r="B552" s="1"/>
      <c r="C552" s="1"/>
      <c r="D552" s="1"/>
      <c r="E552" s="202"/>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row>
    <row r="553" spans="1:36" ht="11.25" x14ac:dyDescent="0.2">
      <c r="A553" s="1"/>
      <c r="B553" s="1"/>
      <c r="C553" s="1"/>
      <c r="D553" s="1"/>
      <c r="E553" s="202"/>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row>
    <row r="554" spans="1:36" ht="11.25" x14ac:dyDescent="0.2">
      <c r="A554" s="1"/>
      <c r="B554" s="1"/>
      <c r="C554" s="1"/>
      <c r="D554" s="1"/>
      <c r="E554" s="202"/>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row>
    <row r="555" spans="1:36" ht="11.25" x14ac:dyDescent="0.2">
      <c r="A555" s="1"/>
      <c r="B555" s="1"/>
      <c r="C555" s="1"/>
      <c r="D555" s="1"/>
      <c r="E555" s="202"/>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row>
    <row r="556" spans="1:36" ht="11.25" x14ac:dyDescent="0.2">
      <c r="A556" s="1"/>
      <c r="B556" s="1"/>
      <c r="C556" s="1"/>
      <c r="D556" s="1"/>
      <c r="E556" s="202"/>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row>
    <row r="557" spans="1:36" ht="11.25" x14ac:dyDescent="0.2">
      <c r="A557" s="1"/>
      <c r="B557" s="1"/>
      <c r="C557" s="1"/>
      <c r="D557" s="1"/>
      <c r="E557" s="202"/>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row>
    <row r="558" spans="1:36" ht="11.25" x14ac:dyDescent="0.2">
      <c r="A558" s="1"/>
      <c r="B558" s="1"/>
      <c r="C558" s="1"/>
      <c r="D558" s="1"/>
      <c r="E558" s="202"/>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row>
    <row r="559" spans="1:36" ht="11.25" x14ac:dyDescent="0.2">
      <c r="A559" s="1"/>
      <c r="B559" s="1"/>
      <c r="C559" s="1"/>
      <c r="D559" s="1"/>
      <c r="E559" s="202"/>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row>
    <row r="560" spans="1:36" ht="11.25" x14ac:dyDescent="0.2">
      <c r="A560" s="1"/>
      <c r="B560" s="1"/>
      <c r="C560" s="1"/>
      <c r="D560" s="1"/>
      <c r="E560" s="202"/>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row>
    <row r="561" spans="1:36" ht="11.25" x14ac:dyDescent="0.2">
      <c r="A561" s="1"/>
      <c r="B561" s="1"/>
      <c r="C561" s="1"/>
      <c r="D561" s="1"/>
      <c r="E561" s="202"/>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row>
    <row r="562" spans="1:36" ht="11.25" x14ac:dyDescent="0.2">
      <c r="A562" s="1"/>
      <c r="B562" s="1"/>
      <c r="C562" s="1"/>
      <c r="D562" s="1"/>
      <c r="E562" s="202"/>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row>
    <row r="563" spans="1:36" ht="11.25" x14ac:dyDescent="0.2">
      <c r="A563" s="1"/>
      <c r="B563" s="1"/>
      <c r="C563" s="1"/>
      <c r="D563" s="1"/>
      <c r="E563" s="202"/>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row>
    <row r="564" spans="1:36" ht="11.25" x14ac:dyDescent="0.2">
      <c r="A564" s="1"/>
      <c r="B564" s="1"/>
      <c r="C564" s="1"/>
      <c r="D564" s="1"/>
      <c r="E564" s="202"/>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row>
    <row r="565" spans="1:36" ht="11.25" x14ac:dyDescent="0.2">
      <c r="A565" s="1"/>
      <c r="B565" s="1"/>
      <c r="C565" s="1"/>
      <c r="D565" s="1"/>
      <c r="E565" s="202"/>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row>
    <row r="566" spans="1:36" ht="11.25" x14ac:dyDescent="0.2">
      <c r="A566" s="1"/>
      <c r="B566" s="1"/>
      <c r="C566" s="1"/>
      <c r="D566" s="1"/>
      <c r="E566" s="202"/>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row>
    <row r="567" spans="1:36" ht="11.25" x14ac:dyDescent="0.2">
      <c r="A567" s="1"/>
      <c r="B567" s="1"/>
      <c r="C567" s="1"/>
      <c r="D567" s="1"/>
      <c r="E567" s="202"/>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row>
    <row r="568" spans="1:36" ht="11.25" x14ac:dyDescent="0.2">
      <c r="A568" s="1"/>
      <c r="B568" s="1"/>
      <c r="C568" s="1"/>
      <c r="D568" s="1"/>
      <c r="E568" s="202"/>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row>
    <row r="569" spans="1:36" ht="11.25" x14ac:dyDescent="0.2">
      <c r="A569" s="1"/>
      <c r="B569" s="1"/>
      <c r="C569" s="1"/>
      <c r="D569" s="1"/>
      <c r="E569" s="202"/>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row>
    <row r="570" spans="1:36" ht="11.25" x14ac:dyDescent="0.2">
      <c r="A570" s="1"/>
      <c r="B570" s="1"/>
      <c r="C570" s="1"/>
      <c r="D570" s="1"/>
      <c r="E570" s="202"/>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row>
    <row r="571" spans="1:36" ht="11.25" x14ac:dyDescent="0.2">
      <c r="A571" s="1"/>
      <c r="B571" s="1"/>
      <c r="C571" s="1"/>
      <c r="D571" s="1"/>
      <c r="E571" s="202"/>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row>
    <row r="572" spans="1:36" ht="11.25" x14ac:dyDescent="0.2">
      <c r="A572" s="1"/>
      <c r="B572" s="1"/>
      <c r="C572" s="1"/>
      <c r="D572" s="1"/>
      <c r="E572" s="202"/>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row>
    <row r="573" spans="1:36" ht="11.25" x14ac:dyDescent="0.2">
      <c r="A573" s="1"/>
      <c r="B573" s="1"/>
      <c r="C573" s="1"/>
      <c r="D573" s="1"/>
      <c r="E573" s="202"/>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row>
    <row r="574" spans="1:36" ht="11.25" x14ac:dyDescent="0.2">
      <c r="A574" s="1"/>
      <c r="B574" s="1"/>
      <c r="C574" s="1"/>
      <c r="D574" s="1"/>
      <c r="E574" s="202"/>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row>
    <row r="575" spans="1:36" ht="11.25" x14ac:dyDescent="0.2">
      <c r="A575" s="1"/>
      <c r="B575" s="1"/>
      <c r="C575" s="1"/>
      <c r="D575" s="1"/>
      <c r="E575" s="202"/>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row>
    <row r="576" spans="1:36" ht="11.25" x14ac:dyDescent="0.2">
      <c r="A576" s="1"/>
      <c r="B576" s="1"/>
      <c r="C576" s="1"/>
      <c r="D576" s="1"/>
      <c r="E576" s="202"/>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row>
    <row r="577" spans="1:36" ht="11.25" x14ac:dyDescent="0.2">
      <c r="A577" s="1"/>
      <c r="B577" s="1"/>
      <c r="C577" s="1"/>
      <c r="D577" s="1"/>
      <c r="E577" s="202"/>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row>
    <row r="578" spans="1:36" ht="11.25" x14ac:dyDescent="0.2">
      <c r="A578" s="1"/>
      <c r="B578" s="1"/>
      <c r="C578" s="1"/>
      <c r="D578" s="1"/>
      <c r="E578" s="202"/>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row>
    <row r="579" spans="1:36" ht="11.25" x14ac:dyDescent="0.2">
      <c r="A579" s="1"/>
      <c r="B579" s="1"/>
      <c r="C579" s="1"/>
      <c r="D579" s="1"/>
      <c r="E579" s="202"/>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row>
    <row r="580" spans="1:36" ht="11.25" x14ac:dyDescent="0.2">
      <c r="A580" s="1"/>
      <c r="B580" s="1"/>
      <c r="C580" s="1"/>
      <c r="D580" s="1"/>
      <c r="E580" s="202"/>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row>
    <row r="581" spans="1:36" ht="11.25" x14ac:dyDescent="0.2">
      <c r="A581" s="1"/>
      <c r="B581" s="1"/>
      <c r="C581" s="1"/>
      <c r="D581" s="1"/>
      <c r="E581" s="202"/>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row>
    <row r="582" spans="1:36" ht="11.25" x14ac:dyDescent="0.2">
      <c r="A582" s="1"/>
      <c r="B582" s="1"/>
      <c r="C582" s="1"/>
      <c r="D582" s="1"/>
      <c r="E582" s="202"/>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row>
    <row r="583" spans="1:36" ht="11.25" x14ac:dyDescent="0.2">
      <c r="A583" s="1"/>
      <c r="B583" s="1"/>
      <c r="C583" s="1"/>
      <c r="D583" s="1"/>
      <c r="E583" s="202"/>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row>
    <row r="584" spans="1:36" ht="11.25" x14ac:dyDescent="0.2">
      <c r="A584" s="1"/>
      <c r="B584" s="1"/>
      <c r="C584" s="1"/>
      <c r="D584" s="1"/>
      <c r="E584" s="202"/>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row>
    <row r="585" spans="1:36" ht="11.25" x14ac:dyDescent="0.2">
      <c r="A585" s="1"/>
      <c r="B585" s="1"/>
      <c r="C585" s="1"/>
      <c r="D585" s="1"/>
      <c r="E585" s="202"/>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row>
    <row r="586" spans="1:36" ht="11.25" x14ac:dyDescent="0.2">
      <c r="A586" s="1"/>
      <c r="B586" s="1"/>
      <c r="C586" s="1"/>
      <c r="D586" s="1"/>
      <c r="E586" s="202"/>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row>
    <row r="587" spans="1:36" ht="11.25" x14ac:dyDescent="0.2">
      <c r="A587" s="1"/>
      <c r="B587" s="1"/>
      <c r="C587" s="1"/>
      <c r="D587" s="1"/>
      <c r="E587" s="202"/>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row>
    <row r="588" spans="1:36" ht="11.25" x14ac:dyDescent="0.2">
      <c r="A588" s="1"/>
      <c r="B588" s="1"/>
      <c r="C588" s="1"/>
      <c r="D588" s="1"/>
      <c r="E588" s="202"/>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row>
    <row r="589" spans="1:36" ht="11.25" x14ac:dyDescent="0.2">
      <c r="A589" s="1"/>
      <c r="B589" s="1"/>
      <c r="C589" s="1"/>
      <c r="D589" s="1"/>
      <c r="E589" s="202"/>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row>
    <row r="590" spans="1:36" ht="11.25" x14ac:dyDescent="0.2">
      <c r="A590" s="1"/>
      <c r="B590" s="1"/>
      <c r="C590" s="1"/>
      <c r="D590" s="1"/>
      <c r="E590" s="202"/>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row>
    <row r="591" spans="1:36" ht="11.25" x14ac:dyDescent="0.2">
      <c r="A591" s="1"/>
      <c r="B591" s="1"/>
      <c r="C591" s="1"/>
      <c r="D591" s="1"/>
      <c r="E591" s="202"/>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row>
    <row r="592" spans="1:36" ht="11.25" x14ac:dyDescent="0.2">
      <c r="A592" s="1"/>
      <c r="B592" s="1"/>
      <c r="C592" s="1"/>
      <c r="D592" s="1"/>
      <c r="E592" s="202"/>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row>
    <row r="593" spans="1:36" ht="11.25" x14ac:dyDescent="0.2">
      <c r="A593" s="1"/>
      <c r="B593" s="1"/>
      <c r="C593" s="1"/>
      <c r="D593" s="1"/>
      <c r="E593" s="202"/>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row>
    <row r="594" spans="1:36" ht="11.25" x14ac:dyDescent="0.2">
      <c r="A594" s="1"/>
      <c r="B594" s="1"/>
      <c r="C594" s="1"/>
      <c r="D594" s="1"/>
      <c r="E594" s="202"/>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row>
    <row r="595" spans="1:36" ht="11.25" x14ac:dyDescent="0.2">
      <c r="A595" s="1"/>
      <c r="B595" s="1"/>
      <c r="C595" s="1"/>
      <c r="D595" s="1"/>
      <c r="E595" s="202"/>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row>
    <row r="596" spans="1:36" ht="11.25" x14ac:dyDescent="0.2">
      <c r="A596" s="1"/>
      <c r="B596" s="1"/>
      <c r="C596" s="1"/>
      <c r="D596" s="1"/>
      <c r="E596" s="202"/>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row>
    <row r="597" spans="1:36" ht="11.25" x14ac:dyDescent="0.2">
      <c r="A597" s="1"/>
      <c r="B597" s="1"/>
      <c r="C597" s="1"/>
      <c r="D597" s="1"/>
      <c r="E597" s="202"/>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row>
    <row r="598" spans="1:36" ht="11.25" x14ac:dyDescent="0.2">
      <c r="A598" s="1"/>
      <c r="B598" s="1"/>
      <c r="C598" s="1"/>
      <c r="D598" s="1"/>
      <c r="E598" s="202"/>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row>
    <row r="599" spans="1:36" ht="11.25" x14ac:dyDescent="0.2">
      <c r="A599" s="1"/>
      <c r="B599" s="1"/>
      <c r="C599" s="1"/>
      <c r="D599" s="1"/>
      <c r="E599" s="202"/>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row>
    <row r="600" spans="1:36" ht="11.25" x14ac:dyDescent="0.2">
      <c r="A600" s="1"/>
      <c r="B600" s="1"/>
      <c r="C600" s="1"/>
      <c r="D600" s="1"/>
      <c r="E600" s="202"/>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row>
    <row r="601" spans="1:36" ht="11.25" x14ac:dyDescent="0.2">
      <c r="A601" s="1"/>
      <c r="B601" s="1"/>
      <c r="C601" s="1"/>
      <c r="D601" s="1"/>
      <c r="E601" s="202"/>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row>
    <row r="602" spans="1:36" ht="11.25" x14ac:dyDescent="0.2">
      <c r="A602" s="1"/>
      <c r="B602" s="1"/>
      <c r="C602" s="1"/>
      <c r="D602" s="1"/>
      <c r="E602" s="202"/>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row>
    <row r="603" spans="1:36" ht="11.25" x14ac:dyDescent="0.2">
      <c r="A603" s="1"/>
      <c r="B603" s="1"/>
      <c r="C603" s="1"/>
      <c r="D603" s="1"/>
      <c r="E603" s="202"/>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row>
    <row r="604" spans="1:36" ht="11.25" x14ac:dyDescent="0.2">
      <c r="A604" s="1"/>
      <c r="B604" s="1"/>
      <c r="C604" s="1"/>
      <c r="D604" s="1"/>
      <c r="E604" s="202"/>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row>
    <row r="605" spans="1:36" ht="11.25" x14ac:dyDescent="0.2">
      <c r="A605" s="1"/>
      <c r="B605" s="1"/>
      <c r="C605" s="1"/>
      <c r="D605" s="1"/>
      <c r="E605" s="202"/>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row>
    <row r="606" spans="1:36" ht="11.25" x14ac:dyDescent="0.2">
      <c r="A606" s="1"/>
      <c r="B606" s="1"/>
      <c r="C606" s="1"/>
      <c r="D606" s="1"/>
      <c r="E606" s="202"/>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row>
    <row r="607" spans="1:36" ht="11.25" x14ac:dyDescent="0.2">
      <c r="A607" s="1"/>
      <c r="B607" s="1"/>
      <c r="C607" s="1"/>
      <c r="D607" s="1"/>
      <c r="E607" s="202"/>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row>
    <row r="608" spans="1:36" ht="11.25" x14ac:dyDescent="0.2">
      <c r="A608" s="1"/>
      <c r="B608" s="1"/>
      <c r="C608" s="1"/>
      <c r="D608" s="1"/>
      <c r="E608" s="202"/>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row>
    <row r="609" spans="1:36" ht="11.25" x14ac:dyDescent="0.2">
      <c r="A609" s="1"/>
      <c r="B609" s="1"/>
      <c r="C609" s="1"/>
      <c r="D609" s="1"/>
      <c r="E609" s="202"/>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row>
    <row r="610" spans="1:36" ht="11.25" x14ac:dyDescent="0.2">
      <c r="A610" s="1"/>
      <c r="B610" s="1"/>
      <c r="C610" s="1"/>
      <c r="D610" s="1"/>
      <c r="E610" s="202"/>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row>
    <row r="611" spans="1:36" ht="11.25" x14ac:dyDescent="0.2">
      <c r="A611" s="1"/>
      <c r="B611" s="1"/>
      <c r="C611" s="1"/>
      <c r="D611" s="1"/>
      <c r="E611" s="202"/>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row>
    <row r="612" spans="1:36" ht="11.25" x14ac:dyDescent="0.2">
      <c r="A612" s="1"/>
      <c r="B612" s="1"/>
      <c r="C612" s="1"/>
      <c r="D612" s="1"/>
      <c r="E612" s="202"/>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row>
    <row r="613" spans="1:36" ht="11.25" x14ac:dyDescent="0.2">
      <c r="A613" s="1"/>
      <c r="B613" s="1"/>
      <c r="C613" s="1"/>
      <c r="D613" s="1"/>
      <c r="E613" s="202"/>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row>
    <row r="614" spans="1:36" ht="11.25" x14ac:dyDescent="0.2">
      <c r="A614" s="1"/>
      <c r="B614" s="1"/>
      <c r="C614" s="1"/>
      <c r="D614" s="1"/>
      <c r="E614" s="202"/>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row>
    <row r="615" spans="1:36" ht="11.25" x14ac:dyDescent="0.2">
      <c r="A615" s="1"/>
      <c r="B615" s="1"/>
      <c r="C615" s="1"/>
      <c r="D615" s="1"/>
      <c r="E615" s="202"/>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row>
    <row r="616" spans="1:36" ht="11.25" x14ac:dyDescent="0.2">
      <c r="A616" s="1"/>
      <c r="B616" s="1"/>
      <c r="C616" s="1"/>
      <c r="D616" s="1"/>
      <c r="E616" s="202"/>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row>
    <row r="617" spans="1:36" ht="11.25" x14ac:dyDescent="0.2">
      <c r="A617" s="1"/>
      <c r="B617" s="1"/>
      <c r="C617" s="1"/>
      <c r="D617" s="1"/>
      <c r="E617" s="202"/>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row>
    <row r="618" spans="1:36" ht="11.25" x14ac:dyDescent="0.2">
      <c r="A618" s="1"/>
      <c r="B618" s="1"/>
      <c r="C618" s="1"/>
      <c r="D618" s="1"/>
      <c r="E618" s="202"/>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row>
    <row r="619" spans="1:36" ht="11.25" x14ac:dyDescent="0.2">
      <c r="A619" s="1"/>
      <c r="B619" s="1"/>
      <c r="C619" s="1"/>
      <c r="D619" s="1"/>
      <c r="E619" s="202"/>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row>
    <row r="620" spans="1:36" ht="11.25" x14ac:dyDescent="0.2">
      <c r="A620" s="1"/>
      <c r="B620" s="1"/>
      <c r="C620" s="1"/>
      <c r="D620" s="1"/>
      <c r="E620" s="202"/>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row>
    <row r="621" spans="1:36" ht="11.25" x14ac:dyDescent="0.2">
      <c r="A621" s="1"/>
      <c r="B621" s="1"/>
      <c r="C621" s="1"/>
      <c r="D621" s="1"/>
      <c r="E621" s="202"/>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row>
    <row r="622" spans="1:36" ht="11.25" x14ac:dyDescent="0.2">
      <c r="A622" s="1"/>
      <c r="B622" s="1"/>
      <c r="C622" s="1"/>
      <c r="D622" s="1"/>
      <c r="E622" s="202"/>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row>
    <row r="623" spans="1:36" ht="11.25" x14ac:dyDescent="0.2">
      <c r="A623" s="1"/>
      <c r="B623" s="1"/>
      <c r="C623" s="1"/>
      <c r="D623" s="1"/>
      <c r="E623" s="202"/>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row>
    <row r="624" spans="1:36" ht="11.25" x14ac:dyDescent="0.2">
      <c r="A624" s="1"/>
      <c r="B624" s="1"/>
      <c r="C624" s="1"/>
      <c r="D624" s="1"/>
      <c r="E624" s="202"/>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row>
    <row r="625" spans="1:36" ht="11.25" x14ac:dyDescent="0.2">
      <c r="A625" s="1"/>
      <c r="B625" s="1"/>
      <c r="C625" s="1"/>
      <c r="D625" s="1"/>
      <c r="E625" s="202"/>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row>
    <row r="626" spans="1:36" ht="11.25" x14ac:dyDescent="0.2">
      <c r="A626" s="1"/>
      <c r="B626" s="1"/>
      <c r="C626" s="1"/>
      <c r="D626" s="1"/>
      <c r="E626" s="202"/>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row>
    <row r="627" spans="1:36" ht="11.25" x14ac:dyDescent="0.2">
      <c r="A627" s="1"/>
      <c r="B627" s="1"/>
      <c r="C627" s="1"/>
      <c r="D627" s="1"/>
      <c r="E627" s="202"/>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row>
    <row r="628" spans="1:36" ht="11.25" x14ac:dyDescent="0.2">
      <c r="A628" s="1"/>
      <c r="B628" s="1"/>
      <c r="C628" s="1"/>
      <c r="D628" s="1"/>
      <c r="E628" s="202"/>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row>
    <row r="629" spans="1:36" ht="11.25" x14ac:dyDescent="0.2">
      <c r="A629" s="1"/>
      <c r="B629" s="1"/>
      <c r="C629" s="1"/>
      <c r="D629" s="1"/>
      <c r="E629" s="202"/>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row>
    <row r="630" spans="1:36" ht="11.25" x14ac:dyDescent="0.2">
      <c r="A630" s="1"/>
      <c r="B630" s="1"/>
      <c r="C630" s="1"/>
      <c r="D630" s="1"/>
      <c r="E630" s="202"/>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row>
    <row r="631" spans="1:36" ht="11.25" x14ac:dyDescent="0.2">
      <c r="A631" s="1"/>
      <c r="B631" s="1"/>
      <c r="C631" s="1"/>
      <c r="D631" s="1"/>
      <c r="E631" s="202"/>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row>
    <row r="632" spans="1:36" ht="11.25" x14ac:dyDescent="0.2">
      <c r="A632" s="1"/>
      <c r="B632" s="1"/>
      <c r="C632" s="1"/>
      <c r="D632" s="1"/>
      <c r="E632" s="202"/>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row>
    <row r="633" spans="1:36" ht="11.25" x14ac:dyDescent="0.2">
      <c r="A633" s="1"/>
      <c r="B633" s="1"/>
      <c r="C633" s="1"/>
      <c r="D633" s="1"/>
      <c r="E633" s="202"/>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row>
    <row r="634" spans="1:36" ht="11.25" x14ac:dyDescent="0.2">
      <c r="A634" s="1"/>
      <c r="B634" s="1"/>
      <c r="C634" s="1"/>
      <c r="D634" s="1"/>
      <c r="E634" s="202"/>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row>
    <row r="635" spans="1:36" ht="11.25" x14ac:dyDescent="0.2">
      <c r="A635" s="1"/>
      <c r="B635" s="1"/>
      <c r="C635" s="1"/>
      <c r="D635" s="1"/>
      <c r="E635" s="202"/>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row>
    <row r="636" spans="1:36" ht="11.25" x14ac:dyDescent="0.2">
      <c r="A636" s="1"/>
      <c r="B636" s="1"/>
      <c r="C636" s="1"/>
      <c r="D636" s="1"/>
      <c r="E636" s="202"/>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row>
    <row r="637" spans="1:36" ht="11.25" x14ac:dyDescent="0.2">
      <c r="A637" s="1"/>
      <c r="B637" s="1"/>
      <c r="C637" s="1"/>
      <c r="D637" s="1"/>
      <c r="E637" s="202"/>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row>
    <row r="638" spans="1:36" ht="11.25" x14ac:dyDescent="0.2">
      <c r="A638" s="1"/>
      <c r="B638" s="1"/>
      <c r="C638" s="1"/>
      <c r="D638" s="1"/>
      <c r="E638" s="202"/>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row>
    <row r="639" spans="1:36" ht="11.25" x14ac:dyDescent="0.2">
      <c r="A639" s="1"/>
      <c r="B639" s="1"/>
      <c r="C639" s="1"/>
      <c r="D639" s="1"/>
      <c r="E639" s="202"/>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row>
    <row r="640" spans="1:36" ht="11.25" x14ac:dyDescent="0.2">
      <c r="A640" s="1"/>
      <c r="B640" s="1"/>
      <c r="C640" s="1"/>
      <c r="D640" s="1"/>
      <c r="E640" s="202"/>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row>
    <row r="641" spans="1:36" ht="11.25" x14ac:dyDescent="0.2">
      <c r="A641" s="1"/>
      <c r="B641" s="1"/>
      <c r="C641" s="1"/>
      <c r="D641" s="1"/>
      <c r="E641" s="202"/>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row>
    <row r="642" spans="1:36" ht="11.25" x14ac:dyDescent="0.2">
      <c r="A642" s="1"/>
      <c r="B642" s="1"/>
      <c r="C642" s="1"/>
      <c r="D642" s="1"/>
      <c r="E642" s="202"/>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row>
    <row r="643" spans="1:36" ht="11.25" x14ac:dyDescent="0.2">
      <c r="A643" s="1"/>
      <c r="B643" s="1"/>
      <c r="C643" s="1"/>
      <c r="D643" s="1"/>
      <c r="E643" s="202"/>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row>
    <row r="644" spans="1:36" ht="11.25" x14ac:dyDescent="0.2">
      <c r="A644" s="1"/>
      <c r="B644" s="1"/>
      <c r="C644" s="1"/>
      <c r="D644" s="1"/>
      <c r="E644" s="202"/>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row>
    <row r="645" spans="1:36" ht="11.25" x14ac:dyDescent="0.2">
      <c r="A645" s="1"/>
      <c r="B645" s="1"/>
      <c r="C645" s="1"/>
      <c r="D645" s="1"/>
      <c r="E645" s="202"/>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row>
    <row r="646" spans="1:36" ht="11.25" x14ac:dyDescent="0.2">
      <c r="A646" s="1"/>
      <c r="B646" s="1"/>
      <c r="C646" s="1"/>
      <c r="D646" s="1"/>
      <c r="E646" s="202"/>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row>
    <row r="647" spans="1:36" ht="11.25" x14ac:dyDescent="0.2">
      <c r="A647" s="1"/>
      <c r="B647" s="1"/>
      <c r="C647" s="1"/>
      <c r="D647" s="1"/>
      <c r="E647" s="202"/>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row>
    <row r="648" spans="1:36" ht="11.25" x14ac:dyDescent="0.2">
      <c r="A648" s="1"/>
      <c r="B648" s="1"/>
      <c r="C648" s="1"/>
      <c r="D648" s="1"/>
      <c r="E648" s="202"/>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row>
    <row r="649" spans="1:36" ht="11.25" x14ac:dyDescent="0.2">
      <c r="A649" s="1"/>
      <c r="B649" s="1"/>
      <c r="C649" s="1"/>
      <c r="D649" s="1"/>
      <c r="E649" s="202"/>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row>
    <row r="650" spans="1:36" ht="11.25" x14ac:dyDescent="0.2">
      <c r="A650" s="1"/>
      <c r="B650" s="1"/>
      <c r="C650" s="1"/>
      <c r="D650" s="1"/>
      <c r="E650" s="202"/>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row>
    <row r="651" spans="1:36" ht="11.25" x14ac:dyDescent="0.2">
      <c r="A651" s="1"/>
      <c r="B651" s="1"/>
      <c r="C651" s="1"/>
      <c r="D651" s="1"/>
      <c r="E651" s="202"/>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row>
    <row r="652" spans="1:36" ht="11.25" x14ac:dyDescent="0.2">
      <c r="A652" s="1"/>
      <c r="B652" s="1"/>
      <c r="C652" s="1"/>
      <c r="D652" s="1"/>
      <c r="E652" s="202"/>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row>
    <row r="653" spans="1:36" ht="11.25" x14ac:dyDescent="0.2">
      <c r="A653" s="1"/>
      <c r="B653" s="1"/>
      <c r="C653" s="1"/>
      <c r="D653" s="1"/>
      <c r="E653" s="202"/>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row>
    <row r="654" spans="1:36" ht="11.25" x14ac:dyDescent="0.2">
      <c r="A654" s="1"/>
      <c r="B654" s="1"/>
      <c r="C654" s="1"/>
      <c r="D654" s="1"/>
      <c r="E654" s="202"/>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row>
    <row r="655" spans="1:36" ht="11.25" x14ac:dyDescent="0.2">
      <c r="A655" s="1"/>
      <c r="B655" s="1"/>
      <c r="C655" s="1"/>
      <c r="D655" s="1"/>
      <c r="E655" s="202"/>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row>
    <row r="656" spans="1:36" ht="11.25" x14ac:dyDescent="0.2">
      <c r="A656" s="1"/>
      <c r="B656" s="1"/>
      <c r="C656" s="1"/>
      <c r="D656" s="1"/>
      <c r="E656" s="202"/>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row>
    <row r="657" spans="1:36" ht="11.25" x14ac:dyDescent="0.2">
      <c r="A657" s="1"/>
      <c r="B657" s="1"/>
      <c r="C657" s="1"/>
      <c r="D657" s="1"/>
      <c r="E657" s="202"/>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row>
    <row r="658" spans="1:36" ht="11.25" x14ac:dyDescent="0.2">
      <c r="A658" s="1"/>
      <c r="B658" s="1"/>
      <c r="C658" s="1"/>
      <c r="D658" s="1"/>
      <c r="E658" s="202"/>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row>
    <row r="659" spans="1:36" ht="11.25" x14ac:dyDescent="0.2">
      <c r="A659" s="1"/>
      <c r="B659" s="1"/>
      <c r="C659" s="1"/>
      <c r="D659" s="1"/>
      <c r="E659" s="202"/>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row>
    <row r="660" spans="1:36" ht="11.25" x14ac:dyDescent="0.2">
      <c r="A660" s="1"/>
      <c r="B660" s="1"/>
      <c r="C660" s="1"/>
      <c r="D660" s="1"/>
      <c r="E660" s="202"/>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row>
    <row r="661" spans="1:36" ht="11.25" x14ac:dyDescent="0.2">
      <c r="A661" s="1"/>
      <c r="B661" s="1"/>
      <c r="C661" s="1"/>
      <c r="D661" s="1"/>
      <c r="E661" s="202"/>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row>
    <row r="662" spans="1:36" ht="11.25" x14ac:dyDescent="0.2">
      <c r="A662" s="1"/>
      <c r="B662" s="1"/>
      <c r="C662" s="1"/>
      <c r="D662" s="1"/>
      <c r="E662" s="202"/>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row>
    <row r="663" spans="1:36" ht="11.25" x14ac:dyDescent="0.2">
      <c r="A663" s="1"/>
      <c r="B663" s="1"/>
      <c r="C663" s="1"/>
      <c r="D663" s="1"/>
      <c r="E663" s="202"/>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row>
    <row r="664" spans="1:36" ht="11.25" x14ac:dyDescent="0.2">
      <c r="A664" s="1"/>
      <c r="B664" s="1"/>
      <c r="C664" s="1"/>
      <c r="D664" s="1"/>
      <c r="E664" s="202"/>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row>
    <row r="665" spans="1:36" ht="11.25" x14ac:dyDescent="0.2">
      <c r="A665" s="1"/>
      <c r="B665" s="1"/>
      <c r="C665" s="1"/>
      <c r="D665" s="1"/>
      <c r="E665" s="202"/>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row>
    <row r="666" spans="1:36" ht="11.25" x14ac:dyDescent="0.2">
      <c r="A666" s="1"/>
      <c r="B666" s="1"/>
      <c r="C666" s="1"/>
      <c r="D666" s="1"/>
      <c r="E666" s="202"/>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row>
    <row r="667" spans="1:36" ht="11.25" x14ac:dyDescent="0.2">
      <c r="A667" s="1"/>
      <c r="B667" s="1"/>
      <c r="C667" s="1"/>
      <c r="D667" s="1"/>
      <c r="E667" s="202"/>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row>
    <row r="668" spans="1:36" ht="11.25" x14ac:dyDescent="0.2">
      <c r="A668" s="1"/>
      <c r="B668" s="1"/>
      <c r="C668" s="1"/>
      <c r="D668" s="1"/>
      <c r="E668" s="202"/>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row>
    <row r="669" spans="1:36" ht="11.25" x14ac:dyDescent="0.2">
      <c r="A669" s="1"/>
      <c r="B669" s="1"/>
      <c r="C669" s="1"/>
      <c r="D669" s="1"/>
      <c r="E669" s="202"/>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row>
    <row r="670" spans="1:36" ht="11.25" x14ac:dyDescent="0.2">
      <c r="A670" s="1"/>
      <c r="B670" s="1"/>
      <c r="C670" s="1"/>
      <c r="D670" s="1"/>
      <c r="E670" s="202"/>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row>
    <row r="671" spans="1:36" ht="11.25" x14ac:dyDescent="0.2">
      <c r="A671" s="1"/>
      <c r="B671" s="1"/>
      <c r="C671" s="1"/>
      <c r="D671" s="1"/>
      <c r="E671" s="202"/>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row>
    <row r="672" spans="1:36" ht="11.25" x14ac:dyDescent="0.2">
      <c r="A672" s="1"/>
      <c r="B672" s="1"/>
      <c r="C672" s="1"/>
      <c r="D672" s="1"/>
      <c r="E672" s="202"/>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row>
    <row r="673" spans="1:36" ht="11.25" x14ac:dyDescent="0.2">
      <c r="A673" s="1"/>
      <c r="B673" s="1"/>
      <c r="C673" s="1"/>
      <c r="D673" s="1"/>
      <c r="E673" s="202"/>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row>
    <row r="674" spans="1:36" ht="11.25" x14ac:dyDescent="0.2">
      <c r="A674" s="1"/>
      <c r="B674" s="1"/>
      <c r="C674" s="1"/>
      <c r="D674" s="1"/>
      <c r="E674" s="202"/>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row>
    <row r="675" spans="1:36" ht="11.25" x14ac:dyDescent="0.2">
      <c r="A675" s="1"/>
      <c r="B675" s="1"/>
      <c r="C675" s="1"/>
      <c r="D675" s="1"/>
      <c r="E675" s="202"/>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row>
    <row r="676" spans="1:36" ht="11.25" x14ac:dyDescent="0.2">
      <c r="A676" s="1"/>
      <c r="B676" s="1"/>
      <c r="C676" s="1"/>
      <c r="D676" s="1"/>
      <c r="E676" s="202"/>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row>
    <row r="677" spans="1:36" ht="11.25" x14ac:dyDescent="0.2">
      <c r="A677" s="1"/>
      <c r="B677" s="1"/>
      <c r="C677" s="1"/>
      <c r="D677" s="1"/>
      <c r="E677" s="202"/>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row>
    <row r="678" spans="1:36" ht="11.25" x14ac:dyDescent="0.2">
      <c r="A678" s="1"/>
      <c r="B678" s="1"/>
      <c r="C678" s="1"/>
      <c r="D678" s="1"/>
      <c r="E678" s="202"/>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row>
    <row r="679" spans="1:36" ht="11.25" x14ac:dyDescent="0.2">
      <c r="A679" s="1"/>
      <c r="B679" s="1"/>
      <c r="C679" s="1"/>
      <c r="D679" s="1"/>
      <c r="E679" s="202"/>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row>
    <row r="680" spans="1:36" ht="11.25" x14ac:dyDescent="0.2">
      <c r="A680" s="1"/>
      <c r="B680" s="1"/>
      <c r="C680" s="1"/>
      <c r="D680" s="1"/>
      <c r="E680" s="202"/>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row>
    <row r="681" spans="1:36" ht="11.25" x14ac:dyDescent="0.2">
      <c r="A681" s="1"/>
      <c r="B681" s="1"/>
      <c r="C681" s="1"/>
      <c r="D681" s="1"/>
      <c r="E681" s="202"/>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row>
    <row r="682" spans="1:36" ht="11.25" x14ac:dyDescent="0.2">
      <c r="A682" s="1"/>
      <c r="B682" s="1"/>
      <c r="C682" s="1"/>
      <c r="D682" s="1"/>
      <c r="E682" s="202"/>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row>
    <row r="683" spans="1:36" ht="11.25" x14ac:dyDescent="0.2">
      <c r="A683" s="1"/>
      <c r="B683" s="1"/>
      <c r="C683" s="1"/>
      <c r="D683" s="1"/>
      <c r="E683" s="202"/>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row>
    <row r="684" spans="1:36" ht="11.25" x14ac:dyDescent="0.2">
      <c r="A684" s="1"/>
      <c r="B684" s="1"/>
      <c r="C684" s="1"/>
      <c r="D684" s="1"/>
      <c r="E684" s="202"/>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row>
    <row r="685" spans="1:36" ht="11.25" x14ac:dyDescent="0.2">
      <c r="A685" s="1"/>
      <c r="B685" s="1"/>
      <c r="C685" s="1"/>
      <c r="D685" s="1"/>
      <c r="E685" s="202"/>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row>
    <row r="686" spans="1:36" ht="11.25" x14ac:dyDescent="0.2">
      <c r="A686" s="1"/>
      <c r="B686" s="1"/>
      <c r="C686" s="1"/>
      <c r="D686" s="1"/>
      <c r="E686" s="202"/>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row>
    <row r="687" spans="1:36" ht="11.25" x14ac:dyDescent="0.2">
      <c r="A687" s="1"/>
      <c r="B687" s="1"/>
      <c r="C687" s="1"/>
      <c r="D687" s="1"/>
      <c r="E687" s="202"/>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row>
    <row r="688" spans="1:36" ht="11.25" x14ac:dyDescent="0.2">
      <c r="A688" s="1"/>
      <c r="B688" s="1"/>
      <c r="C688" s="1"/>
      <c r="D688" s="1"/>
      <c r="E688" s="202"/>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row>
    <row r="689" spans="1:36" ht="11.25" x14ac:dyDescent="0.2">
      <c r="A689" s="1"/>
      <c r="B689" s="1"/>
      <c r="C689" s="1"/>
      <c r="D689" s="1"/>
      <c r="E689" s="202"/>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row>
    <row r="690" spans="1:36" ht="11.25" x14ac:dyDescent="0.2">
      <c r="A690" s="1"/>
      <c r="B690" s="1"/>
      <c r="C690" s="1"/>
      <c r="D690" s="1"/>
      <c r="E690" s="202"/>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row>
    <row r="691" spans="1:36" ht="11.25" x14ac:dyDescent="0.2">
      <c r="A691" s="1"/>
      <c r="B691" s="1"/>
      <c r="C691" s="1"/>
      <c r="D691" s="1"/>
      <c r="E691" s="202"/>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row>
    <row r="692" spans="1:36" ht="11.25" x14ac:dyDescent="0.2">
      <c r="A692" s="1"/>
      <c r="B692" s="1"/>
      <c r="C692" s="1"/>
      <c r="D692" s="1"/>
      <c r="E692" s="202"/>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row>
    <row r="693" spans="1:36" ht="11.25" x14ac:dyDescent="0.2">
      <c r="A693" s="1"/>
      <c r="B693" s="1"/>
      <c r="C693" s="1"/>
      <c r="D693" s="1"/>
      <c r="E693" s="202"/>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row>
    <row r="694" spans="1:36" ht="11.25" x14ac:dyDescent="0.2">
      <c r="A694" s="1"/>
      <c r="B694" s="1"/>
      <c r="C694" s="1"/>
      <c r="D694" s="1"/>
      <c r="E694" s="202"/>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row>
    <row r="695" spans="1:36" ht="11.25" x14ac:dyDescent="0.2">
      <c r="A695" s="1"/>
      <c r="B695" s="1"/>
      <c r="C695" s="1"/>
      <c r="D695" s="1"/>
      <c r="E695" s="202"/>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row>
    <row r="696" spans="1:36" ht="11.25" x14ac:dyDescent="0.2">
      <c r="A696" s="1"/>
      <c r="B696" s="1"/>
      <c r="C696" s="1"/>
      <c r="D696" s="1"/>
      <c r="E696" s="202"/>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row>
    <row r="697" spans="1:36" ht="11.25" x14ac:dyDescent="0.2">
      <c r="A697" s="1"/>
      <c r="B697" s="1"/>
      <c r="C697" s="1"/>
      <c r="D697" s="1"/>
      <c r="E697" s="202"/>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row>
    <row r="698" spans="1:36" ht="11.25" x14ac:dyDescent="0.2">
      <c r="A698" s="1"/>
      <c r="B698" s="1"/>
      <c r="C698" s="1"/>
      <c r="D698" s="1"/>
      <c r="E698" s="202"/>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row>
    <row r="699" spans="1:36" ht="11.25" x14ac:dyDescent="0.2">
      <c r="A699" s="1"/>
      <c r="B699" s="1"/>
      <c r="C699" s="1"/>
      <c r="D699" s="1"/>
      <c r="E699" s="202"/>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row>
    <row r="700" spans="1:36" ht="11.25" x14ac:dyDescent="0.2">
      <c r="A700" s="1"/>
      <c r="B700" s="1"/>
      <c r="C700" s="1"/>
      <c r="D700" s="1"/>
      <c r="E700" s="202"/>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row>
    <row r="701" spans="1:36" ht="11.25" x14ac:dyDescent="0.2">
      <c r="A701" s="1"/>
      <c r="B701" s="1"/>
      <c r="C701" s="1"/>
      <c r="D701" s="1"/>
      <c r="E701" s="202"/>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row>
    <row r="702" spans="1:36" ht="11.25" x14ac:dyDescent="0.2">
      <c r="A702" s="1"/>
      <c r="B702" s="1"/>
      <c r="C702" s="1"/>
      <c r="D702" s="1"/>
      <c r="E702" s="202"/>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row>
    <row r="703" spans="1:36" ht="11.25" x14ac:dyDescent="0.2">
      <c r="A703" s="1"/>
      <c r="B703" s="1"/>
      <c r="C703" s="1"/>
      <c r="D703" s="1"/>
      <c r="E703" s="202"/>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row>
    <row r="704" spans="1:36" ht="11.25" x14ac:dyDescent="0.2">
      <c r="A704" s="1"/>
      <c r="B704" s="1"/>
      <c r="C704" s="1"/>
      <c r="D704" s="1"/>
      <c r="E704" s="202"/>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row>
    <row r="705" spans="1:36" ht="11.25" x14ac:dyDescent="0.2">
      <c r="A705" s="1"/>
      <c r="B705" s="1"/>
      <c r="C705" s="1"/>
      <c r="D705" s="1"/>
      <c r="E705" s="202"/>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row>
    <row r="706" spans="1:36" ht="11.25" x14ac:dyDescent="0.2">
      <c r="A706" s="1"/>
      <c r="B706" s="1"/>
      <c r="C706" s="1"/>
      <c r="D706" s="1"/>
      <c r="E706" s="202"/>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row>
    <row r="707" spans="1:36" ht="11.25" x14ac:dyDescent="0.2">
      <c r="A707" s="1"/>
      <c r="B707" s="1"/>
      <c r="C707" s="1"/>
      <c r="D707" s="1"/>
      <c r="E707" s="202"/>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row>
    <row r="708" spans="1:36" ht="11.25" x14ac:dyDescent="0.2">
      <c r="A708" s="1"/>
      <c r="B708" s="1"/>
      <c r="C708" s="1"/>
      <c r="D708" s="1"/>
      <c r="E708" s="202"/>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row>
    <row r="709" spans="1:36" ht="11.25" x14ac:dyDescent="0.2">
      <c r="A709" s="1"/>
      <c r="B709" s="1"/>
      <c r="C709" s="1"/>
      <c r="D709" s="1"/>
      <c r="E709" s="202"/>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row>
    <row r="710" spans="1:36" ht="11.25" x14ac:dyDescent="0.2">
      <c r="A710" s="1"/>
      <c r="B710" s="1"/>
      <c r="C710" s="1"/>
      <c r="D710" s="1"/>
      <c r="E710" s="202"/>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row>
    <row r="711" spans="1:36" ht="11.25" x14ac:dyDescent="0.2">
      <c r="A711" s="1"/>
      <c r="B711" s="1"/>
      <c r="C711" s="1"/>
      <c r="D711" s="1"/>
      <c r="E711" s="202"/>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row>
    <row r="712" spans="1:36" ht="11.25" x14ac:dyDescent="0.2">
      <c r="A712" s="1"/>
      <c r="B712" s="1"/>
      <c r="C712" s="1"/>
      <c r="D712" s="1"/>
      <c r="E712" s="202"/>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row>
    <row r="713" spans="1:36" ht="11.25" x14ac:dyDescent="0.2">
      <c r="A713" s="1"/>
      <c r="B713" s="1"/>
      <c r="C713" s="1"/>
      <c r="D713" s="1"/>
      <c r="E713" s="202"/>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row>
    <row r="714" spans="1:36" ht="11.25" x14ac:dyDescent="0.2">
      <c r="A714" s="1"/>
      <c r="B714" s="1"/>
      <c r="C714" s="1"/>
      <c r="D714" s="1"/>
      <c r="E714" s="202"/>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row>
    <row r="715" spans="1:36" ht="11.25" x14ac:dyDescent="0.2">
      <c r="A715" s="1"/>
      <c r="B715" s="1"/>
      <c r="C715" s="1"/>
      <c r="D715" s="1"/>
      <c r="E715" s="202"/>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row>
    <row r="716" spans="1:36" ht="11.25" x14ac:dyDescent="0.2">
      <c r="A716" s="1"/>
      <c r="B716" s="1"/>
      <c r="C716" s="1"/>
      <c r="D716" s="1"/>
      <c r="E716" s="202"/>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row>
    <row r="717" spans="1:36" ht="11.25" x14ac:dyDescent="0.2">
      <c r="A717" s="1"/>
      <c r="B717" s="1"/>
      <c r="C717" s="1"/>
      <c r="D717" s="1"/>
      <c r="E717" s="202"/>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row>
    <row r="718" spans="1:36" ht="11.25" x14ac:dyDescent="0.2">
      <c r="A718" s="1"/>
      <c r="B718" s="1"/>
      <c r="C718" s="1"/>
      <c r="D718" s="1"/>
      <c r="E718" s="202"/>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row>
    <row r="719" spans="1:36" ht="11.25" x14ac:dyDescent="0.2">
      <c r="A719" s="1"/>
      <c r="B719" s="1"/>
      <c r="C719" s="1"/>
      <c r="D719" s="1"/>
      <c r="E719" s="202"/>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row>
    <row r="720" spans="1:36" ht="11.25" x14ac:dyDescent="0.2">
      <c r="A720" s="1"/>
      <c r="B720" s="1"/>
      <c r="C720" s="1"/>
      <c r="D720" s="1"/>
      <c r="E720" s="202"/>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row>
    <row r="721" spans="1:36" ht="11.25" x14ac:dyDescent="0.2">
      <c r="A721" s="1"/>
      <c r="B721" s="1"/>
      <c r="C721" s="1"/>
      <c r="D721" s="1"/>
      <c r="E721" s="202"/>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row>
    <row r="722" spans="1:36" ht="11.25" x14ac:dyDescent="0.2">
      <c r="A722" s="1"/>
      <c r="B722" s="1"/>
      <c r="C722" s="1"/>
      <c r="D722" s="1"/>
      <c r="E722" s="202"/>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row>
    <row r="723" spans="1:36" ht="11.25" x14ac:dyDescent="0.2">
      <c r="A723" s="1"/>
      <c r="B723" s="1"/>
      <c r="C723" s="1"/>
      <c r="D723" s="1"/>
      <c r="E723" s="202"/>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row>
    <row r="724" spans="1:36" ht="11.25" x14ac:dyDescent="0.2">
      <c r="A724" s="1"/>
      <c r="B724" s="1"/>
      <c r="C724" s="1"/>
      <c r="D724" s="1"/>
      <c r="E724" s="202"/>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row>
    <row r="725" spans="1:36" ht="11.25" x14ac:dyDescent="0.2">
      <c r="A725" s="1"/>
      <c r="B725" s="1"/>
      <c r="C725" s="1"/>
      <c r="D725" s="1"/>
      <c r="E725" s="202"/>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row>
    <row r="726" spans="1:36" ht="11.25" x14ac:dyDescent="0.2">
      <c r="A726" s="1"/>
      <c r="B726" s="1"/>
      <c r="C726" s="1"/>
      <c r="D726" s="1"/>
      <c r="E726" s="202"/>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row>
    <row r="727" spans="1:36" ht="11.25" x14ac:dyDescent="0.2">
      <c r="A727" s="1"/>
      <c r="B727" s="1"/>
      <c r="C727" s="1"/>
      <c r="D727" s="1"/>
      <c r="E727" s="202"/>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row>
    <row r="728" spans="1:36" ht="11.25" x14ac:dyDescent="0.2">
      <c r="A728" s="1"/>
      <c r="B728" s="1"/>
      <c r="C728" s="1"/>
      <c r="D728" s="1"/>
      <c r="E728" s="202"/>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row>
    <row r="729" spans="1:36" ht="11.25" x14ac:dyDescent="0.2">
      <c r="A729" s="1"/>
      <c r="B729" s="1"/>
      <c r="C729" s="1"/>
      <c r="D729" s="1"/>
      <c r="E729" s="202"/>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row>
    <row r="730" spans="1:36" ht="11.25" x14ac:dyDescent="0.2">
      <c r="A730" s="1"/>
      <c r="B730" s="1"/>
      <c r="C730" s="1"/>
      <c r="D730" s="1"/>
      <c r="E730" s="202"/>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row>
    <row r="731" spans="1:36" ht="11.25" x14ac:dyDescent="0.2">
      <c r="A731" s="1"/>
      <c r="B731" s="1"/>
      <c r="C731" s="1"/>
      <c r="D731" s="1"/>
      <c r="E731" s="202"/>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row>
    <row r="732" spans="1:36" ht="11.25" x14ac:dyDescent="0.2">
      <c r="A732" s="1"/>
      <c r="B732" s="1"/>
      <c r="C732" s="1"/>
      <c r="D732" s="1"/>
      <c r="E732" s="202"/>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row>
    <row r="733" spans="1:36" ht="11.25" x14ac:dyDescent="0.2">
      <c r="A733" s="1"/>
      <c r="B733" s="1"/>
      <c r="C733" s="1"/>
      <c r="D733" s="1"/>
      <c r="E733" s="202"/>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row>
    <row r="734" spans="1:36" ht="11.25" x14ac:dyDescent="0.2">
      <c r="A734" s="1"/>
      <c r="B734" s="1"/>
      <c r="C734" s="1"/>
      <c r="D734" s="1"/>
      <c r="E734" s="202"/>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row>
    <row r="735" spans="1:36" ht="11.25" x14ac:dyDescent="0.2">
      <c r="A735" s="1"/>
      <c r="B735" s="1"/>
      <c r="C735" s="1"/>
      <c r="D735" s="1"/>
      <c r="E735" s="202"/>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row>
    <row r="736" spans="1:36" ht="11.25" x14ac:dyDescent="0.2">
      <c r="A736" s="1"/>
      <c r="B736" s="1"/>
      <c r="C736" s="1"/>
      <c r="D736" s="1"/>
      <c r="E736" s="202"/>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row>
    <row r="737" spans="1:36" ht="11.25" x14ac:dyDescent="0.2">
      <c r="A737" s="1"/>
      <c r="B737" s="1"/>
      <c r="C737" s="1"/>
      <c r="D737" s="1"/>
      <c r="E737" s="202"/>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row>
    <row r="738" spans="1:36" ht="11.25" x14ac:dyDescent="0.2">
      <c r="A738" s="1"/>
      <c r="B738" s="1"/>
      <c r="C738" s="1"/>
      <c r="D738" s="1"/>
      <c r="E738" s="202"/>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row>
    <row r="739" spans="1:36" ht="11.25" x14ac:dyDescent="0.2">
      <c r="A739" s="1"/>
      <c r="B739" s="1"/>
      <c r="C739" s="1"/>
      <c r="D739" s="1"/>
      <c r="E739" s="202"/>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row>
    <row r="740" spans="1:36" ht="11.25" x14ac:dyDescent="0.2">
      <c r="A740" s="1"/>
      <c r="B740" s="1"/>
      <c r="C740" s="1"/>
      <c r="D740" s="1"/>
      <c r="E740" s="202"/>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row>
    <row r="741" spans="1:36" ht="11.25" x14ac:dyDescent="0.2">
      <c r="A741" s="1"/>
      <c r="B741" s="1"/>
      <c r="C741" s="1"/>
      <c r="D741" s="1"/>
      <c r="E741" s="202"/>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row>
    <row r="742" spans="1:36" ht="11.25" x14ac:dyDescent="0.2">
      <c r="A742" s="1"/>
      <c r="B742" s="1"/>
      <c r="C742" s="1"/>
      <c r="D742" s="1"/>
      <c r="E742" s="202"/>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row>
    <row r="743" spans="1:36" ht="11.25" x14ac:dyDescent="0.2">
      <c r="A743" s="1"/>
      <c r="B743" s="1"/>
      <c r="C743" s="1"/>
      <c r="D743" s="1"/>
      <c r="E743" s="202"/>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row>
    <row r="744" spans="1:36" ht="11.25" x14ac:dyDescent="0.2">
      <c r="A744" s="1"/>
      <c r="B744" s="1"/>
      <c r="C744" s="1"/>
      <c r="D744" s="1"/>
      <c r="E744" s="202"/>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row>
    <row r="745" spans="1:36" ht="11.25" x14ac:dyDescent="0.2">
      <c r="A745" s="1"/>
      <c r="B745" s="1"/>
      <c r="C745" s="1"/>
      <c r="D745" s="1"/>
      <c r="E745" s="202"/>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row>
    <row r="746" spans="1:36" ht="11.25" x14ac:dyDescent="0.2">
      <c r="A746" s="1"/>
      <c r="B746" s="1"/>
      <c r="C746" s="1"/>
      <c r="D746" s="1"/>
      <c r="E746" s="202"/>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row>
    <row r="747" spans="1:36" ht="11.25" x14ac:dyDescent="0.2">
      <c r="A747" s="1"/>
      <c r="B747" s="1"/>
      <c r="C747" s="1"/>
      <c r="D747" s="1"/>
      <c r="E747" s="202"/>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row>
    <row r="748" spans="1:36" ht="11.25" x14ac:dyDescent="0.2">
      <c r="A748" s="1"/>
      <c r="B748" s="1"/>
      <c r="C748" s="1"/>
      <c r="D748" s="1"/>
      <c r="E748" s="202"/>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row>
    <row r="749" spans="1:36" ht="11.25" x14ac:dyDescent="0.2">
      <c r="A749" s="1"/>
      <c r="B749" s="1"/>
      <c r="C749" s="1"/>
      <c r="D749" s="1"/>
      <c r="E749" s="202"/>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row>
    <row r="750" spans="1:36" ht="11.25" x14ac:dyDescent="0.2">
      <c r="A750" s="1"/>
      <c r="B750" s="1"/>
      <c r="C750" s="1"/>
      <c r="D750" s="1"/>
      <c r="E750" s="202"/>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row>
    <row r="751" spans="1:36" ht="11.25" x14ac:dyDescent="0.2">
      <c r="A751" s="1"/>
      <c r="B751" s="1"/>
      <c r="C751" s="1"/>
      <c r="D751" s="1"/>
      <c r="E751" s="202"/>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row>
    <row r="752" spans="1:36" ht="11.25" x14ac:dyDescent="0.2">
      <c r="A752" s="1"/>
      <c r="B752" s="1"/>
      <c r="C752" s="1"/>
      <c r="D752" s="1"/>
      <c r="E752" s="202"/>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row>
    <row r="753" spans="1:36" ht="11.25" x14ac:dyDescent="0.2">
      <c r="A753" s="1"/>
      <c r="B753" s="1"/>
      <c r="C753" s="1"/>
      <c r="D753" s="1"/>
      <c r="E753" s="202"/>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row>
    <row r="754" spans="1:36" ht="11.25" x14ac:dyDescent="0.2">
      <c r="A754" s="1"/>
      <c r="B754" s="1"/>
      <c r="C754" s="1"/>
      <c r="D754" s="1"/>
      <c r="E754" s="202"/>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row>
    <row r="755" spans="1:36" ht="11.25" x14ac:dyDescent="0.2">
      <c r="A755" s="1"/>
      <c r="B755" s="1"/>
      <c r="C755" s="1"/>
      <c r="D755" s="1"/>
      <c r="E755" s="202"/>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row>
    <row r="756" spans="1:36" ht="11.25" x14ac:dyDescent="0.2">
      <c r="A756" s="1"/>
      <c r="B756" s="1"/>
      <c r="C756" s="1"/>
      <c r="D756" s="1"/>
      <c r="E756" s="202"/>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row>
    <row r="757" spans="1:36" ht="11.25" x14ac:dyDescent="0.2">
      <c r="A757" s="1"/>
      <c r="B757" s="1"/>
      <c r="C757" s="1"/>
      <c r="D757" s="1"/>
      <c r="E757" s="202"/>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row>
    <row r="758" spans="1:36" ht="11.25" x14ac:dyDescent="0.2">
      <c r="A758" s="1"/>
      <c r="B758" s="1"/>
      <c r="C758" s="1"/>
      <c r="D758" s="1"/>
      <c r="E758" s="202"/>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row>
    <row r="759" spans="1:36" ht="11.25" x14ac:dyDescent="0.2">
      <c r="A759" s="1"/>
      <c r="B759" s="1"/>
      <c r="C759" s="1"/>
      <c r="D759" s="1"/>
      <c r="E759" s="202"/>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row>
    <row r="760" spans="1:36" ht="11.25" x14ac:dyDescent="0.2">
      <c r="A760" s="1"/>
      <c r="B760" s="1"/>
      <c r="C760" s="1"/>
      <c r="D760" s="1"/>
      <c r="E760" s="202"/>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row>
    <row r="761" spans="1:36" ht="11.25" x14ac:dyDescent="0.2">
      <c r="A761" s="1"/>
      <c r="B761" s="1"/>
      <c r="C761" s="1"/>
      <c r="D761" s="1"/>
      <c r="E761" s="202"/>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row>
    <row r="762" spans="1:36" ht="11.25" x14ac:dyDescent="0.2">
      <c r="A762" s="1"/>
      <c r="B762" s="1"/>
      <c r="C762" s="1"/>
      <c r="D762" s="1"/>
      <c r="E762" s="202"/>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row>
    <row r="763" spans="1:36" ht="11.25" x14ac:dyDescent="0.2">
      <c r="A763" s="1"/>
      <c r="B763" s="1"/>
      <c r="C763" s="1"/>
      <c r="D763" s="1"/>
      <c r="E763" s="202"/>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row>
    <row r="764" spans="1:36" ht="11.25" x14ac:dyDescent="0.2">
      <c r="A764" s="1"/>
      <c r="B764" s="1"/>
      <c r="C764" s="1"/>
      <c r="D764" s="1"/>
      <c r="E764" s="202"/>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row>
    <row r="765" spans="1:36" ht="11.25" x14ac:dyDescent="0.2">
      <c r="A765" s="1"/>
      <c r="B765" s="1"/>
      <c r="C765" s="1"/>
      <c r="D765" s="1"/>
      <c r="E765" s="202"/>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row>
    <row r="766" spans="1:36" ht="11.25" x14ac:dyDescent="0.2">
      <c r="A766" s="1"/>
      <c r="B766" s="1"/>
      <c r="C766" s="1"/>
      <c r="D766" s="1"/>
      <c r="E766" s="202"/>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row>
    <row r="767" spans="1:36" ht="11.25" x14ac:dyDescent="0.2">
      <c r="A767" s="1"/>
      <c r="B767" s="1"/>
      <c r="C767" s="1"/>
      <c r="D767" s="1"/>
      <c r="E767" s="202"/>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row>
    <row r="768" spans="1:36" ht="11.25" x14ac:dyDescent="0.2">
      <c r="A768" s="1"/>
      <c r="B768" s="1"/>
      <c r="C768" s="1"/>
      <c r="D768" s="1"/>
      <c r="E768" s="202"/>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row>
    <row r="769" spans="1:36" ht="11.25" x14ac:dyDescent="0.2">
      <c r="A769" s="1"/>
      <c r="B769" s="1"/>
      <c r="C769" s="1"/>
      <c r="D769" s="1"/>
      <c r="E769" s="202"/>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row>
    <row r="770" spans="1:36" ht="11.25" x14ac:dyDescent="0.2">
      <c r="A770" s="1"/>
      <c r="B770" s="1"/>
      <c r="C770" s="1"/>
      <c r="D770" s="1"/>
      <c r="E770" s="202"/>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row>
    <row r="771" spans="1:36" ht="11.25" x14ac:dyDescent="0.2">
      <c r="A771" s="1"/>
      <c r="B771" s="1"/>
      <c r="C771" s="1"/>
      <c r="D771" s="1"/>
      <c r="E771" s="202"/>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row>
    <row r="772" spans="1:36" ht="11.25" x14ac:dyDescent="0.2">
      <c r="A772" s="1"/>
      <c r="B772" s="1"/>
      <c r="C772" s="1"/>
      <c r="D772" s="1"/>
      <c r="E772" s="202"/>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row>
    <row r="773" spans="1:36" ht="11.25" x14ac:dyDescent="0.2">
      <c r="A773" s="1"/>
      <c r="B773" s="1"/>
      <c r="C773" s="1"/>
      <c r="D773" s="1"/>
      <c r="E773" s="202"/>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row>
    <row r="774" spans="1:36" ht="11.25" x14ac:dyDescent="0.2">
      <c r="A774" s="1"/>
      <c r="B774" s="1"/>
      <c r="C774" s="1"/>
      <c r="D774" s="1"/>
      <c r="E774" s="202"/>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row>
    <row r="775" spans="1:36" ht="11.25" x14ac:dyDescent="0.2">
      <c r="A775" s="1"/>
      <c r="B775" s="1"/>
      <c r="C775" s="1"/>
      <c r="D775" s="1"/>
      <c r="E775" s="202"/>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row>
    <row r="776" spans="1:36" ht="11.25" x14ac:dyDescent="0.2">
      <c r="A776" s="1"/>
      <c r="B776" s="1"/>
      <c r="C776" s="1"/>
      <c r="D776" s="1"/>
      <c r="E776" s="202"/>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row>
    <row r="777" spans="1:36" ht="11.25" x14ac:dyDescent="0.2">
      <c r="A777" s="1"/>
      <c r="B777" s="1"/>
      <c r="C777" s="1"/>
      <c r="D777" s="1"/>
      <c r="E777" s="202"/>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row>
    <row r="778" spans="1:36" ht="11.25" x14ac:dyDescent="0.2">
      <c r="A778" s="1"/>
      <c r="B778" s="1"/>
      <c r="C778" s="1"/>
      <c r="D778" s="1"/>
      <c r="E778" s="202"/>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row>
    <row r="779" spans="1:36" ht="11.25" x14ac:dyDescent="0.2">
      <c r="A779" s="1"/>
      <c r="B779" s="1"/>
      <c r="C779" s="1"/>
      <c r="D779" s="1"/>
      <c r="E779" s="202"/>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row>
    <row r="780" spans="1:36" ht="11.25" x14ac:dyDescent="0.2">
      <c r="A780" s="1"/>
      <c r="B780" s="1"/>
      <c r="C780" s="1"/>
      <c r="D780" s="1"/>
      <c r="E780" s="202"/>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row>
    <row r="781" spans="1:36" ht="11.25" x14ac:dyDescent="0.2">
      <c r="A781" s="1"/>
      <c r="B781" s="1"/>
      <c r="C781" s="1"/>
      <c r="D781" s="1"/>
      <c r="E781" s="202"/>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row>
    <row r="782" spans="1:36" ht="11.25" x14ac:dyDescent="0.2">
      <c r="A782" s="1"/>
      <c r="B782" s="1"/>
      <c r="C782" s="1"/>
      <c r="D782" s="1"/>
      <c r="E782" s="202"/>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row>
    <row r="783" spans="1:36" ht="11.25" x14ac:dyDescent="0.2">
      <c r="A783" s="1"/>
      <c r="B783" s="1"/>
      <c r="C783" s="1"/>
      <c r="D783" s="1"/>
      <c r="E783" s="202"/>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row>
    <row r="784" spans="1:36" ht="11.25" x14ac:dyDescent="0.2">
      <c r="A784" s="1"/>
      <c r="B784" s="1"/>
      <c r="C784" s="1"/>
      <c r="D784" s="1"/>
      <c r="E784" s="202"/>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row>
    <row r="785" spans="1:36" ht="11.25" x14ac:dyDescent="0.2">
      <c r="A785" s="1"/>
      <c r="B785" s="1"/>
      <c r="C785" s="1"/>
      <c r="D785" s="1"/>
      <c r="E785" s="202"/>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row>
    <row r="786" spans="1:36" ht="11.25" x14ac:dyDescent="0.2">
      <c r="A786" s="1"/>
      <c r="B786" s="1"/>
      <c r="C786" s="1"/>
      <c r="D786" s="1"/>
      <c r="E786" s="202"/>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row>
    <row r="787" spans="1:36" ht="11.25" x14ac:dyDescent="0.2">
      <c r="A787" s="1"/>
      <c r="B787" s="1"/>
      <c r="C787" s="1"/>
      <c r="D787" s="1"/>
      <c r="E787" s="202"/>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row>
    <row r="788" spans="1:36" ht="11.25" x14ac:dyDescent="0.2">
      <c r="A788" s="1"/>
      <c r="B788" s="1"/>
      <c r="C788" s="1"/>
      <c r="D788" s="1"/>
      <c r="E788" s="202"/>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row>
    <row r="789" spans="1:36" ht="11.25" x14ac:dyDescent="0.2">
      <c r="A789" s="1"/>
      <c r="B789" s="1"/>
      <c r="C789" s="1"/>
      <c r="D789" s="1"/>
      <c r="E789" s="202"/>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row>
    <row r="790" spans="1:36" ht="11.25" x14ac:dyDescent="0.2">
      <c r="A790" s="1"/>
      <c r="B790" s="1"/>
      <c r="C790" s="1"/>
      <c r="D790" s="1"/>
      <c r="E790" s="202"/>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row>
    <row r="791" spans="1:36" ht="11.25" x14ac:dyDescent="0.2">
      <c r="A791" s="1"/>
      <c r="B791" s="1"/>
      <c r="C791" s="1"/>
      <c r="D791" s="1"/>
      <c r="E791" s="202"/>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row>
    <row r="792" spans="1:36" ht="11.25" x14ac:dyDescent="0.2">
      <c r="A792" s="1"/>
      <c r="B792" s="1"/>
      <c r="C792" s="1"/>
      <c r="D792" s="1"/>
      <c r="E792" s="202"/>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row>
    <row r="793" spans="1:36" ht="11.25" x14ac:dyDescent="0.2">
      <c r="A793" s="1"/>
      <c r="B793" s="1"/>
      <c r="C793" s="1"/>
      <c r="D793" s="1"/>
      <c r="E793" s="202"/>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row>
    <row r="794" spans="1:36" ht="11.25" x14ac:dyDescent="0.2">
      <c r="A794" s="1"/>
      <c r="B794" s="1"/>
      <c r="C794" s="1"/>
      <c r="D794" s="1"/>
      <c r="E794" s="202"/>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row>
    <row r="795" spans="1:36" ht="11.25" x14ac:dyDescent="0.2">
      <c r="A795" s="1"/>
      <c r="B795" s="1"/>
      <c r="C795" s="1"/>
      <c r="D795" s="1"/>
      <c r="E795" s="202"/>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row>
    <row r="796" spans="1:36" ht="11.25" x14ac:dyDescent="0.2">
      <c r="A796" s="1"/>
      <c r="B796" s="1"/>
      <c r="C796" s="1"/>
      <c r="D796" s="1"/>
      <c r="E796" s="202"/>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row>
    <row r="797" spans="1:36" ht="11.25" x14ac:dyDescent="0.2">
      <c r="A797" s="1"/>
      <c r="B797" s="1"/>
      <c r="C797" s="1"/>
      <c r="D797" s="1"/>
      <c r="E797" s="202"/>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row>
    <row r="798" spans="1:36" ht="11.25" x14ac:dyDescent="0.2">
      <c r="A798" s="1"/>
      <c r="B798" s="1"/>
      <c r="C798" s="1"/>
      <c r="D798" s="1"/>
      <c r="E798" s="202"/>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row>
    <row r="799" spans="1:36" ht="11.25" x14ac:dyDescent="0.2">
      <c r="A799" s="1"/>
      <c r="B799" s="1"/>
      <c r="C799" s="1"/>
      <c r="D799" s="1"/>
      <c r="E799" s="202"/>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row>
    <row r="800" spans="1:36" ht="11.25" x14ac:dyDescent="0.2">
      <c r="A800" s="1"/>
      <c r="B800" s="1"/>
      <c r="C800" s="1"/>
      <c r="D800" s="1"/>
      <c r="E800" s="202"/>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row>
    <row r="801" spans="1:36" ht="11.25" x14ac:dyDescent="0.2">
      <c r="A801" s="1"/>
      <c r="B801" s="1"/>
      <c r="C801" s="1"/>
      <c r="D801" s="1"/>
      <c r="E801" s="202"/>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row>
    <row r="802" spans="1:36" ht="11.25" x14ac:dyDescent="0.2">
      <c r="A802" s="1"/>
      <c r="B802" s="1"/>
      <c r="C802" s="1"/>
      <c r="D802" s="1"/>
      <c r="E802" s="202"/>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row>
    <row r="803" spans="1:36" ht="11.25" x14ac:dyDescent="0.2">
      <c r="A803" s="1"/>
      <c r="B803" s="1"/>
      <c r="C803" s="1"/>
      <c r="D803" s="1"/>
      <c r="E803" s="202"/>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row>
    <row r="804" spans="1:36" ht="11.25" x14ac:dyDescent="0.2">
      <c r="A804" s="1"/>
      <c r="B804" s="1"/>
      <c r="C804" s="1"/>
      <c r="D804" s="1"/>
      <c r="E804" s="202"/>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row>
    <row r="805" spans="1:36" ht="11.25" x14ac:dyDescent="0.2">
      <c r="A805" s="1"/>
      <c r="B805" s="1"/>
      <c r="C805" s="1"/>
      <c r="D805" s="1"/>
      <c r="E805" s="202"/>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row>
    <row r="806" spans="1:36" ht="11.25" x14ac:dyDescent="0.2">
      <c r="A806" s="1"/>
      <c r="B806" s="1"/>
      <c r="C806" s="1"/>
      <c r="D806" s="1"/>
      <c r="E806" s="202"/>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row>
    <row r="807" spans="1:36" ht="11.25" x14ac:dyDescent="0.2">
      <c r="A807" s="1"/>
      <c r="B807" s="1"/>
      <c r="C807" s="1"/>
      <c r="D807" s="1"/>
      <c r="E807" s="202"/>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row>
    <row r="808" spans="1:36" ht="11.25" x14ac:dyDescent="0.2">
      <c r="A808" s="1"/>
      <c r="B808" s="1"/>
      <c r="C808" s="1"/>
      <c r="D808" s="1"/>
      <c r="E808" s="202"/>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row>
    <row r="809" spans="1:36" ht="11.25" x14ac:dyDescent="0.2">
      <c r="A809" s="1"/>
      <c r="B809" s="1"/>
      <c r="C809" s="1"/>
      <c r="D809" s="1"/>
      <c r="E809" s="202"/>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row>
    <row r="810" spans="1:36" ht="11.25" x14ac:dyDescent="0.2">
      <c r="A810" s="1"/>
      <c r="B810" s="1"/>
      <c r="C810" s="1"/>
      <c r="D810" s="1"/>
      <c r="E810" s="202"/>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row>
    <row r="811" spans="1:36" ht="11.25" x14ac:dyDescent="0.2">
      <c r="A811" s="1"/>
      <c r="B811" s="1"/>
      <c r="C811" s="1"/>
      <c r="D811" s="1"/>
      <c r="E811" s="202"/>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row>
    <row r="812" spans="1:36" ht="11.25" x14ac:dyDescent="0.2">
      <c r="A812" s="1"/>
      <c r="B812" s="1"/>
      <c r="C812" s="1"/>
      <c r="D812" s="1"/>
      <c r="E812" s="202"/>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row>
    <row r="813" spans="1:36" ht="11.25" x14ac:dyDescent="0.2">
      <c r="A813" s="1"/>
      <c r="B813" s="1"/>
      <c r="C813" s="1"/>
      <c r="D813" s="1"/>
      <c r="E813" s="202"/>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row>
    <row r="814" spans="1:36" ht="11.25" x14ac:dyDescent="0.2">
      <c r="A814" s="1"/>
      <c r="B814" s="1"/>
      <c r="C814" s="1"/>
      <c r="D814" s="1"/>
      <c r="E814" s="202"/>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row>
    <row r="815" spans="1:36" ht="11.25" x14ac:dyDescent="0.2">
      <c r="A815" s="1"/>
      <c r="B815" s="1"/>
      <c r="C815" s="1"/>
      <c r="D815" s="1"/>
      <c r="E815" s="202"/>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row>
    <row r="816" spans="1:36" ht="11.25" x14ac:dyDescent="0.2">
      <c r="A816" s="1"/>
      <c r="B816" s="1"/>
      <c r="C816" s="1"/>
      <c r="D816" s="1"/>
      <c r="E816" s="202"/>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row>
    <row r="817" spans="1:36" ht="11.25" x14ac:dyDescent="0.2">
      <c r="A817" s="1"/>
      <c r="B817" s="1"/>
      <c r="C817" s="1"/>
      <c r="D817" s="1"/>
      <c r="E817" s="202"/>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row>
    <row r="818" spans="1:36" ht="11.25" x14ac:dyDescent="0.2">
      <c r="A818" s="1"/>
      <c r="B818" s="1"/>
      <c r="C818" s="1"/>
      <c r="D818" s="1"/>
      <c r="E818" s="202"/>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row>
    <row r="819" spans="1:36" ht="11.25" x14ac:dyDescent="0.2">
      <c r="A819" s="1"/>
      <c r="B819" s="1"/>
      <c r="C819" s="1"/>
      <c r="D819" s="1"/>
      <c r="E819" s="202"/>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row>
    <row r="820" spans="1:36" ht="11.25" x14ac:dyDescent="0.2">
      <c r="A820" s="1"/>
      <c r="B820" s="1"/>
      <c r="C820" s="1"/>
      <c r="D820" s="1"/>
      <c r="E820" s="202"/>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row>
    <row r="821" spans="1:36" ht="11.25" x14ac:dyDescent="0.2">
      <c r="A821" s="1"/>
      <c r="B821" s="1"/>
      <c r="C821" s="1"/>
      <c r="D821" s="1"/>
      <c r="E821" s="202"/>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row>
    <row r="822" spans="1:36" ht="11.25" x14ac:dyDescent="0.2">
      <c r="A822" s="1"/>
      <c r="B822" s="1"/>
      <c r="C822" s="1"/>
      <c r="D822" s="1"/>
      <c r="E822" s="202"/>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row>
    <row r="823" spans="1:36" ht="11.25" x14ac:dyDescent="0.2">
      <c r="A823" s="1"/>
      <c r="B823" s="1"/>
      <c r="C823" s="1"/>
      <c r="D823" s="1"/>
      <c r="E823" s="202"/>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row>
    <row r="824" spans="1:36" ht="11.25" x14ac:dyDescent="0.2">
      <c r="A824" s="1"/>
      <c r="B824" s="1"/>
      <c r="C824" s="1"/>
      <c r="D824" s="1"/>
      <c r="E824" s="202"/>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row>
    <row r="825" spans="1:36" ht="11.25" x14ac:dyDescent="0.2">
      <c r="A825" s="1"/>
      <c r="B825" s="1"/>
      <c r="C825" s="1"/>
      <c r="D825" s="1"/>
      <c r="E825" s="202"/>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row>
    <row r="826" spans="1:36" ht="11.25" x14ac:dyDescent="0.2">
      <c r="A826" s="1"/>
      <c r="B826" s="1"/>
      <c r="C826" s="1"/>
      <c r="D826" s="1"/>
      <c r="E826" s="202"/>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row>
    <row r="827" spans="1:36" ht="11.25" x14ac:dyDescent="0.2">
      <c r="A827" s="1"/>
      <c r="B827" s="1"/>
      <c r="C827" s="1"/>
      <c r="D827" s="1"/>
      <c r="E827" s="202"/>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row>
    <row r="828" spans="1:36" ht="11.25" x14ac:dyDescent="0.2">
      <c r="A828" s="1"/>
      <c r="B828" s="1"/>
      <c r="C828" s="1"/>
      <c r="D828" s="1"/>
      <c r="E828" s="202"/>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row>
    <row r="829" spans="1:36" ht="11.25" x14ac:dyDescent="0.2">
      <c r="A829" s="1"/>
      <c r="B829" s="1"/>
      <c r="C829" s="1"/>
      <c r="D829" s="1"/>
      <c r="E829" s="202"/>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row>
    <row r="830" spans="1:36" ht="11.25" x14ac:dyDescent="0.2">
      <c r="A830" s="1"/>
      <c r="B830" s="1"/>
      <c r="C830" s="1"/>
      <c r="D830" s="1"/>
      <c r="E830" s="202"/>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row>
    <row r="831" spans="1:36" ht="11.25" x14ac:dyDescent="0.2">
      <c r="A831" s="1"/>
      <c r="B831" s="1"/>
      <c r="C831" s="1"/>
      <c r="D831" s="1"/>
      <c r="E831" s="202"/>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row>
    <row r="832" spans="1:36" ht="11.25" x14ac:dyDescent="0.2">
      <c r="A832" s="1"/>
      <c r="B832" s="1"/>
      <c r="C832" s="1"/>
      <c r="D832" s="1"/>
      <c r="E832" s="202"/>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row>
    <row r="833" spans="1:36" ht="11.25" x14ac:dyDescent="0.2">
      <c r="A833" s="1"/>
      <c r="B833" s="1"/>
      <c r="C833" s="1"/>
      <c r="D833" s="1"/>
      <c r="E833" s="202"/>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row>
    <row r="834" spans="1:36" ht="11.25" x14ac:dyDescent="0.2">
      <c r="A834" s="1"/>
      <c r="B834" s="1"/>
      <c r="C834" s="1"/>
      <c r="D834" s="1"/>
      <c r="E834" s="202"/>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row>
    <row r="835" spans="1:36" ht="11.25" x14ac:dyDescent="0.2">
      <c r="A835" s="1"/>
      <c r="B835" s="1"/>
      <c r="C835" s="1"/>
      <c r="D835" s="1"/>
      <c r="E835" s="202"/>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row>
    <row r="836" spans="1:36" ht="11.25" x14ac:dyDescent="0.2">
      <c r="A836" s="1"/>
      <c r="B836" s="1"/>
      <c r="C836" s="1"/>
      <c r="D836" s="1"/>
      <c r="E836" s="202"/>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row>
    <row r="837" spans="1:36" ht="11.25" x14ac:dyDescent="0.2">
      <c r="A837" s="1"/>
      <c r="B837" s="1"/>
      <c r="C837" s="1"/>
      <c r="D837" s="1"/>
      <c r="E837" s="202"/>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row>
    <row r="838" spans="1:36" ht="11.25" x14ac:dyDescent="0.2">
      <c r="A838" s="1"/>
      <c r="B838" s="1"/>
      <c r="C838" s="1"/>
      <c r="D838" s="1"/>
      <c r="E838" s="202"/>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row>
    <row r="839" spans="1:36" ht="11.25" x14ac:dyDescent="0.2">
      <c r="A839" s="1"/>
      <c r="B839" s="1"/>
      <c r="C839" s="1"/>
      <c r="D839" s="1"/>
      <c r="E839" s="202"/>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row>
    <row r="840" spans="1:36" ht="11.25" x14ac:dyDescent="0.2">
      <c r="A840" s="1"/>
      <c r="B840" s="1"/>
      <c r="C840" s="1"/>
      <c r="D840" s="1"/>
      <c r="E840" s="202"/>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row>
    <row r="841" spans="1:36" ht="11.25" x14ac:dyDescent="0.2">
      <c r="A841" s="1"/>
      <c r="B841" s="1"/>
      <c r="C841" s="1"/>
      <c r="D841" s="1"/>
      <c r="E841" s="202"/>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row>
    <row r="842" spans="1:36" ht="11.25" x14ac:dyDescent="0.2">
      <c r="A842" s="1"/>
      <c r="B842" s="1"/>
      <c r="C842" s="1"/>
      <c r="D842" s="1"/>
      <c r="E842" s="202"/>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row>
    <row r="843" spans="1:36" ht="11.25" x14ac:dyDescent="0.2">
      <c r="A843" s="1"/>
      <c r="B843" s="1"/>
      <c r="C843" s="1"/>
      <c r="D843" s="1"/>
      <c r="E843" s="202"/>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row>
    <row r="844" spans="1:36" ht="11.25" x14ac:dyDescent="0.2">
      <c r="A844" s="1"/>
      <c r="B844" s="1"/>
      <c r="C844" s="1"/>
      <c r="D844" s="1"/>
      <c r="E844" s="202"/>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row>
    <row r="845" spans="1:36" ht="11.25" x14ac:dyDescent="0.2">
      <c r="A845" s="1"/>
      <c r="B845" s="1"/>
      <c r="C845" s="1"/>
      <c r="D845" s="1"/>
      <c r="E845" s="202"/>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row>
    <row r="846" spans="1:36" ht="11.25" x14ac:dyDescent="0.2">
      <c r="A846" s="1"/>
      <c r="B846" s="1"/>
      <c r="C846" s="1"/>
      <c r="D846" s="1"/>
      <c r="E846" s="202"/>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row>
    <row r="847" spans="1:36" ht="11.25" x14ac:dyDescent="0.2">
      <c r="A847" s="1"/>
      <c r="B847" s="1"/>
      <c r="C847" s="1"/>
      <c r="D847" s="1"/>
      <c r="E847" s="202"/>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row>
    <row r="848" spans="1:36" ht="11.25" x14ac:dyDescent="0.2">
      <c r="A848" s="1"/>
      <c r="B848" s="1"/>
      <c r="C848" s="1"/>
      <c r="D848" s="1"/>
      <c r="E848" s="202"/>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row>
    <row r="849" spans="1:36" ht="11.25" x14ac:dyDescent="0.2">
      <c r="A849" s="1"/>
      <c r="B849" s="1"/>
      <c r="C849" s="1"/>
      <c r="D849" s="1"/>
      <c r="E849" s="202"/>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row>
    <row r="850" spans="1:36" ht="11.25" x14ac:dyDescent="0.2">
      <c r="A850" s="1"/>
      <c r="B850" s="1"/>
      <c r="C850" s="1"/>
      <c r="D850" s="1"/>
      <c r="E850" s="202"/>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row>
    <row r="851" spans="1:36" ht="11.25" x14ac:dyDescent="0.2">
      <c r="A851" s="1"/>
      <c r="B851" s="1"/>
      <c r="C851" s="1"/>
      <c r="D851" s="1"/>
      <c r="E851" s="202"/>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row>
    <row r="852" spans="1:36" ht="11.25" x14ac:dyDescent="0.2">
      <c r="A852" s="1"/>
      <c r="B852" s="1"/>
      <c r="C852" s="1"/>
      <c r="D852" s="1"/>
      <c r="E852" s="202"/>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row>
    <row r="853" spans="1:36" ht="11.25" x14ac:dyDescent="0.2">
      <c r="A853" s="1"/>
      <c r="B853" s="1"/>
      <c r="C853" s="1"/>
      <c r="D853" s="1"/>
      <c r="E853" s="202"/>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row>
    <row r="854" spans="1:36" ht="11.25" x14ac:dyDescent="0.2">
      <c r="A854" s="1"/>
      <c r="B854" s="1"/>
      <c r="C854" s="1"/>
      <c r="D854" s="1"/>
      <c r="E854" s="202"/>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row>
    <row r="855" spans="1:36" ht="11.25" x14ac:dyDescent="0.2">
      <c r="A855" s="1"/>
      <c r="B855" s="1"/>
      <c r="C855" s="1"/>
      <c r="D855" s="1"/>
      <c r="E855" s="202"/>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row>
    <row r="856" spans="1:36" ht="11.25" x14ac:dyDescent="0.2">
      <c r="A856" s="1"/>
      <c r="B856" s="1"/>
      <c r="C856" s="1"/>
      <c r="D856" s="1"/>
      <c r="E856" s="202"/>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row>
    <row r="857" spans="1:36" ht="11.25" x14ac:dyDescent="0.2">
      <c r="A857" s="1"/>
      <c r="B857" s="1"/>
      <c r="C857" s="1"/>
      <c r="D857" s="1"/>
      <c r="E857" s="202"/>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row>
    <row r="858" spans="1:36" ht="11.25" x14ac:dyDescent="0.2">
      <c r="A858" s="1"/>
      <c r="B858" s="1"/>
      <c r="C858" s="1"/>
      <c r="D858" s="1"/>
      <c r="E858" s="202"/>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row>
    <row r="859" spans="1:36" ht="11.25" x14ac:dyDescent="0.2">
      <c r="A859" s="1"/>
      <c r="B859" s="1"/>
      <c r="C859" s="1"/>
      <c r="D859" s="1"/>
      <c r="E859" s="202"/>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row>
    <row r="860" spans="1:36" ht="11.25" x14ac:dyDescent="0.2">
      <c r="A860" s="1"/>
      <c r="B860" s="1"/>
      <c r="C860" s="1"/>
      <c r="D860" s="1"/>
      <c r="E860" s="202"/>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row>
    <row r="861" spans="1:36" ht="11.25" x14ac:dyDescent="0.2">
      <c r="A861" s="1"/>
      <c r="B861" s="1"/>
      <c r="C861" s="1"/>
      <c r="D861" s="1"/>
      <c r="E861" s="202"/>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row>
    <row r="862" spans="1:36" ht="11.25" x14ac:dyDescent="0.2">
      <c r="A862" s="1"/>
      <c r="B862" s="1"/>
      <c r="C862" s="1"/>
      <c r="D862" s="1"/>
      <c r="E862" s="202"/>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row>
    <row r="863" spans="1:36" ht="11.25" x14ac:dyDescent="0.2">
      <c r="A863" s="1"/>
      <c r="B863" s="1"/>
      <c r="C863" s="1"/>
      <c r="D863" s="1"/>
      <c r="E863" s="202"/>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row>
    <row r="864" spans="1:36" ht="11.25" x14ac:dyDescent="0.2">
      <c r="A864" s="1"/>
      <c r="B864" s="1"/>
      <c r="C864" s="1"/>
      <c r="D864" s="1"/>
      <c r="E864" s="202"/>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row>
    <row r="865" spans="1:36" ht="11.25" x14ac:dyDescent="0.2">
      <c r="A865" s="1"/>
      <c r="B865" s="1"/>
      <c r="C865" s="1"/>
      <c r="D865" s="1"/>
      <c r="E865" s="202"/>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row>
    <row r="866" spans="1:36" ht="11.25" x14ac:dyDescent="0.2">
      <c r="A866" s="1"/>
      <c r="B866" s="1"/>
      <c r="C866" s="1"/>
      <c r="D866" s="1"/>
      <c r="E866" s="202"/>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row>
    <row r="867" spans="1:36" ht="11.25" x14ac:dyDescent="0.2">
      <c r="A867" s="1"/>
      <c r="B867" s="1"/>
      <c r="C867" s="1"/>
      <c r="D867" s="1"/>
      <c r="E867" s="202"/>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row>
    <row r="868" spans="1:36" ht="11.25" x14ac:dyDescent="0.2">
      <c r="A868" s="1"/>
      <c r="B868" s="1"/>
      <c r="C868" s="1"/>
      <c r="D868" s="1"/>
      <c r="E868" s="202"/>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row>
    <row r="869" spans="1:36" ht="11.25" x14ac:dyDescent="0.2">
      <c r="A869" s="1"/>
      <c r="B869" s="1"/>
      <c r="C869" s="1"/>
      <c r="D869" s="1"/>
      <c r="E869" s="202"/>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row>
    <row r="870" spans="1:36" ht="11.25" x14ac:dyDescent="0.2">
      <c r="A870" s="1"/>
      <c r="B870" s="1"/>
      <c r="C870" s="1"/>
      <c r="D870" s="1"/>
      <c r="E870" s="202"/>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row>
    <row r="871" spans="1:36" ht="11.25" x14ac:dyDescent="0.2">
      <c r="A871" s="1"/>
      <c r="B871" s="1"/>
      <c r="C871" s="1"/>
      <c r="D871" s="1"/>
      <c r="E871" s="202"/>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row>
    <row r="872" spans="1:36" ht="11.25" x14ac:dyDescent="0.2">
      <c r="A872" s="1"/>
      <c r="B872" s="1"/>
      <c r="C872" s="1"/>
      <c r="D872" s="1"/>
      <c r="E872" s="202"/>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row>
    <row r="873" spans="1:36" ht="11.25" x14ac:dyDescent="0.2">
      <c r="A873" s="1"/>
      <c r="B873" s="1"/>
      <c r="C873" s="1"/>
      <c r="D873" s="1"/>
      <c r="E873" s="202"/>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row>
    <row r="874" spans="1:36" ht="11.25" x14ac:dyDescent="0.2">
      <c r="A874" s="1"/>
      <c r="B874" s="1"/>
      <c r="C874" s="1"/>
      <c r="D874" s="1"/>
      <c r="E874" s="202"/>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row>
    <row r="875" spans="1:36" ht="11.25" x14ac:dyDescent="0.2">
      <c r="A875" s="1"/>
      <c r="B875" s="1"/>
      <c r="C875" s="1"/>
      <c r="D875" s="1"/>
      <c r="E875" s="202"/>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row>
    <row r="876" spans="1:36" ht="11.25" x14ac:dyDescent="0.2">
      <c r="A876" s="1"/>
      <c r="B876" s="1"/>
      <c r="C876" s="1"/>
      <c r="D876" s="1"/>
      <c r="E876" s="202"/>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row>
    <row r="877" spans="1:36" ht="11.25" x14ac:dyDescent="0.2">
      <c r="A877" s="1"/>
      <c r="B877" s="1"/>
      <c r="C877" s="1"/>
      <c r="D877" s="1"/>
      <c r="E877" s="202"/>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row>
    <row r="878" spans="1:36" ht="11.25" x14ac:dyDescent="0.2">
      <c r="A878" s="1"/>
      <c r="B878" s="1"/>
      <c r="C878" s="1"/>
      <c r="D878" s="1"/>
      <c r="E878" s="202"/>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row>
    <row r="879" spans="1:36" ht="11.25" x14ac:dyDescent="0.2">
      <c r="A879" s="1"/>
      <c r="B879" s="1"/>
      <c r="C879" s="1"/>
      <c r="D879" s="1"/>
      <c r="E879" s="202"/>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row>
    <row r="880" spans="1:36" ht="11.25" x14ac:dyDescent="0.2">
      <c r="A880" s="1"/>
      <c r="B880" s="1"/>
      <c r="C880" s="1"/>
      <c r="D880" s="1"/>
      <c r="E880" s="202"/>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row>
    <row r="881" spans="1:36" ht="11.25" x14ac:dyDescent="0.2">
      <c r="A881" s="1"/>
      <c r="B881" s="1"/>
      <c r="C881" s="1"/>
      <c r="D881" s="1"/>
      <c r="E881" s="202"/>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row>
    <row r="882" spans="1:36" ht="11.25" x14ac:dyDescent="0.2">
      <c r="A882" s="1"/>
      <c r="B882" s="1"/>
      <c r="C882" s="1"/>
      <c r="D882" s="1"/>
      <c r="E882" s="202"/>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row>
    <row r="883" spans="1:36" ht="11.25" x14ac:dyDescent="0.2">
      <c r="A883" s="1"/>
      <c r="B883" s="1"/>
      <c r="C883" s="1"/>
      <c r="D883" s="1"/>
      <c r="E883" s="202"/>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row>
    <row r="884" spans="1:36" ht="11.25" x14ac:dyDescent="0.2">
      <c r="A884" s="1"/>
      <c r="B884" s="1"/>
      <c r="C884" s="1"/>
      <c r="D884" s="1"/>
      <c r="E884" s="202"/>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row>
    <row r="885" spans="1:36" ht="11.25" x14ac:dyDescent="0.2">
      <c r="A885" s="1"/>
      <c r="B885" s="1"/>
      <c r="C885" s="1"/>
      <c r="D885" s="1"/>
      <c r="E885" s="202"/>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row>
    <row r="886" spans="1:36" ht="11.25" x14ac:dyDescent="0.2">
      <c r="A886" s="1"/>
      <c r="B886" s="1"/>
      <c r="C886" s="1"/>
      <c r="D886" s="1"/>
      <c r="E886" s="202"/>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row>
    <row r="887" spans="1:36" ht="11.25" x14ac:dyDescent="0.2">
      <c r="A887" s="1"/>
      <c r="B887" s="1"/>
      <c r="C887" s="1"/>
      <c r="D887" s="1"/>
      <c r="E887" s="202"/>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row>
    <row r="888" spans="1:36" ht="11.25" x14ac:dyDescent="0.2">
      <c r="A888" s="1"/>
      <c r="B888" s="1"/>
      <c r="C888" s="1"/>
      <c r="D888" s="1"/>
      <c r="E888" s="202"/>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row>
    <row r="889" spans="1:36" ht="11.25" x14ac:dyDescent="0.2">
      <c r="A889" s="1"/>
      <c r="B889" s="1"/>
      <c r="C889" s="1"/>
      <c r="D889" s="1"/>
      <c r="E889" s="202"/>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row>
    <row r="890" spans="1:36" ht="11.25" x14ac:dyDescent="0.2">
      <c r="A890" s="1"/>
      <c r="B890" s="1"/>
      <c r="C890" s="1"/>
      <c r="D890" s="1"/>
      <c r="E890" s="202"/>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row>
    <row r="891" spans="1:36" ht="11.25" x14ac:dyDescent="0.2">
      <c r="A891" s="1"/>
      <c r="B891" s="1"/>
      <c r="C891" s="1"/>
      <c r="D891" s="1"/>
      <c r="E891" s="202"/>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row>
    <row r="892" spans="1:36" ht="11.25" x14ac:dyDescent="0.2">
      <c r="A892" s="1"/>
      <c r="B892" s="1"/>
      <c r="C892" s="1"/>
      <c r="D892" s="1"/>
      <c r="E892" s="202"/>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row>
    <row r="893" spans="1:36" ht="11.25" x14ac:dyDescent="0.2">
      <c r="A893" s="1"/>
      <c r="B893" s="1"/>
      <c r="C893" s="1"/>
      <c r="D893" s="1"/>
      <c r="E893" s="202"/>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row>
    <row r="894" spans="1:36" ht="11.25" x14ac:dyDescent="0.2">
      <c r="A894" s="1"/>
      <c r="B894" s="1"/>
      <c r="C894" s="1"/>
      <c r="D894" s="1"/>
      <c r="E894" s="202"/>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row>
    <row r="895" spans="1:36" ht="11.25" x14ac:dyDescent="0.2">
      <c r="A895" s="1"/>
      <c r="B895" s="1"/>
      <c r="C895" s="1"/>
      <c r="D895" s="1"/>
      <c r="E895" s="202"/>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row>
    <row r="896" spans="1:36" ht="11.25" x14ac:dyDescent="0.2">
      <c r="A896" s="1"/>
      <c r="B896" s="1"/>
      <c r="C896" s="1"/>
      <c r="D896" s="1"/>
      <c r="E896" s="202"/>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row>
    <row r="897" spans="1:36" ht="11.25" x14ac:dyDescent="0.2">
      <c r="A897" s="1"/>
      <c r="B897" s="1"/>
      <c r="C897" s="1"/>
      <c r="D897" s="1"/>
      <c r="E897" s="202"/>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row>
    <row r="898" spans="1:36" ht="11.25" x14ac:dyDescent="0.2">
      <c r="A898" s="1"/>
      <c r="B898" s="1"/>
      <c r="C898" s="1"/>
      <c r="D898" s="1"/>
      <c r="E898" s="202"/>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row>
    <row r="899" spans="1:36" ht="11.25" x14ac:dyDescent="0.2">
      <c r="A899" s="1"/>
      <c r="B899" s="1"/>
      <c r="C899" s="1"/>
      <c r="D899" s="1"/>
      <c r="E899" s="202"/>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row>
    <row r="900" spans="1:36" ht="11.25" x14ac:dyDescent="0.2">
      <c r="A900" s="1"/>
      <c r="B900" s="1"/>
      <c r="C900" s="1"/>
      <c r="D900" s="1"/>
      <c r="E900" s="202"/>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row>
    <row r="901" spans="1:36" ht="11.25" x14ac:dyDescent="0.2">
      <c r="A901" s="1"/>
      <c r="B901" s="1"/>
      <c r="C901" s="1"/>
      <c r="D901" s="1"/>
      <c r="E901" s="202"/>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row>
    <row r="902" spans="1:36" ht="11.25" x14ac:dyDescent="0.2">
      <c r="A902" s="1"/>
      <c r="B902" s="1"/>
      <c r="C902" s="1"/>
      <c r="D902" s="1"/>
      <c r="E902" s="202"/>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row>
    <row r="903" spans="1:36" ht="11.25" x14ac:dyDescent="0.2">
      <c r="A903" s="1"/>
      <c r="B903" s="1"/>
      <c r="C903" s="1"/>
      <c r="D903" s="1"/>
      <c r="E903" s="202"/>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row>
    <row r="904" spans="1:36" ht="11.25" x14ac:dyDescent="0.2">
      <c r="A904" s="1"/>
      <c r="B904" s="1"/>
      <c r="C904" s="1"/>
      <c r="D904" s="1"/>
      <c r="E904" s="202"/>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row>
    <row r="905" spans="1:36" ht="11.25" x14ac:dyDescent="0.2">
      <c r="A905" s="1"/>
      <c r="B905" s="1"/>
      <c r="C905" s="1"/>
      <c r="D905" s="1"/>
      <c r="E905" s="202"/>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row>
    <row r="906" spans="1:36" ht="11.25" x14ac:dyDescent="0.2">
      <c r="A906" s="1"/>
      <c r="B906" s="1"/>
      <c r="C906" s="1"/>
      <c r="D906" s="1"/>
      <c r="E906" s="202"/>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row>
    <row r="907" spans="1:36" ht="11.25" x14ac:dyDescent="0.2">
      <c r="A907" s="1"/>
      <c r="B907" s="1"/>
      <c r="C907" s="1"/>
      <c r="D907" s="1"/>
      <c r="E907" s="202"/>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row>
    <row r="908" spans="1:36" ht="11.25" x14ac:dyDescent="0.2">
      <c r="A908" s="1"/>
      <c r="B908" s="1"/>
      <c r="C908" s="1"/>
      <c r="D908" s="1"/>
      <c r="E908" s="202"/>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row>
    <row r="909" spans="1:36" ht="11.25" x14ac:dyDescent="0.2">
      <c r="A909" s="1"/>
      <c r="B909" s="1"/>
      <c r="C909" s="1"/>
      <c r="D909" s="1"/>
      <c r="E909" s="202"/>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row>
    <row r="910" spans="1:36" ht="11.25" x14ac:dyDescent="0.2">
      <c r="A910" s="1"/>
      <c r="B910" s="1"/>
      <c r="C910" s="1"/>
      <c r="D910" s="1"/>
      <c r="E910" s="202"/>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row>
    <row r="911" spans="1:36" ht="11.25" x14ac:dyDescent="0.2">
      <c r="A911" s="1"/>
      <c r="B911" s="1"/>
      <c r="C911" s="1"/>
      <c r="D911" s="1"/>
      <c r="E911" s="202"/>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row>
    <row r="912" spans="1:36" ht="11.25" x14ac:dyDescent="0.2">
      <c r="A912" s="1"/>
      <c r="B912" s="1"/>
      <c r="C912" s="1"/>
      <c r="D912" s="1"/>
      <c r="E912" s="202"/>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row>
    <row r="913" spans="1:36" ht="11.25" x14ac:dyDescent="0.2">
      <c r="A913" s="1"/>
      <c r="B913" s="1"/>
      <c r="C913" s="1"/>
      <c r="D913" s="1"/>
      <c r="E913" s="202"/>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row>
    <row r="914" spans="1:36" ht="11.25" x14ac:dyDescent="0.2">
      <c r="A914" s="1"/>
      <c r="B914" s="1"/>
      <c r="C914" s="1"/>
      <c r="D914" s="1"/>
      <c r="E914" s="202"/>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row>
    <row r="915" spans="1:36" ht="11.25" x14ac:dyDescent="0.2">
      <c r="A915" s="1"/>
      <c r="B915" s="1"/>
      <c r="C915" s="1"/>
      <c r="D915" s="1"/>
      <c r="E915" s="202"/>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row>
    <row r="916" spans="1:36" ht="11.25" x14ac:dyDescent="0.2">
      <c r="A916" s="1"/>
      <c r="B916" s="1"/>
      <c r="C916" s="1"/>
      <c r="D916" s="1"/>
      <c r="E916" s="202"/>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row>
    <row r="917" spans="1:36" ht="11.25" x14ac:dyDescent="0.2">
      <c r="A917" s="1"/>
      <c r="B917" s="1"/>
      <c r="C917" s="1"/>
      <c r="D917" s="1"/>
      <c r="E917" s="202"/>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row>
    <row r="918" spans="1:36" ht="11.25" x14ac:dyDescent="0.2">
      <c r="A918" s="1"/>
      <c r="B918" s="1"/>
      <c r="C918" s="1"/>
      <c r="D918" s="1"/>
      <c r="E918" s="202"/>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row>
    <row r="919" spans="1:36" ht="11.25" x14ac:dyDescent="0.2">
      <c r="A919" s="1"/>
      <c r="B919" s="1"/>
      <c r="C919" s="1"/>
      <c r="D919" s="1"/>
      <c r="E919" s="202"/>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row>
    <row r="920" spans="1:36" ht="11.25" x14ac:dyDescent="0.2">
      <c r="A920" s="1"/>
      <c r="B920" s="1"/>
      <c r="C920" s="1"/>
      <c r="D920" s="1"/>
      <c r="E920" s="202"/>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row>
    <row r="921" spans="1:36" ht="11.25" x14ac:dyDescent="0.2">
      <c r="A921" s="1"/>
      <c r="B921" s="1"/>
      <c r="C921" s="1"/>
      <c r="D921" s="1"/>
      <c r="E921" s="202"/>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row>
    <row r="922" spans="1:36" ht="11.25" x14ac:dyDescent="0.2">
      <c r="A922" s="1"/>
      <c r="B922" s="1"/>
      <c r="C922" s="1"/>
      <c r="D922" s="1"/>
      <c r="E922" s="202"/>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row>
    <row r="923" spans="1:36" ht="11.25" x14ac:dyDescent="0.2">
      <c r="A923" s="1"/>
      <c r="B923" s="1"/>
      <c r="C923" s="1"/>
      <c r="D923" s="1"/>
      <c r="E923" s="202"/>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row>
    <row r="924" spans="1:36" ht="11.25" x14ac:dyDescent="0.2">
      <c r="A924" s="1"/>
      <c r="B924" s="1"/>
      <c r="C924" s="1"/>
      <c r="D924" s="1"/>
      <c r="E924" s="202"/>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row>
    <row r="925" spans="1:36" ht="11.25" x14ac:dyDescent="0.2">
      <c r="A925" s="1"/>
      <c r="B925" s="1"/>
      <c r="C925" s="1"/>
      <c r="D925" s="1"/>
      <c r="E925" s="202"/>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row>
    <row r="926" spans="1:36" ht="11.25" x14ac:dyDescent="0.2">
      <c r="A926" s="1"/>
      <c r="B926" s="1"/>
      <c r="C926" s="1"/>
      <c r="D926" s="1"/>
      <c r="E926" s="202"/>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row>
    <row r="927" spans="1:36" ht="11.25" x14ac:dyDescent="0.2">
      <c r="A927" s="1"/>
      <c r="B927" s="1"/>
      <c r="C927" s="1"/>
      <c r="D927" s="1"/>
      <c r="E927" s="202"/>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row>
    <row r="928" spans="1:36" ht="11.25" x14ac:dyDescent="0.2">
      <c r="A928" s="1"/>
      <c r="B928" s="1"/>
      <c r="C928" s="1"/>
      <c r="D928" s="1"/>
      <c r="E928" s="202"/>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row>
    <row r="929" spans="1:36" ht="11.25" x14ac:dyDescent="0.2">
      <c r="A929" s="1"/>
      <c r="B929" s="1"/>
      <c r="C929" s="1"/>
      <c r="D929" s="1"/>
      <c r="E929" s="202"/>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row>
    <row r="930" spans="1:36" ht="11.25" x14ac:dyDescent="0.2">
      <c r="A930" s="1"/>
      <c r="B930" s="1"/>
      <c r="C930" s="1"/>
      <c r="D930" s="1"/>
      <c r="E930" s="202"/>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row>
    <row r="931" spans="1:36" ht="11.25" x14ac:dyDescent="0.2">
      <c r="A931" s="1"/>
      <c r="B931" s="1"/>
      <c r="C931" s="1"/>
      <c r="D931" s="1"/>
      <c r="E931" s="202"/>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row>
    <row r="932" spans="1:36" ht="11.25" x14ac:dyDescent="0.2">
      <c r="A932" s="1"/>
      <c r="B932" s="1"/>
      <c r="C932" s="1"/>
      <c r="D932" s="1"/>
      <c r="E932" s="202"/>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row>
    <row r="933" spans="1:36" ht="11.25" x14ac:dyDescent="0.2">
      <c r="A933" s="1"/>
      <c r="B933" s="1"/>
      <c r="C933" s="1"/>
      <c r="D933" s="1"/>
      <c r="E933" s="202"/>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row>
    <row r="934" spans="1:36" ht="11.25" x14ac:dyDescent="0.2">
      <c r="A934" s="1"/>
      <c r="B934" s="1"/>
      <c r="C934" s="1"/>
      <c r="D934" s="1"/>
      <c r="E934" s="202"/>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row>
    <row r="935" spans="1:36" ht="11.25" x14ac:dyDescent="0.2">
      <c r="A935" s="1"/>
      <c r="B935" s="1"/>
      <c r="C935" s="1"/>
      <c r="D935" s="1"/>
      <c r="E935" s="202"/>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row>
    <row r="936" spans="1:36" ht="11.25" x14ac:dyDescent="0.2">
      <c r="A936" s="1"/>
      <c r="B936" s="1"/>
      <c r="C936" s="1"/>
      <c r="D936" s="1"/>
      <c r="E936" s="202"/>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row>
    <row r="937" spans="1:36" ht="11.25" x14ac:dyDescent="0.2">
      <c r="A937" s="1"/>
      <c r="B937" s="1"/>
      <c r="C937" s="1"/>
      <c r="D937" s="1"/>
      <c r="E937" s="202"/>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row>
    <row r="938" spans="1:36" ht="11.25" x14ac:dyDescent="0.2">
      <c r="A938" s="1"/>
      <c r="B938" s="1"/>
      <c r="C938" s="1"/>
      <c r="D938" s="1"/>
      <c r="E938" s="202"/>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row>
    <row r="939" spans="1:36" ht="11.25" x14ac:dyDescent="0.2">
      <c r="A939" s="1"/>
      <c r="B939" s="1"/>
      <c r="C939" s="1"/>
      <c r="D939" s="1"/>
      <c r="E939" s="202"/>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row>
    <row r="940" spans="1:36" ht="11.25" x14ac:dyDescent="0.2">
      <c r="A940" s="1"/>
      <c r="B940" s="1"/>
      <c r="C940" s="1"/>
      <c r="D940" s="1"/>
      <c r="E940" s="202"/>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row>
    <row r="941" spans="1:36" ht="11.25" x14ac:dyDescent="0.2">
      <c r="A941" s="1"/>
      <c r="B941" s="1"/>
      <c r="C941" s="1"/>
      <c r="D941" s="1"/>
      <c r="E941" s="202"/>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row>
    <row r="942" spans="1:36" ht="11.25" x14ac:dyDescent="0.2">
      <c r="A942" s="1"/>
      <c r="B942" s="1"/>
      <c r="C942" s="1"/>
      <c r="D942" s="1"/>
      <c r="E942" s="202"/>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row>
    <row r="943" spans="1:36" ht="11.25" x14ac:dyDescent="0.2">
      <c r="A943" s="1"/>
      <c r="B943" s="1"/>
      <c r="C943" s="1"/>
      <c r="D943" s="1"/>
      <c r="E943" s="202"/>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row>
    <row r="944" spans="1:36" ht="11.25" x14ac:dyDescent="0.2">
      <c r="A944" s="1"/>
      <c r="B944" s="1"/>
      <c r="C944" s="1"/>
      <c r="D944" s="1"/>
      <c r="E944" s="202"/>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row>
    <row r="945" spans="1:36" ht="11.25" x14ac:dyDescent="0.2">
      <c r="A945" s="1"/>
      <c r="B945" s="1"/>
      <c r="C945" s="1"/>
      <c r="D945" s="1"/>
      <c r="E945" s="202"/>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row>
    <row r="946" spans="1:36" ht="11.25" x14ac:dyDescent="0.2">
      <c r="A946" s="1"/>
      <c r="B946" s="1"/>
      <c r="C946" s="1"/>
      <c r="D946" s="1"/>
      <c r="E946" s="202"/>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row>
    <row r="947" spans="1:36" ht="11.25" x14ac:dyDescent="0.2">
      <c r="A947" s="1"/>
      <c r="B947" s="1"/>
      <c r="C947" s="1"/>
      <c r="D947" s="1"/>
      <c r="E947" s="202"/>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row>
    <row r="948" spans="1:36" ht="11.25" x14ac:dyDescent="0.2">
      <c r="A948" s="1"/>
      <c r="B948" s="1"/>
      <c r="C948" s="1"/>
      <c r="D948" s="1"/>
      <c r="E948" s="202"/>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row>
    <row r="949" spans="1:36" ht="11.25" x14ac:dyDescent="0.2">
      <c r="A949" s="1"/>
      <c r="B949" s="1"/>
      <c r="C949" s="1"/>
      <c r="D949" s="1"/>
      <c r="E949" s="202"/>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row>
    <row r="950" spans="1:36" ht="11.25" x14ac:dyDescent="0.2">
      <c r="A950" s="1"/>
      <c r="B950" s="1"/>
      <c r="C950" s="1"/>
      <c r="D950" s="1"/>
      <c r="E950" s="202"/>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row>
    <row r="951" spans="1:36" ht="11.25" x14ac:dyDescent="0.2">
      <c r="A951" s="1"/>
      <c r="B951" s="1"/>
      <c r="C951" s="1"/>
      <c r="D951" s="1"/>
      <c r="E951" s="202"/>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row>
    <row r="952" spans="1:36" ht="11.25" x14ac:dyDescent="0.2">
      <c r="A952" s="1"/>
      <c r="B952" s="1"/>
      <c r="C952" s="1"/>
      <c r="D952" s="1"/>
      <c r="E952" s="202"/>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row>
    <row r="953" spans="1:36" ht="11.25" x14ac:dyDescent="0.2">
      <c r="A953" s="1"/>
      <c r="B953" s="1"/>
      <c r="C953" s="1"/>
      <c r="D953" s="1"/>
      <c r="E953" s="202"/>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row>
    <row r="954" spans="1:36" ht="11.25" x14ac:dyDescent="0.2">
      <c r="A954" s="1"/>
      <c r="B954" s="1"/>
      <c r="C954" s="1"/>
      <c r="D954" s="1"/>
      <c r="E954" s="202"/>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row>
    <row r="955" spans="1:36" ht="11.25" x14ac:dyDescent="0.2">
      <c r="A955" s="1"/>
      <c r="B955" s="1"/>
      <c r="C955" s="1"/>
      <c r="D955" s="1"/>
      <c r="E955" s="202"/>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row>
    <row r="956" spans="1:36" ht="11.25" x14ac:dyDescent="0.2">
      <c r="A956" s="1"/>
      <c r="B956" s="1"/>
      <c r="C956" s="1"/>
      <c r="D956" s="1"/>
      <c r="E956" s="202"/>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row>
    <row r="957" spans="1:36" ht="11.25" x14ac:dyDescent="0.2">
      <c r="A957" s="1"/>
      <c r="B957" s="1"/>
      <c r="C957" s="1"/>
      <c r="D957" s="1"/>
      <c r="E957" s="202"/>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row>
    <row r="958" spans="1:36" ht="11.25" x14ac:dyDescent="0.2">
      <c r="A958" s="1"/>
      <c r="B958" s="1"/>
      <c r="C958" s="1"/>
      <c r="D958" s="1"/>
      <c r="E958" s="202"/>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row>
    <row r="959" spans="1:36" ht="11.25" x14ac:dyDescent="0.2">
      <c r="A959" s="1"/>
      <c r="B959" s="1"/>
      <c r="C959" s="1"/>
      <c r="D959" s="1"/>
      <c r="E959" s="202"/>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row>
    <row r="960" spans="1:36" ht="11.25" x14ac:dyDescent="0.2">
      <c r="A960" s="1"/>
      <c r="B960" s="1"/>
      <c r="C960" s="1"/>
      <c r="D960" s="1"/>
      <c r="E960" s="202"/>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row>
    <row r="961" spans="1:36" ht="11.25" x14ac:dyDescent="0.2">
      <c r="A961" s="1"/>
      <c r="B961" s="1"/>
      <c r="C961" s="1"/>
      <c r="D961" s="1"/>
      <c r="E961" s="202"/>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row>
    <row r="962" spans="1:36" ht="11.25" x14ac:dyDescent="0.2">
      <c r="A962" s="1"/>
      <c r="B962" s="1"/>
      <c r="C962" s="1"/>
      <c r="D962" s="1"/>
      <c r="E962" s="202"/>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row>
    <row r="963" spans="1:36" ht="11.25" x14ac:dyDescent="0.2">
      <c r="A963" s="1"/>
      <c r="B963" s="1"/>
      <c r="C963" s="1"/>
      <c r="D963" s="1"/>
      <c r="E963" s="202"/>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row>
    <row r="964" spans="1:36" ht="11.25" x14ac:dyDescent="0.2">
      <c r="A964" s="1"/>
      <c r="B964" s="1"/>
      <c r="C964" s="1"/>
      <c r="D964" s="1"/>
      <c r="E964" s="202"/>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row>
    <row r="965" spans="1:36" ht="11.25" x14ac:dyDescent="0.2">
      <c r="A965" s="1"/>
      <c r="B965" s="1"/>
      <c r="C965" s="1"/>
      <c r="D965" s="1"/>
      <c r="E965" s="202"/>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row>
    <row r="966" spans="1:36" ht="11.25" x14ac:dyDescent="0.2">
      <c r="A966" s="1"/>
      <c r="B966" s="1"/>
      <c r="C966" s="1"/>
      <c r="D966" s="1"/>
      <c r="E966" s="202"/>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row>
    <row r="967" spans="1:36" ht="11.25" x14ac:dyDescent="0.2">
      <c r="A967" s="1"/>
      <c r="B967" s="1"/>
      <c r="C967" s="1"/>
      <c r="D967" s="1"/>
      <c r="E967" s="202"/>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row>
    <row r="968" spans="1:36" ht="11.25" x14ac:dyDescent="0.2">
      <c r="A968" s="1"/>
      <c r="B968" s="1"/>
      <c r="C968" s="1"/>
      <c r="D968" s="1"/>
      <c r="E968" s="202"/>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row>
    <row r="969" spans="1:36" ht="11.25" x14ac:dyDescent="0.2">
      <c r="A969" s="1"/>
      <c r="B969" s="1"/>
      <c r="C969" s="1"/>
      <c r="D969" s="1"/>
      <c r="E969" s="202"/>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row>
    <row r="970" spans="1:36" ht="11.25" x14ac:dyDescent="0.2">
      <c r="A970" s="1"/>
      <c r="B970" s="1"/>
      <c r="C970" s="1"/>
      <c r="D970" s="1"/>
      <c r="E970" s="202"/>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row>
    <row r="971" spans="1:36" ht="11.25" x14ac:dyDescent="0.2">
      <c r="A971" s="1"/>
      <c r="B971" s="1"/>
      <c r="C971" s="1"/>
      <c r="D971" s="1"/>
      <c r="E971" s="202"/>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row>
    <row r="972" spans="1:36" ht="11.25" x14ac:dyDescent="0.2">
      <c r="A972" s="1"/>
      <c r="B972" s="1"/>
      <c r="C972" s="1"/>
      <c r="D972" s="1"/>
      <c r="E972" s="202"/>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row>
    <row r="973" spans="1:36" ht="11.25" x14ac:dyDescent="0.2">
      <c r="A973" s="1"/>
      <c r="B973" s="1"/>
      <c r="C973" s="1"/>
      <c r="D973" s="1"/>
      <c r="E973" s="202"/>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row>
    <row r="974" spans="1:36" ht="11.25" x14ac:dyDescent="0.2">
      <c r="A974" s="1"/>
      <c r="B974" s="1"/>
      <c r="C974" s="1"/>
      <c r="D974" s="1"/>
      <c r="E974" s="202"/>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row>
    <row r="975" spans="1:36" ht="11.25" x14ac:dyDescent="0.2">
      <c r="A975" s="1"/>
      <c r="B975" s="1"/>
      <c r="C975" s="1"/>
      <c r="D975" s="1"/>
      <c r="E975" s="202"/>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row>
    <row r="976" spans="1:36" ht="11.25" x14ac:dyDescent="0.2">
      <c r="A976" s="1"/>
      <c r="B976" s="1"/>
      <c r="C976" s="1"/>
      <c r="D976" s="1"/>
      <c r="E976" s="202"/>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row>
    <row r="977" spans="1:36" ht="11.25" x14ac:dyDescent="0.2">
      <c r="A977" s="1"/>
      <c r="B977" s="1"/>
      <c r="C977" s="1"/>
      <c r="D977" s="1"/>
      <c r="E977" s="202"/>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row>
    <row r="978" spans="1:36" ht="11.25" x14ac:dyDescent="0.2">
      <c r="A978" s="1"/>
      <c r="B978" s="1"/>
      <c r="C978" s="1"/>
      <c r="D978" s="1"/>
      <c r="E978" s="202"/>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row>
    <row r="979" spans="1:36" ht="11.25" x14ac:dyDescent="0.2">
      <c r="A979" s="1"/>
      <c r="B979" s="1"/>
      <c r="C979" s="1"/>
      <c r="D979" s="1"/>
      <c r="E979" s="202"/>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row>
    <row r="980" spans="1:36" ht="11.25" x14ac:dyDescent="0.2">
      <c r="A980" s="1"/>
      <c r="B980" s="1"/>
      <c r="C980" s="1"/>
      <c r="D980" s="1"/>
      <c r="E980" s="202"/>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row>
    <row r="981" spans="1:36" ht="11.25" x14ac:dyDescent="0.2">
      <c r="A981" s="1"/>
      <c r="B981" s="1"/>
      <c r="C981" s="1"/>
      <c r="D981" s="1"/>
      <c r="E981" s="202"/>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row>
    <row r="982" spans="1:36" ht="11.25" x14ac:dyDescent="0.2">
      <c r="A982" s="1"/>
      <c r="B982" s="1"/>
      <c r="C982" s="1"/>
      <c r="D982" s="1"/>
      <c r="E982" s="202"/>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row>
    <row r="983" spans="1:36" ht="11.25" x14ac:dyDescent="0.2">
      <c r="A983" s="1"/>
      <c r="B983" s="1"/>
      <c r="C983" s="1"/>
      <c r="D983" s="1"/>
      <c r="E983" s="202"/>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row>
    <row r="984" spans="1:36" ht="11.25" x14ac:dyDescent="0.2">
      <c r="A984" s="1"/>
      <c r="B984" s="1"/>
      <c r="C984" s="1"/>
      <c r="D984" s="1"/>
      <c r="E984" s="202"/>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row>
    <row r="985" spans="1:36" ht="11.25" x14ac:dyDescent="0.2">
      <c r="A985" s="1"/>
      <c r="B985" s="1"/>
      <c r="C985" s="1"/>
      <c r="D985" s="1"/>
      <c r="E985" s="202"/>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row>
    <row r="986" spans="1:36" ht="11.25" x14ac:dyDescent="0.2">
      <c r="A986" s="1"/>
      <c r="B986" s="1"/>
      <c r="C986" s="1"/>
      <c r="D986" s="1"/>
      <c r="E986" s="202"/>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row>
    <row r="987" spans="1:36" ht="11.25" x14ac:dyDescent="0.2">
      <c r="A987" s="1"/>
      <c r="B987" s="1"/>
      <c r="C987" s="1"/>
      <c r="D987" s="1"/>
      <c r="E987" s="202"/>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row>
    <row r="988" spans="1:36" ht="11.25" x14ac:dyDescent="0.2">
      <c r="A988" s="1"/>
      <c r="B988" s="1"/>
      <c r="C988" s="1"/>
      <c r="D988" s="1"/>
      <c r="E988" s="202"/>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row>
    <row r="989" spans="1:36" ht="11.25" x14ac:dyDescent="0.2">
      <c r="A989" s="1"/>
      <c r="B989" s="1"/>
      <c r="C989" s="1"/>
      <c r="D989" s="1"/>
      <c r="E989" s="202"/>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row>
    <row r="990" spans="1:36" ht="11.25" x14ac:dyDescent="0.2">
      <c r="A990" s="1"/>
      <c r="B990" s="1"/>
      <c r="C990" s="1"/>
      <c r="D990" s="1"/>
      <c r="E990" s="202"/>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row>
    <row r="991" spans="1:36" ht="11.25" x14ac:dyDescent="0.2">
      <c r="A991" s="1"/>
      <c r="B991" s="1"/>
      <c r="C991" s="1"/>
      <c r="D991" s="1"/>
      <c r="E991" s="202"/>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row>
    <row r="992" spans="1:36" ht="11.25" x14ac:dyDescent="0.2">
      <c r="A992" s="1"/>
      <c r="B992" s="1"/>
      <c r="C992" s="1"/>
      <c r="D992" s="1"/>
      <c r="E992" s="202"/>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row>
    <row r="993" spans="1:36" ht="11.25" x14ac:dyDescent="0.2">
      <c r="A993" s="1"/>
      <c r="B993" s="1"/>
      <c r="C993" s="1"/>
      <c r="D993" s="1"/>
      <c r="E993" s="202"/>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row>
    <row r="994" spans="1:36" ht="11.25" x14ac:dyDescent="0.2">
      <c r="A994" s="1"/>
      <c r="B994" s="1"/>
      <c r="C994" s="1"/>
      <c r="D994" s="1"/>
      <c r="E994" s="202"/>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row>
    <row r="995" spans="1:36" ht="11.25" x14ac:dyDescent="0.2">
      <c r="A995" s="1"/>
      <c r="B995" s="1"/>
      <c r="C995" s="1"/>
      <c r="D995" s="1"/>
      <c r="E995" s="202"/>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row>
    <row r="996" spans="1:36" ht="15.75" customHeight="1" x14ac:dyDescent="0.2">
      <c r="A996" s="1"/>
      <c r="B996" s="1"/>
      <c r="C996" s="1"/>
      <c r="D996" s="1"/>
      <c r="E996" s="202"/>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row>
    <row r="997" spans="1:36" ht="15.75" customHeight="1" x14ac:dyDescent="0.2">
      <c r="A997" s="1"/>
      <c r="B997" s="1"/>
      <c r="C997" s="1"/>
      <c r="D997" s="1"/>
      <c r="E997" s="202"/>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row>
    <row r="998" spans="1:36" ht="15.75" customHeight="1" x14ac:dyDescent="0.2">
      <c r="A998" s="1"/>
      <c r="B998" s="1"/>
      <c r="C998" s="1"/>
      <c r="D998" s="1"/>
      <c r="E998" s="202"/>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row>
    <row r="999" spans="1:36" ht="15.75" customHeight="1" x14ac:dyDescent="0.2">
      <c r="A999" s="1"/>
      <c r="B999" s="1"/>
      <c r="C999" s="1"/>
      <c r="D999" s="1"/>
      <c r="E999" s="202"/>
      <c r="F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row>
    <row r="1000" spans="1:36" ht="15.75" customHeight="1" x14ac:dyDescent="0.2">
      <c r="A1000" s="1"/>
      <c r="B1000" s="1"/>
      <c r="C1000" s="1"/>
      <c r="D1000" s="1"/>
      <c r="E1000" s="202"/>
      <c r="F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row>
  </sheetData>
  <mergeCells count="7">
    <mergeCell ref="B170:C170"/>
    <mergeCell ref="B182:C182"/>
    <mergeCell ref="D2:E2"/>
    <mergeCell ref="D8:E8"/>
    <mergeCell ref="B9:C9"/>
    <mergeCell ref="B10:C10"/>
    <mergeCell ref="B168:C168"/>
  </mergeCells>
  <printOptions gridLines="1"/>
  <pageMargins left="0.25" right="0.26" top="0.17" bottom="0.2" header="0" footer="0"/>
  <pageSetup orientation="portrait"/>
  <rowBreaks count="4" manualBreakCount="4">
    <brk id="129" man="1"/>
    <brk id="183" man="1"/>
    <brk id="92" man="1"/>
    <brk id="46" man="1"/>
  </rowBreaks>
  <ignoredErrors>
    <ignoredError sqref="D17:D25 D35:D175" formula="1"/>
  </ignoredErrors>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I1000"/>
  <sheetViews>
    <sheetView showGridLines="0" workbookViewId="0">
      <pane ySplit="10" topLeftCell="A11" activePane="bottomLeft" state="frozen"/>
      <selection pane="bottomLeft" activeCell="A11" sqref="A11"/>
    </sheetView>
  </sheetViews>
  <sheetFormatPr defaultColWidth="16.83203125" defaultRowHeight="15" customHeight="1" x14ac:dyDescent="0.2"/>
  <cols>
    <col min="1" max="1" width="3.5" customWidth="1"/>
    <col min="2" max="2" width="14.6640625" customWidth="1"/>
    <col min="3" max="3" width="42.1640625" customWidth="1"/>
    <col min="4" max="4" width="35.83203125" customWidth="1"/>
    <col min="5" max="5" width="32" customWidth="1"/>
    <col min="6" max="6" width="16.1640625" customWidth="1"/>
    <col min="7" max="7" width="13.5" customWidth="1"/>
    <col min="8" max="8" width="16.83203125" customWidth="1"/>
    <col min="9" max="9" width="14.6640625" customWidth="1"/>
    <col min="10" max="10" width="15.33203125" customWidth="1"/>
    <col min="11" max="11" width="22.5" customWidth="1"/>
    <col min="12" max="15" width="15.5" customWidth="1"/>
    <col min="16" max="16" width="14.6640625" customWidth="1"/>
    <col min="17" max="17" width="21.33203125" customWidth="1"/>
    <col min="18" max="35" width="14.6640625" customWidth="1"/>
  </cols>
  <sheetData>
    <row r="1" spans="1:35" ht="12.75" x14ac:dyDescent="0.2">
      <c r="A1" s="3"/>
      <c r="B1" s="6"/>
      <c r="C1" s="3"/>
      <c r="D1" s="3"/>
      <c r="E1" s="3"/>
      <c r="F1" s="3"/>
      <c r="G1" s="3"/>
      <c r="H1" s="8"/>
      <c r="I1" s="8"/>
      <c r="J1" s="3"/>
      <c r="K1" s="3"/>
      <c r="L1" s="3"/>
      <c r="M1" s="3"/>
      <c r="N1" s="3"/>
      <c r="O1" s="3"/>
      <c r="P1" s="3"/>
      <c r="Q1" s="3"/>
      <c r="R1" s="3"/>
      <c r="S1" s="3"/>
      <c r="T1" s="3"/>
      <c r="U1" s="3"/>
      <c r="V1" s="3"/>
      <c r="W1" s="3"/>
      <c r="X1" s="3"/>
      <c r="Y1" s="3"/>
      <c r="Z1" s="3"/>
      <c r="AA1" s="3"/>
      <c r="AB1" s="3"/>
      <c r="AC1" s="3"/>
      <c r="AD1" s="3"/>
      <c r="AE1" s="3"/>
      <c r="AF1" s="3"/>
      <c r="AG1" s="3"/>
      <c r="AH1" s="3"/>
      <c r="AI1" s="3"/>
    </row>
    <row r="2" spans="1:35" ht="15.75" x14ac:dyDescent="0.25">
      <c r="A2" s="3"/>
      <c r="B2" s="11" t="s">
        <v>2</v>
      </c>
      <c r="C2" s="3"/>
      <c r="D2" s="3"/>
      <c r="E2" s="6" t="s">
        <v>4</v>
      </c>
      <c r="F2" s="2016" t="s">
        <v>5</v>
      </c>
      <c r="G2" s="2017"/>
      <c r="H2" s="2009"/>
      <c r="I2" s="2016" t="s">
        <v>8</v>
      </c>
      <c r="J2" s="2017"/>
      <c r="K2" s="2009"/>
      <c r="L2" s="3"/>
      <c r="M2" s="3"/>
      <c r="N2" s="3"/>
      <c r="O2" s="3"/>
      <c r="P2" s="3"/>
      <c r="Q2" s="3"/>
      <c r="R2" s="3"/>
      <c r="S2" s="3"/>
      <c r="T2" s="3"/>
      <c r="U2" s="3"/>
      <c r="V2" s="3"/>
      <c r="W2" s="3"/>
      <c r="X2" s="3"/>
      <c r="Y2" s="3"/>
      <c r="Z2" s="3"/>
      <c r="AA2" s="3"/>
      <c r="AB2" s="3"/>
      <c r="AC2" s="3"/>
      <c r="AD2" s="3"/>
      <c r="AE2" s="3"/>
      <c r="AF2" s="3"/>
      <c r="AG2" s="3"/>
      <c r="AH2" s="3"/>
      <c r="AI2" s="3"/>
    </row>
    <row r="3" spans="1:35" ht="12.75" x14ac:dyDescent="0.2">
      <c r="A3" s="3"/>
      <c r="B3" s="6"/>
      <c r="C3" s="3"/>
      <c r="D3" s="3"/>
      <c r="E3" s="3" t="s">
        <v>11</v>
      </c>
      <c r="F3" s="19" t="s">
        <v>10</v>
      </c>
      <c r="G3" s="19" t="s">
        <v>13</v>
      </c>
      <c r="H3" s="19" t="s">
        <v>14</v>
      </c>
      <c r="I3" s="19" t="s">
        <v>10</v>
      </c>
      <c r="J3" s="20" t="s">
        <v>13</v>
      </c>
      <c r="K3" s="20" t="s">
        <v>14</v>
      </c>
      <c r="L3" s="21"/>
      <c r="M3" s="21"/>
      <c r="N3" s="21"/>
      <c r="O3" s="3"/>
      <c r="P3" s="3"/>
      <c r="Q3" s="3"/>
      <c r="R3" s="3"/>
      <c r="S3" s="3"/>
      <c r="T3" s="3"/>
      <c r="U3" s="3"/>
      <c r="V3" s="3"/>
      <c r="W3" s="3"/>
      <c r="X3" s="3"/>
      <c r="Y3" s="3"/>
      <c r="Z3" s="3"/>
      <c r="AA3" s="3"/>
      <c r="AB3" s="3"/>
      <c r="AC3" s="3"/>
      <c r="AD3" s="3"/>
      <c r="AE3" s="3"/>
      <c r="AF3" s="3"/>
      <c r="AG3" s="3"/>
      <c r="AH3" s="3"/>
      <c r="AI3" s="3"/>
    </row>
    <row r="4" spans="1:35" ht="12.75" x14ac:dyDescent="0.2">
      <c r="A4" s="3"/>
      <c r="B4" s="6" t="s">
        <v>17</v>
      </c>
      <c r="C4" s="3"/>
      <c r="D4" s="3"/>
      <c r="E4" s="25" t="s">
        <v>18</v>
      </c>
      <c r="F4" s="26">
        <v>93.28</v>
      </c>
      <c r="G4" s="26">
        <v>1.0999999999999999E-2</v>
      </c>
      <c r="H4" s="26">
        <v>1.6000000000000001E-3</v>
      </c>
      <c r="I4" s="26">
        <v>205.6</v>
      </c>
      <c r="J4" s="26">
        <v>2.4299999999999999E-2</v>
      </c>
      <c r="K4" s="26">
        <v>3.5300000000000002E-3</v>
      </c>
      <c r="L4" s="21"/>
      <c r="M4" s="21"/>
      <c r="N4" s="21"/>
      <c r="O4" s="3"/>
      <c r="P4" s="3"/>
      <c r="Q4" s="3"/>
      <c r="R4" s="3"/>
      <c r="S4" s="3"/>
      <c r="T4" s="3"/>
      <c r="U4" s="3"/>
      <c r="V4" s="3"/>
      <c r="W4" s="3"/>
      <c r="X4" s="3"/>
      <c r="Y4" s="3"/>
      <c r="Z4" s="3"/>
      <c r="AA4" s="3"/>
      <c r="AB4" s="3"/>
      <c r="AC4" s="3"/>
      <c r="AD4" s="3"/>
      <c r="AE4" s="3"/>
      <c r="AF4" s="3"/>
      <c r="AG4" s="3"/>
      <c r="AH4" s="3"/>
      <c r="AI4" s="3"/>
    </row>
    <row r="5" spans="1:35" ht="12.75" x14ac:dyDescent="0.2">
      <c r="A5" s="3"/>
      <c r="B5" s="28"/>
      <c r="C5" s="3" t="s">
        <v>23</v>
      </c>
      <c r="D5" s="29"/>
      <c r="E5" s="30" t="s">
        <v>24</v>
      </c>
      <c r="F5" s="26">
        <v>97.17</v>
      </c>
      <c r="G5" s="26">
        <v>1.0999999999999999E-2</v>
      </c>
      <c r="H5" s="26">
        <v>1.6000000000000001E-3</v>
      </c>
      <c r="I5" s="26">
        <v>214.2</v>
      </c>
      <c r="J5" s="26">
        <v>2.4299999999999999E-2</v>
      </c>
      <c r="K5" s="26">
        <v>3.5300000000000002E-3</v>
      </c>
      <c r="L5" s="21"/>
      <c r="M5" s="21" t="s">
        <v>25</v>
      </c>
      <c r="N5" s="21" t="s">
        <v>26</v>
      </c>
      <c r="O5" s="29"/>
      <c r="P5" s="29"/>
      <c r="Q5" s="29"/>
      <c r="R5" s="3"/>
      <c r="S5" s="3"/>
      <c r="T5" s="3"/>
      <c r="U5" s="3"/>
      <c r="V5" s="3"/>
      <c r="W5" s="3"/>
      <c r="X5" s="3"/>
      <c r="Y5" s="3"/>
      <c r="Z5" s="3"/>
      <c r="AA5" s="3"/>
      <c r="AB5" s="3"/>
      <c r="AC5" s="3"/>
      <c r="AD5" s="3"/>
      <c r="AE5" s="3"/>
      <c r="AF5" s="3"/>
      <c r="AG5" s="3"/>
      <c r="AH5" s="3"/>
      <c r="AI5" s="3"/>
    </row>
    <row r="6" spans="1:35" ht="12.75" x14ac:dyDescent="0.2">
      <c r="A6" s="3"/>
      <c r="B6" s="33"/>
      <c r="C6" s="3" t="s">
        <v>28</v>
      </c>
      <c r="D6" s="29"/>
      <c r="E6" s="25" t="s">
        <v>29</v>
      </c>
      <c r="F6" s="34">
        <v>53.06</v>
      </c>
      <c r="G6" s="34">
        <v>1E-3</v>
      </c>
      <c r="H6" s="34">
        <v>1E-4</v>
      </c>
      <c r="I6" s="34">
        <v>117</v>
      </c>
      <c r="J6" s="34">
        <v>2.2000000000000001E-3</v>
      </c>
      <c r="K6" s="34">
        <v>2.2000000000000001E-4</v>
      </c>
      <c r="L6" s="3"/>
      <c r="M6" s="25" t="s">
        <v>10</v>
      </c>
      <c r="N6" s="38">
        <v>22600</v>
      </c>
      <c r="O6" s="29"/>
      <c r="P6" s="29"/>
      <c r="Q6" s="29"/>
      <c r="R6" s="3"/>
      <c r="S6" s="3"/>
      <c r="T6" s="3"/>
      <c r="U6" s="3"/>
      <c r="V6" s="3"/>
      <c r="W6" s="3"/>
      <c r="X6" s="3"/>
      <c r="Y6" s="3"/>
      <c r="Z6" s="3"/>
      <c r="AA6" s="3"/>
      <c r="AB6" s="3"/>
      <c r="AC6" s="3"/>
      <c r="AD6" s="3"/>
      <c r="AE6" s="3"/>
      <c r="AF6" s="3"/>
      <c r="AG6" s="3"/>
      <c r="AH6" s="3"/>
      <c r="AI6" s="3"/>
    </row>
    <row r="7" spans="1:35" ht="12.75" x14ac:dyDescent="0.2">
      <c r="A7" s="3"/>
      <c r="B7" s="40"/>
      <c r="C7" s="3" t="s">
        <v>37</v>
      </c>
      <c r="D7" s="29"/>
      <c r="E7" s="25" t="s">
        <v>38</v>
      </c>
      <c r="F7" s="34">
        <v>73.959999999999994</v>
      </c>
      <c r="G7" s="34">
        <v>3.0000000000000001E-3</v>
      </c>
      <c r="H7" s="34">
        <v>5.9999999999999995E-4</v>
      </c>
      <c r="I7" s="34">
        <v>163.1</v>
      </c>
      <c r="J7" s="34">
        <v>6.6E-3</v>
      </c>
      <c r="K7" s="34">
        <v>1.32E-3</v>
      </c>
      <c r="L7" s="3"/>
      <c r="M7" s="25" t="s">
        <v>13</v>
      </c>
      <c r="N7" s="34">
        <v>1.1100000000000001</v>
      </c>
      <c r="O7" s="29"/>
      <c r="P7" s="29"/>
      <c r="Q7" s="29"/>
      <c r="R7" s="3"/>
      <c r="S7" s="3"/>
      <c r="T7" s="3"/>
      <c r="U7" s="3"/>
      <c r="V7" s="3"/>
      <c r="W7" s="3"/>
      <c r="X7" s="3"/>
      <c r="Y7" s="3"/>
      <c r="Z7" s="3"/>
      <c r="AA7" s="3"/>
      <c r="AB7" s="3"/>
      <c r="AC7" s="3"/>
      <c r="AD7" s="3"/>
      <c r="AE7" s="3"/>
      <c r="AF7" s="3"/>
      <c r="AG7" s="3"/>
      <c r="AH7" s="3"/>
      <c r="AI7" s="3"/>
    </row>
    <row r="8" spans="1:35" ht="12.75" x14ac:dyDescent="0.2">
      <c r="A8" s="3"/>
      <c r="B8" s="2"/>
      <c r="C8" s="2"/>
      <c r="D8" s="3"/>
      <c r="E8" s="25" t="s">
        <v>41</v>
      </c>
      <c r="F8" s="34">
        <v>75.099999999999994</v>
      </c>
      <c r="G8" s="34">
        <v>3.0000000000000001E-3</v>
      </c>
      <c r="H8" s="34">
        <v>5.9999999999999995E-4</v>
      </c>
      <c r="I8" s="34">
        <v>165.6</v>
      </c>
      <c r="J8" s="34">
        <v>6.6E-3</v>
      </c>
      <c r="K8" s="34">
        <v>1.32E-3</v>
      </c>
      <c r="L8" s="3"/>
      <c r="M8" s="25" t="s">
        <v>14</v>
      </c>
      <c r="N8" s="34">
        <v>0.11</v>
      </c>
      <c r="O8" s="3"/>
      <c r="P8" s="3"/>
      <c r="Q8" s="3"/>
      <c r="R8" s="3"/>
      <c r="S8" s="3"/>
      <c r="T8" s="3"/>
      <c r="U8" s="3"/>
      <c r="V8" s="3"/>
      <c r="W8" s="3"/>
      <c r="X8" s="3"/>
      <c r="Y8" s="3"/>
      <c r="Z8" s="3"/>
      <c r="AA8" s="3"/>
      <c r="AB8" s="3"/>
      <c r="AC8" s="3"/>
      <c r="AD8" s="3"/>
      <c r="AE8" s="3"/>
      <c r="AF8" s="3"/>
      <c r="AG8" s="3"/>
      <c r="AH8" s="3"/>
      <c r="AI8" s="3"/>
    </row>
    <row r="9" spans="1:35" ht="12.75" x14ac:dyDescent="0.2">
      <c r="A9" s="3"/>
      <c r="B9" s="3"/>
      <c r="C9" s="3"/>
      <c r="D9" s="3"/>
      <c r="E9" s="2"/>
      <c r="F9" s="2"/>
      <c r="G9" s="2"/>
      <c r="H9" s="2"/>
      <c r="I9" s="2"/>
      <c r="J9" s="2"/>
      <c r="K9" s="2"/>
      <c r="L9" s="2"/>
      <c r="M9" s="2"/>
      <c r="N9" s="2"/>
      <c r="O9" s="3"/>
      <c r="P9" s="3"/>
      <c r="Q9" s="2"/>
      <c r="R9" s="3"/>
      <c r="S9" s="3"/>
      <c r="T9" s="3"/>
      <c r="U9" s="3"/>
      <c r="V9" s="3"/>
      <c r="W9" s="3"/>
      <c r="X9" s="3"/>
      <c r="Y9" s="3"/>
      <c r="Z9" s="3"/>
      <c r="AA9" s="3"/>
      <c r="AB9" s="3"/>
      <c r="AC9" s="3"/>
      <c r="AD9" s="3"/>
      <c r="AE9" s="3"/>
      <c r="AF9" s="3"/>
      <c r="AG9" s="3"/>
      <c r="AH9" s="3"/>
      <c r="AI9" s="3"/>
    </row>
    <row r="10" spans="1:35" ht="38.25" x14ac:dyDescent="0.2">
      <c r="A10" s="3"/>
      <c r="B10" s="29" t="s">
        <v>45</v>
      </c>
      <c r="C10" s="29" t="s">
        <v>46</v>
      </c>
      <c r="D10" s="29" t="s">
        <v>47</v>
      </c>
      <c r="E10" s="29" t="s">
        <v>48</v>
      </c>
      <c r="F10" s="29" t="s">
        <v>49</v>
      </c>
      <c r="G10" s="29" t="s">
        <v>50</v>
      </c>
      <c r="H10" s="29" t="s">
        <v>51</v>
      </c>
      <c r="I10" s="29" t="s">
        <v>52</v>
      </c>
      <c r="J10" s="29" t="s">
        <v>53</v>
      </c>
      <c r="K10" s="29" t="s">
        <v>54</v>
      </c>
      <c r="L10" s="29" t="s">
        <v>55</v>
      </c>
      <c r="M10" s="29" t="s">
        <v>57</v>
      </c>
      <c r="N10" s="29" t="s">
        <v>58</v>
      </c>
      <c r="O10" s="29" t="s">
        <v>59</v>
      </c>
      <c r="P10" s="3"/>
      <c r="Q10" s="3"/>
      <c r="R10" s="3"/>
      <c r="S10" s="3"/>
      <c r="T10" s="3"/>
      <c r="U10" s="3"/>
      <c r="V10" s="3"/>
      <c r="W10" s="3"/>
      <c r="X10" s="3"/>
      <c r="Y10" s="3"/>
      <c r="Z10" s="3"/>
      <c r="AA10" s="3"/>
      <c r="AB10" s="3"/>
      <c r="AC10" s="3"/>
      <c r="AD10" s="3"/>
      <c r="AE10" s="3"/>
      <c r="AF10" s="3"/>
      <c r="AG10" s="3"/>
      <c r="AH10" s="3"/>
      <c r="AI10" s="3"/>
    </row>
    <row r="11" spans="1:35" ht="12.75" x14ac:dyDescent="0.2">
      <c r="A11" s="3"/>
      <c r="B11" s="3"/>
      <c r="C11" s="6"/>
      <c r="D11" s="6"/>
      <c r="E11" s="6"/>
      <c r="F11" s="6"/>
      <c r="G11" s="6"/>
      <c r="H11" s="6"/>
      <c r="I11" s="6"/>
      <c r="J11" s="6"/>
      <c r="K11" s="6"/>
      <c r="L11" s="6"/>
      <c r="M11" s="6"/>
      <c r="N11" s="6"/>
      <c r="O11" s="6"/>
      <c r="P11" s="3"/>
      <c r="Q11" s="3"/>
      <c r="R11" s="3"/>
      <c r="S11" s="3"/>
      <c r="T11" s="3"/>
      <c r="U11" s="3"/>
      <c r="V11" s="3"/>
      <c r="W11" s="3"/>
      <c r="X11" s="3"/>
      <c r="Y11" s="3"/>
      <c r="Z11" s="3"/>
      <c r="AA11" s="3"/>
      <c r="AB11" s="3"/>
      <c r="AC11" s="3"/>
      <c r="AD11" s="3"/>
      <c r="AE11" s="3"/>
      <c r="AF11" s="3"/>
      <c r="AG11" s="3"/>
      <c r="AH11" s="3"/>
      <c r="AI11" s="3"/>
    </row>
    <row r="12" spans="1:35" ht="12.75" x14ac:dyDescent="0.2">
      <c r="A12" s="3"/>
      <c r="B12" s="50"/>
      <c r="C12" s="52"/>
      <c r="D12" s="52"/>
      <c r="E12" s="52"/>
      <c r="F12" s="52"/>
      <c r="G12" s="52"/>
      <c r="H12" s="52"/>
      <c r="I12" s="52"/>
      <c r="J12" s="52"/>
      <c r="K12" s="52"/>
      <c r="L12" s="52"/>
      <c r="M12" s="55"/>
      <c r="N12" s="52"/>
      <c r="O12" s="56"/>
      <c r="P12" s="3"/>
      <c r="Q12" s="3"/>
      <c r="R12" s="3"/>
      <c r="S12" s="3"/>
      <c r="T12" s="3"/>
      <c r="U12" s="3"/>
      <c r="V12" s="3"/>
      <c r="W12" s="3"/>
      <c r="X12" s="3"/>
      <c r="Y12" s="3"/>
      <c r="Z12" s="3"/>
      <c r="AA12" s="3"/>
      <c r="AB12" s="3"/>
      <c r="AC12" s="3"/>
      <c r="AD12" s="3"/>
      <c r="AE12" s="3"/>
      <c r="AF12" s="3"/>
      <c r="AG12" s="3"/>
      <c r="AH12" s="3"/>
      <c r="AI12" s="3"/>
    </row>
    <row r="13" spans="1:35" ht="12.75" x14ac:dyDescent="0.2">
      <c r="A13" s="3"/>
      <c r="B13" s="59" t="s">
        <v>68</v>
      </c>
      <c r="C13" s="3" t="s">
        <v>69</v>
      </c>
      <c r="D13" s="3" t="s">
        <v>70</v>
      </c>
      <c r="E13" s="3" t="s">
        <v>71</v>
      </c>
      <c r="F13" s="3" t="s">
        <v>72</v>
      </c>
      <c r="G13" s="3" t="s">
        <v>72</v>
      </c>
      <c r="H13" s="60">
        <v>358505</v>
      </c>
      <c r="I13" s="61" t="s">
        <v>73</v>
      </c>
      <c r="J13" s="60">
        <v>10898</v>
      </c>
      <c r="K13" s="61" t="s">
        <v>75</v>
      </c>
      <c r="L13" s="60">
        <v>8357782</v>
      </c>
      <c r="M13" s="66">
        <f>(L13/L15)*M15</f>
        <v>855191.38735756651</v>
      </c>
      <c r="N13" s="70">
        <f>L13/L15*N15</f>
        <v>101.16823904093535</v>
      </c>
      <c r="O13" s="74">
        <f>L13/L15*O15</f>
        <v>14.76617295666512</v>
      </c>
      <c r="P13" s="3"/>
      <c r="Q13" s="3"/>
      <c r="R13" s="3"/>
      <c r="S13" s="3"/>
      <c r="T13" s="3"/>
      <c r="U13" s="3"/>
      <c r="V13" s="3"/>
      <c r="W13" s="3"/>
      <c r="X13" s="3"/>
      <c r="Y13" s="3"/>
      <c r="Z13" s="3"/>
      <c r="AA13" s="3"/>
      <c r="AB13" s="3"/>
      <c r="AC13" s="3"/>
      <c r="AD13" s="3"/>
      <c r="AE13" s="3"/>
      <c r="AF13" s="3"/>
      <c r="AG13" s="3"/>
      <c r="AH13" s="3"/>
      <c r="AI13" s="3"/>
    </row>
    <row r="14" spans="1:35" ht="12.75" x14ac:dyDescent="0.2">
      <c r="A14" s="3"/>
      <c r="B14" s="59"/>
      <c r="C14" s="3"/>
      <c r="D14" s="3" t="s">
        <v>70</v>
      </c>
      <c r="E14" s="3" t="s">
        <v>71</v>
      </c>
      <c r="F14" s="3" t="s">
        <v>78</v>
      </c>
      <c r="G14" s="3" t="s">
        <v>79</v>
      </c>
      <c r="H14" s="60">
        <v>136760</v>
      </c>
      <c r="I14" s="61" t="s">
        <v>81</v>
      </c>
      <c r="J14" s="60">
        <v>140000</v>
      </c>
      <c r="K14" s="61" t="s">
        <v>82</v>
      </c>
      <c r="L14" s="60">
        <f>H14*J14/1000000</f>
        <v>19146.400000000001</v>
      </c>
      <c r="M14" s="66">
        <f>(L14/L15)*M15</f>
        <v>1959.1126424334723</v>
      </c>
      <c r="N14" s="70">
        <f>L14/L15*N15</f>
        <v>0.23176095906466146</v>
      </c>
      <c r="O14" s="74">
        <f>L14/L15*O15</f>
        <v>3.3827043334881554E-2</v>
      </c>
      <c r="P14" s="3"/>
      <c r="Q14" s="2"/>
      <c r="R14" s="3"/>
      <c r="S14" s="3"/>
      <c r="T14" s="3"/>
      <c r="U14" s="3"/>
      <c r="V14" s="3"/>
      <c r="W14" s="3"/>
      <c r="X14" s="3"/>
      <c r="Y14" s="3"/>
      <c r="Z14" s="3"/>
      <c r="AA14" s="3"/>
      <c r="AB14" s="3"/>
      <c r="AC14" s="3"/>
      <c r="AD14" s="3"/>
      <c r="AE14" s="3"/>
      <c r="AF14" s="3"/>
      <c r="AG14" s="3"/>
      <c r="AH14" s="3"/>
      <c r="AI14" s="3"/>
    </row>
    <row r="15" spans="1:35" ht="12.75" x14ac:dyDescent="0.2">
      <c r="A15" s="3"/>
      <c r="B15" s="59"/>
      <c r="C15" s="3"/>
      <c r="D15" s="3" t="s">
        <v>70</v>
      </c>
      <c r="E15" s="3" t="s">
        <v>71</v>
      </c>
      <c r="F15" s="80" t="s">
        <v>85</v>
      </c>
      <c r="G15" s="3"/>
      <c r="H15" s="81"/>
      <c r="I15" s="61"/>
      <c r="J15" s="81"/>
      <c r="K15" s="61"/>
      <c r="L15" s="82">
        <f>L13+L14</f>
        <v>8376928.4000000004</v>
      </c>
      <c r="M15" s="83">
        <v>857150.5</v>
      </c>
      <c r="N15" s="84">
        <v>101.4</v>
      </c>
      <c r="O15" s="85">
        <v>14.8</v>
      </c>
      <c r="P15" s="3"/>
      <c r="Q15" s="3"/>
      <c r="R15" s="3"/>
      <c r="S15" s="3"/>
      <c r="T15" s="3"/>
      <c r="U15" s="3"/>
      <c r="V15" s="3"/>
      <c r="W15" s="3"/>
      <c r="X15" s="3"/>
      <c r="Y15" s="3"/>
      <c r="Z15" s="3"/>
      <c r="AA15" s="3"/>
      <c r="AB15" s="3"/>
      <c r="AC15" s="3"/>
      <c r="AD15" s="3"/>
      <c r="AE15" s="3"/>
      <c r="AF15" s="3"/>
      <c r="AG15" s="3"/>
      <c r="AH15" s="3"/>
      <c r="AI15" s="3"/>
    </row>
    <row r="16" spans="1:35" ht="12.75" x14ac:dyDescent="0.2">
      <c r="A16" s="3"/>
      <c r="B16" s="59"/>
      <c r="C16" s="3"/>
      <c r="D16" s="3"/>
      <c r="E16" s="3"/>
      <c r="F16" s="3"/>
      <c r="G16" s="3"/>
      <c r="H16" s="81"/>
      <c r="I16" s="61"/>
      <c r="J16" s="81"/>
      <c r="K16" s="61"/>
      <c r="L16" s="81"/>
      <c r="M16" s="81"/>
      <c r="N16" s="81"/>
      <c r="O16" s="86"/>
      <c r="P16" s="3"/>
      <c r="Q16" s="3"/>
      <c r="R16" s="3"/>
      <c r="S16" s="3"/>
      <c r="T16" s="3"/>
      <c r="U16" s="3"/>
      <c r="V16" s="3"/>
      <c r="W16" s="3"/>
      <c r="X16" s="3"/>
      <c r="Y16" s="3"/>
      <c r="Z16" s="3"/>
      <c r="AA16" s="3"/>
      <c r="AB16" s="3"/>
      <c r="AC16" s="3"/>
      <c r="AD16" s="3"/>
      <c r="AE16" s="3"/>
      <c r="AF16" s="3"/>
      <c r="AG16" s="3"/>
      <c r="AH16" s="3"/>
      <c r="AI16" s="3"/>
    </row>
    <row r="17" spans="1:35" ht="12.75" x14ac:dyDescent="0.2">
      <c r="A17" s="3"/>
      <c r="B17" s="59"/>
      <c r="C17" s="3"/>
      <c r="D17" s="3" t="s">
        <v>91</v>
      </c>
      <c r="E17" s="3" t="s">
        <v>92</v>
      </c>
      <c r="F17" s="3" t="s">
        <v>78</v>
      </c>
      <c r="G17" s="3" t="s">
        <v>79</v>
      </c>
      <c r="H17" s="60">
        <v>323</v>
      </c>
      <c r="I17" s="61" t="s">
        <v>81</v>
      </c>
      <c r="J17" s="60">
        <v>140000</v>
      </c>
      <c r="K17" s="61" t="s">
        <v>82</v>
      </c>
      <c r="L17" s="60">
        <f>H17*J17/1000000</f>
        <v>45.22</v>
      </c>
      <c r="M17" s="89">
        <v>3.6</v>
      </c>
      <c r="N17" s="60">
        <v>0</v>
      </c>
      <c r="O17" s="90">
        <v>0</v>
      </c>
      <c r="P17" s="3"/>
      <c r="Q17" s="3"/>
      <c r="R17" s="3"/>
      <c r="S17" s="3"/>
      <c r="T17" s="3"/>
      <c r="U17" s="3"/>
      <c r="V17" s="3"/>
      <c r="W17" s="3"/>
      <c r="X17" s="3"/>
      <c r="Y17" s="3"/>
      <c r="Z17" s="3"/>
      <c r="AA17" s="3"/>
      <c r="AB17" s="3"/>
      <c r="AC17" s="3"/>
      <c r="AD17" s="3"/>
      <c r="AE17" s="3"/>
      <c r="AF17" s="3"/>
      <c r="AG17" s="3"/>
      <c r="AH17" s="3"/>
      <c r="AI17" s="3"/>
    </row>
    <row r="18" spans="1:35" ht="12.75" x14ac:dyDescent="0.2">
      <c r="A18" s="3"/>
      <c r="B18" s="59"/>
      <c r="C18" s="3"/>
      <c r="D18" s="3"/>
      <c r="E18" s="3"/>
      <c r="F18" s="2"/>
      <c r="G18" s="3"/>
      <c r="H18" s="81"/>
      <c r="I18" s="61"/>
      <c r="J18" s="81"/>
      <c r="K18" s="61"/>
      <c r="L18" s="81"/>
      <c r="M18" s="81"/>
      <c r="N18" s="81"/>
      <c r="O18" s="86"/>
      <c r="P18" s="3"/>
      <c r="Q18" s="3"/>
      <c r="R18" s="3"/>
      <c r="S18" s="3"/>
      <c r="T18" s="3"/>
      <c r="U18" s="3"/>
      <c r="V18" s="3"/>
      <c r="W18" s="3"/>
      <c r="X18" s="3"/>
      <c r="Y18" s="3"/>
      <c r="Z18" s="3"/>
      <c r="AA18" s="3"/>
      <c r="AB18" s="3"/>
      <c r="AC18" s="3"/>
      <c r="AD18" s="3"/>
      <c r="AE18" s="3"/>
      <c r="AF18" s="3"/>
      <c r="AG18" s="3"/>
      <c r="AH18" s="3"/>
      <c r="AI18" s="3"/>
    </row>
    <row r="19" spans="1:35" ht="12.75" x14ac:dyDescent="0.2">
      <c r="A19" s="3"/>
      <c r="B19" s="59"/>
      <c r="C19" s="3"/>
      <c r="D19" s="3" t="s">
        <v>96</v>
      </c>
      <c r="E19" s="3" t="s">
        <v>98</v>
      </c>
      <c r="F19" s="3" t="s">
        <v>29</v>
      </c>
      <c r="G19" s="3" t="s">
        <v>29</v>
      </c>
      <c r="H19" s="60">
        <v>2703900</v>
      </c>
      <c r="I19" s="61" t="s">
        <v>99</v>
      </c>
      <c r="J19" s="60">
        <v>1020</v>
      </c>
      <c r="K19" s="61" t="s">
        <v>100</v>
      </c>
      <c r="L19" s="60">
        <f>H19*J19/1000000</f>
        <v>2757.9780000000001</v>
      </c>
      <c r="M19" s="89">
        <v>162.5</v>
      </c>
      <c r="N19" s="60">
        <v>0</v>
      </c>
      <c r="O19" s="90">
        <v>0</v>
      </c>
      <c r="P19" s="3"/>
      <c r="Q19" s="3"/>
      <c r="R19" s="3"/>
      <c r="S19" s="3"/>
      <c r="T19" s="3"/>
      <c r="U19" s="3"/>
      <c r="V19" s="3"/>
      <c r="W19" s="3"/>
      <c r="X19" s="3"/>
      <c r="Y19" s="3"/>
      <c r="Z19" s="3"/>
      <c r="AA19" s="3"/>
      <c r="AB19" s="3"/>
      <c r="AC19" s="3"/>
      <c r="AD19" s="3"/>
      <c r="AE19" s="3"/>
      <c r="AF19" s="3"/>
      <c r="AG19" s="3"/>
      <c r="AH19" s="3"/>
      <c r="AI19" s="3"/>
    </row>
    <row r="20" spans="1:35" ht="12.75" x14ac:dyDescent="0.2">
      <c r="A20" s="3"/>
      <c r="B20" s="59"/>
      <c r="C20" s="3"/>
      <c r="D20" s="2"/>
      <c r="E20" s="2"/>
      <c r="F20" s="2"/>
      <c r="G20" s="2"/>
      <c r="H20" s="2"/>
      <c r="I20" s="2"/>
      <c r="J20" s="2"/>
      <c r="K20" s="2"/>
      <c r="L20" s="2"/>
      <c r="M20" s="2"/>
      <c r="N20" s="2"/>
      <c r="O20" s="93"/>
      <c r="P20" s="3"/>
      <c r="Q20" s="3"/>
      <c r="R20" s="3"/>
      <c r="S20" s="3"/>
      <c r="T20" s="3"/>
      <c r="U20" s="3"/>
      <c r="V20" s="3"/>
      <c r="W20" s="3"/>
      <c r="X20" s="3"/>
      <c r="Y20" s="3"/>
      <c r="Z20" s="3"/>
      <c r="AA20" s="3"/>
      <c r="AB20" s="3"/>
      <c r="AC20" s="3"/>
      <c r="AD20" s="3"/>
      <c r="AE20" s="3"/>
      <c r="AF20" s="3"/>
      <c r="AG20" s="3"/>
      <c r="AH20" s="3"/>
      <c r="AI20" s="3"/>
    </row>
    <row r="21" spans="1:35" ht="12.75" x14ac:dyDescent="0.2">
      <c r="A21" s="3"/>
      <c r="B21" s="59"/>
      <c r="C21" s="3"/>
      <c r="D21" s="94" t="s">
        <v>106</v>
      </c>
      <c r="E21" s="94" t="s">
        <v>108</v>
      </c>
      <c r="F21" s="3" t="s">
        <v>29</v>
      </c>
      <c r="G21" s="3" t="s">
        <v>29</v>
      </c>
      <c r="H21" s="60">
        <f>0.5858*1000000</f>
        <v>585800</v>
      </c>
      <c r="I21" s="61" t="s">
        <v>99</v>
      </c>
      <c r="J21" s="60">
        <v>1020</v>
      </c>
      <c r="K21" s="61" t="s">
        <v>100</v>
      </c>
      <c r="L21" s="95">
        <v>597.51599999999996</v>
      </c>
      <c r="M21" s="96">
        <v>35.200000000000003</v>
      </c>
      <c r="N21" s="96">
        <f>0.0022</f>
        <v>2.2000000000000001E-3</v>
      </c>
      <c r="O21" s="97">
        <f>0.00022</f>
        <v>2.2000000000000001E-4</v>
      </c>
      <c r="P21" s="3"/>
      <c r="Q21" s="3"/>
      <c r="R21" s="3"/>
      <c r="S21" s="3"/>
      <c r="T21" s="3"/>
      <c r="U21" s="3"/>
      <c r="V21" s="3"/>
      <c r="W21" s="3"/>
      <c r="X21" s="3"/>
      <c r="Y21" s="3"/>
      <c r="Z21" s="3"/>
      <c r="AA21" s="3"/>
      <c r="AB21" s="3"/>
      <c r="AC21" s="3"/>
      <c r="AD21" s="3"/>
      <c r="AE21" s="3"/>
      <c r="AF21" s="3"/>
      <c r="AG21" s="3"/>
      <c r="AH21" s="3"/>
      <c r="AI21" s="3"/>
    </row>
    <row r="22" spans="1:35" ht="12.75" x14ac:dyDescent="0.2">
      <c r="A22" s="3"/>
      <c r="B22" s="98"/>
      <c r="C22" s="99"/>
      <c r="D22" s="100"/>
      <c r="E22" s="100"/>
      <c r="F22" s="100"/>
      <c r="G22" s="100"/>
      <c r="H22" s="100"/>
      <c r="I22" s="100"/>
      <c r="J22" s="100"/>
      <c r="K22" s="100"/>
      <c r="L22" s="100"/>
      <c r="M22" s="100"/>
      <c r="N22" s="100"/>
      <c r="O22" s="101"/>
      <c r="P22" s="3"/>
      <c r="Q22" s="3"/>
      <c r="R22" s="3"/>
      <c r="S22" s="3"/>
      <c r="T22" s="3"/>
      <c r="U22" s="3"/>
      <c r="V22" s="3"/>
      <c r="W22" s="3"/>
      <c r="X22" s="3"/>
      <c r="Y22" s="3"/>
      <c r="Z22" s="3"/>
      <c r="AA22" s="3"/>
      <c r="AB22" s="3"/>
      <c r="AC22" s="3"/>
      <c r="AD22" s="3"/>
      <c r="AE22" s="3"/>
      <c r="AF22" s="3"/>
      <c r="AG22" s="3"/>
      <c r="AH22" s="3"/>
      <c r="AI22" s="3"/>
    </row>
    <row r="23" spans="1:35" ht="12.75" x14ac:dyDescent="0.2">
      <c r="A23" s="3"/>
      <c r="B23" s="50"/>
      <c r="C23" s="52"/>
      <c r="D23" s="55"/>
      <c r="E23" s="102"/>
      <c r="F23" s="102"/>
      <c r="G23" s="102"/>
      <c r="H23" s="102"/>
      <c r="I23" s="102"/>
      <c r="J23" s="102"/>
      <c r="K23" s="102"/>
      <c r="L23" s="102"/>
      <c r="M23" s="102"/>
      <c r="N23" s="102"/>
      <c r="O23" s="103"/>
      <c r="P23" s="3"/>
      <c r="Q23" s="3"/>
      <c r="R23" s="3"/>
      <c r="S23" s="3"/>
      <c r="T23" s="3"/>
      <c r="U23" s="3"/>
      <c r="V23" s="3"/>
      <c r="W23" s="3"/>
      <c r="X23" s="3"/>
      <c r="Y23" s="3"/>
      <c r="Z23" s="3"/>
      <c r="AA23" s="3"/>
      <c r="AB23" s="3"/>
      <c r="AC23" s="3"/>
      <c r="AD23" s="3"/>
      <c r="AE23" s="3"/>
      <c r="AF23" s="3"/>
      <c r="AG23" s="3"/>
      <c r="AH23" s="3"/>
      <c r="AI23" s="3"/>
    </row>
    <row r="24" spans="1:35" ht="12.75" x14ac:dyDescent="0.2">
      <c r="A24" s="3"/>
      <c r="B24" s="59" t="s">
        <v>119</v>
      </c>
      <c r="C24" s="3" t="s">
        <v>120</v>
      </c>
      <c r="D24" s="3" t="s">
        <v>121</v>
      </c>
      <c r="E24" s="104" t="s">
        <v>122</v>
      </c>
      <c r="F24" s="3" t="s">
        <v>78</v>
      </c>
      <c r="G24" s="3" t="s">
        <v>124</v>
      </c>
      <c r="H24" s="60">
        <v>643898</v>
      </c>
      <c r="I24" s="3" t="s">
        <v>81</v>
      </c>
      <c r="J24" s="106">
        <v>0.13700000000000001</v>
      </c>
      <c r="K24" s="3" t="s">
        <v>125</v>
      </c>
      <c r="L24" s="60">
        <v>88214</v>
      </c>
      <c r="M24" s="66">
        <f>(L24/L26)*M26</f>
        <v>9041.3481076946737</v>
      </c>
      <c r="N24" s="106">
        <v>0.29199999999999998</v>
      </c>
      <c r="O24" s="108">
        <v>5.8000000000000003E-2</v>
      </c>
      <c r="P24" s="3"/>
      <c r="Q24" s="6"/>
      <c r="R24" s="3"/>
      <c r="S24" s="3"/>
      <c r="T24" s="3"/>
      <c r="U24" s="3"/>
      <c r="V24" s="3"/>
      <c r="W24" s="3"/>
      <c r="X24" s="3"/>
      <c r="Y24" s="3"/>
      <c r="Z24" s="3"/>
      <c r="AA24" s="3"/>
      <c r="AB24" s="3"/>
      <c r="AC24" s="3"/>
      <c r="AD24" s="3"/>
      <c r="AE24" s="3"/>
      <c r="AF24" s="3"/>
      <c r="AG24" s="3"/>
      <c r="AH24" s="3"/>
      <c r="AI24" s="3"/>
    </row>
    <row r="25" spans="1:35" ht="12.75" x14ac:dyDescent="0.2">
      <c r="A25" s="3"/>
      <c r="B25" s="59"/>
      <c r="C25" s="6"/>
      <c r="D25" s="3" t="s">
        <v>121</v>
      </c>
      <c r="E25" s="104" t="s">
        <v>122</v>
      </c>
      <c r="F25" s="3" t="s">
        <v>72</v>
      </c>
      <c r="G25" s="3" t="s">
        <v>127</v>
      </c>
      <c r="H25" s="60">
        <v>228022</v>
      </c>
      <c r="I25" s="3" t="s">
        <v>73</v>
      </c>
      <c r="J25" s="109">
        <f>L25/H25</f>
        <v>27.422182947259476</v>
      </c>
      <c r="K25" s="3" t="s">
        <v>130</v>
      </c>
      <c r="L25" s="66">
        <f>L26-L24</f>
        <v>6252861</v>
      </c>
      <c r="M25" s="66">
        <f>(L25/L26)*M26</f>
        <v>640876.65189230535</v>
      </c>
      <c r="N25" s="106">
        <v>71.760000000000005</v>
      </c>
      <c r="O25" s="108">
        <v>10.472</v>
      </c>
      <c r="P25" s="3"/>
      <c r="Q25" s="3"/>
      <c r="R25" s="3"/>
      <c r="S25" s="3"/>
      <c r="T25" s="3"/>
      <c r="U25" s="3"/>
      <c r="V25" s="3"/>
      <c r="W25" s="3"/>
      <c r="X25" s="3"/>
      <c r="Y25" s="3"/>
      <c r="Z25" s="3"/>
      <c r="AA25" s="3"/>
      <c r="AB25" s="3"/>
      <c r="AC25" s="3"/>
      <c r="AD25" s="3"/>
      <c r="AE25" s="3"/>
      <c r="AF25" s="3"/>
      <c r="AG25" s="3"/>
      <c r="AH25" s="3"/>
      <c r="AI25" s="3"/>
    </row>
    <row r="26" spans="1:35" ht="12.75" x14ac:dyDescent="0.2">
      <c r="A26" s="3"/>
      <c r="B26" s="59"/>
      <c r="C26" s="8"/>
      <c r="D26" s="3" t="s">
        <v>121</v>
      </c>
      <c r="E26" s="104" t="s">
        <v>122</v>
      </c>
      <c r="F26" s="80" t="s">
        <v>85</v>
      </c>
      <c r="G26" s="8"/>
      <c r="H26" s="2"/>
      <c r="I26" s="2"/>
      <c r="J26" s="2"/>
      <c r="K26" s="2"/>
      <c r="L26" s="83">
        <v>6341075</v>
      </c>
      <c r="M26" s="83">
        <v>649918</v>
      </c>
      <c r="N26" s="111">
        <f t="shared" ref="N26:O26" si="0">N24+N25</f>
        <v>72.052000000000007</v>
      </c>
      <c r="O26" s="112">
        <f t="shared" si="0"/>
        <v>10.53</v>
      </c>
      <c r="P26" s="3"/>
      <c r="Q26" s="3"/>
      <c r="R26" s="3"/>
      <c r="S26" s="3"/>
      <c r="T26" s="3"/>
      <c r="U26" s="3"/>
      <c r="V26" s="3"/>
      <c r="W26" s="3"/>
      <c r="X26" s="3"/>
      <c r="Y26" s="3"/>
      <c r="Z26" s="3"/>
      <c r="AA26" s="3"/>
      <c r="AB26" s="3"/>
      <c r="AC26" s="3"/>
      <c r="AD26" s="3"/>
      <c r="AE26" s="3"/>
      <c r="AF26" s="3"/>
      <c r="AG26" s="3"/>
      <c r="AH26" s="3"/>
      <c r="AI26" s="3"/>
    </row>
    <row r="27" spans="1:35" ht="12.75" x14ac:dyDescent="0.2">
      <c r="A27" s="3"/>
      <c r="B27" s="59"/>
      <c r="C27" s="3"/>
      <c r="D27" s="8"/>
      <c r="E27" s="3"/>
      <c r="F27" s="3"/>
      <c r="G27" s="8"/>
      <c r="H27" s="2"/>
      <c r="I27" s="2"/>
      <c r="J27" s="2"/>
      <c r="K27" s="2"/>
      <c r="L27" s="2"/>
      <c r="M27" s="2"/>
      <c r="N27" s="2"/>
      <c r="O27" s="113"/>
      <c r="P27" s="3"/>
      <c r="Q27" s="3"/>
      <c r="R27" s="3"/>
      <c r="S27" s="3"/>
      <c r="T27" s="3"/>
      <c r="U27" s="3"/>
      <c r="V27" s="3"/>
      <c r="W27" s="3"/>
      <c r="X27" s="3"/>
      <c r="Y27" s="3"/>
      <c r="Z27" s="3"/>
      <c r="AA27" s="3"/>
      <c r="AB27" s="3"/>
      <c r="AC27" s="3"/>
      <c r="AD27" s="3"/>
      <c r="AE27" s="3"/>
      <c r="AF27" s="3"/>
      <c r="AG27" s="3"/>
      <c r="AH27" s="3"/>
      <c r="AI27" s="3"/>
    </row>
    <row r="28" spans="1:35" ht="12.75" x14ac:dyDescent="0.2">
      <c r="A28" s="3"/>
      <c r="B28" s="59"/>
      <c r="C28" s="8"/>
      <c r="D28" s="3" t="s">
        <v>134</v>
      </c>
      <c r="E28" s="104" t="s">
        <v>135</v>
      </c>
      <c r="F28" s="3" t="s">
        <v>78</v>
      </c>
      <c r="G28" s="3" t="s">
        <v>124</v>
      </c>
      <c r="H28" s="60">
        <v>821191</v>
      </c>
      <c r="I28" s="3" t="s">
        <v>81</v>
      </c>
      <c r="J28" s="106">
        <v>0.13700000000000001</v>
      </c>
      <c r="K28" s="3" t="s">
        <v>125</v>
      </c>
      <c r="L28" s="60">
        <v>112503</v>
      </c>
      <c r="M28" s="66">
        <f>(L28/L30)*M30</f>
        <v>11534.574848189646</v>
      </c>
      <c r="N28" s="106">
        <v>0.373</v>
      </c>
      <c r="O28" s="114">
        <v>7.4999999999999997E-2</v>
      </c>
      <c r="P28" s="3"/>
      <c r="Q28" s="3"/>
      <c r="R28" s="115"/>
      <c r="S28" s="115"/>
      <c r="T28" s="3"/>
      <c r="U28" s="3"/>
      <c r="V28" s="3"/>
      <c r="W28" s="3"/>
      <c r="X28" s="3"/>
      <c r="Y28" s="3"/>
      <c r="Z28" s="3"/>
      <c r="AA28" s="3"/>
      <c r="AB28" s="3"/>
      <c r="AC28" s="3"/>
      <c r="AD28" s="3"/>
      <c r="AE28" s="3"/>
      <c r="AF28" s="3"/>
      <c r="AG28" s="3"/>
      <c r="AH28" s="3"/>
      <c r="AI28" s="3"/>
    </row>
    <row r="29" spans="1:35" ht="12.75" x14ac:dyDescent="0.2">
      <c r="A29" s="3"/>
      <c r="B29" s="59"/>
      <c r="C29" s="3"/>
      <c r="D29" s="3" t="s">
        <v>134</v>
      </c>
      <c r="E29" s="104" t="s">
        <v>135</v>
      </c>
      <c r="F29" s="3" t="s">
        <v>72</v>
      </c>
      <c r="G29" s="3" t="s">
        <v>127</v>
      </c>
      <c r="H29" s="60">
        <v>294165</v>
      </c>
      <c r="I29" s="3" t="s">
        <v>73</v>
      </c>
      <c r="J29" s="109">
        <f>L29/H29</f>
        <v>22.889786344398551</v>
      </c>
      <c r="K29" s="3" t="s">
        <v>130</v>
      </c>
      <c r="L29" s="66">
        <f>L30-L28</f>
        <v>6733374</v>
      </c>
      <c r="M29" s="66">
        <f>(L29/L30)*M30</f>
        <v>690351.4251518104</v>
      </c>
      <c r="N29" s="106">
        <v>92.593999999999994</v>
      </c>
      <c r="O29" s="114">
        <v>13.448</v>
      </c>
      <c r="P29" s="3"/>
      <c r="Q29" s="3"/>
      <c r="R29" s="3"/>
      <c r="S29" s="3"/>
      <c r="T29" s="3"/>
      <c r="U29" s="3"/>
      <c r="V29" s="3"/>
      <c r="W29" s="3"/>
      <c r="X29" s="3"/>
      <c r="Y29" s="3"/>
      <c r="Z29" s="3"/>
      <c r="AA29" s="3"/>
      <c r="AB29" s="3"/>
      <c r="AC29" s="3"/>
      <c r="AD29" s="3"/>
      <c r="AE29" s="3"/>
      <c r="AF29" s="3"/>
      <c r="AG29" s="3"/>
      <c r="AH29" s="3"/>
      <c r="AI29" s="3"/>
    </row>
    <row r="30" spans="1:35" ht="12.75" x14ac:dyDescent="0.2">
      <c r="A30" s="3"/>
      <c r="B30" s="59"/>
      <c r="C30" s="3"/>
      <c r="D30" s="3" t="s">
        <v>134</v>
      </c>
      <c r="E30" s="104" t="s">
        <v>135</v>
      </c>
      <c r="F30" s="80" t="s">
        <v>85</v>
      </c>
      <c r="G30" s="3"/>
      <c r="H30" s="116"/>
      <c r="I30" s="3"/>
      <c r="J30" s="116"/>
      <c r="K30" s="3"/>
      <c r="L30" s="83">
        <v>6845877</v>
      </c>
      <c r="M30" s="83">
        <v>701886</v>
      </c>
      <c r="N30" s="117">
        <f t="shared" ref="N30:O30" si="1">N28+N29</f>
        <v>92.966999999999999</v>
      </c>
      <c r="O30" s="118">
        <f t="shared" si="1"/>
        <v>13.523</v>
      </c>
      <c r="P30" s="3"/>
      <c r="Q30" s="3"/>
      <c r="R30" s="3"/>
      <c r="S30" s="3"/>
      <c r="T30" s="3"/>
      <c r="U30" s="3"/>
      <c r="V30" s="3"/>
      <c r="W30" s="3"/>
      <c r="X30" s="3"/>
      <c r="Y30" s="3"/>
      <c r="Z30" s="3"/>
      <c r="AA30" s="3"/>
      <c r="AB30" s="3"/>
      <c r="AC30" s="3"/>
      <c r="AD30" s="3"/>
      <c r="AE30" s="3"/>
      <c r="AF30" s="3"/>
      <c r="AG30" s="3"/>
      <c r="AH30" s="3"/>
      <c r="AI30" s="3"/>
    </row>
    <row r="31" spans="1:35" ht="12.75" x14ac:dyDescent="0.2">
      <c r="A31" s="3"/>
      <c r="B31" s="59"/>
      <c r="C31" s="3"/>
      <c r="D31" s="3"/>
      <c r="E31" s="3"/>
      <c r="F31" s="2"/>
      <c r="G31" s="3"/>
      <c r="H31" s="116"/>
      <c r="I31" s="3"/>
      <c r="J31" s="116"/>
      <c r="K31" s="3"/>
      <c r="L31" s="116"/>
      <c r="M31" s="116"/>
      <c r="N31" s="116"/>
      <c r="O31" s="119"/>
      <c r="P31" s="3"/>
      <c r="Q31" s="3"/>
      <c r="R31" s="3"/>
      <c r="S31" s="3"/>
      <c r="T31" s="3"/>
      <c r="U31" s="3"/>
      <c r="V31" s="3"/>
      <c r="W31" s="3"/>
      <c r="X31" s="3"/>
      <c r="Y31" s="3"/>
      <c r="Z31" s="3"/>
      <c r="AA31" s="3"/>
      <c r="AB31" s="3"/>
      <c r="AC31" s="3"/>
      <c r="AD31" s="3"/>
      <c r="AE31" s="3"/>
      <c r="AF31" s="3"/>
      <c r="AG31" s="3"/>
      <c r="AH31" s="3"/>
      <c r="AI31" s="3"/>
    </row>
    <row r="32" spans="1:35" ht="12.75" x14ac:dyDescent="0.2">
      <c r="A32" s="3"/>
      <c r="B32" s="59"/>
      <c r="C32" s="121"/>
      <c r="D32" s="3" t="s">
        <v>143</v>
      </c>
      <c r="E32" s="104" t="s">
        <v>144</v>
      </c>
      <c r="F32" s="3" t="s">
        <v>78</v>
      </c>
      <c r="G32" s="3" t="s">
        <v>146</v>
      </c>
      <c r="H32" s="60">
        <v>620</v>
      </c>
      <c r="I32" s="3" t="s">
        <v>81</v>
      </c>
      <c r="J32" s="106">
        <v>0.13700000000000001</v>
      </c>
      <c r="K32" s="3" t="s">
        <v>150</v>
      </c>
      <c r="L32" s="122">
        <v>84.94</v>
      </c>
      <c r="M32" s="106">
        <v>6.97</v>
      </c>
      <c r="N32" s="123">
        <v>6.7000000000000002E-5</v>
      </c>
      <c r="O32" s="114">
        <v>0</v>
      </c>
      <c r="P32" s="3"/>
      <c r="Q32" s="3"/>
      <c r="R32" s="3"/>
      <c r="S32" s="3"/>
      <c r="T32" s="3"/>
      <c r="U32" s="3"/>
      <c r="V32" s="3"/>
      <c r="W32" s="3"/>
      <c r="X32" s="3"/>
      <c r="Y32" s="3"/>
      <c r="Z32" s="3"/>
      <c r="AA32" s="3"/>
      <c r="AB32" s="3"/>
      <c r="AC32" s="3"/>
      <c r="AD32" s="3"/>
      <c r="AE32" s="3"/>
      <c r="AF32" s="3"/>
      <c r="AG32" s="3"/>
      <c r="AH32" s="3"/>
      <c r="AI32" s="3"/>
    </row>
    <row r="33" spans="1:35" ht="12.75" x14ac:dyDescent="0.2">
      <c r="A33" s="3"/>
      <c r="B33" s="59"/>
      <c r="C33" s="3"/>
      <c r="D33" s="3"/>
      <c r="E33" s="3"/>
      <c r="F33" s="2"/>
      <c r="G33" s="3"/>
      <c r="H33" s="116"/>
      <c r="I33" s="3"/>
      <c r="J33" s="116"/>
      <c r="K33" s="3"/>
      <c r="L33" s="116"/>
      <c r="M33" s="116"/>
      <c r="N33" s="116"/>
      <c r="O33" s="119"/>
      <c r="P33" s="3"/>
      <c r="Q33" s="3"/>
      <c r="R33" s="3"/>
      <c r="S33" s="3"/>
      <c r="T33" s="3"/>
      <c r="U33" s="3"/>
      <c r="V33" s="3"/>
      <c r="W33" s="3"/>
      <c r="X33" s="3"/>
      <c r="Y33" s="3"/>
      <c r="Z33" s="3"/>
      <c r="AA33" s="3"/>
      <c r="AB33" s="3"/>
      <c r="AC33" s="3"/>
      <c r="AD33" s="3"/>
      <c r="AE33" s="3"/>
      <c r="AF33" s="3"/>
      <c r="AG33" s="3"/>
      <c r="AH33" s="3"/>
      <c r="AI33" s="3"/>
    </row>
    <row r="34" spans="1:35" ht="12.75" x14ac:dyDescent="0.2">
      <c r="A34" s="3"/>
      <c r="B34" s="59"/>
      <c r="C34" s="121"/>
      <c r="D34" s="3" t="s">
        <v>154</v>
      </c>
      <c r="E34" s="104" t="s">
        <v>155</v>
      </c>
      <c r="F34" s="3" t="s">
        <v>78</v>
      </c>
      <c r="G34" s="3" t="s">
        <v>124</v>
      </c>
      <c r="H34" s="60">
        <v>161</v>
      </c>
      <c r="I34" s="3" t="s">
        <v>81</v>
      </c>
      <c r="J34" s="106">
        <v>0.13700000000000001</v>
      </c>
      <c r="K34" s="3" t="s">
        <v>156</v>
      </c>
      <c r="L34" s="60">
        <v>22.06</v>
      </c>
      <c r="M34" s="60">
        <v>156</v>
      </c>
      <c r="N34" s="106">
        <v>0</v>
      </c>
      <c r="O34" s="114">
        <v>0</v>
      </c>
      <c r="P34" s="3"/>
      <c r="Q34" s="3"/>
      <c r="R34" s="3"/>
      <c r="S34" s="3"/>
      <c r="T34" s="3"/>
      <c r="U34" s="3"/>
      <c r="V34" s="3"/>
      <c r="W34" s="3"/>
      <c r="X34" s="3"/>
      <c r="Y34" s="3"/>
      <c r="Z34" s="3"/>
      <c r="AA34" s="3"/>
      <c r="AB34" s="3"/>
      <c r="AC34" s="3"/>
      <c r="AD34" s="3"/>
      <c r="AE34" s="3"/>
      <c r="AF34" s="3"/>
      <c r="AG34" s="3"/>
      <c r="AH34" s="3"/>
      <c r="AI34" s="3"/>
    </row>
    <row r="35" spans="1:35" ht="12.75" x14ac:dyDescent="0.2">
      <c r="A35" s="3"/>
      <c r="B35" s="98"/>
      <c r="C35" s="99"/>
      <c r="D35" s="99"/>
      <c r="E35" s="99"/>
      <c r="F35" s="100"/>
      <c r="G35" s="99"/>
      <c r="H35" s="124"/>
      <c r="I35" s="99"/>
      <c r="J35" s="124"/>
      <c r="K35" s="99"/>
      <c r="L35" s="124"/>
      <c r="M35" s="124"/>
      <c r="N35" s="124"/>
      <c r="O35" s="125"/>
      <c r="P35" s="3"/>
      <c r="Q35" s="3"/>
      <c r="R35" s="3"/>
      <c r="S35" s="3"/>
      <c r="T35" s="3"/>
      <c r="U35" s="3"/>
      <c r="V35" s="3"/>
      <c r="W35" s="3"/>
      <c r="X35" s="3"/>
      <c r="Y35" s="3"/>
      <c r="Z35" s="3"/>
      <c r="AA35" s="3"/>
      <c r="AB35" s="3"/>
      <c r="AC35" s="3"/>
      <c r="AD35" s="3"/>
      <c r="AE35" s="3"/>
      <c r="AF35" s="3"/>
      <c r="AG35" s="3"/>
      <c r="AH35" s="3"/>
      <c r="AI35" s="3"/>
    </row>
    <row r="36" spans="1:35" ht="12.75" x14ac:dyDescent="0.2">
      <c r="A36" s="3"/>
      <c r="B36" s="50"/>
      <c r="C36" s="52"/>
      <c r="D36" s="52"/>
      <c r="E36" s="52"/>
      <c r="F36" s="102"/>
      <c r="G36" s="52"/>
      <c r="H36" s="126"/>
      <c r="I36" s="52"/>
      <c r="J36" s="126"/>
      <c r="K36" s="52"/>
      <c r="L36" s="126"/>
      <c r="M36" s="126"/>
      <c r="N36" s="126"/>
      <c r="O36" s="127"/>
      <c r="P36" s="3"/>
      <c r="Q36" s="3"/>
      <c r="R36" s="3"/>
      <c r="S36" s="3"/>
      <c r="T36" s="3"/>
      <c r="U36" s="3"/>
      <c r="V36" s="3"/>
      <c r="W36" s="3"/>
      <c r="X36" s="3"/>
      <c r="Y36" s="3"/>
      <c r="Z36" s="3"/>
      <c r="AA36" s="3"/>
      <c r="AB36" s="3"/>
      <c r="AC36" s="3"/>
      <c r="AD36" s="3"/>
      <c r="AE36" s="3"/>
      <c r="AF36" s="3"/>
      <c r="AG36" s="3"/>
      <c r="AH36" s="3"/>
      <c r="AI36" s="3"/>
    </row>
    <row r="37" spans="1:35" ht="12.75" x14ac:dyDescent="0.2">
      <c r="A37" s="3"/>
      <c r="B37" s="59" t="s">
        <v>158</v>
      </c>
      <c r="C37" s="3" t="s">
        <v>159</v>
      </c>
      <c r="D37" s="3" t="s">
        <v>160</v>
      </c>
      <c r="E37" s="3" t="s">
        <v>161</v>
      </c>
      <c r="F37" s="3" t="s">
        <v>29</v>
      </c>
      <c r="G37" s="3" t="s">
        <v>162</v>
      </c>
      <c r="H37" s="60">
        <v>4194400000</v>
      </c>
      <c r="I37" s="3" t="s">
        <v>99</v>
      </c>
      <c r="J37" s="60">
        <v>1050.3</v>
      </c>
      <c r="K37" s="3" t="s">
        <v>163</v>
      </c>
      <c r="L37" s="60">
        <v>4405169</v>
      </c>
      <c r="M37" s="60">
        <v>268341</v>
      </c>
      <c r="N37" s="106">
        <v>4.99</v>
      </c>
      <c r="O37" s="108">
        <v>0.5</v>
      </c>
      <c r="P37" s="3"/>
      <c r="Q37" s="3"/>
      <c r="R37" s="3"/>
      <c r="S37" s="3"/>
      <c r="T37" s="3"/>
      <c r="U37" s="3"/>
      <c r="V37" s="3"/>
      <c r="W37" s="3"/>
      <c r="X37" s="3"/>
      <c r="Y37" s="3"/>
      <c r="Z37" s="3"/>
      <c r="AA37" s="3"/>
      <c r="AB37" s="3"/>
      <c r="AC37" s="3"/>
      <c r="AD37" s="3"/>
      <c r="AE37" s="3"/>
      <c r="AF37" s="3"/>
      <c r="AG37" s="3"/>
      <c r="AH37" s="3"/>
      <c r="AI37" s="3"/>
    </row>
    <row r="38" spans="1:35" ht="12.75" x14ac:dyDescent="0.2">
      <c r="A38" s="3"/>
      <c r="B38" s="59"/>
      <c r="C38" s="3"/>
      <c r="D38" s="3"/>
      <c r="E38" s="3"/>
      <c r="F38" s="2"/>
      <c r="G38" s="3"/>
      <c r="H38" s="129"/>
      <c r="I38" s="3"/>
      <c r="J38" s="129"/>
      <c r="K38" s="2"/>
      <c r="L38" s="129"/>
      <c r="M38" s="129"/>
      <c r="N38" s="116"/>
      <c r="O38" s="119"/>
      <c r="P38" s="3"/>
      <c r="Q38" s="3"/>
      <c r="R38" s="3"/>
      <c r="S38" s="115"/>
      <c r="T38" s="115"/>
      <c r="U38" s="3"/>
      <c r="V38" s="3"/>
      <c r="W38" s="3"/>
      <c r="X38" s="3"/>
      <c r="Y38" s="3"/>
      <c r="Z38" s="3"/>
      <c r="AA38" s="3"/>
      <c r="AB38" s="3"/>
      <c r="AC38" s="3"/>
      <c r="AD38" s="3"/>
      <c r="AE38" s="3"/>
      <c r="AF38" s="3"/>
      <c r="AG38" s="3"/>
      <c r="AH38" s="3"/>
      <c r="AI38" s="3"/>
    </row>
    <row r="39" spans="1:35" ht="12.75" x14ac:dyDescent="0.2">
      <c r="A39" s="3"/>
      <c r="B39" s="59"/>
      <c r="C39" s="3"/>
      <c r="D39" s="3" t="s">
        <v>165</v>
      </c>
      <c r="E39" s="3" t="s">
        <v>166</v>
      </c>
      <c r="F39" s="3" t="s">
        <v>29</v>
      </c>
      <c r="G39" s="3" t="s">
        <v>162</v>
      </c>
      <c r="H39" s="60">
        <v>3241060000</v>
      </c>
      <c r="I39" s="3" t="s">
        <v>99</v>
      </c>
      <c r="J39" s="60">
        <v>1050.3</v>
      </c>
      <c r="K39" s="3" t="s">
        <v>163</v>
      </c>
      <c r="L39" s="60">
        <v>3403923</v>
      </c>
      <c r="M39" s="60">
        <v>227205</v>
      </c>
      <c r="N39" s="106">
        <v>4.22</v>
      </c>
      <c r="O39" s="114">
        <v>0.42</v>
      </c>
      <c r="P39" s="3"/>
      <c r="Q39" s="3"/>
      <c r="R39" s="3"/>
      <c r="S39" s="115"/>
      <c r="T39" s="115"/>
      <c r="U39" s="3"/>
      <c r="V39" s="3"/>
      <c r="W39" s="3"/>
      <c r="X39" s="3"/>
      <c r="Y39" s="3"/>
      <c r="Z39" s="3"/>
      <c r="AA39" s="3"/>
      <c r="AB39" s="3"/>
      <c r="AC39" s="3"/>
      <c r="AD39" s="3"/>
      <c r="AE39" s="3"/>
      <c r="AF39" s="3"/>
      <c r="AG39" s="3"/>
      <c r="AH39" s="3"/>
      <c r="AI39" s="3"/>
    </row>
    <row r="40" spans="1:35" ht="12.75" x14ac:dyDescent="0.2">
      <c r="A40" s="3"/>
      <c r="B40" s="59"/>
      <c r="C40" s="3"/>
      <c r="D40" s="6"/>
      <c r="E40" s="3"/>
      <c r="F40" s="2"/>
      <c r="G40" s="3"/>
      <c r="H40" s="129"/>
      <c r="I40" s="3"/>
      <c r="J40" s="129"/>
      <c r="K40" s="3"/>
      <c r="L40" s="129"/>
      <c r="M40" s="116"/>
      <c r="N40" s="130"/>
      <c r="O40" s="132"/>
      <c r="P40" s="3"/>
      <c r="Q40" s="3"/>
      <c r="R40" s="3"/>
      <c r="S40" s="3"/>
      <c r="T40" s="3"/>
      <c r="U40" s="3"/>
      <c r="V40" s="3"/>
      <c r="W40" s="3"/>
      <c r="X40" s="3"/>
      <c r="Y40" s="3"/>
      <c r="Z40" s="3"/>
      <c r="AA40" s="3"/>
      <c r="AB40" s="3"/>
      <c r="AC40" s="3"/>
      <c r="AD40" s="3"/>
      <c r="AE40" s="3"/>
      <c r="AF40" s="3"/>
      <c r="AG40" s="3"/>
      <c r="AH40" s="3"/>
      <c r="AI40" s="3"/>
    </row>
    <row r="41" spans="1:35" ht="12.75" x14ac:dyDescent="0.2">
      <c r="A41" s="3"/>
      <c r="B41" s="59"/>
      <c r="C41" s="3"/>
      <c r="D41" s="3" t="s">
        <v>169</v>
      </c>
      <c r="E41" s="3" t="s">
        <v>171</v>
      </c>
      <c r="F41" s="3" t="s">
        <v>78</v>
      </c>
      <c r="G41" s="3" t="s">
        <v>25</v>
      </c>
      <c r="H41" s="60">
        <v>5161</v>
      </c>
      <c r="I41" s="3" t="s">
        <v>81</v>
      </c>
      <c r="J41" s="60">
        <v>137269</v>
      </c>
      <c r="K41" s="3" t="s">
        <v>82</v>
      </c>
      <c r="L41" s="60">
        <f>H41*J41/1000000</f>
        <v>708.44530899999995</v>
      </c>
      <c r="M41" s="106">
        <v>57.76</v>
      </c>
      <c r="N41" s="133">
        <v>2.3400000000000001E-3</v>
      </c>
      <c r="O41" s="134">
        <v>4.6900000000000002E-4</v>
      </c>
      <c r="P41" s="3"/>
      <c r="Q41" s="3"/>
      <c r="R41" s="3"/>
      <c r="S41" s="3"/>
      <c r="T41" s="3"/>
      <c r="U41" s="3"/>
      <c r="V41" s="3"/>
      <c r="W41" s="3"/>
      <c r="X41" s="3"/>
      <c r="Y41" s="3"/>
      <c r="Z41" s="3"/>
      <c r="AA41" s="3"/>
      <c r="AB41" s="3"/>
      <c r="AC41" s="3"/>
      <c r="AD41" s="3"/>
      <c r="AE41" s="3"/>
      <c r="AF41" s="3"/>
      <c r="AG41" s="3"/>
      <c r="AH41" s="3"/>
      <c r="AI41" s="3"/>
    </row>
    <row r="42" spans="1:35" ht="12.75" x14ac:dyDescent="0.2">
      <c r="A42" s="3"/>
      <c r="B42" s="59"/>
      <c r="C42" s="3"/>
      <c r="D42" s="3"/>
      <c r="E42" s="3"/>
      <c r="F42" s="2"/>
      <c r="G42" s="3"/>
      <c r="H42" s="129"/>
      <c r="I42" s="3"/>
      <c r="J42" s="129"/>
      <c r="K42" s="3"/>
      <c r="L42" s="129"/>
      <c r="M42" s="116"/>
      <c r="N42" s="130"/>
      <c r="O42" s="132"/>
      <c r="P42" s="3"/>
      <c r="Q42" s="3"/>
      <c r="R42" s="3"/>
      <c r="S42" s="3"/>
      <c r="T42" s="3"/>
      <c r="U42" s="3"/>
      <c r="V42" s="3"/>
      <c r="W42" s="3"/>
      <c r="X42" s="3"/>
      <c r="Y42" s="3"/>
      <c r="Z42" s="3"/>
      <c r="AA42" s="3"/>
      <c r="AB42" s="3"/>
      <c r="AC42" s="3"/>
      <c r="AD42" s="3"/>
      <c r="AE42" s="3"/>
      <c r="AF42" s="3"/>
      <c r="AG42" s="3"/>
      <c r="AH42" s="3"/>
      <c r="AI42" s="3"/>
    </row>
    <row r="43" spans="1:35" ht="12.75" x14ac:dyDescent="0.2">
      <c r="A43" s="3"/>
      <c r="B43" s="59"/>
      <c r="C43" s="3"/>
      <c r="D43" s="3" t="s">
        <v>175</v>
      </c>
      <c r="E43" s="3" t="s">
        <v>176</v>
      </c>
      <c r="F43" s="3" t="s">
        <v>78</v>
      </c>
      <c r="G43" s="3" t="s">
        <v>25</v>
      </c>
      <c r="H43" s="60">
        <v>24360</v>
      </c>
      <c r="I43" s="3" t="s">
        <v>81</v>
      </c>
      <c r="J43" s="60">
        <v>137269</v>
      </c>
      <c r="K43" s="3" t="s">
        <v>82</v>
      </c>
      <c r="L43" s="60">
        <v>3205</v>
      </c>
      <c r="M43" s="106">
        <v>259.8</v>
      </c>
      <c r="N43" s="135">
        <v>1.06E-2</v>
      </c>
      <c r="O43" s="136">
        <v>2.1199999999999999E-3</v>
      </c>
      <c r="P43" s="3"/>
      <c r="Q43" s="3"/>
      <c r="R43" s="3"/>
      <c r="S43" s="3"/>
      <c r="T43" s="3"/>
      <c r="U43" s="3"/>
      <c r="V43" s="3"/>
      <c r="W43" s="3"/>
      <c r="X43" s="3"/>
      <c r="Y43" s="3"/>
      <c r="Z43" s="3"/>
      <c r="AA43" s="3"/>
      <c r="AB43" s="3"/>
      <c r="AC43" s="3"/>
      <c r="AD43" s="3"/>
      <c r="AE43" s="3"/>
      <c r="AF43" s="3"/>
      <c r="AG43" s="3"/>
      <c r="AH43" s="3"/>
      <c r="AI43" s="3"/>
    </row>
    <row r="44" spans="1:35" ht="12.75" x14ac:dyDescent="0.2">
      <c r="A44" s="3"/>
      <c r="B44" s="59"/>
      <c r="C44" s="3"/>
      <c r="D44" s="3"/>
      <c r="E44" s="3"/>
      <c r="F44" s="2"/>
      <c r="G44" s="3"/>
      <c r="H44" s="129"/>
      <c r="I44" s="3"/>
      <c r="J44" s="129"/>
      <c r="K44" s="3"/>
      <c r="L44" s="129"/>
      <c r="M44" s="138"/>
      <c r="N44" s="138"/>
      <c r="O44" s="139"/>
      <c r="P44" s="3"/>
      <c r="Q44" s="3"/>
      <c r="R44" s="3"/>
      <c r="S44" s="3"/>
      <c r="T44" s="3"/>
      <c r="U44" s="3"/>
      <c r="V44" s="3"/>
      <c r="W44" s="3"/>
      <c r="X44" s="3"/>
      <c r="Y44" s="3"/>
      <c r="Z44" s="3"/>
      <c r="AA44" s="3"/>
      <c r="AB44" s="3"/>
      <c r="AC44" s="3"/>
      <c r="AD44" s="3"/>
      <c r="AE44" s="3"/>
      <c r="AF44" s="3"/>
      <c r="AG44" s="3"/>
      <c r="AH44" s="3"/>
      <c r="AI44" s="3"/>
    </row>
    <row r="45" spans="1:35" ht="12.75" x14ac:dyDescent="0.2">
      <c r="A45" s="3"/>
      <c r="B45" s="59"/>
      <c r="C45" s="3"/>
      <c r="D45" s="3" t="s">
        <v>178</v>
      </c>
      <c r="E45" s="3" t="s">
        <v>180</v>
      </c>
      <c r="F45" s="3" t="s">
        <v>78</v>
      </c>
      <c r="G45" s="3" t="s">
        <v>25</v>
      </c>
      <c r="H45" s="60">
        <v>73080</v>
      </c>
      <c r="I45" s="3" t="s">
        <v>81</v>
      </c>
      <c r="J45" s="60">
        <v>137269</v>
      </c>
      <c r="K45" s="3" t="s">
        <v>82</v>
      </c>
      <c r="L45" s="66">
        <f t="shared" ref="L45:L46" si="2">H45*J45/1000000</f>
        <v>10031.61852</v>
      </c>
      <c r="M45" s="66">
        <f>(L45/L47)*(M47)</f>
        <v>637.15437561012789</v>
      </c>
      <c r="N45" s="70">
        <f>L45/L47*N47</f>
        <v>1.487685333312507E-2</v>
      </c>
      <c r="O45" s="140">
        <f>L45/L47*O47</f>
        <v>2.2740332952062604E-3</v>
      </c>
      <c r="P45" s="3"/>
      <c r="Q45" s="3"/>
      <c r="R45" s="3"/>
      <c r="S45" s="3"/>
      <c r="T45" s="3"/>
      <c r="U45" s="3"/>
      <c r="V45" s="3"/>
      <c r="W45" s="3"/>
      <c r="X45" s="3"/>
      <c r="Y45" s="3"/>
      <c r="Z45" s="3"/>
      <c r="AA45" s="3"/>
      <c r="AB45" s="3"/>
      <c r="AC45" s="3"/>
      <c r="AD45" s="3"/>
      <c r="AE45" s="3"/>
      <c r="AF45" s="3"/>
      <c r="AG45" s="3"/>
      <c r="AH45" s="3"/>
      <c r="AI45" s="3"/>
    </row>
    <row r="46" spans="1:35" ht="12.75" x14ac:dyDescent="0.2">
      <c r="A46" s="3"/>
      <c r="B46" s="59"/>
      <c r="C46" s="3"/>
      <c r="D46" s="3" t="s">
        <v>178</v>
      </c>
      <c r="E46" s="3" t="s">
        <v>180</v>
      </c>
      <c r="F46" s="3" t="s">
        <v>29</v>
      </c>
      <c r="G46" s="3" t="s">
        <v>162</v>
      </c>
      <c r="H46" s="60">
        <v>35390000</v>
      </c>
      <c r="I46" s="3" t="s">
        <v>99</v>
      </c>
      <c r="J46" s="60">
        <v>1050.3</v>
      </c>
      <c r="K46" s="3" t="s">
        <v>163</v>
      </c>
      <c r="L46" s="66">
        <f t="shared" si="2"/>
        <v>37170.116999999998</v>
      </c>
      <c r="M46" s="66">
        <f>(L46/L47)*M47</f>
        <v>2360.8456243898718</v>
      </c>
      <c r="N46" s="70">
        <f>L46/L47*N47</f>
        <v>5.5123146666874928E-2</v>
      </c>
      <c r="O46" s="74">
        <f>L46/L47*O47</f>
        <v>8.4259667047937373E-3</v>
      </c>
      <c r="P46" s="3"/>
      <c r="Q46" s="3"/>
      <c r="R46" s="3"/>
      <c r="S46" s="3"/>
      <c r="T46" s="3"/>
      <c r="U46" s="3"/>
      <c r="V46" s="3"/>
      <c r="W46" s="3"/>
      <c r="X46" s="3"/>
      <c r="Y46" s="3"/>
      <c r="Z46" s="3"/>
      <c r="AA46" s="3"/>
      <c r="AB46" s="3"/>
      <c r="AC46" s="3"/>
      <c r="AD46" s="3"/>
      <c r="AE46" s="3"/>
      <c r="AF46" s="3"/>
      <c r="AG46" s="3"/>
      <c r="AH46" s="3"/>
      <c r="AI46" s="3"/>
    </row>
    <row r="47" spans="1:35" ht="12.75" x14ac:dyDescent="0.2">
      <c r="A47" s="3"/>
      <c r="B47" s="59"/>
      <c r="C47" s="3"/>
      <c r="D47" s="3" t="s">
        <v>178</v>
      </c>
      <c r="E47" s="3" t="s">
        <v>180</v>
      </c>
      <c r="F47" s="80" t="s">
        <v>85</v>
      </c>
      <c r="G47" s="3"/>
      <c r="H47" s="116"/>
      <c r="I47" s="3"/>
      <c r="J47" s="116"/>
      <c r="K47" s="3"/>
      <c r="L47" s="141">
        <f>SUM(L45:L46)</f>
        <v>47201.735520000002</v>
      </c>
      <c r="M47" s="83">
        <v>2998</v>
      </c>
      <c r="N47" s="142">
        <v>7.0000000000000007E-2</v>
      </c>
      <c r="O47" s="143">
        <v>1.0699999999999999E-2</v>
      </c>
      <c r="P47" s="3"/>
      <c r="Q47" s="3"/>
      <c r="R47" s="3"/>
      <c r="S47" s="3"/>
      <c r="T47" s="3"/>
      <c r="U47" s="3"/>
      <c r="V47" s="3"/>
      <c r="W47" s="3"/>
      <c r="X47" s="3"/>
      <c r="Y47" s="3"/>
      <c r="Z47" s="3"/>
      <c r="AA47" s="3"/>
      <c r="AB47" s="3"/>
      <c r="AC47" s="3"/>
      <c r="AD47" s="3"/>
      <c r="AE47" s="3"/>
      <c r="AF47" s="3"/>
      <c r="AG47" s="3"/>
      <c r="AH47" s="3"/>
      <c r="AI47" s="3"/>
    </row>
    <row r="48" spans="1:35" ht="12.75" x14ac:dyDescent="0.2">
      <c r="A48" s="3"/>
      <c r="B48" s="59"/>
      <c r="C48" s="3"/>
      <c r="D48" s="3"/>
      <c r="E48" s="3"/>
      <c r="F48" s="2"/>
      <c r="G48" s="3"/>
      <c r="H48" s="129"/>
      <c r="I48" s="3"/>
      <c r="J48" s="129"/>
      <c r="K48" s="3"/>
      <c r="L48" s="129"/>
      <c r="M48" s="138"/>
      <c r="N48" s="138"/>
      <c r="O48" s="139"/>
      <c r="P48" s="3"/>
      <c r="Q48" s="3"/>
      <c r="R48" s="3"/>
      <c r="S48" s="3"/>
      <c r="T48" s="3"/>
      <c r="U48" s="3"/>
      <c r="V48" s="3"/>
      <c r="W48" s="3"/>
      <c r="X48" s="3"/>
      <c r="Y48" s="3"/>
      <c r="Z48" s="3"/>
      <c r="AA48" s="3"/>
      <c r="AB48" s="3"/>
      <c r="AC48" s="3"/>
      <c r="AD48" s="3"/>
      <c r="AE48" s="3"/>
      <c r="AF48" s="3"/>
      <c r="AG48" s="3"/>
      <c r="AH48" s="3"/>
      <c r="AI48" s="3"/>
    </row>
    <row r="49" spans="1:35" ht="12.75" x14ac:dyDescent="0.2">
      <c r="A49" s="3"/>
      <c r="B49" s="59"/>
      <c r="C49" s="3"/>
      <c r="D49" s="3" t="s">
        <v>190</v>
      </c>
      <c r="E49" s="3" t="s">
        <v>191</v>
      </c>
      <c r="F49" s="3" t="s">
        <v>78</v>
      </c>
      <c r="G49" s="3" t="s">
        <v>25</v>
      </c>
      <c r="H49" s="60">
        <v>33180</v>
      </c>
      <c r="I49" s="3" t="s">
        <v>81</v>
      </c>
      <c r="J49" s="60">
        <v>137269</v>
      </c>
      <c r="K49" s="3" t="s">
        <v>82</v>
      </c>
      <c r="L49" s="66">
        <f t="shared" ref="L49:L50" si="3">H49*J49/1000000</f>
        <v>4554.5854200000003</v>
      </c>
      <c r="M49" s="66">
        <f>L49/L51*M51</f>
        <v>273.91751730525175</v>
      </c>
      <c r="N49" s="148">
        <f>L49/L51*N51</f>
        <v>4.7670991525452797E-3</v>
      </c>
      <c r="O49" s="149">
        <f>L49/L51*O51</f>
        <v>4.814770144070732E-4</v>
      </c>
      <c r="P49" s="3"/>
      <c r="Q49" s="3"/>
      <c r="R49" s="3"/>
      <c r="S49" s="3"/>
      <c r="T49" s="3"/>
      <c r="U49" s="3"/>
      <c r="V49" s="3"/>
      <c r="W49" s="3"/>
      <c r="X49" s="3"/>
      <c r="Y49" s="3"/>
      <c r="Z49" s="3"/>
      <c r="AA49" s="3"/>
      <c r="AB49" s="3"/>
      <c r="AC49" s="3"/>
      <c r="AD49" s="3"/>
      <c r="AE49" s="3"/>
      <c r="AF49" s="3"/>
      <c r="AG49" s="3"/>
      <c r="AH49" s="3"/>
      <c r="AI49" s="3"/>
    </row>
    <row r="50" spans="1:35" ht="12.75" x14ac:dyDescent="0.2">
      <c r="A50" s="3"/>
      <c r="B50" s="59"/>
      <c r="C50" s="3"/>
      <c r="D50" s="3" t="s">
        <v>190</v>
      </c>
      <c r="E50" s="3" t="s">
        <v>191</v>
      </c>
      <c r="F50" s="3" t="s">
        <v>29</v>
      </c>
      <c r="G50" s="3" t="s">
        <v>162</v>
      </c>
      <c r="H50" s="60">
        <v>86630000</v>
      </c>
      <c r="I50" s="3" t="s">
        <v>99</v>
      </c>
      <c r="J50" s="60">
        <v>1050.3</v>
      </c>
      <c r="K50" s="3" t="s">
        <v>163</v>
      </c>
      <c r="L50" s="66">
        <f t="shared" si="3"/>
        <v>90987.489000000001</v>
      </c>
      <c r="M50" s="66">
        <f>L50/L51*M51</f>
        <v>5472.0824826947483</v>
      </c>
      <c r="N50" s="70">
        <f>L50/L51*N51</f>
        <v>9.5232900847454727E-2</v>
      </c>
      <c r="O50" s="74">
        <f>L50/L51*O51</f>
        <v>9.6185229855929259E-3</v>
      </c>
      <c r="P50" s="3"/>
      <c r="Q50" s="3"/>
      <c r="R50" s="3"/>
      <c r="S50" s="3"/>
      <c r="T50" s="3"/>
      <c r="U50" s="3"/>
      <c r="V50" s="3"/>
      <c r="W50" s="3"/>
      <c r="X50" s="3"/>
      <c r="Y50" s="3"/>
      <c r="Z50" s="3"/>
      <c r="AA50" s="3"/>
      <c r="AB50" s="3"/>
      <c r="AC50" s="3"/>
      <c r="AD50" s="3"/>
      <c r="AE50" s="3"/>
      <c r="AF50" s="3"/>
      <c r="AG50" s="3"/>
      <c r="AH50" s="3"/>
      <c r="AI50" s="3"/>
    </row>
    <row r="51" spans="1:35" ht="12.75" x14ac:dyDescent="0.2">
      <c r="A51" s="3"/>
      <c r="B51" s="59"/>
      <c r="C51" s="3"/>
      <c r="D51" s="3" t="s">
        <v>190</v>
      </c>
      <c r="E51" s="3" t="s">
        <v>191</v>
      </c>
      <c r="F51" s="80" t="s">
        <v>85</v>
      </c>
      <c r="G51" s="3"/>
      <c r="H51" s="116"/>
      <c r="I51" s="3"/>
      <c r="J51" s="116"/>
      <c r="K51" s="3"/>
      <c r="L51" s="141">
        <f>L49+L50</f>
        <v>95542.074420000004</v>
      </c>
      <c r="M51" s="83">
        <v>5746</v>
      </c>
      <c r="N51" s="150">
        <v>0.1</v>
      </c>
      <c r="O51" s="143">
        <v>1.01E-2</v>
      </c>
      <c r="P51" s="3"/>
      <c r="Q51" s="3"/>
      <c r="R51" s="3"/>
      <c r="S51" s="3"/>
      <c r="T51" s="3"/>
      <c r="U51" s="3"/>
      <c r="V51" s="3"/>
      <c r="W51" s="3"/>
      <c r="X51" s="3"/>
      <c r="Y51" s="3"/>
      <c r="Z51" s="3"/>
      <c r="AA51" s="3"/>
      <c r="AB51" s="3"/>
      <c r="AC51" s="3"/>
      <c r="AD51" s="3"/>
      <c r="AE51" s="3"/>
      <c r="AF51" s="3"/>
      <c r="AG51" s="3"/>
      <c r="AH51" s="3"/>
      <c r="AI51" s="3"/>
    </row>
    <row r="52" spans="1:35" ht="12.75" x14ac:dyDescent="0.2">
      <c r="A52" s="3"/>
      <c r="B52" s="59"/>
      <c r="C52" s="3"/>
      <c r="D52" s="3"/>
      <c r="E52" s="3"/>
      <c r="F52" s="2"/>
      <c r="G52" s="3"/>
      <c r="H52" s="129"/>
      <c r="I52" s="3"/>
      <c r="J52" s="129"/>
      <c r="K52" s="3"/>
      <c r="L52" s="129"/>
      <c r="M52" s="138"/>
      <c r="N52" s="138"/>
      <c r="O52" s="139"/>
      <c r="P52" s="3"/>
      <c r="Q52" s="3"/>
      <c r="R52" s="3"/>
      <c r="S52" s="3"/>
      <c r="T52" s="3"/>
      <c r="U52" s="3"/>
      <c r="V52" s="3"/>
      <c r="W52" s="3"/>
      <c r="X52" s="3"/>
      <c r="Y52" s="3"/>
      <c r="Z52" s="3"/>
      <c r="AA52" s="3"/>
      <c r="AB52" s="3"/>
      <c r="AC52" s="3"/>
      <c r="AD52" s="3"/>
      <c r="AE52" s="3"/>
      <c r="AF52" s="3"/>
      <c r="AG52" s="3"/>
      <c r="AH52" s="3"/>
      <c r="AI52" s="3"/>
    </row>
    <row r="53" spans="1:35" ht="12.75" x14ac:dyDescent="0.2">
      <c r="A53" s="3"/>
      <c r="B53" s="59"/>
      <c r="C53" s="3"/>
      <c r="D53" s="3" t="s">
        <v>201</v>
      </c>
      <c r="E53" s="3" t="s">
        <v>202</v>
      </c>
      <c r="F53" s="3" t="s">
        <v>78</v>
      </c>
      <c r="G53" s="3" t="s">
        <v>25</v>
      </c>
      <c r="H53" s="60">
        <v>88200</v>
      </c>
      <c r="I53" s="3" t="s">
        <v>81</v>
      </c>
      <c r="J53" s="60">
        <v>137269</v>
      </c>
      <c r="K53" s="3" t="s">
        <v>82</v>
      </c>
      <c r="L53" s="66">
        <f t="shared" ref="L53:L54" si="4">H53*J53/1000000</f>
        <v>12107.1258</v>
      </c>
      <c r="M53" s="66">
        <f>L53/L55*M55</f>
        <v>771.27955202928422</v>
      </c>
      <c r="N53" s="70">
        <f>L53/L55*N55</f>
        <v>1.8599989196847688E-2</v>
      </c>
      <c r="O53" s="140">
        <f>L53/L55*O55</f>
        <v>2.7279984155376613E-3</v>
      </c>
      <c r="P53" s="3"/>
      <c r="Q53" s="3"/>
      <c r="R53" s="3"/>
      <c r="S53" s="3"/>
      <c r="T53" s="3"/>
      <c r="U53" s="3"/>
      <c r="V53" s="3"/>
      <c r="W53" s="3"/>
      <c r="X53" s="3"/>
      <c r="Y53" s="3"/>
      <c r="Z53" s="3"/>
      <c r="AA53" s="3"/>
      <c r="AB53" s="3"/>
      <c r="AC53" s="3"/>
      <c r="AD53" s="3"/>
      <c r="AE53" s="3"/>
      <c r="AF53" s="3"/>
      <c r="AG53" s="3"/>
      <c r="AH53" s="3"/>
      <c r="AI53" s="3"/>
    </row>
    <row r="54" spans="1:35" ht="12.75" x14ac:dyDescent="0.2">
      <c r="A54" s="3"/>
      <c r="B54" s="59"/>
      <c r="C54" s="3"/>
      <c r="D54" s="3" t="s">
        <v>201</v>
      </c>
      <c r="E54" s="3" t="s">
        <v>202</v>
      </c>
      <c r="F54" s="3" t="s">
        <v>29</v>
      </c>
      <c r="G54" s="3" t="s">
        <v>162</v>
      </c>
      <c r="H54" s="60">
        <v>44250000</v>
      </c>
      <c r="I54" s="3" t="s">
        <v>99</v>
      </c>
      <c r="J54" s="60">
        <v>1050.3</v>
      </c>
      <c r="K54" s="3" t="s">
        <v>163</v>
      </c>
      <c r="L54" s="66">
        <f t="shared" si="4"/>
        <v>46475.775000000001</v>
      </c>
      <c r="M54" s="66">
        <f>L54/L55*M55</f>
        <v>2960.7204479707157</v>
      </c>
      <c r="N54" s="70">
        <f>L54/L55*N55</f>
        <v>7.1400010803152295E-2</v>
      </c>
      <c r="O54" s="74">
        <f>L54/L55*O55</f>
        <v>1.0472001584462338E-2</v>
      </c>
      <c r="P54" s="3"/>
      <c r="Q54" s="3"/>
      <c r="R54" s="3"/>
      <c r="S54" s="3"/>
      <c r="T54" s="3"/>
      <c r="U54" s="3"/>
      <c r="V54" s="3"/>
      <c r="W54" s="3"/>
      <c r="X54" s="3"/>
      <c r="Y54" s="3"/>
      <c r="Z54" s="3"/>
      <c r="AA54" s="3"/>
      <c r="AB54" s="3"/>
      <c r="AC54" s="3"/>
      <c r="AD54" s="3"/>
      <c r="AE54" s="3"/>
      <c r="AF54" s="3"/>
      <c r="AG54" s="3"/>
      <c r="AH54" s="3"/>
      <c r="AI54" s="3"/>
    </row>
    <row r="55" spans="1:35" ht="12.75" x14ac:dyDescent="0.2">
      <c r="A55" s="3"/>
      <c r="B55" s="59"/>
      <c r="C55" s="3"/>
      <c r="D55" s="3" t="s">
        <v>201</v>
      </c>
      <c r="E55" s="3" t="s">
        <v>202</v>
      </c>
      <c r="F55" s="80" t="s">
        <v>85</v>
      </c>
      <c r="G55" s="3"/>
      <c r="H55" s="116"/>
      <c r="I55" s="3"/>
      <c r="J55" s="116"/>
      <c r="K55" s="3"/>
      <c r="L55" s="141">
        <f>L53+L54</f>
        <v>58582.900800000003</v>
      </c>
      <c r="M55" s="83">
        <v>3732</v>
      </c>
      <c r="N55" s="142">
        <v>0.09</v>
      </c>
      <c r="O55" s="85">
        <v>1.32E-2</v>
      </c>
      <c r="P55" s="3"/>
      <c r="Q55" s="3"/>
      <c r="R55" s="3"/>
      <c r="S55" s="3"/>
      <c r="T55" s="3"/>
      <c r="U55" s="3"/>
      <c r="V55" s="3"/>
      <c r="W55" s="3"/>
      <c r="X55" s="3"/>
      <c r="Y55" s="3"/>
      <c r="Z55" s="3"/>
      <c r="AA55" s="3"/>
      <c r="AB55" s="3"/>
      <c r="AC55" s="3"/>
      <c r="AD55" s="3"/>
      <c r="AE55" s="3"/>
      <c r="AF55" s="3"/>
      <c r="AG55" s="3"/>
      <c r="AH55" s="3"/>
      <c r="AI55" s="3"/>
    </row>
    <row r="56" spans="1:35" ht="12.75" x14ac:dyDescent="0.2">
      <c r="A56" s="3"/>
      <c r="B56" s="59"/>
      <c r="C56" s="3"/>
      <c r="D56" s="3"/>
      <c r="E56" s="3"/>
      <c r="F56" s="2"/>
      <c r="G56" s="3"/>
      <c r="H56" s="129"/>
      <c r="I56" s="3"/>
      <c r="J56" s="129"/>
      <c r="K56" s="3"/>
      <c r="L56" s="129"/>
      <c r="M56" s="129"/>
      <c r="N56" s="116"/>
      <c r="O56" s="132"/>
      <c r="P56" s="3"/>
      <c r="Q56" s="3"/>
      <c r="R56" s="3"/>
      <c r="S56" s="3"/>
      <c r="T56" s="3"/>
      <c r="U56" s="3"/>
      <c r="V56" s="3"/>
      <c r="W56" s="3"/>
      <c r="X56" s="3"/>
      <c r="Y56" s="3"/>
      <c r="Z56" s="3"/>
      <c r="AA56" s="3"/>
      <c r="AB56" s="3"/>
      <c r="AC56" s="3"/>
      <c r="AD56" s="3"/>
      <c r="AE56" s="3"/>
      <c r="AF56" s="3"/>
      <c r="AG56" s="3"/>
      <c r="AH56" s="3"/>
      <c r="AI56" s="3"/>
    </row>
    <row r="57" spans="1:35" ht="12.75" x14ac:dyDescent="0.2">
      <c r="A57" s="3"/>
      <c r="B57" s="59"/>
      <c r="C57" s="3"/>
      <c r="D57" s="3" t="s">
        <v>209</v>
      </c>
      <c r="E57" s="3" t="s">
        <v>210</v>
      </c>
      <c r="F57" s="3" t="s">
        <v>29</v>
      </c>
      <c r="G57" s="3" t="s">
        <v>162</v>
      </c>
      <c r="H57" s="60">
        <v>98260000</v>
      </c>
      <c r="I57" s="3" t="s">
        <v>99</v>
      </c>
      <c r="J57" s="60">
        <v>1050.3</v>
      </c>
      <c r="K57" s="3" t="s">
        <v>163</v>
      </c>
      <c r="L57" s="60">
        <v>103192</v>
      </c>
      <c r="M57" s="60">
        <v>6089</v>
      </c>
      <c r="N57" s="106">
        <v>0.11</v>
      </c>
      <c r="O57" s="108">
        <v>1.14E-2</v>
      </c>
      <c r="P57" s="3"/>
      <c r="Q57" s="3"/>
      <c r="R57" s="3"/>
      <c r="S57" s="3"/>
      <c r="T57" s="3"/>
      <c r="U57" s="3"/>
      <c r="V57" s="3"/>
      <c r="W57" s="3"/>
      <c r="X57" s="3"/>
      <c r="Y57" s="3"/>
      <c r="Z57" s="3"/>
      <c r="AA57" s="3"/>
      <c r="AB57" s="3"/>
      <c r="AC57" s="3"/>
      <c r="AD57" s="3"/>
      <c r="AE57" s="3"/>
      <c r="AF57" s="3"/>
      <c r="AG57" s="3"/>
      <c r="AH57" s="3"/>
      <c r="AI57" s="3"/>
    </row>
    <row r="58" spans="1:35" ht="12.75" x14ac:dyDescent="0.2">
      <c r="A58" s="3"/>
      <c r="B58" s="59"/>
      <c r="C58" s="3"/>
      <c r="D58" s="3"/>
      <c r="E58" s="3"/>
      <c r="F58" s="2"/>
      <c r="G58" s="3"/>
      <c r="H58" s="116"/>
      <c r="I58" s="3"/>
      <c r="J58" s="116"/>
      <c r="K58" s="3"/>
      <c r="L58" s="129"/>
      <c r="M58" s="129"/>
      <c r="N58" s="116"/>
      <c r="O58" s="119"/>
      <c r="P58" s="3"/>
      <c r="Q58" s="3"/>
      <c r="R58" s="3"/>
      <c r="S58" s="3"/>
      <c r="T58" s="3"/>
      <c r="U58" s="3"/>
      <c r="V58" s="3"/>
      <c r="W58" s="3"/>
      <c r="X58" s="3"/>
      <c r="Y58" s="3"/>
      <c r="Z58" s="3"/>
      <c r="AA58" s="3"/>
      <c r="AB58" s="3"/>
      <c r="AC58" s="3"/>
      <c r="AD58" s="3"/>
      <c r="AE58" s="3"/>
      <c r="AF58" s="3"/>
      <c r="AG58" s="3"/>
      <c r="AH58" s="3"/>
      <c r="AI58" s="3"/>
    </row>
    <row r="59" spans="1:35" ht="12.75" x14ac:dyDescent="0.2">
      <c r="A59" s="3"/>
      <c r="B59" s="59"/>
      <c r="C59" s="3"/>
      <c r="D59" s="3" t="s">
        <v>213</v>
      </c>
      <c r="E59" s="3" t="s">
        <v>214</v>
      </c>
      <c r="F59" s="3" t="s">
        <v>78</v>
      </c>
      <c r="G59" s="3" t="s">
        <v>25</v>
      </c>
      <c r="H59" s="60">
        <v>155824</v>
      </c>
      <c r="I59" s="3" t="s">
        <v>81</v>
      </c>
      <c r="J59" s="60">
        <v>137269</v>
      </c>
      <c r="K59" s="3" t="s">
        <v>82</v>
      </c>
      <c r="L59" s="66">
        <f t="shared" ref="L59:L61" si="5">H59*J59/1000000</f>
        <v>21389.804656</v>
      </c>
      <c r="M59" s="60">
        <v>1744</v>
      </c>
      <c r="N59" s="156">
        <v>7.0000000000000007E-2</v>
      </c>
      <c r="O59" s="157">
        <v>1.41E-2</v>
      </c>
      <c r="P59" s="3"/>
      <c r="Q59" s="3"/>
      <c r="R59" s="3"/>
      <c r="S59" s="3"/>
      <c r="T59" s="3"/>
      <c r="U59" s="3"/>
      <c r="V59" s="3"/>
      <c r="W59" s="3"/>
      <c r="X59" s="3"/>
      <c r="Y59" s="3"/>
      <c r="Z59" s="3"/>
      <c r="AA59" s="3"/>
      <c r="AB59" s="3"/>
      <c r="AC59" s="3"/>
      <c r="AD59" s="3"/>
      <c r="AE59" s="3"/>
      <c r="AF59" s="3"/>
      <c r="AG59" s="3"/>
      <c r="AH59" s="3"/>
      <c r="AI59" s="3"/>
    </row>
    <row r="60" spans="1:35" ht="12.75" x14ac:dyDescent="0.2">
      <c r="A60" s="3"/>
      <c r="B60" s="59"/>
      <c r="C60" s="3"/>
      <c r="D60" s="3" t="s">
        <v>216</v>
      </c>
      <c r="E60" s="3" t="s">
        <v>217</v>
      </c>
      <c r="F60" s="3" t="s">
        <v>78</v>
      </c>
      <c r="G60" s="3" t="s">
        <v>25</v>
      </c>
      <c r="H60" s="60">
        <v>83380</v>
      </c>
      <c r="I60" s="3" t="s">
        <v>81</v>
      </c>
      <c r="J60" s="60">
        <v>137269</v>
      </c>
      <c r="K60" s="3" t="s">
        <v>82</v>
      </c>
      <c r="L60" s="66">
        <f t="shared" si="5"/>
        <v>11445.489219999999</v>
      </c>
      <c r="M60" s="60">
        <v>933.1</v>
      </c>
      <c r="N60" s="156">
        <v>3.78E-2</v>
      </c>
      <c r="O60" s="157">
        <v>7.5700000000000003E-3</v>
      </c>
      <c r="P60" s="3"/>
      <c r="Q60" s="3"/>
      <c r="R60" s="3"/>
      <c r="S60" s="3"/>
      <c r="T60" s="3"/>
      <c r="U60" s="3"/>
      <c r="V60" s="3"/>
      <c r="W60" s="3"/>
      <c r="X60" s="3"/>
      <c r="Y60" s="3"/>
      <c r="Z60" s="3"/>
      <c r="AA60" s="3"/>
      <c r="AB60" s="3"/>
      <c r="AC60" s="3"/>
      <c r="AD60" s="3"/>
      <c r="AE60" s="3"/>
      <c r="AF60" s="3"/>
      <c r="AG60" s="3"/>
      <c r="AH60" s="3"/>
      <c r="AI60" s="3"/>
    </row>
    <row r="61" spans="1:35" ht="12.75" x14ac:dyDescent="0.2">
      <c r="A61" s="3"/>
      <c r="B61" s="59"/>
      <c r="C61" s="3"/>
      <c r="D61" s="3" t="s">
        <v>218</v>
      </c>
      <c r="E61" s="3" t="s">
        <v>219</v>
      </c>
      <c r="F61" s="3" t="s">
        <v>78</v>
      </c>
      <c r="G61" s="3" t="s">
        <v>25</v>
      </c>
      <c r="H61" s="60">
        <v>88081</v>
      </c>
      <c r="I61" s="3" t="s">
        <v>81</v>
      </c>
      <c r="J61" s="60">
        <v>137269</v>
      </c>
      <c r="K61" s="3" t="s">
        <v>82</v>
      </c>
      <c r="L61" s="66">
        <f t="shared" si="5"/>
        <v>12090.790789000001</v>
      </c>
      <c r="M61" s="60">
        <v>985.7</v>
      </c>
      <c r="N61" s="156">
        <v>0.04</v>
      </c>
      <c r="O61" s="157">
        <v>8.0000000000000002E-3</v>
      </c>
      <c r="P61" s="3"/>
      <c r="Q61" s="3"/>
      <c r="R61" s="3"/>
      <c r="S61" s="3"/>
      <c r="T61" s="3"/>
      <c r="U61" s="3"/>
      <c r="V61" s="3"/>
      <c r="W61" s="3"/>
      <c r="X61" s="3"/>
      <c r="Y61" s="3"/>
      <c r="Z61" s="3"/>
      <c r="AA61" s="3"/>
      <c r="AB61" s="3"/>
      <c r="AC61" s="3"/>
      <c r="AD61" s="3"/>
      <c r="AE61" s="3"/>
      <c r="AF61" s="3"/>
      <c r="AG61" s="3"/>
      <c r="AH61" s="3"/>
      <c r="AI61" s="3"/>
    </row>
    <row r="62" spans="1:35" ht="12.75" x14ac:dyDescent="0.2">
      <c r="A62" s="3"/>
      <c r="B62" s="98"/>
      <c r="C62" s="99"/>
      <c r="D62" s="99"/>
      <c r="E62" s="99"/>
      <c r="F62" s="100"/>
      <c r="G62" s="99"/>
      <c r="H62" s="124"/>
      <c r="I62" s="99"/>
      <c r="J62" s="124"/>
      <c r="K62" s="99"/>
      <c r="L62" s="124"/>
      <c r="M62" s="124"/>
      <c r="N62" s="124"/>
      <c r="O62" s="125"/>
      <c r="P62" s="3"/>
      <c r="Q62" s="3"/>
      <c r="R62" s="3"/>
      <c r="S62" s="3"/>
      <c r="T62" s="3"/>
      <c r="U62" s="3"/>
      <c r="V62" s="3"/>
      <c r="W62" s="3"/>
      <c r="X62" s="3"/>
      <c r="Y62" s="3"/>
      <c r="Z62" s="3"/>
      <c r="AA62" s="3"/>
      <c r="AB62" s="3"/>
      <c r="AC62" s="3"/>
      <c r="AD62" s="3"/>
      <c r="AE62" s="3"/>
      <c r="AF62" s="3"/>
      <c r="AG62" s="3"/>
      <c r="AH62" s="3"/>
      <c r="AI62" s="3"/>
    </row>
    <row r="63" spans="1:35" ht="12.75" x14ac:dyDescent="0.2">
      <c r="A63" s="3"/>
      <c r="B63" s="50"/>
      <c r="C63" s="55"/>
      <c r="D63" s="52"/>
      <c r="E63" s="52"/>
      <c r="F63" s="52"/>
      <c r="G63" s="52"/>
      <c r="H63" s="158"/>
      <c r="I63" s="52"/>
      <c r="J63" s="159"/>
      <c r="K63" s="52"/>
      <c r="L63" s="158"/>
      <c r="M63" s="160"/>
      <c r="N63" s="160"/>
      <c r="O63" s="161"/>
      <c r="P63" s="3"/>
      <c r="Q63" s="3"/>
      <c r="R63" s="3"/>
      <c r="S63" s="3"/>
      <c r="T63" s="3"/>
      <c r="U63" s="3"/>
      <c r="V63" s="3"/>
      <c r="W63" s="3"/>
      <c r="X63" s="3"/>
      <c r="Y63" s="3"/>
      <c r="Z63" s="3"/>
      <c r="AA63" s="3"/>
      <c r="AB63" s="3"/>
      <c r="AC63" s="3"/>
      <c r="AD63" s="3"/>
      <c r="AE63" s="3"/>
      <c r="AF63" s="3"/>
      <c r="AG63" s="3"/>
      <c r="AH63" s="3"/>
      <c r="AI63" s="3"/>
    </row>
    <row r="64" spans="1:35" ht="12.75" x14ac:dyDescent="0.2">
      <c r="A64" s="3"/>
      <c r="B64" s="59" t="s">
        <v>223</v>
      </c>
      <c r="C64" s="61" t="s">
        <v>224</v>
      </c>
      <c r="D64" s="3" t="s">
        <v>225</v>
      </c>
      <c r="E64" s="3" t="s">
        <v>226</v>
      </c>
      <c r="F64" s="3" t="s">
        <v>78</v>
      </c>
      <c r="G64" s="3" t="s">
        <v>25</v>
      </c>
      <c r="H64" s="60">
        <v>61320</v>
      </c>
      <c r="I64" s="3" t="s">
        <v>81</v>
      </c>
      <c r="J64" s="60">
        <v>137269</v>
      </c>
      <c r="K64" s="3" t="s">
        <v>82</v>
      </c>
      <c r="L64" s="66">
        <f>H64*J64/1000000</f>
        <v>8417.3350800000007</v>
      </c>
      <c r="M64" s="66">
        <f>L64/L66*M66</f>
        <v>654.52521943143825</v>
      </c>
      <c r="N64" s="70">
        <f>L64/L66*N66</f>
        <v>9.3056751627647732E-3</v>
      </c>
      <c r="O64" s="140">
        <f>L64/L66*O66</f>
        <v>9.3056751627647728E-4</v>
      </c>
      <c r="P64" s="3"/>
      <c r="Q64" s="3"/>
      <c r="R64" s="3"/>
      <c r="S64" s="3"/>
      <c r="T64" s="3"/>
      <c r="U64" s="3"/>
      <c r="V64" s="3"/>
      <c r="W64" s="3"/>
      <c r="X64" s="3"/>
      <c r="Y64" s="3"/>
      <c r="Z64" s="3"/>
      <c r="AA64" s="3"/>
      <c r="AB64" s="3"/>
      <c r="AC64" s="3"/>
      <c r="AD64" s="3"/>
      <c r="AE64" s="3"/>
      <c r="AF64" s="3"/>
      <c r="AG64" s="3"/>
      <c r="AH64" s="3"/>
      <c r="AI64" s="3"/>
    </row>
    <row r="65" spans="1:35" ht="12.75" x14ac:dyDescent="0.2">
      <c r="A65" s="3"/>
      <c r="B65" s="59"/>
      <c r="C65" s="3"/>
      <c r="D65" s="3" t="s">
        <v>225</v>
      </c>
      <c r="E65" s="3" t="s">
        <v>226</v>
      </c>
      <c r="F65" s="3" t="s">
        <v>29</v>
      </c>
      <c r="G65" s="3" t="s">
        <v>162</v>
      </c>
      <c r="H65" s="60">
        <f>910*1000</f>
        <v>910000</v>
      </c>
      <c r="I65" s="3" t="s">
        <v>99</v>
      </c>
      <c r="J65" s="60">
        <v>1050.3</v>
      </c>
      <c r="K65" s="3" t="s">
        <v>163</v>
      </c>
      <c r="L65" s="162">
        <f>L66-L64</f>
        <v>2346.6649199999993</v>
      </c>
      <c r="M65" s="66">
        <f>L65/L66*M66</f>
        <v>182.47478056856181</v>
      </c>
      <c r="N65" s="148">
        <f>L65/L66*N66</f>
        <v>2.5943248372352276E-3</v>
      </c>
      <c r="O65" s="149">
        <f>L65/L66*O66</f>
        <v>2.5943248372352275E-4</v>
      </c>
      <c r="P65" s="3"/>
      <c r="Q65" s="3"/>
      <c r="R65" s="3"/>
      <c r="S65" s="3"/>
      <c r="T65" s="3"/>
      <c r="U65" s="3"/>
      <c r="V65" s="3"/>
      <c r="W65" s="3"/>
      <c r="X65" s="3"/>
      <c r="Y65" s="3"/>
      <c r="Z65" s="3"/>
      <c r="AA65" s="3"/>
      <c r="AB65" s="3"/>
      <c r="AC65" s="3"/>
      <c r="AD65" s="3"/>
      <c r="AE65" s="3"/>
      <c r="AF65" s="3"/>
      <c r="AG65" s="3"/>
      <c r="AH65" s="3"/>
      <c r="AI65" s="3"/>
    </row>
    <row r="66" spans="1:35" ht="12.75" x14ac:dyDescent="0.2">
      <c r="A66" s="3"/>
      <c r="B66" s="59"/>
      <c r="C66" s="3"/>
      <c r="D66" s="3" t="s">
        <v>225</v>
      </c>
      <c r="E66" s="3" t="s">
        <v>226</v>
      </c>
      <c r="F66" s="80" t="s">
        <v>85</v>
      </c>
      <c r="G66" s="8"/>
      <c r="H66" s="2"/>
      <c r="I66" s="2"/>
      <c r="J66" s="2"/>
      <c r="K66" s="2"/>
      <c r="L66" s="83">
        <v>10764</v>
      </c>
      <c r="M66" s="163">
        <v>837</v>
      </c>
      <c r="N66" s="111">
        <f>0.0119</f>
        <v>1.1900000000000001E-2</v>
      </c>
      <c r="O66" s="164">
        <f>0.00119</f>
        <v>1.1900000000000001E-3</v>
      </c>
      <c r="P66" s="3"/>
      <c r="Q66" s="3"/>
      <c r="R66" s="3"/>
      <c r="S66" s="3"/>
      <c r="T66" s="3"/>
      <c r="U66" s="3"/>
      <c r="V66" s="3"/>
      <c r="W66" s="3"/>
      <c r="X66" s="3"/>
      <c r="Y66" s="3"/>
      <c r="Z66" s="3"/>
      <c r="AA66" s="3"/>
      <c r="AB66" s="3"/>
      <c r="AC66" s="3"/>
      <c r="AD66" s="3"/>
      <c r="AE66" s="3"/>
      <c r="AF66" s="3"/>
      <c r="AG66" s="3"/>
      <c r="AH66" s="3"/>
      <c r="AI66" s="3"/>
    </row>
    <row r="67" spans="1:35" ht="12.75" x14ac:dyDescent="0.2">
      <c r="A67" s="3"/>
      <c r="B67" s="98"/>
      <c r="C67" s="99"/>
      <c r="D67" s="100"/>
      <c r="E67" s="100"/>
      <c r="F67" s="100"/>
      <c r="G67" s="100"/>
      <c r="H67" s="165"/>
      <c r="I67" s="165"/>
      <c r="J67" s="165"/>
      <c r="K67" s="165"/>
      <c r="L67" s="165"/>
      <c r="M67" s="165"/>
      <c r="N67" s="165"/>
      <c r="O67" s="166"/>
      <c r="P67" s="3"/>
      <c r="Q67" s="3"/>
      <c r="R67" s="3"/>
      <c r="S67" s="3"/>
      <c r="T67" s="3"/>
      <c r="U67" s="3"/>
      <c r="V67" s="3"/>
      <c r="W67" s="3"/>
      <c r="X67" s="3"/>
      <c r="Y67" s="3"/>
      <c r="Z67" s="3"/>
      <c r="AA67" s="3"/>
      <c r="AB67" s="3"/>
      <c r="AC67" s="3"/>
      <c r="AD67" s="3"/>
      <c r="AE67" s="3"/>
      <c r="AF67" s="3"/>
      <c r="AG67" s="3"/>
      <c r="AH67" s="3"/>
      <c r="AI67" s="3"/>
    </row>
    <row r="68" spans="1:35" ht="12.75" x14ac:dyDescent="0.2">
      <c r="A68" s="3"/>
      <c r="B68" s="50"/>
      <c r="C68" s="52"/>
      <c r="D68" s="102"/>
      <c r="E68" s="102"/>
      <c r="F68" s="102"/>
      <c r="G68" s="102"/>
      <c r="H68" s="167"/>
      <c r="I68" s="167"/>
      <c r="J68" s="167"/>
      <c r="K68" s="167"/>
      <c r="L68" s="167"/>
      <c r="M68" s="167"/>
      <c r="N68" s="167"/>
      <c r="O68" s="168"/>
      <c r="P68" s="3"/>
      <c r="Q68" s="3"/>
      <c r="R68" s="3"/>
      <c r="S68" s="3"/>
      <c r="T68" s="3"/>
      <c r="U68" s="3"/>
      <c r="V68" s="3"/>
      <c r="W68" s="3"/>
      <c r="X68" s="3"/>
      <c r="Y68" s="3"/>
      <c r="Z68" s="3"/>
      <c r="AA68" s="3"/>
      <c r="AB68" s="3"/>
      <c r="AC68" s="3"/>
      <c r="AD68" s="3"/>
      <c r="AE68" s="3"/>
      <c r="AF68" s="3"/>
      <c r="AG68" s="3"/>
      <c r="AH68" s="3"/>
      <c r="AI68" s="3"/>
    </row>
    <row r="69" spans="1:35" ht="12.75" x14ac:dyDescent="0.2">
      <c r="A69" s="3"/>
      <c r="B69" s="59" t="s">
        <v>232</v>
      </c>
      <c r="C69" s="3" t="s">
        <v>233</v>
      </c>
      <c r="D69" s="3" t="s">
        <v>121</v>
      </c>
      <c r="E69" s="169" t="s">
        <v>234</v>
      </c>
      <c r="F69" s="3" t="s">
        <v>29</v>
      </c>
      <c r="G69" s="3" t="s">
        <v>162</v>
      </c>
      <c r="H69" s="60">
        <v>19150</v>
      </c>
      <c r="I69" s="3" t="s">
        <v>235</v>
      </c>
      <c r="J69" s="106">
        <v>1.056</v>
      </c>
      <c r="K69" s="3" t="s">
        <v>236</v>
      </c>
      <c r="L69" s="66">
        <f>H69*J69</f>
        <v>20222.400000000001</v>
      </c>
      <c r="M69" s="66">
        <f>L69/L71*M71</f>
        <v>1581.1059979901158</v>
      </c>
      <c r="N69" s="135">
        <v>2.1999999999999999E-2</v>
      </c>
      <c r="O69" s="114">
        <v>2E-3</v>
      </c>
      <c r="P69" s="170"/>
      <c r="Q69" s="6"/>
      <c r="R69" s="3"/>
      <c r="S69" s="3"/>
      <c r="T69" s="3"/>
      <c r="U69" s="3"/>
      <c r="V69" s="3"/>
      <c r="W69" s="3"/>
      <c r="X69" s="3"/>
      <c r="Y69" s="3"/>
      <c r="Z69" s="3"/>
      <c r="AA69" s="3"/>
      <c r="AB69" s="3"/>
      <c r="AC69" s="3"/>
      <c r="AD69" s="3"/>
      <c r="AE69" s="3"/>
      <c r="AF69" s="3"/>
      <c r="AG69" s="3"/>
      <c r="AH69" s="3"/>
      <c r="AI69" s="3"/>
    </row>
    <row r="70" spans="1:35" ht="12.75" x14ac:dyDescent="0.2">
      <c r="A70" s="3"/>
      <c r="B70" s="59"/>
      <c r="C70" s="121"/>
      <c r="D70" s="3" t="s">
        <v>121</v>
      </c>
      <c r="E70" s="169" t="s">
        <v>234</v>
      </c>
      <c r="F70" s="3" t="s">
        <v>238</v>
      </c>
      <c r="G70" s="3" t="s">
        <v>239</v>
      </c>
      <c r="H70" s="60">
        <v>879308</v>
      </c>
      <c r="I70" s="3" t="s">
        <v>81</v>
      </c>
      <c r="J70" s="106">
        <v>0.14299999999999999</v>
      </c>
      <c r="K70" s="3" t="s">
        <v>240</v>
      </c>
      <c r="L70" s="162">
        <f>L71-L69</f>
        <v>125059.6</v>
      </c>
      <c r="M70" s="66">
        <f>L70/L71*M71</f>
        <v>9777.8940020098853</v>
      </c>
      <c r="N70" s="156">
        <v>0.41599999999999998</v>
      </c>
      <c r="O70" s="108">
        <v>8.3000000000000004E-2</v>
      </c>
      <c r="P70" s="171"/>
      <c r="Q70" s="3"/>
      <c r="R70" s="3"/>
      <c r="S70" s="3"/>
      <c r="T70" s="3"/>
      <c r="U70" s="3"/>
      <c r="V70" s="3"/>
      <c r="W70" s="3"/>
      <c r="X70" s="3"/>
      <c r="Y70" s="3"/>
      <c r="Z70" s="3"/>
      <c r="AA70" s="3"/>
      <c r="AB70" s="3"/>
      <c r="AC70" s="3"/>
      <c r="AD70" s="3"/>
      <c r="AE70" s="3"/>
      <c r="AF70" s="3"/>
      <c r="AG70" s="3"/>
      <c r="AH70" s="3"/>
      <c r="AI70" s="3"/>
    </row>
    <row r="71" spans="1:35" ht="12.75" x14ac:dyDescent="0.2">
      <c r="A71" s="3"/>
      <c r="B71" s="59"/>
      <c r="C71" s="3"/>
      <c r="D71" s="3" t="s">
        <v>121</v>
      </c>
      <c r="E71" s="169" t="s">
        <v>234</v>
      </c>
      <c r="F71" s="80" t="s">
        <v>85</v>
      </c>
      <c r="G71" s="3"/>
      <c r="H71" s="116"/>
      <c r="I71" s="3"/>
      <c r="J71" s="116"/>
      <c r="K71" s="3"/>
      <c r="L71" s="60">
        <v>145282</v>
      </c>
      <c r="M71" s="60">
        <f>11359</f>
        <v>11359</v>
      </c>
      <c r="N71" s="70">
        <f t="shared" ref="N71:O71" si="6">N69+N70</f>
        <v>0.438</v>
      </c>
      <c r="O71" s="172">
        <f t="shared" si="6"/>
        <v>8.5000000000000006E-2</v>
      </c>
      <c r="P71" s="3"/>
      <c r="Q71" s="3"/>
      <c r="R71" s="3"/>
      <c r="S71" s="3"/>
      <c r="T71" s="3"/>
      <c r="U71" s="3"/>
      <c r="V71" s="3"/>
      <c r="W71" s="3"/>
      <c r="X71" s="3"/>
      <c r="Y71" s="3"/>
      <c r="Z71" s="3"/>
      <c r="AA71" s="3"/>
      <c r="AB71" s="3"/>
      <c r="AC71" s="3"/>
      <c r="AD71" s="3"/>
      <c r="AE71" s="3"/>
      <c r="AF71" s="3"/>
      <c r="AG71" s="3"/>
      <c r="AH71" s="3"/>
      <c r="AI71" s="3"/>
    </row>
    <row r="72" spans="1:35" ht="12.75" x14ac:dyDescent="0.2">
      <c r="A72" s="3"/>
      <c r="B72" s="59"/>
      <c r="C72" s="3"/>
      <c r="D72" s="3"/>
      <c r="E72" s="121"/>
      <c r="F72" s="2"/>
      <c r="G72" s="3"/>
      <c r="H72" s="129"/>
      <c r="I72" s="3"/>
      <c r="J72" s="116"/>
      <c r="K72" s="3"/>
      <c r="L72" s="129"/>
      <c r="M72" s="129"/>
      <c r="N72" s="116"/>
      <c r="O72" s="119"/>
      <c r="P72" s="3"/>
      <c r="Q72" s="3"/>
      <c r="R72" s="3"/>
      <c r="S72" s="3"/>
      <c r="T72" s="3"/>
      <c r="U72" s="3"/>
      <c r="V72" s="3"/>
      <c r="W72" s="3"/>
      <c r="X72" s="3"/>
      <c r="Y72" s="3"/>
      <c r="Z72" s="3"/>
      <c r="AA72" s="3"/>
      <c r="AB72" s="3"/>
      <c r="AC72" s="3"/>
      <c r="AD72" s="3"/>
      <c r="AE72" s="3"/>
      <c r="AF72" s="3"/>
      <c r="AG72" s="3"/>
      <c r="AH72" s="3"/>
      <c r="AI72" s="3"/>
    </row>
    <row r="73" spans="1:35" ht="12.75" x14ac:dyDescent="0.2">
      <c r="A73" s="3"/>
      <c r="B73" s="59"/>
      <c r="C73" s="3"/>
      <c r="D73" s="3" t="s">
        <v>134</v>
      </c>
      <c r="E73" s="169" t="s">
        <v>244</v>
      </c>
      <c r="F73" s="3" t="s">
        <v>29</v>
      </c>
      <c r="G73" s="3" t="s">
        <v>245</v>
      </c>
      <c r="H73" s="60">
        <v>114070</v>
      </c>
      <c r="I73" s="3" t="s">
        <v>235</v>
      </c>
      <c r="J73" s="106">
        <v>1.056</v>
      </c>
      <c r="K73" s="3" t="s">
        <v>236</v>
      </c>
      <c r="L73" s="173">
        <v>125828.3</v>
      </c>
      <c r="M73" s="173">
        <v>7479</v>
      </c>
      <c r="N73" s="135">
        <v>0.13200000000000001</v>
      </c>
      <c r="O73" s="114">
        <v>0</v>
      </c>
      <c r="P73" s="3"/>
      <c r="Q73" s="3"/>
      <c r="R73" s="3"/>
      <c r="S73" s="3"/>
      <c r="T73" s="3"/>
      <c r="U73" s="3"/>
      <c r="V73" s="3"/>
      <c r="W73" s="3"/>
      <c r="X73" s="3"/>
      <c r="Y73" s="3"/>
      <c r="Z73" s="3"/>
      <c r="AA73" s="3"/>
      <c r="AB73" s="3"/>
      <c r="AC73" s="3"/>
      <c r="AD73" s="3"/>
      <c r="AE73" s="3"/>
      <c r="AF73" s="3"/>
      <c r="AG73" s="3"/>
      <c r="AH73" s="3"/>
      <c r="AI73" s="3"/>
    </row>
    <row r="74" spans="1:35" ht="12.75" x14ac:dyDescent="0.2">
      <c r="A74" s="3"/>
      <c r="B74" s="59"/>
      <c r="C74" s="3"/>
      <c r="D74" s="3"/>
      <c r="E74" s="121"/>
      <c r="F74" s="2"/>
      <c r="G74" s="3"/>
      <c r="H74" s="129"/>
      <c r="I74" s="3"/>
      <c r="J74" s="116"/>
      <c r="K74" s="3"/>
      <c r="L74" s="129"/>
      <c r="M74" s="129"/>
      <c r="N74" s="116"/>
      <c r="O74" s="119"/>
      <c r="P74" s="3"/>
      <c r="Q74" s="3"/>
      <c r="R74" s="3"/>
      <c r="S74" s="3"/>
      <c r="T74" s="3"/>
      <c r="U74" s="3"/>
      <c r="V74" s="3"/>
      <c r="W74" s="3"/>
      <c r="X74" s="3"/>
      <c r="Y74" s="3"/>
      <c r="Z74" s="3"/>
      <c r="AA74" s="3"/>
      <c r="AB74" s="3"/>
      <c r="AC74" s="3"/>
      <c r="AD74" s="3"/>
      <c r="AE74" s="3"/>
      <c r="AF74" s="3"/>
      <c r="AG74" s="3"/>
      <c r="AH74" s="3"/>
      <c r="AI74" s="3"/>
    </row>
    <row r="75" spans="1:35" ht="12.75" x14ac:dyDescent="0.2">
      <c r="A75" s="3"/>
      <c r="B75" s="59"/>
      <c r="C75" s="3"/>
      <c r="D75" s="3" t="s">
        <v>160</v>
      </c>
      <c r="E75" s="169" t="s">
        <v>247</v>
      </c>
      <c r="F75" s="3" t="s">
        <v>29</v>
      </c>
      <c r="G75" s="3" t="s">
        <v>245</v>
      </c>
      <c r="H75" s="60">
        <v>109460</v>
      </c>
      <c r="I75" s="3" t="s">
        <v>235</v>
      </c>
      <c r="J75" s="106">
        <v>1.056</v>
      </c>
      <c r="K75" s="3" t="s">
        <v>236</v>
      </c>
      <c r="L75" s="66">
        <f t="shared" ref="L75:L76" si="7">H75*J75</f>
        <v>115589.76000000001</v>
      </c>
      <c r="M75" s="66">
        <f>(L75/L78)*M78</f>
        <v>11859.565947388437</v>
      </c>
      <c r="N75" s="135">
        <v>4.3999999999999997E-2</v>
      </c>
      <c r="O75" s="108">
        <v>1.2999999999999999E-2</v>
      </c>
      <c r="P75" s="3"/>
      <c r="Q75" s="3"/>
      <c r="R75" s="3"/>
      <c r="S75" s="3"/>
      <c r="T75" s="3"/>
      <c r="U75" s="3"/>
      <c r="V75" s="3"/>
      <c r="W75" s="3"/>
      <c r="X75" s="3"/>
      <c r="Y75" s="3"/>
      <c r="Z75" s="3"/>
      <c r="AA75" s="3"/>
      <c r="AB75" s="3"/>
      <c r="AC75" s="3"/>
      <c r="AD75" s="3"/>
      <c r="AE75" s="3"/>
      <c r="AF75" s="3"/>
      <c r="AG75" s="3"/>
      <c r="AH75" s="3"/>
      <c r="AI75" s="3"/>
    </row>
    <row r="76" spans="1:35" ht="12.75" x14ac:dyDescent="0.2">
      <c r="A76" s="3"/>
      <c r="B76" s="59"/>
      <c r="C76" s="121"/>
      <c r="D76" s="3" t="s">
        <v>160</v>
      </c>
      <c r="E76" s="169" t="s">
        <v>247</v>
      </c>
      <c r="F76" s="3" t="s">
        <v>72</v>
      </c>
      <c r="G76" s="3" t="s">
        <v>127</v>
      </c>
      <c r="H76" s="60">
        <v>20518</v>
      </c>
      <c r="I76" s="3" t="s">
        <v>73</v>
      </c>
      <c r="J76" s="106">
        <v>23.77</v>
      </c>
      <c r="K76" s="3" t="s">
        <v>249</v>
      </c>
      <c r="L76" s="66">
        <f t="shared" si="7"/>
        <v>487712.86</v>
      </c>
      <c r="M76" s="66">
        <f>(L76/L78)*M78</f>
        <v>50039.578130099268</v>
      </c>
      <c r="N76" s="135">
        <v>5.9139999999999997</v>
      </c>
      <c r="O76" s="114">
        <v>0.86</v>
      </c>
      <c r="P76" s="3"/>
      <c r="Q76" s="3"/>
      <c r="R76" s="3"/>
      <c r="S76" s="3"/>
      <c r="T76" s="3"/>
      <c r="U76" s="3"/>
      <c r="V76" s="3"/>
      <c r="W76" s="3"/>
      <c r="X76" s="3"/>
      <c r="Y76" s="3"/>
      <c r="Z76" s="3"/>
      <c r="AA76" s="3"/>
      <c r="AB76" s="3"/>
      <c r="AC76" s="3"/>
      <c r="AD76" s="3"/>
      <c r="AE76" s="3"/>
      <c r="AF76" s="3"/>
      <c r="AG76" s="3"/>
      <c r="AH76" s="3"/>
      <c r="AI76" s="3"/>
    </row>
    <row r="77" spans="1:35" ht="12.75" x14ac:dyDescent="0.2">
      <c r="A77" s="3"/>
      <c r="B77" s="59"/>
      <c r="C77" s="3"/>
      <c r="D77" s="3" t="s">
        <v>160</v>
      </c>
      <c r="E77" s="169" t="s">
        <v>247</v>
      </c>
      <c r="F77" s="3" t="s">
        <v>238</v>
      </c>
      <c r="G77" s="3" t="s">
        <v>239</v>
      </c>
      <c r="H77" s="60">
        <v>311104</v>
      </c>
      <c r="I77" s="3" t="s">
        <v>81</v>
      </c>
      <c r="J77" s="106">
        <v>0.14299999999999999</v>
      </c>
      <c r="K77" s="3" t="s">
        <v>252</v>
      </c>
      <c r="L77" s="162">
        <f>L78-L75-L76</f>
        <v>97288.579999999958</v>
      </c>
      <c r="M77" s="66">
        <f>(L77/L78)*M78</f>
        <v>9981.8559225122972</v>
      </c>
      <c r="N77" s="135">
        <v>0.14699999999999999</v>
      </c>
      <c r="O77" s="114">
        <v>0.03</v>
      </c>
      <c r="P77" s="3"/>
      <c r="Q77" s="3"/>
      <c r="R77" s="3"/>
      <c r="S77" s="3"/>
      <c r="T77" s="3"/>
      <c r="U77" s="3"/>
      <c r="V77" s="3"/>
      <c r="W77" s="3"/>
      <c r="X77" s="3"/>
      <c r="Y77" s="3"/>
      <c r="Z77" s="3"/>
      <c r="AA77" s="3"/>
      <c r="AB77" s="3"/>
      <c r="AC77" s="3"/>
      <c r="AD77" s="3"/>
      <c r="AE77" s="3"/>
      <c r="AF77" s="3"/>
      <c r="AG77" s="3"/>
      <c r="AH77" s="3"/>
      <c r="AI77" s="3"/>
    </row>
    <row r="78" spans="1:35" ht="12.75" x14ac:dyDescent="0.2">
      <c r="A78" s="3"/>
      <c r="B78" s="59"/>
      <c r="C78" s="3"/>
      <c r="D78" s="3" t="s">
        <v>160</v>
      </c>
      <c r="E78" s="169" t="s">
        <v>247</v>
      </c>
      <c r="F78" s="80" t="s">
        <v>85</v>
      </c>
      <c r="G78" s="3"/>
      <c r="H78" s="116"/>
      <c r="I78" s="3"/>
      <c r="J78" s="116"/>
      <c r="K78" s="3"/>
      <c r="L78" s="173">
        <v>700591.2</v>
      </c>
      <c r="M78" s="60">
        <v>71881</v>
      </c>
      <c r="N78" s="109">
        <f t="shared" ref="N78:O78" si="8">SUM(N75:N77)</f>
        <v>6.1049999999999995</v>
      </c>
      <c r="O78" s="172">
        <f t="shared" si="8"/>
        <v>0.90300000000000002</v>
      </c>
      <c r="P78" s="3"/>
      <c r="Q78" s="3"/>
      <c r="R78" s="3"/>
      <c r="S78" s="3"/>
      <c r="T78" s="3"/>
      <c r="U78" s="3"/>
      <c r="V78" s="3"/>
      <c r="W78" s="3"/>
      <c r="X78" s="3"/>
      <c r="Y78" s="3"/>
      <c r="Z78" s="3"/>
      <c r="AA78" s="3"/>
      <c r="AB78" s="3"/>
      <c r="AC78" s="3"/>
      <c r="AD78" s="3"/>
      <c r="AE78" s="3"/>
      <c r="AF78" s="3"/>
      <c r="AG78" s="3"/>
      <c r="AH78" s="3"/>
      <c r="AI78" s="3"/>
    </row>
    <row r="79" spans="1:35" ht="12.75" x14ac:dyDescent="0.2">
      <c r="A79" s="3"/>
      <c r="B79" s="59"/>
      <c r="C79" s="3"/>
      <c r="D79" s="3"/>
      <c r="E79" s="3"/>
      <c r="F79" s="2"/>
      <c r="G79" s="3"/>
      <c r="H79" s="116"/>
      <c r="I79" s="3"/>
      <c r="J79" s="116"/>
      <c r="K79" s="3"/>
      <c r="L79" s="2"/>
      <c r="M79" s="2"/>
      <c r="N79" s="2"/>
      <c r="O79" s="93"/>
      <c r="P79" s="3"/>
      <c r="Q79" s="3"/>
      <c r="R79" s="3"/>
      <c r="S79" s="3"/>
      <c r="T79" s="3"/>
      <c r="U79" s="3"/>
      <c r="V79" s="3"/>
      <c r="W79" s="3"/>
      <c r="X79" s="3"/>
      <c r="Y79" s="3"/>
      <c r="Z79" s="3"/>
      <c r="AA79" s="3"/>
      <c r="AB79" s="3"/>
      <c r="AC79" s="3"/>
      <c r="AD79" s="3"/>
      <c r="AE79" s="3"/>
      <c r="AF79" s="3"/>
      <c r="AG79" s="3"/>
      <c r="AH79" s="3"/>
      <c r="AI79" s="3"/>
    </row>
    <row r="80" spans="1:35" ht="12.75" x14ac:dyDescent="0.2">
      <c r="A80" s="3"/>
      <c r="B80" s="59"/>
      <c r="C80" s="3"/>
      <c r="D80" s="3" t="s">
        <v>257</v>
      </c>
      <c r="E80" s="104" t="s">
        <v>258</v>
      </c>
      <c r="F80" s="3" t="s">
        <v>29</v>
      </c>
      <c r="G80" s="3" t="s">
        <v>245</v>
      </c>
      <c r="H80" s="60">
        <v>31490</v>
      </c>
      <c r="I80" s="3" t="s">
        <v>235</v>
      </c>
      <c r="J80" s="106">
        <v>1.056</v>
      </c>
      <c r="K80" s="3" t="s">
        <v>236</v>
      </c>
      <c r="L80" s="66">
        <f>H80*J80</f>
        <v>33253.440000000002</v>
      </c>
      <c r="M80" s="66">
        <f>(L80/L82)*M82</f>
        <v>2629.7032442643581</v>
      </c>
      <c r="N80" s="135">
        <v>3.5999999999999997E-2</v>
      </c>
      <c r="O80" s="136">
        <v>3.0000000000000001E-3</v>
      </c>
      <c r="P80" s="171"/>
      <c r="Q80" s="3"/>
      <c r="R80" s="3"/>
      <c r="S80" s="3"/>
      <c r="T80" s="3"/>
      <c r="U80" s="3"/>
      <c r="V80" s="3"/>
      <c r="W80" s="3"/>
      <c r="X80" s="3"/>
      <c r="Y80" s="3"/>
      <c r="Z80" s="3"/>
      <c r="AA80" s="3"/>
      <c r="AB80" s="3"/>
      <c r="AC80" s="3"/>
      <c r="AD80" s="3"/>
      <c r="AE80" s="3"/>
      <c r="AF80" s="3"/>
      <c r="AG80" s="3"/>
      <c r="AH80" s="3"/>
      <c r="AI80" s="3"/>
    </row>
    <row r="81" spans="1:35" ht="12.75" x14ac:dyDescent="0.2">
      <c r="A81" s="3"/>
      <c r="B81" s="59"/>
      <c r="C81" s="121"/>
      <c r="D81" s="3" t="s">
        <v>257</v>
      </c>
      <c r="E81" s="104" t="s">
        <v>258</v>
      </c>
      <c r="F81" s="3" t="s">
        <v>238</v>
      </c>
      <c r="G81" s="3" t="s">
        <v>239</v>
      </c>
      <c r="H81" s="60">
        <v>2556055</v>
      </c>
      <c r="I81" s="3" t="s">
        <v>81</v>
      </c>
      <c r="J81" s="106">
        <v>0.14299999999999999</v>
      </c>
      <c r="K81" s="3" t="s">
        <v>252</v>
      </c>
      <c r="L81" s="162">
        <f>L82-L80</f>
        <v>328301.56</v>
      </c>
      <c r="M81" s="66">
        <f>(L81/L82)*M82</f>
        <v>25962.296755735642</v>
      </c>
      <c r="N81" s="135">
        <v>1.2090000000000001</v>
      </c>
      <c r="O81" s="108">
        <v>0.24099999999999999</v>
      </c>
      <c r="P81" s="171"/>
      <c r="Q81" s="3"/>
      <c r="R81" s="3"/>
      <c r="S81" s="3"/>
      <c r="T81" s="3"/>
      <c r="U81" s="3"/>
      <c r="V81" s="3"/>
      <c r="W81" s="3"/>
      <c r="X81" s="3"/>
      <c r="Y81" s="3"/>
      <c r="Z81" s="3"/>
      <c r="AA81" s="3"/>
      <c r="AB81" s="3"/>
      <c r="AC81" s="3"/>
      <c r="AD81" s="3"/>
      <c r="AE81" s="3"/>
      <c r="AF81" s="3"/>
      <c r="AG81" s="3"/>
      <c r="AH81" s="3"/>
      <c r="AI81" s="3"/>
    </row>
    <row r="82" spans="1:35" ht="12.75" x14ac:dyDescent="0.2">
      <c r="A82" s="3"/>
      <c r="B82" s="59"/>
      <c r="C82" s="3"/>
      <c r="D82" s="3" t="s">
        <v>257</v>
      </c>
      <c r="E82" s="104" t="s">
        <v>258</v>
      </c>
      <c r="F82" s="80" t="s">
        <v>85</v>
      </c>
      <c r="G82" s="3"/>
      <c r="H82" s="116"/>
      <c r="I82" s="3"/>
      <c r="J82" s="116"/>
      <c r="K82" s="3"/>
      <c r="L82" s="60">
        <v>361555</v>
      </c>
      <c r="M82" s="60">
        <f>28592</f>
        <v>28592</v>
      </c>
      <c r="N82" s="135">
        <f t="shared" ref="N82:O82" si="9">N80+N81</f>
        <v>1.2450000000000001</v>
      </c>
      <c r="O82" s="108">
        <f t="shared" si="9"/>
        <v>0.24399999999999999</v>
      </c>
      <c r="P82" s="175"/>
      <c r="Q82" s="3"/>
      <c r="R82" s="3"/>
      <c r="S82" s="3"/>
      <c r="T82" s="3"/>
      <c r="U82" s="3"/>
      <c r="V82" s="3"/>
      <c r="W82" s="3"/>
      <c r="X82" s="3"/>
      <c r="Y82" s="3"/>
      <c r="Z82" s="3"/>
      <c r="AA82" s="3"/>
      <c r="AB82" s="3"/>
      <c r="AC82" s="3"/>
      <c r="AD82" s="3"/>
      <c r="AE82" s="3"/>
      <c r="AF82" s="3"/>
      <c r="AG82" s="3"/>
      <c r="AH82" s="3"/>
      <c r="AI82" s="3"/>
    </row>
    <row r="83" spans="1:35" ht="12.75" x14ac:dyDescent="0.2">
      <c r="A83" s="3"/>
      <c r="B83" s="59"/>
      <c r="C83" s="3"/>
      <c r="D83" s="3"/>
      <c r="E83" s="3"/>
      <c r="F83" s="2"/>
      <c r="G83" s="3"/>
      <c r="H83" s="116"/>
      <c r="I83" s="3"/>
      <c r="J83" s="116"/>
      <c r="K83" s="3"/>
      <c r="L83" s="116"/>
      <c r="M83" s="116"/>
      <c r="N83" s="116"/>
      <c r="O83" s="119"/>
      <c r="P83" s="3"/>
      <c r="Q83" s="3"/>
      <c r="R83" s="3"/>
      <c r="S83" s="3"/>
      <c r="T83" s="3"/>
      <c r="U83" s="3"/>
      <c r="V83" s="3"/>
      <c r="W83" s="3"/>
      <c r="X83" s="3"/>
      <c r="Y83" s="3"/>
      <c r="Z83" s="3"/>
      <c r="AA83" s="3"/>
      <c r="AB83" s="3"/>
      <c r="AC83" s="3"/>
      <c r="AD83" s="3"/>
      <c r="AE83" s="3"/>
      <c r="AF83" s="3"/>
      <c r="AG83" s="3"/>
      <c r="AH83" s="3"/>
      <c r="AI83" s="3"/>
    </row>
    <row r="84" spans="1:35" ht="12.75" x14ac:dyDescent="0.2">
      <c r="A84" s="3"/>
      <c r="B84" s="59"/>
      <c r="C84" s="121"/>
      <c r="D84" s="3" t="s">
        <v>263</v>
      </c>
      <c r="E84" s="104" t="s">
        <v>264</v>
      </c>
      <c r="F84" s="3" t="s">
        <v>78</v>
      </c>
      <c r="G84" s="3" t="s">
        <v>265</v>
      </c>
      <c r="H84" s="60">
        <v>9713</v>
      </c>
      <c r="I84" s="3" t="s">
        <v>81</v>
      </c>
      <c r="J84" s="106">
        <v>0.13700000000000001</v>
      </c>
      <c r="K84" s="3" t="s">
        <v>240</v>
      </c>
      <c r="L84" s="60">
        <f>H84*J84</f>
        <v>1330.681</v>
      </c>
      <c r="M84" s="60">
        <v>109</v>
      </c>
      <c r="N84" s="106">
        <v>4.0000000000000001E-3</v>
      </c>
      <c r="O84" s="177">
        <v>1.101E-3</v>
      </c>
      <c r="P84" s="3"/>
      <c r="Q84" s="3"/>
      <c r="R84" s="3"/>
      <c r="S84" s="3"/>
      <c r="T84" s="3"/>
      <c r="U84" s="3"/>
      <c r="V84" s="3"/>
      <c r="W84" s="3"/>
      <c r="X84" s="3"/>
      <c r="Y84" s="3"/>
      <c r="Z84" s="3"/>
      <c r="AA84" s="3"/>
      <c r="AB84" s="3"/>
      <c r="AC84" s="3"/>
      <c r="AD84" s="3"/>
      <c r="AE84" s="3"/>
      <c r="AF84" s="3"/>
      <c r="AG84" s="3"/>
      <c r="AH84" s="3"/>
      <c r="AI84" s="3"/>
    </row>
    <row r="85" spans="1:35" ht="12.75" x14ac:dyDescent="0.2">
      <c r="A85" s="3"/>
      <c r="B85" s="98"/>
      <c r="C85" s="99"/>
      <c r="D85" s="99"/>
      <c r="E85" s="99"/>
      <c r="F85" s="100"/>
      <c r="G85" s="99"/>
      <c r="H85" s="124"/>
      <c r="I85" s="99"/>
      <c r="J85" s="124"/>
      <c r="K85" s="99"/>
      <c r="L85" s="124"/>
      <c r="M85" s="124"/>
      <c r="N85" s="124"/>
      <c r="O85" s="125"/>
      <c r="P85" s="3"/>
      <c r="Q85" s="3"/>
      <c r="R85" s="3"/>
      <c r="S85" s="3"/>
      <c r="T85" s="3"/>
      <c r="U85" s="3"/>
      <c r="V85" s="3"/>
      <c r="W85" s="3"/>
      <c r="X85" s="3"/>
      <c r="Y85" s="3"/>
      <c r="Z85" s="3"/>
      <c r="AA85" s="3"/>
      <c r="AB85" s="3"/>
      <c r="AC85" s="3"/>
      <c r="AD85" s="3"/>
      <c r="AE85" s="3"/>
      <c r="AF85" s="3"/>
      <c r="AG85" s="3"/>
      <c r="AH85" s="3"/>
      <c r="AI85" s="3"/>
    </row>
    <row r="86" spans="1:35" ht="12.75" x14ac:dyDescent="0.2">
      <c r="A86" s="3"/>
      <c r="B86" s="50"/>
      <c r="C86" s="52"/>
      <c r="D86" s="52"/>
      <c r="E86" s="52"/>
      <c r="F86" s="102"/>
      <c r="G86" s="52"/>
      <c r="H86" s="126"/>
      <c r="I86" s="52"/>
      <c r="J86" s="126"/>
      <c r="K86" s="52"/>
      <c r="L86" s="126"/>
      <c r="M86" s="126"/>
      <c r="N86" s="126"/>
      <c r="O86" s="127"/>
      <c r="P86" s="3"/>
      <c r="Q86" s="3"/>
      <c r="R86" s="3"/>
      <c r="S86" s="3"/>
      <c r="T86" s="3"/>
      <c r="U86" s="3"/>
      <c r="V86" s="3"/>
      <c r="W86" s="3"/>
      <c r="X86" s="3"/>
      <c r="Y86" s="3"/>
      <c r="Z86" s="3"/>
      <c r="AA86" s="3"/>
      <c r="AB86" s="3"/>
      <c r="AC86" s="3"/>
      <c r="AD86" s="3"/>
      <c r="AE86" s="3"/>
      <c r="AF86" s="3"/>
      <c r="AG86" s="3"/>
      <c r="AH86" s="3"/>
      <c r="AI86" s="3"/>
    </row>
    <row r="87" spans="1:35" ht="12.75" x14ac:dyDescent="0.2">
      <c r="A87" s="3"/>
      <c r="B87" s="59" t="s">
        <v>268</v>
      </c>
      <c r="C87" s="3" t="s">
        <v>269</v>
      </c>
      <c r="D87" s="3" t="s">
        <v>270</v>
      </c>
      <c r="E87" s="104" t="s">
        <v>271</v>
      </c>
      <c r="F87" s="3" t="s">
        <v>29</v>
      </c>
      <c r="G87" s="3" t="s">
        <v>162</v>
      </c>
      <c r="H87" s="60">
        <f>1830000000</f>
        <v>1830000000</v>
      </c>
      <c r="I87" s="3" t="s">
        <v>99</v>
      </c>
      <c r="J87" s="60">
        <v>1040</v>
      </c>
      <c r="K87" s="3" t="s">
        <v>272</v>
      </c>
      <c r="L87" s="60">
        <f>1900000000000/1000000</f>
        <v>1900000</v>
      </c>
      <c r="M87" s="66">
        <f>L87/L89*M89</f>
        <v>92613.976480382975</v>
      </c>
      <c r="N87" s="106">
        <v>2.09</v>
      </c>
      <c r="O87" s="114">
        <v>0.21</v>
      </c>
      <c r="P87" s="178"/>
      <c r="Q87" s="3"/>
      <c r="R87" s="3"/>
      <c r="S87" s="3"/>
      <c r="T87" s="3"/>
      <c r="U87" s="3"/>
      <c r="V87" s="3"/>
      <c r="W87" s="3"/>
      <c r="X87" s="3"/>
      <c r="Y87" s="3"/>
      <c r="Z87" s="3"/>
      <c r="AA87" s="3"/>
      <c r="AB87" s="3"/>
      <c r="AC87" s="3"/>
      <c r="AD87" s="3"/>
      <c r="AE87" s="3"/>
      <c r="AF87" s="3"/>
      <c r="AG87" s="3"/>
      <c r="AH87" s="3"/>
      <c r="AI87" s="3"/>
    </row>
    <row r="88" spans="1:35" ht="12.75" x14ac:dyDescent="0.2">
      <c r="A88" s="3"/>
      <c r="B88" s="59"/>
      <c r="C88" s="121"/>
      <c r="D88" s="3" t="s">
        <v>270</v>
      </c>
      <c r="E88" s="104" t="s">
        <v>271</v>
      </c>
      <c r="F88" s="3" t="s">
        <v>78</v>
      </c>
      <c r="G88" s="3" t="s">
        <v>265</v>
      </c>
      <c r="H88" s="60">
        <v>158908</v>
      </c>
      <c r="I88" s="3" t="s">
        <v>81</v>
      </c>
      <c r="J88" s="60">
        <v>136910</v>
      </c>
      <c r="K88" s="3" t="s">
        <v>276</v>
      </c>
      <c r="L88" s="60">
        <f>21800000000/1000000</f>
        <v>21800</v>
      </c>
      <c r="M88" s="66">
        <f>L88/L89*M89</f>
        <v>1062.6235196170257</v>
      </c>
      <c r="N88" s="106">
        <v>7.0000000000000007E-2</v>
      </c>
      <c r="O88" s="114">
        <v>0.01</v>
      </c>
      <c r="P88" s="3"/>
      <c r="Q88" s="3"/>
      <c r="R88" s="3"/>
      <c r="S88" s="3"/>
      <c r="T88" s="3"/>
      <c r="U88" s="3"/>
      <c r="V88" s="3"/>
      <c r="W88" s="3"/>
      <c r="X88" s="3"/>
      <c r="Y88" s="3"/>
      <c r="Z88" s="3"/>
      <c r="AA88" s="3"/>
      <c r="AB88" s="3"/>
      <c r="AC88" s="3"/>
      <c r="AD88" s="3"/>
      <c r="AE88" s="3"/>
      <c r="AF88" s="3"/>
      <c r="AG88" s="3"/>
      <c r="AH88" s="3"/>
      <c r="AI88" s="3"/>
    </row>
    <row r="89" spans="1:35" ht="12.75" x14ac:dyDescent="0.2">
      <c r="A89" s="3"/>
      <c r="B89" s="59"/>
      <c r="C89" s="3"/>
      <c r="D89" s="3" t="s">
        <v>270</v>
      </c>
      <c r="E89" s="104" t="s">
        <v>271</v>
      </c>
      <c r="F89" s="80" t="s">
        <v>85</v>
      </c>
      <c r="G89" s="3"/>
      <c r="H89" s="116"/>
      <c r="I89" s="3"/>
      <c r="J89" s="116"/>
      <c r="K89" s="3"/>
      <c r="L89" s="66">
        <f>L87+L88</f>
        <v>1921800</v>
      </c>
      <c r="M89" s="60">
        <v>93676.6</v>
      </c>
      <c r="N89" s="106">
        <f t="shared" ref="N89:O89" si="10">N87+N88</f>
        <v>2.1599999999999997</v>
      </c>
      <c r="O89" s="114">
        <f t="shared" si="10"/>
        <v>0.22</v>
      </c>
      <c r="P89" s="3"/>
      <c r="Q89" s="3"/>
      <c r="R89" s="3"/>
      <c r="S89" s="3"/>
      <c r="T89" s="3"/>
      <c r="U89" s="3"/>
      <c r="V89" s="3"/>
      <c r="W89" s="3"/>
      <c r="X89" s="3"/>
      <c r="Y89" s="3"/>
      <c r="Z89" s="3"/>
      <c r="AA89" s="3"/>
      <c r="AB89" s="3"/>
      <c r="AC89" s="3"/>
      <c r="AD89" s="3"/>
      <c r="AE89" s="3"/>
      <c r="AF89" s="3"/>
      <c r="AG89" s="3"/>
      <c r="AH89" s="3"/>
      <c r="AI89" s="3"/>
    </row>
    <row r="90" spans="1:35" ht="12.75" x14ac:dyDescent="0.2">
      <c r="A90" s="3"/>
      <c r="B90" s="59"/>
      <c r="C90" s="121"/>
      <c r="D90" s="3"/>
      <c r="E90" s="121"/>
      <c r="F90" s="2"/>
      <c r="G90" s="3"/>
      <c r="H90" s="129"/>
      <c r="I90" s="3"/>
      <c r="J90" s="129"/>
      <c r="K90" s="3"/>
      <c r="L90" s="129"/>
      <c r="M90" s="129"/>
      <c r="N90" s="116"/>
      <c r="O90" s="119"/>
      <c r="P90" s="3"/>
      <c r="Q90" s="3"/>
      <c r="R90" s="3"/>
      <c r="S90" s="3"/>
      <c r="T90" s="3"/>
      <c r="U90" s="3"/>
      <c r="V90" s="3"/>
      <c r="W90" s="3"/>
      <c r="X90" s="3"/>
      <c r="Y90" s="3"/>
      <c r="Z90" s="3"/>
      <c r="AA90" s="3"/>
      <c r="AB90" s="3"/>
      <c r="AC90" s="3"/>
      <c r="AD90" s="3"/>
      <c r="AE90" s="3"/>
      <c r="AF90" s="3"/>
      <c r="AG90" s="3"/>
      <c r="AH90" s="3"/>
      <c r="AI90" s="3"/>
    </row>
    <row r="91" spans="1:35" ht="12.75" x14ac:dyDescent="0.2">
      <c r="A91" s="3"/>
      <c r="B91" s="59"/>
      <c r="C91" s="121"/>
      <c r="D91" s="3" t="s">
        <v>280</v>
      </c>
      <c r="E91" s="104" t="s">
        <v>281</v>
      </c>
      <c r="F91" s="3" t="s">
        <v>78</v>
      </c>
      <c r="G91" s="3" t="s">
        <v>265</v>
      </c>
      <c r="H91" s="60">
        <v>270204</v>
      </c>
      <c r="I91" s="3" t="s">
        <v>81</v>
      </c>
      <c r="J91" s="60">
        <v>136910</v>
      </c>
      <c r="K91" s="3" t="s">
        <v>276</v>
      </c>
      <c r="L91" s="60">
        <f>37000000000/1000000</f>
        <v>37000</v>
      </c>
      <c r="M91" s="60">
        <v>2417.5</v>
      </c>
      <c r="N91" s="106">
        <v>0.12</v>
      </c>
      <c r="O91" s="114">
        <v>0.02</v>
      </c>
      <c r="P91" s="3"/>
      <c r="Q91" s="3"/>
      <c r="R91" s="3"/>
      <c r="S91" s="3"/>
      <c r="T91" s="3"/>
      <c r="U91" s="3"/>
      <c r="V91" s="3"/>
      <c r="W91" s="3"/>
      <c r="X91" s="3"/>
      <c r="Y91" s="3"/>
      <c r="Z91" s="3"/>
      <c r="AA91" s="3"/>
      <c r="AB91" s="3"/>
      <c r="AC91" s="3"/>
      <c r="AD91" s="3"/>
      <c r="AE91" s="3"/>
      <c r="AF91" s="3"/>
      <c r="AG91" s="3"/>
      <c r="AH91" s="3"/>
      <c r="AI91" s="3"/>
    </row>
    <row r="92" spans="1:35" ht="12.75" x14ac:dyDescent="0.2">
      <c r="A92" s="3"/>
      <c r="B92" s="59"/>
      <c r="C92" s="121"/>
      <c r="D92" s="3" t="s">
        <v>284</v>
      </c>
      <c r="E92" s="104" t="s">
        <v>285</v>
      </c>
      <c r="F92" s="3" t="s">
        <v>78</v>
      </c>
      <c r="G92" s="3" t="s">
        <v>265</v>
      </c>
      <c r="H92" s="60">
        <v>269570</v>
      </c>
      <c r="I92" s="3" t="s">
        <v>81</v>
      </c>
      <c r="J92" s="60">
        <v>136910</v>
      </c>
      <c r="K92" s="3" t="s">
        <v>276</v>
      </c>
      <c r="L92" s="60">
        <f>36900000000/1000000</f>
        <v>36900</v>
      </c>
      <c r="M92" s="60">
        <v>2360.6</v>
      </c>
      <c r="N92" s="106">
        <v>0.12</v>
      </c>
      <c r="O92" s="114">
        <v>0.02</v>
      </c>
      <c r="P92" s="3"/>
      <c r="Q92" s="3"/>
      <c r="R92" s="3"/>
      <c r="S92" s="3"/>
      <c r="T92" s="3"/>
      <c r="U92" s="3"/>
      <c r="V92" s="3"/>
      <c r="W92" s="3"/>
      <c r="X92" s="3"/>
      <c r="Y92" s="3"/>
      <c r="Z92" s="3"/>
      <c r="AA92" s="3"/>
      <c r="AB92" s="3"/>
      <c r="AC92" s="3"/>
      <c r="AD92" s="3"/>
      <c r="AE92" s="3"/>
      <c r="AF92" s="3"/>
      <c r="AG92" s="3"/>
      <c r="AH92" s="3"/>
      <c r="AI92" s="3"/>
    </row>
    <row r="93" spans="1:35" ht="12.75" x14ac:dyDescent="0.2">
      <c r="A93" s="3"/>
      <c r="B93" s="59"/>
      <c r="C93" s="121"/>
      <c r="D93" s="3" t="s">
        <v>286</v>
      </c>
      <c r="E93" s="104" t="s">
        <v>287</v>
      </c>
      <c r="F93" s="3" t="s">
        <v>78</v>
      </c>
      <c r="G93" s="3" t="s">
        <v>265</v>
      </c>
      <c r="H93" s="60">
        <v>187047</v>
      </c>
      <c r="I93" s="3" t="s">
        <v>81</v>
      </c>
      <c r="J93" s="60">
        <v>136910</v>
      </c>
      <c r="K93" s="3" t="s">
        <v>276</v>
      </c>
      <c r="L93" s="60">
        <f>25600000000/1000000</f>
        <v>25600</v>
      </c>
      <c r="M93" s="60">
        <v>1595.7</v>
      </c>
      <c r="N93" s="106">
        <v>0.08</v>
      </c>
      <c r="O93" s="114">
        <v>0.02</v>
      </c>
      <c r="P93" s="3"/>
      <c r="Q93" s="3"/>
      <c r="R93" s="3"/>
      <c r="S93" s="3"/>
      <c r="T93" s="3"/>
      <c r="U93" s="3"/>
      <c r="V93" s="3"/>
      <c r="W93" s="3"/>
      <c r="X93" s="3"/>
      <c r="Y93" s="3"/>
      <c r="Z93" s="3"/>
      <c r="AA93" s="3"/>
      <c r="AB93" s="3"/>
      <c r="AC93" s="3"/>
      <c r="AD93" s="3"/>
      <c r="AE93" s="3"/>
      <c r="AF93" s="3"/>
      <c r="AG93" s="3"/>
      <c r="AH93" s="3"/>
      <c r="AI93" s="3"/>
    </row>
    <row r="94" spans="1:35" ht="12.75" x14ac:dyDescent="0.2">
      <c r="A94" s="3"/>
      <c r="B94" s="59"/>
      <c r="C94" s="121"/>
      <c r="D94" s="3"/>
      <c r="E94" s="121"/>
      <c r="F94" s="2"/>
      <c r="G94" s="3"/>
      <c r="H94" s="129"/>
      <c r="I94" s="3"/>
      <c r="J94" s="129"/>
      <c r="K94" s="3"/>
      <c r="L94" s="129"/>
      <c r="M94" s="138"/>
      <c r="N94" s="116"/>
      <c r="O94" s="119"/>
      <c r="P94" s="178"/>
      <c r="Q94" s="3"/>
      <c r="R94" s="3"/>
      <c r="S94" s="3"/>
      <c r="T94" s="3"/>
      <c r="U94" s="3"/>
      <c r="V94" s="3"/>
      <c r="W94" s="3"/>
      <c r="X94" s="3"/>
      <c r="Y94" s="3"/>
      <c r="Z94" s="3"/>
      <c r="AA94" s="3"/>
      <c r="AB94" s="3"/>
      <c r="AC94" s="3"/>
      <c r="AD94" s="3"/>
      <c r="AE94" s="3"/>
      <c r="AF94" s="3"/>
      <c r="AG94" s="3"/>
      <c r="AH94" s="3"/>
      <c r="AI94" s="3"/>
    </row>
    <row r="95" spans="1:35" ht="12.75" x14ac:dyDescent="0.2">
      <c r="A95" s="3"/>
      <c r="B95" s="59"/>
      <c r="C95" s="2"/>
      <c r="D95" s="3" t="s">
        <v>290</v>
      </c>
      <c r="E95" s="121" t="s">
        <v>291</v>
      </c>
      <c r="F95" s="3" t="s">
        <v>29</v>
      </c>
      <c r="G95" s="3" t="s">
        <v>162</v>
      </c>
      <c r="H95" s="60">
        <f>993000000</f>
        <v>993000000</v>
      </c>
      <c r="I95" s="3" t="s">
        <v>99</v>
      </c>
      <c r="J95" s="60">
        <v>1040</v>
      </c>
      <c r="K95" s="3" t="s">
        <v>272</v>
      </c>
      <c r="L95" s="60">
        <f>1030000000000/1000000</f>
        <v>1030000</v>
      </c>
      <c r="M95" s="66">
        <f>(L95/L97)*M97</f>
        <v>58158.623055367672</v>
      </c>
      <c r="N95" s="106">
        <v>1.1399999999999999</v>
      </c>
      <c r="O95" s="114">
        <v>0.11</v>
      </c>
      <c r="P95" s="178"/>
      <c r="Q95" s="3"/>
      <c r="R95" s="3"/>
      <c r="S95" s="3"/>
      <c r="T95" s="3"/>
      <c r="U95" s="3"/>
      <c r="V95" s="3"/>
      <c r="W95" s="3"/>
      <c r="X95" s="3"/>
      <c r="Y95" s="3"/>
      <c r="Z95" s="3"/>
      <c r="AA95" s="3"/>
      <c r="AB95" s="3"/>
      <c r="AC95" s="3"/>
      <c r="AD95" s="3"/>
      <c r="AE95" s="3"/>
      <c r="AF95" s="3"/>
      <c r="AG95" s="3"/>
      <c r="AH95" s="3"/>
      <c r="AI95" s="3"/>
    </row>
    <row r="96" spans="1:35" ht="12.75" x14ac:dyDescent="0.2">
      <c r="A96" s="3"/>
      <c r="B96" s="59"/>
      <c r="C96" s="3"/>
      <c r="D96" s="3" t="s">
        <v>290</v>
      </c>
      <c r="E96" s="121" t="s">
        <v>291</v>
      </c>
      <c r="F96" s="3" t="s">
        <v>78</v>
      </c>
      <c r="G96" s="3" t="s">
        <v>265</v>
      </c>
      <c r="H96" s="60">
        <v>35786</v>
      </c>
      <c r="I96" s="3" t="s">
        <v>81</v>
      </c>
      <c r="J96" s="60">
        <v>136910</v>
      </c>
      <c r="K96" s="3" t="s">
        <v>276</v>
      </c>
      <c r="L96" s="156">
        <f>4900000000/1000000</f>
        <v>4900</v>
      </c>
      <c r="M96" s="66">
        <f>(L96/L97)*M97</f>
        <v>276.67694463233164</v>
      </c>
      <c r="N96" s="106">
        <v>0.02</v>
      </c>
      <c r="O96" s="114">
        <v>0</v>
      </c>
      <c r="P96" s="3"/>
      <c r="Q96" s="3"/>
      <c r="R96" s="3"/>
      <c r="S96" s="3"/>
      <c r="T96" s="3"/>
      <c r="U96" s="3"/>
      <c r="V96" s="3"/>
      <c r="W96" s="3"/>
      <c r="X96" s="3"/>
      <c r="Y96" s="3"/>
      <c r="Z96" s="3"/>
      <c r="AA96" s="3"/>
      <c r="AB96" s="3"/>
      <c r="AC96" s="3"/>
      <c r="AD96" s="3"/>
      <c r="AE96" s="3"/>
      <c r="AF96" s="3"/>
      <c r="AG96" s="3"/>
      <c r="AH96" s="3"/>
      <c r="AI96" s="3"/>
    </row>
    <row r="97" spans="1:35" ht="12.75" x14ac:dyDescent="0.2">
      <c r="A97" s="3"/>
      <c r="B97" s="59"/>
      <c r="C97" s="3"/>
      <c r="D97" s="3" t="s">
        <v>290</v>
      </c>
      <c r="E97" s="121" t="s">
        <v>291</v>
      </c>
      <c r="F97" s="80" t="s">
        <v>85</v>
      </c>
      <c r="G97" s="3"/>
      <c r="H97" s="116"/>
      <c r="I97" s="3"/>
      <c r="J97" s="116"/>
      <c r="K97" s="3"/>
      <c r="L97" s="66">
        <f>L95+L96</f>
        <v>1034900</v>
      </c>
      <c r="M97" s="60">
        <v>58435.3</v>
      </c>
      <c r="N97" s="179">
        <f t="shared" ref="N97:O97" si="11">N95+N96</f>
        <v>1.1599999999999999</v>
      </c>
      <c r="O97" s="180">
        <f t="shared" si="11"/>
        <v>0.11</v>
      </c>
      <c r="P97" s="3"/>
      <c r="Q97" s="3"/>
      <c r="R97" s="3"/>
      <c r="S97" s="3"/>
      <c r="T97" s="3"/>
      <c r="U97" s="3"/>
      <c r="V97" s="3"/>
      <c r="W97" s="3"/>
      <c r="X97" s="3"/>
      <c r="Y97" s="3"/>
      <c r="Z97" s="3"/>
      <c r="AA97" s="3"/>
      <c r="AB97" s="3"/>
      <c r="AC97" s="3"/>
      <c r="AD97" s="3"/>
      <c r="AE97" s="3"/>
      <c r="AF97" s="3"/>
      <c r="AG97" s="3"/>
      <c r="AH97" s="3"/>
      <c r="AI97" s="3"/>
    </row>
    <row r="98" spans="1:35" ht="12.75" x14ac:dyDescent="0.2">
      <c r="A98" s="3"/>
      <c r="B98" s="59"/>
      <c r="C98" s="121"/>
      <c r="D98" s="3"/>
      <c r="E98" s="121"/>
      <c r="F98" s="2"/>
      <c r="G98" s="3"/>
      <c r="H98" s="129"/>
      <c r="I98" s="3"/>
      <c r="J98" s="129"/>
      <c r="K98" s="3"/>
      <c r="L98" s="129"/>
      <c r="M98" s="116"/>
      <c r="N98" s="116"/>
      <c r="O98" s="119"/>
      <c r="P98" s="3"/>
      <c r="Q98" s="3"/>
      <c r="R98" s="3"/>
      <c r="S98" s="3"/>
      <c r="T98" s="3"/>
      <c r="U98" s="3"/>
      <c r="V98" s="3"/>
      <c r="W98" s="3"/>
      <c r="X98" s="3"/>
      <c r="Y98" s="3"/>
      <c r="Z98" s="3"/>
      <c r="AA98" s="3"/>
      <c r="AB98" s="3"/>
      <c r="AC98" s="3"/>
      <c r="AD98" s="3"/>
      <c r="AE98" s="3"/>
      <c r="AF98" s="3"/>
      <c r="AG98" s="3"/>
      <c r="AH98" s="3"/>
      <c r="AI98" s="3"/>
    </row>
    <row r="99" spans="1:35" ht="12.75" x14ac:dyDescent="0.2">
      <c r="A99" s="3"/>
      <c r="B99" s="59"/>
      <c r="C99" s="2"/>
      <c r="D99" s="3" t="s">
        <v>300</v>
      </c>
      <c r="E99" s="121" t="s">
        <v>301</v>
      </c>
      <c r="F99" s="3" t="s">
        <v>29</v>
      </c>
      <c r="G99" s="3" t="s">
        <v>162</v>
      </c>
      <c r="H99" s="60">
        <v>169000000</v>
      </c>
      <c r="I99" s="3" t="s">
        <v>99</v>
      </c>
      <c r="J99" s="60">
        <v>1040</v>
      </c>
      <c r="K99" s="3" t="s">
        <v>272</v>
      </c>
      <c r="L99" s="60">
        <f>176000000000/1000000</f>
        <v>176000</v>
      </c>
      <c r="M99" s="60">
        <v>9692.4</v>
      </c>
      <c r="N99" s="106">
        <v>0.19</v>
      </c>
      <c r="O99" s="114">
        <v>0.02</v>
      </c>
      <c r="P99" s="3"/>
      <c r="Q99" s="3"/>
      <c r="R99" s="3"/>
      <c r="S99" s="3"/>
      <c r="T99" s="3"/>
      <c r="U99" s="3"/>
      <c r="V99" s="3"/>
      <c r="W99" s="3"/>
      <c r="X99" s="3"/>
      <c r="Y99" s="3"/>
      <c r="Z99" s="3"/>
      <c r="AA99" s="3"/>
      <c r="AB99" s="3"/>
      <c r="AC99" s="3"/>
      <c r="AD99" s="3"/>
      <c r="AE99" s="3"/>
      <c r="AF99" s="3"/>
      <c r="AG99" s="3"/>
      <c r="AH99" s="3"/>
      <c r="AI99" s="3"/>
    </row>
    <row r="100" spans="1:35" ht="12.75" x14ac:dyDescent="0.2">
      <c r="A100" s="3"/>
      <c r="B100" s="98"/>
      <c r="C100" s="99"/>
      <c r="D100" s="99"/>
      <c r="E100" s="99"/>
      <c r="F100" s="100"/>
      <c r="G100" s="99"/>
      <c r="H100" s="124"/>
      <c r="I100" s="99"/>
      <c r="J100" s="124"/>
      <c r="K100" s="99"/>
      <c r="L100" s="124"/>
      <c r="M100" s="124"/>
      <c r="N100" s="124"/>
      <c r="O100" s="125"/>
      <c r="P100" s="3"/>
      <c r="Q100" s="3"/>
      <c r="R100" s="3"/>
      <c r="S100" s="3"/>
      <c r="T100" s="3"/>
      <c r="U100" s="3"/>
      <c r="V100" s="3"/>
      <c r="W100" s="3"/>
      <c r="X100" s="3"/>
      <c r="Y100" s="3"/>
      <c r="Z100" s="3"/>
      <c r="AA100" s="3"/>
      <c r="AB100" s="3"/>
      <c r="AC100" s="3"/>
      <c r="AD100" s="3"/>
      <c r="AE100" s="3"/>
      <c r="AF100" s="3"/>
      <c r="AG100" s="3"/>
      <c r="AH100" s="3"/>
      <c r="AI100" s="3"/>
    </row>
    <row r="101" spans="1:35" ht="12.75" x14ac:dyDescent="0.2">
      <c r="A101" s="3"/>
      <c r="B101" s="50"/>
      <c r="C101" s="55"/>
      <c r="D101" s="52"/>
      <c r="E101" s="52"/>
      <c r="F101" s="52"/>
      <c r="G101" s="52"/>
      <c r="H101" s="158"/>
      <c r="I101" s="52"/>
      <c r="J101" s="158"/>
      <c r="K101" s="52"/>
      <c r="L101" s="126"/>
      <c r="M101" s="126"/>
      <c r="N101" s="126"/>
      <c r="O101" s="127"/>
      <c r="P101" s="3"/>
      <c r="Q101" s="3"/>
      <c r="R101" s="3"/>
      <c r="S101" s="3"/>
      <c r="T101" s="3"/>
      <c r="U101" s="3"/>
      <c r="V101" s="3"/>
      <c r="W101" s="3"/>
      <c r="X101" s="3"/>
      <c r="Y101" s="3"/>
      <c r="Z101" s="3"/>
      <c r="AA101" s="3"/>
      <c r="AB101" s="3"/>
      <c r="AC101" s="3"/>
      <c r="AD101" s="3"/>
      <c r="AE101" s="3"/>
      <c r="AF101" s="3"/>
      <c r="AG101" s="3"/>
      <c r="AH101" s="3"/>
      <c r="AI101" s="3"/>
    </row>
    <row r="102" spans="1:35" ht="12.75" x14ac:dyDescent="0.2">
      <c r="A102" s="3"/>
      <c r="B102" s="59" t="s">
        <v>305</v>
      </c>
      <c r="C102" s="61" t="s">
        <v>306</v>
      </c>
      <c r="D102" s="3" t="s">
        <v>307</v>
      </c>
      <c r="E102" s="3" t="s">
        <v>308</v>
      </c>
      <c r="F102" s="3" t="s">
        <v>238</v>
      </c>
      <c r="G102" s="3" t="s">
        <v>309</v>
      </c>
      <c r="H102" s="60">
        <v>547885</v>
      </c>
      <c r="I102" s="3" t="s">
        <v>81</v>
      </c>
      <c r="J102" s="60">
        <v>150798</v>
      </c>
      <c r="K102" s="3" t="s">
        <v>310</v>
      </c>
      <c r="L102" s="66">
        <f t="shared" ref="L102:L103" si="12">H102*J102/1000000</f>
        <v>82619.962230000005</v>
      </c>
      <c r="M102" s="66">
        <f>L102/L104*M104</f>
        <v>10940.491586502594</v>
      </c>
      <c r="N102" s="70">
        <f>L102/L104*N104</f>
        <v>0.44988903728493856</v>
      </c>
      <c r="O102" s="74">
        <f>L102/L104*O104</f>
        <v>8.9977807456987718E-2</v>
      </c>
      <c r="P102" s="3"/>
      <c r="Q102" s="3"/>
      <c r="R102" s="3"/>
      <c r="S102" s="3"/>
      <c r="T102" s="3"/>
      <c r="U102" s="3"/>
      <c r="V102" s="3"/>
      <c r="W102" s="3"/>
      <c r="X102" s="3"/>
      <c r="Y102" s="3"/>
      <c r="Z102" s="3"/>
      <c r="AA102" s="3"/>
      <c r="AB102" s="3"/>
      <c r="AC102" s="3"/>
      <c r="AD102" s="3"/>
      <c r="AE102" s="3"/>
      <c r="AF102" s="3"/>
      <c r="AG102" s="3"/>
      <c r="AH102" s="3"/>
      <c r="AI102" s="3"/>
    </row>
    <row r="103" spans="1:35" ht="12.75" x14ac:dyDescent="0.2">
      <c r="A103" s="3"/>
      <c r="B103" s="59"/>
      <c r="C103" s="3"/>
      <c r="D103" s="3" t="s">
        <v>307</v>
      </c>
      <c r="E103" s="3" t="s">
        <v>308</v>
      </c>
      <c r="F103" s="3" t="s">
        <v>78</v>
      </c>
      <c r="G103" s="3" t="s">
        <v>25</v>
      </c>
      <c r="H103" s="60">
        <v>67538</v>
      </c>
      <c r="I103" s="3" t="s">
        <v>81</v>
      </c>
      <c r="J103" s="60">
        <v>136259</v>
      </c>
      <c r="K103" s="3" t="s">
        <v>310</v>
      </c>
      <c r="L103" s="66">
        <f t="shared" si="12"/>
        <v>9202.6603419999992</v>
      </c>
      <c r="M103" s="66">
        <f>L103/L104*M104</f>
        <v>1218.6114024696772</v>
      </c>
      <c r="N103" s="70">
        <f>L103/L104*N104</f>
        <v>5.0111085625978782E-2</v>
      </c>
      <c r="O103" s="74">
        <f>L103/L104*O104</f>
        <v>1.0022217125195756E-2</v>
      </c>
      <c r="P103" s="3"/>
      <c r="Q103" s="3"/>
      <c r="R103" s="3"/>
      <c r="S103" s="3"/>
      <c r="T103" s="3"/>
      <c r="U103" s="3"/>
      <c r="V103" s="3"/>
      <c r="W103" s="3"/>
      <c r="X103" s="3"/>
      <c r="Y103" s="3"/>
      <c r="Z103" s="3"/>
      <c r="AA103" s="3"/>
      <c r="AB103" s="3"/>
      <c r="AC103" s="3"/>
      <c r="AD103" s="3"/>
      <c r="AE103" s="3"/>
      <c r="AF103" s="3"/>
      <c r="AG103" s="3"/>
      <c r="AH103" s="3"/>
      <c r="AI103" s="3"/>
    </row>
    <row r="104" spans="1:35" ht="12.75" x14ac:dyDescent="0.2">
      <c r="A104" s="3"/>
      <c r="B104" s="59"/>
      <c r="C104" s="3"/>
      <c r="D104" s="3" t="s">
        <v>307</v>
      </c>
      <c r="E104" s="3" t="s">
        <v>308</v>
      </c>
      <c r="F104" s="80" t="s">
        <v>85</v>
      </c>
      <c r="G104" s="3"/>
      <c r="H104" s="116"/>
      <c r="I104" s="6"/>
      <c r="J104" s="181"/>
      <c r="K104" s="6"/>
      <c r="L104" s="60">
        <v>91822.6</v>
      </c>
      <c r="M104" s="60">
        <v>12159.1</v>
      </c>
      <c r="N104" s="135">
        <v>0.5</v>
      </c>
      <c r="O104" s="108">
        <v>0.1</v>
      </c>
      <c r="P104" s="3"/>
      <c r="Q104" s="3"/>
      <c r="R104" s="3"/>
      <c r="S104" s="3"/>
      <c r="T104" s="3"/>
      <c r="U104" s="3"/>
      <c r="V104" s="3"/>
      <c r="W104" s="3"/>
      <c r="X104" s="3"/>
      <c r="Y104" s="3"/>
      <c r="Z104" s="3"/>
      <c r="AA104" s="3"/>
      <c r="AB104" s="3"/>
      <c r="AC104" s="3"/>
      <c r="AD104" s="3"/>
      <c r="AE104" s="3"/>
      <c r="AF104" s="3"/>
      <c r="AG104" s="3"/>
      <c r="AH104" s="3"/>
      <c r="AI104" s="3"/>
    </row>
    <row r="105" spans="1:35" ht="12.75" x14ac:dyDescent="0.2">
      <c r="A105" s="3"/>
      <c r="B105" s="59"/>
      <c r="C105" s="3"/>
      <c r="D105" s="2"/>
      <c r="E105" s="2"/>
      <c r="F105" s="2"/>
      <c r="G105" s="2"/>
      <c r="H105" s="2"/>
      <c r="I105" s="2"/>
      <c r="J105" s="2"/>
      <c r="K105" s="2"/>
      <c r="L105" s="2"/>
      <c r="M105" s="2"/>
      <c r="N105" s="2"/>
      <c r="O105" s="93"/>
      <c r="P105" s="3"/>
      <c r="Q105" s="3"/>
      <c r="R105" s="3"/>
      <c r="S105" s="3"/>
      <c r="T105" s="3"/>
      <c r="U105" s="3"/>
      <c r="V105" s="3"/>
      <c r="W105" s="3"/>
      <c r="X105" s="3"/>
      <c r="Y105" s="3"/>
      <c r="Z105" s="3"/>
      <c r="AA105" s="3"/>
      <c r="AB105" s="3"/>
      <c r="AC105" s="3"/>
      <c r="AD105" s="3"/>
      <c r="AE105" s="3"/>
      <c r="AF105" s="3"/>
      <c r="AG105" s="3"/>
      <c r="AH105" s="3"/>
      <c r="AI105" s="3"/>
    </row>
    <row r="106" spans="1:35" ht="12.75" x14ac:dyDescent="0.2">
      <c r="A106" s="3"/>
      <c r="B106" s="59"/>
      <c r="C106" s="3"/>
      <c r="D106" s="3" t="s">
        <v>319</v>
      </c>
      <c r="E106" s="3" t="s">
        <v>320</v>
      </c>
      <c r="F106" s="3" t="s">
        <v>78</v>
      </c>
      <c r="G106" s="3" t="s">
        <v>25</v>
      </c>
      <c r="H106" s="60">
        <v>4030</v>
      </c>
      <c r="I106" s="3" t="s">
        <v>81</v>
      </c>
      <c r="J106" s="60">
        <v>136259</v>
      </c>
      <c r="K106" s="3" t="s">
        <v>310</v>
      </c>
      <c r="L106" s="60">
        <v>549.1</v>
      </c>
      <c r="M106" s="122">
        <v>44.768000000000001</v>
      </c>
      <c r="N106" s="133">
        <v>2E-3</v>
      </c>
      <c r="O106" s="114">
        <v>0</v>
      </c>
      <c r="P106" s="3"/>
      <c r="Q106" s="3"/>
      <c r="R106" s="3"/>
      <c r="S106" s="3"/>
      <c r="T106" s="3"/>
      <c r="U106" s="3"/>
      <c r="V106" s="3"/>
      <c r="W106" s="3"/>
      <c r="X106" s="3"/>
      <c r="Y106" s="3"/>
      <c r="Z106" s="3"/>
      <c r="AA106" s="3"/>
      <c r="AB106" s="3"/>
      <c r="AC106" s="3"/>
      <c r="AD106" s="3"/>
      <c r="AE106" s="3"/>
      <c r="AF106" s="3"/>
      <c r="AG106" s="3"/>
      <c r="AH106" s="3"/>
      <c r="AI106" s="3"/>
    </row>
    <row r="107" spans="1:35" ht="12.75" x14ac:dyDescent="0.2">
      <c r="A107" s="3"/>
      <c r="B107" s="59"/>
      <c r="C107" s="3"/>
      <c r="D107" s="3"/>
      <c r="E107" s="3"/>
      <c r="F107" s="2"/>
      <c r="G107" s="3"/>
      <c r="H107" s="129"/>
      <c r="I107" s="3"/>
      <c r="J107" s="129"/>
      <c r="K107" s="3"/>
      <c r="L107" s="129"/>
      <c r="M107" s="116"/>
      <c r="N107" s="116"/>
      <c r="O107" s="119"/>
      <c r="P107" s="3"/>
      <c r="Q107" s="3"/>
      <c r="R107" s="3"/>
      <c r="S107" s="3"/>
      <c r="T107" s="3"/>
      <c r="U107" s="3"/>
      <c r="V107" s="3"/>
      <c r="W107" s="3"/>
      <c r="X107" s="3"/>
      <c r="Y107" s="3"/>
      <c r="Z107" s="3"/>
      <c r="AA107" s="3"/>
      <c r="AB107" s="3"/>
      <c r="AC107" s="3"/>
      <c r="AD107" s="3"/>
      <c r="AE107" s="3"/>
      <c r="AF107" s="3"/>
      <c r="AG107" s="3"/>
      <c r="AH107" s="3"/>
      <c r="AI107" s="3"/>
    </row>
    <row r="108" spans="1:35" ht="12.75" x14ac:dyDescent="0.2">
      <c r="A108" s="3"/>
      <c r="B108" s="59"/>
      <c r="C108" s="3"/>
      <c r="D108" s="3" t="s">
        <v>323</v>
      </c>
      <c r="E108" s="3" t="s">
        <v>324</v>
      </c>
      <c r="F108" s="3" t="s">
        <v>78</v>
      </c>
      <c r="G108" s="3" t="s">
        <v>25</v>
      </c>
      <c r="H108" s="60">
        <v>26120</v>
      </c>
      <c r="I108" s="3" t="s">
        <v>81</v>
      </c>
      <c r="J108" s="60">
        <v>136259</v>
      </c>
      <c r="K108" s="3" t="s">
        <v>310</v>
      </c>
      <c r="L108" s="60">
        <v>3559.1</v>
      </c>
      <c r="M108" s="122">
        <v>290.161</v>
      </c>
      <c r="N108" s="135">
        <v>1.2E-2</v>
      </c>
      <c r="O108" s="136">
        <v>2E-3</v>
      </c>
      <c r="P108" s="3"/>
      <c r="Q108" s="3"/>
      <c r="R108" s="3"/>
      <c r="S108" s="3"/>
      <c r="T108" s="3"/>
      <c r="U108" s="3"/>
      <c r="V108" s="3"/>
      <c r="W108" s="3"/>
      <c r="X108" s="3"/>
      <c r="Y108" s="3"/>
      <c r="Z108" s="3"/>
      <c r="AA108" s="3"/>
      <c r="AB108" s="3"/>
      <c r="AC108" s="3"/>
      <c r="AD108" s="3"/>
      <c r="AE108" s="3"/>
      <c r="AF108" s="3"/>
      <c r="AG108" s="3"/>
      <c r="AH108" s="3"/>
      <c r="AI108" s="3"/>
    </row>
    <row r="109" spans="1:35" ht="12.75" x14ac:dyDescent="0.2">
      <c r="A109" s="3"/>
      <c r="B109" s="98"/>
      <c r="C109" s="99"/>
      <c r="D109" s="99"/>
      <c r="E109" s="99"/>
      <c r="F109" s="100"/>
      <c r="G109" s="99"/>
      <c r="H109" s="124"/>
      <c r="I109" s="99"/>
      <c r="J109" s="124"/>
      <c r="K109" s="99"/>
      <c r="L109" s="124"/>
      <c r="M109" s="124"/>
      <c r="N109" s="124"/>
      <c r="O109" s="125"/>
      <c r="P109" s="3"/>
      <c r="Q109" s="3"/>
      <c r="R109" s="3"/>
      <c r="S109" s="3"/>
      <c r="T109" s="3"/>
      <c r="U109" s="3"/>
      <c r="V109" s="3"/>
      <c r="W109" s="3"/>
      <c r="X109" s="3"/>
      <c r="Y109" s="3"/>
      <c r="Z109" s="3"/>
      <c r="AA109" s="3"/>
      <c r="AB109" s="3"/>
      <c r="AC109" s="3"/>
      <c r="AD109" s="3"/>
      <c r="AE109" s="3"/>
      <c r="AF109" s="3"/>
      <c r="AG109" s="3"/>
      <c r="AH109" s="3"/>
      <c r="AI109" s="3"/>
    </row>
    <row r="110" spans="1:35" ht="12.75" x14ac:dyDescent="0.2">
      <c r="A110" s="3"/>
      <c r="B110" s="50"/>
      <c r="C110" s="52"/>
      <c r="D110" s="52"/>
      <c r="E110" s="52"/>
      <c r="F110" s="102"/>
      <c r="G110" s="52"/>
      <c r="H110" s="126"/>
      <c r="I110" s="52"/>
      <c r="J110" s="126"/>
      <c r="K110" s="52"/>
      <c r="L110" s="126"/>
      <c r="M110" s="126"/>
      <c r="N110" s="126"/>
      <c r="O110" s="127"/>
      <c r="P110" s="3"/>
      <c r="Q110" s="3"/>
      <c r="R110" s="3"/>
      <c r="S110" s="3"/>
      <c r="T110" s="3"/>
      <c r="U110" s="3"/>
      <c r="V110" s="3"/>
      <c r="W110" s="3"/>
      <c r="X110" s="3"/>
      <c r="Y110" s="3"/>
      <c r="Z110" s="3"/>
      <c r="AA110" s="3"/>
      <c r="AB110" s="3"/>
      <c r="AC110" s="3"/>
      <c r="AD110" s="3"/>
      <c r="AE110" s="3"/>
      <c r="AF110" s="3"/>
      <c r="AG110" s="3"/>
      <c r="AH110" s="3"/>
      <c r="AI110" s="3"/>
    </row>
    <row r="111" spans="1:35" ht="12.75" x14ac:dyDescent="0.2">
      <c r="A111" s="3"/>
      <c r="B111" s="59" t="s">
        <v>327</v>
      </c>
      <c r="C111" s="3" t="s">
        <v>328</v>
      </c>
      <c r="D111" s="3" t="s">
        <v>329</v>
      </c>
      <c r="E111" s="3" t="s">
        <v>330</v>
      </c>
      <c r="F111" s="3" t="s">
        <v>29</v>
      </c>
      <c r="G111" s="3" t="s">
        <v>162</v>
      </c>
      <c r="H111" s="60">
        <v>1549230</v>
      </c>
      <c r="I111" s="3" t="s">
        <v>99</v>
      </c>
      <c r="J111" s="60">
        <v>1049</v>
      </c>
      <c r="K111" s="3" t="s">
        <v>331</v>
      </c>
      <c r="L111" s="66">
        <f>(H111*J111)/1000</f>
        <v>1625142.27</v>
      </c>
      <c r="M111" s="66">
        <f>L111/L113*M113</f>
        <v>96629.017450957326</v>
      </c>
      <c r="N111" s="70">
        <f>L111/L113*N113</f>
        <v>1.7995793160447318</v>
      </c>
      <c r="O111" s="74">
        <f>L111/L113*O113</f>
        <v>0.17716065805621711</v>
      </c>
      <c r="P111" s="3"/>
      <c r="Q111" s="3"/>
      <c r="R111" s="3"/>
      <c r="S111" s="3"/>
      <c r="T111" s="3"/>
      <c r="U111" s="3"/>
      <c r="V111" s="3"/>
      <c r="W111" s="3"/>
      <c r="X111" s="3"/>
      <c r="Y111" s="3"/>
      <c r="Z111" s="3"/>
      <c r="AA111" s="3"/>
      <c r="AB111" s="3"/>
      <c r="AC111" s="3"/>
      <c r="AD111" s="3"/>
      <c r="AE111" s="3"/>
      <c r="AF111" s="3"/>
      <c r="AG111" s="3"/>
      <c r="AH111" s="3"/>
      <c r="AI111" s="3"/>
    </row>
    <row r="112" spans="1:35" ht="12.75" x14ac:dyDescent="0.2">
      <c r="A112" s="3"/>
      <c r="B112" s="59"/>
      <c r="C112" s="3"/>
      <c r="D112" s="3" t="s">
        <v>329</v>
      </c>
      <c r="E112" s="3" t="s">
        <v>330</v>
      </c>
      <c r="F112" s="3" t="s">
        <v>78</v>
      </c>
      <c r="G112" s="3" t="s">
        <v>25</v>
      </c>
      <c r="H112" s="60">
        <v>13440</v>
      </c>
      <c r="I112" s="3" t="s">
        <v>81</v>
      </c>
      <c r="J112" s="60">
        <v>137295</v>
      </c>
      <c r="K112" s="3" t="s">
        <v>310</v>
      </c>
      <c r="L112" s="162">
        <f>L113-L111</f>
        <v>117778.72999999998</v>
      </c>
      <c r="M112" s="66">
        <f>(L112/L113)*M113</f>
        <v>7002.9825490426692</v>
      </c>
      <c r="N112" s="70">
        <f>L112/L113*N113</f>
        <v>0.13042068395526818</v>
      </c>
      <c r="O112" s="74">
        <f>L112/L113*O113</f>
        <v>1.2839341943782877E-2</v>
      </c>
      <c r="P112" s="3"/>
      <c r="Q112" s="3"/>
      <c r="R112" s="3"/>
      <c r="S112" s="3"/>
      <c r="T112" s="3"/>
      <c r="U112" s="3"/>
      <c r="V112" s="3"/>
      <c r="W112" s="3"/>
      <c r="X112" s="3"/>
      <c r="Y112" s="3"/>
      <c r="Z112" s="3"/>
      <c r="AA112" s="3"/>
      <c r="AB112" s="3"/>
      <c r="AC112" s="3"/>
      <c r="AD112" s="3"/>
      <c r="AE112" s="3"/>
      <c r="AF112" s="3"/>
      <c r="AG112" s="3"/>
      <c r="AH112" s="3"/>
      <c r="AI112" s="3"/>
    </row>
    <row r="113" spans="1:35" ht="12.75" x14ac:dyDescent="0.2">
      <c r="A113" s="3"/>
      <c r="B113" s="59"/>
      <c r="C113" s="3"/>
      <c r="D113" s="3" t="s">
        <v>329</v>
      </c>
      <c r="E113" s="3" t="s">
        <v>330</v>
      </c>
      <c r="F113" s="80" t="s">
        <v>85</v>
      </c>
      <c r="G113" s="3"/>
      <c r="H113" s="116"/>
      <c r="I113" s="3"/>
      <c r="J113" s="116"/>
      <c r="K113" s="3"/>
      <c r="L113" s="60">
        <v>1742921</v>
      </c>
      <c r="M113" s="60">
        <v>103632</v>
      </c>
      <c r="N113" s="106">
        <v>1.93</v>
      </c>
      <c r="O113" s="114">
        <v>0.19</v>
      </c>
      <c r="P113" s="3"/>
      <c r="Q113" s="3"/>
      <c r="R113" s="3"/>
      <c r="S113" s="3"/>
      <c r="T113" s="3"/>
      <c r="U113" s="3"/>
      <c r="V113" s="3"/>
      <c r="W113" s="3"/>
      <c r="X113" s="3"/>
      <c r="Y113" s="3"/>
      <c r="Z113" s="3"/>
      <c r="AA113" s="3"/>
      <c r="AB113" s="3"/>
      <c r="AC113" s="3"/>
      <c r="AD113" s="3"/>
      <c r="AE113" s="3"/>
      <c r="AF113" s="3"/>
      <c r="AG113" s="3"/>
      <c r="AH113" s="3"/>
      <c r="AI113" s="3"/>
    </row>
    <row r="114" spans="1:35" ht="12.75" x14ac:dyDescent="0.2">
      <c r="A114" s="3"/>
      <c r="B114" s="59"/>
      <c r="C114" s="3"/>
      <c r="D114" s="3"/>
      <c r="E114" s="3"/>
      <c r="F114" s="2"/>
      <c r="G114" s="3"/>
      <c r="H114" s="129"/>
      <c r="I114" s="3"/>
      <c r="J114" s="129"/>
      <c r="K114" s="3"/>
      <c r="L114" s="129"/>
      <c r="M114" s="129"/>
      <c r="N114" s="182"/>
      <c r="O114" s="183"/>
      <c r="P114" s="3"/>
      <c r="Q114" s="3"/>
      <c r="R114" s="3"/>
      <c r="S114" s="3"/>
      <c r="T114" s="3"/>
      <c r="U114" s="3"/>
      <c r="V114" s="3"/>
      <c r="W114" s="3"/>
      <c r="X114" s="3"/>
      <c r="Y114" s="3"/>
      <c r="Z114" s="3"/>
      <c r="AA114" s="3"/>
      <c r="AB114" s="3"/>
      <c r="AC114" s="3"/>
      <c r="AD114" s="3"/>
      <c r="AE114" s="3"/>
      <c r="AF114" s="3"/>
      <c r="AG114" s="3"/>
      <c r="AH114" s="3"/>
      <c r="AI114" s="3"/>
    </row>
    <row r="115" spans="1:35" ht="12.75" x14ac:dyDescent="0.2">
      <c r="A115" s="3"/>
      <c r="B115" s="59"/>
      <c r="C115" s="3"/>
      <c r="D115" s="3" t="s">
        <v>341</v>
      </c>
      <c r="E115" s="3" t="s">
        <v>330</v>
      </c>
      <c r="F115" s="3" t="s">
        <v>29</v>
      </c>
      <c r="G115" s="3" t="s">
        <v>162</v>
      </c>
      <c r="H115" s="60">
        <v>1817949</v>
      </c>
      <c r="I115" s="3" t="s">
        <v>99</v>
      </c>
      <c r="J115" s="60">
        <v>1049</v>
      </c>
      <c r="K115" s="3" t="s">
        <v>331</v>
      </c>
      <c r="L115" s="66">
        <f>(H115*J115)/1000</f>
        <v>1907028.5009999999</v>
      </c>
      <c r="M115" s="66">
        <f>(L115/L117)*M117</f>
        <v>113385.37826376043</v>
      </c>
      <c r="N115" s="70">
        <f>L115/L117*N117</f>
        <v>2.1062850438838474</v>
      </c>
      <c r="O115" s="74">
        <f>L115/L117*O117</f>
        <v>0.20766190573502721</v>
      </c>
      <c r="P115" s="3"/>
      <c r="Q115" s="3"/>
      <c r="R115" s="3"/>
      <c r="S115" s="3"/>
      <c r="T115" s="3"/>
      <c r="U115" s="3"/>
      <c r="V115" s="3"/>
      <c r="W115" s="3"/>
      <c r="X115" s="3"/>
      <c r="Y115" s="3"/>
      <c r="Z115" s="3"/>
      <c r="AA115" s="3"/>
      <c r="AB115" s="3"/>
      <c r="AC115" s="3"/>
      <c r="AD115" s="3"/>
      <c r="AE115" s="3"/>
      <c r="AF115" s="3"/>
      <c r="AG115" s="3"/>
      <c r="AH115" s="3"/>
      <c r="AI115" s="3"/>
    </row>
    <row r="116" spans="1:35" ht="12.75" x14ac:dyDescent="0.2">
      <c r="A116" s="3"/>
      <c r="B116" s="59"/>
      <c r="C116" s="3"/>
      <c r="D116" s="3" t="s">
        <v>341</v>
      </c>
      <c r="E116" s="3" t="s">
        <v>330</v>
      </c>
      <c r="F116" s="3" t="s">
        <v>78</v>
      </c>
      <c r="G116" s="3" t="s">
        <v>25</v>
      </c>
      <c r="H116" s="60">
        <v>19320</v>
      </c>
      <c r="I116" s="3" t="s">
        <v>81</v>
      </c>
      <c r="J116" s="60">
        <v>137298</v>
      </c>
      <c r="K116" s="3" t="s">
        <v>310</v>
      </c>
      <c r="L116" s="162">
        <f>L117-L115</f>
        <v>21471.499000000069</v>
      </c>
      <c r="M116" s="66">
        <f>(L116/L117)*M117</f>
        <v>1276.6217362395685</v>
      </c>
      <c r="N116" s="70">
        <f>L116/L117*N117</f>
        <v>2.3714956116152524E-2</v>
      </c>
      <c r="O116" s="74">
        <f>L116/L117*O117</f>
        <v>2.3380942649727839E-3</v>
      </c>
      <c r="P116" s="3"/>
      <c r="Q116" s="3"/>
      <c r="R116" s="3"/>
      <c r="S116" s="3"/>
      <c r="T116" s="3"/>
      <c r="U116" s="3"/>
      <c r="V116" s="3"/>
      <c r="W116" s="3"/>
      <c r="X116" s="3"/>
      <c r="Y116" s="3"/>
      <c r="Z116" s="3"/>
      <c r="AA116" s="3"/>
      <c r="AB116" s="3"/>
      <c r="AC116" s="3"/>
      <c r="AD116" s="3"/>
      <c r="AE116" s="3"/>
      <c r="AF116" s="3"/>
      <c r="AG116" s="3"/>
      <c r="AH116" s="3"/>
      <c r="AI116" s="3"/>
    </row>
    <row r="117" spans="1:35" ht="12.75" x14ac:dyDescent="0.2">
      <c r="A117" s="3"/>
      <c r="B117" s="59"/>
      <c r="C117" s="3"/>
      <c r="D117" s="3" t="s">
        <v>341</v>
      </c>
      <c r="E117" s="3" t="s">
        <v>330</v>
      </c>
      <c r="F117" s="80" t="s">
        <v>85</v>
      </c>
      <c r="G117" s="3"/>
      <c r="H117" s="116"/>
      <c r="I117" s="3"/>
      <c r="J117" s="116"/>
      <c r="K117" s="3"/>
      <c r="L117" s="60">
        <v>1928500</v>
      </c>
      <c r="M117" s="60">
        <v>114662</v>
      </c>
      <c r="N117" s="156">
        <v>2.13</v>
      </c>
      <c r="O117" s="157">
        <v>0.21</v>
      </c>
      <c r="P117" s="3"/>
      <c r="Q117" s="175"/>
      <c r="R117" s="3"/>
      <c r="S117" s="3"/>
      <c r="T117" s="3"/>
      <c r="U117" s="3"/>
      <c r="V117" s="3"/>
      <c r="W117" s="3"/>
      <c r="X117" s="3"/>
      <c r="Y117" s="3"/>
      <c r="Z117" s="3"/>
      <c r="AA117" s="3"/>
      <c r="AB117" s="3"/>
      <c r="AC117" s="3"/>
      <c r="AD117" s="3"/>
      <c r="AE117" s="3"/>
      <c r="AF117" s="3"/>
      <c r="AG117" s="3"/>
      <c r="AH117" s="3"/>
      <c r="AI117" s="3"/>
    </row>
    <row r="118" spans="1:35" ht="12.75" x14ac:dyDescent="0.2">
      <c r="A118" s="3"/>
      <c r="B118" s="59"/>
      <c r="C118" s="3"/>
      <c r="D118" s="3"/>
      <c r="E118" s="3"/>
      <c r="F118" s="2"/>
      <c r="G118" s="3"/>
      <c r="H118" s="116"/>
      <c r="I118" s="3"/>
      <c r="J118" s="116"/>
      <c r="K118" s="3"/>
      <c r="L118" s="116"/>
      <c r="M118" s="116"/>
      <c r="N118" s="116"/>
      <c r="O118" s="119"/>
      <c r="P118" s="3"/>
      <c r="Q118" s="3"/>
      <c r="R118" s="3"/>
      <c r="S118" s="3"/>
      <c r="T118" s="3"/>
      <c r="U118" s="3"/>
      <c r="V118" s="3"/>
      <c r="W118" s="3"/>
      <c r="X118" s="3"/>
      <c r="Y118" s="3"/>
      <c r="Z118" s="3"/>
      <c r="AA118" s="3"/>
      <c r="AB118" s="3"/>
      <c r="AC118" s="3"/>
      <c r="AD118" s="3"/>
      <c r="AE118" s="3"/>
      <c r="AF118" s="3"/>
      <c r="AG118" s="3"/>
      <c r="AH118" s="3"/>
      <c r="AI118" s="3"/>
    </row>
    <row r="119" spans="1:35" ht="12.75" x14ac:dyDescent="0.2">
      <c r="A119" s="3"/>
      <c r="B119" s="59"/>
      <c r="C119" s="3"/>
      <c r="D119" s="3" t="s">
        <v>348</v>
      </c>
      <c r="E119" s="3" t="s">
        <v>349</v>
      </c>
      <c r="F119" s="3" t="s">
        <v>350</v>
      </c>
      <c r="G119" s="3"/>
      <c r="H119" s="60">
        <v>1283</v>
      </c>
      <c r="I119" s="3" t="s">
        <v>81</v>
      </c>
      <c r="J119" s="60">
        <v>123500</v>
      </c>
      <c r="K119" s="3" t="s">
        <v>310</v>
      </c>
      <c r="L119" s="109">
        <f>H119*J119/1000000</f>
        <v>158.45050000000001</v>
      </c>
      <c r="M119" s="106">
        <v>10.98</v>
      </c>
      <c r="N119" s="106">
        <v>0</v>
      </c>
      <c r="O119" s="114">
        <v>0</v>
      </c>
      <c r="P119" s="3"/>
      <c r="Q119" s="3"/>
      <c r="R119" s="3"/>
      <c r="S119" s="3"/>
      <c r="T119" s="3"/>
      <c r="U119" s="3"/>
      <c r="V119" s="3"/>
      <c r="W119" s="3"/>
      <c r="X119" s="3"/>
      <c r="Y119" s="3"/>
      <c r="Z119" s="3"/>
      <c r="AA119" s="3"/>
      <c r="AB119" s="3"/>
      <c r="AC119" s="3"/>
      <c r="AD119" s="3"/>
      <c r="AE119" s="3"/>
      <c r="AF119" s="3"/>
      <c r="AG119" s="3"/>
      <c r="AH119" s="3"/>
      <c r="AI119" s="3"/>
    </row>
    <row r="120" spans="1:35" ht="12.75" x14ac:dyDescent="0.2">
      <c r="A120" s="3"/>
      <c r="B120" s="98"/>
      <c r="C120" s="99"/>
      <c r="D120" s="99"/>
      <c r="E120" s="99"/>
      <c r="F120" s="100"/>
      <c r="G120" s="99"/>
      <c r="H120" s="124"/>
      <c r="I120" s="99"/>
      <c r="J120" s="124"/>
      <c r="K120" s="99"/>
      <c r="L120" s="124"/>
      <c r="M120" s="124"/>
      <c r="N120" s="124"/>
      <c r="O120" s="125"/>
      <c r="P120" s="3"/>
      <c r="Q120" s="3"/>
      <c r="R120" s="3"/>
      <c r="S120" s="3"/>
      <c r="T120" s="3"/>
      <c r="U120" s="3"/>
      <c r="V120" s="3"/>
      <c r="W120" s="3"/>
      <c r="X120" s="3"/>
      <c r="Y120" s="3"/>
      <c r="Z120" s="3"/>
      <c r="AA120" s="3"/>
      <c r="AB120" s="3"/>
      <c r="AC120" s="3"/>
      <c r="AD120" s="3"/>
      <c r="AE120" s="3"/>
      <c r="AF120" s="3"/>
      <c r="AG120" s="3"/>
      <c r="AH120" s="3"/>
      <c r="AI120" s="3"/>
    </row>
    <row r="121" spans="1:35" ht="12.75" x14ac:dyDescent="0.2">
      <c r="A121" s="3"/>
      <c r="B121" s="50"/>
      <c r="C121" s="52"/>
      <c r="D121" s="52"/>
      <c r="E121" s="52"/>
      <c r="F121" s="102"/>
      <c r="G121" s="52"/>
      <c r="H121" s="126"/>
      <c r="I121" s="52"/>
      <c r="J121" s="126"/>
      <c r="K121" s="52"/>
      <c r="L121" s="126"/>
      <c r="M121" s="126"/>
      <c r="N121" s="126"/>
      <c r="O121" s="127"/>
      <c r="P121" s="3"/>
      <c r="Q121" s="3"/>
      <c r="R121" s="3"/>
      <c r="S121" s="3"/>
      <c r="T121" s="3"/>
      <c r="U121" s="3"/>
      <c r="V121" s="3"/>
      <c r="W121" s="3"/>
      <c r="X121" s="3"/>
      <c r="Y121" s="3"/>
      <c r="Z121" s="3"/>
      <c r="AA121" s="3"/>
      <c r="AB121" s="3"/>
      <c r="AC121" s="3"/>
      <c r="AD121" s="3"/>
      <c r="AE121" s="3"/>
      <c r="AF121" s="3"/>
      <c r="AG121" s="3"/>
      <c r="AH121" s="3"/>
      <c r="AI121" s="3"/>
    </row>
    <row r="122" spans="1:35" ht="12.75" x14ac:dyDescent="0.2">
      <c r="A122" s="3"/>
      <c r="B122" s="184" t="s">
        <v>353</v>
      </c>
      <c r="C122" s="3" t="s">
        <v>355</v>
      </c>
      <c r="D122" s="3" t="s">
        <v>178</v>
      </c>
      <c r="E122" s="3" t="s">
        <v>356</v>
      </c>
      <c r="F122" s="3" t="s">
        <v>78</v>
      </c>
      <c r="G122" s="3" t="s">
        <v>25</v>
      </c>
      <c r="H122" s="60">
        <v>29589</v>
      </c>
      <c r="I122" s="3" t="s">
        <v>81</v>
      </c>
      <c r="J122" s="60">
        <v>137427</v>
      </c>
      <c r="K122" s="3" t="s">
        <v>310</v>
      </c>
      <c r="L122" s="60">
        <v>3205</v>
      </c>
      <c r="M122" s="122">
        <v>259.39999999999998</v>
      </c>
      <c r="N122" s="156">
        <v>1.06E-2</v>
      </c>
      <c r="O122" s="177">
        <v>2.1199999999999999E-3</v>
      </c>
      <c r="P122" s="3"/>
      <c r="Q122" s="3"/>
      <c r="R122" s="3"/>
      <c r="S122" s="3"/>
      <c r="T122" s="3"/>
      <c r="U122" s="3"/>
      <c r="V122" s="3"/>
      <c r="W122" s="3"/>
      <c r="X122" s="3"/>
      <c r="Y122" s="3"/>
      <c r="Z122" s="3"/>
      <c r="AA122" s="3"/>
      <c r="AB122" s="3"/>
      <c r="AC122" s="3"/>
      <c r="AD122" s="3"/>
      <c r="AE122" s="3"/>
      <c r="AF122" s="3"/>
      <c r="AG122" s="3"/>
      <c r="AH122" s="3"/>
      <c r="AI122" s="3"/>
    </row>
    <row r="123" spans="1:35" ht="12.75" x14ac:dyDescent="0.2">
      <c r="A123" s="3"/>
      <c r="B123" s="59"/>
      <c r="C123" s="3"/>
      <c r="D123" s="3"/>
      <c r="E123" s="3"/>
      <c r="F123" s="2"/>
      <c r="G123" s="3"/>
      <c r="H123" s="129"/>
      <c r="I123" s="3"/>
      <c r="J123" s="129"/>
      <c r="K123" s="3"/>
      <c r="L123" s="129"/>
      <c r="M123" s="116"/>
      <c r="N123" s="130"/>
      <c r="O123" s="132"/>
      <c r="P123" s="3"/>
      <c r="Q123" s="3"/>
      <c r="R123" s="3"/>
      <c r="S123" s="3"/>
      <c r="T123" s="3"/>
      <c r="U123" s="3"/>
      <c r="V123" s="3"/>
      <c r="W123" s="3"/>
      <c r="X123" s="3"/>
      <c r="Y123" s="3"/>
      <c r="Z123" s="3"/>
      <c r="AA123" s="3"/>
      <c r="AB123" s="3"/>
      <c r="AC123" s="3"/>
      <c r="AD123" s="3"/>
      <c r="AE123" s="3"/>
      <c r="AF123" s="3"/>
      <c r="AG123" s="3"/>
      <c r="AH123" s="3"/>
      <c r="AI123" s="3"/>
    </row>
    <row r="124" spans="1:35" ht="12.75" x14ac:dyDescent="0.2">
      <c r="A124" s="3"/>
      <c r="B124" s="59"/>
      <c r="C124" s="3"/>
      <c r="D124" s="3" t="s">
        <v>190</v>
      </c>
      <c r="E124" s="3" t="s">
        <v>358</v>
      </c>
      <c r="F124" s="3" t="s">
        <v>78</v>
      </c>
      <c r="G124" s="3" t="s">
        <v>25</v>
      </c>
      <c r="H124" s="60">
        <v>23539</v>
      </c>
      <c r="I124" s="3" t="s">
        <v>81</v>
      </c>
      <c r="J124" s="60">
        <v>137427</v>
      </c>
      <c r="K124" s="3" t="s">
        <v>310</v>
      </c>
      <c r="L124" s="60">
        <v>3180</v>
      </c>
      <c r="M124" s="122">
        <v>257.7</v>
      </c>
      <c r="N124" s="156">
        <v>1.0500000000000001E-2</v>
      </c>
      <c r="O124" s="177">
        <v>2.0999999999999999E-3</v>
      </c>
      <c r="P124" s="3"/>
      <c r="Q124" s="3"/>
      <c r="R124" s="3"/>
      <c r="S124" s="3"/>
      <c r="T124" s="3"/>
      <c r="U124" s="3"/>
      <c r="V124" s="3"/>
      <c r="W124" s="3"/>
      <c r="X124" s="3"/>
      <c r="Y124" s="3"/>
      <c r="Z124" s="3"/>
      <c r="AA124" s="3"/>
      <c r="AB124" s="3"/>
      <c r="AC124" s="3"/>
      <c r="AD124" s="3"/>
      <c r="AE124" s="3"/>
      <c r="AF124" s="3"/>
      <c r="AG124" s="3"/>
      <c r="AH124" s="3"/>
      <c r="AI124" s="3"/>
    </row>
    <row r="125" spans="1:35" ht="12.75" x14ac:dyDescent="0.2">
      <c r="A125" s="3"/>
      <c r="B125" s="98"/>
      <c r="C125" s="99"/>
      <c r="D125" s="99"/>
      <c r="E125" s="99"/>
      <c r="F125" s="100"/>
      <c r="G125" s="99"/>
      <c r="H125" s="124"/>
      <c r="I125" s="99"/>
      <c r="J125" s="124"/>
      <c r="K125" s="99"/>
      <c r="L125" s="124"/>
      <c r="M125" s="124"/>
      <c r="N125" s="124"/>
      <c r="O125" s="125"/>
      <c r="P125" s="3"/>
      <c r="Q125" s="3"/>
      <c r="R125" s="3"/>
      <c r="S125" s="3"/>
      <c r="T125" s="3"/>
      <c r="U125" s="3"/>
      <c r="V125" s="3"/>
      <c r="W125" s="3"/>
      <c r="X125" s="3"/>
      <c r="Y125" s="3"/>
      <c r="Z125" s="3"/>
      <c r="AA125" s="3"/>
      <c r="AB125" s="3"/>
      <c r="AC125" s="3"/>
      <c r="AD125" s="3"/>
      <c r="AE125" s="3"/>
      <c r="AF125" s="3"/>
      <c r="AG125" s="3"/>
      <c r="AH125" s="3"/>
      <c r="AI125" s="3"/>
    </row>
    <row r="126" spans="1:35" ht="12.75" x14ac:dyDescent="0.2">
      <c r="A126" s="3"/>
      <c r="B126" s="59"/>
      <c r="C126" s="3"/>
      <c r="D126" s="3"/>
      <c r="E126" s="3"/>
      <c r="F126" s="2"/>
      <c r="G126" s="3"/>
      <c r="H126" s="116"/>
      <c r="I126" s="3"/>
      <c r="J126" s="116"/>
      <c r="K126" s="3"/>
      <c r="L126" s="116"/>
      <c r="M126" s="116"/>
      <c r="N126" s="116"/>
      <c r="O126" s="119"/>
      <c r="P126" s="3"/>
      <c r="Q126" s="3"/>
      <c r="R126" s="3"/>
      <c r="S126" s="3"/>
      <c r="T126" s="3"/>
      <c r="U126" s="3"/>
      <c r="V126" s="3"/>
      <c r="W126" s="3"/>
      <c r="X126" s="3"/>
      <c r="Y126" s="3"/>
      <c r="Z126" s="3"/>
      <c r="AA126" s="3"/>
      <c r="AB126" s="3"/>
      <c r="AC126" s="3"/>
      <c r="AD126" s="3"/>
      <c r="AE126" s="3"/>
      <c r="AF126" s="3"/>
      <c r="AG126" s="3"/>
      <c r="AH126" s="3"/>
      <c r="AI126" s="3"/>
    </row>
    <row r="127" spans="1:35" ht="12.75" x14ac:dyDescent="0.2">
      <c r="A127" s="3"/>
      <c r="B127" s="59" t="s">
        <v>362</v>
      </c>
      <c r="C127" s="3" t="s">
        <v>363</v>
      </c>
      <c r="D127" s="3" t="s">
        <v>121</v>
      </c>
      <c r="E127" s="121" t="s">
        <v>364</v>
      </c>
      <c r="F127" s="3" t="s">
        <v>29</v>
      </c>
      <c r="G127" s="3" t="s">
        <v>29</v>
      </c>
      <c r="H127" s="66">
        <f t="shared" ref="H127:H128" si="13">L127*1000000/J127</f>
        <v>2503728571.4285712</v>
      </c>
      <c r="I127" s="3" t="s">
        <v>99</v>
      </c>
      <c r="J127" s="106">
        <v>1050</v>
      </c>
      <c r="K127" s="3" t="s">
        <v>366</v>
      </c>
      <c r="L127" s="60">
        <v>2628915</v>
      </c>
      <c r="M127" s="66">
        <f>L127/L129*M129</f>
        <v>156428.48575919017</v>
      </c>
      <c r="N127" s="70">
        <f>L127/L129*N129</f>
        <v>11.261160803978193</v>
      </c>
      <c r="O127" s="74">
        <f>L127/L129*O129</f>
        <v>3.8865953217269866</v>
      </c>
      <c r="P127" s="3"/>
      <c r="Q127" s="3"/>
      <c r="R127" s="3"/>
      <c r="S127" s="3"/>
      <c r="T127" s="3"/>
      <c r="U127" s="3"/>
      <c r="V127" s="3"/>
      <c r="W127" s="3"/>
      <c r="X127" s="3"/>
      <c r="Y127" s="3"/>
      <c r="Z127" s="3"/>
      <c r="AA127" s="3"/>
      <c r="AB127" s="3"/>
      <c r="AC127" s="3"/>
      <c r="AD127" s="3"/>
      <c r="AE127" s="3"/>
      <c r="AF127" s="3"/>
      <c r="AG127" s="3"/>
      <c r="AH127" s="3"/>
      <c r="AI127" s="3"/>
    </row>
    <row r="128" spans="1:35" ht="12.75" x14ac:dyDescent="0.2">
      <c r="A128" s="3"/>
      <c r="B128" s="59"/>
      <c r="C128" s="121"/>
      <c r="D128" s="3" t="s">
        <v>121</v>
      </c>
      <c r="E128" s="121" t="s">
        <v>364</v>
      </c>
      <c r="F128" s="3" t="s">
        <v>78</v>
      </c>
      <c r="G128" s="3" t="s">
        <v>370</v>
      </c>
      <c r="H128" s="66">
        <f t="shared" si="13"/>
        <v>66065.781612042963</v>
      </c>
      <c r="I128" s="3" t="s">
        <v>81</v>
      </c>
      <c r="J128" s="60">
        <v>137242</v>
      </c>
      <c r="K128" s="3" t="s">
        <v>371</v>
      </c>
      <c r="L128" s="60">
        <v>9067</v>
      </c>
      <c r="M128" s="66">
        <f>L128/L129*M129</f>
        <v>539.51424080983111</v>
      </c>
      <c r="N128" s="70">
        <f>L128/L129*N129</f>
        <v>3.8839196021807576E-2</v>
      </c>
      <c r="O128" s="74">
        <f>L128/L129*O129</f>
        <v>1.3404678273013233E-2</v>
      </c>
      <c r="P128" s="3"/>
      <c r="Q128" s="3"/>
      <c r="R128" s="3"/>
      <c r="S128" s="3"/>
      <c r="T128" s="3"/>
      <c r="U128" s="3"/>
      <c r="V128" s="3"/>
      <c r="W128" s="3"/>
      <c r="X128" s="3"/>
      <c r="Y128" s="3"/>
      <c r="Z128" s="3"/>
      <c r="AA128" s="3"/>
      <c r="AB128" s="3"/>
      <c r="AC128" s="3"/>
      <c r="AD128" s="3"/>
      <c r="AE128" s="3"/>
      <c r="AF128" s="3"/>
      <c r="AG128" s="3"/>
      <c r="AH128" s="3"/>
      <c r="AI128" s="3"/>
    </row>
    <row r="129" spans="1:35" ht="12.75" x14ac:dyDescent="0.2">
      <c r="A129" s="3"/>
      <c r="B129" s="59"/>
      <c r="C129" s="3"/>
      <c r="D129" s="3" t="s">
        <v>121</v>
      </c>
      <c r="E129" s="121" t="s">
        <v>364</v>
      </c>
      <c r="F129" s="80" t="s">
        <v>85</v>
      </c>
      <c r="G129" s="3"/>
      <c r="H129" s="116"/>
      <c r="I129" s="3"/>
      <c r="J129" s="116"/>
      <c r="K129" s="3"/>
      <c r="L129" s="66">
        <f>L127+L128</f>
        <v>2637982</v>
      </c>
      <c r="M129" s="60">
        <v>156968</v>
      </c>
      <c r="N129" s="135">
        <v>11.3</v>
      </c>
      <c r="O129" s="108">
        <v>3.9</v>
      </c>
      <c r="P129" s="3"/>
      <c r="Q129" s="3"/>
      <c r="R129" s="3"/>
      <c r="S129" s="3"/>
      <c r="T129" s="3"/>
      <c r="U129" s="3"/>
      <c r="V129" s="3"/>
      <c r="W129" s="3"/>
      <c r="X129" s="3"/>
      <c r="Y129" s="3"/>
      <c r="Z129" s="3"/>
      <c r="AA129" s="3"/>
      <c r="AB129" s="3"/>
      <c r="AC129" s="3"/>
      <c r="AD129" s="3"/>
      <c r="AE129" s="3"/>
      <c r="AF129" s="3"/>
      <c r="AG129" s="3"/>
      <c r="AH129" s="3"/>
      <c r="AI129" s="3"/>
    </row>
    <row r="130" spans="1:35" ht="12.75" x14ac:dyDescent="0.2">
      <c r="A130" s="3"/>
      <c r="B130" s="59"/>
      <c r="C130" s="121"/>
      <c r="D130" s="3"/>
      <c r="E130" s="121"/>
      <c r="F130" s="2"/>
      <c r="G130" s="3"/>
      <c r="H130" s="129"/>
      <c r="I130" s="3"/>
      <c r="J130" s="116"/>
      <c r="K130" s="3"/>
      <c r="L130" s="129"/>
      <c r="M130" s="138"/>
      <c r="N130" s="138"/>
      <c r="O130" s="139"/>
      <c r="P130" s="3"/>
      <c r="Q130" s="3"/>
      <c r="R130" s="3"/>
      <c r="S130" s="3"/>
      <c r="T130" s="3"/>
      <c r="U130" s="3"/>
      <c r="V130" s="3"/>
      <c r="W130" s="3"/>
      <c r="X130" s="3"/>
      <c r="Y130" s="3"/>
      <c r="Z130" s="3"/>
      <c r="AA130" s="3"/>
      <c r="AB130" s="3"/>
      <c r="AC130" s="3"/>
      <c r="AD130" s="3"/>
      <c r="AE130" s="3"/>
      <c r="AF130" s="3"/>
      <c r="AG130" s="3"/>
      <c r="AH130" s="3"/>
      <c r="AI130" s="3"/>
    </row>
    <row r="131" spans="1:35" ht="12.75" x14ac:dyDescent="0.2">
      <c r="A131" s="3"/>
      <c r="B131" s="59"/>
      <c r="C131" s="121"/>
      <c r="D131" s="3" t="s">
        <v>134</v>
      </c>
      <c r="E131" s="121" t="s">
        <v>376</v>
      </c>
      <c r="F131" s="3" t="s">
        <v>29</v>
      </c>
      <c r="G131" s="3" t="s">
        <v>29</v>
      </c>
      <c r="H131" s="129"/>
      <c r="I131" s="3" t="s">
        <v>99</v>
      </c>
      <c r="J131" s="116"/>
      <c r="K131" s="3" t="s">
        <v>366</v>
      </c>
      <c r="L131" s="60">
        <v>2885608</v>
      </c>
      <c r="M131" s="66">
        <f>L131/L133*M133</f>
        <v>171589.60577395803</v>
      </c>
      <c r="N131" s="70">
        <f>L131/L133*N133</f>
        <v>12.379626184585504</v>
      </c>
      <c r="O131" s="74">
        <f>L131/L133*O133</f>
        <v>4.2929348865901344</v>
      </c>
      <c r="P131" s="3"/>
      <c r="Q131" s="3"/>
      <c r="R131" s="3"/>
      <c r="S131" s="3"/>
      <c r="T131" s="3"/>
      <c r="U131" s="3"/>
      <c r="V131" s="3"/>
      <c r="W131" s="3"/>
      <c r="X131" s="3"/>
      <c r="Y131" s="3"/>
      <c r="Z131" s="3"/>
      <c r="AA131" s="3"/>
      <c r="AB131" s="3"/>
      <c r="AC131" s="3"/>
      <c r="AD131" s="3"/>
      <c r="AE131" s="3"/>
      <c r="AF131" s="3"/>
      <c r="AG131" s="3"/>
      <c r="AH131" s="3"/>
      <c r="AI131" s="3"/>
    </row>
    <row r="132" spans="1:35" ht="12.75" x14ac:dyDescent="0.2">
      <c r="A132" s="3"/>
      <c r="B132" s="59"/>
      <c r="C132" s="3"/>
      <c r="D132" s="3" t="s">
        <v>134</v>
      </c>
      <c r="E132" s="121" t="s">
        <v>376</v>
      </c>
      <c r="F132" s="3" t="s">
        <v>78</v>
      </c>
      <c r="G132" s="3" t="s">
        <v>370</v>
      </c>
      <c r="H132" s="129"/>
      <c r="I132" s="3" t="s">
        <v>81</v>
      </c>
      <c r="J132" s="60">
        <v>137242</v>
      </c>
      <c r="K132" s="3" t="s">
        <v>371</v>
      </c>
      <c r="L132" s="60">
        <v>4749</v>
      </c>
      <c r="M132" s="66">
        <f>L132/L133*M133</f>
        <v>282.39422604197335</v>
      </c>
      <c r="N132" s="70">
        <f>L132/L133*N133</f>
        <v>2.0373815414497242E-2</v>
      </c>
      <c r="O132" s="74">
        <f>L132/L133*O133</f>
        <v>7.0651134098659784E-3</v>
      </c>
      <c r="P132" s="3"/>
      <c r="Q132" s="3"/>
      <c r="R132" s="3"/>
      <c r="S132" s="3"/>
      <c r="T132" s="3"/>
      <c r="U132" s="3"/>
      <c r="V132" s="3"/>
      <c r="W132" s="3"/>
      <c r="X132" s="3"/>
      <c r="Y132" s="3"/>
      <c r="Z132" s="3"/>
      <c r="AA132" s="3"/>
      <c r="AB132" s="3"/>
      <c r="AC132" s="3"/>
      <c r="AD132" s="3"/>
      <c r="AE132" s="3"/>
      <c r="AF132" s="3"/>
      <c r="AG132" s="3"/>
      <c r="AH132" s="3"/>
      <c r="AI132" s="3"/>
    </row>
    <row r="133" spans="1:35" ht="12.75" x14ac:dyDescent="0.2">
      <c r="A133" s="3"/>
      <c r="B133" s="59"/>
      <c r="C133" s="3"/>
      <c r="D133" s="3" t="s">
        <v>134</v>
      </c>
      <c r="E133" s="121" t="s">
        <v>376</v>
      </c>
      <c r="F133" s="80" t="s">
        <v>85</v>
      </c>
      <c r="G133" s="3"/>
      <c r="H133" s="116"/>
      <c r="I133" s="3"/>
      <c r="J133" s="116"/>
      <c r="K133" s="3"/>
      <c r="L133" s="66">
        <f>L131+L132</f>
        <v>2890357</v>
      </c>
      <c r="M133" s="60">
        <v>171872</v>
      </c>
      <c r="N133" s="135">
        <v>12.4</v>
      </c>
      <c r="O133" s="108">
        <v>4.3</v>
      </c>
      <c r="P133" s="3"/>
      <c r="Q133" s="3"/>
      <c r="R133" s="3"/>
      <c r="S133" s="3"/>
      <c r="T133" s="3"/>
      <c r="U133" s="3"/>
      <c r="V133" s="3"/>
      <c r="W133" s="3"/>
      <c r="X133" s="3"/>
      <c r="Y133" s="3"/>
      <c r="Z133" s="3"/>
      <c r="AA133" s="3"/>
      <c r="AB133" s="3"/>
      <c r="AC133" s="3"/>
      <c r="AD133" s="3"/>
      <c r="AE133" s="3"/>
      <c r="AF133" s="3"/>
      <c r="AG133" s="3"/>
      <c r="AH133" s="3"/>
      <c r="AI133" s="3"/>
    </row>
    <row r="134" spans="1:35" ht="12.75" x14ac:dyDescent="0.2">
      <c r="A134" s="3"/>
      <c r="B134" s="59"/>
      <c r="C134" s="121"/>
      <c r="D134" s="3"/>
      <c r="E134" s="121"/>
      <c r="F134" s="2"/>
      <c r="G134" s="3"/>
      <c r="H134" s="129"/>
      <c r="I134" s="3"/>
      <c r="J134" s="129"/>
      <c r="K134" s="3"/>
      <c r="L134" s="116"/>
      <c r="M134" s="116"/>
      <c r="N134" s="116"/>
      <c r="O134" s="119"/>
      <c r="P134" s="3"/>
      <c r="Q134" s="3"/>
      <c r="R134" s="3"/>
      <c r="S134" s="3"/>
      <c r="T134" s="3"/>
      <c r="U134" s="3"/>
      <c r="V134" s="3"/>
      <c r="W134" s="3"/>
      <c r="X134" s="3"/>
      <c r="Y134" s="3"/>
      <c r="Z134" s="3"/>
      <c r="AA134" s="3"/>
      <c r="AB134" s="3"/>
      <c r="AC134" s="3"/>
      <c r="AD134" s="3"/>
      <c r="AE134" s="3"/>
      <c r="AF134" s="3"/>
      <c r="AG134" s="3"/>
      <c r="AH134" s="3"/>
      <c r="AI134" s="3"/>
    </row>
    <row r="135" spans="1:35" ht="12.75" x14ac:dyDescent="0.2">
      <c r="A135" s="3"/>
      <c r="B135" s="59"/>
      <c r="C135" s="121"/>
      <c r="D135" s="3" t="s">
        <v>160</v>
      </c>
      <c r="E135" s="121" t="s">
        <v>383</v>
      </c>
      <c r="F135" s="3" t="s">
        <v>78</v>
      </c>
      <c r="G135" s="3" t="s">
        <v>370</v>
      </c>
      <c r="H135" s="129"/>
      <c r="I135" s="3" t="s">
        <v>81</v>
      </c>
      <c r="J135" s="60">
        <v>137242</v>
      </c>
      <c r="K135" s="3" t="s">
        <v>371</v>
      </c>
      <c r="L135" s="106">
        <v>558</v>
      </c>
      <c r="M135" s="106">
        <v>46</v>
      </c>
      <c r="N135" s="135">
        <v>3.7</v>
      </c>
      <c r="O135" s="134">
        <v>3.6999999999999999E-4</v>
      </c>
      <c r="P135" s="3"/>
      <c r="Q135" s="3"/>
      <c r="R135" s="3"/>
      <c r="S135" s="3"/>
      <c r="T135" s="3"/>
      <c r="U135" s="3"/>
      <c r="V135" s="3"/>
      <c r="W135" s="3"/>
      <c r="X135" s="3"/>
      <c r="Y135" s="3"/>
      <c r="Z135" s="3"/>
      <c r="AA135" s="3"/>
      <c r="AB135" s="3"/>
      <c r="AC135" s="3"/>
      <c r="AD135" s="3"/>
      <c r="AE135" s="3"/>
      <c r="AF135" s="3"/>
      <c r="AG135" s="3"/>
      <c r="AH135" s="3"/>
      <c r="AI135" s="3"/>
    </row>
    <row r="136" spans="1:35" ht="12.75" x14ac:dyDescent="0.2">
      <c r="A136" s="3"/>
      <c r="B136" s="59"/>
      <c r="C136" s="3"/>
      <c r="D136" s="3"/>
      <c r="E136" s="3"/>
      <c r="F136" s="2"/>
      <c r="G136" s="3"/>
      <c r="H136" s="116"/>
      <c r="I136" s="3"/>
      <c r="J136" s="116"/>
      <c r="K136" s="3"/>
      <c r="L136" s="116"/>
      <c r="M136" s="116"/>
      <c r="N136" s="116"/>
      <c r="O136" s="119"/>
      <c r="P136" s="3"/>
      <c r="Q136" s="3"/>
      <c r="R136" s="3"/>
      <c r="S136" s="3"/>
      <c r="T136" s="3"/>
      <c r="U136" s="3"/>
      <c r="V136" s="3"/>
      <c r="W136" s="3"/>
      <c r="X136" s="3"/>
      <c r="Y136" s="3"/>
      <c r="Z136" s="3"/>
      <c r="AA136" s="3"/>
      <c r="AB136" s="3"/>
      <c r="AC136" s="3"/>
      <c r="AD136" s="3"/>
      <c r="AE136" s="3"/>
      <c r="AF136" s="3"/>
      <c r="AG136" s="3"/>
      <c r="AH136" s="3"/>
      <c r="AI136" s="3"/>
    </row>
    <row r="137" spans="1:35" ht="12.75" x14ac:dyDescent="0.2">
      <c r="A137" s="3"/>
      <c r="B137" s="50"/>
      <c r="C137" s="52"/>
      <c r="D137" s="52"/>
      <c r="E137" s="52"/>
      <c r="F137" s="102"/>
      <c r="G137" s="52"/>
      <c r="H137" s="126"/>
      <c r="I137" s="52"/>
      <c r="J137" s="126"/>
      <c r="K137" s="52"/>
      <c r="L137" s="126"/>
      <c r="M137" s="126"/>
      <c r="N137" s="126"/>
      <c r="O137" s="127"/>
      <c r="P137" s="3"/>
      <c r="Q137" s="3"/>
      <c r="R137" s="3"/>
      <c r="S137" s="3"/>
      <c r="T137" s="3"/>
      <c r="U137" s="3"/>
      <c r="V137" s="3"/>
      <c r="W137" s="3"/>
      <c r="X137" s="3"/>
      <c r="Y137" s="3"/>
      <c r="Z137" s="3"/>
      <c r="AA137" s="3"/>
      <c r="AB137" s="3"/>
      <c r="AC137" s="3"/>
      <c r="AD137" s="3"/>
      <c r="AE137" s="3"/>
      <c r="AF137" s="3"/>
      <c r="AG137" s="3"/>
      <c r="AH137" s="3"/>
      <c r="AI137" s="3"/>
    </row>
    <row r="138" spans="1:35" ht="12.75" x14ac:dyDescent="0.2">
      <c r="A138" s="3"/>
      <c r="B138" s="59" t="s">
        <v>386</v>
      </c>
      <c r="C138" s="3" t="s">
        <v>388</v>
      </c>
      <c r="D138" s="3" t="s">
        <v>280</v>
      </c>
      <c r="E138" s="121" t="s">
        <v>389</v>
      </c>
      <c r="F138" s="3" t="s">
        <v>78</v>
      </c>
      <c r="G138" s="3" t="s">
        <v>25</v>
      </c>
      <c r="H138" s="60">
        <v>54000</v>
      </c>
      <c r="I138" s="3" t="s">
        <v>81</v>
      </c>
      <c r="J138" s="106">
        <v>137</v>
      </c>
      <c r="K138" s="3" t="s">
        <v>390</v>
      </c>
      <c r="L138" s="60">
        <f>7470000000/1000000</f>
        <v>7470</v>
      </c>
      <c r="M138" s="60">
        <v>608.5</v>
      </c>
      <c r="N138" s="106">
        <v>0.02</v>
      </c>
      <c r="O138" s="114">
        <v>0</v>
      </c>
      <c r="P138" s="3"/>
      <c r="Q138" s="3"/>
      <c r="R138" s="3"/>
      <c r="S138" s="3"/>
      <c r="T138" s="3"/>
      <c r="U138" s="3"/>
      <c r="V138" s="3"/>
      <c r="W138" s="3"/>
      <c r="X138" s="3"/>
      <c r="Y138" s="3"/>
      <c r="Z138" s="3"/>
      <c r="AA138" s="3"/>
      <c r="AB138" s="3"/>
      <c r="AC138" s="3"/>
      <c r="AD138" s="3"/>
      <c r="AE138" s="3"/>
      <c r="AF138" s="3"/>
      <c r="AG138" s="3"/>
      <c r="AH138" s="3"/>
      <c r="AI138" s="3"/>
    </row>
    <row r="139" spans="1:35" ht="12.75" x14ac:dyDescent="0.2">
      <c r="A139" s="3"/>
      <c r="B139" s="59"/>
      <c r="C139" s="121"/>
      <c r="D139" s="3" t="s">
        <v>392</v>
      </c>
      <c r="E139" s="121" t="s">
        <v>393</v>
      </c>
      <c r="F139" s="3" t="s">
        <v>78</v>
      </c>
      <c r="G139" s="3" t="s">
        <v>25</v>
      </c>
      <c r="H139" s="60">
        <v>39000</v>
      </c>
      <c r="I139" s="3" t="s">
        <v>81</v>
      </c>
      <c r="J139" s="106">
        <v>137</v>
      </c>
      <c r="K139" s="3" t="s">
        <v>390</v>
      </c>
      <c r="L139" s="60">
        <f>5340000000/1000000</f>
        <v>5340</v>
      </c>
      <c r="M139" s="60">
        <v>435.3</v>
      </c>
      <c r="N139" s="106">
        <v>0.02</v>
      </c>
      <c r="O139" s="114">
        <v>0</v>
      </c>
      <c r="P139" s="3"/>
      <c r="Q139" s="3"/>
      <c r="R139" s="3"/>
      <c r="S139" s="3"/>
      <c r="T139" s="3"/>
      <c r="U139" s="3"/>
      <c r="V139" s="3"/>
      <c r="W139" s="3"/>
      <c r="X139" s="3"/>
      <c r="Y139" s="3"/>
      <c r="Z139" s="3"/>
      <c r="AA139" s="3"/>
      <c r="AB139" s="3"/>
      <c r="AC139" s="3"/>
      <c r="AD139" s="3"/>
      <c r="AE139" s="3"/>
      <c r="AF139" s="3"/>
      <c r="AG139" s="3"/>
      <c r="AH139" s="3"/>
      <c r="AI139" s="3"/>
    </row>
    <row r="140" spans="1:35" ht="12.75" x14ac:dyDescent="0.2">
      <c r="A140" s="3"/>
      <c r="B140" s="59"/>
      <c r="C140" s="121"/>
      <c r="D140" s="3" t="s">
        <v>284</v>
      </c>
      <c r="E140" s="121" t="s">
        <v>395</v>
      </c>
      <c r="F140" s="3" t="s">
        <v>78</v>
      </c>
      <c r="G140" s="3" t="s">
        <v>25</v>
      </c>
      <c r="H140" s="60">
        <v>55000</v>
      </c>
      <c r="I140" s="3" t="s">
        <v>81</v>
      </c>
      <c r="J140" s="106">
        <v>137</v>
      </c>
      <c r="K140" s="3" t="s">
        <v>390</v>
      </c>
      <c r="L140" s="60">
        <f>7580000000/1000000</f>
        <v>7580</v>
      </c>
      <c r="M140" s="60">
        <v>617.4</v>
      </c>
      <c r="N140" s="106">
        <v>0.03</v>
      </c>
      <c r="O140" s="114">
        <v>0.01</v>
      </c>
      <c r="P140" s="3"/>
      <c r="Q140" s="3"/>
      <c r="R140" s="3"/>
      <c r="S140" s="3"/>
      <c r="T140" s="3"/>
      <c r="U140" s="3"/>
      <c r="V140" s="3"/>
      <c r="W140" s="3"/>
      <c r="X140" s="3"/>
      <c r="Y140" s="3"/>
      <c r="Z140" s="3"/>
      <c r="AA140" s="3"/>
      <c r="AB140" s="3"/>
      <c r="AC140" s="3"/>
      <c r="AD140" s="3"/>
      <c r="AE140" s="3"/>
      <c r="AF140" s="3"/>
      <c r="AG140" s="3"/>
      <c r="AH140" s="3"/>
      <c r="AI140" s="3"/>
    </row>
    <row r="141" spans="1:35" ht="12.75" x14ac:dyDescent="0.2">
      <c r="A141" s="3"/>
      <c r="B141" s="59"/>
      <c r="C141" s="121"/>
      <c r="D141" s="3" t="s">
        <v>286</v>
      </c>
      <c r="E141" s="121" t="s">
        <v>397</v>
      </c>
      <c r="F141" s="3" t="s">
        <v>78</v>
      </c>
      <c r="G141" s="3" t="s">
        <v>25</v>
      </c>
      <c r="H141" s="60">
        <v>52000</v>
      </c>
      <c r="I141" s="3" t="s">
        <v>81</v>
      </c>
      <c r="J141" s="106">
        <v>137</v>
      </c>
      <c r="K141" s="3" t="s">
        <v>390</v>
      </c>
      <c r="L141" s="60">
        <f>7180000000/1000000</f>
        <v>7180</v>
      </c>
      <c r="M141" s="60">
        <v>584.70000000000005</v>
      </c>
      <c r="N141" s="106">
        <v>0.02</v>
      </c>
      <c r="O141" s="114">
        <v>0</v>
      </c>
      <c r="P141" s="3"/>
      <c r="Q141" s="3"/>
      <c r="R141" s="3"/>
      <c r="S141" s="3"/>
      <c r="T141" s="3"/>
      <c r="U141" s="3"/>
      <c r="V141" s="3"/>
      <c r="W141" s="3"/>
      <c r="X141" s="3"/>
      <c r="Y141" s="3"/>
      <c r="Z141" s="3"/>
      <c r="AA141" s="3"/>
      <c r="AB141" s="3"/>
      <c r="AC141" s="3"/>
      <c r="AD141" s="3"/>
      <c r="AE141" s="3"/>
      <c r="AF141" s="3"/>
      <c r="AG141" s="3"/>
      <c r="AH141" s="3"/>
      <c r="AI141" s="3"/>
    </row>
    <row r="142" spans="1:35" ht="12.75" x14ac:dyDescent="0.2">
      <c r="A142" s="3"/>
      <c r="B142" s="98"/>
      <c r="C142" s="99"/>
      <c r="D142" s="99"/>
      <c r="E142" s="99"/>
      <c r="F142" s="100"/>
      <c r="G142" s="99"/>
      <c r="H142" s="124"/>
      <c r="I142" s="99"/>
      <c r="J142" s="124"/>
      <c r="K142" s="99"/>
      <c r="L142" s="124"/>
      <c r="M142" s="124"/>
      <c r="N142" s="124"/>
      <c r="O142" s="125"/>
      <c r="P142" s="3"/>
      <c r="Q142" s="3"/>
      <c r="R142" s="3"/>
      <c r="S142" s="3"/>
      <c r="T142" s="3"/>
      <c r="U142" s="3"/>
      <c r="V142" s="3"/>
      <c r="W142" s="3"/>
      <c r="X142" s="3"/>
      <c r="Y142" s="3"/>
      <c r="Z142" s="3"/>
      <c r="AA142" s="3"/>
      <c r="AB142" s="3"/>
      <c r="AC142" s="3"/>
      <c r="AD142" s="3"/>
      <c r="AE142" s="3"/>
      <c r="AF142" s="3"/>
      <c r="AG142" s="3"/>
      <c r="AH142" s="3"/>
      <c r="AI142" s="3"/>
    </row>
    <row r="143" spans="1:35" ht="12.75" x14ac:dyDescent="0.2">
      <c r="A143" s="3"/>
      <c r="B143" s="50"/>
      <c r="C143" s="52"/>
      <c r="D143" s="52"/>
      <c r="E143" s="52"/>
      <c r="F143" s="102"/>
      <c r="G143" s="52"/>
      <c r="H143" s="126"/>
      <c r="I143" s="52"/>
      <c r="J143" s="126"/>
      <c r="K143" s="52"/>
      <c r="L143" s="126"/>
      <c r="M143" s="126"/>
      <c r="N143" s="126"/>
      <c r="O143" s="127"/>
      <c r="P143" s="3"/>
      <c r="Q143" s="3"/>
      <c r="R143" s="3"/>
      <c r="S143" s="3"/>
      <c r="T143" s="3"/>
      <c r="U143" s="3"/>
      <c r="V143" s="3"/>
      <c r="W143" s="3"/>
      <c r="X143" s="3"/>
      <c r="Y143" s="3"/>
      <c r="Z143" s="3"/>
      <c r="AA143" s="3"/>
      <c r="AB143" s="3"/>
      <c r="AC143" s="3"/>
      <c r="AD143" s="3"/>
      <c r="AE143" s="3"/>
      <c r="AF143" s="3"/>
      <c r="AG143" s="3"/>
      <c r="AH143" s="3"/>
      <c r="AI143" s="3"/>
    </row>
    <row r="144" spans="1:35" ht="12.75" x14ac:dyDescent="0.2">
      <c r="A144" s="3"/>
      <c r="B144" s="59" t="s">
        <v>400</v>
      </c>
      <c r="C144" s="3" t="s">
        <v>401</v>
      </c>
      <c r="D144" s="3" t="s">
        <v>402</v>
      </c>
      <c r="E144" s="104" t="s">
        <v>403</v>
      </c>
      <c r="F144" s="3" t="s">
        <v>29</v>
      </c>
      <c r="G144" s="3" t="s">
        <v>29</v>
      </c>
      <c r="H144" s="129"/>
      <c r="I144" s="3" t="s">
        <v>99</v>
      </c>
      <c r="J144" s="116"/>
      <c r="K144" s="3" t="s">
        <v>366</v>
      </c>
      <c r="L144" s="60">
        <v>454220.79999999999</v>
      </c>
      <c r="M144" s="60">
        <v>24357.4</v>
      </c>
      <c r="N144" s="106">
        <v>0.41</v>
      </c>
      <c r="O144" s="114">
        <v>0.04</v>
      </c>
      <c r="P144" s="3"/>
      <c r="Q144" s="3"/>
      <c r="R144" s="3"/>
      <c r="S144" s="3"/>
      <c r="T144" s="3"/>
      <c r="U144" s="3"/>
      <c r="V144" s="3"/>
      <c r="W144" s="3"/>
      <c r="X144" s="3"/>
      <c r="Y144" s="3"/>
      <c r="Z144" s="3"/>
      <c r="AA144" s="3"/>
      <c r="AB144" s="3"/>
      <c r="AC144" s="3"/>
      <c r="AD144" s="3"/>
      <c r="AE144" s="3"/>
      <c r="AF144" s="3"/>
      <c r="AG144" s="3"/>
      <c r="AH144" s="3"/>
      <c r="AI144" s="3"/>
    </row>
    <row r="145" spans="1:35" ht="12.75" x14ac:dyDescent="0.2">
      <c r="A145" s="3"/>
      <c r="B145" s="59"/>
      <c r="C145" s="121"/>
      <c r="D145" s="3" t="s">
        <v>404</v>
      </c>
      <c r="E145" s="104" t="s">
        <v>406</v>
      </c>
      <c r="F145" s="3" t="s">
        <v>29</v>
      </c>
      <c r="G145" s="3" t="s">
        <v>29</v>
      </c>
      <c r="H145" s="129"/>
      <c r="I145" s="3" t="s">
        <v>99</v>
      </c>
      <c r="J145" s="116"/>
      <c r="K145" s="3" t="s">
        <v>366</v>
      </c>
      <c r="L145" s="60">
        <v>442822.1</v>
      </c>
      <c r="M145" s="60">
        <v>24182.651999999998</v>
      </c>
      <c r="N145" s="106">
        <v>0.41</v>
      </c>
      <c r="O145" s="114">
        <v>0.04</v>
      </c>
      <c r="P145" s="3"/>
      <c r="Q145" s="3"/>
      <c r="R145" s="3"/>
      <c r="S145" s="3"/>
      <c r="T145" s="3"/>
      <c r="U145" s="3"/>
      <c r="V145" s="3"/>
      <c r="W145" s="3"/>
      <c r="X145" s="3"/>
      <c r="Y145" s="3"/>
      <c r="Z145" s="3"/>
      <c r="AA145" s="3"/>
      <c r="AB145" s="3"/>
      <c r="AC145" s="3"/>
      <c r="AD145" s="3"/>
      <c r="AE145" s="3"/>
      <c r="AF145" s="3"/>
      <c r="AG145" s="3"/>
      <c r="AH145" s="3"/>
      <c r="AI145" s="3"/>
    </row>
    <row r="146" spans="1:35" ht="12.75" x14ac:dyDescent="0.2">
      <c r="A146" s="3"/>
      <c r="B146" s="59"/>
      <c r="C146" s="121"/>
      <c r="D146" s="3" t="s">
        <v>408</v>
      </c>
      <c r="E146" s="104" t="s">
        <v>409</v>
      </c>
      <c r="F146" s="3" t="s">
        <v>29</v>
      </c>
      <c r="G146" s="3" t="s">
        <v>29</v>
      </c>
      <c r="H146" s="129"/>
      <c r="I146" s="3" t="s">
        <v>99</v>
      </c>
      <c r="J146" s="116"/>
      <c r="K146" s="3" t="s">
        <v>366</v>
      </c>
      <c r="L146" s="60">
        <v>814472.4</v>
      </c>
      <c r="M146" s="60">
        <v>44977.203000000001</v>
      </c>
      <c r="N146" s="106">
        <v>0.76</v>
      </c>
      <c r="O146" s="114">
        <v>0.08</v>
      </c>
      <c r="P146" s="3"/>
      <c r="Q146" s="3"/>
      <c r="R146" s="3"/>
      <c r="S146" s="3"/>
      <c r="T146" s="3"/>
      <c r="U146" s="3"/>
      <c r="V146" s="3"/>
      <c r="W146" s="3"/>
      <c r="X146" s="3"/>
      <c r="Y146" s="3"/>
      <c r="Z146" s="3"/>
      <c r="AA146" s="3"/>
      <c r="AB146" s="3"/>
      <c r="AC146" s="3"/>
      <c r="AD146" s="3"/>
      <c r="AE146" s="3"/>
      <c r="AF146" s="3"/>
      <c r="AG146" s="3"/>
      <c r="AH146" s="3"/>
      <c r="AI146" s="3"/>
    </row>
    <row r="147" spans="1:35" ht="12.75" x14ac:dyDescent="0.2">
      <c r="A147" s="3"/>
      <c r="B147" s="59"/>
      <c r="C147" s="121"/>
      <c r="D147" s="3" t="s">
        <v>411</v>
      </c>
      <c r="E147" s="104" t="s">
        <v>412</v>
      </c>
      <c r="F147" s="3" t="s">
        <v>29</v>
      </c>
      <c r="G147" s="3" t="s">
        <v>29</v>
      </c>
      <c r="H147" s="129"/>
      <c r="I147" s="3" t="s">
        <v>99</v>
      </c>
      <c r="J147" s="116"/>
      <c r="K147" s="3" t="s">
        <v>366</v>
      </c>
      <c r="L147" s="60">
        <v>693996</v>
      </c>
      <c r="M147" s="60">
        <v>38042.756999999998</v>
      </c>
      <c r="N147" s="106">
        <v>0.64</v>
      </c>
      <c r="O147" s="114">
        <v>0.06</v>
      </c>
      <c r="P147" s="3"/>
      <c r="Q147" s="3"/>
      <c r="R147" s="3"/>
      <c r="S147" s="3"/>
      <c r="T147" s="3"/>
      <c r="U147" s="3"/>
      <c r="V147" s="3"/>
      <c r="W147" s="3"/>
      <c r="X147" s="3"/>
      <c r="Y147" s="3"/>
      <c r="Z147" s="3"/>
      <c r="AA147" s="3"/>
      <c r="AB147" s="3"/>
      <c r="AC147" s="3"/>
      <c r="AD147" s="3"/>
      <c r="AE147" s="3"/>
      <c r="AF147" s="3"/>
      <c r="AG147" s="3"/>
      <c r="AH147" s="3"/>
      <c r="AI147" s="3"/>
    </row>
    <row r="148" spans="1:35" ht="12.75" x14ac:dyDescent="0.2">
      <c r="A148" s="3"/>
      <c r="B148" s="59"/>
      <c r="C148" s="121"/>
      <c r="D148" s="3" t="s">
        <v>413</v>
      </c>
      <c r="E148" s="104" t="s">
        <v>414</v>
      </c>
      <c r="F148" s="3" t="s">
        <v>29</v>
      </c>
      <c r="G148" s="3" t="s">
        <v>29</v>
      </c>
      <c r="H148" s="60">
        <v>4591364</v>
      </c>
      <c r="I148" s="3" t="s">
        <v>99</v>
      </c>
      <c r="J148" s="106">
        <v>1036</v>
      </c>
      <c r="K148" s="3" t="s">
        <v>366</v>
      </c>
      <c r="L148" s="60">
        <v>4830</v>
      </c>
      <c r="M148" s="60">
        <v>275.48</v>
      </c>
      <c r="N148" s="133">
        <v>4.7999999999999996E-3</v>
      </c>
      <c r="O148" s="114">
        <v>5.0000000000000001E-4</v>
      </c>
      <c r="P148" s="3"/>
      <c r="Q148" s="3"/>
      <c r="R148" s="3"/>
      <c r="S148" s="3"/>
      <c r="T148" s="3"/>
      <c r="U148" s="3"/>
      <c r="V148" s="3"/>
      <c r="W148" s="3"/>
      <c r="X148" s="3"/>
      <c r="Y148" s="3"/>
      <c r="Z148" s="3"/>
      <c r="AA148" s="3"/>
      <c r="AB148" s="3"/>
      <c r="AC148" s="3"/>
      <c r="AD148" s="3"/>
      <c r="AE148" s="3"/>
      <c r="AF148" s="3"/>
      <c r="AG148" s="3"/>
      <c r="AH148" s="3"/>
      <c r="AI148" s="3"/>
    </row>
    <row r="149" spans="1:35" ht="12.75" x14ac:dyDescent="0.2">
      <c r="A149" s="3"/>
      <c r="B149" s="98"/>
      <c r="C149" s="99"/>
      <c r="D149" s="99"/>
      <c r="E149" s="99"/>
      <c r="F149" s="100"/>
      <c r="G149" s="99"/>
      <c r="H149" s="124"/>
      <c r="I149" s="99"/>
      <c r="J149" s="124"/>
      <c r="K149" s="99"/>
      <c r="L149" s="124"/>
      <c r="M149" s="124"/>
      <c r="N149" s="124"/>
      <c r="O149" s="125"/>
      <c r="P149" s="3"/>
      <c r="Q149" s="3"/>
      <c r="R149" s="3"/>
      <c r="S149" s="3"/>
      <c r="T149" s="3"/>
      <c r="U149" s="3"/>
      <c r="V149" s="3"/>
      <c r="W149" s="3"/>
      <c r="X149" s="3"/>
      <c r="Y149" s="3"/>
      <c r="Z149" s="3"/>
      <c r="AA149" s="3"/>
      <c r="AB149" s="3"/>
      <c r="AC149" s="3"/>
      <c r="AD149" s="3"/>
      <c r="AE149" s="3"/>
      <c r="AF149" s="3"/>
      <c r="AG149" s="3"/>
      <c r="AH149" s="3"/>
      <c r="AI149" s="3"/>
    </row>
    <row r="150" spans="1:35" ht="12.75" x14ac:dyDescent="0.2">
      <c r="A150" s="3"/>
      <c r="B150" s="50"/>
      <c r="C150" s="52"/>
      <c r="D150" s="52"/>
      <c r="E150" s="52"/>
      <c r="F150" s="102"/>
      <c r="G150" s="52"/>
      <c r="H150" s="126"/>
      <c r="I150" s="52"/>
      <c r="J150" s="126"/>
      <c r="K150" s="52"/>
      <c r="L150" s="126"/>
      <c r="M150" s="126"/>
      <c r="N150" s="126"/>
      <c r="O150" s="127"/>
      <c r="P150" s="3"/>
      <c r="Q150" s="3"/>
      <c r="R150" s="3"/>
      <c r="S150" s="3"/>
      <c r="T150" s="3"/>
      <c r="U150" s="3"/>
      <c r="V150" s="3"/>
      <c r="W150" s="3"/>
      <c r="X150" s="3"/>
      <c r="Y150" s="3"/>
      <c r="Z150" s="3"/>
      <c r="AA150" s="3"/>
      <c r="AB150" s="3"/>
      <c r="AC150" s="3"/>
      <c r="AD150" s="3"/>
      <c r="AE150" s="3"/>
      <c r="AF150" s="3"/>
      <c r="AG150" s="3"/>
      <c r="AH150" s="3"/>
      <c r="AI150" s="3"/>
    </row>
    <row r="151" spans="1:35" ht="12.75" x14ac:dyDescent="0.2">
      <c r="A151" s="3"/>
      <c r="B151" s="59" t="s">
        <v>415</v>
      </c>
      <c r="C151" s="3" t="s">
        <v>417</v>
      </c>
      <c r="D151" s="3" t="s">
        <v>418</v>
      </c>
      <c r="E151" s="104" t="s">
        <v>419</v>
      </c>
      <c r="F151" s="3" t="s">
        <v>78</v>
      </c>
      <c r="G151" s="3" t="s">
        <v>25</v>
      </c>
      <c r="H151" s="60">
        <v>3359000</v>
      </c>
      <c r="I151" s="3" t="s">
        <v>81</v>
      </c>
      <c r="J151" s="106">
        <v>137</v>
      </c>
      <c r="K151" s="3" t="s">
        <v>390</v>
      </c>
      <c r="L151" s="106">
        <v>460</v>
      </c>
      <c r="M151" s="106">
        <v>38</v>
      </c>
      <c r="N151" s="106">
        <v>1.9E-3</v>
      </c>
      <c r="O151" s="114">
        <v>2.0000000000000001E-4</v>
      </c>
      <c r="P151" s="3"/>
      <c r="Q151" s="3"/>
      <c r="R151" s="3"/>
      <c r="S151" s="178"/>
      <c r="T151" s="3"/>
      <c r="U151" s="3"/>
      <c r="V151" s="3"/>
      <c r="W151" s="3"/>
      <c r="X151" s="3"/>
      <c r="Y151" s="3"/>
      <c r="Z151" s="3"/>
      <c r="AA151" s="3"/>
      <c r="AB151" s="3"/>
      <c r="AC151" s="3"/>
      <c r="AD151" s="3"/>
      <c r="AE151" s="3"/>
      <c r="AF151" s="3"/>
      <c r="AG151" s="3"/>
      <c r="AH151" s="3"/>
      <c r="AI151" s="3"/>
    </row>
    <row r="152" spans="1:35" ht="12.75" x14ac:dyDescent="0.2">
      <c r="A152" s="3"/>
      <c r="B152" s="59"/>
      <c r="C152" s="121"/>
      <c r="D152" s="3" t="s">
        <v>420</v>
      </c>
      <c r="E152" s="104" t="s">
        <v>421</v>
      </c>
      <c r="F152" s="3" t="s">
        <v>78</v>
      </c>
      <c r="G152" s="3" t="s">
        <v>25</v>
      </c>
      <c r="H152" s="60">
        <v>3220000</v>
      </c>
      <c r="I152" s="3" t="s">
        <v>81</v>
      </c>
      <c r="J152" s="106">
        <v>137</v>
      </c>
      <c r="K152" s="3" t="s">
        <v>390</v>
      </c>
      <c r="L152" s="106">
        <v>441</v>
      </c>
      <c r="M152" s="106">
        <v>36</v>
      </c>
      <c r="N152" s="106">
        <v>1.8E-3</v>
      </c>
      <c r="O152" s="114">
        <v>2.0000000000000001E-4</v>
      </c>
      <c r="P152" s="3"/>
      <c r="Q152" s="178"/>
      <c r="R152" s="178"/>
      <c r="S152" s="178"/>
      <c r="T152" s="3"/>
      <c r="U152" s="3"/>
      <c r="V152" s="3"/>
      <c r="W152" s="3"/>
      <c r="X152" s="3"/>
      <c r="Y152" s="3"/>
      <c r="Z152" s="3"/>
      <c r="AA152" s="3"/>
      <c r="AB152" s="3"/>
      <c r="AC152" s="3"/>
      <c r="AD152" s="3"/>
      <c r="AE152" s="3"/>
      <c r="AF152" s="3"/>
      <c r="AG152" s="3"/>
      <c r="AH152" s="3"/>
      <c r="AI152" s="3"/>
    </row>
    <row r="153" spans="1:35" ht="12.75" x14ac:dyDescent="0.2">
      <c r="A153" s="3"/>
      <c r="B153" s="59"/>
      <c r="C153" s="121"/>
      <c r="D153" s="3" t="s">
        <v>422</v>
      </c>
      <c r="E153" s="104" t="s">
        <v>423</v>
      </c>
      <c r="F153" s="3" t="s">
        <v>78</v>
      </c>
      <c r="G153" s="3" t="s">
        <v>25</v>
      </c>
      <c r="H153" s="60">
        <v>733000</v>
      </c>
      <c r="I153" s="3" t="s">
        <v>81</v>
      </c>
      <c r="J153" s="106">
        <v>137</v>
      </c>
      <c r="K153" s="3" t="s">
        <v>390</v>
      </c>
      <c r="L153" s="106">
        <v>100</v>
      </c>
      <c r="M153" s="106">
        <v>8</v>
      </c>
      <c r="N153" s="106">
        <v>4.0000000000000002E-4</v>
      </c>
      <c r="O153" s="114">
        <v>0</v>
      </c>
      <c r="P153" s="3"/>
      <c r="Q153" s="61"/>
      <c r="R153" s="61"/>
      <c r="S153" s="61"/>
      <c r="T153" s="3"/>
      <c r="U153" s="3"/>
      <c r="V153" s="3"/>
      <c r="W153" s="3"/>
      <c r="X153" s="3"/>
      <c r="Y153" s="3"/>
      <c r="Z153" s="3"/>
      <c r="AA153" s="3"/>
      <c r="AB153" s="3"/>
      <c r="AC153" s="3"/>
      <c r="AD153" s="3"/>
      <c r="AE153" s="3"/>
      <c r="AF153" s="3"/>
      <c r="AG153" s="3"/>
      <c r="AH153" s="3"/>
      <c r="AI153" s="3"/>
    </row>
    <row r="154" spans="1:35" ht="12.75" x14ac:dyDescent="0.2">
      <c r="A154" s="3"/>
      <c r="B154" s="59"/>
      <c r="C154" s="121"/>
      <c r="D154" s="3" t="s">
        <v>425</v>
      </c>
      <c r="E154" s="104" t="s">
        <v>426</v>
      </c>
      <c r="F154" s="3" t="s">
        <v>78</v>
      </c>
      <c r="G154" s="3" t="s">
        <v>25</v>
      </c>
      <c r="H154" s="60">
        <v>4418000</v>
      </c>
      <c r="I154" s="3" t="s">
        <v>81</v>
      </c>
      <c r="J154" s="106">
        <v>137</v>
      </c>
      <c r="K154" s="3" t="s">
        <v>390</v>
      </c>
      <c r="L154" s="106">
        <v>605</v>
      </c>
      <c r="M154" s="106">
        <v>50</v>
      </c>
      <c r="N154" s="106">
        <v>2.5000000000000001E-3</v>
      </c>
      <c r="O154" s="114">
        <v>2.0000000000000001E-4</v>
      </c>
      <c r="P154" s="3"/>
      <c r="Q154" s="61"/>
      <c r="R154" s="61"/>
      <c r="S154" s="61"/>
      <c r="T154" s="3"/>
      <c r="U154" s="3"/>
      <c r="V154" s="3"/>
      <c r="W154" s="3"/>
      <c r="X154" s="3"/>
      <c r="Y154" s="3"/>
      <c r="Z154" s="3"/>
      <c r="AA154" s="3"/>
      <c r="AB154" s="3"/>
      <c r="AC154" s="3"/>
      <c r="AD154" s="3"/>
      <c r="AE154" s="3"/>
      <c r="AF154" s="3"/>
      <c r="AG154" s="3"/>
      <c r="AH154" s="3"/>
      <c r="AI154" s="3"/>
    </row>
    <row r="155" spans="1:35" ht="12.75" x14ac:dyDescent="0.2">
      <c r="A155" s="3"/>
      <c r="B155" s="59"/>
      <c r="C155" s="121"/>
      <c r="D155" s="3" t="s">
        <v>427</v>
      </c>
      <c r="E155" s="104" t="s">
        <v>428</v>
      </c>
      <c r="F155" s="3" t="s">
        <v>78</v>
      </c>
      <c r="G155" s="3" t="s">
        <v>25</v>
      </c>
      <c r="H155" s="60">
        <v>2490000</v>
      </c>
      <c r="I155" s="3" t="s">
        <v>81</v>
      </c>
      <c r="J155" s="106">
        <v>137</v>
      </c>
      <c r="K155" s="3" t="s">
        <v>390</v>
      </c>
      <c r="L155" s="106">
        <v>341</v>
      </c>
      <c r="M155" s="106">
        <v>28</v>
      </c>
      <c r="N155" s="106">
        <v>1.4E-3</v>
      </c>
      <c r="O155" s="114">
        <v>1E-4</v>
      </c>
      <c r="P155" s="3"/>
      <c r="Q155" s="61"/>
      <c r="R155" s="61"/>
      <c r="S155" s="61"/>
      <c r="T155" s="3"/>
      <c r="U155" s="3"/>
      <c r="V155" s="3"/>
      <c r="W155" s="3"/>
      <c r="X155" s="3"/>
      <c r="Y155" s="3"/>
      <c r="Z155" s="3"/>
      <c r="AA155" s="3"/>
      <c r="AB155" s="3"/>
      <c r="AC155" s="3"/>
      <c r="AD155" s="3"/>
      <c r="AE155" s="3"/>
      <c r="AF155" s="3"/>
      <c r="AG155" s="3"/>
      <c r="AH155" s="3"/>
      <c r="AI155" s="3"/>
    </row>
    <row r="156" spans="1:35" ht="12.75" x14ac:dyDescent="0.2">
      <c r="A156" s="3"/>
      <c r="B156" s="59"/>
      <c r="C156" s="121"/>
      <c r="D156" s="3" t="s">
        <v>430</v>
      </c>
      <c r="E156" s="104" t="s">
        <v>431</v>
      </c>
      <c r="F156" s="3" t="s">
        <v>78</v>
      </c>
      <c r="G156" s="3" t="s">
        <v>25</v>
      </c>
      <c r="H156" s="60">
        <v>4210000</v>
      </c>
      <c r="I156" s="3" t="s">
        <v>81</v>
      </c>
      <c r="J156" s="106">
        <v>137</v>
      </c>
      <c r="K156" s="3" t="s">
        <v>390</v>
      </c>
      <c r="L156" s="106">
        <v>577</v>
      </c>
      <c r="M156" s="106">
        <v>48</v>
      </c>
      <c r="N156" s="106">
        <v>2.3E-3</v>
      </c>
      <c r="O156" s="114">
        <v>2.0000000000000001E-4</v>
      </c>
      <c r="P156" s="3"/>
      <c r="Q156" s="2"/>
      <c r="R156" s="2"/>
      <c r="S156" s="61"/>
      <c r="T156" s="3"/>
      <c r="U156" s="3"/>
      <c r="V156" s="3"/>
      <c r="W156" s="3"/>
      <c r="X156" s="3"/>
      <c r="Y156" s="3"/>
      <c r="Z156" s="3"/>
      <c r="AA156" s="3"/>
      <c r="AB156" s="3"/>
      <c r="AC156" s="3"/>
      <c r="AD156" s="3"/>
      <c r="AE156" s="3"/>
      <c r="AF156" s="3"/>
      <c r="AG156" s="3"/>
      <c r="AH156" s="3"/>
      <c r="AI156" s="3"/>
    </row>
    <row r="157" spans="1:35" ht="12.75" x14ac:dyDescent="0.2">
      <c r="A157" s="3"/>
      <c r="B157" s="59"/>
      <c r="C157" s="121"/>
      <c r="D157" s="3" t="s">
        <v>432</v>
      </c>
      <c r="E157" s="104" t="s">
        <v>433</v>
      </c>
      <c r="F157" s="3" t="s">
        <v>78</v>
      </c>
      <c r="G157" s="3" t="s">
        <v>25</v>
      </c>
      <c r="H157" s="60">
        <v>4080000</v>
      </c>
      <c r="I157" s="3" t="s">
        <v>81</v>
      </c>
      <c r="J157" s="106">
        <v>137</v>
      </c>
      <c r="K157" s="3" t="s">
        <v>390</v>
      </c>
      <c r="L157" s="106">
        <v>559</v>
      </c>
      <c r="M157" s="106">
        <v>46</v>
      </c>
      <c r="N157" s="106">
        <v>2.3E-3</v>
      </c>
      <c r="O157" s="114">
        <v>2.0000000000000001E-4</v>
      </c>
      <c r="P157" s="3"/>
      <c r="Q157" s="3"/>
      <c r="R157" s="3"/>
      <c r="S157" s="3"/>
      <c r="T157" s="3"/>
      <c r="U157" s="3"/>
      <c r="V157" s="3"/>
      <c r="W157" s="3"/>
      <c r="X157" s="3"/>
      <c r="Y157" s="3"/>
      <c r="Z157" s="3"/>
      <c r="AA157" s="3"/>
      <c r="AB157" s="3"/>
      <c r="AC157" s="3"/>
      <c r="AD157" s="3"/>
      <c r="AE157" s="3"/>
      <c r="AF157" s="3"/>
      <c r="AG157" s="3"/>
      <c r="AH157" s="3"/>
      <c r="AI157" s="3"/>
    </row>
    <row r="158" spans="1:35" ht="12.75" x14ac:dyDescent="0.2">
      <c r="A158" s="3"/>
      <c r="B158" s="59"/>
      <c r="C158" s="121"/>
      <c r="D158" s="3" t="s">
        <v>435</v>
      </c>
      <c r="E158" s="104" t="s">
        <v>436</v>
      </c>
      <c r="F158" s="3" t="s">
        <v>78</v>
      </c>
      <c r="G158" s="3" t="s">
        <v>25</v>
      </c>
      <c r="H158" s="60">
        <v>5930000</v>
      </c>
      <c r="I158" s="3" t="s">
        <v>81</v>
      </c>
      <c r="J158" s="106">
        <v>137</v>
      </c>
      <c r="K158" s="3" t="s">
        <v>390</v>
      </c>
      <c r="L158" s="60">
        <v>812</v>
      </c>
      <c r="M158" s="106">
        <v>67</v>
      </c>
      <c r="N158" s="106">
        <v>3.3E-3</v>
      </c>
      <c r="O158" s="114">
        <v>2.9999999999999997E-4</v>
      </c>
      <c r="P158" s="3"/>
      <c r="Q158" s="3"/>
      <c r="R158" s="3"/>
      <c r="S158" s="3"/>
      <c r="T158" s="3"/>
      <c r="U158" s="3"/>
      <c r="V158" s="3"/>
      <c r="W158" s="3"/>
      <c r="X158" s="3"/>
      <c r="Y158" s="3"/>
      <c r="Z158" s="3"/>
      <c r="AA158" s="3"/>
      <c r="AB158" s="3"/>
      <c r="AC158" s="3"/>
      <c r="AD158" s="3"/>
      <c r="AE158" s="3"/>
      <c r="AF158" s="3"/>
      <c r="AG158" s="3"/>
      <c r="AH158" s="3"/>
      <c r="AI158" s="3"/>
    </row>
    <row r="159" spans="1:35" ht="12.75" x14ac:dyDescent="0.2">
      <c r="A159" s="3"/>
      <c r="B159" s="59"/>
      <c r="C159" s="121"/>
      <c r="D159" s="3" t="s">
        <v>438</v>
      </c>
      <c r="E159" s="104" t="s">
        <v>439</v>
      </c>
      <c r="F159" s="3" t="s">
        <v>78</v>
      </c>
      <c r="G159" s="3" t="s">
        <v>25</v>
      </c>
      <c r="H159" s="60">
        <v>4510000</v>
      </c>
      <c r="I159" s="3" t="s">
        <v>81</v>
      </c>
      <c r="J159" s="106">
        <v>137</v>
      </c>
      <c r="K159" s="3" t="s">
        <v>390</v>
      </c>
      <c r="L159" s="60">
        <v>618</v>
      </c>
      <c r="M159" s="106">
        <v>51</v>
      </c>
      <c r="N159" s="106">
        <v>2.5000000000000001E-3</v>
      </c>
      <c r="O159" s="114">
        <v>2.0000000000000001E-4</v>
      </c>
      <c r="P159" s="3"/>
      <c r="Q159" s="3"/>
      <c r="R159" s="3"/>
      <c r="S159" s="3"/>
      <c r="T159" s="3"/>
      <c r="U159" s="3"/>
      <c r="V159" s="3"/>
      <c r="W159" s="3"/>
      <c r="X159" s="3"/>
      <c r="Y159" s="3"/>
      <c r="Z159" s="3"/>
      <c r="AA159" s="3"/>
      <c r="AB159" s="3"/>
      <c r="AC159" s="3"/>
      <c r="AD159" s="3"/>
      <c r="AE159" s="3"/>
      <c r="AF159" s="3"/>
      <c r="AG159" s="3"/>
      <c r="AH159" s="3"/>
      <c r="AI159" s="3"/>
    </row>
    <row r="160" spans="1:35" ht="12.75" x14ac:dyDescent="0.2">
      <c r="A160" s="3"/>
      <c r="B160" s="98"/>
      <c r="C160" s="190"/>
      <c r="D160" s="100"/>
      <c r="E160" s="100"/>
      <c r="F160" s="100"/>
      <c r="G160" s="100"/>
      <c r="H160" s="165"/>
      <c r="I160" s="165"/>
      <c r="J160" s="165"/>
      <c r="K160" s="165"/>
      <c r="L160" s="165"/>
      <c r="M160" s="165"/>
      <c r="N160" s="165"/>
      <c r="O160" s="166"/>
      <c r="P160" s="3"/>
      <c r="Q160" s="3"/>
      <c r="R160" s="3"/>
      <c r="S160" s="3"/>
      <c r="T160" s="3"/>
      <c r="U160" s="3"/>
      <c r="V160" s="3"/>
      <c r="W160" s="3"/>
      <c r="X160" s="3"/>
      <c r="Y160" s="3"/>
      <c r="Z160" s="3"/>
      <c r="AA160" s="3"/>
      <c r="AB160" s="3"/>
      <c r="AC160" s="3"/>
      <c r="AD160" s="3"/>
      <c r="AE160" s="3"/>
      <c r="AF160" s="3"/>
      <c r="AG160" s="3"/>
      <c r="AH160" s="3"/>
      <c r="AI160" s="3"/>
    </row>
    <row r="161" spans="1:35" ht="12.75" x14ac:dyDescent="0.2">
      <c r="A161" s="3"/>
      <c r="B161" s="50"/>
      <c r="C161" s="191"/>
      <c r="D161" s="102"/>
      <c r="E161" s="102"/>
      <c r="F161" s="102"/>
      <c r="G161" s="102"/>
      <c r="H161" s="167"/>
      <c r="I161" s="167"/>
      <c r="J161" s="167"/>
      <c r="K161" s="167"/>
      <c r="L161" s="167"/>
      <c r="M161" s="167"/>
      <c r="N161" s="167"/>
      <c r="O161" s="168"/>
      <c r="P161" s="3"/>
      <c r="Q161" s="3"/>
      <c r="R161" s="3"/>
      <c r="S161" s="3"/>
      <c r="T161" s="3"/>
      <c r="U161" s="3"/>
      <c r="V161" s="3"/>
      <c r="W161" s="3"/>
      <c r="X161" s="3"/>
      <c r="Y161" s="3"/>
      <c r="Z161" s="3"/>
      <c r="AA161" s="3"/>
      <c r="AB161" s="3"/>
      <c r="AC161" s="3"/>
      <c r="AD161" s="3"/>
      <c r="AE161" s="3"/>
      <c r="AF161" s="3"/>
      <c r="AG161" s="3"/>
      <c r="AH161" s="3"/>
      <c r="AI161" s="3"/>
    </row>
    <row r="162" spans="1:35" ht="12.75" x14ac:dyDescent="0.2">
      <c r="A162" s="3"/>
      <c r="B162" s="59" t="s">
        <v>441</v>
      </c>
      <c r="C162" s="3" t="s">
        <v>442</v>
      </c>
      <c r="D162" s="3" t="s">
        <v>443</v>
      </c>
      <c r="E162" s="3" t="s">
        <v>444</v>
      </c>
      <c r="F162" s="3" t="s">
        <v>78</v>
      </c>
      <c r="G162" s="3" t="s">
        <v>25</v>
      </c>
      <c r="H162" s="60">
        <v>2087000</v>
      </c>
      <c r="I162" s="3" t="s">
        <v>81</v>
      </c>
      <c r="J162" s="106">
        <v>137</v>
      </c>
      <c r="K162" s="3" t="s">
        <v>390</v>
      </c>
      <c r="L162" s="106">
        <v>286</v>
      </c>
      <c r="M162" s="106">
        <v>24</v>
      </c>
      <c r="N162" s="106">
        <v>1.1999999999999999E-3</v>
      </c>
      <c r="O162" s="114">
        <v>1E-4</v>
      </c>
      <c r="P162" s="3"/>
      <c r="Q162" s="3"/>
      <c r="R162" s="3"/>
      <c r="S162" s="3"/>
      <c r="T162" s="3"/>
      <c r="U162" s="3"/>
      <c r="V162" s="3"/>
      <c r="W162" s="3"/>
      <c r="X162" s="3"/>
      <c r="Y162" s="3"/>
      <c r="Z162" s="3"/>
      <c r="AA162" s="3"/>
      <c r="AB162" s="3"/>
      <c r="AC162" s="3"/>
      <c r="AD162" s="3"/>
      <c r="AE162" s="3"/>
      <c r="AF162" s="3"/>
      <c r="AG162" s="3"/>
      <c r="AH162" s="3"/>
      <c r="AI162" s="3"/>
    </row>
    <row r="163" spans="1:35" ht="12.75" x14ac:dyDescent="0.2">
      <c r="A163" s="3"/>
      <c r="B163" s="59"/>
      <c r="C163" s="3"/>
      <c r="D163" s="3" t="s">
        <v>446</v>
      </c>
      <c r="E163" s="3" t="s">
        <v>447</v>
      </c>
      <c r="F163" s="3" t="s">
        <v>78</v>
      </c>
      <c r="G163" s="3" t="s">
        <v>25</v>
      </c>
      <c r="H163" s="60">
        <v>2964000</v>
      </c>
      <c r="I163" s="3" t="s">
        <v>81</v>
      </c>
      <c r="J163" s="106">
        <v>137</v>
      </c>
      <c r="K163" s="3" t="s">
        <v>390</v>
      </c>
      <c r="L163" s="106">
        <v>406</v>
      </c>
      <c r="M163" s="106">
        <v>33</v>
      </c>
      <c r="N163" s="106">
        <v>1.6000000000000001E-3</v>
      </c>
      <c r="O163" s="114">
        <v>2.0000000000000001E-4</v>
      </c>
      <c r="P163" s="3"/>
      <c r="Q163" s="3"/>
      <c r="R163" s="3"/>
      <c r="S163" s="3"/>
      <c r="T163" s="3"/>
      <c r="U163" s="3"/>
      <c r="V163" s="3"/>
      <c r="W163" s="3"/>
      <c r="X163" s="3"/>
      <c r="Y163" s="3"/>
      <c r="Z163" s="3"/>
      <c r="AA163" s="3"/>
      <c r="AB163" s="3"/>
      <c r="AC163" s="3"/>
      <c r="AD163" s="3"/>
      <c r="AE163" s="3"/>
      <c r="AF163" s="3"/>
      <c r="AG163" s="3"/>
      <c r="AH163" s="3"/>
      <c r="AI163" s="3"/>
    </row>
    <row r="164" spans="1:35" ht="12.75" x14ac:dyDescent="0.2">
      <c r="A164" s="3"/>
      <c r="B164" s="59"/>
      <c r="C164" s="3"/>
      <c r="D164" s="3" t="s">
        <v>448</v>
      </c>
      <c r="E164" s="3" t="s">
        <v>449</v>
      </c>
      <c r="F164" s="3" t="s">
        <v>78</v>
      </c>
      <c r="G164" s="3" t="s">
        <v>25</v>
      </c>
      <c r="H164" s="60">
        <v>5340000</v>
      </c>
      <c r="I164" s="3" t="s">
        <v>81</v>
      </c>
      <c r="J164" s="106">
        <v>137</v>
      </c>
      <c r="K164" s="3" t="s">
        <v>390</v>
      </c>
      <c r="L164" s="60">
        <v>732</v>
      </c>
      <c r="M164" s="106">
        <v>60</v>
      </c>
      <c r="N164" s="106">
        <v>0</v>
      </c>
      <c r="O164" s="114">
        <v>0</v>
      </c>
      <c r="P164" s="3"/>
      <c r="Q164" s="3"/>
      <c r="R164" s="3"/>
      <c r="S164" s="3"/>
      <c r="T164" s="3"/>
      <c r="U164" s="3"/>
      <c r="V164" s="3"/>
      <c r="W164" s="3"/>
      <c r="X164" s="3"/>
      <c r="Y164" s="3"/>
      <c r="Z164" s="3"/>
      <c r="AA164" s="3"/>
      <c r="AB164" s="3"/>
      <c r="AC164" s="3"/>
      <c r="AD164" s="3"/>
      <c r="AE164" s="3"/>
      <c r="AF164" s="3"/>
      <c r="AG164" s="3"/>
      <c r="AH164" s="3"/>
      <c r="AI164" s="3"/>
    </row>
    <row r="165" spans="1:35" ht="12.75" x14ac:dyDescent="0.2">
      <c r="A165" s="3"/>
      <c r="B165" s="59"/>
      <c r="C165" s="3"/>
      <c r="D165" s="3" t="s">
        <v>450</v>
      </c>
      <c r="E165" s="3" t="s">
        <v>451</v>
      </c>
      <c r="F165" s="3" t="s">
        <v>78</v>
      </c>
      <c r="G165" s="3" t="s">
        <v>25</v>
      </c>
      <c r="H165" s="60">
        <v>7010000</v>
      </c>
      <c r="I165" s="3" t="s">
        <v>81</v>
      </c>
      <c r="J165" s="106">
        <v>137</v>
      </c>
      <c r="K165" s="3" t="s">
        <v>390</v>
      </c>
      <c r="L165" s="60">
        <v>960</v>
      </c>
      <c r="M165" s="106">
        <v>79</v>
      </c>
      <c r="N165" s="106">
        <v>0</v>
      </c>
      <c r="O165" s="114">
        <v>0</v>
      </c>
      <c r="P165" s="3"/>
      <c r="Q165" s="3"/>
      <c r="R165" s="3"/>
      <c r="S165" s="3"/>
      <c r="T165" s="3"/>
      <c r="U165" s="3"/>
      <c r="V165" s="3"/>
      <c r="W165" s="3"/>
      <c r="X165" s="3"/>
      <c r="Y165" s="3"/>
      <c r="Z165" s="3"/>
      <c r="AA165" s="3"/>
      <c r="AB165" s="3"/>
      <c r="AC165" s="3"/>
      <c r="AD165" s="3"/>
      <c r="AE165" s="3"/>
      <c r="AF165" s="3"/>
      <c r="AG165" s="3"/>
      <c r="AH165" s="3"/>
      <c r="AI165" s="3"/>
    </row>
    <row r="166" spans="1:35" ht="12.75" x14ac:dyDescent="0.2">
      <c r="A166" s="3"/>
      <c r="B166" s="59"/>
      <c r="C166" s="3"/>
      <c r="D166" s="3" t="s">
        <v>453</v>
      </c>
      <c r="E166" s="3" t="s">
        <v>454</v>
      </c>
      <c r="F166" s="3" t="s">
        <v>78</v>
      </c>
      <c r="G166" s="3" t="s">
        <v>25</v>
      </c>
      <c r="H166" s="60">
        <v>4590000</v>
      </c>
      <c r="I166" s="3" t="s">
        <v>81</v>
      </c>
      <c r="J166" s="106">
        <v>137</v>
      </c>
      <c r="K166" s="3" t="s">
        <v>390</v>
      </c>
      <c r="L166" s="60">
        <v>629</v>
      </c>
      <c r="M166" s="106">
        <v>52</v>
      </c>
      <c r="N166" s="106">
        <v>2.5000000000000001E-3</v>
      </c>
      <c r="O166" s="114">
        <v>2.9999999999999997E-4</v>
      </c>
      <c r="P166" s="3"/>
      <c r="Q166" s="3"/>
      <c r="R166" s="3"/>
      <c r="S166" s="3"/>
      <c r="T166" s="3"/>
      <c r="U166" s="3"/>
      <c r="V166" s="3"/>
      <c r="W166" s="3"/>
      <c r="X166" s="3"/>
      <c r="Y166" s="3"/>
      <c r="Z166" s="3"/>
      <c r="AA166" s="3"/>
      <c r="AB166" s="3"/>
      <c r="AC166" s="3"/>
      <c r="AD166" s="3"/>
      <c r="AE166" s="3"/>
      <c r="AF166" s="3"/>
      <c r="AG166" s="3"/>
      <c r="AH166" s="3"/>
      <c r="AI166" s="3"/>
    </row>
    <row r="167" spans="1:35" ht="12.75" x14ac:dyDescent="0.2">
      <c r="A167" s="3"/>
      <c r="B167" s="59"/>
      <c r="C167" s="3"/>
      <c r="D167" s="3" t="s">
        <v>456</v>
      </c>
      <c r="E167" s="3" t="s">
        <v>457</v>
      </c>
      <c r="F167" s="3" t="s">
        <v>78</v>
      </c>
      <c r="G167" s="3" t="s">
        <v>25</v>
      </c>
      <c r="H167" s="60">
        <v>5770000</v>
      </c>
      <c r="I167" s="3" t="s">
        <v>81</v>
      </c>
      <c r="J167" s="106">
        <v>137</v>
      </c>
      <c r="K167" s="3" t="s">
        <v>390</v>
      </c>
      <c r="L167" s="60">
        <v>790</v>
      </c>
      <c r="M167" s="106">
        <v>65</v>
      </c>
      <c r="N167" s="106">
        <v>3.2000000000000002E-3</v>
      </c>
      <c r="O167" s="114">
        <v>2.9999999999999997E-4</v>
      </c>
      <c r="P167" s="3"/>
      <c r="Q167" s="3"/>
      <c r="R167" s="3"/>
      <c r="S167" s="3"/>
      <c r="T167" s="3"/>
      <c r="U167" s="3"/>
      <c r="V167" s="3"/>
      <c r="W167" s="3"/>
      <c r="X167" s="3"/>
      <c r="Y167" s="3"/>
      <c r="Z167" s="3"/>
      <c r="AA167" s="3"/>
      <c r="AB167" s="3"/>
      <c r="AC167" s="3"/>
      <c r="AD167" s="3"/>
      <c r="AE167" s="3"/>
      <c r="AF167" s="3"/>
      <c r="AG167" s="3"/>
      <c r="AH167" s="3"/>
      <c r="AI167" s="3"/>
    </row>
    <row r="168" spans="1:35" ht="12.75" x14ac:dyDescent="0.2">
      <c r="A168" s="3"/>
      <c r="B168" s="59"/>
      <c r="C168" s="3"/>
      <c r="D168" s="3" t="s">
        <v>458</v>
      </c>
      <c r="E168" s="3" t="s">
        <v>459</v>
      </c>
      <c r="F168" s="3" t="s">
        <v>78</v>
      </c>
      <c r="G168" s="3" t="s">
        <v>25</v>
      </c>
      <c r="H168" s="60">
        <v>6771000</v>
      </c>
      <c r="I168" s="3" t="s">
        <v>81</v>
      </c>
      <c r="J168" s="106">
        <v>137</v>
      </c>
      <c r="K168" s="3" t="s">
        <v>390</v>
      </c>
      <c r="L168" s="60">
        <v>927</v>
      </c>
      <c r="M168" s="106">
        <v>77</v>
      </c>
      <c r="N168" s="106">
        <v>3.8E-3</v>
      </c>
      <c r="O168" s="114">
        <v>4.0000000000000002E-4</v>
      </c>
      <c r="P168" s="3"/>
      <c r="Q168" s="3"/>
      <c r="R168" s="3"/>
      <c r="S168" s="3"/>
      <c r="T168" s="3"/>
      <c r="U168" s="3"/>
      <c r="V168" s="3"/>
      <c r="W168" s="3"/>
      <c r="X168" s="3"/>
      <c r="Y168" s="3"/>
      <c r="Z168" s="3"/>
      <c r="AA168" s="3"/>
      <c r="AB168" s="3"/>
      <c r="AC168" s="3"/>
      <c r="AD168" s="3"/>
      <c r="AE168" s="3"/>
      <c r="AF168" s="3"/>
      <c r="AG168" s="3"/>
      <c r="AH168" s="3"/>
      <c r="AI168" s="3"/>
    </row>
    <row r="169" spans="1:35" ht="12.75" x14ac:dyDescent="0.2">
      <c r="A169" s="3"/>
      <c r="B169" s="59"/>
      <c r="C169" s="3"/>
      <c r="D169" s="3" t="s">
        <v>461</v>
      </c>
      <c r="E169" s="3" t="s">
        <v>462</v>
      </c>
      <c r="F169" s="3" t="s">
        <v>78</v>
      </c>
      <c r="G169" s="3" t="s">
        <v>25</v>
      </c>
      <c r="H169" s="60">
        <v>5020000</v>
      </c>
      <c r="I169" s="3" t="s">
        <v>81</v>
      </c>
      <c r="J169" s="106">
        <v>137</v>
      </c>
      <c r="K169" s="3" t="s">
        <v>390</v>
      </c>
      <c r="L169" s="60">
        <v>688</v>
      </c>
      <c r="M169" s="106">
        <v>57</v>
      </c>
      <c r="N169" s="106">
        <v>2.8E-3</v>
      </c>
      <c r="O169" s="114">
        <v>2.9999999999999997E-4</v>
      </c>
      <c r="P169" s="3"/>
      <c r="Q169" s="3"/>
      <c r="R169" s="3"/>
      <c r="S169" s="3"/>
      <c r="T169" s="3"/>
      <c r="U169" s="3"/>
      <c r="V169" s="3"/>
      <c r="W169" s="3"/>
      <c r="X169" s="3"/>
      <c r="Y169" s="3"/>
      <c r="Z169" s="3"/>
      <c r="AA169" s="3"/>
      <c r="AB169" s="3"/>
      <c r="AC169" s="3"/>
      <c r="AD169" s="3"/>
      <c r="AE169" s="3"/>
      <c r="AF169" s="3"/>
      <c r="AG169" s="3"/>
      <c r="AH169" s="3"/>
      <c r="AI169" s="3"/>
    </row>
    <row r="170" spans="1:35" ht="12.75" x14ac:dyDescent="0.2">
      <c r="A170" s="3"/>
      <c r="B170" s="98"/>
      <c r="C170" s="99"/>
      <c r="D170" s="100"/>
      <c r="E170" s="100"/>
      <c r="F170" s="100"/>
      <c r="G170" s="100"/>
      <c r="H170" s="165"/>
      <c r="I170" s="165"/>
      <c r="J170" s="165"/>
      <c r="K170" s="165"/>
      <c r="L170" s="165"/>
      <c r="M170" s="165"/>
      <c r="N170" s="165"/>
      <c r="O170" s="166"/>
      <c r="P170" s="3"/>
      <c r="Q170" s="3"/>
      <c r="R170" s="3"/>
      <c r="S170" s="3"/>
      <c r="T170" s="3"/>
      <c r="U170" s="3"/>
      <c r="V170" s="3"/>
      <c r="W170" s="3"/>
      <c r="X170" s="3"/>
      <c r="Y170" s="3"/>
      <c r="Z170" s="3"/>
      <c r="AA170" s="3"/>
      <c r="AB170" s="3"/>
      <c r="AC170" s="3"/>
      <c r="AD170" s="3"/>
      <c r="AE170" s="3"/>
      <c r="AF170" s="3"/>
      <c r="AG170" s="3"/>
      <c r="AH170" s="3"/>
      <c r="AI170" s="3"/>
    </row>
    <row r="171" spans="1:35" ht="12.75" x14ac:dyDescent="0.2">
      <c r="A171" s="3"/>
      <c r="B171" s="50"/>
      <c r="C171" s="52"/>
      <c r="D171" s="102"/>
      <c r="E171" s="102"/>
      <c r="F171" s="102"/>
      <c r="G171" s="102"/>
      <c r="H171" s="167"/>
      <c r="I171" s="167"/>
      <c r="J171" s="167"/>
      <c r="K171" s="167"/>
      <c r="L171" s="167"/>
      <c r="M171" s="167"/>
      <c r="N171" s="167"/>
      <c r="O171" s="168"/>
      <c r="P171" s="3"/>
      <c r="Q171" s="3"/>
      <c r="R171" s="3"/>
      <c r="S171" s="3"/>
      <c r="T171" s="3"/>
      <c r="U171" s="3"/>
      <c r="V171" s="3"/>
      <c r="W171" s="3"/>
      <c r="X171" s="3"/>
      <c r="Y171" s="3"/>
      <c r="Z171" s="3"/>
      <c r="AA171" s="3"/>
      <c r="AB171" s="3"/>
      <c r="AC171" s="3"/>
      <c r="AD171" s="3"/>
      <c r="AE171" s="3"/>
      <c r="AF171" s="3"/>
      <c r="AG171" s="3"/>
      <c r="AH171" s="3"/>
      <c r="AI171" s="3"/>
    </row>
    <row r="172" spans="1:35" ht="12.75" x14ac:dyDescent="0.2">
      <c r="A172" s="3"/>
      <c r="B172" s="59" t="s">
        <v>464</v>
      </c>
      <c r="C172" s="3" t="s">
        <v>465</v>
      </c>
      <c r="D172" s="3" t="s">
        <v>466</v>
      </c>
      <c r="E172" s="104" t="s">
        <v>467</v>
      </c>
      <c r="F172" s="3" t="s">
        <v>78</v>
      </c>
      <c r="G172" s="3" t="s">
        <v>25</v>
      </c>
      <c r="H172" s="60">
        <v>2784</v>
      </c>
      <c r="I172" s="3" t="s">
        <v>81</v>
      </c>
      <c r="J172" s="129"/>
      <c r="K172" s="3" t="s">
        <v>371</v>
      </c>
      <c r="L172" s="116"/>
      <c r="M172" s="122">
        <v>30.91</v>
      </c>
      <c r="N172" s="106">
        <v>0</v>
      </c>
      <c r="O172" s="114">
        <v>0</v>
      </c>
      <c r="P172" s="3"/>
      <c r="Q172" s="3"/>
      <c r="R172" s="3"/>
      <c r="S172" s="3"/>
      <c r="T172" s="3"/>
      <c r="U172" s="3"/>
      <c r="V172" s="3"/>
      <c r="W172" s="3"/>
      <c r="X172" s="3"/>
      <c r="Y172" s="3"/>
      <c r="Z172" s="3"/>
      <c r="AA172" s="3"/>
      <c r="AB172" s="3"/>
      <c r="AC172" s="3"/>
      <c r="AD172" s="3"/>
      <c r="AE172" s="3"/>
      <c r="AF172" s="3"/>
      <c r="AG172" s="3"/>
      <c r="AH172" s="3"/>
      <c r="AI172" s="3"/>
    </row>
    <row r="173" spans="1:35" ht="12.75" x14ac:dyDescent="0.2">
      <c r="A173" s="3"/>
      <c r="B173" s="59"/>
      <c r="C173" s="121"/>
      <c r="D173" s="3" t="s">
        <v>469</v>
      </c>
      <c r="E173" s="104" t="s">
        <v>470</v>
      </c>
      <c r="F173" s="3" t="s">
        <v>78</v>
      </c>
      <c r="G173" s="3" t="s">
        <v>25</v>
      </c>
      <c r="H173" s="60">
        <v>6300</v>
      </c>
      <c r="I173" s="3" t="s">
        <v>81</v>
      </c>
      <c r="J173" s="129"/>
      <c r="K173" s="3" t="s">
        <v>371</v>
      </c>
      <c r="L173" s="116"/>
      <c r="M173" s="122">
        <v>69.930000000000007</v>
      </c>
      <c r="N173" s="106">
        <v>0</v>
      </c>
      <c r="O173" s="114">
        <v>0</v>
      </c>
      <c r="P173" s="3"/>
      <c r="Q173" s="3"/>
      <c r="R173" s="3"/>
      <c r="S173" s="3"/>
      <c r="T173" s="3"/>
      <c r="U173" s="3"/>
      <c r="V173" s="3"/>
      <c r="W173" s="3"/>
      <c r="X173" s="3"/>
      <c r="Y173" s="3"/>
      <c r="Z173" s="3"/>
      <c r="AA173" s="3"/>
      <c r="AB173" s="3"/>
      <c r="AC173" s="3"/>
      <c r="AD173" s="3"/>
      <c r="AE173" s="3"/>
      <c r="AF173" s="3"/>
      <c r="AG173" s="3"/>
      <c r="AH173" s="3"/>
      <c r="AI173" s="3"/>
    </row>
    <row r="174" spans="1:35" ht="12.75" x14ac:dyDescent="0.2">
      <c r="A174" s="3"/>
      <c r="B174" s="59"/>
      <c r="C174" s="121"/>
      <c r="D174" s="3" t="s">
        <v>471</v>
      </c>
      <c r="E174" s="104" t="s">
        <v>472</v>
      </c>
      <c r="F174" s="3" t="s">
        <v>29</v>
      </c>
      <c r="G174" s="3" t="s">
        <v>162</v>
      </c>
      <c r="H174" s="60">
        <v>851000</v>
      </c>
      <c r="I174" s="3" t="s">
        <v>99</v>
      </c>
      <c r="J174" s="116"/>
      <c r="K174" s="3" t="s">
        <v>366</v>
      </c>
      <c r="L174" s="116"/>
      <c r="M174" s="122">
        <v>51.04</v>
      </c>
      <c r="N174" s="106">
        <v>0</v>
      </c>
      <c r="O174" s="114">
        <v>0</v>
      </c>
      <c r="P174" s="3"/>
      <c r="Q174" s="3"/>
      <c r="R174" s="3"/>
      <c r="S174" s="3"/>
      <c r="T174" s="178"/>
      <c r="U174" s="178"/>
      <c r="V174" s="3"/>
      <c r="W174" s="3"/>
      <c r="X174" s="3"/>
      <c r="Y174" s="3"/>
      <c r="Z174" s="3"/>
      <c r="AA174" s="3"/>
      <c r="AB174" s="3"/>
      <c r="AC174" s="3"/>
      <c r="AD174" s="3"/>
      <c r="AE174" s="3"/>
      <c r="AF174" s="3"/>
      <c r="AG174" s="3"/>
      <c r="AH174" s="3"/>
      <c r="AI174" s="3"/>
    </row>
    <row r="175" spans="1:35" ht="12.75" x14ac:dyDescent="0.2">
      <c r="A175" s="3"/>
      <c r="B175" s="98"/>
      <c r="C175" s="99"/>
      <c r="D175" s="99"/>
      <c r="E175" s="99"/>
      <c r="F175" s="100"/>
      <c r="G175" s="99"/>
      <c r="H175" s="124"/>
      <c r="I175" s="99"/>
      <c r="J175" s="124"/>
      <c r="K175" s="99"/>
      <c r="L175" s="124"/>
      <c r="M175" s="124"/>
      <c r="N175" s="124"/>
      <c r="O175" s="125"/>
      <c r="P175" s="3"/>
      <c r="Q175" s="3"/>
      <c r="R175" s="3"/>
      <c r="S175" s="3"/>
      <c r="T175" s="3"/>
      <c r="U175" s="3"/>
      <c r="V175" s="3"/>
      <c r="W175" s="3"/>
      <c r="X175" s="3"/>
      <c r="Y175" s="3"/>
      <c r="Z175" s="3"/>
      <c r="AA175" s="3"/>
      <c r="AB175" s="3"/>
      <c r="AC175" s="3"/>
      <c r="AD175" s="3"/>
      <c r="AE175" s="3"/>
      <c r="AF175" s="3"/>
      <c r="AG175" s="3"/>
      <c r="AH175" s="3"/>
      <c r="AI175" s="3"/>
    </row>
    <row r="176" spans="1:35" ht="12.75" x14ac:dyDescent="0.2">
      <c r="A176" s="3"/>
      <c r="B176" s="50"/>
      <c r="C176" s="52"/>
      <c r="D176" s="52"/>
      <c r="E176" s="52"/>
      <c r="F176" s="102"/>
      <c r="G176" s="52"/>
      <c r="H176" s="126"/>
      <c r="I176" s="52"/>
      <c r="J176" s="126"/>
      <c r="K176" s="52"/>
      <c r="L176" s="126"/>
      <c r="M176" s="126"/>
      <c r="N176" s="126"/>
      <c r="O176" s="127"/>
      <c r="P176" s="3"/>
      <c r="Q176" s="3"/>
      <c r="R176" s="3"/>
      <c r="S176" s="3"/>
      <c r="T176" s="3"/>
      <c r="U176" s="3"/>
      <c r="V176" s="3"/>
      <c r="W176" s="3"/>
      <c r="X176" s="3"/>
      <c r="Y176" s="3"/>
      <c r="Z176" s="3"/>
      <c r="AA176" s="3"/>
      <c r="AB176" s="3"/>
      <c r="AC176" s="3"/>
      <c r="AD176" s="3"/>
      <c r="AE176" s="3"/>
      <c r="AF176" s="3"/>
      <c r="AG176" s="3"/>
      <c r="AH176" s="3"/>
      <c r="AI176" s="3"/>
    </row>
    <row r="177" spans="1:35" ht="12.75" x14ac:dyDescent="0.2">
      <c r="A177" s="3"/>
      <c r="B177" s="59" t="s">
        <v>473</v>
      </c>
      <c r="C177" s="3" t="s">
        <v>474</v>
      </c>
      <c r="D177" s="3" t="s">
        <v>121</v>
      </c>
      <c r="E177" s="104" t="s">
        <v>475</v>
      </c>
      <c r="F177" s="3" t="s">
        <v>78</v>
      </c>
      <c r="G177" s="3" t="s">
        <v>25</v>
      </c>
      <c r="H177" s="60">
        <v>41114.92</v>
      </c>
      <c r="I177" s="3" t="s">
        <v>81</v>
      </c>
      <c r="J177" s="60">
        <v>137515</v>
      </c>
      <c r="K177" s="3" t="s">
        <v>371</v>
      </c>
      <c r="L177" s="60">
        <v>5613</v>
      </c>
      <c r="M177" s="122">
        <v>464.6</v>
      </c>
      <c r="N177" s="106">
        <v>0.02</v>
      </c>
      <c r="O177" s="114">
        <v>0</v>
      </c>
      <c r="P177" s="3"/>
      <c r="Q177" s="3"/>
      <c r="R177" s="3"/>
      <c r="S177" s="3"/>
      <c r="T177" s="3"/>
      <c r="U177" s="3"/>
      <c r="V177" s="3"/>
      <c r="W177" s="3"/>
      <c r="X177" s="3"/>
      <c r="Y177" s="3"/>
      <c r="Z177" s="3"/>
      <c r="AA177" s="3"/>
      <c r="AB177" s="3"/>
      <c r="AC177" s="3"/>
      <c r="AD177" s="3"/>
      <c r="AE177" s="3"/>
      <c r="AF177" s="3"/>
      <c r="AG177" s="3"/>
      <c r="AH177" s="3"/>
      <c r="AI177" s="3"/>
    </row>
    <row r="178" spans="1:35" ht="12.75" x14ac:dyDescent="0.2">
      <c r="A178" s="3"/>
      <c r="B178" s="59"/>
      <c r="C178" s="121"/>
      <c r="D178" s="3" t="s">
        <v>134</v>
      </c>
      <c r="E178" s="104" t="s">
        <v>476</v>
      </c>
      <c r="F178" s="3" t="s">
        <v>78</v>
      </c>
      <c r="G178" s="3" t="s">
        <v>25</v>
      </c>
      <c r="H178" s="60">
        <v>39886.25</v>
      </c>
      <c r="I178" s="3" t="s">
        <v>81</v>
      </c>
      <c r="J178" s="60">
        <v>137515</v>
      </c>
      <c r="K178" s="3" t="s">
        <v>371</v>
      </c>
      <c r="L178" s="60">
        <v>5444</v>
      </c>
      <c r="M178" s="122">
        <v>450.71</v>
      </c>
      <c r="N178" s="106">
        <v>0.02</v>
      </c>
      <c r="O178" s="114">
        <v>0</v>
      </c>
      <c r="P178" s="3"/>
      <c r="Q178" s="3"/>
      <c r="R178" s="3"/>
      <c r="S178" s="3"/>
      <c r="T178" s="3"/>
      <c r="U178" s="3"/>
      <c r="V178" s="3"/>
      <c r="W178" s="3"/>
      <c r="X178" s="3"/>
      <c r="Y178" s="3"/>
      <c r="Z178" s="3"/>
      <c r="AA178" s="3"/>
      <c r="AB178" s="3"/>
      <c r="AC178" s="3"/>
      <c r="AD178" s="3"/>
      <c r="AE178" s="3"/>
      <c r="AF178" s="3"/>
      <c r="AG178" s="3"/>
      <c r="AH178" s="3"/>
      <c r="AI178" s="3"/>
    </row>
    <row r="179" spans="1:35" ht="12.75" x14ac:dyDescent="0.2">
      <c r="A179" s="3"/>
      <c r="B179" s="59"/>
      <c r="C179" s="121"/>
      <c r="D179" s="3" t="s">
        <v>160</v>
      </c>
      <c r="E179" s="104" t="s">
        <v>423</v>
      </c>
      <c r="F179" s="3" t="s">
        <v>78</v>
      </c>
      <c r="G179" s="3" t="s">
        <v>25</v>
      </c>
      <c r="H179" s="60">
        <v>37372.54</v>
      </c>
      <c r="I179" s="3" t="s">
        <v>81</v>
      </c>
      <c r="J179" s="60">
        <v>135615</v>
      </c>
      <c r="K179" s="3" t="s">
        <v>371</v>
      </c>
      <c r="L179" s="60">
        <v>5099</v>
      </c>
      <c r="M179" s="122">
        <v>422.31</v>
      </c>
      <c r="N179" s="106">
        <v>0.02</v>
      </c>
      <c r="O179" s="114">
        <v>0</v>
      </c>
      <c r="P179" s="3"/>
      <c r="Q179" s="3"/>
      <c r="R179" s="115"/>
      <c r="S179" s="3"/>
      <c r="T179" s="3"/>
      <c r="U179" s="3"/>
      <c r="V179" s="3"/>
      <c r="W179" s="3"/>
      <c r="X179" s="3"/>
      <c r="Y179" s="3"/>
      <c r="Z179" s="3"/>
      <c r="AA179" s="3"/>
      <c r="AB179" s="3"/>
      <c r="AC179" s="3"/>
      <c r="AD179" s="3"/>
      <c r="AE179" s="3"/>
      <c r="AF179" s="3"/>
      <c r="AG179" s="3"/>
      <c r="AH179" s="3"/>
      <c r="AI179" s="3"/>
    </row>
    <row r="180" spans="1:35" ht="12.75" x14ac:dyDescent="0.2">
      <c r="A180" s="3"/>
      <c r="B180" s="59"/>
      <c r="C180" s="121"/>
      <c r="D180" s="3" t="s">
        <v>165</v>
      </c>
      <c r="E180" s="104" t="s">
        <v>477</v>
      </c>
      <c r="F180" s="3" t="s">
        <v>78</v>
      </c>
      <c r="G180" s="3" t="s">
        <v>25</v>
      </c>
      <c r="H180" s="60">
        <v>41688.29</v>
      </c>
      <c r="I180" s="3" t="s">
        <v>81</v>
      </c>
      <c r="J180" s="60">
        <v>137515</v>
      </c>
      <c r="K180" s="3" t="s">
        <v>371</v>
      </c>
      <c r="L180" s="60">
        <v>5691</v>
      </c>
      <c r="M180" s="122">
        <v>471.08</v>
      </c>
      <c r="N180" s="106">
        <v>0.02</v>
      </c>
      <c r="O180" s="114">
        <v>0</v>
      </c>
      <c r="P180" s="3"/>
      <c r="Q180" s="3"/>
      <c r="R180" s="3"/>
      <c r="S180" s="3"/>
      <c r="T180" s="3"/>
      <c r="U180" s="3"/>
      <c r="V180" s="3"/>
      <c r="W180" s="3"/>
      <c r="X180" s="3"/>
      <c r="Y180" s="3"/>
      <c r="Z180" s="3"/>
      <c r="AA180" s="3"/>
      <c r="AB180" s="3"/>
      <c r="AC180" s="3"/>
      <c r="AD180" s="3"/>
      <c r="AE180" s="3"/>
      <c r="AF180" s="3"/>
      <c r="AG180" s="3"/>
      <c r="AH180" s="3"/>
      <c r="AI180" s="3"/>
    </row>
    <row r="181" spans="1:35" ht="12.75" x14ac:dyDescent="0.2">
      <c r="A181" s="3"/>
      <c r="B181" s="98"/>
      <c r="C181" s="99"/>
      <c r="D181" s="99"/>
      <c r="E181" s="99"/>
      <c r="F181" s="100"/>
      <c r="G181" s="99"/>
      <c r="H181" s="124"/>
      <c r="I181" s="99"/>
      <c r="J181" s="124"/>
      <c r="K181" s="99"/>
      <c r="L181" s="124"/>
      <c r="M181" s="124"/>
      <c r="N181" s="124"/>
      <c r="O181" s="125"/>
      <c r="P181" s="3"/>
      <c r="Q181" s="197"/>
      <c r="R181" s="197"/>
      <c r="S181" s="197"/>
      <c r="T181" s="197"/>
      <c r="U181" s="197"/>
      <c r="V181" s="197"/>
      <c r="W181" s="3"/>
      <c r="X181" s="3"/>
      <c r="Y181" s="3"/>
      <c r="Z181" s="3"/>
      <c r="AA181" s="3"/>
      <c r="AB181" s="3"/>
      <c r="AC181" s="3"/>
      <c r="AD181" s="3"/>
      <c r="AE181" s="3"/>
      <c r="AF181" s="3"/>
      <c r="AG181" s="3"/>
      <c r="AH181" s="3"/>
      <c r="AI181" s="3"/>
    </row>
    <row r="182" spans="1:35" ht="12.75" x14ac:dyDescent="0.2">
      <c r="A182" s="3"/>
      <c r="B182" s="50"/>
      <c r="C182" s="52"/>
      <c r="D182" s="52"/>
      <c r="E182" s="52"/>
      <c r="F182" s="102"/>
      <c r="G182" s="52"/>
      <c r="H182" s="126"/>
      <c r="I182" s="52"/>
      <c r="J182" s="126"/>
      <c r="K182" s="52"/>
      <c r="L182" s="126"/>
      <c r="M182" s="126"/>
      <c r="N182" s="126"/>
      <c r="O182" s="127"/>
      <c r="P182" s="3"/>
      <c r="Q182" s="197"/>
      <c r="R182" s="197"/>
      <c r="S182" s="197"/>
      <c r="T182" s="197"/>
      <c r="U182" s="197"/>
      <c r="V182" s="197"/>
      <c r="W182" s="3"/>
      <c r="X182" s="3"/>
      <c r="Y182" s="3"/>
      <c r="Z182" s="3"/>
      <c r="AA182" s="3"/>
      <c r="AB182" s="3"/>
      <c r="AC182" s="3"/>
      <c r="AD182" s="3"/>
      <c r="AE182" s="3"/>
      <c r="AF182" s="3"/>
      <c r="AG182" s="3"/>
      <c r="AH182" s="3"/>
      <c r="AI182" s="3"/>
    </row>
    <row r="183" spans="1:35" ht="12.75" x14ac:dyDescent="0.2">
      <c r="A183" s="3"/>
      <c r="B183" s="59" t="s">
        <v>480</v>
      </c>
      <c r="C183" s="3" t="s">
        <v>481</v>
      </c>
      <c r="D183" s="3" t="s">
        <v>482</v>
      </c>
      <c r="E183" s="104" t="s">
        <v>483</v>
      </c>
      <c r="F183" s="3" t="s">
        <v>78</v>
      </c>
      <c r="G183" s="3" t="s">
        <v>25</v>
      </c>
      <c r="H183" s="106">
        <v>324</v>
      </c>
      <c r="I183" s="3" t="s">
        <v>81</v>
      </c>
      <c r="J183" s="60">
        <v>138500</v>
      </c>
      <c r="K183" s="3" t="s">
        <v>371</v>
      </c>
      <c r="L183" s="66">
        <f>(H183*J183)/1000000</f>
        <v>44.874000000000002</v>
      </c>
      <c r="M183" s="106">
        <v>4</v>
      </c>
      <c r="N183" s="106">
        <v>0</v>
      </c>
      <c r="O183" s="114">
        <v>0</v>
      </c>
      <c r="P183" s="3"/>
      <c r="Q183" s="197"/>
      <c r="R183" s="197"/>
      <c r="S183" s="197"/>
      <c r="T183" s="197"/>
      <c r="U183" s="197"/>
      <c r="V183" s="197"/>
      <c r="W183" s="3"/>
      <c r="X183" s="3"/>
      <c r="Y183" s="3"/>
      <c r="Z183" s="3"/>
      <c r="AA183" s="3"/>
      <c r="AB183" s="3"/>
      <c r="AC183" s="3"/>
      <c r="AD183" s="3"/>
      <c r="AE183" s="3"/>
      <c r="AF183" s="3"/>
      <c r="AG183" s="3"/>
      <c r="AH183" s="3"/>
      <c r="AI183" s="3"/>
    </row>
    <row r="184" spans="1:35" ht="12.75" x14ac:dyDescent="0.2">
      <c r="A184" s="3"/>
      <c r="B184" s="59"/>
      <c r="C184" s="121"/>
      <c r="D184" s="3" t="s">
        <v>485</v>
      </c>
      <c r="E184" s="104" t="s">
        <v>486</v>
      </c>
      <c r="F184" s="3" t="s">
        <v>78</v>
      </c>
      <c r="G184" s="3" t="s">
        <v>25</v>
      </c>
      <c r="H184" s="106">
        <v>272</v>
      </c>
      <c r="I184" s="3" t="s">
        <v>81</v>
      </c>
      <c r="J184" s="60">
        <v>138500</v>
      </c>
      <c r="K184" s="3" t="s">
        <v>371</v>
      </c>
      <c r="L184" s="66">
        <f t="shared" ref="L184:L191" si="14">H184*J184/1000000</f>
        <v>37.671999999999997</v>
      </c>
      <c r="M184" s="106">
        <v>3</v>
      </c>
      <c r="N184" s="106">
        <v>0</v>
      </c>
      <c r="O184" s="114">
        <v>0</v>
      </c>
      <c r="P184" s="3"/>
      <c r="Q184" s="197"/>
      <c r="R184" s="197"/>
      <c r="S184" s="197"/>
      <c r="T184" s="197"/>
      <c r="U184" s="197"/>
      <c r="V184" s="197"/>
      <c r="W184" s="3"/>
      <c r="X184" s="3"/>
      <c r="Y184" s="3"/>
      <c r="Z184" s="3"/>
      <c r="AA184" s="3"/>
      <c r="AB184" s="3"/>
      <c r="AC184" s="3"/>
      <c r="AD184" s="3"/>
      <c r="AE184" s="3"/>
      <c r="AF184" s="3"/>
      <c r="AG184" s="3"/>
      <c r="AH184" s="3"/>
      <c r="AI184" s="3"/>
    </row>
    <row r="185" spans="1:35" ht="12.75" x14ac:dyDescent="0.2">
      <c r="A185" s="3"/>
      <c r="B185" s="59"/>
      <c r="C185" s="121"/>
      <c r="D185" s="3" t="s">
        <v>488</v>
      </c>
      <c r="E185" s="104" t="s">
        <v>489</v>
      </c>
      <c r="F185" s="3" t="s">
        <v>78</v>
      </c>
      <c r="G185" s="3" t="s">
        <v>25</v>
      </c>
      <c r="H185" s="60">
        <v>13872</v>
      </c>
      <c r="I185" s="3" t="s">
        <v>81</v>
      </c>
      <c r="J185" s="60">
        <v>138500</v>
      </c>
      <c r="K185" s="3" t="s">
        <v>371</v>
      </c>
      <c r="L185" s="66">
        <f t="shared" si="14"/>
        <v>1921.2719999999999</v>
      </c>
      <c r="M185" s="106">
        <v>159</v>
      </c>
      <c r="N185" s="106">
        <v>0.01</v>
      </c>
      <c r="O185" s="114">
        <v>0</v>
      </c>
      <c r="P185" s="3"/>
      <c r="Q185" s="197"/>
      <c r="R185" s="197"/>
      <c r="S185" s="197"/>
      <c r="T185" s="197"/>
      <c r="U185" s="197"/>
      <c r="V185" s="197"/>
      <c r="W185" s="3"/>
      <c r="X185" s="3"/>
      <c r="Y185" s="3"/>
      <c r="Z185" s="3"/>
      <c r="AA185" s="3"/>
      <c r="AB185" s="3"/>
      <c r="AC185" s="3"/>
      <c r="AD185" s="3"/>
      <c r="AE185" s="3"/>
      <c r="AF185" s="3"/>
      <c r="AG185" s="3"/>
      <c r="AH185" s="3"/>
      <c r="AI185" s="3"/>
    </row>
    <row r="186" spans="1:35" ht="12.75" x14ac:dyDescent="0.2">
      <c r="A186" s="3"/>
      <c r="B186" s="59"/>
      <c r="C186" s="121"/>
      <c r="D186" s="3" t="s">
        <v>491</v>
      </c>
      <c r="E186" s="104" t="s">
        <v>258</v>
      </c>
      <c r="F186" s="3" t="s">
        <v>78</v>
      </c>
      <c r="G186" s="3" t="s">
        <v>25</v>
      </c>
      <c r="H186" s="60">
        <v>13920</v>
      </c>
      <c r="I186" s="3" t="s">
        <v>81</v>
      </c>
      <c r="J186" s="60">
        <v>138500</v>
      </c>
      <c r="K186" s="3" t="s">
        <v>371</v>
      </c>
      <c r="L186" s="66">
        <f t="shared" si="14"/>
        <v>1927.92</v>
      </c>
      <c r="M186" s="106">
        <v>159</v>
      </c>
      <c r="N186" s="106">
        <v>0.01</v>
      </c>
      <c r="O186" s="114">
        <v>0</v>
      </c>
      <c r="P186" s="3"/>
      <c r="Q186" s="197"/>
      <c r="R186" s="197"/>
      <c r="S186" s="197"/>
      <c r="T186" s="197"/>
      <c r="U186" s="197"/>
      <c r="V186" s="197"/>
      <c r="W186" s="3"/>
      <c r="X186" s="3"/>
      <c r="Y186" s="3"/>
      <c r="Z186" s="3"/>
      <c r="AA186" s="3"/>
      <c r="AB186" s="3"/>
      <c r="AC186" s="3"/>
      <c r="AD186" s="3"/>
      <c r="AE186" s="3"/>
      <c r="AF186" s="3"/>
      <c r="AG186" s="3"/>
      <c r="AH186" s="3"/>
      <c r="AI186" s="3"/>
    </row>
    <row r="187" spans="1:35" ht="12.75" x14ac:dyDescent="0.2">
      <c r="A187" s="3"/>
      <c r="B187" s="59"/>
      <c r="C187" s="121"/>
      <c r="D187" s="3" t="s">
        <v>492</v>
      </c>
      <c r="E187" s="104" t="s">
        <v>493</v>
      </c>
      <c r="F187" s="3" t="s">
        <v>78</v>
      </c>
      <c r="G187" s="3" t="s">
        <v>25</v>
      </c>
      <c r="H187" s="60">
        <v>16944</v>
      </c>
      <c r="I187" s="3" t="s">
        <v>81</v>
      </c>
      <c r="J187" s="60">
        <v>138500</v>
      </c>
      <c r="K187" s="3" t="s">
        <v>371</v>
      </c>
      <c r="L187" s="66">
        <f t="shared" si="14"/>
        <v>2346.7440000000001</v>
      </c>
      <c r="M187" s="106">
        <v>194</v>
      </c>
      <c r="N187" s="106">
        <v>0.01</v>
      </c>
      <c r="O187" s="114">
        <v>0</v>
      </c>
      <c r="P187" s="3"/>
      <c r="Q187" s="197"/>
      <c r="R187" s="197"/>
      <c r="S187" s="197"/>
      <c r="T187" s="197"/>
      <c r="U187" s="197"/>
      <c r="V187" s="197"/>
      <c r="W187" s="3"/>
      <c r="X187" s="3"/>
      <c r="Y187" s="3"/>
      <c r="Z187" s="3"/>
      <c r="AA187" s="3"/>
      <c r="AB187" s="3"/>
      <c r="AC187" s="3"/>
      <c r="AD187" s="3"/>
      <c r="AE187" s="3"/>
      <c r="AF187" s="3"/>
      <c r="AG187" s="3"/>
      <c r="AH187" s="3"/>
      <c r="AI187" s="3"/>
    </row>
    <row r="188" spans="1:35" ht="12.75" x14ac:dyDescent="0.2">
      <c r="A188" s="3"/>
      <c r="B188" s="59"/>
      <c r="C188" s="121"/>
      <c r="D188" s="3" t="s">
        <v>494</v>
      </c>
      <c r="E188" s="104" t="s">
        <v>495</v>
      </c>
      <c r="F188" s="3" t="s">
        <v>78</v>
      </c>
      <c r="G188" s="3" t="s">
        <v>25</v>
      </c>
      <c r="H188" s="60">
        <v>39312</v>
      </c>
      <c r="I188" s="3" t="s">
        <v>81</v>
      </c>
      <c r="J188" s="60">
        <v>138300</v>
      </c>
      <c r="K188" s="3" t="s">
        <v>371</v>
      </c>
      <c r="L188" s="66">
        <f t="shared" si="14"/>
        <v>5436.8495999999996</v>
      </c>
      <c r="M188" s="106">
        <v>449</v>
      </c>
      <c r="N188" s="106">
        <v>0.02</v>
      </c>
      <c r="O188" s="114">
        <v>0</v>
      </c>
      <c r="P188" s="3"/>
      <c r="Q188" s="197"/>
      <c r="R188" s="197"/>
      <c r="S188" s="197"/>
      <c r="T188" s="197"/>
      <c r="U188" s="197"/>
      <c r="V188" s="197"/>
      <c r="W188" s="3"/>
      <c r="X188" s="3"/>
      <c r="Y188" s="3"/>
      <c r="Z188" s="3"/>
      <c r="AA188" s="3"/>
      <c r="AB188" s="3"/>
      <c r="AC188" s="3"/>
      <c r="AD188" s="3"/>
      <c r="AE188" s="3"/>
      <c r="AF188" s="3"/>
      <c r="AG188" s="3"/>
      <c r="AH188" s="3"/>
      <c r="AI188" s="3"/>
    </row>
    <row r="189" spans="1:35" ht="12.75" x14ac:dyDescent="0.2">
      <c r="A189" s="3"/>
      <c r="B189" s="59"/>
      <c r="C189" s="3"/>
      <c r="D189" s="3" t="s">
        <v>496</v>
      </c>
      <c r="E189" s="104" t="s">
        <v>497</v>
      </c>
      <c r="F189" s="3" t="s">
        <v>78</v>
      </c>
      <c r="G189" s="3" t="s">
        <v>25</v>
      </c>
      <c r="H189" s="60">
        <v>10584</v>
      </c>
      <c r="I189" s="3" t="s">
        <v>81</v>
      </c>
      <c r="J189" s="60">
        <v>138100</v>
      </c>
      <c r="K189" s="3" t="s">
        <v>371</v>
      </c>
      <c r="L189" s="66">
        <f t="shared" si="14"/>
        <v>1461.6504</v>
      </c>
      <c r="M189" s="106">
        <v>121</v>
      </c>
      <c r="N189" s="106">
        <v>0.01</v>
      </c>
      <c r="O189" s="114">
        <v>0</v>
      </c>
      <c r="P189" s="3"/>
      <c r="Q189" s="197"/>
      <c r="R189" s="197"/>
      <c r="S189" s="197"/>
      <c r="T189" s="197"/>
      <c r="U189" s="197"/>
      <c r="V189" s="197"/>
      <c r="W189" s="3"/>
      <c r="X189" s="3"/>
      <c r="Y189" s="3"/>
      <c r="Z189" s="3"/>
      <c r="AA189" s="3"/>
      <c r="AB189" s="3"/>
      <c r="AC189" s="3"/>
      <c r="AD189" s="3"/>
      <c r="AE189" s="3"/>
      <c r="AF189" s="3"/>
      <c r="AG189" s="3"/>
      <c r="AH189" s="3"/>
      <c r="AI189" s="3"/>
    </row>
    <row r="190" spans="1:35" ht="12.75" x14ac:dyDescent="0.2">
      <c r="A190" s="3"/>
      <c r="B190" s="59"/>
      <c r="C190" s="3"/>
      <c r="D190" s="3" t="s">
        <v>498</v>
      </c>
      <c r="E190" s="104" t="s">
        <v>499</v>
      </c>
      <c r="F190" s="3" t="s">
        <v>78</v>
      </c>
      <c r="G190" s="3" t="s">
        <v>25</v>
      </c>
      <c r="H190" s="106">
        <v>314</v>
      </c>
      <c r="I190" s="3" t="s">
        <v>81</v>
      </c>
      <c r="J190" s="60">
        <v>139800</v>
      </c>
      <c r="K190" s="3" t="s">
        <v>371</v>
      </c>
      <c r="L190" s="66">
        <f t="shared" si="14"/>
        <v>43.897199999999998</v>
      </c>
      <c r="M190" s="106">
        <v>4</v>
      </c>
      <c r="N190" s="106">
        <v>0</v>
      </c>
      <c r="O190" s="114">
        <v>0</v>
      </c>
      <c r="P190" s="3"/>
      <c r="Q190" s="197"/>
      <c r="R190" s="197"/>
      <c r="S190" s="197"/>
      <c r="T190" s="197"/>
      <c r="U190" s="197"/>
      <c r="V190" s="197"/>
      <c r="W190" s="3"/>
      <c r="X190" s="3"/>
      <c r="Y190" s="3"/>
      <c r="Z190" s="3"/>
      <c r="AA190" s="3"/>
      <c r="AB190" s="3"/>
      <c r="AC190" s="3"/>
      <c r="AD190" s="3"/>
      <c r="AE190" s="3"/>
      <c r="AF190" s="3"/>
      <c r="AG190" s="3"/>
      <c r="AH190" s="3"/>
      <c r="AI190" s="3"/>
    </row>
    <row r="191" spans="1:35" ht="12.75" x14ac:dyDescent="0.2">
      <c r="A191" s="3"/>
      <c r="B191" s="59"/>
      <c r="C191" s="3"/>
      <c r="D191" s="3" t="s">
        <v>500</v>
      </c>
      <c r="E191" s="3"/>
      <c r="F191" s="3" t="s">
        <v>78</v>
      </c>
      <c r="G191" s="3" t="s">
        <v>25</v>
      </c>
      <c r="H191" s="60">
        <v>1695.02</v>
      </c>
      <c r="I191" s="3" t="s">
        <v>81</v>
      </c>
      <c r="J191" s="60">
        <v>139800</v>
      </c>
      <c r="K191" s="3" t="s">
        <v>371</v>
      </c>
      <c r="L191" s="66">
        <f t="shared" si="14"/>
        <v>236.963796</v>
      </c>
      <c r="M191" s="122">
        <f>19.44</f>
        <v>19.440000000000001</v>
      </c>
      <c r="N191" s="156">
        <f>0.00000000954213</f>
        <v>9.5421300000000004E-9</v>
      </c>
      <c r="O191" s="157">
        <f>0.000155828</f>
        <v>1.55828E-4</v>
      </c>
      <c r="P191" s="3"/>
      <c r="Q191" s="197"/>
      <c r="R191" s="197"/>
      <c r="S191" s="197"/>
      <c r="T191" s="197"/>
      <c r="U191" s="197"/>
      <c r="V191" s="197"/>
      <c r="W191" s="3"/>
      <c r="X191" s="3"/>
      <c r="Y191" s="3"/>
      <c r="Z191" s="3"/>
      <c r="AA191" s="3"/>
      <c r="AB191" s="3"/>
      <c r="AC191" s="3"/>
      <c r="AD191" s="3"/>
      <c r="AE191" s="3"/>
      <c r="AF191" s="3"/>
      <c r="AG191" s="3"/>
      <c r="AH191" s="3"/>
      <c r="AI191" s="3"/>
    </row>
    <row r="192" spans="1:35" ht="12.75" x14ac:dyDescent="0.2">
      <c r="A192" s="3"/>
      <c r="B192" s="98"/>
      <c r="C192" s="99"/>
      <c r="D192" s="99"/>
      <c r="E192" s="99"/>
      <c r="F192" s="100"/>
      <c r="G192" s="99"/>
      <c r="H192" s="124"/>
      <c r="I192" s="99"/>
      <c r="J192" s="124"/>
      <c r="K192" s="99"/>
      <c r="L192" s="124"/>
      <c r="M192" s="124"/>
      <c r="N192" s="124"/>
      <c r="O192" s="125"/>
      <c r="P192" s="3"/>
      <c r="Q192" s="197"/>
      <c r="R192" s="197"/>
      <c r="S192" s="197"/>
      <c r="T192" s="197"/>
      <c r="U192" s="197"/>
      <c r="V192" s="197"/>
      <c r="W192" s="3"/>
      <c r="X192" s="3"/>
      <c r="Y192" s="3"/>
      <c r="Z192" s="3"/>
      <c r="AA192" s="3"/>
      <c r="AB192" s="3"/>
      <c r="AC192" s="3"/>
      <c r="AD192" s="3"/>
      <c r="AE192" s="3"/>
      <c r="AF192" s="3"/>
      <c r="AG192" s="3"/>
      <c r="AH192" s="3"/>
      <c r="AI192" s="3"/>
    </row>
    <row r="193" spans="1:35" ht="12.75" x14ac:dyDescent="0.2">
      <c r="A193" s="3"/>
      <c r="B193" s="50"/>
      <c r="C193" s="52"/>
      <c r="D193" s="52"/>
      <c r="E193" s="52"/>
      <c r="F193" s="102"/>
      <c r="G193" s="52"/>
      <c r="H193" s="126"/>
      <c r="I193" s="52"/>
      <c r="J193" s="126"/>
      <c r="K193" s="52"/>
      <c r="L193" s="126"/>
      <c r="M193" s="126"/>
      <c r="N193" s="126"/>
      <c r="O193" s="127"/>
      <c r="P193" s="3"/>
      <c r="Q193" s="197"/>
      <c r="R193" s="197"/>
      <c r="S193" s="197"/>
      <c r="T193" s="197"/>
      <c r="U193" s="197"/>
      <c r="V193" s="197"/>
      <c r="W193" s="3"/>
      <c r="X193" s="3"/>
      <c r="Y193" s="3"/>
      <c r="Z193" s="3"/>
      <c r="AA193" s="3"/>
      <c r="AB193" s="3"/>
      <c r="AC193" s="3"/>
      <c r="AD193" s="3"/>
      <c r="AE193" s="3"/>
      <c r="AF193" s="3"/>
      <c r="AG193" s="3"/>
      <c r="AH193" s="3"/>
      <c r="AI193" s="3"/>
    </row>
    <row r="194" spans="1:35" ht="12.75" x14ac:dyDescent="0.2">
      <c r="A194" s="3"/>
      <c r="B194" s="59" t="s">
        <v>502</v>
      </c>
      <c r="C194" s="3" t="s">
        <v>503</v>
      </c>
      <c r="D194" s="3" t="s">
        <v>504</v>
      </c>
      <c r="E194" s="104" t="s">
        <v>505</v>
      </c>
      <c r="F194" s="3" t="s">
        <v>238</v>
      </c>
      <c r="G194" s="3" t="s">
        <v>309</v>
      </c>
      <c r="H194" s="138"/>
      <c r="I194" s="3" t="s">
        <v>81</v>
      </c>
      <c r="J194" s="129"/>
      <c r="K194" s="3" t="s">
        <v>371</v>
      </c>
      <c r="L194" s="70">
        <v>338.23701731025307</v>
      </c>
      <c r="M194" s="106">
        <v>28</v>
      </c>
      <c r="N194" s="106">
        <v>1.6000000000000001E-3</v>
      </c>
      <c r="O194" s="114">
        <v>1.2999999999999999E-3</v>
      </c>
      <c r="P194" s="3"/>
      <c r="Q194" s="3"/>
      <c r="R194" s="3"/>
      <c r="S194" s="3"/>
      <c r="T194" s="3"/>
      <c r="U194" s="3"/>
      <c r="V194" s="3"/>
      <c r="W194" s="3"/>
      <c r="X194" s="3"/>
      <c r="Y194" s="3"/>
      <c r="Z194" s="3"/>
      <c r="AA194" s="3"/>
      <c r="AB194" s="3"/>
      <c r="AC194" s="3"/>
      <c r="AD194" s="3"/>
      <c r="AE194" s="3"/>
      <c r="AF194" s="3"/>
      <c r="AG194" s="3"/>
      <c r="AH194" s="3"/>
      <c r="AI194" s="3"/>
    </row>
    <row r="195" spans="1:35" ht="12.75" x14ac:dyDescent="0.2">
      <c r="A195" s="3"/>
      <c r="B195" s="59"/>
      <c r="C195" s="121"/>
      <c r="D195" s="3" t="s">
        <v>506</v>
      </c>
      <c r="E195" s="104" t="s">
        <v>507</v>
      </c>
      <c r="F195" s="3" t="s">
        <v>238</v>
      </c>
      <c r="G195" s="3" t="s">
        <v>309</v>
      </c>
      <c r="H195" s="138"/>
      <c r="I195" s="3" t="s">
        <v>81</v>
      </c>
      <c r="J195" s="129"/>
      <c r="K195" s="3" t="s">
        <v>371</v>
      </c>
      <c r="L195" s="70">
        <v>326.15712383488687</v>
      </c>
      <c r="M195" s="106">
        <v>27</v>
      </c>
      <c r="N195" s="106">
        <v>1.6000000000000001E-3</v>
      </c>
      <c r="O195" s="114">
        <v>1.2999999999999999E-3</v>
      </c>
      <c r="P195" s="3"/>
      <c r="Q195" s="3"/>
      <c r="R195" s="3"/>
      <c r="S195" s="3"/>
      <c r="T195" s="3"/>
      <c r="U195" s="3"/>
      <c r="V195" s="3"/>
      <c r="W195" s="3"/>
      <c r="X195" s="3"/>
      <c r="Y195" s="3"/>
      <c r="Z195" s="3"/>
      <c r="AA195" s="3"/>
      <c r="AB195" s="3"/>
      <c r="AC195" s="3"/>
      <c r="AD195" s="3"/>
      <c r="AE195" s="3"/>
      <c r="AF195" s="3"/>
      <c r="AG195" s="3"/>
      <c r="AH195" s="3"/>
      <c r="AI195" s="3"/>
    </row>
    <row r="196" spans="1:35" ht="12.75" x14ac:dyDescent="0.2">
      <c r="A196" s="3"/>
      <c r="B196" s="59"/>
      <c r="C196" s="121"/>
      <c r="D196" s="3" t="s">
        <v>508</v>
      </c>
      <c r="E196" s="104" t="s">
        <v>509</v>
      </c>
      <c r="F196" s="3" t="s">
        <v>238</v>
      </c>
      <c r="G196" s="3" t="s">
        <v>309</v>
      </c>
      <c r="H196" s="138"/>
      <c r="I196" s="3" t="s">
        <v>81</v>
      </c>
      <c r="J196" s="129"/>
      <c r="K196" s="3" t="s">
        <v>371</v>
      </c>
      <c r="L196" s="70">
        <v>338.23701731025307</v>
      </c>
      <c r="M196" s="106">
        <v>28</v>
      </c>
      <c r="N196" s="106">
        <v>1.6000000000000001E-3</v>
      </c>
      <c r="O196" s="114">
        <v>1.1999999999999999E-3</v>
      </c>
      <c r="P196" s="3"/>
      <c r="Q196" s="3"/>
      <c r="R196" s="3"/>
      <c r="S196" s="3"/>
      <c r="T196" s="3"/>
      <c r="U196" s="197"/>
      <c r="V196" s="3"/>
      <c r="W196" s="3"/>
      <c r="X196" s="3"/>
      <c r="Y196" s="3"/>
      <c r="Z196" s="3"/>
      <c r="AA196" s="3"/>
      <c r="AB196" s="3"/>
      <c r="AC196" s="3"/>
      <c r="AD196" s="3"/>
      <c r="AE196" s="3"/>
      <c r="AF196" s="3"/>
      <c r="AG196" s="3"/>
      <c r="AH196" s="3"/>
      <c r="AI196" s="3"/>
    </row>
    <row r="197" spans="1:35" ht="12.75" x14ac:dyDescent="0.2">
      <c r="A197" s="3"/>
      <c r="B197" s="59"/>
      <c r="C197" s="121"/>
      <c r="D197" s="3" t="s">
        <v>510</v>
      </c>
      <c r="E197" s="104" t="s">
        <v>511</v>
      </c>
      <c r="F197" s="3" t="s">
        <v>238</v>
      </c>
      <c r="G197" s="3" t="s">
        <v>309</v>
      </c>
      <c r="H197" s="138"/>
      <c r="I197" s="3" t="s">
        <v>81</v>
      </c>
      <c r="J197" s="129"/>
      <c r="K197" s="3" t="s">
        <v>371</v>
      </c>
      <c r="L197" s="70">
        <v>326.15712383488687</v>
      </c>
      <c r="M197" s="106">
        <v>27</v>
      </c>
      <c r="N197" s="106">
        <v>1.6000000000000001E-3</v>
      </c>
      <c r="O197" s="114">
        <v>1.1999999999999999E-3</v>
      </c>
      <c r="P197" s="3"/>
      <c r="Q197" s="3"/>
      <c r="R197" s="3"/>
      <c r="S197" s="3"/>
      <c r="T197" s="3"/>
      <c r="U197" s="197"/>
      <c r="V197" s="3"/>
      <c r="W197" s="3"/>
      <c r="X197" s="3"/>
      <c r="Y197" s="3"/>
      <c r="Z197" s="3"/>
      <c r="AA197" s="3"/>
      <c r="AB197" s="3"/>
      <c r="AC197" s="3"/>
      <c r="AD197" s="3"/>
      <c r="AE197" s="3"/>
      <c r="AF197" s="3"/>
      <c r="AG197" s="3"/>
      <c r="AH197" s="3"/>
      <c r="AI197" s="3"/>
    </row>
    <row r="198" spans="1:35" ht="12.75" x14ac:dyDescent="0.2">
      <c r="A198" s="3"/>
      <c r="B198" s="59"/>
      <c r="C198" s="121"/>
      <c r="D198" s="3" t="s">
        <v>512</v>
      </c>
      <c r="E198" s="104" t="s">
        <v>513</v>
      </c>
      <c r="F198" s="3" t="s">
        <v>238</v>
      </c>
      <c r="G198" s="3" t="s">
        <v>309</v>
      </c>
      <c r="H198" s="138"/>
      <c r="I198" s="3" t="s">
        <v>81</v>
      </c>
      <c r="J198" s="129"/>
      <c r="K198" s="3" t="s">
        <v>371</v>
      </c>
      <c r="L198" s="70">
        <v>338.23701731025307</v>
      </c>
      <c r="M198" s="106">
        <v>28</v>
      </c>
      <c r="N198" s="106">
        <v>1.6000000000000001E-3</v>
      </c>
      <c r="O198" s="114">
        <v>1.1999999999999999E-3</v>
      </c>
      <c r="P198" s="3"/>
      <c r="Q198" s="3"/>
      <c r="R198" s="3"/>
      <c r="S198" s="3"/>
      <c r="T198" s="3"/>
      <c r="U198" s="3"/>
      <c r="V198" s="3"/>
      <c r="W198" s="3"/>
      <c r="X198" s="3"/>
      <c r="Y198" s="3"/>
      <c r="Z198" s="3"/>
      <c r="AA198" s="3"/>
      <c r="AB198" s="3"/>
      <c r="AC198" s="3"/>
      <c r="AD198" s="3"/>
      <c r="AE198" s="3"/>
      <c r="AF198" s="3"/>
      <c r="AG198" s="3"/>
      <c r="AH198" s="3"/>
      <c r="AI198" s="3"/>
    </row>
    <row r="199" spans="1:35" ht="12.75" x14ac:dyDescent="0.2">
      <c r="A199" s="3"/>
      <c r="B199" s="98"/>
      <c r="C199" s="99"/>
      <c r="D199" s="99"/>
      <c r="E199" s="99"/>
      <c r="F199" s="100"/>
      <c r="G199" s="99"/>
      <c r="H199" s="124"/>
      <c r="I199" s="99"/>
      <c r="J199" s="124"/>
      <c r="K199" s="99"/>
      <c r="L199" s="124"/>
      <c r="M199" s="124"/>
      <c r="N199" s="124"/>
      <c r="O199" s="125"/>
      <c r="P199" s="3"/>
      <c r="Q199" s="2"/>
      <c r="R199" s="2"/>
      <c r="S199" s="2"/>
      <c r="T199" s="2"/>
      <c r="U199" s="2"/>
      <c r="V199" s="3"/>
      <c r="W199" s="3"/>
      <c r="X199" s="3"/>
      <c r="Y199" s="3"/>
      <c r="Z199" s="3"/>
      <c r="AA199" s="3"/>
      <c r="AB199" s="3"/>
      <c r="AC199" s="3"/>
      <c r="AD199" s="3"/>
      <c r="AE199" s="3"/>
      <c r="AF199" s="3"/>
      <c r="AG199" s="3"/>
      <c r="AH199" s="3"/>
      <c r="AI199" s="3"/>
    </row>
    <row r="200" spans="1:35" ht="12.75" x14ac:dyDescent="0.2">
      <c r="A200" s="3"/>
      <c r="B200" s="50"/>
      <c r="C200" s="52"/>
      <c r="D200" s="52"/>
      <c r="E200" s="52"/>
      <c r="F200" s="102"/>
      <c r="G200" s="52"/>
      <c r="H200" s="126"/>
      <c r="I200" s="52"/>
      <c r="J200" s="126"/>
      <c r="K200" s="52"/>
      <c r="L200" s="126"/>
      <c r="M200" s="126"/>
      <c r="N200" s="126"/>
      <c r="O200" s="127"/>
      <c r="P200" s="3"/>
      <c r="Q200" s="2"/>
      <c r="R200" s="2"/>
      <c r="S200" s="2"/>
      <c r="T200" s="2"/>
      <c r="U200" s="2"/>
      <c r="V200" s="3"/>
      <c r="W200" s="3"/>
      <c r="X200" s="3"/>
      <c r="Y200" s="3"/>
      <c r="Z200" s="3"/>
      <c r="AA200" s="3"/>
      <c r="AB200" s="3"/>
      <c r="AC200" s="3"/>
      <c r="AD200" s="3"/>
      <c r="AE200" s="3"/>
      <c r="AF200" s="3"/>
      <c r="AG200" s="3"/>
      <c r="AH200" s="3"/>
      <c r="AI200" s="3"/>
    </row>
    <row r="201" spans="1:35" ht="12.75" x14ac:dyDescent="0.2">
      <c r="A201" s="3"/>
      <c r="B201" s="59" t="s">
        <v>514</v>
      </c>
      <c r="C201" s="3" t="s">
        <v>515</v>
      </c>
      <c r="D201" s="3" t="s">
        <v>516</v>
      </c>
      <c r="E201" s="104" t="s">
        <v>517</v>
      </c>
      <c r="F201" s="3" t="s">
        <v>29</v>
      </c>
      <c r="G201" s="3" t="s">
        <v>162</v>
      </c>
      <c r="H201" s="60">
        <v>13728.4</v>
      </c>
      <c r="I201" s="3" t="s">
        <v>99</v>
      </c>
      <c r="J201" s="106">
        <v>1056</v>
      </c>
      <c r="K201" s="3" t="s">
        <v>518</v>
      </c>
      <c r="L201" s="60">
        <v>14443482</v>
      </c>
      <c r="M201" s="66">
        <f>(L201/L203)*M203</f>
        <v>858364.41852989967</v>
      </c>
      <c r="N201" s="70">
        <f>L201/L203*N203</f>
        <v>15.921234065964585</v>
      </c>
      <c r="O201" s="74">
        <f>L201/L203*O203</f>
        <v>1.5921520596029302</v>
      </c>
      <c r="P201" s="175"/>
      <c r="Q201" s="2"/>
      <c r="R201" s="2"/>
      <c r="S201" s="2"/>
      <c r="T201" s="2"/>
      <c r="U201" s="2"/>
      <c r="V201" s="3"/>
      <c r="W201" s="3"/>
      <c r="X201" s="3"/>
      <c r="Y201" s="3"/>
      <c r="Z201" s="3"/>
      <c r="AA201" s="3"/>
      <c r="AB201" s="3"/>
      <c r="AC201" s="3"/>
      <c r="AD201" s="3"/>
      <c r="AE201" s="3"/>
      <c r="AF201" s="3"/>
      <c r="AG201" s="3"/>
      <c r="AH201" s="3"/>
      <c r="AI201" s="3"/>
    </row>
    <row r="202" spans="1:35" ht="12.75" x14ac:dyDescent="0.2">
      <c r="A202" s="3"/>
      <c r="B202" s="59"/>
      <c r="C202" s="121"/>
      <c r="D202" s="3" t="s">
        <v>519</v>
      </c>
      <c r="E202" s="104" t="s">
        <v>517</v>
      </c>
      <c r="F202" s="3" t="s">
        <v>29</v>
      </c>
      <c r="G202" s="3" t="s">
        <v>162</v>
      </c>
      <c r="H202" s="60">
        <v>645.4</v>
      </c>
      <c r="I202" s="3"/>
      <c r="J202" s="106">
        <v>1056</v>
      </c>
      <c r="K202" s="3" t="s">
        <v>518</v>
      </c>
      <c r="L202" s="60">
        <v>678996</v>
      </c>
      <c r="M202" s="66">
        <f>(L202/L203)*M203</f>
        <v>40352.181470100331</v>
      </c>
      <c r="N202" s="70">
        <f>L202/L203*N203</f>
        <v>0.74846593403541395</v>
      </c>
      <c r="O202" s="74">
        <f>L202/L203*O203</f>
        <v>7.4847940397069837E-2</v>
      </c>
      <c r="P202" s="203"/>
      <c r="Q202" s="3"/>
      <c r="R202" s="3"/>
      <c r="S202" s="3"/>
      <c r="T202" s="3"/>
      <c r="U202" s="3"/>
      <c r="V202" s="3"/>
      <c r="W202" s="3"/>
      <c r="X202" s="3"/>
      <c r="Y202" s="3"/>
      <c r="Z202" s="3"/>
      <c r="AA202" s="3"/>
      <c r="AB202" s="3"/>
      <c r="AC202" s="3"/>
      <c r="AD202" s="3"/>
      <c r="AE202" s="3"/>
      <c r="AF202" s="3"/>
      <c r="AG202" s="3"/>
      <c r="AH202" s="3"/>
      <c r="AI202" s="3"/>
    </row>
    <row r="203" spans="1:35" ht="12.75" x14ac:dyDescent="0.2">
      <c r="A203" s="3"/>
      <c r="B203" s="59"/>
      <c r="C203" s="121"/>
      <c r="D203" s="3" t="s">
        <v>520</v>
      </c>
      <c r="E203" s="104" t="s">
        <v>517</v>
      </c>
      <c r="F203" s="80" t="s">
        <v>85</v>
      </c>
      <c r="G203" s="3"/>
      <c r="H203" s="129"/>
      <c r="I203" s="3"/>
      <c r="J203" s="116"/>
      <c r="K203" s="3"/>
      <c r="L203" s="66">
        <f>L201+L202</f>
        <v>15122478</v>
      </c>
      <c r="M203" s="60">
        <v>898716.6</v>
      </c>
      <c r="N203" s="156">
        <v>16.669699999999999</v>
      </c>
      <c r="O203" s="157">
        <v>1.667</v>
      </c>
      <c r="P203" s="3"/>
      <c r="Q203" s="3"/>
      <c r="R203" s="3"/>
      <c r="S203" s="3"/>
      <c r="T203" s="3"/>
      <c r="U203" s="3"/>
      <c r="V203" s="3"/>
      <c r="W203" s="3"/>
      <c r="X203" s="3"/>
      <c r="Y203" s="3"/>
      <c r="Z203" s="3"/>
      <c r="AA203" s="3"/>
      <c r="AB203" s="3"/>
      <c r="AC203" s="3"/>
      <c r="AD203" s="3"/>
      <c r="AE203" s="3"/>
      <c r="AF203" s="3"/>
      <c r="AG203" s="3"/>
      <c r="AH203" s="3"/>
      <c r="AI203" s="3"/>
    </row>
    <row r="204" spans="1:35" ht="12.75" x14ac:dyDescent="0.2">
      <c r="A204" s="3"/>
      <c r="B204" s="59"/>
      <c r="C204" s="121"/>
      <c r="D204" s="3"/>
      <c r="E204" s="121"/>
      <c r="F204" s="2"/>
      <c r="G204" s="3"/>
      <c r="H204" s="129"/>
      <c r="I204" s="3"/>
      <c r="J204" s="116"/>
      <c r="K204" s="3"/>
      <c r="L204" s="129"/>
      <c r="M204" s="129"/>
      <c r="N204" s="116"/>
      <c r="O204" s="119"/>
      <c r="P204" s="3"/>
      <c r="Q204" s="3"/>
      <c r="R204" s="3"/>
      <c r="S204" s="3"/>
      <c r="T204" s="3"/>
      <c r="U204" s="3"/>
      <c r="V204" s="3"/>
      <c r="W204" s="3"/>
      <c r="X204" s="3"/>
      <c r="Y204" s="3"/>
      <c r="Z204" s="3"/>
      <c r="AA204" s="3"/>
      <c r="AB204" s="3"/>
      <c r="AC204" s="3"/>
      <c r="AD204" s="3"/>
      <c r="AE204" s="3"/>
      <c r="AF204" s="3"/>
      <c r="AG204" s="3"/>
      <c r="AH204" s="3"/>
      <c r="AI204" s="3"/>
    </row>
    <row r="205" spans="1:35" ht="12.75" x14ac:dyDescent="0.2">
      <c r="A205" s="3"/>
      <c r="B205" s="59"/>
      <c r="C205" s="121"/>
      <c r="D205" s="3" t="s">
        <v>521</v>
      </c>
      <c r="E205" s="104" t="s">
        <v>522</v>
      </c>
      <c r="F205" s="3" t="s">
        <v>29</v>
      </c>
      <c r="G205" s="3" t="s">
        <v>162</v>
      </c>
      <c r="H205" s="60">
        <v>13264.9</v>
      </c>
      <c r="I205" s="3" t="s">
        <v>99</v>
      </c>
      <c r="J205" s="106">
        <v>1056</v>
      </c>
      <c r="K205" s="3" t="s">
        <v>518</v>
      </c>
      <c r="L205" s="60">
        <v>13955872</v>
      </c>
      <c r="M205" s="66">
        <f>L205/L207*M207</f>
        <v>829385.22801847465</v>
      </c>
      <c r="N205" s="70">
        <f>L205/L207*N207</f>
        <v>15.383736522538491</v>
      </c>
      <c r="O205" s="74">
        <f>L205/L207*O207</f>
        <v>1.5383354161159977</v>
      </c>
      <c r="P205" s="3"/>
      <c r="Q205" s="3"/>
      <c r="R205" s="3"/>
      <c r="S205" s="3"/>
      <c r="T205" s="3"/>
      <c r="U205" s="3"/>
      <c r="V205" s="3"/>
      <c r="W205" s="3"/>
      <c r="X205" s="3"/>
      <c r="Y205" s="3"/>
      <c r="Z205" s="3"/>
      <c r="AA205" s="3"/>
      <c r="AB205" s="3"/>
      <c r="AC205" s="3"/>
      <c r="AD205" s="3"/>
      <c r="AE205" s="3"/>
      <c r="AF205" s="3"/>
      <c r="AG205" s="3"/>
      <c r="AH205" s="3"/>
      <c r="AI205" s="3"/>
    </row>
    <row r="206" spans="1:35" ht="12.75" x14ac:dyDescent="0.2">
      <c r="A206" s="3"/>
      <c r="B206" s="59"/>
      <c r="C206" s="121"/>
      <c r="D206" s="3" t="s">
        <v>523</v>
      </c>
      <c r="E206" s="104" t="s">
        <v>522</v>
      </c>
      <c r="F206" s="3" t="s">
        <v>29</v>
      </c>
      <c r="G206" s="3" t="s">
        <v>162</v>
      </c>
      <c r="H206" s="60">
        <v>611.9</v>
      </c>
      <c r="I206" s="3"/>
      <c r="J206" s="106">
        <v>1056</v>
      </c>
      <c r="K206" s="3" t="s">
        <v>518</v>
      </c>
      <c r="L206" s="60">
        <v>643795</v>
      </c>
      <c r="M206" s="66">
        <f>(L206/L207)*M207</f>
        <v>38260.171981525331</v>
      </c>
      <c r="N206" s="70">
        <f>L206/L207*N207</f>
        <v>0.70966347746150649</v>
      </c>
      <c r="O206" s="74">
        <f>L206/L207*O207</f>
        <v>7.0964583884002286E-2</v>
      </c>
      <c r="P206" s="3"/>
      <c r="Q206" s="3"/>
      <c r="R206" s="3"/>
      <c r="S206" s="3"/>
      <c r="T206" s="3"/>
      <c r="U206" s="3"/>
      <c r="V206" s="3"/>
      <c r="W206" s="3"/>
      <c r="X206" s="3"/>
      <c r="Y206" s="3"/>
      <c r="Z206" s="3"/>
      <c r="AA206" s="3"/>
      <c r="AB206" s="3"/>
      <c r="AC206" s="3"/>
      <c r="AD206" s="3"/>
      <c r="AE206" s="3"/>
      <c r="AF206" s="3"/>
      <c r="AG206" s="3"/>
      <c r="AH206" s="3"/>
      <c r="AI206" s="3"/>
    </row>
    <row r="207" spans="1:35" ht="12.75" x14ac:dyDescent="0.2">
      <c r="A207" s="3"/>
      <c r="B207" s="59"/>
      <c r="C207" s="121"/>
      <c r="D207" s="3" t="s">
        <v>524</v>
      </c>
      <c r="E207" s="104" t="s">
        <v>522</v>
      </c>
      <c r="F207" s="80" t="s">
        <v>85</v>
      </c>
      <c r="G207" s="3"/>
      <c r="H207" s="129"/>
      <c r="I207" s="3"/>
      <c r="J207" s="116"/>
      <c r="K207" s="3"/>
      <c r="L207" s="66">
        <f>SUM(L205:L206)</f>
        <v>14599667</v>
      </c>
      <c r="M207" s="60">
        <v>867645.4</v>
      </c>
      <c r="N207" s="156">
        <v>16.093399999999999</v>
      </c>
      <c r="O207" s="157">
        <v>1.6093</v>
      </c>
      <c r="P207" s="3"/>
      <c r="Q207" s="3"/>
      <c r="R207" s="3"/>
      <c r="S207" s="3"/>
      <c r="T207" s="3"/>
      <c r="U207" s="3"/>
      <c r="V207" s="3"/>
      <c r="W207" s="3"/>
      <c r="X207" s="3"/>
      <c r="Y207" s="3"/>
      <c r="Z207" s="3"/>
      <c r="AA207" s="3"/>
      <c r="AB207" s="3"/>
      <c r="AC207" s="3"/>
      <c r="AD207" s="3"/>
      <c r="AE207" s="3"/>
      <c r="AF207" s="3"/>
      <c r="AG207" s="3"/>
      <c r="AH207" s="3"/>
      <c r="AI207" s="3"/>
    </row>
    <row r="208" spans="1:35" ht="12.75" x14ac:dyDescent="0.2">
      <c r="A208" s="3"/>
      <c r="B208" s="59"/>
      <c r="C208" s="121"/>
      <c r="D208" s="3"/>
      <c r="E208" s="121"/>
      <c r="F208" s="2"/>
      <c r="G208" s="3"/>
      <c r="H208" s="129"/>
      <c r="I208" s="3"/>
      <c r="J208" s="116"/>
      <c r="K208" s="3"/>
      <c r="L208" s="129"/>
      <c r="M208" s="138"/>
      <c r="N208" s="130"/>
      <c r="O208" s="132"/>
      <c r="P208" s="3"/>
      <c r="Q208" s="3"/>
      <c r="R208" s="3"/>
      <c r="S208" s="3"/>
      <c r="T208" s="3"/>
      <c r="U208" s="3"/>
      <c r="V208" s="3"/>
      <c r="W208" s="3"/>
      <c r="X208" s="3"/>
      <c r="Y208" s="3"/>
      <c r="Z208" s="3"/>
      <c r="AA208" s="3"/>
      <c r="AB208" s="3"/>
      <c r="AC208" s="3"/>
      <c r="AD208" s="3"/>
      <c r="AE208" s="3"/>
      <c r="AF208" s="3"/>
      <c r="AG208" s="3"/>
      <c r="AH208" s="3"/>
      <c r="AI208" s="3"/>
    </row>
    <row r="209" spans="1:35" ht="12.75" x14ac:dyDescent="0.2">
      <c r="A209" s="3"/>
      <c r="B209" s="59"/>
      <c r="C209" s="121"/>
      <c r="D209" s="3" t="s">
        <v>525</v>
      </c>
      <c r="E209" s="104" t="s">
        <v>526</v>
      </c>
      <c r="F209" s="3" t="s">
        <v>29</v>
      </c>
      <c r="G209" s="3" t="s">
        <v>162</v>
      </c>
      <c r="H209" s="60">
        <v>3.1989999999999998</v>
      </c>
      <c r="I209" s="3" t="s">
        <v>99</v>
      </c>
      <c r="J209" s="106">
        <v>1056</v>
      </c>
      <c r="K209" s="3" t="s">
        <v>518</v>
      </c>
      <c r="L209" s="60">
        <v>3378</v>
      </c>
      <c r="M209" s="60">
        <v>200.31</v>
      </c>
      <c r="N209" s="156">
        <v>5.4000000000000003E-3</v>
      </c>
      <c r="O209" s="177">
        <v>5.0000000000000001E-4</v>
      </c>
      <c r="P209" s="3"/>
      <c r="Q209" s="3"/>
      <c r="R209" s="3"/>
      <c r="S209" s="3"/>
      <c r="T209" s="3"/>
      <c r="U209" s="3"/>
      <c r="V209" s="3"/>
      <c r="W209" s="3"/>
      <c r="X209" s="3"/>
      <c r="Y209" s="3"/>
      <c r="Z209" s="3"/>
      <c r="AA209" s="3"/>
      <c r="AB209" s="3"/>
      <c r="AC209" s="3"/>
      <c r="AD209" s="3"/>
      <c r="AE209" s="3"/>
      <c r="AF209" s="3"/>
      <c r="AG209" s="3"/>
      <c r="AH209" s="3"/>
      <c r="AI209" s="3"/>
    </row>
    <row r="210" spans="1:35" ht="12.75" x14ac:dyDescent="0.2">
      <c r="A210" s="3"/>
      <c r="B210" s="59"/>
      <c r="C210" s="121"/>
      <c r="D210" s="3" t="s">
        <v>527</v>
      </c>
      <c r="E210" s="104" t="s">
        <v>528</v>
      </c>
      <c r="F210" s="3" t="s">
        <v>29</v>
      </c>
      <c r="G210" s="3" t="s">
        <v>162</v>
      </c>
      <c r="H210" s="60">
        <v>11.452999999999999</v>
      </c>
      <c r="I210" s="3" t="s">
        <v>99</v>
      </c>
      <c r="J210" s="106">
        <v>1056</v>
      </c>
      <c r="K210" s="3" t="s">
        <v>518</v>
      </c>
      <c r="L210" s="60">
        <v>12095</v>
      </c>
      <c r="M210" s="60">
        <v>669.87</v>
      </c>
      <c r="N210" s="156">
        <v>1.26E-2</v>
      </c>
      <c r="O210" s="177">
        <v>1.2999999999999999E-3</v>
      </c>
      <c r="P210" s="3"/>
      <c r="Q210" s="3"/>
      <c r="R210" s="3"/>
      <c r="S210" s="3"/>
      <c r="T210" s="3"/>
      <c r="U210" s="3"/>
      <c r="V210" s="3"/>
      <c r="W210" s="3"/>
      <c r="X210" s="3"/>
      <c r="Y210" s="3"/>
      <c r="Z210" s="3"/>
      <c r="AA210" s="3"/>
      <c r="AB210" s="3"/>
      <c r="AC210" s="3"/>
      <c r="AD210" s="3"/>
      <c r="AE210" s="3"/>
      <c r="AF210" s="3"/>
      <c r="AG210" s="3"/>
      <c r="AH210" s="3"/>
      <c r="AI210" s="3"/>
    </row>
    <row r="211" spans="1:35" ht="12.75" x14ac:dyDescent="0.2">
      <c r="A211" s="3"/>
      <c r="B211" s="59"/>
      <c r="C211" s="121"/>
      <c r="D211" s="3" t="s">
        <v>529</v>
      </c>
      <c r="E211" s="104" t="s">
        <v>530</v>
      </c>
      <c r="F211" s="3" t="s">
        <v>238</v>
      </c>
      <c r="G211" s="3" t="s">
        <v>309</v>
      </c>
      <c r="H211" s="60">
        <v>1882</v>
      </c>
      <c r="I211" s="3" t="s">
        <v>81</v>
      </c>
      <c r="J211" s="60">
        <v>137030</v>
      </c>
      <c r="K211" s="3" t="s">
        <v>371</v>
      </c>
      <c r="L211" s="60">
        <v>257.822</v>
      </c>
      <c r="M211" s="60">
        <v>14.4</v>
      </c>
      <c r="N211" s="204">
        <v>5.9999999999999995E-4</v>
      </c>
      <c r="O211" s="205">
        <v>1E-4</v>
      </c>
      <c r="P211" s="3"/>
      <c r="Q211" s="3"/>
      <c r="R211" s="3"/>
      <c r="S211" s="3"/>
      <c r="T211" s="3"/>
      <c r="U211" s="3"/>
      <c r="V211" s="3"/>
      <c r="W211" s="3"/>
      <c r="X211" s="3"/>
      <c r="Y211" s="3"/>
      <c r="Z211" s="3"/>
      <c r="AA211" s="3"/>
      <c r="AB211" s="3"/>
      <c r="AC211" s="3"/>
      <c r="AD211" s="3"/>
      <c r="AE211" s="3"/>
      <c r="AF211" s="3"/>
      <c r="AG211" s="3"/>
      <c r="AH211" s="3"/>
      <c r="AI211" s="3"/>
    </row>
    <row r="212" spans="1:35" ht="12.75" x14ac:dyDescent="0.2">
      <c r="A212" s="3"/>
      <c r="B212" s="98"/>
      <c r="C212" s="99"/>
      <c r="D212" s="99"/>
      <c r="E212" s="99"/>
      <c r="F212" s="100"/>
      <c r="G212" s="99"/>
      <c r="H212" s="124"/>
      <c r="I212" s="99"/>
      <c r="J212" s="124"/>
      <c r="K212" s="99"/>
      <c r="L212" s="124"/>
      <c r="M212" s="206"/>
      <c r="N212" s="124"/>
      <c r="O212" s="125"/>
      <c r="P212" s="3"/>
      <c r="Q212" s="3"/>
      <c r="R212" s="3"/>
      <c r="S212" s="3"/>
      <c r="T212" s="3"/>
      <c r="U212" s="3"/>
      <c r="V212" s="3"/>
      <c r="W212" s="3"/>
      <c r="X212" s="3"/>
      <c r="Y212" s="3"/>
      <c r="Z212" s="3"/>
      <c r="AA212" s="3"/>
      <c r="AB212" s="3"/>
      <c r="AC212" s="3"/>
      <c r="AD212" s="3"/>
      <c r="AE212" s="3"/>
      <c r="AF212" s="3"/>
      <c r="AG212" s="3"/>
      <c r="AH212" s="3"/>
      <c r="AI212" s="3"/>
    </row>
    <row r="213" spans="1:35" ht="12.75" x14ac:dyDescent="0.2">
      <c r="A213" s="3"/>
      <c r="B213" s="50"/>
      <c r="C213" s="52"/>
      <c r="D213" s="52"/>
      <c r="E213" s="52"/>
      <c r="F213" s="102"/>
      <c r="G213" s="52"/>
      <c r="H213" s="126"/>
      <c r="I213" s="52"/>
      <c r="J213" s="126"/>
      <c r="K213" s="52"/>
      <c r="L213" s="126"/>
      <c r="M213" s="160"/>
      <c r="N213" s="126"/>
      <c r="O213" s="127"/>
      <c r="P213" s="3"/>
      <c r="Q213" s="3"/>
      <c r="R213" s="3"/>
      <c r="S213" s="3"/>
      <c r="T213" s="3"/>
      <c r="U213" s="3"/>
      <c r="V213" s="3"/>
      <c r="W213" s="3"/>
      <c r="X213" s="3"/>
      <c r="Y213" s="3"/>
      <c r="Z213" s="3"/>
      <c r="AA213" s="3"/>
      <c r="AB213" s="3"/>
      <c r="AC213" s="3"/>
      <c r="AD213" s="3"/>
      <c r="AE213" s="3"/>
      <c r="AF213" s="3"/>
      <c r="AG213" s="3"/>
      <c r="AH213" s="3"/>
      <c r="AI213" s="3"/>
    </row>
    <row r="214" spans="1:35" ht="12.75" x14ac:dyDescent="0.2">
      <c r="A214" s="3"/>
      <c r="B214" s="59" t="s">
        <v>531</v>
      </c>
      <c r="C214" s="3" t="s">
        <v>532</v>
      </c>
      <c r="D214" s="3" t="s">
        <v>533</v>
      </c>
      <c r="E214" s="104" t="s">
        <v>534</v>
      </c>
      <c r="F214" s="3" t="s">
        <v>29</v>
      </c>
      <c r="G214" s="3" t="s">
        <v>162</v>
      </c>
      <c r="H214" s="60">
        <v>16559015.039999999</v>
      </c>
      <c r="I214" s="3" t="s">
        <v>99</v>
      </c>
      <c r="J214" s="116"/>
      <c r="K214" s="3" t="s">
        <v>518</v>
      </c>
      <c r="L214" s="60">
        <v>17635614</v>
      </c>
      <c r="M214" s="156">
        <v>984076.23</v>
      </c>
      <c r="N214" s="156">
        <v>18.25</v>
      </c>
      <c r="O214" s="157">
        <v>1.83</v>
      </c>
      <c r="P214" s="3"/>
      <c r="Q214" s="3"/>
      <c r="R214" s="3"/>
      <c r="S214" s="3"/>
      <c r="T214" s="3"/>
      <c r="U214" s="3"/>
      <c r="V214" s="3"/>
      <c r="W214" s="3"/>
      <c r="X214" s="3"/>
      <c r="Y214" s="3"/>
      <c r="Z214" s="3"/>
      <c r="AA214" s="3"/>
      <c r="AB214" s="3"/>
      <c r="AC214" s="3"/>
      <c r="AD214" s="3"/>
      <c r="AE214" s="3"/>
      <c r="AF214" s="3"/>
      <c r="AG214" s="3"/>
      <c r="AH214" s="3"/>
      <c r="AI214" s="3"/>
    </row>
    <row r="215" spans="1:35" ht="12.75" x14ac:dyDescent="0.2">
      <c r="A215" s="3"/>
      <c r="B215" s="59"/>
      <c r="C215" s="121"/>
      <c r="D215" s="3"/>
      <c r="E215" s="104"/>
      <c r="F215" s="2"/>
      <c r="G215" s="3"/>
      <c r="H215" s="129"/>
      <c r="I215" s="3"/>
      <c r="J215" s="116"/>
      <c r="K215" s="3"/>
      <c r="L215" s="129"/>
      <c r="M215" s="138"/>
      <c r="N215" s="138"/>
      <c r="O215" s="139"/>
      <c r="P215" s="3"/>
      <c r="Q215" s="3"/>
      <c r="R215" s="3"/>
      <c r="S215" s="3"/>
      <c r="T215" s="3"/>
      <c r="U215" s="3"/>
      <c r="V215" s="3"/>
      <c r="W215" s="3"/>
      <c r="X215" s="3"/>
      <c r="Y215" s="3"/>
      <c r="Z215" s="3"/>
      <c r="AA215" s="3"/>
      <c r="AB215" s="3"/>
      <c r="AC215" s="3"/>
      <c r="AD215" s="3"/>
      <c r="AE215" s="3"/>
      <c r="AF215" s="3"/>
      <c r="AG215" s="3"/>
      <c r="AH215" s="3"/>
      <c r="AI215" s="3"/>
    </row>
    <row r="216" spans="1:35" ht="12.75" x14ac:dyDescent="0.2">
      <c r="A216" s="3"/>
      <c r="B216" s="59"/>
      <c r="C216" s="121"/>
      <c r="D216" s="3" t="s">
        <v>535</v>
      </c>
      <c r="E216" s="104" t="s">
        <v>536</v>
      </c>
      <c r="F216" s="3" t="s">
        <v>29</v>
      </c>
      <c r="G216" s="3"/>
      <c r="H216" s="60">
        <v>14104125.09</v>
      </c>
      <c r="I216" s="3" t="s">
        <v>99</v>
      </c>
      <c r="J216" s="116"/>
      <c r="K216" s="3" t="s">
        <v>518</v>
      </c>
      <c r="L216" s="60">
        <v>14851385</v>
      </c>
      <c r="M216" s="156">
        <v>838186.82</v>
      </c>
      <c r="N216" s="156">
        <v>15.55</v>
      </c>
      <c r="O216" s="157">
        <v>1.55</v>
      </c>
      <c r="P216" s="3"/>
      <c r="Q216" s="3"/>
      <c r="R216" s="3"/>
      <c r="S216" s="3"/>
      <c r="T216" s="3"/>
      <c r="U216" s="3"/>
      <c r="V216" s="3"/>
      <c r="W216" s="3"/>
      <c r="X216" s="3"/>
      <c r="Y216" s="3"/>
      <c r="Z216" s="3"/>
      <c r="AA216" s="3"/>
      <c r="AB216" s="3"/>
      <c r="AC216" s="3"/>
      <c r="AD216" s="3"/>
      <c r="AE216" s="3"/>
      <c r="AF216" s="3"/>
      <c r="AG216" s="3"/>
      <c r="AH216" s="3"/>
      <c r="AI216" s="3"/>
    </row>
    <row r="217" spans="1:35" ht="12.75" x14ac:dyDescent="0.2">
      <c r="A217" s="3"/>
      <c r="B217" s="59"/>
      <c r="C217" s="121"/>
      <c r="D217" s="3"/>
      <c r="E217" s="104"/>
      <c r="F217" s="2"/>
      <c r="G217" s="3"/>
      <c r="H217" s="129"/>
      <c r="I217" s="3"/>
      <c r="J217" s="116"/>
      <c r="K217" s="3"/>
      <c r="L217" s="129"/>
      <c r="M217" s="138"/>
      <c r="N217" s="138"/>
      <c r="O217" s="139"/>
      <c r="P217" s="3"/>
      <c r="Q217" s="3"/>
      <c r="R217" s="3"/>
      <c r="S217" s="3"/>
      <c r="T217" s="3"/>
      <c r="U217" s="3"/>
      <c r="V217" s="3"/>
      <c r="W217" s="3"/>
      <c r="X217" s="3"/>
      <c r="Y217" s="3"/>
      <c r="Z217" s="3"/>
      <c r="AA217" s="3"/>
      <c r="AB217" s="3"/>
      <c r="AC217" s="3"/>
      <c r="AD217" s="3"/>
      <c r="AE217" s="3"/>
      <c r="AF217" s="3"/>
      <c r="AG217" s="3"/>
      <c r="AH217" s="3"/>
      <c r="AI217" s="3"/>
    </row>
    <row r="218" spans="1:35" ht="12.75" x14ac:dyDescent="0.2">
      <c r="A218" s="3"/>
      <c r="B218" s="59"/>
      <c r="C218" s="121"/>
      <c r="D218" s="3" t="s">
        <v>537</v>
      </c>
      <c r="E218" s="104" t="s">
        <v>538</v>
      </c>
      <c r="F218" s="3" t="s">
        <v>29</v>
      </c>
      <c r="G218" s="3" t="s">
        <v>162</v>
      </c>
      <c r="H218" s="60">
        <v>9896900</v>
      </c>
      <c r="I218" s="3" t="s">
        <v>99</v>
      </c>
      <c r="J218" s="106">
        <v>1048</v>
      </c>
      <c r="K218" s="3" t="s">
        <v>518</v>
      </c>
      <c r="L218" s="60">
        <v>10371.700000000001</v>
      </c>
      <c r="M218" s="156">
        <v>606.62599999999998</v>
      </c>
      <c r="N218" s="156">
        <v>1.14E-2</v>
      </c>
      <c r="O218" s="177">
        <v>1.1000000000000001E-3</v>
      </c>
      <c r="P218" s="3"/>
      <c r="Q218" s="3"/>
      <c r="R218" s="3"/>
      <c r="S218" s="3"/>
      <c r="T218" s="3"/>
      <c r="U218" s="3"/>
      <c r="V218" s="3"/>
      <c r="W218" s="3"/>
      <c r="X218" s="3"/>
      <c r="Y218" s="3"/>
      <c r="Z218" s="3"/>
      <c r="AA218" s="3"/>
      <c r="AB218" s="3"/>
      <c r="AC218" s="3"/>
      <c r="AD218" s="3"/>
      <c r="AE218" s="3"/>
      <c r="AF218" s="3"/>
      <c r="AG218" s="3"/>
      <c r="AH218" s="3"/>
      <c r="AI218" s="3"/>
    </row>
    <row r="219" spans="1:35" ht="12.75" x14ac:dyDescent="0.2">
      <c r="A219" s="3"/>
      <c r="B219" s="59"/>
      <c r="C219" s="121"/>
      <c r="D219" s="3"/>
      <c r="E219" s="104"/>
      <c r="F219" s="2"/>
      <c r="G219" s="3"/>
      <c r="H219" s="129"/>
      <c r="I219" s="3"/>
      <c r="J219" s="129"/>
      <c r="K219" s="3"/>
      <c r="L219" s="116"/>
      <c r="M219" s="138"/>
      <c r="N219" s="138"/>
      <c r="O219" s="139"/>
      <c r="P219" s="3"/>
      <c r="Q219" s="3"/>
      <c r="R219" s="3"/>
      <c r="S219" s="3"/>
      <c r="T219" s="3"/>
      <c r="U219" s="3"/>
      <c r="V219" s="3"/>
      <c r="W219" s="3"/>
      <c r="X219" s="3"/>
      <c r="Y219" s="3"/>
      <c r="Z219" s="3"/>
      <c r="AA219" s="3"/>
      <c r="AB219" s="3"/>
      <c r="AC219" s="3"/>
      <c r="AD219" s="3"/>
      <c r="AE219" s="3"/>
      <c r="AF219" s="3"/>
      <c r="AG219" s="3"/>
      <c r="AH219" s="3"/>
      <c r="AI219" s="3"/>
    </row>
    <row r="220" spans="1:35" ht="12.75" x14ac:dyDescent="0.2">
      <c r="A220" s="3"/>
      <c r="B220" s="59"/>
      <c r="C220" s="121"/>
      <c r="D220" s="3" t="s">
        <v>539</v>
      </c>
      <c r="E220" s="104" t="s">
        <v>540</v>
      </c>
      <c r="F220" s="3" t="s">
        <v>238</v>
      </c>
      <c r="G220" s="3" t="s">
        <v>309</v>
      </c>
      <c r="H220" s="129"/>
      <c r="I220" s="3" t="s">
        <v>81</v>
      </c>
      <c r="J220" s="129"/>
      <c r="K220" s="3" t="s">
        <v>371</v>
      </c>
      <c r="L220" s="122">
        <v>148.80000000000001</v>
      </c>
      <c r="M220" s="156">
        <v>12.3347</v>
      </c>
      <c r="N220" s="156">
        <v>5.0000000000000001E-4</v>
      </c>
      <c r="O220" s="205">
        <v>1E-4</v>
      </c>
      <c r="P220" s="3"/>
      <c r="Q220" s="3"/>
      <c r="R220" s="3"/>
      <c r="S220" s="3"/>
      <c r="T220" s="3"/>
      <c r="U220" s="3"/>
      <c r="V220" s="3"/>
      <c r="W220" s="3"/>
      <c r="X220" s="3"/>
      <c r="Y220" s="3"/>
      <c r="Z220" s="3"/>
      <c r="AA220" s="3"/>
      <c r="AB220" s="3"/>
      <c r="AC220" s="3"/>
      <c r="AD220" s="3"/>
      <c r="AE220" s="3"/>
      <c r="AF220" s="3"/>
      <c r="AG220" s="3"/>
      <c r="AH220" s="3"/>
      <c r="AI220" s="3"/>
    </row>
    <row r="221" spans="1:35" ht="12.75" x14ac:dyDescent="0.2">
      <c r="A221" s="3"/>
      <c r="B221" s="98"/>
      <c r="C221" s="99"/>
      <c r="D221" s="99"/>
      <c r="E221" s="99"/>
      <c r="F221" s="100"/>
      <c r="G221" s="99"/>
      <c r="H221" s="124"/>
      <c r="I221" s="99"/>
      <c r="J221" s="124"/>
      <c r="K221" s="99"/>
      <c r="L221" s="124"/>
      <c r="M221" s="124"/>
      <c r="N221" s="124"/>
      <c r="O221" s="125"/>
      <c r="P221" s="3"/>
      <c r="Q221" s="3"/>
      <c r="R221" s="3"/>
      <c r="S221" s="3"/>
      <c r="T221" s="3"/>
      <c r="U221" s="3"/>
      <c r="V221" s="3"/>
      <c r="W221" s="3"/>
      <c r="X221" s="3"/>
      <c r="Y221" s="3"/>
      <c r="Z221" s="3"/>
      <c r="AA221" s="3"/>
      <c r="AB221" s="3"/>
      <c r="AC221" s="3"/>
      <c r="AD221" s="3"/>
      <c r="AE221" s="3"/>
      <c r="AF221" s="3"/>
      <c r="AG221" s="3"/>
      <c r="AH221" s="3"/>
      <c r="AI221" s="3"/>
    </row>
    <row r="222" spans="1:35" ht="12.75" x14ac:dyDescent="0.2">
      <c r="A222" s="3"/>
      <c r="B222" s="50"/>
      <c r="C222" s="52"/>
      <c r="D222" s="52"/>
      <c r="E222" s="52"/>
      <c r="F222" s="102"/>
      <c r="G222" s="52"/>
      <c r="H222" s="126"/>
      <c r="I222" s="52"/>
      <c r="J222" s="126"/>
      <c r="K222" s="52"/>
      <c r="L222" s="126"/>
      <c r="M222" s="126"/>
      <c r="N222" s="126"/>
      <c r="O222" s="127"/>
      <c r="P222" s="3"/>
      <c r="Q222" s="3"/>
      <c r="R222" s="3"/>
      <c r="S222" s="3"/>
      <c r="T222" s="3"/>
      <c r="U222" s="3"/>
      <c r="V222" s="3"/>
      <c r="W222" s="3"/>
      <c r="X222" s="3"/>
      <c r="Y222" s="3"/>
      <c r="Z222" s="3"/>
      <c r="AA222" s="3"/>
      <c r="AB222" s="3"/>
      <c r="AC222" s="3"/>
      <c r="AD222" s="3"/>
      <c r="AE222" s="3"/>
      <c r="AF222" s="3"/>
      <c r="AG222" s="3"/>
      <c r="AH222" s="3"/>
      <c r="AI222" s="3"/>
    </row>
    <row r="223" spans="1:35" ht="12.75" x14ac:dyDescent="0.2">
      <c r="A223" s="3"/>
      <c r="B223" s="59" t="s">
        <v>541</v>
      </c>
      <c r="C223" s="3" t="s">
        <v>542</v>
      </c>
      <c r="D223" s="3" t="s">
        <v>543</v>
      </c>
      <c r="E223" s="104" t="s">
        <v>544</v>
      </c>
      <c r="F223" s="3" t="s">
        <v>29</v>
      </c>
      <c r="G223" s="3" t="s">
        <v>162</v>
      </c>
      <c r="H223" s="129"/>
      <c r="I223" s="3" t="s">
        <v>99</v>
      </c>
      <c r="J223" s="116"/>
      <c r="K223" s="3" t="s">
        <v>518</v>
      </c>
      <c r="L223" s="60">
        <v>14466659.300000001</v>
      </c>
      <c r="M223" s="60">
        <v>850911.3</v>
      </c>
      <c r="N223" s="156">
        <v>15.95</v>
      </c>
      <c r="O223" s="157">
        <v>1.59</v>
      </c>
      <c r="P223" s="3"/>
      <c r="Q223" s="3"/>
      <c r="R223" s="3"/>
      <c r="S223" s="3"/>
      <c r="T223" s="3"/>
      <c r="U223" s="3"/>
      <c r="V223" s="3"/>
      <c r="W223" s="3"/>
      <c r="X223" s="3"/>
      <c r="Y223" s="3"/>
      <c r="Z223" s="3"/>
      <c r="AA223" s="3"/>
      <c r="AB223" s="3"/>
      <c r="AC223" s="3"/>
      <c r="AD223" s="3"/>
      <c r="AE223" s="3"/>
      <c r="AF223" s="3"/>
      <c r="AG223" s="3"/>
      <c r="AH223" s="3"/>
      <c r="AI223" s="3"/>
    </row>
    <row r="224" spans="1:35" ht="12.75" x14ac:dyDescent="0.2">
      <c r="A224" s="3"/>
      <c r="B224" s="59"/>
      <c r="C224" s="121"/>
      <c r="D224" s="3" t="s">
        <v>545</v>
      </c>
      <c r="E224" s="104" t="s">
        <v>544</v>
      </c>
      <c r="F224" s="3" t="s">
        <v>29</v>
      </c>
      <c r="G224" s="3" t="s">
        <v>162</v>
      </c>
      <c r="H224" s="129"/>
      <c r="I224" s="3" t="s">
        <v>99</v>
      </c>
      <c r="J224" s="116"/>
      <c r="K224" s="3" t="s">
        <v>518</v>
      </c>
      <c r="L224" s="60">
        <v>1014688.1</v>
      </c>
      <c r="M224" s="60">
        <v>59682.7</v>
      </c>
      <c r="N224" s="156">
        <v>1.1200000000000001</v>
      </c>
      <c r="O224" s="157">
        <v>0.11</v>
      </c>
      <c r="P224" s="3"/>
      <c r="Q224" s="3"/>
      <c r="R224" s="3"/>
      <c r="S224" s="3"/>
      <c r="T224" s="3"/>
      <c r="U224" s="3"/>
      <c r="V224" s="3"/>
      <c r="W224" s="3"/>
      <c r="X224" s="3"/>
      <c r="Y224" s="3"/>
      <c r="Z224" s="3"/>
      <c r="AA224" s="3"/>
      <c r="AB224" s="3"/>
      <c r="AC224" s="3"/>
      <c r="AD224" s="3"/>
      <c r="AE224" s="3"/>
      <c r="AF224" s="3"/>
      <c r="AG224" s="3"/>
      <c r="AH224" s="3"/>
      <c r="AI224" s="3"/>
    </row>
    <row r="225" spans="1:35" ht="12.75" x14ac:dyDescent="0.2">
      <c r="A225" s="3"/>
      <c r="B225" s="59"/>
      <c r="C225" s="121"/>
      <c r="D225" s="3" t="s">
        <v>533</v>
      </c>
      <c r="E225" s="104" t="s">
        <v>544</v>
      </c>
      <c r="F225" s="80" t="s">
        <v>85</v>
      </c>
      <c r="G225" s="3"/>
      <c r="H225" s="129"/>
      <c r="I225" s="3"/>
      <c r="J225" s="116"/>
      <c r="K225" s="3"/>
      <c r="L225" s="66">
        <f t="shared" ref="L225:O225" si="15">L223+L224</f>
        <v>15481347.4</v>
      </c>
      <c r="M225" s="66">
        <f t="shared" si="15"/>
        <v>910594</v>
      </c>
      <c r="N225" s="70">
        <f t="shared" si="15"/>
        <v>17.07</v>
      </c>
      <c r="O225" s="74">
        <f t="shared" si="15"/>
        <v>1.7000000000000002</v>
      </c>
      <c r="P225" s="3"/>
      <c r="Q225" s="3"/>
      <c r="R225" s="3"/>
      <c r="S225" s="3"/>
      <c r="T225" s="3"/>
      <c r="U225" s="3"/>
      <c r="V225" s="3"/>
      <c r="W225" s="3"/>
      <c r="X225" s="3"/>
      <c r="Y225" s="3"/>
      <c r="Z225" s="3"/>
      <c r="AA225" s="3"/>
      <c r="AB225" s="3"/>
      <c r="AC225" s="3"/>
      <c r="AD225" s="3"/>
      <c r="AE225" s="3"/>
      <c r="AF225" s="3"/>
      <c r="AG225" s="3"/>
      <c r="AH225" s="3"/>
      <c r="AI225" s="3"/>
    </row>
    <row r="226" spans="1:35" ht="12.75" x14ac:dyDescent="0.2">
      <c r="A226" s="3"/>
      <c r="B226" s="59"/>
      <c r="C226" s="121"/>
      <c r="D226" s="3"/>
      <c r="E226" s="104"/>
      <c r="F226" s="2"/>
      <c r="G226" s="3"/>
      <c r="H226" s="129"/>
      <c r="I226" s="3"/>
      <c r="J226" s="116"/>
      <c r="K226" s="3"/>
      <c r="L226" s="129"/>
      <c r="M226" s="129"/>
      <c r="N226" s="138"/>
      <c r="O226" s="139"/>
      <c r="P226" s="3"/>
      <c r="Q226" s="3"/>
      <c r="R226" s="3"/>
      <c r="S226" s="3"/>
      <c r="T226" s="3"/>
      <c r="U226" s="3"/>
      <c r="V226" s="3"/>
      <c r="W226" s="3"/>
      <c r="X226" s="3"/>
      <c r="Y226" s="3"/>
      <c r="Z226" s="3"/>
      <c r="AA226" s="3"/>
      <c r="AB226" s="3"/>
      <c r="AC226" s="3"/>
      <c r="AD226" s="3"/>
      <c r="AE226" s="3"/>
      <c r="AF226" s="3"/>
      <c r="AG226" s="3"/>
      <c r="AH226" s="3"/>
      <c r="AI226" s="3"/>
    </row>
    <row r="227" spans="1:35" ht="12.75" x14ac:dyDescent="0.2">
      <c r="A227" s="3"/>
      <c r="B227" s="59"/>
      <c r="C227" s="121"/>
      <c r="D227" s="3" t="s">
        <v>546</v>
      </c>
      <c r="E227" s="104" t="s">
        <v>547</v>
      </c>
      <c r="F227" s="3" t="s">
        <v>29</v>
      </c>
      <c r="G227" s="3" t="s">
        <v>162</v>
      </c>
      <c r="H227" s="129"/>
      <c r="I227" s="3" t="s">
        <v>99</v>
      </c>
      <c r="J227" s="116"/>
      <c r="K227" s="3" t="s">
        <v>518</v>
      </c>
      <c r="L227" s="60">
        <v>14407007.9</v>
      </c>
      <c r="M227" s="60">
        <v>847183.8</v>
      </c>
      <c r="N227" s="156">
        <v>15.88</v>
      </c>
      <c r="O227" s="157">
        <v>1.59</v>
      </c>
      <c r="P227" s="3"/>
      <c r="Q227" s="3"/>
      <c r="R227" s="3"/>
      <c r="S227" s="3"/>
      <c r="T227" s="3"/>
      <c r="U227" s="3"/>
      <c r="V227" s="3"/>
      <c r="W227" s="3"/>
      <c r="X227" s="3"/>
      <c r="Y227" s="3"/>
      <c r="Z227" s="3"/>
      <c r="AA227" s="3"/>
      <c r="AB227" s="3"/>
      <c r="AC227" s="3"/>
      <c r="AD227" s="3"/>
      <c r="AE227" s="3"/>
      <c r="AF227" s="3"/>
      <c r="AG227" s="3"/>
      <c r="AH227" s="3"/>
      <c r="AI227" s="3"/>
    </row>
    <row r="228" spans="1:35" ht="12.75" x14ac:dyDescent="0.2">
      <c r="A228" s="3"/>
      <c r="B228" s="59"/>
      <c r="C228" s="121"/>
      <c r="D228" s="3" t="s">
        <v>548</v>
      </c>
      <c r="E228" s="104" t="s">
        <v>547</v>
      </c>
      <c r="F228" s="3" t="s">
        <v>29</v>
      </c>
      <c r="G228" s="3" t="s">
        <v>162</v>
      </c>
      <c r="H228" s="129"/>
      <c r="I228" s="3" t="s">
        <v>99</v>
      </c>
      <c r="J228" s="116"/>
      <c r="K228" s="3" t="s">
        <v>518</v>
      </c>
      <c r="L228" s="60">
        <v>1045740.7</v>
      </c>
      <c r="M228" s="60">
        <v>61493.3</v>
      </c>
      <c r="N228" s="156">
        <v>1.1499999999999999</v>
      </c>
      <c r="O228" s="157">
        <v>0.12</v>
      </c>
      <c r="P228" s="3"/>
      <c r="Q228" s="3"/>
      <c r="R228" s="3"/>
      <c r="S228" s="3"/>
      <c r="T228" s="3"/>
      <c r="U228" s="3"/>
      <c r="V228" s="3"/>
      <c r="W228" s="3"/>
      <c r="X228" s="3"/>
      <c r="Y228" s="3"/>
      <c r="Z228" s="3"/>
      <c r="AA228" s="3"/>
      <c r="AB228" s="3"/>
      <c r="AC228" s="3"/>
      <c r="AD228" s="3"/>
      <c r="AE228" s="3"/>
      <c r="AF228" s="3"/>
      <c r="AG228" s="3"/>
      <c r="AH228" s="3"/>
      <c r="AI228" s="3"/>
    </row>
    <row r="229" spans="1:35" ht="12.75" x14ac:dyDescent="0.2">
      <c r="A229" s="3"/>
      <c r="B229" s="59"/>
      <c r="C229" s="121"/>
      <c r="D229" s="3" t="s">
        <v>535</v>
      </c>
      <c r="E229" s="104" t="s">
        <v>547</v>
      </c>
      <c r="F229" s="80" t="s">
        <v>85</v>
      </c>
      <c r="G229" s="3"/>
      <c r="H229" s="129"/>
      <c r="I229" s="3"/>
      <c r="J229" s="116"/>
      <c r="K229" s="3"/>
      <c r="L229" s="66">
        <f t="shared" ref="L229:O229" si="16">L227+L228</f>
        <v>15452748.6</v>
      </c>
      <c r="M229" s="66">
        <f t="shared" si="16"/>
        <v>908677.10000000009</v>
      </c>
      <c r="N229" s="70">
        <f t="shared" si="16"/>
        <v>17.03</v>
      </c>
      <c r="O229" s="74">
        <f t="shared" si="16"/>
        <v>1.71</v>
      </c>
      <c r="P229" s="3"/>
      <c r="Q229" s="3"/>
      <c r="R229" s="3"/>
      <c r="S229" s="3"/>
      <c r="T229" s="3"/>
      <c r="U229" s="3"/>
      <c r="V229" s="3"/>
      <c r="W229" s="3"/>
      <c r="X229" s="3"/>
      <c r="Y229" s="3"/>
      <c r="Z229" s="3"/>
      <c r="AA229" s="3"/>
      <c r="AB229" s="3"/>
      <c r="AC229" s="3"/>
      <c r="AD229" s="3"/>
      <c r="AE229" s="3"/>
      <c r="AF229" s="3"/>
      <c r="AG229" s="3"/>
      <c r="AH229" s="3"/>
      <c r="AI229" s="3"/>
    </row>
    <row r="230" spans="1:35" ht="12.75" x14ac:dyDescent="0.2">
      <c r="A230" s="3"/>
      <c r="B230" s="59"/>
      <c r="C230" s="121"/>
      <c r="D230" s="3"/>
      <c r="E230" s="104"/>
      <c r="F230" s="2"/>
      <c r="G230" s="3"/>
      <c r="H230" s="129"/>
      <c r="I230" s="3"/>
      <c r="J230" s="116"/>
      <c r="K230" s="3"/>
      <c r="L230" s="129"/>
      <c r="M230" s="116"/>
      <c r="N230" s="138"/>
      <c r="O230" s="139"/>
      <c r="P230" s="3"/>
      <c r="Q230" s="3"/>
      <c r="R230" s="3"/>
      <c r="S230" s="3"/>
      <c r="T230" s="3"/>
      <c r="U230" s="3"/>
      <c r="V230" s="3"/>
      <c r="W230" s="3"/>
      <c r="X230" s="3"/>
      <c r="Y230" s="3"/>
      <c r="Z230" s="3"/>
      <c r="AA230" s="3"/>
      <c r="AB230" s="3"/>
      <c r="AC230" s="3"/>
      <c r="AD230" s="3"/>
      <c r="AE230" s="3"/>
      <c r="AF230" s="3"/>
      <c r="AG230" s="3"/>
      <c r="AH230" s="3"/>
      <c r="AI230" s="3"/>
    </row>
    <row r="231" spans="1:35" ht="12.75" x14ac:dyDescent="0.2">
      <c r="A231" s="3"/>
      <c r="B231" s="59"/>
      <c r="C231" s="121"/>
      <c r="D231" s="3" t="s">
        <v>550</v>
      </c>
      <c r="E231" s="104" t="s">
        <v>552</v>
      </c>
      <c r="F231" s="3" t="s">
        <v>29</v>
      </c>
      <c r="G231" s="3" t="s">
        <v>162</v>
      </c>
      <c r="H231" s="129"/>
      <c r="I231" s="3" t="s">
        <v>99</v>
      </c>
      <c r="J231" s="116"/>
      <c r="K231" s="3" t="s">
        <v>518</v>
      </c>
      <c r="L231" s="60">
        <v>3816</v>
      </c>
      <c r="M231" s="106">
        <v>223</v>
      </c>
      <c r="N231" s="204">
        <v>4.1999999999999997E-3</v>
      </c>
      <c r="O231" s="205">
        <v>4.0000000000000002E-4</v>
      </c>
      <c r="P231" s="3"/>
      <c r="Q231" s="3"/>
      <c r="R231" s="3"/>
      <c r="S231" s="3"/>
      <c r="T231" s="3"/>
      <c r="U231" s="3"/>
      <c r="V231" s="3"/>
      <c r="W231" s="3"/>
      <c r="X231" s="3"/>
      <c r="Y231" s="3"/>
      <c r="Z231" s="3"/>
      <c r="AA231" s="3"/>
      <c r="AB231" s="3"/>
      <c r="AC231" s="3"/>
      <c r="AD231" s="3"/>
      <c r="AE231" s="3"/>
      <c r="AF231" s="3"/>
      <c r="AG231" s="3"/>
      <c r="AH231" s="3"/>
      <c r="AI231" s="3"/>
    </row>
    <row r="232" spans="1:35" ht="12.75" x14ac:dyDescent="0.2">
      <c r="A232" s="3"/>
      <c r="B232" s="59"/>
      <c r="C232" s="121"/>
      <c r="D232" s="3" t="s">
        <v>553</v>
      </c>
      <c r="E232" s="104" t="s">
        <v>554</v>
      </c>
      <c r="F232" s="3" t="s">
        <v>29</v>
      </c>
      <c r="G232" s="3" t="s">
        <v>162</v>
      </c>
      <c r="H232" s="129"/>
      <c r="I232" s="3" t="s">
        <v>99</v>
      </c>
      <c r="J232" s="116"/>
      <c r="K232" s="3" t="s">
        <v>518</v>
      </c>
      <c r="L232" s="60">
        <v>3547</v>
      </c>
      <c r="M232" s="122">
        <v>207.28</v>
      </c>
      <c r="N232" s="204">
        <v>3.8999999999999998E-3</v>
      </c>
      <c r="O232" s="205">
        <v>4.0000000000000002E-4</v>
      </c>
      <c r="P232" s="3"/>
      <c r="Q232" s="3"/>
      <c r="R232" s="3"/>
      <c r="S232" s="3"/>
      <c r="T232" s="3"/>
      <c r="U232" s="3"/>
      <c r="V232" s="3"/>
      <c r="W232" s="3"/>
      <c r="X232" s="3"/>
      <c r="Y232" s="3"/>
      <c r="Z232" s="3"/>
      <c r="AA232" s="3"/>
      <c r="AB232" s="3"/>
      <c r="AC232" s="3"/>
      <c r="AD232" s="3"/>
      <c r="AE232" s="3"/>
      <c r="AF232" s="3"/>
      <c r="AG232" s="3"/>
      <c r="AH232" s="3"/>
      <c r="AI232" s="3"/>
    </row>
    <row r="233" spans="1:35" ht="12.75" x14ac:dyDescent="0.2">
      <c r="A233" s="3"/>
      <c r="B233" s="59"/>
      <c r="C233" s="3"/>
      <c r="D233" s="3" t="s">
        <v>555</v>
      </c>
      <c r="E233" s="104" t="s">
        <v>556</v>
      </c>
      <c r="F233" s="3" t="s">
        <v>29</v>
      </c>
      <c r="G233" s="3" t="s">
        <v>162</v>
      </c>
      <c r="H233" s="129"/>
      <c r="I233" s="3" t="s">
        <v>99</v>
      </c>
      <c r="J233" s="116"/>
      <c r="K233" s="3" t="s">
        <v>518</v>
      </c>
      <c r="L233" s="122">
        <f>21.5*5.8</f>
        <v>124.7</v>
      </c>
      <c r="M233" s="122">
        <v>10.18</v>
      </c>
      <c r="N233" s="60">
        <v>0</v>
      </c>
      <c r="O233" s="90">
        <v>0</v>
      </c>
      <c r="P233" s="3"/>
      <c r="Q233" s="3"/>
      <c r="R233" s="3"/>
      <c r="S233" s="3"/>
      <c r="T233" s="3"/>
      <c r="U233" s="3"/>
      <c r="V233" s="3"/>
      <c r="W233" s="3"/>
      <c r="X233" s="3"/>
      <c r="Y233" s="3"/>
      <c r="Z233" s="3"/>
      <c r="AA233" s="3"/>
      <c r="AB233" s="3"/>
      <c r="AC233" s="3"/>
      <c r="AD233" s="3"/>
      <c r="AE233" s="3"/>
      <c r="AF233" s="3"/>
      <c r="AG233" s="3"/>
      <c r="AH233" s="3"/>
      <c r="AI233" s="3"/>
    </row>
    <row r="234" spans="1:35" ht="12.75" x14ac:dyDescent="0.2">
      <c r="A234" s="3"/>
      <c r="B234" s="59"/>
      <c r="C234" s="3"/>
      <c r="D234" s="3"/>
      <c r="E234" s="3"/>
      <c r="F234" s="3"/>
      <c r="G234" s="3"/>
      <c r="H234" s="3"/>
      <c r="I234" s="3"/>
      <c r="J234" s="3"/>
      <c r="K234" s="3"/>
      <c r="L234" s="116"/>
      <c r="M234" s="116"/>
      <c r="N234" s="116"/>
      <c r="O234" s="119"/>
      <c r="P234" s="3"/>
      <c r="Q234" s="3"/>
      <c r="R234" s="3"/>
      <c r="S234" s="3"/>
      <c r="T234" s="3"/>
      <c r="U234" s="3"/>
      <c r="V234" s="3"/>
      <c r="W234" s="3"/>
      <c r="X234" s="3"/>
      <c r="Y234" s="3"/>
      <c r="Z234" s="3"/>
      <c r="AA234" s="3"/>
      <c r="AB234" s="3"/>
      <c r="AC234" s="3"/>
      <c r="AD234" s="3"/>
      <c r="AE234" s="3"/>
      <c r="AF234" s="3"/>
      <c r="AG234" s="3"/>
      <c r="AH234" s="3"/>
      <c r="AI234" s="3"/>
    </row>
    <row r="235" spans="1:35" ht="12.75" x14ac:dyDescent="0.2">
      <c r="A235" s="3"/>
      <c r="B235" s="52"/>
      <c r="C235" s="52"/>
      <c r="D235" s="52"/>
      <c r="E235" s="52"/>
      <c r="F235" s="52"/>
      <c r="G235" s="52"/>
      <c r="H235" s="52"/>
      <c r="I235" s="52"/>
      <c r="J235" s="52"/>
      <c r="K235" s="52"/>
      <c r="L235" s="207"/>
      <c r="M235" s="207"/>
      <c r="N235" s="207"/>
      <c r="O235" s="207"/>
      <c r="P235" s="3"/>
      <c r="Q235" s="3"/>
      <c r="R235" s="3"/>
      <c r="S235" s="3"/>
      <c r="T235" s="3"/>
      <c r="U235" s="3"/>
      <c r="V235" s="3"/>
      <c r="W235" s="3"/>
      <c r="X235" s="3"/>
      <c r="Y235" s="3"/>
      <c r="Z235" s="3"/>
      <c r="AA235" s="3"/>
      <c r="AB235" s="3"/>
      <c r="AC235" s="3"/>
      <c r="AD235" s="3"/>
      <c r="AE235" s="3"/>
      <c r="AF235" s="3"/>
      <c r="AG235" s="3"/>
      <c r="AH235" s="3"/>
      <c r="AI235" s="3"/>
    </row>
    <row r="236" spans="1:35" ht="12.75" x14ac:dyDescent="0.2">
      <c r="A236" s="3"/>
      <c r="B236" s="3"/>
      <c r="C236" s="3"/>
      <c r="D236" s="3"/>
      <c r="E236" s="3"/>
      <c r="F236" s="3"/>
      <c r="G236" s="3"/>
      <c r="H236" s="3"/>
      <c r="I236" s="3"/>
      <c r="J236" s="3"/>
      <c r="K236" s="80" t="s">
        <v>562</v>
      </c>
      <c r="L236" s="208">
        <f t="shared" ref="L236:O236" si="17">L15+L17+L19+L21+L26+L30+L32+L34+L37+L39+L41+L43+L47+L51+L55+L57+L59+L60+L61+L66+L71+L73+L78+L82+L84+L89+L91+L92+L93+L97+L99+L104+L106+L108+L113+L117+L119+L122+L124+L129+L133+L135+L138+L139+L140+L141+L144+L145+L146+L147+L148+L151+L152+L153+L154+L155+L156+L157+L158+L159+L162+L163+L164+L165+L166+L167+L168+L169+L172+L173+L174+L177+L178+L179+L180+L183+L184+L185+L186+L187+L188+L189+L190+L191+L194+L195+L196+L197+L198+L203+L207+L209+L210+L211+L214+L216+L218+L220+L225+L229+L231+L232+L233</f>
        <v>139271974.9765096</v>
      </c>
      <c r="M236" s="208">
        <f t="shared" si="17"/>
        <v>9123998.9016999993</v>
      </c>
      <c r="N236" s="209">
        <f t="shared" si="17"/>
        <v>423.12100700954204</v>
      </c>
      <c r="O236" s="209">
        <f t="shared" si="17"/>
        <v>60.512015828000017</v>
      </c>
      <c r="P236" s="2"/>
      <c r="Q236" s="3"/>
      <c r="R236" s="3"/>
      <c r="S236" s="3"/>
      <c r="T236" s="3"/>
      <c r="U236" s="3"/>
      <c r="V236" s="3"/>
      <c r="W236" s="3"/>
      <c r="X236" s="3"/>
      <c r="Y236" s="3"/>
      <c r="Z236" s="3"/>
      <c r="AA236" s="3"/>
      <c r="AB236" s="3"/>
      <c r="AC236" s="3"/>
      <c r="AD236" s="3"/>
      <c r="AE236" s="3"/>
      <c r="AF236" s="3"/>
      <c r="AG236" s="3"/>
      <c r="AH236" s="3"/>
      <c r="AI236" s="3"/>
    </row>
    <row r="237" spans="1:35" ht="12.75"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row>
    <row r="238" spans="1:35" ht="15.75" x14ac:dyDescent="0.25">
      <c r="A238" s="3"/>
      <c r="B238" s="3"/>
      <c r="C238" s="3"/>
      <c r="D238" s="3"/>
      <c r="E238" s="3"/>
      <c r="F238" s="3"/>
      <c r="G238" s="3"/>
      <c r="H238" s="3"/>
      <c r="I238" s="3"/>
      <c r="J238" s="3"/>
      <c r="K238" s="11" t="s">
        <v>2</v>
      </c>
      <c r="L238" s="3"/>
      <c r="M238" s="3"/>
      <c r="N238" s="3"/>
      <c r="O238" s="3"/>
      <c r="P238" s="3"/>
      <c r="Q238" s="3"/>
      <c r="R238" s="3"/>
      <c r="S238" s="3"/>
      <c r="T238" s="3"/>
      <c r="U238" s="3"/>
      <c r="V238" s="3"/>
      <c r="W238" s="3"/>
      <c r="X238" s="3"/>
      <c r="Y238" s="3"/>
      <c r="Z238" s="3"/>
      <c r="AA238" s="3"/>
      <c r="AB238" s="3"/>
      <c r="AC238" s="3"/>
      <c r="AD238" s="3"/>
      <c r="AE238" s="3"/>
      <c r="AF238" s="3"/>
      <c r="AG238" s="3"/>
      <c r="AH238" s="3"/>
      <c r="AI238" s="3"/>
    </row>
    <row r="239" spans="1:35" ht="12.75"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row>
    <row r="240" spans="1:35" ht="15.75" x14ac:dyDescent="0.25">
      <c r="A240" s="3"/>
      <c r="B240" s="3"/>
      <c r="C240" s="3"/>
      <c r="D240" s="3"/>
      <c r="E240" s="3"/>
      <c r="F240" s="3"/>
      <c r="G240" s="3"/>
      <c r="H240" s="3"/>
      <c r="I240" s="3"/>
      <c r="J240" s="3"/>
      <c r="K240" s="2018" t="s">
        <v>570</v>
      </c>
      <c r="L240" s="2017"/>
      <c r="M240" s="2017"/>
      <c r="N240" s="2017"/>
      <c r="O240" s="2009"/>
      <c r="P240" s="3"/>
      <c r="Q240" s="3"/>
      <c r="R240" s="3"/>
      <c r="S240" s="3"/>
      <c r="T240" s="3"/>
      <c r="U240" s="3"/>
      <c r="V240" s="3"/>
      <c r="W240" s="3"/>
      <c r="X240" s="3"/>
      <c r="Y240" s="3"/>
      <c r="Z240" s="3"/>
      <c r="AA240" s="3"/>
      <c r="AB240" s="3"/>
      <c r="AC240" s="3"/>
      <c r="AD240" s="3"/>
      <c r="AE240" s="3"/>
      <c r="AF240" s="3"/>
      <c r="AG240" s="3"/>
      <c r="AH240" s="3"/>
      <c r="AI240" s="3"/>
    </row>
    <row r="241" spans="1:35" ht="25.5" x14ac:dyDescent="0.2">
      <c r="A241" s="3"/>
      <c r="B241" s="3"/>
      <c r="C241" s="3"/>
      <c r="D241" s="3"/>
      <c r="E241" s="3"/>
      <c r="F241" s="3"/>
      <c r="G241" s="3"/>
      <c r="H241" s="3"/>
      <c r="I241" s="3"/>
      <c r="J241" s="3"/>
      <c r="K241" s="210" t="s">
        <v>49</v>
      </c>
      <c r="L241" s="210" t="s">
        <v>55</v>
      </c>
      <c r="M241" s="210" t="s">
        <v>57</v>
      </c>
      <c r="N241" s="210" t="s">
        <v>58</v>
      </c>
      <c r="O241" s="210" t="s">
        <v>59</v>
      </c>
      <c r="P241" s="3"/>
      <c r="Q241" s="3"/>
      <c r="R241" s="3"/>
      <c r="S241" s="3"/>
      <c r="T241" s="3"/>
      <c r="U241" s="3"/>
      <c r="V241" s="3"/>
      <c r="W241" s="3"/>
      <c r="X241" s="3"/>
      <c r="Y241" s="3"/>
      <c r="Z241" s="3"/>
      <c r="AA241" s="3"/>
      <c r="AB241" s="3"/>
      <c r="AC241" s="3"/>
      <c r="AD241" s="3"/>
      <c r="AE241" s="3"/>
      <c r="AF241" s="3"/>
      <c r="AG241" s="3"/>
      <c r="AH241" s="3"/>
      <c r="AI241" s="3"/>
    </row>
    <row r="242" spans="1:35" ht="12.75" x14ac:dyDescent="0.2">
      <c r="A242" s="3"/>
      <c r="B242" s="3"/>
      <c r="C242" s="3"/>
      <c r="D242" s="3"/>
      <c r="E242" s="3"/>
      <c r="F242" s="3"/>
      <c r="G242" s="3"/>
      <c r="H242" s="3"/>
      <c r="I242" s="3"/>
      <c r="J242" s="3"/>
      <c r="K242" s="25" t="s">
        <v>72</v>
      </c>
      <c r="L242" s="38">
        <f t="shared" ref="L242:O242" si="18">SUMIF($F$13:$F$233,$K242,L$13:L$233)</f>
        <v>21831729.859999999</v>
      </c>
      <c r="M242" s="38">
        <f t="shared" si="18"/>
        <v>2236459.0425317818</v>
      </c>
      <c r="N242" s="211">
        <f t="shared" si="18"/>
        <v>271.43623904093533</v>
      </c>
      <c r="O242" s="211">
        <f t="shared" si="18"/>
        <v>39.546172956665117</v>
      </c>
      <c r="P242" s="3"/>
      <c r="Q242" s="3"/>
      <c r="R242" s="3"/>
      <c r="S242" s="3"/>
      <c r="T242" s="3"/>
      <c r="U242" s="3"/>
      <c r="V242" s="3"/>
      <c r="W242" s="3"/>
      <c r="X242" s="3"/>
      <c r="Y242" s="3"/>
      <c r="Z242" s="3"/>
      <c r="AA242" s="3"/>
      <c r="AB242" s="3"/>
      <c r="AC242" s="3"/>
      <c r="AD242" s="3"/>
      <c r="AE242" s="3"/>
      <c r="AF242" s="3"/>
      <c r="AG242" s="3"/>
      <c r="AH242" s="3"/>
      <c r="AI242" s="3"/>
    </row>
    <row r="243" spans="1:35" ht="12.75" x14ac:dyDescent="0.2">
      <c r="A243" s="3"/>
      <c r="B243" s="3"/>
      <c r="C243" s="3"/>
      <c r="D243" s="3"/>
      <c r="E243" s="3"/>
      <c r="F243" s="3"/>
      <c r="G243" s="3"/>
      <c r="H243" s="3"/>
      <c r="I243" s="3"/>
      <c r="J243" s="3"/>
      <c r="K243" s="25" t="s">
        <v>29</v>
      </c>
      <c r="L243" s="38">
        <f t="shared" ref="L243:O243" si="19">SUMIF($F$13:$F$233,$K243,L$13:L$233)</f>
        <v>116127120.91092001</v>
      </c>
      <c r="M243" s="38">
        <f t="shared" si="19"/>
        <v>6776555.6333088828</v>
      </c>
      <c r="N243" s="211">
        <f t="shared" si="19"/>
        <v>143.67260173164698</v>
      </c>
      <c r="O243" s="211">
        <f t="shared" si="19"/>
        <v>20.173248695866938</v>
      </c>
      <c r="P243" s="3"/>
      <c r="Q243" s="3"/>
      <c r="R243" s="3"/>
      <c r="S243" s="3"/>
      <c r="T243" s="3"/>
      <c r="U243" s="3"/>
      <c r="V243" s="3"/>
      <c r="W243" s="3"/>
      <c r="X243" s="3"/>
      <c r="Y243" s="3"/>
      <c r="Z243" s="3"/>
      <c r="AA243" s="3"/>
      <c r="AB243" s="3"/>
      <c r="AC243" s="3"/>
      <c r="AD243" s="3"/>
      <c r="AE243" s="3"/>
      <c r="AF243" s="3"/>
      <c r="AG243" s="3"/>
      <c r="AH243" s="3"/>
      <c r="AI243" s="3"/>
    </row>
    <row r="244" spans="1:35" ht="12.75" x14ac:dyDescent="0.2">
      <c r="A244" s="3"/>
      <c r="B244" s="3"/>
      <c r="C244" s="3"/>
      <c r="D244" s="3"/>
      <c r="E244" s="3"/>
      <c r="F244" s="3"/>
      <c r="G244" s="3"/>
      <c r="H244" s="3"/>
      <c r="I244" s="3"/>
      <c r="J244" s="3"/>
      <c r="K244" s="25" t="s">
        <v>78</v>
      </c>
      <c r="L244" s="38">
        <f t="shared" ref="L244:O244" si="20">SUMIF($F$13:$F$233,$K244,L$13:L$233)</f>
        <v>677622.42813199991</v>
      </c>
      <c r="M244" s="38">
        <f t="shared" si="20"/>
        <v>54145.975881546969</v>
      </c>
      <c r="N244" s="211">
        <f t="shared" si="20"/>
        <v>5.7811773225857754</v>
      </c>
      <c r="O244" s="211">
        <f t="shared" si="20"/>
        <v>0.34221639259313963</v>
      </c>
      <c r="P244" s="3"/>
      <c r="Q244" s="3"/>
      <c r="R244" s="3"/>
      <c r="S244" s="3"/>
      <c r="T244" s="3"/>
      <c r="U244" s="3"/>
      <c r="V244" s="3"/>
      <c r="W244" s="3"/>
      <c r="X244" s="3"/>
      <c r="Y244" s="3"/>
      <c r="Z244" s="3"/>
      <c r="AA244" s="3"/>
      <c r="AB244" s="3"/>
      <c r="AC244" s="3"/>
      <c r="AD244" s="3"/>
      <c r="AE244" s="3"/>
      <c r="AF244" s="3"/>
      <c r="AG244" s="3"/>
      <c r="AH244" s="3"/>
      <c r="AI244" s="3"/>
    </row>
    <row r="245" spans="1:35" ht="12.75" x14ac:dyDescent="0.2">
      <c r="A245" s="3"/>
      <c r="B245" s="3"/>
      <c r="C245" s="3"/>
      <c r="D245" s="3"/>
      <c r="E245" s="2"/>
      <c r="F245" s="2"/>
      <c r="G245" s="2"/>
      <c r="H245" s="2"/>
      <c r="I245" s="2"/>
      <c r="J245" s="2"/>
      <c r="K245" s="25" t="s">
        <v>238</v>
      </c>
      <c r="L245" s="38">
        <f t="shared" ref="L245:O245" si="21">SUMIF($F$13:$F$233,$K245,L$13:L$233)</f>
        <v>635343.34952960059</v>
      </c>
      <c r="M245" s="38">
        <f t="shared" si="21"/>
        <v>56827.272966760429</v>
      </c>
      <c r="N245" s="211">
        <f t="shared" si="21"/>
        <v>2.2309890372849379</v>
      </c>
      <c r="O245" s="211">
        <f t="shared" si="21"/>
        <v>0.45037780745698763</v>
      </c>
      <c r="P245" s="3"/>
      <c r="Q245" s="3"/>
      <c r="R245" s="3"/>
      <c r="S245" s="3"/>
      <c r="T245" s="3"/>
      <c r="U245" s="3"/>
      <c r="V245" s="3"/>
      <c r="W245" s="3"/>
      <c r="X245" s="3"/>
      <c r="Y245" s="3"/>
      <c r="Z245" s="3"/>
      <c r="AA245" s="3"/>
      <c r="AB245" s="3"/>
      <c r="AC245" s="3"/>
      <c r="AD245" s="3"/>
      <c r="AE245" s="3"/>
      <c r="AF245" s="3"/>
      <c r="AG245" s="3"/>
      <c r="AH245" s="3"/>
      <c r="AI245" s="3"/>
    </row>
    <row r="246" spans="1:35" ht="12.75" x14ac:dyDescent="0.2">
      <c r="A246" s="3"/>
      <c r="B246" s="3"/>
      <c r="C246" s="3"/>
      <c r="D246" s="3"/>
      <c r="E246" s="2"/>
      <c r="F246" s="2"/>
      <c r="G246" s="2"/>
      <c r="H246" s="2"/>
      <c r="I246" s="2"/>
      <c r="J246" s="2"/>
      <c r="K246" s="25" t="s">
        <v>350</v>
      </c>
      <c r="L246" s="38">
        <f t="shared" ref="L246:O246" si="22">SUMIF($F$13:$F$233,$K246,L$13:L$233)</f>
        <v>158.45050000000001</v>
      </c>
      <c r="M246" s="38">
        <f t="shared" si="22"/>
        <v>10.98</v>
      </c>
      <c r="N246" s="211">
        <f t="shared" si="22"/>
        <v>0</v>
      </c>
      <c r="O246" s="211">
        <f t="shared" si="22"/>
        <v>0</v>
      </c>
      <c r="P246" s="3"/>
      <c r="Q246" s="3"/>
      <c r="R246" s="3"/>
      <c r="S246" s="3"/>
      <c r="T246" s="3"/>
      <c r="U246" s="3"/>
      <c r="V246" s="3"/>
      <c r="W246" s="3"/>
      <c r="X246" s="3"/>
      <c r="Y246" s="3"/>
      <c r="Z246" s="3"/>
      <c r="AA246" s="3"/>
      <c r="AB246" s="3"/>
      <c r="AC246" s="3"/>
      <c r="AD246" s="3"/>
      <c r="AE246" s="3"/>
      <c r="AF246" s="3"/>
      <c r="AG246" s="3"/>
      <c r="AH246" s="3"/>
      <c r="AI246" s="3"/>
    </row>
    <row r="247" spans="1:35" ht="12.75" x14ac:dyDescent="0.2">
      <c r="A247" s="3"/>
      <c r="B247" s="2"/>
      <c r="C247" s="2"/>
      <c r="D247" s="2"/>
      <c r="E247" s="2"/>
      <c r="F247" s="2"/>
      <c r="G247" s="2"/>
      <c r="H247" s="2"/>
      <c r="I247" s="2"/>
      <c r="J247" s="2"/>
      <c r="K247" s="72" t="s">
        <v>575</v>
      </c>
      <c r="L247" s="212">
        <f t="shared" ref="L247:O247" si="23">SUM(L242:L246)</f>
        <v>139271974.99908161</v>
      </c>
      <c r="M247" s="212">
        <f t="shared" si="23"/>
        <v>9123998.904688973</v>
      </c>
      <c r="N247" s="213">
        <f t="shared" si="23"/>
        <v>423.12100713245303</v>
      </c>
      <c r="O247" s="213">
        <f t="shared" si="23"/>
        <v>60.512015852582181</v>
      </c>
      <c r="P247" s="3"/>
      <c r="Q247" s="3"/>
      <c r="R247" s="3"/>
      <c r="S247" s="3"/>
      <c r="T247" s="3"/>
      <c r="U247" s="3"/>
      <c r="V247" s="3"/>
      <c r="W247" s="3"/>
      <c r="X247" s="3"/>
      <c r="Y247" s="3"/>
      <c r="Z247" s="3"/>
      <c r="AA247" s="3"/>
      <c r="AB247" s="3"/>
      <c r="AC247" s="3"/>
      <c r="AD247" s="3"/>
      <c r="AE247" s="3"/>
      <c r="AF247" s="3"/>
      <c r="AG247" s="3"/>
      <c r="AH247" s="3"/>
      <c r="AI247" s="3"/>
    </row>
    <row r="248" spans="1:35" ht="12.75" x14ac:dyDescent="0.2">
      <c r="A248" s="3"/>
      <c r="B248" s="2"/>
      <c r="C248" s="2"/>
      <c r="D248" s="2"/>
      <c r="E248" s="2"/>
      <c r="F248" s="2"/>
      <c r="G248" s="2"/>
      <c r="H248" s="2"/>
      <c r="I248" s="2"/>
      <c r="J248" s="2"/>
      <c r="K248" s="2"/>
      <c r="L248" s="2"/>
      <c r="M248" s="2"/>
      <c r="N248" s="2"/>
      <c r="O248" s="2"/>
      <c r="P248" s="3"/>
      <c r="Q248" s="3"/>
      <c r="R248" s="3"/>
      <c r="S248" s="3"/>
      <c r="T248" s="3"/>
      <c r="U248" s="3"/>
      <c r="V248" s="3"/>
      <c r="W248" s="3"/>
      <c r="X248" s="3"/>
      <c r="Y248" s="3"/>
      <c r="Z248" s="3"/>
      <c r="AA248" s="3"/>
      <c r="AB248" s="3"/>
      <c r="AC248" s="3"/>
      <c r="AD248" s="3"/>
      <c r="AE248" s="3"/>
      <c r="AF248" s="3"/>
      <c r="AG248" s="3"/>
      <c r="AH248" s="3"/>
      <c r="AI248" s="3"/>
    </row>
    <row r="249" spans="1:35" ht="15.75" x14ac:dyDescent="0.25">
      <c r="A249" s="3"/>
      <c r="B249" s="2"/>
      <c r="C249" s="2"/>
      <c r="D249" s="2"/>
      <c r="E249" s="2"/>
      <c r="F249" s="2"/>
      <c r="G249" s="2"/>
      <c r="H249" s="2"/>
      <c r="I249" s="2"/>
      <c r="J249" s="2"/>
      <c r="K249" s="2018" t="s">
        <v>577</v>
      </c>
      <c r="L249" s="2017"/>
      <c r="M249" s="2017"/>
      <c r="N249" s="2017"/>
      <c r="O249" s="2009"/>
      <c r="P249" s="3"/>
      <c r="Q249" s="3"/>
      <c r="R249" s="3"/>
      <c r="S249" s="3"/>
      <c r="T249" s="3"/>
      <c r="U249" s="3"/>
      <c r="V249" s="3"/>
      <c r="W249" s="3"/>
      <c r="X249" s="3"/>
      <c r="Y249" s="3"/>
      <c r="Z249" s="3"/>
      <c r="AA249" s="3"/>
      <c r="AB249" s="3"/>
      <c r="AC249" s="3"/>
      <c r="AD249" s="3"/>
      <c r="AE249" s="3"/>
      <c r="AF249" s="3"/>
      <c r="AG249" s="3"/>
      <c r="AH249" s="3"/>
      <c r="AI249" s="3"/>
    </row>
    <row r="250" spans="1:35" ht="25.5" x14ac:dyDescent="0.2">
      <c r="A250" s="3"/>
      <c r="B250" s="2"/>
      <c r="C250" s="2"/>
      <c r="D250" s="2"/>
      <c r="E250" s="2"/>
      <c r="F250" s="2"/>
      <c r="G250" s="2"/>
      <c r="H250" s="2"/>
      <c r="I250" s="2"/>
      <c r="J250" s="2"/>
      <c r="K250" s="210" t="s">
        <v>49</v>
      </c>
      <c r="L250" s="210" t="s">
        <v>55</v>
      </c>
      <c r="M250" s="210" t="s">
        <v>579</v>
      </c>
      <c r="N250" s="210" t="s">
        <v>1853</v>
      </c>
      <c r="O250" s="210" t="s">
        <v>580</v>
      </c>
      <c r="P250" s="3"/>
      <c r="Q250" s="3"/>
      <c r="R250" s="3"/>
      <c r="S250" s="3"/>
      <c r="T250" s="3"/>
      <c r="U250" s="3"/>
      <c r="V250" s="3"/>
      <c r="W250" s="3"/>
      <c r="X250" s="3"/>
      <c r="Y250" s="3"/>
      <c r="Z250" s="3"/>
      <c r="AA250" s="3"/>
      <c r="AB250" s="3"/>
      <c r="AC250" s="3"/>
      <c r="AD250" s="3"/>
      <c r="AE250" s="3"/>
      <c r="AF250" s="3"/>
      <c r="AG250" s="3"/>
      <c r="AH250" s="3"/>
      <c r="AI250" s="3"/>
    </row>
    <row r="251" spans="1:35" ht="12.75" x14ac:dyDescent="0.2">
      <c r="A251" s="3"/>
      <c r="B251" s="2"/>
      <c r="C251" s="2"/>
      <c r="D251" s="2"/>
      <c r="E251" s="2"/>
      <c r="F251" s="2"/>
      <c r="G251" s="2"/>
      <c r="H251" s="2"/>
      <c r="I251" s="2"/>
      <c r="J251" s="2"/>
      <c r="K251" s="25" t="s">
        <v>72</v>
      </c>
      <c r="L251" s="38">
        <f t="shared" ref="L251:L255" si="24">SUMIF($F$13:$F$233,$K251,L$13:L$233)</f>
        <v>21831729.859999999</v>
      </c>
      <c r="M251" s="38">
        <f t="shared" ref="M251:O251" si="25">M242*0.907185</f>
        <v>2028882.0964991946</v>
      </c>
      <c r="N251" s="211">
        <f t="shared" si="25"/>
        <v>246.24288451435092</v>
      </c>
      <c r="O251" s="211">
        <f t="shared" si="25"/>
        <v>35.875694913692243</v>
      </c>
      <c r="P251" s="3"/>
      <c r="Q251" s="3"/>
      <c r="R251" s="3"/>
      <c r="S251" s="3"/>
      <c r="T251" s="3"/>
      <c r="U251" s="3"/>
      <c r="V251" s="3"/>
      <c r="W251" s="3"/>
      <c r="X251" s="3"/>
      <c r="Y251" s="3"/>
      <c r="Z251" s="3"/>
      <c r="AA251" s="3"/>
      <c r="AB251" s="3"/>
      <c r="AC251" s="3"/>
      <c r="AD251" s="3"/>
      <c r="AE251" s="3"/>
      <c r="AF251" s="3"/>
      <c r="AG251" s="3"/>
      <c r="AH251" s="3"/>
      <c r="AI251" s="3"/>
    </row>
    <row r="252" spans="1:35" ht="12.75" x14ac:dyDescent="0.2">
      <c r="A252" s="3"/>
      <c r="B252" s="3"/>
      <c r="C252" s="3"/>
      <c r="D252" s="3"/>
      <c r="E252" s="3"/>
      <c r="F252" s="3"/>
      <c r="G252" s="3"/>
      <c r="H252" s="3"/>
      <c r="I252" s="3"/>
      <c r="J252" s="3"/>
      <c r="K252" s="25" t="s">
        <v>29</v>
      </c>
      <c r="L252" s="38">
        <f t="shared" si="24"/>
        <v>116127120.91092001</v>
      </c>
      <c r="M252" s="38">
        <f t="shared" ref="M252:O252" si="26">M243*0.907185</f>
        <v>6147589.6222033193</v>
      </c>
      <c r="N252" s="211">
        <f t="shared" si="26"/>
        <v>130.33762920192416</v>
      </c>
      <c r="O252" s="211">
        <f t="shared" si="26"/>
        <v>18.300868618160049</v>
      </c>
      <c r="P252" s="3"/>
      <c r="Q252" s="3"/>
      <c r="R252" s="3"/>
      <c r="S252" s="3"/>
      <c r="T252" s="3"/>
      <c r="U252" s="3"/>
      <c r="V252" s="3"/>
      <c r="W252" s="3"/>
      <c r="X252" s="3"/>
      <c r="Y252" s="3"/>
      <c r="Z252" s="3"/>
      <c r="AA252" s="3"/>
      <c r="AB252" s="3"/>
      <c r="AC252" s="3"/>
      <c r="AD252" s="3"/>
      <c r="AE252" s="3"/>
      <c r="AF252" s="3"/>
      <c r="AG252" s="3"/>
      <c r="AH252" s="3"/>
      <c r="AI252" s="3"/>
    </row>
    <row r="253" spans="1:35" ht="12.75" x14ac:dyDescent="0.2">
      <c r="A253" s="3"/>
      <c r="B253" s="3"/>
      <c r="C253" s="3"/>
      <c r="D253" s="3"/>
      <c r="E253" s="3"/>
      <c r="F253" s="3"/>
      <c r="G253" s="3"/>
      <c r="H253" s="3"/>
      <c r="I253" s="3"/>
      <c r="J253" s="3"/>
      <c r="K253" s="25" t="s">
        <v>78</v>
      </c>
      <c r="L253" s="38">
        <f t="shared" si="24"/>
        <v>677622.42813199991</v>
      </c>
      <c r="M253" s="38">
        <f t="shared" ref="M253:O253" si="27">M244*0.907185</f>
        <v>49120.417130101188</v>
      </c>
      <c r="N253" s="211">
        <f t="shared" si="27"/>
        <v>5.2445973493899771</v>
      </c>
      <c r="O253" s="211">
        <f t="shared" si="27"/>
        <v>0.31045357811460739</v>
      </c>
      <c r="P253" s="3"/>
      <c r="Q253" s="3"/>
      <c r="R253" s="3"/>
      <c r="S253" s="3"/>
      <c r="T253" s="3"/>
      <c r="U253" s="3"/>
      <c r="V253" s="3"/>
      <c r="W253" s="3"/>
      <c r="X253" s="3"/>
      <c r="Y253" s="3"/>
      <c r="Z253" s="3"/>
      <c r="AA253" s="3"/>
      <c r="AB253" s="3"/>
      <c r="AC253" s="3"/>
      <c r="AD253" s="3"/>
      <c r="AE253" s="3"/>
      <c r="AF253" s="3"/>
      <c r="AG253" s="3"/>
      <c r="AH253" s="3"/>
      <c r="AI253" s="3"/>
    </row>
    <row r="254" spans="1:35" ht="23.25" x14ac:dyDescent="0.35">
      <c r="A254" s="3"/>
      <c r="B254" s="214"/>
      <c r="C254" s="214"/>
      <c r="D254" s="214"/>
      <c r="E254" s="12"/>
      <c r="F254" s="12"/>
      <c r="G254" s="12"/>
      <c r="H254" s="12"/>
      <c r="I254" s="12"/>
      <c r="J254" s="12"/>
      <c r="K254" s="25" t="s">
        <v>238</v>
      </c>
      <c r="L254" s="38">
        <f t="shared" si="24"/>
        <v>635343.34952960059</v>
      </c>
      <c r="M254" s="38">
        <f t="shared" ref="M254:O254" si="28">M245*0.907185</f>
        <v>51552.849626350559</v>
      </c>
      <c r="N254" s="211">
        <f t="shared" si="28"/>
        <v>2.0239197897893364</v>
      </c>
      <c r="O254" s="211">
        <f t="shared" si="28"/>
        <v>0.40857599125786731</v>
      </c>
      <c r="P254" s="3"/>
      <c r="Q254" s="3"/>
      <c r="R254" s="3"/>
      <c r="S254" s="3"/>
      <c r="T254" s="3"/>
      <c r="U254" s="3"/>
      <c r="V254" s="3"/>
      <c r="W254" s="3"/>
      <c r="X254" s="3"/>
      <c r="Y254" s="3"/>
      <c r="Z254" s="3"/>
      <c r="AA254" s="3"/>
      <c r="AB254" s="3"/>
      <c r="AC254" s="3"/>
      <c r="AD254" s="3"/>
      <c r="AE254" s="3"/>
      <c r="AF254" s="3"/>
      <c r="AG254" s="3"/>
      <c r="AH254" s="3"/>
      <c r="AI254" s="3"/>
    </row>
    <row r="255" spans="1:35" ht="23.25" x14ac:dyDescent="0.35">
      <c r="A255" s="3"/>
      <c r="B255" s="215"/>
      <c r="C255" s="1"/>
      <c r="D255" s="2"/>
      <c r="E255" s="12"/>
      <c r="F255" s="12"/>
      <c r="G255" s="12"/>
      <c r="H255" s="12"/>
      <c r="I255" s="12"/>
      <c r="J255" s="12"/>
      <c r="K255" s="25" t="s">
        <v>350</v>
      </c>
      <c r="L255" s="38">
        <f t="shared" si="24"/>
        <v>158.45050000000001</v>
      </c>
      <c r="M255" s="38">
        <f t="shared" ref="M255:O255" si="29">M246*0.907185</f>
        <v>9.9608913000000001</v>
      </c>
      <c r="N255" s="211">
        <f t="shared" si="29"/>
        <v>0</v>
      </c>
      <c r="O255" s="211">
        <f t="shared" si="29"/>
        <v>0</v>
      </c>
      <c r="P255" s="3"/>
      <c r="Q255" s="3"/>
      <c r="R255" s="3"/>
      <c r="S255" s="3"/>
      <c r="T255" s="3"/>
      <c r="U255" s="3"/>
      <c r="V255" s="3"/>
      <c r="W255" s="3"/>
      <c r="X255" s="3"/>
      <c r="Y255" s="3"/>
      <c r="Z255" s="3"/>
      <c r="AA255" s="3"/>
      <c r="AB255" s="3"/>
      <c r="AC255" s="3"/>
      <c r="AD255" s="3"/>
      <c r="AE255" s="3"/>
      <c r="AF255" s="3"/>
      <c r="AG255" s="3"/>
      <c r="AH255" s="3"/>
      <c r="AI255" s="3"/>
    </row>
    <row r="256" spans="1:35" ht="12.75" x14ac:dyDescent="0.2">
      <c r="A256" s="3"/>
      <c r="B256" s="29"/>
      <c r="C256" s="29"/>
      <c r="D256" s="29"/>
      <c r="E256" s="29"/>
      <c r="F256" s="29"/>
      <c r="G256" s="29"/>
      <c r="H256" s="12"/>
      <c r="I256" s="12"/>
      <c r="J256" s="12"/>
      <c r="K256" s="72" t="s">
        <v>575</v>
      </c>
      <c r="L256" s="212">
        <f t="shared" ref="L256:O256" si="30">SUM(L251:L255)</f>
        <v>139271974.99908161</v>
      </c>
      <c r="M256" s="212">
        <f t="shared" si="30"/>
        <v>8277154.9463502653</v>
      </c>
      <c r="N256" s="213">
        <f t="shared" si="30"/>
        <v>383.84903085545437</v>
      </c>
      <c r="O256" s="213">
        <f t="shared" si="30"/>
        <v>54.895593101224769</v>
      </c>
      <c r="P256" s="3"/>
      <c r="Q256" s="3"/>
      <c r="R256" s="3"/>
      <c r="S256" s="3"/>
      <c r="T256" s="3"/>
      <c r="U256" s="3"/>
      <c r="V256" s="3"/>
      <c r="W256" s="3"/>
      <c r="X256" s="3"/>
      <c r="Y256" s="3"/>
      <c r="Z256" s="3"/>
      <c r="AA256" s="3"/>
      <c r="AB256" s="3"/>
      <c r="AC256" s="3"/>
      <c r="AD256" s="3"/>
      <c r="AE256" s="3"/>
      <c r="AF256" s="3"/>
      <c r="AG256" s="3"/>
      <c r="AH256" s="3"/>
      <c r="AI256" s="3"/>
    </row>
    <row r="257" spans="1:35" ht="12.75" x14ac:dyDescent="0.2">
      <c r="A257" s="3"/>
      <c r="B257" s="216"/>
      <c r="C257" s="216"/>
      <c r="D257" s="3"/>
      <c r="E257" s="3"/>
      <c r="F257" s="3"/>
      <c r="G257" s="3"/>
      <c r="H257" s="12"/>
      <c r="I257" s="12"/>
      <c r="J257" s="12"/>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row>
    <row r="258" spans="1:35" ht="15.75" x14ac:dyDescent="0.25">
      <c r="A258" s="3"/>
      <c r="B258" s="3"/>
      <c r="C258" s="3"/>
      <c r="D258" s="138"/>
      <c r="E258" s="138"/>
      <c r="F258" s="138"/>
      <c r="G258" s="138"/>
      <c r="H258" s="2019" t="str">
        <f>Summary!D2</f>
        <v>Global Warming Potential</v>
      </c>
      <c r="I258" s="2009"/>
      <c r="J258" s="12"/>
      <c r="K258" s="2018" t="s">
        <v>587</v>
      </c>
      <c r="L258" s="2017"/>
      <c r="M258" s="2017"/>
      <c r="N258" s="2017"/>
      <c r="O258" s="2009"/>
      <c r="P258" s="3"/>
      <c r="Q258" s="3"/>
      <c r="R258" s="3"/>
      <c r="S258" s="3"/>
      <c r="T258" s="3"/>
      <c r="U258" s="3"/>
      <c r="V258" s="3"/>
      <c r="W258" s="3"/>
      <c r="X258" s="3"/>
      <c r="Y258" s="3"/>
      <c r="Z258" s="3"/>
      <c r="AA258" s="3"/>
      <c r="AB258" s="3"/>
      <c r="AC258" s="3"/>
      <c r="AD258" s="3"/>
      <c r="AE258" s="3"/>
      <c r="AF258" s="3"/>
      <c r="AG258" s="3"/>
      <c r="AH258" s="3"/>
      <c r="AI258" s="3"/>
    </row>
    <row r="259" spans="1:35" ht="25.5" x14ac:dyDescent="0.2">
      <c r="A259" s="3"/>
      <c r="B259" s="3"/>
      <c r="C259" s="3"/>
      <c r="D259" s="138"/>
      <c r="E259" s="138"/>
      <c r="F259" s="138"/>
      <c r="G259" s="138"/>
      <c r="H259" s="217"/>
      <c r="I259" s="218" t="str">
        <f>Summary!E3</f>
        <v>AR6 100-yr GWP</v>
      </c>
      <c r="J259" s="12"/>
      <c r="K259" s="210" t="s">
        <v>49</v>
      </c>
      <c r="L259" s="210" t="s">
        <v>55</v>
      </c>
      <c r="M259" s="210" t="s">
        <v>588</v>
      </c>
      <c r="N259" s="210" t="s">
        <v>589</v>
      </c>
      <c r="O259" s="210" t="s">
        <v>590</v>
      </c>
      <c r="P259" s="3"/>
      <c r="Q259" s="3"/>
      <c r="R259" s="3"/>
      <c r="S259" s="3"/>
      <c r="T259" s="3"/>
      <c r="U259" s="3"/>
      <c r="V259" s="3"/>
      <c r="W259" s="3"/>
      <c r="X259" s="3"/>
      <c r="Y259" s="3"/>
      <c r="Z259" s="3"/>
      <c r="AA259" s="3"/>
      <c r="AB259" s="3"/>
      <c r="AC259" s="3"/>
      <c r="AD259" s="3"/>
      <c r="AE259" s="3"/>
      <c r="AF259" s="3"/>
      <c r="AG259" s="3"/>
      <c r="AH259" s="3"/>
      <c r="AI259" s="3"/>
    </row>
    <row r="260" spans="1:35" ht="12.75" x14ac:dyDescent="0.2">
      <c r="A260" s="3"/>
      <c r="B260" s="3"/>
      <c r="C260" s="3"/>
      <c r="D260" s="138"/>
      <c r="E260" s="138"/>
      <c r="F260" s="138"/>
      <c r="G260" s="138"/>
      <c r="H260" s="217" t="str">
        <f>Summary!C4</f>
        <v>CO2</v>
      </c>
      <c r="I260" s="218">
        <f>Summary!E4</f>
        <v>1</v>
      </c>
      <c r="J260" s="12"/>
      <c r="K260" s="25" t="s">
        <v>72</v>
      </c>
      <c r="L260" s="38">
        <f t="shared" ref="L260:L264" si="31">SUMIF($F$13:$F$233,$K260,L$13:L$233)</f>
        <v>21831729.859999999</v>
      </c>
      <c r="M260" s="219">
        <f t="shared" ref="M260:M264" si="32">M251/1000000</f>
        <v>2.0288820964991947</v>
      </c>
      <c r="N260" s="220">
        <f t="shared" ref="N260:N264" si="33">N251/1000000*I$261</f>
        <v>6.8701764779503897E-3</v>
      </c>
      <c r="O260" s="220">
        <f t="shared" ref="O260:O264" si="34">O251/1000000*I$262</f>
        <v>9.7940647114379813E-3</v>
      </c>
      <c r="P260" s="3"/>
      <c r="Q260" s="3"/>
      <c r="R260" s="3"/>
      <c r="S260" s="3"/>
      <c r="T260" s="3"/>
      <c r="U260" s="3"/>
      <c r="V260" s="3"/>
      <c r="W260" s="3"/>
      <c r="X260" s="3"/>
      <c r="Y260" s="3"/>
      <c r="Z260" s="3"/>
      <c r="AA260" s="3"/>
      <c r="AB260" s="3"/>
      <c r="AC260" s="3"/>
      <c r="AD260" s="3"/>
      <c r="AE260" s="3"/>
      <c r="AF260" s="3"/>
      <c r="AG260" s="3"/>
      <c r="AH260" s="3"/>
      <c r="AI260" s="3"/>
    </row>
    <row r="261" spans="1:35" ht="12.75" x14ac:dyDescent="0.2">
      <c r="A261" s="3"/>
      <c r="B261" s="3"/>
      <c r="C261" s="3"/>
      <c r="D261" s="138"/>
      <c r="E261" s="138"/>
      <c r="F261" s="138"/>
      <c r="G261" s="138"/>
      <c r="H261" s="217" t="str">
        <f>Summary!C5</f>
        <v>CH4</v>
      </c>
      <c r="I261" s="218">
        <f>Summary!E5</f>
        <v>27.9</v>
      </c>
      <c r="J261" s="12"/>
      <c r="K261" s="25" t="s">
        <v>29</v>
      </c>
      <c r="L261" s="38">
        <f t="shared" si="31"/>
        <v>116127120.91092001</v>
      </c>
      <c r="M261" s="219">
        <f t="shared" si="32"/>
        <v>6.1475896222033191</v>
      </c>
      <c r="N261" s="220">
        <f t="shared" si="33"/>
        <v>3.6364198547336837E-3</v>
      </c>
      <c r="O261" s="220">
        <f t="shared" si="34"/>
        <v>4.9961371327576932E-3</v>
      </c>
      <c r="P261" s="3"/>
      <c r="Q261" s="3"/>
      <c r="R261" s="3"/>
      <c r="S261" s="3"/>
      <c r="T261" s="3"/>
      <c r="U261" s="3"/>
      <c r="V261" s="3"/>
      <c r="W261" s="3"/>
      <c r="X261" s="3"/>
      <c r="Y261" s="3"/>
      <c r="Z261" s="3"/>
      <c r="AA261" s="3"/>
      <c r="AB261" s="3"/>
      <c r="AC261" s="3"/>
      <c r="AD261" s="3"/>
      <c r="AE261" s="3"/>
      <c r="AF261" s="3"/>
      <c r="AG261" s="3"/>
      <c r="AH261" s="3"/>
      <c r="AI261" s="3"/>
    </row>
    <row r="262" spans="1:35" ht="12.75" x14ac:dyDescent="0.2">
      <c r="A262" s="3"/>
      <c r="B262" s="3"/>
      <c r="C262" s="3"/>
      <c r="D262" s="138"/>
      <c r="E262" s="138"/>
      <c r="F262" s="138"/>
      <c r="G262" s="138"/>
      <c r="H262" s="217" t="str">
        <f>Summary!C6</f>
        <v>N2O</v>
      </c>
      <c r="I262" s="218">
        <f>Summary!E6</f>
        <v>273</v>
      </c>
      <c r="J262" s="12"/>
      <c r="K262" s="25" t="s">
        <v>78</v>
      </c>
      <c r="L262" s="38">
        <f t="shared" si="31"/>
        <v>677622.42813199991</v>
      </c>
      <c r="M262" s="219">
        <f t="shared" si="32"/>
        <v>4.9120417130101186E-2</v>
      </c>
      <c r="N262" s="220">
        <f t="shared" si="33"/>
        <v>1.4632426604798036E-4</v>
      </c>
      <c r="O262" s="220">
        <f t="shared" si="34"/>
        <v>8.4753826825287822E-5</v>
      </c>
      <c r="P262" s="3"/>
      <c r="Q262" s="3"/>
      <c r="R262" s="3"/>
      <c r="S262" s="3"/>
      <c r="T262" s="3"/>
      <c r="U262" s="3"/>
      <c r="V262" s="3"/>
      <c r="W262" s="3"/>
      <c r="X262" s="3"/>
      <c r="Y262" s="3"/>
      <c r="Z262" s="3"/>
      <c r="AA262" s="3"/>
      <c r="AB262" s="3"/>
      <c r="AC262" s="3"/>
      <c r="AD262" s="3"/>
      <c r="AE262" s="3"/>
      <c r="AF262" s="3"/>
      <c r="AG262" s="3"/>
      <c r="AH262" s="3"/>
      <c r="AI262" s="3"/>
    </row>
    <row r="263" spans="1:35" ht="12.75" x14ac:dyDescent="0.2">
      <c r="A263" s="3"/>
      <c r="B263" s="3"/>
      <c r="C263" s="3"/>
      <c r="D263" s="3"/>
      <c r="E263" s="221"/>
      <c r="F263" s="221"/>
      <c r="G263" s="138"/>
      <c r="H263" s="217" t="str">
        <f>Summary!C7</f>
        <v>SF6</v>
      </c>
      <c r="I263" s="222">
        <f>Summary!E7</f>
        <v>24300</v>
      </c>
      <c r="J263" s="12"/>
      <c r="K263" s="25" t="s">
        <v>238</v>
      </c>
      <c r="L263" s="38">
        <f t="shared" si="31"/>
        <v>635343.34952960059</v>
      </c>
      <c r="M263" s="219">
        <f t="shared" si="32"/>
        <v>5.155284962635056E-2</v>
      </c>
      <c r="N263" s="220">
        <f t="shared" si="33"/>
        <v>5.646736213512248E-5</v>
      </c>
      <c r="O263" s="220">
        <f t="shared" si="34"/>
        <v>1.1154124561339778E-4</v>
      </c>
      <c r="P263" s="3"/>
      <c r="Q263" s="3"/>
      <c r="R263" s="3"/>
      <c r="S263" s="3"/>
      <c r="T263" s="3"/>
      <c r="U263" s="3"/>
      <c r="V263" s="3"/>
      <c r="W263" s="3"/>
      <c r="X263" s="3"/>
      <c r="Y263" s="3"/>
      <c r="Z263" s="3"/>
      <c r="AA263" s="3"/>
      <c r="AB263" s="3"/>
      <c r="AC263" s="3"/>
      <c r="AD263" s="3"/>
      <c r="AE263" s="3"/>
      <c r="AF263" s="3"/>
      <c r="AG263" s="3"/>
      <c r="AH263" s="3"/>
      <c r="AI263" s="3"/>
    </row>
    <row r="264" spans="1:35" ht="12.75" x14ac:dyDescent="0.2">
      <c r="A264" s="3"/>
      <c r="B264" s="3"/>
      <c r="C264" s="3"/>
      <c r="D264" s="3"/>
      <c r="E264" s="12"/>
      <c r="F264" s="12"/>
      <c r="G264" s="12"/>
      <c r="H264" s="12"/>
      <c r="I264" s="12"/>
      <c r="J264" s="12"/>
      <c r="K264" s="25" t="s">
        <v>350</v>
      </c>
      <c r="L264" s="38">
        <f t="shared" si="31"/>
        <v>158.45050000000001</v>
      </c>
      <c r="M264" s="223">
        <f t="shared" si="32"/>
        <v>9.9608913E-6</v>
      </c>
      <c r="N264" s="220">
        <f t="shared" si="33"/>
        <v>0</v>
      </c>
      <c r="O264" s="220">
        <f t="shared" si="34"/>
        <v>0</v>
      </c>
      <c r="P264" s="3"/>
      <c r="Q264" s="3"/>
      <c r="R264" s="3"/>
      <c r="S264" s="3"/>
      <c r="T264" s="3"/>
      <c r="U264" s="3"/>
      <c r="V264" s="3"/>
      <c r="W264" s="3"/>
      <c r="X264" s="3"/>
      <c r="Y264" s="3"/>
      <c r="Z264" s="3"/>
      <c r="AA264" s="3"/>
      <c r="AB264" s="3"/>
      <c r="AC264" s="3"/>
      <c r="AD264" s="3"/>
      <c r="AE264" s="3"/>
      <c r="AF264" s="3"/>
      <c r="AG264" s="3"/>
      <c r="AH264" s="3"/>
      <c r="AI264" s="3"/>
    </row>
    <row r="265" spans="1:35" ht="12.75" x14ac:dyDescent="0.2">
      <c r="A265" s="3"/>
      <c r="B265" s="3"/>
      <c r="C265" s="3"/>
      <c r="D265" s="3"/>
      <c r="E265" s="12"/>
      <c r="F265" s="12"/>
      <c r="G265" s="12"/>
      <c r="H265" s="12"/>
      <c r="I265" s="12"/>
      <c r="J265" s="12"/>
      <c r="K265" s="72" t="s">
        <v>575</v>
      </c>
      <c r="L265" s="212">
        <f t="shared" ref="L265:O265" si="35">SUM(L260:L264)</f>
        <v>139271974.99908161</v>
      </c>
      <c r="M265" s="224">
        <f t="shared" si="35"/>
        <v>8.2771549463502652</v>
      </c>
      <c r="N265" s="225">
        <f t="shared" si="35"/>
        <v>1.0709387960867177E-2</v>
      </c>
      <c r="O265" s="225">
        <f t="shared" si="35"/>
        <v>1.4986496916634359E-2</v>
      </c>
      <c r="P265" s="3"/>
      <c r="Q265" s="3"/>
      <c r="R265" s="3"/>
      <c r="S265" s="3"/>
      <c r="T265" s="3"/>
      <c r="U265" s="3"/>
      <c r="V265" s="3"/>
      <c r="W265" s="3"/>
      <c r="X265" s="3"/>
      <c r="Y265" s="3"/>
      <c r="Z265" s="3"/>
      <c r="AA265" s="3"/>
      <c r="AB265" s="3"/>
      <c r="AC265" s="3"/>
      <c r="AD265" s="3"/>
      <c r="AE265" s="3"/>
      <c r="AF265" s="3"/>
      <c r="AG265" s="3"/>
      <c r="AH265" s="3"/>
      <c r="AI265" s="3"/>
    </row>
    <row r="266" spans="1:35" ht="12.75" x14ac:dyDescent="0.2">
      <c r="A266" s="3"/>
      <c r="B266" s="3"/>
      <c r="C266" s="3"/>
      <c r="D266" s="3"/>
      <c r="E266" s="12"/>
      <c r="F266" s="12"/>
      <c r="G266" s="12"/>
      <c r="H266" s="12"/>
      <c r="I266" s="12"/>
      <c r="J266" s="12"/>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row>
    <row r="267" spans="1:35" ht="25.5" x14ac:dyDescent="0.2">
      <c r="A267" s="3"/>
      <c r="B267" s="3"/>
      <c r="C267" s="3"/>
      <c r="D267" s="3"/>
      <c r="E267" s="29"/>
      <c r="F267" s="29"/>
      <c r="G267" s="29"/>
      <c r="H267" s="12"/>
      <c r="I267" s="2"/>
      <c r="J267" s="2"/>
      <c r="K267" s="210" t="s">
        <v>188</v>
      </c>
      <c r="L267" s="210" t="s">
        <v>55</v>
      </c>
      <c r="M267" s="210" t="s">
        <v>588</v>
      </c>
      <c r="N267" s="210" t="s">
        <v>589</v>
      </c>
      <c r="O267" s="210" t="s">
        <v>590</v>
      </c>
      <c r="P267" s="3"/>
      <c r="Q267" s="3"/>
      <c r="R267" s="3"/>
      <c r="S267" s="3"/>
      <c r="T267" s="3"/>
      <c r="U267" s="3"/>
      <c r="V267" s="3"/>
      <c r="W267" s="3"/>
      <c r="X267" s="3"/>
      <c r="Y267" s="3"/>
      <c r="Z267" s="3"/>
      <c r="AA267" s="3"/>
      <c r="AB267" s="3"/>
      <c r="AC267" s="3"/>
      <c r="AD267" s="3"/>
      <c r="AE267" s="3"/>
      <c r="AF267" s="3"/>
      <c r="AG267" s="3"/>
      <c r="AH267" s="3"/>
      <c r="AI267" s="3"/>
    </row>
    <row r="268" spans="1:35" ht="12.75" x14ac:dyDescent="0.2">
      <c r="A268" s="3"/>
      <c r="B268" s="216"/>
      <c r="C268" s="216"/>
      <c r="D268" s="3"/>
      <c r="E268" s="3"/>
      <c r="F268" s="3"/>
      <c r="G268" s="3"/>
      <c r="H268" s="12"/>
      <c r="I268" s="2"/>
      <c r="J268" s="2"/>
      <c r="K268" s="25" t="s">
        <v>72</v>
      </c>
      <c r="L268" s="38">
        <f t="shared" ref="L268:O268" si="36">L260</f>
        <v>21831729.859999999</v>
      </c>
      <c r="M268" s="219">
        <f t="shared" si="36"/>
        <v>2.0288820964991947</v>
      </c>
      <c r="N268" s="220">
        <f t="shared" si="36"/>
        <v>6.8701764779503897E-3</v>
      </c>
      <c r="O268" s="220">
        <f t="shared" si="36"/>
        <v>9.7940647114379813E-3</v>
      </c>
      <c r="P268" s="3"/>
      <c r="Q268" s="3"/>
      <c r="R268" s="3"/>
      <c r="S268" s="3"/>
      <c r="T268" s="3"/>
      <c r="U268" s="3"/>
      <c r="V268" s="3"/>
      <c r="W268" s="3"/>
      <c r="X268" s="3"/>
      <c r="Y268" s="3"/>
      <c r="Z268" s="3"/>
      <c r="AA268" s="3"/>
      <c r="AB268" s="3"/>
      <c r="AC268" s="3"/>
      <c r="AD268" s="3"/>
      <c r="AE268" s="3"/>
      <c r="AF268" s="3"/>
      <c r="AG268" s="3"/>
      <c r="AH268" s="3"/>
      <c r="AI268" s="3"/>
    </row>
    <row r="269" spans="1:35" ht="12.75" x14ac:dyDescent="0.2">
      <c r="A269" s="3"/>
      <c r="B269" s="3"/>
      <c r="C269" s="3"/>
      <c r="D269" s="138"/>
      <c r="E269" s="182"/>
      <c r="F269" s="182"/>
      <c r="G269" s="182"/>
      <c r="H269" s="12"/>
      <c r="I269" s="2"/>
      <c r="J269" s="2"/>
      <c r="K269" s="25" t="s">
        <v>29</v>
      </c>
      <c r="L269" s="38">
        <f t="shared" ref="L269:O269" si="37">L261</f>
        <v>116127120.91092001</v>
      </c>
      <c r="M269" s="219">
        <f t="shared" si="37"/>
        <v>6.1475896222033191</v>
      </c>
      <c r="N269" s="220">
        <f t="shared" si="37"/>
        <v>3.6364198547336837E-3</v>
      </c>
      <c r="O269" s="220">
        <f t="shared" si="37"/>
        <v>4.9961371327576932E-3</v>
      </c>
      <c r="P269" s="3"/>
      <c r="Q269" s="3"/>
      <c r="R269" s="3"/>
      <c r="S269" s="3"/>
      <c r="T269" s="3"/>
      <c r="U269" s="3"/>
      <c r="V269" s="3"/>
      <c r="W269" s="3"/>
      <c r="X269" s="3"/>
      <c r="Y269" s="3"/>
      <c r="Z269" s="3"/>
      <c r="AA269" s="3"/>
      <c r="AB269" s="3"/>
      <c r="AC269" s="3"/>
      <c r="AD269" s="3"/>
      <c r="AE269" s="3"/>
      <c r="AF269" s="3"/>
      <c r="AG269" s="3"/>
      <c r="AH269" s="3"/>
      <c r="AI269" s="3"/>
    </row>
    <row r="270" spans="1:35" ht="12.75" x14ac:dyDescent="0.2">
      <c r="A270" s="3"/>
      <c r="B270" s="3"/>
      <c r="C270" s="3"/>
      <c r="D270" s="138"/>
      <c r="E270" s="182"/>
      <c r="F270" s="182"/>
      <c r="G270" s="182"/>
      <c r="H270" s="12"/>
      <c r="I270" s="2"/>
      <c r="J270" s="2"/>
      <c r="K270" s="25" t="s">
        <v>94</v>
      </c>
      <c r="L270" s="38">
        <f t="shared" ref="L270:O270" si="38">L262+L263+L264</f>
        <v>1313124.2281616007</v>
      </c>
      <c r="M270" s="219">
        <f t="shared" si="38"/>
        <v>0.10068322764775174</v>
      </c>
      <c r="N270" s="220">
        <f t="shared" si="38"/>
        <v>2.0279162818310283E-4</v>
      </c>
      <c r="O270" s="220">
        <f t="shared" si="38"/>
        <v>1.9629507243868561E-4</v>
      </c>
      <c r="P270" s="3"/>
      <c r="Q270" s="3"/>
      <c r="R270" s="3"/>
      <c r="S270" s="3"/>
      <c r="T270" s="3"/>
      <c r="U270" s="3"/>
      <c r="V270" s="3"/>
      <c r="W270" s="3"/>
      <c r="X270" s="3"/>
      <c r="Y270" s="3"/>
      <c r="Z270" s="3"/>
      <c r="AA270" s="3"/>
      <c r="AB270" s="3"/>
      <c r="AC270" s="3"/>
      <c r="AD270" s="3"/>
      <c r="AE270" s="3"/>
      <c r="AF270" s="3"/>
      <c r="AG270" s="3"/>
      <c r="AH270" s="3"/>
      <c r="AI270" s="3"/>
    </row>
    <row r="271" spans="1:35" ht="12.75" x14ac:dyDescent="0.2">
      <c r="A271" s="3"/>
      <c r="B271" s="3"/>
      <c r="C271" s="3"/>
      <c r="D271" s="138"/>
      <c r="E271" s="182"/>
      <c r="F271" s="182"/>
      <c r="G271" s="182"/>
      <c r="H271" s="12"/>
      <c r="I271" s="2"/>
      <c r="J271" s="2"/>
      <c r="K271" s="72" t="s">
        <v>575</v>
      </c>
      <c r="L271" s="212">
        <f t="shared" ref="L271:O271" si="39">SUM(L266:L270)</f>
        <v>139271974.99908161</v>
      </c>
      <c r="M271" s="224">
        <f t="shared" si="39"/>
        <v>8.2771549463502652</v>
      </c>
      <c r="N271" s="225">
        <f t="shared" si="39"/>
        <v>1.0709387960867177E-2</v>
      </c>
      <c r="O271" s="225">
        <f t="shared" si="39"/>
        <v>1.4986496916634361E-2</v>
      </c>
      <c r="P271" s="3"/>
      <c r="Q271" s="3"/>
      <c r="R271" s="3"/>
      <c r="S271" s="3"/>
      <c r="T271" s="3"/>
      <c r="U271" s="3"/>
      <c r="V271" s="3"/>
      <c r="W271" s="3"/>
      <c r="X271" s="3"/>
      <c r="Y271" s="3"/>
      <c r="Z271" s="3"/>
      <c r="AA271" s="3"/>
      <c r="AB271" s="3"/>
      <c r="AC271" s="3"/>
      <c r="AD271" s="3"/>
      <c r="AE271" s="3"/>
      <c r="AF271" s="3"/>
      <c r="AG271" s="3"/>
      <c r="AH271" s="3"/>
      <c r="AI271" s="3"/>
    </row>
    <row r="272" spans="1:35" ht="12.75" customHeight="1" x14ac:dyDescent="0.2">
      <c r="A272" s="3"/>
      <c r="B272" s="3"/>
      <c r="C272" s="3"/>
      <c r="D272" s="138"/>
      <c r="E272" s="182"/>
      <c r="F272" s="182"/>
      <c r="G272" s="182"/>
      <c r="H272" s="12"/>
      <c r="I272" s="2"/>
      <c r="J272" s="2"/>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row>
    <row r="273" spans="1:35" ht="12.75" customHeight="1" x14ac:dyDescent="0.2">
      <c r="A273" s="3"/>
      <c r="B273" s="3"/>
      <c r="C273" s="3"/>
      <c r="D273" s="138"/>
      <c r="E273" s="182"/>
      <c r="F273" s="182"/>
      <c r="G273" s="182"/>
      <c r="H273" s="12"/>
      <c r="I273" s="226"/>
      <c r="J273" s="227"/>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row>
    <row r="274" spans="1:35" ht="12.75" customHeight="1" x14ac:dyDescent="0.2">
      <c r="A274" s="3"/>
      <c r="B274" s="216"/>
      <c r="C274" s="3"/>
      <c r="D274" s="138"/>
      <c r="E274" s="228"/>
      <c r="F274" s="228"/>
      <c r="G274" s="228"/>
      <c r="H274" s="12"/>
      <c r="I274" s="12"/>
      <c r="J274" s="12"/>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row>
    <row r="275" spans="1:35" ht="12.75" customHeight="1"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row>
    <row r="276" spans="1:35" ht="12.75" customHeight="1"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row>
    <row r="277" spans="1:35" ht="12.75" customHeight="1"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row>
    <row r="278" spans="1:35" ht="12.75" customHeight="1"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row>
    <row r="279" spans="1:35" ht="12.75" customHeight="1"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row>
    <row r="280" spans="1:35" ht="12.75" customHeight="1"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row>
    <row r="281" spans="1:35" ht="12.75" customHeight="1"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row>
    <row r="282" spans="1:35" ht="12.75" customHeight="1"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row>
    <row r="283" spans="1:35" ht="12.75" customHeight="1"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row>
    <row r="284" spans="1:35" ht="12.75" customHeight="1"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row>
    <row r="285" spans="1:35" ht="12.75" customHeight="1"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row>
    <row r="286" spans="1:35" ht="12.75" customHeight="1"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row>
    <row r="287" spans="1:35" ht="12.75" customHeight="1"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row>
    <row r="288" spans="1:35" ht="12.75" customHeight="1"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row>
    <row r="289" spans="1:35" ht="12.75" customHeight="1"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row>
    <row r="290" spans="1:35" ht="12.75" customHeight="1"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row>
    <row r="291" spans="1:35" ht="12.75" customHeight="1"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row>
    <row r="292" spans="1:35" ht="12.75" customHeight="1"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row>
    <row r="293" spans="1:35" ht="12.75" customHeight="1"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row>
    <row r="294" spans="1:35" ht="12.75" customHeight="1"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row>
    <row r="295" spans="1:35" ht="12.75" customHeight="1"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row>
    <row r="296" spans="1:35" ht="12.75" customHeight="1"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row>
    <row r="297" spans="1:35" ht="12.75" customHeight="1"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row>
    <row r="298" spans="1:35" ht="12.75" customHeight="1"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row>
    <row r="299" spans="1:35" ht="12.75" customHeight="1"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row>
    <row r="300" spans="1:35" ht="12.75" customHeight="1"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row>
    <row r="301" spans="1:35" ht="12.75" customHeight="1"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row>
    <row r="302" spans="1:35" ht="12.75" customHeight="1"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row>
    <row r="303" spans="1:35" ht="12.75" customHeight="1"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row>
    <row r="304" spans="1:35" ht="12.75" customHeight="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row>
    <row r="305" spans="1:35" ht="12.75" customHeight="1"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row>
    <row r="306" spans="1:35" ht="12.75" customHeight="1"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row>
    <row r="307" spans="1:35" ht="12.75" customHeight="1"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row>
    <row r="308" spans="1:35" ht="12.75" customHeight="1"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row>
    <row r="309" spans="1:35" ht="12.75" customHeight="1"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row>
    <row r="310" spans="1:35" ht="12.75" customHeight="1"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row>
    <row r="311" spans="1:35" ht="12.75" customHeight="1"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row>
    <row r="312" spans="1:35" ht="12.75" customHeight="1"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row>
    <row r="313" spans="1:35" ht="12.75" customHeight="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row>
    <row r="314" spans="1:35" ht="12.75" customHeight="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row>
    <row r="315" spans="1:35" ht="12.75" customHeight="1"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row>
    <row r="316" spans="1:35" ht="12.75" customHeight="1"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row>
    <row r="317" spans="1:35" ht="12.75" customHeight="1"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row>
    <row r="318" spans="1:35" ht="12.75" customHeight="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row>
    <row r="319" spans="1:35" ht="12.75" customHeight="1"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row>
    <row r="320" spans="1:35" ht="12.75" customHeight="1"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row>
    <row r="321" spans="1:35" ht="12.75" customHeight="1"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row>
    <row r="322" spans="1:35" ht="12.75" customHeight="1"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row>
    <row r="323" spans="1:35" ht="12.75" customHeight="1"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row>
    <row r="324" spans="1:35" ht="12.75" customHeight="1"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row>
    <row r="325" spans="1:35" ht="12.75" customHeight="1"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row>
    <row r="326" spans="1:35" ht="12.75" customHeight="1"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row>
    <row r="327" spans="1:35" ht="12.75" customHeight="1"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row>
    <row r="328" spans="1:35" ht="12.75" customHeight="1"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row>
    <row r="329" spans="1:35" ht="12.75" customHeight="1"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row>
    <row r="330" spans="1:35" ht="12.75" customHeight="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row>
    <row r="331" spans="1:35" ht="12.75" customHeight="1"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row>
    <row r="332" spans="1:35" ht="12.75" customHeight="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row>
    <row r="333" spans="1:35" ht="12.75" customHeight="1"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row>
    <row r="334" spans="1:35" ht="12.75" customHeight="1"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row>
    <row r="335" spans="1:35" ht="12.75" customHeight="1"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row>
    <row r="336" spans="1:35" ht="12.75" customHeight="1"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row>
    <row r="337" spans="1:35" ht="12.75" customHeight="1"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row>
    <row r="338" spans="1:35" ht="12.75" customHeight="1"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row>
    <row r="339" spans="1:35" ht="12.75" customHeight="1"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row>
    <row r="340" spans="1:35" ht="12.75" customHeight="1"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row>
    <row r="341" spans="1:35" ht="12.75" customHeight="1"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row>
    <row r="342" spans="1:35" ht="12.75" customHeight="1"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row>
    <row r="343" spans="1:35" ht="12.75" customHeight="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row>
    <row r="344" spans="1:35" ht="12.75" customHeight="1"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row>
    <row r="345" spans="1:35" ht="12.75" customHeight="1"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row>
    <row r="346" spans="1:35" ht="12.75" customHeight="1"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row>
    <row r="347" spans="1:35" ht="12.75" customHeight="1"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row>
    <row r="348" spans="1:35" ht="12.75" customHeight="1"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row>
    <row r="349" spans="1:35" ht="12.75" customHeight="1"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row>
    <row r="350" spans="1:35" ht="12.75" customHeight="1"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row>
    <row r="351" spans="1:35" ht="12.75" customHeight="1"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row>
    <row r="352" spans="1:35" ht="12.75" customHeight="1"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row>
    <row r="353" spans="1:35" ht="12.75" customHeight="1"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row>
    <row r="354" spans="1:35" ht="12.75" customHeight="1"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row>
    <row r="355" spans="1:35" ht="12.75" customHeight="1"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row>
    <row r="356" spans="1:35" ht="12.75" customHeight="1"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row>
    <row r="357" spans="1:35" ht="12.75" customHeight="1"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row>
    <row r="358" spans="1:35" ht="12.75" customHeight="1"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row>
    <row r="359" spans="1:35" ht="12.75" customHeight="1"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row>
    <row r="360" spans="1:35" ht="12.75" customHeight="1"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row>
    <row r="361" spans="1:35" ht="12.75" customHeight="1"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row>
    <row r="362" spans="1:35" ht="12.75" customHeight="1"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row>
    <row r="363" spans="1:35" ht="12.75" customHeight="1"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row>
    <row r="364" spans="1:35" ht="12.75" customHeight="1"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row>
    <row r="365" spans="1:35" ht="12.75" customHeight="1"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row>
    <row r="366" spans="1:35" ht="12.75" customHeight="1"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row>
    <row r="367" spans="1:35" ht="12.75" customHeight="1"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row>
    <row r="368" spans="1:35" ht="12.75" customHeight="1"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row>
    <row r="369" spans="1:35" ht="12.75" customHeight="1"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row>
    <row r="370" spans="1:35" ht="12.75" customHeight="1"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row>
    <row r="371" spans="1:35" ht="12.75" customHeight="1"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row>
    <row r="372" spans="1:35" ht="12.75" customHeight="1"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row>
    <row r="373" spans="1:35" ht="12.75" customHeight="1"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row>
    <row r="374" spans="1:35" ht="12.75" customHeight="1"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row>
    <row r="375" spans="1:35" ht="12.75" customHeight="1"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row>
    <row r="376" spans="1:35" ht="12.75" customHeight="1"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row>
    <row r="377" spans="1:35" ht="12.75" customHeight="1"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row>
    <row r="378" spans="1:35" ht="12.75" customHeight="1"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row>
    <row r="379" spans="1:35" ht="12.75" customHeight="1"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row>
    <row r="380" spans="1:35" ht="12.75" customHeight="1"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row>
    <row r="381" spans="1:35" ht="12.75" customHeight="1"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row>
    <row r="382" spans="1:35" ht="12.75" customHeight="1"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row>
    <row r="383" spans="1:35" ht="12.75" customHeight="1"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row>
    <row r="384" spans="1:35" ht="12.75" customHeight="1"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row>
    <row r="385" spans="1:35" ht="12.75" customHeight="1"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row>
    <row r="386" spans="1:35" ht="12.75" customHeight="1"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row>
    <row r="387" spans="1:35" ht="12.75" customHeight="1"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row>
    <row r="388" spans="1:35" ht="12.75" customHeight="1"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row>
    <row r="389" spans="1:35" ht="12.75" customHeight="1"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row>
    <row r="390" spans="1:35" ht="12.75" customHeight="1"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row>
    <row r="391" spans="1:35" ht="12.75" customHeight="1"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row>
    <row r="392" spans="1:35" ht="12.75" customHeight="1"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row>
    <row r="393" spans="1:35" ht="12.75" customHeight="1"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row>
    <row r="394" spans="1:35" ht="12.75" customHeight="1"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row>
    <row r="395" spans="1:35" ht="12.75" customHeight="1"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row>
    <row r="396" spans="1:35" ht="12.75" customHeight="1"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row>
    <row r="397" spans="1:35" ht="12.75" customHeight="1"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row>
    <row r="398" spans="1:35" ht="12.75" customHeight="1"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row>
    <row r="399" spans="1:35" ht="12.75" customHeight="1"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row>
    <row r="400" spans="1:35" ht="12.75" customHeight="1"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row>
    <row r="401" spans="1:35" ht="12.75" customHeight="1"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row>
    <row r="402" spans="1:35" ht="12.75" customHeight="1"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row>
    <row r="403" spans="1:35" ht="12.75" customHeight="1"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row>
    <row r="404" spans="1:35" ht="12.75" customHeight="1"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row>
    <row r="405" spans="1:35" ht="12.75" customHeight="1"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row>
    <row r="406" spans="1:35" ht="12.75" customHeight="1"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row>
    <row r="407" spans="1:35" ht="12.75" customHeight="1"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row>
    <row r="408" spans="1:35" ht="12.75" customHeight="1"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row>
    <row r="409" spans="1:35" ht="12.75" customHeight="1"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row>
    <row r="410" spans="1:35" ht="12.75" customHeight="1"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row>
    <row r="411" spans="1:35" ht="12.75" customHeight="1"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row>
    <row r="412" spans="1:35" ht="12.75" customHeight="1"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row>
    <row r="413" spans="1:35" ht="12.75" customHeight="1"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row>
    <row r="414" spans="1:35" ht="12.75" customHeight="1"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row>
    <row r="415" spans="1:35" ht="12.75" customHeight="1"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row>
    <row r="416" spans="1:35" ht="12.75" customHeight="1"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row>
    <row r="417" spans="1:35" ht="12.75" customHeight="1"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row>
    <row r="418" spans="1:35" ht="12.75" customHeight="1"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row>
    <row r="419" spans="1:35" ht="12.75" customHeight="1"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row>
    <row r="420" spans="1:35" ht="12.75" customHeight="1"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row>
    <row r="421" spans="1:35" ht="12.75" customHeight="1"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row>
    <row r="422" spans="1:35" ht="12.75" customHeight="1"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row>
    <row r="423" spans="1:35" ht="12.75" customHeight="1"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row>
    <row r="424" spans="1:35" ht="12.75" customHeight="1"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row>
    <row r="425" spans="1:35" ht="12.75" customHeight="1"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row>
    <row r="426" spans="1:35" ht="12.75" customHeight="1"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row>
    <row r="427" spans="1:35" ht="12.75" customHeight="1"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row>
    <row r="428" spans="1:35" ht="12.75" customHeight="1"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row>
    <row r="429" spans="1:35" ht="12.75" customHeight="1"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row>
    <row r="430" spans="1:35" ht="12.75" customHeight="1"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row>
    <row r="431" spans="1:35" ht="12.75" customHeight="1"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row>
    <row r="432" spans="1:35" ht="12.75" customHeight="1"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row>
    <row r="433" spans="1:35" ht="12.75" customHeight="1"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row>
    <row r="434" spans="1:35" ht="12.75" customHeight="1"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row>
    <row r="435" spans="1:35" ht="12.75" customHeight="1"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row>
    <row r="436" spans="1:35" ht="12.75" customHeight="1"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row>
    <row r="437" spans="1:35" ht="12.75" customHeight="1"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row>
    <row r="438" spans="1:35" ht="12.75" customHeight="1"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row>
    <row r="439" spans="1:35" ht="12.75" customHeight="1"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row>
    <row r="440" spans="1:35" ht="12.75" customHeight="1"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row>
    <row r="441" spans="1:35" ht="12.75" customHeight="1"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row>
    <row r="442" spans="1:35" ht="12.75" customHeight="1"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row>
    <row r="443" spans="1:35" ht="12.75" customHeight="1"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row>
    <row r="444" spans="1:35" ht="12.75" customHeight="1"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row>
    <row r="445" spans="1:35" ht="12.75" customHeight="1"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row>
    <row r="446" spans="1:35" ht="12.75" customHeight="1"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row>
    <row r="447" spans="1:35" ht="12.75" customHeight="1"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row>
    <row r="448" spans="1:35" ht="12.75" customHeight="1"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row>
    <row r="449" spans="1:35" ht="12.75" customHeight="1"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row>
    <row r="450" spans="1:35" ht="12.75" customHeight="1"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row>
    <row r="451" spans="1:35" ht="12.75" customHeight="1"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row>
    <row r="452" spans="1:35" ht="12.75" customHeight="1"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row>
    <row r="453" spans="1:35" ht="12.75" customHeight="1"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row>
    <row r="454" spans="1:35" ht="12.75" customHeight="1"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row>
    <row r="455" spans="1:35" ht="12.75" customHeight="1"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row>
    <row r="456" spans="1:35" ht="12.75" customHeight="1"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row>
    <row r="457" spans="1:35" ht="12.75" customHeight="1"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row>
    <row r="458" spans="1:35" ht="12.75" customHeight="1"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row>
    <row r="459" spans="1:35" ht="12.75" customHeight="1"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row>
    <row r="460" spans="1:35" ht="12.75" customHeight="1"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row>
    <row r="461" spans="1:35" ht="12.75" customHeight="1"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row>
    <row r="462" spans="1:35" ht="12.75" customHeight="1"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row>
    <row r="463" spans="1:35" ht="12.75" customHeight="1"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row>
    <row r="464" spans="1:35" ht="12.75" customHeight="1"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row>
    <row r="465" spans="1:35" ht="12.75" customHeight="1"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row>
    <row r="466" spans="1:35" ht="12.75" customHeight="1"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row>
    <row r="467" spans="1:35" ht="12.75" customHeight="1"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row>
    <row r="468" spans="1:35" ht="12.75" customHeight="1"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row>
    <row r="469" spans="1:35" ht="12.75" customHeight="1"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row>
    <row r="470" spans="1:35" ht="12.75" customHeight="1"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row>
    <row r="471" spans="1:35" ht="12.75" customHeight="1"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row>
    <row r="472" spans="1:35" ht="12.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row>
    <row r="473" spans="1:35" ht="12.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row>
    <row r="474" spans="1:35" ht="12.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row>
    <row r="475" spans="1:35" ht="12.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row>
    <row r="476" spans="1:35" ht="12.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row>
    <row r="477" spans="1:35" ht="12.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row>
    <row r="478" spans="1:35" ht="12.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row>
    <row r="479" spans="1:35" ht="12.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row>
    <row r="480" spans="1:35" ht="12.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row>
    <row r="481" spans="1:35" ht="12.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row>
    <row r="482" spans="1:35" ht="12.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row>
    <row r="483" spans="1:35" ht="12.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row>
    <row r="484" spans="1:35" ht="12.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row>
    <row r="485" spans="1:35" ht="12.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row>
    <row r="486" spans="1:35" ht="12.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row>
    <row r="487" spans="1:35" ht="12.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row>
    <row r="488" spans="1:35" ht="12.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row>
    <row r="489" spans="1:35" ht="12.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row>
    <row r="490" spans="1:35" ht="12.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row>
    <row r="491" spans="1:35" ht="12.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row>
    <row r="492" spans="1:35" ht="12.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row>
    <row r="493" spans="1:35" ht="12.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row>
    <row r="494" spans="1:35" ht="12.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row>
    <row r="495" spans="1:35" ht="12.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row>
    <row r="496" spans="1:35" ht="12.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row>
    <row r="497" spans="1:35" ht="12.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row>
    <row r="498" spans="1:35" ht="12.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row>
    <row r="499" spans="1:35" ht="12.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row>
    <row r="500" spans="1:35" ht="12.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row>
    <row r="501" spans="1:35" ht="12.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row>
    <row r="502" spans="1:35" ht="12.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row>
    <row r="503" spans="1:35" ht="12.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row>
    <row r="504" spans="1:35" ht="12.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row>
    <row r="505" spans="1:35" ht="12.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row>
    <row r="506" spans="1:35" ht="12.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row>
    <row r="507" spans="1:35" ht="12.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row>
    <row r="508" spans="1:35" ht="12.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row>
    <row r="509" spans="1:35" ht="12.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row>
    <row r="510" spans="1:35" ht="12.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row>
    <row r="511" spans="1:35" ht="12.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row>
    <row r="512" spans="1:35" ht="12.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row>
    <row r="513" spans="1:35" ht="12.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row>
    <row r="514" spans="1:35" ht="12.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row>
    <row r="515" spans="1:35" ht="12.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row>
    <row r="516" spans="1:35" ht="12.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row>
    <row r="517" spans="1:35" ht="12.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row>
    <row r="518" spans="1:35" ht="12.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row>
    <row r="519" spans="1:35" ht="12.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row>
    <row r="520" spans="1:35" ht="12.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row>
    <row r="521" spans="1:35" ht="12.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row>
    <row r="522" spans="1:35" ht="12.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row>
    <row r="523" spans="1:35" ht="12.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row>
    <row r="524" spans="1:35" ht="12.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row>
    <row r="525" spans="1:35" ht="12.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row>
    <row r="526" spans="1:35" ht="12.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row>
    <row r="527" spans="1:35" ht="12.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row>
    <row r="528" spans="1:35" ht="12.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row>
    <row r="529" spans="1:35" ht="12.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row>
    <row r="530" spans="1:35" ht="12.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row>
    <row r="531" spans="1:35" ht="12.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row>
    <row r="532" spans="1:35" ht="12.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row>
    <row r="533" spans="1:35" ht="12.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row>
    <row r="534" spans="1:35" ht="12.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row>
    <row r="535" spans="1:35" ht="12.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row>
    <row r="536" spans="1:35" ht="12.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row>
    <row r="537" spans="1:35" ht="12.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row>
    <row r="538" spans="1:35" ht="12.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row>
    <row r="539" spans="1:35" ht="12.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row>
    <row r="540" spans="1:35" ht="12.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row>
    <row r="541" spans="1:35" ht="12.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row>
    <row r="542" spans="1:35" ht="12.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row>
    <row r="543" spans="1:35" ht="12.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row>
    <row r="544" spans="1:35" ht="12.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row>
    <row r="545" spans="1:35" ht="12.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row>
    <row r="546" spans="1:35" ht="12.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row>
    <row r="547" spans="1:35" ht="12.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row>
    <row r="548" spans="1:35" ht="12.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row>
    <row r="549" spans="1:35" ht="12.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row>
    <row r="550" spans="1:35" ht="12.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row>
    <row r="551" spans="1:35" ht="12.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row>
    <row r="552" spans="1:35" ht="12.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row>
    <row r="553" spans="1:35" ht="12.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row>
    <row r="554" spans="1:35" ht="12.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row>
    <row r="555" spans="1:35" ht="12.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row>
    <row r="556" spans="1:35" ht="12.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row>
    <row r="557" spans="1:35" ht="12.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row>
    <row r="558" spans="1:35" ht="12.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row>
    <row r="559" spans="1:35" ht="12.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row>
    <row r="560" spans="1:35" ht="12.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row>
    <row r="561" spans="1:35" ht="12.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row>
    <row r="562" spans="1:35" ht="12.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row>
    <row r="563" spans="1:35" ht="12.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row>
    <row r="564" spans="1:35" ht="12.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row>
    <row r="565" spans="1:35" ht="12.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row>
    <row r="566" spans="1:35" ht="12.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row>
    <row r="567" spans="1:35" ht="12.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row>
    <row r="568" spans="1:35" ht="12.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row>
    <row r="569" spans="1:35" ht="12.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row>
    <row r="570" spans="1:35" ht="12.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row>
    <row r="571" spans="1:35" ht="12.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row>
    <row r="572" spans="1:35" ht="12.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row>
    <row r="573" spans="1:35" ht="12.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row>
    <row r="574" spans="1:35" ht="12.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row>
    <row r="575" spans="1:35" ht="12.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row>
    <row r="576" spans="1:35" ht="12.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row>
    <row r="577" spans="1:35" ht="12.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row>
    <row r="578" spans="1:35" ht="12.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row>
    <row r="579" spans="1:35" ht="12.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row>
    <row r="580" spans="1:35" ht="12.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row>
    <row r="581" spans="1:35" ht="12.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row>
    <row r="582" spans="1:35" ht="12.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row>
    <row r="583" spans="1:35" ht="12.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row>
    <row r="584" spans="1:35" ht="12.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row>
    <row r="585" spans="1:35" ht="12.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row>
    <row r="586" spans="1:35" ht="12.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row>
    <row r="587" spans="1:35" ht="12.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row>
    <row r="588" spans="1:35" ht="12.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row>
    <row r="589" spans="1:35" ht="12.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row>
    <row r="590" spans="1:35" ht="12.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row>
    <row r="591" spans="1:35" ht="12.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row>
    <row r="592" spans="1:35" ht="12.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row>
    <row r="593" spans="1:35" ht="12.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row>
    <row r="594" spans="1:35" ht="12.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row>
    <row r="595" spans="1:35" ht="12.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row>
    <row r="596" spans="1:35" ht="12.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row>
    <row r="597" spans="1:35" ht="12.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row>
    <row r="598" spans="1:35" ht="12.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row>
    <row r="599" spans="1:35" ht="12.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row>
    <row r="600" spans="1:35" ht="12.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row>
    <row r="601" spans="1:35" ht="12.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row>
    <row r="602" spans="1:35" ht="12.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row>
    <row r="603" spans="1:35" ht="12.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row>
    <row r="604" spans="1:35" ht="12.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row>
    <row r="605" spans="1:35" ht="12.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row>
    <row r="606" spans="1:35" ht="12.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row>
    <row r="607" spans="1:35" ht="12.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row>
    <row r="608" spans="1:35" ht="12.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row>
    <row r="609" spans="1:35" ht="12.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row>
    <row r="610" spans="1:35" ht="12.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row>
    <row r="611" spans="1:35" ht="12.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row>
    <row r="612" spans="1:35" ht="12.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row>
    <row r="613" spans="1:35" ht="12.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row>
    <row r="614" spans="1:35" ht="12.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row>
    <row r="615" spans="1:35" ht="12.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row>
    <row r="616" spans="1:35" ht="12.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row>
    <row r="617" spans="1:35" ht="12.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row>
    <row r="618" spans="1:35" ht="12.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row>
    <row r="619" spans="1:35" ht="12.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row>
    <row r="620" spans="1:35" ht="12.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row>
    <row r="621" spans="1:35" ht="12.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row>
    <row r="622" spans="1:35" ht="12.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row>
    <row r="623" spans="1:35" ht="12.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row>
    <row r="624" spans="1:35" ht="12.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row>
    <row r="625" spans="1:35" ht="12.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row>
    <row r="626" spans="1:35" ht="12.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row>
    <row r="627" spans="1:35" ht="12.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row>
    <row r="628" spans="1:35" ht="12.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row>
    <row r="629" spans="1:35" ht="12.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row>
    <row r="630" spans="1:35" ht="12.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row>
    <row r="631" spans="1:35" ht="12.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row>
    <row r="632" spans="1:35" ht="12.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row>
    <row r="633" spans="1:35" ht="12.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row>
    <row r="634" spans="1:35" ht="12.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row>
    <row r="635" spans="1:35" ht="12.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row>
    <row r="636" spans="1:35" ht="12.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row>
    <row r="637" spans="1:35" ht="12.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row>
    <row r="638" spans="1:35" ht="12.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row>
    <row r="639" spans="1:35" ht="12.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row>
    <row r="640" spans="1:35" ht="12.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row>
    <row r="641" spans="1:35" ht="12.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row>
    <row r="642" spans="1:35" ht="12.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row>
    <row r="643" spans="1:35" ht="12.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row>
    <row r="644" spans="1:35" ht="12.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row>
    <row r="645" spans="1:35" ht="12.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row>
    <row r="646" spans="1:35" ht="12.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row>
    <row r="647" spans="1:35" ht="12.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row>
    <row r="648" spans="1:35" ht="12.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row>
    <row r="649" spans="1:35" ht="12.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row>
    <row r="650" spans="1:35" ht="12.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row>
    <row r="651" spans="1:35" ht="12.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row>
    <row r="652" spans="1:35" ht="12.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row>
    <row r="653" spans="1:35" ht="12.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row>
    <row r="654" spans="1:35" ht="12.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row>
    <row r="655" spans="1:35" ht="12.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row>
    <row r="656" spans="1:35" ht="12.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row>
    <row r="657" spans="1:35" ht="12.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row>
    <row r="658" spans="1:35" ht="12.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row>
    <row r="659" spans="1:35" ht="12.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row>
    <row r="660" spans="1:35" ht="12.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row>
    <row r="661" spans="1:35" ht="12.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row>
    <row r="662" spans="1:35" ht="12.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row>
    <row r="663" spans="1:35" ht="12.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row>
    <row r="664" spans="1:35" ht="12.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row>
    <row r="665" spans="1:35" ht="12.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row>
    <row r="666" spans="1:35" ht="12.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row>
    <row r="667" spans="1:35" ht="12.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row>
    <row r="668" spans="1:35" ht="12.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row>
    <row r="669" spans="1:35" ht="12.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row>
    <row r="670" spans="1:35" ht="12.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row>
    <row r="671" spans="1:35" ht="12.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row>
    <row r="672" spans="1:35" ht="12.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row>
    <row r="673" spans="1:35" ht="12.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row>
    <row r="674" spans="1:35" ht="12.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row>
    <row r="675" spans="1:35" ht="12.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row>
    <row r="676" spans="1:35" ht="12.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row>
    <row r="677" spans="1:35" ht="12.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row>
    <row r="678" spans="1:35" ht="12.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row>
    <row r="679" spans="1:35" ht="12.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row>
    <row r="680" spans="1:35" ht="12.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row>
    <row r="681" spans="1:35" ht="12.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row>
    <row r="682" spans="1:35" ht="12.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row>
    <row r="683" spans="1:35" ht="12.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row>
    <row r="684" spans="1:35" ht="12.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row>
    <row r="685" spans="1:35" ht="12.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row>
    <row r="686" spans="1:35" ht="12.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row>
    <row r="687" spans="1:35" ht="12.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row>
    <row r="688" spans="1:35" ht="12.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row>
    <row r="689" spans="1:35" ht="12.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row>
    <row r="690" spans="1:35" ht="12.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row>
    <row r="691" spans="1:35" ht="12.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row>
    <row r="692" spans="1:35" ht="12.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row>
    <row r="693" spans="1:35" ht="12.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row>
    <row r="694" spans="1:35" ht="12.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row>
    <row r="695" spans="1:35" ht="12.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row>
    <row r="696" spans="1:35" ht="12.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row>
    <row r="697" spans="1:35" ht="12.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row>
    <row r="698" spans="1:35" ht="12.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row>
    <row r="699" spans="1:35" ht="12.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row>
    <row r="700" spans="1:35" ht="12.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row>
    <row r="701" spans="1:35" ht="12.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row>
    <row r="702" spans="1:35" ht="12.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row>
    <row r="703" spans="1:35" ht="12.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row>
    <row r="704" spans="1:35" ht="12.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row>
    <row r="705" spans="1:35" ht="12.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row>
    <row r="706" spans="1:35" ht="12.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row>
    <row r="707" spans="1:35" ht="12.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row>
    <row r="708" spans="1:35" ht="12.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row>
    <row r="709" spans="1:35" ht="12.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row>
    <row r="710" spans="1:35" ht="12.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row>
    <row r="711" spans="1:35" ht="12.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row>
    <row r="712" spans="1:35" ht="12.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row>
    <row r="713" spans="1:35" ht="12.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row>
    <row r="714" spans="1:35" ht="12.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row>
    <row r="715" spans="1:35" ht="12.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row>
    <row r="716" spans="1:35" ht="12.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row>
    <row r="717" spans="1:35" ht="12.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row>
    <row r="718" spans="1:35" ht="12.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row>
    <row r="719" spans="1:35" ht="12.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row>
    <row r="720" spans="1:35" ht="12.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row>
    <row r="721" spans="1:35" ht="12.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row>
    <row r="722" spans="1:35" ht="12.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row>
    <row r="723" spans="1:35" ht="12.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row>
    <row r="724" spans="1:35" ht="12.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row>
    <row r="725" spans="1:35" ht="12.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row>
    <row r="726" spans="1:35" ht="12.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row>
    <row r="727" spans="1:35" ht="12.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row>
    <row r="728" spans="1:35" ht="12.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row>
    <row r="729" spans="1:35" ht="12.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row>
    <row r="730" spans="1:35" ht="12.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row>
    <row r="731" spans="1:35" ht="12.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row>
    <row r="732" spans="1:35" ht="12.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row>
    <row r="733" spans="1:35" ht="12.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row>
    <row r="734" spans="1:35" ht="12.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row>
    <row r="735" spans="1:35" ht="12.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row>
    <row r="736" spans="1:35" ht="12.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row>
    <row r="737" spans="1:35" ht="12.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row>
    <row r="738" spans="1:35" ht="12.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row>
    <row r="739" spans="1:35" ht="12.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row>
    <row r="740" spans="1:35" ht="12.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row>
    <row r="741" spans="1:35" ht="12.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row>
    <row r="742" spans="1:35" ht="12.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row>
    <row r="743" spans="1:35" ht="12.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row>
    <row r="744" spans="1:35" ht="12.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row>
    <row r="745" spans="1:35" ht="12.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row>
    <row r="746" spans="1:35" ht="12.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row>
    <row r="747" spans="1:35" ht="12.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row>
    <row r="748" spans="1:35" ht="12.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row>
    <row r="749" spans="1:35" ht="12.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row>
    <row r="750" spans="1:35" ht="12.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row>
    <row r="751" spans="1:35" ht="12.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row>
    <row r="752" spans="1:35" ht="12.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row>
    <row r="753" spans="1:35" ht="12.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row>
    <row r="754" spans="1:35" ht="12.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row>
    <row r="755" spans="1:35" ht="12.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row>
    <row r="756" spans="1:35" ht="12.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row>
    <row r="757" spans="1:35" ht="12.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row>
    <row r="758" spans="1:35" ht="12.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row>
    <row r="759" spans="1:35" ht="12.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row>
    <row r="760" spans="1:35" ht="12.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row>
    <row r="761" spans="1:35" ht="12.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row>
    <row r="762" spans="1:35" ht="12.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row>
    <row r="763" spans="1:35" ht="12.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row>
    <row r="764" spans="1:35" ht="12.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row>
    <row r="765" spans="1:35" ht="12.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row>
    <row r="766" spans="1:35" ht="12.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row>
    <row r="767" spans="1:35" ht="12.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row>
    <row r="768" spans="1:35" ht="12.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row>
    <row r="769" spans="1:35" ht="12.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row>
    <row r="770" spans="1:35" ht="12.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row>
    <row r="771" spans="1:35" ht="12.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row>
    <row r="772" spans="1:35" ht="12.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row>
    <row r="773" spans="1:35" ht="12.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row>
    <row r="774" spans="1:35" ht="12.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row>
    <row r="775" spans="1:35" ht="12.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row>
    <row r="776" spans="1:35" ht="12.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row>
    <row r="777" spans="1:35" ht="12.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row>
    <row r="778" spans="1:35" ht="12.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row>
    <row r="779" spans="1:35" ht="12.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row>
    <row r="780" spans="1:35" ht="12.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row>
    <row r="781" spans="1:35" ht="12.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row>
    <row r="782" spans="1:35" ht="12.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row>
    <row r="783" spans="1:35" ht="12.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row>
    <row r="784" spans="1:35" ht="12.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row>
    <row r="785" spans="1:35" ht="12.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row>
    <row r="786" spans="1:35" ht="12.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row>
    <row r="787" spans="1:35" ht="12.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row>
    <row r="788" spans="1:35" ht="12.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row>
    <row r="789" spans="1:35" ht="12.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row>
    <row r="790" spans="1:35" ht="12.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row>
    <row r="791" spans="1:35" ht="12.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row>
    <row r="792" spans="1:35" ht="12.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row>
    <row r="793" spans="1:35" ht="12.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row>
    <row r="794" spans="1:35" ht="12.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row>
    <row r="795" spans="1:35" ht="12.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row>
    <row r="796" spans="1:35" ht="12.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row>
    <row r="797" spans="1:35" ht="12.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row>
    <row r="798" spans="1:35" ht="12.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row>
    <row r="799" spans="1:35" ht="12.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row>
    <row r="800" spans="1:35" ht="12.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row>
    <row r="801" spans="1:35" ht="12.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row>
    <row r="802" spans="1:35" ht="12.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row>
    <row r="803" spans="1:35" ht="12.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row>
    <row r="804" spans="1:35" ht="12.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row>
    <row r="805" spans="1:35" ht="12.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row>
    <row r="806" spans="1:35" ht="12.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row>
    <row r="807" spans="1:35" ht="12.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row>
    <row r="808" spans="1:35" ht="12.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row>
    <row r="809" spans="1:35" ht="12.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row>
    <row r="810" spans="1:35" ht="12.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row>
    <row r="811" spans="1:35" ht="12.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row>
    <row r="812" spans="1:35" ht="12.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row>
    <row r="813" spans="1:35" ht="12.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row>
    <row r="814" spans="1:35" ht="12.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row>
    <row r="815" spans="1:35" ht="12.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row>
    <row r="816" spans="1:35" ht="12.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row>
    <row r="817" spans="1:35" ht="12.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row>
    <row r="818" spans="1:35" ht="12.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row>
    <row r="819" spans="1:35" ht="12.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row>
    <row r="820" spans="1:35" ht="12.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row>
    <row r="821" spans="1:35" ht="12.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row>
    <row r="822" spans="1:35" ht="12.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row>
    <row r="823" spans="1:35" ht="12.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row>
    <row r="824" spans="1:35" ht="12.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row>
    <row r="825" spans="1:35" ht="12.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row>
    <row r="826" spans="1:35" ht="12.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row>
    <row r="827" spans="1:35" ht="12.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row>
    <row r="828" spans="1:35" ht="12.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row>
    <row r="829" spans="1:35" ht="12.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row>
    <row r="830" spans="1:35" ht="12.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row>
    <row r="831" spans="1:35" ht="12.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row>
    <row r="832" spans="1:35" ht="12.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row>
    <row r="833" spans="1:35" ht="12.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row>
    <row r="834" spans="1:35" ht="12.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row>
    <row r="835" spans="1:35" ht="12.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row>
    <row r="836" spans="1:35" ht="12.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row>
    <row r="837" spans="1:35" ht="12.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row>
    <row r="838" spans="1:35" ht="12.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row>
    <row r="839" spans="1:35" ht="12.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row>
    <row r="840" spans="1:35" ht="12.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row>
    <row r="841" spans="1:35" ht="12.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row>
    <row r="842" spans="1:35" ht="12.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row>
    <row r="843" spans="1:35" ht="12.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row>
    <row r="844" spans="1:35" ht="12.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row>
    <row r="845" spans="1:35" ht="12.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row>
    <row r="846" spans="1:35" ht="12.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row>
    <row r="847" spans="1:35" ht="12.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row>
    <row r="848" spans="1:35" ht="12.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row>
    <row r="849" spans="1:35" ht="12.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row>
    <row r="850" spans="1:35" ht="12.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row>
    <row r="851" spans="1:35" ht="12.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row>
    <row r="852" spans="1:35" ht="12.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row>
    <row r="853" spans="1:35" ht="12.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row>
    <row r="854" spans="1:35" ht="12.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row>
    <row r="855" spans="1:35" ht="12.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row>
    <row r="856" spans="1:35" ht="12.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row>
    <row r="857" spans="1:35" ht="12.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row>
    <row r="858" spans="1:35" ht="12.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row>
    <row r="859" spans="1:35" ht="12.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row>
    <row r="860" spans="1:35" ht="12.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row>
    <row r="861" spans="1:35" ht="12.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row>
    <row r="862" spans="1:35" ht="12.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row>
    <row r="863" spans="1:35" ht="12.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row>
    <row r="864" spans="1:35" ht="12.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row>
    <row r="865" spans="1:35" ht="12.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row>
    <row r="866" spans="1:35" ht="12.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row>
    <row r="867" spans="1:35" ht="12.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row>
    <row r="868" spans="1:35" ht="12.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row>
    <row r="869" spans="1:35" ht="12.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row>
    <row r="870" spans="1:35" ht="12.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row>
    <row r="871" spans="1:35" ht="12.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row>
    <row r="872" spans="1:35" ht="12.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row>
    <row r="873" spans="1:35" ht="12.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row>
    <row r="874" spans="1:35" ht="12.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row>
    <row r="875" spans="1:35" ht="12.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row>
    <row r="876" spans="1:35" ht="12.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row>
    <row r="877" spans="1:35" ht="12.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row>
    <row r="878" spans="1:35" ht="12.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row>
    <row r="879" spans="1:35" ht="12.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row>
    <row r="880" spans="1:35" ht="12.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row>
    <row r="881" spans="1:35" ht="12.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row>
    <row r="882" spans="1:35" ht="12.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row>
    <row r="883" spans="1:35" ht="12.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row>
    <row r="884" spans="1:35" ht="12.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row>
    <row r="885" spans="1:35" ht="12.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row>
    <row r="886" spans="1:35" ht="12.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row>
    <row r="887" spans="1:35" ht="12.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row>
    <row r="888" spans="1:35" ht="12.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row>
    <row r="889" spans="1:35" ht="12.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row>
    <row r="890" spans="1:35" ht="12.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row>
    <row r="891" spans="1:35" ht="12.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row>
    <row r="892" spans="1:35" ht="12.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row>
    <row r="893" spans="1:35" ht="12.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row>
    <row r="894" spans="1:35" ht="12.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row>
    <row r="895" spans="1:35" ht="12.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row>
    <row r="896" spans="1:35" ht="12.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row>
    <row r="897" spans="1:35" ht="12.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row>
    <row r="898" spans="1:35" ht="12.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row>
    <row r="899" spans="1:35" ht="12.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row>
    <row r="900" spans="1:35" ht="12.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row>
    <row r="901" spans="1:35" ht="12.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row>
    <row r="902" spans="1:35" ht="12.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row>
    <row r="903" spans="1:35" ht="12.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row>
    <row r="904" spans="1:35" ht="12.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row>
    <row r="905" spans="1:35" ht="12.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row>
    <row r="906" spans="1:35" ht="12.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row>
    <row r="907" spans="1:35" ht="12.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row>
    <row r="908" spans="1:35" ht="12.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row>
    <row r="909" spans="1:35" ht="12.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row>
    <row r="910" spans="1:35" ht="12.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row>
    <row r="911" spans="1:35" ht="12.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row>
    <row r="912" spans="1:35" ht="12.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row>
    <row r="913" spans="1:35" ht="12.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row>
    <row r="914" spans="1:35" ht="12.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row>
    <row r="915" spans="1:35" ht="12.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row>
    <row r="916" spans="1:35" ht="12.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row>
    <row r="917" spans="1:35" ht="12.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row>
    <row r="918" spans="1:35" ht="12.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row>
    <row r="919" spans="1:35" ht="12.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row>
    <row r="920" spans="1:35" ht="12.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row>
    <row r="921" spans="1:35" ht="12.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row>
    <row r="922" spans="1:35" ht="12.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row>
    <row r="923" spans="1:35" ht="12.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row>
    <row r="924" spans="1:35" ht="12.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row>
    <row r="925" spans="1:35" ht="12.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row>
    <row r="926" spans="1:35" ht="12.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row>
    <row r="927" spans="1:35" ht="12.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row>
    <row r="928" spans="1:35" ht="12.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row>
    <row r="929" spans="1:35" ht="12.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row>
    <row r="930" spans="1:35" ht="12.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row>
    <row r="931" spans="1:35" ht="12.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row>
    <row r="932" spans="1:35" ht="12.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row>
    <row r="933" spans="1:35" ht="12.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row>
    <row r="934" spans="1:35" ht="12.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row>
    <row r="935" spans="1:35" ht="12.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row>
    <row r="936" spans="1:35" ht="12.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row>
    <row r="937" spans="1:35" ht="12.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row>
    <row r="938" spans="1:35" ht="12.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row>
    <row r="939" spans="1:35" ht="12.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row>
    <row r="940" spans="1:35" ht="12.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row>
    <row r="941" spans="1:35" ht="12.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row>
    <row r="942" spans="1:35" ht="12.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row>
    <row r="943" spans="1:35" ht="12.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row>
    <row r="944" spans="1:35" ht="12.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row>
    <row r="945" spans="1:35" ht="12.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row>
    <row r="946" spans="1:35" ht="12.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row>
    <row r="947" spans="1:35" ht="12.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row>
    <row r="948" spans="1:35" ht="12.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row>
    <row r="949" spans="1:35" ht="12.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row>
    <row r="950" spans="1:35" ht="12.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row>
    <row r="951" spans="1:35" ht="12.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row>
    <row r="952" spans="1:35" ht="12.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row>
    <row r="953" spans="1:35" ht="12.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row>
    <row r="954" spans="1:35" ht="12.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row>
    <row r="955" spans="1:35" ht="12.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row>
    <row r="956" spans="1:35" ht="12.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row>
    <row r="957" spans="1:35" ht="12.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row>
    <row r="958" spans="1:35" ht="12.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row>
    <row r="959" spans="1:35" ht="12.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row>
    <row r="960" spans="1:35" ht="12.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row>
    <row r="961" spans="1:35" ht="12.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row>
    <row r="962" spans="1:35" ht="12.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row>
    <row r="963" spans="1:35" ht="12.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row>
    <row r="964" spans="1:35" ht="12.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row>
    <row r="965" spans="1:35" ht="12.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row>
    <row r="966" spans="1:35" ht="12.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row>
    <row r="967" spans="1:35" ht="12.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row>
    <row r="968" spans="1:35" ht="12.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row>
    <row r="969" spans="1:35" ht="12.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row>
    <row r="970" spans="1:35" ht="12.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row>
    <row r="971" spans="1:35" ht="12.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row>
    <row r="972" spans="1:35" ht="12.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row>
    <row r="973" spans="1:35" ht="12.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row>
    <row r="974" spans="1:35" ht="12.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row>
    <row r="975" spans="1:35" ht="12.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row>
    <row r="976" spans="1:35" ht="12.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row>
    <row r="977" spans="1:35" ht="12.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row>
    <row r="978" spans="1:35" ht="12.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row>
    <row r="979" spans="1:35" ht="12.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row>
    <row r="980" spans="1:35" ht="12.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row>
    <row r="981" spans="1:35" ht="12.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row>
    <row r="982" spans="1:35" ht="12.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row>
    <row r="983" spans="1:35" ht="12.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row>
    <row r="984" spans="1:35" ht="12.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row>
    <row r="985" spans="1:35" ht="12.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row>
    <row r="986" spans="1:35" ht="12.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row>
    <row r="987" spans="1:35" ht="12.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row>
    <row r="988" spans="1:35" ht="12.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row>
    <row r="989" spans="1:35" ht="12.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row>
    <row r="990" spans="1:35" ht="12.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row>
    <row r="991" spans="1:35" ht="12.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row>
    <row r="992" spans="1:35" ht="12.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row>
    <row r="993" spans="1:35" ht="12.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row>
    <row r="994" spans="1:35" ht="12.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row>
    <row r="995" spans="1:35" ht="12.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row>
    <row r="996" spans="1:35" ht="12.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row>
    <row r="997" spans="1:35" ht="12.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row>
    <row r="998" spans="1:35" ht="12.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row>
    <row r="999" spans="1:35" ht="12.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row>
    <row r="1000" spans="1:35" ht="12.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row>
  </sheetData>
  <mergeCells count="6">
    <mergeCell ref="F2:H2"/>
    <mergeCell ref="I2:K2"/>
    <mergeCell ref="K240:O240"/>
    <mergeCell ref="K249:O249"/>
    <mergeCell ref="H258:I258"/>
    <mergeCell ref="K258:O258"/>
  </mergeCells>
  <pageMargins left="0.7" right="0.7" top="0.75" bottom="0.75" header="0" footer="0"/>
  <pageSetup orientation="landscape"/>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57"/>
  <sheetViews>
    <sheetView showGridLines="0" workbookViewId="0"/>
  </sheetViews>
  <sheetFormatPr defaultColWidth="16.83203125" defaultRowHeight="15" customHeight="1" x14ac:dyDescent="0.2"/>
  <cols>
    <col min="1" max="1" width="5.6640625" customWidth="1"/>
    <col min="2" max="2" width="63" customWidth="1"/>
    <col min="3" max="26" width="14.6640625" customWidth="1"/>
  </cols>
  <sheetData>
    <row r="1" spans="1:26" ht="15" customHeight="1" x14ac:dyDescent="0.2">
      <c r="A1" s="2"/>
      <c r="B1" s="5"/>
      <c r="C1" s="2"/>
      <c r="D1" s="2"/>
      <c r="E1" s="2"/>
      <c r="F1" s="2"/>
      <c r="G1" s="7"/>
      <c r="H1" s="2"/>
      <c r="I1" s="2"/>
      <c r="J1" s="2"/>
      <c r="K1" s="2"/>
      <c r="L1" s="2"/>
      <c r="M1" s="2"/>
      <c r="N1" s="2"/>
      <c r="O1" s="2"/>
      <c r="P1" s="2"/>
      <c r="Q1" s="2"/>
      <c r="R1" s="2"/>
      <c r="S1" s="2"/>
      <c r="T1" s="2"/>
      <c r="U1" s="2"/>
      <c r="V1" s="2"/>
      <c r="W1" s="2"/>
      <c r="X1" s="2"/>
      <c r="Y1" s="2"/>
      <c r="Z1" s="2"/>
    </row>
    <row r="2" spans="1:26" ht="15.75" x14ac:dyDescent="0.25">
      <c r="A2" s="8"/>
      <c r="B2" s="11" t="s">
        <v>3</v>
      </c>
      <c r="C2" s="2"/>
      <c r="D2" s="2"/>
      <c r="E2" s="2"/>
      <c r="F2" s="2"/>
      <c r="G2" s="7"/>
      <c r="H2" s="2"/>
      <c r="I2" s="2"/>
      <c r="J2" s="2"/>
      <c r="K2" s="2"/>
      <c r="L2" s="2"/>
      <c r="M2" s="2"/>
      <c r="N2" s="2"/>
      <c r="O2" s="2"/>
      <c r="P2" s="2"/>
      <c r="Q2" s="2"/>
      <c r="R2" s="2"/>
      <c r="S2" s="2"/>
      <c r="T2" s="2"/>
      <c r="U2" s="2"/>
      <c r="V2" s="2"/>
      <c r="W2" s="2"/>
      <c r="X2" s="2"/>
      <c r="Y2" s="2"/>
      <c r="Z2" s="2"/>
    </row>
    <row r="3" spans="1:26" ht="15" customHeight="1" x14ac:dyDescent="0.2">
      <c r="A3" s="17"/>
      <c r="B3" s="2"/>
      <c r="C3" s="2"/>
      <c r="D3" s="2"/>
      <c r="E3" s="2"/>
      <c r="F3" s="2"/>
      <c r="G3" s="2"/>
      <c r="H3" s="2"/>
      <c r="I3" s="2"/>
      <c r="J3" s="2"/>
      <c r="K3" s="2"/>
      <c r="L3" s="2"/>
      <c r="M3" s="2"/>
      <c r="N3" s="2"/>
      <c r="O3" s="2"/>
      <c r="P3" s="2"/>
      <c r="Q3" s="2"/>
      <c r="R3" s="2"/>
      <c r="S3" s="2"/>
      <c r="T3" s="2"/>
      <c r="U3" s="2"/>
      <c r="V3" s="2"/>
      <c r="W3" s="2"/>
      <c r="X3" s="2"/>
      <c r="Y3" s="2"/>
      <c r="Z3" s="2"/>
    </row>
    <row r="4" spans="1:26" ht="15" customHeight="1" x14ac:dyDescent="0.2">
      <c r="A4" s="2"/>
      <c r="B4" s="2020" t="s">
        <v>12</v>
      </c>
      <c r="C4" s="2017"/>
      <c r="D4" s="2017"/>
      <c r="E4" s="2017"/>
      <c r="F4" s="2009"/>
      <c r="G4" s="8"/>
      <c r="H4" s="8"/>
      <c r="I4" s="2"/>
      <c r="J4" s="2"/>
      <c r="K4" s="2"/>
      <c r="L4" s="2"/>
      <c r="M4" s="2"/>
      <c r="N4" s="2"/>
      <c r="O4" s="2"/>
      <c r="P4" s="2"/>
      <c r="Q4" s="2"/>
      <c r="R4" s="2"/>
      <c r="S4" s="8"/>
      <c r="T4" s="8"/>
      <c r="U4" s="8"/>
      <c r="V4" s="8"/>
      <c r="W4" s="8"/>
      <c r="X4" s="8"/>
      <c r="Y4" s="8"/>
      <c r="Z4" s="2"/>
    </row>
    <row r="5" spans="1:26" ht="15" customHeight="1" x14ac:dyDescent="0.2">
      <c r="A5" s="2"/>
      <c r="B5" s="23"/>
      <c r="C5" s="23"/>
      <c r="D5" s="23"/>
      <c r="E5" s="23"/>
      <c r="F5" s="8"/>
      <c r="G5" s="8"/>
      <c r="H5" s="8"/>
      <c r="I5" s="2"/>
      <c r="J5" s="2"/>
      <c r="K5" s="2"/>
      <c r="L5" s="2"/>
      <c r="M5" s="2"/>
      <c r="N5" s="2"/>
      <c r="O5" s="2"/>
      <c r="P5" s="2"/>
      <c r="Q5" s="2"/>
      <c r="R5" s="2"/>
      <c r="S5" s="8"/>
      <c r="T5" s="8"/>
      <c r="U5" s="8"/>
      <c r="V5" s="8"/>
      <c r="W5" s="8"/>
      <c r="X5" s="8"/>
      <c r="Y5" s="8"/>
      <c r="Z5" s="2"/>
    </row>
    <row r="6" spans="1:26" ht="15" customHeight="1" x14ac:dyDescent="0.2">
      <c r="A6" s="2"/>
      <c r="B6" s="2021" t="s">
        <v>20</v>
      </c>
      <c r="C6" s="2017"/>
      <c r="D6" s="2017"/>
      <c r="E6" s="2009"/>
      <c r="F6" s="8"/>
      <c r="G6" s="8"/>
      <c r="H6" s="8"/>
      <c r="I6" s="2"/>
      <c r="J6" s="2"/>
      <c r="K6" s="2"/>
      <c r="L6" s="2"/>
      <c r="M6" s="2"/>
      <c r="N6" s="2"/>
      <c r="O6" s="2"/>
      <c r="P6" s="2"/>
      <c r="Q6" s="2"/>
      <c r="R6" s="2"/>
      <c r="S6" s="8"/>
      <c r="T6" s="8"/>
      <c r="U6" s="8"/>
      <c r="V6" s="8"/>
      <c r="W6" s="8"/>
      <c r="X6" s="8"/>
      <c r="Y6" s="8"/>
      <c r="Z6" s="2"/>
    </row>
    <row r="7" spans="1:26" ht="15" customHeight="1" x14ac:dyDescent="0.2">
      <c r="A7" s="2"/>
      <c r="B7" s="2"/>
      <c r="C7" s="2"/>
      <c r="D7" s="2"/>
      <c r="E7" s="2"/>
      <c r="F7" s="2"/>
      <c r="G7" s="2"/>
      <c r="H7" s="2"/>
      <c r="I7" s="2"/>
      <c r="J7" s="2"/>
      <c r="K7" s="2"/>
      <c r="L7" s="2"/>
      <c r="M7" s="2"/>
      <c r="N7" s="2"/>
      <c r="O7" s="2"/>
      <c r="P7" s="2"/>
      <c r="Q7" s="2"/>
      <c r="R7" s="2"/>
      <c r="S7" s="8"/>
      <c r="T7" s="8"/>
      <c r="U7" s="8"/>
      <c r="V7" s="8"/>
      <c r="W7" s="8"/>
      <c r="X7" s="8"/>
      <c r="Y7" s="8"/>
      <c r="Z7" s="2"/>
    </row>
    <row r="8" spans="1:26" ht="15" customHeight="1" x14ac:dyDescent="0.2">
      <c r="A8" s="2"/>
      <c r="B8" s="31" t="s">
        <v>1852</v>
      </c>
      <c r="C8" s="32">
        <v>2001</v>
      </c>
      <c r="D8" s="32">
        <v>2002</v>
      </c>
      <c r="E8" s="32">
        <v>2003</v>
      </c>
      <c r="F8" s="32">
        <v>2004</v>
      </c>
      <c r="G8" s="32">
        <v>2005</v>
      </c>
      <c r="H8" s="32">
        <v>2006</v>
      </c>
      <c r="I8" s="32">
        <v>2007</v>
      </c>
      <c r="J8" s="32">
        <v>2008</v>
      </c>
      <c r="K8" s="32">
        <v>2009</v>
      </c>
      <c r="L8" s="32">
        <v>2010</v>
      </c>
      <c r="M8" s="32">
        <v>2011</v>
      </c>
      <c r="N8" s="32">
        <v>2012</v>
      </c>
      <c r="O8" s="32">
        <v>2013</v>
      </c>
      <c r="P8" s="32">
        <v>2014</v>
      </c>
      <c r="Q8" s="32">
        <v>2015</v>
      </c>
      <c r="R8" s="32">
        <v>2016</v>
      </c>
      <c r="S8" s="35">
        <v>2017</v>
      </c>
      <c r="T8" s="35">
        <v>2018</v>
      </c>
      <c r="U8" s="35">
        <v>2019</v>
      </c>
      <c r="V8" s="35">
        <v>2020</v>
      </c>
      <c r="W8" s="35">
        <v>2021</v>
      </c>
      <c r="X8" s="35">
        <v>2022</v>
      </c>
      <c r="Y8" s="35">
        <v>2023</v>
      </c>
      <c r="Z8" s="2"/>
    </row>
    <row r="9" spans="1:26" ht="15" customHeight="1" x14ac:dyDescent="0.2">
      <c r="A9" s="2"/>
      <c r="B9" s="37" t="s">
        <v>33</v>
      </c>
      <c r="C9" s="39">
        <v>24294096</v>
      </c>
      <c r="D9" s="39">
        <v>25489053</v>
      </c>
      <c r="E9" s="39">
        <v>26671274</v>
      </c>
      <c r="F9" s="39">
        <v>27951978</v>
      </c>
      <c r="G9" s="39">
        <v>28439645</v>
      </c>
      <c r="H9" s="39">
        <v>26905386</v>
      </c>
      <c r="I9" s="39">
        <v>28194802</v>
      </c>
      <c r="J9" s="39">
        <v>27144255</v>
      </c>
      <c r="K9" s="39">
        <v>26944566</v>
      </c>
      <c r="L9" s="39">
        <v>28934074</v>
      </c>
      <c r="M9" s="39">
        <v>27295675</v>
      </c>
      <c r="N9" s="39">
        <v>26678158</v>
      </c>
      <c r="O9" s="39">
        <v>27448367</v>
      </c>
      <c r="P9" s="39">
        <v>27487633</v>
      </c>
      <c r="Q9" s="39">
        <v>27403336</v>
      </c>
      <c r="R9" s="39">
        <v>27316871</v>
      </c>
      <c r="S9" s="41">
        <v>26058000</v>
      </c>
      <c r="T9" s="41">
        <v>28138474</v>
      </c>
      <c r="U9" s="41">
        <v>27533693</v>
      </c>
      <c r="V9" s="41">
        <v>27306375</v>
      </c>
      <c r="W9" s="41">
        <v>27964545</v>
      </c>
      <c r="X9" s="41">
        <v>28065379</v>
      </c>
      <c r="Y9" s="41">
        <v>26107722</v>
      </c>
      <c r="Z9" s="2"/>
    </row>
    <row r="10" spans="1:26" ht="15" customHeight="1" x14ac:dyDescent="0.2">
      <c r="A10" s="2"/>
      <c r="B10" s="37" t="s">
        <v>39</v>
      </c>
      <c r="C10" s="39">
        <v>26243614</v>
      </c>
      <c r="D10" s="39">
        <v>21044289</v>
      </c>
      <c r="E10" s="39">
        <v>16950347</v>
      </c>
      <c r="F10" s="39">
        <v>17264135</v>
      </c>
      <c r="G10" s="39">
        <v>17931771</v>
      </c>
      <c r="H10" s="39">
        <v>29729030</v>
      </c>
      <c r="I10" s="39">
        <v>30691159</v>
      </c>
      <c r="J10" s="39">
        <v>30002993</v>
      </c>
      <c r="K10" s="39">
        <v>29806001</v>
      </c>
      <c r="L10" s="39">
        <v>30771317</v>
      </c>
      <c r="M10" s="39">
        <v>30749605</v>
      </c>
      <c r="N10" s="39">
        <v>30107526</v>
      </c>
      <c r="O10" s="39">
        <v>29966199</v>
      </c>
      <c r="P10" s="39">
        <v>29804342</v>
      </c>
      <c r="Q10" s="39">
        <v>29959115</v>
      </c>
      <c r="R10" s="39">
        <v>29675993</v>
      </c>
      <c r="S10" s="41">
        <v>28840000</v>
      </c>
      <c r="T10" s="41">
        <v>29547518</v>
      </c>
      <c r="U10" s="41">
        <v>28893335</v>
      </c>
      <c r="V10" s="41">
        <v>26451864</v>
      </c>
      <c r="W10" s="41">
        <v>27437050</v>
      </c>
      <c r="X10" s="41">
        <v>27623358</v>
      </c>
      <c r="Y10" s="41">
        <v>27061701</v>
      </c>
      <c r="Z10" s="2"/>
    </row>
    <row r="11" spans="1:26" ht="15" customHeight="1" x14ac:dyDescent="0.2">
      <c r="A11" s="2"/>
      <c r="B11" s="37" t="s">
        <v>42</v>
      </c>
      <c r="C11" s="39">
        <v>10176724</v>
      </c>
      <c r="D11" s="39">
        <v>20874507</v>
      </c>
      <c r="E11" s="39">
        <v>27175526</v>
      </c>
      <c r="F11" s="39">
        <v>21194572</v>
      </c>
      <c r="G11" s="39">
        <v>21516638</v>
      </c>
      <c r="H11" s="39">
        <v>6057030</v>
      </c>
      <c r="I11" s="39">
        <v>5980358</v>
      </c>
      <c r="J11" s="39">
        <v>5649943</v>
      </c>
      <c r="K11" s="39">
        <v>5285833</v>
      </c>
      <c r="L11" s="39">
        <v>5083115</v>
      </c>
      <c r="M11" s="39">
        <v>5007386</v>
      </c>
      <c r="N11" s="39">
        <v>4499827</v>
      </c>
      <c r="O11" s="39">
        <v>3943942</v>
      </c>
      <c r="P11" s="39">
        <v>3847954</v>
      </c>
      <c r="Q11" s="39">
        <v>3883315</v>
      </c>
      <c r="R11" s="39">
        <v>3821476</v>
      </c>
      <c r="S11" s="41">
        <v>3743000</v>
      </c>
      <c r="T11" s="41">
        <v>3870188</v>
      </c>
      <c r="U11" s="41">
        <v>3718412</v>
      </c>
      <c r="V11" s="41">
        <v>3381895</v>
      </c>
      <c r="W11" s="41">
        <v>3480392</v>
      </c>
      <c r="X11" s="41">
        <v>3601623</v>
      </c>
      <c r="Y11" s="41">
        <v>3455597</v>
      </c>
      <c r="Z11" s="2"/>
    </row>
    <row r="12" spans="1:26" ht="15" customHeight="1" x14ac:dyDescent="0.2">
      <c r="A12" s="2"/>
      <c r="B12" s="37" t="s">
        <v>43</v>
      </c>
      <c r="C12" s="42" t="s">
        <v>44</v>
      </c>
      <c r="D12" s="42" t="s">
        <v>44</v>
      </c>
      <c r="E12" s="39">
        <v>461436</v>
      </c>
      <c r="F12" s="39">
        <v>481015</v>
      </c>
      <c r="G12" s="39">
        <v>477331</v>
      </c>
      <c r="H12" s="39">
        <v>481697</v>
      </c>
      <c r="I12" s="39">
        <v>524341</v>
      </c>
      <c r="J12" s="39">
        <v>528586</v>
      </c>
      <c r="K12" s="39">
        <v>552743</v>
      </c>
      <c r="L12" s="39">
        <v>546992</v>
      </c>
      <c r="M12" s="39">
        <v>547045</v>
      </c>
      <c r="N12" s="39">
        <v>528041</v>
      </c>
      <c r="O12" s="39">
        <v>540970</v>
      </c>
      <c r="P12" s="39">
        <v>543940</v>
      </c>
      <c r="Q12" s="39">
        <v>535953</v>
      </c>
      <c r="R12" s="39">
        <v>539571</v>
      </c>
      <c r="S12" s="41">
        <v>529000</v>
      </c>
      <c r="T12" s="41">
        <v>530275</v>
      </c>
      <c r="U12" s="41">
        <v>575218</v>
      </c>
      <c r="V12" s="41">
        <v>488906</v>
      </c>
      <c r="W12" s="41">
        <v>421987</v>
      </c>
      <c r="X12" s="41">
        <v>392359</v>
      </c>
      <c r="Y12" s="41">
        <v>408065</v>
      </c>
      <c r="Z12" s="2"/>
    </row>
    <row r="13" spans="1:26" ht="15" customHeight="1" x14ac:dyDescent="0.2">
      <c r="A13" s="2"/>
      <c r="B13" s="37" t="s">
        <v>56</v>
      </c>
      <c r="C13" s="39">
        <v>925586</v>
      </c>
      <c r="D13" s="39">
        <v>972057</v>
      </c>
      <c r="E13" s="42">
        <v>0</v>
      </c>
      <c r="F13" s="42">
        <v>0</v>
      </c>
      <c r="G13" s="42">
        <v>0</v>
      </c>
      <c r="H13" s="42">
        <v>0</v>
      </c>
      <c r="I13" s="42">
        <v>0</v>
      </c>
      <c r="J13" s="42">
        <v>0</v>
      </c>
      <c r="K13" s="42">
        <v>0</v>
      </c>
      <c r="L13" s="42">
        <v>0</v>
      </c>
      <c r="M13" s="42">
        <v>0</v>
      </c>
      <c r="N13" s="42">
        <v>0</v>
      </c>
      <c r="O13" s="42">
        <v>0</v>
      </c>
      <c r="P13" s="42">
        <v>0</v>
      </c>
      <c r="Q13" s="42">
        <v>0</v>
      </c>
      <c r="R13" s="42">
        <v>0</v>
      </c>
      <c r="S13" s="45">
        <v>0</v>
      </c>
      <c r="T13" s="45">
        <v>0</v>
      </c>
      <c r="U13" s="45">
        <v>0</v>
      </c>
      <c r="V13" s="45">
        <v>0</v>
      </c>
      <c r="W13" s="45">
        <v>0</v>
      </c>
      <c r="X13" s="45">
        <v>0</v>
      </c>
      <c r="Y13" s="45">
        <v>0</v>
      </c>
      <c r="Z13" s="2"/>
    </row>
    <row r="14" spans="1:26" ht="15" customHeight="1" x14ac:dyDescent="0.2">
      <c r="A14" s="2"/>
      <c r="B14" s="48" t="s">
        <v>66</v>
      </c>
      <c r="C14" s="49">
        <v>61640020</v>
      </c>
      <c r="D14" s="49">
        <v>68379906</v>
      </c>
      <c r="E14" s="49">
        <v>71258583</v>
      </c>
      <c r="F14" s="49">
        <v>66891700</v>
      </c>
      <c r="G14" s="49">
        <v>68365385</v>
      </c>
      <c r="H14" s="49">
        <v>63173143</v>
      </c>
      <c r="I14" s="49">
        <v>65390660</v>
      </c>
      <c r="J14" s="49">
        <v>63325777</v>
      </c>
      <c r="K14" s="49">
        <v>62589143</v>
      </c>
      <c r="L14" s="49">
        <v>65335498</v>
      </c>
      <c r="M14" s="49">
        <v>63599711</v>
      </c>
      <c r="N14" s="49">
        <v>61813552</v>
      </c>
      <c r="O14" s="49">
        <v>61899478</v>
      </c>
      <c r="P14" s="49">
        <v>61683869</v>
      </c>
      <c r="Q14" s="49">
        <v>61781719</v>
      </c>
      <c r="R14" s="49">
        <v>61353911</v>
      </c>
      <c r="S14" s="53">
        <v>59175000</v>
      </c>
      <c r="T14" s="53">
        <v>62086455</v>
      </c>
      <c r="U14" s="53">
        <v>60720658</v>
      </c>
      <c r="V14" s="53">
        <v>57629040</v>
      </c>
      <c r="W14" s="53">
        <v>59303974</v>
      </c>
      <c r="X14" s="53">
        <v>59682719</v>
      </c>
      <c r="Y14" s="53">
        <v>57033085</v>
      </c>
      <c r="Z14" s="2"/>
    </row>
    <row r="15" spans="1:26" ht="15" customHeight="1" x14ac:dyDescent="0.2">
      <c r="A15" s="2"/>
      <c r="B15" s="8"/>
      <c r="C15" s="8"/>
      <c r="D15" s="8"/>
      <c r="E15" s="8"/>
      <c r="F15" s="8"/>
      <c r="G15" s="8"/>
      <c r="H15" s="8"/>
      <c r="I15" s="8"/>
      <c r="J15" s="8"/>
      <c r="K15" s="8"/>
      <c r="L15" s="8"/>
      <c r="M15" s="8"/>
      <c r="N15" s="8"/>
      <c r="O15" s="8"/>
      <c r="P15" s="8"/>
      <c r="Q15" s="8"/>
      <c r="R15" s="8"/>
      <c r="S15" s="8"/>
      <c r="T15" s="8"/>
      <c r="U15" s="8"/>
      <c r="V15" s="8"/>
      <c r="W15" s="8"/>
      <c r="X15" s="8"/>
      <c r="Y15" s="8"/>
      <c r="Z15" s="2"/>
    </row>
    <row r="16" spans="1:26" ht="15" customHeight="1" x14ac:dyDescent="0.2">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5" customHeight="1" x14ac:dyDescent="0.2">
      <c r="A17" s="2"/>
      <c r="B17" s="2021" t="s">
        <v>74</v>
      </c>
      <c r="C17" s="2017"/>
      <c r="D17" s="2017"/>
      <c r="E17" s="2009"/>
      <c r="F17" s="62"/>
      <c r="G17" s="62"/>
      <c r="H17" s="8"/>
      <c r="I17" s="8"/>
      <c r="J17" s="8"/>
      <c r="K17" s="64"/>
      <c r="L17" s="2"/>
      <c r="M17" s="2"/>
      <c r="N17" s="2"/>
      <c r="O17" s="2"/>
      <c r="P17" s="2"/>
      <c r="Q17" s="2"/>
      <c r="R17" s="2"/>
      <c r="S17" s="2"/>
      <c r="T17" s="2"/>
      <c r="U17" s="2"/>
      <c r="V17" s="2"/>
      <c r="W17" s="2"/>
      <c r="X17" s="2"/>
      <c r="Y17" s="2"/>
      <c r="Z17" s="2"/>
    </row>
    <row r="18" spans="1:26" ht="15" customHeight="1" x14ac:dyDescent="0.2">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5" customHeight="1" x14ac:dyDescent="0.2">
      <c r="A19" s="2"/>
      <c r="B19" s="67"/>
      <c r="C19" s="69">
        <v>2001</v>
      </c>
      <c r="D19" s="69">
        <v>2002</v>
      </c>
      <c r="E19" s="69">
        <v>2003</v>
      </c>
      <c r="F19" s="69">
        <v>2004</v>
      </c>
      <c r="G19" s="69">
        <v>2005</v>
      </c>
      <c r="H19" s="69">
        <v>2006</v>
      </c>
      <c r="I19" s="69">
        <v>2007</v>
      </c>
      <c r="J19" s="69">
        <v>2008</v>
      </c>
      <c r="K19" s="69">
        <v>2009</v>
      </c>
      <c r="L19" s="69">
        <v>2010</v>
      </c>
      <c r="M19" s="69">
        <v>2011</v>
      </c>
      <c r="N19" s="69">
        <v>2012</v>
      </c>
      <c r="O19" s="69">
        <v>2013</v>
      </c>
      <c r="P19" s="69">
        <v>2014</v>
      </c>
      <c r="Q19" s="69">
        <v>2015</v>
      </c>
      <c r="R19" s="69">
        <v>2016</v>
      </c>
      <c r="S19" s="69">
        <v>2017</v>
      </c>
      <c r="T19" s="69">
        <v>2018</v>
      </c>
      <c r="U19" s="69">
        <v>2019</v>
      </c>
      <c r="V19" s="69">
        <v>2020</v>
      </c>
      <c r="W19" s="69">
        <v>2021</v>
      </c>
      <c r="X19" s="69">
        <v>2022</v>
      </c>
      <c r="Y19" s="69">
        <v>2023</v>
      </c>
      <c r="Z19" s="2"/>
    </row>
    <row r="20" spans="1:26" ht="15" customHeight="1" x14ac:dyDescent="0.2">
      <c r="A20" s="2"/>
      <c r="B20" s="72" t="s">
        <v>77</v>
      </c>
      <c r="C20" s="73">
        <v>6.25E-2</v>
      </c>
      <c r="D20" s="73">
        <v>6.25E-2</v>
      </c>
      <c r="E20" s="73">
        <v>6.25E-2</v>
      </c>
      <c r="F20" s="73">
        <v>6.25E-2</v>
      </c>
      <c r="G20" s="73">
        <v>6.25E-2</v>
      </c>
      <c r="H20" s="73">
        <v>6.25E-2</v>
      </c>
      <c r="I20" s="73">
        <v>6.25E-2</v>
      </c>
      <c r="J20" s="73">
        <v>6.25E-2</v>
      </c>
      <c r="K20" s="73">
        <v>6.25E-2</v>
      </c>
      <c r="L20" s="73">
        <v>6.25E-2</v>
      </c>
      <c r="M20" s="73">
        <v>6.25E-2</v>
      </c>
      <c r="N20" s="73">
        <v>6.25E-2</v>
      </c>
      <c r="O20" s="73">
        <v>6.25E-2</v>
      </c>
      <c r="P20" s="73">
        <v>6.25E-2</v>
      </c>
      <c r="Q20" s="73">
        <v>6.25E-2</v>
      </c>
      <c r="R20" s="73">
        <v>6.25E-2</v>
      </c>
      <c r="S20" s="73">
        <v>6.25E-2</v>
      </c>
      <c r="T20" s="73">
        <v>6.25E-2</v>
      </c>
      <c r="U20" s="73">
        <v>6.25E-2</v>
      </c>
      <c r="V20" s="73">
        <v>6.25E-2</v>
      </c>
      <c r="W20" s="73">
        <v>6.25E-2</v>
      </c>
      <c r="X20" s="73">
        <v>6.25E-2</v>
      </c>
      <c r="Y20" s="73">
        <v>6.25E-2</v>
      </c>
      <c r="Z20" s="2"/>
    </row>
    <row r="21" spans="1:26" ht="15" customHeight="1" x14ac:dyDescent="0.2">
      <c r="A21" s="2"/>
      <c r="B21" s="76" t="s">
        <v>80</v>
      </c>
      <c r="C21" s="78">
        <f t="shared" ref="C21:Y21" si="0">C14/(1-C20)</f>
        <v>65749354.666666664</v>
      </c>
      <c r="D21" s="78">
        <f t="shared" si="0"/>
        <v>72938566.400000006</v>
      </c>
      <c r="E21" s="78">
        <f t="shared" si="0"/>
        <v>76009155.200000003</v>
      </c>
      <c r="F21" s="78">
        <f t="shared" si="0"/>
        <v>71351146.666666672</v>
      </c>
      <c r="G21" s="78">
        <f t="shared" si="0"/>
        <v>72923077.333333328</v>
      </c>
      <c r="H21" s="78">
        <f t="shared" si="0"/>
        <v>67384685.86666666</v>
      </c>
      <c r="I21" s="78">
        <f t="shared" si="0"/>
        <v>69750037.333333328</v>
      </c>
      <c r="J21" s="78">
        <f t="shared" si="0"/>
        <v>67547495.466666669</v>
      </c>
      <c r="K21" s="78">
        <f t="shared" si="0"/>
        <v>66761752.533333331</v>
      </c>
      <c r="L21" s="78">
        <f t="shared" si="0"/>
        <v>69691197.86666666</v>
      </c>
      <c r="M21" s="78">
        <f t="shared" si="0"/>
        <v>67839691.733333334</v>
      </c>
      <c r="N21" s="78">
        <f t="shared" si="0"/>
        <v>65934455.466666669</v>
      </c>
      <c r="O21" s="78">
        <f t="shared" si="0"/>
        <v>66026109.866666667</v>
      </c>
      <c r="P21" s="78">
        <f t="shared" si="0"/>
        <v>65796126.93333333</v>
      </c>
      <c r="Q21" s="78">
        <f t="shared" si="0"/>
        <v>65900500.266666666</v>
      </c>
      <c r="R21" s="78">
        <f t="shared" si="0"/>
        <v>65444171.733333334</v>
      </c>
      <c r="S21" s="78">
        <f t="shared" si="0"/>
        <v>63120000</v>
      </c>
      <c r="T21" s="78">
        <f t="shared" si="0"/>
        <v>66225552</v>
      </c>
      <c r="U21" s="78">
        <f t="shared" si="0"/>
        <v>64768701.866666667</v>
      </c>
      <c r="V21" s="78">
        <f t="shared" si="0"/>
        <v>61470976</v>
      </c>
      <c r="W21" s="78">
        <f t="shared" si="0"/>
        <v>63257572.266666666</v>
      </c>
      <c r="X21" s="78">
        <f t="shared" si="0"/>
        <v>63661566.93333333</v>
      </c>
      <c r="Y21" s="78">
        <f t="shared" si="0"/>
        <v>60835290.666666664</v>
      </c>
      <c r="Z21" s="2"/>
    </row>
    <row r="22" spans="1:26" ht="15"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 customHeight="1" x14ac:dyDescent="0.2">
      <c r="A24" s="2"/>
      <c r="B24" s="2021" t="s">
        <v>90</v>
      </c>
      <c r="C24" s="2017"/>
      <c r="D24" s="2017"/>
      <c r="E24" s="2009"/>
      <c r="F24" s="8"/>
      <c r="G24" s="8"/>
      <c r="H24" s="87"/>
      <c r="I24" s="2"/>
      <c r="J24" s="2"/>
      <c r="K24" s="2"/>
      <c r="L24" s="2"/>
      <c r="M24" s="2"/>
      <c r="N24" s="2"/>
      <c r="O24" s="2"/>
      <c r="P24" s="2"/>
      <c r="Q24" s="2"/>
      <c r="R24" s="2"/>
      <c r="S24" s="2"/>
      <c r="T24" s="2"/>
      <c r="U24" s="2"/>
      <c r="V24" s="2"/>
      <c r="W24" s="2"/>
      <c r="X24" s="2"/>
      <c r="Y24" s="2"/>
      <c r="Z24" s="2"/>
    </row>
    <row r="25" spans="1:26" ht="15" customHeigh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 customHeight="1" x14ac:dyDescent="0.2">
      <c r="A26" s="2"/>
      <c r="B26" s="91" t="s">
        <v>50</v>
      </c>
      <c r="C26" s="32">
        <v>2001</v>
      </c>
      <c r="D26" s="32">
        <v>2002</v>
      </c>
      <c r="E26" s="32">
        <v>2003</v>
      </c>
      <c r="F26" s="32">
        <v>2004</v>
      </c>
      <c r="G26" s="32">
        <v>2005</v>
      </c>
      <c r="H26" s="32">
        <v>2006</v>
      </c>
      <c r="I26" s="32">
        <v>2007</v>
      </c>
      <c r="J26" s="32">
        <v>2008</v>
      </c>
      <c r="K26" s="32">
        <v>2009</v>
      </c>
      <c r="L26" s="32">
        <v>2010</v>
      </c>
      <c r="M26" s="32">
        <v>2011</v>
      </c>
      <c r="N26" s="32">
        <v>2012</v>
      </c>
      <c r="O26" s="32">
        <v>2013</v>
      </c>
      <c r="P26" s="32">
        <v>2014</v>
      </c>
      <c r="Q26" s="32">
        <v>2015</v>
      </c>
      <c r="R26" s="32">
        <v>2016</v>
      </c>
      <c r="S26" s="35">
        <v>2017</v>
      </c>
      <c r="T26" s="35">
        <v>2018</v>
      </c>
      <c r="U26" s="35">
        <v>2019</v>
      </c>
      <c r="V26" s="35">
        <v>2020</v>
      </c>
      <c r="W26" s="35">
        <v>2021</v>
      </c>
      <c r="X26" s="35">
        <v>2022</v>
      </c>
      <c r="Y26" s="35">
        <v>2023</v>
      </c>
      <c r="Z26" s="2"/>
    </row>
    <row r="27" spans="1:26" ht="15" customHeight="1" x14ac:dyDescent="0.2">
      <c r="A27" s="2"/>
      <c r="B27" s="92" t="s">
        <v>72</v>
      </c>
      <c r="C27" s="39">
        <v>28379409</v>
      </c>
      <c r="D27" s="39">
        <v>28712053</v>
      </c>
      <c r="E27" s="39">
        <v>29939086</v>
      </c>
      <c r="F27" s="39">
        <v>29195458</v>
      </c>
      <c r="G27" s="39">
        <v>29302792</v>
      </c>
      <c r="H27" s="39">
        <v>29408022</v>
      </c>
      <c r="I27" s="39">
        <v>29699186</v>
      </c>
      <c r="J27" s="39">
        <v>27218239</v>
      </c>
      <c r="K27" s="39">
        <v>24162345</v>
      </c>
      <c r="L27" s="39">
        <v>23668204</v>
      </c>
      <c r="M27" s="39">
        <v>21186919</v>
      </c>
      <c r="N27" s="39">
        <v>16184773</v>
      </c>
      <c r="O27" s="39">
        <v>15538469</v>
      </c>
      <c r="P27" s="39">
        <v>17603291</v>
      </c>
      <c r="Q27" s="39">
        <v>13925604</v>
      </c>
      <c r="R27" s="39">
        <v>13826213</v>
      </c>
      <c r="S27" s="41">
        <v>8514009</v>
      </c>
      <c r="T27" s="41">
        <v>10066924</v>
      </c>
      <c r="U27" s="41">
        <v>5721573</v>
      </c>
      <c r="V27" s="41">
        <v>3359560</v>
      </c>
      <c r="W27" s="41">
        <v>5173979</v>
      </c>
      <c r="X27" s="41">
        <v>4639314</v>
      </c>
      <c r="Y27" s="41">
        <v>1708970</v>
      </c>
      <c r="Z27" s="2"/>
    </row>
    <row r="28" spans="1:26" ht="15" customHeight="1" x14ac:dyDescent="0.2">
      <c r="A28" s="2"/>
      <c r="B28" s="92" t="s">
        <v>101</v>
      </c>
      <c r="C28" s="39">
        <v>3021639</v>
      </c>
      <c r="D28" s="39">
        <v>2282432</v>
      </c>
      <c r="E28" s="39">
        <v>3572183</v>
      </c>
      <c r="F28" s="39">
        <v>3296842</v>
      </c>
      <c r="G28" s="39">
        <v>3805569</v>
      </c>
      <c r="H28" s="39">
        <v>580726</v>
      </c>
      <c r="I28" s="39">
        <v>984831</v>
      </c>
      <c r="J28" s="39">
        <v>405840</v>
      </c>
      <c r="K28" s="39">
        <v>329901</v>
      </c>
      <c r="L28" s="39">
        <v>322438</v>
      </c>
      <c r="M28" s="39">
        <v>219804</v>
      </c>
      <c r="N28" s="39">
        <v>137305</v>
      </c>
      <c r="O28" s="39">
        <v>189553</v>
      </c>
      <c r="P28" s="39">
        <v>463456</v>
      </c>
      <c r="Q28" s="39">
        <v>232348</v>
      </c>
      <c r="R28" s="39">
        <v>160550</v>
      </c>
      <c r="S28" s="41">
        <v>102181</v>
      </c>
      <c r="T28" s="41">
        <v>260015</v>
      </c>
      <c r="U28" s="41">
        <v>67269</v>
      </c>
      <c r="V28" s="41">
        <v>70379</v>
      </c>
      <c r="W28" s="41">
        <v>72669</v>
      </c>
      <c r="X28" s="41">
        <v>142864</v>
      </c>
      <c r="Y28" s="41">
        <v>64236</v>
      </c>
      <c r="Z28" s="2"/>
    </row>
    <row r="29" spans="1:26" ht="15" customHeight="1" x14ac:dyDescent="0.2">
      <c r="A29" s="2"/>
      <c r="B29" s="92" t="s">
        <v>29</v>
      </c>
      <c r="C29" s="39">
        <v>1760812</v>
      </c>
      <c r="D29" s="39">
        <v>2214431</v>
      </c>
      <c r="E29" s="39">
        <v>1195642</v>
      </c>
      <c r="F29" s="39">
        <v>1183301</v>
      </c>
      <c r="G29" s="39">
        <v>1886986</v>
      </c>
      <c r="H29" s="39">
        <v>1770206</v>
      </c>
      <c r="I29" s="39">
        <v>2240927</v>
      </c>
      <c r="J29" s="39">
        <v>1848147</v>
      </c>
      <c r="K29" s="39">
        <v>1767844</v>
      </c>
      <c r="L29" s="39">
        <v>2896978</v>
      </c>
      <c r="M29" s="39">
        <v>2236976</v>
      </c>
      <c r="N29" s="39">
        <v>4944895</v>
      </c>
      <c r="O29" s="39">
        <v>2887589</v>
      </c>
      <c r="P29" s="39">
        <v>2505890</v>
      </c>
      <c r="Q29" s="39">
        <v>4555345</v>
      </c>
      <c r="R29" s="39">
        <v>5423046</v>
      </c>
      <c r="S29" s="41">
        <v>6729174</v>
      </c>
      <c r="T29" s="41">
        <v>13849673</v>
      </c>
      <c r="U29" s="41">
        <v>14605261</v>
      </c>
      <c r="V29" s="41">
        <v>14091778</v>
      </c>
      <c r="W29" s="41">
        <v>13977747</v>
      </c>
      <c r="X29" s="41">
        <v>13949642</v>
      </c>
      <c r="Y29" s="41">
        <v>15336206</v>
      </c>
      <c r="Z29" s="2"/>
    </row>
    <row r="30" spans="1:26" ht="15" customHeight="1" x14ac:dyDescent="0.2">
      <c r="A30" s="2"/>
      <c r="B30" s="92" t="s">
        <v>103</v>
      </c>
      <c r="C30" s="39">
        <v>439980</v>
      </c>
      <c r="D30" s="39">
        <v>504513</v>
      </c>
      <c r="E30" s="39">
        <v>325355</v>
      </c>
      <c r="F30" s="39">
        <v>411565</v>
      </c>
      <c r="G30" s="39">
        <v>342466</v>
      </c>
      <c r="H30" s="39">
        <v>332444</v>
      </c>
      <c r="I30" s="39">
        <v>377560</v>
      </c>
      <c r="J30" s="39">
        <v>337823</v>
      </c>
      <c r="K30" s="39">
        <v>269182</v>
      </c>
      <c r="L30" s="39">
        <v>214727</v>
      </c>
      <c r="M30" s="39">
        <v>154641</v>
      </c>
      <c r="N30" s="39">
        <v>112314</v>
      </c>
      <c r="O30" s="42">
        <v>0</v>
      </c>
      <c r="P30" s="42">
        <v>0</v>
      </c>
      <c r="Q30" s="42">
        <v>0</v>
      </c>
      <c r="R30" s="42">
        <v>0</v>
      </c>
      <c r="S30" s="45" t="s">
        <v>44</v>
      </c>
      <c r="T30" s="45"/>
      <c r="U30" s="45"/>
      <c r="V30" s="45"/>
      <c r="W30" s="45" t="s">
        <v>105</v>
      </c>
      <c r="X30" s="45" t="s">
        <v>105</v>
      </c>
      <c r="Y30" s="45" t="s">
        <v>105</v>
      </c>
      <c r="Z30" s="2"/>
    </row>
    <row r="31" spans="1:26" ht="15" customHeight="1" x14ac:dyDescent="0.2">
      <c r="A31" s="2"/>
      <c r="B31" s="92" t="s">
        <v>107</v>
      </c>
      <c r="C31" s="39">
        <v>13656267</v>
      </c>
      <c r="D31" s="39">
        <v>12128005</v>
      </c>
      <c r="E31" s="39">
        <v>13690713</v>
      </c>
      <c r="F31" s="39">
        <v>14580260</v>
      </c>
      <c r="G31" s="39">
        <v>14703221</v>
      </c>
      <c r="H31" s="39">
        <v>13830411</v>
      </c>
      <c r="I31" s="39">
        <v>14353192</v>
      </c>
      <c r="J31" s="39">
        <v>14678695</v>
      </c>
      <c r="K31" s="39">
        <v>14550119</v>
      </c>
      <c r="L31" s="39">
        <v>13993948</v>
      </c>
      <c r="M31" s="39">
        <v>14397437</v>
      </c>
      <c r="N31" s="39">
        <v>13579266</v>
      </c>
      <c r="O31" s="39">
        <v>14264305</v>
      </c>
      <c r="P31" s="39">
        <v>14343334</v>
      </c>
      <c r="Q31" s="39">
        <v>14643325</v>
      </c>
      <c r="R31" s="39">
        <v>14760177</v>
      </c>
      <c r="S31" s="41">
        <v>15106988</v>
      </c>
      <c r="T31" s="41">
        <v>14987931</v>
      </c>
      <c r="U31" s="41">
        <v>15012922</v>
      </c>
      <c r="V31" s="41">
        <v>15080557</v>
      </c>
      <c r="W31" s="41">
        <v>14993633</v>
      </c>
      <c r="X31" s="41">
        <v>14810684</v>
      </c>
      <c r="Y31" s="41">
        <v>14983751</v>
      </c>
      <c r="Z31" s="2"/>
    </row>
    <row r="32" spans="1:26" ht="15" customHeight="1" x14ac:dyDescent="0.2">
      <c r="A32" s="2"/>
      <c r="B32" s="92" t="s">
        <v>110</v>
      </c>
      <c r="C32" s="39">
        <v>1183518</v>
      </c>
      <c r="D32" s="39">
        <v>1660989</v>
      </c>
      <c r="E32" s="39">
        <v>2646984</v>
      </c>
      <c r="F32" s="39">
        <v>2507521</v>
      </c>
      <c r="G32" s="39">
        <v>1703639</v>
      </c>
      <c r="H32" s="39">
        <v>2104275</v>
      </c>
      <c r="I32" s="39">
        <v>1652216</v>
      </c>
      <c r="J32" s="39">
        <v>1974078</v>
      </c>
      <c r="K32" s="39">
        <v>1888769</v>
      </c>
      <c r="L32" s="39">
        <v>1667397</v>
      </c>
      <c r="M32" s="39">
        <v>2540908</v>
      </c>
      <c r="N32" s="39">
        <v>1656539</v>
      </c>
      <c r="O32" s="39">
        <v>1727020</v>
      </c>
      <c r="P32" s="39">
        <v>1615523</v>
      </c>
      <c r="Q32" s="39">
        <v>1623190</v>
      </c>
      <c r="R32" s="39">
        <v>1392187</v>
      </c>
      <c r="S32" s="41">
        <v>1965459</v>
      </c>
      <c r="T32" s="41">
        <v>2830886</v>
      </c>
      <c r="U32" s="41">
        <v>2188051</v>
      </c>
      <c r="V32" s="41">
        <v>1696803</v>
      </c>
      <c r="W32" s="41">
        <v>2117149</v>
      </c>
      <c r="X32" s="41">
        <v>1779682</v>
      </c>
      <c r="Y32" s="41">
        <v>1849088</v>
      </c>
      <c r="Z32" s="2"/>
    </row>
    <row r="33" spans="1:26" ht="15" customHeight="1" x14ac:dyDescent="0.2">
      <c r="A33" s="2"/>
      <c r="B33" s="92" t="s">
        <v>111</v>
      </c>
      <c r="C33" s="42"/>
      <c r="D33" s="42"/>
      <c r="E33" s="42"/>
      <c r="F33" s="42"/>
      <c r="G33" s="42"/>
      <c r="H33" s="42"/>
      <c r="I33" s="42"/>
      <c r="J33" s="42"/>
      <c r="K33" s="42"/>
      <c r="L33" s="39">
        <v>1494</v>
      </c>
      <c r="M33" s="39">
        <v>319254</v>
      </c>
      <c r="N33" s="39">
        <v>321687</v>
      </c>
      <c r="O33" s="39">
        <v>321670</v>
      </c>
      <c r="P33" s="39">
        <v>323612</v>
      </c>
      <c r="Q33" s="39">
        <v>434595</v>
      </c>
      <c r="R33" s="39">
        <v>527114</v>
      </c>
      <c r="S33" s="41">
        <v>561349</v>
      </c>
      <c r="T33" s="41">
        <v>569984</v>
      </c>
      <c r="U33" s="41">
        <v>520269</v>
      </c>
      <c r="V33" s="41">
        <v>545676</v>
      </c>
      <c r="W33" s="41">
        <v>517431</v>
      </c>
      <c r="X33" s="41">
        <v>497608</v>
      </c>
      <c r="Y33" s="41">
        <v>481526</v>
      </c>
      <c r="Z33" s="2"/>
    </row>
    <row r="34" spans="1:26" ht="15" customHeight="1" x14ac:dyDescent="0.2">
      <c r="A34" s="2"/>
      <c r="B34" s="92" t="s">
        <v>114</v>
      </c>
      <c r="C34" s="42"/>
      <c r="D34" s="42"/>
      <c r="E34" s="42"/>
      <c r="F34" s="42"/>
      <c r="G34" s="42"/>
      <c r="H34" s="42"/>
      <c r="I34" s="42"/>
      <c r="J34" s="42"/>
      <c r="K34" s="42"/>
      <c r="L34" s="42">
        <v>80</v>
      </c>
      <c r="M34" s="39">
        <v>2070</v>
      </c>
      <c r="N34" s="39">
        <v>22473</v>
      </c>
      <c r="O34" s="39">
        <v>63485</v>
      </c>
      <c r="P34" s="39">
        <v>98118</v>
      </c>
      <c r="Q34" s="39">
        <v>118801</v>
      </c>
      <c r="R34" s="39">
        <v>208657</v>
      </c>
      <c r="S34" s="41">
        <v>267090</v>
      </c>
      <c r="T34" s="41">
        <v>396720</v>
      </c>
      <c r="U34" s="41">
        <v>494311</v>
      </c>
      <c r="V34" s="41">
        <v>527235</v>
      </c>
      <c r="W34" s="41">
        <v>632049</v>
      </c>
      <c r="X34" s="41">
        <v>713532</v>
      </c>
      <c r="Y34" s="41">
        <v>942764</v>
      </c>
      <c r="Z34" s="2"/>
    </row>
    <row r="35" spans="1:26" ht="15" customHeight="1" x14ac:dyDescent="0.2">
      <c r="A35" s="2"/>
      <c r="B35" s="92" t="s">
        <v>115</v>
      </c>
      <c r="C35" s="39">
        <v>11939</v>
      </c>
      <c r="D35" s="39">
        <v>182904</v>
      </c>
      <c r="E35" s="39">
        <v>225240</v>
      </c>
      <c r="F35" s="39">
        <v>192384</v>
      </c>
      <c r="G35" s="39">
        <v>205985</v>
      </c>
      <c r="H35" s="39">
        <v>218066</v>
      </c>
      <c r="I35" s="39">
        <v>203097</v>
      </c>
      <c r="J35" s="39">
        <v>197704</v>
      </c>
      <c r="K35" s="39">
        <v>175058</v>
      </c>
      <c r="L35" s="39">
        <v>164688</v>
      </c>
      <c r="M35" s="39">
        <v>167437</v>
      </c>
      <c r="N35" s="39">
        <v>158953</v>
      </c>
      <c r="O35" s="39">
        <v>142789</v>
      </c>
      <c r="P35" s="39">
        <v>150426</v>
      </c>
      <c r="Q35" s="39">
        <v>111162</v>
      </c>
      <c r="R35" s="39">
        <v>123653</v>
      </c>
      <c r="S35" s="41">
        <v>120338</v>
      </c>
      <c r="T35" s="41">
        <v>104043</v>
      </c>
      <c r="U35" s="41">
        <v>60124</v>
      </c>
      <c r="V35" s="41">
        <v>10304</v>
      </c>
      <c r="W35" s="41">
        <v>8473</v>
      </c>
      <c r="X35" s="41">
        <v>6856</v>
      </c>
      <c r="Y35" s="41">
        <v>2672</v>
      </c>
      <c r="Z35" s="2"/>
    </row>
    <row r="36" spans="1:26" ht="15" customHeight="1" x14ac:dyDescent="0.2">
      <c r="A36" s="2"/>
      <c r="B36" s="92" t="s">
        <v>117</v>
      </c>
      <c r="C36" s="39">
        <v>361076</v>
      </c>
      <c r="D36" s="39">
        <v>338727</v>
      </c>
      <c r="E36" s="39">
        <v>370811</v>
      </c>
      <c r="F36" s="39">
        <v>396824</v>
      </c>
      <c r="G36" s="39">
        <v>417380</v>
      </c>
      <c r="H36" s="39">
        <v>408095</v>
      </c>
      <c r="I36" s="39">
        <v>400364</v>
      </c>
      <c r="J36" s="39">
        <v>414781</v>
      </c>
      <c r="K36" s="39">
        <v>375721</v>
      </c>
      <c r="L36" s="39">
        <v>407402</v>
      </c>
      <c r="M36" s="39">
        <v>420114</v>
      </c>
      <c r="N36" s="39">
        <v>395039</v>
      </c>
      <c r="O36" s="39">
        <v>413220</v>
      </c>
      <c r="P36" s="39">
        <v>416719</v>
      </c>
      <c r="Q36" s="39">
        <v>403239</v>
      </c>
      <c r="R36" s="39">
        <v>422029</v>
      </c>
      <c r="S36" s="41">
        <v>415940</v>
      </c>
      <c r="T36" s="41">
        <v>417346</v>
      </c>
      <c r="U36" s="41">
        <v>330379</v>
      </c>
      <c r="V36" s="41">
        <v>327069</v>
      </c>
      <c r="W36" s="41">
        <v>366363</v>
      </c>
      <c r="X36" s="41">
        <v>305614</v>
      </c>
      <c r="Y36" s="41">
        <v>319124</v>
      </c>
      <c r="Z36" s="2"/>
    </row>
    <row r="37" spans="1:26" ht="15" customHeight="1" x14ac:dyDescent="0.2">
      <c r="A37" s="2"/>
      <c r="B37" s="92" t="s">
        <v>56</v>
      </c>
      <c r="C37" s="39">
        <v>247700</v>
      </c>
      <c r="D37" s="39">
        <v>255034</v>
      </c>
      <c r="E37" s="39">
        <v>278224</v>
      </c>
      <c r="F37" s="39">
        <v>288616</v>
      </c>
      <c r="G37" s="39">
        <v>293561</v>
      </c>
      <c r="H37" s="39">
        <v>304635</v>
      </c>
      <c r="I37" s="39">
        <v>286550</v>
      </c>
      <c r="J37" s="39">
        <v>285645</v>
      </c>
      <c r="K37" s="39">
        <v>255893</v>
      </c>
      <c r="L37" s="39">
        <v>269907</v>
      </c>
      <c r="M37" s="39">
        <v>267727</v>
      </c>
      <c r="N37" s="39">
        <v>296499</v>
      </c>
      <c r="O37" s="39">
        <v>302712</v>
      </c>
      <c r="P37" s="39">
        <v>313284</v>
      </c>
      <c r="Q37" s="39">
        <v>317935</v>
      </c>
      <c r="R37" s="39">
        <v>323060</v>
      </c>
      <c r="S37" s="41">
        <v>321712</v>
      </c>
      <c r="T37" s="41">
        <v>326127</v>
      </c>
      <c r="U37" s="41">
        <v>325436</v>
      </c>
      <c r="V37" s="41">
        <v>319843</v>
      </c>
      <c r="W37" s="41">
        <v>378348</v>
      </c>
      <c r="X37" s="41">
        <v>295945</v>
      </c>
      <c r="Y37" s="41">
        <v>312894</v>
      </c>
      <c r="Z37" s="2"/>
    </row>
    <row r="38" spans="1:26" ht="15" customHeight="1" x14ac:dyDescent="0.2">
      <c r="A38" s="2"/>
      <c r="B38" s="105" t="s">
        <v>102</v>
      </c>
      <c r="C38" s="49">
        <v>49062340</v>
      </c>
      <c r="D38" s="49">
        <v>48279088</v>
      </c>
      <c r="E38" s="49">
        <v>52244237</v>
      </c>
      <c r="F38" s="49">
        <v>52052770</v>
      </c>
      <c r="G38" s="49">
        <v>52661600</v>
      </c>
      <c r="H38" s="49">
        <v>48956880</v>
      </c>
      <c r="I38" s="49">
        <v>50197924</v>
      </c>
      <c r="J38" s="49">
        <v>47360953</v>
      </c>
      <c r="K38" s="49">
        <v>43774832</v>
      </c>
      <c r="L38" s="49">
        <v>43607266</v>
      </c>
      <c r="M38" s="49">
        <v>41913287</v>
      </c>
      <c r="N38" s="49">
        <v>37809743</v>
      </c>
      <c r="O38" s="49">
        <v>35850812</v>
      </c>
      <c r="P38" s="49">
        <v>37833653</v>
      </c>
      <c r="Q38" s="49">
        <v>36365544</v>
      </c>
      <c r="R38" s="49">
        <v>37166686</v>
      </c>
      <c r="S38" s="53">
        <v>34104240</v>
      </c>
      <c r="T38" s="53">
        <v>43809649</v>
      </c>
      <c r="U38" s="53">
        <v>39325595</v>
      </c>
      <c r="V38" s="53">
        <v>36029204</v>
      </c>
      <c r="W38" s="53">
        <v>38235713</v>
      </c>
      <c r="X38" s="53">
        <v>37139365</v>
      </c>
      <c r="Y38" s="53">
        <v>36000650</v>
      </c>
      <c r="Z38" s="2"/>
    </row>
    <row r="39" spans="1:26" ht="1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 customHeight="1" x14ac:dyDescent="0.2">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ht="15" customHeight="1" x14ac:dyDescent="0.2">
      <c r="A41" s="2"/>
      <c r="B41" s="2021" t="s">
        <v>128</v>
      </c>
      <c r="C41" s="2017"/>
      <c r="D41" s="2017"/>
      <c r="E41" s="2017"/>
      <c r="F41" s="2009"/>
      <c r="G41" s="8"/>
      <c r="H41" s="8"/>
      <c r="I41" s="8"/>
      <c r="J41" s="2"/>
      <c r="K41" s="2"/>
      <c r="L41" s="2"/>
      <c r="M41" s="2"/>
      <c r="N41" s="2"/>
      <c r="O41" s="2"/>
      <c r="P41" s="2"/>
      <c r="Q41" s="2"/>
      <c r="R41" s="2"/>
      <c r="S41" s="2"/>
      <c r="T41" s="2"/>
      <c r="U41" s="2"/>
      <c r="V41" s="2"/>
      <c r="W41" s="2"/>
      <c r="X41" s="2"/>
      <c r="Y41" s="2"/>
      <c r="Z41" s="2"/>
    </row>
    <row r="42" spans="1:26" ht="1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 customHeight="1" x14ac:dyDescent="0.2">
      <c r="A43" s="2"/>
      <c r="B43" s="67"/>
      <c r="C43" s="32">
        <v>2001</v>
      </c>
      <c r="D43" s="32">
        <v>2002</v>
      </c>
      <c r="E43" s="32">
        <v>2003</v>
      </c>
      <c r="F43" s="32">
        <v>2004</v>
      </c>
      <c r="G43" s="32">
        <v>2005</v>
      </c>
      <c r="H43" s="32">
        <v>2006</v>
      </c>
      <c r="I43" s="32">
        <v>2007</v>
      </c>
      <c r="J43" s="32">
        <v>2008</v>
      </c>
      <c r="K43" s="32">
        <v>2009</v>
      </c>
      <c r="L43" s="32">
        <v>2010</v>
      </c>
      <c r="M43" s="32">
        <v>2011</v>
      </c>
      <c r="N43" s="32">
        <v>2012</v>
      </c>
      <c r="O43" s="32">
        <v>2013</v>
      </c>
      <c r="P43" s="32">
        <v>2014</v>
      </c>
      <c r="Q43" s="32">
        <v>2015</v>
      </c>
      <c r="R43" s="32">
        <v>2016</v>
      </c>
      <c r="S43" s="35">
        <v>2017</v>
      </c>
      <c r="T43" s="35">
        <v>2018</v>
      </c>
      <c r="U43" s="35">
        <v>2019</v>
      </c>
      <c r="V43" s="35">
        <v>2020</v>
      </c>
      <c r="W43" s="35">
        <v>2021</v>
      </c>
      <c r="X43" s="35">
        <v>2022</v>
      </c>
      <c r="Y43" s="35">
        <v>2023</v>
      </c>
      <c r="Z43" s="2"/>
    </row>
    <row r="44" spans="1:26" ht="15" customHeight="1" x14ac:dyDescent="0.2">
      <c r="A44" s="2"/>
      <c r="B44" s="48" t="s">
        <v>132</v>
      </c>
      <c r="C44" s="49">
        <f t="shared" ref="C44:Y44" si="1">C21-C38</f>
        <v>16687014.666666664</v>
      </c>
      <c r="D44" s="49">
        <f t="shared" si="1"/>
        <v>24659478.400000006</v>
      </c>
      <c r="E44" s="49">
        <f t="shared" si="1"/>
        <v>23764918.200000003</v>
      </c>
      <c r="F44" s="49">
        <f t="shared" si="1"/>
        <v>19298376.666666672</v>
      </c>
      <c r="G44" s="49">
        <f t="shared" si="1"/>
        <v>20261477.333333328</v>
      </c>
      <c r="H44" s="49">
        <f t="shared" si="1"/>
        <v>18427805.86666666</v>
      </c>
      <c r="I44" s="49">
        <f t="shared" si="1"/>
        <v>19552113.333333328</v>
      </c>
      <c r="J44" s="49">
        <f t="shared" si="1"/>
        <v>20186542.466666669</v>
      </c>
      <c r="K44" s="49">
        <f t="shared" si="1"/>
        <v>22986920.533333331</v>
      </c>
      <c r="L44" s="49">
        <f t="shared" si="1"/>
        <v>26083931.86666666</v>
      </c>
      <c r="M44" s="49">
        <f t="shared" si="1"/>
        <v>25926404.733333334</v>
      </c>
      <c r="N44" s="49">
        <f t="shared" si="1"/>
        <v>28124712.466666669</v>
      </c>
      <c r="O44" s="49">
        <f t="shared" si="1"/>
        <v>30175297.866666667</v>
      </c>
      <c r="P44" s="49">
        <f t="shared" si="1"/>
        <v>27962473.93333333</v>
      </c>
      <c r="Q44" s="49">
        <f t="shared" si="1"/>
        <v>29534956.266666666</v>
      </c>
      <c r="R44" s="49">
        <f t="shared" si="1"/>
        <v>28277485.733333334</v>
      </c>
      <c r="S44" s="49">
        <f t="shared" si="1"/>
        <v>29015760</v>
      </c>
      <c r="T44" s="49">
        <f t="shared" si="1"/>
        <v>22415903</v>
      </c>
      <c r="U44" s="49">
        <f t="shared" si="1"/>
        <v>25443106.866666667</v>
      </c>
      <c r="V44" s="49">
        <f t="shared" si="1"/>
        <v>25441772</v>
      </c>
      <c r="W44" s="49">
        <f t="shared" si="1"/>
        <v>25021859.266666666</v>
      </c>
      <c r="X44" s="49">
        <f t="shared" si="1"/>
        <v>26522201.93333333</v>
      </c>
      <c r="Y44" s="49">
        <f t="shared" si="1"/>
        <v>24834640.666666664</v>
      </c>
      <c r="Z44" s="2"/>
    </row>
    <row r="45" spans="1:26" ht="15" customHeight="1" x14ac:dyDescent="0.2">
      <c r="A45" s="2"/>
      <c r="B45" s="2"/>
      <c r="C45" s="2"/>
      <c r="D45" s="2"/>
      <c r="E45" s="2"/>
      <c r="F45" s="2"/>
      <c r="G45" s="2"/>
      <c r="H45" s="2"/>
      <c r="I45" s="2"/>
      <c r="J45" s="2"/>
      <c r="K45" s="2"/>
      <c r="L45" s="2"/>
      <c r="M45" s="2"/>
      <c r="N45" s="2"/>
      <c r="O45" s="2"/>
      <c r="P45" s="2"/>
      <c r="Q45" s="2"/>
      <c r="R45" s="2"/>
      <c r="S45" s="8"/>
      <c r="T45" s="8"/>
      <c r="U45" s="8"/>
      <c r="V45" s="8"/>
      <c r="W45" s="8"/>
      <c r="X45" s="8"/>
      <c r="Y45" s="8"/>
      <c r="Z45" s="2"/>
    </row>
    <row r="46" spans="1:26" ht="15" customHeight="1" x14ac:dyDescent="0.2">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ht="15" customHeight="1" x14ac:dyDescent="0.2">
      <c r="A47" s="8"/>
      <c r="B47" s="2020" t="s">
        <v>138</v>
      </c>
      <c r="C47" s="2017"/>
      <c r="D47" s="2017"/>
      <c r="E47" s="2017"/>
      <c r="F47" s="2009"/>
      <c r="G47" s="8"/>
      <c r="H47" s="8"/>
      <c r="I47" s="8"/>
      <c r="J47" s="8"/>
      <c r="K47" s="8"/>
      <c r="L47" s="8"/>
      <c r="M47" s="8"/>
      <c r="N47" s="8"/>
      <c r="O47" s="8"/>
      <c r="P47" s="8"/>
      <c r="Q47" s="8"/>
      <c r="R47" s="8"/>
      <c r="S47" s="8"/>
      <c r="T47" s="8"/>
      <c r="U47" s="8"/>
      <c r="V47" s="8"/>
      <c r="W47" s="8"/>
      <c r="X47" s="8"/>
      <c r="Y47" s="8"/>
      <c r="Z47" s="8"/>
    </row>
    <row r="48" spans="1:26" ht="15" customHeight="1" x14ac:dyDescent="0.2">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ht="15" customHeight="1" x14ac:dyDescent="0.2">
      <c r="A49" s="8"/>
      <c r="B49" s="2021" t="s">
        <v>140</v>
      </c>
      <c r="C49" s="2017"/>
      <c r="D49" s="2017"/>
      <c r="E49" s="2017"/>
      <c r="F49" s="2009"/>
      <c r="G49" s="8"/>
      <c r="H49" s="8"/>
      <c r="I49" s="8"/>
      <c r="J49" s="8"/>
      <c r="K49" s="8"/>
      <c r="L49" s="8"/>
      <c r="M49" s="8"/>
      <c r="N49" s="8"/>
      <c r="O49" s="8"/>
      <c r="P49" s="8"/>
      <c r="Q49" s="8"/>
      <c r="R49" s="8"/>
      <c r="S49" s="8"/>
      <c r="T49" s="8"/>
      <c r="U49" s="8"/>
      <c r="V49" s="8"/>
      <c r="W49" s="8"/>
      <c r="X49" s="8"/>
      <c r="Y49" s="8"/>
      <c r="Z49" s="8"/>
    </row>
    <row r="50" spans="1:26" ht="15" customHeight="1" x14ac:dyDescent="0.2">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ht="15" customHeight="1" x14ac:dyDescent="0.2">
      <c r="A51" s="8"/>
      <c r="B51" s="120" t="s">
        <v>49</v>
      </c>
      <c r="C51" s="32" t="s">
        <v>72</v>
      </c>
      <c r="D51" s="32" t="s">
        <v>107</v>
      </c>
      <c r="E51" s="32" t="s">
        <v>29</v>
      </c>
      <c r="F51" s="32" t="s">
        <v>94</v>
      </c>
      <c r="G51" s="32" t="s">
        <v>145</v>
      </c>
      <c r="H51" s="32" t="s">
        <v>147</v>
      </c>
      <c r="I51" s="32" t="s">
        <v>111</v>
      </c>
      <c r="J51" s="32" t="s">
        <v>148</v>
      </c>
      <c r="K51" s="32" t="s">
        <v>149</v>
      </c>
      <c r="L51" s="32" t="s">
        <v>151</v>
      </c>
      <c r="M51" s="32" t="s">
        <v>95</v>
      </c>
      <c r="N51" s="32" t="s">
        <v>56</v>
      </c>
      <c r="O51" s="32" t="s">
        <v>102</v>
      </c>
      <c r="P51" s="8"/>
      <c r="Q51" s="8"/>
      <c r="R51" s="8"/>
      <c r="S51" s="8"/>
      <c r="T51" s="8"/>
      <c r="U51" s="8"/>
      <c r="V51" s="8"/>
      <c r="W51" s="8"/>
      <c r="X51" s="8"/>
      <c r="Y51" s="8"/>
      <c r="Z51" s="8"/>
    </row>
    <row r="52" spans="1:26" ht="15" customHeight="1" x14ac:dyDescent="0.2">
      <c r="A52" s="8"/>
      <c r="B52" s="92" t="s">
        <v>152</v>
      </c>
      <c r="C52" s="73">
        <f>121450348/813131324</f>
        <v>0.14936129554394095</v>
      </c>
      <c r="D52" s="73">
        <f>273352117/813131324</f>
        <v>0.33617216423948759</v>
      </c>
      <c r="E52" s="73">
        <f>359447780/813131324</f>
        <v>0.44205378564410097</v>
      </c>
      <c r="F52" s="73">
        <f>2198248/813131324</f>
        <v>2.7034353924360686E-3</v>
      </c>
      <c r="G52" s="73">
        <f>7824870/813131324</f>
        <v>9.6231319210622369E-3</v>
      </c>
      <c r="H52" s="73">
        <f>3942261/813131324</f>
        <v>4.8482463824010792E-3</v>
      </c>
      <c r="I52" s="73">
        <f>28880451/813131324</f>
        <v>3.5517572804758903E-2</v>
      </c>
      <c r="J52" s="73">
        <f>2530338/813131324</f>
        <v>3.111844206852865E-3</v>
      </c>
      <c r="K52" s="128">
        <f>8/813131324</f>
        <v>9.83850918526415E-9</v>
      </c>
      <c r="L52" s="73">
        <f>11196440/813131324</f>
        <v>1.3769534722782369E-2</v>
      </c>
      <c r="M52" s="73">
        <f>1386046/813131324</f>
        <v>1.7045782877748294E-3</v>
      </c>
      <c r="N52" s="73">
        <f>922417/813131324</f>
        <v>1.1344010158929752E-3</v>
      </c>
      <c r="O52" s="131">
        <f>SUM(C52:N52)</f>
        <v>1.0000000000000002</v>
      </c>
      <c r="P52" s="8"/>
      <c r="Q52" s="8"/>
      <c r="R52" s="8"/>
      <c r="S52" s="8"/>
      <c r="T52" s="8"/>
      <c r="U52" s="8"/>
      <c r="V52" s="8"/>
      <c r="W52" s="8"/>
      <c r="X52" s="8"/>
      <c r="Y52" s="8"/>
      <c r="Z52" s="8"/>
    </row>
    <row r="53" spans="1:26" ht="15" customHeight="1" x14ac:dyDescent="0.2">
      <c r="A53" s="8"/>
      <c r="B53" s="48" t="s">
        <v>172</v>
      </c>
      <c r="C53" s="49">
        <f t="shared" ref="C53:N53" si="2">C52*$O53</f>
        <v>3709334.1043415745</v>
      </c>
      <c r="D53" s="49">
        <f t="shared" si="2"/>
        <v>8348714.9010233236</v>
      </c>
      <c r="E53" s="49">
        <f t="shared" si="2"/>
        <v>10978246.921810938</v>
      </c>
      <c r="F53" s="49">
        <f t="shared" si="2"/>
        <v>67138.846536698737</v>
      </c>
      <c r="G53" s="49">
        <f t="shared" si="2"/>
        <v>238987.02334751032</v>
      </c>
      <c r="H53" s="49">
        <f t="shared" si="2"/>
        <v>120404.45677039737</v>
      </c>
      <c r="I53" s="49">
        <f t="shared" si="2"/>
        <v>882066.15795835946</v>
      </c>
      <c r="J53" s="49">
        <f t="shared" si="2"/>
        <v>77281.532687839237</v>
      </c>
      <c r="K53" s="137">
        <f t="shared" si="2"/>
        <v>0.24433584031173458</v>
      </c>
      <c r="L53" s="49">
        <f t="shared" si="2"/>
        <v>341961.4469874897</v>
      </c>
      <c r="M53" s="49">
        <f t="shared" si="2"/>
        <v>42332.589265089809</v>
      </c>
      <c r="N53" s="49">
        <f t="shared" si="2"/>
        <v>28172.441601603659</v>
      </c>
      <c r="O53" s="49">
        <f>Y44</f>
        <v>24834640.666666664</v>
      </c>
      <c r="P53" s="8"/>
      <c r="Q53" s="8"/>
      <c r="S53" s="8"/>
      <c r="T53" s="8"/>
      <c r="U53" s="8"/>
      <c r="V53" s="8"/>
      <c r="W53" s="8"/>
      <c r="X53" s="8"/>
      <c r="Y53" s="8"/>
      <c r="Z53" s="8"/>
    </row>
    <row r="54" spans="1:26" ht="15" customHeight="1" x14ac:dyDescent="0.2">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ht="15" customHeight="1" x14ac:dyDescent="0.2">
      <c r="A55" s="2"/>
      <c r="B55" s="2"/>
      <c r="C55" s="2"/>
      <c r="D55" s="2"/>
      <c r="E55" s="2"/>
      <c r="F55" s="2"/>
      <c r="G55" s="2"/>
      <c r="H55" s="2"/>
      <c r="I55" s="8"/>
      <c r="J55" s="2"/>
      <c r="K55" s="2"/>
      <c r="L55" s="2"/>
      <c r="M55" s="2"/>
      <c r="N55" s="2"/>
      <c r="O55" s="2"/>
      <c r="P55" s="2"/>
      <c r="Q55" s="2"/>
      <c r="R55" s="2"/>
      <c r="S55" s="8"/>
      <c r="T55" s="8"/>
      <c r="U55" s="8"/>
      <c r="V55" s="8"/>
      <c r="W55" s="8"/>
      <c r="X55" s="8"/>
      <c r="Y55" s="8"/>
      <c r="Z55" s="2"/>
    </row>
    <row r="56" spans="1:26" ht="15" customHeight="1" x14ac:dyDescent="0.2">
      <c r="A56" s="2"/>
      <c r="B56" s="2021" t="s">
        <v>183</v>
      </c>
      <c r="C56" s="2017"/>
      <c r="D56" s="2017"/>
      <c r="E56" s="2017"/>
      <c r="F56" s="2009"/>
      <c r="G56" s="8"/>
      <c r="H56" s="8"/>
      <c r="I56" s="8"/>
      <c r="J56" s="8"/>
      <c r="K56" s="8"/>
      <c r="L56" s="8"/>
      <c r="M56" s="64"/>
      <c r="N56" s="8"/>
      <c r="O56" s="2"/>
      <c r="P56" s="2"/>
      <c r="Q56" s="2"/>
      <c r="R56" s="2"/>
      <c r="S56" s="8"/>
      <c r="T56" s="8"/>
      <c r="U56" s="8"/>
      <c r="V56" s="8"/>
      <c r="W56" s="8"/>
      <c r="X56" s="8"/>
      <c r="Y56" s="8"/>
      <c r="Z56" s="2"/>
    </row>
    <row r="57" spans="1:26" ht="15" customHeight="1" x14ac:dyDescent="0.2">
      <c r="A57" s="8"/>
      <c r="B57" s="8"/>
      <c r="C57" s="8"/>
      <c r="D57" s="8"/>
      <c r="E57" s="8"/>
      <c r="F57" s="8"/>
      <c r="G57" s="8"/>
      <c r="H57" s="2"/>
      <c r="I57" s="8"/>
      <c r="J57" s="8"/>
      <c r="K57" s="8"/>
      <c r="L57" s="8"/>
      <c r="M57" s="8"/>
      <c r="N57" s="64"/>
      <c r="O57" s="8"/>
      <c r="P57" s="8"/>
      <c r="Q57" s="8"/>
      <c r="R57" s="8"/>
      <c r="S57" s="8"/>
      <c r="T57" s="8"/>
      <c r="U57" s="8"/>
      <c r="V57" s="8"/>
      <c r="W57" s="8"/>
      <c r="X57" s="8"/>
      <c r="Y57" s="8"/>
      <c r="Z57" s="8"/>
    </row>
    <row r="58" spans="1:26" ht="15" customHeight="1" x14ac:dyDescent="0.2">
      <c r="A58" s="8"/>
      <c r="B58" s="120" t="s">
        <v>49</v>
      </c>
      <c r="C58" s="69" t="s">
        <v>72</v>
      </c>
      <c r="D58" s="69" t="s">
        <v>107</v>
      </c>
      <c r="E58" s="69" t="s">
        <v>29</v>
      </c>
      <c r="F58" s="69" t="s">
        <v>94</v>
      </c>
      <c r="G58" s="69" t="s">
        <v>145</v>
      </c>
      <c r="H58" s="69" t="s">
        <v>147</v>
      </c>
      <c r="I58" s="69" t="s">
        <v>111</v>
      </c>
      <c r="J58" s="69" t="s">
        <v>148</v>
      </c>
      <c r="K58" s="69" t="s">
        <v>149</v>
      </c>
      <c r="L58" s="69" t="s">
        <v>151</v>
      </c>
      <c r="M58" s="69" t="s">
        <v>95</v>
      </c>
      <c r="N58" s="69" t="s">
        <v>56</v>
      </c>
      <c r="O58" s="69" t="s">
        <v>102</v>
      </c>
      <c r="P58" s="8"/>
      <c r="Q58" s="8"/>
      <c r="R58" s="8"/>
      <c r="S58" s="2"/>
      <c r="T58" s="8"/>
      <c r="U58" s="8"/>
      <c r="V58" s="8"/>
      <c r="W58" s="8"/>
      <c r="X58" s="8"/>
      <c r="Y58" s="8"/>
      <c r="Z58" s="8"/>
    </row>
    <row r="59" spans="1:26" ht="15" customHeight="1" x14ac:dyDescent="0.2">
      <c r="A59" s="8"/>
      <c r="B59" s="25" t="s">
        <v>186</v>
      </c>
      <c r="C59" s="144">
        <f>264838579803/121450348/2000*0.907185</f>
        <v>0.98911856151529753</v>
      </c>
      <c r="D59" s="145">
        <f>0/273352117/2000*0.907185</f>
        <v>0</v>
      </c>
      <c r="E59" s="144">
        <f>313800469346/359447780/2000*0.907185</f>
        <v>0.39598947972867021</v>
      </c>
      <c r="F59" s="144">
        <f>4646720264/2198248/2000*0.907185</f>
        <v>0.9588169584816727</v>
      </c>
      <c r="G59" s="145">
        <f>0/7824870/2000*0.907185</f>
        <v>0</v>
      </c>
      <c r="H59" s="144">
        <f>7525367777/3942261/2000*0.907185</f>
        <v>0.86586108413138363</v>
      </c>
      <c r="I59" s="145">
        <f>0/28880451/2000*0.907185</f>
        <v>0</v>
      </c>
      <c r="J59" s="144">
        <f>1144157086/2530338/2000*0.907185</f>
        <v>0.20510345773230887</v>
      </c>
      <c r="K59" s="145">
        <f>0/8/2000*0.907185</f>
        <v>0</v>
      </c>
      <c r="L59" s="145">
        <f>0/11196440/2000*0.907185</f>
        <v>0</v>
      </c>
      <c r="M59" s="144">
        <f>3443041965/1386046/2000*0.907185</f>
        <v>1.1267577068216081</v>
      </c>
      <c r="N59" s="144">
        <f>458524754/922417/2000*0.907185</f>
        <v>0.22547653553517011</v>
      </c>
      <c r="O59" s="19" t="s">
        <v>44</v>
      </c>
      <c r="P59" s="8"/>
      <c r="Q59" s="8"/>
      <c r="R59" s="8"/>
      <c r="S59" s="2"/>
      <c r="T59" s="8"/>
      <c r="U59" s="8"/>
      <c r="V59" s="8"/>
      <c r="W59" s="8"/>
      <c r="X59" s="8"/>
      <c r="Y59" s="8"/>
      <c r="Z59" s="8"/>
    </row>
    <row r="60" spans="1:26" ht="15" customHeight="1" x14ac:dyDescent="0.2">
      <c r="A60" s="8"/>
      <c r="B60" s="25" t="s">
        <v>196</v>
      </c>
      <c r="C60" s="145">
        <f t="shared" ref="C60:N60" si="3">C53*C59</f>
        <v>3668971.2134659728</v>
      </c>
      <c r="D60" s="145">
        <f t="shared" si="3"/>
        <v>0</v>
      </c>
      <c r="E60" s="145">
        <f t="shared" si="3"/>
        <v>4347270.2869007885</v>
      </c>
      <c r="F60" s="145">
        <f t="shared" si="3"/>
        <v>64373.864632285266</v>
      </c>
      <c r="G60" s="145">
        <f t="shared" si="3"/>
        <v>0</v>
      </c>
      <c r="H60" s="145">
        <f t="shared" si="3"/>
        <v>104253.53347346658</v>
      </c>
      <c r="I60" s="145">
        <f t="shared" si="3"/>
        <v>0</v>
      </c>
      <c r="J60" s="145">
        <f t="shared" si="3"/>
        <v>15850.709573128281</v>
      </c>
      <c r="K60" s="145">
        <f t="shared" si="3"/>
        <v>0</v>
      </c>
      <c r="L60" s="145">
        <f t="shared" si="3"/>
        <v>0</v>
      </c>
      <c r="M60" s="145">
        <f t="shared" si="3"/>
        <v>47698.571204153617</v>
      </c>
      <c r="N60" s="145">
        <f t="shared" si="3"/>
        <v>6352.2245298964917</v>
      </c>
      <c r="O60" s="145">
        <f>SUM(C60:N60)</f>
        <v>8254770.403779692</v>
      </c>
      <c r="P60" s="8"/>
      <c r="Q60" s="8"/>
      <c r="R60" s="8"/>
      <c r="S60" s="2"/>
      <c r="T60" s="8"/>
      <c r="U60" s="8"/>
      <c r="V60" s="8"/>
      <c r="W60" s="8"/>
      <c r="X60" s="8"/>
      <c r="Y60" s="8"/>
      <c r="Z60" s="8"/>
    </row>
    <row r="61" spans="1:26" ht="15" customHeight="1" x14ac:dyDescent="0.2">
      <c r="A61" s="2"/>
      <c r="B61" s="151" t="s">
        <v>199</v>
      </c>
      <c r="C61" s="152">
        <f t="shared" ref="C61:O61" si="4">C60/1000000</f>
        <v>3.6689712134659729</v>
      </c>
      <c r="D61" s="78">
        <f t="shared" si="4"/>
        <v>0</v>
      </c>
      <c r="E61" s="152">
        <f t="shared" si="4"/>
        <v>4.3472702869007884</v>
      </c>
      <c r="F61" s="152">
        <f t="shared" si="4"/>
        <v>6.4373864632285269E-2</v>
      </c>
      <c r="G61" s="78">
        <f t="shared" si="4"/>
        <v>0</v>
      </c>
      <c r="H61" s="152">
        <f t="shared" si="4"/>
        <v>0.10425353347346658</v>
      </c>
      <c r="I61" s="78">
        <f t="shared" si="4"/>
        <v>0</v>
      </c>
      <c r="J61" s="152">
        <f t="shared" si="4"/>
        <v>1.5850709573128282E-2</v>
      </c>
      <c r="K61" s="78">
        <f t="shared" si="4"/>
        <v>0</v>
      </c>
      <c r="L61" s="78">
        <f t="shared" si="4"/>
        <v>0</v>
      </c>
      <c r="M61" s="152">
        <f t="shared" si="4"/>
        <v>4.769857120415362E-2</v>
      </c>
      <c r="N61" s="152">
        <f t="shared" si="4"/>
        <v>6.3522245298964913E-3</v>
      </c>
      <c r="O61" s="153">
        <f t="shared" si="4"/>
        <v>8.2547704037796912</v>
      </c>
      <c r="P61" s="2"/>
      <c r="Q61" s="2"/>
      <c r="R61" s="2"/>
      <c r="S61" s="2"/>
      <c r="T61" s="8"/>
      <c r="U61" s="2"/>
      <c r="V61" s="2"/>
      <c r="W61" s="2"/>
      <c r="X61" s="2"/>
      <c r="Y61" s="2"/>
      <c r="Z61" s="2"/>
    </row>
    <row r="62" spans="1:26" ht="12.75" x14ac:dyDescent="0.2">
      <c r="A62" s="2"/>
      <c r="B62" s="2"/>
      <c r="C62" s="2"/>
      <c r="D62" s="2"/>
      <c r="E62" s="2"/>
      <c r="F62" s="2"/>
      <c r="G62" s="2"/>
      <c r="H62" s="2"/>
      <c r="I62" s="8"/>
      <c r="J62" s="2"/>
      <c r="K62" s="2"/>
      <c r="L62" s="2"/>
      <c r="M62" s="2"/>
      <c r="N62" s="2"/>
      <c r="O62" s="2"/>
      <c r="P62" s="2"/>
      <c r="Q62" s="2"/>
      <c r="R62" s="2"/>
      <c r="S62" s="2"/>
      <c r="T62" s="8"/>
      <c r="U62" s="2"/>
      <c r="V62" s="2"/>
      <c r="W62" s="2"/>
      <c r="X62" s="2"/>
      <c r="Y62" s="2"/>
      <c r="Z62" s="2"/>
    </row>
    <row r="63" spans="1:26" ht="12.75" x14ac:dyDescent="0.2">
      <c r="A63" s="2"/>
      <c r="B63" s="8"/>
      <c r="C63" s="8"/>
      <c r="D63" s="8"/>
      <c r="E63" s="8"/>
      <c r="F63" s="8"/>
      <c r="G63" s="8"/>
      <c r="H63" s="2"/>
      <c r="I63" s="8"/>
      <c r="J63" s="2"/>
      <c r="K63" s="2"/>
      <c r="L63" s="2"/>
      <c r="M63" s="2"/>
      <c r="N63" s="2"/>
      <c r="O63" s="2"/>
      <c r="P63" s="2"/>
      <c r="Q63" s="2"/>
      <c r="R63" s="2"/>
      <c r="S63" s="2"/>
      <c r="T63" s="8"/>
      <c r="U63" s="2"/>
      <c r="V63" s="2"/>
      <c r="W63" s="2"/>
      <c r="X63" s="2"/>
      <c r="Y63" s="2"/>
      <c r="Z63" s="2"/>
    </row>
    <row r="64" spans="1:26" ht="12.75" x14ac:dyDescent="0.2">
      <c r="A64" s="2"/>
      <c r="B64" s="2"/>
      <c r="C64" s="2"/>
      <c r="D64" s="2"/>
      <c r="E64" s="155"/>
      <c r="F64" s="2"/>
      <c r="G64" s="2"/>
      <c r="H64" s="2"/>
      <c r="I64" s="8"/>
      <c r="J64" s="2"/>
      <c r="K64" s="2"/>
      <c r="L64" s="2"/>
      <c r="M64" s="2"/>
      <c r="N64" s="2"/>
      <c r="O64" s="2"/>
      <c r="P64" s="2"/>
      <c r="Q64" s="2"/>
      <c r="R64" s="2"/>
      <c r="S64" s="2"/>
      <c r="T64" s="8"/>
      <c r="U64" s="2"/>
      <c r="V64" s="2"/>
      <c r="W64" s="2"/>
      <c r="X64" s="2"/>
      <c r="Y64" s="2"/>
      <c r="Z64" s="2"/>
    </row>
    <row r="65" spans="1:26" ht="12.75"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75"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75"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75"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75"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75"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sheetData>
  <mergeCells count="8">
    <mergeCell ref="B47:F47"/>
    <mergeCell ref="B49:F49"/>
    <mergeCell ref="B56:F56"/>
    <mergeCell ref="B4:F4"/>
    <mergeCell ref="B6:E6"/>
    <mergeCell ref="B17:E17"/>
    <mergeCell ref="B24:E24"/>
    <mergeCell ref="B41:F4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000"/>
  <sheetViews>
    <sheetView showGridLines="0" topLeftCell="A28" zoomScaleNormal="100" workbookViewId="0">
      <selection activeCell="B56" sqref="B56"/>
    </sheetView>
  </sheetViews>
  <sheetFormatPr defaultColWidth="16.83203125" defaultRowHeight="15" customHeight="1" x14ac:dyDescent="0.2"/>
  <cols>
    <col min="1" max="1" width="4.33203125" style="885" customWidth="1"/>
    <col min="2" max="2" width="21.1640625" style="885" customWidth="1"/>
    <col min="3" max="3" width="16.6640625" style="885" customWidth="1"/>
    <col min="4" max="4" width="24.6640625" style="885" customWidth="1"/>
    <col min="5" max="6" width="20.5" style="885" customWidth="1"/>
    <col min="7" max="7" width="17.83203125" style="885" customWidth="1"/>
    <col min="8" max="9" width="8.83203125" style="885" customWidth="1"/>
    <col min="10" max="10" width="10.1640625" style="885" customWidth="1"/>
    <col min="11" max="11" width="18.33203125" style="885" bestFit="1" customWidth="1"/>
    <col min="12" max="26" width="8.83203125" style="885" customWidth="1"/>
    <col min="27" max="16384" width="16.83203125" style="885"/>
  </cols>
  <sheetData>
    <row r="1" spans="1:13" ht="15" customHeight="1" x14ac:dyDescent="0.2">
      <c r="A1" s="885" t="s">
        <v>6</v>
      </c>
    </row>
    <row r="2" spans="1:13" ht="21" customHeight="1" x14ac:dyDescent="0.25">
      <c r="B2" s="1022" t="s">
        <v>15</v>
      </c>
      <c r="F2" s="873"/>
      <c r="G2" s="886"/>
      <c r="H2" s="873"/>
    </row>
    <row r="3" spans="1:13" ht="90.75" customHeight="1" x14ac:dyDescent="0.2"/>
    <row r="4" spans="1:13" ht="18.600000000000001" customHeight="1" x14ac:dyDescent="0.2"/>
    <row r="5" spans="1:13" ht="12.75" x14ac:dyDescent="0.2">
      <c r="B5" s="967" t="s">
        <v>22</v>
      </c>
      <c r="C5" s="873"/>
      <c r="D5" s="873"/>
      <c r="E5" s="873">
        <v>2023</v>
      </c>
      <c r="F5" s="873"/>
      <c r="G5" s="873"/>
      <c r="H5" s="873"/>
      <c r="I5" s="873"/>
      <c r="J5" s="873"/>
      <c r="K5" s="873"/>
      <c r="L5" s="873"/>
      <c r="M5" s="873"/>
    </row>
    <row r="6" spans="1:13" ht="12.75" x14ac:dyDescent="0.2">
      <c r="B6" s="873"/>
      <c r="C6" s="873"/>
      <c r="E6" s="873"/>
      <c r="F6" s="873"/>
      <c r="G6" s="873"/>
      <c r="H6" s="873"/>
      <c r="I6" s="873"/>
      <c r="J6" s="873"/>
      <c r="K6" s="873"/>
      <c r="L6" s="873"/>
      <c r="M6" s="873"/>
    </row>
    <row r="7" spans="1:13" ht="12.75" x14ac:dyDescent="0.2">
      <c r="B7" s="887"/>
      <c r="C7" s="888" t="s">
        <v>30</v>
      </c>
      <c r="D7" s="888" t="s">
        <v>31</v>
      </c>
      <c r="E7" s="888" t="s">
        <v>34</v>
      </c>
      <c r="F7" s="888" t="s">
        <v>35</v>
      </c>
      <c r="G7" s="889" t="s">
        <v>35</v>
      </c>
      <c r="H7" s="873"/>
      <c r="I7" s="873"/>
      <c r="J7" s="2022" t="str">
        <f>Summary!D2</f>
        <v>Global Warming Potential</v>
      </c>
      <c r="K7" s="2023"/>
      <c r="L7" s="873"/>
      <c r="M7" s="890"/>
    </row>
    <row r="8" spans="1:13" ht="12.75" x14ac:dyDescent="0.2">
      <c r="B8" s="891" t="s">
        <v>49</v>
      </c>
      <c r="C8" s="892" t="s">
        <v>60</v>
      </c>
      <c r="D8" s="892" t="s">
        <v>61</v>
      </c>
      <c r="E8" s="892" t="s">
        <v>63</v>
      </c>
      <c r="F8" s="892" t="s">
        <v>64</v>
      </c>
      <c r="G8" s="893" t="s">
        <v>65</v>
      </c>
      <c r="H8" s="890"/>
      <c r="I8" s="873"/>
      <c r="J8" s="894"/>
      <c r="K8" s="894" t="str">
        <f>Summary!E3</f>
        <v>AR6 100-yr GWP</v>
      </c>
      <c r="L8" s="873"/>
      <c r="M8" s="890"/>
    </row>
    <row r="9" spans="1:13" ht="12.75" x14ac:dyDescent="0.2">
      <c r="B9" s="895" t="s">
        <v>72</v>
      </c>
      <c r="C9" s="896">
        <v>0</v>
      </c>
      <c r="D9" s="897">
        <f>57.73</f>
        <v>57.73</v>
      </c>
      <c r="E9" s="898">
        <v>1</v>
      </c>
      <c r="F9" s="899">
        <f t="shared" ref="F9:F13" si="0">C9*1000*D9*E9/2000</f>
        <v>0</v>
      </c>
      <c r="G9" s="900">
        <f t="shared" ref="G9:G13" si="1">F9*(44/12)*0.907185/1000000</f>
        <v>0</v>
      </c>
      <c r="H9" s="901"/>
      <c r="I9" s="873"/>
      <c r="J9" s="894" t="str">
        <f>Summary!C4</f>
        <v>CO2</v>
      </c>
      <c r="K9" s="902">
        <f>Summary!E4</f>
        <v>1</v>
      </c>
      <c r="L9" s="901"/>
      <c r="M9" s="903"/>
    </row>
    <row r="10" spans="1:13" ht="12.75" x14ac:dyDescent="0.2">
      <c r="B10" s="904" t="s">
        <v>78</v>
      </c>
      <c r="C10" s="905">
        <f>13420</f>
        <v>13420</v>
      </c>
      <c r="D10" s="906">
        <f>44.58</f>
        <v>44.58</v>
      </c>
      <c r="E10" s="907">
        <v>1</v>
      </c>
      <c r="F10" s="905">
        <f t="shared" si="0"/>
        <v>299131.8</v>
      </c>
      <c r="G10" s="908">
        <f t="shared" si="1"/>
        <v>0.99501556727099993</v>
      </c>
      <c r="H10" s="901"/>
      <c r="I10" s="873"/>
      <c r="J10" s="894" t="str">
        <f>Summary!C5</f>
        <v>CH4</v>
      </c>
      <c r="K10" s="902">
        <f>Summary!E5</f>
        <v>27.9</v>
      </c>
      <c r="L10" s="901"/>
      <c r="M10" s="903"/>
    </row>
    <row r="11" spans="1:13" ht="12.75" x14ac:dyDescent="0.2">
      <c r="B11" s="904" t="s">
        <v>86</v>
      </c>
      <c r="C11" s="905">
        <f>268</f>
        <v>268</v>
      </c>
      <c r="D11" s="906">
        <f>44.01</f>
        <v>44.01</v>
      </c>
      <c r="E11" s="907">
        <v>1</v>
      </c>
      <c r="F11" s="905">
        <f t="shared" si="0"/>
        <v>5897.34</v>
      </c>
      <c r="G11" s="908">
        <f t="shared" si="1"/>
        <v>1.9616587422299998E-2</v>
      </c>
      <c r="H11" s="901"/>
      <c r="I11" s="873"/>
      <c r="J11" s="894" t="str">
        <f>Summary!C6</f>
        <v>N2O</v>
      </c>
      <c r="K11" s="902">
        <f>Summary!E6</f>
        <v>273</v>
      </c>
      <c r="L11" s="901"/>
      <c r="M11" s="903"/>
    </row>
    <row r="12" spans="1:13" ht="12.75" x14ac:dyDescent="0.2">
      <c r="B12" s="904" t="s">
        <v>88</v>
      </c>
      <c r="C12" s="905">
        <f>5839</f>
        <v>5839</v>
      </c>
      <c r="D12" s="906">
        <f>37.81</f>
        <v>37.81</v>
      </c>
      <c r="E12" s="907">
        <v>1</v>
      </c>
      <c r="F12" s="905">
        <f t="shared" si="0"/>
        <v>110386.295</v>
      </c>
      <c r="G12" s="908">
        <f t="shared" si="1"/>
        <v>0.36718290044177498</v>
      </c>
      <c r="H12" s="901"/>
      <c r="I12" s="873"/>
      <c r="J12" s="894" t="str">
        <f>Summary!C7</f>
        <v>SF6</v>
      </c>
      <c r="K12" s="909">
        <f>Summary!E7</f>
        <v>24300</v>
      </c>
      <c r="L12" s="901"/>
      <c r="M12" s="903"/>
    </row>
    <row r="13" spans="1:13" ht="12.75" x14ac:dyDescent="0.2">
      <c r="B13" s="904" t="s">
        <v>29</v>
      </c>
      <c r="C13" s="905">
        <f>74444</f>
        <v>74444</v>
      </c>
      <c r="D13" s="906">
        <f>31.82</f>
        <v>31.82</v>
      </c>
      <c r="E13" s="907">
        <v>1</v>
      </c>
      <c r="F13" s="905">
        <f t="shared" si="0"/>
        <v>1184404.04</v>
      </c>
      <c r="G13" s="908">
        <f t="shared" si="1"/>
        <v>3.9397364564338</v>
      </c>
      <c r="H13" s="901"/>
      <c r="I13" s="873"/>
      <c r="L13" s="901"/>
      <c r="M13" s="903"/>
    </row>
    <row r="14" spans="1:13" ht="12.75" x14ac:dyDescent="0.2">
      <c r="B14" s="910" t="s">
        <v>95</v>
      </c>
      <c r="C14" s="911">
        <f>5617</f>
        <v>5617</v>
      </c>
      <c r="D14" s="912" t="s">
        <v>44</v>
      </c>
      <c r="E14" s="913"/>
      <c r="F14" s="911"/>
      <c r="G14" s="914"/>
      <c r="H14" s="901"/>
      <c r="I14" s="873"/>
      <c r="L14" s="901"/>
      <c r="M14" s="903"/>
    </row>
    <row r="15" spans="1:13" ht="12.75" x14ac:dyDescent="0.2">
      <c r="B15" s="915"/>
      <c r="C15" s="916"/>
      <c r="D15" s="916"/>
      <c r="E15" s="917"/>
      <c r="F15" s="918" t="s">
        <v>102</v>
      </c>
      <c r="G15" s="919">
        <f>SUM(G9:G13)</f>
        <v>5.3215515115688747</v>
      </c>
      <c r="H15" s="873"/>
      <c r="I15" s="873"/>
      <c r="J15" s="873"/>
      <c r="K15" s="873"/>
      <c r="L15" s="873"/>
      <c r="M15" s="873"/>
    </row>
    <row r="16" spans="1:13" ht="12.75" x14ac:dyDescent="0.2">
      <c r="B16" s="969"/>
      <c r="C16" s="969"/>
      <c r="D16" s="969"/>
      <c r="E16" s="970"/>
      <c r="F16" s="971"/>
      <c r="G16" s="972"/>
      <c r="H16" s="873"/>
      <c r="I16" s="873"/>
      <c r="J16" s="873"/>
      <c r="K16" s="873"/>
      <c r="L16" s="873"/>
      <c r="M16" s="873"/>
    </row>
    <row r="17" spans="2:13" ht="12.75" x14ac:dyDescent="0.2"/>
    <row r="18" spans="2:13" ht="14.25" x14ac:dyDescent="0.25">
      <c r="B18" s="967" t="s">
        <v>1964</v>
      </c>
      <c r="C18" s="873"/>
      <c r="D18" s="873"/>
      <c r="E18" s="873">
        <v>2023</v>
      </c>
      <c r="F18" s="873"/>
      <c r="G18" s="873"/>
      <c r="H18" s="873"/>
      <c r="I18" s="920"/>
      <c r="J18" s="873"/>
      <c r="K18" s="873"/>
      <c r="L18" s="873"/>
      <c r="M18" s="873"/>
    </row>
    <row r="19" spans="2:13" ht="12.75" x14ac:dyDescent="0.2">
      <c r="B19" s="873"/>
      <c r="C19" s="873"/>
      <c r="E19" s="873"/>
      <c r="F19" s="873"/>
      <c r="G19" s="873"/>
      <c r="H19" s="873"/>
      <c r="I19" s="873"/>
      <c r="J19" s="873"/>
      <c r="K19" s="873"/>
      <c r="L19" s="873"/>
      <c r="M19" s="873"/>
    </row>
    <row r="20" spans="2:13" ht="12.75" x14ac:dyDescent="0.2">
      <c r="B20" s="887"/>
      <c r="C20" s="888" t="s">
        <v>30</v>
      </c>
      <c r="D20" s="888" t="s">
        <v>112</v>
      </c>
      <c r="E20" s="888" t="s">
        <v>35</v>
      </c>
      <c r="F20" s="888" t="s">
        <v>113</v>
      </c>
      <c r="G20" s="889" t="s">
        <v>35</v>
      </c>
      <c r="H20" s="890"/>
      <c r="I20" s="873"/>
      <c r="J20" s="873"/>
      <c r="K20" s="890"/>
      <c r="L20" s="873"/>
      <c r="M20" s="890"/>
    </row>
    <row r="21" spans="2:13" ht="14.25" x14ac:dyDescent="0.25">
      <c r="B21" s="891" t="s">
        <v>49</v>
      </c>
      <c r="C21" s="892" t="s">
        <v>60</v>
      </c>
      <c r="D21" s="892" t="s">
        <v>1854</v>
      </c>
      <c r="E21" s="892" t="s">
        <v>1855</v>
      </c>
      <c r="F21" s="892"/>
      <c r="G21" s="893" t="s">
        <v>65</v>
      </c>
      <c r="H21" s="890"/>
      <c r="I21" s="873"/>
      <c r="J21" s="890"/>
      <c r="K21" s="890"/>
      <c r="L21" s="873"/>
      <c r="M21" s="890"/>
    </row>
    <row r="22" spans="2:13" ht="12.75" x14ac:dyDescent="0.2">
      <c r="B22" s="921" t="s">
        <v>72</v>
      </c>
      <c r="C22" s="922">
        <f t="shared" ref="C22:C27" si="2">C9</f>
        <v>0</v>
      </c>
      <c r="D22" s="923">
        <v>1.5034545899835E-3</v>
      </c>
      <c r="E22" s="924">
        <f t="shared" ref="E22:E27" si="3">C22*D22</f>
        <v>0</v>
      </c>
      <c r="F22" s="899">
        <f>K11</f>
        <v>273</v>
      </c>
      <c r="G22" s="925">
        <f t="shared" ref="G22:G27" si="4">E22*F22/1000000</f>
        <v>0</v>
      </c>
      <c r="H22" s="926"/>
      <c r="I22" s="920"/>
      <c r="J22" s="901"/>
      <c r="K22" s="927"/>
      <c r="L22" s="901"/>
      <c r="M22" s="927"/>
    </row>
    <row r="23" spans="2:13" ht="12.75" x14ac:dyDescent="0.2">
      <c r="B23" s="904" t="s">
        <v>78</v>
      </c>
      <c r="C23" s="905">
        <f t="shared" si="2"/>
        <v>13420</v>
      </c>
      <c r="D23" s="928">
        <v>6.0138183599339984E-4</v>
      </c>
      <c r="E23" s="929">
        <f t="shared" si="3"/>
        <v>8.0705442390314257</v>
      </c>
      <c r="F23" s="905">
        <f>K11</f>
        <v>273</v>
      </c>
      <c r="G23" s="930">
        <f t="shared" si="4"/>
        <v>2.2032585772555793E-3</v>
      </c>
      <c r="H23" s="926"/>
      <c r="I23" s="920"/>
      <c r="J23" s="901"/>
      <c r="K23" s="927"/>
      <c r="L23" s="901"/>
      <c r="M23" s="927"/>
    </row>
    <row r="24" spans="2:13" ht="12.75" x14ac:dyDescent="0.2">
      <c r="B24" s="904" t="s">
        <v>86</v>
      </c>
      <c r="C24" s="905">
        <f t="shared" si="2"/>
        <v>268</v>
      </c>
      <c r="D24" s="928">
        <v>6.0138183599339984E-4</v>
      </c>
      <c r="E24" s="929">
        <f t="shared" si="3"/>
        <v>0.16117033204623116</v>
      </c>
      <c r="F24" s="905">
        <f>K11</f>
        <v>273</v>
      </c>
      <c r="G24" s="930">
        <f t="shared" si="4"/>
        <v>4.3999500648621108E-5</v>
      </c>
      <c r="H24" s="926"/>
      <c r="I24" s="920"/>
      <c r="J24" s="901"/>
      <c r="K24" s="927"/>
      <c r="L24" s="901"/>
      <c r="M24" s="927"/>
    </row>
    <row r="25" spans="2:13" ht="12.75" x14ac:dyDescent="0.2">
      <c r="B25" s="904" t="s">
        <v>88</v>
      </c>
      <c r="C25" s="905">
        <f t="shared" si="2"/>
        <v>5839</v>
      </c>
      <c r="D25" s="928">
        <v>6.0138183599339984E-4</v>
      </c>
      <c r="E25" s="929">
        <f t="shared" si="3"/>
        <v>3.5114685403654615</v>
      </c>
      <c r="F25" s="905">
        <f>K11</f>
        <v>273</v>
      </c>
      <c r="G25" s="930">
        <f t="shared" si="4"/>
        <v>9.5863091151977093E-4</v>
      </c>
      <c r="H25" s="926"/>
      <c r="I25" s="920"/>
      <c r="J25" s="901"/>
      <c r="K25" s="927"/>
      <c r="L25" s="901"/>
      <c r="M25" s="927"/>
    </row>
    <row r="26" spans="2:13" ht="12.75" x14ac:dyDescent="0.2">
      <c r="B26" s="904" t="s">
        <v>29</v>
      </c>
      <c r="C26" s="905">
        <f t="shared" si="2"/>
        <v>74444</v>
      </c>
      <c r="D26" s="928">
        <v>9.4955026735800017E-5</v>
      </c>
      <c r="E26" s="929">
        <f t="shared" si="3"/>
        <v>7.0688320103198965</v>
      </c>
      <c r="F26" s="905">
        <f>K11</f>
        <v>273</v>
      </c>
      <c r="G26" s="930">
        <f t="shared" si="4"/>
        <v>1.9297911388173317E-3</v>
      </c>
      <c r="H26" s="926"/>
      <c r="I26" s="920"/>
      <c r="J26" s="901"/>
      <c r="K26" s="927"/>
      <c r="L26" s="901"/>
      <c r="M26" s="927"/>
    </row>
    <row r="27" spans="2:13" ht="12.75" x14ac:dyDescent="0.2">
      <c r="B27" s="910" t="s">
        <v>95</v>
      </c>
      <c r="C27" s="911">
        <f t="shared" si="2"/>
        <v>5617</v>
      </c>
      <c r="D27" s="931">
        <v>3.7982010694320003E-3</v>
      </c>
      <c r="E27" s="932">
        <f t="shared" si="3"/>
        <v>21.334495406999544</v>
      </c>
      <c r="F27" s="911">
        <f>K11</f>
        <v>273</v>
      </c>
      <c r="G27" s="933">
        <f t="shared" si="4"/>
        <v>5.8243172461108755E-3</v>
      </c>
      <c r="H27" s="926"/>
      <c r="I27" s="920"/>
      <c r="J27" s="901"/>
      <c r="K27" s="927"/>
      <c r="L27" s="901"/>
      <c r="M27" s="927"/>
    </row>
    <row r="28" spans="2:13" ht="12.75" x14ac:dyDescent="0.2">
      <c r="B28" s="915"/>
      <c r="C28" s="916"/>
      <c r="D28" s="916"/>
      <c r="E28" s="916"/>
      <c r="F28" s="918" t="s">
        <v>102</v>
      </c>
      <c r="G28" s="934">
        <f>SUM(G22:G27)</f>
        <v>1.0959997374352179E-2</v>
      </c>
      <c r="H28" s="873"/>
      <c r="I28" s="890"/>
      <c r="J28" s="901"/>
      <c r="K28" s="935"/>
      <c r="L28" s="901"/>
      <c r="M28" s="936"/>
    </row>
    <row r="29" spans="2:13" ht="12.75" x14ac:dyDescent="0.2">
      <c r="B29" s="969"/>
      <c r="C29" s="969"/>
      <c r="D29" s="969"/>
      <c r="E29" s="969"/>
      <c r="F29" s="971"/>
      <c r="G29" s="973"/>
      <c r="H29" s="873"/>
      <c r="I29" s="890"/>
      <c r="J29" s="901"/>
      <c r="K29" s="935"/>
      <c r="L29" s="901"/>
      <c r="M29" s="936"/>
    </row>
    <row r="30" spans="2:13" ht="12.75" x14ac:dyDescent="0.2">
      <c r="H30" s="873"/>
      <c r="I30" s="873"/>
      <c r="J30" s="873"/>
      <c r="K30" s="873"/>
      <c r="L30" s="873"/>
      <c r="M30" s="873"/>
    </row>
    <row r="31" spans="2:13" ht="14.25" x14ac:dyDescent="0.25">
      <c r="B31" s="967" t="s">
        <v>1857</v>
      </c>
      <c r="C31" s="873"/>
      <c r="D31" s="873"/>
      <c r="E31" s="873">
        <v>2023</v>
      </c>
      <c r="F31" s="873"/>
      <c r="G31" s="873"/>
      <c r="H31" s="873"/>
      <c r="I31" s="873"/>
      <c r="J31" s="873"/>
      <c r="K31" s="873"/>
      <c r="L31" s="873"/>
      <c r="M31" s="873"/>
    </row>
    <row r="32" spans="2:13" ht="12.75" x14ac:dyDescent="0.2">
      <c r="B32" s="873"/>
      <c r="C32" s="873"/>
      <c r="E32" s="873"/>
      <c r="F32" s="873"/>
      <c r="G32" s="873"/>
      <c r="H32" s="873"/>
      <c r="I32" s="873"/>
      <c r="J32" s="873"/>
      <c r="K32" s="873"/>
      <c r="L32" s="873"/>
      <c r="M32" s="873"/>
    </row>
    <row r="33" spans="1:13" ht="12.75" x14ac:dyDescent="0.2">
      <c r="B33" s="887"/>
      <c r="C33" s="888" t="s">
        <v>30</v>
      </c>
      <c r="D33" s="888" t="s">
        <v>112</v>
      </c>
      <c r="E33" s="888" t="s">
        <v>35</v>
      </c>
      <c r="F33" s="888" t="s">
        <v>113</v>
      </c>
      <c r="G33" s="889" t="s">
        <v>35</v>
      </c>
      <c r="H33" s="890"/>
      <c r="I33" s="873"/>
      <c r="J33" s="873"/>
      <c r="K33" s="890"/>
      <c r="L33" s="873"/>
      <c r="M33" s="873"/>
    </row>
    <row r="34" spans="1:13" ht="14.25" x14ac:dyDescent="0.25">
      <c r="B34" s="891" t="s">
        <v>49</v>
      </c>
      <c r="C34" s="892" t="s">
        <v>60</v>
      </c>
      <c r="D34" s="892" t="s">
        <v>141</v>
      </c>
      <c r="E34" s="892" t="s">
        <v>1856</v>
      </c>
      <c r="F34" s="892"/>
      <c r="G34" s="893" t="s">
        <v>65</v>
      </c>
      <c r="H34" s="890"/>
      <c r="I34" s="873"/>
      <c r="J34" s="890"/>
      <c r="K34" s="890"/>
      <c r="L34" s="873"/>
      <c r="M34" s="873"/>
    </row>
    <row r="35" spans="1:13" ht="12.75" x14ac:dyDescent="0.2">
      <c r="B35" s="895" t="s">
        <v>72</v>
      </c>
      <c r="C35" s="896">
        <f t="shared" ref="C35:C40" si="5">C9</f>
        <v>0</v>
      </c>
      <c r="D35" s="937">
        <v>0.3006909179967</v>
      </c>
      <c r="E35" s="938">
        <f t="shared" ref="E35:E40" si="6">C35*D35</f>
        <v>0</v>
      </c>
      <c r="F35" s="939">
        <f>K10</f>
        <v>27.9</v>
      </c>
      <c r="G35" s="940">
        <f t="shared" ref="G35:G40" si="7">E35*F35/1000000</f>
        <v>0</v>
      </c>
      <c r="H35" s="926"/>
      <c r="I35" s="920"/>
      <c r="J35" s="901"/>
      <c r="K35" s="903"/>
      <c r="L35" s="901"/>
      <c r="M35" s="927"/>
    </row>
    <row r="36" spans="1:13" ht="12.75" x14ac:dyDescent="0.2">
      <c r="B36" s="904" t="s">
        <v>78</v>
      </c>
      <c r="C36" s="905">
        <f t="shared" si="5"/>
        <v>13420</v>
      </c>
      <c r="D36" s="928">
        <v>1.0023030599889999E-2</v>
      </c>
      <c r="E36" s="941">
        <f t="shared" si="6"/>
        <v>134.5090706505238</v>
      </c>
      <c r="F36" s="942">
        <f>K10</f>
        <v>27.9</v>
      </c>
      <c r="G36" s="943">
        <f t="shared" si="7"/>
        <v>3.7528030711496134E-3</v>
      </c>
      <c r="H36" s="926"/>
      <c r="I36" s="920"/>
      <c r="J36" s="901"/>
      <c r="K36" s="903"/>
      <c r="L36" s="901"/>
      <c r="M36" s="927"/>
    </row>
    <row r="37" spans="1:13" ht="12.75" x14ac:dyDescent="0.2">
      <c r="B37" s="904" t="s">
        <v>86</v>
      </c>
      <c r="C37" s="905">
        <f t="shared" si="5"/>
        <v>268</v>
      </c>
      <c r="D37" s="928">
        <v>1.0023030599889999E-2</v>
      </c>
      <c r="E37" s="941">
        <f t="shared" si="6"/>
        <v>2.6861722007705198</v>
      </c>
      <c r="F37" s="942">
        <f>K10</f>
        <v>27.9</v>
      </c>
      <c r="G37" s="943">
        <f t="shared" si="7"/>
        <v>7.4944204401497497E-5</v>
      </c>
      <c r="H37" s="926"/>
      <c r="I37" s="920"/>
      <c r="J37" s="901"/>
      <c r="K37" s="903"/>
      <c r="L37" s="901"/>
      <c r="M37" s="927"/>
    </row>
    <row r="38" spans="1:13" ht="12.75" x14ac:dyDescent="0.2">
      <c r="B38" s="904" t="s">
        <v>88</v>
      </c>
      <c r="C38" s="905">
        <f t="shared" si="5"/>
        <v>5839</v>
      </c>
      <c r="D38" s="928">
        <v>1.0023030599889999E-2</v>
      </c>
      <c r="E38" s="941">
        <f t="shared" si="6"/>
        <v>58.524475672757703</v>
      </c>
      <c r="F38" s="942">
        <f>K10</f>
        <v>27.9</v>
      </c>
      <c r="G38" s="943">
        <f t="shared" si="7"/>
        <v>1.63283287126994E-3</v>
      </c>
      <c r="H38" s="926"/>
      <c r="I38" s="920"/>
      <c r="J38" s="901"/>
      <c r="K38" s="903"/>
      <c r="L38" s="901"/>
      <c r="M38" s="927"/>
    </row>
    <row r="39" spans="1:13" ht="12.75" x14ac:dyDescent="0.2">
      <c r="B39" s="904" t="s">
        <v>29</v>
      </c>
      <c r="C39" s="905">
        <f t="shared" si="5"/>
        <v>74444</v>
      </c>
      <c r="D39" s="928">
        <v>4.7477513367900001E-3</v>
      </c>
      <c r="E39" s="941">
        <f t="shared" si="6"/>
        <v>353.44160051599476</v>
      </c>
      <c r="F39" s="942">
        <f>K10</f>
        <v>27.9</v>
      </c>
      <c r="G39" s="943">
        <f t="shared" si="7"/>
        <v>9.8610206543962541E-3</v>
      </c>
      <c r="H39" s="926"/>
      <c r="I39" s="920"/>
      <c r="J39" s="901"/>
      <c r="K39" s="903"/>
      <c r="L39" s="901"/>
      <c r="M39" s="927"/>
    </row>
    <row r="40" spans="1:13" ht="12.75" x14ac:dyDescent="0.2">
      <c r="B40" s="910" t="s">
        <v>95</v>
      </c>
      <c r="C40" s="911">
        <f t="shared" si="5"/>
        <v>5617</v>
      </c>
      <c r="D40" s="931">
        <v>0.28486508020740003</v>
      </c>
      <c r="E40" s="944">
        <f t="shared" si="6"/>
        <v>1600.087155524966</v>
      </c>
      <c r="F40" s="945">
        <f>K10</f>
        <v>27.9</v>
      </c>
      <c r="G40" s="946">
        <f t="shared" si="7"/>
        <v>4.4642431639146544E-2</v>
      </c>
      <c r="H40" s="926"/>
      <c r="I40" s="920"/>
      <c r="J40" s="901"/>
      <c r="K40" s="903"/>
      <c r="L40" s="901"/>
      <c r="M40" s="927"/>
    </row>
    <row r="41" spans="1:13" ht="12.75" x14ac:dyDescent="0.2">
      <c r="B41" s="915"/>
      <c r="C41" s="916"/>
      <c r="D41" s="916"/>
      <c r="E41" s="916"/>
      <c r="F41" s="918" t="s">
        <v>102</v>
      </c>
      <c r="G41" s="934">
        <f>SUM(G35:G40)</f>
        <v>5.996403244036385E-2</v>
      </c>
      <c r="H41" s="873"/>
      <c r="I41" s="873"/>
      <c r="J41" s="901"/>
      <c r="K41" s="935"/>
      <c r="L41" s="873"/>
      <c r="M41" s="936"/>
    </row>
    <row r="42" spans="1:13" ht="12.75" x14ac:dyDescent="0.2"/>
    <row r="43" spans="1:13" ht="12.75" x14ac:dyDescent="0.2"/>
    <row r="44" spans="1:13" ht="12.75" x14ac:dyDescent="0.2">
      <c r="B44" s="968" t="s">
        <v>170</v>
      </c>
      <c r="C44" s="947"/>
      <c r="D44" s="948"/>
      <c r="E44" s="947"/>
      <c r="F44" s="947"/>
      <c r="G44" s="873"/>
    </row>
    <row r="45" spans="1:13" ht="12.75" x14ac:dyDescent="0.2">
      <c r="B45" s="873"/>
      <c r="C45" s="873"/>
      <c r="E45" s="873"/>
      <c r="F45" s="873"/>
      <c r="G45" s="873"/>
    </row>
    <row r="46" spans="1:13" ht="12.75" x14ac:dyDescent="0.2">
      <c r="B46" s="949"/>
      <c r="C46" s="950" t="s">
        <v>10</v>
      </c>
      <c r="D46" s="888" t="s">
        <v>14</v>
      </c>
      <c r="E46" s="889" t="s">
        <v>13</v>
      </c>
      <c r="F46" s="889" t="s">
        <v>102</v>
      </c>
      <c r="G46" s="890"/>
    </row>
    <row r="47" spans="1:13" ht="12.75" x14ac:dyDescent="0.2">
      <c r="B47" s="891" t="s">
        <v>49</v>
      </c>
      <c r="C47" s="951" t="s">
        <v>65</v>
      </c>
      <c r="D47" s="892" t="s">
        <v>65</v>
      </c>
      <c r="E47" s="893" t="s">
        <v>65</v>
      </c>
      <c r="F47" s="893" t="s">
        <v>65</v>
      </c>
      <c r="G47" s="890"/>
    </row>
    <row r="48" spans="1:13" ht="12.75" x14ac:dyDescent="0.2">
      <c r="A48" s="873"/>
      <c r="B48" s="895" t="s">
        <v>72</v>
      </c>
      <c r="C48" s="952">
        <f t="shared" ref="C48:C53" si="8">G9</f>
        <v>0</v>
      </c>
      <c r="D48" s="953">
        <f t="shared" ref="D48:D53" si="9">G22</f>
        <v>0</v>
      </c>
      <c r="E48" s="900">
        <f t="shared" ref="E48:E53" si="10">G35</f>
        <v>0</v>
      </c>
      <c r="F48" s="900">
        <f t="shared" ref="F48:F53" si="11">C48+D48+E48</f>
        <v>0</v>
      </c>
      <c r="G48" s="954"/>
      <c r="H48" s="920"/>
    </row>
    <row r="49" spans="1:15" ht="12.75" x14ac:dyDescent="0.2">
      <c r="A49" s="873"/>
      <c r="B49" s="904" t="s">
        <v>78</v>
      </c>
      <c r="C49" s="955">
        <f t="shared" si="8"/>
        <v>0.99501556727099993</v>
      </c>
      <c r="D49" s="956">
        <f t="shared" si="9"/>
        <v>2.2032585772555793E-3</v>
      </c>
      <c r="E49" s="908">
        <f t="shared" si="10"/>
        <v>3.7528030711496134E-3</v>
      </c>
      <c r="F49" s="908">
        <f t="shared" si="11"/>
        <v>1.0009716289194051</v>
      </c>
      <c r="G49" s="954"/>
      <c r="H49" s="920"/>
    </row>
    <row r="50" spans="1:15" ht="12.75" x14ac:dyDescent="0.2">
      <c r="A50" s="873"/>
      <c r="B50" s="904" t="s">
        <v>86</v>
      </c>
      <c r="C50" s="955">
        <f t="shared" si="8"/>
        <v>1.9616587422299998E-2</v>
      </c>
      <c r="D50" s="956">
        <f t="shared" si="9"/>
        <v>4.3999500648621108E-5</v>
      </c>
      <c r="E50" s="908">
        <f t="shared" si="10"/>
        <v>7.4944204401497497E-5</v>
      </c>
      <c r="F50" s="908">
        <f t="shared" si="11"/>
        <v>1.9735531127350117E-2</v>
      </c>
      <c r="G50" s="954"/>
      <c r="H50" s="920"/>
    </row>
    <row r="51" spans="1:15" ht="12.75" x14ac:dyDescent="0.2">
      <c r="A51" s="873"/>
      <c r="B51" s="904" t="s">
        <v>88</v>
      </c>
      <c r="C51" s="955">
        <f t="shared" si="8"/>
        <v>0.36718290044177498</v>
      </c>
      <c r="D51" s="956">
        <f t="shared" si="9"/>
        <v>9.5863091151977093E-4</v>
      </c>
      <c r="E51" s="908">
        <f t="shared" si="10"/>
        <v>1.63283287126994E-3</v>
      </c>
      <c r="F51" s="908">
        <f t="shared" si="11"/>
        <v>0.36977436422456467</v>
      </c>
      <c r="G51" s="954"/>
      <c r="H51" s="920"/>
    </row>
    <row r="52" spans="1:15" ht="12.75" x14ac:dyDescent="0.2">
      <c r="A52" s="873"/>
      <c r="B52" s="904" t="s">
        <v>29</v>
      </c>
      <c r="C52" s="955">
        <f t="shared" si="8"/>
        <v>3.9397364564338</v>
      </c>
      <c r="D52" s="956">
        <f t="shared" si="9"/>
        <v>1.9297911388173317E-3</v>
      </c>
      <c r="E52" s="908">
        <f t="shared" si="10"/>
        <v>9.8610206543962541E-3</v>
      </c>
      <c r="F52" s="908">
        <f t="shared" si="11"/>
        <v>3.9515272682270135</v>
      </c>
      <c r="G52" s="954"/>
      <c r="H52" s="920"/>
    </row>
    <row r="53" spans="1:15" ht="12.75" x14ac:dyDescent="0.2">
      <c r="A53" s="873"/>
      <c r="B53" s="910" t="s">
        <v>95</v>
      </c>
      <c r="C53" s="957">
        <f t="shared" si="8"/>
        <v>0</v>
      </c>
      <c r="D53" s="957">
        <f t="shared" si="9"/>
        <v>5.8243172461108755E-3</v>
      </c>
      <c r="E53" s="914">
        <f t="shared" si="10"/>
        <v>4.4642431639146544E-2</v>
      </c>
      <c r="F53" s="914">
        <f t="shared" si="11"/>
        <v>5.0466748885257422E-2</v>
      </c>
      <c r="G53" s="954"/>
      <c r="H53" s="958"/>
    </row>
    <row r="54" spans="1:15" ht="12.75" x14ac:dyDescent="0.2">
      <c r="B54" s="915"/>
      <c r="C54" s="916"/>
      <c r="D54" s="916"/>
      <c r="E54" s="959" t="s">
        <v>102</v>
      </c>
      <c r="F54" s="960">
        <f>SUM(F48:F53)</f>
        <v>5.3924755413835905</v>
      </c>
      <c r="G54" s="961"/>
    </row>
    <row r="55" spans="1:15" ht="12.75" x14ac:dyDescent="0.2"/>
    <row r="56" spans="1:15" ht="12.75" x14ac:dyDescent="0.2">
      <c r="B56" s="949"/>
      <c r="C56" s="888" t="s">
        <v>10</v>
      </c>
      <c r="D56" s="888" t="s">
        <v>14</v>
      </c>
      <c r="E56" s="889" t="s">
        <v>13</v>
      </c>
      <c r="F56" s="889" t="s">
        <v>102</v>
      </c>
    </row>
    <row r="57" spans="1:15" ht="12.75" x14ac:dyDescent="0.2">
      <c r="B57" s="891" t="s">
        <v>188</v>
      </c>
      <c r="C57" s="892" t="s">
        <v>65</v>
      </c>
      <c r="D57" s="892" t="s">
        <v>65</v>
      </c>
      <c r="E57" s="893" t="s">
        <v>65</v>
      </c>
      <c r="F57" s="893" t="s">
        <v>65</v>
      </c>
      <c r="K57" s="958"/>
      <c r="L57" s="958"/>
      <c r="M57" s="958"/>
      <c r="N57" s="958"/>
      <c r="O57" s="958"/>
    </row>
    <row r="58" spans="1:15" ht="12.75" x14ac:dyDescent="0.2">
      <c r="B58" s="895" t="s">
        <v>72</v>
      </c>
      <c r="C58" s="953">
        <f t="shared" ref="C58:F58" si="12">C48</f>
        <v>0</v>
      </c>
      <c r="D58" s="953">
        <f t="shared" si="12"/>
        <v>0</v>
      </c>
      <c r="E58" s="900">
        <f t="shared" si="12"/>
        <v>0</v>
      </c>
      <c r="F58" s="900">
        <f t="shared" si="12"/>
        <v>0</v>
      </c>
      <c r="J58" s="958"/>
      <c r="K58" s="962"/>
      <c r="L58" s="962"/>
      <c r="M58" s="962"/>
      <c r="N58" s="963"/>
      <c r="O58" s="963"/>
    </row>
    <row r="59" spans="1:15" ht="12.75" x14ac:dyDescent="0.2">
      <c r="B59" s="904" t="s">
        <v>137</v>
      </c>
      <c r="C59" s="956">
        <f t="shared" ref="C59:F59" si="13">C52+C51</f>
        <v>4.306919356875575</v>
      </c>
      <c r="D59" s="956">
        <f t="shared" si="13"/>
        <v>2.8884220503371024E-3</v>
      </c>
      <c r="E59" s="908">
        <f t="shared" si="13"/>
        <v>1.1493853525666195E-2</v>
      </c>
      <c r="F59" s="908">
        <f t="shared" si="13"/>
        <v>4.3213016324515783</v>
      </c>
      <c r="J59" s="958"/>
      <c r="K59" s="962"/>
      <c r="L59" s="962"/>
      <c r="M59" s="962"/>
      <c r="N59" s="963"/>
      <c r="O59" s="963"/>
    </row>
    <row r="60" spans="1:15" ht="12.75" x14ac:dyDescent="0.2">
      <c r="B60" s="904" t="s">
        <v>101</v>
      </c>
      <c r="C60" s="956">
        <f t="shared" ref="C60:F60" si="14">C49+C50</f>
        <v>1.0146321546932999</v>
      </c>
      <c r="D60" s="956">
        <f t="shared" si="14"/>
        <v>2.2472580779042003E-3</v>
      </c>
      <c r="E60" s="908">
        <f t="shared" si="14"/>
        <v>3.8277472755511108E-3</v>
      </c>
      <c r="F60" s="908">
        <f t="shared" si="14"/>
        <v>1.0207071600467552</v>
      </c>
      <c r="J60" s="958"/>
      <c r="K60" s="962"/>
      <c r="L60" s="962"/>
      <c r="M60" s="962"/>
      <c r="N60" s="963"/>
      <c r="O60" s="963"/>
    </row>
    <row r="61" spans="1:15" ht="12.75" x14ac:dyDescent="0.2">
      <c r="B61" s="910" t="s">
        <v>95</v>
      </c>
      <c r="C61" s="957">
        <f t="shared" ref="C61:F61" si="15">C53</f>
        <v>0</v>
      </c>
      <c r="D61" s="957">
        <f t="shared" si="15"/>
        <v>5.8243172461108755E-3</v>
      </c>
      <c r="E61" s="914">
        <f t="shared" si="15"/>
        <v>4.4642431639146544E-2</v>
      </c>
      <c r="F61" s="914">
        <f t="shared" si="15"/>
        <v>5.0466748885257422E-2</v>
      </c>
      <c r="J61" s="958"/>
      <c r="K61" s="962"/>
      <c r="L61" s="962"/>
      <c r="M61" s="962"/>
      <c r="N61" s="963"/>
      <c r="O61" s="963"/>
    </row>
    <row r="62" spans="1:15" ht="12.75" x14ac:dyDescent="0.2">
      <c r="B62" s="915"/>
      <c r="C62" s="916"/>
      <c r="D62" s="916"/>
      <c r="E62" s="959" t="s">
        <v>102</v>
      </c>
      <c r="F62" s="960">
        <f>SUM(F58:F61)</f>
        <v>5.3924755413835905</v>
      </c>
      <c r="J62" s="964"/>
      <c r="K62" s="965"/>
      <c r="L62" s="965"/>
      <c r="M62" s="965"/>
      <c r="N62" s="966"/>
      <c r="O62" s="966"/>
    </row>
    <row r="63" spans="1:15" ht="12.75" x14ac:dyDescent="0.2"/>
    <row r="64" spans="1:15"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sheetData>
  <mergeCells count="1">
    <mergeCell ref="J7:K7"/>
  </mergeCells>
  <pageMargins left="0.75" right="0.75" top="1" bottom="1" header="0" footer="0"/>
  <pageSetup orientation="portrait"/>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Z1000"/>
  <sheetViews>
    <sheetView showGridLines="0" topLeftCell="A39" workbookViewId="0">
      <selection activeCell="D76" sqref="D76"/>
    </sheetView>
  </sheetViews>
  <sheetFormatPr defaultColWidth="16.83203125" defaultRowHeight="15" customHeight="1" x14ac:dyDescent="0.2"/>
  <cols>
    <col min="1" max="1" width="4.33203125" style="885" customWidth="1"/>
    <col min="2" max="2" width="23.1640625" style="885" customWidth="1"/>
    <col min="3" max="3" width="20" style="885" customWidth="1"/>
    <col min="4" max="4" width="23.1640625" style="885" customWidth="1"/>
    <col min="5" max="5" width="21.33203125" style="885" customWidth="1"/>
    <col min="6" max="6" width="20.5" style="885" customWidth="1"/>
    <col min="7" max="7" width="16.83203125" style="885" customWidth="1"/>
    <col min="8" max="9" width="8.83203125" style="885" customWidth="1"/>
    <col min="10" max="10" width="10.1640625" style="885" customWidth="1"/>
    <col min="11" max="11" width="18.33203125" style="885" bestFit="1" customWidth="1"/>
    <col min="12" max="26" width="8.83203125" style="885" customWidth="1"/>
    <col min="27" max="16384" width="16.83203125" style="885"/>
  </cols>
  <sheetData>
    <row r="2" spans="2:26" ht="15.75" x14ac:dyDescent="0.25">
      <c r="B2" s="1022" t="s">
        <v>293</v>
      </c>
      <c r="H2" s="873"/>
      <c r="I2" s="873"/>
      <c r="J2" s="873"/>
      <c r="K2" s="873"/>
      <c r="L2" s="873"/>
      <c r="M2" s="873"/>
      <c r="N2" s="873"/>
      <c r="O2" s="873"/>
      <c r="P2" s="873"/>
      <c r="Q2" s="873"/>
      <c r="R2" s="873"/>
      <c r="S2" s="873"/>
      <c r="T2" s="873"/>
      <c r="U2" s="873"/>
      <c r="V2" s="873"/>
      <c r="W2" s="873"/>
      <c r="X2" s="873"/>
      <c r="Y2" s="873"/>
      <c r="Z2" s="873"/>
    </row>
    <row r="3" spans="2:26" ht="93" customHeight="1" x14ac:dyDescent="0.2"/>
    <row r="4" spans="2:26" ht="16.149999999999999" customHeight="1" x14ac:dyDescent="0.2"/>
    <row r="5" spans="2:26" ht="12.75" x14ac:dyDescent="0.2">
      <c r="B5" s="967" t="s">
        <v>295</v>
      </c>
      <c r="C5" s="873"/>
      <c r="D5" s="873"/>
      <c r="E5" s="873">
        <v>2023</v>
      </c>
      <c r="F5" s="873"/>
      <c r="G5" s="873"/>
      <c r="H5" s="873"/>
      <c r="I5" s="873"/>
      <c r="J5" s="873"/>
      <c r="K5" s="873"/>
      <c r="L5" s="873"/>
      <c r="M5" s="873"/>
    </row>
    <row r="6" spans="2:26" ht="12.75" x14ac:dyDescent="0.2">
      <c r="B6" s="873"/>
      <c r="C6" s="873"/>
      <c r="D6" s="873"/>
      <c r="E6" s="873"/>
      <c r="F6" s="873"/>
      <c r="G6" s="873"/>
      <c r="H6" s="873"/>
      <c r="I6" s="873"/>
      <c r="L6" s="873"/>
      <c r="M6" s="890"/>
    </row>
    <row r="7" spans="2:26" ht="12.75" x14ac:dyDescent="0.2">
      <c r="B7" s="887"/>
      <c r="C7" s="888" t="s">
        <v>30</v>
      </c>
      <c r="D7" s="888" t="s">
        <v>31</v>
      </c>
      <c r="E7" s="950" t="s">
        <v>34</v>
      </c>
      <c r="F7" s="888" t="s">
        <v>35</v>
      </c>
      <c r="G7" s="975" t="s">
        <v>35</v>
      </c>
      <c r="H7" s="873"/>
      <c r="I7" s="873"/>
      <c r="J7" s="2022" t="str">
        <f>Summary!D2</f>
        <v>Global Warming Potential</v>
      </c>
      <c r="K7" s="2023"/>
      <c r="L7" s="873"/>
      <c r="M7" s="890"/>
      <c r="N7" s="873"/>
    </row>
    <row r="8" spans="2:26" ht="12.75" x14ac:dyDescent="0.2">
      <c r="B8" s="891" t="s">
        <v>49</v>
      </c>
      <c r="C8" s="892" t="s">
        <v>60</v>
      </c>
      <c r="D8" s="892" t="s">
        <v>61</v>
      </c>
      <c r="E8" s="951" t="s">
        <v>63</v>
      </c>
      <c r="F8" s="892" t="s">
        <v>64</v>
      </c>
      <c r="G8" s="976" t="s">
        <v>65</v>
      </c>
      <c r="H8" s="890"/>
      <c r="I8" s="873"/>
      <c r="J8" s="894"/>
      <c r="K8" s="894" t="str">
        <f>Summary!E3</f>
        <v>AR6 100-yr GWP</v>
      </c>
      <c r="L8" s="873"/>
      <c r="M8" s="890"/>
      <c r="N8" s="873"/>
    </row>
    <row r="9" spans="2:26" ht="12.75" x14ac:dyDescent="0.2">
      <c r="B9" s="921" t="s">
        <v>72</v>
      </c>
      <c r="C9" s="896">
        <v>0</v>
      </c>
      <c r="D9" s="906">
        <v>57.73</v>
      </c>
      <c r="E9" s="898">
        <v>1</v>
      </c>
      <c r="F9" s="896">
        <f t="shared" ref="F9:F15" si="0">C9*1000*D9*E9/2000</f>
        <v>0</v>
      </c>
      <c r="G9" s="977">
        <f t="shared" ref="G9:G14" si="1">F9*(44/12)*0.907185/1000000</f>
        <v>0</v>
      </c>
      <c r="H9" s="978"/>
      <c r="I9" s="873"/>
      <c r="J9" s="894" t="str">
        <f>Summary!C4</f>
        <v>CO2</v>
      </c>
      <c r="K9" s="902">
        <f>Summary!E4</f>
        <v>1</v>
      </c>
      <c r="L9" s="901"/>
      <c r="M9" s="903"/>
      <c r="N9" s="873"/>
    </row>
    <row r="10" spans="2:26" ht="12.75" x14ac:dyDescent="0.2">
      <c r="B10" s="904" t="s">
        <v>78</v>
      </c>
      <c r="C10" s="905">
        <f>6908</f>
        <v>6908</v>
      </c>
      <c r="D10" s="906">
        <v>44.58</v>
      </c>
      <c r="E10" s="907">
        <v>1</v>
      </c>
      <c r="F10" s="979">
        <f t="shared" si="0"/>
        <v>153979.32</v>
      </c>
      <c r="G10" s="980">
        <f t="shared" si="1"/>
        <v>0.51218834118540002</v>
      </c>
      <c r="H10" s="978"/>
      <c r="I10" s="873"/>
      <c r="J10" s="894" t="str">
        <f>Summary!C5</f>
        <v>CH4</v>
      </c>
      <c r="K10" s="902">
        <f>Summary!E5</f>
        <v>27.9</v>
      </c>
      <c r="L10" s="901"/>
      <c r="M10" s="903"/>
      <c r="N10" s="873"/>
    </row>
    <row r="11" spans="2:26" ht="12.75" x14ac:dyDescent="0.2">
      <c r="B11" s="904" t="s">
        <v>86</v>
      </c>
      <c r="C11" s="905">
        <f>79</f>
        <v>79</v>
      </c>
      <c r="D11" s="906">
        <v>44.01</v>
      </c>
      <c r="E11" s="907">
        <v>1</v>
      </c>
      <c r="F11" s="979">
        <f t="shared" si="0"/>
        <v>1738.395</v>
      </c>
      <c r="G11" s="980">
        <f t="shared" si="1"/>
        <v>5.782501516275E-3</v>
      </c>
      <c r="H11" s="978"/>
      <c r="I11" s="873"/>
      <c r="J11" s="894" t="str">
        <f>Summary!C6</f>
        <v>N2O</v>
      </c>
      <c r="K11" s="902">
        <f>Summary!E6</f>
        <v>273</v>
      </c>
      <c r="L11" s="901"/>
      <c r="M11" s="903"/>
      <c r="N11" s="873"/>
    </row>
    <row r="12" spans="2:26" ht="12.75" x14ac:dyDescent="0.2">
      <c r="B12" s="904" t="s">
        <v>88</v>
      </c>
      <c r="C12" s="905">
        <f>2661</f>
        <v>2661</v>
      </c>
      <c r="D12" s="906">
        <v>37.81</v>
      </c>
      <c r="E12" s="907">
        <v>1</v>
      </c>
      <c r="F12" s="979">
        <f t="shared" si="0"/>
        <v>50306.205000000002</v>
      </c>
      <c r="G12" s="980">
        <f t="shared" si="1"/>
        <v>0.167335793470725</v>
      </c>
      <c r="H12" s="978"/>
      <c r="I12" s="873"/>
      <c r="J12" s="894" t="str">
        <f>Summary!C7</f>
        <v>SF6</v>
      </c>
      <c r="K12" s="909">
        <f>Summary!E7</f>
        <v>24300</v>
      </c>
      <c r="L12" s="901"/>
      <c r="M12" s="903"/>
      <c r="N12" s="873"/>
    </row>
    <row r="13" spans="2:26" ht="12.75" x14ac:dyDescent="0.2">
      <c r="B13" s="904" t="s">
        <v>317</v>
      </c>
      <c r="C13" s="905">
        <f>9331-685</f>
        <v>8646</v>
      </c>
      <c r="D13" s="906">
        <v>42.49</v>
      </c>
      <c r="E13" s="907">
        <v>1</v>
      </c>
      <c r="F13" s="979">
        <f t="shared" si="0"/>
        <v>183684.27</v>
      </c>
      <c r="G13" s="980">
        <f t="shared" si="1"/>
        <v>0.61099725309315001</v>
      </c>
      <c r="H13" s="978"/>
      <c r="I13" s="873"/>
      <c r="J13" s="901"/>
      <c r="K13" s="903"/>
      <c r="L13" s="901"/>
      <c r="M13" s="903"/>
      <c r="N13" s="873"/>
    </row>
    <row r="14" spans="2:26" ht="12.75" x14ac:dyDescent="0.2">
      <c r="B14" s="904" t="s">
        <v>238</v>
      </c>
      <c r="C14" s="905">
        <f>26</f>
        <v>26</v>
      </c>
      <c r="D14" s="906">
        <v>45.15</v>
      </c>
      <c r="E14" s="907">
        <v>1</v>
      </c>
      <c r="F14" s="979">
        <f t="shared" si="0"/>
        <v>586.95000000000005</v>
      </c>
      <c r="G14" s="980">
        <f t="shared" si="1"/>
        <v>1.9523981977500003E-3</v>
      </c>
      <c r="H14" s="978"/>
      <c r="I14" s="873"/>
      <c r="J14" s="901"/>
      <c r="K14" s="903"/>
      <c r="L14" s="901"/>
      <c r="M14" s="903"/>
      <c r="N14" s="873"/>
    </row>
    <row r="15" spans="2:26" ht="12.75" x14ac:dyDescent="0.2">
      <c r="B15" s="904" t="s">
        <v>29</v>
      </c>
      <c r="C15" s="905">
        <f>70620</f>
        <v>70620</v>
      </c>
      <c r="D15" s="906">
        <v>31.82</v>
      </c>
      <c r="E15" s="907">
        <v>1</v>
      </c>
      <c r="F15" s="979">
        <f t="shared" si="0"/>
        <v>1123564.2</v>
      </c>
      <c r="G15" s="980">
        <f>F15*(44/12)*0.9074185/1000000</f>
        <v>3.7383241170649</v>
      </c>
      <c r="H15" s="978"/>
      <c r="I15" s="873"/>
      <c r="J15" s="901"/>
      <c r="K15" s="903"/>
      <c r="L15" s="901"/>
      <c r="M15" s="903"/>
      <c r="N15" s="873"/>
    </row>
    <row r="16" spans="2:26" ht="12.75" x14ac:dyDescent="0.2">
      <c r="B16" s="981" t="s">
        <v>95</v>
      </c>
      <c r="C16" s="982">
        <f>1241</f>
        <v>1241</v>
      </c>
      <c r="D16" s="912" t="s">
        <v>44</v>
      </c>
      <c r="E16" s="983"/>
      <c r="F16" s="984"/>
      <c r="G16" s="985"/>
      <c r="H16" s="901"/>
      <c r="I16" s="873"/>
      <c r="J16" s="901"/>
      <c r="K16" s="903"/>
      <c r="L16" s="901"/>
      <c r="M16" s="903"/>
      <c r="N16" s="873"/>
    </row>
    <row r="17" spans="2:14" ht="12.75" x14ac:dyDescent="0.2">
      <c r="B17" s="986"/>
      <c r="C17" s="987"/>
      <c r="D17" s="987"/>
      <c r="E17" s="987"/>
      <c r="F17" s="988" t="s">
        <v>102</v>
      </c>
      <c r="G17" s="989">
        <f>SUM(G9:G15)</f>
        <v>5.0365804045282001</v>
      </c>
      <c r="H17" s="873"/>
      <c r="I17" s="873"/>
      <c r="J17" s="873"/>
      <c r="K17" s="873"/>
      <c r="L17" s="873"/>
      <c r="M17" s="873"/>
      <c r="N17" s="873"/>
    </row>
    <row r="18" spans="2:14" ht="12.75" x14ac:dyDescent="0.2">
      <c r="B18" s="969"/>
      <c r="C18" s="969"/>
      <c r="D18" s="969"/>
      <c r="E18" s="969"/>
      <c r="F18" s="971"/>
      <c r="G18" s="972"/>
      <c r="H18" s="873"/>
      <c r="I18" s="873"/>
      <c r="J18" s="873"/>
      <c r="K18" s="873"/>
      <c r="L18" s="873"/>
      <c r="M18" s="873"/>
      <c r="N18" s="873"/>
    </row>
    <row r="19" spans="2:14" ht="12.75" x14ac:dyDescent="0.2"/>
    <row r="20" spans="2:14" ht="12.75" x14ac:dyDescent="0.2">
      <c r="B20" s="967" t="s">
        <v>336</v>
      </c>
      <c r="C20" s="873"/>
      <c r="D20" s="873"/>
      <c r="E20" s="873">
        <v>2023</v>
      </c>
      <c r="F20" s="873"/>
      <c r="G20" s="873"/>
      <c r="H20" s="873"/>
      <c r="I20" s="873"/>
      <c r="J20" s="873"/>
      <c r="K20" s="873"/>
      <c r="L20" s="873"/>
      <c r="M20" s="873"/>
    </row>
    <row r="21" spans="2:14" ht="12.75" x14ac:dyDescent="0.2">
      <c r="B21" s="873"/>
      <c r="C21" s="873"/>
      <c r="D21" s="873"/>
      <c r="E21" s="873"/>
      <c r="F21" s="873"/>
      <c r="G21" s="873"/>
      <c r="H21" s="873"/>
      <c r="I21" s="873"/>
      <c r="J21" s="873"/>
      <c r="K21" s="873"/>
      <c r="L21" s="873"/>
      <c r="M21" s="890"/>
    </row>
    <row r="22" spans="2:14" ht="12.75" x14ac:dyDescent="0.2">
      <c r="B22" s="887"/>
      <c r="C22" s="888" t="s">
        <v>30</v>
      </c>
      <c r="D22" s="888" t="s">
        <v>112</v>
      </c>
      <c r="E22" s="888" t="s">
        <v>338</v>
      </c>
      <c r="F22" s="888" t="s">
        <v>113</v>
      </c>
      <c r="G22" s="889" t="s">
        <v>35</v>
      </c>
      <c r="H22" s="873"/>
      <c r="J22" s="873"/>
      <c r="K22" s="890"/>
      <c r="L22" s="873"/>
      <c r="M22" s="890"/>
    </row>
    <row r="23" spans="2:14" ht="14.25" x14ac:dyDescent="0.25">
      <c r="B23" s="891" t="s">
        <v>49</v>
      </c>
      <c r="C23" s="892" t="s">
        <v>60</v>
      </c>
      <c r="D23" s="892" t="s">
        <v>1854</v>
      </c>
      <c r="E23" s="892" t="s">
        <v>1855</v>
      </c>
      <c r="F23" s="892"/>
      <c r="G23" s="893" t="s">
        <v>65</v>
      </c>
      <c r="H23" s="890"/>
      <c r="J23" s="873"/>
      <c r="K23" s="890"/>
      <c r="L23" s="873"/>
      <c r="M23" s="890"/>
    </row>
    <row r="24" spans="2:14" ht="12.75" x14ac:dyDescent="0.2">
      <c r="B24" s="921" t="s">
        <v>72</v>
      </c>
      <c r="C24" s="896">
        <f t="shared" ref="C24:C31" si="2">C9</f>
        <v>0</v>
      </c>
      <c r="D24" s="937">
        <v>1.5034545899835E-3</v>
      </c>
      <c r="E24" s="990">
        <f t="shared" ref="E24:E31" si="3">C24*D24</f>
        <v>0</v>
      </c>
      <c r="F24" s="899">
        <f>K11</f>
        <v>273</v>
      </c>
      <c r="G24" s="977">
        <f t="shared" ref="G24:G31" si="4">E24*F24/1000000</f>
        <v>0</v>
      </c>
      <c r="H24" s="901"/>
      <c r="J24" s="901"/>
      <c r="K24" s="903"/>
      <c r="L24" s="901"/>
      <c r="M24" s="927"/>
    </row>
    <row r="25" spans="2:14" ht="12.75" x14ac:dyDescent="0.2">
      <c r="B25" s="904" t="s">
        <v>78</v>
      </c>
      <c r="C25" s="905">
        <f t="shared" si="2"/>
        <v>6908</v>
      </c>
      <c r="D25" s="928">
        <v>6.0138183599339984E-4</v>
      </c>
      <c r="E25" s="929">
        <f t="shared" si="3"/>
        <v>4.1543457230424057</v>
      </c>
      <c r="F25" s="905">
        <f>K11</f>
        <v>273</v>
      </c>
      <c r="G25" s="980">
        <f t="shared" si="4"/>
        <v>1.1341363823905767E-3</v>
      </c>
      <c r="H25" s="901"/>
      <c r="J25" s="901"/>
      <c r="K25" s="903"/>
      <c r="L25" s="901"/>
      <c r="M25" s="927"/>
    </row>
    <row r="26" spans="2:14" ht="12.75" x14ac:dyDescent="0.2">
      <c r="B26" s="904" t="s">
        <v>86</v>
      </c>
      <c r="C26" s="905">
        <f t="shared" si="2"/>
        <v>79</v>
      </c>
      <c r="D26" s="928">
        <v>6.0138183599339984E-4</v>
      </c>
      <c r="E26" s="929">
        <f t="shared" si="3"/>
        <v>4.7509165043478588E-2</v>
      </c>
      <c r="F26" s="905">
        <f>K11</f>
        <v>273</v>
      </c>
      <c r="G26" s="980">
        <f t="shared" si="4"/>
        <v>1.2970002056869655E-5</v>
      </c>
      <c r="H26" s="901"/>
      <c r="J26" s="901"/>
      <c r="K26" s="903"/>
      <c r="L26" s="901"/>
      <c r="M26" s="927"/>
    </row>
    <row r="27" spans="2:14" ht="12.75" x14ac:dyDescent="0.2">
      <c r="B27" s="904" t="s">
        <v>88</v>
      </c>
      <c r="C27" s="905">
        <f t="shared" si="2"/>
        <v>2661</v>
      </c>
      <c r="D27" s="928">
        <v>6.0138183599339984E-4</v>
      </c>
      <c r="E27" s="929">
        <f t="shared" si="3"/>
        <v>1.6002770655784371</v>
      </c>
      <c r="F27" s="905">
        <f>K11</f>
        <v>273</v>
      </c>
      <c r="G27" s="980">
        <f t="shared" si="4"/>
        <v>4.368756389029133E-4</v>
      </c>
      <c r="H27" s="901"/>
      <c r="J27" s="901"/>
      <c r="K27" s="903"/>
      <c r="L27" s="901"/>
      <c r="M27" s="927"/>
    </row>
    <row r="28" spans="2:14" ht="12.75" x14ac:dyDescent="0.2">
      <c r="B28" s="904" t="s">
        <v>317</v>
      </c>
      <c r="C28" s="905">
        <f t="shared" si="2"/>
        <v>8646</v>
      </c>
      <c r="D28" s="928">
        <v>6.0138183599339984E-4</v>
      </c>
      <c r="E28" s="929">
        <f t="shared" si="3"/>
        <v>5.199547353998935</v>
      </c>
      <c r="F28" s="905">
        <f>K11</f>
        <v>273</v>
      </c>
      <c r="G28" s="980">
        <f t="shared" si="4"/>
        <v>1.4194764276417092E-3</v>
      </c>
      <c r="H28" s="901"/>
      <c r="J28" s="901"/>
      <c r="K28" s="903"/>
      <c r="L28" s="901"/>
      <c r="M28" s="927"/>
    </row>
    <row r="29" spans="2:14" ht="12.75" x14ac:dyDescent="0.2">
      <c r="B29" s="904" t="s">
        <v>238</v>
      </c>
      <c r="C29" s="905">
        <f t="shared" si="2"/>
        <v>26</v>
      </c>
      <c r="D29" s="928">
        <v>6.0138183599339984E-4</v>
      </c>
      <c r="E29" s="929">
        <f t="shared" si="3"/>
        <v>1.5635927735828396E-2</v>
      </c>
      <c r="F29" s="905">
        <f>K11</f>
        <v>273</v>
      </c>
      <c r="G29" s="980">
        <f t="shared" si="4"/>
        <v>4.2686082718811516E-6</v>
      </c>
      <c r="H29" s="901"/>
      <c r="J29" s="901"/>
      <c r="K29" s="903"/>
      <c r="L29" s="901"/>
      <c r="M29" s="927"/>
    </row>
    <row r="30" spans="2:14" ht="12.75" x14ac:dyDescent="0.2">
      <c r="B30" s="904" t="s">
        <v>29</v>
      </c>
      <c r="C30" s="905">
        <f t="shared" si="2"/>
        <v>70620</v>
      </c>
      <c r="D30" s="928">
        <v>9.4955026735800017E-5</v>
      </c>
      <c r="E30" s="929">
        <f t="shared" si="3"/>
        <v>6.7057239880821973</v>
      </c>
      <c r="F30" s="905">
        <f>K11</f>
        <v>273</v>
      </c>
      <c r="G30" s="980">
        <f t="shared" si="4"/>
        <v>1.8306626487464399E-3</v>
      </c>
      <c r="H30" s="901"/>
      <c r="J30" s="901"/>
      <c r="K30" s="903"/>
      <c r="L30" s="901"/>
      <c r="M30" s="927"/>
    </row>
    <row r="31" spans="2:14" ht="12.75" x14ac:dyDescent="0.2">
      <c r="B31" s="910" t="s">
        <v>95</v>
      </c>
      <c r="C31" s="911">
        <f t="shared" si="2"/>
        <v>1241</v>
      </c>
      <c r="D31" s="931">
        <v>3.7982010694320003E-3</v>
      </c>
      <c r="E31" s="932">
        <f t="shared" si="3"/>
        <v>4.7135675271651127</v>
      </c>
      <c r="F31" s="911">
        <f>K11</f>
        <v>273</v>
      </c>
      <c r="G31" s="991">
        <f t="shared" si="4"/>
        <v>1.2868039349160758E-3</v>
      </c>
      <c r="H31" s="901"/>
      <c r="J31" s="901"/>
      <c r="K31" s="903"/>
      <c r="L31" s="901"/>
      <c r="M31" s="927"/>
    </row>
    <row r="32" spans="2:14" ht="12.75" x14ac:dyDescent="0.2">
      <c r="B32" s="915"/>
      <c r="C32" s="992"/>
      <c r="D32" s="916"/>
      <c r="E32" s="916"/>
      <c r="F32" s="993" t="s">
        <v>102</v>
      </c>
      <c r="G32" s="994">
        <f>SUM(G24:G31)</f>
        <v>6.1251936429264657E-3</v>
      </c>
      <c r="H32" s="873"/>
      <c r="J32" s="901"/>
      <c r="K32" s="935"/>
      <c r="L32" s="901"/>
      <c r="M32" s="936"/>
    </row>
    <row r="33" spans="2:13" ht="12.75" x14ac:dyDescent="0.2">
      <c r="J33" s="873"/>
      <c r="K33" s="873"/>
      <c r="L33" s="873"/>
      <c r="M33" s="873"/>
    </row>
    <row r="34" spans="2:13" ht="12.75" x14ac:dyDescent="0.2">
      <c r="J34" s="873"/>
      <c r="K34" s="873"/>
      <c r="L34" s="873"/>
      <c r="M34" s="873"/>
    </row>
    <row r="35" spans="2:13" ht="12.75" x14ac:dyDescent="0.2">
      <c r="B35" s="967" t="s">
        <v>361</v>
      </c>
      <c r="C35" s="873"/>
      <c r="D35" s="873"/>
      <c r="E35" s="873">
        <v>2023</v>
      </c>
      <c r="F35" s="873"/>
      <c r="G35" s="873"/>
      <c r="H35" s="873"/>
      <c r="I35" s="873"/>
      <c r="J35" s="873"/>
      <c r="K35" s="873"/>
      <c r="L35" s="873"/>
      <c r="M35" s="873"/>
    </row>
    <row r="36" spans="2:13" ht="12.75" x14ac:dyDescent="0.2">
      <c r="B36" s="873"/>
      <c r="C36" s="873"/>
      <c r="D36" s="873"/>
      <c r="E36" s="873"/>
      <c r="F36" s="873"/>
      <c r="G36" s="873"/>
      <c r="H36" s="873"/>
      <c r="I36" s="873"/>
      <c r="J36" s="873"/>
      <c r="K36" s="873"/>
      <c r="L36" s="873"/>
      <c r="M36" s="890"/>
    </row>
    <row r="37" spans="2:13" ht="12.75" x14ac:dyDescent="0.2">
      <c r="B37" s="949"/>
      <c r="C37" s="888" t="s">
        <v>30</v>
      </c>
      <c r="D37" s="888" t="s">
        <v>112</v>
      </c>
      <c r="E37" s="888" t="s">
        <v>35</v>
      </c>
      <c r="F37" s="888" t="s">
        <v>113</v>
      </c>
      <c r="G37" s="889" t="s">
        <v>35</v>
      </c>
      <c r="H37" s="873"/>
      <c r="I37" s="873"/>
      <c r="J37" s="873"/>
      <c r="K37" s="890"/>
      <c r="L37" s="873"/>
      <c r="M37" s="873"/>
    </row>
    <row r="38" spans="2:13" ht="14.25" x14ac:dyDescent="0.25">
      <c r="B38" s="995" t="s">
        <v>49</v>
      </c>
      <c r="C38" s="892" t="s">
        <v>60</v>
      </c>
      <c r="D38" s="892" t="s">
        <v>1858</v>
      </c>
      <c r="E38" s="892" t="s">
        <v>1856</v>
      </c>
      <c r="F38" s="892"/>
      <c r="G38" s="893" t="s">
        <v>65</v>
      </c>
      <c r="H38" s="890"/>
      <c r="I38" s="873"/>
      <c r="J38" s="873"/>
      <c r="K38" s="890"/>
      <c r="L38" s="873"/>
      <c r="M38" s="873"/>
    </row>
    <row r="39" spans="2:13" ht="12.75" x14ac:dyDescent="0.2">
      <c r="B39" s="921" t="s">
        <v>72</v>
      </c>
      <c r="C39" s="896">
        <f t="shared" ref="C39:C46" si="5">C9</f>
        <v>0</v>
      </c>
      <c r="D39" s="937">
        <v>1.0023030599889999E-2</v>
      </c>
      <c r="E39" s="996">
        <f t="shared" ref="E39:E46" si="6">C39*D39</f>
        <v>0</v>
      </c>
      <c r="F39" s="939">
        <f>K10</f>
        <v>27.9</v>
      </c>
      <c r="G39" s="977">
        <f t="shared" ref="G39:G46" si="7">E39*F39/1000000</f>
        <v>0</v>
      </c>
      <c r="H39" s="901"/>
      <c r="I39" s="873"/>
      <c r="J39" s="901"/>
      <c r="K39" s="903"/>
      <c r="L39" s="901"/>
      <c r="M39" s="927"/>
    </row>
    <row r="40" spans="2:13" ht="12.75" x14ac:dyDescent="0.2">
      <c r="B40" s="904" t="s">
        <v>78</v>
      </c>
      <c r="C40" s="905">
        <f t="shared" si="5"/>
        <v>6908</v>
      </c>
      <c r="D40" s="928">
        <v>1.0023030599889999E-2</v>
      </c>
      <c r="E40" s="997">
        <f t="shared" si="6"/>
        <v>69.239095384040112</v>
      </c>
      <c r="F40" s="942">
        <f>K10</f>
        <v>27.9</v>
      </c>
      <c r="G40" s="980">
        <f t="shared" si="7"/>
        <v>1.9317707612147191E-3</v>
      </c>
      <c r="H40" s="901"/>
      <c r="I40" s="873"/>
      <c r="J40" s="901"/>
      <c r="K40" s="903"/>
      <c r="L40" s="901"/>
      <c r="M40" s="927"/>
    </row>
    <row r="41" spans="2:13" ht="12.75" x14ac:dyDescent="0.2">
      <c r="B41" s="904" t="s">
        <v>86</v>
      </c>
      <c r="C41" s="905">
        <f t="shared" si="5"/>
        <v>79</v>
      </c>
      <c r="D41" s="928">
        <v>1.0023030599889999E-2</v>
      </c>
      <c r="E41" s="997">
        <f t="shared" si="6"/>
        <v>0.7918194173913099</v>
      </c>
      <c r="F41" s="942">
        <f>K10</f>
        <v>27.9</v>
      </c>
      <c r="G41" s="980">
        <f t="shared" si="7"/>
        <v>2.2091761745217545E-5</v>
      </c>
      <c r="H41" s="901"/>
      <c r="I41" s="873"/>
      <c r="J41" s="901"/>
      <c r="K41" s="903"/>
      <c r="L41" s="901"/>
      <c r="M41" s="927"/>
    </row>
    <row r="42" spans="2:13" ht="12.75" x14ac:dyDescent="0.2">
      <c r="B42" s="904" t="s">
        <v>88</v>
      </c>
      <c r="C42" s="905">
        <f t="shared" si="5"/>
        <v>2661</v>
      </c>
      <c r="D42" s="928">
        <v>1.0023030599889999E-2</v>
      </c>
      <c r="E42" s="997">
        <f t="shared" si="6"/>
        <v>26.671284426307288</v>
      </c>
      <c r="F42" s="942">
        <f>K10</f>
        <v>27.9</v>
      </c>
      <c r="G42" s="980">
        <f t="shared" si="7"/>
        <v>7.4412883549397331E-4</v>
      </c>
      <c r="H42" s="901"/>
      <c r="I42" s="873"/>
      <c r="J42" s="901"/>
      <c r="K42" s="903"/>
      <c r="L42" s="901"/>
      <c r="M42" s="927"/>
    </row>
    <row r="43" spans="2:13" ht="12.75" x14ac:dyDescent="0.2">
      <c r="B43" s="904" t="s">
        <v>317</v>
      </c>
      <c r="C43" s="905">
        <f t="shared" si="5"/>
        <v>8646</v>
      </c>
      <c r="D43" s="928">
        <v>1.0023030599889999E-2</v>
      </c>
      <c r="E43" s="997">
        <f t="shared" si="6"/>
        <v>86.659122566648932</v>
      </c>
      <c r="F43" s="942">
        <f>K10</f>
        <v>27.9</v>
      </c>
      <c r="G43" s="980">
        <f t="shared" si="7"/>
        <v>2.4177895196095052E-3</v>
      </c>
      <c r="H43" s="901"/>
      <c r="I43" s="873"/>
      <c r="J43" s="901"/>
      <c r="K43" s="903"/>
      <c r="L43" s="901"/>
      <c r="M43" s="927"/>
    </row>
    <row r="44" spans="2:13" ht="12.75" x14ac:dyDescent="0.2">
      <c r="B44" s="904" t="s">
        <v>238</v>
      </c>
      <c r="C44" s="905">
        <f t="shared" si="5"/>
        <v>26</v>
      </c>
      <c r="D44" s="928">
        <v>1.0023030599889999E-2</v>
      </c>
      <c r="E44" s="997">
        <f t="shared" si="6"/>
        <v>0.26059879559714</v>
      </c>
      <c r="F44" s="942">
        <f>K10</f>
        <v>27.9</v>
      </c>
      <c r="G44" s="980">
        <f t="shared" si="7"/>
        <v>7.270706397160206E-6</v>
      </c>
      <c r="H44" s="901"/>
      <c r="I44" s="873"/>
      <c r="J44" s="901"/>
      <c r="K44" s="903"/>
      <c r="L44" s="901"/>
      <c r="M44" s="927"/>
    </row>
    <row r="45" spans="2:13" ht="12.75" x14ac:dyDescent="0.2">
      <c r="B45" s="904" t="s">
        <v>29</v>
      </c>
      <c r="C45" s="905">
        <f t="shared" si="5"/>
        <v>70620</v>
      </c>
      <c r="D45" s="928">
        <v>4.7477513367900001E-3</v>
      </c>
      <c r="E45" s="997">
        <f t="shared" si="6"/>
        <v>335.28619940410982</v>
      </c>
      <c r="F45" s="942">
        <f>K10</f>
        <v>27.9</v>
      </c>
      <c r="G45" s="980">
        <f t="shared" si="7"/>
        <v>9.3544849633746627E-3</v>
      </c>
      <c r="H45" s="901"/>
      <c r="I45" s="873"/>
      <c r="J45" s="901"/>
      <c r="K45" s="903"/>
      <c r="L45" s="901"/>
      <c r="M45" s="927"/>
    </row>
    <row r="46" spans="2:13" ht="12.75" x14ac:dyDescent="0.2">
      <c r="B46" s="910" t="s">
        <v>95</v>
      </c>
      <c r="C46" s="911">
        <f t="shared" si="5"/>
        <v>1241</v>
      </c>
      <c r="D46" s="931">
        <v>0.28486508020740003</v>
      </c>
      <c r="E46" s="998">
        <f t="shared" si="6"/>
        <v>353.51756453738346</v>
      </c>
      <c r="F46" s="945">
        <f>K10</f>
        <v>27.9</v>
      </c>
      <c r="G46" s="991">
        <f t="shared" si="7"/>
        <v>9.8631400505929979E-3</v>
      </c>
      <c r="H46" s="901"/>
      <c r="I46" s="873"/>
      <c r="J46" s="901"/>
      <c r="K46" s="903"/>
      <c r="L46" s="901"/>
      <c r="M46" s="927"/>
    </row>
    <row r="47" spans="2:13" ht="12.75" x14ac:dyDescent="0.2">
      <c r="B47" s="915"/>
      <c r="C47" s="916"/>
      <c r="D47" s="916"/>
      <c r="E47" s="916"/>
      <c r="F47" s="988" t="s">
        <v>102</v>
      </c>
      <c r="G47" s="989">
        <f>SUM(G39:G46)</f>
        <v>2.4340676598428236E-2</v>
      </c>
      <c r="H47" s="873"/>
      <c r="I47" s="873"/>
      <c r="J47" s="901"/>
      <c r="K47" s="935"/>
      <c r="L47" s="901"/>
      <c r="M47" s="936"/>
    </row>
    <row r="48" spans="2:13" ht="12.75" x14ac:dyDescent="0.2"/>
    <row r="49" spans="1:6" ht="12.75" x14ac:dyDescent="0.2"/>
    <row r="50" spans="1:6" ht="12.75" x14ac:dyDescent="0.2">
      <c r="B50" s="968" t="s">
        <v>381</v>
      </c>
      <c r="C50" s="947"/>
      <c r="D50" s="947"/>
      <c r="E50" s="947"/>
      <c r="F50" s="947"/>
    </row>
    <row r="51" spans="1:6" ht="12.75" x14ac:dyDescent="0.2"/>
    <row r="52" spans="1:6" ht="12.75" x14ac:dyDescent="0.2">
      <c r="B52" s="949"/>
      <c r="C52" s="950" t="s">
        <v>10</v>
      </c>
      <c r="D52" s="950" t="s">
        <v>13</v>
      </c>
      <c r="E52" s="950" t="s">
        <v>14</v>
      </c>
      <c r="F52" s="999" t="s">
        <v>102</v>
      </c>
    </row>
    <row r="53" spans="1:6" ht="12.75" x14ac:dyDescent="0.2">
      <c r="B53" s="995" t="s">
        <v>49</v>
      </c>
      <c r="C53" s="951" t="s">
        <v>65</v>
      </c>
      <c r="D53" s="951" t="s">
        <v>65</v>
      </c>
      <c r="E53" s="951" t="s">
        <v>65</v>
      </c>
      <c r="F53" s="1000" t="s">
        <v>65</v>
      </c>
    </row>
    <row r="54" spans="1:6" ht="12.75" x14ac:dyDescent="0.2">
      <c r="A54" s="873"/>
      <c r="B54" s="1001" t="s">
        <v>72</v>
      </c>
      <c r="C54" s="1002">
        <f>G9</f>
        <v>0</v>
      </c>
      <c r="D54" s="1003">
        <f>G39</f>
        <v>0</v>
      </c>
      <c r="E54" s="1004">
        <f>G24</f>
        <v>0</v>
      </c>
      <c r="F54" s="1005">
        <f t="shared" ref="F54:F61" si="8">C54+D54+E54</f>
        <v>0</v>
      </c>
    </row>
    <row r="55" spans="1:6" ht="12.75" x14ac:dyDescent="0.2">
      <c r="A55" s="873"/>
      <c r="B55" s="1006" t="s">
        <v>78</v>
      </c>
      <c r="C55" s="1007">
        <f>G10</f>
        <v>0.51218834118540002</v>
      </c>
      <c r="D55" s="1008">
        <f>G40</f>
        <v>1.9317707612147191E-3</v>
      </c>
      <c r="E55" s="1009">
        <f>G25</f>
        <v>1.1341363823905767E-3</v>
      </c>
      <c r="F55" s="1010">
        <f t="shared" si="8"/>
        <v>0.51525424832900535</v>
      </c>
    </row>
    <row r="56" spans="1:6" ht="12.75" x14ac:dyDescent="0.2">
      <c r="A56" s="873"/>
      <c r="B56" s="1006" t="s">
        <v>86</v>
      </c>
      <c r="C56" s="1007">
        <f>G11</f>
        <v>5.782501516275E-3</v>
      </c>
      <c r="D56" s="1008">
        <f>G41</f>
        <v>2.2091761745217545E-5</v>
      </c>
      <c r="E56" s="1009">
        <f>G26</f>
        <v>1.2970002056869655E-5</v>
      </c>
      <c r="F56" s="1010">
        <f t="shared" si="8"/>
        <v>5.8175632800770869E-3</v>
      </c>
    </row>
    <row r="57" spans="1:6" ht="12.75" x14ac:dyDescent="0.2">
      <c r="A57" s="873"/>
      <c r="B57" s="1006" t="s">
        <v>88</v>
      </c>
      <c r="C57" s="1007">
        <f>G12</f>
        <v>0.167335793470725</v>
      </c>
      <c r="D57" s="1008">
        <f>G42</f>
        <v>7.4412883549397331E-4</v>
      </c>
      <c r="E57" s="1009">
        <f>G27</f>
        <v>4.368756389029133E-4</v>
      </c>
      <c r="F57" s="1010">
        <f t="shared" si="8"/>
        <v>0.16851679794512187</v>
      </c>
    </row>
    <row r="58" spans="1:6" ht="12.75" x14ac:dyDescent="0.2">
      <c r="A58" s="873"/>
      <c r="B58" s="1006" t="s">
        <v>317</v>
      </c>
      <c r="C58" s="1007">
        <f>G13</f>
        <v>0.61099725309315001</v>
      </c>
      <c r="D58" s="1008">
        <f>G43</f>
        <v>2.4177895196095052E-3</v>
      </c>
      <c r="E58" s="1009">
        <f>G28</f>
        <v>1.4194764276417092E-3</v>
      </c>
      <c r="F58" s="1010">
        <f t="shared" si="8"/>
        <v>0.61483451904040121</v>
      </c>
    </row>
    <row r="59" spans="1:6" ht="12.75" x14ac:dyDescent="0.2">
      <c r="A59" s="873"/>
      <c r="B59" s="1006" t="s">
        <v>238</v>
      </c>
      <c r="C59" s="1007">
        <f>G14</f>
        <v>1.9523981977500003E-3</v>
      </c>
      <c r="D59" s="1008">
        <f>G44</f>
        <v>7.270706397160206E-6</v>
      </c>
      <c r="E59" s="1009">
        <f>G29</f>
        <v>4.2686082718811516E-6</v>
      </c>
      <c r="F59" s="1010">
        <f t="shared" si="8"/>
        <v>1.9639375124190419E-3</v>
      </c>
    </row>
    <row r="60" spans="1:6" ht="12.75" x14ac:dyDescent="0.2">
      <c r="A60" s="873"/>
      <c r="B60" s="1006" t="s">
        <v>29</v>
      </c>
      <c r="C60" s="1007">
        <f>G15</f>
        <v>3.7383241170649</v>
      </c>
      <c r="D60" s="1008">
        <f>G45</f>
        <v>9.3544849633746627E-3</v>
      </c>
      <c r="E60" s="1009">
        <f>G30</f>
        <v>1.8306626487464399E-3</v>
      </c>
      <c r="F60" s="1010">
        <f t="shared" si="8"/>
        <v>3.7495092646770214</v>
      </c>
    </row>
    <row r="61" spans="1:6" ht="12.75" x14ac:dyDescent="0.2">
      <c r="A61" s="873"/>
      <c r="B61" s="1011" t="s">
        <v>95</v>
      </c>
      <c r="C61" s="1012">
        <f>G16</f>
        <v>0</v>
      </c>
      <c r="D61" s="1013">
        <f>G46</f>
        <v>9.8631400505929979E-3</v>
      </c>
      <c r="E61" s="1014">
        <f>G31</f>
        <v>1.2868039349160758E-3</v>
      </c>
      <c r="F61" s="1015">
        <f t="shared" si="8"/>
        <v>1.1149943985509074E-2</v>
      </c>
    </row>
    <row r="62" spans="1:6" ht="12.75" x14ac:dyDescent="0.2">
      <c r="B62" s="915"/>
      <c r="C62" s="916"/>
      <c r="D62" s="916"/>
      <c r="E62" s="1016" t="s">
        <v>102</v>
      </c>
      <c r="F62" s="1017">
        <f>SUM(F54:F61)</f>
        <v>5.067046274769555</v>
      </c>
    </row>
    <row r="63" spans="1:6" ht="12.75" x14ac:dyDescent="0.2"/>
    <row r="64" spans="1:6" ht="12.75" x14ac:dyDescent="0.2">
      <c r="B64" s="949"/>
      <c r="C64" s="888" t="s">
        <v>10</v>
      </c>
      <c r="D64" s="950" t="s">
        <v>13</v>
      </c>
      <c r="E64" s="950" t="s">
        <v>14</v>
      </c>
      <c r="F64" s="999" t="s">
        <v>102</v>
      </c>
    </row>
    <row r="65" spans="2:6" ht="12.75" x14ac:dyDescent="0.2">
      <c r="B65" s="891" t="s">
        <v>188</v>
      </c>
      <c r="C65" s="892" t="s">
        <v>65</v>
      </c>
      <c r="D65" s="892" t="s">
        <v>65</v>
      </c>
      <c r="E65" s="951" t="s">
        <v>65</v>
      </c>
      <c r="F65" s="1000" t="s">
        <v>65</v>
      </c>
    </row>
    <row r="66" spans="2:6" ht="12.75" x14ac:dyDescent="0.2">
      <c r="B66" s="895" t="s">
        <v>72</v>
      </c>
      <c r="C66" s="1002">
        <f t="shared" ref="C66:F66" si="9">C54</f>
        <v>0</v>
      </c>
      <c r="D66" s="1002">
        <f t="shared" si="9"/>
        <v>0</v>
      </c>
      <c r="E66" s="1004">
        <f t="shared" si="9"/>
        <v>0</v>
      </c>
      <c r="F66" s="1005">
        <f t="shared" si="9"/>
        <v>0</v>
      </c>
    </row>
    <row r="67" spans="2:6" ht="12.75" x14ac:dyDescent="0.2">
      <c r="B67" s="904" t="s">
        <v>137</v>
      </c>
      <c r="C67" s="1007">
        <f t="shared" ref="C67:F67" si="10">C60+C57</f>
        <v>3.9056599105356251</v>
      </c>
      <c r="D67" s="1007">
        <f t="shared" si="10"/>
        <v>1.0098613798868636E-2</v>
      </c>
      <c r="E67" s="1009">
        <f t="shared" si="10"/>
        <v>2.2675382876493531E-3</v>
      </c>
      <c r="F67" s="1010">
        <f t="shared" si="10"/>
        <v>3.9180260626221433</v>
      </c>
    </row>
    <row r="68" spans="2:6" ht="12.75" x14ac:dyDescent="0.2">
      <c r="B68" s="904" t="s">
        <v>101</v>
      </c>
      <c r="C68" s="1007">
        <f t="shared" ref="C68:F68" si="11">C55+C56+C58+C59</f>
        <v>1.130920493992575</v>
      </c>
      <c r="D68" s="1007">
        <f t="shared" si="11"/>
        <v>4.3789227489666018E-3</v>
      </c>
      <c r="E68" s="1009">
        <f t="shared" si="11"/>
        <v>2.5708514203610366E-3</v>
      </c>
      <c r="F68" s="1010">
        <f t="shared" si="11"/>
        <v>1.1378702681619026</v>
      </c>
    </row>
    <row r="69" spans="2:6" ht="12.75" x14ac:dyDescent="0.2">
      <c r="B69" s="910" t="s">
        <v>95</v>
      </c>
      <c r="C69" s="957">
        <f t="shared" ref="C69:F69" si="12">C61</f>
        <v>0</v>
      </c>
      <c r="D69" s="957">
        <f t="shared" si="12"/>
        <v>9.8631400505929979E-3</v>
      </c>
      <c r="E69" s="1018">
        <f t="shared" si="12"/>
        <v>1.2868039349160758E-3</v>
      </c>
      <c r="F69" s="1019">
        <f t="shared" si="12"/>
        <v>1.1149943985509074E-2</v>
      </c>
    </row>
    <row r="70" spans="2:6" ht="12.75" x14ac:dyDescent="0.2">
      <c r="B70" s="915"/>
      <c r="C70" s="916"/>
      <c r="D70" s="916"/>
      <c r="E70" s="959" t="s">
        <v>102</v>
      </c>
      <c r="F70" s="1020">
        <f>SUM(F66:F69)</f>
        <v>5.067046274769555</v>
      </c>
    </row>
    <row r="71" spans="2:6" ht="12.75" x14ac:dyDescent="0.2"/>
    <row r="72" spans="2:6" ht="11.25" customHeight="1" x14ac:dyDescent="0.2"/>
    <row r="73" spans="2:6" ht="11.25" customHeight="1" x14ac:dyDescent="0.2"/>
    <row r="74" spans="2:6" ht="11.25" customHeight="1" x14ac:dyDescent="0.2"/>
    <row r="75" spans="2:6" ht="11.25" customHeight="1" x14ac:dyDescent="0.2"/>
    <row r="76" spans="2:6" ht="11.25" customHeight="1" x14ac:dyDescent="0.2"/>
    <row r="77" spans="2:6" ht="11.25" customHeight="1" x14ac:dyDescent="0.2"/>
    <row r="78" spans="2:6" ht="11.25" customHeight="1" x14ac:dyDescent="0.2"/>
    <row r="79" spans="2:6" ht="11.25" customHeight="1" x14ac:dyDescent="0.2"/>
    <row r="80" spans="2:6"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sheetData>
  <mergeCells count="1">
    <mergeCell ref="J7:K7"/>
  </mergeCells>
  <pageMargins left="0.17" right="0.3" top="1" bottom="1" header="0" footer="0"/>
  <pageSetup orientation="portrait"/>
  <colBreaks count="1" manualBreakCount="1">
    <brk id="7" man="1"/>
  </colBreaks>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99"/>
  <sheetViews>
    <sheetView showGridLines="0" workbookViewId="0"/>
  </sheetViews>
  <sheetFormatPr defaultColWidth="16.83203125" defaultRowHeight="15" customHeight="1" x14ac:dyDescent="0.2"/>
  <cols>
    <col min="1" max="1" width="14.6640625" style="1026" customWidth="1"/>
    <col min="2" max="2" width="39" style="1026" customWidth="1"/>
    <col min="3" max="3" width="16.5" style="1026" customWidth="1"/>
    <col min="4" max="4" width="20.6640625" style="1026" customWidth="1"/>
    <col min="5" max="5" width="20.33203125" style="1026" customWidth="1"/>
    <col min="6" max="6" width="25" style="1026" customWidth="1"/>
    <col min="7" max="7" width="26.5" style="1026" customWidth="1"/>
    <col min="8" max="8" width="22.83203125" style="1026" customWidth="1"/>
    <col min="9" max="9" width="19.1640625" style="1026" customWidth="1"/>
    <col min="10" max="10" width="21.83203125" style="1026" customWidth="1"/>
    <col min="11" max="11" width="24.5" style="1026" customWidth="1"/>
    <col min="12" max="12" width="13.33203125" style="1026" customWidth="1"/>
    <col min="13" max="17" width="9.33203125" style="1026" customWidth="1"/>
    <col min="18" max="26" width="8.83203125" style="1026" customWidth="1"/>
    <col min="27" max="16384" width="16.83203125" style="1026"/>
  </cols>
  <sheetData>
    <row r="1" spans="1:26" ht="12.75" x14ac:dyDescent="0.2">
      <c r="A1" s="1023"/>
      <c r="B1" s="1023"/>
      <c r="G1" s="1027"/>
    </row>
    <row r="2" spans="1:26" ht="15.75" x14ac:dyDescent="0.25">
      <c r="B2" s="1160" t="s">
        <v>549</v>
      </c>
      <c r="G2" s="1027"/>
    </row>
    <row r="3" spans="1:26" ht="112.5" customHeight="1" x14ac:dyDescent="0.2">
      <c r="A3" s="1028"/>
      <c r="B3" s="1028"/>
      <c r="C3" s="1028"/>
      <c r="D3" s="1028"/>
      <c r="E3" s="1028"/>
      <c r="F3" s="1028"/>
      <c r="G3" s="1028"/>
      <c r="H3" s="1028"/>
      <c r="I3" s="1028"/>
      <c r="J3" s="1028"/>
      <c r="K3" s="1028"/>
    </row>
    <row r="4" spans="1:26" ht="15.6" customHeight="1" x14ac:dyDescent="0.2">
      <c r="A4" s="1028"/>
      <c r="B4" s="1028"/>
      <c r="C4" s="1028"/>
      <c r="D4" s="1028"/>
      <c r="E4" s="1028"/>
      <c r="F4" s="1028"/>
      <c r="G4" s="1028"/>
      <c r="H4" s="1028"/>
      <c r="I4" s="1028"/>
      <c r="J4" s="1028"/>
      <c r="K4" s="1028"/>
    </row>
    <row r="5" spans="1:26" ht="12.75" x14ac:dyDescent="0.2">
      <c r="A5" s="1023"/>
      <c r="B5" s="1161" t="s">
        <v>551</v>
      </c>
      <c r="C5" s="1023"/>
      <c r="D5" s="1023"/>
      <c r="E5" s="1023">
        <v>2023</v>
      </c>
      <c r="F5" s="1023"/>
      <c r="G5" s="1023"/>
      <c r="H5" s="1023"/>
      <c r="I5" s="1023"/>
      <c r="J5" s="1023"/>
      <c r="K5" s="1023"/>
      <c r="L5" s="1023"/>
      <c r="M5" s="1023"/>
      <c r="N5" s="1023"/>
      <c r="O5" s="1023"/>
      <c r="P5" s="1023"/>
      <c r="Q5" s="1023"/>
      <c r="R5" s="1023"/>
      <c r="S5" s="1023"/>
      <c r="T5" s="1023"/>
      <c r="U5" s="1023"/>
      <c r="V5" s="1023"/>
      <c r="W5" s="1023"/>
      <c r="X5" s="1023"/>
      <c r="Y5" s="1023"/>
      <c r="Z5" s="1023"/>
    </row>
    <row r="6" spans="1:26" ht="12.75" x14ac:dyDescent="0.2">
      <c r="A6" s="1023"/>
      <c r="B6" s="1029"/>
      <c r="C6" s="1030"/>
      <c r="D6" s="1030"/>
      <c r="E6" s="1030"/>
      <c r="Q6" s="1023"/>
      <c r="R6" s="1023"/>
      <c r="S6" s="1023"/>
      <c r="T6" s="1023"/>
      <c r="U6" s="1023"/>
      <c r="V6" s="1023"/>
      <c r="W6" s="1023"/>
      <c r="X6" s="1023"/>
      <c r="Y6" s="1023"/>
      <c r="Z6" s="1023"/>
    </row>
    <row r="7" spans="1:26" ht="12.75" x14ac:dyDescent="0.2">
      <c r="A7" s="1023"/>
      <c r="B7" s="1031"/>
      <c r="C7" s="1032" t="s">
        <v>557</v>
      </c>
      <c r="D7" s="1032" t="s">
        <v>558</v>
      </c>
      <c r="E7" s="1032" t="s">
        <v>559</v>
      </c>
      <c r="F7" s="1033"/>
      <c r="G7" s="1034" t="s">
        <v>560</v>
      </c>
      <c r="H7" s="1033"/>
      <c r="I7" s="1033"/>
      <c r="J7" s="1033"/>
      <c r="K7" s="1035"/>
      <c r="Q7" s="1023"/>
      <c r="R7" s="1023"/>
      <c r="S7" s="1023"/>
      <c r="T7" s="1023"/>
      <c r="U7" s="1023"/>
      <c r="V7" s="1023"/>
      <c r="W7" s="1023"/>
      <c r="X7" s="1023"/>
      <c r="Y7" s="1023"/>
      <c r="Z7" s="1023"/>
    </row>
    <row r="8" spans="1:26" ht="12.75" x14ac:dyDescent="0.2">
      <c r="A8" s="1023"/>
      <c r="B8" s="1036"/>
      <c r="C8" s="1037" t="s">
        <v>30</v>
      </c>
      <c r="D8" s="1037" t="s">
        <v>561</v>
      </c>
      <c r="E8" s="1037" t="s">
        <v>30</v>
      </c>
      <c r="F8" s="1038"/>
      <c r="G8" s="1037" t="s">
        <v>563</v>
      </c>
      <c r="H8" s="1037" t="s">
        <v>31</v>
      </c>
      <c r="I8" s="1037" t="s">
        <v>34</v>
      </c>
      <c r="J8" s="1039" t="s">
        <v>35</v>
      </c>
      <c r="K8" s="1040" t="s">
        <v>35</v>
      </c>
      <c r="M8" s="1023"/>
      <c r="O8" s="1041"/>
      <c r="Q8" s="1023"/>
      <c r="R8" s="1023"/>
      <c r="S8" s="1023"/>
      <c r="T8" s="1023"/>
      <c r="U8" s="1023"/>
      <c r="V8" s="1023"/>
      <c r="W8" s="1023"/>
      <c r="X8" s="1023"/>
      <c r="Y8" s="1023"/>
      <c r="Z8" s="1023"/>
    </row>
    <row r="9" spans="1:26" ht="14.25" x14ac:dyDescent="0.25">
      <c r="A9" s="1023"/>
      <c r="B9" s="1042" t="s">
        <v>49</v>
      </c>
      <c r="C9" s="1043" t="s">
        <v>60</v>
      </c>
      <c r="D9" s="1043" t="s">
        <v>564</v>
      </c>
      <c r="E9" s="1043" t="s">
        <v>60</v>
      </c>
      <c r="F9" s="1043" t="s">
        <v>565</v>
      </c>
      <c r="G9" s="1043" t="s">
        <v>60</v>
      </c>
      <c r="H9" s="1043" t="s">
        <v>61</v>
      </c>
      <c r="I9" s="1043" t="s">
        <v>63</v>
      </c>
      <c r="J9" s="1043" t="s">
        <v>64</v>
      </c>
      <c r="K9" s="1044" t="s">
        <v>1859</v>
      </c>
      <c r="L9" s="1045"/>
      <c r="M9" s="1023"/>
      <c r="O9" s="1045"/>
      <c r="Q9" s="1023"/>
      <c r="R9" s="1023"/>
      <c r="S9" s="1046"/>
      <c r="T9" s="1023"/>
      <c r="U9" s="1023"/>
      <c r="V9" s="1023"/>
      <c r="W9" s="1023"/>
      <c r="X9" s="1023"/>
      <c r="Y9" s="1023"/>
      <c r="Z9" s="1023"/>
    </row>
    <row r="10" spans="1:26" ht="12.75" x14ac:dyDescent="0.2">
      <c r="A10" s="1023"/>
      <c r="B10" s="1047" t="s">
        <v>566</v>
      </c>
      <c r="C10" s="1048">
        <v>0</v>
      </c>
      <c r="D10" s="1049">
        <v>1</v>
      </c>
      <c r="E10" s="1050">
        <f t="shared" ref="E10:E31" si="0">C10*D10</f>
        <v>0</v>
      </c>
      <c r="F10" s="1049">
        <v>0.1</v>
      </c>
      <c r="G10" s="1051">
        <f t="shared" ref="G10:G31" si="1">C10-(E10*F10)</f>
        <v>0</v>
      </c>
      <c r="H10" s="1052">
        <v>56.459200000000003</v>
      </c>
      <c r="I10" s="1053">
        <v>1</v>
      </c>
      <c r="J10" s="1054">
        <f t="shared" ref="J10:J12" si="2">(G10*1000*H10*I10)/2000</f>
        <v>0</v>
      </c>
      <c r="K10" s="1055">
        <f t="shared" ref="K10:K12" si="3">J10*(44/12)*0.907185/1000000</f>
        <v>0</v>
      </c>
      <c r="L10" s="1056"/>
      <c r="M10" s="1024"/>
      <c r="N10" s="1025"/>
      <c r="O10" s="1057"/>
      <c r="P10" s="1058"/>
      <c r="Q10" s="1023"/>
      <c r="R10" s="1023"/>
      <c r="S10" s="1059"/>
      <c r="T10" s="1023"/>
      <c r="U10" s="1023"/>
      <c r="V10" s="1023"/>
      <c r="W10" s="1023"/>
      <c r="X10" s="1023"/>
      <c r="Y10" s="1023"/>
      <c r="Z10" s="1023"/>
    </row>
    <row r="11" spans="1:26" ht="12.75" x14ac:dyDescent="0.2">
      <c r="A11" s="1023"/>
      <c r="B11" s="1060" t="s">
        <v>567</v>
      </c>
      <c r="C11" s="1061">
        <f>8571</f>
        <v>8571</v>
      </c>
      <c r="D11" s="1049">
        <v>2.06E-2</v>
      </c>
      <c r="E11" s="1050">
        <f t="shared" si="0"/>
        <v>176.5626</v>
      </c>
      <c r="F11" s="1049">
        <v>0</v>
      </c>
      <c r="G11" s="1051">
        <f t="shared" si="1"/>
        <v>8571</v>
      </c>
      <c r="H11" s="1062">
        <v>57.561410000000002</v>
      </c>
      <c r="I11" s="1063">
        <v>1</v>
      </c>
      <c r="J11" s="1064">
        <f t="shared" si="2"/>
        <v>246679.422555</v>
      </c>
      <c r="K11" s="1065">
        <f t="shared" si="3"/>
        <v>0.8205408638187115</v>
      </c>
      <c r="L11" s="1056"/>
      <c r="M11" s="1024"/>
      <c r="N11" s="1025"/>
      <c r="O11" s="1057"/>
      <c r="P11" s="1058"/>
      <c r="Q11" s="1023"/>
      <c r="R11" s="1023"/>
      <c r="S11" s="1059"/>
      <c r="T11" s="1023"/>
      <c r="U11" s="1023"/>
      <c r="V11" s="1023"/>
      <c r="W11" s="1023"/>
      <c r="X11" s="1023"/>
      <c r="Y11" s="1023"/>
      <c r="Z11" s="1023"/>
    </row>
    <row r="12" spans="1:26" ht="12.75" x14ac:dyDescent="0.2">
      <c r="A12" s="1023"/>
      <c r="B12" s="1060" t="s">
        <v>568</v>
      </c>
      <c r="C12" s="1061">
        <f>11972</f>
        <v>11972</v>
      </c>
      <c r="D12" s="1049">
        <v>1</v>
      </c>
      <c r="E12" s="1050">
        <f t="shared" si="0"/>
        <v>11972</v>
      </c>
      <c r="F12" s="1049">
        <v>0.99560000000000004</v>
      </c>
      <c r="G12" s="1051">
        <f t="shared" si="1"/>
        <v>52.676799999999275</v>
      </c>
      <c r="H12" s="1062">
        <v>45.311950000000003</v>
      </c>
      <c r="I12" s="1063">
        <v>1</v>
      </c>
      <c r="J12" s="1064">
        <f t="shared" si="2"/>
        <v>1193.4442638799837</v>
      </c>
      <c r="K12" s="1065">
        <f t="shared" si="3"/>
        <v>3.9698073599358638E-3</v>
      </c>
      <c r="L12" s="1056"/>
      <c r="M12" s="1024"/>
      <c r="N12" s="1025"/>
      <c r="O12" s="1057"/>
      <c r="P12" s="1058"/>
      <c r="Q12" s="1023"/>
      <c r="R12" s="1023"/>
      <c r="S12" s="1059"/>
      <c r="T12" s="1023"/>
      <c r="U12" s="1023"/>
      <c r="V12" s="1023"/>
      <c r="W12" s="1023"/>
      <c r="X12" s="1023"/>
      <c r="Y12" s="1023"/>
      <c r="Z12" s="1023"/>
    </row>
    <row r="13" spans="1:26" ht="12.75" x14ac:dyDescent="0.2">
      <c r="A13" s="1023"/>
      <c r="B13" s="1066" t="s">
        <v>569</v>
      </c>
      <c r="C13" s="1067">
        <v>0</v>
      </c>
      <c r="D13" s="1049">
        <v>0</v>
      </c>
      <c r="E13" s="1050">
        <f t="shared" si="0"/>
        <v>0</v>
      </c>
      <c r="F13" s="1049">
        <v>0</v>
      </c>
      <c r="G13" s="1051">
        <f t="shared" si="1"/>
        <v>0</v>
      </c>
      <c r="H13" s="1062">
        <v>41.601179999999999</v>
      </c>
      <c r="I13" s="1063">
        <v>1</v>
      </c>
      <c r="J13" s="1064">
        <f t="shared" ref="J13:J14" si="4">(G13*1000*H13*I13)/2000</f>
        <v>0</v>
      </c>
      <c r="K13" s="1068">
        <f>J13*(44/12)*0.907185/1000000</f>
        <v>0</v>
      </c>
      <c r="L13" s="1056"/>
      <c r="M13" s="1024"/>
      <c r="N13" s="1025"/>
      <c r="O13" s="1057"/>
      <c r="P13" s="1058"/>
      <c r="Q13" s="1023"/>
      <c r="R13" s="1023"/>
      <c r="S13" s="1059"/>
      <c r="T13" s="1023"/>
      <c r="U13" s="1023"/>
      <c r="V13" s="1023"/>
      <c r="W13" s="1023"/>
      <c r="X13" s="1023"/>
      <c r="Y13" s="1023"/>
      <c r="Z13" s="1023"/>
    </row>
    <row r="14" spans="1:26" ht="12.75" x14ac:dyDescent="0.2">
      <c r="A14" s="1023"/>
      <c r="B14" s="1066" t="s">
        <v>571</v>
      </c>
      <c r="C14" s="1067">
        <v>0</v>
      </c>
      <c r="D14" s="1049">
        <v>0</v>
      </c>
      <c r="E14" s="1050">
        <f t="shared" si="0"/>
        <v>0</v>
      </c>
      <c r="F14" s="1049">
        <v>0</v>
      </c>
      <c r="G14" s="1051">
        <f t="shared" si="1"/>
        <v>0</v>
      </c>
      <c r="H14" s="1069">
        <v>44.77366</v>
      </c>
      <c r="I14" s="1063">
        <v>1</v>
      </c>
      <c r="J14" s="1064">
        <f t="shared" si="4"/>
        <v>0</v>
      </c>
      <c r="K14" s="1068">
        <f t="shared" ref="K14:K31" si="5">J14*(44/12)*0.907185/1000000</f>
        <v>0</v>
      </c>
      <c r="L14" s="1056"/>
      <c r="M14" s="1024"/>
      <c r="N14" s="1025"/>
      <c r="O14" s="1057"/>
      <c r="P14" s="1058"/>
      <c r="Q14" s="1023"/>
      <c r="R14" s="1023"/>
      <c r="S14" s="1059"/>
      <c r="T14" s="1023"/>
      <c r="U14" s="1023"/>
      <c r="V14" s="1023"/>
      <c r="W14" s="1023"/>
      <c r="X14" s="1023"/>
      <c r="Y14" s="1023"/>
      <c r="Z14" s="1023"/>
    </row>
    <row r="15" spans="1:26" ht="12.75" x14ac:dyDescent="0.2">
      <c r="A15" s="1023"/>
      <c r="B15" s="1060" t="s">
        <v>78</v>
      </c>
      <c r="C15" s="1061">
        <f>5856</f>
        <v>5856</v>
      </c>
      <c r="D15" s="1049">
        <v>5.5999999999999999E-3</v>
      </c>
      <c r="E15" s="1050">
        <f t="shared" si="0"/>
        <v>32.793599999999998</v>
      </c>
      <c r="F15" s="1049">
        <v>0.5</v>
      </c>
      <c r="G15" s="1051">
        <f t="shared" si="1"/>
        <v>5839.6031999999996</v>
      </c>
      <c r="H15" s="1062">
        <v>44.578249999999997</v>
      </c>
      <c r="I15" s="1063">
        <v>1</v>
      </c>
      <c r="J15" s="1064">
        <f t="shared" ref="J15:J21" si="6">(G15*1000*H15*I15)/2000</f>
        <v>130159.64567519996</v>
      </c>
      <c r="K15" s="1065">
        <f t="shared" si="5"/>
        <v>0.432955886593473</v>
      </c>
      <c r="L15" s="1056"/>
      <c r="M15" s="1024"/>
      <c r="N15" s="1025"/>
      <c r="O15" s="1057"/>
      <c r="P15" s="1058"/>
      <c r="Q15" s="1023"/>
      <c r="R15" s="1023"/>
      <c r="S15" s="1059"/>
      <c r="T15" s="1023"/>
      <c r="U15" s="1023"/>
      <c r="V15" s="1023"/>
      <c r="W15" s="1023"/>
      <c r="X15" s="1023"/>
      <c r="Y15" s="1023"/>
      <c r="Z15" s="1023"/>
    </row>
    <row r="16" spans="1:26" ht="12.75" x14ac:dyDescent="0.2">
      <c r="A16" s="1023"/>
      <c r="B16" s="1066" t="s">
        <v>572</v>
      </c>
      <c r="C16" s="1067">
        <v>0</v>
      </c>
      <c r="D16" s="1049">
        <v>0.91979999999999995</v>
      </c>
      <c r="E16" s="1050">
        <f t="shared" si="0"/>
        <v>0</v>
      </c>
      <c r="F16" s="1049">
        <v>0.66979999999999995</v>
      </c>
      <c r="G16" s="1051">
        <f t="shared" si="1"/>
        <v>0</v>
      </c>
      <c r="H16" s="1062">
        <v>40.897129999999997</v>
      </c>
      <c r="I16" s="1063">
        <v>1</v>
      </c>
      <c r="J16" s="1064">
        <f t="shared" si="6"/>
        <v>0</v>
      </c>
      <c r="K16" s="1068">
        <f t="shared" si="5"/>
        <v>0</v>
      </c>
      <c r="L16" s="1056"/>
      <c r="M16" s="1024"/>
      <c r="N16" s="1025"/>
      <c r="O16" s="1057"/>
      <c r="P16" s="1058"/>
      <c r="Q16" s="1023"/>
      <c r="R16" s="1023"/>
      <c r="S16" s="1059"/>
      <c r="T16" s="1023"/>
      <c r="U16" s="1023"/>
      <c r="V16" s="1023"/>
      <c r="W16" s="1023"/>
      <c r="X16" s="1023"/>
      <c r="Y16" s="1023"/>
      <c r="Z16" s="1023"/>
    </row>
    <row r="17" spans="1:26" ht="25.5" x14ac:dyDescent="0.2">
      <c r="A17" s="1023"/>
      <c r="B17" s="1066" t="s">
        <v>573</v>
      </c>
      <c r="C17" s="1067">
        <v>0</v>
      </c>
      <c r="D17" s="1049">
        <v>0.86970000000000003</v>
      </c>
      <c r="E17" s="1050">
        <f t="shared" si="0"/>
        <v>0</v>
      </c>
      <c r="F17" s="1049">
        <v>0.66979999999999995</v>
      </c>
      <c r="G17" s="1051">
        <f t="shared" si="1"/>
        <v>0</v>
      </c>
      <c r="H17" s="1062">
        <v>44.467190000000002</v>
      </c>
      <c r="I17" s="1063">
        <v>1</v>
      </c>
      <c r="J17" s="1064">
        <f t="shared" si="6"/>
        <v>0</v>
      </c>
      <c r="K17" s="1068">
        <f t="shared" si="5"/>
        <v>0</v>
      </c>
      <c r="L17" s="1056"/>
      <c r="M17" s="1024"/>
      <c r="N17" s="1025"/>
      <c r="O17" s="1057"/>
      <c r="P17" s="1058"/>
      <c r="Q17" s="1023"/>
      <c r="R17" s="1023"/>
      <c r="S17" s="1059"/>
      <c r="T17" s="1023"/>
      <c r="U17" s="1023"/>
      <c r="V17" s="1023"/>
      <c r="W17" s="1023"/>
      <c r="X17" s="1023"/>
      <c r="Y17" s="1023"/>
      <c r="Z17" s="1023"/>
    </row>
    <row r="18" spans="1:26" ht="12.75" x14ac:dyDescent="0.2">
      <c r="A18" s="1023"/>
      <c r="B18" s="1060" t="s">
        <v>86</v>
      </c>
      <c r="C18" s="1061">
        <f>20</f>
        <v>20</v>
      </c>
      <c r="D18" s="1049">
        <v>0</v>
      </c>
      <c r="E18" s="1050">
        <f t="shared" si="0"/>
        <v>0</v>
      </c>
      <c r="F18" s="1049">
        <v>0</v>
      </c>
      <c r="G18" s="1051">
        <f t="shared" si="1"/>
        <v>20</v>
      </c>
      <c r="H18" s="1062">
        <v>44.013260000000002</v>
      </c>
      <c r="I18" s="1063">
        <v>1</v>
      </c>
      <c r="J18" s="1064">
        <f t="shared" si="6"/>
        <v>440.13260000000002</v>
      </c>
      <c r="K18" s="1065">
        <f t="shared" si="5"/>
        <v>1.4640328733470001E-3</v>
      </c>
      <c r="L18" s="1056"/>
      <c r="M18" s="1024"/>
      <c r="N18" s="1025"/>
      <c r="O18" s="1057"/>
      <c r="P18" s="1058"/>
      <c r="Q18" s="1023"/>
      <c r="R18" s="1023"/>
      <c r="S18" s="1059"/>
      <c r="T18" s="1023"/>
      <c r="U18" s="1023"/>
      <c r="V18" s="1023"/>
      <c r="W18" s="1023"/>
      <c r="X18" s="1023"/>
      <c r="Y18" s="1023"/>
      <c r="Z18" s="1023"/>
    </row>
    <row r="19" spans="1:26" ht="12.75" x14ac:dyDescent="0.2">
      <c r="A19" s="1023"/>
      <c r="B19" s="1060" t="s">
        <v>88</v>
      </c>
      <c r="C19" s="1061">
        <f>1635</f>
        <v>1635</v>
      </c>
      <c r="D19" s="1049">
        <v>0.8508</v>
      </c>
      <c r="E19" s="1050">
        <f t="shared" si="0"/>
        <v>1391.058</v>
      </c>
      <c r="F19" s="1049">
        <v>0.66979999999999995</v>
      </c>
      <c r="G19" s="1051">
        <f t="shared" si="1"/>
        <v>703.26935160000005</v>
      </c>
      <c r="H19" s="1069">
        <v>39.154470000000003</v>
      </c>
      <c r="I19" s="1063">
        <v>1</v>
      </c>
      <c r="J19" s="1064">
        <f t="shared" si="6"/>
        <v>13768.069364570829</v>
      </c>
      <c r="K19" s="1065">
        <f t="shared" si="5"/>
        <v>4.5797348690493352E-2</v>
      </c>
      <c r="L19" s="1056"/>
      <c r="M19" s="1024"/>
      <c r="N19" s="1025"/>
      <c r="O19" s="1057"/>
      <c r="P19" s="1058"/>
      <c r="Q19" s="1023"/>
      <c r="R19" s="1023"/>
      <c r="S19" s="1059"/>
      <c r="T19" s="1023"/>
      <c r="U19" s="1023"/>
      <c r="V19" s="1023"/>
      <c r="W19" s="1023"/>
      <c r="X19" s="1023"/>
      <c r="Y19" s="1023"/>
      <c r="Z19" s="1023"/>
    </row>
    <row r="20" spans="1:26" ht="12.75" x14ac:dyDescent="0.2">
      <c r="A20" s="1023"/>
      <c r="B20" s="1060" t="s">
        <v>574</v>
      </c>
      <c r="C20" s="1061">
        <f>941</f>
        <v>941</v>
      </c>
      <c r="D20" s="1049">
        <v>1</v>
      </c>
      <c r="E20" s="1050">
        <f t="shared" si="0"/>
        <v>941</v>
      </c>
      <c r="F20" s="1049">
        <v>9.1800000000000007E-2</v>
      </c>
      <c r="G20" s="1051">
        <f t="shared" si="1"/>
        <v>854.61619999999994</v>
      </c>
      <c r="H20" s="1062">
        <v>44.5319</v>
      </c>
      <c r="I20" s="1063">
        <v>1</v>
      </c>
      <c r="J20" s="1064">
        <f t="shared" si="6"/>
        <v>19028.841578389998</v>
      </c>
      <c r="K20" s="1065">
        <f t="shared" si="5"/>
        <v>6.329649204006968E-2</v>
      </c>
      <c r="L20" s="1056"/>
      <c r="M20" s="1024"/>
      <c r="N20" s="1025"/>
      <c r="O20" s="1057"/>
      <c r="P20" s="1058"/>
      <c r="Q20" s="1023"/>
      <c r="R20" s="1023"/>
      <c r="S20" s="1059"/>
      <c r="T20" s="1023"/>
      <c r="U20" s="1023"/>
      <c r="V20" s="1023"/>
      <c r="W20" s="1023"/>
      <c r="X20" s="1023"/>
      <c r="Y20" s="1023"/>
      <c r="Z20" s="1023"/>
    </row>
    <row r="21" spans="1:26" ht="12.75" x14ac:dyDescent="0.2">
      <c r="A21" s="1023"/>
      <c r="B21" s="1060" t="s">
        <v>317</v>
      </c>
      <c r="C21" s="1061">
        <f>3008-221</f>
        <v>2787</v>
      </c>
      <c r="D21" s="1049">
        <v>0</v>
      </c>
      <c r="E21" s="1050">
        <f t="shared" si="0"/>
        <v>0</v>
      </c>
      <c r="F21" s="1049">
        <v>0</v>
      </c>
      <c r="G21" s="1051">
        <f t="shared" si="1"/>
        <v>2787</v>
      </c>
      <c r="H21" s="1069">
        <v>42.489460000000001</v>
      </c>
      <c r="I21" s="1063">
        <v>1</v>
      </c>
      <c r="J21" s="1064">
        <f t="shared" si="6"/>
        <v>59209.062509999996</v>
      </c>
      <c r="K21" s="1065">
        <f t="shared" si="5"/>
        <v>0.19694976903482594</v>
      </c>
      <c r="L21" s="1056"/>
      <c r="M21" s="1024"/>
      <c r="N21" s="1025"/>
      <c r="O21" s="1057"/>
      <c r="P21" s="1058"/>
      <c r="Q21" s="1023"/>
      <c r="R21" s="1023"/>
      <c r="S21" s="1059"/>
      <c r="T21" s="1023"/>
      <c r="U21" s="1023"/>
      <c r="V21" s="1023"/>
      <c r="W21" s="1023"/>
      <c r="X21" s="1023"/>
      <c r="Y21" s="1023"/>
      <c r="Z21" s="1023"/>
    </row>
    <row r="22" spans="1:26" ht="12.75" x14ac:dyDescent="0.2">
      <c r="A22" s="1023"/>
      <c r="B22" s="1066" t="s">
        <v>576</v>
      </c>
      <c r="C22" s="1067">
        <v>0</v>
      </c>
      <c r="D22" s="1049">
        <v>0</v>
      </c>
      <c r="E22" s="1050">
        <f t="shared" si="0"/>
        <v>0</v>
      </c>
      <c r="F22" s="1049">
        <v>0</v>
      </c>
      <c r="G22" s="1051">
        <f t="shared" si="1"/>
        <v>0</v>
      </c>
      <c r="H22" s="1069">
        <v>42.900739999999999</v>
      </c>
      <c r="I22" s="1063">
        <v>1</v>
      </c>
      <c r="J22" s="1064">
        <f>(G22*1000*H22*I22)/2000</f>
        <v>0</v>
      </c>
      <c r="K22" s="1068">
        <f t="shared" si="5"/>
        <v>0</v>
      </c>
      <c r="L22" s="1056"/>
      <c r="M22" s="1024"/>
      <c r="N22" s="1025"/>
      <c r="O22" s="1057"/>
      <c r="P22" s="1058"/>
      <c r="Q22" s="1023"/>
      <c r="R22" s="1023"/>
      <c r="S22" s="1059"/>
      <c r="T22" s="1023"/>
      <c r="U22" s="1023"/>
      <c r="V22" s="1023"/>
      <c r="W22" s="1023"/>
      <c r="X22" s="1023"/>
      <c r="Y22" s="1023"/>
      <c r="Z22" s="1023"/>
    </row>
    <row r="23" spans="1:26" ht="12.75" x14ac:dyDescent="0.2">
      <c r="A23" s="1023"/>
      <c r="B23" s="1060" t="s">
        <v>578</v>
      </c>
      <c r="C23" s="1061">
        <v>467</v>
      </c>
      <c r="D23" s="1049">
        <v>1</v>
      </c>
      <c r="E23" s="1050">
        <f t="shared" si="0"/>
        <v>467</v>
      </c>
      <c r="F23" s="1049">
        <v>0</v>
      </c>
      <c r="G23" s="1051">
        <f t="shared" si="1"/>
        <v>467</v>
      </c>
      <c r="H23" s="1069">
        <v>0</v>
      </c>
      <c r="I23" s="1063">
        <v>1</v>
      </c>
      <c r="J23" s="1064">
        <f>(G23*1000*H23*I23)/2000</f>
        <v>0</v>
      </c>
      <c r="K23" s="1070">
        <f t="shared" si="5"/>
        <v>0</v>
      </c>
      <c r="L23" s="1056"/>
      <c r="M23" s="1024"/>
      <c r="N23" s="1025"/>
      <c r="O23" s="1057"/>
      <c r="P23" s="1058"/>
      <c r="Q23" s="1023"/>
      <c r="R23" s="1023"/>
      <c r="S23" s="1059"/>
      <c r="T23" s="1023"/>
      <c r="U23" s="1023"/>
      <c r="V23" s="1023"/>
      <c r="W23" s="1023"/>
      <c r="X23" s="1023"/>
      <c r="Y23" s="1023"/>
      <c r="Z23" s="1023"/>
    </row>
    <row r="24" spans="1:26" ht="12.75" x14ac:dyDescent="0.2">
      <c r="A24" s="1023"/>
      <c r="B24" s="1060" t="s">
        <v>581</v>
      </c>
      <c r="C24" s="1067">
        <v>0</v>
      </c>
      <c r="D24" s="1049">
        <v>0</v>
      </c>
      <c r="E24" s="1050">
        <f t="shared" si="0"/>
        <v>0</v>
      </c>
      <c r="F24" s="1049">
        <v>0.3</v>
      </c>
      <c r="G24" s="1051">
        <f t="shared" si="1"/>
        <v>0</v>
      </c>
      <c r="H24" s="1062">
        <v>61.393599999999999</v>
      </c>
      <c r="I24" s="1063">
        <v>1</v>
      </c>
      <c r="J24" s="1064">
        <f>(G24*1000*H24*I24)/2000</f>
        <v>0</v>
      </c>
      <c r="K24" s="1068">
        <f t="shared" si="5"/>
        <v>0</v>
      </c>
      <c r="L24" s="1056"/>
      <c r="M24" s="1024"/>
      <c r="N24" s="1025"/>
      <c r="O24" s="1057"/>
      <c r="P24" s="1058"/>
      <c r="Q24" s="1023"/>
      <c r="R24" s="1023"/>
      <c r="S24" s="1059"/>
      <c r="T24" s="1023"/>
      <c r="U24" s="1023"/>
      <c r="V24" s="1023"/>
      <c r="W24" s="1023"/>
      <c r="X24" s="1023"/>
      <c r="Y24" s="1023"/>
      <c r="Z24" s="1023"/>
    </row>
    <row r="25" spans="1:26" ht="12.75" x14ac:dyDescent="0.2">
      <c r="A25" s="1023"/>
      <c r="B25" s="1060" t="s">
        <v>582</v>
      </c>
      <c r="C25" s="1067">
        <v>0</v>
      </c>
      <c r="D25" s="1049">
        <v>0</v>
      </c>
      <c r="E25" s="1050">
        <f t="shared" si="0"/>
        <v>0</v>
      </c>
      <c r="F25" s="1049">
        <v>0.66979999999999995</v>
      </c>
      <c r="G25" s="1051">
        <f t="shared" si="1"/>
        <v>0</v>
      </c>
      <c r="H25" s="1062">
        <v>40.212269999999997</v>
      </c>
      <c r="I25" s="1063">
        <v>1</v>
      </c>
      <c r="J25" s="1064">
        <f t="shared" ref="J25:J26" si="7">(G25*1000*H25*I25)/2000</f>
        <v>0</v>
      </c>
      <c r="K25" s="1068">
        <f t="shared" si="5"/>
        <v>0</v>
      </c>
      <c r="L25" s="1056"/>
      <c r="M25" s="1024"/>
      <c r="N25" s="1025"/>
      <c r="O25" s="1057"/>
      <c r="P25" s="1058"/>
      <c r="Q25" s="1023"/>
      <c r="R25" s="1023"/>
      <c r="S25" s="1059"/>
      <c r="T25" s="1023"/>
      <c r="U25" s="1023"/>
      <c r="V25" s="1023"/>
      <c r="W25" s="1023"/>
      <c r="X25" s="1023"/>
      <c r="Y25" s="1023"/>
      <c r="Z25" s="1023"/>
    </row>
    <row r="26" spans="1:26" ht="12.75" x14ac:dyDescent="0.2">
      <c r="A26" s="1023"/>
      <c r="B26" s="1060" t="s">
        <v>238</v>
      </c>
      <c r="C26" s="1067">
        <f>48</f>
        <v>48</v>
      </c>
      <c r="D26" s="1049">
        <v>0</v>
      </c>
      <c r="E26" s="1050">
        <f t="shared" si="0"/>
        <v>0</v>
      </c>
      <c r="F26" s="1049">
        <v>0.5</v>
      </c>
      <c r="G26" s="1051">
        <f t="shared" si="1"/>
        <v>48</v>
      </c>
      <c r="H26" s="1062">
        <v>45.150620000000004</v>
      </c>
      <c r="I26" s="1063">
        <v>1</v>
      </c>
      <c r="J26" s="1064">
        <f t="shared" si="7"/>
        <v>1083.6148800000001</v>
      </c>
      <c r="K26" s="1065">
        <f t="shared" si="5"/>
        <v>3.6044769380136005E-3</v>
      </c>
      <c r="L26" s="1056"/>
      <c r="M26" s="1024"/>
      <c r="N26" s="1025"/>
      <c r="O26" s="1057"/>
      <c r="P26" s="1058"/>
      <c r="Q26" s="1023"/>
      <c r="R26" s="1023"/>
      <c r="S26" s="1059"/>
      <c r="T26" s="1023"/>
      <c r="U26" s="1023"/>
      <c r="V26" s="1023"/>
      <c r="W26" s="1023"/>
      <c r="X26" s="1023"/>
      <c r="Y26" s="1023"/>
      <c r="Z26" s="1023"/>
    </row>
    <row r="27" spans="1:26" ht="12.75" x14ac:dyDescent="0.2">
      <c r="A27" s="1023"/>
      <c r="B27" s="1060" t="s">
        <v>583</v>
      </c>
      <c r="C27" s="1067">
        <v>0</v>
      </c>
      <c r="D27" s="1049">
        <v>0.10349999999999999</v>
      </c>
      <c r="E27" s="1050">
        <f t="shared" si="0"/>
        <v>0</v>
      </c>
      <c r="F27" s="1049">
        <v>0.66979999999999995</v>
      </c>
      <c r="G27" s="1051">
        <f t="shared" si="1"/>
        <v>0</v>
      </c>
      <c r="H27" s="1062">
        <v>40.114060000000002</v>
      </c>
      <c r="I27" s="1063">
        <v>1</v>
      </c>
      <c r="J27" s="1064">
        <f>(G27*1000*H27*I27)/2000</f>
        <v>0</v>
      </c>
      <c r="K27" s="1068">
        <f t="shared" si="5"/>
        <v>0</v>
      </c>
      <c r="L27" s="1056"/>
      <c r="M27" s="1024"/>
      <c r="N27" s="1025"/>
      <c r="O27" s="1057"/>
      <c r="P27" s="1058"/>
      <c r="Q27" s="1023"/>
      <c r="R27" s="1023"/>
      <c r="S27" s="1059"/>
      <c r="T27" s="1023"/>
      <c r="U27" s="1023"/>
      <c r="V27" s="1023"/>
      <c r="W27" s="1023"/>
      <c r="X27" s="1023"/>
      <c r="Y27" s="1023"/>
      <c r="Z27" s="1023"/>
    </row>
    <row r="28" spans="1:26" ht="12.75" x14ac:dyDescent="0.2">
      <c r="A28" s="1023"/>
      <c r="B28" s="1060" t="s">
        <v>584</v>
      </c>
      <c r="C28" s="1061">
        <f>2682</f>
        <v>2682</v>
      </c>
      <c r="D28" s="1049">
        <v>0.92459999999999998</v>
      </c>
      <c r="E28" s="1050">
        <f t="shared" si="0"/>
        <v>2479.7772</v>
      </c>
      <c r="F28" s="1049">
        <v>0.66979999999999995</v>
      </c>
      <c r="G28" s="1051">
        <f t="shared" si="1"/>
        <v>1021.0452314400002</v>
      </c>
      <c r="H28" s="1062">
        <v>43.513440000000003</v>
      </c>
      <c r="I28" s="1063">
        <v>1</v>
      </c>
      <c r="J28" s="1064">
        <f>(G28*1000*H28*I28)/2000</f>
        <v>22214.595207775285</v>
      </c>
      <c r="K28" s="1065">
        <f t="shared" si="5"/>
        <v>7.3893407696407273E-2</v>
      </c>
      <c r="L28" s="1056"/>
      <c r="M28" s="1024"/>
      <c r="N28" s="1025"/>
      <c r="O28" s="1057"/>
      <c r="P28" s="1058"/>
      <c r="Q28" s="1023"/>
      <c r="R28" s="1023"/>
      <c r="S28" s="1059"/>
      <c r="T28" s="1023"/>
      <c r="U28" s="1023"/>
      <c r="V28" s="1023"/>
      <c r="W28" s="1023"/>
      <c r="X28" s="1023"/>
      <c r="Y28" s="1023"/>
      <c r="Z28" s="1023"/>
    </row>
    <row r="29" spans="1:26" ht="12.75" x14ac:dyDescent="0.2">
      <c r="A29" s="1023"/>
      <c r="B29" s="1060" t="s">
        <v>585</v>
      </c>
      <c r="C29" s="1067">
        <v>0</v>
      </c>
      <c r="D29" s="1049">
        <v>0</v>
      </c>
      <c r="E29" s="1050">
        <f t="shared" si="0"/>
        <v>0</v>
      </c>
      <c r="F29" s="1049">
        <v>0</v>
      </c>
      <c r="G29" s="1051">
        <f t="shared" si="1"/>
        <v>0</v>
      </c>
      <c r="H29" s="1069">
        <v>44.77366</v>
      </c>
      <c r="I29" s="1063">
        <v>1</v>
      </c>
      <c r="J29" s="1064">
        <f>(G29*1000*H29*I29)/2000</f>
        <v>0</v>
      </c>
      <c r="K29" s="1068">
        <f t="shared" si="5"/>
        <v>0</v>
      </c>
      <c r="L29" s="1056"/>
      <c r="M29" s="1024"/>
      <c r="N29" s="1025"/>
      <c r="O29" s="1057"/>
      <c r="P29" s="1058"/>
      <c r="Q29" s="1023"/>
      <c r="R29" s="1023"/>
      <c r="S29" s="1059"/>
      <c r="T29" s="1023"/>
      <c r="U29" s="1023"/>
      <c r="V29" s="1023"/>
      <c r="W29" s="1023"/>
      <c r="X29" s="1023"/>
      <c r="Y29" s="1023"/>
      <c r="Z29" s="1023"/>
    </row>
    <row r="30" spans="1:26" ht="12.75" x14ac:dyDescent="0.2">
      <c r="A30" s="1023"/>
      <c r="B30" s="1060" t="s">
        <v>586</v>
      </c>
      <c r="C30" s="1061">
        <f>79</f>
        <v>79</v>
      </c>
      <c r="D30" s="1049">
        <v>1</v>
      </c>
      <c r="E30" s="1050">
        <f t="shared" si="0"/>
        <v>79</v>
      </c>
      <c r="F30" s="1049">
        <v>0.57830000000000004</v>
      </c>
      <c r="G30" s="1051">
        <f t="shared" si="1"/>
        <v>33.314299999999996</v>
      </c>
      <c r="H30" s="1062">
        <v>43.642119999999998</v>
      </c>
      <c r="I30" s="1063">
        <v>1</v>
      </c>
      <c r="J30" s="1064">
        <f t="shared" ref="J30:J31" si="8">(G30*1000*H30*I30)/2000</f>
        <v>726.95333915799984</v>
      </c>
      <c r="K30" s="1065">
        <f t="shared" si="5"/>
        <v>2.4180976049415167E-3</v>
      </c>
      <c r="L30" s="1056"/>
      <c r="M30" s="1024"/>
      <c r="N30" s="1025"/>
      <c r="O30" s="1057"/>
      <c r="P30" s="1058"/>
      <c r="Q30" s="1023"/>
      <c r="R30" s="1023"/>
      <c r="S30" s="1059"/>
      <c r="T30" s="1023"/>
      <c r="U30" s="1023"/>
      <c r="V30" s="1023"/>
      <c r="W30" s="1023"/>
      <c r="X30" s="1023"/>
      <c r="Y30" s="1023"/>
      <c r="Z30" s="1023"/>
    </row>
    <row r="31" spans="1:26" ht="12.75" x14ac:dyDescent="0.2">
      <c r="A31" s="1023"/>
      <c r="B31" s="1060" t="s">
        <v>29</v>
      </c>
      <c r="C31" s="1061">
        <f>15688</f>
        <v>15688</v>
      </c>
      <c r="D31" s="1049">
        <v>6.3100000000000003E-2</v>
      </c>
      <c r="E31" s="1050">
        <f t="shared" si="0"/>
        <v>989.91280000000006</v>
      </c>
      <c r="F31" s="1071">
        <v>0.66979999999999995</v>
      </c>
      <c r="G31" s="1051">
        <f t="shared" si="1"/>
        <v>15024.956406560001</v>
      </c>
      <c r="H31" s="1062">
        <v>31.822469999999999</v>
      </c>
      <c r="I31" s="1063">
        <v>1</v>
      </c>
      <c r="J31" s="1064">
        <f t="shared" si="8"/>
        <v>239065.6122495317</v>
      </c>
      <c r="K31" s="1065">
        <f t="shared" si="5"/>
        <v>0.7952147039781684</v>
      </c>
      <c r="L31" s="1056"/>
      <c r="M31" s="1024"/>
      <c r="N31" s="1025"/>
      <c r="O31" s="1057"/>
      <c r="P31" s="1058"/>
      <c r="Q31" s="1023"/>
      <c r="R31" s="1023"/>
      <c r="S31" s="1059"/>
      <c r="T31" s="1023"/>
      <c r="U31" s="1023"/>
      <c r="V31" s="1023"/>
      <c r="W31" s="1023"/>
      <c r="X31" s="1023"/>
      <c r="Y31" s="1023"/>
      <c r="Z31" s="1023"/>
    </row>
    <row r="32" spans="1:26" ht="12.75" x14ac:dyDescent="0.2">
      <c r="A32" s="1023"/>
      <c r="B32" s="1072" t="s">
        <v>95</v>
      </c>
      <c r="C32" s="1073">
        <v>473</v>
      </c>
      <c r="D32" s="1074"/>
      <c r="E32" s="1075"/>
      <c r="F32" s="1076"/>
      <c r="G32" s="1075"/>
      <c r="H32" s="1077"/>
      <c r="I32" s="1078"/>
      <c r="J32" s="1079"/>
      <c r="K32" s="1080"/>
      <c r="L32" s="1056"/>
      <c r="M32" s="1023"/>
      <c r="N32" s="1058"/>
      <c r="O32" s="1057"/>
      <c r="P32" s="1058"/>
      <c r="Q32" s="1023"/>
      <c r="R32" s="1023"/>
      <c r="S32" s="1023"/>
      <c r="T32" s="1023"/>
      <c r="U32" s="1023"/>
      <c r="V32" s="1023"/>
      <c r="W32" s="1023"/>
      <c r="X32" s="1023"/>
      <c r="Y32" s="1023"/>
      <c r="Z32" s="1023"/>
    </row>
    <row r="33" spans="1:26" ht="12.75" x14ac:dyDescent="0.2">
      <c r="A33" s="1023"/>
      <c r="B33" s="1081"/>
      <c r="C33" s="1082"/>
      <c r="D33" s="1082"/>
      <c r="E33" s="1082"/>
      <c r="F33" s="1082"/>
      <c r="G33" s="1082"/>
      <c r="H33" s="1082"/>
      <c r="I33" s="1083"/>
      <c r="J33" s="1084" t="s">
        <v>102</v>
      </c>
      <c r="K33" s="1085">
        <f>SUM(K10:K31)</f>
        <v>2.4401048866283874</v>
      </c>
      <c r="Q33" s="1023"/>
      <c r="R33" s="1023"/>
      <c r="S33" s="1023"/>
      <c r="T33" s="1023"/>
      <c r="U33" s="1023"/>
      <c r="V33" s="1023"/>
      <c r="W33" s="1023"/>
      <c r="X33" s="1023"/>
      <c r="Y33" s="1023"/>
      <c r="Z33" s="1023"/>
    </row>
    <row r="34" spans="1:26" ht="12.75" x14ac:dyDescent="0.2">
      <c r="A34" s="1023"/>
      <c r="B34" s="1163"/>
      <c r="C34" s="1163"/>
      <c r="D34" s="1163"/>
      <c r="E34" s="1163"/>
      <c r="F34" s="1163"/>
      <c r="G34" s="1163"/>
      <c r="H34" s="1163"/>
      <c r="I34" s="1164"/>
      <c r="J34" s="1164"/>
      <c r="K34" s="1165"/>
      <c r="Q34" s="1023"/>
      <c r="R34" s="1023"/>
      <c r="S34" s="1023"/>
      <c r="T34" s="1023"/>
      <c r="U34" s="1023"/>
      <c r="V34" s="1023"/>
      <c r="W34" s="1023"/>
      <c r="X34" s="1023"/>
      <c r="Y34" s="1023"/>
      <c r="Z34" s="1023"/>
    </row>
    <row r="35" spans="1:26" ht="12.75" x14ac:dyDescent="0.2">
      <c r="A35" s="1023"/>
      <c r="B35" s="1023"/>
      <c r="C35" s="1023"/>
      <c r="D35" s="1023"/>
      <c r="E35" s="1023"/>
      <c r="F35" s="1023"/>
      <c r="G35" s="1023"/>
      <c r="H35" s="1023"/>
      <c r="I35" s="1023"/>
      <c r="J35" s="1023"/>
      <c r="K35" s="1023"/>
      <c r="L35" s="1023"/>
      <c r="M35" s="1023"/>
      <c r="N35" s="1023"/>
      <c r="O35" s="1023"/>
      <c r="P35" s="1023"/>
      <c r="Q35" s="1023"/>
      <c r="R35" s="1023"/>
      <c r="S35" s="1023"/>
      <c r="T35" s="1023"/>
      <c r="U35" s="1023"/>
      <c r="V35" s="1023"/>
      <c r="W35" s="1023"/>
      <c r="X35" s="1023"/>
      <c r="Y35" s="1023"/>
      <c r="Z35" s="1023"/>
    </row>
    <row r="36" spans="1:26" ht="12.75" x14ac:dyDescent="0.2">
      <c r="A36" s="1023"/>
      <c r="B36" s="1161" t="s">
        <v>591</v>
      </c>
      <c r="C36" s="1023"/>
      <c r="D36" s="1023"/>
      <c r="E36" s="1023">
        <v>2023</v>
      </c>
      <c r="F36" s="1023"/>
      <c r="G36" s="1023"/>
      <c r="H36" s="1023"/>
      <c r="I36" s="1023"/>
      <c r="J36" s="1023"/>
      <c r="K36" s="1023"/>
      <c r="L36" s="1023"/>
      <c r="M36" s="1023"/>
      <c r="N36" s="1023"/>
      <c r="O36" s="1023"/>
      <c r="P36" s="1023"/>
      <c r="Q36" s="1023"/>
      <c r="R36" s="1023"/>
      <c r="S36" s="1023"/>
      <c r="T36" s="1023"/>
      <c r="U36" s="1023"/>
      <c r="V36" s="1023"/>
      <c r="W36" s="1023"/>
      <c r="X36" s="1023"/>
      <c r="Y36" s="1023"/>
      <c r="Z36" s="1023"/>
    </row>
    <row r="37" spans="1:26" ht="12.75" x14ac:dyDescent="0.2">
      <c r="A37" s="1023"/>
      <c r="B37" s="1086"/>
      <c r="C37" s="1030"/>
      <c r="D37" s="1030"/>
      <c r="E37" s="1030"/>
      <c r="O37" s="1023"/>
      <c r="P37" s="1023"/>
      <c r="Q37" s="1023"/>
      <c r="R37" s="1023"/>
      <c r="S37" s="1023"/>
      <c r="T37" s="1023"/>
      <c r="U37" s="1023"/>
      <c r="V37" s="1023"/>
      <c r="W37" s="1023"/>
      <c r="X37" s="1023"/>
      <c r="Y37" s="1023"/>
      <c r="Z37" s="1023"/>
    </row>
    <row r="38" spans="1:26" ht="12.75" x14ac:dyDescent="0.2">
      <c r="A38" s="1023"/>
      <c r="B38" s="1087"/>
      <c r="C38" s="1032" t="s">
        <v>557</v>
      </c>
      <c r="D38" s="1032" t="s">
        <v>558</v>
      </c>
      <c r="E38" s="1032" t="s">
        <v>559</v>
      </c>
      <c r="F38" s="1033"/>
      <c r="G38" s="1033"/>
      <c r="H38" s="1033"/>
      <c r="I38" s="1035"/>
      <c r="K38" s="2024" t="s">
        <v>1</v>
      </c>
      <c r="L38" s="2025"/>
      <c r="O38" s="1023"/>
      <c r="P38" s="1023"/>
      <c r="Q38" s="1023"/>
      <c r="R38" s="1023"/>
      <c r="S38" s="1023"/>
      <c r="T38" s="1023"/>
      <c r="U38" s="1023"/>
      <c r="V38" s="1023"/>
      <c r="W38" s="1023"/>
      <c r="X38" s="1023"/>
      <c r="Y38" s="1023"/>
      <c r="Z38" s="1023"/>
    </row>
    <row r="39" spans="1:26" ht="12.75" x14ac:dyDescent="0.2">
      <c r="A39" s="1023"/>
      <c r="B39" s="1088"/>
      <c r="C39" s="1037" t="s">
        <v>30</v>
      </c>
      <c r="D39" s="1037" t="s">
        <v>561</v>
      </c>
      <c r="E39" s="1037" t="s">
        <v>30</v>
      </c>
      <c r="F39" s="1039" t="s">
        <v>112</v>
      </c>
      <c r="G39" s="1039" t="s">
        <v>338</v>
      </c>
      <c r="H39" s="1037" t="s">
        <v>113</v>
      </c>
      <c r="I39" s="1040" t="s">
        <v>35</v>
      </c>
      <c r="K39" s="1089"/>
      <c r="L39" s="1090" t="str">
        <f>Summary!E3</f>
        <v>AR6 100-yr GWP</v>
      </c>
      <c r="M39" s="1041"/>
      <c r="O39" s="1023"/>
      <c r="P39" s="1023"/>
      <c r="Q39" s="1023"/>
      <c r="R39" s="1023"/>
      <c r="S39" s="1023"/>
      <c r="T39" s="1023"/>
      <c r="U39" s="1023"/>
      <c r="V39" s="1023"/>
      <c r="W39" s="1023"/>
      <c r="X39" s="1023"/>
      <c r="Y39" s="1023"/>
      <c r="Z39" s="1023"/>
    </row>
    <row r="40" spans="1:26" ht="14.25" x14ac:dyDescent="0.25">
      <c r="A40" s="1023"/>
      <c r="B40" s="1091" t="s">
        <v>49</v>
      </c>
      <c r="C40" s="1043" t="s">
        <v>60</v>
      </c>
      <c r="D40" s="1043" t="s">
        <v>564</v>
      </c>
      <c r="E40" s="1043" t="s">
        <v>60</v>
      </c>
      <c r="F40" s="1092" t="s">
        <v>1860</v>
      </c>
      <c r="G40" s="1092" t="s">
        <v>1861</v>
      </c>
      <c r="H40" s="1043"/>
      <c r="I40" s="1044" t="s">
        <v>1859</v>
      </c>
      <c r="K40" s="1089" t="str">
        <f>Summary!C4</f>
        <v>CO2</v>
      </c>
      <c r="L40" s="1090">
        <f>Summary!E4</f>
        <v>1</v>
      </c>
      <c r="M40" s="1041"/>
      <c r="O40" s="1023"/>
      <c r="P40" s="1023"/>
      <c r="Q40" s="1023"/>
      <c r="R40" s="1023"/>
      <c r="S40" s="1023"/>
      <c r="T40" s="1023"/>
      <c r="U40" s="1023"/>
      <c r="V40" s="1023"/>
      <c r="W40" s="1023"/>
      <c r="X40" s="1023"/>
      <c r="Y40" s="1023"/>
      <c r="Z40" s="1023"/>
    </row>
    <row r="41" spans="1:26" ht="12.75" x14ac:dyDescent="0.2">
      <c r="A41" s="1023"/>
      <c r="B41" s="1047" t="s">
        <v>566</v>
      </c>
      <c r="C41" s="1048">
        <f t="shared" ref="C41:D41" si="9">C10</f>
        <v>0</v>
      </c>
      <c r="D41" s="1049">
        <f t="shared" si="9"/>
        <v>1</v>
      </c>
      <c r="E41" s="1050">
        <f t="shared" ref="E41:E63" si="10">C41*D41</f>
        <v>0</v>
      </c>
      <c r="F41" s="1093">
        <v>1.5034545899835E-3</v>
      </c>
      <c r="G41" s="1094">
        <f t="shared" ref="G41:G62" si="11">(C41-E41)*F41</f>
        <v>0</v>
      </c>
      <c r="H41" s="1095">
        <f>L42</f>
        <v>273</v>
      </c>
      <c r="I41" s="1096">
        <f t="shared" ref="I41:I63" si="12">G41*H41/1000000</f>
        <v>0</v>
      </c>
      <c r="J41" s="1058"/>
      <c r="K41" s="1089" t="str">
        <f>Summary!C5</f>
        <v>CH4</v>
      </c>
      <c r="L41" s="1090">
        <f>Summary!E5</f>
        <v>27.9</v>
      </c>
      <c r="M41" s="1057"/>
      <c r="O41" s="1023"/>
      <c r="P41" s="1023"/>
      <c r="Q41" s="1023"/>
      <c r="R41" s="1023"/>
      <c r="S41" s="1023"/>
      <c r="T41" s="1023"/>
      <c r="U41" s="1023"/>
      <c r="V41" s="1023"/>
      <c r="W41" s="1023"/>
      <c r="X41" s="1023"/>
      <c r="Y41" s="1023"/>
      <c r="Z41" s="1023"/>
    </row>
    <row r="42" spans="1:26" ht="12.75" x14ac:dyDescent="0.2">
      <c r="A42" s="1023"/>
      <c r="B42" s="1060" t="s">
        <v>567</v>
      </c>
      <c r="C42" s="1061">
        <f t="shared" ref="C42:D42" si="13">C11</f>
        <v>8571</v>
      </c>
      <c r="D42" s="1049">
        <f t="shared" si="13"/>
        <v>2.06E-2</v>
      </c>
      <c r="E42" s="1050">
        <f t="shared" si="10"/>
        <v>176.5626</v>
      </c>
      <c r="F42" s="1097">
        <v>1.5034545899835E-3</v>
      </c>
      <c r="G42" s="1098">
        <f t="shared" si="11"/>
        <v>12.620655439359158</v>
      </c>
      <c r="H42" s="1061">
        <f>L42</f>
        <v>273</v>
      </c>
      <c r="I42" s="1099">
        <f t="shared" si="12"/>
        <v>3.4454389349450501E-3</v>
      </c>
      <c r="J42" s="1058"/>
      <c r="K42" s="1089" t="str">
        <f>Summary!C6</f>
        <v>N2O</v>
      </c>
      <c r="L42" s="1090">
        <f>Summary!E6</f>
        <v>273</v>
      </c>
      <c r="M42" s="1057"/>
      <c r="O42" s="1023"/>
      <c r="P42" s="1023"/>
      <c r="Q42" s="1023"/>
      <c r="R42" s="1023"/>
      <c r="S42" s="1023"/>
      <c r="T42" s="1023"/>
      <c r="U42" s="1023"/>
      <c r="V42" s="1023"/>
      <c r="W42" s="1023"/>
      <c r="X42" s="1023"/>
      <c r="Y42" s="1023"/>
      <c r="Z42" s="1023"/>
    </row>
    <row r="43" spans="1:26" ht="12.75" x14ac:dyDescent="0.2">
      <c r="A43" s="1023"/>
      <c r="B43" s="1060" t="s">
        <v>568</v>
      </c>
      <c r="C43" s="1061">
        <f t="shared" ref="C43:D43" si="14">C12</f>
        <v>11972</v>
      </c>
      <c r="D43" s="1049">
        <f t="shared" si="14"/>
        <v>1</v>
      </c>
      <c r="E43" s="1050">
        <f t="shared" si="10"/>
        <v>11972</v>
      </c>
      <c r="F43" s="1097">
        <v>6.0138183599339984E-4</v>
      </c>
      <c r="G43" s="1098">
        <f t="shared" si="11"/>
        <v>0</v>
      </c>
      <c r="H43" s="1061">
        <f>L42</f>
        <v>273</v>
      </c>
      <c r="I43" s="1099">
        <f t="shared" si="12"/>
        <v>0</v>
      </c>
      <c r="J43" s="1058"/>
      <c r="K43" s="1089" t="str">
        <f>Summary!C7</f>
        <v>SF6</v>
      </c>
      <c r="L43" s="1100">
        <f>Summary!E7</f>
        <v>24300</v>
      </c>
      <c r="M43" s="1057"/>
      <c r="O43" s="1023"/>
      <c r="P43" s="1023"/>
      <c r="Q43" s="1023"/>
      <c r="R43" s="1023"/>
      <c r="S43" s="1023"/>
      <c r="T43" s="1023"/>
      <c r="U43" s="1023"/>
      <c r="V43" s="1023"/>
      <c r="W43" s="1023"/>
      <c r="X43" s="1023"/>
      <c r="Y43" s="1023"/>
      <c r="Z43" s="1023"/>
    </row>
    <row r="44" spans="1:26" ht="12.75" x14ac:dyDescent="0.2">
      <c r="A44" s="1023"/>
      <c r="B44" s="1066" t="s">
        <v>569</v>
      </c>
      <c r="C44" s="1067">
        <f t="shared" ref="C44:D44" si="15">C13</f>
        <v>0</v>
      </c>
      <c r="D44" s="1049">
        <f t="shared" si="15"/>
        <v>0</v>
      </c>
      <c r="E44" s="1050">
        <f t="shared" si="10"/>
        <v>0</v>
      </c>
      <c r="F44" s="1097">
        <v>6.0138183599339984E-4</v>
      </c>
      <c r="G44" s="1098">
        <f t="shared" si="11"/>
        <v>0</v>
      </c>
      <c r="H44" s="1061">
        <f>L42</f>
        <v>273</v>
      </c>
      <c r="I44" s="1099">
        <f t="shared" si="12"/>
        <v>0</v>
      </c>
      <c r="J44" s="1058"/>
      <c r="M44" s="1057"/>
      <c r="O44" s="1023"/>
      <c r="P44" s="1023"/>
      <c r="Q44" s="1023"/>
      <c r="R44" s="1023"/>
      <c r="S44" s="1023"/>
      <c r="T44" s="1023"/>
      <c r="U44" s="1023"/>
      <c r="V44" s="1023"/>
      <c r="W44" s="1023"/>
      <c r="X44" s="1023"/>
      <c r="Y44" s="1023"/>
      <c r="Z44" s="1023"/>
    </row>
    <row r="45" spans="1:26" ht="12.75" x14ac:dyDescent="0.2">
      <c r="A45" s="1023"/>
      <c r="B45" s="1066" t="s">
        <v>571</v>
      </c>
      <c r="C45" s="1067">
        <f t="shared" ref="C45:D45" si="16">C14</f>
        <v>0</v>
      </c>
      <c r="D45" s="1049">
        <f t="shared" si="16"/>
        <v>0</v>
      </c>
      <c r="E45" s="1050">
        <f t="shared" si="10"/>
        <v>0</v>
      </c>
      <c r="F45" s="1097">
        <v>6.0138183599339984E-4</v>
      </c>
      <c r="G45" s="1098">
        <f t="shared" si="11"/>
        <v>0</v>
      </c>
      <c r="H45" s="1061">
        <f>L42</f>
        <v>273</v>
      </c>
      <c r="I45" s="1099">
        <f t="shared" si="12"/>
        <v>0</v>
      </c>
      <c r="J45" s="1058"/>
      <c r="M45" s="1057"/>
      <c r="O45" s="1023"/>
      <c r="P45" s="1023"/>
      <c r="Q45" s="1023"/>
      <c r="R45" s="1023"/>
      <c r="S45" s="1023"/>
      <c r="T45" s="1023"/>
      <c r="U45" s="1023"/>
      <c r="V45" s="1023"/>
      <c r="W45" s="1023"/>
      <c r="X45" s="1023"/>
      <c r="Y45" s="1023"/>
      <c r="Z45" s="1023"/>
    </row>
    <row r="46" spans="1:26" ht="12.75" x14ac:dyDescent="0.2">
      <c r="A46" s="1023"/>
      <c r="B46" s="1060" t="s">
        <v>78</v>
      </c>
      <c r="C46" s="1061">
        <f t="shared" ref="C46:D46" si="17">C15</f>
        <v>5856</v>
      </c>
      <c r="D46" s="1049">
        <f t="shared" si="17"/>
        <v>5.5999999999999999E-3</v>
      </c>
      <c r="E46" s="1050">
        <f t="shared" si="10"/>
        <v>32.793599999999998</v>
      </c>
      <c r="F46" s="1097">
        <v>6.0138183599339984E-4</v>
      </c>
      <c r="G46" s="1098">
        <f t="shared" si="11"/>
        <v>3.5019705562005163</v>
      </c>
      <c r="H46" s="1061">
        <f>L42</f>
        <v>273</v>
      </c>
      <c r="I46" s="1099">
        <f t="shared" si="12"/>
        <v>9.5603796184274095E-4</v>
      </c>
      <c r="J46" s="1058"/>
      <c r="M46" s="1057"/>
      <c r="O46" s="1023"/>
      <c r="P46" s="1023"/>
      <c r="Q46" s="1023"/>
      <c r="R46" s="1023"/>
      <c r="S46" s="1023"/>
      <c r="T46" s="1023"/>
      <c r="U46" s="1023"/>
      <c r="V46" s="1023"/>
      <c r="W46" s="1023"/>
      <c r="X46" s="1023"/>
      <c r="Y46" s="1023"/>
      <c r="Z46" s="1023"/>
    </row>
    <row r="47" spans="1:26" ht="12.75" x14ac:dyDescent="0.2">
      <c r="A47" s="1023"/>
      <c r="B47" s="1066" t="s">
        <v>572</v>
      </c>
      <c r="C47" s="1067">
        <f t="shared" ref="C47:D47" si="18">C16</f>
        <v>0</v>
      </c>
      <c r="D47" s="1049">
        <f t="shared" si="18"/>
        <v>0.91979999999999995</v>
      </c>
      <c r="E47" s="1050">
        <f t="shared" si="10"/>
        <v>0</v>
      </c>
      <c r="F47" s="1097">
        <v>6.0138183599339984E-4</v>
      </c>
      <c r="G47" s="1098">
        <f t="shared" si="11"/>
        <v>0</v>
      </c>
      <c r="H47" s="1061">
        <f>L42</f>
        <v>273</v>
      </c>
      <c r="I47" s="1099">
        <f t="shared" si="12"/>
        <v>0</v>
      </c>
      <c r="J47" s="1058"/>
      <c r="K47" s="1057"/>
      <c r="L47" s="1058"/>
      <c r="M47" s="1057"/>
      <c r="O47" s="1023"/>
      <c r="P47" s="1023"/>
      <c r="Q47" s="1023"/>
      <c r="R47" s="1023"/>
      <c r="S47" s="1023"/>
      <c r="T47" s="1023"/>
      <c r="U47" s="1023"/>
      <c r="V47" s="1023"/>
      <c r="W47" s="1023"/>
      <c r="X47" s="1023"/>
      <c r="Y47" s="1023"/>
      <c r="Z47" s="1023"/>
    </row>
    <row r="48" spans="1:26" ht="25.5" x14ac:dyDescent="0.2">
      <c r="A48" s="1023"/>
      <c r="B48" s="1066" t="s">
        <v>573</v>
      </c>
      <c r="C48" s="1067">
        <f t="shared" ref="C48:D48" si="19">C17</f>
        <v>0</v>
      </c>
      <c r="D48" s="1049">
        <f t="shared" si="19"/>
        <v>0.86970000000000003</v>
      </c>
      <c r="E48" s="1050">
        <f t="shared" si="10"/>
        <v>0</v>
      </c>
      <c r="F48" s="1097">
        <v>6.0138183599339984E-4</v>
      </c>
      <c r="G48" s="1098">
        <f t="shared" si="11"/>
        <v>0</v>
      </c>
      <c r="H48" s="1061">
        <f>L42</f>
        <v>273</v>
      </c>
      <c r="I48" s="1099">
        <f t="shared" si="12"/>
        <v>0</v>
      </c>
      <c r="J48" s="1058"/>
      <c r="K48" s="1057"/>
      <c r="L48" s="1058"/>
      <c r="M48" s="1057"/>
      <c r="O48" s="1023"/>
      <c r="P48" s="1023"/>
      <c r="Q48" s="1023"/>
      <c r="R48" s="1023"/>
      <c r="S48" s="1023"/>
      <c r="T48" s="1023"/>
      <c r="U48" s="1023"/>
      <c r="V48" s="1023"/>
      <c r="W48" s="1023"/>
      <c r="X48" s="1023"/>
      <c r="Y48" s="1023"/>
      <c r="Z48" s="1023"/>
    </row>
    <row r="49" spans="1:26" ht="12.75" x14ac:dyDescent="0.2">
      <c r="A49" s="1023"/>
      <c r="B49" s="1060" t="s">
        <v>86</v>
      </c>
      <c r="C49" s="1061">
        <f t="shared" ref="C49:D49" si="20">C18</f>
        <v>20</v>
      </c>
      <c r="D49" s="1049">
        <f t="shared" si="20"/>
        <v>0</v>
      </c>
      <c r="E49" s="1050">
        <f t="shared" si="10"/>
        <v>0</v>
      </c>
      <c r="F49" s="1097">
        <v>6.0138183599339984E-4</v>
      </c>
      <c r="G49" s="1098">
        <f t="shared" si="11"/>
        <v>1.2027636719867996E-2</v>
      </c>
      <c r="H49" s="1061">
        <f>L42</f>
        <v>273</v>
      </c>
      <c r="I49" s="1099">
        <f t="shared" si="12"/>
        <v>3.2835448245239631E-6</v>
      </c>
      <c r="J49" s="1058"/>
      <c r="K49" s="1057"/>
      <c r="L49" s="1058"/>
      <c r="M49" s="1057"/>
      <c r="O49" s="1023"/>
      <c r="P49" s="1023"/>
      <c r="Q49" s="1023"/>
      <c r="R49" s="1023"/>
      <c r="S49" s="1023"/>
      <c r="T49" s="1023"/>
      <c r="U49" s="1023"/>
      <c r="V49" s="1023"/>
      <c r="W49" s="1023"/>
      <c r="X49" s="1023"/>
      <c r="Y49" s="1023"/>
      <c r="Z49" s="1023"/>
    </row>
    <row r="50" spans="1:26" ht="12.75" x14ac:dyDescent="0.2">
      <c r="A50" s="1023"/>
      <c r="B50" s="1060" t="s">
        <v>88</v>
      </c>
      <c r="C50" s="1061">
        <f t="shared" ref="C50:D50" si="21">C19</f>
        <v>1635</v>
      </c>
      <c r="D50" s="1049">
        <f t="shared" si="21"/>
        <v>0.8508</v>
      </c>
      <c r="E50" s="1050">
        <f t="shared" si="10"/>
        <v>1391.058</v>
      </c>
      <c r="F50" s="1097">
        <v>6.0138183599339984E-4</v>
      </c>
      <c r="G50" s="1098">
        <f t="shared" si="11"/>
        <v>0.14670228783590195</v>
      </c>
      <c r="H50" s="1061">
        <f>L42</f>
        <v>273</v>
      </c>
      <c r="I50" s="1099">
        <f t="shared" si="12"/>
        <v>4.0049724579201234E-5</v>
      </c>
      <c r="J50" s="1058"/>
      <c r="K50" s="1057"/>
      <c r="L50" s="1058"/>
      <c r="M50" s="1057"/>
      <c r="O50" s="1023"/>
      <c r="P50" s="1023"/>
      <c r="Q50" s="1023"/>
      <c r="R50" s="1023"/>
      <c r="S50" s="1023"/>
      <c r="T50" s="1023"/>
      <c r="U50" s="1023"/>
      <c r="V50" s="1023"/>
      <c r="W50" s="1023"/>
      <c r="X50" s="1023"/>
      <c r="Y50" s="1023"/>
      <c r="Z50" s="1023"/>
    </row>
    <row r="51" spans="1:26" ht="12.75" x14ac:dyDescent="0.2">
      <c r="A51" s="1023"/>
      <c r="B51" s="1060" t="s">
        <v>574</v>
      </c>
      <c r="C51" s="1061">
        <f t="shared" ref="C51:D51" si="22">C20</f>
        <v>941</v>
      </c>
      <c r="D51" s="1049">
        <f t="shared" si="22"/>
        <v>1</v>
      </c>
      <c r="E51" s="1050">
        <f t="shared" si="10"/>
        <v>941</v>
      </c>
      <c r="F51" s="1097">
        <v>6.0138183599339984E-4</v>
      </c>
      <c r="G51" s="1098">
        <f t="shared" si="11"/>
        <v>0</v>
      </c>
      <c r="H51" s="1061">
        <f>L42</f>
        <v>273</v>
      </c>
      <c r="I51" s="1099">
        <f t="shared" si="12"/>
        <v>0</v>
      </c>
      <c r="J51" s="1058"/>
      <c r="K51" s="1057"/>
      <c r="L51" s="1058"/>
      <c r="M51" s="1057"/>
      <c r="O51" s="1023"/>
      <c r="P51" s="1023"/>
      <c r="Q51" s="1023"/>
      <c r="R51" s="1023"/>
      <c r="S51" s="1023"/>
      <c r="T51" s="1023"/>
      <c r="U51" s="1023"/>
      <c r="V51" s="1023"/>
      <c r="W51" s="1023"/>
      <c r="X51" s="1023"/>
      <c r="Y51" s="1023"/>
      <c r="Z51" s="1023"/>
    </row>
    <row r="52" spans="1:26" ht="12.75" x14ac:dyDescent="0.2">
      <c r="A52" s="1023"/>
      <c r="B52" s="1060" t="s">
        <v>317</v>
      </c>
      <c r="C52" s="1061">
        <f t="shared" ref="C52:D52" si="23">C21</f>
        <v>2787</v>
      </c>
      <c r="D52" s="1049">
        <f t="shared" si="23"/>
        <v>0</v>
      </c>
      <c r="E52" s="1050">
        <f t="shared" si="10"/>
        <v>0</v>
      </c>
      <c r="F52" s="1097">
        <v>6.0138183599339984E-4</v>
      </c>
      <c r="G52" s="1098">
        <f t="shared" si="11"/>
        <v>1.6760511769136053</v>
      </c>
      <c r="H52" s="1061">
        <f>L42</f>
        <v>273</v>
      </c>
      <c r="I52" s="1099">
        <f t="shared" si="12"/>
        <v>4.5756197129741424E-4</v>
      </c>
      <c r="J52" s="1058"/>
      <c r="K52" s="1057"/>
      <c r="L52" s="1058"/>
      <c r="M52" s="1057"/>
      <c r="O52" s="1023"/>
      <c r="P52" s="1023"/>
      <c r="Q52" s="1023"/>
      <c r="R52" s="1023"/>
      <c r="S52" s="1023"/>
      <c r="T52" s="1023"/>
      <c r="U52" s="1023"/>
      <c r="V52" s="1023"/>
      <c r="W52" s="1023"/>
      <c r="X52" s="1023"/>
      <c r="Y52" s="1023"/>
      <c r="Z52" s="1023"/>
    </row>
    <row r="53" spans="1:26" ht="12.75" x14ac:dyDescent="0.2">
      <c r="A53" s="1023"/>
      <c r="B53" s="1066" t="s">
        <v>576</v>
      </c>
      <c r="C53" s="1067">
        <f t="shared" ref="C53:D53" si="24">C22</f>
        <v>0</v>
      </c>
      <c r="D53" s="1049">
        <f t="shared" si="24"/>
        <v>0</v>
      </c>
      <c r="E53" s="1050">
        <f t="shared" si="10"/>
        <v>0</v>
      </c>
      <c r="F53" s="1097">
        <v>6.0138183599339984E-4</v>
      </c>
      <c r="G53" s="1098">
        <f t="shared" si="11"/>
        <v>0</v>
      </c>
      <c r="H53" s="1061">
        <f>L42</f>
        <v>273</v>
      </c>
      <c r="I53" s="1099">
        <f t="shared" si="12"/>
        <v>0</v>
      </c>
      <c r="J53" s="1058"/>
      <c r="K53" s="1057"/>
      <c r="L53" s="1058"/>
      <c r="M53" s="1057"/>
      <c r="O53" s="1023"/>
      <c r="P53" s="1023"/>
      <c r="Q53" s="1023"/>
      <c r="R53" s="1023"/>
      <c r="S53" s="1023"/>
      <c r="T53" s="1023"/>
      <c r="U53" s="1023"/>
      <c r="V53" s="1023"/>
      <c r="W53" s="1023"/>
      <c r="X53" s="1023"/>
      <c r="Y53" s="1023"/>
      <c r="Z53" s="1023"/>
    </row>
    <row r="54" spans="1:26" ht="12.75" x14ac:dyDescent="0.2">
      <c r="A54" s="1023"/>
      <c r="B54" s="1060" t="s">
        <v>578</v>
      </c>
      <c r="C54" s="1061">
        <f t="shared" ref="C54:D54" si="25">C23</f>
        <v>467</v>
      </c>
      <c r="D54" s="1049">
        <f t="shared" si="25"/>
        <v>1</v>
      </c>
      <c r="E54" s="1050">
        <f t="shared" si="10"/>
        <v>467</v>
      </c>
      <c r="F54" s="1097">
        <v>6.0138183599339984E-4</v>
      </c>
      <c r="G54" s="1098">
        <f t="shared" si="11"/>
        <v>0</v>
      </c>
      <c r="H54" s="1061">
        <f>L42</f>
        <v>273</v>
      </c>
      <c r="I54" s="1099">
        <f t="shared" si="12"/>
        <v>0</v>
      </c>
      <c r="J54" s="1058"/>
      <c r="K54" s="1057"/>
      <c r="L54" s="1058"/>
      <c r="M54" s="1057"/>
      <c r="O54" s="1023"/>
      <c r="P54" s="1023"/>
      <c r="Q54" s="1023"/>
      <c r="R54" s="1023"/>
      <c r="S54" s="1023"/>
      <c r="T54" s="1023"/>
      <c r="U54" s="1023"/>
      <c r="V54" s="1023"/>
      <c r="W54" s="1023"/>
      <c r="X54" s="1023"/>
      <c r="Y54" s="1023"/>
      <c r="Z54" s="1023"/>
    </row>
    <row r="55" spans="1:26" ht="12.75" x14ac:dyDescent="0.2">
      <c r="A55" s="1023"/>
      <c r="B55" s="1060" t="s">
        <v>581</v>
      </c>
      <c r="C55" s="1067">
        <f t="shared" ref="C55:D55" si="26">C24</f>
        <v>0</v>
      </c>
      <c r="D55" s="1049">
        <f t="shared" si="26"/>
        <v>0</v>
      </c>
      <c r="E55" s="1050">
        <f t="shared" si="10"/>
        <v>0</v>
      </c>
      <c r="F55" s="1097">
        <v>6.0138183599339984E-4</v>
      </c>
      <c r="G55" s="1098">
        <f t="shared" si="11"/>
        <v>0</v>
      </c>
      <c r="H55" s="1061">
        <f>L42</f>
        <v>273</v>
      </c>
      <c r="I55" s="1099">
        <f t="shared" si="12"/>
        <v>0</v>
      </c>
      <c r="J55" s="1058"/>
      <c r="K55" s="1057"/>
      <c r="L55" s="1058"/>
      <c r="M55" s="1057"/>
      <c r="O55" s="1023"/>
      <c r="P55" s="1023"/>
      <c r="Q55" s="1023"/>
      <c r="R55" s="1023"/>
      <c r="S55" s="1023"/>
      <c r="T55" s="1023"/>
      <c r="U55" s="1023"/>
      <c r="V55" s="1023"/>
      <c r="W55" s="1023"/>
      <c r="X55" s="1023"/>
      <c r="Y55" s="1023"/>
      <c r="Z55" s="1023"/>
    </row>
    <row r="56" spans="1:26" ht="12.75" x14ac:dyDescent="0.2">
      <c r="A56" s="1023"/>
      <c r="B56" s="1060" t="s">
        <v>582</v>
      </c>
      <c r="C56" s="1067">
        <f t="shared" ref="C56:D56" si="27">C25</f>
        <v>0</v>
      </c>
      <c r="D56" s="1049">
        <f t="shared" si="27"/>
        <v>0</v>
      </c>
      <c r="E56" s="1050">
        <f t="shared" si="10"/>
        <v>0</v>
      </c>
      <c r="F56" s="1097">
        <v>6.0138183599339984E-4</v>
      </c>
      <c r="G56" s="1098">
        <f t="shared" si="11"/>
        <v>0</v>
      </c>
      <c r="H56" s="1061">
        <f>L42</f>
        <v>273</v>
      </c>
      <c r="I56" s="1099">
        <f t="shared" si="12"/>
        <v>0</v>
      </c>
      <c r="J56" s="1058"/>
      <c r="K56" s="1057"/>
      <c r="L56" s="1058"/>
      <c r="M56" s="1057"/>
      <c r="O56" s="1023"/>
      <c r="P56" s="1023"/>
      <c r="Q56" s="1023"/>
      <c r="R56" s="1023"/>
      <c r="S56" s="1023"/>
      <c r="T56" s="1023"/>
      <c r="U56" s="1023"/>
      <c r="V56" s="1023"/>
      <c r="W56" s="1023"/>
      <c r="X56" s="1023"/>
      <c r="Y56" s="1023"/>
      <c r="Z56" s="1023"/>
    </row>
    <row r="57" spans="1:26" ht="12.75" x14ac:dyDescent="0.2">
      <c r="A57" s="1023"/>
      <c r="B57" s="1060" t="s">
        <v>238</v>
      </c>
      <c r="C57" s="1067">
        <f t="shared" ref="C57:D57" si="28">C26</f>
        <v>48</v>
      </c>
      <c r="D57" s="1049">
        <f t="shared" si="28"/>
        <v>0</v>
      </c>
      <c r="E57" s="1050">
        <f t="shared" si="10"/>
        <v>0</v>
      </c>
      <c r="F57" s="1097">
        <v>6.0138183599339984E-4</v>
      </c>
      <c r="G57" s="1098">
        <f t="shared" si="11"/>
        <v>2.8866328127683194E-2</v>
      </c>
      <c r="H57" s="1061">
        <f>L42</f>
        <v>273</v>
      </c>
      <c r="I57" s="1099">
        <f t="shared" si="12"/>
        <v>7.8805075788575111E-6</v>
      </c>
      <c r="J57" s="1058"/>
      <c r="K57" s="1057"/>
      <c r="L57" s="1058"/>
      <c r="M57" s="1057"/>
      <c r="O57" s="1023"/>
      <c r="P57" s="1023"/>
      <c r="Q57" s="1023"/>
      <c r="R57" s="1023"/>
      <c r="S57" s="1023"/>
      <c r="T57" s="1023"/>
      <c r="U57" s="1023"/>
      <c r="V57" s="1023"/>
      <c r="W57" s="1023"/>
      <c r="X57" s="1023"/>
      <c r="Y57" s="1023"/>
      <c r="Z57" s="1023"/>
    </row>
    <row r="58" spans="1:26" ht="12.75" x14ac:dyDescent="0.2">
      <c r="A58" s="1023"/>
      <c r="B58" s="1060" t="s">
        <v>583</v>
      </c>
      <c r="C58" s="1067">
        <f t="shared" ref="C58:D58" si="29">C27</f>
        <v>0</v>
      </c>
      <c r="D58" s="1049">
        <f t="shared" si="29"/>
        <v>0.10349999999999999</v>
      </c>
      <c r="E58" s="1050">
        <f t="shared" si="10"/>
        <v>0</v>
      </c>
      <c r="F58" s="1097">
        <v>6.0138183599339984E-4</v>
      </c>
      <c r="G58" s="1098">
        <f t="shared" si="11"/>
        <v>0</v>
      </c>
      <c r="H58" s="1061">
        <f>L42</f>
        <v>273</v>
      </c>
      <c r="I58" s="1099">
        <f t="shared" si="12"/>
        <v>0</v>
      </c>
      <c r="J58" s="1058"/>
      <c r="K58" s="1057"/>
      <c r="L58" s="1058"/>
      <c r="M58" s="1057"/>
      <c r="O58" s="1023"/>
      <c r="P58" s="1023"/>
      <c r="Q58" s="1023"/>
      <c r="R58" s="1023"/>
      <c r="S58" s="1023"/>
      <c r="T58" s="1023"/>
      <c r="U58" s="1023"/>
      <c r="V58" s="1023"/>
      <c r="W58" s="1023"/>
      <c r="X58" s="1023"/>
      <c r="Y58" s="1023"/>
      <c r="Z58" s="1023"/>
    </row>
    <row r="59" spans="1:26" ht="12.75" x14ac:dyDescent="0.2">
      <c r="A59" s="1023"/>
      <c r="B59" s="1060" t="s">
        <v>584</v>
      </c>
      <c r="C59" s="1061">
        <f t="shared" ref="C59:D59" si="30">C28</f>
        <v>2682</v>
      </c>
      <c r="D59" s="1049">
        <f t="shared" si="30"/>
        <v>0.92459999999999998</v>
      </c>
      <c r="E59" s="1050">
        <f t="shared" si="10"/>
        <v>2479.7772</v>
      </c>
      <c r="F59" s="1097">
        <v>6.0138183599339984E-4</v>
      </c>
      <c r="G59" s="1098">
        <f t="shared" si="11"/>
        <v>0.1216131187437261</v>
      </c>
      <c r="H59" s="1061">
        <f>L42</f>
        <v>273</v>
      </c>
      <c r="I59" s="1099">
        <f t="shared" si="12"/>
        <v>3.320038141703723E-5</v>
      </c>
      <c r="J59" s="1058"/>
      <c r="K59" s="1057"/>
      <c r="L59" s="1058"/>
      <c r="M59" s="1057"/>
      <c r="O59" s="1023"/>
      <c r="P59" s="1023"/>
      <c r="Q59" s="1023"/>
      <c r="R59" s="1023"/>
      <c r="S59" s="1023"/>
      <c r="T59" s="1023"/>
      <c r="U59" s="1023"/>
      <c r="V59" s="1023"/>
      <c r="W59" s="1023"/>
      <c r="X59" s="1023"/>
      <c r="Y59" s="1023"/>
      <c r="Z59" s="1023"/>
    </row>
    <row r="60" spans="1:26" ht="12.75" x14ac:dyDescent="0.2">
      <c r="A60" s="1023"/>
      <c r="B60" s="1060" t="s">
        <v>585</v>
      </c>
      <c r="C60" s="1067">
        <f t="shared" ref="C60:D60" si="31">C29</f>
        <v>0</v>
      </c>
      <c r="D60" s="1049">
        <f t="shared" si="31"/>
        <v>0</v>
      </c>
      <c r="E60" s="1050">
        <f t="shared" si="10"/>
        <v>0</v>
      </c>
      <c r="F60" s="1097">
        <v>6.0138183599339984E-4</v>
      </c>
      <c r="G60" s="1098">
        <f t="shared" si="11"/>
        <v>0</v>
      </c>
      <c r="H60" s="1061">
        <f>L42</f>
        <v>273</v>
      </c>
      <c r="I60" s="1099">
        <f t="shared" si="12"/>
        <v>0</v>
      </c>
      <c r="J60" s="1058"/>
      <c r="K60" s="1057"/>
      <c r="L60" s="1058"/>
      <c r="M60" s="1057"/>
      <c r="O60" s="1023"/>
      <c r="P60" s="1023"/>
      <c r="Q60" s="1023"/>
      <c r="R60" s="1023"/>
      <c r="S60" s="1023"/>
      <c r="T60" s="1023"/>
      <c r="U60" s="1023"/>
      <c r="V60" s="1023"/>
      <c r="W60" s="1023"/>
      <c r="X60" s="1023"/>
      <c r="Y60" s="1023"/>
      <c r="Z60" s="1023"/>
    </row>
    <row r="61" spans="1:26" ht="12.75" x14ac:dyDescent="0.2">
      <c r="A61" s="1023"/>
      <c r="B61" s="1060" t="s">
        <v>586</v>
      </c>
      <c r="C61" s="1061">
        <f t="shared" ref="C61:D61" si="32">C30</f>
        <v>79</v>
      </c>
      <c r="D61" s="1049">
        <f t="shared" si="32"/>
        <v>1</v>
      </c>
      <c r="E61" s="1050">
        <f t="shared" si="10"/>
        <v>79</v>
      </c>
      <c r="F61" s="1097">
        <v>6.0138183599339984E-4</v>
      </c>
      <c r="G61" s="1098">
        <f t="shared" si="11"/>
        <v>0</v>
      </c>
      <c r="H61" s="1061">
        <f>L42</f>
        <v>273</v>
      </c>
      <c r="I61" s="1099">
        <f t="shared" si="12"/>
        <v>0</v>
      </c>
      <c r="J61" s="1058"/>
      <c r="K61" s="1057"/>
      <c r="L61" s="1058"/>
      <c r="M61" s="1057"/>
      <c r="O61" s="1023"/>
      <c r="P61" s="1023"/>
      <c r="Q61" s="1023"/>
      <c r="R61" s="1023"/>
      <c r="S61" s="1023"/>
      <c r="T61" s="1023"/>
      <c r="U61" s="1023"/>
      <c r="V61" s="1023"/>
      <c r="W61" s="1023"/>
      <c r="X61" s="1023"/>
      <c r="Y61" s="1023"/>
      <c r="Z61" s="1023"/>
    </row>
    <row r="62" spans="1:26" ht="12.75" x14ac:dyDescent="0.2">
      <c r="A62" s="1023"/>
      <c r="B62" s="1060" t="s">
        <v>29</v>
      </c>
      <c r="C62" s="1061">
        <f t="shared" ref="C62:D62" si="33">C31</f>
        <v>15688</v>
      </c>
      <c r="D62" s="1049">
        <f t="shared" si="33"/>
        <v>6.3100000000000003E-2</v>
      </c>
      <c r="E62" s="1050">
        <f t="shared" si="10"/>
        <v>989.91280000000006</v>
      </c>
      <c r="F62" s="1097">
        <v>9.4955026735800017E-5</v>
      </c>
      <c r="G62" s="1098">
        <f t="shared" si="11"/>
        <v>1.3956572630411199</v>
      </c>
      <c r="H62" s="1061">
        <f>L42</f>
        <v>273</v>
      </c>
      <c r="I62" s="1099">
        <f t="shared" si="12"/>
        <v>3.8101443281022575E-4</v>
      </c>
      <c r="J62" s="1058"/>
      <c r="K62" s="1057"/>
      <c r="L62" s="1058"/>
      <c r="M62" s="1057"/>
      <c r="O62" s="1023"/>
      <c r="P62" s="1023"/>
      <c r="Q62" s="1023"/>
      <c r="R62" s="1023"/>
      <c r="S62" s="1023"/>
      <c r="T62" s="1023"/>
      <c r="U62" s="1023"/>
      <c r="V62" s="1023"/>
      <c r="W62" s="1023"/>
      <c r="X62" s="1023"/>
      <c r="Y62" s="1023"/>
      <c r="Z62" s="1023"/>
    </row>
    <row r="63" spans="1:26" ht="12.75" x14ac:dyDescent="0.2">
      <c r="A63" s="1023"/>
      <c r="B63" s="1072" t="s">
        <v>95</v>
      </c>
      <c r="C63" s="1073">
        <f t="shared" ref="C63:D63" si="34">C32</f>
        <v>473</v>
      </c>
      <c r="D63" s="1101">
        <f t="shared" si="34"/>
        <v>0</v>
      </c>
      <c r="E63" s="1102">
        <f t="shared" si="10"/>
        <v>0</v>
      </c>
      <c r="F63" s="1103">
        <v>3.7982010694320003E-3</v>
      </c>
      <c r="G63" s="1104">
        <f>C63*F63</f>
        <v>1.7965491058413361</v>
      </c>
      <c r="H63" s="1073">
        <f>L42</f>
        <v>273</v>
      </c>
      <c r="I63" s="1105">
        <f t="shared" si="12"/>
        <v>4.904579058946847E-4</v>
      </c>
      <c r="J63" s="1058"/>
      <c r="K63" s="1057"/>
      <c r="L63" s="1058"/>
      <c r="M63" s="1057"/>
      <c r="O63" s="1023"/>
      <c r="P63" s="1023"/>
      <c r="Q63" s="1023"/>
      <c r="R63" s="1023"/>
      <c r="S63" s="1023"/>
      <c r="T63" s="1023"/>
      <c r="U63" s="1023"/>
      <c r="V63" s="1023"/>
      <c r="W63" s="1023"/>
      <c r="X63" s="1023"/>
      <c r="Y63" s="1023"/>
      <c r="Z63" s="1023"/>
    </row>
    <row r="64" spans="1:26" ht="12.75" x14ac:dyDescent="0.2">
      <c r="A64" s="1023"/>
      <c r="B64" s="1106"/>
      <c r="C64" s="1107"/>
      <c r="D64" s="1107"/>
      <c r="E64" s="1107"/>
      <c r="F64" s="1107"/>
      <c r="G64" s="1107"/>
      <c r="H64" s="1108" t="s">
        <v>102</v>
      </c>
      <c r="I64" s="1109">
        <f>SUM(I41:I63)</f>
        <v>5.8149253651897364E-3</v>
      </c>
      <c r="J64" s="1110"/>
      <c r="K64" s="1111"/>
      <c r="L64" s="1110"/>
      <c r="M64" s="1111"/>
      <c r="O64" s="1023"/>
      <c r="P64" s="1023"/>
      <c r="Q64" s="1023"/>
      <c r="R64" s="1023"/>
      <c r="S64" s="1023"/>
      <c r="T64" s="1023"/>
      <c r="U64" s="1023"/>
      <c r="V64" s="1023"/>
      <c r="W64" s="1023"/>
      <c r="X64" s="1023"/>
      <c r="Y64" s="1023"/>
      <c r="Z64" s="1023"/>
    </row>
    <row r="65" spans="1:26" ht="12.75" x14ac:dyDescent="0.2">
      <c r="A65" s="1023"/>
      <c r="B65" s="1166"/>
      <c r="C65" s="1163"/>
      <c r="D65" s="1163"/>
      <c r="E65" s="1163"/>
      <c r="F65" s="1163"/>
      <c r="G65" s="1163"/>
      <c r="H65" s="1167"/>
      <c r="I65" s="1168"/>
      <c r="J65" s="1110"/>
      <c r="K65" s="1111"/>
      <c r="L65" s="1110"/>
      <c r="M65" s="1111"/>
      <c r="O65" s="1023"/>
      <c r="P65" s="1023"/>
      <c r="Q65" s="1023"/>
      <c r="R65" s="1023"/>
      <c r="S65" s="1023"/>
      <c r="T65" s="1023"/>
      <c r="U65" s="1023"/>
      <c r="V65" s="1023"/>
      <c r="W65" s="1023"/>
      <c r="X65" s="1023"/>
      <c r="Y65" s="1023"/>
      <c r="Z65" s="1023"/>
    </row>
    <row r="66" spans="1:26" ht="12.75" x14ac:dyDescent="0.2">
      <c r="A66" s="1023"/>
      <c r="B66" s="1023"/>
      <c r="C66" s="1023"/>
      <c r="D66" s="1023"/>
      <c r="E66" s="1023"/>
      <c r="F66" s="1023"/>
      <c r="G66" s="1023"/>
      <c r="H66" s="1023"/>
      <c r="I66" s="1023"/>
      <c r="J66" s="1023"/>
      <c r="K66" s="1023"/>
      <c r="L66" s="1023"/>
      <c r="M66" s="1023"/>
      <c r="N66" s="1023"/>
      <c r="O66" s="1023"/>
      <c r="P66" s="1023"/>
      <c r="Q66" s="1023"/>
      <c r="R66" s="1023"/>
      <c r="S66" s="1023"/>
      <c r="T66" s="1023"/>
      <c r="U66" s="1023"/>
      <c r="V66" s="1023"/>
      <c r="W66" s="1023"/>
      <c r="X66" s="1023"/>
      <c r="Y66" s="1023"/>
      <c r="Z66" s="1023"/>
    </row>
    <row r="67" spans="1:26" ht="12.75" x14ac:dyDescent="0.2">
      <c r="A67" s="1023"/>
      <c r="B67" s="1161" t="s">
        <v>592</v>
      </c>
      <c r="C67" s="1023"/>
      <c r="D67" s="1023"/>
      <c r="E67" s="1023">
        <v>2023</v>
      </c>
      <c r="F67" s="1023"/>
      <c r="G67" s="1023"/>
      <c r="H67" s="1023"/>
      <c r="I67" s="1023"/>
      <c r="J67" s="1023"/>
      <c r="K67" s="1023"/>
      <c r="L67" s="1023"/>
      <c r="M67" s="1023"/>
      <c r="N67" s="1023"/>
      <c r="O67" s="1023"/>
      <c r="P67" s="1023"/>
      <c r="Q67" s="1023"/>
      <c r="R67" s="1023"/>
      <c r="S67" s="1023"/>
      <c r="T67" s="1023"/>
      <c r="U67" s="1023"/>
      <c r="V67" s="1023"/>
      <c r="W67" s="1023"/>
      <c r="X67" s="1023"/>
      <c r="Y67" s="1023"/>
      <c r="Z67" s="1023"/>
    </row>
    <row r="68" spans="1:26" ht="12.75" x14ac:dyDescent="0.2">
      <c r="A68" s="1023"/>
      <c r="B68" s="1029"/>
      <c r="C68" s="1030"/>
      <c r="D68" s="1030"/>
      <c r="E68" s="1030"/>
      <c r="O68" s="1023"/>
      <c r="P68" s="1023"/>
      <c r="Q68" s="1023"/>
      <c r="R68" s="1023"/>
      <c r="S68" s="1023"/>
      <c r="T68" s="1023"/>
      <c r="U68" s="1023"/>
      <c r="V68" s="1023"/>
      <c r="W68" s="1023"/>
      <c r="X68" s="1023"/>
      <c r="Y68" s="1023"/>
      <c r="Z68" s="1023"/>
    </row>
    <row r="69" spans="1:26" ht="12.75" x14ac:dyDescent="0.2">
      <c r="A69" s="1023"/>
      <c r="B69" s="1031"/>
      <c r="C69" s="1032" t="s">
        <v>557</v>
      </c>
      <c r="D69" s="1032" t="s">
        <v>558</v>
      </c>
      <c r="E69" s="1032" t="s">
        <v>559</v>
      </c>
      <c r="F69" s="1033"/>
      <c r="G69" s="1033"/>
      <c r="H69" s="1033"/>
      <c r="I69" s="1035"/>
      <c r="O69" s="1023"/>
      <c r="P69" s="1023"/>
      <c r="Q69" s="1023"/>
      <c r="R69" s="1023"/>
      <c r="S69" s="1023"/>
      <c r="T69" s="1023"/>
      <c r="U69" s="1023"/>
      <c r="V69" s="1023"/>
      <c r="W69" s="1023"/>
      <c r="X69" s="1023"/>
      <c r="Y69" s="1023"/>
      <c r="Z69" s="1023"/>
    </row>
    <row r="70" spans="1:26" ht="12.75" x14ac:dyDescent="0.2">
      <c r="A70" s="1023"/>
      <c r="B70" s="1036"/>
      <c r="C70" s="1037" t="s">
        <v>30</v>
      </c>
      <c r="D70" s="1037" t="s">
        <v>561</v>
      </c>
      <c r="E70" s="1037" t="s">
        <v>30</v>
      </c>
      <c r="F70" s="1039" t="s">
        <v>112</v>
      </c>
      <c r="G70" s="1039" t="s">
        <v>35</v>
      </c>
      <c r="H70" s="1037" t="s">
        <v>113</v>
      </c>
      <c r="I70" s="1040" t="s">
        <v>35</v>
      </c>
      <c r="K70" s="1041"/>
      <c r="M70" s="1041"/>
      <c r="O70" s="1023"/>
      <c r="P70" s="1023"/>
      <c r="Q70" s="1023"/>
      <c r="R70" s="1023"/>
      <c r="S70" s="1023"/>
      <c r="T70" s="1023"/>
      <c r="U70" s="1023"/>
      <c r="V70" s="1023"/>
      <c r="W70" s="1023"/>
      <c r="X70" s="1023"/>
      <c r="Y70" s="1023"/>
      <c r="Z70" s="1023"/>
    </row>
    <row r="71" spans="1:26" ht="12.75" x14ac:dyDescent="0.2">
      <c r="A71" s="1023"/>
      <c r="B71" s="1042" t="s">
        <v>49</v>
      </c>
      <c r="C71" s="1043" t="s">
        <v>60</v>
      </c>
      <c r="D71" s="1043" t="s">
        <v>564</v>
      </c>
      <c r="E71" s="1043" t="s">
        <v>60</v>
      </c>
      <c r="F71" s="1092" t="s">
        <v>141</v>
      </c>
      <c r="G71" s="1092" t="s">
        <v>593</v>
      </c>
      <c r="H71" s="1043"/>
      <c r="I71" s="1044" t="s">
        <v>594</v>
      </c>
      <c r="K71" s="1045"/>
      <c r="M71" s="1041"/>
      <c r="O71" s="1023"/>
      <c r="P71" s="1023"/>
      <c r="Q71" s="1023"/>
      <c r="R71" s="1023"/>
      <c r="S71" s="1023"/>
      <c r="T71" s="1023"/>
      <c r="U71" s="1023"/>
      <c r="V71" s="1023"/>
      <c r="W71" s="1023"/>
      <c r="X71" s="1023"/>
      <c r="Y71" s="1023"/>
      <c r="Z71" s="1023"/>
    </row>
    <row r="72" spans="1:26" ht="12.75" x14ac:dyDescent="0.2">
      <c r="A72" s="1023"/>
      <c r="B72" s="1112" t="s">
        <v>566</v>
      </c>
      <c r="C72" s="1067">
        <f t="shared" ref="C72:D72" si="35">C10</f>
        <v>0</v>
      </c>
      <c r="D72" s="1049">
        <f t="shared" si="35"/>
        <v>1</v>
      </c>
      <c r="E72" s="1050">
        <f t="shared" ref="E72:E94" si="36">C72*D72</f>
        <v>0</v>
      </c>
      <c r="F72" s="1113">
        <v>1.0023030599889999E-2</v>
      </c>
      <c r="G72" s="1094">
        <f t="shared" ref="G72:G93" si="37">(C72-E72)*F72</f>
        <v>0</v>
      </c>
      <c r="H72" s="1114">
        <f>L41</f>
        <v>27.9</v>
      </c>
      <c r="I72" s="1096">
        <f t="shared" ref="I72:I94" si="38">G72*H72/1000000</f>
        <v>0</v>
      </c>
      <c r="J72" s="1058"/>
      <c r="K72" s="1057"/>
      <c r="L72" s="1058"/>
      <c r="M72" s="1057"/>
      <c r="O72" s="1023"/>
      <c r="P72" s="1023"/>
      <c r="Q72" s="1023"/>
      <c r="R72" s="1023"/>
      <c r="S72" s="1023"/>
      <c r="T72" s="1023"/>
      <c r="U72" s="1023"/>
      <c r="V72" s="1023"/>
      <c r="W72" s="1023"/>
      <c r="X72" s="1023"/>
      <c r="Y72" s="1023"/>
      <c r="Z72" s="1023"/>
    </row>
    <row r="73" spans="1:26" ht="12.75" x14ac:dyDescent="0.2">
      <c r="A73" s="1023"/>
      <c r="B73" s="1115" t="s">
        <v>567</v>
      </c>
      <c r="C73" s="1061">
        <f t="shared" ref="C73:D73" si="39">C11</f>
        <v>8571</v>
      </c>
      <c r="D73" s="1049">
        <f t="shared" si="39"/>
        <v>2.06E-2</v>
      </c>
      <c r="E73" s="1050">
        <f t="shared" si="36"/>
        <v>176.5626</v>
      </c>
      <c r="F73" s="1097">
        <v>1.0023030599889999E-2</v>
      </c>
      <c r="G73" s="1098">
        <f t="shared" si="37"/>
        <v>84.137702929061049</v>
      </c>
      <c r="H73" s="1116">
        <f>L41</f>
        <v>27.9</v>
      </c>
      <c r="I73" s="1099">
        <f t="shared" si="38"/>
        <v>2.347441911720803E-3</v>
      </c>
      <c r="J73" s="1058"/>
      <c r="K73" s="1057"/>
      <c r="L73" s="1058"/>
      <c r="M73" s="1057"/>
      <c r="O73" s="1023"/>
      <c r="P73" s="1023"/>
      <c r="Q73" s="1023"/>
      <c r="R73" s="1023"/>
      <c r="S73" s="1023"/>
      <c r="T73" s="1023"/>
      <c r="U73" s="1023"/>
      <c r="V73" s="1023"/>
      <c r="W73" s="1023"/>
      <c r="X73" s="1023"/>
      <c r="Y73" s="1023"/>
      <c r="Z73" s="1023"/>
    </row>
    <row r="74" spans="1:26" ht="12.75" x14ac:dyDescent="0.2">
      <c r="A74" s="1023"/>
      <c r="B74" s="1115" t="s">
        <v>568</v>
      </c>
      <c r="C74" s="1061">
        <f t="shared" ref="C74:D74" si="40">C12</f>
        <v>11972</v>
      </c>
      <c r="D74" s="1049">
        <f t="shared" si="40"/>
        <v>1</v>
      </c>
      <c r="E74" s="1050">
        <f t="shared" si="36"/>
        <v>11972</v>
      </c>
      <c r="F74" s="1097">
        <v>3.006909179967E-3</v>
      </c>
      <c r="G74" s="1098">
        <f t="shared" si="37"/>
        <v>0</v>
      </c>
      <c r="H74" s="1116">
        <f>L41</f>
        <v>27.9</v>
      </c>
      <c r="I74" s="1099">
        <f t="shared" si="38"/>
        <v>0</v>
      </c>
      <c r="J74" s="1058"/>
      <c r="K74" s="1057"/>
      <c r="L74" s="1058"/>
      <c r="M74" s="1057"/>
      <c r="O74" s="1023"/>
      <c r="P74" s="1023"/>
      <c r="Q74" s="1023"/>
      <c r="R74" s="1023"/>
      <c r="S74" s="1023"/>
      <c r="T74" s="1023"/>
      <c r="U74" s="1023"/>
      <c r="V74" s="1023"/>
      <c r="W74" s="1023"/>
      <c r="X74" s="1023"/>
      <c r="Y74" s="1023"/>
      <c r="Z74" s="1023"/>
    </row>
    <row r="75" spans="1:26" ht="12.75" x14ac:dyDescent="0.2">
      <c r="A75" s="1023"/>
      <c r="B75" s="1117" t="s">
        <v>569</v>
      </c>
      <c r="C75" s="1067">
        <f t="shared" ref="C75:D75" si="41">C13</f>
        <v>0</v>
      </c>
      <c r="D75" s="1049">
        <f t="shared" si="41"/>
        <v>0</v>
      </c>
      <c r="E75" s="1050">
        <f t="shared" si="36"/>
        <v>0</v>
      </c>
      <c r="F75" s="1097">
        <v>3.006909179967E-3</v>
      </c>
      <c r="G75" s="1098">
        <f t="shared" si="37"/>
        <v>0</v>
      </c>
      <c r="H75" s="1116">
        <f>L41</f>
        <v>27.9</v>
      </c>
      <c r="I75" s="1099">
        <f t="shared" si="38"/>
        <v>0</v>
      </c>
      <c r="J75" s="1058"/>
      <c r="K75" s="1057"/>
      <c r="L75" s="1058"/>
      <c r="M75" s="1057"/>
      <c r="O75" s="1023"/>
      <c r="P75" s="1023"/>
      <c r="Q75" s="1023"/>
      <c r="R75" s="1023"/>
      <c r="S75" s="1023"/>
      <c r="T75" s="1023"/>
      <c r="U75" s="1023"/>
      <c r="V75" s="1023"/>
      <c r="W75" s="1023"/>
      <c r="X75" s="1023"/>
      <c r="Y75" s="1023"/>
      <c r="Z75" s="1023"/>
    </row>
    <row r="76" spans="1:26" ht="12.75" x14ac:dyDescent="0.2">
      <c r="A76" s="1023"/>
      <c r="B76" s="1117" t="s">
        <v>571</v>
      </c>
      <c r="C76" s="1067">
        <f t="shared" ref="C76:D76" si="42">C14</f>
        <v>0</v>
      </c>
      <c r="D76" s="1049">
        <f t="shared" si="42"/>
        <v>0</v>
      </c>
      <c r="E76" s="1050">
        <f t="shared" si="36"/>
        <v>0</v>
      </c>
      <c r="F76" s="1097">
        <v>3.006909179967E-3</v>
      </c>
      <c r="G76" s="1098">
        <f t="shared" si="37"/>
        <v>0</v>
      </c>
      <c r="H76" s="1116">
        <f>L41</f>
        <v>27.9</v>
      </c>
      <c r="I76" s="1099">
        <f t="shared" si="38"/>
        <v>0</v>
      </c>
      <c r="J76" s="1058"/>
      <c r="K76" s="1057"/>
      <c r="L76" s="1058"/>
      <c r="M76" s="1057"/>
      <c r="O76" s="1023"/>
      <c r="P76" s="1023"/>
      <c r="Q76" s="1023"/>
      <c r="R76" s="1023"/>
      <c r="S76" s="1023"/>
      <c r="T76" s="1023"/>
      <c r="U76" s="1023"/>
      <c r="V76" s="1023"/>
      <c r="W76" s="1023"/>
      <c r="X76" s="1023"/>
      <c r="Y76" s="1023"/>
      <c r="Z76" s="1023"/>
    </row>
    <row r="77" spans="1:26" ht="12.75" x14ac:dyDescent="0.2">
      <c r="A77" s="1023"/>
      <c r="B77" s="1115" t="s">
        <v>78</v>
      </c>
      <c r="C77" s="1061">
        <f t="shared" ref="C77:D77" si="43">C15</f>
        <v>5856</v>
      </c>
      <c r="D77" s="1049">
        <f t="shared" si="43"/>
        <v>5.5999999999999999E-3</v>
      </c>
      <c r="E77" s="1050">
        <f t="shared" si="36"/>
        <v>32.793599999999998</v>
      </c>
      <c r="F77" s="1097">
        <v>3.006909179967E-3</v>
      </c>
      <c r="G77" s="1098">
        <f t="shared" si="37"/>
        <v>17.509852781002586</v>
      </c>
      <c r="H77" s="1116">
        <f>L41</f>
        <v>27.9</v>
      </c>
      <c r="I77" s="1099">
        <f t="shared" si="38"/>
        <v>4.8852489258997215E-4</v>
      </c>
      <c r="J77" s="1058"/>
      <c r="K77" s="1057"/>
      <c r="L77" s="1058"/>
      <c r="M77" s="1057"/>
      <c r="O77" s="1023"/>
      <c r="P77" s="1023"/>
      <c r="Q77" s="1023"/>
      <c r="R77" s="1023"/>
      <c r="S77" s="1023"/>
      <c r="T77" s="1023"/>
      <c r="U77" s="1023"/>
      <c r="V77" s="1023"/>
      <c r="W77" s="1023"/>
      <c r="X77" s="1023"/>
      <c r="Y77" s="1023"/>
      <c r="Z77" s="1023"/>
    </row>
    <row r="78" spans="1:26" ht="12.75" x14ac:dyDescent="0.2">
      <c r="A78" s="1023"/>
      <c r="B78" s="1117" t="s">
        <v>572</v>
      </c>
      <c r="C78" s="1067">
        <f t="shared" ref="C78:D78" si="44">C16</f>
        <v>0</v>
      </c>
      <c r="D78" s="1049">
        <f t="shared" si="44"/>
        <v>0.91979999999999995</v>
      </c>
      <c r="E78" s="1050">
        <f t="shared" si="36"/>
        <v>0</v>
      </c>
      <c r="F78" s="1097">
        <v>3.006909179967E-3</v>
      </c>
      <c r="G78" s="1098">
        <f t="shared" si="37"/>
        <v>0</v>
      </c>
      <c r="H78" s="1116">
        <f>L41</f>
        <v>27.9</v>
      </c>
      <c r="I78" s="1099">
        <f t="shared" si="38"/>
        <v>0</v>
      </c>
      <c r="J78" s="1058"/>
      <c r="K78" s="1057"/>
      <c r="L78" s="1058"/>
      <c r="M78" s="1057"/>
      <c r="O78" s="1023"/>
      <c r="P78" s="1023"/>
      <c r="Q78" s="1023"/>
      <c r="R78" s="1023"/>
      <c r="S78" s="1023"/>
      <c r="T78" s="1023"/>
      <c r="U78" s="1023"/>
      <c r="V78" s="1023"/>
      <c r="W78" s="1023"/>
      <c r="X78" s="1023"/>
      <c r="Y78" s="1023"/>
      <c r="Z78" s="1023"/>
    </row>
    <row r="79" spans="1:26" ht="25.5" x14ac:dyDescent="0.2">
      <c r="A79" s="1023"/>
      <c r="B79" s="1117" t="s">
        <v>573</v>
      </c>
      <c r="C79" s="1067">
        <f t="shared" ref="C79:D79" si="45">C17</f>
        <v>0</v>
      </c>
      <c r="D79" s="1049">
        <f t="shared" si="45"/>
        <v>0.86970000000000003</v>
      </c>
      <c r="E79" s="1050">
        <f t="shared" si="36"/>
        <v>0</v>
      </c>
      <c r="F79" s="1097">
        <v>3.006909179967E-3</v>
      </c>
      <c r="G79" s="1098">
        <f t="shared" si="37"/>
        <v>0</v>
      </c>
      <c r="H79" s="1116">
        <f>L41</f>
        <v>27.9</v>
      </c>
      <c r="I79" s="1099">
        <f t="shared" si="38"/>
        <v>0</v>
      </c>
      <c r="J79" s="1058"/>
      <c r="K79" s="1057"/>
      <c r="L79" s="1058"/>
      <c r="M79" s="1057"/>
      <c r="O79" s="1023"/>
      <c r="P79" s="1023"/>
      <c r="Q79" s="1023"/>
      <c r="R79" s="1023"/>
      <c r="S79" s="1023"/>
      <c r="T79" s="1023"/>
      <c r="U79" s="1023"/>
      <c r="V79" s="1023"/>
      <c r="W79" s="1023"/>
      <c r="X79" s="1023"/>
      <c r="Y79" s="1023"/>
      <c r="Z79" s="1023"/>
    </row>
    <row r="80" spans="1:26" ht="12.75" x14ac:dyDescent="0.2">
      <c r="A80" s="1023"/>
      <c r="B80" s="1115" t="s">
        <v>86</v>
      </c>
      <c r="C80" s="1061">
        <f t="shared" ref="C80:D80" si="46">C18</f>
        <v>20</v>
      </c>
      <c r="D80" s="1049">
        <f t="shared" si="46"/>
        <v>0</v>
      </c>
      <c r="E80" s="1050">
        <f t="shared" si="36"/>
        <v>0</v>
      </c>
      <c r="F80" s="1097">
        <v>3.006909179967E-3</v>
      </c>
      <c r="G80" s="1098">
        <f t="shared" si="37"/>
        <v>6.0138183599339999E-2</v>
      </c>
      <c r="H80" s="1116">
        <f>L41</f>
        <v>27.9</v>
      </c>
      <c r="I80" s="1099">
        <f t="shared" si="38"/>
        <v>1.6778553224215861E-6</v>
      </c>
      <c r="J80" s="1058"/>
      <c r="K80" s="1057"/>
      <c r="L80" s="1058"/>
      <c r="M80" s="1057"/>
      <c r="O80" s="1023"/>
      <c r="P80" s="1023"/>
      <c r="Q80" s="1023"/>
      <c r="R80" s="1023"/>
      <c r="S80" s="1023"/>
      <c r="T80" s="1023"/>
      <c r="U80" s="1023"/>
      <c r="V80" s="1023"/>
      <c r="W80" s="1023"/>
      <c r="X80" s="1023"/>
      <c r="Y80" s="1023"/>
      <c r="Z80" s="1023"/>
    </row>
    <row r="81" spans="1:26" ht="12.75" x14ac:dyDescent="0.2">
      <c r="A81" s="1023"/>
      <c r="B81" s="1115" t="s">
        <v>88</v>
      </c>
      <c r="C81" s="1061">
        <f t="shared" ref="C81:D81" si="47">C19</f>
        <v>1635</v>
      </c>
      <c r="D81" s="1049">
        <f t="shared" si="47"/>
        <v>0.8508</v>
      </c>
      <c r="E81" s="1050">
        <f t="shared" si="36"/>
        <v>1391.058</v>
      </c>
      <c r="F81" s="1097">
        <v>3.006909179967E-3</v>
      </c>
      <c r="G81" s="1098">
        <f t="shared" si="37"/>
        <v>0.73351143917950989</v>
      </c>
      <c r="H81" s="1116">
        <f>L41</f>
        <v>27.9</v>
      </c>
      <c r="I81" s="1099">
        <f t="shared" si="38"/>
        <v>2.0464969153108324E-5</v>
      </c>
      <c r="J81" s="1058"/>
      <c r="K81" s="1057"/>
      <c r="L81" s="1058"/>
      <c r="M81" s="1057"/>
      <c r="O81" s="1023"/>
      <c r="P81" s="1023"/>
      <c r="Q81" s="1023"/>
      <c r="R81" s="1023"/>
      <c r="S81" s="1023"/>
      <c r="T81" s="1023"/>
      <c r="U81" s="1023"/>
      <c r="V81" s="1023"/>
      <c r="W81" s="1023"/>
      <c r="X81" s="1023"/>
      <c r="Y81" s="1023"/>
      <c r="Z81" s="1023"/>
    </row>
    <row r="82" spans="1:26" ht="12.75" x14ac:dyDescent="0.2">
      <c r="A82" s="1023"/>
      <c r="B82" s="1115" t="s">
        <v>574</v>
      </c>
      <c r="C82" s="1061">
        <f t="shared" ref="C82:D82" si="48">C20</f>
        <v>941</v>
      </c>
      <c r="D82" s="1049">
        <f t="shared" si="48"/>
        <v>1</v>
      </c>
      <c r="E82" s="1050">
        <f t="shared" si="36"/>
        <v>941</v>
      </c>
      <c r="F82" s="1097">
        <v>3.006909179967E-3</v>
      </c>
      <c r="G82" s="1098">
        <f t="shared" si="37"/>
        <v>0</v>
      </c>
      <c r="H82" s="1116">
        <f>L41</f>
        <v>27.9</v>
      </c>
      <c r="I82" s="1099">
        <f t="shared" si="38"/>
        <v>0</v>
      </c>
      <c r="J82" s="1058"/>
      <c r="K82" s="1057"/>
      <c r="L82" s="1058"/>
      <c r="M82" s="1057"/>
      <c r="O82" s="1023"/>
      <c r="P82" s="1023"/>
      <c r="Q82" s="1023"/>
      <c r="R82" s="1023"/>
      <c r="S82" s="1023"/>
      <c r="T82" s="1023"/>
      <c r="U82" s="1023"/>
      <c r="V82" s="1023"/>
      <c r="W82" s="1023"/>
      <c r="X82" s="1023"/>
      <c r="Y82" s="1023"/>
      <c r="Z82" s="1023"/>
    </row>
    <row r="83" spans="1:26" ht="12.75" x14ac:dyDescent="0.2">
      <c r="A83" s="1023"/>
      <c r="B83" s="1115" t="s">
        <v>317</v>
      </c>
      <c r="C83" s="1061">
        <f t="shared" ref="C83:D83" si="49">C21</f>
        <v>2787</v>
      </c>
      <c r="D83" s="1049">
        <f t="shared" si="49"/>
        <v>0</v>
      </c>
      <c r="E83" s="1050">
        <f t="shared" si="36"/>
        <v>0</v>
      </c>
      <c r="F83" s="1097">
        <v>3.006909179967E-3</v>
      </c>
      <c r="G83" s="1098">
        <f t="shared" si="37"/>
        <v>8.3802558845680295</v>
      </c>
      <c r="H83" s="1116">
        <f>L41</f>
        <v>27.9</v>
      </c>
      <c r="I83" s="1099">
        <f t="shared" si="38"/>
        <v>2.3380913917944802E-4</v>
      </c>
      <c r="J83" s="1058"/>
      <c r="K83" s="1057"/>
      <c r="L83" s="1058"/>
      <c r="M83" s="1057"/>
      <c r="O83" s="1023"/>
      <c r="P83" s="1023"/>
      <c r="Q83" s="1023"/>
      <c r="R83" s="1023"/>
      <c r="S83" s="1023"/>
      <c r="T83" s="1023"/>
      <c r="U83" s="1023"/>
      <c r="V83" s="1023"/>
      <c r="W83" s="1023"/>
      <c r="X83" s="1023"/>
      <c r="Y83" s="1023"/>
      <c r="Z83" s="1023"/>
    </row>
    <row r="84" spans="1:26" ht="12.75" x14ac:dyDescent="0.2">
      <c r="A84" s="1023"/>
      <c r="B84" s="1117" t="s">
        <v>576</v>
      </c>
      <c r="C84" s="1067">
        <f t="shared" ref="C84:D84" si="50">C22</f>
        <v>0</v>
      </c>
      <c r="D84" s="1049">
        <f t="shared" si="50"/>
        <v>0</v>
      </c>
      <c r="E84" s="1050">
        <f t="shared" si="36"/>
        <v>0</v>
      </c>
      <c r="F84" s="1097">
        <v>3.006909179967E-3</v>
      </c>
      <c r="G84" s="1098">
        <f t="shared" si="37"/>
        <v>0</v>
      </c>
      <c r="H84" s="1116">
        <f>L41</f>
        <v>27.9</v>
      </c>
      <c r="I84" s="1099">
        <f t="shared" si="38"/>
        <v>0</v>
      </c>
      <c r="J84" s="1058"/>
      <c r="K84" s="1057"/>
      <c r="L84" s="1058"/>
      <c r="M84" s="1057"/>
      <c r="O84" s="1023"/>
      <c r="P84" s="1023"/>
      <c r="Q84" s="1023"/>
      <c r="R84" s="1023"/>
      <c r="S84" s="1023"/>
      <c r="T84" s="1023"/>
      <c r="U84" s="1023"/>
      <c r="V84" s="1023"/>
      <c r="W84" s="1023"/>
      <c r="X84" s="1023"/>
      <c r="Y84" s="1023"/>
      <c r="Z84" s="1023"/>
    </row>
    <row r="85" spans="1:26" ht="12.75" x14ac:dyDescent="0.2">
      <c r="A85" s="1023"/>
      <c r="B85" s="1115" t="s">
        <v>578</v>
      </c>
      <c r="C85" s="1061">
        <f t="shared" ref="C85:D85" si="51">C23</f>
        <v>467</v>
      </c>
      <c r="D85" s="1049">
        <f t="shared" si="51"/>
        <v>1</v>
      </c>
      <c r="E85" s="1050">
        <f t="shared" si="36"/>
        <v>467</v>
      </c>
      <c r="F85" s="1097">
        <v>3.006909179967E-3</v>
      </c>
      <c r="G85" s="1098">
        <f t="shared" si="37"/>
        <v>0</v>
      </c>
      <c r="H85" s="1116">
        <f>L41</f>
        <v>27.9</v>
      </c>
      <c r="I85" s="1099">
        <f t="shared" si="38"/>
        <v>0</v>
      </c>
      <c r="J85" s="1058"/>
      <c r="K85" s="1057"/>
      <c r="L85" s="1058"/>
      <c r="M85" s="1057"/>
      <c r="O85" s="1023"/>
      <c r="P85" s="1023"/>
      <c r="Q85" s="1023"/>
      <c r="R85" s="1023"/>
      <c r="S85" s="1023"/>
      <c r="T85" s="1023"/>
      <c r="U85" s="1023"/>
      <c r="V85" s="1023"/>
      <c r="W85" s="1023"/>
      <c r="X85" s="1023"/>
      <c r="Y85" s="1023"/>
      <c r="Z85" s="1023"/>
    </row>
    <row r="86" spans="1:26" ht="12.75" x14ac:dyDescent="0.2">
      <c r="A86" s="1023"/>
      <c r="B86" s="1115" t="s">
        <v>581</v>
      </c>
      <c r="C86" s="1067">
        <f t="shared" ref="C86:D86" si="52">C24</f>
        <v>0</v>
      </c>
      <c r="D86" s="1049">
        <f t="shared" si="52"/>
        <v>0</v>
      </c>
      <c r="E86" s="1050">
        <f t="shared" si="36"/>
        <v>0</v>
      </c>
      <c r="F86" s="1097">
        <v>3.006909179967E-3</v>
      </c>
      <c r="G86" s="1098">
        <f t="shared" si="37"/>
        <v>0</v>
      </c>
      <c r="H86" s="1116">
        <f>L41</f>
        <v>27.9</v>
      </c>
      <c r="I86" s="1099">
        <f t="shared" si="38"/>
        <v>0</v>
      </c>
      <c r="J86" s="1058"/>
      <c r="K86" s="1057"/>
      <c r="L86" s="1058"/>
      <c r="M86" s="1057"/>
      <c r="O86" s="1023"/>
      <c r="P86" s="1023"/>
      <c r="Q86" s="1023"/>
      <c r="R86" s="1023"/>
      <c r="S86" s="1023"/>
      <c r="T86" s="1023"/>
      <c r="U86" s="1023"/>
      <c r="V86" s="1023"/>
      <c r="W86" s="1023"/>
      <c r="X86" s="1023"/>
      <c r="Y86" s="1023"/>
      <c r="Z86" s="1023"/>
    </row>
    <row r="87" spans="1:26" ht="12.75" x14ac:dyDescent="0.2">
      <c r="A87" s="1023"/>
      <c r="B87" s="1115" t="s">
        <v>582</v>
      </c>
      <c r="C87" s="1067">
        <f t="shared" ref="C87:D87" si="53">C25</f>
        <v>0</v>
      </c>
      <c r="D87" s="1049">
        <f t="shared" si="53"/>
        <v>0</v>
      </c>
      <c r="E87" s="1050">
        <f t="shared" si="36"/>
        <v>0</v>
      </c>
      <c r="F87" s="1097">
        <v>3.006909179967E-3</v>
      </c>
      <c r="G87" s="1098">
        <f t="shared" si="37"/>
        <v>0</v>
      </c>
      <c r="H87" s="1116">
        <f>L41</f>
        <v>27.9</v>
      </c>
      <c r="I87" s="1099">
        <f t="shared" si="38"/>
        <v>0</v>
      </c>
      <c r="J87" s="1058"/>
      <c r="K87" s="1057"/>
      <c r="L87" s="1058"/>
      <c r="M87" s="1057"/>
      <c r="O87" s="1023"/>
      <c r="P87" s="1023"/>
      <c r="Q87" s="1023"/>
      <c r="R87" s="1023"/>
      <c r="S87" s="1023"/>
      <c r="T87" s="1023"/>
      <c r="U87" s="1023"/>
      <c r="V87" s="1023"/>
      <c r="W87" s="1023"/>
      <c r="X87" s="1023"/>
      <c r="Y87" s="1023"/>
      <c r="Z87" s="1023"/>
    </row>
    <row r="88" spans="1:26" ht="12.75" x14ac:dyDescent="0.2">
      <c r="A88" s="1023"/>
      <c r="B88" s="1115" t="s">
        <v>238</v>
      </c>
      <c r="C88" s="1067">
        <f t="shared" ref="C88:D88" si="54">C26</f>
        <v>48</v>
      </c>
      <c r="D88" s="1049">
        <f t="shared" si="54"/>
        <v>0</v>
      </c>
      <c r="E88" s="1050">
        <f t="shared" si="36"/>
        <v>0</v>
      </c>
      <c r="F88" s="1097">
        <v>3.006909179967E-3</v>
      </c>
      <c r="G88" s="1098">
        <f t="shared" si="37"/>
        <v>0.144331640638416</v>
      </c>
      <c r="H88" s="1116">
        <f>L41</f>
        <v>27.9</v>
      </c>
      <c r="I88" s="1099">
        <f t="shared" si="38"/>
        <v>4.0268527738118066E-6</v>
      </c>
      <c r="J88" s="1058"/>
      <c r="K88" s="1057"/>
      <c r="L88" s="1058"/>
      <c r="M88" s="1057"/>
      <c r="O88" s="1023"/>
      <c r="P88" s="1023"/>
      <c r="Q88" s="1023"/>
      <c r="R88" s="1023"/>
      <c r="S88" s="1023"/>
      <c r="T88" s="1023"/>
      <c r="U88" s="1023"/>
      <c r="V88" s="1023"/>
      <c r="W88" s="1023"/>
      <c r="X88" s="1023"/>
      <c r="Y88" s="1023"/>
      <c r="Z88" s="1023"/>
    </row>
    <row r="89" spans="1:26" ht="12.75" x14ac:dyDescent="0.2">
      <c r="A89" s="1023"/>
      <c r="B89" s="1115" t="s">
        <v>583</v>
      </c>
      <c r="C89" s="1067">
        <f t="shared" ref="C89:D89" si="55">C27</f>
        <v>0</v>
      </c>
      <c r="D89" s="1049">
        <f t="shared" si="55"/>
        <v>0.10349999999999999</v>
      </c>
      <c r="E89" s="1050">
        <f t="shared" si="36"/>
        <v>0</v>
      </c>
      <c r="F89" s="1097">
        <v>3.006909179967E-3</v>
      </c>
      <c r="G89" s="1098">
        <f t="shared" si="37"/>
        <v>0</v>
      </c>
      <c r="H89" s="1116">
        <f>L41</f>
        <v>27.9</v>
      </c>
      <c r="I89" s="1099">
        <f t="shared" si="38"/>
        <v>0</v>
      </c>
      <c r="J89" s="1058"/>
      <c r="K89" s="1057"/>
      <c r="L89" s="1058"/>
      <c r="M89" s="1057"/>
      <c r="O89" s="1023"/>
      <c r="P89" s="1023"/>
      <c r="Q89" s="1023"/>
      <c r="R89" s="1023"/>
      <c r="S89" s="1023"/>
      <c r="T89" s="1023"/>
      <c r="U89" s="1023"/>
      <c r="V89" s="1023"/>
      <c r="W89" s="1023"/>
      <c r="X89" s="1023"/>
      <c r="Y89" s="1023"/>
      <c r="Z89" s="1023"/>
    </row>
    <row r="90" spans="1:26" ht="12.75" x14ac:dyDescent="0.2">
      <c r="A90" s="1023"/>
      <c r="B90" s="1115" t="s">
        <v>584</v>
      </c>
      <c r="C90" s="1061">
        <f t="shared" ref="C90:D90" si="56">C28</f>
        <v>2682</v>
      </c>
      <c r="D90" s="1049">
        <f t="shared" si="56"/>
        <v>0.92459999999999998</v>
      </c>
      <c r="E90" s="1050">
        <f t="shared" si="36"/>
        <v>2479.7772</v>
      </c>
      <c r="F90" s="1097">
        <v>3.006909179967E-3</v>
      </c>
      <c r="G90" s="1098">
        <f t="shared" si="37"/>
        <v>0.60806559371863067</v>
      </c>
      <c r="H90" s="1116">
        <f>L41</f>
        <v>27.9</v>
      </c>
      <c r="I90" s="1099">
        <f t="shared" si="38"/>
        <v>1.6965030064749794E-5</v>
      </c>
      <c r="J90" s="1058"/>
      <c r="K90" s="1057"/>
      <c r="L90" s="1058"/>
      <c r="M90" s="1057"/>
      <c r="O90" s="1023"/>
      <c r="P90" s="1023"/>
      <c r="Q90" s="1023"/>
      <c r="R90" s="1023"/>
      <c r="S90" s="1023"/>
      <c r="T90" s="1023"/>
      <c r="U90" s="1023"/>
      <c r="V90" s="1023"/>
      <c r="W90" s="1023"/>
      <c r="X90" s="1023"/>
      <c r="Y90" s="1023"/>
      <c r="Z90" s="1023"/>
    </row>
    <row r="91" spans="1:26" ht="12.75" x14ac:dyDescent="0.2">
      <c r="A91" s="1023"/>
      <c r="B91" s="1115" t="s">
        <v>585</v>
      </c>
      <c r="C91" s="1067">
        <f t="shared" ref="C91:D91" si="57">C29</f>
        <v>0</v>
      </c>
      <c r="D91" s="1049">
        <f t="shared" si="57"/>
        <v>0</v>
      </c>
      <c r="E91" s="1050">
        <f t="shared" si="36"/>
        <v>0</v>
      </c>
      <c r="F91" s="1097">
        <v>3.006909179967E-3</v>
      </c>
      <c r="G91" s="1098">
        <f t="shared" si="37"/>
        <v>0</v>
      </c>
      <c r="H91" s="1116">
        <f>L41</f>
        <v>27.9</v>
      </c>
      <c r="I91" s="1099">
        <f t="shared" si="38"/>
        <v>0</v>
      </c>
      <c r="J91" s="1058"/>
      <c r="K91" s="1057"/>
      <c r="L91" s="1058"/>
      <c r="M91" s="1057"/>
      <c r="O91" s="1023"/>
      <c r="P91" s="1023"/>
      <c r="Q91" s="1023"/>
      <c r="R91" s="1023"/>
      <c r="S91" s="1023"/>
      <c r="T91" s="1023"/>
      <c r="U91" s="1023"/>
      <c r="V91" s="1023"/>
      <c r="W91" s="1023"/>
      <c r="X91" s="1023"/>
      <c r="Y91" s="1023"/>
      <c r="Z91" s="1023"/>
    </row>
    <row r="92" spans="1:26" ht="12.75" x14ac:dyDescent="0.2">
      <c r="A92" s="1023"/>
      <c r="B92" s="1115" t="s">
        <v>586</v>
      </c>
      <c r="C92" s="1061">
        <f t="shared" ref="C92:D92" si="58">C30</f>
        <v>79</v>
      </c>
      <c r="D92" s="1049">
        <f t="shared" si="58"/>
        <v>1</v>
      </c>
      <c r="E92" s="1050">
        <f t="shared" si="36"/>
        <v>79</v>
      </c>
      <c r="F92" s="1097">
        <v>3.006909179967E-3</v>
      </c>
      <c r="G92" s="1098">
        <f t="shared" si="37"/>
        <v>0</v>
      </c>
      <c r="H92" s="1116">
        <f>L41</f>
        <v>27.9</v>
      </c>
      <c r="I92" s="1099">
        <f t="shared" si="38"/>
        <v>0</v>
      </c>
      <c r="J92" s="1058"/>
      <c r="K92" s="1057"/>
      <c r="L92" s="1058"/>
      <c r="M92" s="1057"/>
      <c r="O92" s="1023"/>
      <c r="P92" s="1023"/>
      <c r="Q92" s="1023"/>
      <c r="R92" s="1023"/>
      <c r="S92" s="1023"/>
      <c r="T92" s="1023"/>
      <c r="U92" s="1023"/>
      <c r="V92" s="1023"/>
      <c r="W92" s="1023"/>
      <c r="X92" s="1023"/>
      <c r="Y92" s="1023"/>
      <c r="Z92" s="1023"/>
    </row>
    <row r="93" spans="1:26" ht="12.75" x14ac:dyDescent="0.2">
      <c r="A93" s="1023"/>
      <c r="B93" s="1115" t="s">
        <v>29</v>
      </c>
      <c r="C93" s="1061">
        <f t="shared" ref="C93:D93" si="59">C31</f>
        <v>15688</v>
      </c>
      <c r="D93" s="1049">
        <f t="shared" si="59"/>
        <v>6.3100000000000003E-2</v>
      </c>
      <c r="E93" s="1050">
        <f t="shared" si="36"/>
        <v>989.91280000000006</v>
      </c>
      <c r="F93" s="1097">
        <v>9.4955026735800007E-4</v>
      </c>
      <c r="G93" s="1098">
        <f t="shared" si="37"/>
        <v>13.956572630411198</v>
      </c>
      <c r="H93" s="1116">
        <f>L41</f>
        <v>27.9</v>
      </c>
      <c r="I93" s="1099">
        <f t="shared" si="38"/>
        <v>3.8938837638847242E-4</v>
      </c>
      <c r="J93" s="1058"/>
      <c r="K93" s="1057"/>
      <c r="L93" s="1058"/>
      <c r="M93" s="1057"/>
      <c r="O93" s="1023"/>
      <c r="P93" s="1023"/>
      <c r="Q93" s="1023"/>
      <c r="R93" s="1023"/>
      <c r="S93" s="1023"/>
      <c r="T93" s="1023"/>
      <c r="U93" s="1023"/>
      <c r="V93" s="1023"/>
      <c r="W93" s="1023"/>
      <c r="X93" s="1023"/>
      <c r="Y93" s="1023"/>
      <c r="Z93" s="1023"/>
    </row>
    <row r="94" spans="1:26" ht="12.75" x14ac:dyDescent="0.2">
      <c r="A94" s="1023"/>
      <c r="B94" s="1118" t="s">
        <v>95</v>
      </c>
      <c r="C94" s="1073">
        <f t="shared" ref="C94:D94" si="60">C32</f>
        <v>473</v>
      </c>
      <c r="D94" s="1101">
        <f t="shared" si="60"/>
        <v>0</v>
      </c>
      <c r="E94" s="1102">
        <f t="shared" si="36"/>
        <v>0</v>
      </c>
      <c r="F94" s="1103">
        <v>2.8486508020740004E-2</v>
      </c>
      <c r="G94" s="1104">
        <f>C94*F94</f>
        <v>13.474118293810022</v>
      </c>
      <c r="H94" s="1119">
        <f>L41</f>
        <v>27.9</v>
      </c>
      <c r="I94" s="1105">
        <f t="shared" si="38"/>
        <v>3.759279003972996E-4</v>
      </c>
      <c r="J94" s="1058"/>
      <c r="K94" s="1057"/>
      <c r="L94" s="1058"/>
      <c r="M94" s="1057"/>
      <c r="O94" s="1023"/>
      <c r="P94" s="1023"/>
      <c r="Q94" s="1023"/>
      <c r="R94" s="1023"/>
      <c r="S94" s="1023"/>
      <c r="T94" s="1023"/>
      <c r="U94" s="1023"/>
      <c r="V94" s="1023"/>
      <c r="W94" s="1023"/>
      <c r="X94" s="1023"/>
      <c r="Y94" s="1023"/>
      <c r="Z94" s="1023"/>
    </row>
    <row r="95" spans="1:26" ht="12.75" x14ac:dyDescent="0.2">
      <c r="A95" s="1023"/>
      <c r="B95" s="1120"/>
      <c r="C95" s="1107"/>
      <c r="D95" s="1030"/>
      <c r="E95" s="1030"/>
      <c r="F95" s="1030"/>
      <c r="G95" s="1030"/>
      <c r="H95" s="1108" t="s">
        <v>102</v>
      </c>
      <c r="I95" s="1121">
        <f>SUM(I72:I94)</f>
        <v>3.878226927590087E-3</v>
      </c>
      <c r="J95" s="1110"/>
      <c r="K95" s="1111"/>
      <c r="L95" s="1110"/>
      <c r="M95" s="1111"/>
      <c r="O95" s="1023"/>
      <c r="P95" s="1023"/>
      <c r="Q95" s="1023"/>
      <c r="R95" s="1023"/>
      <c r="S95" s="1023"/>
      <c r="T95" s="1023"/>
      <c r="U95" s="1023"/>
      <c r="V95" s="1023"/>
      <c r="W95" s="1023"/>
      <c r="X95" s="1023"/>
      <c r="Y95" s="1023"/>
      <c r="Z95" s="1023"/>
    </row>
    <row r="96" spans="1:26" ht="12.75" x14ac:dyDescent="0.2">
      <c r="A96" s="1023"/>
      <c r="B96" s="1023"/>
      <c r="C96" s="1023"/>
      <c r="D96" s="1023"/>
      <c r="E96" s="1023"/>
      <c r="F96" s="1023"/>
      <c r="G96" s="1023"/>
      <c r="H96" s="1023"/>
      <c r="I96" s="1023"/>
      <c r="J96" s="1023"/>
      <c r="K96" s="1023"/>
      <c r="L96" s="1023"/>
      <c r="M96" s="1023"/>
      <c r="N96" s="1023"/>
      <c r="O96" s="1023"/>
      <c r="P96" s="1023"/>
      <c r="Q96" s="1023"/>
      <c r="R96" s="1023"/>
      <c r="S96" s="1023"/>
      <c r="T96" s="1023"/>
      <c r="U96" s="1023"/>
      <c r="V96" s="1023"/>
      <c r="W96" s="1023"/>
      <c r="X96" s="1023"/>
      <c r="Y96" s="1023"/>
      <c r="Z96" s="1023"/>
    </row>
    <row r="97" spans="1:26" ht="12.75" x14ac:dyDescent="0.2">
      <c r="A97" s="1023"/>
      <c r="B97" s="1023"/>
      <c r="C97" s="1023"/>
      <c r="D97" s="1023"/>
      <c r="E97" s="1023"/>
      <c r="F97" s="1023"/>
      <c r="G97" s="1023"/>
      <c r="H97" s="1023"/>
      <c r="I97" s="1023"/>
      <c r="J97" s="1023"/>
      <c r="K97" s="1023"/>
      <c r="L97" s="1023"/>
      <c r="M97" s="1023"/>
      <c r="N97" s="1023"/>
      <c r="O97" s="1023"/>
      <c r="P97" s="1023"/>
      <c r="Q97" s="1023"/>
      <c r="R97" s="1023"/>
      <c r="S97" s="1023"/>
      <c r="T97" s="1023"/>
      <c r="U97" s="1023"/>
      <c r="V97" s="1023"/>
      <c r="W97" s="1023"/>
      <c r="X97" s="1023"/>
      <c r="Y97" s="1023"/>
      <c r="Z97" s="1023"/>
    </row>
    <row r="98" spans="1:26" ht="12.75" x14ac:dyDescent="0.2">
      <c r="A98" s="1023"/>
      <c r="B98" s="1162" t="s">
        <v>595</v>
      </c>
      <c r="C98" s="1122"/>
      <c r="D98" s="1122"/>
      <c r="E98" s="1122"/>
      <c r="F98" s="1122"/>
      <c r="J98" s="1023"/>
      <c r="K98" s="1023"/>
      <c r="L98" s="1023"/>
      <c r="M98" s="1023"/>
      <c r="N98" s="1023"/>
      <c r="O98" s="1023"/>
      <c r="P98" s="1023"/>
      <c r="Q98" s="1023"/>
      <c r="R98" s="1023"/>
      <c r="S98" s="1023"/>
      <c r="T98" s="1023"/>
      <c r="U98" s="1023"/>
      <c r="V98" s="1023"/>
      <c r="W98" s="1023"/>
      <c r="X98" s="1023"/>
      <c r="Y98" s="1023"/>
      <c r="Z98" s="1023"/>
    </row>
    <row r="99" spans="1:26" ht="12.75" x14ac:dyDescent="0.2">
      <c r="A99" s="1023"/>
      <c r="C99" s="1045"/>
      <c r="D99" s="1123"/>
      <c r="E99" s="1045"/>
      <c r="F99" s="1045"/>
      <c r="G99" s="1045"/>
      <c r="H99" s="1045"/>
      <c r="I99" s="1045"/>
      <c r="J99" s="1023"/>
      <c r="K99" s="1023"/>
      <c r="L99" s="1023"/>
      <c r="M99" s="1023"/>
      <c r="N99" s="1023"/>
      <c r="O99" s="1023"/>
      <c r="P99" s="1023"/>
      <c r="Q99" s="1023"/>
      <c r="R99" s="1023"/>
      <c r="S99" s="1023"/>
      <c r="T99" s="1023"/>
      <c r="U99" s="1023"/>
      <c r="V99" s="1023"/>
      <c r="W99" s="1023"/>
      <c r="X99" s="1023"/>
      <c r="Y99" s="1023"/>
      <c r="Z99" s="1023"/>
    </row>
    <row r="100" spans="1:26" ht="12.75" x14ac:dyDescent="0.2">
      <c r="A100" s="1023"/>
      <c r="B100" s="1124"/>
      <c r="C100" s="1125" t="s">
        <v>10</v>
      </c>
      <c r="D100" s="1125" t="s">
        <v>13</v>
      </c>
      <c r="E100" s="1125" t="s">
        <v>14</v>
      </c>
      <c r="F100" s="1126" t="s">
        <v>102</v>
      </c>
      <c r="G100" s="1023"/>
      <c r="H100" s="1023"/>
      <c r="I100" s="1023"/>
      <c r="J100" s="1023"/>
      <c r="K100" s="1023"/>
      <c r="L100" s="1023"/>
      <c r="M100" s="1023"/>
      <c r="N100" s="1023"/>
      <c r="O100" s="1023"/>
      <c r="P100" s="1023"/>
      <c r="Q100" s="1023"/>
      <c r="R100" s="1023"/>
      <c r="S100" s="1023"/>
      <c r="T100" s="1023"/>
      <c r="U100" s="1023"/>
      <c r="V100" s="1023"/>
      <c r="W100" s="1023"/>
    </row>
    <row r="101" spans="1:26" ht="12.75" x14ac:dyDescent="0.2">
      <c r="A101" s="1023"/>
      <c r="B101" s="1127" t="s">
        <v>49</v>
      </c>
      <c r="C101" s="1128" t="s">
        <v>65</v>
      </c>
      <c r="D101" s="1128" t="s">
        <v>65</v>
      </c>
      <c r="E101" s="1128" t="s">
        <v>65</v>
      </c>
      <c r="F101" s="1129" t="s">
        <v>65</v>
      </c>
      <c r="G101" s="1023"/>
      <c r="H101" s="1023"/>
      <c r="I101" s="1023"/>
      <c r="J101" s="1023"/>
      <c r="K101" s="1023"/>
      <c r="L101" s="1023"/>
      <c r="M101" s="1023"/>
      <c r="N101" s="1023"/>
      <c r="O101" s="1023"/>
      <c r="P101" s="1023"/>
      <c r="Q101" s="1023"/>
      <c r="R101" s="1023"/>
      <c r="S101" s="1023"/>
      <c r="T101" s="1023"/>
      <c r="U101" s="1023"/>
      <c r="V101" s="1023"/>
      <c r="W101" s="1023"/>
    </row>
    <row r="102" spans="1:26" ht="12.75" x14ac:dyDescent="0.2">
      <c r="A102" s="1023" t="s">
        <v>72</v>
      </c>
      <c r="B102" s="1047" t="s">
        <v>566</v>
      </c>
      <c r="C102" s="1130">
        <f t="shared" ref="C102:C124" si="61">K10</f>
        <v>0</v>
      </c>
      <c r="D102" s="1130">
        <f t="shared" ref="D102:D124" si="62">I72</f>
        <v>0</v>
      </c>
      <c r="E102" s="1131">
        <f t="shared" ref="E102:E124" si="63">I41</f>
        <v>0</v>
      </c>
      <c r="F102" s="1132">
        <f t="shared" ref="F102:F124" si="64">SUM(C102:E102)</f>
        <v>0</v>
      </c>
      <c r="G102" s="1133"/>
      <c r="H102" s="1133"/>
      <c r="I102" s="1023"/>
      <c r="J102" s="1023"/>
      <c r="K102" s="1023"/>
      <c r="L102" s="1023"/>
      <c r="M102" s="1023"/>
      <c r="N102" s="1023"/>
      <c r="O102" s="1023"/>
      <c r="P102" s="1023"/>
      <c r="Q102" s="1023"/>
      <c r="R102" s="1023"/>
      <c r="S102" s="1023"/>
      <c r="T102" s="1023"/>
      <c r="U102" s="1023"/>
      <c r="V102" s="1023"/>
      <c r="W102" s="1023"/>
    </row>
    <row r="103" spans="1:26" ht="12.75" x14ac:dyDescent="0.2">
      <c r="A103" s="1023" t="s">
        <v>72</v>
      </c>
      <c r="B103" s="1060" t="s">
        <v>567</v>
      </c>
      <c r="C103" s="1134">
        <f t="shared" si="61"/>
        <v>0.8205408638187115</v>
      </c>
      <c r="D103" s="1134">
        <f t="shared" si="62"/>
        <v>2.347441911720803E-3</v>
      </c>
      <c r="E103" s="1135">
        <f t="shared" si="63"/>
        <v>3.4454389349450501E-3</v>
      </c>
      <c r="F103" s="1136">
        <f t="shared" si="64"/>
        <v>0.82633374466537735</v>
      </c>
      <c r="G103" s="1133"/>
      <c r="H103" s="1133"/>
      <c r="I103" s="1023"/>
      <c r="J103" s="1023"/>
      <c r="K103" s="1023"/>
      <c r="L103" s="1023"/>
      <c r="M103" s="1023"/>
      <c r="N103" s="1023"/>
      <c r="O103" s="1023"/>
      <c r="P103" s="1023"/>
      <c r="Q103" s="1023"/>
      <c r="R103" s="1023"/>
      <c r="S103" s="1023"/>
      <c r="T103" s="1023"/>
      <c r="U103" s="1023"/>
      <c r="V103" s="1023"/>
      <c r="W103" s="1023"/>
    </row>
    <row r="104" spans="1:26" ht="12.75" x14ac:dyDescent="0.2">
      <c r="A104" s="1023" t="s">
        <v>101</v>
      </c>
      <c r="B104" s="1060" t="s">
        <v>568</v>
      </c>
      <c r="C104" s="1134">
        <f t="shared" si="61"/>
        <v>3.9698073599358638E-3</v>
      </c>
      <c r="D104" s="1134">
        <f t="shared" si="62"/>
        <v>0</v>
      </c>
      <c r="E104" s="1135">
        <f t="shared" si="63"/>
        <v>0</v>
      </c>
      <c r="F104" s="1136">
        <f t="shared" si="64"/>
        <v>3.9698073599358638E-3</v>
      </c>
      <c r="G104" s="1133"/>
      <c r="H104" s="1133"/>
      <c r="I104" s="1023"/>
      <c r="J104" s="1023"/>
      <c r="K104" s="1023"/>
      <c r="L104" s="1023"/>
      <c r="M104" s="1023"/>
      <c r="N104" s="1023"/>
      <c r="O104" s="1023"/>
      <c r="P104" s="1023"/>
      <c r="Q104" s="1023"/>
      <c r="R104" s="1023"/>
      <c r="S104" s="1023"/>
      <c r="T104" s="1023"/>
      <c r="U104" s="1023"/>
      <c r="V104" s="1023"/>
      <c r="W104" s="1023"/>
    </row>
    <row r="105" spans="1:26" ht="12.75" x14ac:dyDescent="0.2">
      <c r="A105" s="1023" t="s">
        <v>101</v>
      </c>
      <c r="B105" s="1066" t="s">
        <v>569</v>
      </c>
      <c r="C105" s="1134">
        <f t="shared" si="61"/>
        <v>0</v>
      </c>
      <c r="D105" s="1134">
        <f t="shared" si="62"/>
        <v>0</v>
      </c>
      <c r="E105" s="1135">
        <f t="shared" si="63"/>
        <v>0</v>
      </c>
      <c r="F105" s="1136">
        <f t="shared" si="64"/>
        <v>0</v>
      </c>
      <c r="G105" s="1133"/>
      <c r="H105" s="1133"/>
      <c r="I105" s="1023"/>
      <c r="J105" s="1023"/>
      <c r="K105" s="1023"/>
      <c r="L105" s="1023"/>
      <c r="M105" s="1023"/>
      <c r="N105" s="1023"/>
      <c r="O105" s="1023"/>
      <c r="P105" s="1023"/>
      <c r="Q105" s="1023"/>
      <c r="R105" s="1023"/>
      <c r="S105" s="1023"/>
      <c r="T105" s="1023"/>
      <c r="U105" s="1023"/>
      <c r="V105" s="1023"/>
      <c r="W105" s="1023"/>
    </row>
    <row r="106" spans="1:26" ht="12.75" x14ac:dyDescent="0.2">
      <c r="A106" s="1023" t="s">
        <v>101</v>
      </c>
      <c r="B106" s="1066" t="s">
        <v>571</v>
      </c>
      <c r="C106" s="1134">
        <f t="shared" si="61"/>
        <v>0</v>
      </c>
      <c r="D106" s="1134">
        <f t="shared" si="62"/>
        <v>0</v>
      </c>
      <c r="E106" s="1135">
        <f t="shared" si="63"/>
        <v>0</v>
      </c>
      <c r="F106" s="1136">
        <f t="shared" si="64"/>
        <v>0</v>
      </c>
      <c r="G106" s="1133"/>
      <c r="H106" s="1133"/>
      <c r="I106" s="1023"/>
      <c r="J106" s="1023"/>
      <c r="K106" s="1023"/>
      <c r="L106" s="1023"/>
      <c r="M106" s="1023"/>
      <c r="N106" s="1023"/>
      <c r="O106" s="1023"/>
      <c r="P106" s="1023"/>
      <c r="Q106" s="1023"/>
      <c r="R106" s="1023"/>
      <c r="S106" s="1023"/>
      <c r="T106" s="1023"/>
      <c r="U106" s="1023"/>
      <c r="V106" s="1023"/>
      <c r="W106" s="1023"/>
    </row>
    <row r="107" spans="1:26" ht="12.75" x14ac:dyDescent="0.2">
      <c r="A107" s="1023" t="s">
        <v>101</v>
      </c>
      <c r="B107" s="1060" t="s">
        <v>78</v>
      </c>
      <c r="C107" s="1134">
        <f t="shared" si="61"/>
        <v>0.432955886593473</v>
      </c>
      <c r="D107" s="1134">
        <f t="shared" si="62"/>
        <v>4.8852489258997215E-4</v>
      </c>
      <c r="E107" s="1135">
        <f t="shared" si="63"/>
        <v>9.5603796184274095E-4</v>
      </c>
      <c r="F107" s="1136">
        <f t="shared" si="64"/>
        <v>0.43440044944790573</v>
      </c>
      <c r="G107" s="1133"/>
      <c r="H107" s="1133"/>
      <c r="I107" s="1023"/>
      <c r="J107" s="1023"/>
      <c r="K107" s="1023"/>
      <c r="L107" s="1023"/>
      <c r="M107" s="1023"/>
      <c r="N107" s="1023"/>
      <c r="O107" s="1023"/>
      <c r="P107" s="1023"/>
      <c r="Q107" s="1023"/>
      <c r="R107" s="1023"/>
      <c r="S107" s="1023"/>
      <c r="T107" s="1023"/>
      <c r="U107" s="1023"/>
      <c r="V107" s="1023"/>
      <c r="W107" s="1023"/>
    </row>
    <row r="108" spans="1:26" ht="12.75" x14ac:dyDescent="0.2">
      <c r="A108" s="1023" t="s">
        <v>101</v>
      </c>
      <c r="B108" s="1066" t="s">
        <v>572</v>
      </c>
      <c r="C108" s="1134">
        <f t="shared" si="61"/>
        <v>0</v>
      </c>
      <c r="D108" s="1134">
        <f t="shared" si="62"/>
        <v>0</v>
      </c>
      <c r="E108" s="1135">
        <f t="shared" si="63"/>
        <v>0</v>
      </c>
      <c r="F108" s="1136">
        <f t="shared" si="64"/>
        <v>0</v>
      </c>
      <c r="G108" s="1133"/>
      <c r="H108" s="1133"/>
      <c r="I108" s="1023"/>
      <c r="J108" s="1023"/>
      <c r="K108" s="1023"/>
      <c r="L108" s="1023"/>
      <c r="M108" s="1023"/>
      <c r="N108" s="1023"/>
      <c r="O108" s="1023"/>
      <c r="P108" s="1023"/>
      <c r="Q108" s="1023"/>
      <c r="R108" s="1023"/>
      <c r="S108" s="1023"/>
      <c r="T108" s="1023"/>
      <c r="U108" s="1023"/>
      <c r="V108" s="1023"/>
      <c r="W108" s="1023"/>
    </row>
    <row r="109" spans="1:26" ht="25.5" x14ac:dyDescent="0.2">
      <c r="A109" s="1023" t="s">
        <v>101</v>
      </c>
      <c r="B109" s="1066" t="s">
        <v>573</v>
      </c>
      <c r="C109" s="1134">
        <f t="shared" si="61"/>
        <v>0</v>
      </c>
      <c r="D109" s="1134">
        <f t="shared" si="62"/>
        <v>0</v>
      </c>
      <c r="E109" s="1135">
        <f t="shared" si="63"/>
        <v>0</v>
      </c>
      <c r="F109" s="1136">
        <f t="shared" si="64"/>
        <v>0</v>
      </c>
      <c r="G109" s="1133"/>
      <c r="H109" s="1133"/>
      <c r="I109" s="1023"/>
      <c r="J109" s="1023"/>
      <c r="K109" s="1023"/>
      <c r="L109" s="1023"/>
      <c r="M109" s="1023"/>
      <c r="N109" s="1023"/>
      <c r="O109" s="1023"/>
      <c r="P109" s="1023"/>
      <c r="Q109" s="1023"/>
      <c r="R109" s="1023"/>
      <c r="S109" s="1023"/>
      <c r="T109" s="1023"/>
      <c r="U109" s="1023"/>
      <c r="V109" s="1023"/>
      <c r="W109" s="1023"/>
    </row>
    <row r="110" spans="1:26" ht="12.75" x14ac:dyDescent="0.2">
      <c r="A110" s="1023" t="s">
        <v>101</v>
      </c>
      <c r="B110" s="1060" t="s">
        <v>86</v>
      </c>
      <c r="C110" s="1134">
        <f t="shared" si="61"/>
        <v>1.4640328733470001E-3</v>
      </c>
      <c r="D110" s="1134">
        <f t="shared" si="62"/>
        <v>1.6778553224215861E-6</v>
      </c>
      <c r="E110" s="1135">
        <f t="shared" si="63"/>
        <v>3.2835448245239631E-6</v>
      </c>
      <c r="F110" s="1136">
        <f t="shared" si="64"/>
        <v>1.4689942734939457E-3</v>
      </c>
      <c r="G110" s="1133"/>
      <c r="H110" s="1133"/>
      <c r="I110" s="1023"/>
      <c r="J110" s="1023"/>
      <c r="K110" s="1023"/>
      <c r="L110" s="1023"/>
      <c r="M110" s="1023"/>
      <c r="N110" s="1023"/>
      <c r="O110" s="1023"/>
      <c r="P110" s="1023"/>
      <c r="Q110" s="1023"/>
      <c r="R110" s="1023"/>
      <c r="S110" s="1023"/>
      <c r="T110" s="1023"/>
      <c r="U110" s="1023"/>
      <c r="V110" s="1023"/>
      <c r="W110" s="1023"/>
    </row>
    <row r="111" spans="1:26" ht="12.75" x14ac:dyDescent="0.2">
      <c r="A111" s="1023" t="s">
        <v>137</v>
      </c>
      <c r="B111" s="1060" t="s">
        <v>88</v>
      </c>
      <c r="C111" s="1134">
        <f t="shared" si="61"/>
        <v>4.5797348690493352E-2</v>
      </c>
      <c r="D111" s="1134">
        <f t="shared" si="62"/>
        <v>2.0464969153108324E-5</v>
      </c>
      <c r="E111" s="1135">
        <f t="shared" si="63"/>
        <v>4.0049724579201234E-5</v>
      </c>
      <c r="F111" s="1136">
        <f t="shared" si="64"/>
        <v>4.5857863384225664E-2</v>
      </c>
      <c r="G111" s="1133"/>
      <c r="H111" s="1133"/>
      <c r="I111" s="1023"/>
      <c r="J111" s="1023"/>
      <c r="K111" s="1023"/>
      <c r="L111" s="1023"/>
      <c r="M111" s="1023"/>
      <c r="N111" s="1023"/>
      <c r="O111" s="1023"/>
      <c r="P111" s="1023"/>
      <c r="Q111" s="1023"/>
      <c r="R111" s="1023"/>
      <c r="S111" s="1023"/>
      <c r="T111" s="1023"/>
      <c r="U111" s="1023"/>
      <c r="V111" s="1023"/>
      <c r="W111" s="1023"/>
    </row>
    <row r="112" spans="1:26" ht="12.75" x14ac:dyDescent="0.2">
      <c r="A112" s="1023" t="s">
        <v>101</v>
      </c>
      <c r="B112" s="1060" t="s">
        <v>574</v>
      </c>
      <c r="C112" s="1134">
        <f t="shared" si="61"/>
        <v>6.329649204006968E-2</v>
      </c>
      <c r="D112" s="1134">
        <f t="shared" si="62"/>
        <v>0</v>
      </c>
      <c r="E112" s="1135">
        <f t="shared" si="63"/>
        <v>0</v>
      </c>
      <c r="F112" s="1136">
        <f t="shared" si="64"/>
        <v>6.329649204006968E-2</v>
      </c>
      <c r="G112" s="1133"/>
      <c r="H112" s="1133"/>
      <c r="I112" s="1023"/>
      <c r="J112" s="1023"/>
      <c r="K112" s="1023"/>
      <c r="L112" s="1023"/>
      <c r="M112" s="1023"/>
      <c r="N112" s="1023"/>
      <c r="O112" s="1023"/>
      <c r="P112" s="1023"/>
      <c r="Q112" s="1023"/>
      <c r="R112" s="1023"/>
      <c r="S112" s="1023"/>
      <c r="T112" s="1023"/>
      <c r="U112" s="1023"/>
      <c r="V112" s="1023"/>
      <c r="W112" s="1023"/>
    </row>
    <row r="113" spans="1:26" ht="12.75" x14ac:dyDescent="0.2">
      <c r="A113" s="1023" t="s">
        <v>101</v>
      </c>
      <c r="B113" s="1060" t="s">
        <v>317</v>
      </c>
      <c r="C113" s="1134">
        <f t="shared" si="61"/>
        <v>0.19694976903482594</v>
      </c>
      <c r="D113" s="1134">
        <f t="shared" si="62"/>
        <v>2.3380913917944802E-4</v>
      </c>
      <c r="E113" s="1135">
        <f t="shared" si="63"/>
        <v>4.5756197129741424E-4</v>
      </c>
      <c r="F113" s="1136">
        <f t="shared" si="64"/>
        <v>0.19764114014530282</v>
      </c>
      <c r="G113" s="1133"/>
      <c r="H113" s="1133"/>
      <c r="I113" s="1023"/>
      <c r="J113" s="1023"/>
      <c r="K113" s="1023"/>
      <c r="L113" s="1023"/>
      <c r="M113" s="1023"/>
      <c r="N113" s="1023"/>
      <c r="O113" s="1023"/>
      <c r="P113" s="1023"/>
      <c r="Q113" s="1023"/>
      <c r="R113" s="1023"/>
      <c r="S113" s="1023"/>
      <c r="T113" s="1023"/>
      <c r="U113" s="1023"/>
      <c r="V113" s="1023"/>
      <c r="W113" s="1023"/>
    </row>
    <row r="114" spans="1:26" ht="12.75" x14ac:dyDescent="0.2">
      <c r="A114" s="1023" t="s">
        <v>101</v>
      </c>
      <c r="B114" s="1066" t="s">
        <v>576</v>
      </c>
      <c r="C114" s="1134">
        <f t="shared" si="61"/>
        <v>0</v>
      </c>
      <c r="D114" s="1134">
        <f t="shared" si="62"/>
        <v>0</v>
      </c>
      <c r="E114" s="1135">
        <f t="shared" si="63"/>
        <v>0</v>
      </c>
      <c r="F114" s="1136">
        <f t="shared" si="64"/>
        <v>0</v>
      </c>
      <c r="G114" s="1133"/>
      <c r="H114" s="1133"/>
      <c r="I114" s="1023"/>
      <c r="J114" s="1023"/>
      <c r="K114" s="1023"/>
      <c r="L114" s="1023"/>
      <c r="M114" s="1023"/>
      <c r="N114" s="1023"/>
      <c r="O114" s="1023"/>
      <c r="P114" s="1023"/>
      <c r="Q114" s="1023"/>
      <c r="R114" s="1023"/>
      <c r="S114" s="1023"/>
      <c r="T114" s="1023"/>
      <c r="U114" s="1023"/>
      <c r="V114" s="1023"/>
      <c r="W114" s="1023"/>
    </row>
    <row r="115" spans="1:26" ht="12.75" x14ac:dyDescent="0.2">
      <c r="A115" s="1023" t="s">
        <v>101</v>
      </c>
      <c r="B115" s="1060" t="s">
        <v>578</v>
      </c>
      <c r="C115" s="1134">
        <f t="shared" si="61"/>
        <v>0</v>
      </c>
      <c r="D115" s="1134">
        <f t="shared" si="62"/>
        <v>0</v>
      </c>
      <c r="E115" s="1135">
        <f t="shared" si="63"/>
        <v>0</v>
      </c>
      <c r="F115" s="1136">
        <f t="shared" si="64"/>
        <v>0</v>
      </c>
      <c r="G115" s="1133"/>
      <c r="H115" s="1133"/>
      <c r="I115" s="1023"/>
      <c r="J115" s="1023"/>
      <c r="K115" s="1023"/>
      <c r="L115" s="1023"/>
      <c r="M115" s="1023"/>
      <c r="N115" s="1023"/>
      <c r="O115" s="1023"/>
      <c r="P115" s="1023"/>
      <c r="Q115" s="1023"/>
      <c r="R115" s="1023"/>
      <c r="S115" s="1023"/>
      <c r="T115" s="1023"/>
      <c r="U115" s="1023"/>
      <c r="V115" s="1023"/>
      <c r="W115" s="1023"/>
    </row>
    <row r="116" spans="1:26" ht="12.75" x14ac:dyDescent="0.2">
      <c r="A116" s="1023" t="s">
        <v>101</v>
      </c>
      <c r="B116" s="1060" t="s">
        <v>581</v>
      </c>
      <c r="C116" s="1134">
        <f t="shared" si="61"/>
        <v>0</v>
      </c>
      <c r="D116" s="1134">
        <f t="shared" si="62"/>
        <v>0</v>
      </c>
      <c r="E116" s="1135">
        <f t="shared" si="63"/>
        <v>0</v>
      </c>
      <c r="F116" s="1136">
        <f t="shared" si="64"/>
        <v>0</v>
      </c>
      <c r="G116" s="1133"/>
      <c r="H116" s="1133"/>
      <c r="I116" s="1023"/>
      <c r="J116" s="1023"/>
      <c r="K116" s="1023"/>
      <c r="L116" s="1023"/>
      <c r="M116" s="1023"/>
      <c r="N116" s="1023"/>
      <c r="O116" s="1023"/>
      <c r="P116" s="1023"/>
      <c r="Q116" s="1023"/>
      <c r="R116" s="1023"/>
      <c r="S116" s="1023"/>
      <c r="T116" s="1023"/>
      <c r="U116" s="1023"/>
      <c r="V116" s="1023"/>
      <c r="W116" s="1023"/>
    </row>
    <row r="117" spans="1:26" ht="12.75" x14ac:dyDescent="0.2">
      <c r="A117" s="1023" t="s">
        <v>101</v>
      </c>
      <c r="B117" s="1060" t="s">
        <v>582</v>
      </c>
      <c r="C117" s="1134">
        <f t="shared" si="61"/>
        <v>0</v>
      </c>
      <c r="D117" s="1134">
        <f t="shared" si="62"/>
        <v>0</v>
      </c>
      <c r="E117" s="1135">
        <f t="shared" si="63"/>
        <v>0</v>
      </c>
      <c r="F117" s="1136">
        <f t="shared" si="64"/>
        <v>0</v>
      </c>
      <c r="G117" s="1133"/>
      <c r="H117" s="1133"/>
      <c r="I117" s="1023"/>
      <c r="J117" s="1023"/>
      <c r="K117" s="1023"/>
      <c r="L117" s="1023"/>
      <c r="M117" s="1023"/>
      <c r="N117" s="1023"/>
      <c r="O117" s="1023"/>
      <c r="P117" s="1023"/>
      <c r="Q117" s="1023"/>
      <c r="R117" s="1023"/>
      <c r="S117" s="1023"/>
      <c r="T117" s="1023"/>
      <c r="U117" s="1023"/>
      <c r="V117" s="1023"/>
      <c r="W117" s="1023"/>
    </row>
    <row r="118" spans="1:26" ht="12.75" x14ac:dyDescent="0.2">
      <c r="A118" s="1023" t="s">
        <v>101</v>
      </c>
      <c r="B118" s="1060" t="s">
        <v>238</v>
      </c>
      <c r="C118" s="1134">
        <f t="shared" si="61"/>
        <v>3.6044769380136005E-3</v>
      </c>
      <c r="D118" s="1134">
        <f t="shared" si="62"/>
        <v>4.0268527738118066E-6</v>
      </c>
      <c r="E118" s="1135">
        <f t="shared" si="63"/>
        <v>7.8805075788575111E-6</v>
      </c>
      <c r="F118" s="1136">
        <f t="shared" si="64"/>
        <v>3.6163842983662699E-3</v>
      </c>
      <c r="G118" s="1133"/>
      <c r="H118" s="1133"/>
      <c r="I118" s="1023"/>
      <c r="J118" s="1023"/>
      <c r="K118" s="1023"/>
      <c r="L118" s="1023"/>
      <c r="M118" s="1023"/>
      <c r="N118" s="1023"/>
      <c r="O118" s="1023"/>
      <c r="P118" s="1023"/>
      <c r="Q118" s="1023"/>
      <c r="R118" s="1023"/>
      <c r="S118" s="1023"/>
      <c r="T118" s="1023"/>
      <c r="U118" s="1023"/>
      <c r="V118" s="1023"/>
      <c r="W118" s="1023"/>
    </row>
    <row r="119" spans="1:26" ht="12.75" x14ac:dyDescent="0.2">
      <c r="A119" s="1023" t="s">
        <v>101</v>
      </c>
      <c r="B119" s="1060" t="s">
        <v>583</v>
      </c>
      <c r="C119" s="1134">
        <f t="shared" si="61"/>
        <v>0</v>
      </c>
      <c r="D119" s="1134">
        <f t="shared" si="62"/>
        <v>0</v>
      </c>
      <c r="E119" s="1135">
        <f t="shared" si="63"/>
        <v>0</v>
      </c>
      <c r="F119" s="1136">
        <f t="shared" si="64"/>
        <v>0</v>
      </c>
      <c r="G119" s="1133"/>
      <c r="H119" s="1133"/>
      <c r="I119" s="1023"/>
      <c r="J119" s="1023"/>
      <c r="K119" s="1023"/>
      <c r="L119" s="1023"/>
      <c r="M119" s="1023"/>
      <c r="N119" s="1023"/>
      <c r="O119" s="1023"/>
      <c r="P119" s="1023"/>
      <c r="Q119" s="1023"/>
      <c r="R119" s="1023"/>
      <c r="S119" s="1023"/>
      <c r="T119" s="1023"/>
      <c r="U119" s="1023"/>
      <c r="V119" s="1023"/>
      <c r="W119" s="1023"/>
    </row>
    <row r="120" spans="1:26" ht="12.75" x14ac:dyDescent="0.2">
      <c r="A120" s="1023" t="s">
        <v>101</v>
      </c>
      <c r="B120" s="1060" t="s">
        <v>584</v>
      </c>
      <c r="C120" s="1134">
        <f t="shared" si="61"/>
        <v>7.3893407696407273E-2</v>
      </c>
      <c r="D120" s="1134">
        <f t="shared" si="62"/>
        <v>1.6965030064749794E-5</v>
      </c>
      <c r="E120" s="1135">
        <f t="shared" si="63"/>
        <v>3.320038141703723E-5</v>
      </c>
      <c r="F120" s="1136">
        <f t="shared" si="64"/>
        <v>7.3943573107889057E-2</v>
      </c>
      <c r="G120" s="1133"/>
      <c r="H120" s="1133"/>
      <c r="I120" s="1023"/>
      <c r="J120" s="1023"/>
      <c r="K120" s="1023"/>
      <c r="L120" s="1023"/>
      <c r="M120" s="1023"/>
      <c r="N120" s="1023"/>
      <c r="O120" s="1023"/>
      <c r="P120" s="1023"/>
      <c r="Q120" s="1023"/>
      <c r="R120" s="1023"/>
      <c r="S120" s="1023"/>
      <c r="T120" s="1023"/>
      <c r="U120" s="1023"/>
      <c r="V120" s="1023"/>
      <c r="W120" s="1023"/>
    </row>
    <row r="121" spans="1:26" ht="12.75" x14ac:dyDescent="0.2">
      <c r="A121" s="1023" t="s">
        <v>101</v>
      </c>
      <c r="B121" s="1060" t="s">
        <v>585</v>
      </c>
      <c r="C121" s="1134">
        <f t="shared" si="61"/>
        <v>0</v>
      </c>
      <c r="D121" s="1134">
        <f t="shared" si="62"/>
        <v>0</v>
      </c>
      <c r="E121" s="1135">
        <f t="shared" si="63"/>
        <v>0</v>
      </c>
      <c r="F121" s="1136">
        <f t="shared" si="64"/>
        <v>0</v>
      </c>
      <c r="G121" s="1133"/>
      <c r="H121" s="1133"/>
      <c r="I121" s="1023"/>
      <c r="J121" s="1023"/>
      <c r="K121" s="1023"/>
      <c r="L121" s="1023"/>
      <c r="M121" s="1023"/>
      <c r="N121" s="1023"/>
      <c r="O121" s="1023"/>
      <c r="P121" s="1023"/>
      <c r="Q121" s="1023"/>
      <c r="R121" s="1023"/>
      <c r="S121" s="1023"/>
      <c r="T121" s="1023"/>
      <c r="U121" s="1023"/>
      <c r="V121" s="1023"/>
      <c r="W121" s="1023"/>
    </row>
    <row r="122" spans="1:26" ht="12.75" x14ac:dyDescent="0.2">
      <c r="A122" s="1023" t="s">
        <v>101</v>
      </c>
      <c r="B122" s="1060" t="s">
        <v>586</v>
      </c>
      <c r="C122" s="1134">
        <f t="shared" si="61"/>
        <v>2.4180976049415167E-3</v>
      </c>
      <c r="D122" s="1134">
        <f t="shared" si="62"/>
        <v>0</v>
      </c>
      <c r="E122" s="1135">
        <f t="shared" si="63"/>
        <v>0</v>
      </c>
      <c r="F122" s="1136">
        <f t="shared" si="64"/>
        <v>2.4180976049415167E-3</v>
      </c>
      <c r="G122" s="1133"/>
      <c r="H122" s="1133"/>
      <c r="I122" s="1023"/>
      <c r="J122" s="1023"/>
      <c r="K122" s="1023"/>
      <c r="L122" s="1023"/>
      <c r="M122" s="1023"/>
      <c r="N122" s="1023"/>
      <c r="O122" s="1023"/>
      <c r="P122" s="1023"/>
      <c r="Q122" s="1023"/>
      <c r="R122" s="1023"/>
      <c r="S122" s="1023"/>
      <c r="T122" s="1023"/>
      <c r="U122" s="1023"/>
      <c r="V122" s="1023"/>
      <c r="W122" s="1023"/>
    </row>
    <row r="123" spans="1:26" ht="12.75" x14ac:dyDescent="0.2">
      <c r="A123" s="1023" t="s">
        <v>137</v>
      </c>
      <c r="B123" s="1060" t="s">
        <v>29</v>
      </c>
      <c r="C123" s="1134">
        <f t="shared" si="61"/>
        <v>0.7952147039781684</v>
      </c>
      <c r="D123" s="1134">
        <f t="shared" si="62"/>
        <v>3.8938837638847242E-4</v>
      </c>
      <c r="E123" s="1135">
        <f t="shared" si="63"/>
        <v>3.8101443281022575E-4</v>
      </c>
      <c r="F123" s="1136">
        <f t="shared" si="64"/>
        <v>0.79598510678736711</v>
      </c>
      <c r="G123" s="1133"/>
      <c r="H123" s="1133"/>
      <c r="I123" s="1023"/>
      <c r="J123" s="1023"/>
      <c r="K123" s="1023"/>
      <c r="L123" s="1023"/>
      <c r="M123" s="1023"/>
      <c r="N123" s="1023"/>
      <c r="O123" s="1023"/>
      <c r="P123" s="1023"/>
      <c r="Q123" s="1023"/>
      <c r="R123" s="1023"/>
      <c r="S123" s="1023"/>
      <c r="T123" s="1023"/>
      <c r="U123" s="1023"/>
      <c r="V123" s="1023"/>
      <c r="W123" s="1023"/>
    </row>
    <row r="124" spans="1:26" ht="12.75" x14ac:dyDescent="0.2">
      <c r="A124" s="1023" t="s">
        <v>95</v>
      </c>
      <c r="B124" s="1137" t="s">
        <v>95</v>
      </c>
      <c r="C124" s="1138">
        <f t="shared" si="61"/>
        <v>0</v>
      </c>
      <c r="D124" s="1138">
        <f t="shared" si="62"/>
        <v>3.759279003972996E-4</v>
      </c>
      <c r="E124" s="1139">
        <f t="shared" si="63"/>
        <v>4.904579058946847E-4</v>
      </c>
      <c r="F124" s="1140">
        <f t="shared" si="64"/>
        <v>8.6638580629198425E-4</v>
      </c>
      <c r="G124" s="1133"/>
      <c r="H124" s="1133"/>
      <c r="I124" s="1023"/>
      <c r="J124" s="1023"/>
      <c r="K124" s="1023"/>
      <c r="L124" s="1023"/>
      <c r="M124" s="1023"/>
      <c r="N124" s="1023"/>
      <c r="O124" s="1023"/>
      <c r="P124" s="1023"/>
      <c r="Q124" s="1023"/>
      <c r="R124" s="1023"/>
      <c r="S124" s="1023"/>
      <c r="T124" s="1023"/>
      <c r="U124" s="1023"/>
      <c r="V124" s="1023"/>
      <c r="W124" s="1023"/>
    </row>
    <row r="125" spans="1:26" ht="12.75" x14ac:dyDescent="0.2">
      <c r="A125" s="1023"/>
      <c r="B125" s="1081"/>
      <c r="C125" s="1141"/>
      <c r="D125" s="1142"/>
      <c r="E125" s="1143" t="s">
        <v>102</v>
      </c>
      <c r="F125" s="1144">
        <f>SUM(F101:F124)</f>
        <v>2.4497980389211671</v>
      </c>
      <c r="G125" s="1133"/>
      <c r="H125" s="1023"/>
      <c r="I125" s="1023"/>
      <c r="J125" s="1023"/>
      <c r="K125" s="1023"/>
      <c r="L125" s="1023"/>
      <c r="M125" s="1023"/>
      <c r="N125" s="1023"/>
      <c r="O125" s="1023"/>
      <c r="P125" s="1023"/>
      <c r="Q125" s="1023"/>
      <c r="R125" s="1023"/>
      <c r="S125" s="1023"/>
      <c r="T125" s="1023"/>
      <c r="U125" s="1023"/>
      <c r="V125" s="1023"/>
      <c r="W125" s="1023"/>
    </row>
    <row r="126" spans="1:26" ht="12.75" x14ac:dyDescent="0.2">
      <c r="A126" s="1023"/>
      <c r="B126" s="1023"/>
      <c r="C126" s="1023"/>
      <c r="D126" s="1023"/>
      <c r="E126" s="1023"/>
      <c r="F126" s="1023"/>
      <c r="G126" s="1023"/>
      <c r="H126" s="1023"/>
      <c r="I126" s="1023"/>
      <c r="J126" s="1023"/>
      <c r="K126" s="1023"/>
      <c r="L126" s="1023"/>
      <c r="M126" s="1023"/>
      <c r="N126" s="1023"/>
      <c r="O126" s="1023"/>
      <c r="P126" s="1023"/>
      <c r="Q126" s="1023"/>
      <c r="R126" s="1023"/>
      <c r="S126" s="1023"/>
      <c r="T126" s="1023"/>
      <c r="U126" s="1023"/>
      <c r="V126" s="1023"/>
      <c r="W126" s="1023"/>
      <c r="X126" s="1023"/>
      <c r="Y126" s="1023"/>
      <c r="Z126" s="1023"/>
    </row>
    <row r="127" spans="1:26" ht="12.75" x14ac:dyDescent="0.2">
      <c r="A127" s="1023"/>
      <c r="B127" s="1145"/>
      <c r="C127" s="1146" t="s">
        <v>10</v>
      </c>
      <c r="D127" s="1125" t="s">
        <v>13</v>
      </c>
      <c r="E127" s="1125" t="s">
        <v>14</v>
      </c>
      <c r="F127" s="1126" t="s">
        <v>102</v>
      </c>
      <c r="G127" s="1023"/>
      <c r="H127" s="1023"/>
      <c r="I127" s="1023"/>
      <c r="J127" s="1023"/>
      <c r="K127" s="1023"/>
      <c r="L127" s="1023"/>
      <c r="M127" s="1023"/>
      <c r="N127" s="1023"/>
      <c r="O127" s="1023"/>
      <c r="P127" s="1023"/>
      <c r="Q127" s="1023"/>
      <c r="R127" s="1023"/>
      <c r="S127" s="1023"/>
      <c r="T127" s="1023"/>
      <c r="U127" s="1023"/>
      <c r="V127" s="1023"/>
      <c r="W127" s="1023"/>
      <c r="X127" s="1023"/>
      <c r="Y127" s="1023"/>
      <c r="Z127" s="1023"/>
    </row>
    <row r="128" spans="1:26" ht="12.75" x14ac:dyDescent="0.2">
      <c r="A128" s="1023"/>
      <c r="B128" s="1147" t="s">
        <v>188</v>
      </c>
      <c r="C128" s="1148" t="s">
        <v>65</v>
      </c>
      <c r="D128" s="1148" t="s">
        <v>65</v>
      </c>
      <c r="E128" s="1128" t="s">
        <v>65</v>
      </c>
      <c r="F128" s="1129" t="s">
        <v>65</v>
      </c>
      <c r="G128" s="1023"/>
      <c r="H128" s="1023"/>
      <c r="I128" s="1023"/>
      <c r="J128" s="1023"/>
      <c r="K128" s="1023"/>
      <c r="L128" s="1023"/>
      <c r="M128" s="1023"/>
      <c r="N128" s="1023"/>
      <c r="O128" s="1023"/>
      <c r="P128" s="1023"/>
      <c r="Q128" s="1023"/>
      <c r="R128" s="1023"/>
      <c r="S128" s="1023"/>
      <c r="T128" s="1023"/>
      <c r="U128" s="1023"/>
      <c r="V128" s="1023"/>
      <c r="W128" s="1023"/>
      <c r="X128" s="1023"/>
      <c r="Y128" s="1023"/>
      <c r="Z128" s="1023"/>
    </row>
    <row r="129" spans="1:26" ht="12.75" x14ac:dyDescent="0.2">
      <c r="A129" s="1023"/>
      <c r="B129" s="1149" t="s">
        <v>72</v>
      </c>
      <c r="C129" s="1150">
        <f t="shared" ref="C129:E129" si="65">SUMIF($A$102:$A$124,$B129,C$102:C$124)</f>
        <v>0.8205408638187115</v>
      </c>
      <c r="D129" s="1150">
        <f t="shared" si="65"/>
        <v>2.347441911720803E-3</v>
      </c>
      <c r="E129" s="1151">
        <f t="shared" si="65"/>
        <v>3.4454389349450501E-3</v>
      </c>
      <c r="F129" s="1132">
        <f t="shared" ref="F129:F132" si="66">SUM(C129:E129)</f>
        <v>0.82633374466537735</v>
      </c>
      <c r="G129" s="1023"/>
      <c r="H129" s="1023"/>
      <c r="I129" s="1023"/>
      <c r="J129" s="1023"/>
      <c r="K129" s="1023"/>
      <c r="L129" s="1023"/>
      <c r="M129" s="1023"/>
      <c r="N129" s="1023"/>
      <c r="O129" s="1023"/>
      <c r="P129" s="1023"/>
      <c r="Q129" s="1023"/>
      <c r="R129" s="1023"/>
      <c r="S129" s="1023"/>
      <c r="T129" s="1023"/>
      <c r="U129" s="1023"/>
      <c r="V129" s="1023"/>
      <c r="W129" s="1023"/>
      <c r="X129" s="1023"/>
      <c r="Y129" s="1023"/>
      <c r="Z129" s="1023"/>
    </row>
    <row r="130" spans="1:26" ht="12.75" x14ac:dyDescent="0.2">
      <c r="A130" s="1023"/>
      <c r="B130" s="1152" t="s">
        <v>137</v>
      </c>
      <c r="C130" s="1150">
        <f t="shared" ref="C130:E130" si="67">SUMIF($A$102:$A$124,$B130,C$102:C$124)</f>
        <v>0.84101205266866175</v>
      </c>
      <c r="D130" s="1150">
        <f t="shared" si="67"/>
        <v>4.0985334554158076E-4</v>
      </c>
      <c r="E130" s="1151">
        <f t="shared" si="67"/>
        <v>4.2106415738942698E-4</v>
      </c>
      <c r="F130" s="1132">
        <f t="shared" si="66"/>
        <v>0.84184297017159271</v>
      </c>
      <c r="G130" s="1023"/>
      <c r="H130" s="1023"/>
      <c r="I130" s="1023"/>
      <c r="J130" s="1023"/>
      <c r="K130" s="1023"/>
      <c r="L130" s="1023"/>
      <c r="M130" s="1023"/>
      <c r="N130" s="1023"/>
      <c r="O130" s="1023"/>
      <c r="P130" s="1023"/>
      <c r="Q130" s="1023"/>
      <c r="R130" s="1023"/>
      <c r="S130" s="1023"/>
      <c r="T130" s="1023"/>
      <c r="U130" s="1023"/>
      <c r="V130" s="1023"/>
      <c r="W130" s="1023"/>
      <c r="X130" s="1023"/>
      <c r="Y130" s="1023"/>
      <c r="Z130" s="1023"/>
    </row>
    <row r="131" spans="1:26" ht="12.75" x14ac:dyDescent="0.2">
      <c r="A131" s="1023"/>
      <c r="B131" s="1152" t="s">
        <v>101</v>
      </c>
      <c r="C131" s="1150">
        <f t="shared" ref="C131:E131" si="68">SUMIF($A$102:$A$124,$B131,C$102:C$124)</f>
        <v>0.77855197014101385</v>
      </c>
      <c r="D131" s="1150">
        <f t="shared" si="68"/>
        <v>7.4500376993040334E-4</v>
      </c>
      <c r="E131" s="1151">
        <f t="shared" si="68"/>
        <v>1.4579643669605739E-3</v>
      </c>
      <c r="F131" s="1132">
        <f t="shared" si="66"/>
        <v>0.78075493827790476</v>
      </c>
      <c r="G131" s="1023"/>
      <c r="H131" s="1023"/>
      <c r="I131" s="1023"/>
      <c r="J131" s="1023"/>
      <c r="K131" s="1023"/>
      <c r="L131" s="1023"/>
      <c r="M131" s="1023"/>
      <c r="N131" s="1023"/>
      <c r="O131" s="1023"/>
      <c r="P131" s="1023"/>
      <c r="Q131" s="1023"/>
      <c r="R131" s="1023"/>
      <c r="S131" s="1023"/>
      <c r="T131" s="1023"/>
      <c r="U131" s="1023"/>
      <c r="V131" s="1023"/>
      <c r="W131" s="1023"/>
      <c r="X131" s="1023"/>
      <c r="Y131" s="1023"/>
      <c r="Z131" s="1023"/>
    </row>
    <row r="132" spans="1:26" ht="12.75" x14ac:dyDescent="0.2">
      <c r="A132" s="1023"/>
      <c r="B132" s="1072" t="s">
        <v>95</v>
      </c>
      <c r="C132" s="1153">
        <f t="shared" ref="C132:E132" si="69">SUMIF($A$102:$A$124,$B132,C$102:C$124)</f>
        <v>0</v>
      </c>
      <c r="D132" s="1153">
        <f t="shared" si="69"/>
        <v>3.759279003972996E-4</v>
      </c>
      <c r="E132" s="1154">
        <f t="shared" si="69"/>
        <v>4.904579058946847E-4</v>
      </c>
      <c r="F132" s="1155">
        <f t="shared" si="66"/>
        <v>8.6638580629198425E-4</v>
      </c>
      <c r="G132" s="1023"/>
      <c r="H132" s="1023"/>
      <c r="I132" s="1023"/>
      <c r="J132" s="1023"/>
      <c r="K132" s="1023"/>
      <c r="L132" s="1023"/>
      <c r="M132" s="1023"/>
      <c r="N132" s="1023"/>
      <c r="O132" s="1023"/>
      <c r="P132" s="1023"/>
      <c r="Q132" s="1023"/>
      <c r="R132" s="1023"/>
      <c r="S132" s="1023"/>
      <c r="T132" s="1023"/>
      <c r="U132" s="1023"/>
      <c r="V132" s="1023"/>
      <c r="W132" s="1023"/>
      <c r="X132" s="1023"/>
      <c r="Y132" s="1023"/>
      <c r="Z132" s="1023"/>
    </row>
    <row r="133" spans="1:26" ht="12.75" x14ac:dyDescent="0.2">
      <c r="A133" s="1023"/>
      <c r="B133" s="1156"/>
      <c r="C133" s="1157"/>
      <c r="D133" s="1157"/>
      <c r="E133" s="1158" t="s">
        <v>102</v>
      </c>
      <c r="F133" s="1159">
        <f>SUM(F129:F132)</f>
        <v>2.4497980389211667</v>
      </c>
      <c r="G133" s="1023"/>
      <c r="H133" s="1023"/>
      <c r="I133" s="1023"/>
      <c r="J133" s="1023"/>
      <c r="K133" s="1023"/>
      <c r="L133" s="1023"/>
      <c r="M133" s="1023"/>
      <c r="N133" s="1023"/>
      <c r="O133" s="1023"/>
      <c r="P133" s="1023"/>
      <c r="Q133" s="1023"/>
      <c r="R133" s="1023"/>
      <c r="S133" s="1023"/>
      <c r="T133" s="1023"/>
      <c r="U133" s="1023"/>
      <c r="V133" s="1023"/>
      <c r="W133" s="1023"/>
      <c r="X133" s="1023"/>
      <c r="Y133" s="1023"/>
      <c r="Z133" s="1023"/>
    </row>
    <row r="134" spans="1:26" ht="12.75" x14ac:dyDescent="0.2">
      <c r="A134" s="1023"/>
      <c r="B134" s="1023"/>
      <c r="C134" s="1023"/>
      <c r="D134" s="1023"/>
      <c r="E134" s="1023"/>
      <c r="F134" s="1023"/>
      <c r="G134" s="1023"/>
      <c r="H134" s="1023"/>
      <c r="I134" s="1023"/>
      <c r="J134" s="1023"/>
      <c r="K134" s="1023"/>
      <c r="L134" s="1023"/>
      <c r="M134" s="1023"/>
      <c r="N134" s="1023"/>
      <c r="O134" s="1023"/>
      <c r="P134" s="1023"/>
      <c r="Q134" s="1023"/>
      <c r="R134" s="1023"/>
      <c r="S134" s="1023"/>
      <c r="T134" s="1023"/>
      <c r="U134" s="1023"/>
      <c r="V134" s="1023"/>
      <c r="W134" s="1023"/>
      <c r="X134" s="1023"/>
      <c r="Y134" s="1023"/>
      <c r="Z134" s="1023"/>
    </row>
    <row r="135" spans="1:26" ht="11.25" customHeight="1" x14ac:dyDescent="0.2">
      <c r="A135" s="1023"/>
      <c r="B135" s="1023"/>
      <c r="C135" s="1023"/>
      <c r="D135" s="1023"/>
      <c r="E135" s="1023"/>
      <c r="F135" s="1023"/>
      <c r="G135" s="1023"/>
      <c r="H135" s="1023"/>
      <c r="I135" s="1023"/>
      <c r="J135" s="1023"/>
      <c r="K135" s="1023"/>
      <c r="L135" s="1023"/>
      <c r="M135" s="1023"/>
      <c r="N135" s="1023"/>
      <c r="O135" s="1023"/>
      <c r="P135" s="1023"/>
      <c r="Q135" s="1023"/>
      <c r="R135" s="1023"/>
      <c r="S135" s="1023"/>
      <c r="T135" s="1023"/>
      <c r="U135" s="1023"/>
      <c r="V135" s="1023"/>
      <c r="W135" s="1023"/>
      <c r="X135" s="1023"/>
      <c r="Y135" s="1023"/>
      <c r="Z135" s="1023"/>
    </row>
    <row r="136" spans="1:26" ht="11.25" customHeight="1" x14ac:dyDescent="0.2">
      <c r="A136" s="1023"/>
      <c r="B136" s="1023"/>
      <c r="C136" s="1023"/>
      <c r="D136" s="1023"/>
      <c r="E136" s="1023"/>
      <c r="F136" s="1023"/>
      <c r="G136" s="1023"/>
      <c r="H136" s="1023"/>
      <c r="I136" s="1023"/>
      <c r="J136" s="1023"/>
      <c r="K136" s="1023"/>
      <c r="L136" s="1023"/>
      <c r="M136" s="1023"/>
      <c r="N136" s="1023"/>
      <c r="O136" s="1023"/>
      <c r="P136" s="1023"/>
      <c r="Q136" s="1023"/>
      <c r="R136" s="1023"/>
      <c r="S136" s="1023"/>
      <c r="T136" s="1023"/>
      <c r="U136" s="1023"/>
      <c r="V136" s="1023"/>
      <c r="W136" s="1023"/>
      <c r="X136" s="1023"/>
      <c r="Y136" s="1023"/>
      <c r="Z136" s="1023"/>
    </row>
    <row r="137" spans="1:26" ht="11.25" customHeight="1" x14ac:dyDescent="0.2">
      <c r="A137" s="1023"/>
      <c r="B137" s="1023"/>
      <c r="C137" s="1023"/>
      <c r="D137" s="1023"/>
      <c r="E137" s="1023"/>
      <c r="F137" s="1023"/>
      <c r="G137" s="1023"/>
      <c r="H137" s="1023"/>
      <c r="I137" s="1023"/>
      <c r="J137" s="1023"/>
      <c r="K137" s="1023"/>
      <c r="L137" s="1023"/>
      <c r="M137" s="1023"/>
      <c r="N137" s="1023"/>
      <c r="O137" s="1023"/>
      <c r="P137" s="1023"/>
      <c r="Q137" s="1023"/>
      <c r="R137" s="1023"/>
      <c r="S137" s="1023"/>
      <c r="T137" s="1023"/>
      <c r="U137" s="1023"/>
      <c r="V137" s="1023"/>
      <c r="W137" s="1023"/>
      <c r="X137" s="1023"/>
      <c r="Y137" s="1023"/>
      <c r="Z137" s="1023"/>
    </row>
    <row r="138" spans="1:26" ht="11.25" customHeight="1" x14ac:dyDescent="0.2">
      <c r="A138" s="1023"/>
      <c r="B138" s="1023"/>
      <c r="C138" s="1023"/>
      <c r="D138" s="1023"/>
      <c r="E138" s="1023"/>
      <c r="F138" s="1023"/>
      <c r="G138" s="1023"/>
      <c r="H138" s="1023"/>
      <c r="I138" s="1023"/>
      <c r="J138" s="1023"/>
      <c r="K138" s="1023"/>
      <c r="L138" s="1023"/>
      <c r="M138" s="1023"/>
      <c r="N138" s="1023"/>
      <c r="O138" s="1023"/>
      <c r="P138" s="1023"/>
      <c r="Q138" s="1023"/>
      <c r="R138" s="1023"/>
      <c r="S138" s="1023"/>
      <c r="T138" s="1023"/>
      <c r="U138" s="1023"/>
      <c r="V138" s="1023"/>
      <c r="W138" s="1023"/>
      <c r="X138" s="1023"/>
      <c r="Y138" s="1023"/>
      <c r="Z138" s="1023"/>
    </row>
    <row r="139" spans="1:26" ht="11.25" customHeight="1" x14ac:dyDescent="0.2">
      <c r="A139" s="1023"/>
      <c r="B139" s="1023"/>
      <c r="C139" s="1023"/>
      <c r="D139" s="1023"/>
      <c r="E139" s="1023"/>
      <c r="F139" s="1023"/>
      <c r="G139" s="1023"/>
      <c r="H139" s="1023"/>
      <c r="I139" s="1023"/>
      <c r="J139" s="1023"/>
      <c r="K139" s="1023"/>
      <c r="L139" s="1023"/>
      <c r="M139" s="1023"/>
      <c r="N139" s="1023"/>
      <c r="O139" s="1023"/>
      <c r="P139" s="1023"/>
      <c r="Q139" s="1023"/>
      <c r="R139" s="1023"/>
      <c r="S139" s="1023"/>
      <c r="T139" s="1023"/>
      <c r="U139" s="1023"/>
      <c r="V139" s="1023"/>
      <c r="W139" s="1023"/>
      <c r="X139" s="1023"/>
      <c r="Y139" s="1023"/>
      <c r="Z139" s="1023"/>
    </row>
    <row r="140" spans="1:26" ht="11.25" customHeight="1" x14ac:dyDescent="0.2">
      <c r="A140" s="1023"/>
      <c r="B140" s="1023"/>
      <c r="C140" s="1023"/>
      <c r="D140" s="1023"/>
      <c r="E140" s="1023"/>
      <c r="F140" s="1023"/>
      <c r="G140" s="1023"/>
      <c r="H140" s="1023"/>
      <c r="I140" s="1023"/>
      <c r="J140" s="1023"/>
      <c r="K140" s="1023"/>
      <c r="L140" s="1023"/>
      <c r="M140" s="1023"/>
      <c r="N140" s="1023"/>
      <c r="O140" s="1023"/>
      <c r="P140" s="1023"/>
      <c r="Q140" s="1023"/>
      <c r="R140" s="1023"/>
      <c r="S140" s="1023"/>
      <c r="T140" s="1023"/>
      <c r="U140" s="1023"/>
      <c r="V140" s="1023"/>
      <c r="W140" s="1023"/>
      <c r="X140" s="1023"/>
      <c r="Y140" s="1023"/>
      <c r="Z140" s="1023"/>
    </row>
    <row r="141" spans="1:26" ht="11.25" customHeight="1" x14ac:dyDescent="0.2">
      <c r="A141" s="1023"/>
      <c r="B141" s="1023"/>
      <c r="C141" s="1023"/>
      <c r="D141" s="1023"/>
      <c r="E141" s="1023"/>
      <c r="F141" s="1023"/>
      <c r="G141" s="1023"/>
      <c r="H141" s="1023"/>
      <c r="I141" s="1023"/>
      <c r="J141" s="1023"/>
      <c r="K141" s="1023"/>
      <c r="L141" s="1023"/>
      <c r="M141" s="1023"/>
      <c r="N141" s="1023"/>
      <c r="O141" s="1023"/>
      <c r="P141" s="1023"/>
      <c r="Q141" s="1023"/>
      <c r="R141" s="1023"/>
      <c r="S141" s="1023"/>
      <c r="T141" s="1023"/>
      <c r="U141" s="1023"/>
      <c r="V141" s="1023"/>
      <c r="W141" s="1023"/>
      <c r="X141" s="1023"/>
      <c r="Y141" s="1023"/>
      <c r="Z141" s="1023"/>
    </row>
    <row r="142" spans="1:26" ht="11.25" customHeight="1" x14ac:dyDescent="0.2">
      <c r="A142" s="1023"/>
      <c r="B142" s="1023"/>
      <c r="C142" s="1023"/>
      <c r="D142" s="1023"/>
      <c r="E142" s="1023"/>
      <c r="F142" s="1023"/>
      <c r="G142" s="1023"/>
      <c r="H142" s="1023"/>
      <c r="I142" s="1023"/>
      <c r="J142" s="1023"/>
      <c r="K142" s="1023"/>
      <c r="L142" s="1023"/>
      <c r="M142" s="1023"/>
      <c r="N142" s="1023"/>
      <c r="O142" s="1023"/>
      <c r="P142" s="1023"/>
      <c r="Q142" s="1023"/>
      <c r="R142" s="1023"/>
      <c r="S142" s="1023"/>
      <c r="T142" s="1023"/>
      <c r="U142" s="1023"/>
      <c r="V142" s="1023"/>
      <c r="W142" s="1023"/>
      <c r="X142" s="1023"/>
      <c r="Y142" s="1023"/>
      <c r="Z142" s="1023"/>
    </row>
    <row r="143" spans="1:26" ht="11.25" customHeight="1" x14ac:dyDescent="0.2">
      <c r="A143" s="1023"/>
      <c r="B143" s="1023"/>
      <c r="C143" s="1023"/>
      <c r="D143" s="1023"/>
      <c r="E143" s="1023"/>
      <c r="F143" s="1023"/>
      <c r="G143" s="1023"/>
      <c r="H143" s="1023"/>
      <c r="I143" s="1023"/>
      <c r="J143" s="1023"/>
      <c r="K143" s="1023"/>
      <c r="L143" s="1023"/>
      <c r="M143" s="1023"/>
      <c r="N143" s="1023"/>
      <c r="O143" s="1023"/>
      <c r="P143" s="1023"/>
      <c r="Q143" s="1023"/>
      <c r="R143" s="1023"/>
      <c r="S143" s="1023"/>
      <c r="T143" s="1023"/>
      <c r="U143" s="1023"/>
      <c r="V143" s="1023"/>
      <c r="W143" s="1023"/>
      <c r="X143" s="1023"/>
      <c r="Y143" s="1023"/>
      <c r="Z143" s="1023"/>
    </row>
    <row r="144" spans="1:26" ht="11.25" customHeight="1" x14ac:dyDescent="0.2">
      <c r="A144" s="1023"/>
      <c r="B144" s="1023"/>
      <c r="C144" s="1023"/>
      <c r="D144" s="1023"/>
      <c r="E144" s="1023"/>
      <c r="F144" s="1023"/>
      <c r="G144" s="1023"/>
      <c r="H144" s="1023"/>
      <c r="I144" s="1023"/>
      <c r="J144" s="1023"/>
      <c r="K144" s="1023"/>
      <c r="L144" s="1023"/>
      <c r="M144" s="1023"/>
      <c r="N144" s="1023"/>
      <c r="O144" s="1023"/>
      <c r="P144" s="1023"/>
      <c r="Q144" s="1023"/>
      <c r="R144" s="1023"/>
      <c r="S144" s="1023"/>
      <c r="T144" s="1023"/>
      <c r="U144" s="1023"/>
      <c r="V144" s="1023"/>
      <c r="W144" s="1023"/>
      <c r="X144" s="1023"/>
      <c r="Y144" s="1023"/>
      <c r="Z144" s="1023"/>
    </row>
    <row r="145" spans="1:26" ht="11.25" customHeight="1" x14ac:dyDescent="0.2">
      <c r="A145" s="1023"/>
      <c r="B145" s="1023"/>
      <c r="C145" s="1023"/>
      <c r="D145" s="1023"/>
      <c r="E145" s="1023"/>
      <c r="F145" s="1023"/>
      <c r="G145" s="1023"/>
      <c r="H145" s="1023"/>
      <c r="I145" s="1023"/>
      <c r="J145" s="1023"/>
      <c r="K145" s="1023"/>
      <c r="L145" s="1023"/>
      <c r="M145" s="1023"/>
      <c r="N145" s="1023"/>
      <c r="O145" s="1023"/>
      <c r="P145" s="1023"/>
      <c r="Q145" s="1023"/>
      <c r="R145" s="1023"/>
      <c r="S145" s="1023"/>
      <c r="T145" s="1023"/>
      <c r="U145" s="1023"/>
      <c r="V145" s="1023"/>
      <c r="W145" s="1023"/>
      <c r="X145" s="1023"/>
      <c r="Y145" s="1023"/>
      <c r="Z145" s="1023"/>
    </row>
    <row r="146" spans="1:26" ht="11.25" customHeight="1" x14ac:dyDescent="0.2">
      <c r="A146" s="1023"/>
      <c r="B146" s="1023"/>
      <c r="C146" s="1023"/>
      <c r="D146" s="1023"/>
      <c r="E146" s="1023"/>
      <c r="F146" s="1023"/>
      <c r="G146" s="1023"/>
      <c r="H146" s="1023"/>
      <c r="I146" s="1023"/>
      <c r="J146" s="1023"/>
      <c r="K146" s="1023"/>
      <c r="L146" s="1023"/>
      <c r="M146" s="1023"/>
      <c r="N146" s="1023"/>
      <c r="O146" s="1023"/>
      <c r="P146" s="1023"/>
      <c r="Q146" s="1023"/>
      <c r="R146" s="1023"/>
      <c r="S146" s="1023"/>
      <c r="T146" s="1023"/>
      <c r="U146" s="1023"/>
      <c r="V146" s="1023"/>
      <c r="W146" s="1023"/>
      <c r="X146" s="1023"/>
      <c r="Y146" s="1023"/>
      <c r="Z146" s="1023"/>
    </row>
    <row r="147" spans="1:26" ht="11.25" customHeight="1" x14ac:dyDescent="0.2">
      <c r="A147" s="1023"/>
      <c r="B147" s="1023"/>
      <c r="C147" s="1023"/>
      <c r="D147" s="1023"/>
      <c r="E147" s="1023"/>
      <c r="F147" s="1023"/>
      <c r="G147" s="1023"/>
      <c r="H147" s="1023"/>
      <c r="I147" s="1023"/>
      <c r="J147" s="1023"/>
      <c r="K147" s="1023"/>
      <c r="L147" s="1023"/>
      <c r="M147" s="1023"/>
      <c r="N147" s="1023"/>
      <c r="O147" s="1023"/>
      <c r="P147" s="1023"/>
      <c r="Q147" s="1023"/>
      <c r="R147" s="1023"/>
      <c r="S147" s="1023"/>
      <c r="T147" s="1023"/>
      <c r="U147" s="1023"/>
      <c r="V147" s="1023"/>
      <c r="W147" s="1023"/>
      <c r="X147" s="1023"/>
      <c r="Y147" s="1023"/>
      <c r="Z147" s="1023"/>
    </row>
    <row r="148" spans="1:26" ht="11.25" customHeight="1" x14ac:dyDescent="0.2">
      <c r="A148" s="1023"/>
      <c r="B148" s="1023"/>
      <c r="C148" s="1023"/>
      <c r="D148" s="1023"/>
      <c r="E148" s="1023"/>
      <c r="F148" s="1023"/>
      <c r="G148" s="1023"/>
      <c r="H148" s="1023"/>
      <c r="I148" s="1023"/>
      <c r="J148" s="1023"/>
      <c r="K148" s="1023"/>
      <c r="L148" s="1023"/>
      <c r="M148" s="1023"/>
      <c r="N148" s="1023"/>
      <c r="O148" s="1023"/>
      <c r="P148" s="1023"/>
      <c r="Q148" s="1023"/>
      <c r="R148" s="1023"/>
      <c r="S148" s="1023"/>
      <c r="T148" s="1023"/>
      <c r="U148" s="1023"/>
      <c r="V148" s="1023"/>
      <c r="W148" s="1023"/>
      <c r="X148" s="1023"/>
      <c r="Y148" s="1023"/>
      <c r="Z148" s="1023"/>
    </row>
    <row r="149" spans="1:26" ht="11.25" customHeight="1" x14ac:dyDescent="0.2">
      <c r="A149" s="1023"/>
      <c r="B149" s="1023"/>
      <c r="C149" s="1023"/>
      <c r="D149" s="1023"/>
      <c r="E149" s="1023"/>
      <c r="F149" s="1023"/>
      <c r="G149" s="1023"/>
      <c r="H149" s="1023"/>
      <c r="I149" s="1023"/>
      <c r="J149" s="1023"/>
      <c r="K149" s="1023"/>
      <c r="L149" s="1023"/>
      <c r="M149" s="1023"/>
      <c r="N149" s="1023"/>
      <c r="O149" s="1023"/>
      <c r="P149" s="1023"/>
      <c r="Q149" s="1023"/>
      <c r="R149" s="1023"/>
      <c r="S149" s="1023"/>
      <c r="T149" s="1023"/>
      <c r="U149" s="1023"/>
      <c r="V149" s="1023"/>
      <c r="W149" s="1023"/>
      <c r="X149" s="1023"/>
      <c r="Y149" s="1023"/>
      <c r="Z149" s="1023"/>
    </row>
    <row r="150" spans="1:26" ht="11.25" customHeight="1" x14ac:dyDescent="0.2">
      <c r="A150" s="1023"/>
      <c r="B150" s="1023"/>
      <c r="C150" s="1023"/>
      <c r="D150" s="1023"/>
      <c r="E150" s="1023"/>
      <c r="F150" s="1023"/>
      <c r="G150" s="1023"/>
      <c r="H150" s="1023"/>
      <c r="I150" s="1023"/>
      <c r="J150" s="1023"/>
      <c r="K150" s="1023"/>
      <c r="L150" s="1023"/>
      <c r="M150" s="1023"/>
      <c r="N150" s="1023"/>
      <c r="O150" s="1023"/>
      <c r="P150" s="1023"/>
      <c r="Q150" s="1023"/>
      <c r="R150" s="1023"/>
      <c r="S150" s="1023"/>
      <c r="T150" s="1023"/>
      <c r="U150" s="1023"/>
      <c r="V150" s="1023"/>
      <c r="W150" s="1023"/>
      <c r="X150" s="1023"/>
      <c r="Y150" s="1023"/>
      <c r="Z150" s="1023"/>
    </row>
    <row r="151" spans="1:26" ht="11.25" customHeight="1" x14ac:dyDescent="0.2">
      <c r="A151" s="1023"/>
      <c r="B151" s="1023"/>
      <c r="C151" s="1023"/>
      <c r="D151" s="1023"/>
      <c r="E151" s="1023"/>
      <c r="F151" s="1023"/>
      <c r="G151" s="1023"/>
      <c r="H151" s="1023"/>
      <c r="I151" s="1023"/>
      <c r="J151" s="1023"/>
      <c r="K151" s="1023"/>
      <c r="L151" s="1023"/>
      <c r="M151" s="1023"/>
      <c r="N151" s="1023"/>
      <c r="O151" s="1023"/>
      <c r="P151" s="1023"/>
      <c r="Q151" s="1023"/>
      <c r="R151" s="1023"/>
      <c r="S151" s="1023"/>
      <c r="T151" s="1023"/>
      <c r="U151" s="1023"/>
      <c r="V151" s="1023"/>
      <c r="W151" s="1023"/>
      <c r="X151" s="1023"/>
      <c r="Y151" s="1023"/>
      <c r="Z151" s="1023"/>
    </row>
    <row r="152" spans="1:26" ht="11.25" customHeight="1" x14ac:dyDescent="0.2">
      <c r="A152" s="1023"/>
      <c r="B152" s="1023"/>
      <c r="C152" s="1023"/>
      <c r="D152" s="1023"/>
      <c r="E152" s="1023"/>
      <c r="F152" s="1023"/>
      <c r="G152" s="1023"/>
      <c r="H152" s="1023"/>
      <c r="I152" s="1023"/>
      <c r="J152" s="1023"/>
      <c r="K152" s="1023"/>
      <c r="L152" s="1023"/>
      <c r="M152" s="1023"/>
      <c r="N152" s="1023"/>
      <c r="O152" s="1023"/>
      <c r="P152" s="1023"/>
      <c r="Q152" s="1023"/>
      <c r="R152" s="1023"/>
      <c r="S152" s="1023"/>
      <c r="T152" s="1023"/>
      <c r="U152" s="1023"/>
      <c r="V152" s="1023"/>
      <c r="W152" s="1023"/>
      <c r="X152" s="1023"/>
      <c r="Y152" s="1023"/>
      <c r="Z152" s="1023"/>
    </row>
    <row r="153" spans="1:26" ht="11.25" customHeight="1" x14ac:dyDescent="0.2">
      <c r="A153" s="1023"/>
      <c r="B153" s="1023"/>
      <c r="C153" s="1023"/>
      <c r="D153" s="1023"/>
      <c r="E153" s="1023"/>
      <c r="F153" s="1023"/>
      <c r="G153" s="1023"/>
      <c r="H153" s="1023"/>
      <c r="I153" s="1023"/>
      <c r="J153" s="1023"/>
      <c r="K153" s="1023"/>
      <c r="L153" s="1023"/>
      <c r="M153" s="1023"/>
      <c r="N153" s="1023"/>
      <c r="O153" s="1023"/>
      <c r="P153" s="1023"/>
      <c r="Q153" s="1023"/>
      <c r="R153" s="1023"/>
      <c r="S153" s="1023"/>
      <c r="T153" s="1023"/>
      <c r="U153" s="1023"/>
      <c r="V153" s="1023"/>
      <c r="W153" s="1023"/>
      <c r="X153" s="1023"/>
      <c r="Y153" s="1023"/>
      <c r="Z153" s="1023"/>
    </row>
    <row r="154" spans="1:26" ht="11.25" customHeight="1" x14ac:dyDescent="0.2">
      <c r="A154" s="1023"/>
      <c r="B154" s="1023"/>
      <c r="C154" s="1023"/>
      <c r="D154" s="1023"/>
      <c r="E154" s="1023"/>
      <c r="F154" s="1023"/>
      <c r="G154" s="1023"/>
      <c r="H154" s="1023"/>
      <c r="I154" s="1023"/>
      <c r="J154" s="1023"/>
      <c r="K154" s="1023"/>
      <c r="L154" s="1023"/>
      <c r="M154" s="1023"/>
      <c r="N154" s="1023"/>
      <c r="O154" s="1023"/>
      <c r="P154" s="1023"/>
      <c r="Q154" s="1023"/>
      <c r="R154" s="1023"/>
      <c r="S154" s="1023"/>
      <c r="T154" s="1023"/>
      <c r="U154" s="1023"/>
      <c r="V154" s="1023"/>
      <c r="W154" s="1023"/>
      <c r="X154" s="1023"/>
      <c r="Y154" s="1023"/>
      <c r="Z154" s="1023"/>
    </row>
    <row r="155" spans="1:26" ht="11.25" customHeight="1" x14ac:dyDescent="0.2">
      <c r="A155" s="1023"/>
      <c r="B155" s="1023"/>
      <c r="C155" s="1023"/>
      <c r="D155" s="1023"/>
      <c r="E155" s="1023"/>
      <c r="F155" s="1023"/>
      <c r="G155" s="1023"/>
      <c r="H155" s="1023"/>
      <c r="I155" s="1023"/>
      <c r="J155" s="1023"/>
      <c r="K155" s="1023"/>
      <c r="L155" s="1023"/>
      <c r="M155" s="1023"/>
      <c r="N155" s="1023"/>
      <c r="O155" s="1023"/>
      <c r="P155" s="1023"/>
      <c r="Q155" s="1023"/>
      <c r="R155" s="1023"/>
      <c r="S155" s="1023"/>
      <c r="T155" s="1023"/>
      <c r="U155" s="1023"/>
      <c r="V155" s="1023"/>
      <c r="W155" s="1023"/>
      <c r="X155" s="1023"/>
      <c r="Y155" s="1023"/>
      <c r="Z155" s="1023"/>
    </row>
    <row r="156" spans="1:26" ht="11.25" customHeight="1" x14ac:dyDescent="0.2">
      <c r="A156" s="1023"/>
      <c r="B156" s="1023"/>
      <c r="C156" s="1023"/>
      <c r="D156" s="1023"/>
      <c r="E156" s="1023"/>
      <c r="F156" s="1023"/>
      <c r="G156" s="1023"/>
      <c r="H156" s="1023"/>
      <c r="I156" s="1023"/>
      <c r="J156" s="1023"/>
      <c r="K156" s="1023"/>
      <c r="L156" s="1023"/>
      <c r="M156" s="1023"/>
      <c r="N156" s="1023"/>
      <c r="O156" s="1023"/>
      <c r="P156" s="1023"/>
      <c r="Q156" s="1023"/>
      <c r="R156" s="1023"/>
      <c r="S156" s="1023"/>
      <c r="T156" s="1023"/>
      <c r="U156" s="1023"/>
      <c r="V156" s="1023"/>
      <c r="W156" s="1023"/>
      <c r="X156" s="1023"/>
      <c r="Y156" s="1023"/>
      <c r="Z156" s="1023"/>
    </row>
    <row r="157" spans="1:26" ht="11.25" customHeight="1" x14ac:dyDescent="0.2">
      <c r="A157" s="1023"/>
      <c r="B157" s="1023"/>
      <c r="C157" s="1023"/>
      <c r="D157" s="1023"/>
      <c r="E157" s="1023"/>
      <c r="F157" s="1023"/>
      <c r="G157" s="1023"/>
      <c r="H157" s="1023"/>
      <c r="I157" s="1023"/>
      <c r="J157" s="1023"/>
      <c r="K157" s="1023"/>
      <c r="L157" s="1023"/>
      <c r="M157" s="1023"/>
      <c r="N157" s="1023"/>
      <c r="O157" s="1023"/>
      <c r="P157" s="1023"/>
      <c r="Q157" s="1023"/>
      <c r="R157" s="1023"/>
      <c r="S157" s="1023"/>
      <c r="T157" s="1023"/>
      <c r="U157" s="1023"/>
      <c r="V157" s="1023"/>
      <c r="W157" s="1023"/>
      <c r="X157" s="1023"/>
      <c r="Y157" s="1023"/>
      <c r="Z157" s="1023"/>
    </row>
    <row r="158" spans="1:26" ht="11.25" customHeight="1" x14ac:dyDescent="0.2">
      <c r="A158" s="1023"/>
      <c r="B158" s="1023"/>
      <c r="C158" s="1023"/>
      <c r="D158" s="1023"/>
      <c r="E158" s="1023"/>
      <c r="F158" s="1023"/>
      <c r="G158" s="1023"/>
      <c r="H158" s="1023"/>
      <c r="I158" s="1023"/>
      <c r="J158" s="1023"/>
      <c r="K158" s="1023"/>
      <c r="L158" s="1023"/>
      <c r="M158" s="1023"/>
      <c r="N158" s="1023"/>
      <c r="O158" s="1023"/>
      <c r="P158" s="1023"/>
      <c r="Q158" s="1023"/>
      <c r="R158" s="1023"/>
      <c r="S158" s="1023"/>
      <c r="T158" s="1023"/>
      <c r="U158" s="1023"/>
      <c r="V158" s="1023"/>
      <c r="W158" s="1023"/>
      <c r="X158" s="1023"/>
      <c r="Y158" s="1023"/>
      <c r="Z158" s="1023"/>
    </row>
    <row r="159" spans="1:26" ht="11.25" customHeight="1" x14ac:dyDescent="0.2">
      <c r="A159" s="1023"/>
      <c r="B159" s="1023"/>
      <c r="C159" s="1023"/>
      <c r="D159" s="1023"/>
      <c r="E159" s="1023"/>
      <c r="F159" s="1023"/>
      <c r="G159" s="1023"/>
      <c r="H159" s="1023"/>
      <c r="I159" s="1023"/>
      <c r="J159" s="1023"/>
      <c r="K159" s="1023"/>
      <c r="L159" s="1023"/>
      <c r="M159" s="1023"/>
      <c r="N159" s="1023"/>
      <c r="O159" s="1023"/>
      <c r="P159" s="1023"/>
      <c r="Q159" s="1023"/>
      <c r="R159" s="1023"/>
      <c r="S159" s="1023"/>
      <c r="T159" s="1023"/>
      <c r="U159" s="1023"/>
      <c r="V159" s="1023"/>
      <c r="W159" s="1023"/>
      <c r="X159" s="1023"/>
      <c r="Y159" s="1023"/>
      <c r="Z159" s="1023"/>
    </row>
    <row r="160" spans="1:26" ht="11.25" customHeight="1" x14ac:dyDescent="0.2">
      <c r="A160" s="1023"/>
      <c r="B160" s="1023"/>
      <c r="C160" s="1023"/>
      <c r="D160" s="1023"/>
      <c r="E160" s="1023"/>
      <c r="F160" s="1023"/>
      <c r="G160" s="1023"/>
      <c r="H160" s="1023"/>
      <c r="I160" s="1023"/>
      <c r="J160" s="1023"/>
      <c r="K160" s="1023"/>
      <c r="L160" s="1023"/>
      <c r="M160" s="1023"/>
      <c r="N160" s="1023"/>
      <c r="O160" s="1023"/>
      <c r="P160" s="1023"/>
      <c r="Q160" s="1023"/>
      <c r="R160" s="1023"/>
      <c r="S160" s="1023"/>
      <c r="T160" s="1023"/>
      <c r="U160" s="1023"/>
      <c r="V160" s="1023"/>
      <c r="W160" s="1023"/>
      <c r="X160" s="1023"/>
      <c r="Y160" s="1023"/>
      <c r="Z160" s="1023"/>
    </row>
    <row r="161" spans="1:26" ht="11.25" customHeight="1" x14ac:dyDescent="0.2">
      <c r="A161" s="1023"/>
      <c r="B161" s="1023"/>
      <c r="C161" s="1023"/>
      <c r="D161" s="1023"/>
      <c r="E161" s="1023"/>
      <c r="F161" s="1023"/>
      <c r="G161" s="1023"/>
      <c r="H161" s="1023"/>
      <c r="I161" s="1023"/>
      <c r="J161" s="1023"/>
      <c r="K161" s="1023"/>
      <c r="L161" s="1023"/>
      <c r="M161" s="1023"/>
      <c r="N161" s="1023"/>
      <c r="O161" s="1023"/>
      <c r="P161" s="1023"/>
      <c r="Q161" s="1023"/>
      <c r="R161" s="1023"/>
      <c r="S161" s="1023"/>
      <c r="T161" s="1023"/>
      <c r="U161" s="1023"/>
      <c r="V161" s="1023"/>
      <c r="W161" s="1023"/>
      <c r="X161" s="1023"/>
      <c r="Y161" s="1023"/>
      <c r="Z161" s="1023"/>
    </row>
    <row r="162" spans="1:26" ht="11.25" customHeight="1" x14ac:dyDescent="0.2">
      <c r="A162" s="1023"/>
      <c r="B162" s="1023"/>
      <c r="C162" s="1023"/>
      <c r="D162" s="1023"/>
      <c r="E162" s="1023"/>
      <c r="F162" s="1023"/>
      <c r="G162" s="1023"/>
      <c r="H162" s="1023"/>
      <c r="I162" s="1023"/>
      <c r="J162" s="1023"/>
      <c r="K162" s="1023"/>
      <c r="L162" s="1023"/>
      <c r="M162" s="1023"/>
      <c r="N162" s="1023"/>
      <c r="O162" s="1023"/>
      <c r="P162" s="1023"/>
      <c r="Q162" s="1023"/>
      <c r="R162" s="1023"/>
      <c r="S162" s="1023"/>
      <c r="T162" s="1023"/>
      <c r="U162" s="1023"/>
      <c r="V162" s="1023"/>
      <c r="W162" s="1023"/>
      <c r="X162" s="1023"/>
      <c r="Y162" s="1023"/>
      <c r="Z162" s="1023"/>
    </row>
    <row r="163" spans="1:26" ht="11.25" customHeight="1" x14ac:dyDescent="0.2">
      <c r="A163" s="1023"/>
      <c r="B163" s="1023"/>
      <c r="C163" s="1023"/>
      <c r="D163" s="1023"/>
      <c r="E163" s="1023"/>
      <c r="F163" s="1023"/>
      <c r="G163" s="1023"/>
      <c r="H163" s="1023"/>
      <c r="I163" s="1023"/>
      <c r="J163" s="1023"/>
      <c r="K163" s="1023"/>
      <c r="L163" s="1023"/>
      <c r="M163" s="1023"/>
      <c r="N163" s="1023"/>
      <c r="O163" s="1023"/>
      <c r="P163" s="1023"/>
      <c r="Q163" s="1023"/>
      <c r="R163" s="1023"/>
      <c r="S163" s="1023"/>
      <c r="T163" s="1023"/>
      <c r="U163" s="1023"/>
      <c r="V163" s="1023"/>
      <c r="W163" s="1023"/>
      <c r="X163" s="1023"/>
      <c r="Y163" s="1023"/>
      <c r="Z163" s="1023"/>
    </row>
    <row r="164" spans="1:26" ht="11.25" customHeight="1" x14ac:dyDescent="0.2">
      <c r="A164" s="1023"/>
      <c r="B164" s="1023"/>
      <c r="C164" s="1023"/>
      <c r="D164" s="1023"/>
      <c r="E164" s="1023"/>
      <c r="F164" s="1023"/>
      <c r="G164" s="1023"/>
      <c r="H164" s="1023"/>
      <c r="I164" s="1023"/>
      <c r="J164" s="1023"/>
      <c r="K164" s="1023"/>
      <c r="L164" s="1023"/>
      <c r="M164" s="1023"/>
      <c r="N164" s="1023"/>
      <c r="O164" s="1023"/>
      <c r="P164" s="1023"/>
      <c r="Q164" s="1023"/>
      <c r="R164" s="1023"/>
      <c r="S164" s="1023"/>
      <c r="T164" s="1023"/>
      <c r="U164" s="1023"/>
      <c r="V164" s="1023"/>
      <c r="W164" s="1023"/>
      <c r="X164" s="1023"/>
      <c r="Y164" s="1023"/>
      <c r="Z164" s="1023"/>
    </row>
    <row r="165" spans="1:26" ht="11.25" customHeight="1" x14ac:dyDescent="0.2">
      <c r="A165" s="1023"/>
      <c r="B165" s="1023"/>
      <c r="C165" s="1023"/>
      <c r="D165" s="1023"/>
      <c r="E165" s="1023"/>
      <c r="F165" s="1023"/>
      <c r="G165" s="1023"/>
      <c r="H165" s="1023"/>
      <c r="I165" s="1023"/>
      <c r="J165" s="1023"/>
      <c r="K165" s="1023"/>
      <c r="L165" s="1023"/>
      <c r="M165" s="1023"/>
      <c r="N165" s="1023"/>
      <c r="O165" s="1023"/>
      <c r="P165" s="1023"/>
      <c r="Q165" s="1023"/>
      <c r="R165" s="1023"/>
      <c r="S165" s="1023"/>
      <c r="T165" s="1023"/>
      <c r="U165" s="1023"/>
      <c r="V165" s="1023"/>
      <c r="W165" s="1023"/>
      <c r="X165" s="1023"/>
      <c r="Y165" s="1023"/>
      <c r="Z165" s="1023"/>
    </row>
    <row r="166" spans="1:26" ht="11.25" customHeight="1" x14ac:dyDescent="0.2">
      <c r="A166" s="1023"/>
      <c r="B166" s="1023"/>
      <c r="C166" s="1023"/>
      <c r="D166" s="1023"/>
      <c r="E166" s="1023"/>
      <c r="F166" s="1023"/>
      <c r="G166" s="1023"/>
      <c r="H166" s="1023"/>
      <c r="I166" s="1023"/>
      <c r="J166" s="1023"/>
      <c r="K166" s="1023"/>
      <c r="L166" s="1023"/>
      <c r="M166" s="1023"/>
      <c r="N166" s="1023"/>
      <c r="O166" s="1023"/>
      <c r="P166" s="1023"/>
      <c r="Q166" s="1023"/>
      <c r="R166" s="1023"/>
      <c r="S166" s="1023"/>
      <c r="T166" s="1023"/>
      <c r="U166" s="1023"/>
      <c r="V166" s="1023"/>
      <c r="W166" s="1023"/>
      <c r="X166" s="1023"/>
      <c r="Y166" s="1023"/>
      <c r="Z166" s="1023"/>
    </row>
    <row r="167" spans="1:26" ht="11.25" customHeight="1" x14ac:dyDescent="0.2">
      <c r="A167" s="1023"/>
      <c r="B167" s="1023"/>
      <c r="C167" s="1023"/>
      <c r="D167" s="1023"/>
      <c r="E167" s="1023"/>
      <c r="F167" s="1023"/>
      <c r="G167" s="1023"/>
      <c r="H167" s="1023"/>
      <c r="I167" s="1023"/>
      <c r="J167" s="1023"/>
      <c r="K167" s="1023"/>
      <c r="L167" s="1023"/>
      <c r="M167" s="1023"/>
      <c r="N167" s="1023"/>
      <c r="O167" s="1023"/>
      <c r="P167" s="1023"/>
      <c r="Q167" s="1023"/>
      <c r="R167" s="1023"/>
      <c r="S167" s="1023"/>
      <c r="T167" s="1023"/>
      <c r="U167" s="1023"/>
      <c r="V167" s="1023"/>
      <c r="W167" s="1023"/>
      <c r="X167" s="1023"/>
      <c r="Y167" s="1023"/>
      <c r="Z167" s="1023"/>
    </row>
    <row r="168" spans="1:26" ht="11.25" customHeight="1" x14ac:dyDescent="0.2">
      <c r="A168" s="1023"/>
      <c r="B168" s="1023"/>
      <c r="C168" s="1023"/>
      <c r="D168" s="1023"/>
      <c r="E168" s="1023"/>
      <c r="F168" s="1023"/>
      <c r="G168" s="1023"/>
      <c r="H168" s="1023"/>
      <c r="I168" s="1023"/>
      <c r="J168" s="1023"/>
      <c r="K168" s="1023"/>
      <c r="L168" s="1023"/>
      <c r="M168" s="1023"/>
      <c r="N168" s="1023"/>
      <c r="O168" s="1023"/>
      <c r="P168" s="1023"/>
      <c r="Q168" s="1023"/>
      <c r="R168" s="1023"/>
      <c r="S168" s="1023"/>
      <c r="T168" s="1023"/>
      <c r="U168" s="1023"/>
      <c r="V168" s="1023"/>
      <c r="W168" s="1023"/>
      <c r="X168" s="1023"/>
      <c r="Y168" s="1023"/>
      <c r="Z168" s="1023"/>
    </row>
    <row r="169" spans="1:26" ht="11.25" customHeight="1" x14ac:dyDescent="0.2">
      <c r="A169" s="1023"/>
      <c r="B169" s="1023"/>
      <c r="C169" s="1023"/>
      <c r="D169" s="1023"/>
      <c r="E169" s="1023"/>
      <c r="F169" s="1023"/>
      <c r="G169" s="1023"/>
      <c r="H169" s="1023"/>
      <c r="I169" s="1023"/>
      <c r="J169" s="1023"/>
      <c r="K169" s="1023"/>
      <c r="L169" s="1023"/>
      <c r="M169" s="1023"/>
      <c r="N169" s="1023"/>
      <c r="O169" s="1023"/>
      <c r="P169" s="1023"/>
      <c r="Q169" s="1023"/>
      <c r="R169" s="1023"/>
      <c r="S169" s="1023"/>
      <c r="T169" s="1023"/>
      <c r="U169" s="1023"/>
      <c r="V169" s="1023"/>
      <c r="W169" s="1023"/>
      <c r="X169" s="1023"/>
      <c r="Y169" s="1023"/>
      <c r="Z169" s="1023"/>
    </row>
    <row r="170" spans="1:26" ht="11.25" customHeight="1" x14ac:dyDescent="0.2">
      <c r="A170" s="1023"/>
      <c r="B170" s="1023"/>
      <c r="C170" s="1023"/>
      <c r="D170" s="1023"/>
      <c r="E170" s="1023"/>
      <c r="F170" s="1023"/>
      <c r="G170" s="1023"/>
      <c r="H170" s="1023"/>
      <c r="I170" s="1023"/>
      <c r="J170" s="1023"/>
      <c r="K170" s="1023"/>
      <c r="L170" s="1023"/>
      <c r="M170" s="1023"/>
      <c r="N170" s="1023"/>
      <c r="O170" s="1023"/>
      <c r="P170" s="1023"/>
      <c r="Q170" s="1023"/>
      <c r="R170" s="1023"/>
      <c r="S170" s="1023"/>
      <c r="T170" s="1023"/>
      <c r="U170" s="1023"/>
      <c r="V170" s="1023"/>
      <c r="W170" s="1023"/>
      <c r="X170" s="1023"/>
      <c r="Y170" s="1023"/>
      <c r="Z170" s="1023"/>
    </row>
    <row r="171" spans="1:26" ht="11.25" customHeight="1" x14ac:dyDescent="0.2">
      <c r="A171" s="1023"/>
      <c r="B171" s="1023"/>
      <c r="C171" s="1023"/>
      <c r="D171" s="1023"/>
      <c r="E171" s="1023"/>
      <c r="F171" s="1023"/>
      <c r="G171" s="1023"/>
      <c r="H171" s="1023"/>
      <c r="I171" s="1023"/>
      <c r="J171" s="1023"/>
      <c r="K171" s="1023"/>
      <c r="L171" s="1023"/>
      <c r="M171" s="1023"/>
      <c r="N171" s="1023"/>
      <c r="O171" s="1023"/>
      <c r="P171" s="1023"/>
      <c r="Q171" s="1023"/>
      <c r="R171" s="1023"/>
      <c r="S171" s="1023"/>
      <c r="T171" s="1023"/>
      <c r="U171" s="1023"/>
      <c r="V171" s="1023"/>
      <c r="W171" s="1023"/>
      <c r="X171" s="1023"/>
      <c r="Y171" s="1023"/>
      <c r="Z171" s="1023"/>
    </row>
    <row r="172" spans="1:26" ht="11.25" customHeight="1" x14ac:dyDescent="0.2">
      <c r="A172" s="1023"/>
      <c r="B172" s="1023"/>
      <c r="C172" s="1023"/>
      <c r="D172" s="1023"/>
      <c r="E172" s="1023"/>
      <c r="F172" s="1023"/>
      <c r="G172" s="1023"/>
      <c r="H172" s="1023"/>
      <c r="I172" s="1023"/>
      <c r="J172" s="1023"/>
      <c r="K172" s="1023"/>
      <c r="L172" s="1023"/>
      <c r="M172" s="1023"/>
      <c r="N172" s="1023"/>
      <c r="O172" s="1023"/>
      <c r="P172" s="1023"/>
      <c r="Q172" s="1023"/>
      <c r="R172" s="1023"/>
      <c r="S172" s="1023"/>
      <c r="T172" s="1023"/>
      <c r="U172" s="1023"/>
      <c r="V172" s="1023"/>
      <c r="W172" s="1023"/>
      <c r="X172" s="1023"/>
      <c r="Y172" s="1023"/>
      <c r="Z172" s="1023"/>
    </row>
    <row r="173" spans="1:26" ht="11.25" customHeight="1" x14ac:dyDescent="0.2">
      <c r="A173" s="1023"/>
      <c r="B173" s="1023"/>
      <c r="C173" s="1023"/>
      <c r="D173" s="1023"/>
      <c r="E173" s="1023"/>
      <c r="F173" s="1023"/>
      <c r="G173" s="1023"/>
      <c r="H173" s="1023"/>
      <c r="I173" s="1023"/>
      <c r="J173" s="1023"/>
      <c r="K173" s="1023"/>
      <c r="L173" s="1023"/>
      <c r="M173" s="1023"/>
      <c r="N173" s="1023"/>
      <c r="O173" s="1023"/>
      <c r="P173" s="1023"/>
      <c r="Q173" s="1023"/>
      <c r="R173" s="1023"/>
      <c r="S173" s="1023"/>
      <c r="T173" s="1023"/>
      <c r="U173" s="1023"/>
      <c r="V173" s="1023"/>
      <c r="W173" s="1023"/>
      <c r="X173" s="1023"/>
      <c r="Y173" s="1023"/>
      <c r="Z173" s="1023"/>
    </row>
    <row r="174" spans="1:26" ht="11.25" customHeight="1" x14ac:dyDescent="0.2">
      <c r="A174" s="1023"/>
      <c r="B174" s="1023"/>
      <c r="C174" s="1023"/>
      <c r="D174" s="1023"/>
      <c r="E174" s="1023"/>
      <c r="F174" s="1023"/>
      <c r="G174" s="1023"/>
      <c r="H174" s="1023"/>
      <c r="I174" s="1023"/>
      <c r="J174" s="1023"/>
      <c r="K174" s="1023"/>
      <c r="L174" s="1023"/>
      <c r="M174" s="1023"/>
      <c r="N174" s="1023"/>
      <c r="O174" s="1023"/>
      <c r="P174" s="1023"/>
      <c r="Q174" s="1023"/>
      <c r="R174" s="1023"/>
      <c r="S174" s="1023"/>
      <c r="T174" s="1023"/>
      <c r="U174" s="1023"/>
      <c r="V174" s="1023"/>
      <c r="W174" s="1023"/>
      <c r="X174" s="1023"/>
      <c r="Y174" s="1023"/>
      <c r="Z174" s="1023"/>
    </row>
    <row r="175" spans="1:26" ht="11.25" customHeight="1" x14ac:dyDescent="0.2">
      <c r="A175" s="1023"/>
      <c r="B175" s="1023"/>
      <c r="C175" s="1023"/>
      <c r="D175" s="1023"/>
      <c r="E175" s="1023"/>
      <c r="F175" s="1023"/>
      <c r="G175" s="1023"/>
      <c r="H175" s="1023"/>
      <c r="I175" s="1023"/>
      <c r="J175" s="1023"/>
      <c r="K175" s="1023"/>
      <c r="L175" s="1023"/>
      <c r="M175" s="1023"/>
      <c r="N175" s="1023"/>
      <c r="O175" s="1023"/>
      <c r="P175" s="1023"/>
      <c r="Q175" s="1023"/>
      <c r="R175" s="1023"/>
      <c r="S175" s="1023"/>
      <c r="T175" s="1023"/>
      <c r="U175" s="1023"/>
      <c r="V175" s="1023"/>
      <c r="W175" s="1023"/>
      <c r="X175" s="1023"/>
      <c r="Y175" s="1023"/>
      <c r="Z175" s="1023"/>
    </row>
    <row r="176" spans="1:26" ht="11.25" customHeight="1" x14ac:dyDescent="0.2">
      <c r="A176" s="1023"/>
      <c r="B176" s="1023"/>
      <c r="C176" s="1023"/>
      <c r="D176" s="1023"/>
      <c r="E176" s="1023"/>
      <c r="F176" s="1023"/>
      <c r="G176" s="1023"/>
      <c r="H176" s="1023"/>
      <c r="I176" s="1023"/>
      <c r="J176" s="1023"/>
      <c r="K176" s="1023"/>
      <c r="L176" s="1023"/>
      <c r="M176" s="1023"/>
      <c r="N176" s="1023"/>
      <c r="O176" s="1023"/>
      <c r="P176" s="1023"/>
      <c r="Q176" s="1023"/>
      <c r="R176" s="1023"/>
      <c r="S176" s="1023"/>
      <c r="T176" s="1023"/>
      <c r="U176" s="1023"/>
      <c r="V176" s="1023"/>
      <c r="W176" s="1023"/>
      <c r="X176" s="1023"/>
      <c r="Y176" s="1023"/>
      <c r="Z176" s="1023"/>
    </row>
    <row r="177" spans="1:26" ht="11.25" customHeight="1" x14ac:dyDescent="0.2">
      <c r="A177" s="1023"/>
      <c r="B177" s="1023"/>
      <c r="C177" s="1023"/>
      <c r="D177" s="1023"/>
      <c r="E177" s="1023"/>
      <c r="F177" s="1023"/>
      <c r="G177" s="1023"/>
      <c r="H177" s="1023"/>
      <c r="I177" s="1023"/>
      <c r="J177" s="1023"/>
      <c r="K177" s="1023"/>
      <c r="L177" s="1023"/>
      <c r="M177" s="1023"/>
      <c r="N177" s="1023"/>
      <c r="O177" s="1023"/>
      <c r="P177" s="1023"/>
      <c r="Q177" s="1023"/>
      <c r="R177" s="1023"/>
      <c r="S177" s="1023"/>
      <c r="T177" s="1023"/>
      <c r="U177" s="1023"/>
      <c r="V177" s="1023"/>
      <c r="W177" s="1023"/>
      <c r="X177" s="1023"/>
      <c r="Y177" s="1023"/>
      <c r="Z177" s="1023"/>
    </row>
    <row r="178" spans="1:26" ht="11.25" customHeight="1" x14ac:dyDescent="0.2">
      <c r="A178" s="1023"/>
      <c r="B178" s="1023"/>
      <c r="C178" s="1023"/>
      <c r="D178" s="1023"/>
      <c r="E178" s="1023"/>
      <c r="F178" s="1023"/>
      <c r="G178" s="1023"/>
      <c r="H178" s="1023"/>
      <c r="I178" s="1023"/>
      <c r="J178" s="1023"/>
      <c r="K178" s="1023"/>
      <c r="L178" s="1023"/>
      <c r="M178" s="1023"/>
      <c r="N178" s="1023"/>
      <c r="O178" s="1023"/>
      <c r="P178" s="1023"/>
      <c r="Q178" s="1023"/>
      <c r="R178" s="1023"/>
      <c r="S178" s="1023"/>
      <c r="T178" s="1023"/>
      <c r="U178" s="1023"/>
      <c r="V178" s="1023"/>
      <c r="W178" s="1023"/>
      <c r="X178" s="1023"/>
      <c r="Y178" s="1023"/>
      <c r="Z178" s="1023"/>
    </row>
    <row r="179" spans="1:26" ht="11.25" customHeight="1" x14ac:dyDescent="0.2">
      <c r="A179" s="1023"/>
      <c r="B179" s="1023"/>
      <c r="C179" s="1023"/>
      <c r="D179" s="1023"/>
      <c r="E179" s="1023"/>
      <c r="F179" s="1023"/>
      <c r="G179" s="1023"/>
      <c r="H179" s="1023"/>
      <c r="I179" s="1023"/>
      <c r="J179" s="1023"/>
      <c r="K179" s="1023"/>
      <c r="L179" s="1023"/>
      <c r="M179" s="1023"/>
      <c r="N179" s="1023"/>
      <c r="O179" s="1023"/>
      <c r="P179" s="1023"/>
      <c r="Q179" s="1023"/>
      <c r="R179" s="1023"/>
      <c r="S179" s="1023"/>
      <c r="T179" s="1023"/>
      <c r="U179" s="1023"/>
      <c r="V179" s="1023"/>
      <c r="W179" s="1023"/>
      <c r="X179" s="1023"/>
      <c r="Y179" s="1023"/>
      <c r="Z179" s="1023"/>
    </row>
    <row r="180" spans="1:26" ht="11.25" customHeight="1" x14ac:dyDescent="0.2">
      <c r="A180" s="1023"/>
      <c r="B180" s="1023"/>
      <c r="C180" s="1023"/>
      <c r="D180" s="1023"/>
      <c r="E180" s="1023"/>
      <c r="F180" s="1023"/>
      <c r="G180" s="1023"/>
      <c r="H180" s="1023"/>
      <c r="I180" s="1023"/>
      <c r="J180" s="1023"/>
      <c r="K180" s="1023"/>
      <c r="L180" s="1023"/>
      <c r="M180" s="1023"/>
      <c r="N180" s="1023"/>
      <c r="O180" s="1023"/>
      <c r="P180" s="1023"/>
      <c r="Q180" s="1023"/>
      <c r="R180" s="1023"/>
      <c r="S180" s="1023"/>
      <c r="T180" s="1023"/>
      <c r="U180" s="1023"/>
      <c r="V180" s="1023"/>
      <c r="W180" s="1023"/>
      <c r="X180" s="1023"/>
      <c r="Y180" s="1023"/>
      <c r="Z180" s="1023"/>
    </row>
    <row r="181" spans="1:26" ht="11.25" customHeight="1" x14ac:dyDescent="0.2">
      <c r="A181" s="1023"/>
      <c r="B181" s="1023"/>
      <c r="C181" s="1023"/>
      <c r="D181" s="1023"/>
      <c r="E181" s="1023"/>
      <c r="F181" s="1023"/>
      <c r="G181" s="1023"/>
      <c r="H181" s="1023"/>
      <c r="I181" s="1023"/>
      <c r="J181" s="1023"/>
      <c r="K181" s="1023"/>
      <c r="L181" s="1023"/>
      <c r="M181" s="1023"/>
      <c r="N181" s="1023"/>
      <c r="O181" s="1023"/>
      <c r="P181" s="1023"/>
      <c r="Q181" s="1023"/>
      <c r="R181" s="1023"/>
      <c r="S181" s="1023"/>
      <c r="T181" s="1023"/>
      <c r="U181" s="1023"/>
      <c r="V181" s="1023"/>
      <c r="W181" s="1023"/>
      <c r="X181" s="1023"/>
      <c r="Y181" s="1023"/>
      <c r="Z181" s="1023"/>
    </row>
    <row r="182" spans="1:26" ht="11.25" customHeight="1" x14ac:dyDescent="0.2">
      <c r="A182" s="1023"/>
      <c r="B182" s="1023"/>
      <c r="C182" s="1023"/>
      <c r="D182" s="1023"/>
      <c r="E182" s="1023"/>
      <c r="F182" s="1023"/>
      <c r="G182" s="1023"/>
      <c r="H182" s="1023"/>
      <c r="I182" s="1023"/>
      <c r="J182" s="1023"/>
      <c r="K182" s="1023"/>
      <c r="L182" s="1023"/>
      <c r="M182" s="1023"/>
      <c r="N182" s="1023"/>
      <c r="O182" s="1023"/>
      <c r="P182" s="1023"/>
      <c r="Q182" s="1023"/>
      <c r="R182" s="1023"/>
      <c r="S182" s="1023"/>
      <c r="T182" s="1023"/>
      <c r="U182" s="1023"/>
      <c r="V182" s="1023"/>
      <c r="W182" s="1023"/>
      <c r="X182" s="1023"/>
      <c r="Y182" s="1023"/>
      <c r="Z182" s="1023"/>
    </row>
    <row r="183" spans="1:26" ht="11.25" customHeight="1" x14ac:dyDescent="0.2">
      <c r="A183" s="1023"/>
      <c r="B183" s="1023"/>
      <c r="C183" s="1023"/>
      <c r="D183" s="1023"/>
      <c r="E183" s="1023"/>
      <c r="F183" s="1023"/>
      <c r="G183" s="1023"/>
      <c r="H183" s="1023"/>
      <c r="I183" s="1023"/>
      <c r="J183" s="1023"/>
      <c r="K183" s="1023"/>
      <c r="L183" s="1023"/>
      <c r="M183" s="1023"/>
      <c r="N183" s="1023"/>
      <c r="O183" s="1023"/>
      <c r="P183" s="1023"/>
      <c r="Q183" s="1023"/>
      <c r="R183" s="1023"/>
      <c r="S183" s="1023"/>
      <c r="T183" s="1023"/>
      <c r="U183" s="1023"/>
      <c r="V183" s="1023"/>
      <c r="W183" s="1023"/>
      <c r="X183" s="1023"/>
      <c r="Y183" s="1023"/>
      <c r="Z183" s="1023"/>
    </row>
    <row r="184" spans="1:26" ht="11.25" customHeight="1" x14ac:dyDescent="0.2">
      <c r="A184" s="1023"/>
      <c r="B184" s="1023"/>
      <c r="C184" s="1023"/>
      <c r="D184" s="1023"/>
      <c r="E184" s="1023"/>
      <c r="F184" s="1023"/>
      <c r="G184" s="1023"/>
      <c r="H184" s="1023"/>
      <c r="I184" s="1023"/>
      <c r="J184" s="1023"/>
      <c r="K184" s="1023"/>
      <c r="L184" s="1023"/>
      <c r="M184" s="1023"/>
      <c r="N184" s="1023"/>
      <c r="O184" s="1023"/>
      <c r="P184" s="1023"/>
      <c r="Q184" s="1023"/>
      <c r="R184" s="1023"/>
      <c r="S184" s="1023"/>
      <c r="T184" s="1023"/>
      <c r="U184" s="1023"/>
      <c r="V184" s="1023"/>
      <c r="W184" s="1023"/>
      <c r="X184" s="1023"/>
      <c r="Y184" s="1023"/>
      <c r="Z184" s="1023"/>
    </row>
    <row r="185" spans="1:26" ht="11.25" customHeight="1" x14ac:dyDescent="0.2">
      <c r="A185" s="1023"/>
      <c r="B185" s="1023"/>
      <c r="C185" s="1023"/>
      <c r="D185" s="1023"/>
      <c r="E185" s="1023"/>
      <c r="F185" s="1023"/>
      <c r="G185" s="1023"/>
      <c r="H185" s="1023"/>
      <c r="I185" s="1023"/>
      <c r="J185" s="1023"/>
      <c r="K185" s="1023"/>
      <c r="L185" s="1023"/>
      <c r="M185" s="1023"/>
      <c r="N185" s="1023"/>
      <c r="O185" s="1023"/>
      <c r="P185" s="1023"/>
      <c r="Q185" s="1023"/>
      <c r="R185" s="1023"/>
      <c r="S185" s="1023"/>
      <c r="T185" s="1023"/>
      <c r="U185" s="1023"/>
      <c r="V185" s="1023"/>
      <c r="W185" s="1023"/>
      <c r="X185" s="1023"/>
      <c r="Y185" s="1023"/>
      <c r="Z185" s="1023"/>
    </row>
    <row r="186" spans="1:26" ht="11.25" customHeight="1" x14ac:dyDescent="0.2">
      <c r="A186" s="1023"/>
      <c r="B186" s="1023"/>
      <c r="C186" s="1023"/>
      <c r="D186" s="1023"/>
      <c r="E186" s="1023"/>
      <c r="F186" s="1023"/>
      <c r="G186" s="1023"/>
      <c r="H186" s="1023"/>
      <c r="I186" s="1023"/>
      <c r="J186" s="1023"/>
      <c r="K186" s="1023"/>
      <c r="L186" s="1023"/>
      <c r="M186" s="1023"/>
      <c r="N186" s="1023"/>
      <c r="O186" s="1023"/>
      <c r="P186" s="1023"/>
      <c r="Q186" s="1023"/>
      <c r="R186" s="1023"/>
      <c r="S186" s="1023"/>
      <c r="T186" s="1023"/>
      <c r="U186" s="1023"/>
      <c r="V186" s="1023"/>
      <c r="W186" s="1023"/>
      <c r="X186" s="1023"/>
      <c r="Y186" s="1023"/>
      <c r="Z186" s="1023"/>
    </row>
    <row r="187" spans="1:26" ht="11.25" customHeight="1" x14ac:dyDescent="0.2">
      <c r="A187" s="1023"/>
      <c r="B187" s="1023"/>
      <c r="C187" s="1023"/>
      <c r="D187" s="1023"/>
      <c r="E187" s="1023"/>
      <c r="F187" s="1023"/>
      <c r="G187" s="1023"/>
      <c r="H187" s="1023"/>
      <c r="I187" s="1023"/>
      <c r="J187" s="1023"/>
      <c r="K187" s="1023"/>
      <c r="L187" s="1023"/>
      <c r="M187" s="1023"/>
      <c r="N187" s="1023"/>
      <c r="O187" s="1023"/>
      <c r="P187" s="1023"/>
      <c r="Q187" s="1023"/>
      <c r="R187" s="1023"/>
      <c r="S187" s="1023"/>
      <c r="T187" s="1023"/>
      <c r="U187" s="1023"/>
      <c r="V187" s="1023"/>
      <c r="W187" s="1023"/>
      <c r="X187" s="1023"/>
      <c r="Y187" s="1023"/>
      <c r="Z187" s="1023"/>
    </row>
    <row r="188" spans="1:26" ht="11.25" customHeight="1" x14ac:dyDescent="0.2">
      <c r="A188" s="1023"/>
      <c r="B188" s="1023"/>
      <c r="C188" s="1023"/>
      <c r="D188" s="1023"/>
      <c r="E188" s="1023"/>
      <c r="F188" s="1023"/>
      <c r="G188" s="1023"/>
      <c r="H188" s="1023"/>
      <c r="I188" s="1023"/>
      <c r="J188" s="1023"/>
      <c r="K188" s="1023"/>
      <c r="L188" s="1023"/>
      <c r="M188" s="1023"/>
      <c r="N188" s="1023"/>
      <c r="O188" s="1023"/>
      <c r="P188" s="1023"/>
      <c r="Q188" s="1023"/>
      <c r="R188" s="1023"/>
      <c r="S188" s="1023"/>
      <c r="T188" s="1023"/>
      <c r="U188" s="1023"/>
      <c r="V188" s="1023"/>
      <c r="W188" s="1023"/>
      <c r="X188" s="1023"/>
      <c r="Y188" s="1023"/>
      <c r="Z188" s="1023"/>
    </row>
    <row r="189" spans="1:26" ht="11.25" customHeight="1" x14ac:dyDescent="0.2">
      <c r="A189" s="1023"/>
      <c r="B189" s="1023"/>
      <c r="C189" s="1023"/>
      <c r="D189" s="1023"/>
      <c r="E189" s="1023"/>
      <c r="F189" s="1023"/>
      <c r="G189" s="1023"/>
      <c r="H189" s="1023"/>
      <c r="I189" s="1023"/>
      <c r="J189" s="1023"/>
      <c r="K189" s="1023"/>
      <c r="L189" s="1023"/>
      <c r="M189" s="1023"/>
      <c r="N189" s="1023"/>
      <c r="O189" s="1023"/>
      <c r="P189" s="1023"/>
      <c r="Q189" s="1023"/>
      <c r="R189" s="1023"/>
      <c r="S189" s="1023"/>
      <c r="T189" s="1023"/>
      <c r="U189" s="1023"/>
      <c r="V189" s="1023"/>
      <c r="W189" s="1023"/>
      <c r="X189" s="1023"/>
      <c r="Y189" s="1023"/>
      <c r="Z189" s="1023"/>
    </row>
    <row r="190" spans="1:26" ht="11.25" customHeight="1" x14ac:dyDescent="0.2">
      <c r="A190" s="1023"/>
      <c r="B190" s="1023"/>
      <c r="C190" s="1023"/>
      <c r="D190" s="1023"/>
      <c r="E190" s="1023"/>
      <c r="F190" s="1023"/>
      <c r="G190" s="1023"/>
      <c r="H190" s="1023"/>
      <c r="I190" s="1023"/>
      <c r="J190" s="1023"/>
      <c r="K190" s="1023"/>
      <c r="L190" s="1023"/>
      <c r="M190" s="1023"/>
      <c r="N190" s="1023"/>
      <c r="O190" s="1023"/>
      <c r="P190" s="1023"/>
      <c r="Q190" s="1023"/>
      <c r="R190" s="1023"/>
      <c r="S190" s="1023"/>
      <c r="T190" s="1023"/>
      <c r="U190" s="1023"/>
      <c r="V190" s="1023"/>
      <c r="W190" s="1023"/>
      <c r="X190" s="1023"/>
      <c r="Y190" s="1023"/>
      <c r="Z190" s="1023"/>
    </row>
    <row r="191" spans="1:26" ht="11.25" customHeight="1" x14ac:dyDescent="0.2">
      <c r="A191" s="1023"/>
      <c r="B191" s="1023"/>
      <c r="C191" s="1023"/>
      <c r="D191" s="1023"/>
      <c r="E191" s="1023"/>
      <c r="F191" s="1023"/>
      <c r="G191" s="1023"/>
      <c r="H191" s="1023"/>
      <c r="I191" s="1023"/>
      <c r="J191" s="1023"/>
      <c r="K191" s="1023"/>
      <c r="L191" s="1023"/>
      <c r="M191" s="1023"/>
      <c r="N191" s="1023"/>
      <c r="O191" s="1023"/>
      <c r="P191" s="1023"/>
      <c r="Q191" s="1023"/>
      <c r="R191" s="1023"/>
      <c r="S191" s="1023"/>
      <c r="T191" s="1023"/>
      <c r="U191" s="1023"/>
      <c r="V191" s="1023"/>
      <c r="W191" s="1023"/>
      <c r="X191" s="1023"/>
      <c r="Y191" s="1023"/>
      <c r="Z191" s="1023"/>
    </row>
    <row r="192" spans="1:26" ht="11.25" customHeight="1" x14ac:dyDescent="0.2">
      <c r="A192" s="1023"/>
      <c r="B192" s="1023"/>
      <c r="C192" s="1023"/>
      <c r="D192" s="1023"/>
      <c r="E192" s="1023"/>
      <c r="F192" s="1023"/>
      <c r="G192" s="1023"/>
      <c r="H192" s="1023"/>
      <c r="I192" s="1023"/>
      <c r="J192" s="1023"/>
      <c r="K192" s="1023"/>
      <c r="L192" s="1023"/>
      <c r="M192" s="1023"/>
      <c r="N192" s="1023"/>
      <c r="O192" s="1023"/>
      <c r="P192" s="1023"/>
      <c r="Q192" s="1023"/>
      <c r="R192" s="1023"/>
      <c r="S192" s="1023"/>
      <c r="T192" s="1023"/>
      <c r="U192" s="1023"/>
      <c r="V192" s="1023"/>
      <c r="W192" s="1023"/>
      <c r="X192" s="1023"/>
      <c r="Y192" s="1023"/>
      <c r="Z192" s="1023"/>
    </row>
    <row r="193" spans="1:26" ht="11.25" customHeight="1" x14ac:dyDescent="0.2">
      <c r="A193" s="1023"/>
      <c r="B193" s="1023"/>
      <c r="C193" s="1023"/>
      <c r="D193" s="1023"/>
      <c r="E193" s="1023"/>
      <c r="F193" s="1023"/>
      <c r="G193" s="1023"/>
      <c r="H193" s="1023"/>
      <c r="I193" s="1023"/>
      <c r="J193" s="1023"/>
      <c r="K193" s="1023"/>
      <c r="L193" s="1023"/>
      <c r="M193" s="1023"/>
      <c r="N193" s="1023"/>
      <c r="O193" s="1023"/>
      <c r="P193" s="1023"/>
      <c r="Q193" s="1023"/>
      <c r="R193" s="1023"/>
      <c r="S193" s="1023"/>
      <c r="T193" s="1023"/>
      <c r="U193" s="1023"/>
      <c r="V193" s="1023"/>
      <c r="W193" s="1023"/>
      <c r="X193" s="1023"/>
      <c r="Y193" s="1023"/>
      <c r="Z193" s="1023"/>
    </row>
    <row r="194" spans="1:26" ht="11.25" customHeight="1" x14ac:dyDescent="0.2">
      <c r="A194" s="1023"/>
      <c r="B194" s="1023"/>
      <c r="C194" s="1023"/>
      <c r="D194" s="1023"/>
      <c r="E194" s="1023"/>
      <c r="F194" s="1023"/>
      <c r="G194" s="1023"/>
      <c r="H194" s="1023"/>
      <c r="I194" s="1023"/>
      <c r="J194" s="1023"/>
      <c r="K194" s="1023"/>
      <c r="L194" s="1023"/>
      <c r="M194" s="1023"/>
      <c r="N194" s="1023"/>
      <c r="O194" s="1023"/>
      <c r="P194" s="1023"/>
      <c r="Q194" s="1023"/>
      <c r="R194" s="1023"/>
      <c r="S194" s="1023"/>
      <c r="T194" s="1023"/>
      <c r="U194" s="1023"/>
      <c r="V194" s="1023"/>
      <c r="W194" s="1023"/>
      <c r="X194" s="1023"/>
      <c r="Y194" s="1023"/>
      <c r="Z194" s="1023"/>
    </row>
    <row r="195" spans="1:26" ht="11.25" customHeight="1" x14ac:dyDescent="0.2">
      <c r="A195" s="1023"/>
      <c r="B195" s="1023"/>
      <c r="C195" s="1023"/>
      <c r="D195" s="1023"/>
      <c r="E195" s="1023"/>
      <c r="F195" s="1023"/>
      <c r="G195" s="1023"/>
      <c r="H195" s="1023"/>
      <c r="I195" s="1023"/>
      <c r="J195" s="1023"/>
      <c r="K195" s="1023"/>
      <c r="L195" s="1023"/>
      <c r="M195" s="1023"/>
      <c r="N195" s="1023"/>
      <c r="O195" s="1023"/>
      <c r="P195" s="1023"/>
      <c r="Q195" s="1023"/>
      <c r="R195" s="1023"/>
      <c r="S195" s="1023"/>
      <c r="T195" s="1023"/>
      <c r="U195" s="1023"/>
      <c r="V195" s="1023"/>
      <c r="W195" s="1023"/>
      <c r="X195" s="1023"/>
      <c r="Y195" s="1023"/>
      <c r="Z195" s="1023"/>
    </row>
    <row r="196" spans="1:26" ht="11.25" customHeight="1" x14ac:dyDescent="0.2">
      <c r="A196" s="1023"/>
      <c r="B196" s="1023"/>
      <c r="C196" s="1023"/>
      <c r="D196" s="1023"/>
      <c r="E196" s="1023"/>
      <c r="F196" s="1023"/>
      <c r="G196" s="1023"/>
      <c r="H196" s="1023"/>
      <c r="I196" s="1023"/>
      <c r="J196" s="1023"/>
      <c r="K196" s="1023"/>
      <c r="L196" s="1023"/>
      <c r="M196" s="1023"/>
      <c r="N196" s="1023"/>
      <c r="O196" s="1023"/>
      <c r="P196" s="1023"/>
      <c r="Q196" s="1023"/>
      <c r="R196" s="1023"/>
      <c r="S196" s="1023"/>
      <c r="T196" s="1023"/>
      <c r="U196" s="1023"/>
      <c r="V196" s="1023"/>
      <c r="W196" s="1023"/>
      <c r="X196" s="1023"/>
      <c r="Y196" s="1023"/>
      <c r="Z196" s="1023"/>
    </row>
    <row r="197" spans="1:26" ht="11.25" customHeight="1" x14ac:dyDescent="0.2">
      <c r="A197" s="1023"/>
      <c r="B197" s="1023"/>
      <c r="C197" s="1023"/>
      <c r="D197" s="1023"/>
      <c r="E197" s="1023"/>
      <c r="F197" s="1023"/>
      <c r="G197" s="1023"/>
      <c r="H197" s="1023"/>
      <c r="I197" s="1023"/>
      <c r="J197" s="1023"/>
      <c r="K197" s="1023"/>
      <c r="L197" s="1023"/>
      <c r="M197" s="1023"/>
      <c r="N197" s="1023"/>
      <c r="O197" s="1023"/>
      <c r="P197" s="1023"/>
      <c r="Q197" s="1023"/>
      <c r="R197" s="1023"/>
      <c r="S197" s="1023"/>
      <c r="T197" s="1023"/>
      <c r="U197" s="1023"/>
      <c r="V197" s="1023"/>
      <c r="W197" s="1023"/>
      <c r="X197" s="1023"/>
      <c r="Y197" s="1023"/>
      <c r="Z197" s="1023"/>
    </row>
    <row r="198" spans="1:26" ht="11.25" customHeight="1" x14ac:dyDescent="0.2">
      <c r="A198" s="1023"/>
      <c r="B198" s="1023"/>
      <c r="C198" s="1023"/>
      <c r="D198" s="1023"/>
      <c r="E198" s="1023"/>
      <c r="F198" s="1023"/>
      <c r="G198" s="1023"/>
      <c r="H198" s="1023"/>
      <c r="I198" s="1023"/>
      <c r="J198" s="1023"/>
      <c r="K198" s="1023"/>
      <c r="L198" s="1023"/>
      <c r="M198" s="1023"/>
      <c r="N198" s="1023"/>
      <c r="O198" s="1023"/>
      <c r="P198" s="1023"/>
      <c r="Q198" s="1023"/>
      <c r="R198" s="1023"/>
      <c r="S198" s="1023"/>
      <c r="T198" s="1023"/>
      <c r="U198" s="1023"/>
      <c r="V198" s="1023"/>
      <c r="W198" s="1023"/>
      <c r="X198" s="1023"/>
      <c r="Y198" s="1023"/>
      <c r="Z198" s="1023"/>
    </row>
    <row r="199" spans="1:26" ht="11.25" customHeight="1" x14ac:dyDescent="0.2">
      <c r="A199" s="1023"/>
      <c r="B199" s="1023"/>
      <c r="C199" s="1023"/>
      <c r="D199" s="1023"/>
      <c r="E199" s="1023"/>
      <c r="F199" s="1023"/>
      <c r="G199" s="1023"/>
      <c r="H199" s="1023"/>
      <c r="I199" s="1023"/>
      <c r="J199" s="1023"/>
      <c r="K199" s="1023"/>
      <c r="L199" s="1023"/>
      <c r="M199" s="1023"/>
      <c r="N199" s="1023"/>
      <c r="O199" s="1023"/>
      <c r="P199" s="1023"/>
      <c r="Q199" s="1023"/>
      <c r="R199" s="1023"/>
      <c r="S199" s="1023"/>
      <c r="T199" s="1023"/>
      <c r="U199" s="1023"/>
      <c r="V199" s="1023"/>
      <c r="W199" s="1023"/>
      <c r="X199" s="1023"/>
      <c r="Y199" s="1023"/>
      <c r="Z199" s="1023"/>
    </row>
    <row r="200" spans="1:26" ht="11.25" customHeight="1" x14ac:dyDescent="0.2">
      <c r="A200" s="1023"/>
      <c r="B200" s="1023"/>
      <c r="C200" s="1023"/>
      <c r="D200" s="1023"/>
      <c r="E200" s="1023"/>
      <c r="F200" s="1023"/>
      <c r="G200" s="1023"/>
      <c r="H200" s="1023"/>
      <c r="I200" s="1023"/>
      <c r="J200" s="1023"/>
      <c r="K200" s="1023"/>
      <c r="L200" s="1023"/>
      <c r="M200" s="1023"/>
      <c r="N200" s="1023"/>
      <c r="O200" s="1023"/>
      <c r="P200" s="1023"/>
      <c r="Q200" s="1023"/>
      <c r="R200" s="1023"/>
      <c r="S200" s="1023"/>
      <c r="T200" s="1023"/>
      <c r="U200" s="1023"/>
      <c r="V200" s="1023"/>
      <c r="W200" s="1023"/>
      <c r="X200" s="1023"/>
      <c r="Y200" s="1023"/>
      <c r="Z200" s="1023"/>
    </row>
    <row r="201" spans="1:26" ht="11.25" customHeight="1" x14ac:dyDescent="0.2">
      <c r="A201" s="1023"/>
      <c r="B201" s="1023"/>
      <c r="C201" s="1023"/>
      <c r="D201" s="1023"/>
      <c r="E201" s="1023"/>
      <c r="F201" s="1023"/>
      <c r="G201" s="1023"/>
      <c r="H201" s="1023"/>
      <c r="I201" s="1023"/>
      <c r="J201" s="1023"/>
      <c r="K201" s="1023"/>
      <c r="L201" s="1023"/>
      <c r="M201" s="1023"/>
      <c r="N201" s="1023"/>
      <c r="O201" s="1023"/>
      <c r="P201" s="1023"/>
      <c r="Q201" s="1023"/>
      <c r="R201" s="1023"/>
      <c r="S201" s="1023"/>
      <c r="T201" s="1023"/>
      <c r="U201" s="1023"/>
      <c r="V201" s="1023"/>
      <c r="W201" s="1023"/>
      <c r="X201" s="1023"/>
      <c r="Y201" s="1023"/>
      <c r="Z201" s="1023"/>
    </row>
    <row r="202" spans="1:26" ht="11.25" customHeight="1" x14ac:dyDescent="0.2">
      <c r="A202" s="1023"/>
      <c r="B202" s="1023"/>
      <c r="C202" s="1023"/>
      <c r="D202" s="1023"/>
      <c r="E202" s="1023"/>
      <c r="F202" s="1023"/>
      <c r="G202" s="1023"/>
      <c r="H202" s="1023"/>
      <c r="I202" s="1023"/>
      <c r="J202" s="1023"/>
      <c r="K202" s="1023"/>
      <c r="L202" s="1023"/>
      <c r="M202" s="1023"/>
      <c r="N202" s="1023"/>
      <c r="O202" s="1023"/>
      <c r="P202" s="1023"/>
      <c r="Q202" s="1023"/>
      <c r="R202" s="1023"/>
      <c r="S202" s="1023"/>
      <c r="T202" s="1023"/>
      <c r="U202" s="1023"/>
      <c r="V202" s="1023"/>
      <c r="W202" s="1023"/>
      <c r="X202" s="1023"/>
      <c r="Y202" s="1023"/>
      <c r="Z202" s="1023"/>
    </row>
    <row r="203" spans="1:26" ht="11.25" customHeight="1" x14ac:dyDescent="0.2">
      <c r="A203" s="1023"/>
      <c r="B203" s="1023"/>
      <c r="C203" s="1023"/>
      <c r="D203" s="1023"/>
      <c r="E203" s="1023"/>
      <c r="F203" s="1023"/>
      <c r="G203" s="1023"/>
      <c r="H203" s="1023"/>
      <c r="I203" s="1023"/>
      <c r="J203" s="1023"/>
      <c r="K203" s="1023"/>
      <c r="L203" s="1023"/>
      <c r="M203" s="1023"/>
      <c r="N203" s="1023"/>
      <c r="O203" s="1023"/>
      <c r="P203" s="1023"/>
      <c r="Q203" s="1023"/>
      <c r="R203" s="1023"/>
      <c r="S203" s="1023"/>
      <c r="T203" s="1023"/>
      <c r="U203" s="1023"/>
      <c r="V203" s="1023"/>
      <c r="W203" s="1023"/>
      <c r="X203" s="1023"/>
      <c r="Y203" s="1023"/>
      <c r="Z203" s="1023"/>
    </row>
    <row r="204" spans="1:26" ht="11.25" customHeight="1" x14ac:dyDescent="0.2">
      <c r="A204" s="1023"/>
      <c r="B204" s="1023"/>
      <c r="C204" s="1023"/>
      <c r="D204" s="1023"/>
      <c r="E204" s="1023"/>
      <c r="F204" s="1023"/>
      <c r="G204" s="1023"/>
      <c r="H204" s="1023"/>
      <c r="I204" s="1023"/>
      <c r="J204" s="1023"/>
      <c r="K204" s="1023"/>
      <c r="L204" s="1023"/>
      <c r="M204" s="1023"/>
      <c r="N204" s="1023"/>
      <c r="O204" s="1023"/>
      <c r="P204" s="1023"/>
      <c r="Q204" s="1023"/>
      <c r="R204" s="1023"/>
      <c r="S204" s="1023"/>
      <c r="T204" s="1023"/>
      <c r="U204" s="1023"/>
      <c r="V204" s="1023"/>
      <c r="W204" s="1023"/>
      <c r="X204" s="1023"/>
      <c r="Y204" s="1023"/>
      <c r="Z204" s="1023"/>
    </row>
    <row r="205" spans="1:26" ht="11.25" customHeight="1" x14ac:dyDescent="0.2">
      <c r="A205" s="1023"/>
      <c r="B205" s="1023"/>
      <c r="C205" s="1023"/>
      <c r="D205" s="1023"/>
      <c r="E205" s="1023"/>
      <c r="F205" s="1023"/>
      <c r="G205" s="1023"/>
      <c r="H205" s="1023"/>
      <c r="I205" s="1023"/>
      <c r="J205" s="1023"/>
      <c r="K205" s="1023"/>
      <c r="L205" s="1023"/>
      <c r="M205" s="1023"/>
      <c r="N205" s="1023"/>
      <c r="O205" s="1023"/>
      <c r="P205" s="1023"/>
      <c r="Q205" s="1023"/>
      <c r="R205" s="1023"/>
      <c r="S205" s="1023"/>
      <c r="T205" s="1023"/>
      <c r="U205" s="1023"/>
      <c r="V205" s="1023"/>
      <c r="W205" s="1023"/>
      <c r="X205" s="1023"/>
      <c r="Y205" s="1023"/>
      <c r="Z205" s="1023"/>
    </row>
    <row r="206" spans="1:26" ht="11.25" customHeight="1" x14ac:dyDescent="0.2">
      <c r="A206" s="1023"/>
      <c r="B206" s="1023"/>
      <c r="C206" s="1023"/>
      <c r="D206" s="1023"/>
      <c r="E206" s="1023"/>
      <c r="F206" s="1023"/>
      <c r="G206" s="1023"/>
      <c r="H206" s="1023"/>
      <c r="I206" s="1023"/>
      <c r="J206" s="1023"/>
      <c r="K206" s="1023"/>
      <c r="L206" s="1023"/>
      <c r="M206" s="1023"/>
      <c r="N206" s="1023"/>
      <c r="O206" s="1023"/>
      <c r="P206" s="1023"/>
      <c r="Q206" s="1023"/>
      <c r="R206" s="1023"/>
      <c r="S206" s="1023"/>
      <c r="T206" s="1023"/>
      <c r="U206" s="1023"/>
      <c r="V206" s="1023"/>
      <c r="W206" s="1023"/>
      <c r="X206" s="1023"/>
      <c r="Y206" s="1023"/>
      <c r="Z206" s="1023"/>
    </row>
    <row r="207" spans="1:26" ht="11.25" customHeight="1" x14ac:dyDescent="0.2">
      <c r="A207" s="1023"/>
      <c r="B207" s="1023"/>
      <c r="C207" s="1023"/>
      <c r="D207" s="1023"/>
      <c r="E207" s="1023"/>
      <c r="F207" s="1023"/>
      <c r="G207" s="1023"/>
      <c r="H207" s="1023"/>
      <c r="I207" s="1023"/>
      <c r="J207" s="1023"/>
      <c r="K207" s="1023"/>
      <c r="L207" s="1023"/>
      <c r="M207" s="1023"/>
      <c r="N207" s="1023"/>
      <c r="O207" s="1023"/>
      <c r="P207" s="1023"/>
      <c r="Q207" s="1023"/>
      <c r="R207" s="1023"/>
      <c r="S207" s="1023"/>
      <c r="T207" s="1023"/>
      <c r="U207" s="1023"/>
      <c r="V207" s="1023"/>
      <c r="W207" s="1023"/>
      <c r="X207" s="1023"/>
      <c r="Y207" s="1023"/>
      <c r="Z207" s="1023"/>
    </row>
    <row r="208" spans="1:26" ht="11.25" customHeight="1" x14ac:dyDescent="0.2">
      <c r="A208" s="1023"/>
      <c r="B208" s="1023"/>
      <c r="C208" s="1023"/>
      <c r="D208" s="1023"/>
      <c r="E208" s="1023"/>
      <c r="F208" s="1023"/>
      <c r="G208" s="1023"/>
      <c r="H208" s="1023"/>
      <c r="I208" s="1023"/>
      <c r="J208" s="1023"/>
      <c r="K208" s="1023"/>
      <c r="L208" s="1023"/>
      <c r="M208" s="1023"/>
      <c r="N208" s="1023"/>
      <c r="O208" s="1023"/>
      <c r="P208" s="1023"/>
      <c r="Q208" s="1023"/>
      <c r="R208" s="1023"/>
      <c r="S208" s="1023"/>
      <c r="T208" s="1023"/>
      <c r="U208" s="1023"/>
      <c r="V208" s="1023"/>
      <c r="W208" s="1023"/>
      <c r="X208" s="1023"/>
      <c r="Y208" s="1023"/>
      <c r="Z208" s="1023"/>
    </row>
    <row r="209" spans="1:26" ht="11.25" customHeight="1" x14ac:dyDescent="0.2">
      <c r="A209" s="1023"/>
      <c r="B209" s="1023"/>
      <c r="C209" s="1023"/>
      <c r="D209" s="1023"/>
      <c r="E209" s="1023"/>
      <c r="F209" s="1023"/>
      <c r="G209" s="1023"/>
      <c r="H209" s="1023"/>
      <c r="I209" s="1023"/>
      <c r="J209" s="1023"/>
      <c r="K209" s="1023"/>
      <c r="L209" s="1023"/>
      <c r="M209" s="1023"/>
      <c r="N209" s="1023"/>
      <c r="O209" s="1023"/>
      <c r="P209" s="1023"/>
      <c r="Q209" s="1023"/>
      <c r="R209" s="1023"/>
      <c r="S209" s="1023"/>
      <c r="T209" s="1023"/>
      <c r="U209" s="1023"/>
      <c r="V209" s="1023"/>
      <c r="W209" s="1023"/>
      <c r="X209" s="1023"/>
      <c r="Y209" s="1023"/>
      <c r="Z209" s="1023"/>
    </row>
    <row r="210" spans="1:26" ht="11.25" customHeight="1" x14ac:dyDescent="0.2">
      <c r="A210" s="1023"/>
      <c r="B210" s="1023"/>
      <c r="C210" s="1023"/>
      <c r="D210" s="1023"/>
      <c r="E210" s="1023"/>
      <c r="F210" s="1023"/>
      <c r="G210" s="1023"/>
      <c r="H210" s="1023"/>
      <c r="I210" s="1023"/>
      <c r="J210" s="1023"/>
      <c r="K210" s="1023"/>
      <c r="L210" s="1023"/>
      <c r="M210" s="1023"/>
      <c r="N210" s="1023"/>
      <c r="O210" s="1023"/>
      <c r="P210" s="1023"/>
      <c r="Q210" s="1023"/>
      <c r="R210" s="1023"/>
      <c r="S210" s="1023"/>
      <c r="T210" s="1023"/>
      <c r="U210" s="1023"/>
      <c r="V210" s="1023"/>
      <c r="W210" s="1023"/>
      <c r="X210" s="1023"/>
      <c r="Y210" s="1023"/>
      <c r="Z210" s="1023"/>
    </row>
    <row r="211" spans="1:26" ht="11.25" customHeight="1" x14ac:dyDescent="0.2">
      <c r="A211" s="1023"/>
      <c r="B211" s="1023"/>
      <c r="C211" s="1023"/>
      <c r="D211" s="1023"/>
      <c r="E211" s="1023"/>
      <c r="F211" s="1023"/>
      <c r="G211" s="1023"/>
      <c r="H211" s="1023"/>
      <c r="I211" s="1023"/>
      <c r="J211" s="1023"/>
      <c r="K211" s="1023"/>
      <c r="L211" s="1023"/>
      <c r="M211" s="1023"/>
      <c r="N211" s="1023"/>
      <c r="O211" s="1023"/>
      <c r="P211" s="1023"/>
      <c r="Q211" s="1023"/>
      <c r="R211" s="1023"/>
      <c r="S211" s="1023"/>
      <c r="T211" s="1023"/>
      <c r="U211" s="1023"/>
      <c r="V211" s="1023"/>
      <c r="W211" s="1023"/>
      <c r="X211" s="1023"/>
      <c r="Y211" s="1023"/>
      <c r="Z211" s="1023"/>
    </row>
    <row r="212" spans="1:26" ht="11.25" customHeight="1" x14ac:dyDescent="0.2">
      <c r="A212" s="1023"/>
      <c r="B212" s="1023"/>
      <c r="C212" s="1023"/>
      <c r="D212" s="1023"/>
      <c r="E212" s="1023"/>
      <c r="F212" s="1023"/>
      <c r="G212" s="1023"/>
      <c r="H212" s="1023"/>
      <c r="I212" s="1023"/>
      <c r="J212" s="1023"/>
      <c r="K212" s="1023"/>
      <c r="L212" s="1023"/>
      <c r="M212" s="1023"/>
      <c r="N212" s="1023"/>
      <c r="O212" s="1023"/>
      <c r="P212" s="1023"/>
      <c r="Q212" s="1023"/>
      <c r="R212" s="1023"/>
      <c r="S212" s="1023"/>
      <c r="T212" s="1023"/>
      <c r="U212" s="1023"/>
      <c r="V212" s="1023"/>
      <c r="W212" s="1023"/>
      <c r="X212" s="1023"/>
      <c r="Y212" s="1023"/>
      <c r="Z212" s="1023"/>
    </row>
    <row r="213" spans="1:26" ht="11.25" customHeight="1" x14ac:dyDescent="0.2">
      <c r="A213" s="1023"/>
      <c r="B213" s="1023"/>
      <c r="C213" s="1023"/>
      <c r="D213" s="1023"/>
      <c r="E213" s="1023"/>
      <c r="F213" s="1023"/>
      <c r="G213" s="1023"/>
      <c r="H213" s="1023"/>
      <c r="I213" s="1023"/>
      <c r="J213" s="1023"/>
      <c r="K213" s="1023"/>
      <c r="L213" s="1023"/>
      <c r="M213" s="1023"/>
      <c r="N213" s="1023"/>
      <c r="O213" s="1023"/>
      <c r="P213" s="1023"/>
      <c r="Q213" s="1023"/>
      <c r="R213" s="1023"/>
      <c r="S213" s="1023"/>
      <c r="T213" s="1023"/>
      <c r="U213" s="1023"/>
      <c r="V213" s="1023"/>
      <c r="W213" s="1023"/>
      <c r="X213" s="1023"/>
      <c r="Y213" s="1023"/>
      <c r="Z213" s="1023"/>
    </row>
    <row r="214" spans="1:26" ht="11.25" customHeight="1" x14ac:dyDescent="0.2">
      <c r="A214" s="1023"/>
      <c r="B214" s="1023"/>
      <c r="C214" s="1023"/>
      <c r="D214" s="1023"/>
      <c r="E214" s="1023"/>
      <c r="F214" s="1023"/>
      <c r="G214" s="1023"/>
      <c r="H214" s="1023"/>
      <c r="I214" s="1023"/>
      <c r="J214" s="1023"/>
      <c r="K214" s="1023"/>
      <c r="L214" s="1023"/>
      <c r="M214" s="1023"/>
      <c r="N214" s="1023"/>
      <c r="O214" s="1023"/>
      <c r="P214" s="1023"/>
      <c r="Q214" s="1023"/>
      <c r="R214" s="1023"/>
      <c r="S214" s="1023"/>
      <c r="T214" s="1023"/>
      <c r="U214" s="1023"/>
      <c r="V214" s="1023"/>
      <c r="W214" s="1023"/>
      <c r="X214" s="1023"/>
      <c r="Y214" s="1023"/>
      <c r="Z214" s="1023"/>
    </row>
    <row r="215" spans="1:26" ht="11.25" customHeight="1" x14ac:dyDescent="0.2">
      <c r="A215" s="1023"/>
      <c r="B215" s="1023"/>
      <c r="C215" s="1023"/>
      <c r="D215" s="1023"/>
      <c r="E215" s="1023"/>
      <c r="F215" s="1023"/>
      <c r="G215" s="1023"/>
      <c r="H215" s="1023"/>
      <c r="I215" s="1023"/>
      <c r="J215" s="1023"/>
      <c r="K215" s="1023"/>
      <c r="L215" s="1023"/>
      <c r="M215" s="1023"/>
      <c r="N215" s="1023"/>
      <c r="O215" s="1023"/>
      <c r="P215" s="1023"/>
      <c r="Q215" s="1023"/>
      <c r="R215" s="1023"/>
      <c r="S215" s="1023"/>
      <c r="T215" s="1023"/>
      <c r="U215" s="1023"/>
      <c r="V215" s="1023"/>
      <c r="W215" s="1023"/>
      <c r="X215" s="1023"/>
      <c r="Y215" s="1023"/>
      <c r="Z215" s="1023"/>
    </row>
    <row r="216" spans="1:26" ht="11.25" customHeight="1" x14ac:dyDescent="0.2">
      <c r="A216" s="1023"/>
      <c r="B216" s="1023"/>
      <c r="C216" s="1023"/>
      <c r="D216" s="1023"/>
      <c r="E216" s="1023"/>
      <c r="F216" s="1023"/>
      <c r="G216" s="1023"/>
      <c r="H216" s="1023"/>
      <c r="I216" s="1023"/>
      <c r="J216" s="1023"/>
      <c r="K216" s="1023"/>
      <c r="L216" s="1023"/>
      <c r="M216" s="1023"/>
      <c r="N216" s="1023"/>
      <c r="O216" s="1023"/>
      <c r="P216" s="1023"/>
      <c r="Q216" s="1023"/>
      <c r="R216" s="1023"/>
      <c r="S216" s="1023"/>
      <c r="T216" s="1023"/>
      <c r="U216" s="1023"/>
      <c r="V216" s="1023"/>
      <c r="W216" s="1023"/>
      <c r="X216" s="1023"/>
      <c r="Y216" s="1023"/>
      <c r="Z216" s="1023"/>
    </row>
    <row r="217" spans="1:26" ht="11.25" customHeight="1" x14ac:dyDescent="0.2">
      <c r="A217" s="1023"/>
      <c r="B217" s="1023"/>
      <c r="C217" s="1023"/>
      <c r="D217" s="1023"/>
      <c r="E217" s="1023"/>
      <c r="F217" s="1023"/>
      <c r="G217" s="1023"/>
      <c r="H217" s="1023"/>
      <c r="I217" s="1023"/>
      <c r="J217" s="1023"/>
      <c r="K217" s="1023"/>
      <c r="L217" s="1023"/>
      <c r="M217" s="1023"/>
      <c r="N217" s="1023"/>
      <c r="O217" s="1023"/>
      <c r="P217" s="1023"/>
      <c r="Q217" s="1023"/>
      <c r="R217" s="1023"/>
      <c r="S217" s="1023"/>
      <c r="T217" s="1023"/>
      <c r="U217" s="1023"/>
      <c r="V217" s="1023"/>
      <c r="W217" s="1023"/>
      <c r="X217" s="1023"/>
      <c r="Y217" s="1023"/>
      <c r="Z217" s="1023"/>
    </row>
    <row r="218" spans="1:26" ht="11.25" customHeight="1" x14ac:dyDescent="0.2">
      <c r="A218" s="1023"/>
      <c r="B218" s="1023"/>
      <c r="C218" s="1023"/>
      <c r="D218" s="1023"/>
      <c r="E218" s="1023"/>
      <c r="F218" s="1023"/>
      <c r="G218" s="1023"/>
      <c r="H218" s="1023"/>
      <c r="I218" s="1023"/>
      <c r="J218" s="1023"/>
      <c r="K218" s="1023"/>
      <c r="L218" s="1023"/>
      <c r="M218" s="1023"/>
      <c r="N218" s="1023"/>
      <c r="O218" s="1023"/>
      <c r="P218" s="1023"/>
      <c r="Q218" s="1023"/>
      <c r="R218" s="1023"/>
      <c r="S218" s="1023"/>
      <c r="T218" s="1023"/>
      <c r="U218" s="1023"/>
      <c r="V218" s="1023"/>
      <c r="W218" s="1023"/>
      <c r="X218" s="1023"/>
      <c r="Y218" s="1023"/>
      <c r="Z218" s="1023"/>
    </row>
    <row r="219" spans="1:26" ht="11.25" customHeight="1" x14ac:dyDescent="0.2">
      <c r="A219" s="1023"/>
      <c r="B219" s="1023"/>
      <c r="C219" s="1023"/>
      <c r="D219" s="1023"/>
      <c r="E219" s="1023"/>
      <c r="F219" s="1023"/>
      <c r="G219" s="1023"/>
      <c r="H219" s="1023"/>
      <c r="I219" s="1023"/>
      <c r="J219" s="1023"/>
      <c r="K219" s="1023"/>
      <c r="L219" s="1023"/>
      <c r="M219" s="1023"/>
      <c r="N219" s="1023"/>
      <c r="O219" s="1023"/>
      <c r="P219" s="1023"/>
      <c r="Q219" s="1023"/>
      <c r="R219" s="1023"/>
      <c r="S219" s="1023"/>
      <c r="T219" s="1023"/>
      <c r="U219" s="1023"/>
      <c r="V219" s="1023"/>
      <c r="W219" s="1023"/>
      <c r="X219" s="1023"/>
      <c r="Y219" s="1023"/>
      <c r="Z219" s="1023"/>
    </row>
    <row r="220" spans="1:26" ht="11.25" customHeight="1" x14ac:dyDescent="0.2">
      <c r="A220" s="1023"/>
      <c r="B220" s="1023"/>
      <c r="C220" s="1023"/>
      <c r="D220" s="1023"/>
      <c r="E220" s="1023"/>
      <c r="F220" s="1023"/>
      <c r="G220" s="1023"/>
      <c r="H220" s="1023"/>
      <c r="I220" s="1023"/>
      <c r="J220" s="1023"/>
      <c r="K220" s="1023"/>
      <c r="L220" s="1023"/>
      <c r="M220" s="1023"/>
      <c r="N220" s="1023"/>
      <c r="O220" s="1023"/>
      <c r="P220" s="1023"/>
      <c r="Q220" s="1023"/>
      <c r="R220" s="1023"/>
      <c r="S220" s="1023"/>
      <c r="T220" s="1023"/>
      <c r="U220" s="1023"/>
      <c r="V220" s="1023"/>
      <c r="W220" s="1023"/>
      <c r="X220" s="1023"/>
      <c r="Y220" s="1023"/>
      <c r="Z220" s="1023"/>
    </row>
    <row r="221" spans="1:26" ht="11.25" customHeight="1" x14ac:dyDescent="0.2">
      <c r="A221" s="1023"/>
      <c r="B221" s="1023"/>
      <c r="C221" s="1023"/>
      <c r="D221" s="1023"/>
      <c r="E221" s="1023"/>
      <c r="F221" s="1023"/>
      <c r="G221" s="1023"/>
      <c r="H221" s="1023"/>
      <c r="I221" s="1023"/>
      <c r="J221" s="1023"/>
      <c r="K221" s="1023"/>
      <c r="L221" s="1023"/>
      <c r="M221" s="1023"/>
      <c r="N221" s="1023"/>
      <c r="O221" s="1023"/>
      <c r="P221" s="1023"/>
      <c r="Q221" s="1023"/>
      <c r="R221" s="1023"/>
      <c r="S221" s="1023"/>
      <c r="T221" s="1023"/>
      <c r="U221" s="1023"/>
      <c r="V221" s="1023"/>
      <c r="W221" s="1023"/>
      <c r="X221" s="1023"/>
      <c r="Y221" s="1023"/>
      <c r="Z221" s="1023"/>
    </row>
    <row r="222" spans="1:26" ht="11.25" customHeight="1" x14ac:dyDescent="0.2">
      <c r="A222" s="1023"/>
      <c r="B222" s="1023"/>
      <c r="C222" s="1023"/>
      <c r="D222" s="1023"/>
      <c r="E222" s="1023"/>
      <c r="F222" s="1023"/>
      <c r="G222" s="1023"/>
      <c r="H222" s="1023"/>
      <c r="I222" s="1023"/>
      <c r="J222" s="1023"/>
      <c r="K222" s="1023"/>
      <c r="L222" s="1023"/>
      <c r="M222" s="1023"/>
      <c r="N222" s="1023"/>
      <c r="O222" s="1023"/>
      <c r="P222" s="1023"/>
      <c r="Q222" s="1023"/>
      <c r="R222" s="1023"/>
      <c r="S222" s="1023"/>
      <c r="T222" s="1023"/>
      <c r="U222" s="1023"/>
      <c r="V222" s="1023"/>
      <c r="W222" s="1023"/>
      <c r="X222" s="1023"/>
      <c r="Y222" s="1023"/>
      <c r="Z222" s="1023"/>
    </row>
    <row r="223" spans="1:26" ht="11.25" customHeight="1" x14ac:dyDescent="0.2">
      <c r="A223" s="1023"/>
      <c r="B223" s="1023"/>
      <c r="C223" s="1023"/>
      <c r="D223" s="1023"/>
      <c r="E223" s="1023"/>
      <c r="F223" s="1023"/>
      <c r="G223" s="1023"/>
      <c r="H223" s="1023"/>
      <c r="I223" s="1023"/>
      <c r="J223" s="1023"/>
      <c r="K223" s="1023"/>
      <c r="L223" s="1023"/>
      <c r="M223" s="1023"/>
      <c r="N223" s="1023"/>
      <c r="O223" s="1023"/>
      <c r="P223" s="1023"/>
      <c r="Q223" s="1023"/>
      <c r="R223" s="1023"/>
      <c r="S223" s="1023"/>
      <c r="T223" s="1023"/>
      <c r="U223" s="1023"/>
      <c r="V223" s="1023"/>
      <c r="W223" s="1023"/>
      <c r="X223" s="1023"/>
      <c r="Y223" s="1023"/>
      <c r="Z223" s="1023"/>
    </row>
    <row r="224" spans="1:26" ht="11.25" customHeight="1" x14ac:dyDescent="0.2">
      <c r="A224" s="1023"/>
      <c r="B224" s="1023"/>
      <c r="C224" s="1023"/>
      <c r="D224" s="1023"/>
      <c r="E224" s="1023"/>
      <c r="F224" s="1023"/>
      <c r="G224" s="1023"/>
      <c r="H224" s="1023"/>
      <c r="I224" s="1023"/>
      <c r="J224" s="1023"/>
      <c r="K224" s="1023"/>
      <c r="L224" s="1023"/>
      <c r="M224" s="1023"/>
      <c r="N224" s="1023"/>
      <c r="O224" s="1023"/>
      <c r="P224" s="1023"/>
      <c r="Q224" s="1023"/>
      <c r="R224" s="1023"/>
      <c r="S224" s="1023"/>
      <c r="T224" s="1023"/>
      <c r="U224" s="1023"/>
      <c r="V224" s="1023"/>
      <c r="W224" s="1023"/>
      <c r="X224" s="1023"/>
      <c r="Y224" s="1023"/>
      <c r="Z224" s="1023"/>
    </row>
    <row r="225" spans="1:26" ht="11.25" customHeight="1" x14ac:dyDescent="0.2">
      <c r="A225" s="1023"/>
      <c r="B225" s="1023"/>
      <c r="C225" s="1023"/>
      <c r="D225" s="1023"/>
      <c r="E225" s="1023"/>
      <c r="F225" s="1023"/>
      <c r="G225" s="1023"/>
      <c r="H225" s="1023"/>
      <c r="I225" s="1023"/>
      <c r="J225" s="1023"/>
      <c r="K225" s="1023"/>
      <c r="L225" s="1023"/>
      <c r="M225" s="1023"/>
      <c r="N225" s="1023"/>
      <c r="O225" s="1023"/>
      <c r="P225" s="1023"/>
      <c r="Q225" s="1023"/>
      <c r="R225" s="1023"/>
      <c r="S225" s="1023"/>
      <c r="T225" s="1023"/>
      <c r="U225" s="1023"/>
      <c r="V225" s="1023"/>
      <c r="W225" s="1023"/>
      <c r="X225" s="1023"/>
      <c r="Y225" s="1023"/>
      <c r="Z225" s="1023"/>
    </row>
    <row r="226" spans="1:26" ht="11.25" customHeight="1" x14ac:dyDescent="0.2">
      <c r="A226" s="1023"/>
      <c r="B226" s="1023"/>
      <c r="C226" s="1023"/>
      <c r="D226" s="1023"/>
      <c r="E226" s="1023"/>
      <c r="F226" s="1023"/>
      <c r="G226" s="1023"/>
      <c r="H226" s="1023"/>
      <c r="I226" s="1023"/>
      <c r="J226" s="1023"/>
      <c r="K226" s="1023"/>
      <c r="L226" s="1023"/>
      <c r="M226" s="1023"/>
      <c r="N226" s="1023"/>
      <c r="O226" s="1023"/>
      <c r="P226" s="1023"/>
      <c r="Q226" s="1023"/>
      <c r="R226" s="1023"/>
      <c r="S226" s="1023"/>
      <c r="T226" s="1023"/>
      <c r="U226" s="1023"/>
      <c r="V226" s="1023"/>
      <c r="W226" s="1023"/>
      <c r="X226" s="1023"/>
      <c r="Y226" s="1023"/>
      <c r="Z226" s="1023"/>
    </row>
    <row r="227" spans="1:26" ht="11.25" customHeight="1" x14ac:dyDescent="0.2">
      <c r="A227" s="1023"/>
      <c r="B227" s="1023"/>
      <c r="C227" s="1023"/>
      <c r="D227" s="1023"/>
      <c r="E227" s="1023"/>
      <c r="F227" s="1023"/>
      <c r="G227" s="1023"/>
      <c r="H227" s="1023"/>
      <c r="I227" s="1023"/>
      <c r="J227" s="1023"/>
      <c r="K227" s="1023"/>
      <c r="L227" s="1023"/>
      <c r="M227" s="1023"/>
      <c r="N227" s="1023"/>
      <c r="O227" s="1023"/>
      <c r="P227" s="1023"/>
      <c r="Q227" s="1023"/>
      <c r="R227" s="1023"/>
      <c r="S227" s="1023"/>
      <c r="T227" s="1023"/>
      <c r="U227" s="1023"/>
      <c r="V227" s="1023"/>
      <c r="W227" s="1023"/>
      <c r="X227" s="1023"/>
      <c r="Y227" s="1023"/>
      <c r="Z227" s="1023"/>
    </row>
    <row r="228" spans="1:26" ht="11.25" customHeight="1" x14ac:dyDescent="0.2">
      <c r="A228" s="1023"/>
      <c r="B228" s="1023"/>
      <c r="C228" s="1023"/>
      <c r="D228" s="1023"/>
      <c r="E228" s="1023"/>
      <c r="F228" s="1023"/>
      <c r="G228" s="1023"/>
      <c r="H228" s="1023"/>
      <c r="I228" s="1023"/>
      <c r="J228" s="1023"/>
      <c r="K228" s="1023"/>
      <c r="L228" s="1023"/>
      <c r="M228" s="1023"/>
      <c r="N228" s="1023"/>
      <c r="O228" s="1023"/>
      <c r="P228" s="1023"/>
      <c r="Q228" s="1023"/>
      <c r="R228" s="1023"/>
      <c r="S228" s="1023"/>
      <c r="T228" s="1023"/>
      <c r="U228" s="1023"/>
      <c r="V228" s="1023"/>
      <c r="W228" s="1023"/>
      <c r="X228" s="1023"/>
      <c r="Y228" s="1023"/>
      <c r="Z228" s="1023"/>
    </row>
    <row r="229" spans="1:26" ht="11.25" customHeight="1" x14ac:dyDescent="0.2">
      <c r="A229" s="1023"/>
      <c r="B229" s="1023"/>
      <c r="C229" s="1023"/>
      <c r="D229" s="1023"/>
      <c r="E229" s="1023"/>
      <c r="F229" s="1023"/>
      <c r="G229" s="1023"/>
      <c r="H229" s="1023"/>
      <c r="I229" s="1023"/>
      <c r="J229" s="1023"/>
      <c r="K229" s="1023"/>
      <c r="L229" s="1023"/>
      <c r="M229" s="1023"/>
      <c r="N229" s="1023"/>
      <c r="O229" s="1023"/>
      <c r="P229" s="1023"/>
      <c r="Q229" s="1023"/>
      <c r="R229" s="1023"/>
      <c r="S229" s="1023"/>
      <c r="T229" s="1023"/>
      <c r="U229" s="1023"/>
      <c r="V229" s="1023"/>
      <c r="W229" s="1023"/>
      <c r="X229" s="1023"/>
      <c r="Y229" s="1023"/>
      <c r="Z229" s="1023"/>
    </row>
    <row r="230" spans="1:26" ht="11.25" customHeight="1" x14ac:dyDescent="0.2">
      <c r="A230" s="1023"/>
      <c r="B230" s="1023"/>
      <c r="C230" s="1023"/>
      <c r="D230" s="1023"/>
      <c r="E230" s="1023"/>
      <c r="F230" s="1023"/>
      <c r="G230" s="1023"/>
      <c r="H230" s="1023"/>
      <c r="I230" s="1023"/>
      <c r="J230" s="1023"/>
      <c r="K230" s="1023"/>
      <c r="L230" s="1023"/>
      <c r="M230" s="1023"/>
      <c r="N230" s="1023"/>
      <c r="O230" s="1023"/>
      <c r="P230" s="1023"/>
      <c r="Q230" s="1023"/>
      <c r="R230" s="1023"/>
      <c r="S230" s="1023"/>
      <c r="T230" s="1023"/>
      <c r="U230" s="1023"/>
      <c r="V230" s="1023"/>
      <c r="W230" s="1023"/>
      <c r="X230" s="1023"/>
      <c r="Y230" s="1023"/>
      <c r="Z230" s="1023"/>
    </row>
    <row r="231" spans="1:26" ht="11.25" customHeight="1" x14ac:dyDescent="0.2">
      <c r="A231" s="1023"/>
      <c r="B231" s="1023"/>
      <c r="C231" s="1023"/>
      <c r="D231" s="1023"/>
      <c r="E231" s="1023"/>
      <c r="F231" s="1023"/>
      <c r="G231" s="1023"/>
      <c r="H231" s="1023"/>
      <c r="I231" s="1023"/>
      <c r="J231" s="1023"/>
      <c r="K231" s="1023"/>
      <c r="L231" s="1023"/>
      <c r="M231" s="1023"/>
      <c r="N231" s="1023"/>
      <c r="O231" s="1023"/>
      <c r="P231" s="1023"/>
      <c r="Q231" s="1023"/>
      <c r="R231" s="1023"/>
      <c r="S231" s="1023"/>
      <c r="T231" s="1023"/>
      <c r="U231" s="1023"/>
      <c r="V231" s="1023"/>
      <c r="W231" s="1023"/>
      <c r="X231" s="1023"/>
      <c r="Y231" s="1023"/>
      <c r="Z231" s="1023"/>
    </row>
    <row r="232" spans="1:26" ht="11.25" customHeight="1" x14ac:dyDescent="0.2">
      <c r="A232" s="1023"/>
      <c r="B232" s="1023"/>
      <c r="C232" s="1023"/>
      <c r="D232" s="1023"/>
      <c r="E232" s="1023"/>
      <c r="F232" s="1023"/>
      <c r="G232" s="1023"/>
      <c r="H232" s="1023"/>
      <c r="I232" s="1023"/>
      <c r="J232" s="1023"/>
      <c r="K232" s="1023"/>
      <c r="L232" s="1023"/>
      <c r="M232" s="1023"/>
      <c r="N232" s="1023"/>
      <c r="O232" s="1023"/>
      <c r="P232" s="1023"/>
      <c r="Q232" s="1023"/>
      <c r="R232" s="1023"/>
      <c r="S232" s="1023"/>
      <c r="T232" s="1023"/>
      <c r="U232" s="1023"/>
      <c r="V232" s="1023"/>
      <c r="W232" s="1023"/>
      <c r="X232" s="1023"/>
      <c r="Y232" s="1023"/>
      <c r="Z232" s="1023"/>
    </row>
    <row r="233" spans="1:26" ht="11.25" customHeight="1" x14ac:dyDescent="0.2">
      <c r="A233" s="1023"/>
      <c r="B233" s="1023"/>
      <c r="C233" s="1023"/>
      <c r="D233" s="1023"/>
      <c r="E233" s="1023"/>
      <c r="F233" s="1023"/>
      <c r="G233" s="1023"/>
      <c r="H233" s="1023"/>
      <c r="I233" s="1023"/>
      <c r="J233" s="1023"/>
      <c r="K233" s="1023"/>
      <c r="L233" s="1023"/>
      <c r="M233" s="1023"/>
      <c r="N233" s="1023"/>
      <c r="O233" s="1023"/>
      <c r="P233" s="1023"/>
      <c r="Q233" s="1023"/>
      <c r="R233" s="1023"/>
      <c r="S233" s="1023"/>
      <c r="T233" s="1023"/>
      <c r="U233" s="1023"/>
      <c r="V233" s="1023"/>
      <c r="W233" s="1023"/>
      <c r="X233" s="1023"/>
      <c r="Y233" s="1023"/>
      <c r="Z233" s="1023"/>
    </row>
    <row r="234" spans="1:26" ht="11.25" customHeight="1" x14ac:dyDescent="0.2">
      <c r="A234" s="1023"/>
      <c r="B234" s="1023"/>
      <c r="C234" s="1023"/>
      <c r="D234" s="1023"/>
      <c r="E234" s="1023"/>
      <c r="F234" s="1023"/>
      <c r="G234" s="1023"/>
      <c r="H234" s="1023"/>
      <c r="I234" s="1023"/>
      <c r="J234" s="1023"/>
      <c r="K234" s="1023"/>
      <c r="L234" s="1023"/>
      <c r="M234" s="1023"/>
      <c r="N234" s="1023"/>
      <c r="O234" s="1023"/>
      <c r="P234" s="1023"/>
      <c r="Q234" s="1023"/>
      <c r="R234" s="1023"/>
      <c r="S234" s="1023"/>
      <c r="T234" s="1023"/>
      <c r="U234" s="1023"/>
      <c r="V234" s="1023"/>
      <c r="W234" s="1023"/>
      <c r="X234" s="1023"/>
      <c r="Y234" s="1023"/>
      <c r="Z234" s="1023"/>
    </row>
    <row r="235" spans="1:26" ht="11.25" customHeight="1" x14ac:dyDescent="0.2">
      <c r="A235" s="1023"/>
      <c r="B235" s="1023"/>
      <c r="C235" s="1023"/>
      <c r="D235" s="1023"/>
      <c r="E235" s="1023"/>
      <c r="F235" s="1023"/>
      <c r="G235" s="1023"/>
      <c r="H235" s="1023"/>
      <c r="I235" s="1023"/>
      <c r="J235" s="1023"/>
      <c r="K235" s="1023"/>
      <c r="L235" s="1023"/>
      <c r="M235" s="1023"/>
      <c r="N235" s="1023"/>
      <c r="O235" s="1023"/>
      <c r="P235" s="1023"/>
      <c r="Q235" s="1023"/>
      <c r="R235" s="1023"/>
      <c r="S235" s="1023"/>
      <c r="T235" s="1023"/>
      <c r="U235" s="1023"/>
      <c r="V235" s="1023"/>
      <c r="W235" s="1023"/>
      <c r="X235" s="1023"/>
      <c r="Y235" s="1023"/>
      <c r="Z235" s="1023"/>
    </row>
    <row r="236" spans="1:26" ht="11.25" customHeight="1" x14ac:dyDescent="0.2">
      <c r="A236" s="1023"/>
      <c r="B236" s="1023"/>
      <c r="C236" s="1023"/>
      <c r="D236" s="1023"/>
      <c r="E236" s="1023"/>
      <c r="F236" s="1023"/>
      <c r="G236" s="1023"/>
      <c r="H236" s="1023"/>
      <c r="I236" s="1023"/>
      <c r="J236" s="1023"/>
      <c r="K236" s="1023"/>
      <c r="L236" s="1023"/>
      <c r="M236" s="1023"/>
      <c r="N236" s="1023"/>
      <c r="O236" s="1023"/>
      <c r="P236" s="1023"/>
      <c r="Q236" s="1023"/>
      <c r="R236" s="1023"/>
      <c r="S236" s="1023"/>
      <c r="T236" s="1023"/>
      <c r="U236" s="1023"/>
      <c r="V236" s="1023"/>
      <c r="W236" s="1023"/>
      <c r="X236" s="1023"/>
      <c r="Y236" s="1023"/>
      <c r="Z236" s="1023"/>
    </row>
    <row r="237" spans="1:26" ht="11.25" customHeight="1" x14ac:dyDescent="0.2">
      <c r="A237" s="1023"/>
      <c r="B237" s="1023"/>
      <c r="C237" s="1023"/>
      <c r="D237" s="1023"/>
      <c r="E237" s="1023"/>
      <c r="F237" s="1023"/>
      <c r="G237" s="1023"/>
      <c r="H237" s="1023"/>
      <c r="I237" s="1023"/>
      <c r="J237" s="1023"/>
      <c r="K237" s="1023"/>
      <c r="L237" s="1023"/>
      <c r="M237" s="1023"/>
      <c r="N237" s="1023"/>
      <c r="O237" s="1023"/>
      <c r="P237" s="1023"/>
      <c r="Q237" s="1023"/>
      <c r="R237" s="1023"/>
      <c r="S237" s="1023"/>
      <c r="T237" s="1023"/>
      <c r="U237" s="1023"/>
      <c r="V237" s="1023"/>
      <c r="W237" s="1023"/>
      <c r="X237" s="1023"/>
      <c r="Y237" s="1023"/>
      <c r="Z237" s="1023"/>
    </row>
    <row r="238" spans="1:26" ht="11.25" customHeight="1" x14ac:dyDescent="0.2">
      <c r="A238" s="1023"/>
      <c r="B238" s="1023"/>
      <c r="C238" s="1023"/>
      <c r="D238" s="1023"/>
      <c r="E238" s="1023"/>
      <c r="F238" s="1023"/>
      <c r="G238" s="1023"/>
      <c r="H238" s="1023"/>
      <c r="I238" s="1023"/>
      <c r="J238" s="1023"/>
      <c r="K238" s="1023"/>
      <c r="L238" s="1023"/>
      <c r="M238" s="1023"/>
      <c r="N238" s="1023"/>
      <c r="O238" s="1023"/>
      <c r="P238" s="1023"/>
      <c r="Q238" s="1023"/>
      <c r="R238" s="1023"/>
      <c r="S238" s="1023"/>
      <c r="T238" s="1023"/>
      <c r="U238" s="1023"/>
      <c r="V238" s="1023"/>
      <c r="W238" s="1023"/>
      <c r="X238" s="1023"/>
      <c r="Y238" s="1023"/>
      <c r="Z238" s="1023"/>
    </row>
    <row r="239" spans="1:26" ht="11.25" customHeight="1" x14ac:dyDescent="0.2">
      <c r="A239" s="1023"/>
      <c r="B239" s="1023"/>
      <c r="C239" s="1023"/>
      <c r="D239" s="1023"/>
      <c r="E239" s="1023"/>
      <c r="F239" s="1023"/>
      <c r="G239" s="1023"/>
      <c r="H239" s="1023"/>
      <c r="I239" s="1023"/>
      <c r="J239" s="1023"/>
      <c r="K239" s="1023"/>
      <c r="L239" s="1023"/>
      <c r="M239" s="1023"/>
      <c r="N239" s="1023"/>
      <c r="O239" s="1023"/>
      <c r="P239" s="1023"/>
      <c r="Q239" s="1023"/>
      <c r="R239" s="1023"/>
      <c r="S239" s="1023"/>
      <c r="T239" s="1023"/>
      <c r="U239" s="1023"/>
      <c r="V239" s="1023"/>
      <c r="W239" s="1023"/>
      <c r="X239" s="1023"/>
      <c r="Y239" s="1023"/>
      <c r="Z239" s="1023"/>
    </row>
    <row r="240" spans="1:26" ht="11.25" customHeight="1" x14ac:dyDescent="0.2">
      <c r="A240" s="1023"/>
      <c r="B240" s="1023"/>
      <c r="C240" s="1023"/>
      <c r="D240" s="1023"/>
      <c r="E240" s="1023"/>
      <c r="F240" s="1023"/>
      <c r="G240" s="1023"/>
      <c r="H240" s="1023"/>
      <c r="I240" s="1023"/>
      <c r="J240" s="1023"/>
      <c r="K240" s="1023"/>
      <c r="L240" s="1023"/>
      <c r="M240" s="1023"/>
      <c r="N240" s="1023"/>
      <c r="O240" s="1023"/>
      <c r="P240" s="1023"/>
      <c r="Q240" s="1023"/>
      <c r="R240" s="1023"/>
      <c r="S240" s="1023"/>
      <c r="T240" s="1023"/>
      <c r="U240" s="1023"/>
      <c r="V240" s="1023"/>
      <c r="W240" s="1023"/>
      <c r="X240" s="1023"/>
      <c r="Y240" s="1023"/>
      <c r="Z240" s="1023"/>
    </row>
    <row r="241" spans="1:26" ht="11.25" customHeight="1" x14ac:dyDescent="0.2">
      <c r="A241" s="1023"/>
      <c r="B241" s="1023"/>
      <c r="C241" s="1023"/>
      <c r="D241" s="1023"/>
      <c r="E241" s="1023"/>
      <c r="F241" s="1023"/>
      <c r="G241" s="1023"/>
      <c r="H241" s="1023"/>
      <c r="I241" s="1023"/>
      <c r="J241" s="1023"/>
      <c r="K241" s="1023"/>
      <c r="L241" s="1023"/>
      <c r="M241" s="1023"/>
      <c r="N241" s="1023"/>
      <c r="O241" s="1023"/>
      <c r="P241" s="1023"/>
      <c r="Q241" s="1023"/>
      <c r="R241" s="1023"/>
      <c r="S241" s="1023"/>
      <c r="T241" s="1023"/>
      <c r="U241" s="1023"/>
      <c r="V241" s="1023"/>
      <c r="W241" s="1023"/>
      <c r="X241" s="1023"/>
      <c r="Y241" s="1023"/>
      <c r="Z241" s="1023"/>
    </row>
    <row r="242" spans="1:26" ht="11.25" customHeight="1" x14ac:dyDescent="0.2">
      <c r="A242" s="1023"/>
      <c r="B242" s="1023"/>
      <c r="C242" s="1023"/>
      <c r="D242" s="1023"/>
      <c r="E242" s="1023"/>
      <c r="F242" s="1023"/>
      <c r="G242" s="1023"/>
      <c r="H242" s="1023"/>
      <c r="I242" s="1023"/>
      <c r="J242" s="1023"/>
      <c r="K242" s="1023"/>
      <c r="L242" s="1023"/>
      <c r="M242" s="1023"/>
      <c r="N242" s="1023"/>
      <c r="O242" s="1023"/>
      <c r="P242" s="1023"/>
      <c r="Q242" s="1023"/>
      <c r="R242" s="1023"/>
      <c r="S242" s="1023"/>
      <c r="T242" s="1023"/>
      <c r="U242" s="1023"/>
      <c r="V242" s="1023"/>
      <c r="W242" s="1023"/>
      <c r="X242" s="1023"/>
      <c r="Y242" s="1023"/>
      <c r="Z242" s="1023"/>
    </row>
    <row r="243" spans="1:26" ht="11.25" customHeight="1" x14ac:dyDescent="0.2">
      <c r="A243" s="1023"/>
      <c r="B243" s="1023"/>
      <c r="C243" s="1023"/>
      <c r="D243" s="1023"/>
      <c r="E243" s="1023"/>
      <c r="F243" s="1023"/>
      <c r="G243" s="1023"/>
      <c r="H243" s="1023"/>
      <c r="I243" s="1023"/>
      <c r="J243" s="1023"/>
      <c r="K243" s="1023"/>
      <c r="L243" s="1023"/>
      <c r="M243" s="1023"/>
      <c r="N243" s="1023"/>
      <c r="O243" s="1023"/>
      <c r="P243" s="1023"/>
      <c r="Q243" s="1023"/>
      <c r="R243" s="1023"/>
      <c r="S243" s="1023"/>
      <c r="T243" s="1023"/>
      <c r="U243" s="1023"/>
      <c r="V243" s="1023"/>
      <c r="W243" s="1023"/>
      <c r="X243" s="1023"/>
      <c r="Y243" s="1023"/>
      <c r="Z243" s="1023"/>
    </row>
    <row r="244" spans="1:26" ht="11.25" customHeight="1" x14ac:dyDescent="0.2">
      <c r="A244" s="1023"/>
      <c r="B244" s="1023"/>
      <c r="C244" s="1023"/>
      <c r="D244" s="1023"/>
      <c r="E244" s="1023"/>
      <c r="F244" s="1023"/>
      <c r="G244" s="1023"/>
      <c r="H244" s="1023"/>
      <c r="I244" s="1023"/>
      <c r="J244" s="1023"/>
      <c r="K244" s="1023"/>
      <c r="L244" s="1023"/>
      <c r="M244" s="1023"/>
      <c r="N244" s="1023"/>
      <c r="O244" s="1023"/>
      <c r="P244" s="1023"/>
      <c r="Q244" s="1023"/>
      <c r="R244" s="1023"/>
      <c r="S244" s="1023"/>
      <c r="T244" s="1023"/>
      <c r="U244" s="1023"/>
      <c r="V244" s="1023"/>
      <c r="W244" s="1023"/>
      <c r="X244" s="1023"/>
      <c r="Y244" s="1023"/>
      <c r="Z244" s="1023"/>
    </row>
    <row r="245" spans="1:26" ht="11.25" customHeight="1" x14ac:dyDescent="0.2">
      <c r="A245" s="1023"/>
      <c r="B245" s="1023"/>
      <c r="C245" s="1023"/>
      <c r="D245" s="1023"/>
      <c r="E245" s="1023"/>
      <c r="F245" s="1023"/>
      <c r="G245" s="1023"/>
      <c r="H245" s="1023"/>
      <c r="I245" s="1023"/>
      <c r="J245" s="1023"/>
      <c r="K245" s="1023"/>
      <c r="L245" s="1023"/>
      <c r="M245" s="1023"/>
      <c r="N245" s="1023"/>
      <c r="O245" s="1023"/>
      <c r="P245" s="1023"/>
      <c r="Q245" s="1023"/>
      <c r="R245" s="1023"/>
      <c r="S245" s="1023"/>
      <c r="T245" s="1023"/>
      <c r="U245" s="1023"/>
      <c r="V245" s="1023"/>
      <c r="W245" s="1023"/>
      <c r="X245" s="1023"/>
      <c r="Y245" s="1023"/>
      <c r="Z245" s="1023"/>
    </row>
    <row r="246" spans="1:26" ht="11.25" customHeight="1" x14ac:dyDescent="0.2">
      <c r="A246" s="1023"/>
      <c r="B246" s="1023"/>
      <c r="C246" s="1023"/>
      <c r="D246" s="1023"/>
      <c r="E246" s="1023"/>
      <c r="F246" s="1023"/>
      <c r="G246" s="1023"/>
      <c r="H246" s="1023"/>
      <c r="I246" s="1023"/>
      <c r="J246" s="1023"/>
      <c r="K246" s="1023"/>
      <c r="L246" s="1023"/>
      <c r="M246" s="1023"/>
      <c r="N246" s="1023"/>
      <c r="O246" s="1023"/>
      <c r="P246" s="1023"/>
      <c r="Q246" s="1023"/>
      <c r="R246" s="1023"/>
      <c r="S246" s="1023"/>
      <c r="T246" s="1023"/>
      <c r="U246" s="1023"/>
      <c r="V246" s="1023"/>
      <c r="W246" s="1023"/>
      <c r="X246" s="1023"/>
      <c r="Y246" s="1023"/>
      <c r="Z246" s="1023"/>
    </row>
    <row r="247" spans="1:26" ht="11.25" customHeight="1" x14ac:dyDescent="0.2">
      <c r="A247" s="1023"/>
      <c r="B247" s="1023"/>
      <c r="C247" s="1023"/>
      <c r="D247" s="1023"/>
      <c r="E247" s="1023"/>
      <c r="F247" s="1023"/>
      <c r="G247" s="1023"/>
      <c r="H247" s="1023"/>
      <c r="I247" s="1023"/>
      <c r="J247" s="1023"/>
      <c r="K247" s="1023"/>
      <c r="L247" s="1023"/>
      <c r="M247" s="1023"/>
      <c r="N247" s="1023"/>
      <c r="O247" s="1023"/>
      <c r="P247" s="1023"/>
      <c r="Q247" s="1023"/>
      <c r="R247" s="1023"/>
      <c r="S247" s="1023"/>
      <c r="T247" s="1023"/>
      <c r="U247" s="1023"/>
      <c r="V247" s="1023"/>
      <c r="W247" s="1023"/>
      <c r="X247" s="1023"/>
      <c r="Y247" s="1023"/>
      <c r="Z247" s="1023"/>
    </row>
    <row r="248" spans="1:26" ht="11.25" customHeight="1" x14ac:dyDescent="0.2">
      <c r="A248" s="1023"/>
      <c r="B248" s="1023"/>
      <c r="C248" s="1023"/>
      <c r="D248" s="1023"/>
      <c r="E248" s="1023"/>
      <c r="F248" s="1023"/>
      <c r="G248" s="1023"/>
      <c r="H248" s="1023"/>
      <c r="I248" s="1023"/>
      <c r="J248" s="1023"/>
      <c r="K248" s="1023"/>
      <c r="L248" s="1023"/>
      <c r="M248" s="1023"/>
      <c r="N248" s="1023"/>
      <c r="O248" s="1023"/>
      <c r="P248" s="1023"/>
      <c r="Q248" s="1023"/>
      <c r="R248" s="1023"/>
      <c r="S248" s="1023"/>
      <c r="T248" s="1023"/>
      <c r="U248" s="1023"/>
      <c r="V248" s="1023"/>
      <c r="W248" s="1023"/>
      <c r="X248" s="1023"/>
      <c r="Y248" s="1023"/>
      <c r="Z248" s="1023"/>
    </row>
    <row r="249" spans="1:26" ht="11.25" customHeight="1" x14ac:dyDescent="0.2">
      <c r="A249" s="1023"/>
      <c r="B249" s="1023"/>
      <c r="C249" s="1023"/>
      <c r="D249" s="1023"/>
      <c r="E249" s="1023"/>
      <c r="F249" s="1023"/>
      <c r="G249" s="1023"/>
      <c r="H249" s="1023"/>
      <c r="I249" s="1023"/>
      <c r="J249" s="1023"/>
      <c r="K249" s="1023"/>
      <c r="L249" s="1023"/>
      <c r="M249" s="1023"/>
      <c r="N249" s="1023"/>
      <c r="O249" s="1023"/>
      <c r="P249" s="1023"/>
      <c r="Q249" s="1023"/>
      <c r="R249" s="1023"/>
      <c r="S249" s="1023"/>
      <c r="T249" s="1023"/>
      <c r="U249" s="1023"/>
      <c r="V249" s="1023"/>
      <c r="W249" s="1023"/>
      <c r="X249" s="1023"/>
      <c r="Y249" s="1023"/>
      <c r="Z249" s="1023"/>
    </row>
    <row r="250" spans="1:26" ht="11.25" customHeight="1" x14ac:dyDescent="0.2">
      <c r="A250" s="1023"/>
      <c r="B250" s="1023"/>
      <c r="C250" s="1023"/>
      <c r="D250" s="1023"/>
      <c r="E250" s="1023"/>
      <c r="F250" s="1023"/>
      <c r="G250" s="1023"/>
      <c r="H250" s="1023"/>
      <c r="I250" s="1023"/>
      <c r="J250" s="1023"/>
      <c r="K250" s="1023"/>
      <c r="L250" s="1023"/>
      <c r="M250" s="1023"/>
      <c r="N250" s="1023"/>
      <c r="O250" s="1023"/>
      <c r="P250" s="1023"/>
      <c r="Q250" s="1023"/>
      <c r="R250" s="1023"/>
      <c r="S250" s="1023"/>
      <c r="T250" s="1023"/>
      <c r="U250" s="1023"/>
      <c r="V250" s="1023"/>
      <c r="W250" s="1023"/>
      <c r="X250" s="1023"/>
      <c r="Y250" s="1023"/>
      <c r="Z250" s="1023"/>
    </row>
    <row r="251" spans="1:26" ht="11.25" customHeight="1" x14ac:dyDescent="0.2">
      <c r="A251" s="1023"/>
      <c r="B251" s="1023"/>
      <c r="C251" s="1023"/>
      <c r="D251" s="1023"/>
      <c r="E251" s="1023"/>
      <c r="F251" s="1023"/>
      <c r="G251" s="1023"/>
      <c r="H251" s="1023"/>
      <c r="I251" s="1023"/>
      <c r="J251" s="1023"/>
      <c r="K251" s="1023"/>
      <c r="L251" s="1023"/>
      <c r="M251" s="1023"/>
      <c r="N251" s="1023"/>
      <c r="O251" s="1023"/>
      <c r="P251" s="1023"/>
      <c r="Q251" s="1023"/>
      <c r="R251" s="1023"/>
      <c r="S251" s="1023"/>
      <c r="T251" s="1023"/>
      <c r="U251" s="1023"/>
      <c r="V251" s="1023"/>
      <c r="W251" s="1023"/>
      <c r="X251" s="1023"/>
      <c r="Y251" s="1023"/>
      <c r="Z251" s="1023"/>
    </row>
    <row r="252" spans="1:26" ht="11.25" customHeight="1" x14ac:dyDescent="0.2">
      <c r="A252" s="1023"/>
      <c r="B252" s="1023"/>
      <c r="C252" s="1023"/>
      <c r="D252" s="1023"/>
      <c r="E252" s="1023"/>
      <c r="F252" s="1023"/>
      <c r="G252" s="1023"/>
      <c r="H252" s="1023"/>
      <c r="I252" s="1023"/>
      <c r="J252" s="1023"/>
      <c r="K252" s="1023"/>
      <c r="L252" s="1023"/>
      <c r="M252" s="1023"/>
      <c r="N252" s="1023"/>
      <c r="O252" s="1023"/>
      <c r="P252" s="1023"/>
      <c r="Q252" s="1023"/>
      <c r="R252" s="1023"/>
      <c r="S252" s="1023"/>
      <c r="T252" s="1023"/>
      <c r="U252" s="1023"/>
      <c r="V252" s="1023"/>
      <c r="W252" s="1023"/>
      <c r="X252" s="1023"/>
      <c r="Y252" s="1023"/>
      <c r="Z252" s="1023"/>
    </row>
    <row r="253" spans="1:26" ht="11.25" customHeight="1" x14ac:dyDescent="0.2">
      <c r="A253" s="1023"/>
      <c r="B253" s="1023"/>
      <c r="C253" s="1023"/>
      <c r="D253" s="1023"/>
      <c r="E253" s="1023"/>
      <c r="F253" s="1023"/>
      <c r="G253" s="1023"/>
      <c r="H253" s="1023"/>
      <c r="I253" s="1023"/>
      <c r="J253" s="1023"/>
      <c r="K253" s="1023"/>
      <c r="L253" s="1023"/>
      <c r="M253" s="1023"/>
      <c r="N253" s="1023"/>
      <c r="O253" s="1023"/>
      <c r="P253" s="1023"/>
      <c r="Q253" s="1023"/>
      <c r="R253" s="1023"/>
      <c r="S253" s="1023"/>
      <c r="T253" s="1023"/>
      <c r="U253" s="1023"/>
      <c r="V253" s="1023"/>
      <c r="W253" s="1023"/>
      <c r="X253" s="1023"/>
      <c r="Y253" s="1023"/>
      <c r="Z253" s="1023"/>
    </row>
    <row r="254" spans="1:26" ht="11.25" customHeight="1" x14ac:dyDescent="0.2">
      <c r="A254" s="1023"/>
      <c r="B254" s="1023"/>
      <c r="C254" s="1023"/>
      <c r="D254" s="1023"/>
      <c r="E254" s="1023"/>
      <c r="F254" s="1023"/>
      <c r="G254" s="1023"/>
      <c r="H254" s="1023"/>
      <c r="I254" s="1023"/>
      <c r="J254" s="1023"/>
      <c r="K254" s="1023"/>
      <c r="L254" s="1023"/>
      <c r="M254" s="1023"/>
      <c r="N254" s="1023"/>
      <c r="O254" s="1023"/>
      <c r="P254" s="1023"/>
      <c r="Q254" s="1023"/>
      <c r="R254" s="1023"/>
      <c r="S254" s="1023"/>
      <c r="T254" s="1023"/>
      <c r="U254" s="1023"/>
      <c r="V254" s="1023"/>
      <c r="W254" s="1023"/>
      <c r="X254" s="1023"/>
      <c r="Y254" s="1023"/>
      <c r="Z254" s="1023"/>
    </row>
    <row r="255" spans="1:26" ht="11.25" customHeight="1" x14ac:dyDescent="0.2">
      <c r="A255" s="1023"/>
      <c r="B255" s="1023"/>
      <c r="C255" s="1023"/>
      <c r="D255" s="1023"/>
      <c r="E255" s="1023"/>
      <c r="F255" s="1023"/>
      <c r="G255" s="1023"/>
      <c r="H255" s="1023"/>
      <c r="I255" s="1023"/>
      <c r="J255" s="1023"/>
      <c r="K255" s="1023"/>
      <c r="L255" s="1023"/>
      <c r="M255" s="1023"/>
      <c r="N255" s="1023"/>
      <c r="O255" s="1023"/>
      <c r="P255" s="1023"/>
      <c r="Q255" s="1023"/>
      <c r="R255" s="1023"/>
      <c r="S255" s="1023"/>
      <c r="T255" s="1023"/>
      <c r="U255" s="1023"/>
      <c r="V255" s="1023"/>
      <c r="W255" s="1023"/>
      <c r="X255" s="1023"/>
      <c r="Y255" s="1023"/>
      <c r="Z255" s="1023"/>
    </row>
    <row r="256" spans="1:26" ht="11.25" customHeight="1" x14ac:dyDescent="0.2">
      <c r="A256" s="1023"/>
      <c r="B256" s="1023"/>
      <c r="C256" s="1023"/>
      <c r="D256" s="1023"/>
      <c r="E256" s="1023"/>
      <c r="F256" s="1023"/>
      <c r="G256" s="1023"/>
      <c r="H256" s="1023"/>
      <c r="I256" s="1023"/>
      <c r="J256" s="1023"/>
      <c r="K256" s="1023"/>
      <c r="L256" s="1023"/>
      <c r="M256" s="1023"/>
      <c r="N256" s="1023"/>
      <c r="O256" s="1023"/>
      <c r="P256" s="1023"/>
      <c r="Q256" s="1023"/>
      <c r="R256" s="1023"/>
      <c r="S256" s="1023"/>
      <c r="T256" s="1023"/>
      <c r="U256" s="1023"/>
      <c r="V256" s="1023"/>
      <c r="W256" s="1023"/>
      <c r="X256" s="1023"/>
      <c r="Y256" s="1023"/>
      <c r="Z256" s="1023"/>
    </row>
    <row r="257" spans="1:26" ht="11.25" customHeight="1" x14ac:dyDescent="0.2">
      <c r="A257" s="1023"/>
      <c r="B257" s="1023"/>
      <c r="C257" s="1023"/>
      <c r="D257" s="1023"/>
      <c r="E257" s="1023"/>
      <c r="F257" s="1023"/>
      <c r="G257" s="1023"/>
      <c r="H257" s="1023"/>
      <c r="I257" s="1023"/>
      <c r="J257" s="1023"/>
      <c r="K257" s="1023"/>
      <c r="L257" s="1023"/>
      <c r="M257" s="1023"/>
      <c r="N257" s="1023"/>
      <c r="O257" s="1023"/>
      <c r="P257" s="1023"/>
      <c r="Q257" s="1023"/>
      <c r="R257" s="1023"/>
      <c r="S257" s="1023"/>
      <c r="T257" s="1023"/>
      <c r="U257" s="1023"/>
      <c r="V257" s="1023"/>
      <c r="W257" s="1023"/>
      <c r="X257" s="1023"/>
      <c r="Y257" s="1023"/>
      <c r="Z257" s="1023"/>
    </row>
    <row r="258" spans="1:26" ht="11.25" customHeight="1" x14ac:dyDescent="0.2">
      <c r="A258" s="1023"/>
      <c r="B258" s="1023"/>
      <c r="C258" s="1023"/>
      <c r="D258" s="1023"/>
      <c r="E258" s="1023"/>
      <c r="F258" s="1023"/>
      <c r="G258" s="1023"/>
      <c r="H258" s="1023"/>
      <c r="I258" s="1023"/>
      <c r="J258" s="1023"/>
      <c r="K258" s="1023"/>
      <c r="L258" s="1023"/>
      <c r="M258" s="1023"/>
      <c r="N258" s="1023"/>
      <c r="O258" s="1023"/>
      <c r="P258" s="1023"/>
      <c r="Q258" s="1023"/>
      <c r="R258" s="1023"/>
      <c r="S258" s="1023"/>
      <c r="T258" s="1023"/>
      <c r="U258" s="1023"/>
      <c r="V258" s="1023"/>
      <c r="W258" s="1023"/>
      <c r="X258" s="1023"/>
      <c r="Y258" s="1023"/>
      <c r="Z258" s="1023"/>
    </row>
    <row r="259" spans="1:26" ht="11.25" customHeight="1" x14ac:dyDescent="0.2">
      <c r="A259" s="1023"/>
      <c r="B259" s="1023"/>
      <c r="C259" s="1023"/>
      <c r="D259" s="1023"/>
      <c r="E259" s="1023"/>
      <c r="F259" s="1023"/>
      <c r="G259" s="1023"/>
      <c r="H259" s="1023"/>
      <c r="I259" s="1023"/>
      <c r="J259" s="1023"/>
      <c r="K259" s="1023"/>
      <c r="L259" s="1023"/>
      <c r="M259" s="1023"/>
      <c r="N259" s="1023"/>
      <c r="O259" s="1023"/>
      <c r="P259" s="1023"/>
      <c r="Q259" s="1023"/>
      <c r="R259" s="1023"/>
      <c r="S259" s="1023"/>
      <c r="T259" s="1023"/>
      <c r="U259" s="1023"/>
      <c r="V259" s="1023"/>
      <c r="W259" s="1023"/>
      <c r="X259" s="1023"/>
      <c r="Y259" s="1023"/>
      <c r="Z259" s="1023"/>
    </row>
    <row r="260" spans="1:26" ht="11.25" customHeight="1" x14ac:dyDescent="0.2">
      <c r="A260" s="1023"/>
      <c r="B260" s="1023"/>
      <c r="C260" s="1023"/>
      <c r="D260" s="1023"/>
      <c r="E260" s="1023"/>
      <c r="F260" s="1023"/>
      <c r="G260" s="1023"/>
      <c r="H260" s="1023"/>
      <c r="I260" s="1023"/>
      <c r="J260" s="1023"/>
      <c r="K260" s="1023"/>
      <c r="L260" s="1023"/>
      <c r="M260" s="1023"/>
      <c r="N260" s="1023"/>
      <c r="O260" s="1023"/>
      <c r="P260" s="1023"/>
      <c r="Q260" s="1023"/>
      <c r="R260" s="1023"/>
      <c r="S260" s="1023"/>
      <c r="T260" s="1023"/>
      <c r="U260" s="1023"/>
      <c r="V260" s="1023"/>
      <c r="W260" s="1023"/>
      <c r="X260" s="1023"/>
      <c r="Y260" s="1023"/>
      <c r="Z260" s="1023"/>
    </row>
    <row r="261" spans="1:26" ht="11.25" customHeight="1" x14ac:dyDescent="0.2">
      <c r="A261" s="1023"/>
      <c r="B261" s="1023"/>
      <c r="C261" s="1023"/>
      <c r="D261" s="1023"/>
      <c r="E261" s="1023"/>
      <c r="F261" s="1023"/>
      <c r="G261" s="1023"/>
      <c r="H261" s="1023"/>
      <c r="I261" s="1023"/>
      <c r="J261" s="1023"/>
      <c r="K261" s="1023"/>
      <c r="L261" s="1023"/>
      <c r="M261" s="1023"/>
      <c r="N261" s="1023"/>
      <c r="O261" s="1023"/>
      <c r="P261" s="1023"/>
      <c r="Q261" s="1023"/>
      <c r="R261" s="1023"/>
      <c r="S261" s="1023"/>
      <c r="T261" s="1023"/>
      <c r="U261" s="1023"/>
      <c r="V261" s="1023"/>
      <c r="W261" s="1023"/>
      <c r="X261" s="1023"/>
      <c r="Y261" s="1023"/>
      <c r="Z261" s="1023"/>
    </row>
    <row r="262" spans="1:26" ht="11.25" customHeight="1" x14ac:dyDescent="0.2">
      <c r="A262" s="1023"/>
      <c r="B262" s="1023"/>
      <c r="C262" s="1023"/>
      <c r="D262" s="1023"/>
      <c r="E262" s="1023"/>
      <c r="F262" s="1023"/>
      <c r="G262" s="1023"/>
      <c r="H262" s="1023"/>
      <c r="I262" s="1023"/>
      <c r="J262" s="1023"/>
      <c r="K262" s="1023"/>
      <c r="L262" s="1023"/>
      <c r="M262" s="1023"/>
      <c r="N262" s="1023"/>
      <c r="O262" s="1023"/>
      <c r="P262" s="1023"/>
      <c r="Q262" s="1023"/>
      <c r="R262" s="1023"/>
      <c r="S262" s="1023"/>
      <c r="T262" s="1023"/>
      <c r="U262" s="1023"/>
      <c r="V262" s="1023"/>
      <c r="W262" s="1023"/>
      <c r="X262" s="1023"/>
      <c r="Y262" s="1023"/>
      <c r="Z262" s="1023"/>
    </row>
    <row r="263" spans="1:26" ht="11.25" customHeight="1" x14ac:dyDescent="0.2">
      <c r="A263" s="1023"/>
      <c r="B263" s="1023"/>
      <c r="C263" s="1023"/>
      <c r="D263" s="1023"/>
      <c r="E263" s="1023"/>
      <c r="F263" s="1023"/>
      <c r="G263" s="1023"/>
      <c r="H263" s="1023"/>
      <c r="I263" s="1023"/>
      <c r="J263" s="1023"/>
      <c r="K263" s="1023"/>
      <c r="L263" s="1023"/>
      <c r="M263" s="1023"/>
      <c r="N263" s="1023"/>
      <c r="O263" s="1023"/>
      <c r="P263" s="1023"/>
      <c r="Q263" s="1023"/>
      <c r="R263" s="1023"/>
      <c r="S263" s="1023"/>
      <c r="T263" s="1023"/>
      <c r="U263" s="1023"/>
      <c r="V263" s="1023"/>
      <c r="W263" s="1023"/>
      <c r="X263" s="1023"/>
      <c r="Y263" s="1023"/>
      <c r="Z263" s="1023"/>
    </row>
    <row r="264" spans="1:26" ht="11.25" customHeight="1" x14ac:dyDescent="0.2">
      <c r="A264" s="1023"/>
      <c r="B264" s="1023"/>
      <c r="C264" s="1023"/>
      <c r="D264" s="1023"/>
      <c r="E264" s="1023"/>
      <c r="F264" s="1023"/>
      <c r="G264" s="1023"/>
      <c r="H264" s="1023"/>
      <c r="I264" s="1023"/>
      <c r="J264" s="1023"/>
      <c r="K264" s="1023"/>
      <c r="L264" s="1023"/>
      <c r="M264" s="1023"/>
      <c r="N264" s="1023"/>
      <c r="O264" s="1023"/>
      <c r="P264" s="1023"/>
      <c r="Q264" s="1023"/>
      <c r="R264" s="1023"/>
      <c r="S264" s="1023"/>
      <c r="T264" s="1023"/>
      <c r="U264" s="1023"/>
      <c r="V264" s="1023"/>
      <c r="W264" s="1023"/>
      <c r="X264" s="1023"/>
      <c r="Y264" s="1023"/>
      <c r="Z264" s="1023"/>
    </row>
    <row r="265" spans="1:26" ht="11.25" customHeight="1" x14ac:dyDescent="0.2">
      <c r="A265" s="1023"/>
      <c r="B265" s="1023"/>
      <c r="C265" s="1023"/>
      <c r="D265" s="1023"/>
      <c r="E265" s="1023"/>
      <c r="F265" s="1023"/>
      <c r="G265" s="1023"/>
      <c r="H265" s="1023"/>
      <c r="I265" s="1023"/>
      <c r="J265" s="1023"/>
      <c r="K265" s="1023"/>
      <c r="L265" s="1023"/>
      <c r="M265" s="1023"/>
      <c r="N265" s="1023"/>
      <c r="O265" s="1023"/>
      <c r="P265" s="1023"/>
      <c r="Q265" s="1023"/>
      <c r="R265" s="1023"/>
      <c r="S265" s="1023"/>
      <c r="T265" s="1023"/>
      <c r="U265" s="1023"/>
      <c r="V265" s="1023"/>
      <c r="W265" s="1023"/>
      <c r="X265" s="1023"/>
      <c r="Y265" s="1023"/>
      <c r="Z265" s="1023"/>
    </row>
    <row r="266" spans="1:26" ht="11.25" customHeight="1" x14ac:dyDescent="0.2">
      <c r="A266" s="1023"/>
      <c r="B266" s="1023"/>
      <c r="C266" s="1023"/>
      <c r="D266" s="1023"/>
      <c r="E266" s="1023"/>
      <c r="F266" s="1023"/>
      <c r="G266" s="1023"/>
      <c r="H266" s="1023"/>
      <c r="I266" s="1023"/>
      <c r="J266" s="1023"/>
      <c r="K266" s="1023"/>
      <c r="L266" s="1023"/>
      <c r="M266" s="1023"/>
      <c r="N266" s="1023"/>
      <c r="O266" s="1023"/>
      <c r="P266" s="1023"/>
      <c r="Q266" s="1023"/>
      <c r="R266" s="1023"/>
      <c r="S266" s="1023"/>
      <c r="T266" s="1023"/>
      <c r="U266" s="1023"/>
      <c r="V266" s="1023"/>
      <c r="W266" s="1023"/>
      <c r="X266" s="1023"/>
      <c r="Y266" s="1023"/>
      <c r="Z266" s="1023"/>
    </row>
    <row r="267" spans="1:26" ht="11.25" customHeight="1" x14ac:dyDescent="0.2">
      <c r="A267" s="1023"/>
      <c r="B267" s="1023"/>
      <c r="C267" s="1023"/>
      <c r="D267" s="1023"/>
      <c r="E267" s="1023"/>
      <c r="F267" s="1023"/>
      <c r="G267" s="1023"/>
      <c r="H267" s="1023"/>
      <c r="I267" s="1023"/>
      <c r="J267" s="1023"/>
      <c r="K267" s="1023"/>
      <c r="L267" s="1023"/>
      <c r="M267" s="1023"/>
      <c r="N267" s="1023"/>
      <c r="O267" s="1023"/>
      <c r="P267" s="1023"/>
      <c r="Q267" s="1023"/>
      <c r="R267" s="1023"/>
      <c r="S267" s="1023"/>
      <c r="T267" s="1023"/>
      <c r="U267" s="1023"/>
      <c r="V267" s="1023"/>
      <c r="W267" s="1023"/>
      <c r="X267" s="1023"/>
      <c r="Y267" s="1023"/>
      <c r="Z267" s="1023"/>
    </row>
    <row r="268" spans="1:26" ht="11.25" customHeight="1" x14ac:dyDescent="0.2">
      <c r="A268" s="1023"/>
      <c r="B268" s="1023"/>
      <c r="C268" s="1023"/>
      <c r="D268" s="1023"/>
      <c r="E268" s="1023"/>
      <c r="F268" s="1023"/>
      <c r="G268" s="1023"/>
      <c r="H268" s="1023"/>
      <c r="I268" s="1023"/>
      <c r="J268" s="1023"/>
      <c r="K268" s="1023"/>
      <c r="L268" s="1023"/>
      <c r="M268" s="1023"/>
      <c r="N268" s="1023"/>
      <c r="O268" s="1023"/>
      <c r="P268" s="1023"/>
      <c r="Q268" s="1023"/>
      <c r="R268" s="1023"/>
      <c r="S268" s="1023"/>
      <c r="T268" s="1023"/>
      <c r="U268" s="1023"/>
      <c r="V268" s="1023"/>
      <c r="W268" s="1023"/>
      <c r="X268" s="1023"/>
      <c r="Y268" s="1023"/>
      <c r="Z268" s="1023"/>
    </row>
    <row r="269" spans="1:26" ht="11.25" customHeight="1" x14ac:dyDescent="0.2">
      <c r="A269" s="1023"/>
      <c r="B269" s="1023"/>
      <c r="C269" s="1023"/>
      <c r="D269" s="1023"/>
      <c r="E269" s="1023"/>
      <c r="F269" s="1023"/>
      <c r="G269" s="1023"/>
      <c r="H269" s="1023"/>
      <c r="I269" s="1023"/>
      <c r="J269" s="1023"/>
      <c r="K269" s="1023"/>
      <c r="L269" s="1023"/>
      <c r="M269" s="1023"/>
      <c r="N269" s="1023"/>
      <c r="O269" s="1023"/>
      <c r="P269" s="1023"/>
      <c r="Q269" s="1023"/>
      <c r="R269" s="1023"/>
      <c r="S269" s="1023"/>
      <c r="T269" s="1023"/>
      <c r="U269" s="1023"/>
      <c r="V269" s="1023"/>
      <c r="W269" s="1023"/>
      <c r="X269" s="1023"/>
      <c r="Y269" s="1023"/>
      <c r="Z269" s="1023"/>
    </row>
    <row r="270" spans="1:26" ht="11.25" customHeight="1" x14ac:dyDescent="0.2">
      <c r="A270" s="1023"/>
      <c r="B270" s="1023"/>
      <c r="C270" s="1023"/>
      <c r="D270" s="1023"/>
      <c r="E270" s="1023"/>
      <c r="F270" s="1023"/>
      <c r="G270" s="1023"/>
      <c r="H270" s="1023"/>
      <c r="I270" s="1023"/>
      <c r="J270" s="1023"/>
      <c r="K270" s="1023"/>
      <c r="L270" s="1023"/>
      <c r="M270" s="1023"/>
      <c r="N270" s="1023"/>
      <c r="O270" s="1023"/>
      <c r="P270" s="1023"/>
      <c r="Q270" s="1023"/>
      <c r="R270" s="1023"/>
      <c r="S270" s="1023"/>
      <c r="T270" s="1023"/>
      <c r="U270" s="1023"/>
      <c r="V270" s="1023"/>
      <c r="W270" s="1023"/>
      <c r="X270" s="1023"/>
      <c r="Y270" s="1023"/>
      <c r="Z270" s="1023"/>
    </row>
    <row r="271" spans="1:26" ht="11.25" customHeight="1" x14ac:dyDescent="0.2">
      <c r="A271" s="1023"/>
      <c r="B271" s="1023"/>
      <c r="C271" s="1023"/>
      <c r="D271" s="1023"/>
      <c r="E271" s="1023"/>
      <c r="F271" s="1023"/>
      <c r="G271" s="1023"/>
      <c r="H271" s="1023"/>
      <c r="I271" s="1023"/>
      <c r="J271" s="1023"/>
      <c r="K271" s="1023"/>
      <c r="L271" s="1023"/>
      <c r="M271" s="1023"/>
      <c r="N271" s="1023"/>
      <c r="O271" s="1023"/>
      <c r="P271" s="1023"/>
      <c r="Q271" s="1023"/>
      <c r="R271" s="1023"/>
      <c r="S271" s="1023"/>
      <c r="T271" s="1023"/>
      <c r="U271" s="1023"/>
      <c r="V271" s="1023"/>
      <c r="W271" s="1023"/>
      <c r="X271" s="1023"/>
      <c r="Y271" s="1023"/>
      <c r="Z271" s="1023"/>
    </row>
    <row r="272" spans="1:26" ht="11.25" customHeight="1" x14ac:dyDescent="0.2">
      <c r="A272" s="1023"/>
      <c r="B272" s="1023"/>
      <c r="C272" s="1023"/>
      <c r="D272" s="1023"/>
      <c r="E272" s="1023"/>
      <c r="F272" s="1023"/>
      <c r="G272" s="1023"/>
      <c r="H272" s="1023"/>
      <c r="I272" s="1023"/>
      <c r="J272" s="1023"/>
      <c r="K272" s="1023"/>
      <c r="L272" s="1023"/>
      <c r="M272" s="1023"/>
      <c r="N272" s="1023"/>
      <c r="O272" s="1023"/>
      <c r="P272" s="1023"/>
      <c r="Q272" s="1023"/>
      <c r="R272" s="1023"/>
      <c r="S272" s="1023"/>
      <c r="T272" s="1023"/>
      <c r="U272" s="1023"/>
      <c r="V272" s="1023"/>
      <c r="W272" s="1023"/>
      <c r="X272" s="1023"/>
      <c r="Y272" s="1023"/>
      <c r="Z272" s="1023"/>
    </row>
    <row r="273" spans="1:26" ht="11.25" customHeight="1" x14ac:dyDescent="0.2">
      <c r="A273" s="1023"/>
      <c r="B273" s="1023"/>
      <c r="C273" s="1023"/>
      <c r="D273" s="1023"/>
      <c r="E273" s="1023"/>
      <c r="F273" s="1023"/>
      <c r="G273" s="1023"/>
      <c r="H273" s="1023"/>
      <c r="I273" s="1023"/>
      <c r="J273" s="1023"/>
      <c r="K273" s="1023"/>
      <c r="L273" s="1023"/>
      <c r="M273" s="1023"/>
      <c r="N273" s="1023"/>
      <c r="O273" s="1023"/>
      <c r="P273" s="1023"/>
      <c r="Q273" s="1023"/>
      <c r="R273" s="1023"/>
      <c r="S273" s="1023"/>
      <c r="T273" s="1023"/>
      <c r="U273" s="1023"/>
      <c r="V273" s="1023"/>
      <c r="W273" s="1023"/>
      <c r="X273" s="1023"/>
      <c r="Y273" s="1023"/>
      <c r="Z273" s="1023"/>
    </row>
    <row r="274" spans="1:26" ht="11.25" customHeight="1" x14ac:dyDescent="0.2">
      <c r="A274" s="1023"/>
      <c r="B274" s="1023"/>
      <c r="C274" s="1023"/>
      <c r="D274" s="1023"/>
      <c r="E274" s="1023"/>
      <c r="F274" s="1023"/>
      <c r="G274" s="1023"/>
      <c r="H274" s="1023"/>
      <c r="I274" s="1023"/>
      <c r="J274" s="1023"/>
      <c r="K274" s="1023"/>
      <c r="L274" s="1023"/>
      <c r="M274" s="1023"/>
      <c r="N274" s="1023"/>
      <c r="O274" s="1023"/>
      <c r="P274" s="1023"/>
      <c r="Q274" s="1023"/>
      <c r="R274" s="1023"/>
      <c r="S274" s="1023"/>
      <c r="T274" s="1023"/>
      <c r="U274" s="1023"/>
      <c r="V274" s="1023"/>
      <c r="W274" s="1023"/>
      <c r="X274" s="1023"/>
      <c r="Y274" s="1023"/>
      <c r="Z274" s="1023"/>
    </row>
    <row r="275" spans="1:26" ht="11.25" customHeight="1" x14ac:dyDescent="0.2">
      <c r="A275" s="1023"/>
      <c r="B275" s="1023"/>
      <c r="C275" s="1023"/>
      <c r="D275" s="1023"/>
      <c r="E275" s="1023"/>
      <c r="F275" s="1023"/>
      <c r="G275" s="1023"/>
      <c r="H275" s="1023"/>
      <c r="I275" s="1023"/>
      <c r="J275" s="1023"/>
      <c r="K275" s="1023"/>
      <c r="L275" s="1023"/>
      <c r="M275" s="1023"/>
      <c r="N275" s="1023"/>
      <c r="O275" s="1023"/>
      <c r="P275" s="1023"/>
      <c r="Q275" s="1023"/>
      <c r="R275" s="1023"/>
      <c r="S275" s="1023"/>
      <c r="T275" s="1023"/>
      <c r="U275" s="1023"/>
      <c r="V275" s="1023"/>
      <c r="W275" s="1023"/>
      <c r="X275" s="1023"/>
      <c r="Y275" s="1023"/>
      <c r="Z275" s="1023"/>
    </row>
    <row r="276" spans="1:26" ht="11.25" customHeight="1" x14ac:dyDescent="0.2">
      <c r="A276" s="1023"/>
      <c r="B276" s="1023"/>
      <c r="C276" s="1023"/>
      <c r="D276" s="1023"/>
      <c r="E276" s="1023"/>
      <c r="F276" s="1023"/>
      <c r="G276" s="1023"/>
      <c r="H276" s="1023"/>
      <c r="I276" s="1023"/>
      <c r="J276" s="1023"/>
      <c r="K276" s="1023"/>
      <c r="L276" s="1023"/>
      <c r="M276" s="1023"/>
      <c r="N276" s="1023"/>
      <c r="O276" s="1023"/>
      <c r="P276" s="1023"/>
      <c r="Q276" s="1023"/>
      <c r="R276" s="1023"/>
      <c r="S276" s="1023"/>
      <c r="T276" s="1023"/>
      <c r="U276" s="1023"/>
      <c r="V276" s="1023"/>
      <c r="W276" s="1023"/>
      <c r="X276" s="1023"/>
      <c r="Y276" s="1023"/>
      <c r="Z276" s="1023"/>
    </row>
    <row r="277" spans="1:26" ht="11.25" customHeight="1" x14ac:dyDescent="0.2">
      <c r="A277" s="1023"/>
      <c r="B277" s="1023"/>
      <c r="C277" s="1023"/>
      <c r="D277" s="1023"/>
      <c r="E277" s="1023"/>
      <c r="F277" s="1023"/>
      <c r="G277" s="1023"/>
      <c r="H277" s="1023"/>
      <c r="I277" s="1023"/>
      <c r="J277" s="1023"/>
      <c r="K277" s="1023"/>
      <c r="L277" s="1023"/>
      <c r="M277" s="1023"/>
      <c r="N277" s="1023"/>
      <c r="O277" s="1023"/>
      <c r="P277" s="1023"/>
      <c r="Q277" s="1023"/>
      <c r="R277" s="1023"/>
      <c r="S277" s="1023"/>
      <c r="T277" s="1023"/>
      <c r="U277" s="1023"/>
      <c r="V277" s="1023"/>
      <c r="W277" s="1023"/>
      <c r="X277" s="1023"/>
      <c r="Y277" s="1023"/>
      <c r="Z277" s="1023"/>
    </row>
    <row r="278" spans="1:26" ht="11.25" customHeight="1" x14ac:dyDescent="0.2">
      <c r="A278" s="1023"/>
      <c r="B278" s="1023"/>
      <c r="C278" s="1023"/>
      <c r="D278" s="1023"/>
      <c r="E278" s="1023"/>
      <c r="F278" s="1023"/>
      <c r="G278" s="1023"/>
      <c r="H278" s="1023"/>
      <c r="I278" s="1023"/>
      <c r="J278" s="1023"/>
      <c r="K278" s="1023"/>
      <c r="L278" s="1023"/>
      <c r="M278" s="1023"/>
      <c r="N278" s="1023"/>
      <c r="O278" s="1023"/>
      <c r="P278" s="1023"/>
      <c r="Q278" s="1023"/>
      <c r="R278" s="1023"/>
      <c r="S278" s="1023"/>
      <c r="T278" s="1023"/>
      <c r="U278" s="1023"/>
      <c r="V278" s="1023"/>
      <c r="W278" s="1023"/>
      <c r="X278" s="1023"/>
      <c r="Y278" s="1023"/>
      <c r="Z278" s="1023"/>
    </row>
    <row r="279" spans="1:26" ht="11.25" customHeight="1" x14ac:dyDescent="0.2">
      <c r="A279" s="1023"/>
      <c r="B279" s="1023"/>
      <c r="C279" s="1023"/>
      <c r="D279" s="1023"/>
      <c r="E279" s="1023"/>
      <c r="F279" s="1023"/>
      <c r="G279" s="1023"/>
      <c r="H279" s="1023"/>
      <c r="I279" s="1023"/>
      <c r="J279" s="1023"/>
      <c r="K279" s="1023"/>
      <c r="L279" s="1023"/>
      <c r="M279" s="1023"/>
      <c r="N279" s="1023"/>
      <c r="O279" s="1023"/>
      <c r="P279" s="1023"/>
      <c r="Q279" s="1023"/>
      <c r="R279" s="1023"/>
      <c r="S279" s="1023"/>
      <c r="T279" s="1023"/>
      <c r="U279" s="1023"/>
      <c r="V279" s="1023"/>
      <c r="W279" s="1023"/>
      <c r="X279" s="1023"/>
      <c r="Y279" s="1023"/>
      <c r="Z279" s="1023"/>
    </row>
    <row r="280" spans="1:26" ht="11.25" customHeight="1" x14ac:dyDescent="0.2">
      <c r="A280" s="1023"/>
      <c r="B280" s="1023"/>
      <c r="C280" s="1023"/>
      <c r="D280" s="1023"/>
      <c r="E280" s="1023"/>
      <c r="F280" s="1023"/>
      <c r="G280" s="1023"/>
      <c r="H280" s="1023"/>
      <c r="I280" s="1023"/>
      <c r="J280" s="1023"/>
      <c r="K280" s="1023"/>
      <c r="L280" s="1023"/>
      <c r="M280" s="1023"/>
      <c r="N280" s="1023"/>
      <c r="O280" s="1023"/>
      <c r="P280" s="1023"/>
      <c r="Q280" s="1023"/>
      <c r="R280" s="1023"/>
      <c r="S280" s="1023"/>
      <c r="T280" s="1023"/>
      <c r="U280" s="1023"/>
      <c r="V280" s="1023"/>
      <c r="W280" s="1023"/>
      <c r="X280" s="1023"/>
      <c r="Y280" s="1023"/>
      <c r="Z280" s="1023"/>
    </row>
    <row r="281" spans="1:26" ht="11.25" customHeight="1" x14ac:dyDescent="0.2">
      <c r="A281" s="1023"/>
      <c r="B281" s="1023"/>
      <c r="C281" s="1023"/>
      <c r="D281" s="1023"/>
      <c r="E281" s="1023"/>
      <c r="F281" s="1023"/>
      <c r="G281" s="1023"/>
      <c r="H281" s="1023"/>
      <c r="I281" s="1023"/>
      <c r="J281" s="1023"/>
      <c r="K281" s="1023"/>
      <c r="L281" s="1023"/>
      <c r="M281" s="1023"/>
      <c r="N281" s="1023"/>
      <c r="O281" s="1023"/>
      <c r="P281" s="1023"/>
      <c r="Q281" s="1023"/>
      <c r="R281" s="1023"/>
      <c r="S281" s="1023"/>
      <c r="T281" s="1023"/>
      <c r="U281" s="1023"/>
      <c r="V281" s="1023"/>
      <c r="W281" s="1023"/>
      <c r="X281" s="1023"/>
      <c r="Y281" s="1023"/>
      <c r="Z281" s="1023"/>
    </row>
    <row r="282" spans="1:26" ht="11.25" customHeight="1" x14ac:dyDescent="0.2">
      <c r="A282" s="1023"/>
      <c r="B282" s="1023"/>
      <c r="C282" s="1023"/>
      <c r="D282" s="1023"/>
      <c r="E282" s="1023"/>
      <c r="F282" s="1023"/>
      <c r="G282" s="1023"/>
      <c r="H282" s="1023"/>
      <c r="I282" s="1023"/>
      <c r="J282" s="1023"/>
      <c r="K282" s="1023"/>
      <c r="L282" s="1023"/>
      <c r="M282" s="1023"/>
      <c r="N282" s="1023"/>
      <c r="O282" s="1023"/>
      <c r="P282" s="1023"/>
      <c r="Q282" s="1023"/>
      <c r="R282" s="1023"/>
      <c r="S282" s="1023"/>
      <c r="T282" s="1023"/>
      <c r="U282" s="1023"/>
      <c r="V282" s="1023"/>
      <c r="W282" s="1023"/>
      <c r="X282" s="1023"/>
      <c r="Y282" s="1023"/>
      <c r="Z282" s="1023"/>
    </row>
    <row r="283" spans="1:26" ht="11.25" customHeight="1" x14ac:dyDescent="0.2">
      <c r="A283" s="1023"/>
      <c r="B283" s="1023"/>
      <c r="C283" s="1023"/>
      <c r="D283" s="1023"/>
      <c r="E283" s="1023"/>
      <c r="F283" s="1023"/>
      <c r="G283" s="1023"/>
      <c r="H283" s="1023"/>
      <c r="I283" s="1023"/>
      <c r="J283" s="1023"/>
      <c r="K283" s="1023"/>
      <c r="L283" s="1023"/>
      <c r="M283" s="1023"/>
      <c r="N283" s="1023"/>
      <c r="O283" s="1023"/>
      <c r="P283" s="1023"/>
      <c r="Q283" s="1023"/>
      <c r="R283" s="1023"/>
      <c r="S283" s="1023"/>
      <c r="T283" s="1023"/>
      <c r="U283" s="1023"/>
      <c r="V283" s="1023"/>
      <c r="W283" s="1023"/>
      <c r="X283" s="1023"/>
      <c r="Y283" s="1023"/>
      <c r="Z283" s="1023"/>
    </row>
    <row r="284" spans="1:26" ht="11.25" customHeight="1" x14ac:dyDescent="0.2">
      <c r="A284" s="1023"/>
      <c r="B284" s="1023"/>
      <c r="C284" s="1023"/>
      <c r="D284" s="1023"/>
      <c r="E284" s="1023"/>
      <c r="F284" s="1023"/>
      <c r="G284" s="1023"/>
      <c r="H284" s="1023"/>
      <c r="I284" s="1023"/>
      <c r="J284" s="1023"/>
      <c r="K284" s="1023"/>
      <c r="L284" s="1023"/>
      <c r="M284" s="1023"/>
      <c r="N284" s="1023"/>
      <c r="O284" s="1023"/>
      <c r="P284" s="1023"/>
      <c r="Q284" s="1023"/>
      <c r="R284" s="1023"/>
      <c r="S284" s="1023"/>
      <c r="T284" s="1023"/>
      <c r="U284" s="1023"/>
      <c r="V284" s="1023"/>
      <c r="W284" s="1023"/>
      <c r="X284" s="1023"/>
      <c r="Y284" s="1023"/>
      <c r="Z284" s="1023"/>
    </row>
    <row r="285" spans="1:26" ht="11.25" customHeight="1" x14ac:dyDescent="0.2">
      <c r="A285" s="1023"/>
      <c r="B285" s="1023"/>
      <c r="C285" s="1023"/>
      <c r="D285" s="1023"/>
      <c r="E285" s="1023"/>
      <c r="F285" s="1023"/>
      <c r="G285" s="1023"/>
      <c r="H285" s="1023"/>
      <c r="I285" s="1023"/>
      <c r="J285" s="1023"/>
      <c r="K285" s="1023"/>
      <c r="L285" s="1023"/>
      <c r="M285" s="1023"/>
      <c r="N285" s="1023"/>
      <c r="O285" s="1023"/>
      <c r="P285" s="1023"/>
      <c r="Q285" s="1023"/>
      <c r="R285" s="1023"/>
      <c r="S285" s="1023"/>
      <c r="T285" s="1023"/>
      <c r="U285" s="1023"/>
      <c r="V285" s="1023"/>
      <c r="W285" s="1023"/>
      <c r="X285" s="1023"/>
      <c r="Y285" s="1023"/>
      <c r="Z285" s="1023"/>
    </row>
    <row r="286" spans="1:26" ht="11.25" customHeight="1" x14ac:dyDescent="0.2">
      <c r="A286" s="1023"/>
      <c r="B286" s="1023"/>
      <c r="C286" s="1023"/>
      <c r="D286" s="1023"/>
      <c r="E286" s="1023"/>
      <c r="F286" s="1023"/>
      <c r="G286" s="1023"/>
      <c r="H286" s="1023"/>
      <c r="I286" s="1023"/>
      <c r="J286" s="1023"/>
      <c r="K286" s="1023"/>
      <c r="L286" s="1023"/>
      <c r="M286" s="1023"/>
      <c r="N286" s="1023"/>
      <c r="O286" s="1023"/>
      <c r="P286" s="1023"/>
      <c r="Q286" s="1023"/>
      <c r="R286" s="1023"/>
      <c r="S286" s="1023"/>
      <c r="T286" s="1023"/>
      <c r="U286" s="1023"/>
      <c r="V286" s="1023"/>
      <c r="W286" s="1023"/>
      <c r="X286" s="1023"/>
      <c r="Y286" s="1023"/>
      <c r="Z286" s="1023"/>
    </row>
    <row r="287" spans="1:26" ht="11.25" customHeight="1" x14ac:dyDescent="0.2">
      <c r="A287" s="1023"/>
      <c r="B287" s="1023"/>
      <c r="C287" s="1023"/>
      <c r="D287" s="1023"/>
      <c r="E287" s="1023"/>
      <c r="F287" s="1023"/>
      <c r="G287" s="1023"/>
      <c r="H287" s="1023"/>
      <c r="I287" s="1023"/>
      <c r="J287" s="1023"/>
      <c r="K287" s="1023"/>
      <c r="L287" s="1023"/>
      <c r="M287" s="1023"/>
      <c r="N287" s="1023"/>
      <c r="O287" s="1023"/>
      <c r="P287" s="1023"/>
      <c r="Q287" s="1023"/>
      <c r="R287" s="1023"/>
      <c r="S287" s="1023"/>
      <c r="T287" s="1023"/>
      <c r="U287" s="1023"/>
      <c r="V287" s="1023"/>
      <c r="W287" s="1023"/>
      <c r="X287" s="1023"/>
      <c r="Y287" s="1023"/>
      <c r="Z287" s="1023"/>
    </row>
    <row r="288" spans="1:26" ht="11.25" customHeight="1" x14ac:dyDescent="0.2">
      <c r="A288" s="1023"/>
      <c r="B288" s="1023"/>
      <c r="C288" s="1023"/>
      <c r="D288" s="1023"/>
      <c r="E288" s="1023"/>
      <c r="F288" s="1023"/>
      <c r="G288" s="1023"/>
      <c r="H288" s="1023"/>
      <c r="I288" s="1023"/>
      <c r="J288" s="1023"/>
      <c r="K288" s="1023"/>
      <c r="L288" s="1023"/>
      <c r="M288" s="1023"/>
      <c r="N288" s="1023"/>
      <c r="O288" s="1023"/>
      <c r="P288" s="1023"/>
      <c r="Q288" s="1023"/>
      <c r="R288" s="1023"/>
      <c r="S288" s="1023"/>
      <c r="T288" s="1023"/>
      <c r="U288" s="1023"/>
      <c r="V288" s="1023"/>
      <c r="W288" s="1023"/>
      <c r="X288" s="1023"/>
      <c r="Y288" s="1023"/>
      <c r="Z288" s="1023"/>
    </row>
    <row r="289" spans="1:26" ht="11.25" customHeight="1" x14ac:dyDescent="0.2">
      <c r="A289" s="1023"/>
      <c r="B289" s="1023"/>
      <c r="C289" s="1023"/>
      <c r="D289" s="1023"/>
      <c r="E289" s="1023"/>
      <c r="F289" s="1023"/>
      <c r="G289" s="1023"/>
      <c r="H289" s="1023"/>
      <c r="I289" s="1023"/>
      <c r="J289" s="1023"/>
      <c r="K289" s="1023"/>
      <c r="L289" s="1023"/>
      <c r="M289" s="1023"/>
      <c r="N289" s="1023"/>
      <c r="O289" s="1023"/>
      <c r="P289" s="1023"/>
      <c r="Q289" s="1023"/>
      <c r="R289" s="1023"/>
      <c r="S289" s="1023"/>
      <c r="T289" s="1023"/>
      <c r="U289" s="1023"/>
      <c r="V289" s="1023"/>
      <c r="W289" s="1023"/>
      <c r="X289" s="1023"/>
      <c r="Y289" s="1023"/>
      <c r="Z289" s="1023"/>
    </row>
    <row r="290" spans="1:26" ht="11.25" customHeight="1" x14ac:dyDescent="0.2">
      <c r="A290" s="1023"/>
      <c r="B290" s="1023"/>
      <c r="C290" s="1023"/>
      <c r="D290" s="1023"/>
      <c r="E290" s="1023"/>
      <c r="F290" s="1023"/>
      <c r="G290" s="1023"/>
      <c r="H290" s="1023"/>
      <c r="I290" s="1023"/>
      <c r="J290" s="1023"/>
      <c r="K290" s="1023"/>
      <c r="L290" s="1023"/>
      <c r="M290" s="1023"/>
      <c r="N290" s="1023"/>
      <c r="O290" s="1023"/>
      <c r="P290" s="1023"/>
      <c r="Q290" s="1023"/>
      <c r="R290" s="1023"/>
      <c r="S290" s="1023"/>
      <c r="T290" s="1023"/>
      <c r="U290" s="1023"/>
      <c r="V290" s="1023"/>
      <c r="W290" s="1023"/>
      <c r="X290" s="1023"/>
      <c r="Y290" s="1023"/>
      <c r="Z290" s="1023"/>
    </row>
    <row r="291" spans="1:26" ht="11.25" customHeight="1" x14ac:dyDescent="0.2">
      <c r="A291" s="1023"/>
      <c r="B291" s="1023"/>
      <c r="C291" s="1023"/>
      <c r="D291" s="1023"/>
      <c r="E291" s="1023"/>
      <c r="F291" s="1023"/>
      <c r="G291" s="1023"/>
      <c r="H291" s="1023"/>
      <c r="I291" s="1023"/>
      <c r="J291" s="1023"/>
      <c r="K291" s="1023"/>
      <c r="L291" s="1023"/>
      <c r="M291" s="1023"/>
      <c r="N291" s="1023"/>
      <c r="O291" s="1023"/>
      <c r="P291" s="1023"/>
      <c r="Q291" s="1023"/>
      <c r="R291" s="1023"/>
      <c r="S291" s="1023"/>
      <c r="T291" s="1023"/>
      <c r="U291" s="1023"/>
      <c r="V291" s="1023"/>
      <c r="W291" s="1023"/>
      <c r="X291" s="1023"/>
      <c r="Y291" s="1023"/>
      <c r="Z291" s="1023"/>
    </row>
    <row r="292" spans="1:26" ht="11.25" customHeight="1" x14ac:dyDescent="0.2">
      <c r="A292" s="1023"/>
      <c r="B292" s="1023"/>
      <c r="C292" s="1023"/>
      <c r="D292" s="1023"/>
      <c r="E292" s="1023"/>
      <c r="F292" s="1023"/>
      <c r="G292" s="1023"/>
      <c r="H292" s="1023"/>
      <c r="I292" s="1023"/>
      <c r="J292" s="1023"/>
      <c r="K292" s="1023"/>
      <c r="L292" s="1023"/>
      <c r="M292" s="1023"/>
      <c r="N292" s="1023"/>
      <c r="O292" s="1023"/>
      <c r="P292" s="1023"/>
      <c r="Q292" s="1023"/>
      <c r="R292" s="1023"/>
      <c r="S292" s="1023"/>
      <c r="T292" s="1023"/>
      <c r="U292" s="1023"/>
      <c r="V292" s="1023"/>
      <c r="W292" s="1023"/>
      <c r="X292" s="1023"/>
      <c r="Y292" s="1023"/>
      <c r="Z292" s="1023"/>
    </row>
    <row r="293" spans="1:26" ht="11.25" customHeight="1" x14ac:dyDescent="0.2">
      <c r="A293" s="1023"/>
      <c r="B293" s="1023"/>
      <c r="C293" s="1023"/>
      <c r="D293" s="1023"/>
      <c r="E293" s="1023"/>
      <c r="F293" s="1023"/>
      <c r="G293" s="1023"/>
      <c r="H293" s="1023"/>
      <c r="I293" s="1023"/>
      <c r="J293" s="1023"/>
      <c r="K293" s="1023"/>
      <c r="L293" s="1023"/>
      <c r="M293" s="1023"/>
      <c r="N293" s="1023"/>
      <c r="O293" s="1023"/>
      <c r="P293" s="1023"/>
      <c r="Q293" s="1023"/>
      <c r="R293" s="1023"/>
      <c r="S293" s="1023"/>
      <c r="T293" s="1023"/>
      <c r="U293" s="1023"/>
      <c r="V293" s="1023"/>
      <c r="W293" s="1023"/>
      <c r="X293" s="1023"/>
      <c r="Y293" s="1023"/>
      <c r="Z293" s="1023"/>
    </row>
    <row r="294" spans="1:26" ht="11.25" customHeight="1" x14ac:dyDescent="0.2">
      <c r="A294" s="1023"/>
      <c r="B294" s="1023"/>
      <c r="C294" s="1023"/>
      <c r="D294" s="1023"/>
      <c r="E294" s="1023"/>
      <c r="F294" s="1023"/>
      <c r="G294" s="1023"/>
      <c r="H294" s="1023"/>
      <c r="I294" s="1023"/>
      <c r="J294" s="1023"/>
      <c r="K294" s="1023"/>
      <c r="L294" s="1023"/>
      <c r="M294" s="1023"/>
      <c r="N294" s="1023"/>
      <c r="O294" s="1023"/>
      <c r="P294" s="1023"/>
      <c r="Q294" s="1023"/>
      <c r="R294" s="1023"/>
      <c r="S294" s="1023"/>
      <c r="T294" s="1023"/>
      <c r="U294" s="1023"/>
      <c r="V294" s="1023"/>
      <c r="W294" s="1023"/>
      <c r="X294" s="1023"/>
      <c r="Y294" s="1023"/>
      <c r="Z294" s="1023"/>
    </row>
    <row r="295" spans="1:26" ht="11.25" customHeight="1" x14ac:dyDescent="0.2">
      <c r="A295" s="1023"/>
      <c r="B295" s="1023"/>
      <c r="C295" s="1023"/>
      <c r="D295" s="1023"/>
      <c r="E295" s="1023"/>
      <c r="F295" s="1023"/>
      <c r="G295" s="1023"/>
      <c r="H295" s="1023"/>
      <c r="I295" s="1023"/>
      <c r="J295" s="1023"/>
      <c r="K295" s="1023"/>
      <c r="L295" s="1023"/>
      <c r="M295" s="1023"/>
      <c r="N295" s="1023"/>
      <c r="O295" s="1023"/>
      <c r="P295" s="1023"/>
      <c r="Q295" s="1023"/>
      <c r="R295" s="1023"/>
      <c r="S295" s="1023"/>
      <c r="T295" s="1023"/>
      <c r="U295" s="1023"/>
      <c r="V295" s="1023"/>
      <c r="W295" s="1023"/>
      <c r="X295" s="1023"/>
      <c r="Y295" s="1023"/>
      <c r="Z295" s="1023"/>
    </row>
    <row r="296" spans="1:26" ht="11.25" customHeight="1" x14ac:dyDescent="0.2">
      <c r="A296" s="1023"/>
      <c r="B296" s="1023"/>
      <c r="C296" s="1023"/>
      <c r="D296" s="1023"/>
      <c r="E296" s="1023"/>
      <c r="F296" s="1023"/>
      <c r="G296" s="1023"/>
      <c r="H296" s="1023"/>
      <c r="I296" s="1023"/>
      <c r="J296" s="1023"/>
      <c r="K296" s="1023"/>
      <c r="L296" s="1023"/>
      <c r="M296" s="1023"/>
      <c r="N296" s="1023"/>
      <c r="O296" s="1023"/>
      <c r="P296" s="1023"/>
      <c r="Q296" s="1023"/>
      <c r="R296" s="1023"/>
      <c r="S296" s="1023"/>
      <c r="T296" s="1023"/>
      <c r="U296" s="1023"/>
      <c r="V296" s="1023"/>
      <c r="W296" s="1023"/>
      <c r="X296" s="1023"/>
      <c r="Y296" s="1023"/>
      <c r="Z296" s="1023"/>
    </row>
    <row r="297" spans="1:26" ht="11.25" customHeight="1" x14ac:dyDescent="0.2">
      <c r="A297" s="1023"/>
      <c r="B297" s="1023"/>
      <c r="C297" s="1023"/>
      <c r="D297" s="1023"/>
      <c r="E297" s="1023"/>
      <c r="F297" s="1023"/>
      <c r="G297" s="1023"/>
      <c r="H297" s="1023"/>
      <c r="I297" s="1023"/>
      <c r="J297" s="1023"/>
      <c r="K297" s="1023"/>
      <c r="L297" s="1023"/>
      <c r="M297" s="1023"/>
      <c r="N297" s="1023"/>
      <c r="O297" s="1023"/>
      <c r="P297" s="1023"/>
      <c r="Q297" s="1023"/>
      <c r="R297" s="1023"/>
      <c r="S297" s="1023"/>
      <c r="T297" s="1023"/>
      <c r="U297" s="1023"/>
      <c r="V297" s="1023"/>
      <c r="W297" s="1023"/>
      <c r="X297" s="1023"/>
      <c r="Y297" s="1023"/>
      <c r="Z297" s="1023"/>
    </row>
    <row r="298" spans="1:26" ht="11.25" customHeight="1" x14ac:dyDescent="0.2">
      <c r="A298" s="1023"/>
      <c r="B298" s="1023"/>
      <c r="C298" s="1023"/>
      <c r="D298" s="1023"/>
      <c r="E298" s="1023"/>
      <c r="F298" s="1023"/>
      <c r="G298" s="1023"/>
      <c r="H298" s="1023"/>
      <c r="I298" s="1023"/>
      <c r="J298" s="1023"/>
      <c r="K298" s="1023"/>
      <c r="L298" s="1023"/>
      <c r="M298" s="1023"/>
      <c r="N298" s="1023"/>
      <c r="O298" s="1023"/>
      <c r="P298" s="1023"/>
      <c r="Q298" s="1023"/>
      <c r="R298" s="1023"/>
      <c r="S298" s="1023"/>
      <c r="T298" s="1023"/>
      <c r="U298" s="1023"/>
      <c r="V298" s="1023"/>
      <c r="W298" s="1023"/>
      <c r="X298" s="1023"/>
      <c r="Y298" s="1023"/>
      <c r="Z298" s="1023"/>
    </row>
    <row r="299" spans="1:26" ht="11.25" customHeight="1" x14ac:dyDescent="0.2">
      <c r="A299" s="1023"/>
      <c r="B299" s="1023"/>
      <c r="C299" s="1023"/>
      <c r="D299" s="1023"/>
      <c r="E299" s="1023"/>
      <c r="F299" s="1023"/>
      <c r="G299" s="1023"/>
      <c r="H299" s="1023"/>
      <c r="I299" s="1023"/>
      <c r="J299" s="1023"/>
      <c r="K299" s="1023"/>
      <c r="L299" s="1023"/>
      <c r="M299" s="1023"/>
      <c r="N299" s="1023"/>
      <c r="O299" s="1023"/>
      <c r="P299" s="1023"/>
      <c r="Q299" s="1023"/>
      <c r="R299" s="1023"/>
      <c r="S299" s="1023"/>
      <c r="T299" s="1023"/>
      <c r="U299" s="1023"/>
      <c r="V299" s="1023"/>
      <c r="W299" s="1023"/>
      <c r="X299" s="1023"/>
      <c r="Y299" s="1023"/>
      <c r="Z299" s="1023"/>
    </row>
    <row r="300" spans="1:26" ht="11.25" customHeight="1" x14ac:dyDescent="0.2">
      <c r="A300" s="1023"/>
      <c r="B300" s="1023"/>
      <c r="C300" s="1023"/>
      <c r="D300" s="1023"/>
      <c r="E300" s="1023"/>
      <c r="F300" s="1023"/>
      <c r="G300" s="1023"/>
      <c r="H300" s="1023"/>
      <c r="I300" s="1023"/>
      <c r="J300" s="1023"/>
      <c r="K300" s="1023"/>
      <c r="L300" s="1023"/>
      <c r="M300" s="1023"/>
      <c r="N300" s="1023"/>
      <c r="O300" s="1023"/>
      <c r="P300" s="1023"/>
      <c r="Q300" s="1023"/>
      <c r="R300" s="1023"/>
      <c r="S300" s="1023"/>
      <c r="T300" s="1023"/>
      <c r="U300" s="1023"/>
      <c r="V300" s="1023"/>
      <c r="W300" s="1023"/>
      <c r="X300" s="1023"/>
      <c r="Y300" s="1023"/>
      <c r="Z300" s="1023"/>
    </row>
    <row r="301" spans="1:26" ht="11.25" customHeight="1" x14ac:dyDescent="0.2">
      <c r="A301" s="1023"/>
      <c r="B301" s="1023"/>
      <c r="C301" s="1023"/>
      <c r="D301" s="1023"/>
      <c r="E301" s="1023"/>
      <c r="F301" s="1023"/>
      <c r="G301" s="1023"/>
      <c r="H301" s="1023"/>
      <c r="I301" s="1023"/>
      <c r="J301" s="1023"/>
      <c r="K301" s="1023"/>
      <c r="L301" s="1023"/>
      <c r="M301" s="1023"/>
      <c r="N301" s="1023"/>
      <c r="O301" s="1023"/>
      <c r="P301" s="1023"/>
      <c r="Q301" s="1023"/>
      <c r="R301" s="1023"/>
      <c r="S301" s="1023"/>
      <c r="T301" s="1023"/>
      <c r="U301" s="1023"/>
      <c r="V301" s="1023"/>
      <c r="W301" s="1023"/>
      <c r="X301" s="1023"/>
      <c r="Y301" s="1023"/>
      <c r="Z301" s="1023"/>
    </row>
    <row r="302" spans="1:26" ht="11.25" customHeight="1" x14ac:dyDescent="0.2">
      <c r="A302" s="1023"/>
      <c r="B302" s="1023"/>
      <c r="C302" s="1023"/>
      <c r="D302" s="1023"/>
      <c r="E302" s="1023"/>
      <c r="F302" s="1023"/>
      <c r="G302" s="1023"/>
      <c r="H302" s="1023"/>
      <c r="I302" s="1023"/>
      <c r="J302" s="1023"/>
      <c r="K302" s="1023"/>
      <c r="L302" s="1023"/>
      <c r="M302" s="1023"/>
      <c r="N302" s="1023"/>
      <c r="O302" s="1023"/>
      <c r="P302" s="1023"/>
      <c r="Q302" s="1023"/>
      <c r="R302" s="1023"/>
      <c r="S302" s="1023"/>
      <c r="T302" s="1023"/>
      <c r="U302" s="1023"/>
      <c r="V302" s="1023"/>
      <c r="W302" s="1023"/>
      <c r="X302" s="1023"/>
      <c r="Y302" s="1023"/>
      <c r="Z302" s="1023"/>
    </row>
    <row r="303" spans="1:26" ht="11.25" customHeight="1" x14ac:dyDescent="0.2">
      <c r="A303" s="1023"/>
      <c r="B303" s="1023"/>
      <c r="C303" s="1023"/>
      <c r="D303" s="1023"/>
      <c r="E303" s="1023"/>
      <c r="F303" s="1023"/>
      <c r="G303" s="1023"/>
      <c r="H303" s="1023"/>
      <c r="I303" s="1023"/>
      <c r="J303" s="1023"/>
      <c r="K303" s="1023"/>
      <c r="L303" s="1023"/>
      <c r="M303" s="1023"/>
      <c r="N303" s="1023"/>
      <c r="O303" s="1023"/>
      <c r="P303" s="1023"/>
      <c r="Q303" s="1023"/>
      <c r="R303" s="1023"/>
      <c r="S303" s="1023"/>
      <c r="T303" s="1023"/>
      <c r="U303" s="1023"/>
      <c r="V303" s="1023"/>
      <c r="W303" s="1023"/>
      <c r="X303" s="1023"/>
      <c r="Y303" s="1023"/>
      <c r="Z303" s="1023"/>
    </row>
    <row r="304" spans="1:26" ht="11.25" customHeight="1" x14ac:dyDescent="0.2">
      <c r="A304" s="1023"/>
      <c r="B304" s="1023"/>
      <c r="C304" s="1023"/>
      <c r="D304" s="1023"/>
      <c r="E304" s="1023"/>
      <c r="F304" s="1023"/>
      <c r="G304" s="1023"/>
      <c r="H304" s="1023"/>
      <c r="I304" s="1023"/>
      <c r="J304" s="1023"/>
      <c r="K304" s="1023"/>
      <c r="L304" s="1023"/>
      <c r="M304" s="1023"/>
      <c r="N304" s="1023"/>
      <c r="O304" s="1023"/>
      <c r="P304" s="1023"/>
      <c r="Q304" s="1023"/>
      <c r="R304" s="1023"/>
      <c r="S304" s="1023"/>
      <c r="T304" s="1023"/>
      <c r="U304" s="1023"/>
      <c r="V304" s="1023"/>
      <c r="W304" s="1023"/>
      <c r="X304" s="1023"/>
      <c r="Y304" s="1023"/>
      <c r="Z304" s="1023"/>
    </row>
    <row r="305" spans="1:26" ht="11.25" customHeight="1" x14ac:dyDescent="0.2">
      <c r="A305" s="1023"/>
      <c r="B305" s="1023"/>
      <c r="C305" s="1023"/>
      <c r="D305" s="1023"/>
      <c r="E305" s="1023"/>
      <c r="F305" s="1023"/>
      <c r="G305" s="1023"/>
      <c r="H305" s="1023"/>
      <c r="I305" s="1023"/>
      <c r="J305" s="1023"/>
      <c r="K305" s="1023"/>
      <c r="L305" s="1023"/>
      <c r="M305" s="1023"/>
      <c r="N305" s="1023"/>
      <c r="O305" s="1023"/>
      <c r="P305" s="1023"/>
      <c r="Q305" s="1023"/>
      <c r="R305" s="1023"/>
      <c r="S305" s="1023"/>
      <c r="T305" s="1023"/>
      <c r="U305" s="1023"/>
      <c r="V305" s="1023"/>
      <c r="W305" s="1023"/>
      <c r="X305" s="1023"/>
      <c r="Y305" s="1023"/>
      <c r="Z305" s="1023"/>
    </row>
    <row r="306" spans="1:26" ht="11.25" customHeight="1" x14ac:dyDescent="0.2">
      <c r="A306" s="1023"/>
      <c r="B306" s="1023"/>
      <c r="C306" s="1023"/>
      <c r="D306" s="1023"/>
      <c r="E306" s="1023"/>
      <c r="F306" s="1023"/>
      <c r="G306" s="1023"/>
      <c r="H306" s="1023"/>
      <c r="I306" s="1023"/>
      <c r="J306" s="1023"/>
      <c r="K306" s="1023"/>
      <c r="L306" s="1023"/>
      <c r="M306" s="1023"/>
      <c r="N306" s="1023"/>
      <c r="O306" s="1023"/>
      <c r="P306" s="1023"/>
      <c r="Q306" s="1023"/>
      <c r="R306" s="1023"/>
      <c r="S306" s="1023"/>
      <c r="T306" s="1023"/>
      <c r="U306" s="1023"/>
      <c r="V306" s="1023"/>
      <c r="W306" s="1023"/>
      <c r="X306" s="1023"/>
      <c r="Y306" s="1023"/>
      <c r="Z306" s="1023"/>
    </row>
    <row r="307" spans="1:26" ht="11.25" customHeight="1" x14ac:dyDescent="0.2">
      <c r="A307" s="1023"/>
      <c r="B307" s="1023"/>
      <c r="C307" s="1023"/>
      <c r="D307" s="1023"/>
      <c r="E307" s="1023"/>
      <c r="F307" s="1023"/>
      <c r="G307" s="1023"/>
      <c r="H307" s="1023"/>
      <c r="I307" s="1023"/>
      <c r="J307" s="1023"/>
      <c r="K307" s="1023"/>
      <c r="L307" s="1023"/>
      <c r="M307" s="1023"/>
      <c r="N307" s="1023"/>
      <c r="O307" s="1023"/>
      <c r="P307" s="1023"/>
      <c r="Q307" s="1023"/>
      <c r="R307" s="1023"/>
      <c r="S307" s="1023"/>
      <c r="T307" s="1023"/>
      <c r="U307" s="1023"/>
      <c r="V307" s="1023"/>
      <c r="W307" s="1023"/>
      <c r="X307" s="1023"/>
      <c r="Y307" s="1023"/>
      <c r="Z307" s="1023"/>
    </row>
    <row r="308" spans="1:26" ht="11.25" customHeight="1" x14ac:dyDescent="0.2">
      <c r="A308" s="1023"/>
      <c r="B308" s="1023"/>
      <c r="C308" s="1023"/>
      <c r="D308" s="1023"/>
      <c r="E308" s="1023"/>
      <c r="F308" s="1023"/>
      <c r="G308" s="1023"/>
      <c r="H308" s="1023"/>
      <c r="I308" s="1023"/>
      <c r="J308" s="1023"/>
      <c r="K308" s="1023"/>
      <c r="L308" s="1023"/>
      <c r="M308" s="1023"/>
      <c r="N308" s="1023"/>
      <c r="O308" s="1023"/>
      <c r="P308" s="1023"/>
      <c r="Q308" s="1023"/>
      <c r="R308" s="1023"/>
      <c r="S308" s="1023"/>
      <c r="T308" s="1023"/>
      <c r="U308" s="1023"/>
      <c r="V308" s="1023"/>
      <c r="W308" s="1023"/>
      <c r="X308" s="1023"/>
      <c r="Y308" s="1023"/>
      <c r="Z308" s="1023"/>
    </row>
    <row r="309" spans="1:26" ht="11.25" customHeight="1" x14ac:dyDescent="0.2">
      <c r="A309" s="1023"/>
      <c r="B309" s="1023"/>
      <c r="C309" s="1023"/>
      <c r="D309" s="1023"/>
      <c r="E309" s="1023"/>
      <c r="F309" s="1023"/>
      <c r="G309" s="1023"/>
      <c r="H309" s="1023"/>
      <c r="I309" s="1023"/>
      <c r="J309" s="1023"/>
      <c r="K309" s="1023"/>
      <c r="L309" s="1023"/>
      <c r="M309" s="1023"/>
      <c r="N309" s="1023"/>
      <c r="O309" s="1023"/>
      <c r="P309" s="1023"/>
      <c r="Q309" s="1023"/>
      <c r="R309" s="1023"/>
      <c r="S309" s="1023"/>
      <c r="T309" s="1023"/>
      <c r="U309" s="1023"/>
      <c r="V309" s="1023"/>
      <c r="W309" s="1023"/>
      <c r="X309" s="1023"/>
      <c r="Y309" s="1023"/>
      <c r="Z309" s="1023"/>
    </row>
    <row r="310" spans="1:26" ht="11.25" customHeight="1" x14ac:dyDescent="0.2">
      <c r="A310" s="1023"/>
      <c r="B310" s="1023"/>
      <c r="C310" s="1023"/>
      <c r="D310" s="1023"/>
      <c r="E310" s="1023"/>
      <c r="F310" s="1023"/>
      <c r="G310" s="1023"/>
      <c r="H310" s="1023"/>
      <c r="I310" s="1023"/>
      <c r="J310" s="1023"/>
      <c r="K310" s="1023"/>
      <c r="L310" s="1023"/>
      <c r="M310" s="1023"/>
      <c r="N310" s="1023"/>
      <c r="O310" s="1023"/>
      <c r="P310" s="1023"/>
      <c r="Q310" s="1023"/>
      <c r="R310" s="1023"/>
      <c r="S310" s="1023"/>
      <c r="T310" s="1023"/>
      <c r="U310" s="1023"/>
      <c r="V310" s="1023"/>
      <c r="W310" s="1023"/>
      <c r="X310" s="1023"/>
      <c r="Y310" s="1023"/>
      <c r="Z310" s="1023"/>
    </row>
    <row r="311" spans="1:26" ht="11.25" customHeight="1" x14ac:dyDescent="0.2">
      <c r="A311" s="1023"/>
      <c r="B311" s="1023"/>
      <c r="C311" s="1023"/>
      <c r="D311" s="1023"/>
      <c r="E311" s="1023"/>
      <c r="F311" s="1023"/>
      <c r="G311" s="1023"/>
      <c r="H311" s="1023"/>
      <c r="I311" s="1023"/>
      <c r="J311" s="1023"/>
      <c r="K311" s="1023"/>
      <c r="L311" s="1023"/>
      <c r="M311" s="1023"/>
      <c r="N311" s="1023"/>
      <c r="O311" s="1023"/>
      <c r="P311" s="1023"/>
      <c r="Q311" s="1023"/>
      <c r="R311" s="1023"/>
      <c r="S311" s="1023"/>
      <c r="T311" s="1023"/>
      <c r="U311" s="1023"/>
      <c r="V311" s="1023"/>
      <c r="W311" s="1023"/>
      <c r="X311" s="1023"/>
      <c r="Y311" s="1023"/>
      <c r="Z311" s="1023"/>
    </row>
    <row r="312" spans="1:26" ht="11.25" customHeight="1" x14ac:dyDescent="0.2">
      <c r="A312" s="1023"/>
      <c r="B312" s="1023"/>
      <c r="C312" s="1023"/>
      <c r="D312" s="1023"/>
      <c r="E312" s="1023"/>
      <c r="F312" s="1023"/>
      <c r="G312" s="1023"/>
      <c r="H312" s="1023"/>
      <c r="I312" s="1023"/>
      <c r="J312" s="1023"/>
      <c r="K312" s="1023"/>
      <c r="L312" s="1023"/>
      <c r="M312" s="1023"/>
      <c r="N312" s="1023"/>
      <c r="O312" s="1023"/>
      <c r="P312" s="1023"/>
      <c r="Q312" s="1023"/>
      <c r="R312" s="1023"/>
      <c r="S312" s="1023"/>
      <c r="T312" s="1023"/>
      <c r="U312" s="1023"/>
      <c r="V312" s="1023"/>
      <c r="W312" s="1023"/>
      <c r="X312" s="1023"/>
      <c r="Y312" s="1023"/>
      <c r="Z312" s="1023"/>
    </row>
    <row r="313" spans="1:26" ht="11.25" customHeight="1" x14ac:dyDescent="0.2">
      <c r="A313" s="1023"/>
      <c r="B313" s="1023"/>
      <c r="C313" s="1023"/>
      <c r="D313" s="1023"/>
      <c r="E313" s="1023"/>
      <c r="F313" s="1023"/>
      <c r="G313" s="1023"/>
      <c r="H313" s="1023"/>
      <c r="I313" s="1023"/>
      <c r="J313" s="1023"/>
      <c r="K313" s="1023"/>
      <c r="L313" s="1023"/>
      <c r="M313" s="1023"/>
      <c r="N313" s="1023"/>
      <c r="O313" s="1023"/>
      <c r="P313" s="1023"/>
      <c r="Q313" s="1023"/>
      <c r="R313" s="1023"/>
      <c r="S313" s="1023"/>
      <c r="T313" s="1023"/>
      <c r="U313" s="1023"/>
      <c r="V313" s="1023"/>
      <c r="W313" s="1023"/>
      <c r="X313" s="1023"/>
      <c r="Y313" s="1023"/>
      <c r="Z313" s="1023"/>
    </row>
    <row r="314" spans="1:26" ht="11.25" customHeight="1" x14ac:dyDescent="0.2">
      <c r="A314" s="1023"/>
      <c r="B314" s="1023"/>
      <c r="C314" s="1023"/>
      <c r="D314" s="1023"/>
      <c r="E314" s="1023"/>
      <c r="F314" s="1023"/>
      <c r="G314" s="1023"/>
      <c r="H314" s="1023"/>
      <c r="I314" s="1023"/>
      <c r="J314" s="1023"/>
      <c r="K314" s="1023"/>
      <c r="L314" s="1023"/>
      <c r="M314" s="1023"/>
      <c r="N314" s="1023"/>
      <c r="O314" s="1023"/>
      <c r="P314" s="1023"/>
      <c r="Q314" s="1023"/>
      <c r="R314" s="1023"/>
      <c r="S314" s="1023"/>
      <c r="T314" s="1023"/>
      <c r="U314" s="1023"/>
      <c r="V314" s="1023"/>
      <c r="W314" s="1023"/>
      <c r="X314" s="1023"/>
      <c r="Y314" s="1023"/>
      <c r="Z314" s="1023"/>
    </row>
    <row r="315" spans="1:26" ht="11.25" customHeight="1" x14ac:dyDescent="0.2">
      <c r="A315" s="1023"/>
      <c r="B315" s="1023"/>
      <c r="C315" s="1023"/>
      <c r="D315" s="1023"/>
      <c r="E315" s="1023"/>
      <c r="F315" s="1023"/>
      <c r="G315" s="1023"/>
      <c r="H315" s="1023"/>
      <c r="I315" s="1023"/>
      <c r="J315" s="1023"/>
      <c r="K315" s="1023"/>
      <c r="L315" s="1023"/>
      <c r="M315" s="1023"/>
      <c r="N315" s="1023"/>
      <c r="O315" s="1023"/>
      <c r="P315" s="1023"/>
      <c r="Q315" s="1023"/>
      <c r="R315" s="1023"/>
      <c r="S315" s="1023"/>
      <c r="T315" s="1023"/>
      <c r="U315" s="1023"/>
      <c r="V315" s="1023"/>
      <c r="W315" s="1023"/>
      <c r="X315" s="1023"/>
      <c r="Y315" s="1023"/>
      <c r="Z315" s="1023"/>
    </row>
    <row r="316" spans="1:26" ht="11.25" customHeight="1" x14ac:dyDescent="0.2">
      <c r="A316" s="1023"/>
      <c r="B316" s="1023"/>
      <c r="C316" s="1023"/>
      <c r="D316" s="1023"/>
      <c r="E316" s="1023"/>
      <c r="F316" s="1023"/>
      <c r="G316" s="1023"/>
      <c r="H316" s="1023"/>
      <c r="I316" s="1023"/>
      <c r="J316" s="1023"/>
      <c r="K316" s="1023"/>
      <c r="L316" s="1023"/>
      <c r="M316" s="1023"/>
      <c r="N316" s="1023"/>
      <c r="O316" s="1023"/>
      <c r="P316" s="1023"/>
      <c r="Q316" s="1023"/>
      <c r="R316" s="1023"/>
      <c r="S316" s="1023"/>
      <c r="T316" s="1023"/>
      <c r="U316" s="1023"/>
      <c r="V316" s="1023"/>
      <c r="W316" s="1023"/>
      <c r="X316" s="1023"/>
      <c r="Y316" s="1023"/>
      <c r="Z316" s="1023"/>
    </row>
    <row r="317" spans="1:26" ht="11.25" customHeight="1" x14ac:dyDescent="0.2">
      <c r="A317" s="1023"/>
      <c r="B317" s="1023"/>
      <c r="C317" s="1023"/>
      <c r="D317" s="1023"/>
      <c r="E317" s="1023"/>
      <c r="F317" s="1023"/>
      <c r="G317" s="1023"/>
      <c r="H317" s="1023"/>
      <c r="I317" s="1023"/>
      <c r="J317" s="1023"/>
      <c r="K317" s="1023"/>
      <c r="L317" s="1023"/>
      <c r="M317" s="1023"/>
      <c r="N317" s="1023"/>
      <c r="O317" s="1023"/>
      <c r="P317" s="1023"/>
      <c r="Q317" s="1023"/>
      <c r="R317" s="1023"/>
      <c r="S317" s="1023"/>
      <c r="T317" s="1023"/>
      <c r="U317" s="1023"/>
      <c r="V317" s="1023"/>
      <c r="W317" s="1023"/>
      <c r="X317" s="1023"/>
      <c r="Y317" s="1023"/>
      <c r="Z317" s="1023"/>
    </row>
    <row r="318" spans="1:26" ht="11.25" customHeight="1" x14ac:dyDescent="0.2">
      <c r="A318" s="1023"/>
      <c r="B318" s="1023"/>
      <c r="C318" s="1023"/>
      <c r="D318" s="1023"/>
      <c r="E318" s="1023"/>
      <c r="F318" s="1023"/>
      <c r="G318" s="1023"/>
      <c r="H318" s="1023"/>
      <c r="I318" s="1023"/>
      <c r="J318" s="1023"/>
      <c r="K318" s="1023"/>
      <c r="L318" s="1023"/>
      <c r="M318" s="1023"/>
      <c r="N318" s="1023"/>
      <c r="O318" s="1023"/>
      <c r="P318" s="1023"/>
      <c r="Q318" s="1023"/>
      <c r="R318" s="1023"/>
      <c r="S318" s="1023"/>
      <c r="T318" s="1023"/>
      <c r="U318" s="1023"/>
      <c r="V318" s="1023"/>
      <c r="W318" s="1023"/>
      <c r="X318" s="1023"/>
      <c r="Y318" s="1023"/>
      <c r="Z318" s="1023"/>
    </row>
    <row r="319" spans="1:26" ht="11.25" customHeight="1" x14ac:dyDescent="0.2">
      <c r="A319" s="1023"/>
      <c r="B319" s="1023"/>
      <c r="C319" s="1023"/>
      <c r="D319" s="1023"/>
      <c r="E319" s="1023"/>
      <c r="F319" s="1023"/>
      <c r="G319" s="1023"/>
      <c r="H319" s="1023"/>
      <c r="I319" s="1023"/>
      <c r="J319" s="1023"/>
      <c r="K319" s="1023"/>
      <c r="L319" s="1023"/>
      <c r="M319" s="1023"/>
      <c r="N319" s="1023"/>
      <c r="O319" s="1023"/>
      <c r="P319" s="1023"/>
      <c r="Q319" s="1023"/>
      <c r="R319" s="1023"/>
      <c r="S319" s="1023"/>
      <c r="T319" s="1023"/>
      <c r="U319" s="1023"/>
      <c r="V319" s="1023"/>
      <c r="W319" s="1023"/>
      <c r="X319" s="1023"/>
      <c r="Y319" s="1023"/>
      <c r="Z319" s="1023"/>
    </row>
    <row r="320" spans="1:26" ht="11.25" customHeight="1" x14ac:dyDescent="0.2">
      <c r="A320" s="1023"/>
      <c r="B320" s="1023"/>
      <c r="C320" s="1023"/>
      <c r="D320" s="1023"/>
      <c r="E320" s="1023"/>
      <c r="F320" s="1023"/>
      <c r="G320" s="1023"/>
      <c r="H320" s="1023"/>
      <c r="I320" s="1023"/>
      <c r="J320" s="1023"/>
      <c r="K320" s="1023"/>
      <c r="L320" s="1023"/>
      <c r="M320" s="1023"/>
      <c r="N320" s="1023"/>
      <c r="O320" s="1023"/>
      <c r="P320" s="1023"/>
      <c r="Q320" s="1023"/>
      <c r="R320" s="1023"/>
      <c r="S320" s="1023"/>
      <c r="T320" s="1023"/>
      <c r="U320" s="1023"/>
      <c r="V320" s="1023"/>
      <c r="W320" s="1023"/>
      <c r="X320" s="1023"/>
      <c r="Y320" s="1023"/>
      <c r="Z320" s="1023"/>
    </row>
    <row r="321" spans="1:26" ht="11.25" customHeight="1" x14ac:dyDescent="0.2">
      <c r="A321" s="1023"/>
      <c r="B321" s="1023"/>
      <c r="C321" s="1023"/>
      <c r="D321" s="1023"/>
      <c r="E321" s="1023"/>
      <c r="F321" s="1023"/>
      <c r="G321" s="1023"/>
      <c r="H321" s="1023"/>
      <c r="I321" s="1023"/>
      <c r="J321" s="1023"/>
      <c r="K321" s="1023"/>
      <c r="L321" s="1023"/>
      <c r="M321" s="1023"/>
      <c r="N321" s="1023"/>
      <c r="O321" s="1023"/>
      <c r="P321" s="1023"/>
      <c r="Q321" s="1023"/>
      <c r="R321" s="1023"/>
      <c r="S321" s="1023"/>
      <c r="T321" s="1023"/>
      <c r="U321" s="1023"/>
      <c r="V321" s="1023"/>
      <c r="W321" s="1023"/>
      <c r="X321" s="1023"/>
      <c r="Y321" s="1023"/>
      <c r="Z321" s="1023"/>
    </row>
    <row r="322" spans="1:26" ht="11.25" customHeight="1" x14ac:dyDescent="0.2">
      <c r="A322" s="1023"/>
      <c r="B322" s="1023"/>
      <c r="C322" s="1023"/>
      <c r="D322" s="1023"/>
      <c r="E322" s="1023"/>
      <c r="F322" s="1023"/>
      <c r="G322" s="1023"/>
      <c r="H322" s="1023"/>
      <c r="I322" s="1023"/>
      <c r="J322" s="1023"/>
      <c r="K322" s="1023"/>
      <c r="L322" s="1023"/>
      <c r="M322" s="1023"/>
      <c r="N322" s="1023"/>
      <c r="O322" s="1023"/>
      <c r="P322" s="1023"/>
      <c r="Q322" s="1023"/>
      <c r="R322" s="1023"/>
      <c r="S322" s="1023"/>
      <c r="T322" s="1023"/>
      <c r="U322" s="1023"/>
      <c r="V322" s="1023"/>
      <c r="W322" s="1023"/>
      <c r="X322" s="1023"/>
      <c r="Y322" s="1023"/>
      <c r="Z322" s="1023"/>
    </row>
    <row r="323" spans="1:26" ht="11.25" customHeight="1" x14ac:dyDescent="0.2">
      <c r="A323" s="1023"/>
      <c r="B323" s="1023"/>
      <c r="C323" s="1023"/>
      <c r="D323" s="1023"/>
      <c r="E323" s="1023"/>
      <c r="F323" s="1023"/>
      <c r="G323" s="1023"/>
      <c r="H323" s="1023"/>
      <c r="I323" s="1023"/>
      <c r="J323" s="1023"/>
      <c r="K323" s="1023"/>
      <c r="L323" s="1023"/>
      <c r="M323" s="1023"/>
      <c r="N323" s="1023"/>
      <c r="O323" s="1023"/>
      <c r="P323" s="1023"/>
      <c r="Q323" s="1023"/>
      <c r="R323" s="1023"/>
      <c r="S323" s="1023"/>
      <c r="T323" s="1023"/>
      <c r="U323" s="1023"/>
      <c r="V323" s="1023"/>
      <c r="W323" s="1023"/>
      <c r="X323" s="1023"/>
      <c r="Y323" s="1023"/>
      <c r="Z323" s="1023"/>
    </row>
    <row r="324" spans="1:26" ht="11.25" customHeight="1" x14ac:dyDescent="0.2">
      <c r="A324" s="1023"/>
      <c r="B324" s="1023"/>
      <c r="C324" s="1023"/>
      <c r="D324" s="1023"/>
      <c r="E324" s="1023"/>
      <c r="F324" s="1023"/>
      <c r="G324" s="1023"/>
      <c r="H324" s="1023"/>
      <c r="I324" s="1023"/>
      <c r="J324" s="1023"/>
      <c r="K324" s="1023"/>
      <c r="L324" s="1023"/>
      <c r="M324" s="1023"/>
      <c r="N324" s="1023"/>
      <c r="O324" s="1023"/>
      <c r="P324" s="1023"/>
      <c r="Q324" s="1023"/>
      <c r="R324" s="1023"/>
      <c r="S324" s="1023"/>
      <c r="T324" s="1023"/>
      <c r="U324" s="1023"/>
      <c r="V324" s="1023"/>
      <c r="W324" s="1023"/>
      <c r="X324" s="1023"/>
      <c r="Y324" s="1023"/>
      <c r="Z324" s="1023"/>
    </row>
    <row r="325" spans="1:26" ht="11.25" customHeight="1" x14ac:dyDescent="0.2">
      <c r="A325" s="1023"/>
      <c r="B325" s="1023"/>
      <c r="C325" s="1023"/>
      <c r="D325" s="1023"/>
      <c r="E325" s="1023"/>
      <c r="F325" s="1023"/>
      <c r="G325" s="1023"/>
      <c r="H325" s="1023"/>
      <c r="I325" s="1023"/>
      <c r="J325" s="1023"/>
      <c r="K325" s="1023"/>
      <c r="L325" s="1023"/>
      <c r="M325" s="1023"/>
      <c r="N325" s="1023"/>
      <c r="O325" s="1023"/>
      <c r="P325" s="1023"/>
      <c r="Q325" s="1023"/>
      <c r="R325" s="1023"/>
      <c r="S325" s="1023"/>
      <c r="T325" s="1023"/>
      <c r="U325" s="1023"/>
      <c r="V325" s="1023"/>
      <c r="W325" s="1023"/>
      <c r="X325" s="1023"/>
      <c r="Y325" s="1023"/>
      <c r="Z325" s="1023"/>
    </row>
    <row r="326" spans="1:26" ht="11.25" customHeight="1" x14ac:dyDescent="0.2">
      <c r="A326" s="1023"/>
      <c r="B326" s="1023"/>
      <c r="C326" s="1023"/>
      <c r="D326" s="1023"/>
      <c r="E326" s="1023"/>
      <c r="F326" s="1023"/>
      <c r="G326" s="1023"/>
      <c r="H326" s="1023"/>
      <c r="I326" s="1023"/>
      <c r="J326" s="1023"/>
      <c r="K326" s="1023"/>
      <c r="L326" s="1023"/>
      <c r="M326" s="1023"/>
      <c r="N326" s="1023"/>
      <c r="O326" s="1023"/>
      <c r="P326" s="1023"/>
      <c r="Q326" s="1023"/>
      <c r="R326" s="1023"/>
      <c r="S326" s="1023"/>
      <c r="T326" s="1023"/>
      <c r="U326" s="1023"/>
      <c r="V326" s="1023"/>
      <c r="W326" s="1023"/>
      <c r="X326" s="1023"/>
      <c r="Y326" s="1023"/>
      <c r="Z326" s="1023"/>
    </row>
    <row r="327" spans="1:26" ht="11.25" customHeight="1" x14ac:dyDescent="0.2">
      <c r="A327" s="1023"/>
      <c r="B327" s="1023"/>
      <c r="C327" s="1023"/>
      <c r="D327" s="1023"/>
      <c r="E327" s="1023"/>
      <c r="F327" s="1023"/>
      <c r="G327" s="1023"/>
      <c r="H327" s="1023"/>
      <c r="I327" s="1023"/>
      <c r="J327" s="1023"/>
      <c r="K327" s="1023"/>
      <c r="L327" s="1023"/>
      <c r="M327" s="1023"/>
      <c r="N327" s="1023"/>
      <c r="O327" s="1023"/>
      <c r="P327" s="1023"/>
      <c r="Q327" s="1023"/>
      <c r="R327" s="1023"/>
      <c r="S327" s="1023"/>
      <c r="T327" s="1023"/>
      <c r="U327" s="1023"/>
      <c r="V327" s="1023"/>
      <c r="W327" s="1023"/>
      <c r="X327" s="1023"/>
      <c r="Y327" s="1023"/>
      <c r="Z327" s="1023"/>
    </row>
    <row r="328" spans="1:26" ht="11.25" customHeight="1" x14ac:dyDescent="0.2">
      <c r="A328" s="1023"/>
      <c r="B328" s="1023"/>
      <c r="C328" s="1023"/>
      <c r="D328" s="1023"/>
      <c r="E328" s="1023"/>
      <c r="F328" s="1023"/>
      <c r="G328" s="1023"/>
      <c r="H328" s="1023"/>
      <c r="I328" s="1023"/>
      <c r="J328" s="1023"/>
      <c r="K328" s="1023"/>
      <c r="L328" s="1023"/>
      <c r="M328" s="1023"/>
      <c r="N328" s="1023"/>
      <c r="O328" s="1023"/>
      <c r="P328" s="1023"/>
      <c r="Q328" s="1023"/>
      <c r="R328" s="1023"/>
      <c r="S328" s="1023"/>
      <c r="T328" s="1023"/>
      <c r="U328" s="1023"/>
      <c r="V328" s="1023"/>
      <c r="W328" s="1023"/>
      <c r="X328" s="1023"/>
      <c r="Y328" s="1023"/>
      <c r="Z328" s="1023"/>
    </row>
    <row r="329" spans="1:26" ht="11.25" customHeight="1" x14ac:dyDescent="0.2">
      <c r="A329" s="1023"/>
      <c r="B329" s="1023"/>
      <c r="C329" s="1023"/>
      <c r="D329" s="1023"/>
      <c r="E329" s="1023"/>
      <c r="F329" s="1023"/>
      <c r="G329" s="1023"/>
      <c r="H329" s="1023"/>
      <c r="I329" s="1023"/>
      <c r="J329" s="1023"/>
      <c r="K329" s="1023"/>
      <c r="L329" s="1023"/>
      <c r="M329" s="1023"/>
      <c r="N329" s="1023"/>
      <c r="O329" s="1023"/>
      <c r="P329" s="1023"/>
      <c r="Q329" s="1023"/>
      <c r="R329" s="1023"/>
      <c r="S329" s="1023"/>
      <c r="T329" s="1023"/>
      <c r="U329" s="1023"/>
      <c r="V329" s="1023"/>
      <c r="W329" s="1023"/>
      <c r="X329" s="1023"/>
      <c r="Y329" s="1023"/>
      <c r="Z329" s="1023"/>
    </row>
    <row r="330" spans="1:26" ht="11.25" customHeight="1" x14ac:dyDescent="0.2">
      <c r="A330" s="1023"/>
      <c r="B330" s="1023"/>
      <c r="C330" s="1023"/>
      <c r="D330" s="1023"/>
      <c r="E330" s="1023"/>
      <c r="F330" s="1023"/>
      <c r="G330" s="1023"/>
      <c r="H330" s="1023"/>
      <c r="I330" s="1023"/>
      <c r="J330" s="1023"/>
      <c r="K330" s="1023"/>
      <c r="L330" s="1023"/>
      <c r="M330" s="1023"/>
      <c r="N330" s="1023"/>
      <c r="O330" s="1023"/>
      <c r="P330" s="1023"/>
      <c r="Q330" s="1023"/>
      <c r="R330" s="1023"/>
      <c r="S330" s="1023"/>
      <c r="T330" s="1023"/>
      <c r="U330" s="1023"/>
      <c r="V330" s="1023"/>
      <c r="W330" s="1023"/>
      <c r="X330" s="1023"/>
      <c r="Y330" s="1023"/>
      <c r="Z330" s="1023"/>
    </row>
    <row r="331" spans="1:26" ht="11.25" customHeight="1" x14ac:dyDescent="0.2">
      <c r="A331" s="1023"/>
      <c r="B331" s="1023"/>
      <c r="C331" s="1023"/>
      <c r="D331" s="1023"/>
      <c r="E331" s="1023"/>
      <c r="F331" s="1023"/>
      <c r="G331" s="1023"/>
      <c r="H331" s="1023"/>
      <c r="I331" s="1023"/>
      <c r="J331" s="1023"/>
      <c r="K331" s="1023"/>
      <c r="L331" s="1023"/>
      <c r="M331" s="1023"/>
      <c r="N331" s="1023"/>
      <c r="O331" s="1023"/>
      <c r="P331" s="1023"/>
      <c r="Q331" s="1023"/>
      <c r="R331" s="1023"/>
      <c r="S331" s="1023"/>
      <c r="T331" s="1023"/>
      <c r="U331" s="1023"/>
      <c r="V331" s="1023"/>
      <c r="W331" s="1023"/>
      <c r="X331" s="1023"/>
      <c r="Y331" s="1023"/>
      <c r="Z331" s="1023"/>
    </row>
    <row r="332" spans="1:26" ht="11.25" customHeight="1" x14ac:dyDescent="0.2">
      <c r="A332" s="1023"/>
      <c r="B332" s="1023"/>
      <c r="C332" s="1023"/>
      <c r="D332" s="1023"/>
      <c r="E332" s="1023"/>
      <c r="F332" s="1023"/>
      <c r="G332" s="1023"/>
      <c r="H332" s="1023"/>
      <c r="I332" s="1023"/>
      <c r="J332" s="1023"/>
      <c r="K332" s="1023"/>
      <c r="L332" s="1023"/>
      <c r="M332" s="1023"/>
      <c r="N332" s="1023"/>
      <c r="O332" s="1023"/>
      <c r="P332" s="1023"/>
      <c r="Q332" s="1023"/>
      <c r="R332" s="1023"/>
      <c r="S332" s="1023"/>
      <c r="T332" s="1023"/>
      <c r="U332" s="1023"/>
      <c r="V332" s="1023"/>
      <c r="W332" s="1023"/>
      <c r="X332" s="1023"/>
      <c r="Y332" s="1023"/>
      <c r="Z332" s="1023"/>
    </row>
    <row r="333" spans="1:26" ht="11.25" customHeight="1" x14ac:dyDescent="0.2">
      <c r="A333" s="1023"/>
      <c r="B333" s="1023"/>
      <c r="C333" s="1023"/>
      <c r="D333" s="1023"/>
      <c r="E333" s="1023"/>
      <c r="F333" s="1023"/>
      <c r="G333" s="1023"/>
      <c r="H333" s="1023"/>
      <c r="I333" s="1023"/>
      <c r="J333" s="1023"/>
      <c r="K333" s="1023"/>
      <c r="L333" s="1023"/>
      <c r="M333" s="1023"/>
      <c r="N333" s="1023"/>
      <c r="O333" s="1023"/>
      <c r="P333" s="1023"/>
      <c r="Q333" s="1023"/>
      <c r="R333" s="1023"/>
      <c r="S333" s="1023"/>
      <c r="T333" s="1023"/>
      <c r="U333" s="1023"/>
      <c r="V333" s="1023"/>
      <c r="W333" s="1023"/>
      <c r="X333" s="1023"/>
      <c r="Y333" s="1023"/>
      <c r="Z333" s="1023"/>
    </row>
    <row r="334" spans="1:26" ht="11.25" customHeight="1" x14ac:dyDescent="0.2">
      <c r="A334" s="1023"/>
      <c r="B334" s="1023"/>
      <c r="C334" s="1023"/>
      <c r="D334" s="1023"/>
      <c r="E334" s="1023"/>
      <c r="F334" s="1023"/>
      <c r="G334" s="1023"/>
      <c r="H334" s="1023"/>
      <c r="I334" s="1023"/>
      <c r="J334" s="1023"/>
      <c r="K334" s="1023"/>
      <c r="L334" s="1023"/>
      <c r="M334" s="1023"/>
      <c r="N334" s="1023"/>
      <c r="O334" s="1023"/>
      <c r="P334" s="1023"/>
      <c r="Q334" s="1023"/>
      <c r="R334" s="1023"/>
      <c r="S334" s="1023"/>
      <c r="T334" s="1023"/>
      <c r="U334" s="1023"/>
      <c r="V334" s="1023"/>
      <c r="W334" s="1023"/>
      <c r="X334" s="1023"/>
      <c r="Y334" s="1023"/>
      <c r="Z334" s="1023"/>
    </row>
    <row r="335" spans="1:26" ht="11.25" customHeight="1" x14ac:dyDescent="0.2">
      <c r="A335" s="1023"/>
      <c r="B335" s="1023"/>
      <c r="C335" s="1023"/>
      <c r="D335" s="1023"/>
      <c r="E335" s="1023"/>
      <c r="F335" s="1023"/>
      <c r="G335" s="1023"/>
      <c r="H335" s="1023"/>
      <c r="I335" s="1023"/>
      <c r="J335" s="1023"/>
      <c r="K335" s="1023"/>
      <c r="L335" s="1023"/>
      <c r="M335" s="1023"/>
      <c r="N335" s="1023"/>
      <c r="O335" s="1023"/>
      <c r="P335" s="1023"/>
      <c r="Q335" s="1023"/>
      <c r="R335" s="1023"/>
      <c r="S335" s="1023"/>
      <c r="T335" s="1023"/>
      <c r="U335" s="1023"/>
      <c r="V335" s="1023"/>
      <c r="W335" s="1023"/>
      <c r="X335" s="1023"/>
      <c r="Y335" s="1023"/>
      <c r="Z335" s="1023"/>
    </row>
    <row r="336" spans="1:26" ht="11.25" customHeight="1" x14ac:dyDescent="0.2">
      <c r="A336" s="1023"/>
      <c r="B336" s="1023"/>
      <c r="C336" s="1023"/>
      <c r="D336" s="1023"/>
      <c r="E336" s="1023"/>
      <c r="F336" s="1023"/>
      <c r="G336" s="1023"/>
      <c r="H336" s="1023"/>
      <c r="I336" s="1023"/>
      <c r="J336" s="1023"/>
      <c r="K336" s="1023"/>
      <c r="L336" s="1023"/>
      <c r="M336" s="1023"/>
      <c r="N336" s="1023"/>
      <c r="O336" s="1023"/>
      <c r="P336" s="1023"/>
      <c r="Q336" s="1023"/>
      <c r="R336" s="1023"/>
      <c r="S336" s="1023"/>
      <c r="T336" s="1023"/>
      <c r="U336" s="1023"/>
      <c r="V336" s="1023"/>
      <c r="W336" s="1023"/>
      <c r="X336" s="1023"/>
      <c r="Y336" s="1023"/>
      <c r="Z336" s="1023"/>
    </row>
    <row r="337" spans="1:26" ht="11.25" customHeight="1" x14ac:dyDescent="0.2">
      <c r="A337" s="1023"/>
      <c r="B337" s="1023"/>
      <c r="C337" s="1023"/>
      <c r="D337" s="1023"/>
      <c r="E337" s="1023"/>
      <c r="F337" s="1023"/>
      <c r="G337" s="1023"/>
      <c r="H337" s="1023"/>
      <c r="I337" s="1023"/>
      <c r="J337" s="1023"/>
      <c r="K337" s="1023"/>
      <c r="L337" s="1023"/>
      <c r="M337" s="1023"/>
      <c r="N337" s="1023"/>
      <c r="O337" s="1023"/>
      <c r="P337" s="1023"/>
      <c r="Q337" s="1023"/>
      <c r="R337" s="1023"/>
      <c r="S337" s="1023"/>
      <c r="T337" s="1023"/>
      <c r="U337" s="1023"/>
      <c r="V337" s="1023"/>
      <c r="W337" s="1023"/>
      <c r="X337" s="1023"/>
      <c r="Y337" s="1023"/>
      <c r="Z337" s="1023"/>
    </row>
    <row r="338" spans="1:26" ht="11.25" customHeight="1" x14ac:dyDescent="0.2">
      <c r="A338" s="1023"/>
      <c r="B338" s="1023"/>
      <c r="C338" s="1023"/>
      <c r="D338" s="1023"/>
      <c r="E338" s="1023"/>
      <c r="F338" s="1023"/>
      <c r="G338" s="1023"/>
      <c r="H338" s="1023"/>
      <c r="I338" s="1023"/>
      <c r="J338" s="1023"/>
      <c r="K338" s="1023"/>
      <c r="L338" s="1023"/>
      <c r="M338" s="1023"/>
      <c r="N338" s="1023"/>
      <c r="O338" s="1023"/>
      <c r="P338" s="1023"/>
      <c r="Q338" s="1023"/>
      <c r="R338" s="1023"/>
      <c r="S338" s="1023"/>
      <c r="T338" s="1023"/>
      <c r="U338" s="1023"/>
      <c r="V338" s="1023"/>
      <c r="W338" s="1023"/>
      <c r="X338" s="1023"/>
      <c r="Y338" s="1023"/>
      <c r="Z338" s="1023"/>
    </row>
    <row r="339" spans="1:26" ht="11.25" customHeight="1" x14ac:dyDescent="0.2">
      <c r="A339" s="1023"/>
      <c r="B339" s="1023"/>
      <c r="C339" s="1023"/>
      <c r="D339" s="1023"/>
      <c r="E339" s="1023"/>
      <c r="F339" s="1023"/>
      <c r="G339" s="1023"/>
      <c r="H339" s="1023"/>
      <c r="I339" s="1023"/>
      <c r="J339" s="1023"/>
      <c r="K339" s="1023"/>
      <c r="L339" s="1023"/>
      <c r="M339" s="1023"/>
      <c r="N339" s="1023"/>
      <c r="O339" s="1023"/>
      <c r="P339" s="1023"/>
      <c r="Q339" s="1023"/>
      <c r="R339" s="1023"/>
      <c r="S339" s="1023"/>
      <c r="T339" s="1023"/>
      <c r="U339" s="1023"/>
      <c r="V339" s="1023"/>
      <c r="W339" s="1023"/>
      <c r="X339" s="1023"/>
      <c r="Y339" s="1023"/>
      <c r="Z339" s="1023"/>
    </row>
    <row r="340" spans="1:26" ht="11.25" customHeight="1" x14ac:dyDescent="0.2">
      <c r="A340" s="1023"/>
      <c r="B340" s="1023"/>
      <c r="C340" s="1023"/>
      <c r="D340" s="1023"/>
      <c r="E340" s="1023"/>
      <c r="F340" s="1023"/>
      <c r="G340" s="1023"/>
      <c r="H340" s="1023"/>
      <c r="I340" s="1023"/>
      <c r="J340" s="1023"/>
      <c r="K340" s="1023"/>
      <c r="L340" s="1023"/>
      <c r="M340" s="1023"/>
      <c r="N340" s="1023"/>
      <c r="O340" s="1023"/>
      <c r="P340" s="1023"/>
      <c r="Q340" s="1023"/>
      <c r="R340" s="1023"/>
      <c r="S340" s="1023"/>
      <c r="T340" s="1023"/>
      <c r="U340" s="1023"/>
      <c r="V340" s="1023"/>
      <c r="W340" s="1023"/>
      <c r="X340" s="1023"/>
      <c r="Y340" s="1023"/>
      <c r="Z340" s="1023"/>
    </row>
    <row r="341" spans="1:26" ht="11.25" customHeight="1" x14ac:dyDescent="0.2">
      <c r="A341" s="1023"/>
      <c r="B341" s="1023"/>
      <c r="C341" s="1023"/>
      <c r="D341" s="1023"/>
      <c r="E341" s="1023"/>
      <c r="F341" s="1023"/>
      <c r="G341" s="1023"/>
      <c r="H341" s="1023"/>
      <c r="I341" s="1023"/>
      <c r="J341" s="1023"/>
      <c r="K341" s="1023"/>
      <c r="L341" s="1023"/>
      <c r="M341" s="1023"/>
      <c r="N341" s="1023"/>
      <c r="O341" s="1023"/>
      <c r="P341" s="1023"/>
      <c r="Q341" s="1023"/>
      <c r="R341" s="1023"/>
      <c r="S341" s="1023"/>
      <c r="T341" s="1023"/>
      <c r="U341" s="1023"/>
      <c r="V341" s="1023"/>
      <c r="W341" s="1023"/>
      <c r="X341" s="1023"/>
      <c r="Y341" s="1023"/>
      <c r="Z341" s="1023"/>
    </row>
    <row r="342" spans="1:26" ht="11.25" customHeight="1" x14ac:dyDescent="0.2">
      <c r="A342" s="1023"/>
      <c r="B342" s="1023"/>
      <c r="C342" s="1023"/>
      <c r="D342" s="1023"/>
      <c r="E342" s="1023"/>
      <c r="F342" s="1023"/>
      <c r="G342" s="1023"/>
      <c r="H342" s="1023"/>
      <c r="I342" s="1023"/>
      <c r="J342" s="1023"/>
      <c r="K342" s="1023"/>
      <c r="L342" s="1023"/>
      <c r="M342" s="1023"/>
      <c r="N342" s="1023"/>
      <c r="O342" s="1023"/>
      <c r="P342" s="1023"/>
      <c r="Q342" s="1023"/>
      <c r="R342" s="1023"/>
      <c r="S342" s="1023"/>
      <c r="T342" s="1023"/>
      <c r="U342" s="1023"/>
      <c r="V342" s="1023"/>
      <c r="W342" s="1023"/>
      <c r="X342" s="1023"/>
      <c r="Y342" s="1023"/>
      <c r="Z342" s="1023"/>
    </row>
    <row r="343" spans="1:26" ht="11.25" customHeight="1" x14ac:dyDescent="0.2">
      <c r="A343" s="1023"/>
      <c r="B343" s="1023"/>
      <c r="C343" s="1023"/>
      <c r="D343" s="1023"/>
      <c r="E343" s="1023"/>
      <c r="F343" s="1023"/>
      <c r="G343" s="1023"/>
      <c r="H343" s="1023"/>
      <c r="I343" s="1023"/>
      <c r="J343" s="1023"/>
      <c r="K343" s="1023"/>
      <c r="L343" s="1023"/>
      <c r="M343" s="1023"/>
      <c r="N343" s="1023"/>
      <c r="O343" s="1023"/>
      <c r="P343" s="1023"/>
      <c r="Q343" s="1023"/>
      <c r="R343" s="1023"/>
      <c r="S343" s="1023"/>
      <c r="T343" s="1023"/>
      <c r="U343" s="1023"/>
      <c r="V343" s="1023"/>
      <c r="W343" s="1023"/>
      <c r="X343" s="1023"/>
      <c r="Y343" s="1023"/>
      <c r="Z343" s="1023"/>
    </row>
    <row r="344" spans="1:26" ht="11.25" customHeight="1" x14ac:dyDescent="0.2">
      <c r="A344" s="1023"/>
      <c r="B344" s="1023"/>
      <c r="C344" s="1023"/>
      <c r="D344" s="1023"/>
      <c r="E344" s="1023"/>
      <c r="F344" s="1023"/>
      <c r="G344" s="1023"/>
      <c r="H344" s="1023"/>
      <c r="I344" s="1023"/>
      <c r="J344" s="1023"/>
      <c r="K344" s="1023"/>
      <c r="L344" s="1023"/>
      <c r="M344" s="1023"/>
      <c r="N344" s="1023"/>
      <c r="O344" s="1023"/>
      <c r="P344" s="1023"/>
      <c r="Q344" s="1023"/>
      <c r="R344" s="1023"/>
      <c r="S344" s="1023"/>
      <c r="T344" s="1023"/>
      <c r="U344" s="1023"/>
      <c r="V344" s="1023"/>
      <c r="W344" s="1023"/>
      <c r="X344" s="1023"/>
      <c r="Y344" s="1023"/>
      <c r="Z344" s="1023"/>
    </row>
    <row r="345" spans="1:26" ht="11.25" customHeight="1" x14ac:dyDescent="0.2">
      <c r="A345" s="1023"/>
      <c r="B345" s="1023"/>
      <c r="C345" s="1023"/>
      <c r="D345" s="1023"/>
      <c r="E345" s="1023"/>
      <c r="F345" s="1023"/>
      <c r="G345" s="1023"/>
      <c r="H345" s="1023"/>
      <c r="I345" s="1023"/>
      <c r="J345" s="1023"/>
      <c r="K345" s="1023"/>
      <c r="L345" s="1023"/>
      <c r="M345" s="1023"/>
      <c r="N345" s="1023"/>
      <c r="O345" s="1023"/>
      <c r="P345" s="1023"/>
      <c r="Q345" s="1023"/>
      <c r="R345" s="1023"/>
      <c r="S345" s="1023"/>
      <c r="T345" s="1023"/>
      <c r="U345" s="1023"/>
      <c r="V345" s="1023"/>
      <c r="W345" s="1023"/>
      <c r="X345" s="1023"/>
      <c r="Y345" s="1023"/>
      <c r="Z345" s="1023"/>
    </row>
    <row r="346" spans="1:26" ht="11.25" customHeight="1" x14ac:dyDescent="0.2">
      <c r="A346" s="1023"/>
      <c r="B346" s="1023"/>
      <c r="C346" s="1023"/>
      <c r="D346" s="1023"/>
      <c r="E346" s="1023"/>
      <c r="F346" s="1023"/>
      <c r="G346" s="1023"/>
      <c r="H346" s="1023"/>
      <c r="I346" s="1023"/>
      <c r="J346" s="1023"/>
      <c r="K346" s="1023"/>
      <c r="L346" s="1023"/>
      <c r="M346" s="1023"/>
      <c r="N346" s="1023"/>
      <c r="O346" s="1023"/>
      <c r="P346" s="1023"/>
      <c r="Q346" s="1023"/>
      <c r="R346" s="1023"/>
      <c r="S346" s="1023"/>
      <c r="T346" s="1023"/>
      <c r="U346" s="1023"/>
      <c r="V346" s="1023"/>
      <c r="W346" s="1023"/>
      <c r="X346" s="1023"/>
      <c r="Y346" s="1023"/>
      <c r="Z346" s="1023"/>
    </row>
    <row r="347" spans="1:26" ht="11.25" customHeight="1" x14ac:dyDescent="0.2">
      <c r="A347" s="1023"/>
      <c r="B347" s="1023"/>
      <c r="C347" s="1023"/>
      <c r="D347" s="1023"/>
      <c r="E347" s="1023"/>
      <c r="F347" s="1023"/>
      <c r="G347" s="1023"/>
      <c r="H347" s="1023"/>
      <c r="I347" s="1023"/>
      <c r="J347" s="1023"/>
      <c r="K347" s="1023"/>
      <c r="L347" s="1023"/>
      <c r="M347" s="1023"/>
      <c r="N347" s="1023"/>
      <c r="O347" s="1023"/>
      <c r="P347" s="1023"/>
      <c r="Q347" s="1023"/>
      <c r="R347" s="1023"/>
      <c r="S347" s="1023"/>
      <c r="T347" s="1023"/>
      <c r="U347" s="1023"/>
      <c r="V347" s="1023"/>
      <c r="W347" s="1023"/>
      <c r="X347" s="1023"/>
      <c r="Y347" s="1023"/>
      <c r="Z347" s="1023"/>
    </row>
    <row r="348" spans="1:26" ht="11.25" customHeight="1" x14ac:dyDescent="0.2">
      <c r="A348" s="1023"/>
      <c r="B348" s="1023"/>
      <c r="C348" s="1023"/>
      <c r="D348" s="1023"/>
      <c r="E348" s="1023"/>
      <c r="F348" s="1023"/>
      <c r="G348" s="1023"/>
      <c r="H348" s="1023"/>
      <c r="I348" s="1023"/>
      <c r="J348" s="1023"/>
      <c r="K348" s="1023"/>
      <c r="L348" s="1023"/>
      <c r="M348" s="1023"/>
      <c r="N348" s="1023"/>
      <c r="O348" s="1023"/>
      <c r="P348" s="1023"/>
      <c r="Q348" s="1023"/>
      <c r="R348" s="1023"/>
      <c r="S348" s="1023"/>
      <c r="T348" s="1023"/>
      <c r="U348" s="1023"/>
      <c r="V348" s="1023"/>
      <c r="W348" s="1023"/>
      <c r="X348" s="1023"/>
      <c r="Y348" s="1023"/>
      <c r="Z348" s="1023"/>
    </row>
    <row r="349" spans="1:26" ht="11.25" customHeight="1" x14ac:dyDescent="0.2">
      <c r="A349" s="1023"/>
      <c r="B349" s="1023"/>
      <c r="C349" s="1023"/>
      <c r="D349" s="1023"/>
      <c r="E349" s="1023"/>
      <c r="F349" s="1023"/>
      <c r="G349" s="1023"/>
      <c r="H349" s="1023"/>
      <c r="I349" s="1023"/>
      <c r="J349" s="1023"/>
      <c r="K349" s="1023"/>
      <c r="L349" s="1023"/>
      <c r="M349" s="1023"/>
      <c r="N349" s="1023"/>
      <c r="O349" s="1023"/>
      <c r="P349" s="1023"/>
      <c r="Q349" s="1023"/>
      <c r="R349" s="1023"/>
      <c r="S349" s="1023"/>
      <c r="T349" s="1023"/>
      <c r="U349" s="1023"/>
      <c r="V349" s="1023"/>
      <c r="W349" s="1023"/>
      <c r="X349" s="1023"/>
      <c r="Y349" s="1023"/>
      <c r="Z349" s="1023"/>
    </row>
    <row r="350" spans="1:26" ht="11.25" customHeight="1" x14ac:dyDescent="0.2">
      <c r="A350" s="1023"/>
      <c r="B350" s="1023"/>
      <c r="C350" s="1023"/>
      <c r="D350" s="1023"/>
      <c r="E350" s="1023"/>
      <c r="F350" s="1023"/>
      <c r="G350" s="1023"/>
      <c r="H350" s="1023"/>
      <c r="I350" s="1023"/>
      <c r="J350" s="1023"/>
      <c r="K350" s="1023"/>
      <c r="L350" s="1023"/>
      <c r="M350" s="1023"/>
      <c r="N350" s="1023"/>
      <c r="O350" s="1023"/>
      <c r="P350" s="1023"/>
      <c r="Q350" s="1023"/>
      <c r="R350" s="1023"/>
      <c r="S350" s="1023"/>
      <c r="T350" s="1023"/>
      <c r="U350" s="1023"/>
      <c r="V350" s="1023"/>
      <c r="W350" s="1023"/>
      <c r="X350" s="1023"/>
      <c r="Y350" s="1023"/>
      <c r="Z350" s="1023"/>
    </row>
    <row r="351" spans="1:26" ht="11.25" customHeight="1" x14ac:dyDescent="0.2">
      <c r="A351" s="1023"/>
      <c r="B351" s="1023"/>
      <c r="C351" s="1023"/>
      <c r="D351" s="1023"/>
      <c r="E351" s="1023"/>
      <c r="F351" s="1023"/>
      <c r="G351" s="1023"/>
      <c r="H351" s="1023"/>
      <c r="I351" s="1023"/>
      <c r="J351" s="1023"/>
      <c r="K351" s="1023"/>
      <c r="L351" s="1023"/>
      <c r="M351" s="1023"/>
      <c r="N351" s="1023"/>
      <c r="O351" s="1023"/>
      <c r="P351" s="1023"/>
      <c r="Q351" s="1023"/>
      <c r="R351" s="1023"/>
      <c r="S351" s="1023"/>
      <c r="T351" s="1023"/>
      <c r="U351" s="1023"/>
      <c r="V351" s="1023"/>
      <c r="W351" s="1023"/>
      <c r="X351" s="1023"/>
      <c r="Y351" s="1023"/>
      <c r="Z351" s="1023"/>
    </row>
    <row r="352" spans="1:26" ht="11.25" customHeight="1" x14ac:dyDescent="0.2">
      <c r="A352" s="1023"/>
      <c r="B352" s="1023"/>
      <c r="C352" s="1023"/>
      <c r="D352" s="1023"/>
      <c r="E352" s="1023"/>
      <c r="F352" s="1023"/>
      <c r="G352" s="1023"/>
      <c r="H352" s="1023"/>
      <c r="I352" s="1023"/>
      <c r="J352" s="1023"/>
      <c r="K352" s="1023"/>
      <c r="L352" s="1023"/>
      <c r="M352" s="1023"/>
      <c r="N352" s="1023"/>
      <c r="O352" s="1023"/>
      <c r="P352" s="1023"/>
      <c r="Q352" s="1023"/>
      <c r="R352" s="1023"/>
      <c r="S352" s="1023"/>
      <c r="T352" s="1023"/>
      <c r="U352" s="1023"/>
      <c r="V352" s="1023"/>
      <c r="W352" s="1023"/>
      <c r="X352" s="1023"/>
      <c r="Y352" s="1023"/>
      <c r="Z352" s="1023"/>
    </row>
    <row r="353" spans="1:26" ht="11.25" customHeight="1" x14ac:dyDescent="0.2">
      <c r="A353" s="1023"/>
      <c r="B353" s="1023"/>
      <c r="C353" s="1023"/>
      <c r="D353" s="1023"/>
      <c r="E353" s="1023"/>
      <c r="F353" s="1023"/>
      <c r="G353" s="1023"/>
      <c r="H353" s="1023"/>
      <c r="I353" s="1023"/>
      <c r="J353" s="1023"/>
      <c r="K353" s="1023"/>
      <c r="L353" s="1023"/>
      <c r="M353" s="1023"/>
      <c r="N353" s="1023"/>
      <c r="O353" s="1023"/>
      <c r="P353" s="1023"/>
      <c r="Q353" s="1023"/>
      <c r="R353" s="1023"/>
      <c r="S353" s="1023"/>
      <c r="T353" s="1023"/>
      <c r="U353" s="1023"/>
      <c r="V353" s="1023"/>
      <c r="W353" s="1023"/>
      <c r="X353" s="1023"/>
      <c r="Y353" s="1023"/>
      <c r="Z353" s="1023"/>
    </row>
    <row r="354" spans="1:26" ht="11.25" customHeight="1" x14ac:dyDescent="0.2">
      <c r="A354" s="1023"/>
      <c r="B354" s="1023"/>
      <c r="C354" s="1023"/>
      <c r="D354" s="1023"/>
      <c r="E354" s="1023"/>
      <c r="F354" s="1023"/>
      <c r="G354" s="1023"/>
      <c r="H354" s="1023"/>
      <c r="I354" s="1023"/>
      <c r="J354" s="1023"/>
      <c r="K354" s="1023"/>
      <c r="L354" s="1023"/>
      <c r="M354" s="1023"/>
      <c r="N354" s="1023"/>
      <c r="O354" s="1023"/>
      <c r="P354" s="1023"/>
      <c r="Q354" s="1023"/>
      <c r="R354" s="1023"/>
      <c r="S354" s="1023"/>
      <c r="T354" s="1023"/>
      <c r="U354" s="1023"/>
      <c r="V354" s="1023"/>
      <c r="W354" s="1023"/>
      <c r="X354" s="1023"/>
      <c r="Y354" s="1023"/>
      <c r="Z354" s="1023"/>
    </row>
    <row r="355" spans="1:26" ht="11.25" customHeight="1" x14ac:dyDescent="0.2">
      <c r="A355" s="1023"/>
      <c r="B355" s="1023"/>
      <c r="C355" s="1023"/>
      <c r="D355" s="1023"/>
      <c r="E355" s="1023"/>
      <c r="F355" s="1023"/>
      <c r="G355" s="1023"/>
      <c r="H355" s="1023"/>
      <c r="I355" s="1023"/>
      <c r="J355" s="1023"/>
      <c r="K355" s="1023"/>
      <c r="L355" s="1023"/>
      <c r="M355" s="1023"/>
      <c r="N355" s="1023"/>
      <c r="O355" s="1023"/>
      <c r="P355" s="1023"/>
      <c r="Q355" s="1023"/>
      <c r="R355" s="1023"/>
      <c r="S355" s="1023"/>
      <c r="T355" s="1023"/>
      <c r="U355" s="1023"/>
      <c r="V355" s="1023"/>
      <c r="W355" s="1023"/>
      <c r="X355" s="1023"/>
      <c r="Y355" s="1023"/>
      <c r="Z355" s="1023"/>
    </row>
    <row r="356" spans="1:26" ht="11.25" customHeight="1" x14ac:dyDescent="0.2">
      <c r="A356" s="1023"/>
      <c r="B356" s="1023"/>
      <c r="C356" s="1023"/>
      <c r="D356" s="1023"/>
      <c r="E356" s="1023"/>
      <c r="F356" s="1023"/>
      <c r="G356" s="1023"/>
      <c r="H356" s="1023"/>
      <c r="I356" s="1023"/>
      <c r="J356" s="1023"/>
      <c r="K356" s="1023"/>
      <c r="L356" s="1023"/>
      <c r="M356" s="1023"/>
      <c r="N356" s="1023"/>
      <c r="O356" s="1023"/>
      <c r="P356" s="1023"/>
      <c r="Q356" s="1023"/>
      <c r="R356" s="1023"/>
      <c r="S356" s="1023"/>
      <c r="T356" s="1023"/>
      <c r="U356" s="1023"/>
      <c r="V356" s="1023"/>
      <c r="W356" s="1023"/>
      <c r="X356" s="1023"/>
      <c r="Y356" s="1023"/>
      <c r="Z356" s="1023"/>
    </row>
    <row r="357" spans="1:26" ht="11.25" customHeight="1" x14ac:dyDescent="0.2">
      <c r="A357" s="1023"/>
      <c r="B357" s="1023"/>
      <c r="C357" s="1023"/>
      <c r="D357" s="1023"/>
      <c r="E357" s="1023"/>
      <c r="F357" s="1023"/>
      <c r="G357" s="1023"/>
      <c r="H357" s="1023"/>
      <c r="I357" s="1023"/>
      <c r="J357" s="1023"/>
      <c r="K357" s="1023"/>
      <c r="L357" s="1023"/>
      <c r="M357" s="1023"/>
      <c r="N357" s="1023"/>
      <c r="O357" s="1023"/>
      <c r="P357" s="1023"/>
      <c r="Q357" s="1023"/>
      <c r="R357" s="1023"/>
      <c r="S357" s="1023"/>
      <c r="T357" s="1023"/>
      <c r="U357" s="1023"/>
      <c r="V357" s="1023"/>
      <c r="W357" s="1023"/>
      <c r="X357" s="1023"/>
      <c r="Y357" s="1023"/>
      <c r="Z357" s="1023"/>
    </row>
    <row r="358" spans="1:26" ht="11.25" customHeight="1" x14ac:dyDescent="0.2">
      <c r="A358" s="1023"/>
      <c r="B358" s="1023"/>
      <c r="C358" s="1023"/>
      <c r="D358" s="1023"/>
      <c r="E358" s="1023"/>
      <c r="F358" s="1023"/>
      <c r="G358" s="1023"/>
      <c r="H358" s="1023"/>
      <c r="I358" s="1023"/>
      <c r="J358" s="1023"/>
      <c r="K358" s="1023"/>
      <c r="L358" s="1023"/>
      <c r="M358" s="1023"/>
      <c r="N358" s="1023"/>
      <c r="O358" s="1023"/>
      <c r="P358" s="1023"/>
      <c r="Q358" s="1023"/>
      <c r="R358" s="1023"/>
      <c r="S358" s="1023"/>
      <c r="T358" s="1023"/>
      <c r="U358" s="1023"/>
      <c r="V358" s="1023"/>
      <c r="W358" s="1023"/>
      <c r="X358" s="1023"/>
      <c r="Y358" s="1023"/>
      <c r="Z358" s="1023"/>
    </row>
    <row r="359" spans="1:26" ht="11.25" customHeight="1" x14ac:dyDescent="0.2">
      <c r="A359" s="1023"/>
      <c r="B359" s="1023"/>
      <c r="C359" s="1023"/>
      <c r="D359" s="1023"/>
      <c r="E359" s="1023"/>
      <c r="F359" s="1023"/>
      <c r="G359" s="1023"/>
      <c r="H359" s="1023"/>
      <c r="I359" s="1023"/>
      <c r="J359" s="1023"/>
      <c r="K359" s="1023"/>
      <c r="L359" s="1023"/>
      <c r="M359" s="1023"/>
      <c r="N359" s="1023"/>
      <c r="O359" s="1023"/>
      <c r="P359" s="1023"/>
      <c r="Q359" s="1023"/>
      <c r="R359" s="1023"/>
      <c r="S359" s="1023"/>
      <c r="T359" s="1023"/>
      <c r="U359" s="1023"/>
      <c r="V359" s="1023"/>
      <c r="W359" s="1023"/>
      <c r="X359" s="1023"/>
      <c r="Y359" s="1023"/>
      <c r="Z359" s="1023"/>
    </row>
    <row r="360" spans="1:26" ht="11.25" customHeight="1" x14ac:dyDescent="0.2">
      <c r="A360" s="1023"/>
      <c r="B360" s="1023"/>
      <c r="C360" s="1023"/>
      <c r="D360" s="1023"/>
      <c r="E360" s="1023"/>
      <c r="F360" s="1023"/>
      <c r="G360" s="1023"/>
      <c r="H360" s="1023"/>
      <c r="I360" s="1023"/>
      <c r="J360" s="1023"/>
      <c r="K360" s="1023"/>
      <c r="L360" s="1023"/>
      <c r="M360" s="1023"/>
      <c r="N360" s="1023"/>
      <c r="O360" s="1023"/>
      <c r="P360" s="1023"/>
      <c r="Q360" s="1023"/>
      <c r="R360" s="1023"/>
      <c r="S360" s="1023"/>
      <c r="T360" s="1023"/>
      <c r="U360" s="1023"/>
      <c r="V360" s="1023"/>
      <c r="W360" s="1023"/>
      <c r="X360" s="1023"/>
      <c r="Y360" s="1023"/>
      <c r="Z360" s="1023"/>
    </row>
    <row r="361" spans="1:26" ht="11.25" customHeight="1" x14ac:dyDescent="0.2">
      <c r="A361" s="1023"/>
      <c r="B361" s="1023"/>
      <c r="C361" s="1023"/>
      <c r="D361" s="1023"/>
      <c r="E361" s="1023"/>
      <c r="F361" s="1023"/>
      <c r="G361" s="1023"/>
      <c r="H361" s="1023"/>
      <c r="I361" s="1023"/>
      <c r="J361" s="1023"/>
      <c r="K361" s="1023"/>
      <c r="L361" s="1023"/>
      <c r="M361" s="1023"/>
      <c r="N361" s="1023"/>
      <c r="O361" s="1023"/>
      <c r="P361" s="1023"/>
      <c r="Q361" s="1023"/>
      <c r="R361" s="1023"/>
      <c r="S361" s="1023"/>
      <c r="T361" s="1023"/>
      <c r="U361" s="1023"/>
      <c r="V361" s="1023"/>
      <c r="W361" s="1023"/>
      <c r="X361" s="1023"/>
      <c r="Y361" s="1023"/>
      <c r="Z361" s="1023"/>
    </row>
    <row r="362" spans="1:26" ht="11.25" customHeight="1" x14ac:dyDescent="0.2">
      <c r="A362" s="1023"/>
      <c r="B362" s="1023"/>
      <c r="C362" s="1023"/>
      <c r="D362" s="1023"/>
      <c r="E362" s="1023"/>
      <c r="F362" s="1023"/>
      <c r="G362" s="1023"/>
      <c r="H362" s="1023"/>
      <c r="I362" s="1023"/>
      <c r="J362" s="1023"/>
      <c r="K362" s="1023"/>
      <c r="L362" s="1023"/>
      <c r="M362" s="1023"/>
      <c r="N362" s="1023"/>
      <c r="O362" s="1023"/>
      <c r="P362" s="1023"/>
      <c r="Q362" s="1023"/>
      <c r="R362" s="1023"/>
      <c r="S362" s="1023"/>
      <c r="T362" s="1023"/>
      <c r="U362" s="1023"/>
      <c r="V362" s="1023"/>
      <c r="W362" s="1023"/>
      <c r="X362" s="1023"/>
      <c r="Y362" s="1023"/>
      <c r="Z362" s="1023"/>
    </row>
    <row r="363" spans="1:26" ht="11.25" customHeight="1" x14ac:dyDescent="0.2">
      <c r="A363" s="1023"/>
      <c r="B363" s="1023"/>
      <c r="C363" s="1023"/>
      <c r="D363" s="1023"/>
      <c r="E363" s="1023"/>
      <c r="F363" s="1023"/>
      <c r="G363" s="1023"/>
      <c r="H363" s="1023"/>
      <c r="I363" s="1023"/>
      <c r="J363" s="1023"/>
      <c r="K363" s="1023"/>
      <c r="L363" s="1023"/>
      <c r="M363" s="1023"/>
      <c r="N363" s="1023"/>
      <c r="O363" s="1023"/>
      <c r="P363" s="1023"/>
      <c r="Q363" s="1023"/>
      <c r="R363" s="1023"/>
      <c r="S363" s="1023"/>
      <c r="T363" s="1023"/>
      <c r="U363" s="1023"/>
      <c r="V363" s="1023"/>
      <c r="W363" s="1023"/>
      <c r="X363" s="1023"/>
      <c r="Y363" s="1023"/>
      <c r="Z363" s="1023"/>
    </row>
    <row r="364" spans="1:26" ht="11.25" customHeight="1" x14ac:dyDescent="0.2">
      <c r="A364" s="1023"/>
      <c r="B364" s="1023"/>
      <c r="C364" s="1023"/>
      <c r="D364" s="1023"/>
      <c r="E364" s="1023"/>
      <c r="F364" s="1023"/>
      <c r="G364" s="1023"/>
      <c r="H364" s="1023"/>
      <c r="I364" s="1023"/>
      <c r="J364" s="1023"/>
      <c r="K364" s="1023"/>
      <c r="L364" s="1023"/>
      <c r="M364" s="1023"/>
      <c r="N364" s="1023"/>
      <c r="O364" s="1023"/>
      <c r="P364" s="1023"/>
      <c r="Q364" s="1023"/>
      <c r="R364" s="1023"/>
      <c r="S364" s="1023"/>
      <c r="T364" s="1023"/>
      <c r="U364" s="1023"/>
      <c r="V364" s="1023"/>
      <c r="W364" s="1023"/>
      <c r="X364" s="1023"/>
      <c r="Y364" s="1023"/>
      <c r="Z364" s="1023"/>
    </row>
    <row r="365" spans="1:26" ht="11.25" customHeight="1" x14ac:dyDescent="0.2">
      <c r="A365" s="1023"/>
      <c r="B365" s="1023"/>
      <c r="C365" s="1023"/>
      <c r="D365" s="1023"/>
      <c r="E365" s="1023"/>
      <c r="F365" s="1023"/>
      <c r="G365" s="1023"/>
      <c r="H365" s="1023"/>
      <c r="I365" s="1023"/>
      <c r="J365" s="1023"/>
      <c r="K365" s="1023"/>
      <c r="L365" s="1023"/>
      <c r="M365" s="1023"/>
      <c r="N365" s="1023"/>
      <c r="O365" s="1023"/>
      <c r="P365" s="1023"/>
      <c r="Q365" s="1023"/>
      <c r="R365" s="1023"/>
      <c r="S365" s="1023"/>
      <c r="T365" s="1023"/>
      <c r="U365" s="1023"/>
      <c r="V365" s="1023"/>
      <c r="W365" s="1023"/>
      <c r="X365" s="1023"/>
      <c r="Y365" s="1023"/>
      <c r="Z365" s="1023"/>
    </row>
    <row r="366" spans="1:26" ht="11.25" customHeight="1" x14ac:dyDescent="0.2">
      <c r="A366" s="1023"/>
      <c r="B366" s="1023"/>
      <c r="C366" s="1023"/>
      <c r="D366" s="1023"/>
      <c r="E366" s="1023"/>
      <c r="F366" s="1023"/>
      <c r="G366" s="1023"/>
      <c r="H366" s="1023"/>
      <c r="I366" s="1023"/>
      <c r="J366" s="1023"/>
      <c r="K366" s="1023"/>
      <c r="L366" s="1023"/>
      <c r="M366" s="1023"/>
      <c r="N366" s="1023"/>
      <c r="O366" s="1023"/>
      <c r="P366" s="1023"/>
      <c r="Q366" s="1023"/>
      <c r="R366" s="1023"/>
      <c r="S366" s="1023"/>
      <c r="T366" s="1023"/>
      <c r="U366" s="1023"/>
      <c r="V366" s="1023"/>
      <c r="W366" s="1023"/>
      <c r="X366" s="1023"/>
      <c r="Y366" s="1023"/>
      <c r="Z366" s="1023"/>
    </row>
    <row r="367" spans="1:26" ht="11.25" customHeight="1" x14ac:dyDescent="0.2">
      <c r="A367" s="1023"/>
      <c r="B367" s="1023"/>
      <c r="C367" s="1023"/>
      <c r="D367" s="1023"/>
      <c r="E367" s="1023"/>
      <c r="F367" s="1023"/>
      <c r="G367" s="1023"/>
      <c r="H367" s="1023"/>
      <c r="I367" s="1023"/>
      <c r="J367" s="1023"/>
      <c r="K367" s="1023"/>
      <c r="L367" s="1023"/>
      <c r="M367" s="1023"/>
      <c r="N367" s="1023"/>
      <c r="O367" s="1023"/>
      <c r="P367" s="1023"/>
      <c r="Q367" s="1023"/>
      <c r="R367" s="1023"/>
      <c r="S367" s="1023"/>
      <c r="T367" s="1023"/>
      <c r="U367" s="1023"/>
      <c r="V367" s="1023"/>
      <c r="W367" s="1023"/>
      <c r="X367" s="1023"/>
      <c r="Y367" s="1023"/>
      <c r="Z367" s="1023"/>
    </row>
    <row r="368" spans="1:26" ht="11.25" customHeight="1" x14ac:dyDescent="0.2">
      <c r="A368" s="1023"/>
      <c r="B368" s="1023"/>
      <c r="C368" s="1023"/>
      <c r="D368" s="1023"/>
      <c r="E368" s="1023"/>
      <c r="F368" s="1023"/>
      <c r="G368" s="1023"/>
      <c r="H368" s="1023"/>
      <c r="I368" s="1023"/>
      <c r="J368" s="1023"/>
      <c r="K368" s="1023"/>
      <c r="L368" s="1023"/>
      <c r="M368" s="1023"/>
      <c r="N368" s="1023"/>
      <c r="O368" s="1023"/>
      <c r="P368" s="1023"/>
      <c r="Q368" s="1023"/>
      <c r="R368" s="1023"/>
      <c r="S368" s="1023"/>
      <c r="T368" s="1023"/>
      <c r="U368" s="1023"/>
      <c r="V368" s="1023"/>
      <c r="W368" s="1023"/>
      <c r="X368" s="1023"/>
      <c r="Y368" s="1023"/>
      <c r="Z368" s="1023"/>
    </row>
    <row r="369" spans="1:26" ht="11.25" customHeight="1" x14ac:dyDescent="0.2">
      <c r="A369" s="1023"/>
      <c r="B369" s="1023"/>
      <c r="C369" s="1023"/>
      <c r="D369" s="1023"/>
      <c r="E369" s="1023"/>
      <c r="F369" s="1023"/>
      <c r="G369" s="1023"/>
      <c r="H369" s="1023"/>
      <c r="I369" s="1023"/>
      <c r="J369" s="1023"/>
      <c r="K369" s="1023"/>
      <c r="L369" s="1023"/>
      <c r="M369" s="1023"/>
      <c r="N369" s="1023"/>
      <c r="O369" s="1023"/>
      <c r="P369" s="1023"/>
      <c r="Q369" s="1023"/>
      <c r="R369" s="1023"/>
      <c r="S369" s="1023"/>
      <c r="T369" s="1023"/>
      <c r="U369" s="1023"/>
      <c r="V369" s="1023"/>
      <c r="W369" s="1023"/>
      <c r="X369" s="1023"/>
      <c r="Y369" s="1023"/>
      <c r="Z369" s="1023"/>
    </row>
    <row r="370" spans="1:26" ht="11.25" customHeight="1" x14ac:dyDescent="0.2">
      <c r="A370" s="1023"/>
      <c r="B370" s="1023"/>
      <c r="C370" s="1023"/>
      <c r="D370" s="1023"/>
      <c r="E370" s="1023"/>
      <c r="F370" s="1023"/>
      <c r="G370" s="1023"/>
      <c r="H370" s="1023"/>
      <c r="I370" s="1023"/>
      <c r="J370" s="1023"/>
      <c r="K370" s="1023"/>
      <c r="L370" s="1023"/>
      <c r="M370" s="1023"/>
      <c r="N370" s="1023"/>
      <c r="O370" s="1023"/>
      <c r="P370" s="1023"/>
      <c r="Q370" s="1023"/>
      <c r="R370" s="1023"/>
      <c r="S370" s="1023"/>
      <c r="T370" s="1023"/>
      <c r="U370" s="1023"/>
      <c r="V370" s="1023"/>
      <c r="W370" s="1023"/>
      <c r="X370" s="1023"/>
      <c r="Y370" s="1023"/>
      <c r="Z370" s="1023"/>
    </row>
    <row r="371" spans="1:26" ht="11.25" customHeight="1" x14ac:dyDescent="0.2">
      <c r="A371" s="1023"/>
      <c r="B371" s="1023"/>
      <c r="C371" s="1023"/>
      <c r="D371" s="1023"/>
      <c r="E371" s="1023"/>
      <c r="F371" s="1023"/>
      <c r="G371" s="1023"/>
      <c r="H371" s="1023"/>
      <c r="I371" s="1023"/>
      <c r="J371" s="1023"/>
      <c r="K371" s="1023"/>
      <c r="L371" s="1023"/>
      <c r="M371" s="1023"/>
      <c r="N371" s="1023"/>
      <c r="O371" s="1023"/>
      <c r="P371" s="1023"/>
      <c r="Q371" s="1023"/>
      <c r="R371" s="1023"/>
      <c r="S371" s="1023"/>
      <c r="T371" s="1023"/>
      <c r="U371" s="1023"/>
      <c r="V371" s="1023"/>
      <c r="W371" s="1023"/>
      <c r="X371" s="1023"/>
      <c r="Y371" s="1023"/>
      <c r="Z371" s="1023"/>
    </row>
    <row r="372" spans="1:26" ht="11.25" customHeight="1" x14ac:dyDescent="0.2">
      <c r="A372" s="1023"/>
      <c r="B372" s="1023"/>
      <c r="C372" s="1023"/>
      <c r="D372" s="1023"/>
      <c r="E372" s="1023"/>
      <c r="F372" s="1023"/>
      <c r="G372" s="1023"/>
      <c r="H372" s="1023"/>
      <c r="I372" s="1023"/>
      <c r="J372" s="1023"/>
      <c r="K372" s="1023"/>
      <c r="L372" s="1023"/>
      <c r="M372" s="1023"/>
      <c r="N372" s="1023"/>
      <c r="O372" s="1023"/>
      <c r="P372" s="1023"/>
      <c r="Q372" s="1023"/>
      <c r="R372" s="1023"/>
      <c r="S372" s="1023"/>
      <c r="T372" s="1023"/>
      <c r="U372" s="1023"/>
      <c r="V372" s="1023"/>
      <c r="W372" s="1023"/>
      <c r="X372" s="1023"/>
      <c r="Y372" s="1023"/>
      <c r="Z372" s="1023"/>
    </row>
    <row r="373" spans="1:26" ht="11.25" customHeight="1" x14ac:dyDescent="0.2">
      <c r="A373" s="1023"/>
      <c r="B373" s="1023"/>
      <c r="C373" s="1023"/>
      <c r="D373" s="1023"/>
      <c r="E373" s="1023"/>
      <c r="F373" s="1023"/>
      <c r="G373" s="1023"/>
      <c r="H373" s="1023"/>
      <c r="I373" s="1023"/>
      <c r="J373" s="1023"/>
      <c r="K373" s="1023"/>
      <c r="L373" s="1023"/>
      <c r="M373" s="1023"/>
      <c r="N373" s="1023"/>
      <c r="O373" s="1023"/>
      <c r="P373" s="1023"/>
      <c r="Q373" s="1023"/>
      <c r="R373" s="1023"/>
      <c r="S373" s="1023"/>
      <c r="T373" s="1023"/>
      <c r="U373" s="1023"/>
      <c r="V373" s="1023"/>
      <c r="W373" s="1023"/>
      <c r="X373" s="1023"/>
      <c r="Y373" s="1023"/>
      <c r="Z373" s="1023"/>
    </row>
    <row r="374" spans="1:26" ht="11.25" customHeight="1" x14ac:dyDescent="0.2">
      <c r="A374" s="1023"/>
      <c r="B374" s="1023"/>
      <c r="C374" s="1023"/>
      <c r="D374" s="1023"/>
      <c r="E374" s="1023"/>
      <c r="F374" s="1023"/>
      <c r="G374" s="1023"/>
      <c r="H374" s="1023"/>
      <c r="I374" s="1023"/>
      <c r="J374" s="1023"/>
      <c r="K374" s="1023"/>
      <c r="L374" s="1023"/>
      <c r="M374" s="1023"/>
      <c r="N374" s="1023"/>
      <c r="O374" s="1023"/>
      <c r="P374" s="1023"/>
      <c r="Q374" s="1023"/>
      <c r="R374" s="1023"/>
      <c r="S374" s="1023"/>
      <c r="T374" s="1023"/>
      <c r="U374" s="1023"/>
      <c r="V374" s="1023"/>
      <c r="W374" s="1023"/>
      <c r="X374" s="1023"/>
      <c r="Y374" s="1023"/>
      <c r="Z374" s="1023"/>
    </row>
    <row r="375" spans="1:26" ht="11.25" customHeight="1" x14ac:dyDescent="0.2">
      <c r="A375" s="1023"/>
      <c r="B375" s="1023"/>
      <c r="C375" s="1023"/>
      <c r="D375" s="1023"/>
      <c r="E375" s="1023"/>
      <c r="F375" s="1023"/>
      <c r="G375" s="1023"/>
      <c r="H375" s="1023"/>
      <c r="I375" s="1023"/>
      <c r="J375" s="1023"/>
      <c r="K375" s="1023"/>
      <c r="L375" s="1023"/>
      <c r="M375" s="1023"/>
      <c r="N375" s="1023"/>
      <c r="O375" s="1023"/>
      <c r="P375" s="1023"/>
      <c r="Q375" s="1023"/>
      <c r="R375" s="1023"/>
      <c r="S375" s="1023"/>
      <c r="T375" s="1023"/>
      <c r="U375" s="1023"/>
      <c r="V375" s="1023"/>
      <c r="W375" s="1023"/>
      <c r="X375" s="1023"/>
      <c r="Y375" s="1023"/>
      <c r="Z375" s="1023"/>
    </row>
    <row r="376" spans="1:26" ht="11.25" customHeight="1" x14ac:dyDescent="0.2">
      <c r="A376" s="1023"/>
      <c r="B376" s="1023"/>
      <c r="C376" s="1023"/>
      <c r="D376" s="1023"/>
      <c r="E376" s="1023"/>
      <c r="F376" s="1023"/>
      <c r="G376" s="1023"/>
      <c r="H376" s="1023"/>
      <c r="I376" s="1023"/>
      <c r="J376" s="1023"/>
      <c r="K376" s="1023"/>
      <c r="L376" s="1023"/>
      <c r="M376" s="1023"/>
      <c r="N376" s="1023"/>
      <c r="O376" s="1023"/>
      <c r="P376" s="1023"/>
      <c r="Q376" s="1023"/>
      <c r="R376" s="1023"/>
      <c r="S376" s="1023"/>
      <c r="T376" s="1023"/>
      <c r="U376" s="1023"/>
      <c r="V376" s="1023"/>
      <c r="W376" s="1023"/>
      <c r="X376" s="1023"/>
      <c r="Y376" s="1023"/>
      <c r="Z376" s="1023"/>
    </row>
    <row r="377" spans="1:26" ht="11.25" customHeight="1" x14ac:dyDescent="0.2">
      <c r="A377" s="1023"/>
      <c r="B377" s="1023"/>
      <c r="C377" s="1023"/>
      <c r="D377" s="1023"/>
      <c r="E377" s="1023"/>
      <c r="F377" s="1023"/>
      <c r="G377" s="1023"/>
      <c r="H377" s="1023"/>
      <c r="I377" s="1023"/>
      <c r="J377" s="1023"/>
      <c r="K377" s="1023"/>
      <c r="L377" s="1023"/>
      <c r="M377" s="1023"/>
      <c r="N377" s="1023"/>
      <c r="O377" s="1023"/>
      <c r="P377" s="1023"/>
      <c r="Q377" s="1023"/>
      <c r="R377" s="1023"/>
      <c r="S377" s="1023"/>
      <c r="T377" s="1023"/>
      <c r="U377" s="1023"/>
      <c r="V377" s="1023"/>
      <c r="W377" s="1023"/>
      <c r="X377" s="1023"/>
      <c r="Y377" s="1023"/>
      <c r="Z377" s="1023"/>
    </row>
    <row r="378" spans="1:26" ht="11.25" customHeight="1" x14ac:dyDescent="0.2">
      <c r="A378" s="1023"/>
      <c r="B378" s="1023"/>
      <c r="C378" s="1023"/>
      <c r="D378" s="1023"/>
      <c r="E378" s="1023"/>
      <c r="F378" s="1023"/>
      <c r="G378" s="1023"/>
      <c r="H378" s="1023"/>
      <c r="I378" s="1023"/>
      <c r="J378" s="1023"/>
      <c r="K378" s="1023"/>
      <c r="L378" s="1023"/>
      <c r="M378" s="1023"/>
      <c r="N378" s="1023"/>
      <c r="O378" s="1023"/>
      <c r="P378" s="1023"/>
      <c r="Q378" s="1023"/>
      <c r="R378" s="1023"/>
      <c r="S378" s="1023"/>
      <c r="T378" s="1023"/>
      <c r="U378" s="1023"/>
      <c r="V378" s="1023"/>
      <c r="W378" s="1023"/>
      <c r="X378" s="1023"/>
      <c r="Y378" s="1023"/>
      <c r="Z378" s="1023"/>
    </row>
    <row r="379" spans="1:26" ht="11.25" customHeight="1" x14ac:dyDescent="0.2">
      <c r="A379" s="1023"/>
      <c r="B379" s="1023"/>
      <c r="C379" s="1023"/>
      <c r="D379" s="1023"/>
      <c r="E379" s="1023"/>
      <c r="F379" s="1023"/>
      <c r="G379" s="1023"/>
      <c r="H379" s="1023"/>
      <c r="I379" s="1023"/>
      <c r="J379" s="1023"/>
      <c r="K379" s="1023"/>
      <c r="L379" s="1023"/>
      <c r="M379" s="1023"/>
      <c r="N379" s="1023"/>
      <c r="O379" s="1023"/>
      <c r="P379" s="1023"/>
      <c r="Q379" s="1023"/>
      <c r="R379" s="1023"/>
      <c r="S379" s="1023"/>
      <c r="T379" s="1023"/>
      <c r="U379" s="1023"/>
      <c r="V379" s="1023"/>
      <c r="W379" s="1023"/>
      <c r="X379" s="1023"/>
      <c r="Y379" s="1023"/>
      <c r="Z379" s="1023"/>
    </row>
    <row r="380" spans="1:26" ht="11.25" customHeight="1" x14ac:dyDescent="0.2">
      <c r="A380" s="1023"/>
      <c r="B380" s="1023"/>
      <c r="C380" s="1023"/>
      <c r="D380" s="1023"/>
      <c r="E380" s="1023"/>
      <c r="F380" s="1023"/>
      <c r="G380" s="1023"/>
      <c r="H380" s="1023"/>
      <c r="I380" s="1023"/>
      <c r="J380" s="1023"/>
      <c r="K380" s="1023"/>
      <c r="L380" s="1023"/>
      <c r="M380" s="1023"/>
      <c r="N380" s="1023"/>
      <c r="O380" s="1023"/>
      <c r="P380" s="1023"/>
      <c r="Q380" s="1023"/>
      <c r="R380" s="1023"/>
      <c r="S380" s="1023"/>
      <c r="T380" s="1023"/>
      <c r="U380" s="1023"/>
      <c r="V380" s="1023"/>
      <c r="W380" s="1023"/>
      <c r="X380" s="1023"/>
      <c r="Y380" s="1023"/>
      <c r="Z380" s="1023"/>
    </row>
    <row r="381" spans="1:26" ht="11.25" customHeight="1" x14ac:dyDescent="0.2">
      <c r="A381" s="1023"/>
      <c r="B381" s="1023"/>
      <c r="C381" s="1023"/>
      <c r="D381" s="1023"/>
      <c r="E381" s="1023"/>
      <c r="F381" s="1023"/>
      <c r="G381" s="1023"/>
      <c r="H381" s="1023"/>
      <c r="I381" s="1023"/>
      <c r="J381" s="1023"/>
      <c r="K381" s="1023"/>
      <c r="L381" s="1023"/>
      <c r="M381" s="1023"/>
      <c r="N381" s="1023"/>
      <c r="O381" s="1023"/>
      <c r="P381" s="1023"/>
      <c r="Q381" s="1023"/>
      <c r="R381" s="1023"/>
      <c r="S381" s="1023"/>
      <c r="T381" s="1023"/>
      <c r="U381" s="1023"/>
      <c r="V381" s="1023"/>
      <c r="W381" s="1023"/>
      <c r="X381" s="1023"/>
      <c r="Y381" s="1023"/>
      <c r="Z381" s="1023"/>
    </row>
    <row r="382" spans="1:26" ht="11.25" customHeight="1" x14ac:dyDescent="0.2">
      <c r="A382" s="1023"/>
      <c r="B382" s="1023"/>
      <c r="C382" s="1023"/>
      <c r="D382" s="1023"/>
      <c r="E382" s="1023"/>
      <c r="F382" s="1023"/>
      <c r="G382" s="1023"/>
      <c r="H382" s="1023"/>
      <c r="I382" s="1023"/>
      <c r="J382" s="1023"/>
      <c r="K382" s="1023"/>
      <c r="L382" s="1023"/>
      <c r="M382" s="1023"/>
      <c r="N382" s="1023"/>
      <c r="O382" s="1023"/>
      <c r="P382" s="1023"/>
      <c r="Q382" s="1023"/>
      <c r="R382" s="1023"/>
      <c r="S382" s="1023"/>
      <c r="T382" s="1023"/>
      <c r="U382" s="1023"/>
      <c r="V382" s="1023"/>
      <c r="W382" s="1023"/>
      <c r="X382" s="1023"/>
      <c r="Y382" s="1023"/>
      <c r="Z382" s="1023"/>
    </row>
    <row r="383" spans="1:26" ht="11.25" customHeight="1" x14ac:dyDescent="0.2">
      <c r="A383" s="1023"/>
      <c r="B383" s="1023"/>
      <c r="C383" s="1023"/>
      <c r="D383" s="1023"/>
      <c r="E383" s="1023"/>
      <c r="F383" s="1023"/>
      <c r="G383" s="1023"/>
      <c r="H383" s="1023"/>
      <c r="I383" s="1023"/>
      <c r="J383" s="1023"/>
      <c r="K383" s="1023"/>
      <c r="L383" s="1023"/>
      <c r="M383" s="1023"/>
      <c r="N383" s="1023"/>
      <c r="O383" s="1023"/>
      <c r="P383" s="1023"/>
      <c r="Q383" s="1023"/>
      <c r="R383" s="1023"/>
      <c r="S383" s="1023"/>
      <c r="T383" s="1023"/>
      <c r="U383" s="1023"/>
      <c r="V383" s="1023"/>
      <c r="W383" s="1023"/>
      <c r="X383" s="1023"/>
      <c r="Y383" s="1023"/>
      <c r="Z383" s="1023"/>
    </row>
    <row r="384" spans="1:26" ht="11.25" customHeight="1" x14ac:dyDescent="0.2">
      <c r="A384" s="1023"/>
      <c r="B384" s="1023"/>
      <c r="C384" s="1023"/>
      <c r="D384" s="1023"/>
      <c r="E384" s="1023"/>
      <c r="F384" s="1023"/>
      <c r="G384" s="1023"/>
      <c r="H384" s="1023"/>
      <c r="I384" s="1023"/>
      <c r="J384" s="1023"/>
      <c r="K384" s="1023"/>
      <c r="L384" s="1023"/>
      <c r="M384" s="1023"/>
      <c r="N384" s="1023"/>
      <c r="O384" s="1023"/>
      <c r="P384" s="1023"/>
      <c r="Q384" s="1023"/>
      <c r="R384" s="1023"/>
      <c r="S384" s="1023"/>
      <c r="T384" s="1023"/>
      <c r="U384" s="1023"/>
      <c r="V384" s="1023"/>
      <c r="W384" s="1023"/>
      <c r="X384" s="1023"/>
      <c r="Y384" s="1023"/>
      <c r="Z384" s="1023"/>
    </row>
    <row r="385" spans="1:26" ht="11.25" customHeight="1" x14ac:dyDescent="0.2">
      <c r="A385" s="1023"/>
      <c r="B385" s="1023"/>
      <c r="C385" s="1023"/>
      <c r="D385" s="1023"/>
      <c r="E385" s="1023"/>
      <c r="F385" s="1023"/>
      <c r="G385" s="1023"/>
      <c r="H385" s="1023"/>
      <c r="I385" s="1023"/>
      <c r="J385" s="1023"/>
      <c r="K385" s="1023"/>
      <c r="L385" s="1023"/>
      <c r="M385" s="1023"/>
      <c r="N385" s="1023"/>
      <c r="O385" s="1023"/>
      <c r="P385" s="1023"/>
      <c r="Q385" s="1023"/>
      <c r="R385" s="1023"/>
      <c r="S385" s="1023"/>
      <c r="T385" s="1023"/>
      <c r="U385" s="1023"/>
      <c r="V385" s="1023"/>
      <c r="W385" s="1023"/>
      <c r="X385" s="1023"/>
      <c r="Y385" s="1023"/>
      <c r="Z385" s="1023"/>
    </row>
    <row r="386" spans="1:26" ht="11.25" customHeight="1" x14ac:dyDescent="0.2">
      <c r="A386" s="1023"/>
      <c r="B386" s="1023"/>
      <c r="C386" s="1023"/>
      <c r="D386" s="1023"/>
      <c r="E386" s="1023"/>
      <c r="F386" s="1023"/>
      <c r="G386" s="1023"/>
      <c r="H386" s="1023"/>
      <c r="I386" s="1023"/>
      <c r="J386" s="1023"/>
      <c r="K386" s="1023"/>
      <c r="L386" s="1023"/>
      <c r="M386" s="1023"/>
      <c r="N386" s="1023"/>
      <c r="O386" s="1023"/>
      <c r="P386" s="1023"/>
      <c r="Q386" s="1023"/>
      <c r="R386" s="1023"/>
      <c r="S386" s="1023"/>
      <c r="T386" s="1023"/>
      <c r="U386" s="1023"/>
      <c r="V386" s="1023"/>
      <c r="W386" s="1023"/>
      <c r="X386" s="1023"/>
      <c r="Y386" s="1023"/>
      <c r="Z386" s="1023"/>
    </row>
    <row r="387" spans="1:26" ht="11.25" customHeight="1" x14ac:dyDescent="0.2">
      <c r="A387" s="1023"/>
      <c r="B387" s="1023"/>
      <c r="C387" s="1023"/>
      <c r="D387" s="1023"/>
      <c r="E387" s="1023"/>
      <c r="F387" s="1023"/>
      <c r="G387" s="1023"/>
      <c r="H387" s="1023"/>
      <c r="I387" s="1023"/>
      <c r="J387" s="1023"/>
      <c r="K387" s="1023"/>
      <c r="L387" s="1023"/>
      <c r="M387" s="1023"/>
      <c r="N387" s="1023"/>
      <c r="O387" s="1023"/>
      <c r="P387" s="1023"/>
      <c r="Q387" s="1023"/>
      <c r="R387" s="1023"/>
      <c r="S387" s="1023"/>
      <c r="T387" s="1023"/>
      <c r="U387" s="1023"/>
      <c r="V387" s="1023"/>
      <c r="W387" s="1023"/>
      <c r="X387" s="1023"/>
      <c r="Y387" s="1023"/>
      <c r="Z387" s="1023"/>
    </row>
    <row r="388" spans="1:26" ht="11.25" customHeight="1" x14ac:dyDescent="0.2">
      <c r="A388" s="1023"/>
      <c r="B388" s="1023"/>
      <c r="C388" s="1023"/>
      <c r="D388" s="1023"/>
      <c r="E388" s="1023"/>
      <c r="F388" s="1023"/>
      <c r="G388" s="1023"/>
      <c r="H388" s="1023"/>
      <c r="I388" s="1023"/>
      <c r="J388" s="1023"/>
      <c r="K388" s="1023"/>
      <c r="L388" s="1023"/>
      <c r="M388" s="1023"/>
      <c r="N388" s="1023"/>
      <c r="O388" s="1023"/>
      <c r="P388" s="1023"/>
      <c r="Q388" s="1023"/>
      <c r="R388" s="1023"/>
      <c r="S388" s="1023"/>
      <c r="T388" s="1023"/>
      <c r="U388" s="1023"/>
      <c r="V388" s="1023"/>
      <c r="W388" s="1023"/>
      <c r="X388" s="1023"/>
      <c r="Y388" s="1023"/>
      <c r="Z388" s="1023"/>
    </row>
    <row r="389" spans="1:26" ht="11.25" customHeight="1" x14ac:dyDescent="0.2">
      <c r="A389" s="1023"/>
      <c r="B389" s="1023"/>
      <c r="C389" s="1023"/>
      <c r="D389" s="1023"/>
      <c r="E389" s="1023"/>
      <c r="F389" s="1023"/>
      <c r="G389" s="1023"/>
      <c r="H389" s="1023"/>
      <c r="I389" s="1023"/>
      <c r="J389" s="1023"/>
      <c r="K389" s="1023"/>
      <c r="L389" s="1023"/>
      <c r="M389" s="1023"/>
      <c r="N389" s="1023"/>
      <c r="O389" s="1023"/>
      <c r="P389" s="1023"/>
      <c r="Q389" s="1023"/>
      <c r="R389" s="1023"/>
      <c r="S389" s="1023"/>
      <c r="T389" s="1023"/>
      <c r="U389" s="1023"/>
      <c r="V389" s="1023"/>
      <c r="W389" s="1023"/>
      <c r="X389" s="1023"/>
      <c r="Y389" s="1023"/>
      <c r="Z389" s="1023"/>
    </row>
    <row r="390" spans="1:26" ht="11.25" customHeight="1" x14ac:dyDescent="0.2">
      <c r="A390" s="1023"/>
      <c r="B390" s="1023"/>
      <c r="C390" s="1023"/>
      <c r="D390" s="1023"/>
      <c r="E390" s="1023"/>
      <c r="F390" s="1023"/>
      <c r="G390" s="1023"/>
      <c r="H390" s="1023"/>
      <c r="I390" s="1023"/>
      <c r="J390" s="1023"/>
      <c r="K390" s="1023"/>
      <c r="L390" s="1023"/>
      <c r="M390" s="1023"/>
      <c r="N390" s="1023"/>
      <c r="O390" s="1023"/>
      <c r="P390" s="1023"/>
      <c r="Q390" s="1023"/>
      <c r="R390" s="1023"/>
      <c r="S390" s="1023"/>
      <c r="T390" s="1023"/>
      <c r="U390" s="1023"/>
      <c r="V390" s="1023"/>
      <c r="W390" s="1023"/>
      <c r="X390" s="1023"/>
      <c r="Y390" s="1023"/>
      <c r="Z390" s="1023"/>
    </row>
    <row r="391" spans="1:26" ht="11.25" customHeight="1" x14ac:dyDescent="0.2">
      <c r="A391" s="1023"/>
      <c r="B391" s="1023"/>
      <c r="C391" s="1023"/>
      <c r="D391" s="1023"/>
      <c r="E391" s="1023"/>
      <c r="F391" s="1023"/>
      <c r="G391" s="1023"/>
      <c r="H391" s="1023"/>
      <c r="I391" s="1023"/>
      <c r="J391" s="1023"/>
      <c r="K391" s="1023"/>
      <c r="L391" s="1023"/>
      <c r="M391" s="1023"/>
      <c r="N391" s="1023"/>
      <c r="O391" s="1023"/>
      <c r="P391" s="1023"/>
      <c r="Q391" s="1023"/>
      <c r="R391" s="1023"/>
      <c r="S391" s="1023"/>
      <c r="T391" s="1023"/>
      <c r="U391" s="1023"/>
      <c r="V391" s="1023"/>
      <c r="W391" s="1023"/>
      <c r="X391" s="1023"/>
      <c r="Y391" s="1023"/>
      <c r="Z391" s="1023"/>
    </row>
    <row r="392" spans="1:26" ht="11.25" customHeight="1" x14ac:dyDescent="0.2">
      <c r="A392" s="1023"/>
      <c r="B392" s="1023"/>
      <c r="C392" s="1023"/>
      <c r="D392" s="1023"/>
      <c r="E392" s="1023"/>
      <c r="F392" s="1023"/>
      <c r="G392" s="1023"/>
      <c r="H392" s="1023"/>
      <c r="I392" s="1023"/>
      <c r="J392" s="1023"/>
      <c r="K392" s="1023"/>
      <c r="L392" s="1023"/>
      <c r="M392" s="1023"/>
      <c r="N392" s="1023"/>
      <c r="O392" s="1023"/>
      <c r="P392" s="1023"/>
      <c r="Q392" s="1023"/>
      <c r="R392" s="1023"/>
      <c r="S392" s="1023"/>
      <c r="T392" s="1023"/>
      <c r="U392" s="1023"/>
      <c r="V392" s="1023"/>
      <c r="W392" s="1023"/>
      <c r="X392" s="1023"/>
      <c r="Y392" s="1023"/>
      <c r="Z392" s="1023"/>
    </row>
    <row r="393" spans="1:26" ht="11.25" customHeight="1" x14ac:dyDescent="0.2">
      <c r="A393" s="1023"/>
      <c r="B393" s="1023"/>
      <c r="C393" s="1023"/>
      <c r="D393" s="1023"/>
      <c r="E393" s="1023"/>
      <c r="F393" s="1023"/>
      <c r="G393" s="1023"/>
      <c r="H393" s="1023"/>
      <c r="I393" s="1023"/>
      <c r="J393" s="1023"/>
      <c r="K393" s="1023"/>
      <c r="L393" s="1023"/>
      <c r="M393" s="1023"/>
      <c r="N393" s="1023"/>
      <c r="O393" s="1023"/>
      <c r="P393" s="1023"/>
      <c r="Q393" s="1023"/>
      <c r="R393" s="1023"/>
      <c r="S393" s="1023"/>
      <c r="T393" s="1023"/>
      <c r="U393" s="1023"/>
      <c r="V393" s="1023"/>
      <c r="W393" s="1023"/>
      <c r="X393" s="1023"/>
      <c r="Y393" s="1023"/>
      <c r="Z393" s="1023"/>
    </row>
    <row r="394" spans="1:26" ht="11.25" customHeight="1" x14ac:dyDescent="0.2">
      <c r="A394" s="1023"/>
      <c r="B394" s="1023"/>
      <c r="C394" s="1023"/>
      <c r="D394" s="1023"/>
      <c r="E394" s="1023"/>
      <c r="F394" s="1023"/>
      <c r="G394" s="1023"/>
      <c r="H394" s="1023"/>
      <c r="I394" s="1023"/>
      <c r="J394" s="1023"/>
      <c r="K394" s="1023"/>
      <c r="L394" s="1023"/>
      <c r="M394" s="1023"/>
      <c r="N394" s="1023"/>
      <c r="O394" s="1023"/>
      <c r="P394" s="1023"/>
      <c r="Q394" s="1023"/>
      <c r="R394" s="1023"/>
      <c r="S394" s="1023"/>
      <c r="T394" s="1023"/>
      <c r="U394" s="1023"/>
      <c r="V394" s="1023"/>
      <c r="W394" s="1023"/>
      <c r="X394" s="1023"/>
      <c r="Y394" s="1023"/>
      <c r="Z394" s="1023"/>
    </row>
    <row r="395" spans="1:26" ht="11.25" customHeight="1" x14ac:dyDescent="0.2">
      <c r="A395" s="1023"/>
      <c r="B395" s="1023"/>
      <c r="C395" s="1023"/>
      <c r="D395" s="1023"/>
      <c r="E395" s="1023"/>
      <c r="F395" s="1023"/>
      <c r="G395" s="1023"/>
      <c r="H395" s="1023"/>
      <c r="I395" s="1023"/>
      <c r="J395" s="1023"/>
      <c r="K395" s="1023"/>
      <c r="L395" s="1023"/>
      <c r="M395" s="1023"/>
      <c r="N395" s="1023"/>
      <c r="O395" s="1023"/>
      <c r="P395" s="1023"/>
      <c r="Q395" s="1023"/>
      <c r="R395" s="1023"/>
      <c r="S395" s="1023"/>
      <c r="T395" s="1023"/>
      <c r="U395" s="1023"/>
      <c r="V395" s="1023"/>
      <c r="W395" s="1023"/>
      <c r="X395" s="1023"/>
      <c r="Y395" s="1023"/>
      <c r="Z395" s="1023"/>
    </row>
    <row r="396" spans="1:26" ht="11.25" customHeight="1" x14ac:dyDescent="0.2">
      <c r="A396" s="1023"/>
      <c r="B396" s="1023"/>
      <c r="C396" s="1023"/>
      <c r="D396" s="1023"/>
      <c r="E396" s="1023"/>
      <c r="F396" s="1023"/>
      <c r="G396" s="1023"/>
      <c r="H396" s="1023"/>
      <c r="I396" s="1023"/>
      <c r="J396" s="1023"/>
      <c r="K396" s="1023"/>
      <c r="L396" s="1023"/>
      <c r="M396" s="1023"/>
      <c r="N396" s="1023"/>
      <c r="O396" s="1023"/>
      <c r="P396" s="1023"/>
      <c r="Q396" s="1023"/>
      <c r="R396" s="1023"/>
      <c r="S396" s="1023"/>
      <c r="T396" s="1023"/>
      <c r="U396" s="1023"/>
      <c r="V396" s="1023"/>
      <c r="W396" s="1023"/>
      <c r="X396" s="1023"/>
      <c r="Y396" s="1023"/>
      <c r="Z396" s="1023"/>
    </row>
    <row r="397" spans="1:26" ht="11.25" customHeight="1" x14ac:dyDescent="0.2">
      <c r="A397" s="1023"/>
      <c r="B397" s="1023"/>
      <c r="C397" s="1023"/>
      <c r="D397" s="1023"/>
      <c r="E397" s="1023"/>
      <c r="F397" s="1023"/>
      <c r="G397" s="1023"/>
      <c r="H397" s="1023"/>
      <c r="I397" s="1023"/>
      <c r="J397" s="1023"/>
      <c r="K397" s="1023"/>
      <c r="L397" s="1023"/>
      <c r="M397" s="1023"/>
      <c r="N397" s="1023"/>
      <c r="O397" s="1023"/>
      <c r="P397" s="1023"/>
      <c r="Q397" s="1023"/>
      <c r="R397" s="1023"/>
      <c r="S397" s="1023"/>
      <c r="T397" s="1023"/>
      <c r="U397" s="1023"/>
      <c r="V397" s="1023"/>
      <c r="W397" s="1023"/>
      <c r="X397" s="1023"/>
      <c r="Y397" s="1023"/>
      <c r="Z397" s="1023"/>
    </row>
    <row r="398" spans="1:26" ht="11.25" customHeight="1" x14ac:dyDescent="0.2">
      <c r="A398" s="1023"/>
      <c r="B398" s="1023"/>
      <c r="C398" s="1023"/>
      <c r="D398" s="1023"/>
      <c r="E398" s="1023"/>
      <c r="F398" s="1023"/>
      <c r="G398" s="1023"/>
      <c r="H398" s="1023"/>
      <c r="I398" s="1023"/>
      <c r="J398" s="1023"/>
      <c r="K398" s="1023"/>
      <c r="L398" s="1023"/>
      <c r="M398" s="1023"/>
      <c r="N398" s="1023"/>
      <c r="O398" s="1023"/>
      <c r="P398" s="1023"/>
      <c r="Q398" s="1023"/>
      <c r="R398" s="1023"/>
      <c r="S398" s="1023"/>
      <c r="T398" s="1023"/>
      <c r="U398" s="1023"/>
      <c r="V398" s="1023"/>
      <c r="W398" s="1023"/>
      <c r="X398" s="1023"/>
      <c r="Y398" s="1023"/>
      <c r="Z398" s="1023"/>
    </row>
    <row r="399" spans="1:26" ht="11.25" customHeight="1" x14ac:dyDescent="0.2">
      <c r="A399" s="1023"/>
      <c r="B399" s="1023"/>
      <c r="C399" s="1023"/>
      <c r="D399" s="1023"/>
      <c r="E399" s="1023"/>
      <c r="F399" s="1023"/>
      <c r="G399" s="1023"/>
      <c r="H399" s="1023"/>
      <c r="I399" s="1023"/>
      <c r="J399" s="1023"/>
      <c r="K399" s="1023"/>
      <c r="L399" s="1023"/>
      <c r="M399" s="1023"/>
      <c r="N399" s="1023"/>
      <c r="O399" s="1023"/>
      <c r="P399" s="1023"/>
      <c r="Q399" s="1023"/>
      <c r="R399" s="1023"/>
      <c r="S399" s="1023"/>
      <c r="T399" s="1023"/>
      <c r="U399" s="1023"/>
      <c r="V399" s="1023"/>
      <c r="W399" s="1023"/>
      <c r="X399" s="1023"/>
      <c r="Y399" s="1023"/>
      <c r="Z399" s="1023"/>
    </row>
    <row r="400" spans="1:26" ht="11.25" customHeight="1" x14ac:dyDescent="0.2">
      <c r="A400" s="1023"/>
      <c r="B400" s="1023"/>
      <c r="C400" s="1023"/>
      <c r="D400" s="1023"/>
      <c r="E400" s="1023"/>
      <c r="F400" s="1023"/>
      <c r="G400" s="1023"/>
      <c r="H400" s="1023"/>
      <c r="I400" s="1023"/>
      <c r="J400" s="1023"/>
      <c r="K400" s="1023"/>
      <c r="L400" s="1023"/>
      <c r="M400" s="1023"/>
      <c r="N400" s="1023"/>
      <c r="O400" s="1023"/>
      <c r="P400" s="1023"/>
      <c r="Q400" s="1023"/>
      <c r="R400" s="1023"/>
      <c r="S400" s="1023"/>
      <c r="T400" s="1023"/>
      <c r="U400" s="1023"/>
      <c r="V400" s="1023"/>
      <c r="W400" s="1023"/>
      <c r="X400" s="1023"/>
      <c r="Y400" s="1023"/>
      <c r="Z400" s="1023"/>
    </row>
    <row r="401" spans="1:26" ht="11.25" customHeight="1" x14ac:dyDescent="0.2">
      <c r="A401" s="1023"/>
      <c r="B401" s="1023"/>
      <c r="C401" s="1023"/>
      <c r="D401" s="1023"/>
      <c r="E401" s="1023"/>
      <c r="F401" s="1023"/>
      <c r="G401" s="1023"/>
      <c r="H401" s="1023"/>
      <c r="I401" s="1023"/>
      <c r="J401" s="1023"/>
      <c r="K401" s="1023"/>
      <c r="L401" s="1023"/>
      <c r="M401" s="1023"/>
      <c r="N401" s="1023"/>
      <c r="O401" s="1023"/>
      <c r="P401" s="1023"/>
      <c r="Q401" s="1023"/>
      <c r="R401" s="1023"/>
      <c r="S401" s="1023"/>
      <c r="T401" s="1023"/>
      <c r="U401" s="1023"/>
      <c r="V401" s="1023"/>
      <c r="W401" s="1023"/>
      <c r="X401" s="1023"/>
      <c r="Y401" s="1023"/>
      <c r="Z401" s="1023"/>
    </row>
    <row r="402" spans="1:26" ht="11.25" customHeight="1" x14ac:dyDescent="0.2">
      <c r="A402" s="1023"/>
      <c r="B402" s="1023"/>
      <c r="C402" s="1023"/>
      <c r="D402" s="1023"/>
      <c r="E402" s="1023"/>
      <c r="F402" s="1023"/>
      <c r="G402" s="1023"/>
      <c r="H402" s="1023"/>
      <c r="I402" s="1023"/>
      <c r="J402" s="1023"/>
      <c r="K402" s="1023"/>
      <c r="L402" s="1023"/>
      <c r="M402" s="1023"/>
      <c r="N402" s="1023"/>
      <c r="O402" s="1023"/>
      <c r="P402" s="1023"/>
      <c r="Q402" s="1023"/>
      <c r="R402" s="1023"/>
      <c r="S402" s="1023"/>
      <c r="T402" s="1023"/>
      <c r="U402" s="1023"/>
      <c r="V402" s="1023"/>
      <c r="W402" s="1023"/>
      <c r="X402" s="1023"/>
      <c r="Y402" s="1023"/>
      <c r="Z402" s="1023"/>
    </row>
    <row r="403" spans="1:26" ht="11.25" customHeight="1" x14ac:dyDescent="0.2">
      <c r="A403" s="1023"/>
      <c r="B403" s="1023"/>
      <c r="C403" s="1023"/>
      <c r="D403" s="1023"/>
      <c r="E403" s="1023"/>
      <c r="F403" s="1023"/>
      <c r="G403" s="1023"/>
      <c r="H403" s="1023"/>
      <c r="I403" s="1023"/>
      <c r="J403" s="1023"/>
      <c r="K403" s="1023"/>
      <c r="L403" s="1023"/>
      <c r="M403" s="1023"/>
      <c r="N403" s="1023"/>
      <c r="O403" s="1023"/>
      <c r="P403" s="1023"/>
      <c r="Q403" s="1023"/>
      <c r="R403" s="1023"/>
      <c r="S403" s="1023"/>
      <c r="T403" s="1023"/>
      <c r="U403" s="1023"/>
      <c r="V403" s="1023"/>
      <c r="W403" s="1023"/>
      <c r="X403" s="1023"/>
      <c r="Y403" s="1023"/>
      <c r="Z403" s="1023"/>
    </row>
    <row r="404" spans="1:26" ht="11.25" customHeight="1" x14ac:dyDescent="0.2">
      <c r="A404" s="1023"/>
      <c r="B404" s="1023"/>
      <c r="C404" s="1023"/>
      <c r="D404" s="1023"/>
      <c r="E404" s="1023"/>
      <c r="F404" s="1023"/>
      <c r="G404" s="1023"/>
      <c r="H404" s="1023"/>
      <c r="I404" s="1023"/>
      <c r="J404" s="1023"/>
      <c r="K404" s="1023"/>
      <c r="L404" s="1023"/>
      <c r="M404" s="1023"/>
      <c r="N404" s="1023"/>
      <c r="O404" s="1023"/>
      <c r="P404" s="1023"/>
      <c r="Q404" s="1023"/>
      <c r="R404" s="1023"/>
      <c r="S404" s="1023"/>
      <c r="T404" s="1023"/>
      <c r="U404" s="1023"/>
      <c r="V404" s="1023"/>
      <c r="W404" s="1023"/>
      <c r="X404" s="1023"/>
      <c r="Y404" s="1023"/>
      <c r="Z404" s="1023"/>
    </row>
    <row r="405" spans="1:26" ht="11.25" customHeight="1" x14ac:dyDescent="0.2">
      <c r="A405" s="1023"/>
      <c r="B405" s="1023"/>
      <c r="C405" s="1023"/>
      <c r="D405" s="1023"/>
      <c r="E405" s="1023"/>
      <c r="F405" s="1023"/>
      <c r="G405" s="1023"/>
      <c r="H405" s="1023"/>
      <c r="I405" s="1023"/>
      <c r="J405" s="1023"/>
      <c r="K405" s="1023"/>
      <c r="L405" s="1023"/>
      <c r="M405" s="1023"/>
      <c r="N405" s="1023"/>
      <c r="O405" s="1023"/>
      <c r="P405" s="1023"/>
      <c r="Q405" s="1023"/>
      <c r="R405" s="1023"/>
      <c r="S405" s="1023"/>
      <c r="T405" s="1023"/>
      <c r="U405" s="1023"/>
      <c r="V405" s="1023"/>
      <c r="W405" s="1023"/>
      <c r="X405" s="1023"/>
      <c r="Y405" s="1023"/>
      <c r="Z405" s="1023"/>
    </row>
    <row r="406" spans="1:26" ht="11.25" customHeight="1" x14ac:dyDescent="0.2">
      <c r="A406" s="1023"/>
      <c r="B406" s="1023"/>
      <c r="C406" s="1023"/>
      <c r="D406" s="1023"/>
      <c r="E406" s="1023"/>
      <c r="F406" s="1023"/>
      <c r="G406" s="1023"/>
      <c r="H406" s="1023"/>
      <c r="I406" s="1023"/>
      <c r="J406" s="1023"/>
      <c r="K406" s="1023"/>
      <c r="L406" s="1023"/>
      <c r="M406" s="1023"/>
      <c r="N406" s="1023"/>
      <c r="O406" s="1023"/>
      <c r="P406" s="1023"/>
      <c r="Q406" s="1023"/>
      <c r="R406" s="1023"/>
      <c r="S406" s="1023"/>
      <c r="T406" s="1023"/>
      <c r="U406" s="1023"/>
      <c r="V406" s="1023"/>
      <c r="W406" s="1023"/>
      <c r="X406" s="1023"/>
      <c r="Y406" s="1023"/>
      <c r="Z406" s="1023"/>
    </row>
    <row r="407" spans="1:26" ht="11.25" customHeight="1" x14ac:dyDescent="0.2">
      <c r="A407" s="1023"/>
      <c r="B407" s="1023"/>
      <c r="C407" s="1023"/>
      <c r="D407" s="1023"/>
      <c r="E407" s="1023"/>
      <c r="F407" s="1023"/>
      <c r="G407" s="1023"/>
      <c r="H407" s="1023"/>
      <c r="I407" s="1023"/>
      <c r="J407" s="1023"/>
      <c r="K407" s="1023"/>
      <c r="L407" s="1023"/>
      <c r="M407" s="1023"/>
      <c r="N407" s="1023"/>
      <c r="O407" s="1023"/>
      <c r="P407" s="1023"/>
      <c r="Q407" s="1023"/>
      <c r="R407" s="1023"/>
      <c r="S407" s="1023"/>
      <c r="T407" s="1023"/>
      <c r="U407" s="1023"/>
      <c r="V407" s="1023"/>
      <c r="W407" s="1023"/>
      <c r="X407" s="1023"/>
      <c r="Y407" s="1023"/>
      <c r="Z407" s="1023"/>
    </row>
    <row r="408" spans="1:26" ht="11.25" customHeight="1" x14ac:dyDescent="0.2">
      <c r="A408" s="1023"/>
      <c r="B408" s="1023"/>
      <c r="C408" s="1023"/>
      <c r="D408" s="1023"/>
      <c r="E408" s="1023"/>
      <c r="F408" s="1023"/>
      <c r="G408" s="1023"/>
      <c r="H408" s="1023"/>
      <c r="I408" s="1023"/>
      <c r="J408" s="1023"/>
      <c r="K408" s="1023"/>
      <c r="L408" s="1023"/>
      <c r="M408" s="1023"/>
      <c r="N408" s="1023"/>
      <c r="O408" s="1023"/>
      <c r="P408" s="1023"/>
      <c r="Q408" s="1023"/>
      <c r="R408" s="1023"/>
      <c r="S408" s="1023"/>
      <c r="T408" s="1023"/>
      <c r="U408" s="1023"/>
      <c r="V408" s="1023"/>
      <c r="W408" s="1023"/>
      <c r="X408" s="1023"/>
      <c r="Y408" s="1023"/>
      <c r="Z408" s="1023"/>
    </row>
    <row r="409" spans="1:26" ht="11.25" customHeight="1" x14ac:dyDescent="0.2">
      <c r="A409" s="1023"/>
      <c r="B409" s="1023"/>
      <c r="C409" s="1023"/>
      <c r="D409" s="1023"/>
      <c r="E409" s="1023"/>
      <c r="F409" s="1023"/>
      <c r="G409" s="1023"/>
      <c r="H409" s="1023"/>
      <c r="I409" s="1023"/>
      <c r="J409" s="1023"/>
      <c r="K409" s="1023"/>
      <c r="L409" s="1023"/>
      <c r="M409" s="1023"/>
      <c r="N409" s="1023"/>
      <c r="O409" s="1023"/>
      <c r="P409" s="1023"/>
      <c r="Q409" s="1023"/>
      <c r="R409" s="1023"/>
      <c r="S409" s="1023"/>
      <c r="T409" s="1023"/>
      <c r="U409" s="1023"/>
      <c r="V409" s="1023"/>
      <c r="W409" s="1023"/>
      <c r="X409" s="1023"/>
      <c r="Y409" s="1023"/>
      <c r="Z409" s="1023"/>
    </row>
    <row r="410" spans="1:26" ht="11.25" customHeight="1" x14ac:dyDescent="0.2">
      <c r="A410" s="1023"/>
      <c r="B410" s="1023"/>
      <c r="C410" s="1023"/>
      <c r="D410" s="1023"/>
      <c r="E410" s="1023"/>
      <c r="F410" s="1023"/>
      <c r="G410" s="1023"/>
      <c r="H410" s="1023"/>
      <c r="I410" s="1023"/>
      <c r="J410" s="1023"/>
      <c r="K410" s="1023"/>
      <c r="L410" s="1023"/>
      <c r="M410" s="1023"/>
      <c r="N410" s="1023"/>
      <c r="O410" s="1023"/>
      <c r="P410" s="1023"/>
      <c r="Q410" s="1023"/>
      <c r="R410" s="1023"/>
      <c r="S410" s="1023"/>
      <c r="T410" s="1023"/>
      <c r="U410" s="1023"/>
      <c r="V410" s="1023"/>
      <c r="W410" s="1023"/>
      <c r="X410" s="1023"/>
      <c r="Y410" s="1023"/>
      <c r="Z410" s="1023"/>
    </row>
    <row r="411" spans="1:26" ht="11.25" customHeight="1" x14ac:dyDescent="0.2">
      <c r="A411" s="1023"/>
      <c r="B411" s="1023"/>
      <c r="C411" s="1023"/>
      <c r="D411" s="1023"/>
      <c r="E411" s="1023"/>
      <c r="F411" s="1023"/>
      <c r="G411" s="1023"/>
      <c r="H411" s="1023"/>
      <c r="I411" s="1023"/>
      <c r="J411" s="1023"/>
      <c r="K411" s="1023"/>
      <c r="L411" s="1023"/>
      <c r="M411" s="1023"/>
      <c r="N411" s="1023"/>
      <c r="O411" s="1023"/>
      <c r="P411" s="1023"/>
      <c r="Q411" s="1023"/>
      <c r="R411" s="1023"/>
      <c r="S411" s="1023"/>
      <c r="T411" s="1023"/>
      <c r="U411" s="1023"/>
      <c r="V411" s="1023"/>
      <c r="W411" s="1023"/>
      <c r="X411" s="1023"/>
      <c r="Y411" s="1023"/>
      <c r="Z411" s="1023"/>
    </row>
    <row r="412" spans="1:26" ht="11.25" customHeight="1" x14ac:dyDescent="0.2">
      <c r="A412" s="1023"/>
      <c r="B412" s="1023"/>
      <c r="C412" s="1023"/>
      <c r="D412" s="1023"/>
      <c r="E412" s="1023"/>
      <c r="F412" s="1023"/>
      <c r="G412" s="1023"/>
      <c r="H412" s="1023"/>
      <c r="I412" s="1023"/>
      <c r="J412" s="1023"/>
      <c r="K412" s="1023"/>
      <c r="L412" s="1023"/>
      <c r="M412" s="1023"/>
      <c r="N412" s="1023"/>
      <c r="O412" s="1023"/>
      <c r="P412" s="1023"/>
      <c r="Q412" s="1023"/>
      <c r="R412" s="1023"/>
      <c r="S412" s="1023"/>
      <c r="T412" s="1023"/>
      <c r="U412" s="1023"/>
      <c r="V412" s="1023"/>
      <c r="W412" s="1023"/>
      <c r="X412" s="1023"/>
      <c r="Y412" s="1023"/>
      <c r="Z412" s="1023"/>
    </row>
    <row r="413" spans="1:26" ht="11.25" customHeight="1" x14ac:dyDescent="0.2">
      <c r="A413" s="1023"/>
      <c r="B413" s="1023"/>
      <c r="C413" s="1023"/>
      <c r="D413" s="1023"/>
      <c r="E413" s="1023"/>
      <c r="F413" s="1023"/>
      <c r="G413" s="1023"/>
      <c r="H413" s="1023"/>
      <c r="I413" s="1023"/>
      <c r="J413" s="1023"/>
      <c r="K413" s="1023"/>
      <c r="L413" s="1023"/>
      <c r="M413" s="1023"/>
      <c r="N413" s="1023"/>
      <c r="O413" s="1023"/>
      <c r="P413" s="1023"/>
      <c r="Q413" s="1023"/>
      <c r="R413" s="1023"/>
      <c r="S413" s="1023"/>
      <c r="T413" s="1023"/>
      <c r="U413" s="1023"/>
      <c r="V413" s="1023"/>
      <c r="W413" s="1023"/>
      <c r="X413" s="1023"/>
      <c r="Y413" s="1023"/>
      <c r="Z413" s="1023"/>
    </row>
    <row r="414" spans="1:26" ht="11.25" customHeight="1" x14ac:dyDescent="0.2">
      <c r="A414" s="1023"/>
      <c r="B414" s="1023"/>
      <c r="C414" s="1023"/>
      <c r="D414" s="1023"/>
      <c r="E414" s="1023"/>
      <c r="F414" s="1023"/>
      <c r="G414" s="1023"/>
      <c r="H414" s="1023"/>
      <c r="I414" s="1023"/>
      <c r="J414" s="1023"/>
      <c r="K414" s="1023"/>
      <c r="L414" s="1023"/>
      <c r="M414" s="1023"/>
      <c r="N414" s="1023"/>
      <c r="O414" s="1023"/>
      <c r="P414" s="1023"/>
      <c r="Q414" s="1023"/>
      <c r="R414" s="1023"/>
      <c r="S414" s="1023"/>
      <c r="T414" s="1023"/>
      <c r="U414" s="1023"/>
      <c r="V414" s="1023"/>
      <c r="W414" s="1023"/>
      <c r="X414" s="1023"/>
      <c r="Y414" s="1023"/>
      <c r="Z414" s="1023"/>
    </row>
    <row r="415" spans="1:26" ht="11.25" customHeight="1" x14ac:dyDescent="0.2">
      <c r="A415" s="1023"/>
      <c r="B415" s="1023"/>
      <c r="C415" s="1023"/>
      <c r="D415" s="1023"/>
      <c r="E415" s="1023"/>
      <c r="F415" s="1023"/>
      <c r="G415" s="1023"/>
      <c r="H415" s="1023"/>
      <c r="I415" s="1023"/>
      <c r="J415" s="1023"/>
      <c r="K415" s="1023"/>
      <c r="L415" s="1023"/>
      <c r="M415" s="1023"/>
      <c r="N415" s="1023"/>
      <c r="O415" s="1023"/>
      <c r="P415" s="1023"/>
      <c r="Q415" s="1023"/>
      <c r="R415" s="1023"/>
      <c r="S415" s="1023"/>
      <c r="T415" s="1023"/>
      <c r="U415" s="1023"/>
      <c r="V415" s="1023"/>
      <c r="W415" s="1023"/>
      <c r="X415" s="1023"/>
      <c r="Y415" s="1023"/>
      <c r="Z415" s="1023"/>
    </row>
    <row r="416" spans="1:26" ht="11.25" customHeight="1" x14ac:dyDescent="0.2">
      <c r="A416" s="1023"/>
      <c r="B416" s="1023"/>
      <c r="C416" s="1023"/>
      <c r="D416" s="1023"/>
      <c r="E416" s="1023"/>
      <c r="F416" s="1023"/>
      <c r="G416" s="1023"/>
      <c r="H416" s="1023"/>
      <c r="I416" s="1023"/>
      <c r="J416" s="1023"/>
      <c r="K416" s="1023"/>
      <c r="L416" s="1023"/>
      <c r="M416" s="1023"/>
      <c r="N416" s="1023"/>
      <c r="O416" s="1023"/>
      <c r="P416" s="1023"/>
      <c r="Q416" s="1023"/>
      <c r="R416" s="1023"/>
      <c r="S416" s="1023"/>
      <c r="T416" s="1023"/>
      <c r="U416" s="1023"/>
      <c r="V416" s="1023"/>
      <c r="W416" s="1023"/>
      <c r="X416" s="1023"/>
      <c r="Y416" s="1023"/>
      <c r="Z416" s="1023"/>
    </row>
    <row r="417" spans="1:26" ht="11.25" customHeight="1" x14ac:dyDescent="0.2">
      <c r="A417" s="1023"/>
      <c r="B417" s="1023"/>
      <c r="C417" s="1023"/>
      <c r="D417" s="1023"/>
      <c r="E417" s="1023"/>
      <c r="F417" s="1023"/>
      <c r="G417" s="1023"/>
      <c r="H417" s="1023"/>
      <c r="I417" s="1023"/>
      <c r="J417" s="1023"/>
      <c r="K417" s="1023"/>
      <c r="L417" s="1023"/>
      <c r="M417" s="1023"/>
      <c r="N417" s="1023"/>
      <c r="O417" s="1023"/>
      <c r="P417" s="1023"/>
      <c r="Q417" s="1023"/>
      <c r="R417" s="1023"/>
      <c r="S417" s="1023"/>
      <c r="T417" s="1023"/>
      <c r="U417" s="1023"/>
      <c r="V417" s="1023"/>
      <c r="W417" s="1023"/>
      <c r="X417" s="1023"/>
      <c r="Y417" s="1023"/>
      <c r="Z417" s="1023"/>
    </row>
    <row r="418" spans="1:26" ht="11.25" customHeight="1" x14ac:dyDescent="0.2">
      <c r="A418" s="1023"/>
      <c r="B418" s="1023"/>
      <c r="C418" s="1023"/>
      <c r="D418" s="1023"/>
      <c r="E418" s="1023"/>
      <c r="F418" s="1023"/>
      <c r="G418" s="1023"/>
      <c r="H418" s="1023"/>
      <c r="I418" s="1023"/>
      <c r="J418" s="1023"/>
      <c r="K418" s="1023"/>
      <c r="L418" s="1023"/>
      <c r="M418" s="1023"/>
      <c r="N418" s="1023"/>
      <c r="O418" s="1023"/>
      <c r="P418" s="1023"/>
      <c r="Q418" s="1023"/>
      <c r="R418" s="1023"/>
      <c r="S418" s="1023"/>
      <c r="T418" s="1023"/>
      <c r="U418" s="1023"/>
      <c r="V418" s="1023"/>
      <c r="W418" s="1023"/>
      <c r="X418" s="1023"/>
      <c r="Y418" s="1023"/>
      <c r="Z418" s="1023"/>
    </row>
    <row r="419" spans="1:26" ht="11.25" customHeight="1" x14ac:dyDescent="0.2">
      <c r="A419" s="1023"/>
      <c r="B419" s="1023"/>
      <c r="C419" s="1023"/>
      <c r="D419" s="1023"/>
      <c r="E419" s="1023"/>
      <c r="F419" s="1023"/>
      <c r="G419" s="1023"/>
      <c r="H419" s="1023"/>
      <c r="I419" s="1023"/>
      <c r="J419" s="1023"/>
      <c r="K419" s="1023"/>
      <c r="L419" s="1023"/>
      <c r="M419" s="1023"/>
      <c r="N419" s="1023"/>
      <c r="O419" s="1023"/>
      <c r="P419" s="1023"/>
      <c r="Q419" s="1023"/>
      <c r="R419" s="1023"/>
      <c r="S419" s="1023"/>
      <c r="T419" s="1023"/>
      <c r="U419" s="1023"/>
      <c r="V419" s="1023"/>
      <c r="W419" s="1023"/>
      <c r="X419" s="1023"/>
      <c r="Y419" s="1023"/>
      <c r="Z419" s="1023"/>
    </row>
    <row r="420" spans="1:26" ht="11.25" customHeight="1" x14ac:dyDescent="0.2">
      <c r="A420" s="1023"/>
      <c r="B420" s="1023"/>
      <c r="C420" s="1023"/>
      <c r="D420" s="1023"/>
      <c r="E420" s="1023"/>
      <c r="F420" s="1023"/>
      <c r="G420" s="1023"/>
      <c r="H420" s="1023"/>
      <c r="I420" s="1023"/>
      <c r="J420" s="1023"/>
      <c r="K420" s="1023"/>
      <c r="L420" s="1023"/>
      <c r="M420" s="1023"/>
      <c r="N420" s="1023"/>
      <c r="O420" s="1023"/>
      <c r="P420" s="1023"/>
      <c r="Q420" s="1023"/>
      <c r="R420" s="1023"/>
      <c r="S420" s="1023"/>
      <c r="T420" s="1023"/>
      <c r="U420" s="1023"/>
      <c r="V420" s="1023"/>
      <c r="W420" s="1023"/>
      <c r="X420" s="1023"/>
      <c r="Y420" s="1023"/>
      <c r="Z420" s="1023"/>
    </row>
    <row r="421" spans="1:26" ht="11.25" customHeight="1" x14ac:dyDescent="0.2">
      <c r="A421" s="1023"/>
      <c r="B421" s="1023"/>
      <c r="C421" s="1023"/>
      <c r="D421" s="1023"/>
      <c r="E421" s="1023"/>
      <c r="F421" s="1023"/>
      <c r="G421" s="1023"/>
      <c r="H421" s="1023"/>
      <c r="I421" s="1023"/>
      <c r="J421" s="1023"/>
      <c r="K421" s="1023"/>
      <c r="L421" s="1023"/>
      <c r="M421" s="1023"/>
      <c r="N421" s="1023"/>
      <c r="O421" s="1023"/>
      <c r="P421" s="1023"/>
      <c r="Q421" s="1023"/>
      <c r="R421" s="1023"/>
      <c r="S421" s="1023"/>
      <c r="T421" s="1023"/>
      <c r="U421" s="1023"/>
      <c r="V421" s="1023"/>
      <c r="W421" s="1023"/>
      <c r="X421" s="1023"/>
      <c r="Y421" s="1023"/>
      <c r="Z421" s="1023"/>
    </row>
    <row r="422" spans="1:26" ht="11.25" customHeight="1" x14ac:dyDescent="0.2">
      <c r="A422" s="1023"/>
      <c r="B422" s="1023"/>
      <c r="C422" s="1023"/>
      <c r="D422" s="1023"/>
      <c r="E422" s="1023"/>
      <c r="F422" s="1023"/>
      <c r="G422" s="1023"/>
      <c r="H422" s="1023"/>
      <c r="I422" s="1023"/>
      <c r="J422" s="1023"/>
      <c r="K422" s="1023"/>
      <c r="L422" s="1023"/>
      <c r="M422" s="1023"/>
      <c r="N422" s="1023"/>
      <c r="O422" s="1023"/>
      <c r="P422" s="1023"/>
      <c r="Q422" s="1023"/>
      <c r="R422" s="1023"/>
      <c r="S422" s="1023"/>
      <c r="T422" s="1023"/>
      <c r="U422" s="1023"/>
      <c r="V422" s="1023"/>
      <c r="W422" s="1023"/>
      <c r="X422" s="1023"/>
      <c r="Y422" s="1023"/>
      <c r="Z422" s="1023"/>
    </row>
    <row r="423" spans="1:26" ht="11.25" customHeight="1" x14ac:dyDescent="0.2">
      <c r="A423" s="1023"/>
      <c r="B423" s="1023"/>
      <c r="C423" s="1023"/>
      <c r="D423" s="1023"/>
      <c r="E423" s="1023"/>
      <c r="F423" s="1023"/>
      <c r="G423" s="1023"/>
      <c r="H423" s="1023"/>
      <c r="I423" s="1023"/>
      <c r="J423" s="1023"/>
      <c r="K423" s="1023"/>
      <c r="L423" s="1023"/>
      <c r="M423" s="1023"/>
      <c r="N423" s="1023"/>
      <c r="O423" s="1023"/>
      <c r="P423" s="1023"/>
      <c r="Q423" s="1023"/>
      <c r="R423" s="1023"/>
      <c r="S423" s="1023"/>
      <c r="T423" s="1023"/>
      <c r="U423" s="1023"/>
      <c r="V423" s="1023"/>
      <c r="W423" s="1023"/>
      <c r="X423" s="1023"/>
      <c r="Y423" s="1023"/>
      <c r="Z423" s="1023"/>
    </row>
    <row r="424" spans="1:26" ht="11.25" customHeight="1" x14ac:dyDescent="0.2">
      <c r="A424" s="1023"/>
      <c r="B424" s="1023"/>
      <c r="C424" s="1023"/>
      <c r="D424" s="1023"/>
      <c r="E424" s="1023"/>
      <c r="F424" s="1023"/>
      <c r="G424" s="1023"/>
      <c r="H424" s="1023"/>
      <c r="I424" s="1023"/>
      <c r="J424" s="1023"/>
      <c r="K424" s="1023"/>
      <c r="L424" s="1023"/>
      <c r="M424" s="1023"/>
      <c r="N424" s="1023"/>
      <c r="O424" s="1023"/>
      <c r="P424" s="1023"/>
      <c r="Q424" s="1023"/>
      <c r="R424" s="1023"/>
      <c r="S424" s="1023"/>
      <c r="T424" s="1023"/>
      <c r="U424" s="1023"/>
      <c r="V424" s="1023"/>
      <c r="W424" s="1023"/>
      <c r="X424" s="1023"/>
      <c r="Y424" s="1023"/>
      <c r="Z424" s="1023"/>
    </row>
    <row r="425" spans="1:26" ht="11.25" customHeight="1" x14ac:dyDescent="0.2">
      <c r="A425" s="1023"/>
      <c r="B425" s="1023"/>
      <c r="C425" s="1023"/>
      <c r="D425" s="1023"/>
      <c r="E425" s="1023"/>
      <c r="F425" s="1023"/>
      <c r="G425" s="1023"/>
      <c r="H425" s="1023"/>
      <c r="I425" s="1023"/>
      <c r="J425" s="1023"/>
      <c r="K425" s="1023"/>
      <c r="L425" s="1023"/>
      <c r="M425" s="1023"/>
      <c r="N425" s="1023"/>
      <c r="O425" s="1023"/>
      <c r="P425" s="1023"/>
      <c r="Q425" s="1023"/>
      <c r="R425" s="1023"/>
      <c r="S425" s="1023"/>
      <c r="T425" s="1023"/>
      <c r="U425" s="1023"/>
      <c r="V425" s="1023"/>
      <c r="W425" s="1023"/>
      <c r="X425" s="1023"/>
      <c r="Y425" s="1023"/>
      <c r="Z425" s="1023"/>
    </row>
    <row r="426" spans="1:26" ht="11.25" customHeight="1" x14ac:dyDescent="0.2">
      <c r="A426" s="1023"/>
      <c r="B426" s="1023"/>
      <c r="C426" s="1023"/>
      <c r="D426" s="1023"/>
      <c r="E426" s="1023"/>
      <c r="F426" s="1023"/>
      <c r="G426" s="1023"/>
      <c r="H426" s="1023"/>
      <c r="I426" s="1023"/>
      <c r="J426" s="1023"/>
      <c r="K426" s="1023"/>
      <c r="L426" s="1023"/>
      <c r="M426" s="1023"/>
      <c r="N426" s="1023"/>
      <c r="O426" s="1023"/>
      <c r="P426" s="1023"/>
      <c r="Q426" s="1023"/>
      <c r="R426" s="1023"/>
      <c r="S426" s="1023"/>
      <c r="T426" s="1023"/>
      <c r="U426" s="1023"/>
      <c r="V426" s="1023"/>
      <c r="W426" s="1023"/>
      <c r="X426" s="1023"/>
      <c r="Y426" s="1023"/>
      <c r="Z426" s="1023"/>
    </row>
    <row r="427" spans="1:26" ht="11.25" customHeight="1" x14ac:dyDescent="0.2">
      <c r="A427" s="1023"/>
      <c r="B427" s="1023"/>
      <c r="C427" s="1023"/>
      <c r="D427" s="1023"/>
      <c r="E427" s="1023"/>
      <c r="F427" s="1023"/>
      <c r="G427" s="1023"/>
      <c r="H427" s="1023"/>
      <c r="I427" s="1023"/>
      <c r="J427" s="1023"/>
      <c r="K427" s="1023"/>
      <c r="L427" s="1023"/>
      <c r="M427" s="1023"/>
      <c r="N427" s="1023"/>
      <c r="O427" s="1023"/>
      <c r="P427" s="1023"/>
      <c r="Q427" s="1023"/>
      <c r="R427" s="1023"/>
      <c r="S427" s="1023"/>
      <c r="T427" s="1023"/>
      <c r="U427" s="1023"/>
      <c r="V427" s="1023"/>
      <c r="W427" s="1023"/>
      <c r="X427" s="1023"/>
      <c r="Y427" s="1023"/>
      <c r="Z427" s="1023"/>
    </row>
    <row r="428" spans="1:26" ht="11.25" customHeight="1" x14ac:dyDescent="0.2">
      <c r="A428" s="1023"/>
      <c r="B428" s="1023"/>
      <c r="C428" s="1023"/>
      <c r="D428" s="1023"/>
      <c r="E428" s="1023"/>
      <c r="F428" s="1023"/>
      <c r="G428" s="1023"/>
      <c r="H428" s="1023"/>
      <c r="I428" s="1023"/>
      <c r="J428" s="1023"/>
      <c r="K428" s="1023"/>
      <c r="L428" s="1023"/>
      <c r="M428" s="1023"/>
      <c r="N428" s="1023"/>
      <c r="O428" s="1023"/>
      <c r="P428" s="1023"/>
      <c r="Q428" s="1023"/>
      <c r="R428" s="1023"/>
      <c r="S428" s="1023"/>
      <c r="T428" s="1023"/>
      <c r="U428" s="1023"/>
      <c r="V428" s="1023"/>
      <c r="W428" s="1023"/>
      <c r="X428" s="1023"/>
      <c r="Y428" s="1023"/>
      <c r="Z428" s="1023"/>
    </row>
    <row r="429" spans="1:26" ht="11.25" customHeight="1" x14ac:dyDescent="0.2">
      <c r="A429" s="1023"/>
      <c r="B429" s="1023"/>
      <c r="C429" s="1023"/>
      <c r="D429" s="1023"/>
      <c r="E429" s="1023"/>
      <c r="F429" s="1023"/>
      <c r="G429" s="1023"/>
      <c r="H429" s="1023"/>
      <c r="I429" s="1023"/>
      <c r="J429" s="1023"/>
      <c r="K429" s="1023"/>
      <c r="L429" s="1023"/>
      <c r="M429" s="1023"/>
      <c r="N429" s="1023"/>
      <c r="O429" s="1023"/>
      <c r="P429" s="1023"/>
      <c r="Q429" s="1023"/>
      <c r="R429" s="1023"/>
      <c r="S429" s="1023"/>
      <c r="T429" s="1023"/>
      <c r="U429" s="1023"/>
      <c r="V429" s="1023"/>
      <c r="W429" s="1023"/>
      <c r="X429" s="1023"/>
      <c r="Y429" s="1023"/>
      <c r="Z429" s="1023"/>
    </row>
    <row r="430" spans="1:26" ht="11.25" customHeight="1" x14ac:dyDescent="0.2">
      <c r="A430" s="1023"/>
      <c r="B430" s="1023"/>
      <c r="C430" s="1023"/>
      <c r="D430" s="1023"/>
      <c r="E430" s="1023"/>
      <c r="F430" s="1023"/>
      <c r="G430" s="1023"/>
      <c r="H430" s="1023"/>
      <c r="I430" s="1023"/>
      <c r="J430" s="1023"/>
      <c r="K430" s="1023"/>
      <c r="L430" s="1023"/>
      <c r="M430" s="1023"/>
      <c r="N430" s="1023"/>
      <c r="O430" s="1023"/>
      <c r="P430" s="1023"/>
      <c r="Q430" s="1023"/>
      <c r="R430" s="1023"/>
      <c r="S430" s="1023"/>
      <c r="T430" s="1023"/>
      <c r="U430" s="1023"/>
      <c r="V430" s="1023"/>
      <c r="W430" s="1023"/>
      <c r="X430" s="1023"/>
      <c r="Y430" s="1023"/>
      <c r="Z430" s="1023"/>
    </row>
    <row r="431" spans="1:26" ht="11.25" customHeight="1" x14ac:dyDescent="0.2">
      <c r="A431" s="1023"/>
      <c r="B431" s="1023"/>
      <c r="C431" s="1023"/>
      <c r="D431" s="1023"/>
      <c r="E431" s="1023"/>
      <c r="F431" s="1023"/>
      <c r="G431" s="1023"/>
      <c r="H431" s="1023"/>
      <c r="I431" s="1023"/>
      <c r="J431" s="1023"/>
      <c r="K431" s="1023"/>
      <c r="L431" s="1023"/>
      <c r="M431" s="1023"/>
      <c r="N431" s="1023"/>
      <c r="O431" s="1023"/>
      <c r="P431" s="1023"/>
      <c r="Q431" s="1023"/>
      <c r="R431" s="1023"/>
      <c r="S431" s="1023"/>
      <c r="T431" s="1023"/>
      <c r="U431" s="1023"/>
      <c r="V431" s="1023"/>
      <c r="W431" s="1023"/>
      <c r="X431" s="1023"/>
      <c r="Y431" s="1023"/>
      <c r="Z431" s="1023"/>
    </row>
    <row r="432" spans="1:26" ht="11.25" customHeight="1" x14ac:dyDescent="0.2">
      <c r="A432" s="1023"/>
      <c r="B432" s="1023"/>
      <c r="C432" s="1023"/>
      <c r="D432" s="1023"/>
      <c r="E432" s="1023"/>
      <c r="F432" s="1023"/>
      <c r="G432" s="1023"/>
      <c r="H432" s="1023"/>
      <c r="I432" s="1023"/>
      <c r="J432" s="1023"/>
      <c r="K432" s="1023"/>
      <c r="L432" s="1023"/>
      <c r="M432" s="1023"/>
      <c r="N432" s="1023"/>
      <c r="O432" s="1023"/>
      <c r="P432" s="1023"/>
      <c r="Q432" s="1023"/>
      <c r="R432" s="1023"/>
      <c r="S432" s="1023"/>
      <c r="T432" s="1023"/>
      <c r="U432" s="1023"/>
      <c r="V432" s="1023"/>
      <c r="W432" s="1023"/>
      <c r="X432" s="1023"/>
      <c r="Y432" s="1023"/>
      <c r="Z432" s="1023"/>
    </row>
    <row r="433" spans="1:26" ht="11.25" customHeight="1" x14ac:dyDescent="0.2">
      <c r="A433" s="1023"/>
      <c r="B433" s="1023"/>
      <c r="C433" s="1023"/>
      <c r="D433" s="1023"/>
      <c r="E433" s="1023"/>
      <c r="F433" s="1023"/>
      <c r="G433" s="1023"/>
      <c r="H433" s="1023"/>
      <c r="I433" s="1023"/>
      <c r="J433" s="1023"/>
      <c r="K433" s="1023"/>
      <c r="L433" s="1023"/>
      <c r="M433" s="1023"/>
      <c r="N433" s="1023"/>
      <c r="O433" s="1023"/>
      <c r="P433" s="1023"/>
      <c r="Q433" s="1023"/>
      <c r="R433" s="1023"/>
      <c r="S433" s="1023"/>
      <c r="T433" s="1023"/>
      <c r="U433" s="1023"/>
      <c r="V433" s="1023"/>
      <c r="W433" s="1023"/>
      <c r="X433" s="1023"/>
      <c r="Y433" s="1023"/>
      <c r="Z433" s="1023"/>
    </row>
    <row r="434" spans="1:26" ht="11.25" customHeight="1" x14ac:dyDescent="0.2">
      <c r="A434" s="1023"/>
      <c r="B434" s="1023"/>
      <c r="C434" s="1023"/>
      <c r="D434" s="1023"/>
      <c r="E434" s="1023"/>
      <c r="F434" s="1023"/>
      <c r="G434" s="1023"/>
      <c r="H434" s="1023"/>
      <c r="I434" s="1023"/>
      <c r="J434" s="1023"/>
      <c r="K434" s="1023"/>
      <c r="L434" s="1023"/>
      <c r="M434" s="1023"/>
      <c r="N434" s="1023"/>
      <c r="O434" s="1023"/>
      <c r="P434" s="1023"/>
      <c r="Q434" s="1023"/>
      <c r="R434" s="1023"/>
      <c r="S434" s="1023"/>
      <c r="T434" s="1023"/>
      <c r="U434" s="1023"/>
      <c r="V434" s="1023"/>
      <c r="W434" s="1023"/>
      <c r="X434" s="1023"/>
      <c r="Y434" s="1023"/>
      <c r="Z434" s="1023"/>
    </row>
    <row r="435" spans="1:26" ht="11.25" customHeight="1" x14ac:dyDescent="0.2">
      <c r="A435" s="1023"/>
      <c r="B435" s="1023"/>
      <c r="C435" s="1023"/>
      <c r="D435" s="1023"/>
      <c r="E435" s="1023"/>
      <c r="F435" s="1023"/>
      <c r="G435" s="1023"/>
      <c r="H435" s="1023"/>
      <c r="I435" s="1023"/>
      <c r="J435" s="1023"/>
      <c r="K435" s="1023"/>
      <c r="L435" s="1023"/>
      <c r="M435" s="1023"/>
      <c r="N435" s="1023"/>
      <c r="O435" s="1023"/>
      <c r="P435" s="1023"/>
      <c r="Q435" s="1023"/>
      <c r="R435" s="1023"/>
      <c r="S435" s="1023"/>
      <c r="T435" s="1023"/>
      <c r="U435" s="1023"/>
      <c r="V435" s="1023"/>
      <c r="W435" s="1023"/>
      <c r="X435" s="1023"/>
      <c r="Y435" s="1023"/>
      <c r="Z435" s="1023"/>
    </row>
    <row r="436" spans="1:26" ht="11.25" customHeight="1" x14ac:dyDescent="0.2">
      <c r="A436" s="1023"/>
      <c r="B436" s="1023"/>
      <c r="C436" s="1023"/>
      <c r="D436" s="1023"/>
      <c r="E436" s="1023"/>
      <c r="F436" s="1023"/>
      <c r="G436" s="1023"/>
      <c r="H436" s="1023"/>
      <c r="I436" s="1023"/>
      <c r="J436" s="1023"/>
      <c r="K436" s="1023"/>
      <c r="L436" s="1023"/>
      <c r="M436" s="1023"/>
      <c r="N436" s="1023"/>
      <c r="O436" s="1023"/>
      <c r="P436" s="1023"/>
      <c r="Q436" s="1023"/>
      <c r="R436" s="1023"/>
      <c r="S436" s="1023"/>
      <c r="T436" s="1023"/>
      <c r="U436" s="1023"/>
      <c r="V436" s="1023"/>
      <c r="W436" s="1023"/>
      <c r="X436" s="1023"/>
      <c r="Y436" s="1023"/>
      <c r="Z436" s="1023"/>
    </row>
    <row r="437" spans="1:26" ht="11.25" customHeight="1" x14ac:dyDescent="0.2">
      <c r="A437" s="1023"/>
      <c r="B437" s="1023"/>
      <c r="C437" s="1023"/>
      <c r="D437" s="1023"/>
      <c r="E437" s="1023"/>
      <c r="F437" s="1023"/>
      <c r="G437" s="1023"/>
      <c r="H437" s="1023"/>
      <c r="I437" s="1023"/>
      <c r="J437" s="1023"/>
      <c r="K437" s="1023"/>
      <c r="L437" s="1023"/>
      <c r="M437" s="1023"/>
      <c r="N437" s="1023"/>
      <c r="O437" s="1023"/>
      <c r="P437" s="1023"/>
      <c r="Q437" s="1023"/>
      <c r="R437" s="1023"/>
      <c r="S437" s="1023"/>
      <c r="T437" s="1023"/>
      <c r="U437" s="1023"/>
      <c r="V437" s="1023"/>
      <c r="W437" s="1023"/>
      <c r="X437" s="1023"/>
      <c r="Y437" s="1023"/>
      <c r="Z437" s="1023"/>
    </row>
    <row r="438" spans="1:26" ht="11.25" customHeight="1" x14ac:dyDescent="0.2">
      <c r="A438" s="1023"/>
      <c r="B438" s="1023"/>
      <c r="C438" s="1023"/>
      <c r="D438" s="1023"/>
      <c r="E438" s="1023"/>
      <c r="F438" s="1023"/>
      <c r="G438" s="1023"/>
      <c r="H438" s="1023"/>
      <c r="I438" s="1023"/>
      <c r="J438" s="1023"/>
      <c r="K438" s="1023"/>
      <c r="L438" s="1023"/>
      <c r="M438" s="1023"/>
      <c r="N438" s="1023"/>
      <c r="O438" s="1023"/>
      <c r="P438" s="1023"/>
      <c r="Q438" s="1023"/>
      <c r="R438" s="1023"/>
      <c r="S438" s="1023"/>
      <c r="T438" s="1023"/>
      <c r="U438" s="1023"/>
      <c r="V438" s="1023"/>
      <c r="W438" s="1023"/>
      <c r="X438" s="1023"/>
      <c r="Y438" s="1023"/>
      <c r="Z438" s="1023"/>
    </row>
    <row r="439" spans="1:26" ht="11.25" customHeight="1" x14ac:dyDescent="0.2">
      <c r="A439" s="1023"/>
      <c r="B439" s="1023"/>
      <c r="C439" s="1023"/>
      <c r="D439" s="1023"/>
      <c r="E439" s="1023"/>
      <c r="F439" s="1023"/>
      <c r="G439" s="1023"/>
      <c r="H439" s="1023"/>
      <c r="I439" s="1023"/>
      <c r="J439" s="1023"/>
      <c r="K439" s="1023"/>
      <c r="L439" s="1023"/>
      <c r="M439" s="1023"/>
      <c r="N439" s="1023"/>
      <c r="O439" s="1023"/>
      <c r="P439" s="1023"/>
      <c r="Q439" s="1023"/>
      <c r="R439" s="1023"/>
      <c r="S439" s="1023"/>
      <c r="T439" s="1023"/>
      <c r="U439" s="1023"/>
      <c r="V439" s="1023"/>
      <c r="W439" s="1023"/>
      <c r="X439" s="1023"/>
      <c r="Y439" s="1023"/>
      <c r="Z439" s="1023"/>
    </row>
    <row r="440" spans="1:26" ht="11.25" customHeight="1" x14ac:dyDescent="0.2">
      <c r="A440" s="1023"/>
      <c r="B440" s="1023"/>
      <c r="C440" s="1023"/>
      <c r="D440" s="1023"/>
      <c r="E440" s="1023"/>
      <c r="F440" s="1023"/>
      <c r="G440" s="1023"/>
      <c r="H440" s="1023"/>
      <c r="I440" s="1023"/>
      <c r="J440" s="1023"/>
      <c r="K440" s="1023"/>
      <c r="L440" s="1023"/>
      <c r="M440" s="1023"/>
      <c r="N440" s="1023"/>
      <c r="O440" s="1023"/>
      <c r="P440" s="1023"/>
      <c r="Q440" s="1023"/>
      <c r="R440" s="1023"/>
      <c r="S440" s="1023"/>
      <c r="T440" s="1023"/>
      <c r="U440" s="1023"/>
      <c r="V440" s="1023"/>
      <c r="W440" s="1023"/>
      <c r="X440" s="1023"/>
      <c r="Y440" s="1023"/>
      <c r="Z440" s="1023"/>
    </row>
    <row r="441" spans="1:26" ht="11.25" customHeight="1" x14ac:dyDescent="0.2">
      <c r="A441" s="1023"/>
      <c r="B441" s="1023"/>
      <c r="C441" s="1023"/>
      <c r="D441" s="1023"/>
      <c r="E441" s="1023"/>
      <c r="F441" s="1023"/>
      <c r="G441" s="1023"/>
      <c r="H441" s="1023"/>
      <c r="I441" s="1023"/>
      <c r="J441" s="1023"/>
      <c r="K441" s="1023"/>
      <c r="L441" s="1023"/>
      <c r="M441" s="1023"/>
      <c r="N441" s="1023"/>
      <c r="O441" s="1023"/>
      <c r="P441" s="1023"/>
      <c r="Q441" s="1023"/>
      <c r="R441" s="1023"/>
      <c r="S441" s="1023"/>
      <c r="T441" s="1023"/>
      <c r="U441" s="1023"/>
      <c r="V441" s="1023"/>
      <c r="W441" s="1023"/>
      <c r="X441" s="1023"/>
      <c r="Y441" s="1023"/>
      <c r="Z441" s="1023"/>
    </row>
    <row r="442" spans="1:26" ht="11.25" customHeight="1" x14ac:dyDescent="0.2">
      <c r="A442" s="1023"/>
      <c r="B442" s="1023"/>
      <c r="C442" s="1023"/>
      <c r="D442" s="1023"/>
      <c r="E442" s="1023"/>
      <c r="F442" s="1023"/>
      <c r="G442" s="1023"/>
      <c r="H442" s="1023"/>
      <c r="I442" s="1023"/>
      <c r="J442" s="1023"/>
      <c r="K442" s="1023"/>
      <c r="L442" s="1023"/>
      <c r="M442" s="1023"/>
      <c r="N442" s="1023"/>
      <c r="O442" s="1023"/>
      <c r="P442" s="1023"/>
      <c r="Q442" s="1023"/>
      <c r="R442" s="1023"/>
      <c r="S442" s="1023"/>
      <c r="T442" s="1023"/>
      <c r="U442" s="1023"/>
      <c r="V442" s="1023"/>
      <c r="W442" s="1023"/>
      <c r="X442" s="1023"/>
      <c r="Y442" s="1023"/>
      <c r="Z442" s="1023"/>
    </row>
    <row r="443" spans="1:26" ht="11.25" customHeight="1" x14ac:dyDescent="0.2">
      <c r="A443" s="1023"/>
      <c r="B443" s="1023"/>
      <c r="C443" s="1023"/>
      <c r="D443" s="1023"/>
      <c r="E443" s="1023"/>
      <c r="F443" s="1023"/>
      <c r="G443" s="1023"/>
      <c r="H443" s="1023"/>
      <c r="I443" s="1023"/>
      <c r="J443" s="1023"/>
      <c r="K443" s="1023"/>
      <c r="L443" s="1023"/>
      <c r="M443" s="1023"/>
      <c r="N443" s="1023"/>
      <c r="O443" s="1023"/>
      <c r="P443" s="1023"/>
      <c r="Q443" s="1023"/>
      <c r="R443" s="1023"/>
      <c r="S443" s="1023"/>
      <c r="T443" s="1023"/>
      <c r="U443" s="1023"/>
      <c r="V443" s="1023"/>
      <c r="W443" s="1023"/>
      <c r="X443" s="1023"/>
      <c r="Y443" s="1023"/>
      <c r="Z443" s="1023"/>
    </row>
    <row r="444" spans="1:26" ht="11.25" customHeight="1" x14ac:dyDescent="0.2">
      <c r="A444" s="1023"/>
      <c r="B444" s="1023"/>
      <c r="C444" s="1023"/>
      <c r="D444" s="1023"/>
      <c r="E444" s="1023"/>
      <c r="F444" s="1023"/>
      <c r="G444" s="1023"/>
      <c r="H444" s="1023"/>
      <c r="I444" s="1023"/>
      <c r="J444" s="1023"/>
      <c r="K444" s="1023"/>
      <c r="L444" s="1023"/>
      <c r="M444" s="1023"/>
      <c r="N444" s="1023"/>
      <c r="O444" s="1023"/>
      <c r="P444" s="1023"/>
      <c r="Q444" s="1023"/>
      <c r="R444" s="1023"/>
      <c r="S444" s="1023"/>
      <c r="T444" s="1023"/>
      <c r="U444" s="1023"/>
      <c r="V444" s="1023"/>
      <c r="W444" s="1023"/>
      <c r="X444" s="1023"/>
      <c r="Y444" s="1023"/>
      <c r="Z444" s="1023"/>
    </row>
    <row r="445" spans="1:26" ht="11.25" customHeight="1" x14ac:dyDescent="0.2">
      <c r="A445" s="1023"/>
      <c r="B445" s="1023"/>
      <c r="C445" s="1023"/>
      <c r="D445" s="1023"/>
      <c r="E445" s="1023"/>
      <c r="F445" s="1023"/>
      <c r="G445" s="1023"/>
      <c r="H445" s="1023"/>
      <c r="I445" s="1023"/>
      <c r="J445" s="1023"/>
      <c r="K445" s="1023"/>
      <c r="L445" s="1023"/>
      <c r="M445" s="1023"/>
      <c r="N445" s="1023"/>
      <c r="O445" s="1023"/>
      <c r="P445" s="1023"/>
      <c r="Q445" s="1023"/>
      <c r="R445" s="1023"/>
      <c r="S445" s="1023"/>
      <c r="T445" s="1023"/>
      <c r="U445" s="1023"/>
      <c r="V445" s="1023"/>
      <c r="W445" s="1023"/>
      <c r="X445" s="1023"/>
      <c r="Y445" s="1023"/>
      <c r="Z445" s="1023"/>
    </row>
    <row r="446" spans="1:26" ht="11.25" customHeight="1" x14ac:dyDescent="0.2">
      <c r="A446" s="1023"/>
      <c r="B446" s="1023"/>
      <c r="C446" s="1023"/>
      <c r="D446" s="1023"/>
      <c r="E446" s="1023"/>
      <c r="F446" s="1023"/>
      <c r="G446" s="1023"/>
      <c r="H446" s="1023"/>
      <c r="I446" s="1023"/>
      <c r="J446" s="1023"/>
      <c r="K446" s="1023"/>
      <c r="L446" s="1023"/>
      <c r="M446" s="1023"/>
      <c r="N446" s="1023"/>
      <c r="O446" s="1023"/>
      <c r="P446" s="1023"/>
      <c r="Q446" s="1023"/>
      <c r="R446" s="1023"/>
      <c r="S446" s="1023"/>
      <c r="T446" s="1023"/>
      <c r="U446" s="1023"/>
      <c r="V446" s="1023"/>
      <c r="W446" s="1023"/>
      <c r="X446" s="1023"/>
      <c r="Y446" s="1023"/>
      <c r="Z446" s="1023"/>
    </row>
    <row r="447" spans="1:26" ht="11.25" customHeight="1" x14ac:dyDescent="0.2">
      <c r="A447" s="1023"/>
      <c r="B447" s="1023"/>
      <c r="C447" s="1023"/>
      <c r="D447" s="1023"/>
      <c r="E447" s="1023"/>
      <c r="F447" s="1023"/>
      <c r="G447" s="1023"/>
      <c r="H447" s="1023"/>
      <c r="I447" s="1023"/>
      <c r="J447" s="1023"/>
      <c r="K447" s="1023"/>
      <c r="L447" s="1023"/>
      <c r="M447" s="1023"/>
      <c r="N447" s="1023"/>
      <c r="O447" s="1023"/>
      <c r="P447" s="1023"/>
      <c r="Q447" s="1023"/>
      <c r="R447" s="1023"/>
      <c r="S447" s="1023"/>
      <c r="T447" s="1023"/>
      <c r="U447" s="1023"/>
      <c r="V447" s="1023"/>
      <c r="W447" s="1023"/>
      <c r="X447" s="1023"/>
      <c r="Y447" s="1023"/>
      <c r="Z447" s="1023"/>
    </row>
    <row r="448" spans="1:26" ht="11.25" customHeight="1" x14ac:dyDescent="0.2">
      <c r="A448" s="1023"/>
      <c r="B448" s="1023"/>
      <c r="C448" s="1023"/>
      <c r="D448" s="1023"/>
      <c r="E448" s="1023"/>
      <c r="F448" s="1023"/>
      <c r="G448" s="1023"/>
      <c r="H448" s="1023"/>
      <c r="I448" s="1023"/>
      <c r="J448" s="1023"/>
      <c r="K448" s="1023"/>
      <c r="L448" s="1023"/>
      <c r="M448" s="1023"/>
      <c r="N448" s="1023"/>
      <c r="O448" s="1023"/>
      <c r="P448" s="1023"/>
      <c r="Q448" s="1023"/>
      <c r="R448" s="1023"/>
      <c r="S448" s="1023"/>
      <c r="T448" s="1023"/>
      <c r="U448" s="1023"/>
      <c r="V448" s="1023"/>
      <c r="W448" s="1023"/>
      <c r="X448" s="1023"/>
      <c r="Y448" s="1023"/>
      <c r="Z448" s="1023"/>
    </row>
    <row r="449" spans="1:26" ht="11.25" customHeight="1" x14ac:dyDescent="0.2">
      <c r="A449" s="1023"/>
      <c r="B449" s="1023"/>
      <c r="C449" s="1023"/>
      <c r="D449" s="1023"/>
      <c r="E449" s="1023"/>
      <c r="F449" s="1023"/>
      <c r="G449" s="1023"/>
      <c r="H449" s="1023"/>
      <c r="I449" s="1023"/>
      <c r="J449" s="1023"/>
      <c r="K449" s="1023"/>
      <c r="L449" s="1023"/>
      <c r="M449" s="1023"/>
      <c r="N449" s="1023"/>
      <c r="O449" s="1023"/>
      <c r="P449" s="1023"/>
      <c r="Q449" s="1023"/>
      <c r="R449" s="1023"/>
      <c r="S449" s="1023"/>
      <c r="T449" s="1023"/>
      <c r="U449" s="1023"/>
      <c r="V449" s="1023"/>
      <c r="W449" s="1023"/>
      <c r="X449" s="1023"/>
      <c r="Y449" s="1023"/>
      <c r="Z449" s="1023"/>
    </row>
    <row r="450" spans="1:26" ht="11.25" customHeight="1" x14ac:dyDescent="0.2">
      <c r="A450" s="1023"/>
      <c r="B450" s="1023"/>
      <c r="C450" s="1023"/>
      <c r="D450" s="1023"/>
      <c r="E450" s="1023"/>
      <c r="F450" s="1023"/>
      <c r="G450" s="1023"/>
      <c r="H450" s="1023"/>
      <c r="I450" s="1023"/>
      <c r="J450" s="1023"/>
      <c r="K450" s="1023"/>
      <c r="L450" s="1023"/>
      <c r="M450" s="1023"/>
      <c r="N450" s="1023"/>
      <c r="O450" s="1023"/>
      <c r="P450" s="1023"/>
      <c r="Q450" s="1023"/>
      <c r="R450" s="1023"/>
      <c r="S450" s="1023"/>
      <c r="T450" s="1023"/>
      <c r="U450" s="1023"/>
      <c r="V450" s="1023"/>
      <c r="W450" s="1023"/>
      <c r="X450" s="1023"/>
      <c r="Y450" s="1023"/>
      <c r="Z450" s="1023"/>
    </row>
    <row r="451" spans="1:26" ht="11.25" customHeight="1" x14ac:dyDescent="0.2">
      <c r="A451" s="1023"/>
      <c r="B451" s="1023"/>
      <c r="C451" s="1023"/>
      <c r="D451" s="1023"/>
      <c r="E451" s="1023"/>
      <c r="F451" s="1023"/>
      <c r="G451" s="1023"/>
      <c r="H451" s="1023"/>
      <c r="I451" s="1023"/>
      <c r="J451" s="1023"/>
      <c r="K451" s="1023"/>
      <c r="L451" s="1023"/>
      <c r="M451" s="1023"/>
      <c r="N451" s="1023"/>
      <c r="O451" s="1023"/>
      <c r="P451" s="1023"/>
      <c r="Q451" s="1023"/>
      <c r="R451" s="1023"/>
      <c r="S451" s="1023"/>
      <c r="T451" s="1023"/>
      <c r="U451" s="1023"/>
      <c r="V451" s="1023"/>
      <c r="W451" s="1023"/>
      <c r="X451" s="1023"/>
      <c r="Y451" s="1023"/>
      <c r="Z451" s="1023"/>
    </row>
    <row r="452" spans="1:26" ht="11.25" customHeight="1" x14ac:dyDescent="0.2">
      <c r="A452" s="1023"/>
      <c r="B452" s="1023"/>
      <c r="C452" s="1023"/>
      <c r="D452" s="1023"/>
      <c r="E452" s="1023"/>
      <c r="F452" s="1023"/>
      <c r="G452" s="1023"/>
      <c r="H452" s="1023"/>
      <c r="I452" s="1023"/>
      <c r="J452" s="1023"/>
      <c r="K452" s="1023"/>
      <c r="L452" s="1023"/>
      <c r="M452" s="1023"/>
      <c r="N452" s="1023"/>
      <c r="O452" s="1023"/>
      <c r="P452" s="1023"/>
      <c r="Q452" s="1023"/>
      <c r="R452" s="1023"/>
      <c r="S452" s="1023"/>
      <c r="T452" s="1023"/>
      <c r="U452" s="1023"/>
      <c r="V452" s="1023"/>
      <c r="W452" s="1023"/>
      <c r="X452" s="1023"/>
      <c r="Y452" s="1023"/>
      <c r="Z452" s="1023"/>
    </row>
    <row r="453" spans="1:26" ht="11.25" customHeight="1" x14ac:dyDescent="0.2">
      <c r="A453" s="1023"/>
      <c r="B453" s="1023"/>
      <c r="C453" s="1023"/>
      <c r="D453" s="1023"/>
      <c r="E453" s="1023"/>
      <c r="F453" s="1023"/>
      <c r="G453" s="1023"/>
      <c r="H453" s="1023"/>
      <c r="I453" s="1023"/>
      <c r="J453" s="1023"/>
      <c r="K453" s="1023"/>
      <c r="L453" s="1023"/>
      <c r="M453" s="1023"/>
      <c r="N453" s="1023"/>
      <c r="O453" s="1023"/>
      <c r="P453" s="1023"/>
      <c r="Q453" s="1023"/>
      <c r="R453" s="1023"/>
      <c r="S453" s="1023"/>
      <c r="T453" s="1023"/>
      <c r="U453" s="1023"/>
      <c r="V453" s="1023"/>
      <c r="W453" s="1023"/>
      <c r="X453" s="1023"/>
      <c r="Y453" s="1023"/>
      <c r="Z453" s="1023"/>
    </row>
    <row r="454" spans="1:26" ht="11.25" customHeight="1" x14ac:dyDescent="0.2">
      <c r="A454" s="1023"/>
      <c r="B454" s="1023"/>
      <c r="C454" s="1023"/>
      <c r="D454" s="1023"/>
      <c r="E454" s="1023"/>
      <c r="F454" s="1023"/>
      <c r="G454" s="1023"/>
      <c r="H454" s="1023"/>
      <c r="I454" s="1023"/>
      <c r="J454" s="1023"/>
      <c r="K454" s="1023"/>
      <c r="L454" s="1023"/>
      <c r="M454" s="1023"/>
      <c r="N454" s="1023"/>
      <c r="O454" s="1023"/>
      <c r="P454" s="1023"/>
      <c r="Q454" s="1023"/>
      <c r="R454" s="1023"/>
      <c r="S454" s="1023"/>
      <c r="T454" s="1023"/>
      <c r="U454" s="1023"/>
      <c r="V454" s="1023"/>
      <c r="W454" s="1023"/>
      <c r="X454" s="1023"/>
      <c r="Y454" s="1023"/>
      <c r="Z454" s="1023"/>
    </row>
    <row r="455" spans="1:26" ht="11.25" customHeight="1" x14ac:dyDescent="0.2">
      <c r="A455" s="1023"/>
      <c r="B455" s="1023"/>
      <c r="C455" s="1023"/>
      <c r="D455" s="1023"/>
      <c r="E455" s="1023"/>
      <c r="F455" s="1023"/>
      <c r="G455" s="1023"/>
      <c r="H455" s="1023"/>
      <c r="I455" s="1023"/>
      <c r="J455" s="1023"/>
      <c r="K455" s="1023"/>
      <c r="L455" s="1023"/>
      <c r="M455" s="1023"/>
      <c r="N455" s="1023"/>
      <c r="O455" s="1023"/>
      <c r="P455" s="1023"/>
      <c r="Q455" s="1023"/>
      <c r="R455" s="1023"/>
      <c r="S455" s="1023"/>
      <c r="T455" s="1023"/>
      <c r="U455" s="1023"/>
      <c r="V455" s="1023"/>
      <c r="W455" s="1023"/>
      <c r="X455" s="1023"/>
      <c r="Y455" s="1023"/>
      <c r="Z455" s="1023"/>
    </row>
    <row r="456" spans="1:26" ht="11.25" customHeight="1" x14ac:dyDescent="0.2">
      <c r="A456" s="1023"/>
      <c r="B456" s="1023"/>
      <c r="C456" s="1023"/>
      <c r="D456" s="1023"/>
      <c r="E456" s="1023"/>
      <c r="F456" s="1023"/>
      <c r="G456" s="1023"/>
      <c r="H456" s="1023"/>
      <c r="I456" s="1023"/>
      <c r="J456" s="1023"/>
      <c r="K456" s="1023"/>
      <c r="L456" s="1023"/>
      <c r="M456" s="1023"/>
      <c r="N456" s="1023"/>
      <c r="O456" s="1023"/>
      <c r="P456" s="1023"/>
      <c r="Q456" s="1023"/>
      <c r="R456" s="1023"/>
      <c r="S456" s="1023"/>
      <c r="T456" s="1023"/>
      <c r="U456" s="1023"/>
      <c r="V456" s="1023"/>
      <c r="W456" s="1023"/>
      <c r="X456" s="1023"/>
      <c r="Y456" s="1023"/>
      <c r="Z456" s="1023"/>
    </row>
    <row r="457" spans="1:26" ht="11.25" customHeight="1" x14ac:dyDescent="0.2">
      <c r="A457" s="1023"/>
      <c r="B457" s="1023"/>
      <c r="C457" s="1023"/>
      <c r="D457" s="1023"/>
      <c r="E457" s="1023"/>
      <c r="F457" s="1023"/>
      <c r="G457" s="1023"/>
      <c r="H457" s="1023"/>
      <c r="I457" s="1023"/>
      <c r="J457" s="1023"/>
      <c r="K457" s="1023"/>
      <c r="L457" s="1023"/>
      <c r="M457" s="1023"/>
      <c r="N457" s="1023"/>
      <c r="O457" s="1023"/>
      <c r="P457" s="1023"/>
      <c r="Q457" s="1023"/>
      <c r="R457" s="1023"/>
      <c r="S457" s="1023"/>
      <c r="T457" s="1023"/>
      <c r="U457" s="1023"/>
      <c r="V457" s="1023"/>
      <c r="W457" s="1023"/>
      <c r="X457" s="1023"/>
      <c r="Y457" s="1023"/>
      <c r="Z457" s="1023"/>
    </row>
    <row r="458" spans="1:26" ht="11.25" customHeight="1" x14ac:dyDescent="0.2">
      <c r="A458" s="1023"/>
      <c r="B458" s="1023"/>
      <c r="C458" s="1023"/>
      <c r="D458" s="1023"/>
      <c r="E458" s="1023"/>
      <c r="F458" s="1023"/>
      <c r="G458" s="1023"/>
      <c r="H458" s="1023"/>
      <c r="I458" s="1023"/>
      <c r="J458" s="1023"/>
      <c r="K458" s="1023"/>
      <c r="L458" s="1023"/>
      <c r="M458" s="1023"/>
      <c r="N458" s="1023"/>
      <c r="O458" s="1023"/>
      <c r="P458" s="1023"/>
      <c r="Q458" s="1023"/>
      <c r="R458" s="1023"/>
      <c r="S458" s="1023"/>
      <c r="T458" s="1023"/>
      <c r="U458" s="1023"/>
      <c r="V458" s="1023"/>
      <c r="W458" s="1023"/>
      <c r="X458" s="1023"/>
      <c r="Y458" s="1023"/>
      <c r="Z458" s="1023"/>
    </row>
    <row r="459" spans="1:26" ht="11.25" customHeight="1" x14ac:dyDescent="0.2">
      <c r="A459" s="1023"/>
      <c r="B459" s="1023"/>
      <c r="C459" s="1023"/>
      <c r="D459" s="1023"/>
      <c r="E459" s="1023"/>
      <c r="F459" s="1023"/>
      <c r="G459" s="1023"/>
      <c r="H459" s="1023"/>
      <c r="I459" s="1023"/>
      <c r="J459" s="1023"/>
      <c r="K459" s="1023"/>
      <c r="L459" s="1023"/>
      <c r="M459" s="1023"/>
      <c r="N459" s="1023"/>
      <c r="O459" s="1023"/>
      <c r="P459" s="1023"/>
      <c r="Q459" s="1023"/>
      <c r="R459" s="1023"/>
      <c r="S459" s="1023"/>
      <c r="T459" s="1023"/>
      <c r="U459" s="1023"/>
      <c r="V459" s="1023"/>
      <c r="W459" s="1023"/>
      <c r="X459" s="1023"/>
      <c r="Y459" s="1023"/>
      <c r="Z459" s="1023"/>
    </row>
    <row r="460" spans="1:26" ht="11.25" customHeight="1" x14ac:dyDescent="0.2">
      <c r="A460" s="1023"/>
      <c r="B460" s="1023"/>
      <c r="C460" s="1023"/>
      <c r="D460" s="1023"/>
      <c r="E460" s="1023"/>
      <c r="F460" s="1023"/>
      <c r="G460" s="1023"/>
      <c r="H460" s="1023"/>
      <c r="I460" s="1023"/>
      <c r="J460" s="1023"/>
      <c r="K460" s="1023"/>
      <c r="L460" s="1023"/>
      <c r="M460" s="1023"/>
      <c r="N460" s="1023"/>
      <c r="O460" s="1023"/>
      <c r="P460" s="1023"/>
      <c r="Q460" s="1023"/>
      <c r="R460" s="1023"/>
      <c r="S460" s="1023"/>
      <c r="T460" s="1023"/>
      <c r="U460" s="1023"/>
      <c r="V460" s="1023"/>
      <c r="W460" s="1023"/>
      <c r="X460" s="1023"/>
      <c r="Y460" s="1023"/>
      <c r="Z460" s="1023"/>
    </row>
    <row r="461" spans="1:26" ht="11.25" customHeight="1" x14ac:dyDescent="0.2">
      <c r="A461" s="1023"/>
      <c r="B461" s="1023"/>
      <c r="C461" s="1023"/>
      <c r="D461" s="1023"/>
      <c r="E461" s="1023"/>
      <c r="F461" s="1023"/>
      <c r="G461" s="1023"/>
      <c r="H461" s="1023"/>
      <c r="I461" s="1023"/>
      <c r="J461" s="1023"/>
      <c r="K461" s="1023"/>
      <c r="L461" s="1023"/>
      <c r="M461" s="1023"/>
      <c r="N461" s="1023"/>
      <c r="O461" s="1023"/>
      <c r="P461" s="1023"/>
      <c r="Q461" s="1023"/>
      <c r="R461" s="1023"/>
      <c r="S461" s="1023"/>
      <c r="T461" s="1023"/>
      <c r="U461" s="1023"/>
      <c r="V461" s="1023"/>
      <c r="W461" s="1023"/>
      <c r="X461" s="1023"/>
      <c r="Y461" s="1023"/>
      <c r="Z461" s="1023"/>
    </row>
    <row r="462" spans="1:26" ht="11.25" customHeight="1" x14ac:dyDescent="0.2">
      <c r="A462" s="1023"/>
      <c r="B462" s="1023"/>
      <c r="C462" s="1023"/>
      <c r="D462" s="1023"/>
      <c r="E462" s="1023"/>
      <c r="F462" s="1023"/>
      <c r="G462" s="1023"/>
      <c r="H462" s="1023"/>
      <c r="I462" s="1023"/>
      <c r="J462" s="1023"/>
      <c r="K462" s="1023"/>
      <c r="L462" s="1023"/>
      <c r="M462" s="1023"/>
      <c r="N462" s="1023"/>
      <c r="O462" s="1023"/>
      <c r="P462" s="1023"/>
      <c r="Q462" s="1023"/>
      <c r="R462" s="1023"/>
      <c r="S462" s="1023"/>
      <c r="T462" s="1023"/>
      <c r="U462" s="1023"/>
      <c r="V462" s="1023"/>
      <c r="W462" s="1023"/>
      <c r="X462" s="1023"/>
      <c r="Y462" s="1023"/>
      <c r="Z462" s="1023"/>
    </row>
    <row r="463" spans="1:26" ht="11.25" customHeight="1" x14ac:dyDescent="0.2">
      <c r="A463" s="1023"/>
      <c r="B463" s="1023"/>
      <c r="C463" s="1023"/>
      <c r="D463" s="1023"/>
      <c r="E463" s="1023"/>
      <c r="F463" s="1023"/>
      <c r="G463" s="1023"/>
      <c r="H463" s="1023"/>
      <c r="I463" s="1023"/>
      <c r="J463" s="1023"/>
      <c r="K463" s="1023"/>
      <c r="L463" s="1023"/>
      <c r="M463" s="1023"/>
      <c r="N463" s="1023"/>
      <c r="O463" s="1023"/>
      <c r="P463" s="1023"/>
      <c r="Q463" s="1023"/>
      <c r="R463" s="1023"/>
      <c r="S463" s="1023"/>
      <c r="T463" s="1023"/>
      <c r="U463" s="1023"/>
      <c r="V463" s="1023"/>
      <c r="W463" s="1023"/>
      <c r="X463" s="1023"/>
      <c r="Y463" s="1023"/>
      <c r="Z463" s="1023"/>
    </row>
    <row r="464" spans="1:26" ht="11.25" customHeight="1" x14ac:dyDescent="0.2">
      <c r="A464" s="1023"/>
      <c r="B464" s="1023"/>
      <c r="C464" s="1023"/>
      <c r="D464" s="1023"/>
      <c r="E464" s="1023"/>
      <c r="F464" s="1023"/>
      <c r="G464" s="1023"/>
      <c r="H464" s="1023"/>
      <c r="I464" s="1023"/>
      <c r="J464" s="1023"/>
      <c r="K464" s="1023"/>
      <c r="L464" s="1023"/>
      <c r="M464" s="1023"/>
      <c r="N464" s="1023"/>
      <c r="O464" s="1023"/>
      <c r="P464" s="1023"/>
      <c r="Q464" s="1023"/>
      <c r="R464" s="1023"/>
      <c r="S464" s="1023"/>
      <c r="T464" s="1023"/>
      <c r="U464" s="1023"/>
      <c r="V464" s="1023"/>
      <c r="W464" s="1023"/>
      <c r="X464" s="1023"/>
      <c r="Y464" s="1023"/>
      <c r="Z464" s="1023"/>
    </row>
    <row r="465" spans="1:26" ht="11.25" customHeight="1" x14ac:dyDescent="0.2">
      <c r="A465" s="1023"/>
      <c r="B465" s="1023"/>
      <c r="C465" s="1023"/>
      <c r="D465" s="1023"/>
      <c r="E465" s="1023"/>
      <c r="F465" s="1023"/>
      <c r="G465" s="1023"/>
      <c r="H465" s="1023"/>
      <c r="I465" s="1023"/>
      <c r="J465" s="1023"/>
      <c r="K465" s="1023"/>
      <c r="L465" s="1023"/>
      <c r="M465" s="1023"/>
      <c r="N465" s="1023"/>
      <c r="O465" s="1023"/>
      <c r="P465" s="1023"/>
      <c r="Q465" s="1023"/>
      <c r="R465" s="1023"/>
      <c r="S465" s="1023"/>
      <c r="T465" s="1023"/>
      <c r="U465" s="1023"/>
      <c r="V465" s="1023"/>
      <c r="W465" s="1023"/>
      <c r="X465" s="1023"/>
      <c r="Y465" s="1023"/>
      <c r="Z465" s="1023"/>
    </row>
    <row r="466" spans="1:26" ht="11.25" customHeight="1" x14ac:dyDescent="0.2">
      <c r="A466" s="1023"/>
      <c r="B466" s="1023"/>
      <c r="C466" s="1023"/>
      <c r="D466" s="1023"/>
      <c r="E466" s="1023"/>
      <c r="F466" s="1023"/>
      <c r="G466" s="1023"/>
      <c r="H466" s="1023"/>
      <c r="I466" s="1023"/>
      <c r="J466" s="1023"/>
      <c r="K466" s="1023"/>
      <c r="L466" s="1023"/>
      <c r="M466" s="1023"/>
      <c r="N466" s="1023"/>
      <c r="O466" s="1023"/>
      <c r="P466" s="1023"/>
      <c r="Q466" s="1023"/>
      <c r="R466" s="1023"/>
      <c r="S466" s="1023"/>
      <c r="T466" s="1023"/>
      <c r="U466" s="1023"/>
      <c r="V466" s="1023"/>
      <c r="W466" s="1023"/>
      <c r="X466" s="1023"/>
      <c r="Y466" s="1023"/>
      <c r="Z466" s="1023"/>
    </row>
    <row r="467" spans="1:26" ht="11.25" customHeight="1" x14ac:dyDescent="0.2">
      <c r="A467" s="1023"/>
      <c r="B467" s="1023"/>
      <c r="C467" s="1023"/>
      <c r="D467" s="1023"/>
      <c r="E467" s="1023"/>
      <c r="F467" s="1023"/>
      <c r="G467" s="1023"/>
      <c r="H467" s="1023"/>
      <c r="I467" s="1023"/>
      <c r="J467" s="1023"/>
      <c r="K467" s="1023"/>
      <c r="L467" s="1023"/>
      <c r="M467" s="1023"/>
      <c r="N467" s="1023"/>
      <c r="O467" s="1023"/>
      <c r="P467" s="1023"/>
      <c r="Q467" s="1023"/>
      <c r="R467" s="1023"/>
      <c r="S467" s="1023"/>
      <c r="T467" s="1023"/>
      <c r="U467" s="1023"/>
      <c r="V467" s="1023"/>
      <c r="W467" s="1023"/>
      <c r="X467" s="1023"/>
      <c r="Y467" s="1023"/>
      <c r="Z467" s="1023"/>
    </row>
    <row r="468" spans="1:26" ht="11.25" customHeight="1" x14ac:dyDescent="0.2">
      <c r="A468" s="1023"/>
      <c r="B468" s="1023"/>
      <c r="C468" s="1023"/>
      <c r="D468" s="1023"/>
      <c r="E468" s="1023"/>
      <c r="F468" s="1023"/>
      <c r="G468" s="1023"/>
      <c r="H468" s="1023"/>
      <c r="I468" s="1023"/>
      <c r="J468" s="1023"/>
      <c r="K468" s="1023"/>
      <c r="L468" s="1023"/>
      <c r="M468" s="1023"/>
      <c r="N468" s="1023"/>
      <c r="O468" s="1023"/>
      <c r="P468" s="1023"/>
      <c r="Q468" s="1023"/>
      <c r="R468" s="1023"/>
      <c r="S468" s="1023"/>
      <c r="T468" s="1023"/>
      <c r="U468" s="1023"/>
      <c r="V468" s="1023"/>
      <c r="W468" s="1023"/>
      <c r="X468" s="1023"/>
      <c r="Y468" s="1023"/>
      <c r="Z468" s="1023"/>
    </row>
    <row r="469" spans="1:26" ht="11.25" customHeight="1" x14ac:dyDescent="0.2">
      <c r="A469" s="1023"/>
      <c r="B469" s="1023"/>
      <c r="C469" s="1023"/>
      <c r="D469" s="1023"/>
      <c r="E469" s="1023"/>
      <c r="F469" s="1023"/>
      <c r="G469" s="1023"/>
      <c r="H469" s="1023"/>
      <c r="I469" s="1023"/>
      <c r="J469" s="1023"/>
      <c r="K469" s="1023"/>
      <c r="L469" s="1023"/>
      <c r="M469" s="1023"/>
      <c r="N469" s="1023"/>
      <c r="O469" s="1023"/>
      <c r="P469" s="1023"/>
      <c r="Q469" s="1023"/>
      <c r="R469" s="1023"/>
      <c r="S469" s="1023"/>
      <c r="T469" s="1023"/>
      <c r="U469" s="1023"/>
      <c r="V469" s="1023"/>
      <c r="W469" s="1023"/>
      <c r="X469" s="1023"/>
      <c r="Y469" s="1023"/>
      <c r="Z469" s="1023"/>
    </row>
    <row r="470" spans="1:26" ht="11.25" customHeight="1" x14ac:dyDescent="0.2">
      <c r="A470" s="1023"/>
      <c r="B470" s="1023"/>
      <c r="C470" s="1023"/>
      <c r="D470" s="1023"/>
      <c r="E470" s="1023"/>
      <c r="F470" s="1023"/>
      <c r="G470" s="1023"/>
      <c r="H470" s="1023"/>
      <c r="I470" s="1023"/>
      <c r="J470" s="1023"/>
      <c r="K470" s="1023"/>
      <c r="L470" s="1023"/>
      <c r="M470" s="1023"/>
      <c r="N470" s="1023"/>
      <c r="O470" s="1023"/>
      <c r="P470" s="1023"/>
      <c r="Q470" s="1023"/>
      <c r="R470" s="1023"/>
      <c r="S470" s="1023"/>
      <c r="T470" s="1023"/>
      <c r="U470" s="1023"/>
      <c r="V470" s="1023"/>
      <c r="W470" s="1023"/>
      <c r="X470" s="1023"/>
      <c r="Y470" s="1023"/>
      <c r="Z470" s="1023"/>
    </row>
    <row r="471" spans="1:26" ht="11.25" customHeight="1" x14ac:dyDescent="0.2">
      <c r="A471" s="1023"/>
      <c r="B471" s="1023"/>
      <c r="C471" s="1023"/>
      <c r="D471" s="1023"/>
      <c r="E471" s="1023"/>
      <c r="F471" s="1023"/>
      <c r="G471" s="1023"/>
      <c r="H471" s="1023"/>
      <c r="I471" s="1023"/>
      <c r="J471" s="1023"/>
      <c r="K471" s="1023"/>
      <c r="L471" s="1023"/>
      <c r="M471" s="1023"/>
      <c r="N471" s="1023"/>
      <c r="O471" s="1023"/>
      <c r="P471" s="1023"/>
      <c r="Q471" s="1023"/>
      <c r="R471" s="1023"/>
      <c r="S471" s="1023"/>
      <c r="T471" s="1023"/>
      <c r="U471" s="1023"/>
      <c r="V471" s="1023"/>
      <c r="W471" s="1023"/>
      <c r="X471" s="1023"/>
      <c r="Y471" s="1023"/>
      <c r="Z471" s="1023"/>
    </row>
    <row r="472" spans="1:26" ht="11.25" customHeight="1" x14ac:dyDescent="0.2">
      <c r="A472" s="1023"/>
      <c r="B472" s="1023"/>
      <c r="C472" s="1023"/>
      <c r="D472" s="1023"/>
      <c r="E472" s="1023"/>
      <c r="F472" s="1023"/>
      <c r="G472" s="1023"/>
      <c r="H472" s="1023"/>
      <c r="I472" s="1023"/>
      <c r="J472" s="1023"/>
      <c r="K472" s="1023"/>
      <c r="L472" s="1023"/>
      <c r="M472" s="1023"/>
      <c r="N472" s="1023"/>
      <c r="O472" s="1023"/>
      <c r="P472" s="1023"/>
      <c r="Q472" s="1023"/>
      <c r="R472" s="1023"/>
      <c r="S472" s="1023"/>
      <c r="T472" s="1023"/>
      <c r="U472" s="1023"/>
      <c r="V472" s="1023"/>
      <c r="W472" s="1023"/>
      <c r="X472" s="1023"/>
      <c r="Y472" s="1023"/>
      <c r="Z472" s="1023"/>
    </row>
    <row r="473" spans="1:26" ht="11.25" customHeight="1" x14ac:dyDescent="0.2">
      <c r="A473" s="1023"/>
      <c r="B473" s="1023"/>
      <c r="C473" s="1023"/>
      <c r="D473" s="1023"/>
      <c r="E473" s="1023"/>
      <c r="F473" s="1023"/>
      <c r="G473" s="1023"/>
      <c r="H473" s="1023"/>
      <c r="I473" s="1023"/>
      <c r="J473" s="1023"/>
      <c r="K473" s="1023"/>
      <c r="L473" s="1023"/>
      <c r="M473" s="1023"/>
      <c r="N473" s="1023"/>
      <c r="O473" s="1023"/>
      <c r="P473" s="1023"/>
      <c r="Q473" s="1023"/>
      <c r="R473" s="1023"/>
      <c r="S473" s="1023"/>
      <c r="T473" s="1023"/>
      <c r="U473" s="1023"/>
      <c r="V473" s="1023"/>
      <c r="W473" s="1023"/>
      <c r="X473" s="1023"/>
      <c r="Y473" s="1023"/>
      <c r="Z473" s="1023"/>
    </row>
    <row r="474" spans="1:26" ht="11.25" customHeight="1" x14ac:dyDescent="0.2">
      <c r="A474" s="1023"/>
      <c r="B474" s="1023"/>
      <c r="C474" s="1023"/>
      <c r="D474" s="1023"/>
      <c r="E474" s="1023"/>
      <c r="F474" s="1023"/>
      <c r="G474" s="1023"/>
      <c r="H474" s="1023"/>
      <c r="I474" s="1023"/>
      <c r="J474" s="1023"/>
      <c r="K474" s="1023"/>
      <c r="L474" s="1023"/>
      <c r="M474" s="1023"/>
      <c r="N474" s="1023"/>
      <c r="O474" s="1023"/>
      <c r="P474" s="1023"/>
      <c r="Q474" s="1023"/>
      <c r="R474" s="1023"/>
      <c r="S474" s="1023"/>
      <c r="T474" s="1023"/>
      <c r="U474" s="1023"/>
      <c r="V474" s="1023"/>
      <c r="W474" s="1023"/>
      <c r="X474" s="1023"/>
      <c r="Y474" s="1023"/>
      <c r="Z474" s="1023"/>
    </row>
    <row r="475" spans="1:26" ht="11.25" customHeight="1" x14ac:dyDescent="0.2">
      <c r="A475" s="1023"/>
      <c r="B475" s="1023"/>
      <c r="C475" s="1023"/>
      <c r="D475" s="1023"/>
      <c r="E475" s="1023"/>
      <c r="F475" s="1023"/>
      <c r="G475" s="1023"/>
      <c r="H475" s="1023"/>
      <c r="I475" s="1023"/>
      <c r="J475" s="1023"/>
      <c r="K475" s="1023"/>
      <c r="L475" s="1023"/>
      <c r="M475" s="1023"/>
      <c r="N475" s="1023"/>
      <c r="O475" s="1023"/>
      <c r="P475" s="1023"/>
      <c r="Q475" s="1023"/>
      <c r="R475" s="1023"/>
      <c r="S475" s="1023"/>
      <c r="T475" s="1023"/>
      <c r="U475" s="1023"/>
      <c r="V475" s="1023"/>
      <c r="W475" s="1023"/>
      <c r="X475" s="1023"/>
      <c r="Y475" s="1023"/>
      <c r="Z475" s="1023"/>
    </row>
    <row r="476" spans="1:26" ht="11.25" customHeight="1" x14ac:dyDescent="0.2">
      <c r="A476" s="1023"/>
      <c r="B476" s="1023"/>
      <c r="C476" s="1023"/>
      <c r="D476" s="1023"/>
      <c r="E476" s="1023"/>
      <c r="F476" s="1023"/>
      <c r="G476" s="1023"/>
      <c r="H476" s="1023"/>
      <c r="I476" s="1023"/>
      <c r="J476" s="1023"/>
      <c r="K476" s="1023"/>
      <c r="L476" s="1023"/>
      <c r="M476" s="1023"/>
      <c r="N476" s="1023"/>
      <c r="O476" s="1023"/>
      <c r="P476" s="1023"/>
      <c r="Q476" s="1023"/>
      <c r="R476" s="1023"/>
      <c r="S476" s="1023"/>
      <c r="T476" s="1023"/>
      <c r="U476" s="1023"/>
      <c r="V476" s="1023"/>
      <c r="W476" s="1023"/>
      <c r="X476" s="1023"/>
      <c r="Y476" s="1023"/>
      <c r="Z476" s="1023"/>
    </row>
    <row r="477" spans="1:26" ht="11.25" customHeight="1" x14ac:dyDescent="0.2">
      <c r="A477" s="1023"/>
      <c r="B477" s="1023"/>
      <c r="C477" s="1023"/>
      <c r="D477" s="1023"/>
      <c r="E477" s="1023"/>
      <c r="F477" s="1023"/>
      <c r="G477" s="1023"/>
      <c r="H477" s="1023"/>
      <c r="I477" s="1023"/>
      <c r="J477" s="1023"/>
      <c r="K477" s="1023"/>
      <c r="L477" s="1023"/>
      <c r="M477" s="1023"/>
      <c r="N477" s="1023"/>
      <c r="O477" s="1023"/>
      <c r="P477" s="1023"/>
      <c r="Q477" s="1023"/>
      <c r="R477" s="1023"/>
      <c r="S477" s="1023"/>
      <c r="T477" s="1023"/>
      <c r="U477" s="1023"/>
      <c r="V477" s="1023"/>
      <c r="W477" s="1023"/>
      <c r="X477" s="1023"/>
      <c r="Y477" s="1023"/>
      <c r="Z477" s="1023"/>
    </row>
    <row r="478" spans="1:26" ht="11.25" customHeight="1" x14ac:dyDescent="0.2">
      <c r="A478" s="1023"/>
      <c r="B478" s="1023"/>
      <c r="C478" s="1023"/>
      <c r="D478" s="1023"/>
      <c r="E478" s="1023"/>
      <c r="F478" s="1023"/>
      <c r="G478" s="1023"/>
      <c r="H478" s="1023"/>
      <c r="I478" s="1023"/>
      <c r="J478" s="1023"/>
      <c r="K478" s="1023"/>
      <c r="L478" s="1023"/>
      <c r="M478" s="1023"/>
      <c r="N478" s="1023"/>
      <c r="O478" s="1023"/>
      <c r="P478" s="1023"/>
      <c r="Q478" s="1023"/>
      <c r="R478" s="1023"/>
      <c r="S478" s="1023"/>
      <c r="T478" s="1023"/>
      <c r="U478" s="1023"/>
      <c r="V478" s="1023"/>
      <c r="W478" s="1023"/>
      <c r="X478" s="1023"/>
      <c r="Y478" s="1023"/>
      <c r="Z478" s="1023"/>
    </row>
    <row r="479" spans="1:26" ht="11.25" customHeight="1" x14ac:dyDescent="0.2">
      <c r="A479" s="1023"/>
      <c r="B479" s="1023"/>
      <c r="C479" s="1023"/>
      <c r="D479" s="1023"/>
      <c r="E479" s="1023"/>
      <c r="F479" s="1023"/>
      <c r="G479" s="1023"/>
      <c r="H479" s="1023"/>
      <c r="I479" s="1023"/>
      <c r="J479" s="1023"/>
      <c r="K479" s="1023"/>
      <c r="L479" s="1023"/>
      <c r="M479" s="1023"/>
      <c r="N479" s="1023"/>
      <c r="O479" s="1023"/>
      <c r="P479" s="1023"/>
      <c r="Q479" s="1023"/>
      <c r="R479" s="1023"/>
      <c r="S479" s="1023"/>
      <c r="T479" s="1023"/>
      <c r="U479" s="1023"/>
      <c r="V479" s="1023"/>
      <c r="W479" s="1023"/>
      <c r="X479" s="1023"/>
      <c r="Y479" s="1023"/>
      <c r="Z479" s="1023"/>
    </row>
    <row r="480" spans="1:26" ht="11.25" customHeight="1" x14ac:dyDescent="0.2">
      <c r="A480" s="1023"/>
      <c r="B480" s="1023"/>
      <c r="C480" s="1023"/>
      <c r="D480" s="1023"/>
      <c r="E480" s="1023"/>
      <c r="F480" s="1023"/>
      <c r="G480" s="1023"/>
      <c r="H480" s="1023"/>
      <c r="I480" s="1023"/>
      <c r="J480" s="1023"/>
      <c r="K480" s="1023"/>
      <c r="L480" s="1023"/>
      <c r="M480" s="1023"/>
      <c r="N480" s="1023"/>
      <c r="O480" s="1023"/>
      <c r="P480" s="1023"/>
      <c r="Q480" s="1023"/>
      <c r="R480" s="1023"/>
      <c r="S480" s="1023"/>
      <c r="T480" s="1023"/>
      <c r="U480" s="1023"/>
      <c r="V480" s="1023"/>
      <c r="W480" s="1023"/>
      <c r="X480" s="1023"/>
      <c r="Y480" s="1023"/>
      <c r="Z480" s="1023"/>
    </row>
    <row r="481" spans="1:26" ht="11.25" customHeight="1" x14ac:dyDescent="0.2">
      <c r="A481" s="1023"/>
      <c r="B481" s="1023"/>
      <c r="C481" s="1023"/>
      <c r="D481" s="1023"/>
      <c r="E481" s="1023"/>
      <c r="F481" s="1023"/>
      <c r="G481" s="1023"/>
      <c r="H481" s="1023"/>
      <c r="I481" s="1023"/>
      <c r="J481" s="1023"/>
      <c r="K481" s="1023"/>
      <c r="L481" s="1023"/>
      <c r="M481" s="1023"/>
      <c r="N481" s="1023"/>
      <c r="O481" s="1023"/>
      <c r="P481" s="1023"/>
      <c r="Q481" s="1023"/>
      <c r="R481" s="1023"/>
      <c r="S481" s="1023"/>
      <c r="T481" s="1023"/>
      <c r="U481" s="1023"/>
      <c r="V481" s="1023"/>
      <c r="W481" s="1023"/>
      <c r="X481" s="1023"/>
      <c r="Y481" s="1023"/>
      <c r="Z481" s="1023"/>
    </row>
    <row r="482" spans="1:26" ht="11.25" customHeight="1" x14ac:dyDescent="0.2">
      <c r="A482" s="1023"/>
      <c r="B482" s="1023"/>
      <c r="C482" s="1023"/>
      <c r="D482" s="1023"/>
      <c r="E482" s="1023"/>
      <c r="F482" s="1023"/>
      <c r="G482" s="1023"/>
      <c r="H482" s="1023"/>
      <c r="I482" s="1023"/>
      <c r="J482" s="1023"/>
      <c r="K482" s="1023"/>
      <c r="L482" s="1023"/>
      <c r="M482" s="1023"/>
      <c r="N482" s="1023"/>
      <c r="O482" s="1023"/>
      <c r="P482" s="1023"/>
      <c r="Q482" s="1023"/>
      <c r="R482" s="1023"/>
      <c r="S482" s="1023"/>
      <c r="T482" s="1023"/>
      <c r="U482" s="1023"/>
      <c r="V482" s="1023"/>
      <c r="W482" s="1023"/>
      <c r="X482" s="1023"/>
      <c r="Y482" s="1023"/>
      <c r="Z482" s="1023"/>
    </row>
    <row r="483" spans="1:26" ht="11.25" customHeight="1" x14ac:dyDescent="0.2">
      <c r="A483" s="1023"/>
      <c r="B483" s="1023"/>
      <c r="C483" s="1023"/>
      <c r="D483" s="1023"/>
      <c r="E483" s="1023"/>
      <c r="F483" s="1023"/>
      <c r="G483" s="1023"/>
      <c r="H483" s="1023"/>
      <c r="I483" s="1023"/>
      <c r="J483" s="1023"/>
      <c r="K483" s="1023"/>
      <c r="L483" s="1023"/>
      <c r="M483" s="1023"/>
      <c r="N483" s="1023"/>
      <c r="O483" s="1023"/>
      <c r="P483" s="1023"/>
      <c r="Q483" s="1023"/>
      <c r="R483" s="1023"/>
      <c r="S483" s="1023"/>
      <c r="T483" s="1023"/>
      <c r="U483" s="1023"/>
      <c r="V483" s="1023"/>
      <c r="W483" s="1023"/>
      <c r="X483" s="1023"/>
      <c r="Y483" s="1023"/>
      <c r="Z483" s="1023"/>
    </row>
    <row r="484" spans="1:26" ht="11.25" customHeight="1" x14ac:dyDescent="0.2">
      <c r="A484" s="1023"/>
      <c r="B484" s="1023"/>
      <c r="C484" s="1023"/>
      <c r="D484" s="1023"/>
      <c r="E484" s="1023"/>
      <c r="F484" s="1023"/>
      <c r="G484" s="1023"/>
      <c r="H484" s="1023"/>
      <c r="I484" s="1023"/>
      <c r="J484" s="1023"/>
      <c r="K484" s="1023"/>
      <c r="L484" s="1023"/>
      <c r="M484" s="1023"/>
      <c r="N484" s="1023"/>
      <c r="O484" s="1023"/>
      <c r="P484" s="1023"/>
      <c r="Q484" s="1023"/>
      <c r="R484" s="1023"/>
      <c r="S484" s="1023"/>
      <c r="T484" s="1023"/>
      <c r="U484" s="1023"/>
      <c r="V484" s="1023"/>
      <c r="W484" s="1023"/>
      <c r="X484" s="1023"/>
      <c r="Y484" s="1023"/>
      <c r="Z484" s="1023"/>
    </row>
    <row r="485" spans="1:26" ht="11.25" customHeight="1" x14ac:dyDescent="0.2">
      <c r="A485" s="1023"/>
      <c r="B485" s="1023"/>
      <c r="C485" s="1023"/>
      <c r="D485" s="1023"/>
      <c r="E485" s="1023"/>
      <c r="F485" s="1023"/>
      <c r="G485" s="1023"/>
      <c r="H485" s="1023"/>
      <c r="I485" s="1023"/>
      <c r="J485" s="1023"/>
      <c r="K485" s="1023"/>
      <c r="L485" s="1023"/>
      <c r="M485" s="1023"/>
      <c r="N485" s="1023"/>
      <c r="O485" s="1023"/>
      <c r="P485" s="1023"/>
      <c r="Q485" s="1023"/>
      <c r="R485" s="1023"/>
      <c r="S485" s="1023"/>
      <c r="T485" s="1023"/>
      <c r="U485" s="1023"/>
      <c r="V485" s="1023"/>
      <c r="W485" s="1023"/>
      <c r="X485" s="1023"/>
      <c r="Y485" s="1023"/>
      <c r="Z485" s="1023"/>
    </row>
    <row r="486" spans="1:26" ht="11.25" customHeight="1" x14ac:dyDescent="0.2">
      <c r="A486" s="1023"/>
      <c r="B486" s="1023"/>
      <c r="C486" s="1023"/>
      <c r="D486" s="1023"/>
      <c r="E486" s="1023"/>
      <c r="F486" s="1023"/>
      <c r="G486" s="1023"/>
      <c r="H486" s="1023"/>
      <c r="I486" s="1023"/>
      <c r="J486" s="1023"/>
      <c r="K486" s="1023"/>
      <c r="L486" s="1023"/>
      <c r="M486" s="1023"/>
      <c r="N486" s="1023"/>
      <c r="O486" s="1023"/>
      <c r="P486" s="1023"/>
      <c r="Q486" s="1023"/>
      <c r="R486" s="1023"/>
      <c r="S486" s="1023"/>
      <c r="T486" s="1023"/>
      <c r="U486" s="1023"/>
      <c r="V486" s="1023"/>
      <c r="W486" s="1023"/>
      <c r="X486" s="1023"/>
      <c r="Y486" s="1023"/>
      <c r="Z486" s="1023"/>
    </row>
    <row r="487" spans="1:26" ht="11.25" customHeight="1" x14ac:dyDescent="0.2">
      <c r="A487" s="1023"/>
      <c r="B487" s="1023"/>
      <c r="C487" s="1023"/>
      <c r="D487" s="1023"/>
      <c r="E487" s="1023"/>
      <c r="F487" s="1023"/>
      <c r="G487" s="1023"/>
      <c r="H487" s="1023"/>
      <c r="I487" s="1023"/>
      <c r="J487" s="1023"/>
      <c r="K487" s="1023"/>
      <c r="L487" s="1023"/>
      <c r="M487" s="1023"/>
      <c r="N487" s="1023"/>
      <c r="O487" s="1023"/>
      <c r="P487" s="1023"/>
      <c r="Q487" s="1023"/>
      <c r="R487" s="1023"/>
      <c r="S487" s="1023"/>
      <c r="T487" s="1023"/>
      <c r="U487" s="1023"/>
      <c r="V487" s="1023"/>
      <c r="W487" s="1023"/>
      <c r="X487" s="1023"/>
      <c r="Y487" s="1023"/>
      <c r="Z487" s="1023"/>
    </row>
    <row r="488" spans="1:26" ht="11.25" customHeight="1" x14ac:dyDescent="0.2">
      <c r="A488" s="1023"/>
      <c r="B488" s="1023"/>
      <c r="C488" s="1023"/>
      <c r="D488" s="1023"/>
      <c r="E488" s="1023"/>
      <c r="F488" s="1023"/>
      <c r="G488" s="1023"/>
      <c r="H488" s="1023"/>
      <c r="I488" s="1023"/>
      <c r="J488" s="1023"/>
      <c r="K488" s="1023"/>
      <c r="L488" s="1023"/>
      <c r="M488" s="1023"/>
      <c r="N488" s="1023"/>
      <c r="O488" s="1023"/>
      <c r="P488" s="1023"/>
      <c r="Q488" s="1023"/>
      <c r="R488" s="1023"/>
      <c r="S488" s="1023"/>
      <c r="T488" s="1023"/>
      <c r="U488" s="1023"/>
      <c r="V488" s="1023"/>
      <c r="W488" s="1023"/>
      <c r="X488" s="1023"/>
      <c r="Y488" s="1023"/>
      <c r="Z488" s="1023"/>
    </row>
    <row r="489" spans="1:26" ht="11.25" customHeight="1" x14ac:dyDescent="0.2">
      <c r="A489" s="1023"/>
      <c r="B489" s="1023"/>
      <c r="C489" s="1023"/>
      <c r="D489" s="1023"/>
      <c r="E489" s="1023"/>
      <c r="F489" s="1023"/>
      <c r="G489" s="1023"/>
      <c r="H489" s="1023"/>
      <c r="I489" s="1023"/>
      <c r="J489" s="1023"/>
      <c r="K489" s="1023"/>
      <c r="L489" s="1023"/>
      <c r="M489" s="1023"/>
      <c r="N489" s="1023"/>
      <c r="O489" s="1023"/>
      <c r="P489" s="1023"/>
      <c r="Q489" s="1023"/>
      <c r="R489" s="1023"/>
      <c r="S489" s="1023"/>
      <c r="T489" s="1023"/>
      <c r="U489" s="1023"/>
      <c r="V489" s="1023"/>
      <c r="W489" s="1023"/>
      <c r="X489" s="1023"/>
      <c r="Y489" s="1023"/>
      <c r="Z489" s="1023"/>
    </row>
    <row r="490" spans="1:26" ht="11.25" customHeight="1" x14ac:dyDescent="0.2">
      <c r="A490" s="1023"/>
      <c r="B490" s="1023"/>
      <c r="C490" s="1023"/>
      <c r="D490" s="1023"/>
      <c r="E490" s="1023"/>
      <c r="F490" s="1023"/>
      <c r="G490" s="1023"/>
      <c r="H490" s="1023"/>
      <c r="I490" s="1023"/>
      <c r="J490" s="1023"/>
      <c r="K490" s="1023"/>
      <c r="L490" s="1023"/>
      <c r="M490" s="1023"/>
      <c r="N490" s="1023"/>
      <c r="O490" s="1023"/>
      <c r="P490" s="1023"/>
      <c r="Q490" s="1023"/>
      <c r="R490" s="1023"/>
      <c r="S490" s="1023"/>
      <c r="T490" s="1023"/>
      <c r="U490" s="1023"/>
      <c r="V490" s="1023"/>
      <c r="W490" s="1023"/>
      <c r="X490" s="1023"/>
      <c r="Y490" s="1023"/>
      <c r="Z490" s="1023"/>
    </row>
    <row r="491" spans="1:26" ht="11.25" customHeight="1" x14ac:dyDescent="0.2">
      <c r="A491" s="1023"/>
      <c r="B491" s="1023"/>
      <c r="C491" s="1023"/>
      <c r="D491" s="1023"/>
      <c r="E491" s="1023"/>
      <c r="F491" s="1023"/>
      <c r="G491" s="1023"/>
      <c r="H491" s="1023"/>
      <c r="I491" s="1023"/>
      <c r="J491" s="1023"/>
      <c r="K491" s="1023"/>
      <c r="L491" s="1023"/>
      <c r="M491" s="1023"/>
      <c r="N491" s="1023"/>
      <c r="O491" s="1023"/>
      <c r="P491" s="1023"/>
      <c r="Q491" s="1023"/>
      <c r="R491" s="1023"/>
      <c r="S491" s="1023"/>
      <c r="T491" s="1023"/>
      <c r="U491" s="1023"/>
      <c r="V491" s="1023"/>
      <c r="W491" s="1023"/>
      <c r="X491" s="1023"/>
      <c r="Y491" s="1023"/>
      <c r="Z491" s="1023"/>
    </row>
    <row r="492" spans="1:26" ht="11.25" customHeight="1" x14ac:dyDescent="0.2">
      <c r="A492" s="1023"/>
      <c r="B492" s="1023"/>
      <c r="C492" s="1023"/>
      <c r="D492" s="1023"/>
      <c r="E492" s="1023"/>
      <c r="F492" s="1023"/>
      <c r="G492" s="1023"/>
      <c r="H492" s="1023"/>
      <c r="I492" s="1023"/>
      <c r="J492" s="1023"/>
      <c r="K492" s="1023"/>
      <c r="L492" s="1023"/>
      <c r="M492" s="1023"/>
      <c r="N492" s="1023"/>
      <c r="O492" s="1023"/>
      <c r="P492" s="1023"/>
      <c r="Q492" s="1023"/>
      <c r="R492" s="1023"/>
      <c r="S492" s="1023"/>
      <c r="T492" s="1023"/>
      <c r="U492" s="1023"/>
      <c r="V492" s="1023"/>
      <c r="W492" s="1023"/>
      <c r="X492" s="1023"/>
      <c r="Y492" s="1023"/>
      <c r="Z492" s="1023"/>
    </row>
    <row r="493" spans="1:26" ht="11.25" customHeight="1" x14ac:dyDescent="0.2">
      <c r="A493" s="1023"/>
      <c r="B493" s="1023"/>
      <c r="C493" s="1023"/>
      <c r="D493" s="1023"/>
      <c r="E493" s="1023"/>
      <c r="F493" s="1023"/>
      <c r="G493" s="1023"/>
      <c r="H493" s="1023"/>
      <c r="I493" s="1023"/>
      <c r="J493" s="1023"/>
      <c r="K493" s="1023"/>
      <c r="L493" s="1023"/>
      <c r="M493" s="1023"/>
      <c r="N493" s="1023"/>
      <c r="O493" s="1023"/>
      <c r="P493" s="1023"/>
      <c r="Q493" s="1023"/>
      <c r="R493" s="1023"/>
      <c r="S493" s="1023"/>
      <c r="T493" s="1023"/>
      <c r="U493" s="1023"/>
      <c r="V493" s="1023"/>
      <c r="W493" s="1023"/>
      <c r="X493" s="1023"/>
      <c r="Y493" s="1023"/>
      <c r="Z493" s="1023"/>
    </row>
    <row r="494" spans="1:26" ht="11.25" customHeight="1" x14ac:dyDescent="0.2">
      <c r="A494" s="1023"/>
      <c r="B494" s="1023"/>
      <c r="C494" s="1023"/>
      <c r="D494" s="1023"/>
      <c r="E494" s="1023"/>
      <c r="F494" s="1023"/>
      <c r="G494" s="1023"/>
      <c r="H494" s="1023"/>
      <c r="I494" s="1023"/>
      <c r="J494" s="1023"/>
      <c r="K494" s="1023"/>
      <c r="L494" s="1023"/>
      <c r="M494" s="1023"/>
      <c r="N494" s="1023"/>
      <c r="O494" s="1023"/>
      <c r="P494" s="1023"/>
      <c r="Q494" s="1023"/>
      <c r="R494" s="1023"/>
      <c r="S494" s="1023"/>
      <c r="T494" s="1023"/>
      <c r="U494" s="1023"/>
      <c r="V494" s="1023"/>
      <c r="W494" s="1023"/>
      <c r="X494" s="1023"/>
      <c r="Y494" s="1023"/>
      <c r="Z494" s="1023"/>
    </row>
    <row r="495" spans="1:26" ht="11.25" customHeight="1" x14ac:dyDescent="0.2">
      <c r="A495" s="1023"/>
      <c r="B495" s="1023"/>
      <c r="C495" s="1023"/>
      <c r="D495" s="1023"/>
      <c r="E495" s="1023"/>
      <c r="F495" s="1023"/>
      <c r="G495" s="1023"/>
      <c r="H495" s="1023"/>
      <c r="I495" s="1023"/>
      <c r="J495" s="1023"/>
      <c r="K495" s="1023"/>
      <c r="L495" s="1023"/>
      <c r="M495" s="1023"/>
      <c r="N495" s="1023"/>
      <c r="O495" s="1023"/>
      <c r="P495" s="1023"/>
      <c r="Q495" s="1023"/>
      <c r="R495" s="1023"/>
      <c r="S495" s="1023"/>
      <c r="T495" s="1023"/>
      <c r="U495" s="1023"/>
      <c r="V495" s="1023"/>
      <c r="W495" s="1023"/>
      <c r="X495" s="1023"/>
      <c r="Y495" s="1023"/>
      <c r="Z495" s="1023"/>
    </row>
    <row r="496" spans="1:26" ht="11.25" customHeight="1" x14ac:dyDescent="0.2">
      <c r="A496" s="1023"/>
      <c r="B496" s="1023"/>
      <c r="C496" s="1023"/>
      <c r="D496" s="1023"/>
      <c r="E496" s="1023"/>
      <c r="F496" s="1023"/>
      <c r="G496" s="1023"/>
      <c r="H496" s="1023"/>
      <c r="I496" s="1023"/>
      <c r="J496" s="1023"/>
      <c r="K496" s="1023"/>
      <c r="L496" s="1023"/>
      <c r="M496" s="1023"/>
      <c r="N496" s="1023"/>
      <c r="O496" s="1023"/>
      <c r="P496" s="1023"/>
      <c r="Q496" s="1023"/>
      <c r="R496" s="1023"/>
      <c r="S496" s="1023"/>
      <c r="T496" s="1023"/>
      <c r="U496" s="1023"/>
      <c r="V496" s="1023"/>
      <c r="W496" s="1023"/>
      <c r="X496" s="1023"/>
      <c r="Y496" s="1023"/>
      <c r="Z496" s="1023"/>
    </row>
    <row r="497" spans="1:26" ht="11.25" customHeight="1" x14ac:dyDescent="0.2">
      <c r="A497" s="1023"/>
      <c r="B497" s="1023"/>
      <c r="C497" s="1023"/>
      <c r="D497" s="1023"/>
      <c r="E497" s="1023"/>
      <c r="F497" s="1023"/>
      <c r="G497" s="1023"/>
      <c r="H497" s="1023"/>
      <c r="I497" s="1023"/>
      <c r="J497" s="1023"/>
      <c r="K497" s="1023"/>
      <c r="L497" s="1023"/>
      <c r="M497" s="1023"/>
      <c r="N497" s="1023"/>
      <c r="O497" s="1023"/>
      <c r="P497" s="1023"/>
      <c r="Q497" s="1023"/>
      <c r="R497" s="1023"/>
      <c r="S497" s="1023"/>
      <c r="T497" s="1023"/>
      <c r="U497" s="1023"/>
      <c r="V497" s="1023"/>
      <c r="W497" s="1023"/>
      <c r="X497" s="1023"/>
      <c r="Y497" s="1023"/>
      <c r="Z497" s="1023"/>
    </row>
    <row r="498" spans="1:26" ht="11.25" customHeight="1" x14ac:dyDescent="0.2">
      <c r="A498" s="1023"/>
      <c r="B498" s="1023"/>
      <c r="C498" s="1023"/>
      <c r="D498" s="1023"/>
      <c r="E498" s="1023"/>
      <c r="F498" s="1023"/>
      <c r="G498" s="1023"/>
      <c r="H498" s="1023"/>
      <c r="I498" s="1023"/>
      <c r="J498" s="1023"/>
      <c r="K498" s="1023"/>
      <c r="L498" s="1023"/>
      <c r="M498" s="1023"/>
      <c r="N498" s="1023"/>
      <c r="O498" s="1023"/>
      <c r="P498" s="1023"/>
      <c r="Q498" s="1023"/>
      <c r="R498" s="1023"/>
      <c r="S498" s="1023"/>
      <c r="T498" s="1023"/>
      <c r="U498" s="1023"/>
      <c r="V498" s="1023"/>
      <c r="W498" s="1023"/>
      <c r="X498" s="1023"/>
      <c r="Y498" s="1023"/>
      <c r="Z498" s="1023"/>
    </row>
    <row r="499" spans="1:26" ht="11.25" customHeight="1" x14ac:dyDescent="0.2">
      <c r="A499" s="1023"/>
      <c r="B499" s="1023"/>
      <c r="C499" s="1023"/>
      <c r="D499" s="1023"/>
      <c r="E499" s="1023"/>
      <c r="F499" s="1023"/>
      <c r="G499" s="1023"/>
      <c r="H499" s="1023"/>
      <c r="I499" s="1023"/>
      <c r="J499" s="1023"/>
      <c r="K499" s="1023"/>
      <c r="L499" s="1023"/>
      <c r="M499" s="1023"/>
      <c r="N499" s="1023"/>
      <c r="O499" s="1023"/>
      <c r="P499" s="1023"/>
      <c r="Q499" s="1023"/>
      <c r="R499" s="1023"/>
      <c r="S499" s="1023"/>
      <c r="T499" s="1023"/>
      <c r="U499" s="1023"/>
      <c r="V499" s="1023"/>
      <c r="W499" s="1023"/>
      <c r="X499" s="1023"/>
      <c r="Y499" s="1023"/>
      <c r="Z499" s="1023"/>
    </row>
    <row r="500" spans="1:26" ht="11.25" customHeight="1" x14ac:dyDescent="0.2">
      <c r="A500" s="1023"/>
      <c r="B500" s="1023"/>
      <c r="C500" s="1023"/>
      <c r="D500" s="1023"/>
      <c r="E500" s="1023"/>
      <c r="F500" s="1023"/>
      <c r="G500" s="1023"/>
      <c r="H500" s="1023"/>
      <c r="I500" s="1023"/>
      <c r="J500" s="1023"/>
      <c r="K500" s="1023"/>
      <c r="L500" s="1023"/>
      <c r="M500" s="1023"/>
      <c r="N500" s="1023"/>
      <c r="O500" s="1023"/>
      <c r="P500" s="1023"/>
      <c r="Q500" s="1023"/>
      <c r="R500" s="1023"/>
      <c r="S500" s="1023"/>
      <c r="T500" s="1023"/>
      <c r="U500" s="1023"/>
      <c r="V500" s="1023"/>
      <c r="W500" s="1023"/>
      <c r="X500" s="1023"/>
      <c r="Y500" s="1023"/>
      <c r="Z500" s="1023"/>
    </row>
    <row r="501" spans="1:26" ht="11.25" customHeight="1" x14ac:dyDescent="0.2">
      <c r="A501" s="1023"/>
      <c r="B501" s="1023"/>
      <c r="C501" s="1023"/>
      <c r="D501" s="1023"/>
      <c r="E501" s="1023"/>
      <c r="F501" s="1023"/>
      <c r="G501" s="1023"/>
      <c r="H501" s="1023"/>
      <c r="I501" s="1023"/>
      <c r="J501" s="1023"/>
      <c r="K501" s="1023"/>
      <c r="L501" s="1023"/>
      <c r="M501" s="1023"/>
      <c r="N501" s="1023"/>
      <c r="O501" s="1023"/>
      <c r="P501" s="1023"/>
      <c r="Q501" s="1023"/>
      <c r="R501" s="1023"/>
      <c r="S501" s="1023"/>
      <c r="T501" s="1023"/>
      <c r="U501" s="1023"/>
      <c r="V501" s="1023"/>
      <c r="W501" s="1023"/>
      <c r="X501" s="1023"/>
      <c r="Y501" s="1023"/>
      <c r="Z501" s="1023"/>
    </row>
    <row r="502" spans="1:26" ht="11.25" customHeight="1" x14ac:dyDescent="0.2">
      <c r="A502" s="1023"/>
      <c r="B502" s="1023"/>
      <c r="C502" s="1023"/>
      <c r="D502" s="1023"/>
      <c r="E502" s="1023"/>
      <c r="F502" s="1023"/>
      <c r="G502" s="1023"/>
      <c r="H502" s="1023"/>
      <c r="I502" s="1023"/>
      <c r="J502" s="1023"/>
      <c r="K502" s="1023"/>
      <c r="L502" s="1023"/>
      <c r="M502" s="1023"/>
      <c r="N502" s="1023"/>
      <c r="O502" s="1023"/>
      <c r="P502" s="1023"/>
      <c r="Q502" s="1023"/>
      <c r="R502" s="1023"/>
      <c r="S502" s="1023"/>
      <c r="T502" s="1023"/>
      <c r="U502" s="1023"/>
      <c r="V502" s="1023"/>
      <c r="W502" s="1023"/>
      <c r="X502" s="1023"/>
      <c r="Y502" s="1023"/>
      <c r="Z502" s="1023"/>
    </row>
    <row r="503" spans="1:26" ht="11.25" customHeight="1" x14ac:dyDescent="0.2">
      <c r="A503" s="1023"/>
      <c r="B503" s="1023"/>
      <c r="C503" s="1023"/>
      <c r="D503" s="1023"/>
      <c r="E503" s="1023"/>
      <c r="F503" s="1023"/>
      <c r="G503" s="1023"/>
      <c r="H503" s="1023"/>
      <c r="I503" s="1023"/>
      <c r="J503" s="1023"/>
      <c r="K503" s="1023"/>
      <c r="L503" s="1023"/>
      <c r="M503" s="1023"/>
      <c r="N503" s="1023"/>
      <c r="O503" s="1023"/>
      <c r="P503" s="1023"/>
      <c r="Q503" s="1023"/>
      <c r="R503" s="1023"/>
      <c r="S503" s="1023"/>
      <c r="T503" s="1023"/>
      <c r="U503" s="1023"/>
      <c r="V503" s="1023"/>
      <c r="W503" s="1023"/>
      <c r="X503" s="1023"/>
      <c r="Y503" s="1023"/>
      <c r="Z503" s="1023"/>
    </row>
    <row r="504" spans="1:26" ht="11.25" customHeight="1" x14ac:dyDescent="0.2">
      <c r="A504" s="1023"/>
      <c r="B504" s="1023"/>
      <c r="C504" s="1023"/>
      <c r="D504" s="1023"/>
      <c r="E504" s="1023"/>
      <c r="F504" s="1023"/>
      <c r="G504" s="1023"/>
      <c r="H504" s="1023"/>
      <c r="I504" s="1023"/>
      <c r="J504" s="1023"/>
      <c r="K504" s="1023"/>
      <c r="L504" s="1023"/>
      <c r="M504" s="1023"/>
      <c r="N504" s="1023"/>
      <c r="O504" s="1023"/>
      <c r="P504" s="1023"/>
      <c r="Q504" s="1023"/>
      <c r="R504" s="1023"/>
      <c r="S504" s="1023"/>
      <c r="T504" s="1023"/>
      <c r="U504" s="1023"/>
      <c r="V504" s="1023"/>
      <c r="W504" s="1023"/>
      <c r="X504" s="1023"/>
      <c r="Y504" s="1023"/>
      <c r="Z504" s="1023"/>
    </row>
    <row r="505" spans="1:26" ht="11.25" customHeight="1" x14ac:dyDescent="0.2">
      <c r="A505" s="1023"/>
      <c r="B505" s="1023"/>
      <c r="C505" s="1023"/>
      <c r="D505" s="1023"/>
      <c r="E505" s="1023"/>
      <c r="F505" s="1023"/>
      <c r="G505" s="1023"/>
      <c r="H505" s="1023"/>
      <c r="I505" s="1023"/>
      <c r="J505" s="1023"/>
      <c r="K505" s="1023"/>
      <c r="L505" s="1023"/>
      <c r="M505" s="1023"/>
      <c r="N505" s="1023"/>
      <c r="O505" s="1023"/>
      <c r="P505" s="1023"/>
      <c r="Q505" s="1023"/>
      <c r="R505" s="1023"/>
      <c r="S505" s="1023"/>
      <c r="T505" s="1023"/>
      <c r="U505" s="1023"/>
      <c r="V505" s="1023"/>
      <c r="W505" s="1023"/>
      <c r="X505" s="1023"/>
      <c r="Y505" s="1023"/>
      <c r="Z505" s="1023"/>
    </row>
    <row r="506" spans="1:26" ht="11.25" customHeight="1" x14ac:dyDescent="0.2">
      <c r="A506" s="1023"/>
      <c r="B506" s="1023"/>
      <c r="C506" s="1023"/>
      <c r="D506" s="1023"/>
      <c r="E506" s="1023"/>
      <c r="F506" s="1023"/>
      <c r="G506" s="1023"/>
      <c r="H506" s="1023"/>
      <c r="I506" s="1023"/>
      <c r="J506" s="1023"/>
      <c r="K506" s="1023"/>
      <c r="L506" s="1023"/>
      <c r="M506" s="1023"/>
      <c r="N506" s="1023"/>
      <c r="O506" s="1023"/>
      <c r="P506" s="1023"/>
      <c r="Q506" s="1023"/>
      <c r="R506" s="1023"/>
      <c r="S506" s="1023"/>
      <c r="T506" s="1023"/>
      <c r="U506" s="1023"/>
      <c r="V506" s="1023"/>
      <c r="W506" s="1023"/>
      <c r="X506" s="1023"/>
      <c r="Y506" s="1023"/>
      <c r="Z506" s="1023"/>
    </row>
    <row r="507" spans="1:26" ht="11.25" customHeight="1" x14ac:dyDescent="0.2">
      <c r="A507" s="1023"/>
      <c r="B507" s="1023"/>
      <c r="C507" s="1023"/>
      <c r="D507" s="1023"/>
      <c r="E507" s="1023"/>
      <c r="F507" s="1023"/>
      <c r="G507" s="1023"/>
      <c r="H507" s="1023"/>
      <c r="I507" s="1023"/>
      <c r="J507" s="1023"/>
      <c r="K507" s="1023"/>
      <c r="L507" s="1023"/>
      <c r="M507" s="1023"/>
      <c r="N507" s="1023"/>
      <c r="O507" s="1023"/>
      <c r="P507" s="1023"/>
      <c r="Q507" s="1023"/>
      <c r="R507" s="1023"/>
      <c r="S507" s="1023"/>
      <c r="T507" s="1023"/>
      <c r="U507" s="1023"/>
      <c r="V507" s="1023"/>
      <c r="W507" s="1023"/>
      <c r="X507" s="1023"/>
      <c r="Y507" s="1023"/>
      <c r="Z507" s="1023"/>
    </row>
    <row r="508" spans="1:26" ht="11.25" customHeight="1" x14ac:dyDescent="0.2">
      <c r="A508" s="1023"/>
      <c r="B508" s="1023"/>
      <c r="C508" s="1023"/>
      <c r="D508" s="1023"/>
      <c r="E508" s="1023"/>
      <c r="F508" s="1023"/>
      <c r="G508" s="1023"/>
      <c r="H508" s="1023"/>
      <c r="I508" s="1023"/>
      <c r="J508" s="1023"/>
      <c r="K508" s="1023"/>
      <c r="L508" s="1023"/>
      <c r="M508" s="1023"/>
      <c r="N508" s="1023"/>
      <c r="O508" s="1023"/>
      <c r="P508" s="1023"/>
      <c r="Q508" s="1023"/>
      <c r="R508" s="1023"/>
      <c r="S508" s="1023"/>
      <c r="T508" s="1023"/>
      <c r="U508" s="1023"/>
      <c r="V508" s="1023"/>
      <c r="W508" s="1023"/>
      <c r="X508" s="1023"/>
      <c r="Y508" s="1023"/>
      <c r="Z508" s="1023"/>
    </row>
    <row r="509" spans="1:26" ht="11.25" customHeight="1" x14ac:dyDescent="0.2">
      <c r="A509" s="1023"/>
      <c r="B509" s="1023"/>
      <c r="C509" s="1023"/>
      <c r="D509" s="1023"/>
      <c r="E509" s="1023"/>
      <c r="F509" s="1023"/>
      <c r="G509" s="1023"/>
      <c r="H509" s="1023"/>
      <c r="I509" s="1023"/>
      <c r="J509" s="1023"/>
      <c r="K509" s="1023"/>
      <c r="L509" s="1023"/>
      <c r="M509" s="1023"/>
      <c r="N509" s="1023"/>
      <c r="O509" s="1023"/>
      <c r="P509" s="1023"/>
      <c r="Q509" s="1023"/>
      <c r="R509" s="1023"/>
      <c r="S509" s="1023"/>
      <c r="T509" s="1023"/>
      <c r="U509" s="1023"/>
      <c r="V509" s="1023"/>
      <c r="W509" s="1023"/>
      <c r="X509" s="1023"/>
      <c r="Y509" s="1023"/>
      <c r="Z509" s="1023"/>
    </row>
    <row r="510" spans="1:26" ht="11.25" customHeight="1" x14ac:dyDescent="0.2">
      <c r="A510" s="1023"/>
      <c r="B510" s="1023"/>
      <c r="C510" s="1023"/>
      <c r="D510" s="1023"/>
      <c r="E510" s="1023"/>
      <c r="F510" s="1023"/>
      <c r="G510" s="1023"/>
      <c r="H510" s="1023"/>
      <c r="I510" s="1023"/>
      <c r="J510" s="1023"/>
      <c r="K510" s="1023"/>
      <c r="L510" s="1023"/>
      <c r="M510" s="1023"/>
      <c r="N510" s="1023"/>
      <c r="O510" s="1023"/>
      <c r="P510" s="1023"/>
      <c r="Q510" s="1023"/>
      <c r="R510" s="1023"/>
      <c r="S510" s="1023"/>
      <c r="T510" s="1023"/>
      <c r="U510" s="1023"/>
      <c r="V510" s="1023"/>
      <c r="W510" s="1023"/>
      <c r="X510" s="1023"/>
      <c r="Y510" s="1023"/>
      <c r="Z510" s="1023"/>
    </row>
    <row r="511" spans="1:26" ht="11.25" customHeight="1" x14ac:dyDescent="0.2">
      <c r="A511" s="1023"/>
      <c r="B511" s="1023"/>
      <c r="C511" s="1023"/>
      <c r="D511" s="1023"/>
      <c r="E511" s="1023"/>
      <c r="F511" s="1023"/>
      <c r="G511" s="1023"/>
      <c r="H511" s="1023"/>
      <c r="I511" s="1023"/>
      <c r="J511" s="1023"/>
      <c r="K511" s="1023"/>
      <c r="L511" s="1023"/>
      <c r="M511" s="1023"/>
      <c r="N511" s="1023"/>
      <c r="O511" s="1023"/>
      <c r="P511" s="1023"/>
      <c r="Q511" s="1023"/>
      <c r="R511" s="1023"/>
      <c r="S511" s="1023"/>
      <c r="T511" s="1023"/>
      <c r="U511" s="1023"/>
      <c r="V511" s="1023"/>
      <c r="W511" s="1023"/>
      <c r="X511" s="1023"/>
      <c r="Y511" s="1023"/>
      <c r="Z511" s="1023"/>
    </row>
    <row r="512" spans="1:26" ht="11.25" customHeight="1" x14ac:dyDescent="0.2">
      <c r="A512" s="1023"/>
      <c r="B512" s="1023"/>
      <c r="C512" s="1023"/>
      <c r="D512" s="1023"/>
      <c r="E512" s="1023"/>
      <c r="F512" s="1023"/>
      <c r="G512" s="1023"/>
      <c r="H512" s="1023"/>
      <c r="I512" s="1023"/>
      <c r="J512" s="1023"/>
      <c r="K512" s="1023"/>
      <c r="L512" s="1023"/>
      <c r="M512" s="1023"/>
      <c r="N512" s="1023"/>
      <c r="O512" s="1023"/>
      <c r="P512" s="1023"/>
      <c r="Q512" s="1023"/>
      <c r="R512" s="1023"/>
      <c r="S512" s="1023"/>
      <c r="T512" s="1023"/>
      <c r="U512" s="1023"/>
      <c r="V512" s="1023"/>
      <c r="W512" s="1023"/>
      <c r="X512" s="1023"/>
      <c r="Y512" s="1023"/>
      <c r="Z512" s="1023"/>
    </row>
    <row r="513" spans="1:26" ht="11.25" customHeight="1" x14ac:dyDescent="0.2">
      <c r="A513" s="1023"/>
      <c r="B513" s="1023"/>
      <c r="C513" s="1023"/>
      <c r="D513" s="1023"/>
      <c r="E513" s="1023"/>
      <c r="F513" s="1023"/>
      <c r="G513" s="1023"/>
      <c r="H513" s="1023"/>
      <c r="I513" s="1023"/>
      <c r="J513" s="1023"/>
      <c r="K513" s="1023"/>
      <c r="L513" s="1023"/>
      <c r="M513" s="1023"/>
      <c r="N513" s="1023"/>
      <c r="O513" s="1023"/>
      <c r="P513" s="1023"/>
      <c r="Q513" s="1023"/>
      <c r="R513" s="1023"/>
      <c r="S513" s="1023"/>
      <c r="T513" s="1023"/>
      <c r="U513" s="1023"/>
      <c r="V513" s="1023"/>
      <c r="W513" s="1023"/>
      <c r="X513" s="1023"/>
      <c r="Y513" s="1023"/>
      <c r="Z513" s="1023"/>
    </row>
    <row r="514" spans="1:26" ht="11.25" customHeight="1" x14ac:dyDescent="0.2">
      <c r="A514" s="1023"/>
      <c r="B514" s="1023"/>
      <c r="C514" s="1023"/>
      <c r="D514" s="1023"/>
      <c r="E514" s="1023"/>
      <c r="F514" s="1023"/>
      <c r="G514" s="1023"/>
      <c r="H514" s="1023"/>
      <c r="I514" s="1023"/>
      <c r="J514" s="1023"/>
      <c r="K514" s="1023"/>
      <c r="L514" s="1023"/>
      <c r="M514" s="1023"/>
      <c r="N514" s="1023"/>
      <c r="O514" s="1023"/>
      <c r="P514" s="1023"/>
      <c r="Q514" s="1023"/>
      <c r="R514" s="1023"/>
      <c r="S514" s="1023"/>
      <c r="T514" s="1023"/>
      <c r="U514" s="1023"/>
      <c r="V514" s="1023"/>
      <c r="W514" s="1023"/>
      <c r="X514" s="1023"/>
      <c r="Y514" s="1023"/>
      <c r="Z514" s="1023"/>
    </row>
    <row r="515" spans="1:26" ht="11.25" customHeight="1" x14ac:dyDescent="0.2">
      <c r="A515" s="1023"/>
      <c r="B515" s="1023"/>
      <c r="C515" s="1023"/>
      <c r="D515" s="1023"/>
      <c r="E515" s="1023"/>
      <c r="F515" s="1023"/>
      <c r="G515" s="1023"/>
      <c r="H515" s="1023"/>
      <c r="I515" s="1023"/>
      <c r="J515" s="1023"/>
      <c r="K515" s="1023"/>
      <c r="L515" s="1023"/>
      <c r="M515" s="1023"/>
      <c r="N515" s="1023"/>
      <c r="O515" s="1023"/>
      <c r="P515" s="1023"/>
      <c r="Q515" s="1023"/>
      <c r="R515" s="1023"/>
      <c r="S515" s="1023"/>
      <c r="T515" s="1023"/>
      <c r="U515" s="1023"/>
      <c r="V515" s="1023"/>
      <c r="W515" s="1023"/>
      <c r="X515" s="1023"/>
      <c r="Y515" s="1023"/>
      <c r="Z515" s="1023"/>
    </row>
    <row r="516" spans="1:26" ht="11.25" customHeight="1" x14ac:dyDescent="0.2">
      <c r="A516" s="1023"/>
      <c r="B516" s="1023"/>
      <c r="C516" s="1023"/>
      <c r="D516" s="1023"/>
      <c r="E516" s="1023"/>
      <c r="F516" s="1023"/>
      <c r="G516" s="1023"/>
      <c r="H516" s="1023"/>
      <c r="I516" s="1023"/>
      <c r="J516" s="1023"/>
      <c r="K516" s="1023"/>
      <c r="L516" s="1023"/>
      <c r="M516" s="1023"/>
      <c r="N516" s="1023"/>
      <c r="O516" s="1023"/>
      <c r="P516" s="1023"/>
      <c r="Q516" s="1023"/>
      <c r="R516" s="1023"/>
      <c r="S516" s="1023"/>
      <c r="T516" s="1023"/>
      <c r="U516" s="1023"/>
      <c r="V516" s="1023"/>
      <c r="W516" s="1023"/>
      <c r="X516" s="1023"/>
      <c r="Y516" s="1023"/>
      <c r="Z516" s="1023"/>
    </row>
    <row r="517" spans="1:26" ht="11.25" customHeight="1" x14ac:dyDescent="0.2">
      <c r="A517" s="1023"/>
      <c r="B517" s="1023"/>
      <c r="C517" s="1023"/>
      <c r="D517" s="1023"/>
      <c r="E517" s="1023"/>
      <c r="F517" s="1023"/>
      <c r="G517" s="1023"/>
      <c r="H517" s="1023"/>
      <c r="I517" s="1023"/>
      <c r="J517" s="1023"/>
      <c r="K517" s="1023"/>
      <c r="L517" s="1023"/>
      <c r="M517" s="1023"/>
      <c r="N517" s="1023"/>
      <c r="O517" s="1023"/>
      <c r="P517" s="1023"/>
      <c r="Q517" s="1023"/>
      <c r="R517" s="1023"/>
      <c r="S517" s="1023"/>
      <c r="T517" s="1023"/>
      <c r="U517" s="1023"/>
      <c r="V517" s="1023"/>
      <c r="W517" s="1023"/>
      <c r="X517" s="1023"/>
      <c r="Y517" s="1023"/>
      <c r="Z517" s="1023"/>
    </row>
    <row r="518" spans="1:26" ht="11.25" customHeight="1" x14ac:dyDescent="0.2">
      <c r="A518" s="1023"/>
      <c r="B518" s="1023"/>
      <c r="C518" s="1023"/>
      <c r="D518" s="1023"/>
      <c r="E518" s="1023"/>
      <c r="F518" s="1023"/>
      <c r="G518" s="1023"/>
      <c r="H518" s="1023"/>
      <c r="I518" s="1023"/>
      <c r="J518" s="1023"/>
      <c r="K518" s="1023"/>
      <c r="L518" s="1023"/>
      <c r="M518" s="1023"/>
      <c r="N518" s="1023"/>
      <c r="O518" s="1023"/>
      <c r="P518" s="1023"/>
      <c r="Q518" s="1023"/>
      <c r="R518" s="1023"/>
      <c r="S518" s="1023"/>
      <c r="T518" s="1023"/>
      <c r="U518" s="1023"/>
      <c r="V518" s="1023"/>
      <c r="W518" s="1023"/>
      <c r="X518" s="1023"/>
      <c r="Y518" s="1023"/>
      <c r="Z518" s="1023"/>
    </row>
    <row r="519" spans="1:26" ht="11.25" customHeight="1" x14ac:dyDescent="0.2">
      <c r="A519" s="1023"/>
      <c r="B519" s="1023"/>
      <c r="C519" s="1023"/>
      <c r="D519" s="1023"/>
      <c r="E519" s="1023"/>
      <c r="F519" s="1023"/>
      <c r="G519" s="1023"/>
      <c r="H519" s="1023"/>
      <c r="I519" s="1023"/>
      <c r="J519" s="1023"/>
      <c r="K519" s="1023"/>
      <c r="L519" s="1023"/>
      <c r="M519" s="1023"/>
      <c r="N519" s="1023"/>
      <c r="O519" s="1023"/>
      <c r="P519" s="1023"/>
      <c r="Q519" s="1023"/>
      <c r="R519" s="1023"/>
      <c r="S519" s="1023"/>
      <c r="T519" s="1023"/>
      <c r="U519" s="1023"/>
      <c r="V519" s="1023"/>
      <c r="W519" s="1023"/>
      <c r="X519" s="1023"/>
      <c r="Y519" s="1023"/>
      <c r="Z519" s="1023"/>
    </row>
    <row r="520" spans="1:26" ht="11.25" customHeight="1" x14ac:dyDescent="0.2">
      <c r="A520" s="1023"/>
      <c r="B520" s="1023"/>
      <c r="C520" s="1023"/>
      <c r="D520" s="1023"/>
      <c r="E520" s="1023"/>
      <c r="F520" s="1023"/>
      <c r="G520" s="1023"/>
      <c r="H520" s="1023"/>
      <c r="I520" s="1023"/>
      <c r="J520" s="1023"/>
      <c r="K520" s="1023"/>
      <c r="L520" s="1023"/>
      <c r="M520" s="1023"/>
      <c r="N520" s="1023"/>
      <c r="O520" s="1023"/>
      <c r="P520" s="1023"/>
      <c r="Q520" s="1023"/>
      <c r="R520" s="1023"/>
      <c r="S520" s="1023"/>
      <c r="T520" s="1023"/>
      <c r="U520" s="1023"/>
      <c r="V520" s="1023"/>
      <c r="W520" s="1023"/>
      <c r="X520" s="1023"/>
      <c r="Y520" s="1023"/>
      <c r="Z520" s="1023"/>
    </row>
    <row r="521" spans="1:26" ht="11.25" customHeight="1" x14ac:dyDescent="0.2">
      <c r="A521" s="1023"/>
      <c r="B521" s="1023"/>
      <c r="C521" s="1023"/>
      <c r="D521" s="1023"/>
      <c r="E521" s="1023"/>
      <c r="F521" s="1023"/>
      <c r="G521" s="1023"/>
      <c r="H521" s="1023"/>
      <c r="I521" s="1023"/>
      <c r="J521" s="1023"/>
      <c r="K521" s="1023"/>
      <c r="L521" s="1023"/>
      <c r="M521" s="1023"/>
      <c r="N521" s="1023"/>
      <c r="O521" s="1023"/>
      <c r="P521" s="1023"/>
      <c r="Q521" s="1023"/>
      <c r="R521" s="1023"/>
      <c r="S521" s="1023"/>
      <c r="T521" s="1023"/>
      <c r="U521" s="1023"/>
      <c r="V521" s="1023"/>
      <c r="W521" s="1023"/>
      <c r="X521" s="1023"/>
      <c r="Y521" s="1023"/>
      <c r="Z521" s="1023"/>
    </row>
    <row r="522" spans="1:26" ht="11.25" customHeight="1" x14ac:dyDescent="0.2">
      <c r="A522" s="1023"/>
      <c r="B522" s="1023"/>
      <c r="C522" s="1023"/>
      <c r="D522" s="1023"/>
      <c r="E522" s="1023"/>
      <c r="F522" s="1023"/>
      <c r="G522" s="1023"/>
      <c r="H522" s="1023"/>
      <c r="I522" s="1023"/>
      <c r="J522" s="1023"/>
      <c r="K522" s="1023"/>
      <c r="L522" s="1023"/>
      <c r="M522" s="1023"/>
      <c r="N522" s="1023"/>
      <c r="O522" s="1023"/>
      <c r="P522" s="1023"/>
      <c r="Q522" s="1023"/>
      <c r="R522" s="1023"/>
      <c r="S522" s="1023"/>
      <c r="T522" s="1023"/>
      <c r="U522" s="1023"/>
      <c r="V522" s="1023"/>
      <c r="W522" s="1023"/>
      <c r="X522" s="1023"/>
      <c r="Y522" s="1023"/>
      <c r="Z522" s="1023"/>
    </row>
    <row r="523" spans="1:26" ht="11.25" customHeight="1" x14ac:dyDescent="0.2">
      <c r="A523" s="1023"/>
      <c r="B523" s="1023"/>
      <c r="C523" s="1023"/>
      <c r="D523" s="1023"/>
      <c r="E523" s="1023"/>
      <c r="F523" s="1023"/>
      <c r="G523" s="1023"/>
      <c r="H523" s="1023"/>
      <c r="I523" s="1023"/>
      <c r="J523" s="1023"/>
      <c r="K523" s="1023"/>
      <c r="L523" s="1023"/>
      <c r="M523" s="1023"/>
      <c r="N523" s="1023"/>
      <c r="O523" s="1023"/>
      <c r="P523" s="1023"/>
      <c r="Q523" s="1023"/>
      <c r="R523" s="1023"/>
      <c r="S523" s="1023"/>
      <c r="T523" s="1023"/>
      <c r="U523" s="1023"/>
      <c r="V523" s="1023"/>
      <c r="W523" s="1023"/>
      <c r="X523" s="1023"/>
      <c r="Y523" s="1023"/>
      <c r="Z523" s="1023"/>
    </row>
    <row r="524" spans="1:26" ht="11.25" customHeight="1" x14ac:dyDescent="0.2">
      <c r="A524" s="1023"/>
      <c r="B524" s="1023"/>
      <c r="C524" s="1023"/>
      <c r="D524" s="1023"/>
      <c r="E524" s="1023"/>
      <c r="F524" s="1023"/>
      <c r="G524" s="1023"/>
      <c r="H524" s="1023"/>
      <c r="I524" s="1023"/>
      <c r="J524" s="1023"/>
      <c r="K524" s="1023"/>
      <c r="L524" s="1023"/>
      <c r="M524" s="1023"/>
      <c r="N524" s="1023"/>
      <c r="O524" s="1023"/>
      <c r="P524" s="1023"/>
      <c r="Q524" s="1023"/>
      <c r="R524" s="1023"/>
      <c r="S524" s="1023"/>
      <c r="T524" s="1023"/>
      <c r="U524" s="1023"/>
      <c r="V524" s="1023"/>
      <c r="W524" s="1023"/>
      <c r="X524" s="1023"/>
      <c r="Y524" s="1023"/>
      <c r="Z524" s="1023"/>
    </row>
    <row r="525" spans="1:26" ht="11.25" customHeight="1" x14ac:dyDescent="0.2">
      <c r="A525" s="1023"/>
      <c r="B525" s="1023"/>
      <c r="C525" s="1023"/>
      <c r="D525" s="1023"/>
      <c r="E525" s="1023"/>
      <c r="F525" s="1023"/>
      <c r="G525" s="1023"/>
      <c r="H525" s="1023"/>
      <c r="I525" s="1023"/>
      <c r="J525" s="1023"/>
      <c r="K525" s="1023"/>
      <c r="L525" s="1023"/>
      <c r="M525" s="1023"/>
      <c r="N525" s="1023"/>
      <c r="O525" s="1023"/>
      <c r="P525" s="1023"/>
      <c r="Q525" s="1023"/>
      <c r="R525" s="1023"/>
      <c r="S525" s="1023"/>
      <c r="T525" s="1023"/>
      <c r="U525" s="1023"/>
      <c r="V525" s="1023"/>
      <c r="W525" s="1023"/>
      <c r="X525" s="1023"/>
      <c r="Y525" s="1023"/>
      <c r="Z525" s="1023"/>
    </row>
    <row r="526" spans="1:26" ht="11.25" customHeight="1" x14ac:dyDescent="0.2">
      <c r="A526" s="1023"/>
      <c r="B526" s="1023"/>
      <c r="C526" s="1023"/>
      <c r="D526" s="1023"/>
      <c r="E526" s="1023"/>
      <c r="F526" s="1023"/>
      <c r="G526" s="1023"/>
      <c r="H526" s="1023"/>
      <c r="I526" s="1023"/>
      <c r="J526" s="1023"/>
      <c r="K526" s="1023"/>
      <c r="L526" s="1023"/>
      <c r="M526" s="1023"/>
      <c r="N526" s="1023"/>
      <c r="O526" s="1023"/>
      <c r="P526" s="1023"/>
      <c r="Q526" s="1023"/>
      <c r="R526" s="1023"/>
      <c r="S526" s="1023"/>
      <c r="T526" s="1023"/>
      <c r="U526" s="1023"/>
      <c r="V526" s="1023"/>
      <c r="W526" s="1023"/>
      <c r="X526" s="1023"/>
      <c r="Y526" s="1023"/>
      <c r="Z526" s="1023"/>
    </row>
    <row r="527" spans="1:26" ht="11.25" customHeight="1" x14ac:dyDescent="0.2">
      <c r="A527" s="1023"/>
      <c r="B527" s="1023"/>
      <c r="C527" s="1023"/>
      <c r="D527" s="1023"/>
      <c r="E527" s="1023"/>
      <c r="F527" s="1023"/>
      <c r="G527" s="1023"/>
      <c r="H527" s="1023"/>
      <c r="I527" s="1023"/>
      <c r="J527" s="1023"/>
      <c r="K527" s="1023"/>
      <c r="L527" s="1023"/>
      <c r="M527" s="1023"/>
      <c r="N527" s="1023"/>
      <c r="O527" s="1023"/>
      <c r="P527" s="1023"/>
      <c r="Q527" s="1023"/>
      <c r="R527" s="1023"/>
      <c r="S527" s="1023"/>
      <c r="T527" s="1023"/>
      <c r="U527" s="1023"/>
      <c r="V527" s="1023"/>
      <c r="W527" s="1023"/>
      <c r="X527" s="1023"/>
      <c r="Y527" s="1023"/>
      <c r="Z527" s="1023"/>
    </row>
    <row r="528" spans="1:26" ht="11.25" customHeight="1" x14ac:dyDescent="0.2">
      <c r="A528" s="1023"/>
      <c r="B528" s="1023"/>
      <c r="C528" s="1023"/>
      <c r="D528" s="1023"/>
      <c r="E528" s="1023"/>
      <c r="F528" s="1023"/>
      <c r="G528" s="1023"/>
      <c r="H528" s="1023"/>
      <c r="I528" s="1023"/>
      <c r="J528" s="1023"/>
      <c r="K528" s="1023"/>
      <c r="L528" s="1023"/>
      <c r="M528" s="1023"/>
      <c r="N528" s="1023"/>
      <c r="O528" s="1023"/>
      <c r="P528" s="1023"/>
      <c r="Q528" s="1023"/>
      <c r="R528" s="1023"/>
      <c r="S528" s="1023"/>
      <c r="T528" s="1023"/>
      <c r="U528" s="1023"/>
      <c r="V528" s="1023"/>
      <c r="W528" s="1023"/>
      <c r="X528" s="1023"/>
      <c r="Y528" s="1023"/>
      <c r="Z528" s="1023"/>
    </row>
    <row r="529" spans="1:26" ht="11.25" customHeight="1" x14ac:dyDescent="0.2">
      <c r="A529" s="1023"/>
      <c r="B529" s="1023"/>
      <c r="C529" s="1023"/>
      <c r="D529" s="1023"/>
      <c r="E529" s="1023"/>
      <c r="F529" s="1023"/>
      <c r="G529" s="1023"/>
      <c r="H529" s="1023"/>
      <c r="I529" s="1023"/>
      <c r="J529" s="1023"/>
      <c r="K529" s="1023"/>
      <c r="L529" s="1023"/>
      <c r="M529" s="1023"/>
      <c r="N529" s="1023"/>
      <c r="O529" s="1023"/>
      <c r="P529" s="1023"/>
      <c r="Q529" s="1023"/>
      <c r="R529" s="1023"/>
      <c r="S529" s="1023"/>
      <c r="T529" s="1023"/>
      <c r="U529" s="1023"/>
      <c r="V529" s="1023"/>
      <c r="W529" s="1023"/>
      <c r="X529" s="1023"/>
      <c r="Y529" s="1023"/>
      <c r="Z529" s="1023"/>
    </row>
    <row r="530" spans="1:26" ht="11.25" customHeight="1" x14ac:dyDescent="0.2">
      <c r="A530" s="1023"/>
      <c r="B530" s="1023"/>
      <c r="C530" s="1023"/>
      <c r="D530" s="1023"/>
      <c r="E530" s="1023"/>
      <c r="F530" s="1023"/>
      <c r="G530" s="1023"/>
      <c r="H530" s="1023"/>
      <c r="I530" s="1023"/>
      <c r="J530" s="1023"/>
      <c r="K530" s="1023"/>
      <c r="L530" s="1023"/>
      <c r="M530" s="1023"/>
      <c r="N530" s="1023"/>
      <c r="O530" s="1023"/>
      <c r="P530" s="1023"/>
      <c r="Q530" s="1023"/>
      <c r="R530" s="1023"/>
      <c r="S530" s="1023"/>
      <c r="T530" s="1023"/>
      <c r="U530" s="1023"/>
      <c r="V530" s="1023"/>
      <c r="W530" s="1023"/>
      <c r="X530" s="1023"/>
      <c r="Y530" s="1023"/>
      <c r="Z530" s="1023"/>
    </row>
    <row r="531" spans="1:26" ht="11.25" customHeight="1" x14ac:dyDescent="0.2">
      <c r="A531" s="1023"/>
      <c r="B531" s="1023"/>
      <c r="C531" s="1023"/>
      <c r="D531" s="1023"/>
      <c r="E531" s="1023"/>
      <c r="F531" s="1023"/>
      <c r="G531" s="1023"/>
      <c r="H531" s="1023"/>
      <c r="I531" s="1023"/>
      <c r="J531" s="1023"/>
      <c r="K531" s="1023"/>
      <c r="L531" s="1023"/>
      <c r="M531" s="1023"/>
      <c r="N531" s="1023"/>
      <c r="O531" s="1023"/>
      <c r="P531" s="1023"/>
      <c r="Q531" s="1023"/>
      <c r="R531" s="1023"/>
      <c r="S531" s="1023"/>
      <c r="T531" s="1023"/>
      <c r="U531" s="1023"/>
      <c r="V531" s="1023"/>
      <c r="W531" s="1023"/>
      <c r="X531" s="1023"/>
      <c r="Y531" s="1023"/>
      <c r="Z531" s="1023"/>
    </row>
    <row r="532" spans="1:26" ht="11.25" customHeight="1" x14ac:dyDescent="0.2">
      <c r="A532" s="1023"/>
      <c r="B532" s="1023"/>
      <c r="C532" s="1023"/>
      <c r="D532" s="1023"/>
      <c r="E532" s="1023"/>
      <c r="F532" s="1023"/>
      <c r="G532" s="1023"/>
      <c r="H532" s="1023"/>
      <c r="I532" s="1023"/>
      <c r="J532" s="1023"/>
      <c r="K532" s="1023"/>
      <c r="L532" s="1023"/>
      <c r="M532" s="1023"/>
      <c r="N532" s="1023"/>
      <c r="O532" s="1023"/>
      <c r="P532" s="1023"/>
      <c r="Q532" s="1023"/>
      <c r="R532" s="1023"/>
      <c r="S532" s="1023"/>
      <c r="T532" s="1023"/>
      <c r="U532" s="1023"/>
      <c r="V532" s="1023"/>
      <c r="W532" s="1023"/>
      <c r="X532" s="1023"/>
      <c r="Y532" s="1023"/>
      <c r="Z532" s="1023"/>
    </row>
    <row r="533" spans="1:26" ht="11.25" customHeight="1" x14ac:dyDescent="0.2">
      <c r="A533" s="1023"/>
      <c r="B533" s="1023"/>
      <c r="C533" s="1023"/>
      <c r="D533" s="1023"/>
      <c r="E533" s="1023"/>
      <c r="F533" s="1023"/>
      <c r="G533" s="1023"/>
      <c r="H533" s="1023"/>
      <c r="I533" s="1023"/>
      <c r="J533" s="1023"/>
      <c r="K533" s="1023"/>
      <c r="L533" s="1023"/>
      <c r="M533" s="1023"/>
      <c r="N533" s="1023"/>
      <c r="O533" s="1023"/>
      <c r="P533" s="1023"/>
      <c r="Q533" s="1023"/>
      <c r="R533" s="1023"/>
      <c r="S533" s="1023"/>
      <c r="T533" s="1023"/>
      <c r="U533" s="1023"/>
      <c r="V533" s="1023"/>
      <c r="W533" s="1023"/>
      <c r="X533" s="1023"/>
      <c r="Y533" s="1023"/>
      <c r="Z533" s="1023"/>
    </row>
    <row r="534" spans="1:26" ht="11.25" customHeight="1" x14ac:dyDescent="0.2">
      <c r="A534" s="1023"/>
      <c r="B534" s="1023"/>
      <c r="C534" s="1023"/>
      <c r="D534" s="1023"/>
      <c r="E534" s="1023"/>
      <c r="F534" s="1023"/>
      <c r="G534" s="1023"/>
      <c r="H534" s="1023"/>
      <c r="I534" s="1023"/>
      <c r="J534" s="1023"/>
      <c r="K534" s="1023"/>
      <c r="L534" s="1023"/>
      <c r="M534" s="1023"/>
      <c r="N534" s="1023"/>
      <c r="O534" s="1023"/>
      <c r="P534" s="1023"/>
      <c r="Q534" s="1023"/>
      <c r="R534" s="1023"/>
      <c r="S534" s="1023"/>
      <c r="T534" s="1023"/>
      <c r="U534" s="1023"/>
      <c r="V534" s="1023"/>
      <c r="W534" s="1023"/>
      <c r="X534" s="1023"/>
      <c r="Y534" s="1023"/>
      <c r="Z534" s="1023"/>
    </row>
    <row r="535" spans="1:26" ht="11.25" customHeight="1" x14ac:dyDescent="0.2">
      <c r="A535" s="1023"/>
      <c r="B535" s="1023"/>
      <c r="C535" s="1023"/>
      <c r="D535" s="1023"/>
      <c r="E535" s="1023"/>
      <c r="F535" s="1023"/>
      <c r="G535" s="1023"/>
      <c r="H535" s="1023"/>
      <c r="I535" s="1023"/>
      <c r="J535" s="1023"/>
      <c r="K535" s="1023"/>
      <c r="L535" s="1023"/>
      <c r="M535" s="1023"/>
      <c r="N535" s="1023"/>
      <c r="O535" s="1023"/>
      <c r="P535" s="1023"/>
      <c r="Q535" s="1023"/>
      <c r="R535" s="1023"/>
      <c r="S535" s="1023"/>
      <c r="T535" s="1023"/>
      <c r="U535" s="1023"/>
      <c r="V535" s="1023"/>
      <c r="W535" s="1023"/>
      <c r="X535" s="1023"/>
      <c r="Y535" s="1023"/>
      <c r="Z535" s="1023"/>
    </row>
    <row r="536" spans="1:26" ht="11.25" customHeight="1" x14ac:dyDescent="0.2">
      <c r="A536" s="1023"/>
      <c r="B536" s="1023"/>
      <c r="C536" s="1023"/>
      <c r="D536" s="1023"/>
      <c r="E536" s="1023"/>
      <c r="F536" s="1023"/>
      <c r="G536" s="1023"/>
      <c r="H536" s="1023"/>
      <c r="I536" s="1023"/>
      <c r="J536" s="1023"/>
      <c r="K536" s="1023"/>
      <c r="L536" s="1023"/>
      <c r="M536" s="1023"/>
      <c r="N536" s="1023"/>
      <c r="O536" s="1023"/>
      <c r="P536" s="1023"/>
      <c r="Q536" s="1023"/>
      <c r="R536" s="1023"/>
      <c r="S536" s="1023"/>
      <c r="T536" s="1023"/>
      <c r="U536" s="1023"/>
      <c r="V536" s="1023"/>
      <c r="W536" s="1023"/>
      <c r="X536" s="1023"/>
      <c r="Y536" s="1023"/>
      <c r="Z536" s="1023"/>
    </row>
    <row r="537" spans="1:26" ht="11.25" customHeight="1" x14ac:dyDescent="0.2">
      <c r="A537" s="1023"/>
      <c r="B537" s="1023"/>
      <c r="C537" s="1023"/>
      <c r="D537" s="1023"/>
      <c r="E537" s="1023"/>
      <c r="F537" s="1023"/>
      <c r="G537" s="1023"/>
      <c r="H537" s="1023"/>
      <c r="I537" s="1023"/>
      <c r="J537" s="1023"/>
      <c r="K537" s="1023"/>
      <c r="L537" s="1023"/>
      <c r="M537" s="1023"/>
      <c r="N537" s="1023"/>
      <c r="O537" s="1023"/>
      <c r="P537" s="1023"/>
      <c r="Q537" s="1023"/>
      <c r="R537" s="1023"/>
      <c r="S537" s="1023"/>
      <c r="T537" s="1023"/>
      <c r="U537" s="1023"/>
      <c r="V537" s="1023"/>
      <c r="W537" s="1023"/>
      <c r="X537" s="1023"/>
      <c r="Y537" s="1023"/>
      <c r="Z537" s="1023"/>
    </row>
    <row r="538" spans="1:26" ht="11.25" customHeight="1" x14ac:dyDescent="0.2">
      <c r="A538" s="1023"/>
      <c r="B538" s="1023"/>
      <c r="C538" s="1023"/>
      <c r="D538" s="1023"/>
      <c r="E538" s="1023"/>
      <c r="F538" s="1023"/>
      <c r="G538" s="1023"/>
      <c r="H538" s="1023"/>
      <c r="I538" s="1023"/>
      <c r="J538" s="1023"/>
      <c r="K538" s="1023"/>
      <c r="L538" s="1023"/>
      <c r="M538" s="1023"/>
      <c r="N538" s="1023"/>
      <c r="O538" s="1023"/>
      <c r="P538" s="1023"/>
      <c r="Q538" s="1023"/>
      <c r="R538" s="1023"/>
      <c r="S538" s="1023"/>
      <c r="T538" s="1023"/>
      <c r="U538" s="1023"/>
      <c r="V538" s="1023"/>
      <c r="W538" s="1023"/>
      <c r="X538" s="1023"/>
      <c r="Y538" s="1023"/>
      <c r="Z538" s="1023"/>
    </row>
    <row r="539" spans="1:26" ht="11.25" customHeight="1" x14ac:dyDescent="0.2">
      <c r="A539" s="1023"/>
      <c r="B539" s="1023"/>
      <c r="C539" s="1023"/>
      <c r="D539" s="1023"/>
      <c r="E539" s="1023"/>
      <c r="F539" s="1023"/>
      <c r="G539" s="1023"/>
      <c r="H539" s="1023"/>
      <c r="I539" s="1023"/>
      <c r="J539" s="1023"/>
      <c r="K539" s="1023"/>
      <c r="L539" s="1023"/>
      <c r="M539" s="1023"/>
      <c r="N539" s="1023"/>
      <c r="O539" s="1023"/>
      <c r="P539" s="1023"/>
      <c r="Q539" s="1023"/>
      <c r="R539" s="1023"/>
      <c r="S539" s="1023"/>
      <c r="T539" s="1023"/>
      <c r="U539" s="1023"/>
      <c r="V539" s="1023"/>
      <c r="W539" s="1023"/>
      <c r="X539" s="1023"/>
      <c r="Y539" s="1023"/>
      <c r="Z539" s="1023"/>
    </row>
    <row r="540" spans="1:26" ht="11.25" customHeight="1" x14ac:dyDescent="0.2">
      <c r="A540" s="1023"/>
      <c r="B540" s="1023"/>
      <c r="C540" s="1023"/>
      <c r="D540" s="1023"/>
      <c r="E540" s="1023"/>
      <c r="F540" s="1023"/>
      <c r="G540" s="1023"/>
      <c r="H540" s="1023"/>
      <c r="I540" s="1023"/>
      <c r="J540" s="1023"/>
      <c r="K540" s="1023"/>
      <c r="L540" s="1023"/>
      <c r="M540" s="1023"/>
      <c r="N540" s="1023"/>
      <c r="O540" s="1023"/>
      <c r="P540" s="1023"/>
      <c r="Q540" s="1023"/>
      <c r="R540" s="1023"/>
      <c r="S540" s="1023"/>
      <c r="T540" s="1023"/>
      <c r="U540" s="1023"/>
      <c r="V540" s="1023"/>
      <c r="W540" s="1023"/>
      <c r="X540" s="1023"/>
      <c r="Y540" s="1023"/>
      <c r="Z540" s="1023"/>
    </row>
    <row r="541" spans="1:26" ht="11.25" customHeight="1" x14ac:dyDescent="0.2">
      <c r="A541" s="1023"/>
      <c r="B541" s="1023"/>
      <c r="C541" s="1023"/>
      <c r="D541" s="1023"/>
      <c r="E541" s="1023"/>
      <c r="F541" s="1023"/>
      <c r="G541" s="1023"/>
      <c r="H541" s="1023"/>
      <c r="I541" s="1023"/>
      <c r="J541" s="1023"/>
      <c r="K541" s="1023"/>
      <c r="L541" s="1023"/>
      <c r="M541" s="1023"/>
      <c r="N541" s="1023"/>
      <c r="O541" s="1023"/>
      <c r="P541" s="1023"/>
      <c r="Q541" s="1023"/>
      <c r="R541" s="1023"/>
      <c r="S541" s="1023"/>
      <c r="T541" s="1023"/>
      <c r="U541" s="1023"/>
      <c r="V541" s="1023"/>
      <c r="W541" s="1023"/>
      <c r="X541" s="1023"/>
      <c r="Y541" s="1023"/>
      <c r="Z541" s="1023"/>
    </row>
    <row r="542" spans="1:26" ht="11.25" customHeight="1" x14ac:dyDescent="0.2">
      <c r="A542" s="1023"/>
      <c r="B542" s="1023"/>
      <c r="C542" s="1023"/>
      <c r="D542" s="1023"/>
      <c r="E542" s="1023"/>
      <c r="F542" s="1023"/>
      <c r="G542" s="1023"/>
      <c r="H542" s="1023"/>
      <c r="I542" s="1023"/>
      <c r="J542" s="1023"/>
      <c r="K542" s="1023"/>
      <c r="L542" s="1023"/>
      <c r="M542" s="1023"/>
      <c r="N542" s="1023"/>
      <c r="O542" s="1023"/>
      <c r="P542" s="1023"/>
      <c r="Q542" s="1023"/>
      <c r="R542" s="1023"/>
      <c r="S542" s="1023"/>
      <c r="T542" s="1023"/>
      <c r="U542" s="1023"/>
      <c r="V542" s="1023"/>
      <c r="W542" s="1023"/>
      <c r="X542" s="1023"/>
      <c r="Y542" s="1023"/>
      <c r="Z542" s="1023"/>
    </row>
    <row r="543" spans="1:26" ht="11.25" customHeight="1" x14ac:dyDescent="0.2">
      <c r="A543" s="1023"/>
      <c r="B543" s="1023"/>
      <c r="C543" s="1023"/>
      <c r="D543" s="1023"/>
      <c r="E543" s="1023"/>
      <c r="F543" s="1023"/>
      <c r="G543" s="1023"/>
      <c r="H543" s="1023"/>
      <c r="I543" s="1023"/>
      <c r="J543" s="1023"/>
      <c r="K543" s="1023"/>
      <c r="L543" s="1023"/>
      <c r="M543" s="1023"/>
      <c r="N543" s="1023"/>
      <c r="O543" s="1023"/>
      <c r="P543" s="1023"/>
      <c r="Q543" s="1023"/>
      <c r="R543" s="1023"/>
      <c r="S543" s="1023"/>
      <c r="T543" s="1023"/>
      <c r="U543" s="1023"/>
      <c r="V543" s="1023"/>
      <c r="W543" s="1023"/>
      <c r="X543" s="1023"/>
      <c r="Y543" s="1023"/>
      <c r="Z543" s="1023"/>
    </row>
    <row r="544" spans="1:26" ht="11.25" customHeight="1" x14ac:dyDescent="0.2">
      <c r="A544" s="1023"/>
      <c r="B544" s="1023"/>
      <c r="C544" s="1023"/>
      <c r="D544" s="1023"/>
      <c r="E544" s="1023"/>
      <c r="F544" s="1023"/>
      <c r="G544" s="1023"/>
      <c r="H544" s="1023"/>
      <c r="I544" s="1023"/>
      <c r="J544" s="1023"/>
      <c r="K544" s="1023"/>
      <c r="L544" s="1023"/>
      <c r="M544" s="1023"/>
      <c r="N544" s="1023"/>
      <c r="O544" s="1023"/>
      <c r="P544" s="1023"/>
      <c r="Q544" s="1023"/>
      <c r="R544" s="1023"/>
      <c r="S544" s="1023"/>
      <c r="T544" s="1023"/>
      <c r="U544" s="1023"/>
      <c r="V544" s="1023"/>
      <c r="W544" s="1023"/>
      <c r="X544" s="1023"/>
      <c r="Y544" s="1023"/>
      <c r="Z544" s="1023"/>
    </row>
    <row r="545" spans="1:26" ht="11.25" customHeight="1" x14ac:dyDescent="0.2">
      <c r="A545" s="1023"/>
      <c r="B545" s="1023"/>
      <c r="C545" s="1023"/>
      <c r="D545" s="1023"/>
      <c r="E545" s="1023"/>
      <c r="F545" s="1023"/>
      <c r="G545" s="1023"/>
      <c r="H545" s="1023"/>
      <c r="I545" s="1023"/>
      <c r="J545" s="1023"/>
      <c r="K545" s="1023"/>
      <c r="L545" s="1023"/>
      <c r="M545" s="1023"/>
      <c r="N545" s="1023"/>
      <c r="O545" s="1023"/>
      <c r="P545" s="1023"/>
      <c r="Q545" s="1023"/>
      <c r="R545" s="1023"/>
      <c r="S545" s="1023"/>
      <c r="T545" s="1023"/>
      <c r="U545" s="1023"/>
      <c r="V545" s="1023"/>
      <c r="W545" s="1023"/>
      <c r="X545" s="1023"/>
      <c r="Y545" s="1023"/>
      <c r="Z545" s="1023"/>
    </row>
    <row r="546" spans="1:26" ht="11.25" customHeight="1" x14ac:dyDescent="0.2">
      <c r="A546" s="1023"/>
      <c r="B546" s="1023"/>
      <c r="C546" s="1023"/>
      <c r="D546" s="1023"/>
      <c r="E546" s="1023"/>
      <c r="F546" s="1023"/>
      <c r="G546" s="1023"/>
      <c r="H546" s="1023"/>
      <c r="I546" s="1023"/>
      <c r="J546" s="1023"/>
      <c r="K546" s="1023"/>
      <c r="L546" s="1023"/>
      <c r="M546" s="1023"/>
      <c r="N546" s="1023"/>
      <c r="O546" s="1023"/>
      <c r="P546" s="1023"/>
      <c r="Q546" s="1023"/>
      <c r="R546" s="1023"/>
      <c r="S546" s="1023"/>
      <c r="T546" s="1023"/>
      <c r="U546" s="1023"/>
      <c r="V546" s="1023"/>
      <c r="W546" s="1023"/>
      <c r="X546" s="1023"/>
      <c r="Y546" s="1023"/>
      <c r="Z546" s="1023"/>
    </row>
    <row r="547" spans="1:26" ht="11.25" customHeight="1" x14ac:dyDescent="0.2">
      <c r="A547" s="1023"/>
      <c r="B547" s="1023"/>
      <c r="C547" s="1023"/>
      <c r="D547" s="1023"/>
      <c r="E547" s="1023"/>
      <c r="F547" s="1023"/>
      <c r="G547" s="1023"/>
      <c r="H547" s="1023"/>
      <c r="I547" s="1023"/>
      <c r="J547" s="1023"/>
      <c r="K547" s="1023"/>
      <c r="L547" s="1023"/>
      <c r="M547" s="1023"/>
      <c r="N547" s="1023"/>
      <c r="O547" s="1023"/>
      <c r="P547" s="1023"/>
      <c r="Q547" s="1023"/>
      <c r="R547" s="1023"/>
      <c r="S547" s="1023"/>
      <c r="T547" s="1023"/>
      <c r="U547" s="1023"/>
      <c r="V547" s="1023"/>
      <c r="W547" s="1023"/>
      <c r="X547" s="1023"/>
      <c r="Y547" s="1023"/>
      <c r="Z547" s="1023"/>
    </row>
    <row r="548" spans="1:26" ht="11.25" customHeight="1" x14ac:dyDescent="0.2">
      <c r="A548" s="1023"/>
      <c r="B548" s="1023"/>
      <c r="C548" s="1023"/>
      <c r="D548" s="1023"/>
      <c r="E548" s="1023"/>
      <c r="F548" s="1023"/>
      <c r="G548" s="1023"/>
      <c r="H548" s="1023"/>
      <c r="I548" s="1023"/>
      <c r="J548" s="1023"/>
      <c r="K548" s="1023"/>
      <c r="L548" s="1023"/>
      <c r="M548" s="1023"/>
      <c r="N548" s="1023"/>
      <c r="O548" s="1023"/>
      <c r="P548" s="1023"/>
      <c r="Q548" s="1023"/>
      <c r="R548" s="1023"/>
      <c r="S548" s="1023"/>
      <c r="T548" s="1023"/>
      <c r="U548" s="1023"/>
      <c r="V548" s="1023"/>
      <c r="W548" s="1023"/>
      <c r="X548" s="1023"/>
      <c r="Y548" s="1023"/>
      <c r="Z548" s="1023"/>
    </row>
    <row r="549" spans="1:26" ht="11.25" customHeight="1" x14ac:dyDescent="0.2">
      <c r="A549" s="1023"/>
      <c r="B549" s="1023"/>
      <c r="C549" s="1023"/>
      <c r="D549" s="1023"/>
      <c r="E549" s="1023"/>
      <c r="F549" s="1023"/>
      <c r="G549" s="1023"/>
      <c r="H549" s="1023"/>
      <c r="I549" s="1023"/>
      <c r="J549" s="1023"/>
      <c r="K549" s="1023"/>
      <c r="L549" s="1023"/>
      <c r="M549" s="1023"/>
      <c r="N549" s="1023"/>
      <c r="O549" s="1023"/>
      <c r="P549" s="1023"/>
      <c r="Q549" s="1023"/>
      <c r="R549" s="1023"/>
      <c r="S549" s="1023"/>
      <c r="T549" s="1023"/>
      <c r="U549" s="1023"/>
      <c r="V549" s="1023"/>
      <c r="W549" s="1023"/>
      <c r="X549" s="1023"/>
      <c r="Y549" s="1023"/>
      <c r="Z549" s="1023"/>
    </row>
    <row r="550" spans="1:26" ht="11.25" customHeight="1" x14ac:dyDescent="0.2">
      <c r="A550" s="1023"/>
      <c r="B550" s="1023"/>
      <c r="C550" s="1023"/>
      <c r="D550" s="1023"/>
      <c r="E550" s="1023"/>
      <c r="F550" s="1023"/>
      <c r="G550" s="1023"/>
      <c r="H550" s="1023"/>
      <c r="I550" s="1023"/>
      <c r="J550" s="1023"/>
      <c r="K550" s="1023"/>
      <c r="L550" s="1023"/>
      <c r="M550" s="1023"/>
      <c r="N550" s="1023"/>
      <c r="O550" s="1023"/>
      <c r="P550" s="1023"/>
      <c r="Q550" s="1023"/>
      <c r="R550" s="1023"/>
      <c r="S550" s="1023"/>
      <c r="T550" s="1023"/>
      <c r="U550" s="1023"/>
      <c r="V550" s="1023"/>
      <c r="W550" s="1023"/>
      <c r="X550" s="1023"/>
      <c r="Y550" s="1023"/>
      <c r="Z550" s="1023"/>
    </row>
    <row r="551" spans="1:26" ht="11.25" customHeight="1" x14ac:dyDescent="0.2">
      <c r="A551" s="1023"/>
      <c r="B551" s="1023"/>
      <c r="C551" s="1023"/>
      <c r="D551" s="1023"/>
      <c r="E551" s="1023"/>
      <c r="F551" s="1023"/>
      <c r="G551" s="1023"/>
      <c r="H551" s="1023"/>
      <c r="I551" s="1023"/>
      <c r="J551" s="1023"/>
      <c r="K551" s="1023"/>
      <c r="L551" s="1023"/>
      <c r="M551" s="1023"/>
      <c r="N551" s="1023"/>
      <c r="O551" s="1023"/>
      <c r="P551" s="1023"/>
      <c r="Q551" s="1023"/>
      <c r="R551" s="1023"/>
      <c r="S551" s="1023"/>
      <c r="T551" s="1023"/>
      <c r="U551" s="1023"/>
      <c r="V551" s="1023"/>
      <c r="W551" s="1023"/>
      <c r="X551" s="1023"/>
      <c r="Y551" s="1023"/>
      <c r="Z551" s="1023"/>
    </row>
    <row r="552" spans="1:26" ht="11.25" customHeight="1" x14ac:dyDescent="0.2">
      <c r="A552" s="1023"/>
      <c r="B552" s="1023"/>
      <c r="C552" s="1023"/>
      <c r="D552" s="1023"/>
      <c r="E552" s="1023"/>
      <c r="F552" s="1023"/>
      <c r="G552" s="1023"/>
      <c r="H552" s="1023"/>
      <c r="I552" s="1023"/>
      <c r="J552" s="1023"/>
      <c r="K552" s="1023"/>
      <c r="L552" s="1023"/>
      <c r="M552" s="1023"/>
      <c r="N552" s="1023"/>
      <c r="O552" s="1023"/>
      <c r="P552" s="1023"/>
      <c r="Q552" s="1023"/>
      <c r="R552" s="1023"/>
      <c r="S552" s="1023"/>
      <c r="T552" s="1023"/>
      <c r="U552" s="1023"/>
      <c r="V552" s="1023"/>
      <c r="W552" s="1023"/>
      <c r="X552" s="1023"/>
      <c r="Y552" s="1023"/>
      <c r="Z552" s="1023"/>
    </row>
    <row r="553" spans="1:26" ht="11.25" customHeight="1" x14ac:dyDescent="0.2">
      <c r="A553" s="1023"/>
      <c r="B553" s="1023"/>
      <c r="C553" s="1023"/>
      <c r="D553" s="1023"/>
      <c r="E553" s="1023"/>
      <c r="F553" s="1023"/>
      <c r="G553" s="1023"/>
      <c r="H553" s="1023"/>
      <c r="I553" s="1023"/>
      <c r="J553" s="1023"/>
      <c r="K553" s="1023"/>
      <c r="L553" s="1023"/>
      <c r="M553" s="1023"/>
      <c r="N553" s="1023"/>
      <c r="O553" s="1023"/>
      <c r="P553" s="1023"/>
      <c r="Q553" s="1023"/>
      <c r="R553" s="1023"/>
      <c r="S553" s="1023"/>
      <c r="T553" s="1023"/>
      <c r="U553" s="1023"/>
      <c r="V553" s="1023"/>
      <c r="W553" s="1023"/>
      <c r="X553" s="1023"/>
      <c r="Y553" s="1023"/>
      <c r="Z553" s="1023"/>
    </row>
    <row r="554" spans="1:26" ht="11.25" customHeight="1" x14ac:dyDescent="0.2">
      <c r="A554" s="1023"/>
      <c r="B554" s="1023"/>
      <c r="C554" s="1023"/>
      <c r="D554" s="1023"/>
      <c r="E554" s="1023"/>
      <c r="F554" s="1023"/>
      <c r="G554" s="1023"/>
      <c r="H554" s="1023"/>
      <c r="I554" s="1023"/>
      <c r="J554" s="1023"/>
      <c r="K554" s="1023"/>
      <c r="L554" s="1023"/>
      <c r="M554" s="1023"/>
      <c r="N554" s="1023"/>
      <c r="O554" s="1023"/>
      <c r="P554" s="1023"/>
      <c r="Q554" s="1023"/>
      <c r="R554" s="1023"/>
      <c r="S554" s="1023"/>
      <c r="T554" s="1023"/>
      <c r="U554" s="1023"/>
      <c r="V554" s="1023"/>
      <c r="W554" s="1023"/>
      <c r="X554" s="1023"/>
      <c r="Y554" s="1023"/>
      <c r="Z554" s="1023"/>
    </row>
    <row r="555" spans="1:26" ht="11.25" customHeight="1" x14ac:dyDescent="0.2">
      <c r="A555" s="1023"/>
      <c r="B555" s="1023"/>
      <c r="C555" s="1023"/>
      <c r="D555" s="1023"/>
      <c r="E555" s="1023"/>
      <c r="F555" s="1023"/>
      <c r="G555" s="1023"/>
      <c r="H555" s="1023"/>
      <c r="I555" s="1023"/>
      <c r="J555" s="1023"/>
      <c r="K555" s="1023"/>
      <c r="L555" s="1023"/>
      <c r="M555" s="1023"/>
      <c r="N555" s="1023"/>
      <c r="O555" s="1023"/>
      <c r="P555" s="1023"/>
      <c r="Q555" s="1023"/>
      <c r="R555" s="1023"/>
      <c r="S555" s="1023"/>
      <c r="T555" s="1023"/>
      <c r="U555" s="1023"/>
      <c r="V555" s="1023"/>
      <c r="W555" s="1023"/>
      <c r="X555" s="1023"/>
      <c r="Y555" s="1023"/>
      <c r="Z555" s="1023"/>
    </row>
    <row r="556" spans="1:26" ht="11.25" customHeight="1" x14ac:dyDescent="0.2">
      <c r="A556" s="1023"/>
      <c r="B556" s="1023"/>
      <c r="C556" s="1023"/>
      <c r="D556" s="1023"/>
      <c r="E556" s="1023"/>
      <c r="F556" s="1023"/>
      <c r="G556" s="1023"/>
      <c r="H556" s="1023"/>
      <c r="I556" s="1023"/>
      <c r="J556" s="1023"/>
      <c r="K556" s="1023"/>
      <c r="L556" s="1023"/>
      <c r="M556" s="1023"/>
      <c r="N556" s="1023"/>
      <c r="O556" s="1023"/>
      <c r="P556" s="1023"/>
      <c r="Q556" s="1023"/>
      <c r="R556" s="1023"/>
      <c r="S556" s="1023"/>
      <c r="T556" s="1023"/>
      <c r="U556" s="1023"/>
      <c r="V556" s="1023"/>
      <c r="W556" s="1023"/>
      <c r="X556" s="1023"/>
      <c r="Y556" s="1023"/>
      <c r="Z556" s="1023"/>
    </row>
    <row r="557" spans="1:26" ht="11.25" customHeight="1" x14ac:dyDescent="0.2">
      <c r="A557" s="1023"/>
      <c r="B557" s="1023"/>
      <c r="C557" s="1023"/>
      <c r="D557" s="1023"/>
      <c r="E557" s="1023"/>
      <c r="F557" s="1023"/>
      <c r="G557" s="1023"/>
      <c r="H557" s="1023"/>
      <c r="I557" s="1023"/>
      <c r="J557" s="1023"/>
      <c r="K557" s="1023"/>
      <c r="L557" s="1023"/>
      <c r="M557" s="1023"/>
      <c r="N557" s="1023"/>
      <c r="O557" s="1023"/>
      <c r="P557" s="1023"/>
      <c r="Q557" s="1023"/>
      <c r="R557" s="1023"/>
      <c r="S557" s="1023"/>
      <c r="T557" s="1023"/>
      <c r="U557" s="1023"/>
      <c r="V557" s="1023"/>
      <c r="W557" s="1023"/>
      <c r="X557" s="1023"/>
      <c r="Y557" s="1023"/>
      <c r="Z557" s="1023"/>
    </row>
    <row r="558" spans="1:26" ht="11.25" customHeight="1" x14ac:dyDescent="0.2">
      <c r="A558" s="1023"/>
      <c r="B558" s="1023"/>
      <c r="C558" s="1023"/>
      <c r="D558" s="1023"/>
      <c r="E558" s="1023"/>
      <c r="F558" s="1023"/>
      <c r="G558" s="1023"/>
      <c r="H558" s="1023"/>
      <c r="I558" s="1023"/>
      <c r="J558" s="1023"/>
      <c r="K558" s="1023"/>
      <c r="L558" s="1023"/>
      <c r="M558" s="1023"/>
      <c r="N558" s="1023"/>
      <c r="O558" s="1023"/>
      <c r="P558" s="1023"/>
      <c r="Q558" s="1023"/>
      <c r="R558" s="1023"/>
      <c r="S558" s="1023"/>
      <c r="T558" s="1023"/>
      <c r="U558" s="1023"/>
      <c r="V558" s="1023"/>
      <c r="W558" s="1023"/>
      <c r="X558" s="1023"/>
      <c r="Y558" s="1023"/>
      <c r="Z558" s="1023"/>
    </row>
    <row r="559" spans="1:26" ht="11.25" customHeight="1" x14ac:dyDescent="0.2">
      <c r="A559" s="1023"/>
      <c r="B559" s="1023"/>
      <c r="C559" s="1023"/>
      <c r="D559" s="1023"/>
      <c r="E559" s="1023"/>
      <c r="F559" s="1023"/>
      <c r="G559" s="1023"/>
      <c r="H559" s="1023"/>
      <c r="I559" s="1023"/>
      <c r="J559" s="1023"/>
      <c r="K559" s="1023"/>
      <c r="L559" s="1023"/>
      <c r="M559" s="1023"/>
      <c r="N559" s="1023"/>
      <c r="O559" s="1023"/>
      <c r="P559" s="1023"/>
      <c r="Q559" s="1023"/>
      <c r="R559" s="1023"/>
      <c r="S559" s="1023"/>
      <c r="T559" s="1023"/>
      <c r="U559" s="1023"/>
      <c r="V559" s="1023"/>
      <c r="W559" s="1023"/>
      <c r="X559" s="1023"/>
      <c r="Y559" s="1023"/>
      <c r="Z559" s="1023"/>
    </row>
    <row r="560" spans="1:26" ht="11.25" customHeight="1" x14ac:dyDescent="0.2">
      <c r="A560" s="1023"/>
      <c r="B560" s="1023"/>
      <c r="C560" s="1023"/>
      <c r="D560" s="1023"/>
      <c r="E560" s="1023"/>
      <c r="F560" s="1023"/>
      <c r="G560" s="1023"/>
      <c r="H560" s="1023"/>
      <c r="I560" s="1023"/>
      <c r="J560" s="1023"/>
      <c r="K560" s="1023"/>
      <c r="L560" s="1023"/>
      <c r="M560" s="1023"/>
      <c r="N560" s="1023"/>
      <c r="O560" s="1023"/>
      <c r="P560" s="1023"/>
      <c r="Q560" s="1023"/>
      <c r="R560" s="1023"/>
      <c r="S560" s="1023"/>
      <c r="T560" s="1023"/>
      <c r="U560" s="1023"/>
      <c r="V560" s="1023"/>
      <c r="W560" s="1023"/>
      <c r="X560" s="1023"/>
      <c r="Y560" s="1023"/>
      <c r="Z560" s="1023"/>
    </row>
    <row r="561" spans="1:26" ht="11.25" customHeight="1" x14ac:dyDescent="0.2">
      <c r="A561" s="1023"/>
      <c r="B561" s="1023"/>
      <c r="C561" s="1023"/>
      <c r="D561" s="1023"/>
      <c r="E561" s="1023"/>
      <c r="F561" s="1023"/>
      <c r="G561" s="1023"/>
      <c r="H561" s="1023"/>
      <c r="I561" s="1023"/>
      <c r="J561" s="1023"/>
      <c r="K561" s="1023"/>
      <c r="L561" s="1023"/>
      <c r="M561" s="1023"/>
      <c r="N561" s="1023"/>
      <c r="O561" s="1023"/>
      <c r="P561" s="1023"/>
      <c r="Q561" s="1023"/>
      <c r="R561" s="1023"/>
      <c r="S561" s="1023"/>
      <c r="T561" s="1023"/>
      <c r="U561" s="1023"/>
      <c r="V561" s="1023"/>
      <c r="W561" s="1023"/>
      <c r="X561" s="1023"/>
      <c r="Y561" s="1023"/>
      <c r="Z561" s="1023"/>
    </row>
    <row r="562" spans="1:26" ht="11.25" customHeight="1" x14ac:dyDescent="0.2">
      <c r="A562" s="1023"/>
      <c r="B562" s="1023"/>
      <c r="C562" s="1023"/>
      <c r="D562" s="1023"/>
      <c r="E562" s="1023"/>
      <c r="F562" s="1023"/>
      <c r="G562" s="1023"/>
      <c r="H562" s="1023"/>
      <c r="I562" s="1023"/>
      <c r="J562" s="1023"/>
      <c r="K562" s="1023"/>
      <c r="L562" s="1023"/>
      <c r="M562" s="1023"/>
      <c r="N562" s="1023"/>
      <c r="O562" s="1023"/>
      <c r="P562" s="1023"/>
      <c r="Q562" s="1023"/>
      <c r="R562" s="1023"/>
      <c r="S562" s="1023"/>
      <c r="T562" s="1023"/>
      <c r="U562" s="1023"/>
      <c r="V562" s="1023"/>
      <c r="W562" s="1023"/>
      <c r="X562" s="1023"/>
      <c r="Y562" s="1023"/>
      <c r="Z562" s="1023"/>
    </row>
    <row r="563" spans="1:26" ht="11.25" customHeight="1" x14ac:dyDescent="0.2">
      <c r="A563" s="1023"/>
      <c r="B563" s="1023"/>
      <c r="C563" s="1023"/>
      <c r="D563" s="1023"/>
      <c r="E563" s="1023"/>
      <c r="F563" s="1023"/>
      <c r="G563" s="1023"/>
      <c r="H563" s="1023"/>
      <c r="I563" s="1023"/>
      <c r="J563" s="1023"/>
      <c r="K563" s="1023"/>
      <c r="L563" s="1023"/>
      <c r="M563" s="1023"/>
      <c r="N563" s="1023"/>
      <c r="O563" s="1023"/>
      <c r="P563" s="1023"/>
      <c r="Q563" s="1023"/>
      <c r="R563" s="1023"/>
      <c r="S563" s="1023"/>
      <c r="T563" s="1023"/>
      <c r="U563" s="1023"/>
      <c r="V563" s="1023"/>
      <c r="W563" s="1023"/>
      <c r="X563" s="1023"/>
      <c r="Y563" s="1023"/>
      <c r="Z563" s="1023"/>
    </row>
    <row r="564" spans="1:26" ht="11.25" customHeight="1" x14ac:dyDescent="0.2">
      <c r="A564" s="1023"/>
      <c r="B564" s="1023"/>
      <c r="C564" s="1023"/>
      <c r="D564" s="1023"/>
      <c r="E564" s="1023"/>
      <c r="F564" s="1023"/>
      <c r="G564" s="1023"/>
      <c r="H564" s="1023"/>
      <c r="I564" s="1023"/>
      <c r="J564" s="1023"/>
      <c r="K564" s="1023"/>
      <c r="L564" s="1023"/>
      <c r="M564" s="1023"/>
      <c r="N564" s="1023"/>
      <c r="O564" s="1023"/>
      <c r="P564" s="1023"/>
      <c r="Q564" s="1023"/>
      <c r="R564" s="1023"/>
      <c r="S564" s="1023"/>
      <c r="T564" s="1023"/>
      <c r="U564" s="1023"/>
      <c r="V564" s="1023"/>
      <c r="W564" s="1023"/>
      <c r="X564" s="1023"/>
      <c r="Y564" s="1023"/>
      <c r="Z564" s="1023"/>
    </row>
    <row r="565" spans="1:26" ht="11.25" customHeight="1" x14ac:dyDescent="0.2">
      <c r="A565" s="1023"/>
      <c r="B565" s="1023"/>
      <c r="C565" s="1023"/>
      <c r="D565" s="1023"/>
      <c r="E565" s="1023"/>
      <c r="F565" s="1023"/>
      <c r="G565" s="1023"/>
      <c r="H565" s="1023"/>
      <c r="I565" s="1023"/>
      <c r="J565" s="1023"/>
      <c r="K565" s="1023"/>
      <c r="L565" s="1023"/>
      <c r="M565" s="1023"/>
      <c r="N565" s="1023"/>
      <c r="O565" s="1023"/>
      <c r="P565" s="1023"/>
      <c r="Q565" s="1023"/>
      <c r="R565" s="1023"/>
      <c r="S565" s="1023"/>
      <c r="T565" s="1023"/>
      <c r="U565" s="1023"/>
      <c r="V565" s="1023"/>
      <c r="W565" s="1023"/>
      <c r="X565" s="1023"/>
      <c r="Y565" s="1023"/>
      <c r="Z565" s="1023"/>
    </row>
    <row r="566" spans="1:26" ht="11.25" customHeight="1" x14ac:dyDescent="0.2">
      <c r="A566" s="1023"/>
      <c r="B566" s="1023"/>
      <c r="C566" s="1023"/>
      <c r="D566" s="1023"/>
      <c r="E566" s="1023"/>
      <c r="F566" s="1023"/>
      <c r="G566" s="1023"/>
      <c r="H566" s="1023"/>
      <c r="I566" s="1023"/>
      <c r="J566" s="1023"/>
      <c r="K566" s="1023"/>
      <c r="L566" s="1023"/>
      <c r="M566" s="1023"/>
      <c r="N566" s="1023"/>
      <c r="O566" s="1023"/>
      <c r="P566" s="1023"/>
      <c r="Q566" s="1023"/>
      <c r="R566" s="1023"/>
      <c r="S566" s="1023"/>
      <c r="T566" s="1023"/>
      <c r="U566" s="1023"/>
      <c r="V566" s="1023"/>
      <c r="W566" s="1023"/>
      <c r="X566" s="1023"/>
      <c r="Y566" s="1023"/>
      <c r="Z566" s="1023"/>
    </row>
    <row r="567" spans="1:26" ht="11.25" customHeight="1" x14ac:dyDescent="0.2">
      <c r="A567" s="1023"/>
      <c r="B567" s="1023"/>
      <c r="C567" s="1023"/>
      <c r="D567" s="1023"/>
      <c r="E567" s="1023"/>
      <c r="F567" s="1023"/>
      <c r="G567" s="1023"/>
      <c r="H567" s="1023"/>
      <c r="I567" s="1023"/>
      <c r="J567" s="1023"/>
      <c r="K567" s="1023"/>
      <c r="L567" s="1023"/>
      <c r="M567" s="1023"/>
      <c r="N567" s="1023"/>
      <c r="O567" s="1023"/>
      <c r="P567" s="1023"/>
      <c r="Q567" s="1023"/>
      <c r="R567" s="1023"/>
      <c r="S567" s="1023"/>
      <c r="T567" s="1023"/>
      <c r="U567" s="1023"/>
      <c r="V567" s="1023"/>
      <c r="W567" s="1023"/>
      <c r="X567" s="1023"/>
      <c r="Y567" s="1023"/>
      <c r="Z567" s="1023"/>
    </row>
    <row r="568" spans="1:26" ht="11.25" customHeight="1" x14ac:dyDescent="0.2">
      <c r="A568" s="1023"/>
      <c r="B568" s="1023"/>
      <c r="C568" s="1023"/>
      <c r="D568" s="1023"/>
      <c r="E568" s="1023"/>
      <c r="F568" s="1023"/>
      <c r="G568" s="1023"/>
      <c r="H568" s="1023"/>
      <c r="I568" s="1023"/>
      <c r="J568" s="1023"/>
      <c r="K568" s="1023"/>
      <c r="L568" s="1023"/>
      <c r="M568" s="1023"/>
      <c r="N568" s="1023"/>
      <c r="O568" s="1023"/>
      <c r="P568" s="1023"/>
      <c r="Q568" s="1023"/>
      <c r="R568" s="1023"/>
      <c r="S568" s="1023"/>
      <c r="T568" s="1023"/>
      <c r="U568" s="1023"/>
      <c r="V568" s="1023"/>
      <c r="W568" s="1023"/>
      <c r="X568" s="1023"/>
      <c r="Y568" s="1023"/>
      <c r="Z568" s="1023"/>
    </row>
    <row r="569" spans="1:26" ht="11.25" customHeight="1" x14ac:dyDescent="0.2">
      <c r="A569" s="1023"/>
      <c r="B569" s="1023"/>
      <c r="C569" s="1023"/>
      <c r="D569" s="1023"/>
      <c r="E569" s="1023"/>
      <c r="F569" s="1023"/>
      <c r="G569" s="1023"/>
      <c r="H569" s="1023"/>
      <c r="I569" s="1023"/>
      <c r="J569" s="1023"/>
      <c r="K569" s="1023"/>
      <c r="L569" s="1023"/>
      <c r="M569" s="1023"/>
      <c r="N569" s="1023"/>
      <c r="O569" s="1023"/>
      <c r="P569" s="1023"/>
      <c r="Q569" s="1023"/>
      <c r="R569" s="1023"/>
      <c r="S569" s="1023"/>
      <c r="T569" s="1023"/>
      <c r="U569" s="1023"/>
      <c r="V569" s="1023"/>
      <c r="W569" s="1023"/>
      <c r="X569" s="1023"/>
      <c r="Y569" s="1023"/>
      <c r="Z569" s="1023"/>
    </row>
    <row r="570" spans="1:26" ht="11.25" customHeight="1" x14ac:dyDescent="0.2">
      <c r="A570" s="1023"/>
      <c r="B570" s="1023"/>
      <c r="C570" s="1023"/>
      <c r="D570" s="1023"/>
      <c r="E570" s="1023"/>
      <c r="F570" s="1023"/>
      <c r="G570" s="1023"/>
      <c r="H570" s="1023"/>
      <c r="I570" s="1023"/>
      <c r="J570" s="1023"/>
      <c r="K570" s="1023"/>
      <c r="L570" s="1023"/>
      <c r="M570" s="1023"/>
      <c r="N570" s="1023"/>
      <c r="O570" s="1023"/>
      <c r="P570" s="1023"/>
      <c r="Q570" s="1023"/>
      <c r="R570" s="1023"/>
      <c r="S570" s="1023"/>
      <c r="T570" s="1023"/>
      <c r="U570" s="1023"/>
      <c r="V570" s="1023"/>
      <c r="W570" s="1023"/>
      <c r="X570" s="1023"/>
      <c r="Y570" s="1023"/>
      <c r="Z570" s="1023"/>
    </row>
    <row r="571" spans="1:26" ht="11.25" customHeight="1" x14ac:dyDescent="0.2">
      <c r="A571" s="1023"/>
      <c r="B571" s="1023"/>
      <c r="C571" s="1023"/>
      <c r="D571" s="1023"/>
      <c r="E571" s="1023"/>
      <c r="F571" s="1023"/>
      <c r="G571" s="1023"/>
      <c r="H571" s="1023"/>
      <c r="I571" s="1023"/>
      <c r="J571" s="1023"/>
      <c r="K571" s="1023"/>
      <c r="L571" s="1023"/>
      <c r="M571" s="1023"/>
      <c r="N571" s="1023"/>
      <c r="O571" s="1023"/>
      <c r="P571" s="1023"/>
      <c r="Q571" s="1023"/>
      <c r="R571" s="1023"/>
      <c r="S571" s="1023"/>
      <c r="T571" s="1023"/>
      <c r="U571" s="1023"/>
      <c r="V571" s="1023"/>
      <c r="W571" s="1023"/>
      <c r="X571" s="1023"/>
      <c r="Y571" s="1023"/>
      <c r="Z571" s="1023"/>
    </row>
    <row r="572" spans="1:26" ht="11.25" customHeight="1" x14ac:dyDescent="0.2">
      <c r="A572" s="1023"/>
      <c r="B572" s="1023"/>
      <c r="C572" s="1023"/>
      <c r="D572" s="1023"/>
      <c r="E572" s="1023"/>
      <c r="F572" s="1023"/>
      <c r="G572" s="1023"/>
      <c r="H572" s="1023"/>
      <c r="I572" s="1023"/>
      <c r="J572" s="1023"/>
      <c r="K572" s="1023"/>
      <c r="L572" s="1023"/>
      <c r="M572" s="1023"/>
      <c r="N572" s="1023"/>
      <c r="O572" s="1023"/>
      <c r="P572" s="1023"/>
      <c r="Q572" s="1023"/>
      <c r="R572" s="1023"/>
      <c r="S572" s="1023"/>
      <c r="T572" s="1023"/>
      <c r="U572" s="1023"/>
      <c r="V572" s="1023"/>
      <c r="W572" s="1023"/>
      <c r="X572" s="1023"/>
      <c r="Y572" s="1023"/>
      <c r="Z572" s="1023"/>
    </row>
    <row r="573" spans="1:26" ht="11.25" customHeight="1" x14ac:dyDescent="0.2">
      <c r="A573" s="1023"/>
      <c r="B573" s="1023"/>
      <c r="C573" s="1023"/>
      <c r="D573" s="1023"/>
      <c r="E573" s="1023"/>
      <c r="F573" s="1023"/>
      <c r="G573" s="1023"/>
      <c r="H573" s="1023"/>
      <c r="I573" s="1023"/>
      <c r="J573" s="1023"/>
      <c r="K573" s="1023"/>
      <c r="L573" s="1023"/>
      <c r="M573" s="1023"/>
      <c r="N573" s="1023"/>
      <c r="O573" s="1023"/>
      <c r="P573" s="1023"/>
      <c r="Q573" s="1023"/>
      <c r="R573" s="1023"/>
      <c r="S573" s="1023"/>
      <c r="T573" s="1023"/>
      <c r="U573" s="1023"/>
      <c r="V573" s="1023"/>
      <c r="W573" s="1023"/>
      <c r="X573" s="1023"/>
      <c r="Y573" s="1023"/>
      <c r="Z573" s="1023"/>
    </row>
    <row r="574" spans="1:26" ht="11.25" customHeight="1" x14ac:dyDescent="0.2">
      <c r="A574" s="1023"/>
      <c r="B574" s="1023"/>
      <c r="C574" s="1023"/>
      <c r="D574" s="1023"/>
      <c r="E574" s="1023"/>
      <c r="F574" s="1023"/>
      <c r="G574" s="1023"/>
      <c r="H574" s="1023"/>
      <c r="I574" s="1023"/>
      <c r="J574" s="1023"/>
      <c r="K574" s="1023"/>
      <c r="L574" s="1023"/>
      <c r="M574" s="1023"/>
      <c r="N574" s="1023"/>
      <c r="O574" s="1023"/>
      <c r="P574" s="1023"/>
      <c r="Q574" s="1023"/>
      <c r="R574" s="1023"/>
      <c r="S574" s="1023"/>
      <c r="T574" s="1023"/>
      <c r="U574" s="1023"/>
      <c r="V574" s="1023"/>
      <c r="W574" s="1023"/>
      <c r="X574" s="1023"/>
      <c r="Y574" s="1023"/>
      <c r="Z574" s="1023"/>
    </row>
    <row r="575" spans="1:26" ht="11.25" customHeight="1" x14ac:dyDescent="0.2">
      <c r="A575" s="1023"/>
      <c r="B575" s="1023"/>
      <c r="C575" s="1023"/>
      <c r="D575" s="1023"/>
      <c r="E575" s="1023"/>
      <c r="F575" s="1023"/>
      <c r="G575" s="1023"/>
      <c r="H575" s="1023"/>
      <c r="I575" s="1023"/>
      <c r="J575" s="1023"/>
      <c r="K575" s="1023"/>
      <c r="L575" s="1023"/>
      <c r="M575" s="1023"/>
      <c r="N575" s="1023"/>
      <c r="O575" s="1023"/>
      <c r="P575" s="1023"/>
      <c r="Q575" s="1023"/>
      <c r="R575" s="1023"/>
      <c r="S575" s="1023"/>
      <c r="T575" s="1023"/>
      <c r="U575" s="1023"/>
      <c r="V575" s="1023"/>
      <c r="W575" s="1023"/>
      <c r="X575" s="1023"/>
      <c r="Y575" s="1023"/>
      <c r="Z575" s="1023"/>
    </row>
    <row r="576" spans="1:26" ht="11.25" customHeight="1" x14ac:dyDescent="0.2">
      <c r="A576" s="1023"/>
      <c r="B576" s="1023"/>
      <c r="C576" s="1023"/>
      <c r="D576" s="1023"/>
      <c r="E576" s="1023"/>
      <c r="F576" s="1023"/>
      <c r="G576" s="1023"/>
      <c r="H576" s="1023"/>
      <c r="I576" s="1023"/>
      <c r="J576" s="1023"/>
      <c r="K576" s="1023"/>
      <c r="L576" s="1023"/>
      <c r="M576" s="1023"/>
      <c r="N576" s="1023"/>
      <c r="O576" s="1023"/>
      <c r="P576" s="1023"/>
      <c r="Q576" s="1023"/>
      <c r="R576" s="1023"/>
      <c r="S576" s="1023"/>
      <c r="T576" s="1023"/>
      <c r="U576" s="1023"/>
      <c r="V576" s="1023"/>
      <c r="W576" s="1023"/>
      <c r="X576" s="1023"/>
      <c r="Y576" s="1023"/>
      <c r="Z576" s="1023"/>
    </row>
    <row r="577" spans="1:26" ht="11.25" customHeight="1" x14ac:dyDescent="0.2">
      <c r="A577" s="1023"/>
      <c r="B577" s="1023"/>
      <c r="C577" s="1023"/>
      <c r="D577" s="1023"/>
      <c r="E577" s="1023"/>
      <c r="F577" s="1023"/>
      <c r="G577" s="1023"/>
      <c r="H577" s="1023"/>
      <c r="I577" s="1023"/>
      <c r="J577" s="1023"/>
      <c r="K577" s="1023"/>
      <c r="L577" s="1023"/>
      <c r="M577" s="1023"/>
      <c r="N577" s="1023"/>
      <c r="O577" s="1023"/>
      <c r="P577" s="1023"/>
      <c r="Q577" s="1023"/>
      <c r="R577" s="1023"/>
      <c r="S577" s="1023"/>
      <c r="T577" s="1023"/>
      <c r="U577" s="1023"/>
      <c r="V577" s="1023"/>
      <c r="W577" s="1023"/>
      <c r="X577" s="1023"/>
      <c r="Y577" s="1023"/>
      <c r="Z577" s="1023"/>
    </row>
    <row r="578" spans="1:26" ht="11.25" customHeight="1" x14ac:dyDescent="0.2">
      <c r="A578" s="1023"/>
      <c r="B578" s="1023"/>
      <c r="C578" s="1023"/>
      <c r="D578" s="1023"/>
      <c r="E578" s="1023"/>
      <c r="F578" s="1023"/>
      <c r="G578" s="1023"/>
      <c r="H578" s="1023"/>
      <c r="I578" s="1023"/>
      <c r="J578" s="1023"/>
      <c r="K578" s="1023"/>
      <c r="L578" s="1023"/>
      <c r="M578" s="1023"/>
      <c r="N578" s="1023"/>
      <c r="O578" s="1023"/>
      <c r="P578" s="1023"/>
      <c r="Q578" s="1023"/>
      <c r="R578" s="1023"/>
      <c r="S578" s="1023"/>
      <c r="T578" s="1023"/>
      <c r="U578" s="1023"/>
      <c r="V578" s="1023"/>
      <c r="W578" s="1023"/>
      <c r="X578" s="1023"/>
      <c r="Y578" s="1023"/>
      <c r="Z578" s="1023"/>
    </row>
    <row r="579" spans="1:26" ht="11.25" customHeight="1" x14ac:dyDescent="0.2">
      <c r="A579" s="1023"/>
      <c r="B579" s="1023"/>
      <c r="C579" s="1023"/>
      <c r="D579" s="1023"/>
      <c r="E579" s="1023"/>
      <c r="F579" s="1023"/>
      <c r="G579" s="1023"/>
      <c r="H579" s="1023"/>
      <c r="I579" s="1023"/>
      <c r="J579" s="1023"/>
      <c r="K579" s="1023"/>
      <c r="L579" s="1023"/>
      <c r="M579" s="1023"/>
      <c r="N579" s="1023"/>
      <c r="O579" s="1023"/>
      <c r="P579" s="1023"/>
      <c r="Q579" s="1023"/>
      <c r="R579" s="1023"/>
      <c r="S579" s="1023"/>
      <c r="T579" s="1023"/>
      <c r="U579" s="1023"/>
      <c r="V579" s="1023"/>
      <c r="W579" s="1023"/>
      <c r="X579" s="1023"/>
      <c r="Y579" s="1023"/>
      <c r="Z579" s="1023"/>
    </row>
    <row r="580" spans="1:26" ht="11.25" customHeight="1" x14ac:dyDescent="0.2">
      <c r="A580" s="1023"/>
      <c r="B580" s="1023"/>
      <c r="C580" s="1023"/>
      <c r="D580" s="1023"/>
      <c r="E580" s="1023"/>
      <c r="F580" s="1023"/>
      <c r="G580" s="1023"/>
      <c r="H580" s="1023"/>
      <c r="I580" s="1023"/>
      <c r="J580" s="1023"/>
      <c r="K580" s="1023"/>
      <c r="L580" s="1023"/>
      <c r="M580" s="1023"/>
      <c r="N580" s="1023"/>
      <c r="O580" s="1023"/>
      <c r="P580" s="1023"/>
      <c r="Q580" s="1023"/>
      <c r="R580" s="1023"/>
      <c r="S580" s="1023"/>
      <c r="T580" s="1023"/>
      <c r="U580" s="1023"/>
      <c r="V580" s="1023"/>
      <c r="W580" s="1023"/>
      <c r="X580" s="1023"/>
      <c r="Y580" s="1023"/>
      <c r="Z580" s="1023"/>
    </row>
    <row r="581" spans="1:26" ht="11.25" customHeight="1" x14ac:dyDescent="0.2">
      <c r="A581" s="1023"/>
      <c r="B581" s="1023"/>
      <c r="C581" s="1023"/>
      <c r="D581" s="1023"/>
      <c r="E581" s="1023"/>
      <c r="F581" s="1023"/>
      <c r="G581" s="1023"/>
      <c r="H581" s="1023"/>
      <c r="I581" s="1023"/>
      <c r="J581" s="1023"/>
      <c r="K581" s="1023"/>
      <c r="L581" s="1023"/>
      <c r="M581" s="1023"/>
      <c r="N581" s="1023"/>
      <c r="O581" s="1023"/>
      <c r="P581" s="1023"/>
      <c r="Q581" s="1023"/>
      <c r="R581" s="1023"/>
      <c r="S581" s="1023"/>
      <c r="T581" s="1023"/>
      <c r="U581" s="1023"/>
      <c r="V581" s="1023"/>
      <c r="W581" s="1023"/>
      <c r="X581" s="1023"/>
      <c r="Y581" s="1023"/>
      <c r="Z581" s="1023"/>
    </row>
    <row r="582" spans="1:26" ht="11.25" customHeight="1" x14ac:dyDescent="0.2">
      <c r="A582" s="1023"/>
      <c r="B582" s="1023"/>
      <c r="C582" s="1023"/>
      <c r="D582" s="1023"/>
      <c r="E582" s="1023"/>
      <c r="F582" s="1023"/>
      <c r="G582" s="1023"/>
      <c r="H582" s="1023"/>
      <c r="I582" s="1023"/>
      <c r="J582" s="1023"/>
      <c r="K582" s="1023"/>
      <c r="L582" s="1023"/>
      <c r="M582" s="1023"/>
      <c r="N582" s="1023"/>
      <c r="O582" s="1023"/>
      <c r="P582" s="1023"/>
      <c r="Q582" s="1023"/>
      <c r="R582" s="1023"/>
      <c r="S582" s="1023"/>
      <c r="T582" s="1023"/>
      <c r="U582" s="1023"/>
      <c r="V582" s="1023"/>
      <c r="W582" s="1023"/>
      <c r="X582" s="1023"/>
      <c r="Y582" s="1023"/>
      <c r="Z582" s="1023"/>
    </row>
    <row r="583" spans="1:26" ht="11.25" customHeight="1" x14ac:dyDescent="0.2">
      <c r="A583" s="1023"/>
      <c r="B583" s="1023"/>
      <c r="C583" s="1023"/>
      <c r="D583" s="1023"/>
      <c r="E583" s="1023"/>
      <c r="F583" s="1023"/>
      <c r="G583" s="1023"/>
      <c r="H583" s="1023"/>
      <c r="I583" s="1023"/>
      <c r="J583" s="1023"/>
      <c r="K583" s="1023"/>
      <c r="L583" s="1023"/>
      <c r="M583" s="1023"/>
      <c r="N583" s="1023"/>
      <c r="O583" s="1023"/>
      <c r="P583" s="1023"/>
      <c r="Q583" s="1023"/>
      <c r="R583" s="1023"/>
      <c r="S583" s="1023"/>
      <c r="T583" s="1023"/>
      <c r="U583" s="1023"/>
      <c r="V583" s="1023"/>
      <c r="W583" s="1023"/>
      <c r="X583" s="1023"/>
      <c r="Y583" s="1023"/>
      <c r="Z583" s="1023"/>
    </row>
    <row r="584" spans="1:26" ht="11.25" customHeight="1" x14ac:dyDescent="0.2">
      <c r="A584" s="1023"/>
      <c r="B584" s="1023"/>
      <c r="C584" s="1023"/>
      <c r="D584" s="1023"/>
      <c r="E584" s="1023"/>
      <c r="F584" s="1023"/>
      <c r="G584" s="1023"/>
      <c r="H584" s="1023"/>
      <c r="I584" s="1023"/>
      <c r="J584" s="1023"/>
      <c r="K584" s="1023"/>
      <c r="L584" s="1023"/>
      <c r="M584" s="1023"/>
      <c r="N584" s="1023"/>
      <c r="O584" s="1023"/>
      <c r="P584" s="1023"/>
      <c r="Q584" s="1023"/>
      <c r="R584" s="1023"/>
      <c r="S584" s="1023"/>
      <c r="T584" s="1023"/>
      <c r="U584" s="1023"/>
      <c r="V584" s="1023"/>
      <c r="W584" s="1023"/>
      <c r="X584" s="1023"/>
      <c r="Y584" s="1023"/>
      <c r="Z584" s="1023"/>
    </row>
    <row r="585" spans="1:26" ht="11.25" customHeight="1" x14ac:dyDescent="0.2">
      <c r="A585" s="1023"/>
      <c r="B585" s="1023"/>
      <c r="C585" s="1023"/>
      <c r="D585" s="1023"/>
      <c r="E585" s="1023"/>
      <c r="F585" s="1023"/>
      <c r="G585" s="1023"/>
      <c r="H585" s="1023"/>
      <c r="I585" s="1023"/>
      <c r="J585" s="1023"/>
      <c r="K585" s="1023"/>
      <c r="L585" s="1023"/>
      <c r="M585" s="1023"/>
      <c r="N585" s="1023"/>
      <c r="O585" s="1023"/>
      <c r="P585" s="1023"/>
      <c r="Q585" s="1023"/>
      <c r="R585" s="1023"/>
      <c r="S585" s="1023"/>
      <c r="T585" s="1023"/>
      <c r="U585" s="1023"/>
      <c r="V585" s="1023"/>
      <c r="W585" s="1023"/>
      <c r="X585" s="1023"/>
      <c r="Y585" s="1023"/>
      <c r="Z585" s="1023"/>
    </row>
    <row r="586" spans="1:26" ht="11.25" customHeight="1" x14ac:dyDescent="0.2">
      <c r="A586" s="1023"/>
      <c r="B586" s="1023"/>
      <c r="C586" s="1023"/>
      <c r="D586" s="1023"/>
      <c r="E586" s="1023"/>
      <c r="F586" s="1023"/>
      <c r="G586" s="1023"/>
      <c r="H586" s="1023"/>
      <c r="I586" s="1023"/>
      <c r="J586" s="1023"/>
      <c r="K586" s="1023"/>
      <c r="L586" s="1023"/>
      <c r="M586" s="1023"/>
      <c r="N586" s="1023"/>
      <c r="O586" s="1023"/>
      <c r="P586" s="1023"/>
      <c r="Q586" s="1023"/>
      <c r="R586" s="1023"/>
      <c r="S586" s="1023"/>
      <c r="T586" s="1023"/>
      <c r="U586" s="1023"/>
      <c r="V586" s="1023"/>
      <c r="W586" s="1023"/>
      <c r="X586" s="1023"/>
      <c r="Y586" s="1023"/>
      <c r="Z586" s="1023"/>
    </row>
    <row r="587" spans="1:26" ht="11.25" customHeight="1" x14ac:dyDescent="0.2">
      <c r="A587" s="1023"/>
      <c r="B587" s="1023"/>
      <c r="C587" s="1023"/>
      <c r="D587" s="1023"/>
      <c r="E587" s="1023"/>
      <c r="F587" s="1023"/>
      <c r="G587" s="1023"/>
      <c r="H587" s="1023"/>
      <c r="I587" s="1023"/>
      <c r="J587" s="1023"/>
      <c r="K587" s="1023"/>
      <c r="L587" s="1023"/>
      <c r="M587" s="1023"/>
      <c r="N587" s="1023"/>
      <c r="O587" s="1023"/>
      <c r="P587" s="1023"/>
      <c r="Q587" s="1023"/>
      <c r="R587" s="1023"/>
      <c r="S587" s="1023"/>
      <c r="T587" s="1023"/>
      <c r="U587" s="1023"/>
      <c r="V587" s="1023"/>
      <c r="W587" s="1023"/>
      <c r="X587" s="1023"/>
      <c r="Y587" s="1023"/>
      <c r="Z587" s="1023"/>
    </row>
    <row r="588" spans="1:26" ht="11.25" customHeight="1" x14ac:dyDescent="0.2">
      <c r="A588" s="1023"/>
      <c r="B588" s="1023"/>
      <c r="C588" s="1023"/>
      <c r="D588" s="1023"/>
      <c r="E588" s="1023"/>
      <c r="F588" s="1023"/>
      <c r="G588" s="1023"/>
      <c r="H588" s="1023"/>
      <c r="I588" s="1023"/>
      <c r="J588" s="1023"/>
      <c r="K588" s="1023"/>
      <c r="L588" s="1023"/>
      <c r="M588" s="1023"/>
      <c r="N588" s="1023"/>
      <c r="O588" s="1023"/>
      <c r="P588" s="1023"/>
      <c r="Q588" s="1023"/>
      <c r="R588" s="1023"/>
      <c r="S588" s="1023"/>
      <c r="T588" s="1023"/>
      <c r="U588" s="1023"/>
      <c r="V588" s="1023"/>
      <c r="W588" s="1023"/>
      <c r="X588" s="1023"/>
      <c r="Y588" s="1023"/>
      <c r="Z588" s="1023"/>
    </row>
    <row r="589" spans="1:26" ht="11.25" customHeight="1" x14ac:dyDescent="0.2">
      <c r="A589" s="1023"/>
      <c r="B589" s="1023"/>
      <c r="C589" s="1023"/>
      <c r="D589" s="1023"/>
      <c r="E589" s="1023"/>
      <c r="F589" s="1023"/>
      <c r="G589" s="1023"/>
      <c r="H589" s="1023"/>
      <c r="I589" s="1023"/>
      <c r="J589" s="1023"/>
      <c r="K589" s="1023"/>
      <c r="L589" s="1023"/>
      <c r="M589" s="1023"/>
      <c r="N589" s="1023"/>
      <c r="O589" s="1023"/>
      <c r="P589" s="1023"/>
      <c r="Q589" s="1023"/>
      <c r="R589" s="1023"/>
      <c r="S589" s="1023"/>
      <c r="T589" s="1023"/>
      <c r="U589" s="1023"/>
      <c r="V589" s="1023"/>
      <c r="W589" s="1023"/>
      <c r="X589" s="1023"/>
      <c r="Y589" s="1023"/>
      <c r="Z589" s="1023"/>
    </row>
    <row r="590" spans="1:26" ht="11.25" customHeight="1" x14ac:dyDescent="0.2">
      <c r="A590" s="1023"/>
      <c r="B590" s="1023"/>
      <c r="C590" s="1023"/>
      <c r="D590" s="1023"/>
      <c r="E590" s="1023"/>
      <c r="F590" s="1023"/>
      <c r="G590" s="1023"/>
      <c r="H590" s="1023"/>
      <c r="I590" s="1023"/>
      <c r="J590" s="1023"/>
      <c r="K590" s="1023"/>
      <c r="L590" s="1023"/>
      <c r="M590" s="1023"/>
      <c r="N590" s="1023"/>
      <c r="O590" s="1023"/>
      <c r="P590" s="1023"/>
      <c r="Q590" s="1023"/>
      <c r="R590" s="1023"/>
      <c r="S590" s="1023"/>
      <c r="T590" s="1023"/>
      <c r="U590" s="1023"/>
      <c r="V590" s="1023"/>
      <c r="W590" s="1023"/>
      <c r="X590" s="1023"/>
      <c r="Y590" s="1023"/>
      <c r="Z590" s="1023"/>
    </row>
    <row r="591" spans="1:26" ht="11.25" customHeight="1" x14ac:dyDescent="0.2">
      <c r="A591" s="1023"/>
      <c r="B591" s="1023"/>
      <c r="C591" s="1023"/>
      <c r="D591" s="1023"/>
      <c r="E591" s="1023"/>
      <c r="F591" s="1023"/>
      <c r="G591" s="1023"/>
      <c r="H591" s="1023"/>
      <c r="I591" s="1023"/>
      <c r="J591" s="1023"/>
      <c r="K591" s="1023"/>
      <c r="L591" s="1023"/>
      <c r="M591" s="1023"/>
      <c r="N591" s="1023"/>
      <c r="O591" s="1023"/>
      <c r="P591" s="1023"/>
      <c r="Q591" s="1023"/>
      <c r="R591" s="1023"/>
      <c r="S591" s="1023"/>
      <c r="T591" s="1023"/>
      <c r="U591" s="1023"/>
      <c r="V591" s="1023"/>
      <c r="W591" s="1023"/>
      <c r="X591" s="1023"/>
      <c r="Y591" s="1023"/>
      <c r="Z591" s="1023"/>
    </row>
    <row r="592" spans="1:26" ht="11.25" customHeight="1" x14ac:dyDescent="0.2">
      <c r="A592" s="1023"/>
      <c r="B592" s="1023"/>
      <c r="C592" s="1023"/>
      <c r="D592" s="1023"/>
      <c r="E592" s="1023"/>
      <c r="F592" s="1023"/>
      <c r="G592" s="1023"/>
      <c r="H592" s="1023"/>
      <c r="I592" s="1023"/>
      <c r="J592" s="1023"/>
      <c r="K592" s="1023"/>
      <c r="L592" s="1023"/>
      <c r="M592" s="1023"/>
      <c r="N592" s="1023"/>
      <c r="O592" s="1023"/>
      <c r="P592" s="1023"/>
      <c r="Q592" s="1023"/>
      <c r="R592" s="1023"/>
      <c r="S592" s="1023"/>
      <c r="T592" s="1023"/>
      <c r="U592" s="1023"/>
      <c r="V592" s="1023"/>
      <c r="W592" s="1023"/>
      <c r="X592" s="1023"/>
      <c r="Y592" s="1023"/>
      <c r="Z592" s="1023"/>
    </row>
    <row r="593" spans="1:26" ht="11.25" customHeight="1" x14ac:dyDescent="0.2">
      <c r="A593" s="1023"/>
      <c r="B593" s="1023"/>
      <c r="C593" s="1023"/>
      <c r="D593" s="1023"/>
      <c r="E593" s="1023"/>
      <c r="F593" s="1023"/>
      <c r="G593" s="1023"/>
      <c r="H593" s="1023"/>
      <c r="I593" s="1023"/>
      <c r="J593" s="1023"/>
      <c r="K593" s="1023"/>
      <c r="L593" s="1023"/>
      <c r="M593" s="1023"/>
      <c r="N593" s="1023"/>
      <c r="O593" s="1023"/>
      <c r="P593" s="1023"/>
      <c r="Q593" s="1023"/>
      <c r="R593" s="1023"/>
      <c r="S593" s="1023"/>
      <c r="T593" s="1023"/>
      <c r="U593" s="1023"/>
      <c r="V593" s="1023"/>
      <c r="W593" s="1023"/>
      <c r="X593" s="1023"/>
      <c r="Y593" s="1023"/>
      <c r="Z593" s="1023"/>
    </row>
    <row r="594" spans="1:26" ht="11.25" customHeight="1" x14ac:dyDescent="0.2">
      <c r="A594" s="1023"/>
      <c r="B594" s="1023"/>
      <c r="C594" s="1023"/>
      <c r="D594" s="1023"/>
      <c r="E594" s="1023"/>
      <c r="F594" s="1023"/>
      <c r="G594" s="1023"/>
      <c r="H594" s="1023"/>
      <c r="I594" s="1023"/>
      <c r="J594" s="1023"/>
      <c r="K594" s="1023"/>
      <c r="L594" s="1023"/>
      <c r="M594" s="1023"/>
      <c r="N594" s="1023"/>
      <c r="O594" s="1023"/>
      <c r="P594" s="1023"/>
      <c r="Q594" s="1023"/>
      <c r="R594" s="1023"/>
      <c r="S594" s="1023"/>
      <c r="T594" s="1023"/>
      <c r="U594" s="1023"/>
      <c r="V594" s="1023"/>
      <c r="W594" s="1023"/>
      <c r="X594" s="1023"/>
      <c r="Y594" s="1023"/>
      <c r="Z594" s="1023"/>
    </row>
    <row r="595" spans="1:26" ht="11.25" customHeight="1" x14ac:dyDescent="0.2">
      <c r="A595" s="1023"/>
      <c r="B595" s="1023"/>
      <c r="C595" s="1023"/>
      <c r="D595" s="1023"/>
      <c r="E595" s="1023"/>
      <c r="F595" s="1023"/>
      <c r="G595" s="1023"/>
      <c r="H595" s="1023"/>
      <c r="I595" s="1023"/>
      <c r="J595" s="1023"/>
      <c r="K595" s="1023"/>
      <c r="L595" s="1023"/>
      <c r="M595" s="1023"/>
      <c r="N595" s="1023"/>
      <c r="O595" s="1023"/>
      <c r="P595" s="1023"/>
      <c r="Q595" s="1023"/>
      <c r="R595" s="1023"/>
      <c r="S595" s="1023"/>
      <c r="T595" s="1023"/>
      <c r="U595" s="1023"/>
      <c r="V595" s="1023"/>
      <c r="W595" s="1023"/>
      <c r="X595" s="1023"/>
      <c r="Y595" s="1023"/>
      <c r="Z595" s="1023"/>
    </row>
    <row r="596" spans="1:26" ht="11.25" customHeight="1" x14ac:dyDescent="0.2">
      <c r="A596" s="1023"/>
      <c r="B596" s="1023"/>
      <c r="C596" s="1023"/>
      <c r="D596" s="1023"/>
      <c r="E596" s="1023"/>
      <c r="F596" s="1023"/>
      <c r="G596" s="1023"/>
      <c r="H596" s="1023"/>
      <c r="I596" s="1023"/>
      <c r="J596" s="1023"/>
      <c r="K596" s="1023"/>
      <c r="L596" s="1023"/>
      <c r="M596" s="1023"/>
      <c r="N596" s="1023"/>
      <c r="O596" s="1023"/>
      <c r="P596" s="1023"/>
      <c r="Q596" s="1023"/>
      <c r="R596" s="1023"/>
      <c r="S596" s="1023"/>
      <c r="T596" s="1023"/>
      <c r="U596" s="1023"/>
      <c r="V596" s="1023"/>
      <c r="W596" s="1023"/>
      <c r="X596" s="1023"/>
      <c r="Y596" s="1023"/>
      <c r="Z596" s="1023"/>
    </row>
    <row r="597" spans="1:26" ht="11.25" customHeight="1" x14ac:dyDescent="0.2">
      <c r="A597" s="1023"/>
      <c r="B597" s="1023"/>
      <c r="C597" s="1023"/>
      <c r="D597" s="1023"/>
      <c r="E597" s="1023"/>
      <c r="F597" s="1023"/>
      <c r="G597" s="1023"/>
      <c r="H597" s="1023"/>
      <c r="I597" s="1023"/>
      <c r="J597" s="1023"/>
      <c r="K597" s="1023"/>
      <c r="L597" s="1023"/>
      <c r="M597" s="1023"/>
      <c r="N597" s="1023"/>
      <c r="O597" s="1023"/>
      <c r="P597" s="1023"/>
      <c r="Q597" s="1023"/>
      <c r="R597" s="1023"/>
      <c r="S597" s="1023"/>
      <c r="T597" s="1023"/>
      <c r="U597" s="1023"/>
      <c r="V597" s="1023"/>
      <c r="W597" s="1023"/>
      <c r="X597" s="1023"/>
      <c r="Y597" s="1023"/>
      <c r="Z597" s="1023"/>
    </row>
    <row r="598" spans="1:26" ht="11.25" customHeight="1" x14ac:dyDescent="0.2">
      <c r="A598" s="1023"/>
      <c r="B598" s="1023"/>
      <c r="C598" s="1023"/>
      <c r="D598" s="1023"/>
      <c r="E598" s="1023"/>
      <c r="F598" s="1023"/>
      <c r="G598" s="1023"/>
      <c r="H598" s="1023"/>
      <c r="I598" s="1023"/>
      <c r="J598" s="1023"/>
      <c r="K598" s="1023"/>
      <c r="L598" s="1023"/>
      <c r="M598" s="1023"/>
      <c r="N598" s="1023"/>
      <c r="O598" s="1023"/>
      <c r="P598" s="1023"/>
      <c r="Q598" s="1023"/>
      <c r="R598" s="1023"/>
      <c r="S598" s="1023"/>
      <c r="T598" s="1023"/>
      <c r="U598" s="1023"/>
      <c r="V598" s="1023"/>
      <c r="W598" s="1023"/>
      <c r="X598" s="1023"/>
      <c r="Y598" s="1023"/>
      <c r="Z598" s="1023"/>
    </row>
    <row r="599" spans="1:26" ht="11.25" customHeight="1" x14ac:dyDescent="0.2">
      <c r="A599" s="1023"/>
      <c r="B599" s="1023"/>
      <c r="C599" s="1023"/>
      <c r="D599" s="1023"/>
      <c r="E599" s="1023"/>
      <c r="F599" s="1023"/>
      <c r="G599" s="1023"/>
      <c r="H599" s="1023"/>
      <c r="I599" s="1023"/>
      <c r="J599" s="1023"/>
      <c r="K599" s="1023"/>
      <c r="L599" s="1023"/>
      <c r="M599" s="1023"/>
      <c r="N599" s="1023"/>
      <c r="O599" s="1023"/>
      <c r="P599" s="1023"/>
      <c r="Q599" s="1023"/>
      <c r="R599" s="1023"/>
      <c r="S599" s="1023"/>
      <c r="T599" s="1023"/>
      <c r="U599" s="1023"/>
      <c r="V599" s="1023"/>
      <c r="W599" s="1023"/>
      <c r="X599" s="1023"/>
      <c r="Y599" s="1023"/>
      <c r="Z599" s="1023"/>
    </row>
    <row r="600" spans="1:26" ht="11.25" customHeight="1" x14ac:dyDescent="0.2">
      <c r="A600" s="1023"/>
      <c r="B600" s="1023"/>
      <c r="C600" s="1023"/>
      <c r="D600" s="1023"/>
      <c r="E600" s="1023"/>
      <c r="F600" s="1023"/>
      <c r="G600" s="1023"/>
      <c r="H600" s="1023"/>
      <c r="I600" s="1023"/>
      <c r="J600" s="1023"/>
      <c r="K600" s="1023"/>
      <c r="L600" s="1023"/>
      <c r="M600" s="1023"/>
      <c r="N600" s="1023"/>
      <c r="O600" s="1023"/>
      <c r="P600" s="1023"/>
      <c r="Q600" s="1023"/>
      <c r="R600" s="1023"/>
      <c r="S600" s="1023"/>
      <c r="T600" s="1023"/>
      <c r="U600" s="1023"/>
      <c r="V600" s="1023"/>
      <c r="W600" s="1023"/>
      <c r="X600" s="1023"/>
      <c r="Y600" s="1023"/>
      <c r="Z600" s="1023"/>
    </row>
    <row r="601" spans="1:26" ht="11.25" customHeight="1" x14ac:dyDescent="0.2">
      <c r="A601" s="1023"/>
      <c r="B601" s="1023"/>
      <c r="C601" s="1023"/>
      <c r="D601" s="1023"/>
      <c r="E601" s="1023"/>
      <c r="F601" s="1023"/>
      <c r="G601" s="1023"/>
      <c r="H601" s="1023"/>
      <c r="I601" s="1023"/>
      <c r="J601" s="1023"/>
      <c r="K601" s="1023"/>
      <c r="L601" s="1023"/>
      <c r="M601" s="1023"/>
      <c r="N601" s="1023"/>
      <c r="O601" s="1023"/>
      <c r="P601" s="1023"/>
      <c r="Q601" s="1023"/>
      <c r="R601" s="1023"/>
      <c r="S601" s="1023"/>
      <c r="T601" s="1023"/>
      <c r="U601" s="1023"/>
      <c r="V601" s="1023"/>
      <c r="W601" s="1023"/>
      <c r="X601" s="1023"/>
      <c r="Y601" s="1023"/>
      <c r="Z601" s="1023"/>
    </row>
    <row r="602" spans="1:26" ht="11.25" customHeight="1" x14ac:dyDescent="0.2">
      <c r="A602" s="1023"/>
      <c r="B602" s="1023"/>
      <c r="C602" s="1023"/>
      <c r="D602" s="1023"/>
      <c r="E602" s="1023"/>
      <c r="F602" s="1023"/>
      <c r="G602" s="1023"/>
      <c r="H602" s="1023"/>
      <c r="I602" s="1023"/>
      <c r="J602" s="1023"/>
      <c r="K602" s="1023"/>
      <c r="L602" s="1023"/>
      <c r="M602" s="1023"/>
      <c r="N602" s="1023"/>
      <c r="O602" s="1023"/>
      <c r="P602" s="1023"/>
      <c r="Q602" s="1023"/>
      <c r="R602" s="1023"/>
      <c r="S602" s="1023"/>
      <c r="T602" s="1023"/>
      <c r="U602" s="1023"/>
      <c r="V602" s="1023"/>
      <c r="W602" s="1023"/>
      <c r="X602" s="1023"/>
      <c r="Y602" s="1023"/>
      <c r="Z602" s="1023"/>
    </row>
    <row r="603" spans="1:26" ht="11.25" customHeight="1" x14ac:dyDescent="0.2">
      <c r="A603" s="1023"/>
      <c r="B603" s="1023"/>
      <c r="C603" s="1023"/>
      <c r="D603" s="1023"/>
      <c r="E603" s="1023"/>
      <c r="F603" s="1023"/>
      <c r="G603" s="1023"/>
      <c r="H603" s="1023"/>
      <c r="I603" s="1023"/>
      <c r="J603" s="1023"/>
      <c r="K603" s="1023"/>
      <c r="L603" s="1023"/>
      <c r="M603" s="1023"/>
      <c r="N603" s="1023"/>
      <c r="O603" s="1023"/>
      <c r="P603" s="1023"/>
      <c r="Q603" s="1023"/>
      <c r="R603" s="1023"/>
      <c r="S603" s="1023"/>
      <c r="T603" s="1023"/>
      <c r="U603" s="1023"/>
      <c r="V603" s="1023"/>
      <c r="W603" s="1023"/>
      <c r="X603" s="1023"/>
      <c r="Y603" s="1023"/>
      <c r="Z603" s="1023"/>
    </row>
    <row r="604" spans="1:26" ht="11.25" customHeight="1" x14ac:dyDescent="0.2">
      <c r="A604" s="1023"/>
      <c r="B604" s="1023"/>
      <c r="C604" s="1023"/>
      <c r="D604" s="1023"/>
      <c r="E604" s="1023"/>
      <c r="F604" s="1023"/>
      <c r="G604" s="1023"/>
      <c r="H604" s="1023"/>
      <c r="I604" s="1023"/>
      <c r="J604" s="1023"/>
      <c r="K604" s="1023"/>
      <c r="L604" s="1023"/>
      <c r="M604" s="1023"/>
      <c r="N604" s="1023"/>
      <c r="O604" s="1023"/>
      <c r="P604" s="1023"/>
      <c r="Q604" s="1023"/>
      <c r="R604" s="1023"/>
      <c r="S604" s="1023"/>
      <c r="T604" s="1023"/>
      <c r="U604" s="1023"/>
      <c r="V604" s="1023"/>
      <c r="W604" s="1023"/>
      <c r="X604" s="1023"/>
      <c r="Y604" s="1023"/>
      <c r="Z604" s="1023"/>
    </row>
    <row r="605" spans="1:26" ht="11.25" customHeight="1" x14ac:dyDescent="0.2">
      <c r="A605" s="1023"/>
      <c r="B605" s="1023"/>
      <c r="C605" s="1023"/>
      <c r="D605" s="1023"/>
      <c r="E605" s="1023"/>
      <c r="F605" s="1023"/>
      <c r="G605" s="1023"/>
      <c r="H605" s="1023"/>
      <c r="I605" s="1023"/>
      <c r="J605" s="1023"/>
      <c r="K605" s="1023"/>
      <c r="L605" s="1023"/>
      <c r="M605" s="1023"/>
      <c r="N605" s="1023"/>
      <c r="O605" s="1023"/>
      <c r="P605" s="1023"/>
      <c r="Q605" s="1023"/>
      <c r="R605" s="1023"/>
      <c r="S605" s="1023"/>
      <c r="T605" s="1023"/>
      <c r="U605" s="1023"/>
      <c r="V605" s="1023"/>
      <c r="W605" s="1023"/>
      <c r="X605" s="1023"/>
      <c r="Y605" s="1023"/>
      <c r="Z605" s="1023"/>
    </row>
    <row r="606" spans="1:26" ht="11.25" customHeight="1" x14ac:dyDescent="0.2">
      <c r="A606" s="1023"/>
      <c r="B606" s="1023"/>
      <c r="C606" s="1023"/>
      <c r="D606" s="1023"/>
      <c r="E606" s="1023"/>
      <c r="F606" s="1023"/>
      <c r="G606" s="1023"/>
      <c r="H606" s="1023"/>
      <c r="I606" s="1023"/>
      <c r="J606" s="1023"/>
      <c r="K606" s="1023"/>
      <c r="L606" s="1023"/>
      <c r="M606" s="1023"/>
      <c r="N606" s="1023"/>
      <c r="O606" s="1023"/>
      <c r="P606" s="1023"/>
      <c r="Q606" s="1023"/>
      <c r="R606" s="1023"/>
      <c r="S606" s="1023"/>
      <c r="T606" s="1023"/>
      <c r="U606" s="1023"/>
      <c r="V606" s="1023"/>
      <c r="W606" s="1023"/>
      <c r="X606" s="1023"/>
      <c r="Y606" s="1023"/>
      <c r="Z606" s="1023"/>
    </row>
    <row r="607" spans="1:26" ht="11.25" customHeight="1" x14ac:dyDescent="0.2">
      <c r="A607" s="1023"/>
      <c r="B607" s="1023"/>
      <c r="C607" s="1023"/>
      <c r="D607" s="1023"/>
      <c r="E607" s="1023"/>
      <c r="F607" s="1023"/>
      <c r="G607" s="1023"/>
      <c r="H607" s="1023"/>
      <c r="I607" s="1023"/>
      <c r="J607" s="1023"/>
      <c r="K607" s="1023"/>
      <c r="L607" s="1023"/>
      <c r="M607" s="1023"/>
      <c r="N607" s="1023"/>
      <c r="O607" s="1023"/>
      <c r="P607" s="1023"/>
      <c r="Q607" s="1023"/>
      <c r="R607" s="1023"/>
      <c r="S607" s="1023"/>
      <c r="T607" s="1023"/>
      <c r="U607" s="1023"/>
      <c r="V607" s="1023"/>
      <c r="W607" s="1023"/>
      <c r="X607" s="1023"/>
      <c r="Y607" s="1023"/>
      <c r="Z607" s="1023"/>
    </row>
    <row r="608" spans="1:26" ht="11.25" customHeight="1" x14ac:dyDescent="0.2">
      <c r="A608" s="1023"/>
      <c r="B608" s="1023"/>
      <c r="C608" s="1023"/>
      <c r="D608" s="1023"/>
      <c r="E608" s="1023"/>
      <c r="F608" s="1023"/>
      <c r="G608" s="1023"/>
      <c r="H608" s="1023"/>
      <c r="I608" s="1023"/>
      <c r="J608" s="1023"/>
      <c r="K608" s="1023"/>
      <c r="L608" s="1023"/>
      <c r="M608" s="1023"/>
      <c r="N608" s="1023"/>
      <c r="O608" s="1023"/>
      <c r="P608" s="1023"/>
      <c r="Q608" s="1023"/>
      <c r="R608" s="1023"/>
      <c r="S608" s="1023"/>
      <c r="T608" s="1023"/>
      <c r="U608" s="1023"/>
      <c r="V608" s="1023"/>
      <c r="W608" s="1023"/>
      <c r="X608" s="1023"/>
      <c r="Y608" s="1023"/>
      <c r="Z608" s="1023"/>
    </row>
    <row r="609" spans="1:26" ht="11.25" customHeight="1" x14ac:dyDescent="0.2">
      <c r="A609" s="1023"/>
      <c r="B609" s="1023"/>
      <c r="C609" s="1023"/>
      <c r="D609" s="1023"/>
      <c r="E609" s="1023"/>
      <c r="F609" s="1023"/>
      <c r="G609" s="1023"/>
      <c r="H609" s="1023"/>
      <c r="I609" s="1023"/>
      <c r="J609" s="1023"/>
      <c r="K609" s="1023"/>
      <c r="L609" s="1023"/>
      <c r="M609" s="1023"/>
      <c r="N609" s="1023"/>
      <c r="O609" s="1023"/>
      <c r="P609" s="1023"/>
      <c r="Q609" s="1023"/>
      <c r="R609" s="1023"/>
      <c r="S609" s="1023"/>
      <c r="T609" s="1023"/>
      <c r="U609" s="1023"/>
      <c r="V609" s="1023"/>
      <c r="W609" s="1023"/>
      <c r="X609" s="1023"/>
      <c r="Y609" s="1023"/>
      <c r="Z609" s="1023"/>
    </row>
    <row r="610" spans="1:26" ht="11.25" customHeight="1" x14ac:dyDescent="0.2">
      <c r="A610" s="1023"/>
      <c r="B610" s="1023"/>
      <c r="C610" s="1023"/>
      <c r="D610" s="1023"/>
      <c r="E610" s="1023"/>
      <c r="F610" s="1023"/>
      <c r="G610" s="1023"/>
      <c r="H610" s="1023"/>
      <c r="I610" s="1023"/>
      <c r="J610" s="1023"/>
      <c r="K610" s="1023"/>
      <c r="L610" s="1023"/>
      <c r="M610" s="1023"/>
      <c r="N610" s="1023"/>
      <c r="O610" s="1023"/>
      <c r="P610" s="1023"/>
      <c r="Q610" s="1023"/>
      <c r="R610" s="1023"/>
      <c r="S610" s="1023"/>
      <c r="T610" s="1023"/>
      <c r="U610" s="1023"/>
      <c r="V610" s="1023"/>
      <c r="W610" s="1023"/>
      <c r="X610" s="1023"/>
      <c r="Y610" s="1023"/>
      <c r="Z610" s="1023"/>
    </row>
    <row r="611" spans="1:26" ht="11.25" customHeight="1" x14ac:dyDescent="0.2">
      <c r="A611" s="1023"/>
      <c r="B611" s="1023"/>
      <c r="C611" s="1023"/>
      <c r="D611" s="1023"/>
      <c r="E611" s="1023"/>
      <c r="F611" s="1023"/>
      <c r="G611" s="1023"/>
      <c r="H611" s="1023"/>
      <c r="I611" s="1023"/>
      <c r="J611" s="1023"/>
      <c r="K611" s="1023"/>
      <c r="L611" s="1023"/>
      <c r="M611" s="1023"/>
      <c r="N611" s="1023"/>
      <c r="O611" s="1023"/>
      <c r="P611" s="1023"/>
      <c r="Q611" s="1023"/>
      <c r="R611" s="1023"/>
      <c r="S611" s="1023"/>
      <c r="T611" s="1023"/>
      <c r="U611" s="1023"/>
      <c r="V611" s="1023"/>
      <c r="W611" s="1023"/>
      <c r="X611" s="1023"/>
      <c r="Y611" s="1023"/>
      <c r="Z611" s="1023"/>
    </row>
    <row r="612" spans="1:26" ht="11.25" customHeight="1" x14ac:dyDescent="0.2">
      <c r="A612" s="1023"/>
      <c r="B612" s="1023"/>
      <c r="C612" s="1023"/>
      <c r="D612" s="1023"/>
      <c r="E612" s="1023"/>
      <c r="F612" s="1023"/>
      <c r="G612" s="1023"/>
      <c r="H612" s="1023"/>
      <c r="I612" s="1023"/>
      <c r="J612" s="1023"/>
      <c r="K612" s="1023"/>
      <c r="L612" s="1023"/>
      <c r="M612" s="1023"/>
      <c r="N612" s="1023"/>
      <c r="O612" s="1023"/>
      <c r="P612" s="1023"/>
      <c r="Q612" s="1023"/>
      <c r="R612" s="1023"/>
      <c r="S612" s="1023"/>
      <c r="T612" s="1023"/>
      <c r="U612" s="1023"/>
      <c r="V612" s="1023"/>
      <c r="W612" s="1023"/>
      <c r="X612" s="1023"/>
      <c r="Y612" s="1023"/>
      <c r="Z612" s="1023"/>
    </row>
    <row r="613" spans="1:26" ht="11.25" customHeight="1" x14ac:dyDescent="0.2">
      <c r="A613" s="1023"/>
      <c r="B613" s="1023"/>
      <c r="C613" s="1023"/>
      <c r="D613" s="1023"/>
      <c r="E613" s="1023"/>
      <c r="F613" s="1023"/>
      <c r="G613" s="1023"/>
      <c r="H613" s="1023"/>
      <c r="I613" s="1023"/>
      <c r="J613" s="1023"/>
      <c r="K613" s="1023"/>
      <c r="L613" s="1023"/>
      <c r="M613" s="1023"/>
      <c r="N613" s="1023"/>
      <c r="O613" s="1023"/>
      <c r="P613" s="1023"/>
      <c r="Q613" s="1023"/>
      <c r="R613" s="1023"/>
      <c r="S613" s="1023"/>
      <c r="T613" s="1023"/>
      <c r="U613" s="1023"/>
      <c r="V613" s="1023"/>
      <c r="W613" s="1023"/>
      <c r="X613" s="1023"/>
      <c r="Y613" s="1023"/>
      <c r="Z613" s="1023"/>
    </row>
    <row r="614" spans="1:26" ht="11.25" customHeight="1" x14ac:dyDescent="0.2">
      <c r="A614" s="1023"/>
      <c r="B614" s="1023"/>
      <c r="C614" s="1023"/>
      <c r="D614" s="1023"/>
      <c r="E614" s="1023"/>
      <c r="F614" s="1023"/>
      <c r="G614" s="1023"/>
      <c r="H614" s="1023"/>
      <c r="I614" s="1023"/>
      <c r="J614" s="1023"/>
      <c r="K614" s="1023"/>
      <c r="L614" s="1023"/>
      <c r="M614" s="1023"/>
      <c r="N614" s="1023"/>
      <c r="O614" s="1023"/>
      <c r="P614" s="1023"/>
      <c r="Q614" s="1023"/>
      <c r="R614" s="1023"/>
      <c r="S614" s="1023"/>
      <c r="T614" s="1023"/>
      <c r="U614" s="1023"/>
      <c r="V614" s="1023"/>
      <c r="W614" s="1023"/>
      <c r="X614" s="1023"/>
      <c r="Y614" s="1023"/>
      <c r="Z614" s="1023"/>
    </row>
    <row r="615" spans="1:26" ht="11.25" customHeight="1" x14ac:dyDescent="0.2">
      <c r="A615" s="1023"/>
      <c r="B615" s="1023"/>
      <c r="C615" s="1023"/>
      <c r="D615" s="1023"/>
      <c r="E615" s="1023"/>
      <c r="F615" s="1023"/>
      <c r="G615" s="1023"/>
      <c r="H615" s="1023"/>
      <c r="I615" s="1023"/>
      <c r="J615" s="1023"/>
      <c r="K615" s="1023"/>
      <c r="L615" s="1023"/>
      <c r="M615" s="1023"/>
      <c r="N615" s="1023"/>
      <c r="O615" s="1023"/>
      <c r="P615" s="1023"/>
      <c r="Q615" s="1023"/>
      <c r="R615" s="1023"/>
      <c r="S615" s="1023"/>
      <c r="T615" s="1023"/>
      <c r="U615" s="1023"/>
      <c r="V615" s="1023"/>
      <c r="W615" s="1023"/>
      <c r="X615" s="1023"/>
      <c r="Y615" s="1023"/>
      <c r="Z615" s="1023"/>
    </row>
    <row r="616" spans="1:26" ht="11.25" customHeight="1" x14ac:dyDescent="0.2">
      <c r="A616" s="1023"/>
      <c r="B616" s="1023"/>
      <c r="C616" s="1023"/>
      <c r="D616" s="1023"/>
      <c r="E616" s="1023"/>
      <c r="F616" s="1023"/>
      <c r="G616" s="1023"/>
      <c r="H616" s="1023"/>
      <c r="I616" s="1023"/>
      <c r="J616" s="1023"/>
      <c r="K616" s="1023"/>
      <c r="L616" s="1023"/>
      <c r="M616" s="1023"/>
      <c r="N616" s="1023"/>
      <c r="O616" s="1023"/>
      <c r="P616" s="1023"/>
      <c r="Q616" s="1023"/>
      <c r="R616" s="1023"/>
      <c r="S616" s="1023"/>
      <c r="T616" s="1023"/>
      <c r="U616" s="1023"/>
      <c r="V616" s="1023"/>
      <c r="W616" s="1023"/>
      <c r="X616" s="1023"/>
      <c r="Y616" s="1023"/>
      <c r="Z616" s="1023"/>
    </row>
    <row r="617" spans="1:26" ht="11.25" customHeight="1" x14ac:dyDescent="0.2">
      <c r="A617" s="1023"/>
      <c r="B617" s="1023"/>
      <c r="C617" s="1023"/>
      <c r="D617" s="1023"/>
      <c r="E617" s="1023"/>
      <c r="F617" s="1023"/>
      <c r="G617" s="1023"/>
      <c r="H617" s="1023"/>
      <c r="I617" s="1023"/>
      <c r="J617" s="1023"/>
      <c r="K617" s="1023"/>
      <c r="L617" s="1023"/>
      <c r="M617" s="1023"/>
      <c r="N617" s="1023"/>
      <c r="O617" s="1023"/>
      <c r="P617" s="1023"/>
      <c r="Q617" s="1023"/>
      <c r="R617" s="1023"/>
      <c r="S617" s="1023"/>
      <c r="T617" s="1023"/>
      <c r="U617" s="1023"/>
      <c r="V617" s="1023"/>
      <c r="W617" s="1023"/>
      <c r="X617" s="1023"/>
      <c r="Y617" s="1023"/>
      <c r="Z617" s="1023"/>
    </row>
    <row r="618" spans="1:26" ht="11.25" customHeight="1" x14ac:dyDescent="0.2">
      <c r="A618" s="1023"/>
      <c r="B618" s="1023"/>
      <c r="C618" s="1023"/>
      <c r="D618" s="1023"/>
      <c r="E618" s="1023"/>
      <c r="F618" s="1023"/>
      <c r="G618" s="1023"/>
      <c r="H618" s="1023"/>
      <c r="I618" s="1023"/>
      <c r="J618" s="1023"/>
      <c r="K618" s="1023"/>
      <c r="L618" s="1023"/>
      <c r="M618" s="1023"/>
      <c r="N618" s="1023"/>
      <c r="O618" s="1023"/>
      <c r="P618" s="1023"/>
      <c r="Q618" s="1023"/>
      <c r="R618" s="1023"/>
      <c r="S618" s="1023"/>
      <c r="T618" s="1023"/>
      <c r="U618" s="1023"/>
      <c r="V618" s="1023"/>
      <c r="W618" s="1023"/>
      <c r="X618" s="1023"/>
      <c r="Y618" s="1023"/>
      <c r="Z618" s="1023"/>
    </row>
    <row r="619" spans="1:26" ht="11.25" customHeight="1" x14ac:dyDescent="0.2">
      <c r="A619" s="1023"/>
      <c r="B619" s="1023"/>
      <c r="C619" s="1023"/>
      <c r="D619" s="1023"/>
      <c r="E619" s="1023"/>
      <c r="F619" s="1023"/>
      <c r="G619" s="1023"/>
      <c r="H619" s="1023"/>
      <c r="I619" s="1023"/>
      <c r="J619" s="1023"/>
      <c r="K619" s="1023"/>
      <c r="L619" s="1023"/>
      <c r="M619" s="1023"/>
      <c r="N619" s="1023"/>
      <c r="O619" s="1023"/>
      <c r="P619" s="1023"/>
      <c r="Q619" s="1023"/>
      <c r="R619" s="1023"/>
      <c r="S619" s="1023"/>
      <c r="T619" s="1023"/>
      <c r="U619" s="1023"/>
      <c r="V619" s="1023"/>
      <c r="W619" s="1023"/>
      <c r="X619" s="1023"/>
      <c r="Y619" s="1023"/>
      <c r="Z619" s="1023"/>
    </row>
    <row r="620" spans="1:26" ht="11.25" customHeight="1" x14ac:dyDescent="0.2">
      <c r="A620" s="1023"/>
      <c r="B620" s="1023"/>
      <c r="C620" s="1023"/>
      <c r="D620" s="1023"/>
      <c r="E620" s="1023"/>
      <c r="F620" s="1023"/>
      <c r="G620" s="1023"/>
      <c r="H620" s="1023"/>
      <c r="I620" s="1023"/>
      <c r="J620" s="1023"/>
      <c r="K620" s="1023"/>
      <c r="L620" s="1023"/>
      <c r="M620" s="1023"/>
      <c r="N620" s="1023"/>
      <c r="O620" s="1023"/>
      <c r="P620" s="1023"/>
      <c r="Q620" s="1023"/>
      <c r="R620" s="1023"/>
      <c r="S620" s="1023"/>
      <c r="T620" s="1023"/>
      <c r="U620" s="1023"/>
      <c r="V620" s="1023"/>
      <c r="W620" s="1023"/>
      <c r="X620" s="1023"/>
      <c r="Y620" s="1023"/>
      <c r="Z620" s="1023"/>
    </row>
    <row r="621" spans="1:26" ht="11.25" customHeight="1" x14ac:dyDescent="0.2">
      <c r="A621" s="1023"/>
      <c r="B621" s="1023"/>
      <c r="C621" s="1023"/>
      <c r="D621" s="1023"/>
      <c r="E621" s="1023"/>
      <c r="F621" s="1023"/>
      <c r="G621" s="1023"/>
      <c r="H621" s="1023"/>
      <c r="I621" s="1023"/>
      <c r="J621" s="1023"/>
      <c r="K621" s="1023"/>
      <c r="L621" s="1023"/>
      <c r="M621" s="1023"/>
      <c r="N621" s="1023"/>
      <c r="O621" s="1023"/>
      <c r="P621" s="1023"/>
      <c r="Q621" s="1023"/>
      <c r="R621" s="1023"/>
      <c r="S621" s="1023"/>
      <c r="T621" s="1023"/>
      <c r="U621" s="1023"/>
      <c r="V621" s="1023"/>
      <c r="W621" s="1023"/>
      <c r="X621" s="1023"/>
      <c r="Y621" s="1023"/>
      <c r="Z621" s="1023"/>
    </row>
    <row r="622" spans="1:26" ht="11.25" customHeight="1" x14ac:dyDescent="0.2">
      <c r="A622" s="1023"/>
      <c r="B622" s="1023"/>
      <c r="C622" s="1023"/>
      <c r="D622" s="1023"/>
      <c r="E622" s="1023"/>
      <c r="F622" s="1023"/>
      <c r="G622" s="1023"/>
      <c r="H622" s="1023"/>
      <c r="I622" s="1023"/>
      <c r="J622" s="1023"/>
      <c r="K622" s="1023"/>
      <c r="L622" s="1023"/>
      <c r="M622" s="1023"/>
      <c r="N622" s="1023"/>
      <c r="O622" s="1023"/>
      <c r="P622" s="1023"/>
      <c r="Q622" s="1023"/>
      <c r="R622" s="1023"/>
      <c r="S622" s="1023"/>
      <c r="T622" s="1023"/>
      <c r="U622" s="1023"/>
      <c r="V622" s="1023"/>
      <c r="W622" s="1023"/>
      <c r="X622" s="1023"/>
      <c r="Y622" s="1023"/>
      <c r="Z622" s="1023"/>
    </row>
    <row r="623" spans="1:26" ht="11.25" customHeight="1" x14ac:dyDescent="0.2">
      <c r="A623" s="1023"/>
      <c r="B623" s="1023"/>
      <c r="C623" s="1023"/>
      <c r="D623" s="1023"/>
      <c r="E623" s="1023"/>
      <c r="F623" s="1023"/>
      <c r="G623" s="1023"/>
      <c r="H623" s="1023"/>
      <c r="I623" s="1023"/>
      <c r="J623" s="1023"/>
      <c r="K623" s="1023"/>
      <c r="L623" s="1023"/>
      <c r="M623" s="1023"/>
      <c r="N623" s="1023"/>
      <c r="O623" s="1023"/>
      <c r="P623" s="1023"/>
      <c r="Q623" s="1023"/>
      <c r="R623" s="1023"/>
      <c r="S623" s="1023"/>
      <c r="T623" s="1023"/>
      <c r="U623" s="1023"/>
      <c r="V623" s="1023"/>
      <c r="W623" s="1023"/>
      <c r="X623" s="1023"/>
      <c r="Y623" s="1023"/>
      <c r="Z623" s="1023"/>
    </row>
    <row r="624" spans="1:26" ht="11.25" customHeight="1" x14ac:dyDescent="0.2">
      <c r="A624" s="1023"/>
      <c r="B624" s="1023"/>
      <c r="C624" s="1023"/>
      <c r="D624" s="1023"/>
      <c r="E624" s="1023"/>
      <c r="F624" s="1023"/>
      <c r="G624" s="1023"/>
      <c r="H624" s="1023"/>
      <c r="I624" s="1023"/>
      <c r="J624" s="1023"/>
      <c r="K624" s="1023"/>
      <c r="L624" s="1023"/>
      <c r="M624" s="1023"/>
      <c r="N624" s="1023"/>
      <c r="O624" s="1023"/>
      <c r="P624" s="1023"/>
      <c r="Q624" s="1023"/>
      <c r="R624" s="1023"/>
      <c r="S624" s="1023"/>
      <c r="T624" s="1023"/>
      <c r="U624" s="1023"/>
      <c r="V624" s="1023"/>
      <c r="W624" s="1023"/>
      <c r="X624" s="1023"/>
      <c r="Y624" s="1023"/>
      <c r="Z624" s="1023"/>
    </row>
    <row r="625" spans="1:26" ht="11.25" customHeight="1" x14ac:dyDescent="0.2">
      <c r="A625" s="1023"/>
      <c r="B625" s="1023"/>
      <c r="C625" s="1023"/>
      <c r="D625" s="1023"/>
      <c r="E625" s="1023"/>
      <c r="F625" s="1023"/>
      <c r="G625" s="1023"/>
      <c r="H625" s="1023"/>
      <c r="I625" s="1023"/>
      <c r="J625" s="1023"/>
      <c r="K625" s="1023"/>
      <c r="L625" s="1023"/>
      <c r="M625" s="1023"/>
      <c r="N625" s="1023"/>
      <c r="O625" s="1023"/>
      <c r="P625" s="1023"/>
      <c r="Q625" s="1023"/>
      <c r="R625" s="1023"/>
      <c r="S625" s="1023"/>
      <c r="T625" s="1023"/>
      <c r="U625" s="1023"/>
      <c r="V625" s="1023"/>
      <c r="W625" s="1023"/>
      <c r="X625" s="1023"/>
      <c r="Y625" s="1023"/>
      <c r="Z625" s="1023"/>
    </row>
    <row r="626" spans="1:26" ht="11.25" customHeight="1" x14ac:dyDescent="0.2">
      <c r="A626" s="1023"/>
      <c r="B626" s="1023"/>
      <c r="C626" s="1023"/>
      <c r="D626" s="1023"/>
      <c r="E626" s="1023"/>
      <c r="F626" s="1023"/>
      <c r="G626" s="1023"/>
      <c r="H626" s="1023"/>
      <c r="I626" s="1023"/>
      <c r="J626" s="1023"/>
      <c r="K626" s="1023"/>
      <c r="L626" s="1023"/>
      <c r="M626" s="1023"/>
      <c r="N626" s="1023"/>
      <c r="O626" s="1023"/>
      <c r="P626" s="1023"/>
      <c r="Q626" s="1023"/>
      <c r="R626" s="1023"/>
      <c r="S626" s="1023"/>
      <c r="T626" s="1023"/>
      <c r="U626" s="1023"/>
      <c r="V626" s="1023"/>
      <c r="W626" s="1023"/>
      <c r="X626" s="1023"/>
      <c r="Y626" s="1023"/>
      <c r="Z626" s="1023"/>
    </row>
    <row r="627" spans="1:26" ht="11.25" customHeight="1" x14ac:dyDescent="0.2">
      <c r="A627" s="1023"/>
      <c r="B627" s="1023"/>
      <c r="C627" s="1023"/>
      <c r="D627" s="1023"/>
      <c r="E627" s="1023"/>
      <c r="F627" s="1023"/>
      <c r="G627" s="1023"/>
      <c r="H627" s="1023"/>
      <c r="I627" s="1023"/>
      <c r="J627" s="1023"/>
      <c r="K627" s="1023"/>
      <c r="L627" s="1023"/>
      <c r="M627" s="1023"/>
      <c r="N627" s="1023"/>
      <c r="O627" s="1023"/>
      <c r="P627" s="1023"/>
      <c r="Q627" s="1023"/>
      <c r="R627" s="1023"/>
      <c r="S627" s="1023"/>
      <c r="T627" s="1023"/>
      <c r="U627" s="1023"/>
      <c r="V627" s="1023"/>
      <c r="W627" s="1023"/>
      <c r="X627" s="1023"/>
      <c r="Y627" s="1023"/>
      <c r="Z627" s="1023"/>
    </row>
    <row r="628" spans="1:26" ht="11.25" customHeight="1" x14ac:dyDescent="0.2">
      <c r="A628" s="1023"/>
      <c r="B628" s="1023"/>
      <c r="C628" s="1023"/>
      <c r="D628" s="1023"/>
      <c r="E628" s="1023"/>
      <c r="F628" s="1023"/>
      <c r="G628" s="1023"/>
      <c r="H628" s="1023"/>
      <c r="I628" s="1023"/>
      <c r="J628" s="1023"/>
      <c r="K628" s="1023"/>
      <c r="L628" s="1023"/>
      <c r="M628" s="1023"/>
      <c r="N628" s="1023"/>
      <c r="O628" s="1023"/>
      <c r="P628" s="1023"/>
      <c r="Q628" s="1023"/>
      <c r="R628" s="1023"/>
      <c r="S628" s="1023"/>
      <c r="T628" s="1023"/>
      <c r="U628" s="1023"/>
      <c r="V628" s="1023"/>
      <c r="W628" s="1023"/>
      <c r="X628" s="1023"/>
      <c r="Y628" s="1023"/>
      <c r="Z628" s="1023"/>
    </row>
    <row r="629" spans="1:26" ht="11.25" customHeight="1" x14ac:dyDescent="0.2">
      <c r="A629" s="1023"/>
      <c r="B629" s="1023"/>
      <c r="C629" s="1023"/>
      <c r="D629" s="1023"/>
      <c r="E629" s="1023"/>
      <c r="F629" s="1023"/>
      <c r="G629" s="1023"/>
      <c r="H629" s="1023"/>
      <c r="I629" s="1023"/>
      <c r="J629" s="1023"/>
      <c r="K629" s="1023"/>
      <c r="L629" s="1023"/>
      <c r="M629" s="1023"/>
      <c r="N629" s="1023"/>
      <c r="O629" s="1023"/>
      <c r="P629" s="1023"/>
      <c r="Q629" s="1023"/>
      <c r="R629" s="1023"/>
      <c r="S629" s="1023"/>
      <c r="T629" s="1023"/>
      <c r="U629" s="1023"/>
      <c r="V629" s="1023"/>
      <c r="W629" s="1023"/>
      <c r="X629" s="1023"/>
      <c r="Y629" s="1023"/>
      <c r="Z629" s="1023"/>
    </row>
    <row r="630" spans="1:26" ht="11.25" customHeight="1" x14ac:dyDescent="0.2">
      <c r="A630" s="1023"/>
      <c r="B630" s="1023"/>
      <c r="C630" s="1023"/>
      <c r="D630" s="1023"/>
      <c r="E630" s="1023"/>
      <c r="F630" s="1023"/>
      <c r="G630" s="1023"/>
      <c r="H630" s="1023"/>
      <c r="I630" s="1023"/>
      <c r="J630" s="1023"/>
      <c r="K630" s="1023"/>
      <c r="L630" s="1023"/>
      <c r="M630" s="1023"/>
      <c r="N630" s="1023"/>
      <c r="O630" s="1023"/>
      <c r="P630" s="1023"/>
      <c r="Q630" s="1023"/>
      <c r="R630" s="1023"/>
      <c r="S630" s="1023"/>
      <c r="T630" s="1023"/>
      <c r="U630" s="1023"/>
      <c r="V630" s="1023"/>
      <c r="W630" s="1023"/>
      <c r="X630" s="1023"/>
      <c r="Y630" s="1023"/>
      <c r="Z630" s="1023"/>
    </row>
    <row r="631" spans="1:26" ht="11.25" customHeight="1" x14ac:dyDescent="0.2">
      <c r="A631" s="1023"/>
      <c r="B631" s="1023"/>
      <c r="C631" s="1023"/>
      <c r="D631" s="1023"/>
      <c r="E631" s="1023"/>
      <c r="F631" s="1023"/>
      <c r="G631" s="1023"/>
      <c r="H631" s="1023"/>
      <c r="I631" s="1023"/>
      <c r="J631" s="1023"/>
      <c r="K631" s="1023"/>
      <c r="L631" s="1023"/>
      <c r="M631" s="1023"/>
      <c r="N631" s="1023"/>
      <c r="O631" s="1023"/>
      <c r="P631" s="1023"/>
      <c r="Q631" s="1023"/>
      <c r="R631" s="1023"/>
      <c r="S631" s="1023"/>
      <c r="T631" s="1023"/>
      <c r="U631" s="1023"/>
      <c r="V631" s="1023"/>
      <c r="W631" s="1023"/>
      <c r="X631" s="1023"/>
      <c r="Y631" s="1023"/>
      <c r="Z631" s="1023"/>
    </row>
    <row r="632" spans="1:26" ht="11.25" customHeight="1" x14ac:dyDescent="0.2">
      <c r="A632" s="1023"/>
      <c r="B632" s="1023"/>
      <c r="C632" s="1023"/>
      <c r="D632" s="1023"/>
      <c r="E632" s="1023"/>
      <c r="F632" s="1023"/>
      <c r="G632" s="1023"/>
      <c r="H632" s="1023"/>
      <c r="I632" s="1023"/>
      <c r="J632" s="1023"/>
      <c r="K632" s="1023"/>
      <c r="L632" s="1023"/>
      <c r="M632" s="1023"/>
      <c r="N632" s="1023"/>
      <c r="O632" s="1023"/>
      <c r="P632" s="1023"/>
      <c r="Q632" s="1023"/>
      <c r="R632" s="1023"/>
      <c r="S632" s="1023"/>
      <c r="T632" s="1023"/>
      <c r="U632" s="1023"/>
      <c r="V632" s="1023"/>
      <c r="W632" s="1023"/>
      <c r="X632" s="1023"/>
      <c r="Y632" s="1023"/>
      <c r="Z632" s="1023"/>
    </row>
    <row r="633" spans="1:26" ht="11.25" customHeight="1" x14ac:dyDescent="0.2">
      <c r="A633" s="1023"/>
      <c r="B633" s="1023"/>
      <c r="C633" s="1023"/>
      <c r="D633" s="1023"/>
      <c r="E633" s="1023"/>
      <c r="F633" s="1023"/>
      <c r="G633" s="1023"/>
      <c r="H633" s="1023"/>
      <c r="I633" s="1023"/>
      <c r="J633" s="1023"/>
      <c r="K633" s="1023"/>
      <c r="L633" s="1023"/>
      <c r="M633" s="1023"/>
      <c r="N633" s="1023"/>
      <c r="O633" s="1023"/>
      <c r="P633" s="1023"/>
      <c r="Q633" s="1023"/>
      <c r="R633" s="1023"/>
      <c r="S633" s="1023"/>
      <c r="T633" s="1023"/>
      <c r="U633" s="1023"/>
      <c r="V633" s="1023"/>
      <c r="W633" s="1023"/>
      <c r="X633" s="1023"/>
      <c r="Y633" s="1023"/>
      <c r="Z633" s="1023"/>
    </row>
    <row r="634" spans="1:26" ht="11.25" customHeight="1" x14ac:dyDescent="0.2">
      <c r="A634" s="1023"/>
      <c r="B634" s="1023"/>
      <c r="C634" s="1023"/>
      <c r="D634" s="1023"/>
      <c r="E634" s="1023"/>
      <c r="F634" s="1023"/>
      <c r="G634" s="1023"/>
      <c r="H634" s="1023"/>
      <c r="I634" s="1023"/>
      <c r="J634" s="1023"/>
      <c r="K634" s="1023"/>
      <c r="L634" s="1023"/>
      <c r="M634" s="1023"/>
      <c r="N634" s="1023"/>
      <c r="O634" s="1023"/>
      <c r="P634" s="1023"/>
      <c r="Q634" s="1023"/>
      <c r="R634" s="1023"/>
      <c r="S634" s="1023"/>
      <c r="T634" s="1023"/>
      <c r="U634" s="1023"/>
      <c r="V634" s="1023"/>
      <c r="W634" s="1023"/>
      <c r="X634" s="1023"/>
      <c r="Y634" s="1023"/>
      <c r="Z634" s="1023"/>
    </row>
    <row r="635" spans="1:26" ht="11.25" customHeight="1" x14ac:dyDescent="0.2">
      <c r="A635" s="1023"/>
      <c r="B635" s="1023"/>
      <c r="C635" s="1023"/>
      <c r="D635" s="1023"/>
      <c r="E635" s="1023"/>
      <c r="F635" s="1023"/>
      <c r="G635" s="1023"/>
      <c r="H635" s="1023"/>
      <c r="I635" s="1023"/>
      <c r="J635" s="1023"/>
      <c r="K635" s="1023"/>
      <c r="L635" s="1023"/>
      <c r="M635" s="1023"/>
      <c r="N635" s="1023"/>
      <c r="O635" s="1023"/>
      <c r="P635" s="1023"/>
      <c r="Q635" s="1023"/>
      <c r="R635" s="1023"/>
      <c r="S635" s="1023"/>
      <c r="T635" s="1023"/>
      <c r="U635" s="1023"/>
      <c r="V635" s="1023"/>
      <c r="W635" s="1023"/>
      <c r="X635" s="1023"/>
      <c r="Y635" s="1023"/>
      <c r="Z635" s="1023"/>
    </row>
    <row r="636" spans="1:26" ht="11.25" customHeight="1" x14ac:dyDescent="0.2">
      <c r="A636" s="1023"/>
      <c r="B636" s="1023"/>
      <c r="C636" s="1023"/>
      <c r="D636" s="1023"/>
      <c r="E636" s="1023"/>
      <c r="F636" s="1023"/>
      <c r="G636" s="1023"/>
      <c r="H636" s="1023"/>
      <c r="I636" s="1023"/>
      <c r="J636" s="1023"/>
      <c r="K636" s="1023"/>
      <c r="L636" s="1023"/>
      <c r="M636" s="1023"/>
      <c r="N636" s="1023"/>
      <c r="O636" s="1023"/>
      <c r="P636" s="1023"/>
      <c r="Q636" s="1023"/>
      <c r="R636" s="1023"/>
      <c r="S636" s="1023"/>
      <c r="T636" s="1023"/>
      <c r="U636" s="1023"/>
      <c r="V636" s="1023"/>
      <c r="W636" s="1023"/>
      <c r="X636" s="1023"/>
      <c r="Y636" s="1023"/>
      <c r="Z636" s="1023"/>
    </row>
    <row r="637" spans="1:26" ht="11.25" customHeight="1" x14ac:dyDescent="0.2">
      <c r="A637" s="1023"/>
      <c r="B637" s="1023"/>
      <c r="C637" s="1023"/>
      <c r="D637" s="1023"/>
      <c r="E637" s="1023"/>
      <c r="F637" s="1023"/>
      <c r="G637" s="1023"/>
      <c r="H637" s="1023"/>
      <c r="I637" s="1023"/>
      <c r="J637" s="1023"/>
      <c r="K637" s="1023"/>
      <c r="L637" s="1023"/>
      <c r="M637" s="1023"/>
      <c r="N637" s="1023"/>
      <c r="O637" s="1023"/>
      <c r="P637" s="1023"/>
      <c r="Q637" s="1023"/>
      <c r="R637" s="1023"/>
      <c r="S637" s="1023"/>
      <c r="T637" s="1023"/>
      <c r="U637" s="1023"/>
      <c r="V637" s="1023"/>
      <c r="W637" s="1023"/>
      <c r="X637" s="1023"/>
      <c r="Y637" s="1023"/>
      <c r="Z637" s="1023"/>
    </row>
    <row r="638" spans="1:26" ht="11.25" customHeight="1" x14ac:dyDescent="0.2">
      <c r="A638" s="1023"/>
      <c r="B638" s="1023"/>
      <c r="C638" s="1023"/>
      <c r="D638" s="1023"/>
      <c r="E638" s="1023"/>
      <c r="F638" s="1023"/>
      <c r="G638" s="1023"/>
      <c r="H638" s="1023"/>
      <c r="I638" s="1023"/>
      <c r="J638" s="1023"/>
      <c r="K638" s="1023"/>
      <c r="L638" s="1023"/>
      <c r="M638" s="1023"/>
      <c r="N638" s="1023"/>
      <c r="O638" s="1023"/>
      <c r="P638" s="1023"/>
      <c r="Q638" s="1023"/>
      <c r="R638" s="1023"/>
      <c r="S638" s="1023"/>
      <c r="T638" s="1023"/>
      <c r="U638" s="1023"/>
      <c r="V638" s="1023"/>
      <c r="W638" s="1023"/>
      <c r="X638" s="1023"/>
      <c r="Y638" s="1023"/>
      <c r="Z638" s="1023"/>
    </row>
    <row r="639" spans="1:26" ht="11.25" customHeight="1" x14ac:dyDescent="0.2">
      <c r="A639" s="1023"/>
      <c r="B639" s="1023"/>
      <c r="C639" s="1023"/>
      <c r="D639" s="1023"/>
      <c r="E639" s="1023"/>
      <c r="F639" s="1023"/>
      <c r="G639" s="1023"/>
      <c r="H639" s="1023"/>
      <c r="I639" s="1023"/>
      <c r="J639" s="1023"/>
      <c r="K639" s="1023"/>
      <c r="L639" s="1023"/>
      <c r="M639" s="1023"/>
      <c r="N639" s="1023"/>
      <c r="O639" s="1023"/>
      <c r="P639" s="1023"/>
      <c r="Q639" s="1023"/>
      <c r="R639" s="1023"/>
      <c r="S639" s="1023"/>
      <c r="T639" s="1023"/>
      <c r="U639" s="1023"/>
      <c r="V639" s="1023"/>
      <c r="W639" s="1023"/>
      <c r="X639" s="1023"/>
      <c r="Y639" s="1023"/>
      <c r="Z639" s="1023"/>
    </row>
    <row r="640" spans="1:26" ht="11.25" customHeight="1" x14ac:dyDescent="0.2">
      <c r="A640" s="1023"/>
      <c r="B640" s="1023"/>
      <c r="C640" s="1023"/>
      <c r="D640" s="1023"/>
      <c r="E640" s="1023"/>
      <c r="F640" s="1023"/>
      <c r="G640" s="1023"/>
      <c r="H640" s="1023"/>
      <c r="I640" s="1023"/>
      <c r="J640" s="1023"/>
      <c r="K640" s="1023"/>
      <c r="L640" s="1023"/>
      <c r="M640" s="1023"/>
      <c r="N640" s="1023"/>
      <c r="O640" s="1023"/>
      <c r="P640" s="1023"/>
      <c r="Q640" s="1023"/>
      <c r="R640" s="1023"/>
      <c r="S640" s="1023"/>
      <c r="T640" s="1023"/>
      <c r="U640" s="1023"/>
      <c r="V640" s="1023"/>
      <c r="W640" s="1023"/>
      <c r="X640" s="1023"/>
      <c r="Y640" s="1023"/>
      <c r="Z640" s="1023"/>
    </row>
    <row r="641" spans="1:26" ht="11.25" customHeight="1" x14ac:dyDescent="0.2">
      <c r="A641" s="1023"/>
      <c r="B641" s="1023"/>
      <c r="C641" s="1023"/>
      <c r="D641" s="1023"/>
      <c r="E641" s="1023"/>
      <c r="F641" s="1023"/>
      <c r="G641" s="1023"/>
      <c r="H641" s="1023"/>
      <c r="I641" s="1023"/>
      <c r="J641" s="1023"/>
      <c r="K641" s="1023"/>
      <c r="L641" s="1023"/>
      <c r="M641" s="1023"/>
      <c r="N641" s="1023"/>
      <c r="O641" s="1023"/>
      <c r="P641" s="1023"/>
      <c r="Q641" s="1023"/>
      <c r="R641" s="1023"/>
      <c r="S641" s="1023"/>
      <c r="T641" s="1023"/>
      <c r="U641" s="1023"/>
      <c r="V641" s="1023"/>
      <c r="W641" s="1023"/>
      <c r="X641" s="1023"/>
      <c r="Y641" s="1023"/>
      <c r="Z641" s="1023"/>
    </row>
    <row r="642" spans="1:26" ht="11.25" customHeight="1" x14ac:dyDescent="0.2">
      <c r="A642" s="1023"/>
      <c r="B642" s="1023"/>
      <c r="C642" s="1023"/>
      <c r="D642" s="1023"/>
      <c r="E642" s="1023"/>
      <c r="F642" s="1023"/>
      <c r="G642" s="1023"/>
      <c r="H642" s="1023"/>
      <c r="I642" s="1023"/>
      <c r="J642" s="1023"/>
      <c r="K642" s="1023"/>
      <c r="L642" s="1023"/>
      <c r="M642" s="1023"/>
      <c r="N642" s="1023"/>
      <c r="O642" s="1023"/>
      <c r="P642" s="1023"/>
      <c r="Q642" s="1023"/>
      <c r="R642" s="1023"/>
      <c r="S642" s="1023"/>
      <c r="T642" s="1023"/>
      <c r="U642" s="1023"/>
      <c r="V642" s="1023"/>
      <c r="W642" s="1023"/>
      <c r="X642" s="1023"/>
      <c r="Y642" s="1023"/>
      <c r="Z642" s="1023"/>
    </row>
    <row r="643" spans="1:26" ht="11.25" customHeight="1" x14ac:dyDescent="0.2">
      <c r="A643" s="1023"/>
      <c r="B643" s="1023"/>
      <c r="C643" s="1023"/>
      <c r="D643" s="1023"/>
      <c r="E643" s="1023"/>
      <c r="F643" s="1023"/>
      <c r="G643" s="1023"/>
      <c r="H643" s="1023"/>
      <c r="I643" s="1023"/>
      <c r="J643" s="1023"/>
      <c r="K643" s="1023"/>
      <c r="L643" s="1023"/>
      <c r="M643" s="1023"/>
      <c r="N643" s="1023"/>
      <c r="O643" s="1023"/>
      <c r="P643" s="1023"/>
      <c r="Q643" s="1023"/>
      <c r="R643" s="1023"/>
      <c r="S643" s="1023"/>
      <c r="T643" s="1023"/>
      <c r="U643" s="1023"/>
      <c r="V643" s="1023"/>
      <c r="W643" s="1023"/>
      <c r="X643" s="1023"/>
      <c r="Y643" s="1023"/>
      <c r="Z643" s="1023"/>
    </row>
    <row r="644" spans="1:26" ht="11.25" customHeight="1" x14ac:dyDescent="0.2">
      <c r="A644" s="1023"/>
      <c r="B644" s="1023"/>
      <c r="C644" s="1023"/>
      <c r="D644" s="1023"/>
      <c r="E644" s="1023"/>
      <c r="F644" s="1023"/>
      <c r="G644" s="1023"/>
      <c r="H644" s="1023"/>
      <c r="I644" s="1023"/>
      <c r="J644" s="1023"/>
      <c r="K644" s="1023"/>
      <c r="L644" s="1023"/>
      <c r="M644" s="1023"/>
      <c r="N644" s="1023"/>
      <c r="O644" s="1023"/>
      <c r="P644" s="1023"/>
      <c r="Q644" s="1023"/>
      <c r="R644" s="1023"/>
      <c r="S644" s="1023"/>
      <c r="T644" s="1023"/>
      <c r="U644" s="1023"/>
      <c r="V644" s="1023"/>
      <c r="W644" s="1023"/>
      <c r="X644" s="1023"/>
      <c r="Y644" s="1023"/>
      <c r="Z644" s="1023"/>
    </row>
    <row r="645" spans="1:26" ht="11.25" customHeight="1" x14ac:dyDescent="0.2">
      <c r="A645" s="1023"/>
      <c r="B645" s="1023"/>
      <c r="C645" s="1023"/>
      <c r="D645" s="1023"/>
      <c r="E645" s="1023"/>
      <c r="F645" s="1023"/>
      <c r="G645" s="1023"/>
      <c r="H645" s="1023"/>
      <c r="I645" s="1023"/>
      <c r="J645" s="1023"/>
      <c r="K645" s="1023"/>
      <c r="L645" s="1023"/>
      <c r="M645" s="1023"/>
      <c r="N645" s="1023"/>
      <c r="O645" s="1023"/>
      <c r="P645" s="1023"/>
      <c r="Q645" s="1023"/>
      <c r="R645" s="1023"/>
      <c r="S645" s="1023"/>
      <c r="T645" s="1023"/>
      <c r="U645" s="1023"/>
      <c r="V645" s="1023"/>
      <c r="W645" s="1023"/>
      <c r="X645" s="1023"/>
      <c r="Y645" s="1023"/>
      <c r="Z645" s="1023"/>
    </row>
    <row r="646" spans="1:26" ht="11.25" customHeight="1" x14ac:dyDescent="0.2">
      <c r="A646" s="1023"/>
      <c r="B646" s="1023"/>
      <c r="C646" s="1023"/>
      <c r="D646" s="1023"/>
      <c r="E646" s="1023"/>
      <c r="F646" s="1023"/>
      <c r="G646" s="1023"/>
      <c r="H646" s="1023"/>
      <c r="I646" s="1023"/>
      <c r="J646" s="1023"/>
      <c r="K646" s="1023"/>
      <c r="L646" s="1023"/>
      <c r="M646" s="1023"/>
      <c r="N646" s="1023"/>
      <c r="O646" s="1023"/>
      <c r="P646" s="1023"/>
      <c r="Q646" s="1023"/>
      <c r="R646" s="1023"/>
      <c r="S646" s="1023"/>
      <c r="T646" s="1023"/>
      <c r="U646" s="1023"/>
      <c r="V646" s="1023"/>
      <c r="W646" s="1023"/>
      <c r="X646" s="1023"/>
      <c r="Y646" s="1023"/>
      <c r="Z646" s="1023"/>
    </row>
    <row r="647" spans="1:26" ht="11.25" customHeight="1" x14ac:dyDescent="0.2">
      <c r="A647" s="1023"/>
      <c r="B647" s="1023"/>
      <c r="C647" s="1023"/>
      <c r="D647" s="1023"/>
      <c r="E647" s="1023"/>
      <c r="F647" s="1023"/>
      <c r="G647" s="1023"/>
      <c r="H647" s="1023"/>
      <c r="I647" s="1023"/>
      <c r="J647" s="1023"/>
      <c r="K647" s="1023"/>
      <c r="L647" s="1023"/>
      <c r="M647" s="1023"/>
      <c r="N647" s="1023"/>
      <c r="O647" s="1023"/>
      <c r="P647" s="1023"/>
      <c r="Q647" s="1023"/>
      <c r="R647" s="1023"/>
      <c r="S647" s="1023"/>
      <c r="T647" s="1023"/>
      <c r="U647" s="1023"/>
      <c r="V647" s="1023"/>
      <c r="W647" s="1023"/>
      <c r="X647" s="1023"/>
      <c r="Y647" s="1023"/>
      <c r="Z647" s="1023"/>
    </row>
    <row r="648" spans="1:26" ht="11.25" customHeight="1" x14ac:dyDescent="0.2">
      <c r="A648" s="1023"/>
      <c r="B648" s="1023"/>
      <c r="C648" s="1023"/>
      <c r="D648" s="1023"/>
      <c r="E648" s="1023"/>
      <c r="F648" s="1023"/>
      <c r="G648" s="1023"/>
      <c r="H648" s="1023"/>
      <c r="I648" s="1023"/>
      <c r="J648" s="1023"/>
      <c r="K648" s="1023"/>
      <c r="L648" s="1023"/>
      <c r="M648" s="1023"/>
      <c r="N648" s="1023"/>
      <c r="O648" s="1023"/>
      <c r="P648" s="1023"/>
      <c r="Q648" s="1023"/>
      <c r="R648" s="1023"/>
      <c r="S648" s="1023"/>
      <c r="T648" s="1023"/>
      <c r="U648" s="1023"/>
      <c r="V648" s="1023"/>
      <c r="W648" s="1023"/>
      <c r="X648" s="1023"/>
      <c r="Y648" s="1023"/>
      <c r="Z648" s="1023"/>
    </row>
    <row r="649" spans="1:26" ht="11.25" customHeight="1" x14ac:dyDescent="0.2">
      <c r="A649" s="1023"/>
      <c r="B649" s="1023"/>
      <c r="C649" s="1023"/>
      <c r="D649" s="1023"/>
      <c r="E649" s="1023"/>
      <c r="F649" s="1023"/>
      <c r="G649" s="1023"/>
      <c r="H649" s="1023"/>
      <c r="I649" s="1023"/>
      <c r="J649" s="1023"/>
      <c r="K649" s="1023"/>
      <c r="L649" s="1023"/>
      <c r="M649" s="1023"/>
      <c r="N649" s="1023"/>
      <c r="O649" s="1023"/>
      <c r="P649" s="1023"/>
      <c r="Q649" s="1023"/>
      <c r="R649" s="1023"/>
      <c r="S649" s="1023"/>
      <c r="T649" s="1023"/>
      <c r="U649" s="1023"/>
      <c r="V649" s="1023"/>
      <c r="W649" s="1023"/>
      <c r="X649" s="1023"/>
      <c r="Y649" s="1023"/>
      <c r="Z649" s="1023"/>
    </row>
    <row r="650" spans="1:26" ht="11.25" customHeight="1" x14ac:dyDescent="0.2">
      <c r="A650" s="1023"/>
      <c r="B650" s="1023"/>
      <c r="C650" s="1023"/>
      <c r="D650" s="1023"/>
      <c r="E650" s="1023"/>
      <c r="F650" s="1023"/>
      <c r="G650" s="1023"/>
      <c r="H650" s="1023"/>
      <c r="I650" s="1023"/>
      <c r="J650" s="1023"/>
      <c r="K650" s="1023"/>
      <c r="L650" s="1023"/>
      <c r="M650" s="1023"/>
      <c r="N650" s="1023"/>
      <c r="O650" s="1023"/>
      <c r="P650" s="1023"/>
      <c r="Q650" s="1023"/>
      <c r="R650" s="1023"/>
      <c r="S650" s="1023"/>
      <c r="T650" s="1023"/>
      <c r="U650" s="1023"/>
      <c r="V650" s="1023"/>
      <c r="W650" s="1023"/>
      <c r="X650" s="1023"/>
      <c r="Y650" s="1023"/>
      <c r="Z650" s="1023"/>
    </row>
    <row r="651" spans="1:26" ht="11.25" customHeight="1" x14ac:dyDescent="0.2">
      <c r="A651" s="1023"/>
      <c r="B651" s="1023"/>
      <c r="C651" s="1023"/>
      <c r="D651" s="1023"/>
      <c r="E651" s="1023"/>
      <c r="F651" s="1023"/>
      <c r="G651" s="1023"/>
      <c r="H651" s="1023"/>
      <c r="I651" s="1023"/>
      <c r="J651" s="1023"/>
      <c r="K651" s="1023"/>
      <c r="L651" s="1023"/>
      <c r="M651" s="1023"/>
      <c r="N651" s="1023"/>
      <c r="O651" s="1023"/>
      <c r="P651" s="1023"/>
      <c r="Q651" s="1023"/>
      <c r="R651" s="1023"/>
      <c r="S651" s="1023"/>
      <c r="T651" s="1023"/>
      <c r="U651" s="1023"/>
      <c r="V651" s="1023"/>
      <c r="W651" s="1023"/>
      <c r="X651" s="1023"/>
      <c r="Y651" s="1023"/>
      <c r="Z651" s="1023"/>
    </row>
    <row r="652" spans="1:26" ht="11.25" customHeight="1" x14ac:dyDescent="0.2">
      <c r="A652" s="1023"/>
      <c r="B652" s="1023"/>
      <c r="C652" s="1023"/>
      <c r="D652" s="1023"/>
      <c r="E652" s="1023"/>
      <c r="F652" s="1023"/>
      <c r="G652" s="1023"/>
      <c r="H652" s="1023"/>
      <c r="I652" s="1023"/>
      <c r="J652" s="1023"/>
      <c r="K652" s="1023"/>
      <c r="L652" s="1023"/>
      <c r="M652" s="1023"/>
      <c r="N652" s="1023"/>
      <c r="O652" s="1023"/>
      <c r="P652" s="1023"/>
      <c r="Q652" s="1023"/>
      <c r="R652" s="1023"/>
      <c r="S652" s="1023"/>
      <c r="T652" s="1023"/>
      <c r="U652" s="1023"/>
      <c r="V652" s="1023"/>
      <c r="W652" s="1023"/>
      <c r="X652" s="1023"/>
      <c r="Y652" s="1023"/>
      <c r="Z652" s="1023"/>
    </row>
    <row r="653" spans="1:26" ht="11.25" customHeight="1" x14ac:dyDescent="0.2">
      <c r="A653" s="1023"/>
      <c r="B653" s="1023"/>
      <c r="C653" s="1023"/>
      <c r="D653" s="1023"/>
      <c r="E653" s="1023"/>
      <c r="F653" s="1023"/>
      <c r="G653" s="1023"/>
      <c r="H653" s="1023"/>
      <c r="I653" s="1023"/>
      <c r="J653" s="1023"/>
      <c r="K653" s="1023"/>
      <c r="L653" s="1023"/>
      <c r="M653" s="1023"/>
      <c r="N653" s="1023"/>
      <c r="O653" s="1023"/>
      <c r="P653" s="1023"/>
      <c r="Q653" s="1023"/>
      <c r="R653" s="1023"/>
      <c r="S653" s="1023"/>
      <c r="T653" s="1023"/>
      <c r="U653" s="1023"/>
      <c r="V653" s="1023"/>
      <c r="W653" s="1023"/>
      <c r="X653" s="1023"/>
      <c r="Y653" s="1023"/>
      <c r="Z653" s="1023"/>
    </row>
    <row r="654" spans="1:26" ht="11.25" customHeight="1" x14ac:dyDescent="0.2">
      <c r="A654" s="1023"/>
      <c r="B654" s="1023"/>
      <c r="C654" s="1023"/>
      <c r="D654" s="1023"/>
      <c r="E654" s="1023"/>
      <c r="F654" s="1023"/>
      <c r="G654" s="1023"/>
      <c r="H654" s="1023"/>
      <c r="I654" s="1023"/>
      <c r="J654" s="1023"/>
      <c r="K654" s="1023"/>
      <c r="L654" s="1023"/>
      <c r="M654" s="1023"/>
      <c r="N654" s="1023"/>
      <c r="O654" s="1023"/>
      <c r="P654" s="1023"/>
      <c r="Q654" s="1023"/>
      <c r="R654" s="1023"/>
      <c r="S654" s="1023"/>
      <c r="T654" s="1023"/>
      <c r="U654" s="1023"/>
      <c r="V654" s="1023"/>
      <c r="W654" s="1023"/>
      <c r="X654" s="1023"/>
      <c r="Y654" s="1023"/>
      <c r="Z654" s="1023"/>
    </row>
    <row r="655" spans="1:26" ht="11.25" customHeight="1" x14ac:dyDescent="0.2">
      <c r="A655" s="1023"/>
      <c r="B655" s="1023"/>
      <c r="C655" s="1023"/>
      <c r="D655" s="1023"/>
      <c r="E655" s="1023"/>
      <c r="F655" s="1023"/>
      <c r="G655" s="1023"/>
      <c r="H655" s="1023"/>
      <c r="I655" s="1023"/>
      <c r="J655" s="1023"/>
      <c r="K655" s="1023"/>
      <c r="L655" s="1023"/>
      <c r="M655" s="1023"/>
      <c r="N655" s="1023"/>
      <c r="O655" s="1023"/>
      <c r="P655" s="1023"/>
      <c r="Q655" s="1023"/>
      <c r="R655" s="1023"/>
      <c r="S655" s="1023"/>
      <c r="T655" s="1023"/>
      <c r="U655" s="1023"/>
      <c r="V655" s="1023"/>
      <c r="W655" s="1023"/>
      <c r="X655" s="1023"/>
      <c r="Y655" s="1023"/>
      <c r="Z655" s="1023"/>
    </row>
    <row r="656" spans="1:26" ht="11.25" customHeight="1" x14ac:dyDescent="0.2">
      <c r="A656" s="1023"/>
      <c r="B656" s="1023"/>
      <c r="C656" s="1023"/>
      <c r="D656" s="1023"/>
      <c r="E656" s="1023"/>
      <c r="F656" s="1023"/>
      <c r="G656" s="1023"/>
      <c r="H656" s="1023"/>
      <c r="I656" s="1023"/>
      <c r="J656" s="1023"/>
      <c r="K656" s="1023"/>
      <c r="L656" s="1023"/>
      <c r="M656" s="1023"/>
      <c r="N656" s="1023"/>
      <c r="O656" s="1023"/>
      <c r="P656" s="1023"/>
      <c r="Q656" s="1023"/>
      <c r="R656" s="1023"/>
      <c r="S656" s="1023"/>
      <c r="T656" s="1023"/>
      <c r="U656" s="1023"/>
      <c r="V656" s="1023"/>
      <c r="W656" s="1023"/>
      <c r="X656" s="1023"/>
      <c r="Y656" s="1023"/>
      <c r="Z656" s="1023"/>
    </row>
    <row r="657" spans="1:26" ht="11.25" customHeight="1" x14ac:dyDescent="0.2">
      <c r="A657" s="1023"/>
      <c r="B657" s="1023"/>
      <c r="C657" s="1023"/>
      <c r="D657" s="1023"/>
      <c r="E657" s="1023"/>
      <c r="F657" s="1023"/>
      <c r="G657" s="1023"/>
      <c r="H657" s="1023"/>
      <c r="I657" s="1023"/>
      <c r="J657" s="1023"/>
      <c r="K657" s="1023"/>
      <c r="L657" s="1023"/>
      <c r="M657" s="1023"/>
      <c r="N657" s="1023"/>
      <c r="O657" s="1023"/>
      <c r="P657" s="1023"/>
      <c r="Q657" s="1023"/>
      <c r="R657" s="1023"/>
      <c r="S657" s="1023"/>
      <c r="T657" s="1023"/>
      <c r="U657" s="1023"/>
      <c r="V657" s="1023"/>
      <c r="W657" s="1023"/>
      <c r="X657" s="1023"/>
      <c r="Y657" s="1023"/>
      <c r="Z657" s="1023"/>
    </row>
    <row r="658" spans="1:26" ht="11.25" customHeight="1" x14ac:dyDescent="0.2">
      <c r="A658" s="1023"/>
      <c r="B658" s="1023"/>
      <c r="C658" s="1023"/>
      <c r="D658" s="1023"/>
      <c r="E658" s="1023"/>
      <c r="F658" s="1023"/>
      <c r="G658" s="1023"/>
      <c r="H658" s="1023"/>
      <c r="I658" s="1023"/>
      <c r="J658" s="1023"/>
      <c r="K658" s="1023"/>
      <c r="L658" s="1023"/>
      <c r="M658" s="1023"/>
      <c r="N658" s="1023"/>
      <c r="O658" s="1023"/>
      <c r="P658" s="1023"/>
      <c r="Q658" s="1023"/>
      <c r="R658" s="1023"/>
      <c r="S658" s="1023"/>
      <c r="T658" s="1023"/>
      <c r="U658" s="1023"/>
      <c r="V658" s="1023"/>
      <c r="W658" s="1023"/>
      <c r="X658" s="1023"/>
      <c r="Y658" s="1023"/>
      <c r="Z658" s="1023"/>
    </row>
    <row r="659" spans="1:26" ht="11.25" customHeight="1" x14ac:dyDescent="0.2">
      <c r="A659" s="1023"/>
      <c r="B659" s="1023"/>
      <c r="C659" s="1023"/>
      <c r="D659" s="1023"/>
      <c r="E659" s="1023"/>
      <c r="F659" s="1023"/>
      <c r="G659" s="1023"/>
      <c r="H659" s="1023"/>
      <c r="I659" s="1023"/>
      <c r="J659" s="1023"/>
      <c r="K659" s="1023"/>
      <c r="L659" s="1023"/>
      <c r="M659" s="1023"/>
      <c r="N659" s="1023"/>
      <c r="O659" s="1023"/>
      <c r="P659" s="1023"/>
      <c r="Q659" s="1023"/>
      <c r="R659" s="1023"/>
      <c r="S659" s="1023"/>
      <c r="T659" s="1023"/>
      <c r="U659" s="1023"/>
      <c r="V659" s="1023"/>
      <c r="W659" s="1023"/>
      <c r="X659" s="1023"/>
      <c r="Y659" s="1023"/>
      <c r="Z659" s="1023"/>
    </row>
    <row r="660" spans="1:26" ht="11.25" customHeight="1" x14ac:dyDescent="0.2">
      <c r="A660" s="1023"/>
      <c r="B660" s="1023"/>
      <c r="C660" s="1023"/>
      <c r="D660" s="1023"/>
      <c r="E660" s="1023"/>
      <c r="F660" s="1023"/>
      <c r="G660" s="1023"/>
      <c r="H660" s="1023"/>
      <c r="I660" s="1023"/>
      <c r="J660" s="1023"/>
      <c r="K660" s="1023"/>
      <c r="L660" s="1023"/>
      <c r="M660" s="1023"/>
      <c r="N660" s="1023"/>
      <c r="O660" s="1023"/>
      <c r="P660" s="1023"/>
      <c r="Q660" s="1023"/>
      <c r="R660" s="1023"/>
      <c r="S660" s="1023"/>
      <c r="T660" s="1023"/>
      <c r="U660" s="1023"/>
      <c r="V660" s="1023"/>
      <c r="W660" s="1023"/>
      <c r="X660" s="1023"/>
      <c r="Y660" s="1023"/>
      <c r="Z660" s="1023"/>
    </row>
    <row r="661" spans="1:26" ht="11.25" customHeight="1" x14ac:dyDescent="0.2">
      <c r="A661" s="1023"/>
      <c r="B661" s="1023"/>
      <c r="C661" s="1023"/>
      <c r="D661" s="1023"/>
      <c r="E661" s="1023"/>
      <c r="F661" s="1023"/>
      <c r="G661" s="1023"/>
      <c r="H661" s="1023"/>
      <c r="I661" s="1023"/>
      <c r="J661" s="1023"/>
      <c r="K661" s="1023"/>
      <c r="L661" s="1023"/>
      <c r="M661" s="1023"/>
      <c r="N661" s="1023"/>
      <c r="O661" s="1023"/>
      <c r="P661" s="1023"/>
      <c r="Q661" s="1023"/>
      <c r="R661" s="1023"/>
      <c r="S661" s="1023"/>
      <c r="T661" s="1023"/>
      <c r="U661" s="1023"/>
      <c r="V661" s="1023"/>
      <c r="W661" s="1023"/>
      <c r="X661" s="1023"/>
      <c r="Y661" s="1023"/>
      <c r="Z661" s="1023"/>
    </row>
    <row r="662" spans="1:26" ht="11.25" customHeight="1" x14ac:dyDescent="0.2">
      <c r="A662" s="1023"/>
      <c r="B662" s="1023"/>
      <c r="C662" s="1023"/>
      <c r="D662" s="1023"/>
      <c r="E662" s="1023"/>
      <c r="F662" s="1023"/>
      <c r="G662" s="1023"/>
      <c r="H662" s="1023"/>
      <c r="I662" s="1023"/>
      <c r="J662" s="1023"/>
      <c r="K662" s="1023"/>
      <c r="L662" s="1023"/>
      <c r="M662" s="1023"/>
      <c r="N662" s="1023"/>
      <c r="O662" s="1023"/>
      <c r="P662" s="1023"/>
      <c r="Q662" s="1023"/>
      <c r="R662" s="1023"/>
      <c r="S662" s="1023"/>
      <c r="T662" s="1023"/>
      <c r="U662" s="1023"/>
      <c r="V662" s="1023"/>
      <c r="W662" s="1023"/>
      <c r="X662" s="1023"/>
      <c r="Y662" s="1023"/>
      <c r="Z662" s="1023"/>
    </row>
    <row r="663" spans="1:26" ht="11.25" customHeight="1" x14ac:dyDescent="0.2">
      <c r="A663" s="1023"/>
      <c r="B663" s="1023"/>
      <c r="C663" s="1023"/>
      <c r="D663" s="1023"/>
      <c r="E663" s="1023"/>
      <c r="F663" s="1023"/>
      <c r="G663" s="1023"/>
      <c r="H663" s="1023"/>
      <c r="I663" s="1023"/>
      <c r="J663" s="1023"/>
      <c r="K663" s="1023"/>
      <c r="L663" s="1023"/>
      <c r="M663" s="1023"/>
      <c r="N663" s="1023"/>
      <c r="O663" s="1023"/>
      <c r="P663" s="1023"/>
      <c r="Q663" s="1023"/>
      <c r="R663" s="1023"/>
      <c r="S663" s="1023"/>
      <c r="T663" s="1023"/>
      <c r="U663" s="1023"/>
      <c r="V663" s="1023"/>
      <c r="W663" s="1023"/>
      <c r="X663" s="1023"/>
      <c r="Y663" s="1023"/>
      <c r="Z663" s="1023"/>
    </row>
    <row r="664" spans="1:26" ht="11.25" customHeight="1" x14ac:dyDescent="0.2">
      <c r="A664" s="1023"/>
      <c r="B664" s="1023"/>
      <c r="C664" s="1023"/>
      <c r="D664" s="1023"/>
      <c r="E664" s="1023"/>
      <c r="F664" s="1023"/>
      <c r="G664" s="1023"/>
      <c r="H664" s="1023"/>
      <c r="I664" s="1023"/>
      <c r="J664" s="1023"/>
      <c r="K664" s="1023"/>
      <c r="L664" s="1023"/>
      <c r="M664" s="1023"/>
      <c r="N664" s="1023"/>
      <c r="O664" s="1023"/>
      <c r="P664" s="1023"/>
      <c r="Q664" s="1023"/>
      <c r="R664" s="1023"/>
      <c r="S664" s="1023"/>
      <c r="T664" s="1023"/>
      <c r="U664" s="1023"/>
      <c r="V664" s="1023"/>
      <c r="W664" s="1023"/>
      <c r="X664" s="1023"/>
      <c r="Y664" s="1023"/>
      <c r="Z664" s="1023"/>
    </row>
    <row r="665" spans="1:26" ht="11.25" customHeight="1" x14ac:dyDescent="0.2">
      <c r="A665" s="1023"/>
      <c r="B665" s="1023"/>
      <c r="C665" s="1023"/>
      <c r="D665" s="1023"/>
      <c r="E665" s="1023"/>
      <c r="F665" s="1023"/>
      <c r="G665" s="1023"/>
      <c r="H665" s="1023"/>
      <c r="I665" s="1023"/>
      <c r="J665" s="1023"/>
      <c r="K665" s="1023"/>
      <c r="L665" s="1023"/>
      <c r="M665" s="1023"/>
      <c r="N665" s="1023"/>
      <c r="O665" s="1023"/>
      <c r="P665" s="1023"/>
      <c r="Q665" s="1023"/>
      <c r="R665" s="1023"/>
      <c r="S665" s="1023"/>
      <c r="T665" s="1023"/>
      <c r="U665" s="1023"/>
      <c r="V665" s="1023"/>
      <c r="W665" s="1023"/>
      <c r="X665" s="1023"/>
      <c r="Y665" s="1023"/>
      <c r="Z665" s="1023"/>
    </row>
    <row r="666" spans="1:26" ht="11.25" customHeight="1" x14ac:dyDescent="0.2">
      <c r="A666" s="1023"/>
      <c r="B666" s="1023"/>
      <c r="C666" s="1023"/>
      <c r="D666" s="1023"/>
      <c r="E666" s="1023"/>
      <c r="F666" s="1023"/>
      <c r="G666" s="1023"/>
      <c r="H666" s="1023"/>
      <c r="I666" s="1023"/>
      <c r="J666" s="1023"/>
      <c r="K666" s="1023"/>
      <c r="L666" s="1023"/>
      <c r="M666" s="1023"/>
      <c r="N666" s="1023"/>
      <c r="O666" s="1023"/>
      <c r="P666" s="1023"/>
      <c r="Q666" s="1023"/>
      <c r="R666" s="1023"/>
      <c r="S666" s="1023"/>
      <c r="T666" s="1023"/>
      <c r="U666" s="1023"/>
      <c r="V666" s="1023"/>
      <c r="W666" s="1023"/>
      <c r="X666" s="1023"/>
      <c r="Y666" s="1023"/>
      <c r="Z666" s="1023"/>
    </row>
    <row r="667" spans="1:26" ht="11.25" customHeight="1" x14ac:dyDescent="0.2">
      <c r="A667" s="1023"/>
      <c r="B667" s="1023"/>
      <c r="C667" s="1023"/>
      <c r="D667" s="1023"/>
      <c r="E667" s="1023"/>
      <c r="F667" s="1023"/>
      <c r="G667" s="1023"/>
      <c r="H667" s="1023"/>
      <c r="I667" s="1023"/>
      <c r="J667" s="1023"/>
      <c r="K667" s="1023"/>
      <c r="L667" s="1023"/>
      <c r="M667" s="1023"/>
      <c r="N667" s="1023"/>
      <c r="O667" s="1023"/>
      <c r="P667" s="1023"/>
      <c r="Q667" s="1023"/>
      <c r="R667" s="1023"/>
      <c r="S667" s="1023"/>
      <c r="T667" s="1023"/>
      <c r="U667" s="1023"/>
      <c r="V667" s="1023"/>
      <c r="W667" s="1023"/>
      <c r="X667" s="1023"/>
      <c r="Y667" s="1023"/>
      <c r="Z667" s="1023"/>
    </row>
    <row r="668" spans="1:26" ht="11.25" customHeight="1" x14ac:dyDescent="0.2">
      <c r="A668" s="1023"/>
      <c r="B668" s="1023"/>
      <c r="C668" s="1023"/>
      <c r="D668" s="1023"/>
      <c r="E668" s="1023"/>
      <c r="F668" s="1023"/>
      <c r="G668" s="1023"/>
      <c r="H668" s="1023"/>
      <c r="I668" s="1023"/>
      <c r="J668" s="1023"/>
      <c r="K668" s="1023"/>
      <c r="L668" s="1023"/>
      <c r="M668" s="1023"/>
      <c r="N668" s="1023"/>
      <c r="O668" s="1023"/>
      <c r="P668" s="1023"/>
      <c r="Q668" s="1023"/>
      <c r="R668" s="1023"/>
      <c r="S668" s="1023"/>
      <c r="T668" s="1023"/>
      <c r="U668" s="1023"/>
      <c r="V668" s="1023"/>
      <c r="W668" s="1023"/>
      <c r="X668" s="1023"/>
      <c r="Y668" s="1023"/>
      <c r="Z668" s="1023"/>
    </row>
    <row r="669" spans="1:26" ht="11.25" customHeight="1" x14ac:dyDescent="0.2">
      <c r="A669" s="1023"/>
      <c r="B669" s="1023"/>
      <c r="C669" s="1023"/>
      <c r="D669" s="1023"/>
      <c r="E669" s="1023"/>
      <c r="F669" s="1023"/>
      <c r="G669" s="1023"/>
      <c r="H669" s="1023"/>
      <c r="I669" s="1023"/>
      <c r="J669" s="1023"/>
      <c r="K669" s="1023"/>
      <c r="L669" s="1023"/>
      <c r="M669" s="1023"/>
      <c r="N669" s="1023"/>
      <c r="O669" s="1023"/>
      <c r="P669" s="1023"/>
      <c r="Q669" s="1023"/>
      <c r="R669" s="1023"/>
      <c r="S669" s="1023"/>
      <c r="T669" s="1023"/>
      <c r="U669" s="1023"/>
      <c r="V669" s="1023"/>
      <c r="W669" s="1023"/>
      <c r="X669" s="1023"/>
      <c r="Y669" s="1023"/>
      <c r="Z669" s="1023"/>
    </row>
    <row r="670" spans="1:26" ht="11.25" customHeight="1" x14ac:dyDescent="0.2">
      <c r="A670" s="1023"/>
      <c r="B670" s="1023"/>
      <c r="C670" s="1023"/>
      <c r="D670" s="1023"/>
      <c r="E670" s="1023"/>
      <c r="F670" s="1023"/>
      <c r="G670" s="1023"/>
      <c r="H670" s="1023"/>
      <c r="I670" s="1023"/>
      <c r="J670" s="1023"/>
      <c r="K670" s="1023"/>
      <c r="L670" s="1023"/>
      <c r="M670" s="1023"/>
      <c r="N670" s="1023"/>
      <c r="O670" s="1023"/>
      <c r="P670" s="1023"/>
      <c r="Q670" s="1023"/>
      <c r="R670" s="1023"/>
      <c r="S670" s="1023"/>
      <c r="T670" s="1023"/>
      <c r="U670" s="1023"/>
      <c r="V670" s="1023"/>
      <c r="W670" s="1023"/>
      <c r="X670" s="1023"/>
      <c r="Y670" s="1023"/>
      <c r="Z670" s="1023"/>
    </row>
    <row r="671" spans="1:26" ht="11.25" customHeight="1" x14ac:dyDescent="0.2">
      <c r="A671" s="1023"/>
      <c r="B671" s="1023"/>
      <c r="C671" s="1023"/>
      <c r="D671" s="1023"/>
      <c r="E671" s="1023"/>
      <c r="F671" s="1023"/>
      <c r="G671" s="1023"/>
      <c r="H671" s="1023"/>
      <c r="I671" s="1023"/>
      <c r="J671" s="1023"/>
      <c r="K671" s="1023"/>
      <c r="L671" s="1023"/>
      <c r="M671" s="1023"/>
      <c r="N671" s="1023"/>
      <c r="O671" s="1023"/>
      <c r="P671" s="1023"/>
      <c r="Q671" s="1023"/>
      <c r="R671" s="1023"/>
      <c r="S671" s="1023"/>
      <c r="T671" s="1023"/>
      <c r="U671" s="1023"/>
      <c r="V671" s="1023"/>
      <c r="W671" s="1023"/>
      <c r="X671" s="1023"/>
      <c r="Y671" s="1023"/>
      <c r="Z671" s="1023"/>
    </row>
    <row r="672" spans="1:26" ht="11.25" customHeight="1" x14ac:dyDescent="0.2">
      <c r="A672" s="1023"/>
      <c r="B672" s="1023"/>
      <c r="C672" s="1023"/>
      <c r="D672" s="1023"/>
      <c r="E672" s="1023"/>
      <c r="F672" s="1023"/>
      <c r="G672" s="1023"/>
      <c r="H672" s="1023"/>
      <c r="I672" s="1023"/>
      <c r="J672" s="1023"/>
      <c r="K672" s="1023"/>
      <c r="L672" s="1023"/>
      <c r="M672" s="1023"/>
      <c r="N672" s="1023"/>
      <c r="O672" s="1023"/>
      <c r="P672" s="1023"/>
      <c r="Q672" s="1023"/>
      <c r="R672" s="1023"/>
      <c r="S672" s="1023"/>
      <c r="T672" s="1023"/>
      <c r="U672" s="1023"/>
      <c r="V672" s="1023"/>
      <c r="W672" s="1023"/>
      <c r="X672" s="1023"/>
      <c r="Y672" s="1023"/>
      <c r="Z672" s="1023"/>
    </row>
    <row r="673" spans="1:26" ht="11.25" customHeight="1" x14ac:dyDescent="0.2">
      <c r="A673" s="1023"/>
      <c r="B673" s="1023"/>
      <c r="C673" s="1023"/>
      <c r="D673" s="1023"/>
      <c r="E673" s="1023"/>
      <c r="F673" s="1023"/>
      <c r="G673" s="1023"/>
      <c r="H673" s="1023"/>
      <c r="I673" s="1023"/>
      <c r="J673" s="1023"/>
      <c r="K673" s="1023"/>
      <c r="L673" s="1023"/>
      <c r="M673" s="1023"/>
      <c r="N673" s="1023"/>
      <c r="O673" s="1023"/>
      <c r="P673" s="1023"/>
      <c r="Q673" s="1023"/>
      <c r="R673" s="1023"/>
      <c r="S673" s="1023"/>
      <c r="T673" s="1023"/>
      <c r="U673" s="1023"/>
      <c r="V673" s="1023"/>
      <c r="W673" s="1023"/>
      <c r="X673" s="1023"/>
      <c r="Y673" s="1023"/>
      <c r="Z673" s="1023"/>
    </row>
    <row r="674" spans="1:26" ht="11.25" customHeight="1" x14ac:dyDescent="0.2">
      <c r="A674" s="1023"/>
      <c r="B674" s="1023"/>
      <c r="C674" s="1023"/>
      <c r="D674" s="1023"/>
      <c r="E674" s="1023"/>
      <c r="F674" s="1023"/>
      <c r="G674" s="1023"/>
      <c r="H674" s="1023"/>
      <c r="I674" s="1023"/>
      <c r="J674" s="1023"/>
      <c r="K674" s="1023"/>
      <c r="L674" s="1023"/>
      <c r="M674" s="1023"/>
      <c r="N674" s="1023"/>
      <c r="O674" s="1023"/>
      <c r="P674" s="1023"/>
      <c r="Q674" s="1023"/>
      <c r="R674" s="1023"/>
      <c r="S674" s="1023"/>
      <c r="T674" s="1023"/>
      <c r="U674" s="1023"/>
      <c r="V674" s="1023"/>
      <c r="W674" s="1023"/>
      <c r="X674" s="1023"/>
      <c r="Y674" s="1023"/>
      <c r="Z674" s="1023"/>
    </row>
    <row r="675" spans="1:26" ht="11.25" customHeight="1" x14ac:dyDescent="0.2">
      <c r="A675" s="1023"/>
      <c r="B675" s="1023"/>
      <c r="C675" s="1023"/>
      <c r="D675" s="1023"/>
      <c r="E675" s="1023"/>
      <c r="F675" s="1023"/>
      <c r="G675" s="1023"/>
      <c r="H675" s="1023"/>
      <c r="I675" s="1023"/>
      <c r="J675" s="1023"/>
      <c r="K675" s="1023"/>
      <c r="L675" s="1023"/>
      <c r="M675" s="1023"/>
      <c r="N675" s="1023"/>
      <c r="O675" s="1023"/>
      <c r="P675" s="1023"/>
      <c r="Q675" s="1023"/>
      <c r="R675" s="1023"/>
      <c r="S675" s="1023"/>
      <c r="T675" s="1023"/>
      <c r="U675" s="1023"/>
      <c r="V675" s="1023"/>
      <c r="W675" s="1023"/>
      <c r="X675" s="1023"/>
      <c r="Y675" s="1023"/>
      <c r="Z675" s="1023"/>
    </row>
    <row r="676" spans="1:26" ht="11.25" customHeight="1" x14ac:dyDescent="0.2">
      <c r="A676" s="1023"/>
      <c r="B676" s="1023"/>
      <c r="C676" s="1023"/>
      <c r="D676" s="1023"/>
      <c r="E676" s="1023"/>
      <c r="F676" s="1023"/>
      <c r="G676" s="1023"/>
      <c r="H676" s="1023"/>
      <c r="I676" s="1023"/>
      <c r="J676" s="1023"/>
      <c r="K676" s="1023"/>
      <c r="L676" s="1023"/>
      <c r="M676" s="1023"/>
      <c r="N676" s="1023"/>
      <c r="O676" s="1023"/>
      <c r="P676" s="1023"/>
      <c r="Q676" s="1023"/>
      <c r="R676" s="1023"/>
      <c r="S676" s="1023"/>
      <c r="T676" s="1023"/>
      <c r="U676" s="1023"/>
      <c r="V676" s="1023"/>
      <c r="W676" s="1023"/>
      <c r="X676" s="1023"/>
      <c r="Y676" s="1023"/>
      <c r="Z676" s="1023"/>
    </row>
    <row r="677" spans="1:26" ht="11.25" customHeight="1" x14ac:dyDescent="0.2">
      <c r="A677" s="1023"/>
      <c r="B677" s="1023"/>
      <c r="C677" s="1023"/>
      <c r="D677" s="1023"/>
      <c r="E677" s="1023"/>
      <c r="F677" s="1023"/>
      <c r="G677" s="1023"/>
      <c r="H677" s="1023"/>
      <c r="I677" s="1023"/>
      <c r="J677" s="1023"/>
      <c r="K677" s="1023"/>
      <c r="L677" s="1023"/>
      <c r="M677" s="1023"/>
      <c r="N677" s="1023"/>
      <c r="O677" s="1023"/>
      <c r="P677" s="1023"/>
      <c r="Q677" s="1023"/>
      <c r="R677" s="1023"/>
      <c r="S677" s="1023"/>
      <c r="T677" s="1023"/>
      <c r="U677" s="1023"/>
      <c r="V677" s="1023"/>
      <c r="W677" s="1023"/>
      <c r="X677" s="1023"/>
      <c r="Y677" s="1023"/>
      <c r="Z677" s="1023"/>
    </row>
    <row r="678" spans="1:26" ht="11.25" customHeight="1" x14ac:dyDescent="0.2">
      <c r="A678" s="1023"/>
      <c r="B678" s="1023"/>
      <c r="C678" s="1023"/>
      <c r="D678" s="1023"/>
      <c r="E678" s="1023"/>
      <c r="F678" s="1023"/>
      <c r="G678" s="1023"/>
      <c r="H678" s="1023"/>
      <c r="I678" s="1023"/>
      <c r="J678" s="1023"/>
      <c r="K678" s="1023"/>
      <c r="L678" s="1023"/>
      <c r="M678" s="1023"/>
      <c r="N678" s="1023"/>
      <c r="O678" s="1023"/>
      <c r="P678" s="1023"/>
      <c r="Q678" s="1023"/>
      <c r="R678" s="1023"/>
      <c r="S678" s="1023"/>
      <c r="T678" s="1023"/>
      <c r="U678" s="1023"/>
      <c r="V678" s="1023"/>
      <c r="W678" s="1023"/>
      <c r="X678" s="1023"/>
      <c r="Y678" s="1023"/>
      <c r="Z678" s="1023"/>
    </row>
    <row r="679" spans="1:26" ht="11.25" customHeight="1" x14ac:dyDescent="0.2">
      <c r="A679" s="1023"/>
      <c r="B679" s="1023"/>
      <c r="C679" s="1023"/>
      <c r="D679" s="1023"/>
      <c r="E679" s="1023"/>
      <c r="F679" s="1023"/>
      <c r="G679" s="1023"/>
      <c r="H679" s="1023"/>
      <c r="I679" s="1023"/>
      <c r="J679" s="1023"/>
      <c r="K679" s="1023"/>
      <c r="L679" s="1023"/>
      <c r="M679" s="1023"/>
      <c r="N679" s="1023"/>
      <c r="O679" s="1023"/>
      <c r="P679" s="1023"/>
      <c r="Q679" s="1023"/>
      <c r="R679" s="1023"/>
      <c r="S679" s="1023"/>
      <c r="T679" s="1023"/>
      <c r="U679" s="1023"/>
      <c r="V679" s="1023"/>
      <c r="W679" s="1023"/>
      <c r="X679" s="1023"/>
      <c r="Y679" s="1023"/>
      <c r="Z679" s="1023"/>
    </row>
    <row r="680" spans="1:26" ht="11.25" customHeight="1" x14ac:dyDescent="0.2">
      <c r="A680" s="1023"/>
      <c r="B680" s="1023"/>
      <c r="C680" s="1023"/>
      <c r="D680" s="1023"/>
      <c r="E680" s="1023"/>
      <c r="F680" s="1023"/>
      <c r="G680" s="1023"/>
      <c r="H680" s="1023"/>
      <c r="I680" s="1023"/>
      <c r="J680" s="1023"/>
      <c r="K680" s="1023"/>
      <c r="L680" s="1023"/>
      <c r="M680" s="1023"/>
      <c r="N680" s="1023"/>
      <c r="O680" s="1023"/>
      <c r="P680" s="1023"/>
      <c r="Q680" s="1023"/>
      <c r="R680" s="1023"/>
      <c r="S680" s="1023"/>
      <c r="T680" s="1023"/>
      <c r="U680" s="1023"/>
      <c r="V680" s="1023"/>
      <c r="W680" s="1023"/>
      <c r="X680" s="1023"/>
      <c r="Y680" s="1023"/>
      <c r="Z680" s="1023"/>
    </row>
    <row r="681" spans="1:26" ht="11.25" customHeight="1" x14ac:dyDescent="0.2">
      <c r="A681" s="1023"/>
      <c r="B681" s="1023"/>
      <c r="C681" s="1023"/>
      <c r="D681" s="1023"/>
      <c r="E681" s="1023"/>
      <c r="F681" s="1023"/>
      <c r="G681" s="1023"/>
      <c r="H681" s="1023"/>
      <c r="I681" s="1023"/>
      <c r="J681" s="1023"/>
      <c r="K681" s="1023"/>
      <c r="L681" s="1023"/>
      <c r="M681" s="1023"/>
      <c r="N681" s="1023"/>
      <c r="O681" s="1023"/>
      <c r="P681" s="1023"/>
      <c r="Q681" s="1023"/>
      <c r="R681" s="1023"/>
      <c r="S681" s="1023"/>
      <c r="T681" s="1023"/>
      <c r="U681" s="1023"/>
      <c r="V681" s="1023"/>
      <c r="W681" s="1023"/>
      <c r="X681" s="1023"/>
      <c r="Y681" s="1023"/>
      <c r="Z681" s="1023"/>
    </row>
    <row r="682" spans="1:26" ht="11.25" customHeight="1" x14ac:dyDescent="0.2">
      <c r="A682" s="1023"/>
      <c r="B682" s="1023"/>
      <c r="C682" s="1023"/>
      <c r="D682" s="1023"/>
      <c r="E682" s="1023"/>
      <c r="F682" s="1023"/>
      <c r="G682" s="1023"/>
      <c r="H682" s="1023"/>
      <c r="I682" s="1023"/>
      <c r="J682" s="1023"/>
      <c r="K682" s="1023"/>
      <c r="L682" s="1023"/>
      <c r="M682" s="1023"/>
      <c r="N682" s="1023"/>
      <c r="O682" s="1023"/>
      <c r="P682" s="1023"/>
      <c r="Q682" s="1023"/>
      <c r="R682" s="1023"/>
      <c r="S682" s="1023"/>
      <c r="T682" s="1023"/>
      <c r="U682" s="1023"/>
      <c r="V682" s="1023"/>
      <c r="W682" s="1023"/>
      <c r="X682" s="1023"/>
      <c r="Y682" s="1023"/>
      <c r="Z682" s="1023"/>
    </row>
    <row r="683" spans="1:26" ht="11.25" customHeight="1" x14ac:dyDescent="0.2">
      <c r="A683" s="1023"/>
      <c r="B683" s="1023"/>
      <c r="C683" s="1023"/>
      <c r="D683" s="1023"/>
      <c r="E683" s="1023"/>
      <c r="F683" s="1023"/>
      <c r="G683" s="1023"/>
      <c r="H683" s="1023"/>
      <c r="I683" s="1023"/>
      <c r="J683" s="1023"/>
      <c r="K683" s="1023"/>
      <c r="L683" s="1023"/>
      <c r="M683" s="1023"/>
      <c r="N683" s="1023"/>
      <c r="O683" s="1023"/>
      <c r="P683" s="1023"/>
      <c r="Q683" s="1023"/>
      <c r="R683" s="1023"/>
      <c r="S683" s="1023"/>
      <c r="T683" s="1023"/>
      <c r="U683" s="1023"/>
      <c r="V683" s="1023"/>
      <c r="W683" s="1023"/>
      <c r="X683" s="1023"/>
      <c r="Y683" s="1023"/>
      <c r="Z683" s="1023"/>
    </row>
    <row r="684" spans="1:26" ht="11.25" customHeight="1" x14ac:dyDescent="0.2">
      <c r="A684" s="1023"/>
      <c r="B684" s="1023"/>
      <c r="C684" s="1023"/>
      <c r="D684" s="1023"/>
      <c r="E684" s="1023"/>
      <c r="F684" s="1023"/>
      <c r="G684" s="1023"/>
      <c r="H684" s="1023"/>
      <c r="I684" s="1023"/>
      <c r="J684" s="1023"/>
      <c r="K684" s="1023"/>
      <c r="L684" s="1023"/>
      <c r="M684" s="1023"/>
      <c r="N684" s="1023"/>
      <c r="O684" s="1023"/>
      <c r="P684" s="1023"/>
      <c r="Q684" s="1023"/>
      <c r="R684" s="1023"/>
      <c r="S684" s="1023"/>
      <c r="T684" s="1023"/>
      <c r="U684" s="1023"/>
      <c r="V684" s="1023"/>
      <c r="W684" s="1023"/>
      <c r="X684" s="1023"/>
      <c r="Y684" s="1023"/>
      <c r="Z684" s="1023"/>
    </row>
    <row r="685" spans="1:26" ht="11.25" customHeight="1" x14ac:dyDescent="0.2">
      <c r="A685" s="1023"/>
      <c r="B685" s="1023"/>
      <c r="C685" s="1023"/>
      <c r="D685" s="1023"/>
      <c r="E685" s="1023"/>
      <c r="F685" s="1023"/>
      <c r="G685" s="1023"/>
      <c r="H685" s="1023"/>
      <c r="I685" s="1023"/>
      <c r="J685" s="1023"/>
      <c r="K685" s="1023"/>
      <c r="L685" s="1023"/>
      <c r="M685" s="1023"/>
      <c r="N685" s="1023"/>
      <c r="O685" s="1023"/>
      <c r="P685" s="1023"/>
      <c r="Q685" s="1023"/>
      <c r="R685" s="1023"/>
      <c r="S685" s="1023"/>
      <c r="T685" s="1023"/>
      <c r="U685" s="1023"/>
      <c r="V685" s="1023"/>
      <c r="W685" s="1023"/>
      <c r="X685" s="1023"/>
      <c r="Y685" s="1023"/>
      <c r="Z685" s="1023"/>
    </row>
    <row r="686" spans="1:26" ht="11.25" customHeight="1" x14ac:dyDescent="0.2">
      <c r="A686" s="1023"/>
      <c r="B686" s="1023"/>
      <c r="C686" s="1023"/>
      <c r="D686" s="1023"/>
      <c r="E686" s="1023"/>
      <c r="F686" s="1023"/>
      <c r="G686" s="1023"/>
      <c r="H686" s="1023"/>
      <c r="I686" s="1023"/>
      <c r="J686" s="1023"/>
      <c r="K686" s="1023"/>
      <c r="L686" s="1023"/>
      <c r="M686" s="1023"/>
      <c r="N686" s="1023"/>
      <c r="O686" s="1023"/>
      <c r="P686" s="1023"/>
      <c r="Q686" s="1023"/>
      <c r="R686" s="1023"/>
      <c r="S686" s="1023"/>
      <c r="T686" s="1023"/>
      <c r="U686" s="1023"/>
      <c r="V686" s="1023"/>
      <c r="W686" s="1023"/>
      <c r="X686" s="1023"/>
      <c r="Y686" s="1023"/>
      <c r="Z686" s="1023"/>
    </row>
    <row r="687" spans="1:26" ht="11.25" customHeight="1" x14ac:dyDescent="0.2">
      <c r="A687" s="1023"/>
      <c r="B687" s="1023"/>
      <c r="C687" s="1023"/>
      <c r="D687" s="1023"/>
      <c r="E687" s="1023"/>
      <c r="F687" s="1023"/>
      <c r="G687" s="1023"/>
      <c r="H687" s="1023"/>
      <c r="I687" s="1023"/>
      <c r="J687" s="1023"/>
      <c r="K687" s="1023"/>
      <c r="L687" s="1023"/>
      <c r="M687" s="1023"/>
      <c r="N687" s="1023"/>
      <c r="O687" s="1023"/>
      <c r="P687" s="1023"/>
      <c r="Q687" s="1023"/>
      <c r="R687" s="1023"/>
      <c r="S687" s="1023"/>
      <c r="T687" s="1023"/>
      <c r="U687" s="1023"/>
      <c r="V687" s="1023"/>
      <c r="W687" s="1023"/>
      <c r="X687" s="1023"/>
      <c r="Y687" s="1023"/>
      <c r="Z687" s="1023"/>
    </row>
    <row r="688" spans="1:26" ht="11.25" customHeight="1" x14ac:dyDescent="0.2">
      <c r="A688" s="1023"/>
      <c r="B688" s="1023"/>
      <c r="C688" s="1023"/>
      <c r="D688" s="1023"/>
      <c r="E688" s="1023"/>
      <c r="F688" s="1023"/>
      <c r="G688" s="1023"/>
      <c r="H688" s="1023"/>
      <c r="I688" s="1023"/>
      <c r="J688" s="1023"/>
      <c r="K688" s="1023"/>
      <c r="L688" s="1023"/>
      <c r="M688" s="1023"/>
      <c r="N688" s="1023"/>
      <c r="O688" s="1023"/>
      <c r="P688" s="1023"/>
      <c r="Q688" s="1023"/>
      <c r="R688" s="1023"/>
      <c r="S688" s="1023"/>
      <c r="T688" s="1023"/>
      <c r="U688" s="1023"/>
      <c r="V688" s="1023"/>
      <c r="W688" s="1023"/>
      <c r="X688" s="1023"/>
      <c r="Y688" s="1023"/>
      <c r="Z688" s="1023"/>
    </row>
    <row r="689" spans="1:26" ht="11.25" customHeight="1" x14ac:dyDescent="0.2">
      <c r="A689" s="1023"/>
      <c r="B689" s="1023"/>
      <c r="C689" s="1023"/>
      <c r="D689" s="1023"/>
      <c r="E689" s="1023"/>
      <c r="F689" s="1023"/>
      <c r="G689" s="1023"/>
      <c r="H689" s="1023"/>
      <c r="I689" s="1023"/>
      <c r="J689" s="1023"/>
      <c r="K689" s="1023"/>
      <c r="L689" s="1023"/>
      <c r="M689" s="1023"/>
      <c r="N689" s="1023"/>
      <c r="O689" s="1023"/>
      <c r="P689" s="1023"/>
      <c r="Q689" s="1023"/>
      <c r="R689" s="1023"/>
      <c r="S689" s="1023"/>
      <c r="T689" s="1023"/>
      <c r="U689" s="1023"/>
      <c r="V689" s="1023"/>
      <c r="W689" s="1023"/>
      <c r="X689" s="1023"/>
      <c r="Y689" s="1023"/>
      <c r="Z689" s="1023"/>
    </row>
    <row r="690" spans="1:26" ht="11.25" customHeight="1" x14ac:dyDescent="0.2">
      <c r="A690" s="1023"/>
      <c r="B690" s="1023"/>
      <c r="C690" s="1023"/>
      <c r="D690" s="1023"/>
      <c r="E690" s="1023"/>
      <c r="F690" s="1023"/>
      <c r="G690" s="1023"/>
      <c r="H690" s="1023"/>
      <c r="I690" s="1023"/>
      <c r="J690" s="1023"/>
      <c r="K690" s="1023"/>
      <c r="L690" s="1023"/>
      <c r="M690" s="1023"/>
      <c r="N690" s="1023"/>
      <c r="O690" s="1023"/>
      <c r="P690" s="1023"/>
      <c r="Q690" s="1023"/>
      <c r="R690" s="1023"/>
      <c r="S690" s="1023"/>
      <c r="T690" s="1023"/>
      <c r="U690" s="1023"/>
      <c r="V690" s="1023"/>
      <c r="W690" s="1023"/>
      <c r="X690" s="1023"/>
      <c r="Y690" s="1023"/>
      <c r="Z690" s="1023"/>
    </row>
    <row r="691" spans="1:26" ht="11.25" customHeight="1" x14ac:dyDescent="0.2">
      <c r="A691" s="1023"/>
      <c r="B691" s="1023"/>
      <c r="C691" s="1023"/>
      <c r="D691" s="1023"/>
      <c r="E691" s="1023"/>
      <c r="F691" s="1023"/>
      <c r="G691" s="1023"/>
      <c r="H691" s="1023"/>
      <c r="I691" s="1023"/>
      <c r="J691" s="1023"/>
      <c r="K691" s="1023"/>
      <c r="L691" s="1023"/>
      <c r="M691" s="1023"/>
      <c r="N691" s="1023"/>
      <c r="O691" s="1023"/>
      <c r="P691" s="1023"/>
      <c r="Q691" s="1023"/>
      <c r="R691" s="1023"/>
      <c r="S691" s="1023"/>
      <c r="T691" s="1023"/>
      <c r="U691" s="1023"/>
      <c r="V691" s="1023"/>
      <c r="W691" s="1023"/>
      <c r="X691" s="1023"/>
      <c r="Y691" s="1023"/>
      <c r="Z691" s="1023"/>
    </row>
    <row r="692" spans="1:26" ht="11.25" customHeight="1" x14ac:dyDescent="0.2">
      <c r="A692" s="1023"/>
      <c r="B692" s="1023"/>
      <c r="C692" s="1023"/>
      <c r="D692" s="1023"/>
      <c r="E692" s="1023"/>
      <c r="F692" s="1023"/>
      <c r="G692" s="1023"/>
      <c r="H692" s="1023"/>
      <c r="I692" s="1023"/>
      <c r="J692" s="1023"/>
      <c r="K692" s="1023"/>
      <c r="L692" s="1023"/>
      <c r="M692" s="1023"/>
      <c r="N692" s="1023"/>
      <c r="O692" s="1023"/>
      <c r="P692" s="1023"/>
      <c r="Q692" s="1023"/>
      <c r="R692" s="1023"/>
      <c r="S692" s="1023"/>
      <c r="T692" s="1023"/>
      <c r="U692" s="1023"/>
      <c r="V692" s="1023"/>
      <c r="W692" s="1023"/>
      <c r="X692" s="1023"/>
      <c r="Y692" s="1023"/>
      <c r="Z692" s="1023"/>
    </row>
    <row r="693" spans="1:26" ht="11.25" customHeight="1" x14ac:dyDescent="0.2">
      <c r="A693" s="1023"/>
      <c r="B693" s="1023"/>
      <c r="C693" s="1023"/>
      <c r="D693" s="1023"/>
      <c r="E693" s="1023"/>
      <c r="F693" s="1023"/>
      <c r="G693" s="1023"/>
      <c r="H693" s="1023"/>
      <c r="I693" s="1023"/>
      <c r="J693" s="1023"/>
      <c r="K693" s="1023"/>
      <c r="L693" s="1023"/>
      <c r="M693" s="1023"/>
      <c r="N693" s="1023"/>
      <c r="O693" s="1023"/>
      <c r="P693" s="1023"/>
      <c r="Q693" s="1023"/>
      <c r="R693" s="1023"/>
      <c r="S693" s="1023"/>
      <c r="T693" s="1023"/>
      <c r="U693" s="1023"/>
      <c r="V693" s="1023"/>
      <c r="W693" s="1023"/>
      <c r="X693" s="1023"/>
      <c r="Y693" s="1023"/>
      <c r="Z693" s="1023"/>
    </row>
    <row r="694" spans="1:26" ht="11.25" customHeight="1" x14ac:dyDescent="0.2">
      <c r="A694" s="1023"/>
      <c r="B694" s="1023"/>
      <c r="C694" s="1023"/>
      <c r="D694" s="1023"/>
      <c r="E694" s="1023"/>
      <c r="F694" s="1023"/>
      <c r="G694" s="1023"/>
      <c r="H694" s="1023"/>
      <c r="I694" s="1023"/>
      <c r="J694" s="1023"/>
      <c r="K694" s="1023"/>
      <c r="L694" s="1023"/>
      <c r="M694" s="1023"/>
      <c r="N694" s="1023"/>
      <c r="O694" s="1023"/>
      <c r="P694" s="1023"/>
      <c r="Q694" s="1023"/>
      <c r="R694" s="1023"/>
      <c r="S694" s="1023"/>
      <c r="T694" s="1023"/>
      <c r="U694" s="1023"/>
      <c r="V694" s="1023"/>
      <c r="W694" s="1023"/>
      <c r="X694" s="1023"/>
      <c r="Y694" s="1023"/>
      <c r="Z694" s="1023"/>
    </row>
    <row r="695" spans="1:26" ht="11.25" customHeight="1" x14ac:dyDescent="0.2">
      <c r="A695" s="1023"/>
      <c r="B695" s="1023"/>
      <c r="C695" s="1023"/>
      <c r="D695" s="1023"/>
      <c r="E695" s="1023"/>
      <c r="F695" s="1023"/>
      <c r="G695" s="1023"/>
      <c r="H695" s="1023"/>
      <c r="I695" s="1023"/>
      <c r="J695" s="1023"/>
      <c r="K695" s="1023"/>
      <c r="L695" s="1023"/>
      <c r="M695" s="1023"/>
      <c r="N695" s="1023"/>
      <c r="O695" s="1023"/>
      <c r="P695" s="1023"/>
      <c r="Q695" s="1023"/>
      <c r="R695" s="1023"/>
      <c r="S695" s="1023"/>
      <c r="T695" s="1023"/>
      <c r="U695" s="1023"/>
      <c r="V695" s="1023"/>
      <c r="W695" s="1023"/>
      <c r="X695" s="1023"/>
      <c r="Y695" s="1023"/>
      <c r="Z695" s="1023"/>
    </row>
    <row r="696" spans="1:26" ht="11.25" customHeight="1" x14ac:dyDescent="0.2">
      <c r="A696" s="1023"/>
      <c r="B696" s="1023"/>
      <c r="C696" s="1023"/>
      <c r="D696" s="1023"/>
      <c r="E696" s="1023"/>
      <c r="F696" s="1023"/>
      <c r="G696" s="1023"/>
      <c r="H696" s="1023"/>
      <c r="I696" s="1023"/>
      <c r="J696" s="1023"/>
      <c r="K696" s="1023"/>
      <c r="L696" s="1023"/>
      <c r="M696" s="1023"/>
      <c r="N696" s="1023"/>
      <c r="O696" s="1023"/>
      <c r="P696" s="1023"/>
      <c r="Q696" s="1023"/>
      <c r="R696" s="1023"/>
      <c r="S696" s="1023"/>
      <c r="T696" s="1023"/>
      <c r="U696" s="1023"/>
      <c r="V696" s="1023"/>
      <c r="W696" s="1023"/>
      <c r="X696" s="1023"/>
      <c r="Y696" s="1023"/>
      <c r="Z696" s="1023"/>
    </row>
    <row r="697" spans="1:26" ht="11.25" customHeight="1" x14ac:dyDescent="0.2">
      <c r="A697" s="1023"/>
      <c r="B697" s="1023"/>
      <c r="C697" s="1023"/>
      <c r="D697" s="1023"/>
      <c r="E697" s="1023"/>
      <c r="F697" s="1023"/>
      <c r="G697" s="1023"/>
      <c r="H697" s="1023"/>
      <c r="I697" s="1023"/>
      <c r="J697" s="1023"/>
      <c r="K697" s="1023"/>
      <c r="L697" s="1023"/>
      <c r="M697" s="1023"/>
      <c r="N697" s="1023"/>
      <c r="O697" s="1023"/>
      <c r="P697" s="1023"/>
      <c r="Q697" s="1023"/>
      <c r="R697" s="1023"/>
      <c r="S697" s="1023"/>
      <c r="T697" s="1023"/>
      <c r="U697" s="1023"/>
      <c r="V697" s="1023"/>
      <c r="W697" s="1023"/>
      <c r="X697" s="1023"/>
      <c r="Y697" s="1023"/>
      <c r="Z697" s="1023"/>
    </row>
    <row r="698" spans="1:26" ht="11.25" customHeight="1" x14ac:dyDescent="0.2">
      <c r="A698" s="1023"/>
      <c r="B698" s="1023"/>
      <c r="C698" s="1023"/>
      <c r="D698" s="1023"/>
      <c r="E698" s="1023"/>
      <c r="F698" s="1023"/>
      <c r="G698" s="1023"/>
      <c r="H698" s="1023"/>
      <c r="I698" s="1023"/>
      <c r="J698" s="1023"/>
      <c r="K698" s="1023"/>
      <c r="L698" s="1023"/>
      <c r="M698" s="1023"/>
      <c r="N698" s="1023"/>
      <c r="O698" s="1023"/>
      <c r="P698" s="1023"/>
      <c r="Q698" s="1023"/>
      <c r="R698" s="1023"/>
      <c r="S698" s="1023"/>
      <c r="T698" s="1023"/>
      <c r="U698" s="1023"/>
      <c r="V698" s="1023"/>
      <c r="W698" s="1023"/>
      <c r="X698" s="1023"/>
      <c r="Y698" s="1023"/>
      <c r="Z698" s="1023"/>
    </row>
    <row r="699" spans="1:26" ht="11.25" customHeight="1" x14ac:dyDescent="0.2">
      <c r="A699" s="1023"/>
      <c r="B699" s="1023"/>
      <c r="C699" s="1023"/>
      <c r="D699" s="1023"/>
      <c r="E699" s="1023"/>
      <c r="F699" s="1023"/>
      <c r="G699" s="1023"/>
      <c r="H699" s="1023"/>
      <c r="I699" s="1023"/>
      <c r="J699" s="1023"/>
      <c r="K699" s="1023"/>
      <c r="L699" s="1023"/>
      <c r="M699" s="1023"/>
      <c r="N699" s="1023"/>
      <c r="O699" s="1023"/>
      <c r="P699" s="1023"/>
      <c r="Q699" s="1023"/>
      <c r="R699" s="1023"/>
      <c r="S699" s="1023"/>
      <c r="T699" s="1023"/>
      <c r="U699" s="1023"/>
      <c r="V699" s="1023"/>
      <c r="W699" s="1023"/>
      <c r="X699" s="1023"/>
      <c r="Y699" s="1023"/>
      <c r="Z699" s="1023"/>
    </row>
    <row r="700" spans="1:26" ht="11.25" customHeight="1" x14ac:dyDescent="0.2">
      <c r="A700" s="1023"/>
      <c r="B700" s="1023"/>
      <c r="C700" s="1023"/>
      <c r="D700" s="1023"/>
      <c r="E700" s="1023"/>
      <c r="F700" s="1023"/>
      <c r="G700" s="1023"/>
      <c r="H700" s="1023"/>
      <c r="I700" s="1023"/>
      <c r="J700" s="1023"/>
      <c r="K700" s="1023"/>
      <c r="L700" s="1023"/>
      <c r="M700" s="1023"/>
      <c r="N700" s="1023"/>
      <c r="O700" s="1023"/>
      <c r="P700" s="1023"/>
      <c r="Q700" s="1023"/>
      <c r="R700" s="1023"/>
      <c r="S700" s="1023"/>
      <c r="T700" s="1023"/>
      <c r="U700" s="1023"/>
      <c r="V700" s="1023"/>
      <c r="W700" s="1023"/>
      <c r="X700" s="1023"/>
      <c r="Y700" s="1023"/>
      <c r="Z700" s="1023"/>
    </row>
    <row r="701" spans="1:26" ht="11.25" customHeight="1" x14ac:dyDescent="0.2">
      <c r="A701" s="1023"/>
      <c r="B701" s="1023"/>
      <c r="C701" s="1023"/>
      <c r="D701" s="1023"/>
      <c r="E701" s="1023"/>
      <c r="F701" s="1023"/>
      <c r="G701" s="1023"/>
      <c r="H701" s="1023"/>
      <c r="I701" s="1023"/>
      <c r="J701" s="1023"/>
      <c r="K701" s="1023"/>
      <c r="L701" s="1023"/>
      <c r="M701" s="1023"/>
      <c r="N701" s="1023"/>
      <c r="O701" s="1023"/>
      <c r="P701" s="1023"/>
      <c r="Q701" s="1023"/>
      <c r="R701" s="1023"/>
      <c r="S701" s="1023"/>
      <c r="T701" s="1023"/>
      <c r="U701" s="1023"/>
      <c r="V701" s="1023"/>
      <c r="W701" s="1023"/>
      <c r="X701" s="1023"/>
      <c r="Y701" s="1023"/>
      <c r="Z701" s="1023"/>
    </row>
    <row r="702" spans="1:26" ht="11.25" customHeight="1" x14ac:dyDescent="0.2">
      <c r="A702" s="1023"/>
      <c r="B702" s="1023"/>
      <c r="C702" s="1023"/>
      <c r="D702" s="1023"/>
      <c r="E702" s="1023"/>
      <c r="F702" s="1023"/>
      <c r="G702" s="1023"/>
      <c r="H702" s="1023"/>
      <c r="I702" s="1023"/>
      <c r="J702" s="1023"/>
      <c r="K702" s="1023"/>
      <c r="L702" s="1023"/>
      <c r="M702" s="1023"/>
      <c r="N702" s="1023"/>
      <c r="O702" s="1023"/>
      <c r="P702" s="1023"/>
      <c r="Q702" s="1023"/>
      <c r="R702" s="1023"/>
      <c r="S702" s="1023"/>
      <c r="T702" s="1023"/>
      <c r="U702" s="1023"/>
      <c r="V702" s="1023"/>
      <c r="W702" s="1023"/>
      <c r="X702" s="1023"/>
      <c r="Y702" s="1023"/>
      <c r="Z702" s="1023"/>
    </row>
    <row r="703" spans="1:26" ht="11.25" customHeight="1" x14ac:dyDescent="0.2">
      <c r="A703" s="1023"/>
      <c r="B703" s="1023"/>
      <c r="C703" s="1023"/>
      <c r="D703" s="1023"/>
      <c r="E703" s="1023"/>
      <c r="F703" s="1023"/>
      <c r="G703" s="1023"/>
      <c r="H703" s="1023"/>
      <c r="I703" s="1023"/>
      <c r="J703" s="1023"/>
      <c r="K703" s="1023"/>
      <c r="L703" s="1023"/>
      <c r="M703" s="1023"/>
      <c r="N703" s="1023"/>
      <c r="O703" s="1023"/>
      <c r="P703" s="1023"/>
      <c r="Q703" s="1023"/>
      <c r="R703" s="1023"/>
      <c r="S703" s="1023"/>
      <c r="T703" s="1023"/>
      <c r="U703" s="1023"/>
      <c r="V703" s="1023"/>
      <c r="W703" s="1023"/>
      <c r="X703" s="1023"/>
      <c r="Y703" s="1023"/>
      <c r="Z703" s="1023"/>
    </row>
    <row r="704" spans="1:26" ht="11.25" customHeight="1" x14ac:dyDescent="0.2">
      <c r="A704" s="1023"/>
      <c r="B704" s="1023"/>
      <c r="C704" s="1023"/>
      <c r="D704" s="1023"/>
      <c r="E704" s="1023"/>
      <c r="F704" s="1023"/>
      <c r="G704" s="1023"/>
      <c r="H704" s="1023"/>
      <c r="I704" s="1023"/>
      <c r="J704" s="1023"/>
      <c r="K704" s="1023"/>
      <c r="L704" s="1023"/>
      <c r="M704" s="1023"/>
      <c r="N704" s="1023"/>
      <c r="O704" s="1023"/>
      <c r="P704" s="1023"/>
      <c r="Q704" s="1023"/>
      <c r="R704" s="1023"/>
      <c r="S704" s="1023"/>
      <c r="T704" s="1023"/>
      <c r="U704" s="1023"/>
      <c r="V704" s="1023"/>
      <c r="W704" s="1023"/>
      <c r="X704" s="1023"/>
      <c r="Y704" s="1023"/>
      <c r="Z704" s="1023"/>
    </row>
    <row r="705" spans="1:26" ht="11.25" customHeight="1" x14ac:dyDescent="0.2">
      <c r="A705" s="1023"/>
      <c r="B705" s="1023"/>
      <c r="C705" s="1023"/>
      <c r="D705" s="1023"/>
      <c r="E705" s="1023"/>
      <c r="F705" s="1023"/>
      <c r="G705" s="1023"/>
      <c r="H705" s="1023"/>
      <c r="I705" s="1023"/>
      <c r="J705" s="1023"/>
      <c r="K705" s="1023"/>
      <c r="L705" s="1023"/>
      <c r="M705" s="1023"/>
      <c r="N705" s="1023"/>
      <c r="O705" s="1023"/>
      <c r="P705" s="1023"/>
      <c r="Q705" s="1023"/>
      <c r="R705" s="1023"/>
      <c r="S705" s="1023"/>
      <c r="T705" s="1023"/>
      <c r="U705" s="1023"/>
      <c r="V705" s="1023"/>
      <c r="W705" s="1023"/>
      <c r="X705" s="1023"/>
      <c r="Y705" s="1023"/>
      <c r="Z705" s="1023"/>
    </row>
    <row r="706" spans="1:26" ht="11.25" customHeight="1" x14ac:dyDescent="0.2">
      <c r="A706" s="1023"/>
      <c r="B706" s="1023"/>
      <c r="C706" s="1023"/>
      <c r="D706" s="1023"/>
      <c r="E706" s="1023"/>
      <c r="F706" s="1023"/>
      <c r="G706" s="1023"/>
      <c r="H706" s="1023"/>
      <c r="I706" s="1023"/>
      <c r="J706" s="1023"/>
      <c r="K706" s="1023"/>
      <c r="L706" s="1023"/>
      <c r="M706" s="1023"/>
      <c r="N706" s="1023"/>
      <c r="O706" s="1023"/>
      <c r="P706" s="1023"/>
      <c r="Q706" s="1023"/>
      <c r="R706" s="1023"/>
      <c r="S706" s="1023"/>
      <c r="T706" s="1023"/>
      <c r="U706" s="1023"/>
      <c r="V706" s="1023"/>
      <c r="W706" s="1023"/>
      <c r="X706" s="1023"/>
      <c r="Y706" s="1023"/>
      <c r="Z706" s="1023"/>
    </row>
    <row r="707" spans="1:26" ht="11.25" customHeight="1" x14ac:dyDescent="0.2">
      <c r="A707" s="1023"/>
      <c r="B707" s="1023"/>
      <c r="C707" s="1023"/>
      <c r="D707" s="1023"/>
      <c r="E707" s="1023"/>
      <c r="F707" s="1023"/>
      <c r="G707" s="1023"/>
      <c r="H707" s="1023"/>
      <c r="I707" s="1023"/>
      <c r="J707" s="1023"/>
      <c r="K707" s="1023"/>
      <c r="L707" s="1023"/>
      <c r="M707" s="1023"/>
      <c r="N707" s="1023"/>
      <c r="O707" s="1023"/>
      <c r="P707" s="1023"/>
      <c r="Q707" s="1023"/>
      <c r="R707" s="1023"/>
      <c r="S707" s="1023"/>
      <c r="T707" s="1023"/>
      <c r="U707" s="1023"/>
      <c r="V707" s="1023"/>
      <c r="W707" s="1023"/>
      <c r="X707" s="1023"/>
      <c r="Y707" s="1023"/>
      <c r="Z707" s="1023"/>
    </row>
    <row r="708" spans="1:26" ht="11.25" customHeight="1" x14ac:dyDescent="0.2">
      <c r="A708" s="1023"/>
      <c r="B708" s="1023"/>
      <c r="C708" s="1023"/>
      <c r="D708" s="1023"/>
      <c r="E708" s="1023"/>
      <c r="F708" s="1023"/>
      <c r="G708" s="1023"/>
      <c r="H708" s="1023"/>
      <c r="I708" s="1023"/>
      <c r="J708" s="1023"/>
      <c r="K708" s="1023"/>
      <c r="L708" s="1023"/>
      <c r="M708" s="1023"/>
      <c r="N708" s="1023"/>
      <c r="O708" s="1023"/>
      <c r="P708" s="1023"/>
      <c r="Q708" s="1023"/>
      <c r="R708" s="1023"/>
      <c r="S708" s="1023"/>
      <c r="T708" s="1023"/>
      <c r="U708" s="1023"/>
      <c r="V708" s="1023"/>
      <c r="W708" s="1023"/>
      <c r="X708" s="1023"/>
      <c r="Y708" s="1023"/>
      <c r="Z708" s="1023"/>
    </row>
    <row r="709" spans="1:26" ht="11.25" customHeight="1" x14ac:dyDescent="0.2">
      <c r="A709" s="1023"/>
      <c r="B709" s="1023"/>
      <c r="C709" s="1023"/>
      <c r="D709" s="1023"/>
      <c r="E709" s="1023"/>
      <c r="F709" s="1023"/>
      <c r="G709" s="1023"/>
      <c r="H709" s="1023"/>
      <c r="I709" s="1023"/>
      <c r="J709" s="1023"/>
      <c r="K709" s="1023"/>
      <c r="L709" s="1023"/>
      <c r="M709" s="1023"/>
      <c r="N709" s="1023"/>
      <c r="O709" s="1023"/>
      <c r="P709" s="1023"/>
      <c r="Q709" s="1023"/>
      <c r="R709" s="1023"/>
      <c r="S709" s="1023"/>
      <c r="T709" s="1023"/>
      <c r="U709" s="1023"/>
      <c r="V709" s="1023"/>
      <c r="W709" s="1023"/>
      <c r="X709" s="1023"/>
      <c r="Y709" s="1023"/>
      <c r="Z709" s="1023"/>
    </row>
    <row r="710" spans="1:26" ht="11.25" customHeight="1" x14ac:dyDescent="0.2">
      <c r="A710" s="1023"/>
      <c r="B710" s="1023"/>
      <c r="C710" s="1023"/>
      <c r="D710" s="1023"/>
      <c r="E710" s="1023"/>
      <c r="F710" s="1023"/>
      <c r="G710" s="1023"/>
      <c r="H710" s="1023"/>
      <c r="I710" s="1023"/>
      <c r="J710" s="1023"/>
      <c r="K710" s="1023"/>
      <c r="L710" s="1023"/>
      <c r="M710" s="1023"/>
      <c r="N710" s="1023"/>
      <c r="O710" s="1023"/>
      <c r="P710" s="1023"/>
      <c r="Q710" s="1023"/>
      <c r="R710" s="1023"/>
      <c r="S710" s="1023"/>
      <c r="T710" s="1023"/>
      <c r="U710" s="1023"/>
      <c r="V710" s="1023"/>
      <c r="W710" s="1023"/>
      <c r="X710" s="1023"/>
      <c r="Y710" s="1023"/>
      <c r="Z710" s="1023"/>
    </row>
    <row r="711" spans="1:26" ht="11.25" customHeight="1" x14ac:dyDescent="0.2">
      <c r="A711" s="1023"/>
      <c r="B711" s="1023"/>
      <c r="C711" s="1023"/>
      <c r="D711" s="1023"/>
      <c r="E711" s="1023"/>
      <c r="F711" s="1023"/>
      <c r="G711" s="1023"/>
      <c r="H711" s="1023"/>
      <c r="I711" s="1023"/>
      <c r="J711" s="1023"/>
      <c r="K711" s="1023"/>
      <c r="L711" s="1023"/>
      <c r="M711" s="1023"/>
      <c r="N711" s="1023"/>
      <c r="O711" s="1023"/>
      <c r="P711" s="1023"/>
      <c r="Q711" s="1023"/>
      <c r="R711" s="1023"/>
      <c r="S711" s="1023"/>
      <c r="T711" s="1023"/>
      <c r="U711" s="1023"/>
      <c r="V711" s="1023"/>
      <c r="W711" s="1023"/>
      <c r="X711" s="1023"/>
      <c r="Y711" s="1023"/>
      <c r="Z711" s="1023"/>
    </row>
    <row r="712" spans="1:26" ht="11.25" customHeight="1" x14ac:dyDescent="0.2">
      <c r="A712" s="1023"/>
      <c r="B712" s="1023"/>
      <c r="C712" s="1023"/>
      <c r="D712" s="1023"/>
      <c r="E712" s="1023"/>
      <c r="F712" s="1023"/>
      <c r="G712" s="1023"/>
      <c r="H712" s="1023"/>
      <c r="I712" s="1023"/>
      <c r="J712" s="1023"/>
      <c r="K712" s="1023"/>
      <c r="L712" s="1023"/>
      <c r="M712" s="1023"/>
      <c r="N712" s="1023"/>
      <c r="O712" s="1023"/>
      <c r="P712" s="1023"/>
      <c r="Q712" s="1023"/>
      <c r="R712" s="1023"/>
      <c r="S712" s="1023"/>
      <c r="T712" s="1023"/>
      <c r="U712" s="1023"/>
      <c r="V712" s="1023"/>
      <c r="W712" s="1023"/>
      <c r="X712" s="1023"/>
      <c r="Y712" s="1023"/>
      <c r="Z712" s="1023"/>
    </row>
    <row r="713" spans="1:26" ht="11.25" customHeight="1" x14ac:dyDescent="0.2">
      <c r="A713" s="1023"/>
      <c r="B713" s="1023"/>
      <c r="C713" s="1023"/>
      <c r="D713" s="1023"/>
      <c r="E713" s="1023"/>
      <c r="F713" s="1023"/>
      <c r="G713" s="1023"/>
      <c r="H713" s="1023"/>
      <c r="I713" s="1023"/>
      <c r="J713" s="1023"/>
      <c r="K713" s="1023"/>
      <c r="L713" s="1023"/>
      <c r="M713" s="1023"/>
      <c r="N713" s="1023"/>
      <c r="O713" s="1023"/>
      <c r="P713" s="1023"/>
      <c r="Q713" s="1023"/>
      <c r="R713" s="1023"/>
      <c r="S713" s="1023"/>
      <c r="T713" s="1023"/>
      <c r="U713" s="1023"/>
      <c r="V713" s="1023"/>
      <c r="W713" s="1023"/>
      <c r="X713" s="1023"/>
      <c r="Y713" s="1023"/>
      <c r="Z713" s="1023"/>
    </row>
    <row r="714" spans="1:26" ht="11.25" customHeight="1" x14ac:dyDescent="0.2">
      <c r="A714" s="1023"/>
      <c r="B714" s="1023"/>
      <c r="C714" s="1023"/>
      <c r="D714" s="1023"/>
      <c r="E714" s="1023"/>
      <c r="F714" s="1023"/>
      <c r="G714" s="1023"/>
      <c r="H714" s="1023"/>
      <c r="I714" s="1023"/>
      <c r="J714" s="1023"/>
      <c r="K714" s="1023"/>
      <c r="L714" s="1023"/>
      <c r="M714" s="1023"/>
      <c r="N714" s="1023"/>
      <c r="O714" s="1023"/>
      <c r="P714" s="1023"/>
      <c r="Q714" s="1023"/>
      <c r="R714" s="1023"/>
      <c r="S714" s="1023"/>
      <c r="T714" s="1023"/>
      <c r="U714" s="1023"/>
      <c r="V714" s="1023"/>
      <c r="W714" s="1023"/>
      <c r="X714" s="1023"/>
      <c r="Y714" s="1023"/>
      <c r="Z714" s="1023"/>
    </row>
    <row r="715" spans="1:26" ht="11.25" customHeight="1" x14ac:dyDescent="0.2">
      <c r="A715" s="1023"/>
      <c r="B715" s="1023"/>
      <c r="C715" s="1023"/>
      <c r="D715" s="1023"/>
      <c r="E715" s="1023"/>
      <c r="F715" s="1023"/>
      <c r="G715" s="1023"/>
      <c r="H715" s="1023"/>
      <c r="I715" s="1023"/>
      <c r="J715" s="1023"/>
      <c r="K715" s="1023"/>
      <c r="L715" s="1023"/>
      <c r="M715" s="1023"/>
      <c r="N715" s="1023"/>
      <c r="O715" s="1023"/>
      <c r="P715" s="1023"/>
      <c r="Q715" s="1023"/>
      <c r="R715" s="1023"/>
      <c r="S715" s="1023"/>
      <c r="T715" s="1023"/>
      <c r="U715" s="1023"/>
      <c r="V715" s="1023"/>
      <c r="W715" s="1023"/>
      <c r="X715" s="1023"/>
      <c r="Y715" s="1023"/>
      <c r="Z715" s="1023"/>
    </row>
    <row r="716" spans="1:26" ht="11.25" customHeight="1" x14ac:dyDescent="0.2">
      <c r="A716" s="1023"/>
      <c r="B716" s="1023"/>
      <c r="C716" s="1023"/>
      <c r="D716" s="1023"/>
      <c r="E716" s="1023"/>
      <c r="F716" s="1023"/>
      <c r="G716" s="1023"/>
      <c r="H716" s="1023"/>
      <c r="I716" s="1023"/>
      <c r="J716" s="1023"/>
      <c r="K716" s="1023"/>
      <c r="L716" s="1023"/>
      <c r="M716" s="1023"/>
      <c r="N716" s="1023"/>
      <c r="O716" s="1023"/>
      <c r="P716" s="1023"/>
      <c r="Q716" s="1023"/>
      <c r="R716" s="1023"/>
      <c r="S716" s="1023"/>
      <c r="T716" s="1023"/>
      <c r="U716" s="1023"/>
      <c r="V716" s="1023"/>
      <c r="W716" s="1023"/>
      <c r="X716" s="1023"/>
      <c r="Y716" s="1023"/>
      <c r="Z716" s="1023"/>
    </row>
    <row r="717" spans="1:26" ht="11.25" customHeight="1" x14ac:dyDescent="0.2">
      <c r="A717" s="1023"/>
      <c r="B717" s="1023"/>
      <c r="C717" s="1023"/>
      <c r="D717" s="1023"/>
      <c r="E717" s="1023"/>
      <c r="F717" s="1023"/>
      <c r="G717" s="1023"/>
      <c r="H717" s="1023"/>
      <c r="I717" s="1023"/>
      <c r="J717" s="1023"/>
      <c r="K717" s="1023"/>
      <c r="L717" s="1023"/>
      <c r="M717" s="1023"/>
      <c r="N717" s="1023"/>
      <c r="O717" s="1023"/>
      <c r="P717" s="1023"/>
      <c r="Q717" s="1023"/>
      <c r="R717" s="1023"/>
      <c r="S717" s="1023"/>
      <c r="T717" s="1023"/>
      <c r="U717" s="1023"/>
      <c r="V717" s="1023"/>
      <c r="W717" s="1023"/>
      <c r="X717" s="1023"/>
      <c r="Y717" s="1023"/>
      <c r="Z717" s="1023"/>
    </row>
    <row r="718" spans="1:26" ht="11.25" customHeight="1" x14ac:dyDescent="0.2">
      <c r="A718" s="1023"/>
      <c r="B718" s="1023"/>
      <c r="C718" s="1023"/>
      <c r="D718" s="1023"/>
      <c r="E718" s="1023"/>
      <c r="F718" s="1023"/>
      <c r="G718" s="1023"/>
      <c r="H718" s="1023"/>
      <c r="I718" s="1023"/>
      <c r="J718" s="1023"/>
      <c r="K718" s="1023"/>
      <c r="L718" s="1023"/>
      <c r="M718" s="1023"/>
      <c r="N718" s="1023"/>
      <c r="O718" s="1023"/>
      <c r="P718" s="1023"/>
      <c r="Q718" s="1023"/>
      <c r="R718" s="1023"/>
      <c r="S718" s="1023"/>
      <c r="T718" s="1023"/>
      <c r="U718" s="1023"/>
      <c r="V718" s="1023"/>
      <c r="W718" s="1023"/>
      <c r="X718" s="1023"/>
      <c r="Y718" s="1023"/>
      <c r="Z718" s="1023"/>
    </row>
    <row r="719" spans="1:26" ht="11.25" customHeight="1" x14ac:dyDescent="0.2">
      <c r="A719" s="1023"/>
      <c r="B719" s="1023"/>
      <c r="C719" s="1023"/>
      <c r="D719" s="1023"/>
      <c r="E719" s="1023"/>
      <c r="F719" s="1023"/>
      <c r="G719" s="1023"/>
      <c r="H719" s="1023"/>
      <c r="I719" s="1023"/>
      <c r="J719" s="1023"/>
      <c r="K719" s="1023"/>
      <c r="L719" s="1023"/>
      <c r="M719" s="1023"/>
      <c r="N719" s="1023"/>
      <c r="O719" s="1023"/>
      <c r="P719" s="1023"/>
      <c r="Q719" s="1023"/>
      <c r="R719" s="1023"/>
      <c r="S719" s="1023"/>
      <c r="T719" s="1023"/>
      <c r="U719" s="1023"/>
      <c r="V719" s="1023"/>
      <c r="W719" s="1023"/>
      <c r="X719" s="1023"/>
      <c r="Y719" s="1023"/>
      <c r="Z719" s="1023"/>
    </row>
    <row r="720" spans="1:26" ht="11.25" customHeight="1" x14ac:dyDescent="0.2">
      <c r="A720" s="1023"/>
      <c r="B720" s="1023"/>
      <c r="C720" s="1023"/>
      <c r="D720" s="1023"/>
      <c r="E720" s="1023"/>
      <c r="F720" s="1023"/>
      <c r="G720" s="1023"/>
      <c r="H720" s="1023"/>
      <c r="I720" s="1023"/>
      <c r="J720" s="1023"/>
      <c r="K720" s="1023"/>
      <c r="L720" s="1023"/>
      <c r="M720" s="1023"/>
      <c r="N720" s="1023"/>
      <c r="O720" s="1023"/>
      <c r="P720" s="1023"/>
      <c r="Q720" s="1023"/>
      <c r="R720" s="1023"/>
      <c r="S720" s="1023"/>
      <c r="T720" s="1023"/>
      <c r="U720" s="1023"/>
      <c r="V720" s="1023"/>
      <c r="W720" s="1023"/>
      <c r="X720" s="1023"/>
      <c r="Y720" s="1023"/>
      <c r="Z720" s="1023"/>
    </row>
    <row r="721" spans="1:26" ht="11.25" customHeight="1" x14ac:dyDescent="0.2">
      <c r="A721" s="1023"/>
      <c r="B721" s="1023"/>
      <c r="C721" s="1023"/>
      <c r="D721" s="1023"/>
      <c r="E721" s="1023"/>
      <c r="F721" s="1023"/>
      <c r="G721" s="1023"/>
      <c r="H721" s="1023"/>
      <c r="I721" s="1023"/>
      <c r="J721" s="1023"/>
      <c r="K721" s="1023"/>
      <c r="L721" s="1023"/>
      <c r="M721" s="1023"/>
      <c r="N721" s="1023"/>
      <c r="O721" s="1023"/>
      <c r="P721" s="1023"/>
      <c r="Q721" s="1023"/>
      <c r="R721" s="1023"/>
      <c r="S721" s="1023"/>
      <c r="T721" s="1023"/>
      <c r="U721" s="1023"/>
      <c r="V721" s="1023"/>
      <c r="W721" s="1023"/>
      <c r="X721" s="1023"/>
      <c r="Y721" s="1023"/>
      <c r="Z721" s="1023"/>
    </row>
    <row r="722" spans="1:26" ht="11.25" customHeight="1" x14ac:dyDescent="0.2">
      <c r="A722" s="1023"/>
      <c r="B722" s="1023"/>
      <c r="C722" s="1023"/>
      <c r="D722" s="1023"/>
      <c r="E722" s="1023"/>
      <c r="F722" s="1023"/>
      <c r="G722" s="1023"/>
      <c r="H722" s="1023"/>
      <c r="I722" s="1023"/>
      <c r="J722" s="1023"/>
      <c r="K722" s="1023"/>
      <c r="L722" s="1023"/>
      <c r="M722" s="1023"/>
      <c r="N722" s="1023"/>
      <c r="O722" s="1023"/>
      <c r="P722" s="1023"/>
      <c r="Q722" s="1023"/>
      <c r="R722" s="1023"/>
      <c r="S722" s="1023"/>
      <c r="T722" s="1023"/>
      <c r="U722" s="1023"/>
      <c r="V722" s="1023"/>
      <c r="W722" s="1023"/>
      <c r="X722" s="1023"/>
      <c r="Y722" s="1023"/>
      <c r="Z722" s="1023"/>
    </row>
    <row r="723" spans="1:26" ht="11.25" customHeight="1" x14ac:dyDescent="0.2">
      <c r="A723" s="1023"/>
      <c r="B723" s="1023"/>
      <c r="C723" s="1023"/>
      <c r="D723" s="1023"/>
      <c r="E723" s="1023"/>
      <c r="F723" s="1023"/>
      <c r="G723" s="1023"/>
      <c r="H723" s="1023"/>
      <c r="I723" s="1023"/>
      <c r="J723" s="1023"/>
      <c r="K723" s="1023"/>
      <c r="L723" s="1023"/>
      <c r="M723" s="1023"/>
      <c r="N723" s="1023"/>
      <c r="O723" s="1023"/>
      <c r="P723" s="1023"/>
      <c r="Q723" s="1023"/>
      <c r="R723" s="1023"/>
      <c r="S723" s="1023"/>
      <c r="T723" s="1023"/>
      <c r="U723" s="1023"/>
      <c r="V723" s="1023"/>
      <c r="W723" s="1023"/>
      <c r="X723" s="1023"/>
      <c r="Y723" s="1023"/>
      <c r="Z723" s="1023"/>
    </row>
    <row r="724" spans="1:26" ht="11.25" customHeight="1" x14ac:dyDescent="0.2">
      <c r="A724" s="1023"/>
      <c r="B724" s="1023"/>
      <c r="C724" s="1023"/>
      <c r="D724" s="1023"/>
      <c r="E724" s="1023"/>
      <c r="F724" s="1023"/>
      <c r="G724" s="1023"/>
      <c r="H724" s="1023"/>
      <c r="I724" s="1023"/>
      <c r="J724" s="1023"/>
      <c r="K724" s="1023"/>
      <c r="L724" s="1023"/>
      <c r="M724" s="1023"/>
      <c r="N724" s="1023"/>
      <c r="O724" s="1023"/>
      <c r="P724" s="1023"/>
      <c r="Q724" s="1023"/>
      <c r="R724" s="1023"/>
      <c r="S724" s="1023"/>
      <c r="T724" s="1023"/>
      <c r="U724" s="1023"/>
      <c r="V724" s="1023"/>
      <c r="W724" s="1023"/>
      <c r="X724" s="1023"/>
      <c r="Y724" s="1023"/>
      <c r="Z724" s="1023"/>
    </row>
    <row r="725" spans="1:26" ht="11.25" customHeight="1" x14ac:dyDescent="0.2">
      <c r="A725" s="1023"/>
      <c r="B725" s="1023"/>
      <c r="C725" s="1023"/>
      <c r="D725" s="1023"/>
      <c r="E725" s="1023"/>
      <c r="F725" s="1023"/>
      <c r="G725" s="1023"/>
      <c r="H725" s="1023"/>
      <c r="I725" s="1023"/>
      <c r="J725" s="1023"/>
      <c r="K725" s="1023"/>
      <c r="L725" s="1023"/>
      <c r="M725" s="1023"/>
      <c r="N725" s="1023"/>
      <c r="O725" s="1023"/>
      <c r="P725" s="1023"/>
      <c r="Q725" s="1023"/>
      <c r="R725" s="1023"/>
      <c r="S725" s="1023"/>
      <c r="T725" s="1023"/>
      <c r="U725" s="1023"/>
      <c r="V725" s="1023"/>
      <c r="W725" s="1023"/>
      <c r="X725" s="1023"/>
      <c r="Y725" s="1023"/>
      <c r="Z725" s="1023"/>
    </row>
    <row r="726" spans="1:26" ht="11.25" customHeight="1" x14ac:dyDescent="0.2">
      <c r="A726" s="1023"/>
      <c r="B726" s="1023"/>
      <c r="C726" s="1023"/>
      <c r="D726" s="1023"/>
      <c r="E726" s="1023"/>
      <c r="F726" s="1023"/>
      <c r="G726" s="1023"/>
      <c r="H726" s="1023"/>
      <c r="I726" s="1023"/>
      <c r="J726" s="1023"/>
      <c r="K726" s="1023"/>
      <c r="L726" s="1023"/>
      <c r="M726" s="1023"/>
      <c r="N726" s="1023"/>
      <c r="O726" s="1023"/>
      <c r="P726" s="1023"/>
      <c r="Q726" s="1023"/>
      <c r="R726" s="1023"/>
      <c r="S726" s="1023"/>
      <c r="T726" s="1023"/>
      <c r="U726" s="1023"/>
      <c r="V726" s="1023"/>
      <c r="W726" s="1023"/>
      <c r="X726" s="1023"/>
      <c r="Y726" s="1023"/>
      <c r="Z726" s="1023"/>
    </row>
    <row r="727" spans="1:26" ht="11.25" customHeight="1" x14ac:dyDescent="0.2">
      <c r="A727" s="1023"/>
      <c r="B727" s="1023"/>
      <c r="C727" s="1023"/>
      <c r="D727" s="1023"/>
      <c r="E727" s="1023"/>
      <c r="F727" s="1023"/>
      <c r="G727" s="1023"/>
      <c r="H727" s="1023"/>
      <c r="I727" s="1023"/>
      <c r="J727" s="1023"/>
      <c r="K727" s="1023"/>
      <c r="L727" s="1023"/>
      <c r="M727" s="1023"/>
      <c r="N727" s="1023"/>
      <c r="O727" s="1023"/>
      <c r="P727" s="1023"/>
      <c r="Q727" s="1023"/>
      <c r="R727" s="1023"/>
      <c r="S727" s="1023"/>
      <c r="T727" s="1023"/>
      <c r="U727" s="1023"/>
      <c r="V727" s="1023"/>
      <c r="W727" s="1023"/>
      <c r="X727" s="1023"/>
      <c r="Y727" s="1023"/>
      <c r="Z727" s="1023"/>
    </row>
    <row r="728" spans="1:26" ht="11.25" customHeight="1" x14ac:dyDescent="0.2">
      <c r="A728" s="1023"/>
      <c r="B728" s="1023"/>
      <c r="C728" s="1023"/>
      <c r="D728" s="1023"/>
      <c r="E728" s="1023"/>
      <c r="F728" s="1023"/>
      <c r="G728" s="1023"/>
      <c r="H728" s="1023"/>
      <c r="I728" s="1023"/>
      <c r="J728" s="1023"/>
      <c r="K728" s="1023"/>
      <c r="L728" s="1023"/>
      <c r="M728" s="1023"/>
      <c r="N728" s="1023"/>
      <c r="O728" s="1023"/>
      <c r="P728" s="1023"/>
      <c r="Q728" s="1023"/>
      <c r="R728" s="1023"/>
      <c r="S728" s="1023"/>
      <c r="T728" s="1023"/>
      <c r="U728" s="1023"/>
      <c r="V728" s="1023"/>
      <c r="W728" s="1023"/>
      <c r="X728" s="1023"/>
      <c r="Y728" s="1023"/>
      <c r="Z728" s="1023"/>
    </row>
    <row r="729" spans="1:26" ht="11.25" customHeight="1" x14ac:dyDescent="0.2">
      <c r="A729" s="1023"/>
      <c r="B729" s="1023"/>
      <c r="C729" s="1023"/>
      <c r="D729" s="1023"/>
      <c r="E729" s="1023"/>
      <c r="F729" s="1023"/>
      <c r="G729" s="1023"/>
      <c r="H729" s="1023"/>
      <c r="I729" s="1023"/>
      <c r="J729" s="1023"/>
      <c r="K729" s="1023"/>
      <c r="L729" s="1023"/>
      <c r="M729" s="1023"/>
      <c r="N729" s="1023"/>
      <c r="O729" s="1023"/>
      <c r="P729" s="1023"/>
      <c r="Q729" s="1023"/>
      <c r="R729" s="1023"/>
      <c r="S729" s="1023"/>
      <c r="T729" s="1023"/>
      <c r="U729" s="1023"/>
      <c r="V729" s="1023"/>
      <c r="W729" s="1023"/>
      <c r="X729" s="1023"/>
      <c r="Y729" s="1023"/>
      <c r="Z729" s="1023"/>
    </row>
    <row r="730" spans="1:26" ht="11.25" customHeight="1" x14ac:dyDescent="0.2">
      <c r="A730" s="1023"/>
      <c r="B730" s="1023"/>
      <c r="C730" s="1023"/>
      <c r="D730" s="1023"/>
      <c r="E730" s="1023"/>
      <c r="F730" s="1023"/>
      <c r="G730" s="1023"/>
      <c r="H730" s="1023"/>
      <c r="I730" s="1023"/>
      <c r="J730" s="1023"/>
      <c r="K730" s="1023"/>
      <c r="L730" s="1023"/>
      <c r="M730" s="1023"/>
      <c r="N730" s="1023"/>
      <c r="O730" s="1023"/>
      <c r="P730" s="1023"/>
      <c r="Q730" s="1023"/>
      <c r="R730" s="1023"/>
      <c r="S730" s="1023"/>
      <c r="T730" s="1023"/>
      <c r="U730" s="1023"/>
      <c r="V730" s="1023"/>
      <c r="W730" s="1023"/>
      <c r="X730" s="1023"/>
      <c r="Y730" s="1023"/>
      <c r="Z730" s="1023"/>
    </row>
    <row r="731" spans="1:26" ht="11.25" customHeight="1" x14ac:dyDescent="0.2">
      <c r="A731" s="1023"/>
      <c r="B731" s="1023"/>
      <c r="C731" s="1023"/>
      <c r="D731" s="1023"/>
      <c r="E731" s="1023"/>
      <c r="F731" s="1023"/>
      <c r="G731" s="1023"/>
      <c r="H731" s="1023"/>
      <c r="I731" s="1023"/>
      <c r="J731" s="1023"/>
      <c r="K731" s="1023"/>
      <c r="L731" s="1023"/>
      <c r="M731" s="1023"/>
      <c r="N731" s="1023"/>
      <c r="O731" s="1023"/>
      <c r="P731" s="1023"/>
      <c r="Q731" s="1023"/>
      <c r="R731" s="1023"/>
      <c r="S731" s="1023"/>
      <c r="T731" s="1023"/>
      <c r="U731" s="1023"/>
      <c r="V731" s="1023"/>
      <c r="W731" s="1023"/>
      <c r="X731" s="1023"/>
      <c r="Y731" s="1023"/>
      <c r="Z731" s="1023"/>
    </row>
    <row r="732" spans="1:26" ht="11.25" customHeight="1" x14ac:dyDescent="0.2">
      <c r="A732" s="1023"/>
      <c r="B732" s="1023"/>
      <c r="C732" s="1023"/>
      <c r="D732" s="1023"/>
      <c r="E732" s="1023"/>
      <c r="F732" s="1023"/>
      <c r="G732" s="1023"/>
      <c r="H732" s="1023"/>
      <c r="I732" s="1023"/>
      <c r="J732" s="1023"/>
      <c r="K732" s="1023"/>
      <c r="L732" s="1023"/>
      <c r="M732" s="1023"/>
      <c r="N732" s="1023"/>
      <c r="O732" s="1023"/>
      <c r="P732" s="1023"/>
      <c r="Q732" s="1023"/>
      <c r="R732" s="1023"/>
      <c r="S732" s="1023"/>
      <c r="T732" s="1023"/>
      <c r="U732" s="1023"/>
      <c r="V732" s="1023"/>
      <c r="W732" s="1023"/>
      <c r="X732" s="1023"/>
      <c r="Y732" s="1023"/>
      <c r="Z732" s="1023"/>
    </row>
    <row r="733" spans="1:26" ht="11.25" customHeight="1" x14ac:dyDescent="0.2">
      <c r="A733" s="1023"/>
      <c r="B733" s="1023"/>
      <c r="C733" s="1023"/>
      <c r="D733" s="1023"/>
      <c r="E733" s="1023"/>
      <c r="F733" s="1023"/>
      <c r="G733" s="1023"/>
      <c r="H733" s="1023"/>
      <c r="I733" s="1023"/>
      <c r="J733" s="1023"/>
      <c r="K733" s="1023"/>
      <c r="L733" s="1023"/>
      <c r="M733" s="1023"/>
      <c r="N733" s="1023"/>
      <c r="O733" s="1023"/>
      <c r="P733" s="1023"/>
      <c r="Q733" s="1023"/>
      <c r="R733" s="1023"/>
      <c r="S733" s="1023"/>
      <c r="T733" s="1023"/>
      <c r="U733" s="1023"/>
      <c r="V733" s="1023"/>
      <c r="W733" s="1023"/>
      <c r="X733" s="1023"/>
      <c r="Y733" s="1023"/>
      <c r="Z733" s="1023"/>
    </row>
    <row r="734" spans="1:26" ht="11.25" customHeight="1" x14ac:dyDescent="0.2">
      <c r="A734" s="1023"/>
      <c r="B734" s="1023"/>
      <c r="C734" s="1023"/>
      <c r="D734" s="1023"/>
      <c r="E734" s="1023"/>
      <c r="F734" s="1023"/>
      <c r="G734" s="1023"/>
      <c r="H734" s="1023"/>
      <c r="I734" s="1023"/>
      <c r="J734" s="1023"/>
      <c r="K734" s="1023"/>
      <c r="L734" s="1023"/>
      <c r="M734" s="1023"/>
      <c r="N734" s="1023"/>
      <c r="O734" s="1023"/>
      <c r="P734" s="1023"/>
      <c r="Q734" s="1023"/>
      <c r="R734" s="1023"/>
      <c r="S734" s="1023"/>
      <c r="T734" s="1023"/>
      <c r="U734" s="1023"/>
      <c r="V734" s="1023"/>
      <c r="W734" s="1023"/>
      <c r="X734" s="1023"/>
      <c r="Y734" s="1023"/>
      <c r="Z734" s="1023"/>
    </row>
    <row r="735" spans="1:26" ht="11.25" customHeight="1" x14ac:dyDescent="0.2">
      <c r="A735" s="1023"/>
      <c r="B735" s="1023"/>
      <c r="C735" s="1023"/>
      <c r="D735" s="1023"/>
      <c r="E735" s="1023"/>
      <c r="F735" s="1023"/>
      <c r="G735" s="1023"/>
      <c r="H735" s="1023"/>
      <c r="I735" s="1023"/>
      <c r="J735" s="1023"/>
      <c r="K735" s="1023"/>
      <c r="L735" s="1023"/>
      <c r="M735" s="1023"/>
      <c r="N735" s="1023"/>
      <c r="O735" s="1023"/>
      <c r="P735" s="1023"/>
      <c r="Q735" s="1023"/>
      <c r="R735" s="1023"/>
      <c r="S735" s="1023"/>
      <c r="T735" s="1023"/>
      <c r="U735" s="1023"/>
      <c r="V735" s="1023"/>
      <c r="W735" s="1023"/>
      <c r="X735" s="1023"/>
      <c r="Y735" s="1023"/>
      <c r="Z735" s="1023"/>
    </row>
    <row r="736" spans="1:26" ht="11.25" customHeight="1" x14ac:dyDescent="0.2">
      <c r="A736" s="1023"/>
      <c r="B736" s="1023"/>
      <c r="C736" s="1023"/>
      <c r="D736" s="1023"/>
      <c r="E736" s="1023"/>
      <c r="F736" s="1023"/>
      <c r="G736" s="1023"/>
      <c r="H736" s="1023"/>
      <c r="I736" s="1023"/>
      <c r="J736" s="1023"/>
      <c r="K736" s="1023"/>
      <c r="L736" s="1023"/>
      <c r="M736" s="1023"/>
      <c r="N736" s="1023"/>
      <c r="O736" s="1023"/>
      <c r="P736" s="1023"/>
      <c r="Q736" s="1023"/>
      <c r="R736" s="1023"/>
      <c r="S736" s="1023"/>
      <c r="T736" s="1023"/>
      <c r="U736" s="1023"/>
      <c r="V736" s="1023"/>
      <c r="W736" s="1023"/>
      <c r="X736" s="1023"/>
      <c r="Y736" s="1023"/>
      <c r="Z736" s="1023"/>
    </row>
    <row r="737" spans="1:26" ht="11.25" customHeight="1" x14ac:dyDescent="0.2">
      <c r="A737" s="1023"/>
      <c r="B737" s="1023"/>
      <c r="C737" s="1023"/>
      <c r="D737" s="1023"/>
      <c r="E737" s="1023"/>
      <c r="F737" s="1023"/>
      <c r="G737" s="1023"/>
      <c r="H737" s="1023"/>
      <c r="I737" s="1023"/>
      <c r="J737" s="1023"/>
      <c r="K737" s="1023"/>
      <c r="L737" s="1023"/>
      <c r="M737" s="1023"/>
      <c r="N737" s="1023"/>
      <c r="O737" s="1023"/>
      <c r="P737" s="1023"/>
      <c r="Q737" s="1023"/>
      <c r="R737" s="1023"/>
      <c r="S737" s="1023"/>
      <c r="T737" s="1023"/>
      <c r="U737" s="1023"/>
      <c r="V737" s="1023"/>
      <c r="W737" s="1023"/>
      <c r="X737" s="1023"/>
      <c r="Y737" s="1023"/>
      <c r="Z737" s="1023"/>
    </row>
    <row r="738" spans="1:26" ht="11.25" customHeight="1" x14ac:dyDescent="0.2">
      <c r="A738" s="1023"/>
      <c r="B738" s="1023"/>
      <c r="C738" s="1023"/>
      <c r="D738" s="1023"/>
      <c r="E738" s="1023"/>
      <c r="F738" s="1023"/>
      <c r="G738" s="1023"/>
      <c r="H738" s="1023"/>
      <c r="I738" s="1023"/>
      <c r="J738" s="1023"/>
      <c r="K738" s="1023"/>
      <c r="L738" s="1023"/>
      <c r="M738" s="1023"/>
      <c r="N738" s="1023"/>
      <c r="O738" s="1023"/>
      <c r="P738" s="1023"/>
      <c r="Q738" s="1023"/>
      <c r="R738" s="1023"/>
      <c r="S738" s="1023"/>
      <c r="T738" s="1023"/>
      <c r="U738" s="1023"/>
      <c r="V738" s="1023"/>
      <c r="W738" s="1023"/>
      <c r="X738" s="1023"/>
      <c r="Y738" s="1023"/>
      <c r="Z738" s="1023"/>
    </row>
    <row r="739" spans="1:26" ht="11.25" customHeight="1" x14ac:dyDescent="0.2">
      <c r="A739" s="1023"/>
      <c r="B739" s="1023"/>
      <c r="C739" s="1023"/>
      <c r="D739" s="1023"/>
      <c r="E739" s="1023"/>
      <c r="F739" s="1023"/>
      <c r="G739" s="1023"/>
      <c r="H739" s="1023"/>
      <c r="I739" s="1023"/>
      <c r="J739" s="1023"/>
      <c r="K739" s="1023"/>
      <c r="L739" s="1023"/>
      <c r="M739" s="1023"/>
      <c r="N739" s="1023"/>
      <c r="O739" s="1023"/>
      <c r="P739" s="1023"/>
      <c r="Q739" s="1023"/>
      <c r="R739" s="1023"/>
      <c r="S739" s="1023"/>
      <c r="T739" s="1023"/>
      <c r="U739" s="1023"/>
      <c r="V739" s="1023"/>
      <c r="W739" s="1023"/>
      <c r="X739" s="1023"/>
      <c r="Y739" s="1023"/>
      <c r="Z739" s="1023"/>
    </row>
    <row r="740" spans="1:26" ht="11.25" customHeight="1" x14ac:dyDescent="0.2">
      <c r="A740" s="1023"/>
      <c r="B740" s="1023"/>
      <c r="C740" s="1023"/>
      <c r="D740" s="1023"/>
      <c r="E740" s="1023"/>
      <c r="F740" s="1023"/>
      <c r="G740" s="1023"/>
      <c r="H740" s="1023"/>
      <c r="I740" s="1023"/>
      <c r="J740" s="1023"/>
      <c r="K740" s="1023"/>
      <c r="L740" s="1023"/>
      <c r="M740" s="1023"/>
      <c r="N740" s="1023"/>
      <c r="O740" s="1023"/>
      <c r="P740" s="1023"/>
      <c r="Q740" s="1023"/>
      <c r="R740" s="1023"/>
      <c r="S740" s="1023"/>
      <c r="T740" s="1023"/>
      <c r="U740" s="1023"/>
      <c r="V740" s="1023"/>
      <c r="W740" s="1023"/>
      <c r="X740" s="1023"/>
      <c r="Y740" s="1023"/>
      <c r="Z740" s="1023"/>
    </row>
    <row r="741" spans="1:26" ht="11.25" customHeight="1" x14ac:dyDescent="0.2">
      <c r="A741" s="1023"/>
      <c r="B741" s="1023"/>
      <c r="C741" s="1023"/>
      <c r="D741" s="1023"/>
      <c r="E741" s="1023"/>
      <c r="F741" s="1023"/>
      <c r="G741" s="1023"/>
      <c r="H741" s="1023"/>
      <c r="I741" s="1023"/>
      <c r="J741" s="1023"/>
      <c r="K741" s="1023"/>
      <c r="L741" s="1023"/>
      <c r="M741" s="1023"/>
      <c r="N741" s="1023"/>
      <c r="O741" s="1023"/>
      <c r="P741" s="1023"/>
      <c r="Q741" s="1023"/>
      <c r="R741" s="1023"/>
      <c r="S741" s="1023"/>
      <c r="T741" s="1023"/>
      <c r="U741" s="1023"/>
      <c r="V741" s="1023"/>
      <c r="W741" s="1023"/>
      <c r="X741" s="1023"/>
      <c r="Y741" s="1023"/>
      <c r="Z741" s="1023"/>
    </row>
    <row r="742" spans="1:26" ht="11.25" customHeight="1" x14ac:dyDescent="0.2">
      <c r="A742" s="1023"/>
      <c r="B742" s="1023"/>
      <c r="C742" s="1023"/>
      <c r="D742" s="1023"/>
      <c r="E742" s="1023"/>
      <c r="F742" s="1023"/>
      <c r="G742" s="1023"/>
      <c r="H742" s="1023"/>
      <c r="I742" s="1023"/>
      <c r="J742" s="1023"/>
      <c r="K742" s="1023"/>
      <c r="L742" s="1023"/>
      <c r="M742" s="1023"/>
      <c r="N742" s="1023"/>
      <c r="O742" s="1023"/>
      <c r="P742" s="1023"/>
      <c r="Q742" s="1023"/>
      <c r="R742" s="1023"/>
      <c r="S742" s="1023"/>
      <c r="T742" s="1023"/>
      <c r="U742" s="1023"/>
      <c r="V742" s="1023"/>
      <c r="W742" s="1023"/>
      <c r="X742" s="1023"/>
      <c r="Y742" s="1023"/>
      <c r="Z742" s="1023"/>
    </row>
    <row r="743" spans="1:26" ht="11.25" customHeight="1" x14ac:dyDescent="0.2">
      <c r="A743" s="1023"/>
      <c r="B743" s="1023"/>
      <c r="C743" s="1023"/>
      <c r="D743" s="1023"/>
      <c r="E743" s="1023"/>
      <c r="F743" s="1023"/>
      <c r="G743" s="1023"/>
      <c r="H743" s="1023"/>
      <c r="I743" s="1023"/>
      <c r="J743" s="1023"/>
      <c r="K743" s="1023"/>
      <c r="L743" s="1023"/>
      <c r="M743" s="1023"/>
      <c r="N743" s="1023"/>
      <c r="O743" s="1023"/>
      <c r="P743" s="1023"/>
      <c r="Q743" s="1023"/>
      <c r="R743" s="1023"/>
      <c r="S743" s="1023"/>
      <c r="T743" s="1023"/>
      <c r="U743" s="1023"/>
      <c r="V743" s="1023"/>
      <c r="W743" s="1023"/>
      <c r="X743" s="1023"/>
      <c r="Y743" s="1023"/>
      <c r="Z743" s="1023"/>
    </row>
    <row r="744" spans="1:26" ht="11.25" customHeight="1" x14ac:dyDescent="0.2">
      <c r="A744" s="1023"/>
      <c r="B744" s="1023"/>
      <c r="C744" s="1023"/>
      <c r="D744" s="1023"/>
      <c r="E744" s="1023"/>
      <c r="F744" s="1023"/>
      <c r="G744" s="1023"/>
      <c r="H744" s="1023"/>
      <c r="I744" s="1023"/>
      <c r="J744" s="1023"/>
      <c r="K744" s="1023"/>
      <c r="L744" s="1023"/>
      <c r="M744" s="1023"/>
      <c r="N744" s="1023"/>
      <c r="O744" s="1023"/>
      <c r="P744" s="1023"/>
      <c r="Q744" s="1023"/>
      <c r="R744" s="1023"/>
      <c r="S744" s="1023"/>
      <c r="T744" s="1023"/>
      <c r="U744" s="1023"/>
      <c r="V744" s="1023"/>
      <c r="W744" s="1023"/>
      <c r="X744" s="1023"/>
      <c r="Y744" s="1023"/>
      <c r="Z744" s="1023"/>
    </row>
    <row r="745" spans="1:26" ht="11.25" customHeight="1" x14ac:dyDescent="0.2">
      <c r="A745" s="1023"/>
      <c r="B745" s="1023"/>
      <c r="C745" s="1023"/>
      <c r="D745" s="1023"/>
      <c r="E745" s="1023"/>
      <c r="F745" s="1023"/>
      <c r="G745" s="1023"/>
      <c r="H745" s="1023"/>
      <c r="I745" s="1023"/>
      <c r="J745" s="1023"/>
      <c r="K745" s="1023"/>
      <c r="L745" s="1023"/>
      <c r="M745" s="1023"/>
      <c r="N745" s="1023"/>
      <c r="O745" s="1023"/>
      <c r="P745" s="1023"/>
      <c r="Q745" s="1023"/>
      <c r="R745" s="1023"/>
      <c r="S745" s="1023"/>
      <c r="T745" s="1023"/>
      <c r="U745" s="1023"/>
      <c r="V745" s="1023"/>
      <c r="W745" s="1023"/>
      <c r="X745" s="1023"/>
      <c r="Y745" s="1023"/>
      <c r="Z745" s="1023"/>
    </row>
    <row r="746" spans="1:26" ht="11.25" customHeight="1" x14ac:dyDescent="0.2">
      <c r="A746" s="1023"/>
      <c r="B746" s="1023"/>
      <c r="C746" s="1023"/>
      <c r="D746" s="1023"/>
      <c r="E746" s="1023"/>
      <c r="F746" s="1023"/>
      <c r="G746" s="1023"/>
      <c r="H746" s="1023"/>
      <c r="I746" s="1023"/>
      <c r="J746" s="1023"/>
      <c r="K746" s="1023"/>
      <c r="L746" s="1023"/>
      <c r="M746" s="1023"/>
      <c r="N746" s="1023"/>
      <c r="O746" s="1023"/>
      <c r="P746" s="1023"/>
      <c r="Q746" s="1023"/>
      <c r="R746" s="1023"/>
      <c r="S746" s="1023"/>
      <c r="T746" s="1023"/>
      <c r="U746" s="1023"/>
      <c r="V746" s="1023"/>
      <c r="W746" s="1023"/>
      <c r="X746" s="1023"/>
      <c r="Y746" s="1023"/>
      <c r="Z746" s="1023"/>
    </row>
    <row r="747" spans="1:26" ht="11.25" customHeight="1" x14ac:dyDescent="0.2">
      <c r="A747" s="1023"/>
      <c r="B747" s="1023"/>
      <c r="C747" s="1023"/>
      <c r="D747" s="1023"/>
      <c r="E747" s="1023"/>
      <c r="F747" s="1023"/>
      <c r="G747" s="1023"/>
      <c r="H747" s="1023"/>
      <c r="I747" s="1023"/>
      <c r="J747" s="1023"/>
      <c r="K747" s="1023"/>
      <c r="L747" s="1023"/>
      <c r="M747" s="1023"/>
      <c r="N747" s="1023"/>
      <c r="O747" s="1023"/>
      <c r="P747" s="1023"/>
      <c r="Q747" s="1023"/>
      <c r="R747" s="1023"/>
      <c r="S747" s="1023"/>
      <c r="T747" s="1023"/>
      <c r="U747" s="1023"/>
      <c r="V747" s="1023"/>
      <c r="W747" s="1023"/>
      <c r="X747" s="1023"/>
      <c r="Y747" s="1023"/>
      <c r="Z747" s="1023"/>
    </row>
    <row r="748" spans="1:26" ht="11.25" customHeight="1" x14ac:dyDescent="0.2">
      <c r="A748" s="1023"/>
      <c r="B748" s="1023"/>
      <c r="C748" s="1023"/>
      <c r="D748" s="1023"/>
      <c r="E748" s="1023"/>
      <c r="F748" s="1023"/>
      <c r="G748" s="1023"/>
      <c r="H748" s="1023"/>
      <c r="I748" s="1023"/>
      <c r="J748" s="1023"/>
      <c r="K748" s="1023"/>
      <c r="L748" s="1023"/>
      <c r="M748" s="1023"/>
      <c r="N748" s="1023"/>
      <c r="O748" s="1023"/>
      <c r="P748" s="1023"/>
      <c r="Q748" s="1023"/>
      <c r="R748" s="1023"/>
      <c r="S748" s="1023"/>
      <c r="T748" s="1023"/>
      <c r="U748" s="1023"/>
      <c r="V748" s="1023"/>
      <c r="W748" s="1023"/>
      <c r="X748" s="1023"/>
      <c r="Y748" s="1023"/>
      <c r="Z748" s="1023"/>
    </row>
    <row r="749" spans="1:26" ht="11.25" customHeight="1" x14ac:dyDescent="0.2">
      <c r="A749" s="1023"/>
      <c r="B749" s="1023"/>
      <c r="C749" s="1023"/>
      <c r="D749" s="1023"/>
      <c r="E749" s="1023"/>
      <c r="F749" s="1023"/>
      <c r="G749" s="1023"/>
      <c r="H749" s="1023"/>
      <c r="I749" s="1023"/>
      <c r="J749" s="1023"/>
      <c r="K749" s="1023"/>
      <c r="L749" s="1023"/>
      <c r="M749" s="1023"/>
      <c r="N749" s="1023"/>
      <c r="O749" s="1023"/>
      <c r="P749" s="1023"/>
      <c r="Q749" s="1023"/>
      <c r="R749" s="1023"/>
      <c r="S749" s="1023"/>
      <c r="T749" s="1023"/>
      <c r="U749" s="1023"/>
      <c r="V749" s="1023"/>
      <c r="W749" s="1023"/>
      <c r="X749" s="1023"/>
      <c r="Y749" s="1023"/>
      <c r="Z749" s="1023"/>
    </row>
    <row r="750" spans="1:26" ht="11.25" customHeight="1" x14ac:dyDescent="0.2">
      <c r="A750" s="1023"/>
      <c r="B750" s="1023"/>
      <c r="C750" s="1023"/>
      <c r="D750" s="1023"/>
      <c r="E750" s="1023"/>
      <c r="F750" s="1023"/>
      <c r="G750" s="1023"/>
      <c r="H750" s="1023"/>
      <c r="I750" s="1023"/>
      <c r="J750" s="1023"/>
      <c r="K750" s="1023"/>
      <c r="L750" s="1023"/>
      <c r="M750" s="1023"/>
      <c r="N750" s="1023"/>
      <c r="O750" s="1023"/>
      <c r="P750" s="1023"/>
      <c r="Q750" s="1023"/>
      <c r="R750" s="1023"/>
      <c r="S750" s="1023"/>
      <c r="T750" s="1023"/>
      <c r="U750" s="1023"/>
      <c r="V750" s="1023"/>
      <c r="W750" s="1023"/>
      <c r="X750" s="1023"/>
      <c r="Y750" s="1023"/>
      <c r="Z750" s="1023"/>
    </row>
    <row r="751" spans="1:26" ht="11.25" customHeight="1" x14ac:dyDescent="0.2">
      <c r="A751" s="1023"/>
      <c r="B751" s="1023"/>
      <c r="C751" s="1023"/>
      <c r="D751" s="1023"/>
      <c r="E751" s="1023"/>
      <c r="F751" s="1023"/>
      <c r="G751" s="1023"/>
      <c r="H751" s="1023"/>
      <c r="I751" s="1023"/>
      <c r="J751" s="1023"/>
      <c r="K751" s="1023"/>
      <c r="L751" s="1023"/>
      <c r="M751" s="1023"/>
      <c r="N751" s="1023"/>
      <c r="O751" s="1023"/>
      <c r="P751" s="1023"/>
      <c r="Q751" s="1023"/>
      <c r="R751" s="1023"/>
      <c r="S751" s="1023"/>
      <c r="T751" s="1023"/>
      <c r="U751" s="1023"/>
      <c r="V751" s="1023"/>
      <c r="W751" s="1023"/>
      <c r="X751" s="1023"/>
      <c r="Y751" s="1023"/>
      <c r="Z751" s="1023"/>
    </row>
    <row r="752" spans="1:26" ht="11.25" customHeight="1" x14ac:dyDescent="0.2">
      <c r="A752" s="1023"/>
      <c r="B752" s="1023"/>
      <c r="C752" s="1023"/>
      <c r="D752" s="1023"/>
      <c r="E752" s="1023"/>
      <c r="F752" s="1023"/>
      <c r="G752" s="1023"/>
      <c r="H752" s="1023"/>
      <c r="I752" s="1023"/>
      <c r="J752" s="1023"/>
      <c r="K752" s="1023"/>
      <c r="L752" s="1023"/>
      <c r="M752" s="1023"/>
      <c r="N752" s="1023"/>
      <c r="O752" s="1023"/>
      <c r="P752" s="1023"/>
      <c r="Q752" s="1023"/>
      <c r="R752" s="1023"/>
      <c r="S752" s="1023"/>
      <c r="T752" s="1023"/>
      <c r="U752" s="1023"/>
      <c r="V752" s="1023"/>
      <c r="W752" s="1023"/>
      <c r="X752" s="1023"/>
      <c r="Y752" s="1023"/>
      <c r="Z752" s="1023"/>
    </row>
    <row r="753" spans="1:26" ht="11.25" customHeight="1" x14ac:dyDescent="0.2">
      <c r="A753" s="1023"/>
      <c r="B753" s="1023"/>
      <c r="C753" s="1023"/>
      <c r="D753" s="1023"/>
      <c r="E753" s="1023"/>
      <c r="F753" s="1023"/>
      <c r="G753" s="1023"/>
      <c r="H753" s="1023"/>
      <c r="I753" s="1023"/>
      <c r="J753" s="1023"/>
      <c r="K753" s="1023"/>
      <c r="L753" s="1023"/>
      <c r="M753" s="1023"/>
      <c r="N753" s="1023"/>
      <c r="O753" s="1023"/>
      <c r="P753" s="1023"/>
      <c r="Q753" s="1023"/>
      <c r="R753" s="1023"/>
      <c r="S753" s="1023"/>
      <c r="T753" s="1023"/>
      <c r="U753" s="1023"/>
      <c r="V753" s="1023"/>
      <c r="W753" s="1023"/>
      <c r="X753" s="1023"/>
      <c r="Y753" s="1023"/>
      <c r="Z753" s="1023"/>
    </row>
    <row r="754" spans="1:26" ht="11.25" customHeight="1" x14ac:dyDescent="0.2">
      <c r="A754" s="1023"/>
      <c r="B754" s="1023"/>
      <c r="C754" s="1023"/>
      <c r="D754" s="1023"/>
      <c r="E754" s="1023"/>
      <c r="F754" s="1023"/>
      <c r="G754" s="1023"/>
      <c r="H754" s="1023"/>
      <c r="I754" s="1023"/>
      <c r="J754" s="1023"/>
      <c r="K754" s="1023"/>
      <c r="L754" s="1023"/>
      <c r="M754" s="1023"/>
      <c r="N754" s="1023"/>
      <c r="O754" s="1023"/>
      <c r="P754" s="1023"/>
      <c r="Q754" s="1023"/>
      <c r="R754" s="1023"/>
      <c r="S754" s="1023"/>
      <c r="T754" s="1023"/>
      <c r="U754" s="1023"/>
      <c r="V754" s="1023"/>
      <c r="W754" s="1023"/>
      <c r="X754" s="1023"/>
      <c r="Y754" s="1023"/>
      <c r="Z754" s="1023"/>
    </row>
    <row r="755" spans="1:26" ht="11.25" customHeight="1" x14ac:dyDescent="0.2">
      <c r="A755" s="1023"/>
      <c r="B755" s="1023"/>
      <c r="C755" s="1023"/>
      <c r="D755" s="1023"/>
      <c r="E755" s="1023"/>
      <c r="F755" s="1023"/>
      <c r="G755" s="1023"/>
      <c r="H755" s="1023"/>
      <c r="I755" s="1023"/>
      <c r="J755" s="1023"/>
      <c r="K755" s="1023"/>
      <c r="L755" s="1023"/>
      <c r="M755" s="1023"/>
      <c r="N755" s="1023"/>
      <c r="O755" s="1023"/>
      <c r="P755" s="1023"/>
      <c r="Q755" s="1023"/>
      <c r="R755" s="1023"/>
      <c r="S755" s="1023"/>
      <c r="T755" s="1023"/>
      <c r="U755" s="1023"/>
      <c r="V755" s="1023"/>
      <c r="W755" s="1023"/>
      <c r="X755" s="1023"/>
      <c r="Y755" s="1023"/>
      <c r="Z755" s="1023"/>
    </row>
    <row r="756" spans="1:26" ht="11.25" customHeight="1" x14ac:dyDescent="0.2">
      <c r="A756" s="1023"/>
      <c r="B756" s="1023"/>
      <c r="C756" s="1023"/>
      <c r="D756" s="1023"/>
      <c r="E756" s="1023"/>
      <c r="F756" s="1023"/>
      <c r="G756" s="1023"/>
      <c r="H756" s="1023"/>
      <c r="I756" s="1023"/>
      <c r="J756" s="1023"/>
      <c r="K756" s="1023"/>
      <c r="L756" s="1023"/>
      <c r="M756" s="1023"/>
      <c r="N756" s="1023"/>
      <c r="O756" s="1023"/>
      <c r="P756" s="1023"/>
      <c r="Q756" s="1023"/>
      <c r="R756" s="1023"/>
      <c r="S756" s="1023"/>
      <c r="T756" s="1023"/>
      <c r="U756" s="1023"/>
      <c r="V756" s="1023"/>
      <c r="W756" s="1023"/>
      <c r="X756" s="1023"/>
      <c r="Y756" s="1023"/>
      <c r="Z756" s="1023"/>
    </row>
    <row r="757" spans="1:26" ht="11.25" customHeight="1" x14ac:dyDescent="0.2">
      <c r="A757" s="1023"/>
      <c r="B757" s="1023"/>
      <c r="C757" s="1023"/>
      <c r="D757" s="1023"/>
      <c r="E757" s="1023"/>
      <c r="F757" s="1023"/>
      <c r="G757" s="1023"/>
      <c r="H757" s="1023"/>
      <c r="I757" s="1023"/>
      <c r="J757" s="1023"/>
      <c r="K757" s="1023"/>
      <c r="L757" s="1023"/>
      <c r="M757" s="1023"/>
      <c r="N757" s="1023"/>
      <c r="O757" s="1023"/>
      <c r="P757" s="1023"/>
      <c r="Q757" s="1023"/>
      <c r="R757" s="1023"/>
      <c r="S757" s="1023"/>
      <c r="T757" s="1023"/>
      <c r="U757" s="1023"/>
      <c r="V757" s="1023"/>
      <c r="W757" s="1023"/>
      <c r="X757" s="1023"/>
      <c r="Y757" s="1023"/>
      <c r="Z757" s="1023"/>
    </row>
    <row r="758" spans="1:26" ht="11.25" customHeight="1" x14ac:dyDescent="0.2">
      <c r="A758" s="1023"/>
      <c r="B758" s="1023"/>
      <c r="C758" s="1023"/>
      <c r="D758" s="1023"/>
      <c r="E758" s="1023"/>
      <c r="F758" s="1023"/>
      <c r="G758" s="1023"/>
      <c r="H758" s="1023"/>
      <c r="I758" s="1023"/>
      <c r="J758" s="1023"/>
      <c r="K758" s="1023"/>
      <c r="L758" s="1023"/>
      <c r="M758" s="1023"/>
      <c r="N758" s="1023"/>
      <c r="O758" s="1023"/>
      <c r="P758" s="1023"/>
      <c r="Q758" s="1023"/>
      <c r="R758" s="1023"/>
      <c r="S758" s="1023"/>
      <c r="T758" s="1023"/>
      <c r="U758" s="1023"/>
      <c r="V758" s="1023"/>
      <c r="W758" s="1023"/>
      <c r="X758" s="1023"/>
      <c r="Y758" s="1023"/>
      <c r="Z758" s="1023"/>
    </row>
    <row r="759" spans="1:26" ht="11.25" customHeight="1" x14ac:dyDescent="0.2">
      <c r="A759" s="1023"/>
      <c r="B759" s="1023"/>
      <c r="C759" s="1023"/>
      <c r="D759" s="1023"/>
      <c r="E759" s="1023"/>
      <c r="F759" s="1023"/>
      <c r="G759" s="1023"/>
      <c r="H759" s="1023"/>
      <c r="I759" s="1023"/>
      <c r="J759" s="1023"/>
      <c r="K759" s="1023"/>
      <c r="L759" s="1023"/>
      <c r="M759" s="1023"/>
      <c r="N759" s="1023"/>
      <c r="O759" s="1023"/>
      <c r="P759" s="1023"/>
      <c r="Q759" s="1023"/>
      <c r="R759" s="1023"/>
      <c r="S759" s="1023"/>
      <c r="T759" s="1023"/>
      <c r="U759" s="1023"/>
      <c r="V759" s="1023"/>
      <c r="W759" s="1023"/>
      <c r="X759" s="1023"/>
      <c r="Y759" s="1023"/>
      <c r="Z759" s="1023"/>
    </row>
    <row r="760" spans="1:26" ht="11.25" customHeight="1" x14ac:dyDescent="0.2">
      <c r="A760" s="1023"/>
      <c r="B760" s="1023"/>
      <c r="C760" s="1023"/>
      <c r="D760" s="1023"/>
      <c r="E760" s="1023"/>
      <c r="F760" s="1023"/>
      <c r="G760" s="1023"/>
      <c r="H760" s="1023"/>
      <c r="I760" s="1023"/>
      <c r="J760" s="1023"/>
      <c r="K760" s="1023"/>
      <c r="L760" s="1023"/>
      <c r="M760" s="1023"/>
      <c r="N760" s="1023"/>
      <c r="O760" s="1023"/>
      <c r="P760" s="1023"/>
      <c r="Q760" s="1023"/>
      <c r="R760" s="1023"/>
      <c r="S760" s="1023"/>
      <c r="T760" s="1023"/>
      <c r="U760" s="1023"/>
      <c r="V760" s="1023"/>
      <c r="W760" s="1023"/>
      <c r="X760" s="1023"/>
      <c r="Y760" s="1023"/>
      <c r="Z760" s="1023"/>
    </row>
    <row r="761" spans="1:26" ht="11.25" customHeight="1" x14ac:dyDescent="0.2">
      <c r="A761" s="1023"/>
      <c r="B761" s="1023"/>
      <c r="C761" s="1023"/>
      <c r="D761" s="1023"/>
      <c r="E761" s="1023"/>
      <c r="F761" s="1023"/>
      <c r="G761" s="1023"/>
      <c r="H761" s="1023"/>
      <c r="I761" s="1023"/>
      <c r="J761" s="1023"/>
      <c r="K761" s="1023"/>
      <c r="L761" s="1023"/>
      <c r="M761" s="1023"/>
      <c r="N761" s="1023"/>
      <c r="O761" s="1023"/>
      <c r="P761" s="1023"/>
      <c r="Q761" s="1023"/>
      <c r="R761" s="1023"/>
      <c r="S761" s="1023"/>
      <c r="T761" s="1023"/>
      <c r="U761" s="1023"/>
      <c r="V761" s="1023"/>
      <c r="W761" s="1023"/>
      <c r="X761" s="1023"/>
      <c r="Y761" s="1023"/>
      <c r="Z761" s="1023"/>
    </row>
    <row r="762" spans="1:26" ht="11.25" customHeight="1" x14ac:dyDescent="0.2">
      <c r="A762" s="1023"/>
      <c r="B762" s="1023"/>
      <c r="C762" s="1023"/>
      <c r="D762" s="1023"/>
      <c r="E762" s="1023"/>
      <c r="F762" s="1023"/>
      <c r="G762" s="1023"/>
      <c r="H762" s="1023"/>
      <c r="I762" s="1023"/>
      <c r="J762" s="1023"/>
      <c r="K762" s="1023"/>
      <c r="L762" s="1023"/>
      <c r="M762" s="1023"/>
      <c r="N762" s="1023"/>
      <c r="O762" s="1023"/>
      <c r="P762" s="1023"/>
      <c r="Q762" s="1023"/>
      <c r="R762" s="1023"/>
      <c r="S762" s="1023"/>
      <c r="T762" s="1023"/>
      <c r="U762" s="1023"/>
      <c r="V762" s="1023"/>
      <c r="W762" s="1023"/>
      <c r="X762" s="1023"/>
      <c r="Y762" s="1023"/>
      <c r="Z762" s="1023"/>
    </row>
    <row r="763" spans="1:26" ht="11.25" customHeight="1" x14ac:dyDescent="0.2">
      <c r="A763" s="1023"/>
      <c r="B763" s="1023"/>
      <c r="C763" s="1023"/>
      <c r="D763" s="1023"/>
      <c r="E763" s="1023"/>
      <c r="F763" s="1023"/>
      <c r="G763" s="1023"/>
      <c r="H763" s="1023"/>
      <c r="I763" s="1023"/>
      <c r="J763" s="1023"/>
      <c r="K763" s="1023"/>
      <c r="L763" s="1023"/>
      <c r="M763" s="1023"/>
      <c r="N763" s="1023"/>
      <c r="O763" s="1023"/>
      <c r="P763" s="1023"/>
      <c r="Q763" s="1023"/>
      <c r="R763" s="1023"/>
      <c r="S763" s="1023"/>
      <c r="T763" s="1023"/>
      <c r="U763" s="1023"/>
      <c r="V763" s="1023"/>
      <c r="W763" s="1023"/>
      <c r="X763" s="1023"/>
      <c r="Y763" s="1023"/>
      <c r="Z763" s="1023"/>
    </row>
    <row r="764" spans="1:26" ht="11.25" customHeight="1" x14ac:dyDescent="0.2">
      <c r="A764" s="1023"/>
      <c r="B764" s="1023"/>
      <c r="C764" s="1023"/>
      <c r="D764" s="1023"/>
      <c r="E764" s="1023"/>
      <c r="F764" s="1023"/>
      <c r="G764" s="1023"/>
      <c r="H764" s="1023"/>
      <c r="I764" s="1023"/>
      <c r="J764" s="1023"/>
      <c r="K764" s="1023"/>
      <c r="L764" s="1023"/>
      <c r="M764" s="1023"/>
      <c r="N764" s="1023"/>
      <c r="O764" s="1023"/>
      <c r="P764" s="1023"/>
      <c r="Q764" s="1023"/>
      <c r="R764" s="1023"/>
      <c r="S764" s="1023"/>
      <c r="T764" s="1023"/>
      <c r="U764" s="1023"/>
      <c r="V764" s="1023"/>
      <c r="W764" s="1023"/>
      <c r="X764" s="1023"/>
      <c r="Y764" s="1023"/>
      <c r="Z764" s="1023"/>
    </row>
    <row r="765" spans="1:26" ht="11.25" customHeight="1" x14ac:dyDescent="0.2">
      <c r="A765" s="1023"/>
      <c r="B765" s="1023"/>
      <c r="C765" s="1023"/>
      <c r="D765" s="1023"/>
      <c r="E765" s="1023"/>
      <c r="F765" s="1023"/>
      <c r="G765" s="1023"/>
      <c r="H765" s="1023"/>
      <c r="I765" s="1023"/>
      <c r="J765" s="1023"/>
      <c r="K765" s="1023"/>
      <c r="L765" s="1023"/>
      <c r="M765" s="1023"/>
      <c r="N765" s="1023"/>
      <c r="O765" s="1023"/>
      <c r="P765" s="1023"/>
      <c r="Q765" s="1023"/>
      <c r="R765" s="1023"/>
      <c r="S765" s="1023"/>
      <c r="T765" s="1023"/>
      <c r="U765" s="1023"/>
      <c r="V765" s="1023"/>
      <c r="W765" s="1023"/>
      <c r="X765" s="1023"/>
      <c r="Y765" s="1023"/>
      <c r="Z765" s="1023"/>
    </row>
    <row r="766" spans="1:26" ht="11.25" customHeight="1" x14ac:dyDescent="0.2">
      <c r="A766" s="1023"/>
      <c r="B766" s="1023"/>
      <c r="C766" s="1023"/>
      <c r="D766" s="1023"/>
      <c r="E766" s="1023"/>
      <c r="F766" s="1023"/>
      <c r="G766" s="1023"/>
      <c r="H766" s="1023"/>
      <c r="I766" s="1023"/>
      <c r="J766" s="1023"/>
      <c r="K766" s="1023"/>
      <c r="L766" s="1023"/>
      <c r="M766" s="1023"/>
      <c r="N766" s="1023"/>
      <c r="O766" s="1023"/>
      <c r="P766" s="1023"/>
      <c r="Q766" s="1023"/>
      <c r="R766" s="1023"/>
      <c r="S766" s="1023"/>
      <c r="T766" s="1023"/>
      <c r="U766" s="1023"/>
      <c r="V766" s="1023"/>
      <c r="W766" s="1023"/>
      <c r="X766" s="1023"/>
      <c r="Y766" s="1023"/>
      <c r="Z766" s="1023"/>
    </row>
    <row r="767" spans="1:26" ht="11.25" customHeight="1" x14ac:dyDescent="0.2">
      <c r="A767" s="1023"/>
      <c r="B767" s="1023"/>
      <c r="C767" s="1023"/>
      <c r="D767" s="1023"/>
      <c r="E767" s="1023"/>
      <c r="F767" s="1023"/>
      <c r="G767" s="1023"/>
      <c r="H767" s="1023"/>
      <c r="I767" s="1023"/>
      <c r="J767" s="1023"/>
      <c r="K767" s="1023"/>
      <c r="L767" s="1023"/>
      <c r="M767" s="1023"/>
      <c r="N767" s="1023"/>
      <c r="O767" s="1023"/>
      <c r="P767" s="1023"/>
      <c r="Q767" s="1023"/>
      <c r="R767" s="1023"/>
      <c r="S767" s="1023"/>
      <c r="T767" s="1023"/>
      <c r="U767" s="1023"/>
      <c r="V767" s="1023"/>
      <c r="W767" s="1023"/>
      <c r="X767" s="1023"/>
      <c r="Y767" s="1023"/>
      <c r="Z767" s="1023"/>
    </row>
    <row r="768" spans="1:26" ht="11.25" customHeight="1" x14ac:dyDescent="0.2">
      <c r="A768" s="1023"/>
      <c r="B768" s="1023"/>
      <c r="C768" s="1023"/>
      <c r="D768" s="1023"/>
      <c r="E768" s="1023"/>
      <c r="F768" s="1023"/>
      <c r="G768" s="1023"/>
      <c r="H768" s="1023"/>
      <c r="I768" s="1023"/>
      <c r="J768" s="1023"/>
      <c r="K768" s="1023"/>
      <c r="L768" s="1023"/>
      <c r="M768" s="1023"/>
      <c r="N768" s="1023"/>
      <c r="O768" s="1023"/>
      <c r="P768" s="1023"/>
      <c r="Q768" s="1023"/>
      <c r="R768" s="1023"/>
      <c r="S768" s="1023"/>
      <c r="T768" s="1023"/>
      <c r="U768" s="1023"/>
      <c r="V768" s="1023"/>
      <c r="W768" s="1023"/>
      <c r="X768" s="1023"/>
      <c r="Y768" s="1023"/>
      <c r="Z768" s="1023"/>
    </row>
    <row r="769" spans="1:26" ht="11.25" customHeight="1" x14ac:dyDescent="0.2">
      <c r="A769" s="1023"/>
      <c r="B769" s="1023"/>
      <c r="C769" s="1023"/>
      <c r="D769" s="1023"/>
      <c r="E769" s="1023"/>
      <c r="F769" s="1023"/>
      <c r="G769" s="1023"/>
      <c r="H769" s="1023"/>
      <c r="I769" s="1023"/>
      <c r="J769" s="1023"/>
      <c r="K769" s="1023"/>
      <c r="L769" s="1023"/>
      <c r="M769" s="1023"/>
      <c r="N769" s="1023"/>
      <c r="O769" s="1023"/>
      <c r="P769" s="1023"/>
      <c r="Q769" s="1023"/>
      <c r="R769" s="1023"/>
      <c r="S769" s="1023"/>
      <c r="T769" s="1023"/>
      <c r="U769" s="1023"/>
      <c r="V769" s="1023"/>
      <c r="W769" s="1023"/>
      <c r="X769" s="1023"/>
      <c r="Y769" s="1023"/>
      <c r="Z769" s="1023"/>
    </row>
    <row r="770" spans="1:26" ht="11.25" customHeight="1" x14ac:dyDescent="0.2">
      <c r="A770" s="1023"/>
      <c r="B770" s="1023"/>
      <c r="C770" s="1023"/>
      <c r="D770" s="1023"/>
      <c r="E770" s="1023"/>
      <c r="F770" s="1023"/>
      <c r="G770" s="1023"/>
      <c r="H770" s="1023"/>
      <c r="I770" s="1023"/>
      <c r="J770" s="1023"/>
      <c r="K770" s="1023"/>
      <c r="L770" s="1023"/>
      <c r="M770" s="1023"/>
      <c r="N770" s="1023"/>
      <c r="O770" s="1023"/>
      <c r="P770" s="1023"/>
      <c r="Q770" s="1023"/>
      <c r="R770" s="1023"/>
      <c r="S770" s="1023"/>
      <c r="T770" s="1023"/>
      <c r="U770" s="1023"/>
      <c r="V770" s="1023"/>
      <c r="W770" s="1023"/>
      <c r="X770" s="1023"/>
      <c r="Y770" s="1023"/>
      <c r="Z770" s="1023"/>
    </row>
    <row r="771" spans="1:26" ht="11.25" customHeight="1" x14ac:dyDescent="0.2">
      <c r="A771" s="1023"/>
      <c r="B771" s="1023"/>
      <c r="C771" s="1023"/>
      <c r="D771" s="1023"/>
      <c r="E771" s="1023"/>
      <c r="F771" s="1023"/>
      <c r="G771" s="1023"/>
      <c r="H771" s="1023"/>
      <c r="I771" s="1023"/>
      <c r="J771" s="1023"/>
      <c r="K771" s="1023"/>
      <c r="L771" s="1023"/>
      <c r="M771" s="1023"/>
      <c r="N771" s="1023"/>
      <c r="O771" s="1023"/>
      <c r="P771" s="1023"/>
      <c r="Q771" s="1023"/>
      <c r="R771" s="1023"/>
      <c r="S771" s="1023"/>
      <c r="T771" s="1023"/>
      <c r="U771" s="1023"/>
      <c r="V771" s="1023"/>
      <c r="W771" s="1023"/>
      <c r="X771" s="1023"/>
      <c r="Y771" s="1023"/>
      <c r="Z771" s="1023"/>
    </row>
    <row r="772" spans="1:26" ht="11.25" customHeight="1" x14ac:dyDescent="0.2">
      <c r="A772" s="1023"/>
      <c r="B772" s="1023"/>
      <c r="C772" s="1023"/>
      <c r="D772" s="1023"/>
      <c r="E772" s="1023"/>
      <c r="F772" s="1023"/>
      <c r="G772" s="1023"/>
      <c r="H772" s="1023"/>
      <c r="I772" s="1023"/>
      <c r="J772" s="1023"/>
      <c r="K772" s="1023"/>
      <c r="L772" s="1023"/>
      <c r="M772" s="1023"/>
      <c r="N772" s="1023"/>
      <c r="O772" s="1023"/>
      <c r="P772" s="1023"/>
      <c r="Q772" s="1023"/>
      <c r="R772" s="1023"/>
      <c r="S772" s="1023"/>
      <c r="T772" s="1023"/>
      <c r="U772" s="1023"/>
      <c r="V772" s="1023"/>
      <c r="W772" s="1023"/>
      <c r="X772" s="1023"/>
      <c r="Y772" s="1023"/>
      <c r="Z772" s="1023"/>
    </row>
    <row r="773" spans="1:26" ht="11.25" customHeight="1" x14ac:dyDescent="0.2">
      <c r="A773" s="1023"/>
      <c r="B773" s="1023"/>
      <c r="C773" s="1023"/>
      <c r="D773" s="1023"/>
      <c r="E773" s="1023"/>
      <c r="F773" s="1023"/>
      <c r="G773" s="1023"/>
      <c r="H773" s="1023"/>
      <c r="I773" s="1023"/>
      <c r="J773" s="1023"/>
      <c r="K773" s="1023"/>
      <c r="L773" s="1023"/>
      <c r="M773" s="1023"/>
      <c r="N773" s="1023"/>
      <c r="O773" s="1023"/>
      <c r="P773" s="1023"/>
      <c r="Q773" s="1023"/>
      <c r="R773" s="1023"/>
      <c r="S773" s="1023"/>
      <c r="T773" s="1023"/>
      <c r="U773" s="1023"/>
      <c r="V773" s="1023"/>
      <c r="W773" s="1023"/>
      <c r="X773" s="1023"/>
      <c r="Y773" s="1023"/>
      <c r="Z773" s="1023"/>
    </row>
    <row r="774" spans="1:26" ht="11.25" customHeight="1" x14ac:dyDescent="0.2">
      <c r="A774" s="1023"/>
      <c r="B774" s="1023"/>
      <c r="C774" s="1023"/>
      <c r="D774" s="1023"/>
      <c r="E774" s="1023"/>
      <c r="F774" s="1023"/>
      <c r="G774" s="1023"/>
      <c r="H774" s="1023"/>
      <c r="I774" s="1023"/>
      <c r="J774" s="1023"/>
      <c r="K774" s="1023"/>
      <c r="L774" s="1023"/>
      <c r="M774" s="1023"/>
      <c r="N774" s="1023"/>
      <c r="O774" s="1023"/>
      <c r="P774" s="1023"/>
      <c r="Q774" s="1023"/>
      <c r="R774" s="1023"/>
      <c r="S774" s="1023"/>
      <c r="T774" s="1023"/>
      <c r="U774" s="1023"/>
      <c r="V774" s="1023"/>
      <c r="W774" s="1023"/>
      <c r="X774" s="1023"/>
      <c r="Y774" s="1023"/>
      <c r="Z774" s="1023"/>
    </row>
    <row r="775" spans="1:26" ht="11.25" customHeight="1" x14ac:dyDescent="0.2">
      <c r="A775" s="1023"/>
      <c r="B775" s="1023"/>
      <c r="C775" s="1023"/>
      <c r="D775" s="1023"/>
      <c r="E775" s="1023"/>
      <c r="F775" s="1023"/>
      <c r="G775" s="1023"/>
      <c r="H775" s="1023"/>
      <c r="I775" s="1023"/>
      <c r="J775" s="1023"/>
      <c r="K775" s="1023"/>
      <c r="L775" s="1023"/>
      <c r="M775" s="1023"/>
      <c r="N775" s="1023"/>
      <c r="O775" s="1023"/>
      <c r="P775" s="1023"/>
      <c r="Q775" s="1023"/>
      <c r="R775" s="1023"/>
      <c r="S775" s="1023"/>
      <c r="T775" s="1023"/>
      <c r="U775" s="1023"/>
      <c r="V775" s="1023"/>
      <c r="W775" s="1023"/>
      <c r="X775" s="1023"/>
      <c r="Y775" s="1023"/>
      <c r="Z775" s="1023"/>
    </row>
    <row r="776" spans="1:26" ht="11.25" customHeight="1" x14ac:dyDescent="0.2">
      <c r="A776" s="1023"/>
      <c r="B776" s="1023"/>
      <c r="C776" s="1023"/>
      <c r="D776" s="1023"/>
      <c r="E776" s="1023"/>
      <c r="F776" s="1023"/>
      <c r="G776" s="1023"/>
      <c r="H776" s="1023"/>
      <c r="I776" s="1023"/>
      <c r="J776" s="1023"/>
      <c r="K776" s="1023"/>
      <c r="L776" s="1023"/>
      <c r="M776" s="1023"/>
      <c r="N776" s="1023"/>
      <c r="O776" s="1023"/>
      <c r="P776" s="1023"/>
      <c r="Q776" s="1023"/>
      <c r="R776" s="1023"/>
      <c r="S776" s="1023"/>
      <c r="T776" s="1023"/>
      <c r="U776" s="1023"/>
      <c r="V776" s="1023"/>
      <c r="W776" s="1023"/>
      <c r="X776" s="1023"/>
      <c r="Y776" s="1023"/>
      <c r="Z776" s="1023"/>
    </row>
    <row r="777" spans="1:26" ht="11.25" customHeight="1" x14ac:dyDescent="0.2">
      <c r="A777" s="1023"/>
      <c r="B777" s="1023"/>
      <c r="C777" s="1023"/>
      <c r="D777" s="1023"/>
      <c r="E777" s="1023"/>
      <c r="F777" s="1023"/>
      <c r="G777" s="1023"/>
      <c r="H777" s="1023"/>
      <c r="I777" s="1023"/>
      <c r="J777" s="1023"/>
      <c r="K777" s="1023"/>
      <c r="L777" s="1023"/>
      <c r="M777" s="1023"/>
      <c r="N777" s="1023"/>
      <c r="O777" s="1023"/>
      <c r="P777" s="1023"/>
      <c r="Q777" s="1023"/>
      <c r="R777" s="1023"/>
      <c r="S777" s="1023"/>
      <c r="T777" s="1023"/>
      <c r="U777" s="1023"/>
      <c r="V777" s="1023"/>
      <c r="W777" s="1023"/>
      <c r="X777" s="1023"/>
      <c r="Y777" s="1023"/>
      <c r="Z777" s="1023"/>
    </row>
    <row r="778" spans="1:26" ht="11.25" customHeight="1" x14ac:dyDescent="0.2">
      <c r="A778" s="1023"/>
      <c r="B778" s="1023"/>
      <c r="C778" s="1023"/>
      <c r="D778" s="1023"/>
      <c r="E778" s="1023"/>
      <c r="F778" s="1023"/>
      <c r="G778" s="1023"/>
      <c r="H778" s="1023"/>
      <c r="I778" s="1023"/>
      <c r="J778" s="1023"/>
      <c r="K778" s="1023"/>
      <c r="L778" s="1023"/>
      <c r="M778" s="1023"/>
      <c r="N778" s="1023"/>
      <c r="O778" s="1023"/>
      <c r="P778" s="1023"/>
      <c r="Q778" s="1023"/>
      <c r="R778" s="1023"/>
      <c r="S778" s="1023"/>
      <c r="T778" s="1023"/>
      <c r="U778" s="1023"/>
      <c r="V778" s="1023"/>
      <c r="W778" s="1023"/>
      <c r="X778" s="1023"/>
      <c r="Y778" s="1023"/>
      <c r="Z778" s="1023"/>
    </row>
    <row r="779" spans="1:26" ht="11.25" customHeight="1" x14ac:dyDescent="0.2">
      <c r="A779" s="1023"/>
      <c r="B779" s="1023"/>
      <c r="C779" s="1023"/>
      <c r="D779" s="1023"/>
      <c r="E779" s="1023"/>
      <c r="F779" s="1023"/>
      <c r="G779" s="1023"/>
      <c r="H779" s="1023"/>
      <c r="I779" s="1023"/>
      <c r="J779" s="1023"/>
      <c r="K779" s="1023"/>
      <c r="L779" s="1023"/>
      <c r="M779" s="1023"/>
      <c r="N779" s="1023"/>
      <c r="O779" s="1023"/>
      <c r="P779" s="1023"/>
      <c r="Q779" s="1023"/>
      <c r="R779" s="1023"/>
      <c r="S779" s="1023"/>
      <c r="T779" s="1023"/>
      <c r="U779" s="1023"/>
      <c r="V779" s="1023"/>
      <c r="W779" s="1023"/>
      <c r="X779" s="1023"/>
      <c r="Y779" s="1023"/>
      <c r="Z779" s="1023"/>
    </row>
    <row r="780" spans="1:26" ht="11.25" customHeight="1" x14ac:dyDescent="0.2">
      <c r="A780" s="1023"/>
      <c r="B780" s="1023"/>
      <c r="C780" s="1023"/>
      <c r="D780" s="1023"/>
      <c r="E780" s="1023"/>
      <c r="F780" s="1023"/>
      <c r="G780" s="1023"/>
      <c r="H780" s="1023"/>
      <c r="I780" s="1023"/>
      <c r="J780" s="1023"/>
      <c r="K780" s="1023"/>
      <c r="L780" s="1023"/>
      <c r="M780" s="1023"/>
      <c r="N780" s="1023"/>
      <c r="O780" s="1023"/>
      <c r="P780" s="1023"/>
      <c r="Q780" s="1023"/>
      <c r="R780" s="1023"/>
      <c r="S780" s="1023"/>
      <c r="T780" s="1023"/>
      <c r="U780" s="1023"/>
      <c r="V780" s="1023"/>
      <c r="W780" s="1023"/>
      <c r="X780" s="1023"/>
      <c r="Y780" s="1023"/>
      <c r="Z780" s="1023"/>
    </row>
    <row r="781" spans="1:26" ht="11.25" customHeight="1" x14ac:dyDescent="0.2">
      <c r="A781" s="1023"/>
      <c r="B781" s="1023"/>
      <c r="C781" s="1023"/>
      <c r="D781" s="1023"/>
      <c r="E781" s="1023"/>
      <c r="F781" s="1023"/>
      <c r="G781" s="1023"/>
      <c r="H781" s="1023"/>
      <c r="I781" s="1023"/>
      <c r="J781" s="1023"/>
      <c r="K781" s="1023"/>
      <c r="L781" s="1023"/>
      <c r="M781" s="1023"/>
      <c r="N781" s="1023"/>
      <c r="O781" s="1023"/>
      <c r="P781" s="1023"/>
      <c r="Q781" s="1023"/>
      <c r="R781" s="1023"/>
      <c r="S781" s="1023"/>
      <c r="T781" s="1023"/>
      <c r="U781" s="1023"/>
      <c r="V781" s="1023"/>
      <c r="W781" s="1023"/>
      <c r="X781" s="1023"/>
      <c r="Y781" s="1023"/>
      <c r="Z781" s="1023"/>
    </row>
    <row r="782" spans="1:26" ht="11.25" customHeight="1" x14ac:dyDescent="0.2">
      <c r="A782" s="1023"/>
      <c r="B782" s="1023"/>
      <c r="C782" s="1023"/>
      <c r="D782" s="1023"/>
      <c r="E782" s="1023"/>
      <c r="F782" s="1023"/>
      <c r="G782" s="1023"/>
      <c r="H782" s="1023"/>
      <c r="I782" s="1023"/>
      <c r="J782" s="1023"/>
      <c r="K782" s="1023"/>
      <c r="L782" s="1023"/>
      <c r="M782" s="1023"/>
      <c r="N782" s="1023"/>
      <c r="O782" s="1023"/>
      <c r="P782" s="1023"/>
      <c r="Q782" s="1023"/>
      <c r="R782" s="1023"/>
      <c r="S782" s="1023"/>
      <c r="T782" s="1023"/>
      <c r="U782" s="1023"/>
      <c r="V782" s="1023"/>
      <c r="W782" s="1023"/>
      <c r="X782" s="1023"/>
      <c r="Y782" s="1023"/>
      <c r="Z782" s="1023"/>
    </row>
    <row r="783" spans="1:26" ht="11.25" customHeight="1" x14ac:dyDescent="0.2">
      <c r="A783" s="1023"/>
      <c r="B783" s="1023"/>
      <c r="C783" s="1023"/>
      <c r="D783" s="1023"/>
      <c r="E783" s="1023"/>
      <c r="F783" s="1023"/>
      <c r="G783" s="1023"/>
      <c r="H783" s="1023"/>
      <c r="I783" s="1023"/>
      <c r="J783" s="1023"/>
      <c r="K783" s="1023"/>
      <c r="L783" s="1023"/>
      <c r="M783" s="1023"/>
      <c r="N783" s="1023"/>
      <c r="O783" s="1023"/>
      <c r="P783" s="1023"/>
      <c r="Q783" s="1023"/>
      <c r="R783" s="1023"/>
      <c r="S783" s="1023"/>
      <c r="T783" s="1023"/>
      <c r="U783" s="1023"/>
      <c r="V783" s="1023"/>
      <c r="W783" s="1023"/>
      <c r="X783" s="1023"/>
      <c r="Y783" s="1023"/>
      <c r="Z783" s="1023"/>
    </row>
    <row r="784" spans="1:26" ht="11.25" customHeight="1" x14ac:dyDescent="0.2">
      <c r="A784" s="1023"/>
      <c r="B784" s="1023"/>
      <c r="C784" s="1023"/>
      <c r="D784" s="1023"/>
      <c r="E784" s="1023"/>
      <c r="F784" s="1023"/>
      <c r="G784" s="1023"/>
      <c r="H784" s="1023"/>
      <c r="I784" s="1023"/>
      <c r="J784" s="1023"/>
      <c r="K784" s="1023"/>
      <c r="L784" s="1023"/>
      <c r="M784" s="1023"/>
      <c r="N784" s="1023"/>
      <c r="O784" s="1023"/>
      <c r="P784" s="1023"/>
      <c r="Q784" s="1023"/>
      <c r="R784" s="1023"/>
      <c r="S784" s="1023"/>
      <c r="T784" s="1023"/>
      <c r="U784" s="1023"/>
      <c r="V784" s="1023"/>
      <c r="W784" s="1023"/>
      <c r="X784" s="1023"/>
      <c r="Y784" s="1023"/>
      <c r="Z784" s="1023"/>
    </row>
    <row r="785" spans="1:26" ht="11.25" customHeight="1" x14ac:dyDescent="0.2">
      <c r="A785" s="1023"/>
      <c r="B785" s="1023"/>
      <c r="C785" s="1023"/>
      <c r="D785" s="1023"/>
      <c r="E785" s="1023"/>
      <c r="F785" s="1023"/>
      <c r="G785" s="1023"/>
      <c r="H785" s="1023"/>
      <c r="I785" s="1023"/>
      <c r="J785" s="1023"/>
      <c r="K785" s="1023"/>
      <c r="L785" s="1023"/>
      <c r="M785" s="1023"/>
      <c r="N785" s="1023"/>
      <c r="O785" s="1023"/>
      <c r="P785" s="1023"/>
      <c r="Q785" s="1023"/>
      <c r="R785" s="1023"/>
      <c r="S785" s="1023"/>
      <c r="T785" s="1023"/>
      <c r="U785" s="1023"/>
      <c r="V785" s="1023"/>
      <c r="W785" s="1023"/>
      <c r="X785" s="1023"/>
      <c r="Y785" s="1023"/>
      <c r="Z785" s="1023"/>
    </row>
    <row r="786" spans="1:26" ht="11.25" customHeight="1" x14ac:dyDescent="0.2">
      <c r="A786" s="1023"/>
      <c r="B786" s="1023"/>
      <c r="C786" s="1023"/>
      <c r="D786" s="1023"/>
      <c r="E786" s="1023"/>
      <c r="F786" s="1023"/>
      <c r="G786" s="1023"/>
      <c r="H786" s="1023"/>
      <c r="I786" s="1023"/>
      <c r="J786" s="1023"/>
      <c r="K786" s="1023"/>
      <c r="L786" s="1023"/>
      <c r="M786" s="1023"/>
      <c r="N786" s="1023"/>
      <c r="O786" s="1023"/>
      <c r="P786" s="1023"/>
      <c r="Q786" s="1023"/>
      <c r="R786" s="1023"/>
      <c r="S786" s="1023"/>
      <c r="T786" s="1023"/>
      <c r="U786" s="1023"/>
      <c r="V786" s="1023"/>
      <c r="W786" s="1023"/>
      <c r="X786" s="1023"/>
      <c r="Y786" s="1023"/>
      <c r="Z786" s="1023"/>
    </row>
    <row r="787" spans="1:26" ht="11.25" customHeight="1" x14ac:dyDescent="0.2">
      <c r="A787" s="1023"/>
      <c r="B787" s="1023"/>
      <c r="C787" s="1023"/>
      <c r="D787" s="1023"/>
      <c r="E787" s="1023"/>
      <c r="F787" s="1023"/>
      <c r="G787" s="1023"/>
      <c r="H787" s="1023"/>
      <c r="I787" s="1023"/>
      <c r="J787" s="1023"/>
      <c r="K787" s="1023"/>
      <c r="L787" s="1023"/>
      <c r="M787" s="1023"/>
      <c r="N787" s="1023"/>
      <c r="O787" s="1023"/>
      <c r="P787" s="1023"/>
      <c r="Q787" s="1023"/>
      <c r="R787" s="1023"/>
      <c r="S787" s="1023"/>
      <c r="T787" s="1023"/>
      <c r="U787" s="1023"/>
      <c r="V787" s="1023"/>
      <c r="W787" s="1023"/>
      <c r="X787" s="1023"/>
      <c r="Y787" s="1023"/>
      <c r="Z787" s="1023"/>
    </row>
    <row r="788" spans="1:26" ht="11.25" customHeight="1" x14ac:dyDescent="0.2">
      <c r="A788" s="1023"/>
      <c r="B788" s="1023"/>
      <c r="C788" s="1023"/>
      <c r="D788" s="1023"/>
      <c r="E788" s="1023"/>
      <c r="F788" s="1023"/>
      <c r="G788" s="1023"/>
      <c r="H788" s="1023"/>
      <c r="I788" s="1023"/>
      <c r="J788" s="1023"/>
      <c r="K788" s="1023"/>
      <c r="L788" s="1023"/>
      <c r="M788" s="1023"/>
      <c r="N788" s="1023"/>
      <c r="O788" s="1023"/>
      <c r="P788" s="1023"/>
      <c r="Q788" s="1023"/>
      <c r="R788" s="1023"/>
      <c r="S788" s="1023"/>
      <c r="T788" s="1023"/>
      <c r="U788" s="1023"/>
      <c r="V788" s="1023"/>
      <c r="W788" s="1023"/>
      <c r="X788" s="1023"/>
      <c r="Y788" s="1023"/>
      <c r="Z788" s="1023"/>
    </row>
    <row r="789" spans="1:26" ht="11.25" customHeight="1" x14ac:dyDescent="0.2">
      <c r="A789" s="1023"/>
      <c r="B789" s="1023"/>
      <c r="C789" s="1023"/>
      <c r="D789" s="1023"/>
      <c r="E789" s="1023"/>
      <c r="F789" s="1023"/>
      <c r="G789" s="1023"/>
      <c r="H789" s="1023"/>
      <c r="I789" s="1023"/>
      <c r="J789" s="1023"/>
      <c r="K789" s="1023"/>
      <c r="L789" s="1023"/>
      <c r="M789" s="1023"/>
      <c r="N789" s="1023"/>
      <c r="O789" s="1023"/>
      <c r="P789" s="1023"/>
      <c r="Q789" s="1023"/>
      <c r="R789" s="1023"/>
      <c r="S789" s="1023"/>
      <c r="T789" s="1023"/>
      <c r="U789" s="1023"/>
      <c r="V789" s="1023"/>
      <c r="W789" s="1023"/>
      <c r="X789" s="1023"/>
      <c r="Y789" s="1023"/>
      <c r="Z789" s="1023"/>
    </row>
    <row r="790" spans="1:26" ht="11.25" customHeight="1" x14ac:dyDescent="0.2">
      <c r="A790" s="1023"/>
      <c r="B790" s="1023"/>
      <c r="C790" s="1023"/>
      <c r="D790" s="1023"/>
      <c r="E790" s="1023"/>
      <c r="F790" s="1023"/>
      <c r="G790" s="1023"/>
      <c r="H790" s="1023"/>
      <c r="I790" s="1023"/>
      <c r="J790" s="1023"/>
      <c r="K790" s="1023"/>
      <c r="L790" s="1023"/>
      <c r="M790" s="1023"/>
      <c r="N790" s="1023"/>
      <c r="O790" s="1023"/>
      <c r="P790" s="1023"/>
      <c r="Q790" s="1023"/>
      <c r="R790" s="1023"/>
      <c r="S790" s="1023"/>
      <c r="T790" s="1023"/>
      <c r="U790" s="1023"/>
      <c r="V790" s="1023"/>
      <c r="W790" s="1023"/>
      <c r="X790" s="1023"/>
      <c r="Y790" s="1023"/>
      <c r="Z790" s="1023"/>
    </row>
    <row r="791" spans="1:26" ht="11.25" customHeight="1" x14ac:dyDescent="0.2">
      <c r="A791" s="1023"/>
      <c r="B791" s="1023"/>
      <c r="C791" s="1023"/>
      <c r="D791" s="1023"/>
      <c r="E791" s="1023"/>
      <c r="F791" s="1023"/>
      <c r="G791" s="1023"/>
      <c r="H791" s="1023"/>
      <c r="I791" s="1023"/>
      <c r="J791" s="1023"/>
      <c r="K791" s="1023"/>
      <c r="L791" s="1023"/>
      <c r="M791" s="1023"/>
      <c r="N791" s="1023"/>
      <c r="O791" s="1023"/>
      <c r="P791" s="1023"/>
      <c r="Q791" s="1023"/>
      <c r="R791" s="1023"/>
      <c r="S791" s="1023"/>
      <c r="T791" s="1023"/>
      <c r="U791" s="1023"/>
      <c r="V791" s="1023"/>
      <c r="W791" s="1023"/>
      <c r="X791" s="1023"/>
      <c r="Y791" s="1023"/>
      <c r="Z791" s="1023"/>
    </row>
    <row r="792" spans="1:26" ht="11.25" customHeight="1" x14ac:dyDescent="0.2">
      <c r="A792" s="1023"/>
      <c r="B792" s="1023"/>
      <c r="C792" s="1023"/>
      <c r="D792" s="1023"/>
      <c r="E792" s="1023"/>
      <c r="F792" s="1023"/>
      <c r="G792" s="1023"/>
      <c r="H792" s="1023"/>
      <c r="I792" s="1023"/>
      <c r="J792" s="1023"/>
      <c r="K792" s="1023"/>
      <c r="L792" s="1023"/>
      <c r="M792" s="1023"/>
      <c r="N792" s="1023"/>
      <c r="O792" s="1023"/>
      <c r="P792" s="1023"/>
      <c r="Q792" s="1023"/>
      <c r="R792" s="1023"/>
      <c r="S792" s="1023"/>
      <c r="T792" s="1023"/>
      <c r="U792" s="1023"/>
      <c r="V792" s="1023"/>
      <c r="W792" s="1023"/>
      <c r="X792" s="1023"/>
      <c r="Y792" s="1023"/>
      <c r="Z792" s="1023"/>
    </row>
    <row r="793" spans="1:26" ht="11.25" customHeight="1" x14ac:dyDescent="0.2">
      <c r="A793" s="1023"/>
      <c r="B793" s="1023"/>
      <c r="C793" s="1023"/>
      <c r="D793" s="1023"/>
      <c r="E793" s="1023"/>
      <c r="F793" s="1023"/>
      <c r="G793" s="1023"/>
      <c r="H793" s="1023"/>
      <c r="I793" s="1023"/>
      <c r="J793" s="1023"/>
      <c r="K793" s="1023"/>
      <c r="L793" s="1023"/>
      <c r="M793" s="1023"/>
      <c r="N793" s="1023"/>
      <c r="O793" s="1023"/>
      <c r="P793" s="1023"/>
      <c r="Q793" s="1023"/>
      <c r="R793" s="1023"/>
      <c r="S793" s="1023"/>
      <c r="T793" s="1023"/>
      <c r="U793" s="1023"/>
      <c r="V793" s="1023"/>
      <c r="W793" s="1023"/>
      <c r="X793" s="1023"/>
      <c r="Y793" s="1023"/>
      <c r="Z793" s="1023"/>
    </row>
    <row r="794" spans="1:26" ht="11.25" customHeight="1" x14ac:dyDescent="0.2">
      <c r="A794" s="1023"/>
      <c r="B794" s="1023"/>
      <c r="C794" s="1023"/>
      <c r="D794" s="1023"/>
      <c r="E794" s="1023"/>
      <c r="F794" s="1023"/>
      <c r="G794" s="1023"/>
      <c r="H794" s="1023"/>
      <c r="I794" s="1023"/>
      <c r="J794" s="1023"/>
      <c r="K794" s="1023"/>
      <c r="L794" s="1023"/>
      <c r="M794" s="1023"/>
      <c r="N794" s="1023"/>
      <c r="O794" s="1023"/>
      <c r="P794" s="1023"/>
      <c r="Q794" s="1023"/>
      <c r="R794" s="1023"/>
      <c r="S794" s="1023"/>
      <c r="T794" s="1023"/>
      <c r="U794" s="1023"/>
      <c r="V794" s="1023"/>
      <c r="W794" s="1023"/>
      <c r="X794" s="1023"/>
      <c r="Y794" s="1023"/>
      <c r="Z794" s="1023"/>
    </row>
    <row r="795" spans="1:26" ht="11.25" customHeight="1" x14ac:dyDescent="0.2">
      <c r="A795" s="1023"/>
      <c r="B795" s="1023"/>
      <c r="C795" s="1023"/>
      <c r="D795" s="1023"/>
      <c r="E795" s="1023"/>
      <c r="F795" s="1023"/>
      <c r="G795" s="1023"/>
      <c r="H795" s="1023"/>
      <c r="I795" s="1023"/>
      <c r="J795" s="1023"/>
      <c r="K795" s="1023"/>
      <c r="L795" s="1023"/>
      <c r="M795" s="1023"/>
      <c r="N795" s="1023"/>
      <c r="O795" s="1023"/>
      <c r="P795" s="1023"/>
      <c r="Q795" s="1023"/>
      <c r="R795" s="1023"/>
      <c r="S795" s="1023"/>
      <c r="T795" s="1023"/>
      <c r="U795" s="1023"/>
      <c r="V795" s="1023"/>
      <c r="W795" s="1023"/>
      <c r="X795" s="1023"/>
      <c r="Y795" s="1023"/>
      <c r="Z795" s="1023"/>
    </row>
    <row r="796" spans="1:26" ht="11.25" customHeight="1" x14ac:dyDescent="0.2">
      <c r="A796" s="1023"/>
      <c r="B796" s="1023"/>
      <c r="C796" s="1023"/>
      <c r="D796" s="1023"/>
      <c r="E796" s="1023"/>
      <c r="F796" s="1023"/>
      <c r="G796" s="1023"/>
      <c r="H796" s="1023"/>
      <c r="I796" s="1023"/>
      <c r="J796" s="1023"/>
      <c r="K796" s="1023"/>
      <c r="L796" s="1023"/>
      <c r="M796" s="1023"/>
      <c r="N796" s="1023"/>
      <c r="O796" s="1023"/>
      <c r="P796" s="1023"/>
      <c r="Q796" s="1023"/>
      <c r="R796" s="1023"/>
      <c r="S796" s="1023"/>
      <c r="T796" s="1023"/>
      <c r="U796" s="1023"/>
      <c r="V796" s="1023"/>
      <c r="W796" s="1023"/>
      <c r="X796" s="1023"/>
      <c r="Y796" s="1023"/>
      <c r="Z796" s="1023"/>
    </row>
    <row r="797" spans="1:26" ht="11.25" customHeight="1" x14ac:dyDescent="0.2">
      <c r="A797" s="1023"/>
      <c r="B797" s="1023"/>
      <c r="C797" s="1023"/>
      <c r="D797" s="1023"/>
      <c r="E797" s="1023"/>
      <c r="F797" s="1023"/>
      <c r="G797" s="1023"/>
      <c r="H797" s="1023"/>
      <c r="I797" s="1023"/>
      <c r="J797" s="1023"/>
      <c r="K797" s="1023"/>
      <c r="L797" s="1023"/>
      <c r="M797" s="1023"/>
      <c r="N797" s="1023"/>
      <c r="O797" s="1023"/>
      <c r="P797" s="1023"/>
      <c r="Q797" s="1023"/>
      <c r="R797" s="1023"/>
      <c r="S797" s="1023"/>
      <c r="T797" s="1023"/>
      <c r="U797" s="1023"/>
      <c r="V797" s="1023"/>
      <c r="W797" s="1023"/>
      <c r="X797" s="1023"/>
      <c r="Y797" s="1023"/>
      <c r="Z797" s="1023"/>
    </row>
    <row r="798" spans="1:26" ht="11.25" customHeight="1" x14ac:dyDescent="0.2">
      <c r="A798" s="1023"/>
      <c r="B798" s="1023"/>
      <c r="C798" s="1023"/>
      <c r="D798" s="1023"/>
      <c r="E798" s="1023"/>
      <c r="F798" s="1023"/>
      <c r="G798" s="1023"/>
      <c r="H798" s="1023"/>
      <c r="I798" s="1023"/>
      <c r="J798" s="1023"/>
      <c r="K798" s="1023"/>
      <c r="L798" s="1023"/>
      <c r="M798" s="1023"/>
      <c r="N798" s="1023"/>
      <c r="O798" s="1023"/>
      <c r="P798" s="1023"/>
      <c r="Q798" s="1023"/>
      <c r="R798" s="1023"/>
      <c r="S798" s="1023"/>
      <c r="T798" s="1023"/>
      <c r="U798" s="1023"/>
      <c r="V798" s="1023"/>
      <c r="W798" s="1023"/>
      <c r="X798" s="1023"/>
      <c r="Y798" s="1023"/>
      <c r="Z798" s="1023"/>
    </row>
    <row r="799" spans="1:26" ht="11.25" customHeight="1" x14ac:dyDescent="0.2">
      <c r="A799" s="1023"/>
      <c r="B799" s="1023"/>
      <c r="C799" s="1023"/>
      <c r="D799" s="1023"/>
      <c r="E799" s="1023"/>
      <c r="F799" s="1023"/>
      <c r="G799" s="1023"/>
      <c r="H799" s="1023"/>
      <c r="I799" s="1023"/>
      <c r="J799" s="1023"/>
      <c r="K799" s="1023"/>
      <c r="L799" s="1023"/>
      <c r="M799" s="1023"/>
      <c r="N799" s="1023"/>
      <c r="O799" s="1023"/>
      <c r="P799" s="1023"/>
      <c r="Q799" s="1023"/>
      <c r="R799" s="1023"/>
      <c r="S799" s="1023"/>
      <c r="T799" s="1023"/>
      <c r="U799" s="1023"/>
      <c r="V799" s="1023"/>
      <c r="W799" s="1023"/>
      <c r="X799" s="1023"/>
      <c r="Y799" s="1023"/>
      <c r="Z799" s="1023"/>
    </row>
    <row r="800" spans="1:26" ht="11.25" customHeight="1" x14ac:dyDescent="0.2">
      <c r="A800" s="1023"/>
      <c r="B800" s="1023"/>
      <c r="C800" s="1023"/>
      <c r="D800" s="1023"/>
      <c r="E800" s="1023"/>
      <c r="F800" s="1023"/>
      <c r="G800" s="1023"/>
      <c r="H800" s="1023"/>
      <c r="I800" s="1023"/>
      <c r="J800" s="1023"/>
      <c r="K800" s="1023"/>
      <c r="L800" s="1023"/>
      <c r="M800" s="1023"/>
      <c r="N800" s="1023"/>
      <c r="O800" s="1023"/>
      <c r="P800" s="1023"/>
      <c r="Q800" s="1023"/>
      <c r="R800" s="1023"/>
      <c r="S800" s="1023"/>
      <c r="T800" s="1023"/>
      <c r="U800" s="1023"/>
      <c r="V800" s="1023"/>
      <c r="W800" s="1023"/>
      <c r="X800" s="1023"/>
      <c r="Y800" s="1023"/>
      <c r="Z800" s="1023"/>
    </row>
    <row r="801" spans="1:26" ht="11.25" customHeight="1" x14ac:dyDescent="0.2">
      <c r="A801" s="1023"/>
      <c r="B801" s="1023"/>
      <c r="C801" s="1023"/>
      <c r="D801" s="1023"/>
      <c r="E801" s="1023"/>
      <c r="F801" s="1023"/>
      <c r="G801" s="1023"/>
      <c r="H801" s="1023"/>
      <c r="I801" s="1023"/>
      <c r="J801" s="1023"/>
      <c r="K801" s="1023"/>
      <c r="L801" s="1023"/>
      <c r="M801" s="1023"/>
      <c r="N801" s="1023"/>
      <c r="O801" s="1023"/>
      <c r="P801" s="1023"/>
      <c r="Q801" s="1023"/>
      <c r="R801" s="1023"/>
      <c r="S801" s="1023"/>
      <c r="T801" s="1023"/>
      <c r="U801" s="1023"/>
      <c r="V801" s="1023"/>
      <c r="W801" s="1023"/>
      <c r="X801" s="1023"/>
      <c r="Y801" s="1023"/>
      <c r="Z801" s="1023"/>
    </row>
    <row r="802" spans="1:26" ht="11.25" customHeight="1" x14ac:dyDescent="0.2">
      <c r="A802" s="1023"/>
      <c r="B802" s="1023"/>
      <c r="C802" s="1023"/>
      <c r="D802" s="1023"/>
      <c r="E802" s="1023"/>
      <c r="F802" s="1023"/>
      <c r="G802" s="1023"/>
      <c r="H802" s="1023"/>
      <c r="I802" s="1023"/>
      <c r="J802" s="1023"/>
      <c r="K802" s="1023"/>
      <c r="L802" s="1023"/>
      <c r="M802" s="1023"/>
      <c r="N802" s="1023"/>
      <c r="O802" s="1023"/>
      <c r="P802" s="1023"/>
      <c r="Q802" s="1023"/>
      <c r="R802" s="1023"/>
      <c r="S802" s="1023"/>
      <c r="T802" s="1023"/>
      <c r="U802" s="1023"/>
      <c r="V802" s="1023"/>
      <c r="W802" s="1023"/>
      <c r="X802" s="1023"/>
      <c r="Y802" s="1023"/>
      <c r="Z802" s="1023"/>
    </row>
    <row r="803" spans="1:26" ht="11.25" customHeight="1" x14ac:dyDescent="0.2">
      <c r="A803" s="1023"/>
      <c r="B803" s="1023"/>
      <c r="C803" s="1023"/>
      <c r="D803" s="1023"/>
      <c r="E803" s="1023"/>
      <c r="F803" s="1023"/>
      <c r="G803" s="1023"/>
      <c r="H803" s="1023"/>
      <c r="I803" s="1023"/>
      <c r="J803" s="1023"/>
      <c r="K803" s="1023"/>
      <c r="L803" s="1023"/>
      <c r="M803" s="1023"/>
      <c r="N803" s="1023"/>
      <c r="O803" s="1023"/>
      <c r="P803" s="1023"/>
      <c r="Q803" s="1023"/>
      <c r="R803" s="1023"/>
      <c r="S803" s="1023"/>
      <c r="T803" s="1023"/>
      <c r="U803" s="1023"/>
      <c r="V803" s="1023"/>
      <c r="W803" s="1023"/>
      <c r="X803" s="1023"/>
      <c r="Y803" s="1023"/>
      <c r="Z803" s="1023"/>
    </row>
    <row r="804" spans="1:26" ht="11.25" customHeight="1" x14ac:dyDescent="0.2">
      <c r="A804" s="1023"/>
      <c r="B804" s="1023"/>
      <c r="C804" s="1023"/>
      <c r="D804" s="1023"/>
      <c r="E804" s="1023"/>
      <c r="F804" s="1023"/>
      <c r="G804" s="1023"/>
      <c r="H804" s="1023"/>
      <c r="I804" s="1023"/>
      <c r="J804" s="1023"/>
      <c r="K804" s="1023"/>
      <c r="L804" s="1023"/>
      <c r="M804" s="1023"/>
      <c r="N804" s="1023"/>
      <c r="O804" s="1023"/>
      <c r="P804" s="1023"/>
      <c r="Q804" s="1023"/>
      <c r="R804" s="1023"/>
      <c r="S804" s="1023"/>
      <c r="T804" s="1023"/>
      <c r="U804" s="1023"/>
      <c r="V804" s="1023"/>
      <c r="W804" s="1023"/>
      <c r="X804" s="1023"/>
      <c r="Y804" s="1023"/>
      <c r="Z804" s="1023"/>
    </row>
    <row r="805" spans="1:26" ht="11.25" customHeight="1" x14ac:dyDescent="0.2">
      <c r="A805" s="1023"/>
      <c r="B805" s="1023"/>
      <c r="C805" s="1023"/>
      <c r="D805" s="1023"/>
      <c r="E805" s="1023"/>
      <c r="F805" s="1023"/>
      <c r="G805" s="1023"/>
      <c r="H805" s="1023"/>
      <c r="I805" s="1023"/>
      <c r="J805" s="1023"/>
      <c r="K805" s="1023"/>
      <c r="L805" s="1023"/>
      <c r="M805" s="1023"/>
      <c r="N805" s="1023"/>
      <c r="O805" s="1023"/>
      <c r="P805" s="1023"/>
      <c r="Q805" s="1023"/>
      <c r="R805" s="1023"/>
      <c r="S805" s="1023"/>
      <c r="T805" s="1023"/>
      <c r="U805" s="1023"/>
      <c r="V805" s="1023"/>
      <c r="W805" s="1023"/>
      <c r="X805" s="1023"/>
      <c r="Y805" s="1023"/>
      <c r="Z805" s="1023"/>
    </row>
    <row r="806" spans="1:26" ht="11.25" customHeight="1" x14ac:dyDescent="0.2">
      <c r="A806" s="1023"/>
      <c r="B806" s="1023"/>
      <c r="C806" s="1023"/>
      <c r="D806" s="1023"/>
      <c r="E806" s="1023"/>
      <c r="F806" s="1023"/>
      <c r="G806" s="1023"/>
      <c r="H806" s="1023"/>
      <c r="I806" s="1023"/>
      <c r="J806" s="1023"/>
      <c r="K806" s="1023"/>
      <c r="L806" s="1023"/>
      <c r="M806" s="1023"/>
      <c r="N806" s="1023"/>
      <c r="O806" s="1023"/>
      <c r="P806" s="1023"/>
      <c r="Q806" s="1023"/>
      <c r="R806" s="1023"/>
      <c r="S806" s="1023"/>
      <c r="T806" s="1023"/>
      <c r="U806" s="1023"/>
      <c r="V806" s="1023"/>
      <c r="W806" s="1023"/>
      <c r="X806" s="1023"/>
      <c r="Y806" s="1023"/>
      <c r="Z806" s="1023"/>
    </row>
    <row r="807" spans="1:26" ht="11.25" customHeight="1" x14ac:dyDescent="0.2">
      <c r="A807" s="1023"/>
      <c r="B807" s="1023"/>
      <c r="C807" s="1023"/>
      <c r="D807" s="1023"/>
      <c r="E807" s="1023"/>
      <c r="F807" s="1023"/>
      <c r="G807" s="1023"/>
      <c r="H807" s="1023"/>
      <c r="I807" s="1023"/>
      <c r="J807" s="1023"/>
      <c r="K807" s="1023"/>
      <c r="L807" s="1023"/>
      <c r="M807" s="1023"/>
      <c r="N807" s="1023"/>
      <c r="O807" s="1023"/>
      <c r="P807" s="1023"/>
      <c r="Q807" s="1023"/>
      <c r="R807" s="1023"/>
      <c r="S807" s="1023"/>
      <c r="T807" s="1023"/>
      <c r="U807" s="1023"/>
      <c r="V807" s="1023"/>
      <c r="W807" s="1023"/>
      <c r="X807" s="1023"/>
      <c r="Y807" s="1023"/>
      <c r="Z807" s="1023"/>
    </row>
    <row r="808" spans="1:26" ht="11.25" customHeight="1" x14ac:dyDescent="0.2">
      <c r="A808" s="1023"/>
      <c r="B808" s="1023"/>
      <c r="C808" s="1023"/>
      <c r="D808" s="1023"/>
      <c r="E808" s="1023"/>
      <c r="F808" s="1023"/>
      <c r="G808" s="1023"/>
      <c r="H808" s="1023"/>
      <c r="I808" s="1023"/>
      <c r="J808" s="1023"/>
      <c r="K808" s="1023"/>
      <c r="L808" s="1023"/>
      <c r="M808" s="1023"/>
      <c r="N808" s="1023"/>
      <c r="O808" s="1023"/>
      <c r="P808" s="1023"/>
      <c r="Q808" s="1023"/>
      <c r="R808" s="1023"/>
      <c r="S808" s="1023"/>
      <c r="T808" s="1023"/>
      <c r="U808" s="1023"/>
      <c r="V808" s="1023"/>
      <c r="W808" s="1023"/>
      <c r="X808" s="1023"/>
      <c r="Y808" s="1023"/>
      <c r="Z808" s="1023"/>
    </row>
    <row r="809" spans="1:26" ht="11.25" customHeight="1" x14ac:dyDescent="0.2">
      <c r="A809" s="1023"/>
      <c r="B809" s="1023"/>
      <c r="C809" s="1023"/>
      <c r="D809" s="1023"/>
      <c r="E809" s="1023"/>
      <c r="F809" s="1023"/>
      <c r="G809" s="1023"/>
      <c r="H809" s="1023"/>
      <c r="I809" s="1023"/>
      <c r="J809" s="1023"/>
      <c r="K809" s="1023"/>
      <c r="L809" s="1023"/>
      <c r="M809" s="1023"/>
      <c r="N809" s="1023"/>
      <c r="O809" s="1023"/>
      <c r="P809" s="1023"/>
      <c r="Q809" s="1023"/>
      <c r="R809" s="1023"/>
      <c r="S809" s="1023"/>
      <c r="T809" s="1023"/>
      <c r="U809" s="1023"/>
      <c r="V809" s="1023"/>
      <c r="W809" s="1023"/>
      <c r="X809" s="1023"/>
      <c r="Y809" s="1023"/>
      <c r="Z809" s="1023"/>
    </row>
    <row r="810" spans="1:26" ht="11.25" customHeight="1" x14ac:dyDescent="0.2">
      <c r="A810" s="1023"/>
      <c r="B810" s="1023"/>
      <c r="C810" s="1023"/>
      <c r="D810" s="1023"/>
      <c r="E810" s="1023"/>
      <c r="F810" s="1023"/>
      <c r="G810" s="1023"/>
      <c r="H810" s="1023"/>
      <c r="I810" s="1023"/>
      <c r="J810" s="1023"/>
      <c r="K810" s="1023"/>
      <c r="L810" s="1023"/>
      <c r="M810" s="1023"/>
      <c r="N810" s="1023"/>
      <c r="O810" s="1023"/>
      <c r="P810" s="1023"/>
      <c r="Q810" s="1023"/>
      <c r="R810" s="1023"/>
      <c r="S810" s="1023"/>
      <c r="T810" s="1023"/>
      <c r="U810" s="1023"/>
      <c r="V810" s="1023"/>
      <c r="W810" s="1023"/>
      <c r="X810" s="1023"/>
      <c r="Y810" s="1023"/>
      <c r="Z810" s="1023"/>
    </row>
    <row r="811" spans="1:26" ht="11.25" customHeight="1" x14ac:dyDescent="0.2">
      <c r="A811" s="1023"/>
      <c r="B811" s="1023"/>
      <c r="C811" s="1023"/>
      <c r="D811" s="1023"/>
      <c r="E811" s="1023"/>
      <c r="F811" s="1023"/>
      <c r="G811" s="1023"/>
      <c r="H811" s="1023"/>
      <c r="I811" s="1023"/>
      <c r="J811" s="1023"/>
      <c r="K811" s="1023"/>
      <c r="L811" s="1023"/>
      <c r="M811" s="1023"/>
      <c r="N811" s="1023"/>
      <c r="O811" s="1023"/>
      <c r="P811" s="1023"/>
      <c r="Q811" s="1023"/>
      <c r="R811" s="1023"/>
      <c r="S811" s="1023"/>
      <c r="T811" s="1023"/>
      <c r="U811" s="1023"/>
      <c r="V811" s="1023"/>
      <c r="W811" s="1023"/>
      <c r="X811" s="1023"/>
      <c r="Y811" s="1023"/>
      <c r="Z811" s="1023"/>
    </row>
    <row r="812" spans="1:26" ht="11.25" customHeight="1" x14ac:dyDescent="0.2">
      <c r="A812" s="1023"/>
      <c r="B812" s="1023"/>
      <c r="C812" s="1023"/>
      <c r="D812" s="1023"/>
      <c r="E812" s="1023"/>
      <c r="F812" s="1023"/>
      <c r="G812" s="1023"/>
      <c r="H812" s="1023"/>
      <c r="I812" s="1023"/>
      <c r="J812" s="1023"/>
      <c r="K812" s="1023"/>
      <c r="L812" s="1023"/>
      <c r="M812" s="1023"/>
      <c r="N812" s="1023"/>
      <c r="O812" s="1023"/>
      <c r="P812" s="1023"/>
      <c r="Q812" s="1023"/>
      <c r="R812" s="1023"/>
      <c r="S812" s="1023"/>
      <c r="T812" s="1023"/>
      <c r="U812" s="1023"/>
      <c r="V812" s="1023"/>
      <c r="W812" s="1023"/>
      <c r="X812" s="1023"/>
      <c r="Y812" s="1023"/>
      <c r="Z812" s="1023"/>
    </row>
    <row r="813" spans="1:26" ht="11.25" customHeight="1" x14ac:dyDescent="0.2">
      <c r="A813" s="1023"/>
      <c r="B813" s="1023"/>
      <c r="C813" s="1023"/>
      <c r="D813" s="1023"/>
      <c r="E813" s="1023"/>
      <c r="F813" s="1023"/>
      <c r="G813" s="1023"/>
      <c r="H813" s="1023"/>
      <c r="I813" s="1023"/>
      <c r="J813" s="1023"/>
      <c r="K813" s="1023"/>
      <c r="L813" s="1023"/>
      <c r="M813" s="1023"/>
      <c r="N813" s="1023"/>
      <c r="O813" s="1023"/>
      <c r="P813" s="1023"/>
      <c r="Q813" s="1023"/>
      <c r="R813" s="1023"/>
      <c r="S813" s="1023"/>
      <c r="T813" s="1023"/>
      <c r="U813" s="1023"/>
      <c r="V813" s="1023"/>
      <c r="W813" s="1023"/>
      <c r="X813" s="1023"/>
      <c r="Y813" s="1023"/>
      <c r="Z813" s="1023"/>
    </row>
    <row r="814" spans="1:26" ht="11.25" customHeight="1" x14ac:dyDescent="0.2">
      <c r="A814" s="1023"/>
      <c r="B814" s="1023"/>
      <c r="C814" s="1023"/>
      <c r="D814" s="1023"/>
      <c r="E814" s="1023"/>
      <c r="F814" s="1023"/>
      <c r="G814" s="1023"/>
      <c r="H814" s="1023"/>
      <c r="I814" s="1023"/>
      <c r="J814" s="1023"/>
      <c r="K814" s="1023"/>
      <c r="L814" s="1023"/>
      <c r="M814" s="1023"/>
      <c r="N814" s="1023"/>
      <c r="O814" s="1023"/>
      <c r="P814" s="1023"/>
      <c r="Q814" s="1023"/>
      <c r="R814" s="1023"/>
      <c r="S814" s="1023"/>
      <c r="T814" s="1023"/>
      <c r="U814" s="1023"/>
      <c r="V814" s="1023"/>
      <c r="W814" s="1023"/>
      <c r="X814" s="1023"/>
      <c r="Y814" s="1023"/>
      <c r="Z814" s="1023"/>
    </row>
    <row r="815" spans="1:26" ht="11.25" customHeight="1" x14ac:dyDescent="0.2">
      <c r="A815" s="1023"/>
      <c r="B815" s="1023"/>
      <c r="C815" s="1023"/>
      <c r="D815" s="1023"/>
      <c r="E815" s="1023"/>
      <c r="F815" s="1023"/>
      <c r="G815" s="1023"/>
      <c r="H815" s="1023"/>
      <c r="I815" s="1023"/>
      <c r="J815" s="1023"/>
      <c r="K815" s="1023"/>
      <c r="L815" s="1023"/>
      <c r="M815" s="1023"/>
      <c r="N815" s="1023"/>
      <c r="O815" s="1023"/>
      <c r="P815" s="1023"/>
      <c r="Q815" s="1023"/>
      <c r="R815" s="1023"/>
      <c r="S815" s="1023"/>
      <c r="T815" s="1023"/>
      <c r="U815" s="1023"/>
      <c r="V815" s="1023"/>
      <c r="W815" s="1023"/>
      <c r="X815" s="1023"/>
      <c r="Y815" s="1023"/>
      <c r="Z815" s="1023"/>
    </row>
    <row r="816" spans="1:26" ht="11.25" customHeight="1" x14ac:dyDescent="0.2">
      <c r="A816" s="1023"/>
      <c r="B816" s="1023"/>
      <c r="C816" s="1023"/>
      <c r="D816" s="1023"/>
      <c r="E816" s="1023"/>
      <c r="F816" s="1023"/>
      <c r="G816" s="1023"/>
      <c r="H816" s="1023"/>
      <c r="I816" s="1023"/>
      <c r="J816" s="1023"/>
      <c r="K816" s="1023"/>
      <c r="L816" s="1023"/>
      <c r="M816" s="1023"/>
      <c r="N816" s="1023"/>
      <c r="O816" s="1023"/>
      <c r="P816" s="1023"/>
      <c r="Q816" s="1023"/>
      <c r="R816" s="1023"/>
      <c r="S816" s="1023"/>
      <c r="T816" s="1023"/>
      <c r="U816" s="1023"/>
      <c r="V816" s="1023"/>
      <c r="W816" s="1023"/>
      <c r="X816" s="1023"/>
      <c r="Y816" s="1023"/>
      <c r="Z816" s="1023"/>
    </row>
    <row r="817" spans="1:26" ht="11.25" customHeight="1" x14ac:dyDescent="0.2">
      <c r="A817" s="1023"/>
      <c r="B817" s="1023"/>
      <c r="C817" s="1023"/>
      <c r="D817" s="1023"/>
      <c r="E817" s="1023"/>
      <c r="F817" s="1023"/>
      <c r="G817" s="1023"/>
      <c r="H817" s="1023"/>
      <c r="I817" s="1023"/>
      <c r="J817" s="1023"/>
      <c r="K817" s="1023"/>
      <c r="L817" s="1023"/>
      <c r="M817" s="1023"/>
      <c r="N817" s="1023"/>
      <c r="O817" s="1023"/>
      <c r="P817" s="1023"/>
      <c r="Q817" s="1023"/>
      <c r="R817" s="1023"/>
      <c r="S817" s="1023"/>
      <c r="T817" s="1023"/>
      <c r="U817" s="1023"/>
      <c r="V817" s="1023"/>
      <c r="W817" s="1023"/>
      <c r="X817" s="1023"/>
      <c r="Y817" s="1023"/>
      <c r="Z817" s="1023"/>
    </row>
    <row r="818" spans="1:26" ht="11.25" customHeight="1" x14ac:dyDescent="0.2">
      <c r="A818" s="1023"/>
      <c r="B818" s="1023"/>
      <c r="C818" s="1023"/>
      <c r="D818" s="1023"/>
      <c r="E818" s="1023"/>
      <c r="F818" s="1023"/>
      <c r="G818" s="1023"/>
      <c r="H818" s="1023"/>
      <c r="I818" s="1023"/>
      <c r="J818" s="1023"/>
      <c r="K818" s="1023"/>
      <c r="L818" s="1023"/>
      <c r="M818" s="1023"/>
      <c r="N818" s="1023"/>
      <c r="O818" s="1023"/>
      <c r="P818" s="1023"/>
      <c r="Q818" s="1023"/>
      <c r="R818" s="1023"/>
      <c r="S818" s="1023"/>
      <c r="T818" s="1023"/>
      <c r="U818" s="1023"/>
      <c r="V818" s="1023"/>
      <c r="W818" s="1023"/>
      <c r="X818" s="1023"/>
      <c r="Y818" s="1023"/>
      <c r="Z818" s="1023"/>
    </row>
    <row r="819" spans="1:26" ht="11.25" customHeight="1" x14ac:dyDescent="0.2">
      <c r="A819" s="1023"/>
      <c r="B819" s="1023"/>
      <c r="C819" s="1023"/>
      <c r="D819" s="1023"/>
      <c r="E819" s="1023"/>
      <c r="F819" s="1023"/>
      <c r="G819" s="1023"/>
      <c r="H819" s="1023"/>
      <c r="I819" s="1023"/>
      <c r="J819" s="1023"/>
      <c r="K819" s="1023"/>
      <c r="L819" s="1023"/>
      <c r="M819" s="1023"/>
      <c r="N819" s="1023"/>
      <c r="O819" s="1023"/>
      <c r="P819" s="1023"/>
      <c r="Q819" s="1023"/>
      <c r="R819" s="1023"/>
      <c r="S819" s="1023"/>
      <c r="T819" s="1023"/>
      <c r="U819" s="1023"/>
      <c r="V819" s="1023"/>
      <c r="W819" s="1023"/>
      <c r="X819" s="1023"/>
      <c r="Y819" s="1023"/>
      <c r="Z819" s="1023"/>
    </row>
    <row r="820" spans="1:26" ht="11.25" customHeight="1" x14ac:dyDescent="0.2">
      <c r="A820" s="1023"/>
      <c r="B820" s="1023"/>
      <c r="C820" s="1023"/>
      <c r="D820" s="1023"/>
      <c r="E820" s="1023"/>
      <c r="F820" s="1023"/>
      <c r="G820" s="1023"/>
      <c r="H820" s="1023"/>
      <c r="I820" s="1023"/>
      <c r="J820" s="1023"/>
      <c r="K820" s="1023"/>
      <c r="L820" s="1023"/>
      <c r="M820" s="1023"/>
      <c r="N820" s="1023"/>
      <c r="O820" s="1023"/>
      <c r="P820" s="1023"/>
      <c r="Q820" s="1023"/>
      <c r="R820" s="1023"/>
      <c r="S820" s="1023"/>
      <c r="T820" s="1023"/>
      <c r="U820" s="1023"/>
      <c r="V820" s="1023"/>
      <c r="W820" s="1023"/>
      <c r="X820" s="1023"/>
      <c r="Y820" s="1023"/>
      <c r="Z820" s="1023"/>
    </row>
    <row r="821" spans="1:26" ht="11.25" customHeight="1" x14ac:dyDescent="0.2">
      <c r="A821" s="1023"/>
      <c r="B821" s="1023"/>
      <c r="C821" s="1023"/>
      <c r="D821" s="1023"/>
      <c r="E821" s="1023"/>
      <c r="F821" s="1023"/>
      <c r="G821" s="1023"/>
      <c r="H821" s="1023"/>
      <c r="I821" s="1023"/>
      <c r="J821" s="1023"/>
      <c r="K821" s="1023"/>
      <c r="L821" s="1023"/>
      <c r="M821" s="1023"/>
      <c r="N821" s="1023"/>
      <c r="O821" s="1023"/>
      <c r="P821" s="1023"/>
      <c r="Q821" s="1023"/>
      <c r="R821" s="1023"/>
      <c r="S821" s="1023"/>
      <c r="T821" s="1023"/>
      <c r="U821" s="1023"/>
      <c r="V821" s="1023"/>
      <c r="W821" s="1023"/>
      <c r="X821" s="1023"/>
      <c r="Y821" s="1023"/>
      <c r="Z821" s="1023"/>
    </row>
    <row r="822" spans="1:26" ht="11.25" customHeight="1" x14ac:dyDescent="0.2">
      <c r="A822" s="1023"/>
      <c r="B822" s="1023"/>
      <c r="C822" s="1023"/>
      <c r="D822" s="1023"/>
      <c r="E822" s="1023"/>
      <c r="F822" s="1023"/>
      <c r="G822" s="1023"/>
      <c r="H822" s="1023"/>
      <c r="I822" s="1023"/>
      <c r="J822" s="1023"/>
      <c r="K822" s="1023"/>
      <c r="L822" s="1023"/>
      <c r="M822" s="1023"/>
      <c r="N822" s="1023"/>
      <c r="O822" s="1023"/>
      <c r="P822" s="1023"/>
      <c r="Q822" s="1023"/>
      <c r="R822" s="1023"/>
      <c r="S822" s="1023"/>
      <c r="T822" s="1023"/>
      <c r="U822" s="1023"/>
      <c r="V822" s="1023"/>
      <c r="W822" s="1023"/>
      <c r="X822" s="1023"/>
      <c r="Y822" s="1023"/>
      <c r="Z822" s="1023"/>
    </row>
    <row r="823" spans="1:26" ht="11.25" customHeight="1" x14ac:dyDescent="0.2">
      <c r="A823" s="1023"/>
      <c r="B823" s="1023"/>
      <c r="C823" s="1023"/>
      <c r="D823" s="1023"/>
      <c r="E823" s="1023"/>
      <c r="F823" s="1023"/>
      <c r="G823" s="1023"/>
      <c r="H823" s="1023"/>
      <c r="I823" s="1023"/>
      <c r="J823" s="1023"/>
      <c r="K823" s="1023"/>
      <c r="L823" s="1023"/>
      <c r="M823" s="1023"/>
      <c r="N823" s="1023"/>
      <c r="O823" s="1023"/>
      <c r="P823" s="1023"/>
      <c r="Q823" s="1023"/>
      <c r="R823" s="1023"/>
      <c r="S823" s="1023"/>
      <c r="T823" s="1023"/>
      <c r="U823" s="1023"/>
      <c r="V823" s="1023"/>
      <c r="W823" s="1023"/>
      <c r="X823" s="1023"/>
      <c r="Y823" s="1023"/>
      <c r="Z823" s="1023"/>
    </row>
    <row r="824" spans="1:26" ht="11.25" customHeight="1" x14ac:dyDescent="0.2">
      <c r="A824" s="1023"/>
      <c r="B824" s="1023"/>
      <c r="C824" s="1023"/>
      <c r="D824" s="1023"/>
      <c r="E824" s="1023"/>
      <c r="F824" s="1023"/>
      <c r="G824" s="1023"/>
      <c r="H824" s="1023"/>
      <c r="I824" s="1023"/>
      <c r="J824" s="1023"/>
      <c r="K824" s="1023"/>
      <c r="L824" s="1023"/>
      <c r="M824" s="1023"/>
      <c r="N824" s="1023"/>
      <c r="O824" s="1023"/>
      <c r="P824" s="1023"/>
      <c r="Q824" s="1023"/>
      <c r="R824" s="1023"/>
      <c r="S824" s="1023"/>
      <c r="T824" s="1023"/>
      <c r="U824" s="1023"/>
      <c r="V824" s="1023"/>
      <c r="W824" s="1023"/>
      <c r="X824" s="1023"/>
      <c r="Y824" s="1023"/>
      <c r="Z824" s="1023"/>
    </row>
    <row r="825" spans="1:26" ht="11.25" customHeight="1" x14ac:dyDescent="0.2">
      <c r="A825" s="1023"/>
      <c r="B825" s="1023"/>
      <c r="C825" s="1023"/>
      <c r="D825" s="1023"/>
      <c r="E825" s="1023"/>
      <c r="F825" s="1023"/>
      <c r="G825" s="1023"/>
      <c r="H825" s="1023"/>
      <c r="I825" s="1023"/>
      <c r="J825" s="1023"/>
      <c r="K825" s="1023"/>
      <c r="L825" s="1023"/>
      <c r="M825" s="1023"/>
      <c r="N825" s="1023"/>
      <c r="O825" s="1023"/>
      <c r="P825" s="1023"/>
      <c r="Q825" s="1023"/>
      <c r="R825" s="1023"/>
      <c r="S825" s="1023"/>
      <c r="T825" s="1023"/>
      <c r="U825" s="1023"/>
      <c r="V825" s="1023"/>
      <c r="W825" s="1023"/>
      <c r="X825" s="1023"/>
      <c r="Y825" s="1023"/>
      <c r="Z825" s="1023"/>
    </row>
    <row r="826" spans="1:26" ht="11.25" customHeight="1" x14ac:dyDescent="0.2">
      <c r="A826" s="1023"/>
      <c r="B826" s="1023"/>
      <c r="C826" s="1023"/>
      <c r="D826" s="1023"/>
      <c r="E826" s="1023"/>
      <c r="F826" s="1023"/>
      <c r="G826" s="1023"/>
      <c r="H826" s="1023"/>
      <c r="I826" s="1023"/>
      <c r="J826" s="1023"/>
      <c r="K826" s="1023"/>
      <c r="L826" s="1023"/>
      <c r="M826" s="1023"/>
      <c r="N826" s="1023"/>
      <c r="O826" s="1023"/>
      <c r="P826" s="1023"/>
      <c r="Q826" s="1023"/>
      <c r="R826" s="1023"/>
      <c r="S826" s="1023"/>
      <c r="T826" s="1023"/>
      <c r="U826" s="1023"/>
      <c r="V826" s="1023"/>
      <c r="W826" s="1023"/>
      <c r="X826" s="1023"/>
      <c r="Y826" s="1023"/>
      <c r="Z826" s="1023"/>
    </row>
    <row r="827" spans="1:26" ht="11.25" customHeight="1" x14ac:dyDescent="0.2">
      <c r="A827" s="1023"/>
      <c r="B827" s="1023"/>
      <c r="C827" s="1023"/>
      <c r="D827" s="1023"/>
      <c r="E827" s="1023"/>
      <c r="F827" s="1023"/>
      <c r="G827" s="1023"/>
      <c r="H827" s="1023"/>
      <c r="I827" s="1023"/>
      <c r="J827" s="1023"/>
      <c r="K827" s="1023"/>
      <c r="L827" s="1023"/>
      <c r="M827" s="1023"/>
      <c r="N827" s="1023"/>
      <c r="O827" s="1023"/>
      <c r="P827" s="1023"/>
      <c r="Q827" s="1023"/>
      <c r="R827" s="1023"/>
      <c r="S827" s="1023"/>
      <c r="T827" s="1023"/>
      <c r="U827" s="1023"/>
      <c r="V827" s="1023"/>
      <c r="W827" s="1023"/>
      <c r="X827" s="1023"/>
      <c r="Y827" s="1023"/>
      <c r="Z827" s="1023"/>
    </row>
    <row r="828" spans="1:26" ht="11.25" customHeight="1" x14ac:dyDescent="0.2">
      <c r="A828" s="1023"/>
      <c r="B828" s="1023"/>
      <c r="C828" s="1023"/>
      <c r="D828" s="1023"/>
      <c r="E828" s="1023"/>
      <c r="F828" s="1023"/>
      <c r="G828" s="1023"/>
      <c r="H828" s="1023"/>
      <c r="I828" s="1023"/>
      <c r="J828" s="1023"/>
      <c r="K828" s="1023"/>
      <c r="L828" s="1023"/>
      <c r="M828" s="1023"/>
      <c r="N828" s="1023"/>
      <c r="O828" s="1023"/>
      <c r="P828" s="1023"/>
      <c r="Q828" s="1023"/>
      <c r="R828" s="1023"/>
      <c r="S828" s="1023"/>
      <c r="T828" s="1023"/>
      <c r="U828" s="1023"/>
      <c r="V828" s="1023"/>
      <c r="W828" s="1023"/>
      <c r="X828" s="1023"/>
      <c r="Y828" s="1023"/>
      <c r="Z828" s="1023"/>
    </row>
    <row r="829" spans="1:26" ht="11.25" customHeight="1" x14ac:dyDescent="0.2">
      <c r="A829" s="1023"/>
      <c r="B829" s="1023"/>
      <c r="C829" s="1023"/>
      <c r="D829" s="1023"/>
      <c r="E829" s="1023"/>
      <c r="F829" s="1023"/>
      <c r="G829" s="1023"/>
      <c r="H829" s="1023"/>
      <c r="I829" s="1023"/>
      <c r="J829" s="1023"/>
      <c r="K829" s="1023"/>
      <c r="L829" s="1023"/>
      <c r="M829" s="1023"/>
      <c r="N829" s="1023"/>
      <c r="O829" s="1023"/>
      <c r="P829" s="1023"/>
      <c r="Q829" s="1023"/>
      <c r="R829" s="1023"/>
      <c r="S829" s="1023"/>
      <c r="T829" s="1023"/>
      <c r="U829" s="1023"/>
      <c r="V829" s="1023"/>
      <c r="W829" s="1023"/>
      <c r="X829" s="1023"/>
      <c r="Y829" s="1023"/>
      <c r="Z829" s="1023"/>
    </row>
    <row r="830" spans="1:26" ht="11.25" customHeight="1" x14ac:dyDescent="0.2">
      <c r="A830" s="1023"/>
      <c r="B830" s="1023"/>
      <c r="C830" s="1023"/>
      <c r="D830" s="1023"/>
      <c r="E830" s="1023"/>
      <c r="F830" s="1023"/>
      <c r="G830" s="1023"/>
      <c r="H830" s="1023"/>
      <c r="I830" s="1023"/>
      <c r="J830" s="1023"/>
      <c r="K830" s="1023"/>
      <c r="L830" s="1023"/>
      <c r="M830" s="1023"/>
      <c r="N830" s="1023"/>
      <c r="O830" s="1023"/>
      <c r="P830" s="1023"/>
      <c r="Q830" s="1023"/>
      <c r="R830" s="1023"/>
      <c r="S830" s="1023"/>
      <c r="T830" s="1023"/>
      <c r="U830" s="1023"/>
      <c r="V830" s="1023"/>
      <c r="W830" s="1023"/>
      <c r="X830" s="1023"/>
      <c r="Y830" s="1023"/>
      <c r="Z830" s="1023"/>
    </row>
    <row r="831" spans="1:26" ht="11.25" customHeight="1" x14ac:dyDescent="0.2">
      <c r="A831" s="1023"/>
      <c r="B831" s="1023"/>
      <c r="C831" s="1023"/>
      <c r="D831" s="1023"/>
      <c r="E831" s="1023"/>
      <c r="F831" s="1023"/>
      <c r="G831" s="1023"/>
      <c r="H831" s="1023"/>
      <c r="I831" s="1023"/>
      <c r="J831" s="1023"/>
      <c r="K831" s="1023"/>
      <c r="L831" s="1023"/>
      <c r="M831" s="1023"/>
      <c r="N831" s="1023"/>
      <c r="O831" s="1023"/>
      <c r="P831" s="1023"/>
      <c r="Q831" s="1023"/>
      <c r="R831" s="1023"/>
      <c r="S831" s="1023"/>
      <c r="T831" s="1023"/>
      <c r="U831" s="1023"/>
      <c r="V831" s="1023"/>
      <c r="W831" s="1023"/>
      <c r="X831" s="1023"/>
      <c r="Y831" s="1023"/>
      <c r="Z831" s="1023"/>
    </row>
    <row r="832" spans="1:26" ht="11.25" customHeight="1" x14ac:dyDescent="0.2">
      <c r="A832" s="1023"/>
      <c r="B832" s="1023"/>
      <c r="C832" s="1023"/>
      <c r="D832" s="1023"/>
      <c r="E832" s="1023"/>
      <c r="F832" s="1023"/>
      <c r="G832" s="1023"/>
      <c r="H832" s="1023"/>
      <c r="I832" s="1023"/>
      <c r="J832" s="1023"/>
      <c r="K832" s="1023"/>
      <c r="L832" s="1023"/>
      <c r="M832" s="1023"/>
      <c r="N832" s="1023"/>
      <c r="O832" s="1023"/>
      <c r="P832" s="1023"/>
      <c r="Q832" s="1023"/>
      <c r="R832" s="1023"/>
      <c r="S832" s="1023"/>
      <c r="T832" s="1023"/>
      <c r="U832" s="1023"/>
      <c r="V832" s="1023"/>
      <c r="W832" s="1023"/>
      <c r="X832" s="1023"/>
      <c r="Y832" s="1023"/>
      <c r="Z832" s="1023"/>
    </row>
    <row r="833" spans="1:26" ht="11.25" customHeight="1" x14ac:dyDescent="0.2">
      <c r="A833" s="1023"/>
      <c r="B833" s="1023"/>
      <c r="C833" s="1023"/>
      <c r="D833" s="1023"/>
      <c r="E833" s="1023"/>
      <c r="F833" s="1023"/>
      <c r="G833" s="1023"/>
      <c r="H833" s="1023"/>
      <c r="I833" s="1023"/>
      <c r="J833" s="1023"/>
      <c r="K833" s="1023"/>
      <c r="L833" s="1023"/>
      <c r="M833" s="1023"/>
      <c r="N833" s="1023"/>
      <c r="O833" s="1023"/>
      <c r="P833" s="1023"/>
      <c r="Q833" s="1023"/>
      <c r="R833" s="1023"/>
      <c r="S833" s="1023"/>
      <c r="T833" s="1023"/>
      <c r="U833" s="1023"/>
      <c r="V833" s="1023"/>
      <c r="W833" s="1023"/>
      <c r="X833" s="1023"/>
      <c r="Y833" s="1023"/>
      <c r="Z833" s="1023"/>
    </row>
    <row r="834" spans="1:26" ht="11.25" customHeight="1" x14ac:dyDescent="0.2">
      <c r="A834" s="1023"/>
      <c r="B834" s="1023"/>
      <c r="C834" s="1023"/>
      <c r="D834" s="1023"/>
      <c r="E834" s="1023"/>
      <c r="F834" s="1023"/>
      <c r="G834" s="1023"/>
      <c r="H834" s="1023"/>
      <c r="I834" s="1023"/>
      <c r="J834" s="1023"/>
      <c r="K834" s="1023"/>
      <c r="L834" s="1023"/>
      <c r="M834" s="1023"/>
      <c r="N834" s="1023"/>
      <c r="O834" s="1023"/>
      <c r="P834" s="1023"/>
      <c r="Q834" s="1023"/>
      <c r="R834" s="1023"/>
      <c r="S834" s="1023"/>
      <c r="T834" s="1023"/>
      <c r="U834" s="1023"/>
      <c r="V834" s="1023"/>
      <c r="W834" s="1023"/>
      <c r="X834" s="1023"/>
      <c r="Y834" s="1023"/>
      <c r="Z834" s="1023"/>
    </row>
    <row r="835" spans="1:26" ht="11.25" customHeight="1" x14ac:dyDescent="0.2">
      <c r="A835" s="1023"/>
      <c r="B835" s="1023"/>
      <c r="C835" s="1023"/>
      <c r="D835" s="1023"/>
      <c r="E835" s="1023"/>
      <c r="F835" s="1023"/>
      <c r="G835" s="1023"/>
      <c r="H835" s="1023"/>
      <c r="I835" s="1023"/>
      <c r="J835" s="1023"/>
      <c r="K835" s="1023"/>
      <c r="L835" s="1023"/>
      <c r="M835" s="1023"/>
      <c r="N835" s="1023"/>
      <c r="O835" s="1023"/>
      <c r="P835" s="1023"/>
      <c r="Q835" s="1023"/>
      <c r="R835" s="1023"/>
      <c r="S835" s="1023"/>
      <c r="T835" s="1023"/>
      <c r="U835" s="1023"/>
      <c r="V835" s="1023"/>
      <c r="W835" s="1023"/>
      <c r="X835" s="1023"/>
      <c r="Y835" s="1023"/>
      <c r="Z835" s="1023"/>
    </row>
    <row r="836" spans="1:26" ht="11.25" customHeight="1" x14ac:dyDescent="0.2">
      <c r="A836" s="1023"/>
      <c r="B836" s="1023"/>
      <c r="C836" s="1023"/>
      <c r="D836" s="1023"/>
      <c r="E836" s="1023"/>
      <c r="F836" s="1023"/>
      <c r="G836" s="1023"/>
      <c r="H836" s="1023"/>
      <c r="I836" s="1023"/>
      <c r="J836" s="1023"/>
      <c r="K836" s="1023"/>
      <c r="L836" s="1023"/>
      <c r="M836" s="1023"/>
      <c r="N836" s="1023"/>
      <c r="O836" s="1023"/>
      <c r="P836" s="1023"/>
      <c r="Q836" s="1023"/>
      <c r="R836" s="1023"/>
      <c r="S836" s="1023"/>
      <c r="T836" s="1023"/>
      <c r="U836" s="1023"/>
      <c r="V836" s="1023"/>
      <c r="W836" s="1023"/>
      <c r="X836" s="1023"/>
      <c r="Y836" s="1023"/>
      <c r="Z836" s="1023"/>
    </row>
    <row r="837" spans="1:26" ht="11.25" customHeight="1" x14ac:dyDescent="0.2">
      <c r="A837" s="1023"/>
      <c r="B837" s="1023"/>
      <c r="C837" s="1023"/>
      <c r="D837" s="1023"/>
      <c r="E837" s="1023"/>
      <c r="F837" s="1023"/>
      <c r="G837" s="1023"/>
      <c r="H837" s="1023"/>
      <c r="I837" s="1023"/>
      <c r="J837" s="1023"/>
      <c r="K837" s="1023"/>
      <c r="L837" s="1023"/>
      <c r="M837" s="1023"/>
      <c r="N837" s="1023"/>
      <c r="O837" s="1023"/>
      <c r="P837" s="1023"/>
      <c r="Q837" s="1023"/>
      <c r="R837" s="1023"/>
      <c r="S837" s="1023"/>
      <c r="T837" s="1023"/>
      <c r="U837" s="1023"/>
      <c r="V837" s="1023"/>
      <c r="W837" s="1023"/>
      <c r="X837" s="1023"/>
      <c r="Y837" s="1023"/>
      <c r="Z837" s="1023"/>
    </row>
    <row r="838" spans="1:26" ht="11.25" customHeight="1" x14ac:dyDescent="0.2">
      <c r="A838" s="1023"/>
      <c r="B838" s="1023"/>
      <c r="C838" s="1023"/>
      <c r="D838" s="1023"/>
      <c r="E838" s="1023"/>
      <c r="F838" s="1023"/>
      <c r="G838" s="1023"/>
      <c r="H838" s="1023"/>
      <c r="I838" s="1023"/>
      <c r="J838" s="1023"/>
      <c r="K838" s="1023"/>
      <c r="L838" s="1023"/>
      <c r="M838" s="1023"/>
      <c r="N838" s="1023"/>
      <c r="O838" s="1023"/>
      <c r="P838" s="1023"/>
      <c r="Q838" s="1023"/>
      <c r="R838" s="1023"/>
      <c r="S838" s="1023"/>
      <c r="T838" s="1023"/>
      <c r="U838" s="1023"/>
      <c r="V838" s="1023"/>
      <c r="W838" s="1023"/>
      <c r="X838" s="1023"/>
      <c r="Y838" s="1023"/>
      <c r="Z838" s="1023"/>
    </row>
    <row r="839" spans="1:26" ht="11.25" customHeight="1" x14ac:dyDescent="0.2">
      <c r="A839" s="1023"/>
      <c r="B839" s="1023"/>
      <c r="C839" s="1023"/>
      <c r="D839" s="1023"/>
      <c r="E839" s="1023"/>
      <c r="F839" s="1023"/>
      <c r="G839" s="1023"/>
      <c r="H839" s="1023"/>
      <c r="I839" s="1023"/>
      <c r="J839" s="1023"/>
      <c r="K839" s="1023"/>
      <c r="L839" s="1023"/>
      <c r="M839" s="1023"/>
      <c r="N839" s="1023"/>
      <c r="O839" s="1023"/>
      <c r="P839" s="1023"/>
      <c r="Q839" s="1023"/>
      <c r="R839" s="1023"/>
      <c r="S839" s="1023"/>
      <c r="T839" s="1023"/>
      <c r="U839" s="1023"/>
      <c r="V839" s="1023"/>
      <c r="W839" s="1023"/>
      <c r="X839" s="1023"/>
      <c r="Y839" s="1023"/>
      <c r="Z839" s="1023"/>
    </row>
    <row r="840" spans="1:26" ht="11.25" customHeight="1" x14ac:dyDescent="0.2">
      <c r="A840" s="1023"/>
      <c r="B840" s="1023"/>
      <c r="C840" s="1023"/>
      <c r="D840" s="1023"/>
      <c r="E840" s="1023"/>
      <c r="F840" s="1023"/>
      <c r="G840" s="1023"/>
      <c r="H840" s="1023"/>
      <c r="I840" s="1023"/>
      <c r="J840" s="1023"/>
      <c r="K840" s="1023"/>
      <c r="L840" s="1023"/>
      <c r="M840" s="1023"/>
      <c r="N840" s="1023"/>
      <c r="O840" s="1023"/>
      <c r="P840" s="1023"/>
      <c r="Q840" s="1023"/>
      <c r="R840" s="1023"/>
      <c r="S840" s="1023"/>
      <c r="T840" s="1023"/>
      <c r="U840" s="1023"/>
      <c r="V840" s="1023"/>
      <c r="W840" s="1023"/>
      <c r="X840" s="1023"/>
      <c r="Y840" s="1023"/>
      <c r="Z840" s="1023"/>
    </row>
    <row r="841" spans="1:26" ht="11.25" customHeight="1" x14ac:dyDescent="0.2">
      <c r="A841" s="1023"/>
      <c r="B841" s="1023"/>
      <c r="C841" s="1023"/>
      <c r="D841" s="1023"/>
      <c r="E841" s="1023"/>
      <c r="F841" s="1023"/>
      <c r="G841" s="1023"/>
      <c r="H841" s="1023"/>
      <c r="I841" s="1023"/>
      <c r="J841" s="1023"/>
      <c r="K841" s="1023"/>
      <c r="L841" s="1023"/>
      <c r="M841" s="1023"/>
      <c r="N841" s="1023"/>
      <c r="O841" s="1023"/>
      <c r="P841" s="1023"/>
      <c r="Q841" s="1023"/>
      <c r="R841" s="1023"/>
      <c r="S841" s="1023"/>
      <c r="T841" s="1023"/>
      <c r="U841" s="1023"/>
      <c r="V841" s="1023"/>
      <c r="W841" s="1023"/>
      <c r="X841" s="1023"/>
      <c r="Y841" s="1023"/>
      <c r="Z841" s="1023"/>
    </row>
    <row r="842" spans="1:26" ht="11.25" customHeight="1" x14ac:dyDescent="0.2">
      <c r="A842" s="1023"/>
      <c r="B842" s="1023"/>
      <c r="C842" s="1023"/>
      <c r="D842" s="1023"/>
      <c r="E842" s="1023"/>
      <c r="F842" s="1023"/>
      <c r="G842" s="1023"/>
      <c r="H842" s="1023"/>
      <c r="I842" s="1023"/>
      <c r="J842" s="1023"/>
      <c r="K842" s="1023"/>
      <c r="L842" s="1023"/>
      <c r="M842" s="1023"/>
      <c r="N842" s="1023"/>
      <c r="O842" s="1023"/>
      <c r="P842" s="1023"/>
      <c r="Q842" s="1023"/>
      <c r="R842" s="1023"/>
      <c r="S842" s="1023"/>
      <c r="T842" s="1023"/>
      <c r="U842" s="1023"/>
      <c r="V842" s="1023"/>
      <c r="W842" s="1023"/>
      <c r="X842" s="1023"/>
      <c r="Y842" s="1023"/>
      <c r="Z842" s="1023"/>
    </row>
    <row r="843" spans="1:26" ht="11.25" customHeight="1" x14ac:dyDescent="0.2">
      <c r="A843" s="1023"/>
      <c r="B843" s="1023"/>
      <c r="C843" s="1023"/>
      <c r="D843" s="1023"/>
      <c r="E843" s="1023"/>
      <c r="F843" s="1023"/>
      <c r="G843" s="1023"/>
      <c r="H843" s="1023"/>
      <c r="I843" s="1023"/>
      <c r="J843" s="1023"/>
      <c r="K843" s="1023"/>
      <c r="L843" s="1023"/>
      <c r="M843" s="1023"/>
      <c r="N843" s="1023"/>
      <c r="O843" s="1023"/>
      <c r="P843" s="1023"/>
      <c r="Q843" s="1023"/>
      <c r="R843" s="1023"/>
      <c r="S843" s="1023"/>
      <c r="T843" s="1023"/>
      <c r="U843" s="1023"/>
      <c r="V843" s="1023"/>
      <c r="W843" s="1023"/>
      <c r="X843" s="1023"/>
      <c r="Y843" s="1023"/>
      <c r="Z843" s="1023"/>
    </row>
    <row r="844" spans="1:26" ht="11.25" customHeight="1" x14ac:dyDescent="0.2">
      <c r="A844" s="1023"/>
      <c r="B844" s="1023"/>
      <c r="C844" s="1023"/>
      <c r="D844" s="1023"/>
      <c r="E844" s="1023"/>
      <c r="F844" s="1023"/>
      <c r="G844" s="1023"/>
      <c r="H844" s="1023"/>
      <c r="I844" s="1023"/>
      <c r="J844" s="1023"/>
      <c r="K844" s="1023"/>
      <c r="L844" s="1023"/>
      <c r="M844" s="1023"/>
      <c r="N844" s="1023"/>
      <c r="O844" s="1023"/>
      <c r="P844" s="1023"/>
      <c r="Q844" s="1023"/>
      <c r="R844" s="1023"/>
      <c r="S844" s="1023"/>
      <c r="T844" s="1023"/>
      <c r="U844" s="1023"/>
      <c r="V844" s="1023"/>
      <c r="W844" s="1023"/>
      <c r="X844" s="1023"/>
      <c r="Y844" s="1023"/>
      <c r="Z844" s="1023"/>
    </row>
    <row r="845" spans="1:26" ht="11.25" customHeight="1" x14ac:dyDescent="0.2">
      <c r="A845" s="1023"/>
      <c r="B845" s="1023"/>
      <c r="C845" s="1023"/>
      <c r="D845" s="1023"/>
      <c r="E845" s="1023"/>
      <c r="F845" s="1023"/>
      <c r="G845" s="1023"/>
      <c r="H845" s="1023"/>
      <c r="I845" s="1023"/>
      <c r="J845" s="1023"/>
      <c r="K845" s="1023"/>
      <c r="L845" s="1023"/>
      <c r="M845" s="1023"/>
      <c r="N845" s="1023"/>
      <c r="O845" s="1023"/>
      <c r="P845" s="1023"/>
      <c r="Q845" s="1023"/>
      <c r="R845" s="1023"/>
      <c r="S845" s="1023"/>
      <c r="T845" s="1023"/>
      <c r="U845" s="1023"/>
      <c r="V845" s="1023"/>
      <c r="W845" s="1023"/>
      <c r="X845" s="1023"/>
      <c r="Y845" s="1023"/>
      <c r="Z845" s="1023"/>
    </row>
    <row r="846" spans="1:26" ht="11.25" customHeight="1" x14ac:dyDescent="0.2">
      <c r="A846" s="1023"/>
      <c r="B846" s="1023"/>
      <c r="C846" s="1023"/>
      <c r="D846" s="1023"/>
      <c r="E846" s="1023"/>
      <c r="F846" s="1023"/>
      <c r="G846" s="1023"/>
      <c r="H846" s="1023"/>
      <c r="I846" s="1023"/>
      <c r="J846" s="1023"/>
      <c r="K846" s="1023"/>
      <c r="L846" s="1023"/>
      <c r="M846" s="1023"/>
      <c r="N846" s="1023"/>
      <c r="O846" s="1023"/>
      <c r="P846" s="1023"/>
      <c r="Q846" s="1023"/>
      <c r="R846" s="1023"/>
      <c r="S846" s="1023"/>
      <c r="T846" s="1023"/>
      <c r="U846" s="1023"/>
      <c r="V846" s="1023"/>
      <c r="W846" s="1023"/>
      <c r="X846" s="1023"/>
      <c r="Y846" s="1023"/>
      <c r="Z846" s="1023"/>
    </row>
    <row r="847" spans="1:26" ht="11.25" customHeight="1" x14ac:dyDescent="0.2">
      <c r="A847" s="1023"/>
      <c r="B847" s="1023"/>
      <c r="C847" s="1023"/>
      <c r="D847" s="1023"/>
      <c r="E847" s="1023"/>
      <c r="F847" s="1023"/>
      <c r="G847" s="1023"/>
      <c r="H847" s="1023"/>
      <c r="I847" s="1023"/>
      <c r="J847" s="1023"/>
      <c r="K847" s="1023"/>
      <c r="L847" s="1023"/>
      <c r="M847" s="1023"/>
      <c r="N847" s="1023"/>
      <c r="O847" s="1023"/>
      <c r="P847" s="1023"/>
      <c r="Q847" s="1023"/>
      <c r="R847" s="1023"/>
      <c r="S847" s="1023"/>
      <c r="T847" s="1023"/>
      <c r="U847" s="1023"/>
      <c r="V847" s="1023"/>
      <c r="W847" s="1023"/>
      <c r="X847" s="1023"/>
      <c r="Y847" s="1023"/>
      <c r="Z847" s="1023"/>
    </row>
    <row r="848" spans="1:26" ht="11.25" customHeight="1" x14ac:dyDescent="0.2">
      <c r="A848" s="1023"/>
      <c r="B848" s="1023"/>
      <c r="C848" s="1023"/>
      <c r="D848" s="1023"/>
      <c r="E848" s="1023"/>
      <c r="F848" s="1023"/>
      <c r="G848" s="1023"/>
      <c r="H848" s="1023"/>
      <c r="I848" s="1023"/>
      <c r="J848" s="1023"/>
      <c r="K848" s="1023"/>
      <c r="L848" s="1023"/>
      <c r="M848" s="1023"/>
      <c r="N848" s="1023"/>
      <c r="O848" s="1023"/>
      <c r="P848" s="1023"/>
      <c r="Q848" s="1023"/>
      <c r="R848" s="1023"/>
      <c r="S848" s="1023"/>
      <c r="T848" s="1023"/>
      <c r="U848" s="1023"/>
      <c r="V848" s="1023"/>
      <c r="W848" s="1023"/>
      <c r="X848" s="1023"/>
      <c r="Y848" s="1023"/>
      <c r="Z848" s="1023"/>
    </row>
    <row r="849" spans="1:26" ht="11.25" customHeight="1" x14ac:dyDescent="0.2">
      <c r="A849" s="1023"/>
      <c r="B849" s="1023"/>
      <c r="C849" s="1023"/>
      <c r="D849" s="1023"/>
      <c r="E849" s="1023"/>
      <c r="F849" s="1023"/>
      <c r="G849" s="1023"/>
      <c r="H849" s="1023"/>
      <c r="I849" s="1023"/>
      <c r="J849" s="1023"/>
      <c r="K849" s="1023"/>
      <c r="L849" s="1023"/>
      <c r="M849" s="1023"/>
      <c r="N849" s="1023"/>
      <c r="O849" s="1023"/>
      <c r="P849" s="1023"/>
      <c r="Q849" s="1023"/>
      <c r="R849" s="1023"/>
      <c r="S849" s="1023"/>
      <c r="T849" s="1023"/>
      <c r="U849" s="1023"/>
      <c r="V849" s="1023"/>
      <c r="W849" s="1023"/>
      <c r="X849" s="1023"/>
      <c r="Y849" s="1023"/>
      <c r="Z849" s="1023"/>
    </row>
    <row r="850" spans="1:26" ht="11.25" customHeight="1" x14ac:dyDescent="0.2">
      <c r="A850" s="1023"/>
      <c r="B850" s="1023"/>
      <c r="C850" s="1023"/>
      <c r="D850" s="1023"/>
      <c r="E850" s="1023"/>
      <c r="F850" s="1023"/>
      <c r="G850" s="1023"/>
      <c r="H850" s="1023"/>
      <c r="I850" s="1023"/>
      <c r="J850" s="1023"/>
      <c r="K850" s="1023"/>
      <c r="L850" s="1023"/>
      <c r="M850" s="1023"/>
      <c r="N850" s="1023"/>
      <c r="O850" s="1023"/>
      <c r="P850" s="1023"/>
      <c r="Q850" s="1023"/>
      <c r="R850" s="1023"/>
      <c r="S850" s="1023"/>
      <c r="T850" s="1023"/>
      <c r="U850" s="1023"/>
      <c r="V850" s="1023"/>
      <c r="W850" s="1023"/>
      <c r="X850" s="1023"/>
      <c r="Y850" s="1023"/>
      <c r="Z850" s="1023"/>
    </row>
    <row r="851" spans="1:26" ht="11.25" customHeight="1" x14ac:dyDescent="0.2">
      <c r="A851" s="1023"/>
      <c r="B851" s="1023"/>
      <c r="C851" s="1023"/>
      <c r="D851" s="1023"/>
      <c r="E851" s="1023"/>
      <c r="F851" s="1023"/>
      <c r="G851" s="1023"/>
      <c r="H851" s="1023"/>
      <c r="I851" s="1023"/>
      <c r="J851" s="1023"/>
      <c r="K851" s="1023"/>
      <c r="L851" s="1023"/>
      <c r="M851" s="1023"/>
      <c r="N851" s="1023"/>
      <c r="O851" s="1023"/>
      <c r="P851" s="1023"/>
      <c r="Q851" s="1023"/>
      <c r="R851" s="1023"/>
      <c r="S851" s="1023"/>
      <c r="T851" s="1023"/>
      <c r="U851" s="1023"/>
      <c r="V851" s="1023"/>
      <c r="W851" s="1023"/>
      <c r="X851" s="1023"/>
      <c r="Y851" s="1023"/>
      <c r="Z851" s="1023"/>
    </row>
    <row r="852" spans="1:26" ht="11.25" customHeight="1" x14ac:dyDescent="0.2">
      <c r="A852" s="1023"/>
      <c r="B852" s="1023"/>
      <c r="C852" s="1023"/>
      <c r="D852" s="1023"/>
      <c r="E852" s="1023"/>
      <c r="F852" s="1023"/>
      <c r="G852" s="1023"/>
      <c r="H852" s="1023"/>
      <c r="I852" s="1023"/>
      <c r="J852" s="1023"/>
      <c r="K852" s="1023"/>
      <c r="L852" s="1023"/>
      <c r="M852" s="1023"/>
      <c r="N852" s="1023"/>
      <c r="O852" s="1023"/>
      <c r="P852" s="1023"/>
      <c r="Q852" s="1023"/>
      <c r="R852" s="1023"/>
      <c r="S852" s="1023"/>
      <c r="T852" s="1023"/>
      <c r="U852" s="1023"/>
      <c r="V852" s="1023"/>
      <c r="W852" s="1023"/>
      <c r="X852" s="1023"/>
      <c r="Y852" s="1023"/>
      <c r="Z852" s="1023"/>
    </row>
    <row r="853" spans="1:26" ht="11.25" customHeight="1" x14ac:dyDescent="0.2">
      <c r="A853" s="1023"/>
      <c r="B853" s="1023"/>
      <c r="C853" s="1023"/>
      <c r="D853" s="1023"/>
      <c r="E853" s="1023"/>
      <c r="F853" s="1023"/>
      <c r="G853" s="1023"/>
      <c r="H853" s="1023"/>
      <c r="I853" s="1023"/>
      <c r="J853" s="1023"/>
      <c r="K853" s="1023"/>
      <c r="L853" s="1023"/>
      <c r="M853" s="1023"/>
      <c r="N853" s="1023"/>
      <c r="O853" s="1023"/>
      <c r="P853" s="1023"/>
      <c r="Q853" s="1023"/>
      <c r="R853" s="1023"/>
      <c r="S853" s="1023"/>
      <c r="T853" s="1023"/>
      <c r="U853" s="1023"/>
      <c r="V853" s="1023"/>
      <c r="W853" s="1023"/>
      <c r="X853" s="1023"/>
      <c r="Y853" s="1023"/>
      <c r="Z853" s="1023"/>
    </row>
    <row r="854" spans="1:26" ht="11.25" customHeight="1" x14ac:dyDescent="0.2">
      <c r="A854" s="1023"/>
      <c r="B854" s="1023"/>
      <c r="C854" s="1023"/>
      <c r="D854" s="1023"/>
      <c r="E854" s="1023"/>
      <c r="F854" s="1023"/>
      <c r="G854" s="1023"/>
      <c r="H854" s="1023"/>
      <c r="I854" s="1023"/>
      <c r="J854" s="1023"/>
      <c r="K854" s="1023"/>
      <c r="L854" s="1023"/>
      <c r="M854" s="1023"/>
      <c r="N854" s="1023"/>
      <c r="O854" s="1023"/>
      <c r="P854" s="1023"/>
      <c r="Q854" s="1023"/>
      <c r="R854" s="1023"/>
      <c r="S854" s="1023"/>
      <c r="T854" s="1023"/>
      <c r="U854" s="1023"/>
      <c r="V854" s="1023"/>
      <c r="W854" s="1023"/>
      <c r="X854" s="1023"/>
      <c r="Y854" s="1023"/>
      <c r="Z854" s="1023"/>
    </row>
    <row r="855" spans="1:26" ht="11.25" customHeight="1" x14ac:dyDescent="0.2">
      <c r="A855" s="1023"/>
      <c r="B855" s="1023"/>
      <c r="C855" s="1023"/>
      <c r="D855" s="1023"/>
      <c r="E855" s="1023"/>
      <c r="F855" s="1023"/>
      <c r="G855" s="1023"/>
      <c r="H855" s="1023"/>
      <c r="I855" s="1023"/>
      <c r="J855" s="1023"/>
      <c r="K855" s="1023"/>
      <c r="L855" s="1023"/>
      <c r="M855" s="1023"/>
      <c r="N855" s="1023"/>
      <c r="O855" s="1023"/>
      <c r="P855" s="1023"/>
      <c r="Q855" s="1023"/>
      <c r="R855" s="1023"/>
      <c r="S855" s="1023"/>
      <c r="T855" s="1023"/>
      <c r="U855" s="1023"/>
      <c r="V855" s="1023"/>
      <c r="W855" s="1023"/>
      <c r="X855" s="1023"/>
      <c r="Y855" s="1023"/>
      <c r="Z855" s="1023"/>
    </row>
    <row r="856" spans="1:26" ht="11.25" customHeight="1" x14ac:dyDescent="0.2">
      <c r="A856" s="1023"/>
      <c r="B856" s="1023"/>
      <c r="C856" s="1023"/>
      <c r="D856" s="1023"/>
      <c r="E856" s="1023"/>
      <c r="F856" s="1023"/>
      <c r="G856" s="1023"/>
      <c r="H856" s="1023"/>
      <c r="I856" s="1023"/>
      <c r="J856" s="1023"/>
      <c r="K856" s="1023"/>
      <c r="L856" s="1023"/>
      <c r="M856" s="1023"/>
      <c r="N856" s="1023"/>
      <c r="O856" s="1023"/>
      <c r="P856" s="1023"/>
      <c r="Q856" s="1023"/>
      <c r="R856" s="1023"/>
      <c r="S856" s="1023"/>
      <c r="T856" s="1023"/>
      <c r="U856" s="1023"/>
      <c r="V856" s="1023"/>
      <c r="W856" s="1023"/>
      <c r="X856" s="1023"/>
      <c r="Y856" s="1023"/>
      <c r="Z856" s="1023"/>
    </row>
    <row r="857" spans="1:26" ht="11.25" customHeight="1" x14ac:dyDescent="0.2">
      <c r="A857" s="1023"/>
      <c r="B857" s="1023"/>
      <c r="C857" s="1023"/>
      <c r="D857" s="1023"/>
      <c r="E857" s="1023"/>
      <c r="F857" s="1023"/>
      <c r="G857" s="1023"/>
      <c r="H857" s="1023"/>
      <c r="I857" s="1023"/>
      <c r="J857" s="1023"/>
      <c r="K857" s="1023"/>
      <c r="L857" s="1023"/>
      <c r="M857" s="1023"/>
      <c r="N857" s="1023"/>
      <c r="O857" s="1023"/>
      <c r="P857" s="1023"/>
      <c r="Q857" s="1023"/>
      <c r="R857" s="1023"/>
      <c r="S857" s="1023"/>
      <c r="T857" s="1023"/>
      <c r="U857" s="1023"/>
      <c r="V857" s="1023"/>
      <c r="W857" s="1023"/>
      <c r="X857" s="1023"/>
      <c r="Y857" s="1023"/>
      <c r="Z857" s="1023"/>
    </row>
    <row r="858" spans="1:26" ht="11.25" customHeight="1" x14ac:dyDescent="0.2">
      <c r="A858" s="1023"/>
      <c r="B858" s="1023"/>
      <c r="C858" s="1023"/>
      <c r="D858" s="1023"/>
      <c r="E858" s="1023"/>
      <c r="F858" s="1023"/>
      <c r="G858" s="1023"/>
      <c r="H858" s="1023"/>
      <c r="I858" s="1023"/>
      <c r="J858" s="1023"/>
      <c r="K858" s="1023"/>
      <c r="L858" s="1023"/>
      <c r="M858" s="1023"/>
      <c r="N858" s="1023"/>
      <c r="O858" s="1023"/>
      <c r="P858" s="1023"/>
      <c r="Q858" s="1023"/>
      <c r="R858" s="1023"/>
      <c r="S858" s="1023"/>
      <c r="T858" s="1023"/>
      <c r="U858" s="1023"/>
      <c r="V858" s="1023"/>
      <c r="W858" s="1023"/>
      <c r="X858" s="1023"/>
      <c r="Y858" s="1023"/>
      <c r="Z858" s="1023"/>
    </row>
    <row r="859" spans="1:26" ht="11.25" customHeight="1" x14ac:dyDescent="0.2">
      <c r="A859" s="1023"/>
      <c r="B859" s="1023"/>
      <c r="C859" s="1023"/>
      <c r="D859" s="1023"/>
      <c r="E859" s="1023"/>
      <c r="F859" s="1023"/>
      <c r="G859" s="1023"/>
      <c r="H859" s="1023"/>
      <c r="I859" s="1023"/>
      <c r="J859" s="1023"/>
      <c r="K859" s="1023"/>
      <c r="L859" s="1023"/>
      <c r="M859" s="1023"/>
      <c r="N859" s="1023"/>
      <c r="O859" s="1023"/>
      <c r="P859" s="1023"/>
      <c r="Q859" s="1023"/>
      <c r="R859" s="1023"/>
      <c r="S859" s="1023"/>
      <c r="T859" s="1023"/>
      <c r="U859" s="1023"/>
      <c r="V859" s="1023"/>
      <c r="W859" s="1023"/>
      <c r="X859" s="1023"/>
      <c r="Y859" s="1023"/>
      <c r="Z859" s="1023"/>
    </row>
    <row r="860" spans="1:26" ht="11.25" customHeight="1" x14ac:dyDescent="0.2">
      <c r="A860" s="1023"/>
      <c r="B860" s="1023"/>
      <c r="C860" s="1023"/>
      <c r="D860" s="1023"/>
      <c r="E860" s="1023"/>
      <c r="F860" s="1023"/>
      <c r="G860" s="1023"/>
      <c r="H860" s="1023"/>
      <c r="I860" s="1023"/>
      <c r="J860" s="1023"/>
      <c r="K860" s="1023"/>
      <c r="L860" s="1023"/>
      <c r="M860" s="1023"/>
      <c r="N860" s="1023"/>
      <c r="O860" s="1023"/>
      <c r="P860" s="1023"/>
      <c r="Q860" s="1023"/>
      <c r="R860" s="1023"/>
      <c r="S860" s="1023"/>
      <c r="T860" s="1023"/>
      <c r="U860" s="1023"/>
      <c r="V860" s="1023"/>
      <c r="W860" s="1023"/>
      <c r="X860" s="1023"/>
      <c r="Y860" s="1023"/>
      <c r="Z860" s="1023"/>
    </row>
    <row r="861" spans="1:26" ht="11.25" customHeight="1" x14ac:dyDescent="0.2">
      <c r="A861" s="1023"/>
      <c r="B861" s="1023"/>
      <c r="C861" s="1023"/>
      <c r="D861" s="1023"/>
      <c r="E861" s="1023"/>
      <c r="F861" s="1023"/>
      <c r="G861" s="1023"/>
      <c r="H861" s="1023"/>
      <c r="I861" s="1023"/>
      <c r="J861" s="1023"/>
      <c r="K861" s="1023"/>
      <c r="L861" s="1023"/>
      <c r="M861" s="1023"/>
      <c r="N861" s="1023"/>
      <c r="O861" s="1023"/>
      <c r="P861" s="1023"/>
      <c r="Q861" s="1023"/>
      <c r="R861" s="1023"/>
      <c r="S861" s="1023"/>
      <c r="T861" s="1023"/>
      <c r="U861" s="1023"/>
      <c r="V861" s="1023"/>
      <c r="W861" s="1023"/>
      <c r="X861" s="1023"/>
      <c r="Y861" s="1023"/>
      <c r="Z861" s="1023"/>
    </row>
    <row r="862" spans="1:26" ht="11.25" customHeight="1" x14ac:dyDescent="0.2">
      <c r="A862" s="1023"/>
      <c r="B862" s="1023"/>
      <c r="C862" s="1023"/>
      <c r="D862" s="1023"/>
      <c r="E862" s="1023"/>
      <c r="F862" s="1023"/>
      <c r="G862" s="1023"/>
      <c r="H862" s="1023"/>
      <c r="I862" s="1023"/>
      <c r="J862" s="1023"/>
      <c r="K862" s="1023"/>
      <c r="L862" s="1023"/>
      <c r="M862" s="1023"/>
      <c r="N862" s="1023"/>
      <c r="O862" s="1023"/>
      <c r="P862" s="1023"/>
      <c r="Q862" s="1023"/>
      <c r="R862" s="1023"/>
      <c r="S862" s="1023"/>
      <c r="T862" s="1023"/>
      <c r="U862" s="1023"/>
      <c r="V862" s="1023"/>
      <c r="W862" s="1023"/>
      <c r="X862" s="1023"/>
      <c r="Y862" s="1023"/>
      <c r="Z862" s="1023"/>
    </row>
    <row r="863" spans="1:26" ht="11.25" customHeight="1" x14ac:dyDescent="0.2">
      <c r="A863" s="1023"/>
      <c r="B863" s="1023"/>
      <c r="C863" s="1023"/>
      <c r="D863" s="1023"/>
      <c r="E863" s="1023"/>
      <c r="F863" s="1023"/>
      <c r="G863" s="1023"/>
      <c r="H863" s="1023"/>
      <c r="I863" s="1023"/>
      <c r="J863" s="1023"/>
      <c r="K863" s="1023"/>
      <c r="L863" s="1023"/>
      <c r="M863" s="1023"/>
      <c r="N863" s="1023"/>
      <c r="O863" s="1023"/>
      <c r="P863" s="1023"/>
      <c r="Q863" s="1023"/>
      <c r="R863" s="1023"/>
      <c r="S863" s="1023"/>
      <c r="T863" s="1023"/>
      <c r="U863" s="1023"/>
      <c r="V863" s="1023"/>
      <c r="W863" s="1023"/>
      <c r="X863" s="1023"/>
      <c r="Y863" s="1023"/>
      <c r="Z863" s="1023"/>
    </row>
    <row r="864" spans="1:26" ht="11.25" customHeight="1" x14ac:dyDescent="0.2">
      <c r="A864" s="1023"/>
      <c r="B864" s="1023"/>
      <c r="C864" s="1023"/>
      <c r="D864" s="1023"/>
      <c r="E864" s="1023"/>
      <c r="F864" s="1023"/>
      <c r="G864" s="1023"/>
      <c r="H864" s="1023"/>
      <c r="I864" s="1023"/>
      <c r="J864" s="1023"/>
      <c r="K864" s="1023"/>
      <c r="L864" s="1023"/>
      <c r="M864" s="1023"/>
      <c r="N864" s="1023"/>
      <c r="O864" s="1023"/>
      <c r="P864" s="1023"/>
      <c r="Q864" s="1023"/>
      <c r="R864" s="1023"/>
      <c r="S864" s="1023"/>
      <c r="T864" s="1023"/>
      <c r="U864" s="1023"/>
      <c r="V864" s="1023"/>
      <c r="W864" s="1023"/>
      <c r="X864" s="1023"/>
      <c r="Y864" s="1023"/>
      <c r="Z864" s="1023"/>
    </row>
    <row r="865" spans="1:26" ht="11.25" customHeight="1" x14ac:dyDescent="0.2">
      <c r="A865" s="1023"/>
      <c r="B865" s="1023"/>
      <c r="C865" s="1023"/>
      <c r="D865" s="1023"/>
      <c r="E865" s="1023"/>
      <c r="F865" s="1023"/>
      <c r="G865" s="1023"/>
      <c r="H865" s="1023"/>
      <c r="I865" s="1023"/>
      <c r="J865" s="1023"/>
      <c r="K865" s="1023"/>
      <c r="L865" s="1023"/>
      <c r="M865" s="1023"/>
      <c r="N865" s="1023"/>
      <c r="O865" s="1023"/>
      <c r="P865" s="1023"/>
      <c r="Q865" s="1023"/>
      <c r="R865" s="1023"/>
      <c r="S865" s="1023"/>
      <c r="T865" s="1023"/>
      <c r="U865" s="1023"/>
      <c r="V865" s="1023"/>
      <c r="W865" s="1023"/>
      <c r="X865" s="1023"/>
      <c r="Y865" s="1023"/>
      <c r="Z865" s="1023"/>
    </row>
    <row r="866" spans="1:26" ht="11.25" customHeight="1" x14ac:dyDescent="0.2">
      <c r="A866" s="1023"/>
      <c r="B866" s="1023"/>
      <c r="C866" s="1023"/>
      <c r="D866" s="1023"/>
      <c r="E866" s="1023"/>
      <c r="F866" s="1023"/>
      <c r="G866" s="1023"/>
      <c r="H866" s="1023"/>
      <c r="I866" s="1023"/>
      <c r="J866" s="1023"/>
      <c r="K866" s="1023"/>
      <c r="L866" s="1023"/>
      <c r="M866" s="1023"/>
      <c r="N866" s="1023"/>
      <c r="O866" s="1023"/>
      <c r="P866" s="1023"/>
      <c r="Q866" s="1023"/>
      <c r="R866" s="1023"/>
      <c r="S866" s="1023"/>
      <c r="T866" s="1023"/>
      <c r="U866" s="1023"/>
      <c r="V866" s="1023"/>
      <c r="W866" s="1023"/>
      <c r="X866" s="1023"/>
      <c r="Y866" s="1023"/>
      <c r="Z866" s="1023"/>
    </row>
    <row r="867" spans="1:26" ht="11.25" customHeight="1" x14ac:dyDescent="0.2">
      <c r="A867" s="1023"/>
      <c r="B867" s="1023"/>
      <c r="C867" s="1023"/>
      <c r="D867" s="1023"/>
      <c r="E867" s="1023"/>
      <c r="F867" s="1023"/>
      <c r="G867" s="1023"/>
      <c r="H867" s="1023"/>
      <c r="I867" s="1023"/>
      <c r="J867" s="1023"/>
      <c r="K867" s="1023"/>
      <c r="L867" s="1023"/>
      <c r="M867" s="1023"/>
      <c r="N867" s="1023"/>
      <c r="O867" s="1023"/>
      <c r="P867" s="1023"/>
      <c r="Q867" s="1023"/>
      <c r="R867" s="1023"/>
      <c r="S867" s="1023"/>
      <c r="T867" s="1023"/>
      <c r="U867" s="1023"/>
      <c r="V867" s="1023"/>
      <c r="W867" s="1023"/>
      <c r="X867" s="1023"/>
      <c r="Y867" s="1023"/>
      <c r="Z867" s="1023"/>
    </row>
    <row r="868" spans="1:26" ht="11.25" customHeight="1" x14ac:dyDescent="0.2">
      <c r="A868" s="1023"/>
      <c r="B868" s="1023"/>
      <c r="C868" s="1023"/>
      <c r="D868" s="1023"/>
      <c r="E868" s="1023"/>
      <c r="F868" s="1023"/>
      <c r="G868" s="1023"/>
      <c r="H868" s="1023"/>
      <c r="I868" s="1023"/>
      <c r="J868" s="1023"/>
      <c r="K868" s="1023"/>
      <c r="L868" s="1023"/>
      <c r="M868" s="1023"/>
      <c r="N868" s="1023"/>
      <c r="O868" s="1023"/>
      <c r="P868" s="1023"/>
      <c r="Q868" s="1023"/>
      <c r="R868" s="1023"/>
      <c r="S868" s="1023"/>
      <c r="T868" s="1023"/>
      <c r="U868" s="1023"/>
      <c r="V868" s="1023"/>
      <c r="W868" s="1023"/>
      <c r="X868" s="1023"/>
      <c r="Y868" s="1023"/>
      <c r="Z868" s="1023"/>
    </row>
    <row r="869" spans="1:26" ht="11.25" customHeight="1" x14ac:dyDescent="0.2">
      <c r="A869" s="1023"/>
      <c r="B869" s="1023"/>
      <c r="C869" s="1023"/>
      <c r="D869" s="1023"/>
      <c r="E869" s="1023"/>
      <c r="F869" s="1023"/>
      <c r="G869" s="1023"/>
      <c r="H869" s="1023"/>
      <c r="I869" s="1023"/>
      <c r="J869" s="1023"/>
      <c r="K869" s="1023"/>
      <c r="L869" s="1023"/>
      <c r="M869" s="1023"/>
      <c r="N869" s="1023"/>
      <c r="O869" s="1023"/>
      <c r="P869" s="1023"/>
      <c r="Q869" s="1023"/>
      <c r="R869" s="1023"/>
      <c r="S869" s="1023"/>
      <c r="T869" s="1023"/>
      <c r="U869" s="1023"/>
      <c r="V869" s="1023"/>
      <c r="W869" s="1023"/>
      <c r="X869" s="1023"/>
      <c r="Y869" s="1023"/>
      <c r="Z869" s="1023"/>
    </row>
    <row r="870" spans="1:26" ht="11.25" customHeight="1" x14ac:dyDescent="0.2">
      <c r="A870" s="1023"/>
      <c r="B870" s="1023"/>
      <c r="C870" s="1023"/>
      <c r="D870" s="1023"/>
      <c r="E870" s="1023"/>
      <c r="F870" s="1023"/>
      <c r="G870" s="1023"/>
      <c r="H870" s="1023"/>
      <c r="I870" s="1023"/>
      <c r="J870" s="1023"/>
      <c r="K870" s="1023"/>
      <c r="L870" s="1023"/>
      <c r="M870" s="1023"/>
      <c r="N870" s="1023"/>
      <c r="O870" s="1023"/>
      <c r="P870" s="1023"/>
      <c r="Q870" s="1023"/>
      <c r="R870" s="1023"/>
      <c r="S870" s="1023"/>
      <c r="T870" s="1023"/>
      <c r="U870" s="1023"/>
      <c r="V870" s="1023"/>
      <c r="W870" s="1023"/>
      <c r="X870" s="1023"/>
      <c r="Y870" s="1023"/>
      <c r="Z870" s="1023"/>
    </row>
    <row r="871" spans="1:26" ht="11.25" customHeight="1" x14ac:dyDescent="0.2">
      <c r="A871" s="1023"/>
      <c r="B871" s="1023"/>
      <c r="C871" s="1023"/>
      <c r="D871" s="1023"/>
      <c r="E871" s="1023"/>
      <c r="F871" s="1023"/>
      <c r="G871" s="1023"/>
      <c r="H871" s="1023"/>
      <c r="I871" s="1023"/>
      <c r="J871" s="1023"/>
      <c r="K871" s="1023"/>
      <c r="L871" s="1023"/>
      <c r="M871" s="1023"/>
      <c r="N871" s="1023"/>
      <c r="O871" s="1023"/>
      <c r="P871" s="1023"/>
      <c r="Q871" s="1023"/>
      <c r="R871" s="1023"/>
      <c r="S871" s="1023"/>
      <c r="T871" s="1023"/>
      <c r="U871" s="1023"/>
      <c r="V871" s="1023"/>
      <c r="W871" s="1023"/>
      <c r="X871" s="1023"/>
      <c r="Y871" s="1023"/>
      <c r="Z871" s="1023"/>
    </row>
    <row r="872" spans="1:26" ht="11.25" customHeight="1" x14ac:dyDescent="0.2">
      <c r="A872" s="1023"/>
      <c r="B872" s="1023"/>
      <c r="C872" s="1023"/>
      <c r="D872" s="1023"/>
      <c r="E872" s="1023"/>
      <c r="F872" s="1023"/>
      <c r="G872" s="1023"/>
      <c r="H872" s="1023"/>
      <c r="I872" s="1023"/>
      <c r="J872" s="1023"/>
      <c r="K872" s="1023"/>
      <c r="L872" s="1023"/>
      <c r="M872" s="1023"/>
      <c r="N872" s="1023"/>
      <c r="O872" s="1023"/>
      <c r="P872" s="1023"/>
      <c r="Q872" s="1023"/>
      <c r="R872" s="1023"/>
      <c r="S872" s="1023"/>
      <c r="T872" s="1023"/>
      <c r="U872" s="1023"/>
      <c r="V872" s="1023"/>
      <c r="W872" s="1023"/>
      <c r="X872" s="1023"/>
      <c r="Y872" s="1023"/>
      <c r="Z872" s="1023"/>
    </row>
    <row r="873" spans="1:26" ht="11.25" customHeight="1" x14ac:dyDescent="0.2">
      <c r="A873" s="1023"/>
      <c r="B873" s="1023"/>
      <c r="C873" s="1023"/>
      <c r="D873" s="1023"/>
      <c r="E873" s="1023"/>
      <c r="F873" s="1023"/>
      <c r="G873" s="1023"/>
      <c r="H873" s="1023"/>
      <c r="I873" s="1023"/>
      <c r="J873" s="1023"/>
      <c r="K873" s="1023"/>
      <c r="L873" s="1023"/>
      <c r="M873" s="1023"/>
      <c r="N873" s="1023"/>
      <c r="O873" s="1023"/>
      <c r="P873" s="1023"/>
      <c r="Q873" s="1023"/>
      <c r="R873" s="1023"/>
      <c r="S873" s="1023"/>
      <c r="T873" s="1023"/>
      <c r="U873" s="1023"/>
      <c r="V873" s="1023"/>
      <c r="W873" s="1023"/>
      <c r="X873" s="1023"/>
      <c r="Y873" s="1023"/>
      <c r="Z873" s="1023"/>
    </row>
    <row r="874" spans="1:26" ht="11.25" customHeight="1" x14ac:dyDescent="0.2">
      <c r="A874" s="1023"/>
      <c r="B874" s="1023"/>
      <c r="C874" s="1023"/>
      <c r="D874" s="1023"/>
      <c r="E874" s="1023"/>
      <c r="F874" s="1023"/>
      <c r="G874" s="1023"/>
      <c r="H874" s="1023"/>
      <c r="I874" s="1023"/>
      <c r="J874" s="1023"/>
      <c r="K874" s="1023"/>
      <c r="L874" s="1023"/>
      <c r="M874" s="1023"/>
      <c r="N874" s="1023"/>
      <c r="O874" s="1023"/>
      <c r="P874" s="1023"/>
      <c r="Q874" s="1023"/>
      <c r="R874" s="1023"/>
      <c r="S874" s="1023"/>
      <c r="T874" s="1023"/>
      <c r="U874" s="1023"/>
      <c r="V874" s="1023"/>
      <c r="W874" s="1023"/>
      <c r="X874" s="1023"/>
      <c r="Y874" s="1023"/>
      <c r="Z874" s="1023"/>
    </row>
    <row r="875" spans="1:26" ht="11.25" customHeight="1" x14ac:dyDescent="0.2">
      <c r="A875" s="1023"/>
      <c r="B875" s="1023"/>
      <c r="C875" s="1023"/>
      <c r="D875" s="1023"/>
      <c r="E875" s="1023"/>
      <c r="F875" s="1023"/>
      <c r="G875" s="1023"/>
      <c r="H875" s="1023"/>
      <c r="I875" s="1023"/>
      <c r="J875" s="1023"/>
      <c r="K875" s="1023"/>
      <c r="L875" s="1023"/>
      <c r="M875" s="1023"/>
      <c r="N875" s="1023"/>
      <c r="O875" s="1023"/>
      <c r="P875" s="1023"/>
      <c r="Q875" s="1023"/>
      <c r="R875" s="1023"/>
      <c r="S875" s="1023"/>
      <c r="T875" s="1023"/>
      <c r="U875" s="1023"/>
      <c r="V875" s="1023"/>
      <c r="W875" s="1023"/>
      <c r="X875" s="1023"/>
      <c r="Y875" s="1023"/>
      <c r="Z875" s="1023"/>
    </row>
    <row r="876" spans="1:26" ht="11.25" customHeight="1" x14ac:dyDescent="0.2">
      <c r="A876" s="1023"/>
      <c r="B876" s="1023"/>
      <c r="C876" s="1023"/>
      <c r="D876" s="1023"/>
      <c r="E876" s="1023"/>
      <c r="F876" s="1023"/>
      <c r="G876" s="1023"/>
      <c r="H876" s="1023"/>
      <c r="I876" s="1023"/>
      <c r="J876" s="1023"/>
      <c r="K876" s="1023"/>
      <c r="L876" s="1023"/>
      <c r="M876" s="1023"/>
      <c r="N876" s="1023"/>
      <c r="O876" s="1023"/>
      <c r="P876" s="1023"/>
      <c r="Q876" s="1023"/>
      <c r="R876" s="1023"/>
      <c r="S876" s="1023"/>
      <c r="T876" s="1023"/>
      <c r="U876" s="1023"/>
      <c r="V876" s="1023"/>
      <c r="W876" s="1023"/>
      <c r="X876" s="1023"/>
      <c r="Y876" s="1023"/>
      <c r="Z876" s="1023"/>
    </row>
    <row r="877" spans="1:26" ht="11.25" customHeight="1" x14ac:dyDescent="0.2">
      <c r="A877" s="1023"/>
      <c r="B877" s="1023"/>
      <c r="C877" s="1023"/>
      <c r="D877" s="1023"/>
      <c r="E877" s="1023"/>
      <c r="F877" s="1023"/>
      <c r="G877" s="1023"/>
      <c r="H877" s="1023"/>
      <c r="I877" s="1023"/>
      <c r="J877" s="1023"/>
      <c r="K877" s="1023"/>
      <c r="L877" s="1023"/>
      <c r="M877" s="1023"/>
      <c r="N877" s="1023"/>
      <c r="O877" s="1023"/>
      <c r="P877" s="1023"/>
      <c r="Q877" s="1023"/>
      <c r="R877" s="1023"/>
      <c r="S877" s="1023"/>
      <c r="T877" s="1023"/>
      <c r="U877" s="1023"/>
      <c r="V877" s="1023"/>
      <c r="W877" s="1023"/>
      <c r="X877" s="1023"/>
      <c r="Y877" s="1023"/>
      <c r="Z877" s="1023"/>
    </row>
    <row r="878" spans="1:26" ht="11.25" customHeight="1" x14ac:dyDescent="0.2">
      <c r="A878" s="1023"/>
      <c r="B878" s="1023"/>
      <c r="C878" s="1023"/>
      <c r="D878" s="1023"/>
      <c r="E878" s="1023"/>
      <c r="F878" s="1023"/>
      <c r="G878" s="1023"/>
      <c r="H878" s="1023"/>
      <c r="I878" s="1023"/>
      <c r="J878" s="1023"/>
      <c r="K878" s="1023"/>
      <c r="L878" s="1023"/>
      <c r="M878" s="1023"/>
      <c r="N878" s="1023"/>
      <c r="O878" s="1023"/>
      <c r="P878" s="1023"/>
      <c r="Q878" s="1023"/>
      <c r="R878" s="1023"/>
      <c r="S878" s="1023"/>
      <c r="T878" s="1023"/>
      <c r="U878" s="1023"/>
      <c r="V878" s="1023"/>
      <c r="W878" s="1023"/>
      <c r="X878" s="1023"/>
      <c r="Y878" s="1023"/>
      <c r="Z878" s="1023"/>
    </row>
    <row r="879" spans="1:26" ht="11.25" customHeight="1" x14ac:dyDescent="0.2">
      <c r="A879" s="1023"/>
      <c r="B879" s="1023"/>
      <c r="C879" s="1023"/>
      <c r="D879" s="1023"/>
      <c r="E879" s="1023"/>
      <c r="F879" s="1023"/>
      <c r="G879" s="1023"/>
      <c r="H879" s="1023"/>
      <c r="I879" s="1023"/>
      <c r="J879" s="1023"/>
      <c r="K879" s="1023"/>
      <c r="L879" s="1023"/>
      <c r="M879" s="1023"/>
      <c r="N879" s="1023"/>
      <c r="O879" s="1023"/>
      <c r="P879" s="1023"/>
      <c r="Q879" s="1023"/>
      <c r="R879" s="1023"/>
      <c r="S879" s="1023"/>
      <c r="T879" s="1023"/>
      <c r="U879" s="1023"/>
      <c r="V879" s="1023"/>
      <c r="W879" s="1023"/>
      <c r="X879" s="1023"/>
      <c r="Y879" s="1023"/>
      <c r="Z879" s="1023"/>
    </row>
    <row r="880" spans="1:26" ht="11.25" customHeight="1" x14ac:dyDescent="0.2">
      <c r="A880" s="1023"/>
      <c r="B880" s="1023"/>
      <c r="C880" s="1023"/>
      <c r="D880" s="1023"/>
      <c r="E880" s="1023"/>
      <c r="F880" s="1023"/>
      <c r="G880" s="1023"/>
      <c r="H880" s="1023"/>
      <c r="I880" s="1023"/>
      <c r="J880" s="1023"/>
      <c r="K880" s="1023"/>
      <c r="L880" s="1023"/>
      <c r="M880" s="1023"/>
      <c r="N880" s="1023"/>
      <c r="O880" s="1023"/>
      <c r="P880" s="1023"/>
      <c r="Q880" s="1023"/>
      <c r="R880" s="1023"/>
      <c r="S880" s="1023"/>
      <c r="T880" s="1023"/>
      <c r="U880" s="1023"/>
      <c r="V880" s="1023"/>
      <c r="W880" s="1023"/>
      <c r="X880" s="1023"/>
      <c r="Y880" s="1023"/>
      <c r="Z880" s="1023"/>
    </row>
    <row r="881" spans="1:26" ht="11.25" customHeight="1" x14ac:dyDescent="0.2">
      <c r="A881" s="1023"/>
      <c r="B881" s="1023"/>
      <c r="C881" s="1023"/>
      <c r="D881" s="1023"/>
      <c r="E881" s="1023"/>
      <c r="F881" s="1023"/>
      <c r="G881" s="1023"/>
      <c r="H881" s="1023"/>
      <c r="I881" s="1023"/>
      <c r="J881" s="1023"/>
      <c r="K881" s="1023"/>
      <c r="L881" s="1023"/>
      <c r="M881" s="1023"/>
      <c r="N881" s="1023"/>
      <c r="O881" s="1023"/>
      <c r="P881" s="1023"/>
      <c r="Q881" s="1023"/>
      <c r="R881" s="1023"/>
      <c r="S881" s="1023"/>
      <c r="T881" s="1023"/>
      <c r="U881" s="1023"/>
      <c r="V881" s="1023"/>
      <c r="W881" s="1023"/>
      <c r="X881" s="1023"/>
      <c r="Y881" s="1023"/>
      <c r="Z881" s="1023"/>
    </row>
    <row r="882" spans="1:26" ht="11.25" customHeight="1" x14ac:dyDescent="0.2">
      <c r="A882" s="1023"/>
      <c r="B882" s="1023"/>
      <c r="C882" s="1023"/>
      <c r="D882" s="1023"/>
      <c r="E882" s="1023"/>
      <c r="F882" s="1023"/>
      <c r="G882" s="1023"/>
      <c r="H882" s="1023"/>
      <c r="I882" s="1023"/>
      <c r="J882" s="1023"/>
      <c r="K882" s="1023"/>
      <c r="L882" s="1023"/>
      <c r="M882" s="1023"/>
      <c r="N882" s="1023"/>
      <c r="O882" s="1023"/>
      <c r="P882" s="1023"/>
      <c r="Q882" s="1023"/>
      <c r="R882" s="1023"/>
      <c r="S882" s="1023"/>
      <c r="T882" s="1023"/>
      <c r="U882" s="1023"/>
      <c r="V882" s="1023"/>
      <c r="W882" s="1023"/>
      <c r="X882" s="1023"/>
      <c r="Y882" s="1023"/>
      <c r="Z882" s="1023"/>
    </row>
    <row r="883" spans="1:26" ht="11.25" customHeight="1" x14ac:dyDescent="0.2">
      <c r="A883" s="1023"/>
      <c r="B883" s="1023"/>
      <c r="C883" s="1023"/>
      <c r="D883" s="1023"/>
      <c r="E883" s="1023"/>
      <c r="F883" s="1023"/>
      <c r="G883" s="1023"/>
      <c r="H883" s="1023"/>
      <c r="I883" s="1023"/>
      <c r="J883" s="1023"/>
      <c r="K883" s="1023"/>
      <c r="L883" s="1023"/>
      <c r="M883" s="1023"/>
      <c r="N883" s="1023"/>
      <c r="O883" s="1023"/>
      <c r="P883" s="1023"/>
      <c r="Q883" s="1023"/>
      <c r="R883" s="1023"/>
      <c r="S883" s="1023"/>
      <c r="T883" s="1023"/>
      <c r="U883" s="1023"/>
      <c r="V883" s="1023"/>
      <c r="W883" s="1023"/>
      <c r="X883" s="1023"/>
      <c r="Y883" s="1023"/>
      <c r="Z883" s="1023"/>
    </row>
    <row r="884" spans="1:26" ht="11.25" customHeight="1" x14ac:dyDescent="0.2">
      <c r="A884" s="1023"/>
      <c r="B884" s="1023"/>
      <c r="C884" s="1023"/>
      <c r="D884" s="1023"/>
      <c r="E884" s="1023"/>
      <c r="F884" s="1023"/>
      <c r="G884" s="1023"/>
      <c r="H884" s="1023"/>
      <c r="I884" s="1023"/>
      <c r="J884" s="1023"/>
      <c r="K884" s="1023"/>
      <c r="L884" s="1023"/>
      <c r="M884" s="1023"/>
      <c r="N884" s="1023"/>
      <c r="O884" s="1023"/>
      <c r="P884" s="1023"/>
      <c r="Q884" s="1023"/>
      <c r="R884" s="1023"/>
      <c r="S884" s="1023"/>
      <c r="T884" s="1023"/>
      <c r="U884" s="1023"/>
      <c r="V884" s="1023"/>
      <c r="W884" s="1023"/>
      <c r="X884" s="1023"/>
      <c r="Y884" s="1023"/>
      <c r="Z884" s="1023"/>
    </row>
    <row r="885" spans="1:26" ht="11.25" customHeight="1" x14ac:dyDescent="0.2">
      <c r="A885" s="1023"/>
      <c r="B885" s="1023"/>
      <c r="C885" s="1023"/>
      <c r="D885" s="1023"/>
      <c r="E885" s="1023"/>
      <c r="F885" s="1023"/>
      <c r="G885" s="1023"/>
      <c r="H885" s="1023"/>
      <c r="I885" s="1023"/>
      <c r="J885" s="1023"/>
      <c r="K885" s="1023"/>
      <c r="L885" s="1023"/>
      <c r="M885" s="1023"/>
      <c r="N885" s="1023"/>
      <c r="O885" s="1023"/>
      <c r="P885" s="1023"/>
      <c r="Q885" s="1023"/>
      <c r="R885" s="1023"/>
      <c r="S885" s="1023"/>
      <c r="T885" s="1023"/>
      <c r="U885" s="1023"/>
      <c r="V885" s="1023"/>
      <c r="W885" s="1023"/>
      <c r="X885" s="1023"/>
      <c r="Y885" s="1023"/>
      <c r="Z885" s="1023"/>
    </row>
    <row r="886" spans="1:26" ht="11.25" customHeight="1" x14ac:dyDescent="0.2">
      <c r="A886" s="1023"/>
      <c r="B886" s="1023"/>
      <c r="C886" s="1023"/>
      <c r="D886" s="1023"/>
      <c r="E886" s="1023"/>
      <c r="F886" s="1023"/>
      <c r="G886" s="1023"/>
      <c r="H886" s="1023"/>
      <c r="I886" s="1023"/>
      <c r="J886" s="1023"/>
      <c r="K886" s="1023"/>
      <c r="L886" s="1023"/>
      <c r="M886" s="1023"/>
      <c r="N886" s="1023"/>
      <c r="O886" s="1023"/>
      <c r="P886" s="1023"/>
      <c r="Q886" s="1023"/>
      <c r="R886" s="1023"/>
      <c r="S886" s="1023"/>
      <c r="T886" s="1023"/>
      <c r="U886" s="1023"/>
      <c r="V886" s="1023"/>
      <c r="W886" s="1023"/>
      <c r="X886" s="1023"/>
      <c r="Y886" s="1023"/>
      <c r="Z886" s="1023"/>
    </row>
    <row r="887" spans="1:26" ht="11.25" customHeight="1" x14ac:dyDescent="0.2">
      <c r="A887" s="1023"/>
      <c r="B887" s="1023"/>
      <c r="C887" s="1023"/>
      <c r="D887" s="1023"/>
      <c r="E887" s="1023"/>
      <c r="F887" s="1023"/>
      <c r="G887" s="1023"/>
      <c r="H887" s="1023"/>
      <c r="I887" s="1023"/>
      <c r="J887" s="1023"/>
      <c r="K887" s="1023"/>
      <c r="L887" s="1023"/>
      <c r="M887" s="1023"/>
      <c r="N887" s="1023"/>
      <c r="O887" s="1023"/>
      <c r="P887" s="1023"/>
      <c r="Q887" s="1023"/>
      <c r="R887" s="1023"/>
      <c r="S887" s="1023"/>
      <c r="T887" s="1023"/>
      <c r="U887" s="1023"/>
      <c r="V887" s="1023"/>
      <c r="W887" s="1023"/>
      <c r="X887" s="1023"/>
      <c r="Y887" s="1023"/>
      <c r="Z887" s="1023"/>
    </row>
    <row r="888" spans="1:26" ht="11.25" customHeight="1" x14ac:dyDescent="0.2">
      <c r="A888" s="1023"/>
      <c r="B888" s="1023"/>
      <c r="C888" s="1023"/>
      <c r="D888" s="1023"/>
      <c r="E888" s="1023"/>
      <c r="F888" s="1023"/>
      <c r="G888" s="1023"/>
      <c r="H888" s="1023"/>
      <c r="I888" s="1023"/>
      <c r="J888" s="1023"/>
      <c r="K888" s="1023"/>
      <c r="L888" s="1023"/>
      <c r="M888" s="1023"/>
      <c r="N888" s="1023"/>
      <c r="O888" s="1023"/>
      <c r="P888" s="1023"/>
      <c r="Q888" s="1023"/>
      <c r="R888" s="1023"/>
      <c r="S888" s="1023"/>
      <c r="T888" s="1023"/>
      <c r="U888" s="1023"/>
      <c r="V888" s="1023"/>
      <c r="W888" s="1023"/>
      <c r="X888" s="1023"/>
      <c r="Y888" s="1023"/>
      <c r="Z888" s="1023"/>
    </row>
    <row r="889" spans="1:26" ht="11.25" customHeight="1" x14ac:dyDescent="0.2">
      <c r="A889" s="1023"/>
      <c r="B889" s="1023"/>
      <c r="C889" s="1023"/>
      <c r="D889" s="1023"/>
      <c r="E889" s="1023"/>
      <c r="F889" s="1023"/>
      <c r="G889" s="1023"/>
      <c r="H889" s="1023"/>
      <c r="I889" s="1023"/>
      <c r="J889" s="1023"/>
      <c r="K889" s="1023"/>
      <c r="L889" s="1023"/>
      <c r="M889" s="1023"/>
      <c r="N889" s="1023"/>
      <c r="O889" s="1023"/>
      <c r="P889" s="1023"/>
      <c r="Q889" s="1023"/>
      <c r="R889" s="1023"/>
      <c r="S889" s="1023"/>
      <c r="T889" s="1023"/>
      <c r="U889" s="1023"/>
      <c r="V889" s="1023"/>
      <c r="W889" s="1023"/>
      <c r="X889" s="1023"/>
      <c r="Y889" s="1023"/>
      <c r="Z889" s="1023"/>
    </row>
    <row r="890" spans="1:26" ht="11.25" customHeight="1" x14ac:dyDescent="0.2">
      <c r="A890" s="1023"/>
      <c r="B890" s="1023"/>
      <c r="C890" s="1023"/>
      <c r="D890" s="1023"/>
      <c r="E890" s="1023"/>
      <c r="F890" s="1023"/>
      <c r="G890" s="1023"/>
      <c r="H890" s="1023"/>
      <c r="I890" s="1023"/>
      <c r="J890" s="1023"/>
      <c r="K890" s="1023"/>
      <c r="L890" s="1023"/>
      <c r="M890" s="1023"/>
      <c r="N890" s="1023"/>
      <c r="O890" s="1023"/>
      <c r="P890" s="1023"/>
      <c r="Q890" s="1023"/>
      <c r="R890" s="1023"/>
      <c r="S890" s="1023"/>
      <c r="T890" s="1023"/>
      <c r="U890" s="1023"/>
      <c r="V890" s="1023"/>
      <c r="W890" s="1023"/>
      <c r="X890" s="1023"/>
      <c r="Y890" s="1023"/>
      <c r="Z890" s="1023"/>
    </row>
    <row r="891" spans="1:26" ht="11.25" customHeight="1" x14ac:dyDescent="0.2">
      <c r="A891" s="1023"/>
      <c r="B891" s="1023"/>
      <c r="C891" s="1023"/>
      <c r="D891" s="1023"/>
      <c r="E891" s="1023"/>
      <c r="F891" s="1023"/>
      <c r="G891" s="1023"/>
      <c r="H891" s="1023"/>
      <c r="I891" s="1023"/>
      <c r="J891" s="1023"/>
      <c r="K891" s="1023"/>
      <c r="L891" s="1023"/>
      <c r="M891" s="1023"/>
      <c r="N891" s="1023"/>
      <c r="O891" s="1023"/>
      <c r="P891" s="1023"/>
      <c r="Q891" s="1023"/>
      <c r="R891" s="1023"/>
      <c r="S891" s="1023"/>
      <c r="T891" s="1023"/>
      <c r="U891" s="1023"/>
      <c r="V891" s="1023"/>
      <c r="W891" s="1023"/>
      <c r="X891" s="1023"/>
      <c r="Y891" s="1023"/>
      <c r="Z891" s="1023"/>
    </row>
    <row r="892" spans="1:26" ht="11.25" customHeight="1" x14ac:dyDescent="0.2">
      <c r="A892" s="1023"/>
      <c r="B892" s="1023"/>
      <c r="C892" s="1023"/>
      <c r="D892" s="1023"/>
      <c r="E892" s="1023"/>
      <c r="F892" s="1023"/>
      <c r="G892" s="1023"/>
      <c r="H892" s="1023"/>
      <c r="I892" s="1023"/>
      <c r="J892" s="1023"/>
      <c r="K892" s="1023"/>
      <c r="L892" s="1023"/>
      <c r="M892" s="1023"/>
      <c r="N892" s="1023"/>
      <c r="O892" s="1023"/>
      <c r="P892" s="1023"/>
      <c r="Q892" s="1023"/>
      <c r="R892" s="1023"/>
      <c r="S892" s="1023"/>
      <c r="T892" s="1023"/>
      <c r="U892" s="1023"/>
      <c r="V892" s="1023"/>
      <c r="W892" s="1023"/>
      <c r="X892" s="1023"/>
      <c r="Y892" s="1023"/>
      <c r="Z892" s="1023"/>
    </row>
    <row r="893" spans="1:26" ht="11.25" customHeight="1" x14ac:dyDescent="0.2">
      <c r="A893" s="1023"/>
      <c r="B893" s="1023"/>
      <c r="C893" s="1023"/>
      <c r="D893" s="1023"/>
      <c r="E893" s="1023"/>
      <c r="F893" s="1023"/>
      <c r="G893" s="1023"/>
      <c r="H893" s="1023"/>
      <c r="I893" s="1023"/>
      <c r="J893" s="1023"/>
      <c r="K893" s="1023"/>
      <c r="L893" s="1023"/>
      <c r="M893" s="1023"/>
      <c r="N893" s="1023"/>
      <c r="O893" s="1023"/>
      <c r="P893" s="1023"/>
      <c r="Q893" s="1023"/>
      <c r="R893" s="1023"/>
      <c r="S893" s="1023"/>
      <c r="T893" s="1023"/>
      <c r="U893" s="1023"/>
      <c r="V893" s="1023"/>
      <c r="W893" s="1023"/>
      <c r="X893" s="1023"/>
      <c r="Y893" s="1023"/>
      <c r="Z893" s="1023"/>
    </row>
    <row r="894" spans="1:26" ht="11.25" customHeight="1" x14ac:dyDescent="0.2">
      <c r="A894" s="1023"/>
      <c r="B894" s="1023"/>
      <c r="C894" s="1023"/>
      <c r="D894" s="1023"/>
      <c r="E894" s="1023"/>
      <c r="F894" s="1023"/>
      <c r="G894" s="1023"/>
      <c r="H894" s="1023"/>
      <c r="I894" s="1023"/>
      <c r="J894" s="1023"/>
      <c r="K894" s="1023"/>
      <c r="L894" s="1023"/>
      <c r="M894" s="1023"/>
      <c r="N894" s="1023"/>
      <c r="O894" s="1023"/>
      <c r="P894" s="1023"/>
      <c r="Q894" s="1023"/>
      <c r="R894" s="1023"/>
      <c r="S894" s="1023"/>
      <c r="T894" s="1023"/>
      <c r="U894" s="1023"/>
      <c r="V894" s="1023"/>
      <c r="W894" s="1023"/>
      <c r="X894" s="1023"/>
      <c r="Y894" s="1023"/>
      <c r="Z894" s="1023"/>
    </row>
    <row r="895" spans="1:26" ht="11.25" customHeight="1" x14ac:dyDescent="0.2">
      <c r="A895" s="1023"/>
      <c r="B895" s="1023"/>
      <c r="C895" s="1023"/>
      <c r="D895" s="1023"/>
      <c r="E895" s="1023"/>
      <c r="F895" s="1023"/>
      <c r="G895" s="1023"/>
      <c r="H895" s="1023"/>
      <c r="I895" s="1023"/>
      <c r="J895" s="1023"/>
      <c r="K895" s="1023"/>
      <c r="L895" s="1023"/>
      <c r="M895" s="1023"/>
      <c r="N895" s="1023"/>
      <c r="O895" s="1023"/>
      <c r="P895" s="1023"/>
      <c r="Q895" s="1023"/>
      <c r="R895" s="1023"/>
      <c r="S895" s="1023"/>
      <c r="T895" s="1023"/>
      <c r="U895" s="1023"/>
      <c r="V895" s="1023"/>
      <c r="W895" s="1023"/>
      <c r="X895" s="1023"/>
      <c r="Y895" s="1023"/>
      <c r="Z895" s="1023"/>
    </row>
    <row r="896" spans="1:26" ht="11.25" customHeight="1" x14ac:dyDescent="0.2">
      <c r="A896" s="1023"/>
      <c r="B896" s="1023"/>
      <c r="C896" s="1023"/>
      <c r="D896" s="1023"/>
      <c r="E896" s="1023"/>
      <c r="F896" s="1023"/>
      <c r="G896" s="1023"/>
      <c r="H896" s="1023"/>
      <c r="I896" s="1023"/>
      <c r="J896" s="1023"/>
      <c r="K896" s="1023"/>
      <c r="L896" s="1023"/>
      <c r="M896" s="1023"/>
      <c r="N896" s="1023"/>
      <c r="O896" s="1023"/>
      <c r="P896" s="1023"/>
      <c r="Q896" s="1023"/>
      <c r="R896" s="1023"/>
      <c r="S896" s="1023"/>
      <c r="T896" s="1023"/>
      <c r="U896" s="1023"/>
      <c r="V896" s="1023"/>
      <c r="W896" s="1023"/>
      <c r="X896" s="1023"/>
      <c r="Y896" s="1023"/>
      <c r="Z896" s="1023"/>
    </row>
    <row r="897" spans="1:26" ht="11.25" customHeight="1" x14ac:dyDescent="0.2">
      <c r="A897" s="1023"/>
      <c r="B897" s="1023"/>
      <c r="C897" s="1023"/>
      <c r="D897" s="1023"/>
      <c r="E897" s="1023"/>
      <c r="F897" s="1023"/>
      <c r="G897" s="1023"/>
      <c r="H897" s="1023"/>
      <c r="I897" s="1023"/>
      <c r="J897" s="1023"/>
      <c r="K897" s="1023"/>
      <c r="L897" s="1023"/>
      <c r="M897" s="1023"/>
      <c r="N897" s="1023"/>
      <c r="O897" s="1023"/>
      <c r="P897" s="1023"/>
      <c r="Q897" s="1023"/>
      <c r="R897" s="1023"/>
      <c r="S897" s="1023"/>
      <c r="T897" s="1023"/>
      <c r="U897" s="1023"/>
      <c r="V897" s="1023"/>
      <c r="W897" s="1023"/>
      <c r="X897" s="1023"/>
      <c r="Y897" s="1023"/>
      <c r="Z897" s="1023"/>
    </row>
    <row r="898" spans="1:26" ht="11.25" customHeight="1" x14ac:dyDescent="0.2">
      <c r="A898" s="1023"/>
      <c r="B898" s="1023"/>
      <c r="C898" s="1023"/>
      <c r="D898" s="1023"/>
      <c r="E898" s="1023"/>
      <c r="F898" s="1023"/>
      <c r="G898" s="1023"/>
      <c r="H898" s="1023"/>
      <c r="I898" s="1023"/>
      <c r="J898" s="1023"/>
      <c r="K898" s="1023"/>
      <c r="L898" s="1023"/>
      <c r="M898" s="1023"/>
      <c r="N898" s="1023"/>
      <c r="O898" s="1023"/>
      <c r="P898" s="1023"/>
      <c r="Q898" s="1023"/>
      <c r="R898" s="1023"/>
      <c r="S898" s="1023"/>
      <c r="T898" s="1023"/>
      <c r="U898" s="1023"/>
      <c r="V898" s="1023"/>
      <c r="W898" s="1023"/>
      <c r="X898" s="1023"/>
      <c r="Y898" s="1023"/>
      <c r="Z898" s="1023"/>
    </row>
    <row r="899" spans="1:26" ht="11.25" customHeight="1" x14ac:dyDescent="0.2">
      <c r="A899" s="1023"/>
      <c r="B899" s="1023"/>
      <c r="C899" s="1023"/>
      <c r="D899" s="1023"/>
      <c r="E899" s="1023"/>
      <c r="F899" s="1023"/>
      <c r="G899" s="1023"/>
      <c r="H899" s="1023"/>
      <c r="I899" s="1023"/>
      <c r="J899" s="1023"/>
      <c r="K899" s="1023"/>
      <c r="L899" s="1023"/>
      <c r="M899" s="1023"/>
      <c r="N899" s="1023"/>
      <c r="O899" s="1023"/>
      <c r="P899" s="1023"/>
      <c r="Q899" s="1023"/>
      <c r="R899" s="1023"/>
      <c r="S899" s="1023"/>
      <c r="T899" s="1023"/>
      <c r="U899" s="1023"/>
      <c r="V899" s="1023"/>
      <c r="W899" s="1023"/>
      <c r="X899" s="1023"/>
      <c r="Y899" s="1023"/>
      <c r="Z899" s="1023"/>
    </row>
    <row r="900" spans="1:26" ht="11.25" customHeight="1" x14ac:dyDescent="0.2">
      <c r="A900" s="1023"/>
      <c r="B900" s="1023"/>
      <c r="C900" s="1023"/>
      <c r="D900" s="1023"/>
      <c r="E900" s="1023"/>
      <c r="F900" s="1023"/>
      <c r="G900" s="1023"/>
      <c r="H900" s="1023"/>
      <c r="I900" s="1023"/>
      <c r="J900" s="1023"/>
      <c r="K900" s="1023"/>
      <c r="L900" s="1023"/>
      <c r="M900" s="1023"/>
      <c r="N900" s="1023"/>
      <c r="O900" s="1023"/>
      <c r="P900" s="1023"/>
      <c r="Q900" s="1023"/>
      <c r="R900" s="1023"/>
      <c r="S900" s="1023"/>
      <c r="T900" s="1023"/>
      <c r="U900" s="1023"/>
      <c r="V900" s="1023"/>
      <c r="W900" s="1023"/>
      <c r="X900" s="1023"/>
      <c r="Y900" s="1023"/>
      <c r="Z900" s="1023"/>
    </row>
    <row r="901" spans="1:26" ht="11.25" customHeight="1" x14ac:dyDescent="0.2">
      <c r="A901" s="1023"/>
      <c r="B901" s="1023"/>
      <c r="C901" s="1023"/>
      <c r="D901" s="1023"/>
      <c r="E901" s="1023"/>
      <c r="F901" s="1023"/>
      <c r="G901" s="1023"/>
      <c r="H901" s="1023"/>
      <c r="I901" s="1023"/>
      <c r="J901" s="1023"/>
      <c r="K901" s="1023"/>
      <c r="L901" s="1023"/>
      <c r="M901" s="1023"/>
      <c r="N901" s="1023"/>
      <c r="O901" s="1023"/>
      <c r="P901" s="1023"/>
      <c r="Q901" s="1023"/>
      <c r="R901" s="1023"/>
      <c r="S901" s="1023"/>
      <c r="T901" s="1023"/>
      <c r="U901" s="1023"/>
      <c r="V901" s="1023"/>
      <c r="W901" s="1023"/>
      <c r="X901" s="1023"/>
      <c r="Y901" s="1023"/>
      <c r="Z901" s="1023"/>
    </row>
    <row r="902" spans="1:26" ht="11.25" customHeight="1" x14ac:dyDescent="0.2">
      <c r="A902" s="1023"/>
      <c r="B902" s="1023"/>
      <c r="C902" s="1023"/>
      <c r="D902" s="1023"/>
      <c r="E902" s="1023"/>
      <c r="F902" s="1023"/>
      <c r="G902" s="1023"/>
      <c r="H902" s="1023"/>
      <c r="I902" s="1023"/>
      <c r="J902" s="1023"/>
      <c r="K902" s="1023"/>
      <c r="L902" s="1023"/>
      <c r="M902" s="1023"/>
      <c r="N902" s="1023"/>
      <c r="O902" s="1023"/>
      <c r="P902" s="1023"/>
      <c r="Q902" s="1023"/>
      <c r="R902" s="1023"/>
      <c r="S902" s="1023"/>
      <c r="T902" s="1023"/>
      <c r="U902" s="1023"/>
      <c r="V902" s="1023"/>
      <c r="W902" s="1023"/>
      <c r="X902" s="1023"/>
      <c r="Y902" s="1023"/>
      <c r="Z902" s="1023"/>
    </row>
    <row r="903" spans="1:26" ht="11.25" customHeight="1" x14ac:dyDescent="0.2">
      <c r="A903" s="1023"/>
      <c r="B903" s="1023"/>
      <c r="C903" s="1023"/>
      <c r="D903" s="1023"/>
      <c r="E903" s="1023"/>
      <c r="F903" s="1023"/>
      <c r="G903" s="1023"/>
      <c r="H903" s="1023"/>
      <c r="I903" s="1023"/>
      <c r="J903" s="1023"/>
      <c r="K903" s="1023"/>
      <c r="L903" s="1023"/>
      <c r="M903" s="1023"/>
      <c r="N903" s="1023"/>
      <c r="O903" s="1023"/>
      <c r="P903" s="1023"/>
      <c r="Q903" s="1023"/>
      <c r="R903" s="1023"/>
      <c r="S903" s="1023"/>
      <c r="T903" s="1023"/>
      <c r="U903" s="1023"/>
      <c r="V903" s="1023"/>
      <c r="W903" s="1023"/>
      <c r="X903" s="1023"/>
      <c r="Y903" s="1023"/>
      <c r="Z903" s="1023"/>
    </row>
    <row r="904" spans="1:26" ht="11.25" customHeight="1" x14ac:dyDescent="0.2">
      <c r="A904" s="1023"/>
      <c r="B904" s="1023"/>
      <c r="C904" s="1023"/>
      <c r="D904" s="1023"/>
      <c r="E904" s="1023"/>
      <c r="F904" s="1023"/>
      <c r="G904" s="1023"/>
      <c r="H904" s="1023"/>
      <c r="I904" s="1023"/>
      <c r="J904" s="1023"/>
      <c r="K904" s="1023"/>
      <c r="L904" s="1023"/>
      <c r="M904" s="1023"/>
      <c r="N904" s="1023"/>
      <c r="O904" s="1023"/>
      <c r="P904" s="1023"/>
      <c r="Q904" s="1023"/>
      <c r="R904" s="1023"/>
      <c r="S904" s="1023"/>
      <c r="T904" s="1023"/>
      <c r="U904" s="1023"/>
      <c r="V904" s="1023"/>
      <c r="W904" s="1023"/>
      <c r="X904" s="1023"/>
      <c r="Y904" s="1023"/>
      <c r="Z904" s="1023"/>
    </row>
    <row r="905" spans="1:26" ht="11.25" customHeight="1" x14ac:dyDescent="0.2">
      <c r="A905" s="1023"/>
      <c r="B905" s="1023"/>
      <c r="C905" s="1023"/>
      <c r="D905" s="1023"/>
      <c r="E905" s="1023"/>
      <c r="F905" s="1023"/>
      <c r="G905" s="1023"/>
      <c r="H905" s="1023"/>
      <c r="I905" s="1023"/>
      <c r="J905" s="1023"/>
      <c r="K905" s="1023"/>
      <c r="L905" s="1023"/>
      <c r="M905" s="1023"/>
      <c r="N905" s="1023"/>
      <c r="O905" s="1023"/>
      <c r="P905" s="1023"/>
      <c r="Q905" s="1023"/>
      <c r="R905" s="1023"/>
      <c r="S905" s="1023"/>
      <c r="T905" s="1023"/>
      <c r="U905" s="1023"/>
      <c r="V905" s="1023"/>
      <c r="W905" s="1023"/>
      <c r="X905" s="1023"/>
      <c r="Y905" s="1023"/>
      <c r="Z905" s="1023"/>
    </row>
    <row r="906" spans="1:26" ht="11.25" customHeight="1" x14ac:dyDescent="0.2">
      <c r="A906" s="1023"/>
      <c r="B906" s="1023"/>
      <c r="C906" s="1023"/>
      <c r="D906" s="1023"/>
      <c r="E906" s="1023"/>
      <c r="F906" s="1023"/>
      <c r="G906" s="1023"/>
      <c r="H906" s="1023"/>
      <c r="I906" s="1023"/>
      <c r="J906" s="1023"/>
      <c r="K906" s="1023"/>
      <c r="L906" s="1023"/>
      <c r="M906" s="1023"/>
      <c r="N906" s="1023"/>
      <c r="O906" s="1023"/>
      <c r="P906" s="1023"/>
      <c r="Q906" s="1023"/>
      <c r="R906" s="1023"/>
      <c r="S906" s="1023"/>
      <c r="T906" s="1023"/>
      <c r="U906" s="1023"/>
      <c r="V906" s="1023"/>
      <c r="W906" s="1023"/>
      <c r="X906" s="1023"/>
      <c r="Y906" s="1023"/>
      <c r="Z906" s="1023"/>
    </row>
    <row r="907" spans="1:26" ht="11.25" customHeight="1" x14ac:dyDescent="0.2">
      <c r="A907" s="1023"/>
      <c r="B907" s="1023"/>
      <c r="C907" s="1023"/>
      <c r="D907" s="1023"/>
      <c r="E907" s="1023"/>
      <c r="F907" s="1023"/>
      <c r="G907" s="1023"/>
      <c r="H907" s="1023"/>
      <c r="I907" s="1023"/>
      <c r="J907" s="1023"/>
      <c r="K907" s="1023"/>
      <c r="L907" s="1023"/>
      <c r="M907" s="1023"/>
      <c r="N907" s="1023"/>
      <c r="O907" s="1023"/>
      <c r="P907" s="1023"/>
      <c r="Q907" s="1023"/>
      <c r="R907" s="1023"/>
      <c r="S907" s="1023"/>
      <c r="T907" s="1023"/>
      <c r="U907" s="1023"/>
      <c r="V907" s="1023"/>
      <c r="W907" s="1023"/>
      <c r="X907" s="1023"/>
      <c r="Y907" s="1023"/>
      <c r="Z907" s="1023"/>
    </row>
    <row r="908" spans="1:26" ht="11.25" customHeight="1" x14ac:dyDescent="0.2">
      <c r="A908" s="1023"/>
      <c r="B908" s="1023"/>
      <c r="C908" s="1023"/>
      <c r="D908" s="1023"/>
      <c r="E908" s="1023"/>
      <c r="F908" s="1023"/>
      <c r="G908" s="1023"/>
      <c r="H908" s="1023"/>
      <c r="I908" s="1023"/>
      <c r="J908" s="1023"/>
      <c r="K908" s="1023"/>
      <c r="L908" s="1023"/>
      <c r="M908" s="1023"/>
      <c r="N908" s="1023"/>
      <c r="O908" s="1023"/>
      <c r="P908" s="1023"/>
      <c r="Q908" s="1023"/>
      <c r="R908" s="1023"/>
      <c r="S908" s="1023"/>
      <c r="T908" s="1023"/>
      <c r="U908" s="1023"/>
      <c r="V908" s="1023"/>
      <c r="W908" s="1023"/>
      <c r="X908" s="1023"/>
      <c r="Y908" s="1023"/>
      <c r="Z908" s="1023"/>
    </row>
    <row r="909" spans="1:26" ht="11.25" customHeight="1" x14ac:dyDescent="0.2">
      <c r="A909" s="1023"/>
      <c r="B909" s="1023"/>
      <c r="C909" s="1023"/>
      <c r="D909" s="1023"/>
      <c r="E909" s="1023"/>
      <c r="F909" s="1023"/>
      <c r="G909" s="1023"/>
      <c r="H909" s="1023"/>
      <c r="I909" s="1023"/>
      <c r="J909" s="1023"/>
      <c r="K909" s="1023"/>
      <c r="L909" s="1023"/>
      <c r="M909" s="1023"/>
      <c r="N909" s="1023"/>
      <c r="O909" s="1023"/>
      <c r="P909" s="1023"/>
      <c r="Q909" s="1023"/>
      <c r="R909" s="1023"/>
      <c r="S909" s="1023"/>
      <c r="T909" s="1023"/>
      <c r="U909" s="1023"/>
      <c r="V909" s="1023"/>
      <c r="W909" s="1023"/>
      <c r="X909" s="1023"/>
      <c r="Y909" s="1023"/>
      <c r="Z909" s="1023"/>
    </row>
    <row r="910" spans="1:26" ht="11.25" customHeight="1" x14ac:dyDescent="0.2">
      <c r="A910" s="1023"/>
      <c r="B910" s="1023"/>
      <c r="C910" s="1023"/>
      <c r="D910" s="1023"/>
      <c r="E910" s="1023"/>
      <c r="F910" s="1023"/>
      <c r="G910" s="1023"/>
      <c r="H910" s="1023"/>
      <c r="I910" s="1023"/>
      <c r="J910" s="1023"/>
      <c r="K910" s="1023"/>
      <c r="L910" s="1023"/>
      <c r="M910" s="1023"/>
      <c r="N910" s="1023"/>
      <c r="O910" s="1023"/>
      <c r="P910" s="1023"/>
      <c r="Q910" s="1023"/>
      <c r="R910" s="1023"/>
      <c r="S910" s="1023"/>
      <c r="T910" s="1023"/>
      <c r="U910" s="1023"/>
      <c r="V910" s="1023"/>
      <c r="W910" s="1023"/>
      <c r="X910" s="1023"/>
      <c r="Y910" s="1023"/>
      <c r="Z910" s="1023"/>
    </row>
    <row r="911" spans="1:26" ht="11.25" customHeight="1" x14ac:dyDescent="0.2">
      <c r="A911" s="1023"/>
      <c r="B911" s="1023"/>
      <c r="C911" s="1023"/>
      <c r="D911" s="1023"/>
      <c r="E911" s="1023"/>
      <c r="F911" s="1023"/>
      <c r="G911" s="1023"/>
      <c r="H911" s="1023"/>
      <c r="I911" s="1023"/>
      <c r="J911" s="1023"/>
      <c r="K911" s="1023"/>
      <c r="L911" s="1023"/>
      <c r="M911" s="1023"/>
      <c r="N911" s="1023"/>
      <c r="O911" s="1023"/>
      <c r="P911" s="1023"/>
      <c r="Q911" s="1023"/>
      <c r="R911" s="1023"/>
      <c r="S911" s="1023"/>
      <c r="T911" s="1023"/>
      <c r="U911" s="1023"/>
      <c r="V911" s="1023"/>
      <c r="W911" s="1023"/>
      <c r="X911" s="1023"/>
      <c r="Y911" s="1023"/>
      <c r="Z911" s="1023"/>
    </row>
    <row r="912" spans="1:26" ht="11.25" customHeight="1" x14ac:dyDescent="0.2">
      <c r="A912" s="1023"/>
      <c r="B912" s="1023"/>
      <c r="C912" s="1023"/>
      <c r="D912" s="1023"/>
      <c r="E912" s="1023"/>
      <c r="F912" s="1023"/>
      <c r="G912" s="1023"/>
      <c r="H912" s="1023"/>
      <c r="I912" s="1023"/>
      <c r="J912" s="1023"/>
      <c r="K912" s="1023"/>
      <c r="L912" s="1023"/>
      <c r="M912" s="1023"/>
      <c r="N912" s="1023"/>
      <c r="O912" s="1023"/>
      <c r="P912" s="1023"/>
      <c r="Q912" s="1023"/>
      <c r="R912" s="1023"/>
      <c r="S912" s="1023"/>
      <c r="T912" s="1023"/>
      <c r="U912" s="1023"/>
      <c r="V912" s="1023"/>
      <c r="W912" s="1023"/>
      <c r="X912" s="1023"/>
      <c r="Y912" s="1023"/>
      <c r="Z912" s="1023"/>
    </row>
    <row r="913" spans="1:26" ht="11.25" customHeight="1" x14ac:dyDescent="0.2">
      <c r="A913" s="1023"/>
      <c r="B913" s="1023"/>
      <c r="C913" s="1023"/>
      <c r="D913" s="1023"/>
      <c r="E913" s="1023"/>
      <c r="F913" s="1023"/>
      <c r="G913" s="1023"/>
      <c r="H913" s="1023"/>
      <c r="I913" s="1023"/>
      <c r="J913" s="1023"/>
      <c r="K913" s="1023"/>
      <c r="L913" s="1023"/>
      <c r="M913" s="1023"/>
      <c r="N913" s="1023"/>
      <c r="O913" s="1023"/>
      <c r="P913" s="1023"/>
      <c r="Q913" s="1023"/>
      <c r="R913" s="1023"/>
      <c r="S913" s="1023"/>
      <c r="T913" s="1023"/>
      <c r="U913" s="1023"/>
      <c r="V913" s="1023"/>
      <c r="W913" s="1023"/>
      <c r="X913" s="1023"/>
      <c r="Y913" s="1023"/>
      <c r="Z913" s="1023"/>
    </row>
    <row r="914" spans="1:26" ht="11.25" customHeight="1" x14ac:dyDescent="0.2">
      <c r="A914" s="1023"/>
      <c r="B914" s="1023"/>
      <c r="C914" s="1023"/>
      <c r="D914" s="1023"/>
      <c r="E914" s="1023"/>
      <c r="F914" s="1023"/>
      <c r="G914" s="1023"/>
      <c r="H914" s="1023"/>
      <c r="I914" s="1023"/>
      <c r="J914" s="1023"/>
      <c r="K914" s="1023"/>
      <c r="L914" s="1023"/>
      <c r="M914" s="1023"/>
      <c r="N914" s="1023"/>
      <c r="O914" s="1023"/>
      <c r="P914" s="1023"/>
      <c r="Q914" s="1023"/>
      <c r="R914" s="1023"/>
      <c r="S914" s="1023"/>
      <c r="T914" s="1023"/>
      <c r="U914" s="1023"/>
      <c r="V914" s="1023"/>
      <c r="W914" s="1023"/>
      <c r="X914" s="1023"/>
      <c r="Y914" s="1023"/>
      <c r="Z914" s="1023"/>
    </row>
    <row r="915" spans="1:26" ht="11.25" customHeight="1" x14ac:dyDescent="0.2">
      <c r="A915" s="1023"/>
      <c r="B915" s="1023"/>
      <c r="C915" s="1023"/>
      <c r="D915" s="1023"/>
      <c r="E915" s="1023"/>
      <c r="F915" s="1023"/>
      <c r="G915" s="1023"/>
      <c r="H915" s="1023"/>
      <c r="I915" s="1023"/>
      <c r="J915" s="1023"/>
      <c r="K915" s="1023"/>
      <c r="L915" s="1023"/>
      <c r="M915" s="1023"/>
      <c r="N915" s="1023"/>
      <c r="O915" s="1023"/>
      <c r="P915" s="1023"/>
      <c r="Q915" s="1023"/>
      <c r="R915" s="1023"/>
      <c r="S915" s="1023"/>
      <c r="T915" s="1023"/>
      <c r="U915" s="1023"/>
      <c r="V915" s="1023"/>
      <c r="W915" s="1023"/>
      <c r="X915" s="1023"/>
      <c r="Y915" s="1023"/>
      <c r="Z915" s="1023"/>
    </row>
    <row r="916" spans="1:26" ht="11.25" customHeight="1" x14ac:dyDescent="0.2">
      <c r="A916" s="1023"/>
      <c r="B916" s="1023"/>
      <c r="C916" s="1023"/>
      <c r="D916" s="1023"/>
      <c r="E916" s="1023"/>
      <c r="F916" s="1023"/>
      <c r="G916" s="1023"/>
      <c r="H916" s="1023"/>
      <c r="I916" s="1023"/>
      <c r="J916" s="1023"/>
      <c r="K916" s="1023"/>
      <c r="L916" s="1023"/>
      <c r="M916" s="1023"/>
      <c r="N916" s="1023"/>
      <c r="O916" s="1023"/>
      <c r="P916" s="1023"/>
      <c r="Q916" s="1023"/>
      <c r="R916" s="1023"/>
      <c r="S916" s="1023"/>
      <c r="T916" s="1023"/>
      <c r="U916" s="1023"/>
      <c r="V916" s="1023"/>
      <c r="W916" s="1023"/>
      <c r="X916" s="1023"/>
      <c r="Y916" s="1023"/>
      <c r="Z916" s="1023"/>
    </row>
    <row r="917" spans="1:26" ht="11.25" customHeight="1" x14ac:dyDescent="0.2">
      <c r="A917" s="1023"/>
      <c r="B917" s="1023"/>
      <c r="C917" s="1023"/>
      <c r="D917" s="1023"/>
      <c r="E917" s="1023"/>
      <c r="F917" s="1023"/>
      <c r="G917" s="1023"/>
      <c r="H917" s="1023"/>
      <c r="I917" s="1023"/>
      <c r="J917" s="1023"/>
      <c r="K917" s="1023"/>
      <c r="L917" s="1023"/>
      <c r="M917" s="1023"/>
      <c r="N917" s="1023"/>
      <c r="O917" s="1023"/>
      <c r="P917" s="1023"/>
      <c r="Q917" s="1023"/>
      <c r="R917" s="1023"/>
      <c r="S917" s="1023"/>
      <c r="T917" s="1023"/>
      <c r="U917" s="1023"/>
      <c r="V917" s="1023"/>
      <c r="W917" s="1023"/>
      <c r="X917" s="1023"/>
      <c r="Y917" s="1023"/>
      <c r="Z917" s="1023"/>
    </row>
    <row r="918" spans="1:26" ht="11.25" customHeight="1" x14ac:dyDescent="0.2">
      <c r="A918" s="1023"/>
      <c r="B918" s="1023"/>
      <c r="C918" s="1023"/>
      <c r="D918" s="1023"/>
      <c r="E918" s="1023"/>
      <c r="F918" s="1023"/>
      <c r="G918" s="1023"/>
      <c r="H918" s="1023"/>
      <c r="I918" s="1023"/>
      <c r="J918" s="1023"/>
      <c r="K918" s="1023"/>
      <c r="L918" s="1023"/>
      <c r="M918" s="1023"/>
      <c r="N918" s="1023"/>
      <c r="O918" s="1023"/>
      <c r="P918" s="1023"/>
      <c r="Q918" s="1023"/>
      <c r="R918" s="1023"/>
      <c r="S918" s="1023"/>
      <c r="T918" s="1023"/>
      <c r="U918" s="1023"/>
      <c r="V918" s="1023"/>
      <c r="W918" s="1023"/>
      <c r="X918" s="1023"/>
      <c r="Y918" s="1023"/>
      <c r="Z918" s="1023"/>
    </row>
    <row r="919" spans="1:26" ht="11.25" customHeight="1" x14ac:dyDescent="0.2">
      <c r="A919" s="1023"/>
      <c r="B919" s="1023"/>
      <c r="C919" s="1023"/>
      <c r="D919" s="1023"/>
      <c r="E919" s="1023"/>
      <c r="F919" s="1023"/>
      <c r="G919" s="1023"/>
      <c r="H919" s="1023"/>
      <c r="I919" s="1023"/>
      <c r="J919" s="1023"/>
      <c r="K919" s="1023"/>
      <c r="L919" s="1023"/>
      <c r="M919" s="1023"/>
      <c r="N919" s="1023"/>
      <c r="O919" s="1023"/>
      <c r="P919" s="1023"/>
      <c r="Q919" s="1023"/>
      <c r="R919" s="1023"/>
      <c r="S919" s="1023"/>
      <c r="T919" s="1023"/>
      <c r="U919" s="1023"/>
      <c r="V919" s="1023"/>
      <c r="W919" s="1023"/>
      <c r="X919" s="1023"/>
      <c r="Y919" s="1023"/>
      <c r="Z919" s="1023"/>
    </row>
    <row r="920" spans="1:26" ht="11.25" customHeight="1" x14ac:dyDescent="0.2">
      <c r="A920" s="1023"/>
      <c r="B920" s="1023"/>
      <c r="C920" s="1023"/>
      <c r="D920" s="1023"/>
      <c r="E920" s="1023"/>
      <c r="F920" s="1023"/>
      <c r="G920" s="1023"/>
      <c r="H920" s="1023"/>
      <c r="I920" s="1023"/>
      <c r="J920" s="1023"/>
      <c r="K920" s="1023"/>
      <c r="L920" s="1023"/>
      <c r="M920" s="1023"/>
      <c r="N920" s="1023"/>
      <c r="O920" s="1023"/>
      <c r="P920" s="1023"/>
      <c r="Q920" s="1023"/>
      <c r="R920" s="1023"/>
      <c r="S920" s="1023"/>
      <c r="T920" s="1023"/>
      <c r="U920" s="1023"/>
      <c r="V920" s="1023"/>
      <c r="W920" s="1023"/>
      <c r="X920" s="1023"/>
      <c r="Y920" s="1023"/>
      <c r="Z920" s="1023"/>
    </row>
    <row r="921" spans="1:26" ht="11.25" customHeight="1" x14ac:dyDescent="0.2">
      <c r="A921" s="1023"/>
      <c r="B921" s="1023"/>
      <c r="C921" s="1023"/>
      <c r="D921" s="1023"/>
      <c r="E921" s="1023"/>
      <c r="F921" s="1023"/>
      <c r="G921" s="1023"/>
      <c r="H921" s="1023"/>
      <c r="I921" s="1023"/>
      <c r="J921" s="1023"/>
      <c r="K921" s="1023"/>
      <c r="L921" s="1023"/>
      <c r="M921" s="1023"/>
      <c r="N921" s="1023"/>
      <c r="O921" s="1023"/>
      <c r="P921" s="1023"/>
      <c r="Q921" s="1023"/>
      <c r="R921" s="1023"/>
      <c r="S921" s="1023"/>
      <c r="T921" s="1023"/>
      <c r="U921" s="1023"/>
      <c r="V921" s="1023"/>
      <c r="W921" s="1023"/>
      <c r="X921" s="1023"/>
      <c r="Y921" s="1023"/>
      <c r="Z921" s="1023"/>
    </row>
    <row r="922" spans="1:26" ht="11.25" customHeight="1" x14ac:dyDescent="0.2">
      <c r="A922" s="1023"/>
      <c r="B922" s="1023"/>
      <c r="C922" s="1023"/>
      <c r="D922" s="1023"/>
      <c r="E922" s="1023"/>
      <c r="F922" s="1023"/>
      <c r="G922" s="1023"/>
      <c r="H922" s="1023"/>
      <c r="I922" s="1023"/>
      <c r="J922" s="1023"/>
      <c r="K922" s="1023"/>
      <c r="L922" s="1023"/>
      <c r="M922" s="1023"/>
      <c r="N922" s="1023"/>
      <c r="O922" s="1023"/>
      <c r="P922" s="1023"/>
      <c r="Q922" s="1023"/>
      <c r="R922" s="1023"/>
      <c r="S922" s="1023"/>
      <c r="T922" s="1023"/>
      <c r="U922" s="1023"/>
      <c r="V922" s="1023"/>
      <c r="W922" s="1023"/>
      <c r="X922" s="1023"/>
      <c r="Y922" s="1023"/>
      <c r="Z922" s="1023"/>
    </row>
    <row r="923" spans="1:26" ht="11.25" customHeight="1" x14ac:dyDescent="0.2">
      <c r="A923" s="1023"/>
      <c r="B923" s="1023"/>
      <c r="C923" s="1023"/>
      <c r="D923" s="1023"/>
      <c r="E923" s="1023"/>
      <c r="F923" s="1023"/>
      <c r="G923" s="1023"/>
      <c r="H923" s="1023"/>
      <c r="I923" s="1023"/>
      <c r="J923" s="1023"/>
      <c r="K923" s="1023"/>
      <c r="L923" s="1023"/>
      <c r="M923" s="1023"/>
      <c r="N923" s="1023"/>
      <c r="O923" s="1023"/>
      <c r="P923" s="1023"/>
      <c r="Q923" s="1023"/>
      <c r="R923" s="1023"/>
      <c r="S923" s="1023"/>
      <c r="T923" s="1023"/>
      <c r="U923" s="1023"/>
      <c r="V923" s="1023"/>
      <c r="W923" s="1023"/>
      <c r="X923" s="1023"/>
      <c r="Y923" s="1023"/>
      <c r="Z923" s="1023"/>
    </row>
    <row r="924" spans="1:26" ht="11.25" customHeight="1" x14ac:dyDescent="0.2">
      <c r="A924" s="1023"/>
      <c r="B924" s="1023"/>
      <c r="C924" s="1023"/>
      <c r="D924" s="1023"/>
      <c r="E924" s="1023"/>
      <c r="F924" s="1023"/>
      <c r="G924" s="1023"/>
      <c r="H924" s="1023"/>
      <c r="I924" s="1023"/>
      <c r="J924" s="1023"/>
      <c r="K924" s="1023"/>
      <c r="L924" s="1023"/>
      <c r="M924" s="1023"/>
      <c r="N924" s="1023"/>
      <c r="O924" s="1023"/>
      <c r="P924" s="1023"/>
      <c r="Q924" s="1023"/>
      <c r="R924" s="1023"/>
      <c r="S924" s="1023"/>
      <c r="T924" s="1023"/>
      <c r="U924" s="1023"/>
      <c r="V924" s="1023"/>
      <c r="W924" s="1023"/>
      <c r="X924" s="1023"/>
      <c r="Y924" s="1023"/>
      <c r="Z924" s="1023"/>
    </row>
    <row r="925" spans="1:26" ht="11.25" customHeight="1" x14ac:dyDescent="0.2">
      <c r="A925" s="1023"/>
      <c r="B925" s="1023"/>
      <c r="C925" s="1023"/>
      <c r="D925" s="1023"/>
      <c r="E925" s="1023"/>
      <c r="F925" s="1023"/>
      <c r="G925" s="1023"/>
      <c r="H925" s="1023"/>
      <c r="I925" s="1023"/>
      <c r="J925" s="1023"/>
      <c r="K925" s="1023"/>
      <c r="L925" s="1023"/>
      <c r="M925" s="1023"/>
      <c r="N925" s="1023"/>
      <c r="O925" s="1023"/>
      <c r="P925" s="1023"/>
      <c r="Q925" s="1023"/>
      <c r="R925" s="1023"/>
      <c r="S925" s="1023"/>
      <c r="T925" s="1023"/>
      <c r="U925" s="1023"/>
      <c r="V925" s="1023"/>
      <c r="W925" s="1023"/>
      <c r="X925" s="1023"/>
      <c r="Y925" s="1023"/>
      <c r="Z925" s="1023"/>
    </row>
    <row r="926" spans="1:26" ht="11.25" customHeight="1" x14ac:dyDescent="0.2">
      <c r="A926" s="1023"/>
      <c r="B926" s="1023"/>
      <c r="C926" s="1023"/>
      <c r="D926" s="1023"/>
      <c r="E926" s="1023"/>
      <c r="F926" s="1023"/>
      <c r="G926" s="1023"/>
      <c r="H926" s="1023"/>
      <c r="I926" s="1023"/>
      <c r="J926" s="1023"/>
      <c r="K926" s="1023"/>
      <c r="L926" s="1023"/>
      <c r="M926" s="1023"/>
      <c r="N926" s="1023"/>
      <c r="O926" s="1023"/>
      <c r="P926" s="1023"/>
      <c r="Q926" s="1023"/>
      <c r="R926" s="1023"/>
      <c r="S926" s="1023"/>
      <c r="T926" s="1023"/>
      <c r="U926" s="1023"/>
      <c r="V926" s="1023"/>
      <c r="W926" s="1023"/>
      <c r="X926" s="1023"/>
      <c r="Y926" s="1023"/>
      <c r="Z926" s="1023"/>
    </row>
    <row r="927" spans="1:26" ht="11.25" customHeight="1" x14ac:dyDescent="0.2">
      <c r="A927" s="1023"/>
      <c r="B927" s="1023"/>
      <c r="C927" s="1023"/>
      <c r="D927" s="1023"/>
      <c r="E927" s="1023"/>
      <c r="F927" s="1023"/>
      <c r="G927" s="1023"/>
      <c r="H927" s="1023"/>
      <c r="I927" s="1023"/>
      <c r="J927" s="1023"/>
      <c r="K927" s="1023"/>
      <c r="L927" s="1023"/>
      <c r="M927" s="1023"/>
      <c r="N927" s="1023"/>
      <c r="O927" s="1023"/>
      <c r="P927" s="1023"/>
      <c r="Q927" s="1023"/>
      <c r="R927" s="1023"/>
      <c r="S927" s="1023"/>
      <c r="T927" s="1023"/>
      <c r="U927" s="1023"/>
      <c r="V927" s="1023"/>
      <c r="W927" s="1023"/>
      <c r="X927" s="1023"/>
      <c r="Y927" s="1023"/>
      <c r="Z927" s="1023"/>
    </row>
    <row r="928" spans="1:26" ht="11.25" customHeight="1" x14ac:dyDescent="0.2">
      <c r="A928" s="1023"/>
      <c r="B928" s="1023"/>
      <c r="C928" s="1023"/>
      <c r="D928" s="1023"/>
      <c r="E928" s="1023"/>
      <c r="F928" s="1023"/>
      <c r="G928" s="1023"/>
      <c r="H928" s="1023"/>
      <c r="I928" s="1023"/>
      <c r="J928" s="1023"/>
      <c r="K928" s="1023"/>
      <c r="L928" s="1023"/>
      <c r="M928" s="1023"/>
      <c r="N928" s="1023"/>
      <c r="O928" s="1023"/>
      <c r="P928" s="1023"/>
      <c r="Q928" s="1023"/>
      <c r="R928" s="1023"/>
      <c r="S928" s="1023"/>
      <c r="T928" s="1023"/>
      <c r="U928" s="1023"/>
      <c r="V928" s="1023"/>
      <c r="W928" s="1023"/>
      <c r="X928" s="1023"/>
      <c r="Y928" s="1023"/>
      <c r="Z928" s="1023"/>
    </row>
    <row r="929" spans="1:26" ht="11.25" customHeight="1" x14ac:dyDescent="0.2">
      <c r="A929" s="1023"/>
      <c r="B929" s="1023"/>
      <c r="C929" s="1023"/>
      <c r="D929" s="1023"/>
      <c r="E929" s="1023"/>
      <c r="F929" s="1023"/>
      <c r="G929" s="1023"/>
      <c r="H929" s="1023"/>
      <c r="I929" s="1023"/>
      <c r="J929" s="1023"/>
      <c r="K929" s="1023"/>
      <c r="L929" s="1023"/>
      <c r="M929" s="1023"/>
      <c r="N929" s="1023"/>
      <c r="O929" s="1023"/>
      <c r="P929" s="1023"/>
      <c r="Q929" s="1023"/>
      <c r="R929" s="1023"/>
      <c r="S929" s="1023"/>
      <c r="T929" s="1023"/>
      <c r="U929" s="1023"/>
      <c r="V929" s="1023"/>
      <c r="W929" s="1023"/>
      <c r="X929" s="1023"/>
      <c r="Y929" s="1023"/>
      <c r="Z929" s="1023"/>
    </row>
    <row r="930" spans="1:26" ht="11.25" customHeight="1" x14ac:dyDescent="0.2">
      <c r="A930" s="1023"/>
      <c r="B930" s="1023"/>
      <c r="C930" s="1023"/>
      <c r="D930" s="1023"/>
      <c r="E930" s="1023"/>
      <c r="F930" s="1023"/>
      <c r="G930" s="1023"/>
      <c r="H930" s="1023"/>
      <c r="I930" s="1023"/>
      <c r="J930" s="1023"/>
      <c r="K930" s="1023"/>
      <c r="L930" s="1023"/>
      <c r="M930" s="1023"/>
      <c r="N930" s="1023"/>
      <c r="O930" s="1023"/>
      <c r="P930" s="1023"/>
      <c r="Q930" s="1023"/>
      <c r="R930" s="1023"/>
      <c r="S930" s="1023"/>
      <c r="T930" s="1023"/>
      <c r="U930" s="1023"/>
      <c r="V930" s="1023"/>
      <c r="W930" s="1023"/>
      <c r="X930" s="1023"/>
      <c r="Y930" s="1023"/>
      <c r="Z930" s="1023"/>
    </row>
    <row r="931" spans="1:26" ht="11.25" customHeight="1" x14ac:dyDescent="0.2">
      <c r="A931" s="1023"/>
      <c r="B931" s="1023"/>
      <c r="C931" s="1023"/>
      <c r="D931" s="1023"/>
      <c r="E931" s="1023"/>
      <c r="F931" s="1023"/>
      <c r="G931" s="1023"/>
      <c r="H931" s="1023"/>
      <c r="I931" s="1023"/>
      <c r="J931" s="1023"/>
      <c r="K931" s="1023"/>
      <c r="L931" s="1023"/>
      <c r="M931" s="1023"/>
      <c r="N931" s="1023"/>
      <c r="O931" s="1023"/>
      <c r="P931" s="1023"/>
      <c r="Q931" s="1023"/>
      <c r="R931" s="1023"/>
      <c r="S931" s="1023"/>
      <c r="T931" s="1023"/>
      <c r="U931" s="1023"/>
      <c r="V931" s="1023"/>
      <c r="W931" s="1023"/>
      <c r="X931" s="1023"/>
      <c r="Y931" s="1023"/>
      <c r="Z931" s="1023"/>
    </row>
    <row r="932" spans="1:26" ht="11.25" customHeight="1" x14ac:dyDescent="0.2">
      <c r="A932" s="1023"/>
      <c r="B932" s="1023"/>
      <c r="C932" s="1023"/>
      <c r="D932" s="1023"/>
      <c r="E932" s="1023"/>
      <c r="F932" s="1023"/>
      <c r="G932" s="1023"/>
      <c r="H932" s="1023"/>
      <c r="I932" s="1023"/>
      <c r="J932" s="1023"/>
      <c r="K932" s="1023"/>
      <c r="L932" s="1023"/>
      <c r="M932" s="1023"/>
      <c r="N932" s="1023"/>
      <c r="O932" s="1023"/>
      <c r="P932" s="1023"/>
      <c r="Q932" s="1023"/>
      <c r="R932" s="1023"/>
      <c r="S932" s="1023"/>
      <c r="T932" s="1023"/>
      <c r="U932" s="1023"/>
      <c r="V932" s="1023"/>
      <c r="W932" s="1023"/>
      <c r="X932" s="1023"/>
      <c r="Y932" s="1023"/>
      <c r="Z932" s="1023"/>
    </row>
    <row r="933" spans="1:26" ht="11.25" customHeight="1" x14ac:dyDescent="0.2">
      <c r="A933" s="1023"/>
      <c r="B933" s="1023"/>
      <c r="C933" s="1023"/>
      <c r="D933" s="1023"/>
      <c r="E933" s="1023"/>
      <c r="F933" s="1023"/>
      <c r="G933" s="1023"/>
      <c r="H933" s="1023"/>
      <c r="I933" s="1023"/>
      <c r="J933" s="1023"/>
      <c r="K933" s="1023"/>
      <c r="L933" s="1023"/>
      <c r="M933" s="1023"/>
      <c r="N933" s="1023"/>
      <c r="O933" s="1023"/>
      <c r="P933" s="1023"/>
      <c r="Q933" s="1023"/>
      <c r="R933" s="1023"/>
      <c r="S933" s="1023"/>
      <c r="T933" s="1023"/>
      <c r="U933" s="1023"/>
      <c r="V933" s="1023"/>
      <c r="W933" s="1023"/>
      <c r="X933" s="1023"/>
      <c r="Y933" s="1023"/>
      <c r="Z933" s="1023"/>
    </row>
    <row r="934" spans="1:26" ht="11.25" customHeight="1" x14ac:dyDescent="0.2">
      <c r="A934" s="1023"/>
      <c r="B934" s="1023"/>
      <c r="C934" s="1023"/>
      <c r="D934" s="1023"/>
      <c r="E934" s="1023"/>
      <c r="F934" s="1023"/>
      <c r="G934" s="1023"/>
      <c r="H934" s="1023"/>
      <c r="I934" s="1023"/>
      <c r="J934" s="1023"/>
      <c r="K934" s="1023"/>
      <c r="L934" s="1023"/>
      <c r="M934" s="1023"/>
      <c r="N934" s="1023"/>
      <c r="O934" s="1023"/>
      <c r="P934" s="1023"/>
      <c r="Q934" s="1023"/>
      <c r="R934" s="1023"/>
      <c r="S934" s="1023"/>
      <c r="T934" s="1023"/>
      <c r="U934" s="1023"/>
      <c r="V934" s="1023"/>
      <c r="W934" s="1023"/>
      <c r="X934" s="1023"/>
      <c r="Y934" s="1023"/>
      <c r="Z934" s="1023"/>
    </row>
    <row r="935" spans="1:26" ht="11.25" customHeight="1" x14ac:dyDescent="0.2">
      <c r="A935" s="1023"/>
      <c r="B935" s="1023"/>
      <c r="C935" s="1023"/>
      <c r="D935" s="1023"/>
      <c r="E935" s="1023"/>
      <c r="F935" s="1023"/>
      <c r="G935" s="1023"/>
      <c r="H935" s="1023"/>
      <c r="I935" s="1023"/>
      <c r="J935" s="1023"/>
      <c r="K935" s="1023"/>
      <c r="L935" s="1023"/>
      <c r="M935" s="1023"/>
      <c r="N935" s="1023"/>
      <c r="O935" s="1023"/>
      <c r="P935" s="1023"/>
      <c r="Q935" s="1023"/>
      <c r="R935" s="1023"/>
      <c r="S935" s="1023"/>
      <c r="T935" s="1023"/>
      <c r="U935" s="1023"/>
      <c r="V935" s="1023"/>
      <c r="W935" s="1023"/>
      <c r="X935" s="1023"/>
      <c r="Y935" s="1023"/>
      <c r="Z935" s="1023"/>
    </row>
    <row r="936" spans="1:26" ht="11.25" customHeight="1" x14ac:dyDescent="0.2">
      <c r="A936" s="1023"/>
      <c r="B936" s="1023"/>
      <c r="C936" s="1023"/>
      <c r="D936" s="1023"/>
      <c r="E936" s="1023"/>
      <c r="F936" s="1023"/>
      <c r="G936" s="1023"/>
      <c r="H936" s="1023"/>
      <c r="I936" s="1023"/>
      <c r="J936" s="1023"/>
      <c r="K936" s="1023"/>
      <c r="L936" s="1023"/>
      <c r="M936" s="1023"/>
      <c r="N936" s="1023"/>
      <c r="O936" s="1023"/>
      <c r="P936" s="1023"/>
      <c r="Q936" s="1023"/>
      <c r="R936" s="1023"/>
      <c r="S936" s="1023"/>
      <c r="T936" s="1023"/>
      <c r="U936" s="1023"/>
      <c r="V936" s="1023"/>
      <c r="W936" s="1023"/>
      <c r="X936" s="1023"/>
      <c r="Y936" s="1023"/>
      <c r="Z936" s="1023"/>
    </row>
    <row r="937" spans="1:26" ht="11.25" customHeight="1" x14ac:dyDescent="0.2">
      <c r="A937" s="1023"/>
      <c r="B937" s="1023"/>
      <c r="C937" s="1023"/>
      <c r="D937" s="1023"/>
      <c r="E937" s="1023"/>
      <c r="F937" s="1023"/>
      <c r="G937" s="1023"/>
      <c r="H937" s="1023"/>
      <c r="I937" s="1023"/>
      <c r="J937" s="1023"/>
      <c r="K937" s="1023"/>
      <c r="L937" s="1023"/>
      <c r="M937" s="1023"/>
      <c r="N937" s="1023"/>
      <c r="O937" s="1023"/>
      <c r="P937" s="1023"/>
      <c r="Q937" s="1023"/>
      <c r="R937" s="1023"/>
      <c r="S937" s="1023"/>
      <c r="T937" s="1023"/>
      <c r="U937" s="1023"/>
      <c r="V937" s="1023"/>
      <c r="W937" s="1023"/>
      <c r="X937" s="1023"/>
      <c r="Y937" s="1023"/>
      <c r="Z937" s="1023"/>
    </row>
    <row r="938" spans="1:26" ht="11.25" customHeight="1" x14ac:dyDescent="0.2">
      <c r="A938" s="1023"/>
      <c r="B938" s="1023"/>
      <c r="C938" s="1023"/>
      <c r="D938" s="1023"/>
      <c r="E938" s="1023"/>
      <c r="F938" s="1023"/>
      <c r="G938" s="1023"/>
      <c r="H938" s="1023"/>
      <c r="I938" s="1023"/>
      <c r="J938" s="1023"/>
      <c r="K938" s="1023"/>
      <c r="L938" s="1023"/>
      <c r="M938" s="1023"/>
      <c r="N938" s="1023"/>
      <c r="O938" s="1023"/>
      <c r="P938" s="1023"/>
      <c r="Q938" s="1023"/>
      <c r="R938" s="1023"/>
      <c r="S938" s="1023"/>
      <c r="T938" s="1023"/>
      <c r="U938" s="1023"/>
      <c r="V938" s="1023"/>
      <c r="W938" s="1023"/>
      <c r="X938" s="1023"/>
      <c r="Y938" s="1023"/>
      <c r="Z938" s="1023"/>
    </row>
    <row r="939" spans="1:26" ht="11.25" customHeight="1" x14ac:dyDescent="0.2">
      <c r="A939" s="1023"/>
      <c r="B939" s="1023"/>
      <c r="C939" s="1023"/>
      <c r="D939" s="1023"/>
      <c r="E939" s="1023"/>
      <c r="F939" s="1023"/>
      <c r="G939" s="1023"/>
      <c r="H939" s="1023"/>
      <c r="I939" s="1023"/>
      <c r="J939" s="1023"/>
      <c r="K939" s="1023"/>
      <c r="L939" s="1023"/>
      <c r="M939" s="1023"/>
      <c r="N939" s="1023"/>
      <c r="O939" s="1023"/>
      <c r="P939" s="1023"/>
      <c r="Q939" s="1023"/>
      <c r="R939" s="1023"/>
      <c r="S939" s="1023"/>
      <c r="T939" s="1023"/>
      <c r="U939" s="1023"/>
      <c r="V939" s="1023"/>
      <c r="W939" s="1023"/>
      <c r="X939" s="1023"/>
      <c r="Y939" s="1023"/>
      <c r="Z939" s="1023"/>
    </row>
    <row r="940" spans="1:26" ht="11.25" customHeight="1" x14ac:dyDescent="0.2">
      <c r="A940" s="1023"/>
      <c r="B940" s="1023"/>
      <c r="C940" s="1023"/>
      <c r="D940" s="1023"/>
      <c r="E940" s="1023"/>
      <c r="F940" s="1023"/>
      <c r="G940" s="1023"/>
      <c r="H940" s="1023"/>
      <c r="I940" s="1023"/>
      <c r="J940" s="1023"/>
      <c r="K940" s="1023"/>
      <c r="L940" s="1023"/>
      <c r="M940" s="1023"/>
      <c r="N940" s="1023"/>
      <c r="O940" s="1023"/>
      <c r="P940" s="1023"/>
      <c r="Q940" s="1023"/>
      <c r="R940" s="1023"/>
      <c r="S940" s="1023"/>
      <c r="T940" s="1023"/>
      <c r="U940" s="1023"/>
      <c r="V940" s="1023"/>
      <c r="W940" s="1023"/>
      <c r="X940" s="1023"/>
      <c r="Y940" s="1023"/>
      <c r="Z940" s="1023"/>
    </row>
    <row r="941" spans="1:26" ht="11.25" customHeight="1" x14ac:dyDescent="0.2">
      <c r="A941" s="1023"/>
      <c r="B941" s="1023"/>
      <c r="C941" s="1023"/>
      <c r="D941" s="1023"/>
      <c r="E941" s="1023"/>
      <c r="F941" s="1023"/>
      <c r="G941" s="1023"/>
      <c r="H941" s="1023"/>
      <c r="I941" s="1023"/>
      <c r="J941" s="1023"/>
      <c r="K941" s="1023"/>
      <c r="L941" s="1023"/>
      <c r="M941" s="1023"/>
      <c r="N941" s="1023"/>
      <c r="O941" s="1023"/>
      <c r="P941" s="1023"/>
      <c r="Q941" s="1023"/>
      <c r="R941" s="1023"/>
      <c r="S941" s="1023"/>
      <c r="T941" s="1023"/>
      <c r="U941" s="1023"/>
      <c r="V941" s="1023"/>
      <c r="W941" s="1023"/>
      <c r="X941" s="1023"/>
      <c r="Y941" s="1023"/>
      <c r="Z941" s="1023"/>
    </row>
    <row r="942" spans="1:26" ht="11.25" customHeight="1" x14ac:dyDescent="0.2">
      <c r="A942" s="1023"/>
      <c r="B942" s="1023"/>
      <c r="C942" s="1023"/>
      <c r="D942" s="1023"/>
      <c r="E942" s="1023"/>
      <c r="F942" s="1023"/>
      <c r="G942" s="1023"/>
      <c r="H942" s="1023"/>
      <c r="I942" s="1023"/>
      <c r="J942" s="1023"/>
      <c r="K942" s="1023"/>
      <c r="L942" s="1023"/>
      <c r="M942" s="1023"/>
      <c r="N942" s="1023"/>
      <c r="O942" s="1023"/>
      <c r="P942" s="1023"/>
      <c r="Q942" s="1023"/>
      <c r="R942" s="1023"/>
      <c r="S942" s="1023"/>
      <c r="T942" s="1023"/>
      <c r="U942" s="1023"/>
      <c r="V942" s="1023"/>
      <c r="W942" s="1023"/>
      <c r="X942" s="1023"/>
      <c r="Y942" s="1023"/>
      <c r="Z942" s="1023"/>
    </row>
    <row r="943" spans="1:26" ht="11.25" customHeight="1" x14ac:dyDescent="0.2">
      <c r="A943" s="1023"/>
      <c r="B943" s="1023"/>
      <c r="C943" s="1023"/>
      <c r="D943" s="1023"/>
      <c r="E943" s="1023"/>
      <c r="F943" s="1023"/>
      <c r="G943" s="1023"/>
      <c r="H943" s="1023"/>
      <c r="I943" s="1023"/>
      <c r="J943" s="1023"/>
      <c r="K943" s="1023"/>
      <c r="L943" s="1023"/>
      <c r="M943" s="1023"/>
      <c r="N943" s="1023"/>
      <c r="O943" s="1023"/>
      <c r="P943" s="1023"/>
      <c r="Q943" s="1023"/>
      <c r="R943" s="1023"/>
      <c r="S943" s="1023"/>
      <c r="T943" s="1023"/>
      <c r="U943" s="1023"/>
      <c r="V943" s="1023"/>
      <c r="W943" s="1023"/>
      <c r="X943" s="1023"/>
      <c r="Y943" s="1023"/>
      <c r="Z943" s="1023"/>
    </row>
    <row r="944" spans="1:26" ht="11.25" customHeight="1" x14ac:dyDescent="0.2">
      <c r="A944" s="1023"/>
      <c r="B944" s="1023"/>
      <c r="C944" s="1023"/>
      <c r="D944" s="1023"/>
      <c r="E944" s="1023"/>
      <c r="F944" s="1023"/>
      <c r="G944" s="1023"/>
      <c r="H944" s="1023"/>
      <c r="I944" s="1023"/>
      <c r="J944" s="1023"/>
      <c r="K944" s="1023"/>
      <c r="L944" s="1023"/>
      <c r="M944" s="1023"/>
      <c r="N944" s="1023"/>
      <c r="O944" s="1023"/>
      <c r="P944" s="1023"/>
      <c r="Q944" s="1023"/>
      <c r="R944" s="1023"/>
      <c r="S944" s="1023"/>
      <c r="T944" s="1023"/>
      <c r="U944" s="1023"/>
      <c r="V944" s="1023"/>
      <c r="W944" s="1023"/>
      <c r="X944" s="1023"/>
      <c r="Y944" s="1023"/>
      <c r="Z944" s="1023"/>
    </row>
    <row r="945" spans="1:26" ht="11.25" customHeight="1" x14ac:dyDescent="0.2">
      <c r="A945" s="1023"/>
      <c r="B945" s="1023"/>
      <c r="C945" s="1023"/>
      <c r="D945" s="1023"/>
      <c r="E945" s="1023"/>
      <c r="F945" s="1023"/>
      <c r="G945" s="1023"/>
      <c r="H945" s="1023"/>
      <c r="I945" s="1023"/>
      <c r="J945" s="1023"/>
      <c r="K945" s="1023"/>
      <c r="L945" s="1023"/>
      <c r="M945" s="1023"/>
      <c r="N945" s="1023"/>
      <c r="O945" s="1023"/>
      <c r="P945" s="1023"/>
      <c r="Q945" s="1023"/>
      <c r="R945" s="1023"/>
      <c r="S945" s="1023"/>
      <c r="T945" s="1023"/>
      <c r="U945" s="1023"/>
      <c r="V945" s="1023"/>
      <c r="W945" s="1023"/>
      <c r="X945" s="1023"/>
      <c r="Y945" s="1023"/>
      <c r="Z945" s="1023"/>
    </row>
    <row r="946" spans="1:26" ht="11.25" customHeight="1" x14ac:dyDescent="0.2">
      <c r="A946" s="1023"/>
      <c r="B946" s="1023"/>
      <c r="C946" s="1023"/>
      <c r="D946" s="1023"/>
      <c r="E946" s="1023"/>
      <c r="F946" s="1023"/>
      <c r="G946" s="1023"/>
      <c r="H946" s="1023"/>
      <c r="I946" s="1023"/>
      <c r="J946" s="1023"/>
      <c r="K946" s="1023"/>
      <c r="L946" s="1023"/>
      <c r="M946" s="1023"/>
      <c r="N946" s="1023"/>
      <c r="O946" s="1023"/>
      <c r="P946" s="1023"/>
      <c r="Q946" s="1023"/>
      <c r="R946" s="1023"/>
      <c r="S946" s="1023"/>
      <c r="T946" s="1023"/>
      <c r="U946" s="1023"/>
      <c r="V946" s="1023"/>
      <c r="W946" s="1023"/>
      <c r="X946" s="1023"/>
      <c r="Y946" s="1023"/>
      <c r="Z946" s="1023"/>
    </row>
    <row r="947" spans="1:26" ht="11.25" customHeight="1" x14ac:dyDescent="0.2">
      <c r="A947" s="1023"/>
      <c r="B947" s="1023"/>
      <c r="C947" s="1023"/>
      <c r="D947" s="1023"/>
      <c r="E947" s="1023"/>
      <c r="F947" s="1023"/>
      <c r="G947" s="1023"/>
      <c r="H947" s="1023"/>
      <c r="I947" s="1023"/>
      <c r="J947" s="1023"/>
      <c r="K947" s="1023"/>
      <c r="L947" s="1023"/>
      <c r="M947" s="1023"/>
      <c r="N947" s="1023"/>
      <c r="O947" s="1023"/>
      <c r="P947" s="1023"/>
      <c r="Q947" s="1023"/>
      <c r="R947" s="1023"/>
      <c r="S947" s="1023"/>
      <c r="T947" s="1023"/>
      <c r="U947" s="1023"/>
      <c r="V947" s="1023"/>
      <c r="W947" s="1023"/>
      <c r="X947" s="1023"/>
      <c r="Y947" s="1023"/>
      <c r="Z947" s="1023"/>
    </row>
    <row r="948" spans="1:26" ht="11.25" customHeight="1" x14ac:dyDescent="0.2">
      <c r="A948" s="1023"/>
      <c r="B948" s="1023"/>
      <c r="C948" s="1023"/>
      <c r="D948" s="1023"/>
      <c r="E948" s="1023"/>
      <c r="F948" s="1023"/>
      <c r="G948" s="1023"/>
      <c r="H948" s="1023"/>
      <c r="I948" s="1023"/>
      <c r="J948" s="1023"/>
      <c r="K948" s="1023"/>
      <c r="L948" s="1023"/>
      <c r="M948" s="1023"/>
      <c r="N948" s="1023"/>
      <c r="O948" s="1023"/>
      <c r="P948" s="1023"/>
      <c r="Q948" s="1023"/>
      <c r="R948" s="1023"/>
      <c r="S948" s="1023"/>
      <c r="T948" s="1023"/>
      <c r="U948" s="1023"/>
      <c r="V948" s="1023"/>
      <c r="W948" s="1023"/>
      <c r="X948" s="1023"/>
      <c r="Y948" s="1023"/>
      <c r="Z948" s="1023"/>
    </row>
    <row r="949" spans="1:26" ht="11.25" customHeight="1" x14ac:dyDescent="0.2">
      <c r="A949" s="1023"/>
      <c r="B949" s="1023"/>
      <c r="C949" s="1023"/>
      <c r="D949" s="1023"/>
      <c r="E949" s="1023"/>
      <c r="F949" s="1023"/>
      <c r="G949" s="1023"/>
      <c r="H949" s="1023"/>
      <c r="I949" s="1023"/>
      <c r="J949" s="1023"/>
      <c r="K949" s="1023"/>
      <c r="L949" s="1023"/>
      <c r="M949" s="1023"/>
      <c r="N949" s="1023"/>
      <c r="O949" s="1023"/>
      <c r="P949" s="1023"/>
      <c r="Q949" s="1023"/>
      <c r="R949" s="1023"/>
      <c r="S949" s="1023"/>
      <c r="T949" s="1023"/>
      <c r="U949" s="1023"/>
      <c r="V949" s="1023"/>
      <c r="W949" s="1023"/>
      <c r="X949" s="1023"/>
      <c r="Y949" s="1023"/>
      <c r="Z949" s="1023"/>
    </row>
    <row r="950" spans="1:26" ht="11.25" customHeight="1" x14ac:dyDescent="0.2">
      <c r="A950" s="1023"/>
      <c r="B950" s="1023"/>
      <c r="C950" s="1023"/>
      <c r="D950" s="1023"/>
      <c r="E950" s="1023"/>
      <c r="F950" s="1023"/>
      <c r="G950" s="1023"/>
      <c r="H950" s="1023"/>
      <c r="I950" s="1023"/>
      <c r="J950" s="1023"/>
      <c r="K950" s="1023"/>
      <c r="L950" s="1023"/>
      <c r="M950" s="1023"/>
      <c r="N950" s="1023"/>
      <c r="O950" s="1023"/>
      <c r="P950" s="1023"/>
      <c r="Q950" s="1023"/>
      <c r="R950" s="1023"/>
      <c r="S950" s="1023"/>
      <c r="T950" s="1023"/>
      <c r="U950" s="1023"/>
      <c r="V950" s="1023"/>
      <c r="W950" s="1023"/>
      <c r="X950" s="1023"/>
      <c r="Y950" s="1023"/>
      <c r="Z950" s="1023"/>
    </row>
    <row r="951" spans="1:26" ht="11.25" customHeight="1" x14ac:dyDescent="0.2">
      <c r="A951" s="1023"/>
      <c r="B951" s="1023"/>
      <c r="C951" s="1023"/>
      <c r="D951" s="1023"/>
      <c r="E951" s="1023"/>
      <c r="F951" s="1023"/>
      <c r="G951" s="1023"/>
      <c r="H951" s="1023"/>
      <c r="I951" s="1023"/>
      <c r="J951" s="1023"/>
      <c r="K951" s="1023"/>
      <c r="L951" s="1023"/>
      <c r="M951" s="1023"/>
      <c r="N951" s="1023"/>
      <c r="O951" s="1023"/>
      <c r="P951" s="1023"/>
      <c r="Q951" s="1023"/>
      <c r="R951" s="1023"/>
      <c r="S951" s="1023"/>
      <c r="T951" s="1023"/>
      <c r="U951" s="1023"/>
      <c r="V951" s="1023"/>
      <c r="W951" s="1023"/>
      <c r="X951" s="1023"/>
      <c r="Y951" s="1023"/>
      <c r="Z951" s="1023"/>
    </row>
    <row r="952" spans="1:26" ht="11.25" customHeight="1" x14ac:dyDescent="0.2">
      <c r="A952" s="1023"/>
      <c r="B952" s="1023"/>
      <c r="C952" s="1023"/>
      <c r="D952" s="1023"/>
      <c r="E952" s="1023"/>
      <c r="F952" s="1023"/>
      <c r="G952" s="1023"/>
      <c r="H952" s="1023"/>
      <c r="I952" s="1023"/>
      <c r="J952" s="1023"/>
      <c r="K952" s="1023"/>
      <c r="L952" s="1023"/>
      <c r="M952" s="1023"/>
      <c r="N952" s="1023"/>
      <c r="O952" s="1023"/>
      <c r="P952" s="1023"/>
      <c r="Q952" s="1023"/>
      <c r="R952" s="1023"/>
      <c r="S952" s="1023"/>
      <c r="T952" s="1023"/>
      <c r="U952" s="1023"/>
      <c r="V952" s="1023"/>
      <c r="W952" s="1023"/>
      <c r="X952" s="1023"/>
      <c r="Y952" s="1023"/>
      <c r="Z952" s="1023"/>
    </row>
    <row r="953" spans="1:26" ht="11.25" customHeight="1" x14ac:dyDescent="0.2">
      <c r="A953" s="1023"/>
      <c r="B953" s="1023"/>
      <c r="C953" s="1023"/>
      <c r="D953" s="1023"/>
      <c r="E953" s="1023"/>
      <c r="F953" s="1023"/>
      <c r="G953" s="1023"/>
      <c r="H953" s="1023"/>
      <c r="I953" s="1023"/>
      <c r="J953" s="1023"/>
      <c r="K953" s="1023"/>
      <c r="L953" s="1023"/>
      <c r="M953" s="1023"/>
      <c r="N953" s="1023"/>
      <c r="O953" s="1023"/>
      <c r="P953" s="1023"/>
      <c r="Q953" s="1023"/>
      <c r="R953" s="1023"/>
      <c r="S953" s="1023"/>
      <c r="T953" s="1023"/>
      <c r="U953" s="1023"/>
      <c r="V953" s="1023"/>
      <c r="W953" s="1023"/>
      <c r="X953" s="1023"/>
      <c r="Y953" s="1023"/>
      <c r="Z953" s="1023"/>
    </row>
    <row r="954" spans="1:26" ht="11.25" customHeight="1" x14ac:dyDescent="0.2">
      <c r="A954" s="1023"/>
      <c r="B954" s="1023"/>
      <c r="C954" s="1023"/>
      <c r="D954" s="1023"/>
      <c r="E954" s="1023"/>
      <c r="F954" s="1023"/>
      <c r="G954" s="1023"/>
      <c r="H954" s="1023"/>
      <c r="I954" s="1023"/>
      <c r="J954" s="1023"/>
      <c r="K954" s="1023"/>
      <c r="L954" s="1023"/>
      <c r="M954" s="1023"/>
      <c r="N954" s="1023"/>
      <c r="O954" s="1023"/>
      <c r="P954" s="1023"/>
      <c r="Q954" s="1023"/>
      <c r="R954" s="1023"/>
      <c r="S954" s="1023"/>
      <c r="T954" s="1023"/>
      <c r="U954" s="1023"/>
      <c r="V954" s="1023"/>
      <c r="W954" s="1023"/>
      <c r="X954" s="1023"/>
      <c r="Y954" s="1023"/>
      <c r="Z954" s="1023"/>
    </row>
    <row r="955" spans="1:26" ht="11.25" customHeight="1" x14ac:dyDescent="0.2">
      <c r="A955" s="1023"/>
      <c r="B955" s="1023"/>
      <c r="C955" s="1023"/>
      <c r="D955" s="1023"/>
      <c r="E955" s="1023"/>
      <c r="F955" s="1023"/>
      <c r="G955" s="1023"/>
      <c r="H955" s="1023"/>
      <c r="I955" s="1023"/>
      <c r="J955" s="1023"/>
      <c r="K955" s="1023"/>
      <c r="L955" s="1023"/>
      <c r="M955" s="1023"/>
      <c r="N955" s="1023"/>
      <c r="O955" s="1023"/>
      <c r="P955" s="1023"/>
      <c r="Q955" s="1023"/>
      <c r="R955" s="1023"/>
      <c r="S955" s="1023"/>
      <c r="T955" s="1023"/>
      <c r="U955" s="1023"/>
      <c r="V955" s="1023"/>
      <c r="W955" s="1023"/>
      <c r="X955" s="1023"/>
      <c r="Y955" s="1023"/>
      <c r="Z955" s="1023"/>
    </row>
    <row r="956" spans="1:26" ht="11.25" customHeight="1" x14ac:dyDescent="0.2">
      <c r="A956" s="1023"/>
      <c r="B956" s="1023"/>
      <c r="C956" s="1023"/>
      <c r="D956" s="1023"/>
      <c r="E956" s="1023"/>
      <c r="F956" s="1023"/>
      <c r="G956" s="1023"/>
      <c r="H956" s="1023"/>
      <c r="I956" s="1023"/>
      <c r="J956" s="1023"/>
      <c r="K956" s="1023"/>
      <c r="L956" s="1023"/>
      <c r="M956" s="1023"/>
      <c r="N956" s="1023"/>
      <c r="O956" s="1023"/>
      <c r="P956" s="1023"/>
      <c r="Q956" s="1023"/>
      <c r="R956" s="1023"/>
      <c r="S956" s="1023"/>
      <c r="T956" s="1023"/>
      <c r="U956" s="1023"/>
      <c r="V956" s="1023"/>
      <c r="W956" s="1023"/>
      <c r="X956" s="1023"/>
      <c r="Y956" s="1023"/>
      <c r="Z956" s="1023"/>
    </row>
    <row r="957" spans="1:26" ht="11.25" customHeight="1" x14ac:dyDescent="0.2">
      <c r="A957" s="1023"/>
      <c r="B957" s="1023"/>
      <c r="C957" s="1023"/>
      <c r="D957" s="1023"/>
      <c r="E957" s="1023"/>
      <c r="F957" s="1023"/>
      <c r="G957" s="1023"/>
      <c r="H957" s="1023"/>
      <c r="I957" s="1023"/>
      <c r="J957" s="1023"/>
      <c r="K957" s="1023"/>
      <c r="L957" s="1023"/>
      <c r="M957" s="1023"/>
      <c r="N957" s="1023"/>
      <c r="O957" s="1023"/>
      <c r="P957" s="1023"/>
      <c r="Q957" s="1023"/>
      <c r="R957" s="1023"/>
      <c r="S957" s="1023"/>
      <c r="T957" s="1023"/>
      <c r="U957" s="1023"/>
      <c r="V957" s="1023"/>
      <c r="W957" s="1023"/>
      <c r="X957" s="1023"/>
      <c r="Y957" s="1023"/>
      <c r="Z957" s="1023"/>
    </row>
    <row r="958" spans="1:26" ht="11.25" customHeight="1" x14ac:dyDescent="0.2">
      <c r="A958" s="1023"/>
      <c r="B958" s="1023"/>
      <c r="C958" s="1023"/>
      <c r="D958" s="1023"/>
      <c r="E958" s="1023"/>
      <c r="F958" s="1023"/>
      <c r="G958" s="1023"/>
      <c r="H958" s="1023"/>
      <c r="I958" s="1023"/>
      <c r="J958" s="1023"/>
      <c r="K958" s="1023"/>
      <c r="L958" s="1023"/>
      <c r="M958" s="1023"/>
      <c r="N958" s="1023"/>
      <c r="O958" s="1023"/>
      <c r="P958" s="1023"/>
      <c r="Q958" s="1023"/>
      <c r="R958" s="1023"/>
      <c r="S958" s="1023"/>
      <c r="T958" s="1023"/>
      <c r="U958" s="1023"/>
      <c r="V958" s="1023"/>
      <c r="W958" s="1023"/>
      <c r="X958" s="1023"/>
      <c r="Y958" s="1023"/>
      <c r="Z958" s="1023"/>
    </row>
    <row r="959" spans="1:26" ht="11.25" customHeight="1" x14ac:dyDescent="0.2">
      <c r="A959" s="1023"/>
      <c r="B959" s="1023"/>
      <c r="C959" s="1023"/>
      <c r="D959" s="1023"/>
      <c r="E959" s="1023"/>
      <c r="F959" s="1023"/>
      <c r="G959" s="1023"/>
      <c r="H959" s="1023"/>
      <c r="I959" s="1023"/>
      <c r="J959" s="1023"/>
      <c r="K959" s="1023"/>
      <c r="L959" s="1023"/>
      <c r="M959" s="1023"/>
      <c r="N959" s="1023"/>
      <c r="O959" s="1023"/>
      <c r="P959" s="1023"/>
      <c r="Q959" s="1023"/>
      <c r="R959" s="1023"/>
      <c r="S959" s="1023"/>
      <c r="T959" s="1023"/>
      <c r="U959" s="1023"/>
      <c r="V959" s="1023"/>
      <c r="W959" s="1023"/>
      <c r="X959" s="1023"/>
      <c r="Y959" s="1023"/>
      <c r="Z959" s="1023"/>
    </row>
    <row r="960" spans="1:26" ht="11.25" customHeight="1" x14ac:dyDescent="0.2">
      <c r="A960" s="1023"/>
      <c r="B960" s="1023"/>
      <c r="C960" s="1023"/>
      <c r="D960" s="1023"/>
      <c r="E960" s="1023"/>
      <c r="F960" s="1023"/>
      <c r="G960" s="1023"/>
      <c r="H960" s="1023"/>
      <c r="I960" s="1023"/>
      <c r="J960" s="1023"/>
      <c r="K960" s="1023"/>
      <c r="L960" s="1023"/>
      <c r="M960" s="1023"/>
      <c r="N960" s="1023"/>
      <c r="O960" s="1023"/>
      <c r="P960" s="1023"/>
      <c r="Q960" s="1023"/>
      <c r="R960" s="1023"/>
      <c r="S960" s="1023"/>
      <c r="T960" s="1023"/>
      <c r="U960" s="1023"/>
      <c r="V960" s="1023"/>
      <c r="W960" s="1023"/>
      <c r="X960" s="1023"/>
      <c r="Y960" s="1023"/>
      <c r="Z960" s="1023"/>
    </row>
    <row r="961" spans="1:26" ht="11.25" customHeight="1" x14ac:dyDescent="0.2">
      <c r="A961" s="1023"/>
      <c r="B961" s="1023"/>
      <c r="C961" s="1023"/>
      <c r="D961" s="1023"/>
      <c r="E961" s="1023"/>
      <c r="F961" s="1023"/>
      <c r="G961" s="1023"/>
      <c r="H961" s="1023"/>
      <c r="I961" s="1023"/>
      <c r="J961" s="1023"/>
      <c r="K961" s="1023"/>
      <c r="L961" s="1023"/>
      <c r="M961" s="1023"/>
      <c r="N961" s="1023"/>
      <c r="O961" s="1023"/>
      <c r="P961" s="1023"/>
      <c r="Q961" s="1023"/>
      <c r="R961" s="1023"/>
      <c r="S961" s="1023"/>
      <c r="T961" s="1023"/>
      <c r="U961" s="1023"/>
      <c r="V961" s="1023"/>
      <c r="W961" s="1023"/>
      <c r="X961" s="1023"/>
      <c r="Y961" s="1023"/>
      <c r="Z961" s="1023"/>
    </row>
    <row r="962" spans="1:26" ht="11.25" customHeight="1" x14ac:dyDescent="0.2">
      <c r="A962" s="1023"/>
      <c r="B962" s="1023"/>
      <c r="C962" s="1023"/>
      <c r="D962" s="1023"/>
      <c r="E962" s="1023"/>
      <c r="F962" s="1023"/>
      <c r="G962" s="1023"/>
      <c r="H962" s="1023"/>
      <c r="I962" s="1023"/>
      <c r="J962" s="1023"/>
      <c r="K962" s="1023"/>
      <c r="L962" s="1023"/>
      <c r="M962" s="1023"/>
      <c r="N962" s="1023"/>
      <c r="O962" s="1023"/>
      <c r="P962" s="1023"/>
      <c r="Q962" s="1023"/>
      <c r="R962" s="1023"/>
      <c r="S962" s="1023"/>
      <c r="T962" s="1023"/>
      <c r="U962" s="1023"/>
      <c r="V962" s="1023"/>
      <c r="W962" s="1023"/>
      <c r="X962" s="1023"/>
      <c r="Y962" s="1023"/>
      <c r="Z962" s="1023"/>
    </row>
    <row r="963" spans="1:26" ht="11.25" customHeight="1" x14ac:dyDescent="0.2">
      <c r="A963" s="1023"/>
      <c r="B963" s="1023"/>
      <c r="C963" s="1023"/>
      <c r="D963" s="1023"/>
      <c r="E963" s="1023"/>
      <c r="F963" s="1023"/>
      <c r="G963" s="1023"/>
      <c r="H963" s="1023"/>
      <c r="I963" s="1023"/>
      <c r="J963" s="1023"/>
      <c r="K963" s="1023"/>
      <c r="L963" s="1023"/>
      <c r="M963" s="1023"/>
      <c r="N963" s="1023"/>
      <c r="O963" s="1023"/>
      <c r="P963" s="1023"/>
      <c r="Q963" s="1023"/>
      <c r="R963" s="1023"/>
      <c r="S963" s="1023"/>
      <c r="T963" s="1023"/>
      <c r="U963" s="1023"/>
      <c r="V963" s="1023"/>
      <c r="W963" s="1023"/>
      <c r="X963" s="1023"/>
      <c r="Y963" s="1023"/>
      <c r="Z963" s="1023"/>
    </row>
    <row r="964" spans="1:26" ht="11.25" customHeight="1" x14ac:dyDescent="0.2">
      <c r="A964" s="1023"/>
      <c r="B964" s="1023"/>
      <c r="C964" s="1023"/>
      <c r="D964" s="1023"/>
      <c r="E964" s="1023"/>
      <c r="F964" s="1023"/>
      <c r="G964" s="1023"/>
      <c r="H964" s="1023"/>
      <c r="I964" s="1023"/>
      <c r="J964" s="1023"/>
      <c r="K964" s="1023"/>
      <c r="L964" s="1023"/>
      <c r="M964" s="1023"/>
      <c r="N964" s="1023"/>
      <c r="O964" s="1023"/>
      <c r="P964" s="1023"/>
      <c r="Q964" s="1023"/>
      <c r="R964" s="1023"/>
      <c r="S964" s="1023"/>
      <c r="T964" s="1023"/>
      <c r="U964" s="1023"/>
      <c r="V964" s="1023"/>
      <c r="W964" s="1023"/>
      <c r="X964" s="1023"/>
      <c r="Y964" s="1023"/>
      <c r="Z964" s="1023"/>
    </row>
    <row r="965" spans="1:26" ht="11.25" customHeight="1" x14ac:dyDescent="0.2">
      <c r="A965" s="1023"/>
      <c r="B965" s="1023"/>
      <c r="C965" s="1023"/>
      <c r="D965" s="1023"/>
      <c r="E965" s="1023"/>
      <c r="F965" s="1023"/>
      <c r="G965" s="1023"/>
      <c r="H965" s="1023"/>
      <c r="I965" s="1023"/>
      <c r="J965" s="1023"/>
      <c r="K965" s="1023"/>
      <c r="L965" s="1023"/>
      <c r="M965" s="1023"/>
      <c r="N965" s="1023"/>
      <c r="O965" s="1023"/>
      <c r="P965" s="1023"/>
      <c r="Q965" s="1023"/>
      <c r="R965" s="1023"/>
      <c r="S965" s="1023"/>
      <c r="T965" s="1023"/>
      <c r="U965" s="1023"/>
      <c r="V965" s="1023"/>
      <c r="W965" s="1023"/>
      <c r="X965" s="1023"/>
      <c r="Y965" s="1023"/>
      <c r="Z965" s="1023"/>
    </row>
    <row r="966" spans="1:26" ht="11.25" customHeight="1" x14ac:dyDescent="0.2">
      <c r="A966" s="1023"/>
      <c r="B966" s="1023"/>
      <c r="C966" s="1023"/>
      <c r="D966" s="1023"/>
      <c r="E966" s="1023"/>
      <c r="F966" s="1023"/>
      <c r="G966" s="1023"/>
      <c r="H966" s="1023"/>
      <c r="I966" s="1023"/>
      <c r="J966" s="1023"/>
      <c r="K966" s="1023"/>
      <c r="L966" s="1023"/>
      <c r="M966" s="1023"/>
      <c r="N966" s="1023"/>
      <c r="O966" s="1023"/>
      <c r="P966" s="1023"/>
      <c r="Q966" s="1023"/>
      <c r="R966" s="1023"/>
      <c r="S966" s="1023"/>
      <c r="T966" s="1023"/>
      <c r="U966" s="1023"/>
      <c r="V966" s="1023"/>
      <c r="W966" s="1023"/>
      <c r="X966" s="1023"/>
      <c r="Y966" s="1023"/>
      <c r="Z966" s="1023"/>
    </row>
    <row r="967" spans="1:26" ht="11.25" customHeight="1" x14ac:dyDescent="0.2">
      <c r="A967" s="1023"/>
      <c r="B967" s="1023"/>
      <c r="C967" s="1023"/>
      <c r="D967" s="1023"/>
      <c r="E967" s="1023"/>
      <c r="F967" s="1023"/>
      <c r="G967" s="1023"/>
      <c r="H967" s="1023"/>
      <c r="I967" s="1023"/>
      <c r="J967" s="1023"/>
      <c r="K967" s="1023"/>
      <c r="L967" s="1023"/>
      <c r="M967" s="1023"/>
      <c r="N967" s="1023"/>
      <c r="O967" s="1023"/>
      <c r="P967" s="1023"/>
      <c r="Q967" s="1023"/>
      <c r="R967" s="1023"/>
      <c r="S967" s="1023"/>
      <c r="T967" s="1023"/>
      <c r="U967" s="1023"/>
      <c r="V967" s="1023"/>
      <c r="W967" s="1023"/>
      <c r="X967" s="1023"/>
      <c r="Y967" s="1023"/>
      <c r="Z967" s="1023"/>
    </row>
    <row r="968" spans="1:26" ht="11.25" customHeight="1" x14ac:dyDescent="0.2">
      <c r="A968" s="1023"/>
      <c r="B968" s="1023"/>
      <c r="C968" s="1023"/>
      <c r="D968" s="1023"/>
      <c r="E968" s="1023"/>
      <c r="F968" s="1023"/>
      <c r="G968" s="1023"/>
      <c r="H968" s="1023"/>
      <c r="I968" s="1023"/>
      <c r="J968" s="1023"/>
      <c r="K968" s="1023"/>
      <c r="L968" s="1023"/>
      <c r="M968" s="1023"/>
      <c r="N968" s="1023"/>
      <c r="O968" s="1023"/>
      <c r="P968" s="1023"/>
      <c r="Q968" s="1023"/>
      <c r="R968" s="1023"/>
      <c r="S968" s="1023"/>
      <c r="T968" s="1023"/>
      <c r="U968" s="1023"/>
      <c r="V968" s="1023"/>
      <c r="W968" s="1023"/>
      <c r="X968" s="1023"/>
      <c r="Y968" s="1023"/>
      <c r="Z968" s="1023"/>
    </row>
    <row r="969" spans="1:26" ht="11.25" customHeight="1" x14ac:dyDescent="0.2">
      <c r="A969" s="1023"/>
      <c r="B969" s="1023"/>
      <c r="C969" s="1023"/>
      <c r="D969" s="1023"/>
      <c r="E969" s="1023"/>
      <c r="F969" s="1023"/>
      <c r="G969" s="1023"/>
      <c r="H969" s="1023"/>
      <c r="I969" s="1023"/>
      <c r="J969" s="1023"/>
      <c r="K969" s="1023"/>
      <c r="L969" s="1023"/>
      <c r="M969" s="1023"/>
      <c r="N969" s="1023"/>
      <c r="O969" s="1023"/>
      <c r="P969" s="1023"/>
      <c r="Q969" s="1023"/>
      <c r="R969" s="1023"/>
      <c r="S969" s="1023"/>
      <c r="T969" s="1023"/>
      <c r="U969" s="1023"/>
      <c r="V969" s="1023"/>
      <c r="W969" s="1023"/>
      <c r="X969" s="1023"/>
      <c r="Y969" s="1023"/>
      <c r="Z969" s="1023"/>
    </row>
    <row r="970" spans="1:26" ht="11.25" customHeight="1" x14ac:dyDescent="0.2">
      <c r="A970" s="1023"/>
      <c r="B970" s="1023"/>
      <c r="C970" s="1023"/>
      <c r="D970" s="1023"/>
      <c r="E970" s="1023"/>
      <c r="F970" s="1023"/>
      <c r="G970" s="1023"/>
      <c r="H970" s="1023"/>
      <c r="I970" s="1023"/>
      <c r="J970" s="1023"/>
      <c r="K970" s="1023"/>
      <c r="L970" s="1023"/>
      <c r="M970" s="1023"/>
      <c r="N970" s="1023"/>
      <c r="O970" s="1023"/>
      <c r="P970" s="1023"/>
      <c r="Q970" s="1023"/>
      <c r="R970" s="1023"/>
      <c r="S970" s="1023"/>
      <c r="T970" s="1023"/>
      <c r="U970" s="1023"/>
      <c r="V970" s="1023"/>
      <c r="W970" s="1023"/>
      <c r="X970" s="1023"/>
      <c r="Y970" s="1023"/>
      <c r="Z970" s="1023"/>
    </row>
    <row r="971" spans="1:26" ht="11.25" customHeight="1" x14ac:dyDescent="0.2">
      <c r="A971" s="1023"/>
      <c r="B971" s="1023"/>
      <c r="C971" s="1023"/>
      <c r="D971" s="1023"/>
      <c r="E971" s="1023"/>
      <c r="F971" s="1023"/>
      <c r="G971" s="1023"/>
      <c r="H971" s="1023"/>
      <c r="I971" s="1023"/>
      <c r="J971" s="1023"/>
      <c r="K971" s="1023"/>
      <c r="L971" s="1023"/>
      <c r="M971" s="1023"/>
      <c r="N971" s="1023"/>
      <c r="O971" s="1023"/>
      <c r="P971" s="1023"/>
      <c r="Q971" s="1023"/>
      <c r="R971" s="1023"/>
      <c r="S971" s="1023"/>
      <c r="T971" s="1023"/>
      <c r="U971" s="1023"/>
      <c r="V971" s="1023"/>
      <c r="W971" s="1023"/>
      <c r="X971" s="1023"/>
      <c r="Y971" s="1023"/>
      <c r="Z971" s="1023"/>
    </row>
    <row r="972" spans="1:26" ht="11.25" customHeight="1" x14ac:dyDescent="0.2">
      <c r="A972" s="1023"/>
      <c r="B972" s="1023"/>
      <c r="C972" s="1023"/>
      <c r="D972" s="1023"/>
      <c r="E972" s="1023"/>
      <c r="F972" s="1023"/>
      <c r="G972" s="1023"/>
      <c r="H972" s="1023"/>
      <c r="I972" s="1023"/>
      <c r="J972" s="1023"/>
      <c r="K972" s="1023"/>
      <c r="L972" s="1023"/>
      <c r="M972" s="1023"/>
      <c r="N972" s="1023"/>
      <c r="O972" s="1023"/>
      <c r="P972" s="1023"/>
      <c r="Q972" s="1023"/>
      <c r="R972" s="1023"/>
      <c r="S972" s="1023"/>
      <c r="T972" s="1023"/>
      <c r="U972" s="1023"/>
      <c r="V972" s="1023"/>
      <c r="W972" s="1023"/>
      <c r="X972" s="1023"/>
      <c r="Y972" s="1023"/>
      <c r="Z972" s="1023"/>
    </row>
    <row r="973" spans="1:26" ht="11.25" customHeight="1" x14ac:dyDescent="0.2">
      <c r="A973" s="1023"/>
      <c r="B973" s="1023"/>
      <c r="C973" s="1023"/>
      <c r="D973" s="1023"/>
      <c r="E973" s="1023"/>
      <c r="F973" s="1023"/>
      <c r="G973" s="1023"/>
      <c r="H973" s="1023"/>
      <c r="I973" s="1023"/>
      <c r="J973" s="1023"/>
      <c r="K973" s="1023"/>
      <c r="L973" s="1023"/>
      <c r="M973" s="1023"/>
      <c r="N973" s="1023"/>
      <c r="O973" s="1023"/>
      <c r="P973" s="1023"/>
      <c r="Q973" s="1023"/>
      <c r="R973" s="1023"/>
      <c r="S973" s="1023"/>
      <c r="T973" s="1023"/>
      <c r="U973" s="1023"/>
      <c r="V973" s="1023"/>
      <c r="W973" s="1023"/>
      <c r="X973" s="1023"/>
      <c r="Y973" s="1023"/>
      <c r="Z973" s="1023"/>
    </row>
    <row r="974" spans="1:26" ht="11.25" customHeight="1" x14ac:dyDescent="0.2">
      <c r="A974" s="1023"/>
      <c r="B974" s="1023"/>
      <c r="C974" s="1023"/>
      <c r="D974" s="1023"/>
      <c r="E974" s="1023"/>
      <c r="F974" s="1023"/>
      <c r="G974" s="1023"/>
      <c r="H974" s="1023"/>
      <c r="I974" s="1023"/>
      <c r="J974" s="1023"/>
      <c r="K974" s="1023"/>
      <c r="L974" s="1023"/>
      <c r="M974" s="1023"/>
      <c r="N974" s="1023"/>
      <c r="O974" s="1023"/>
      <c r="P974" s="1023"/>
      <c r="Q974" s="1023"/>
      <c r="R974" s="1023"/>
      <c r="S974" s="1023"/>
      <c r="T974" s="1023"/>
      <c r="U974" s="1023"/>
      <c r="V974" s="1023"/>
      <c r="W974" s="1023"/>
      <c r="X974" s="1023"/>
      <c r="Y974" s="1023"/>
      <c r="Z974" s="1023"/>
    </row>
    <row r="975" spans="1:26" ht="11.25" customHeight="1" x14ac:dyDescent="0.2">
      <c r="A975" s="1023"/>
      <c r="B975" s="1023"/>
      <c r="C975" s="1023"/>
      <c r="D975" s="1023"/>
      <c r="E975" s="1023"/>
      <c r="F975" s="1023"/>
      <c r="G975" s="1023"/>
      <c r="H975" s="1023"/>
      <c r="I975" s="1023"/>
      <c r="J975" s="1023"/>
      <c r="K975" s="1023"/>
      <c r="L975" s="1023"/>
      <c r="M975" s="1023"/>
      <c r="N975" s="1023"/>
      <c r="O975" s="1023"/>
      <c r="P975" s="1023"/>
      <c r="Q975" s="1023"/>
      <c r="R975" s="1023"/>
      <c r="S975" s="1023"/>
      <c r="T975" s="1023"/>
      <c r="U975" s="1023"/>
      <c r="V975" s="1023"/>
      <c r="W975" s="1023"/>
      <c r="X975" s="1023"/>
      <c r="Y975" s="1023"/>
      <c r="Z975" s="1023"/>
    </row>
    <row r="976" spans="1:26" ht="11.25" customHeight="1" x14ac:dyDescent="0.2">
      <c r="A976" s="1023"/>
      <c r="B976" s="1023"/>
      <c r="C976" s="1023"/>
      <c r="D976" s="1023"/>
      <c r="E976" s="1023"/>
      <c r="F976" s="1023"/>
      <c r="G976" s="1023"/>
      <c r="H976" s="1023"/>
      <c r="I976" s="1023"/>
      <c r="J976" s="1023"/>
      <c r="K976" s="1023"/>
      <c r="L976" s="1023"/>
      <c r="M976" s="1023"/>
      <c r="N976" s="1023"/>
      <c r="O976" s="1023"/>
      <c r="P976" s="1023"/>
      <c r="Q976" s="1023"/>
      <c r="R976" s="1023"/>
      <c r="S976" s="1023"/>
      <c r="T976" s="1023"/>
      <c r="U976" s="1023"/>
      <c r="V976" s="1023"/>
      <c r="W976" s="1023"/>
      <c r="X976" s="1023"/>
      <c r="Y976" s="1023"/>
      <c r="Z976" s="1023"/>
    </row>
    <row r="977" spans="1:26" ht="11.25" customHeight="1" x14ac:dyDescent="0.2">
      <c r="A977" s="1023"/>
      <c r="B977" s="1023"/>
      <c r="C977" s="1023"/>
      <c r="D977" s="1023"/>
      <c r="E977" s="1023"/>
      <c r="F977" s="1023"/>
      <c r="G977" s="1023"/>
      <c r="H977" s="1023"/>
      <c r="I977" s="1023"/>
      <c r="J977" s="1023"/>
      <c r="K977" s="1023"/>
      <c r="L977" s="1023"/>
      <c r="M977" s="1023"/>
      <c r="N977" s="1023"/>
      <c r="O977" s="1023"/>
      <c r="P977" s="1023"/>
      <c r="Q977" s="1023"/>
      <c r="R977" s="1023"/>
      <c r="S977" s="1023"/>
      <c r="T977" s="1023"/>
      <c r="U977" s="1023"/>
      <c r="V977" s="1023"/>
      <c r="W977" s="1023"/>
      <c r="X977" s="1023"/>
      <c r="Y977" s="1023"/>
      <c r="Z977" s="1023"/>
    </row>
    <row r="978" spans="1:26" ht="11.25" customHeight="1" x14ac:dyDescent="0.2">
      <c r="A978" s="1023"/>
      <c r="B978" s="1023"/>
      <c r="C978" s="1023"/>
      <c r="D978" s="1023"/>
      <c r="E978" s="1023"/>
      <c r="F978" s="1023"/>
      <c r="G978" s="1023"/>
      <c r="H978" s="1023"/>
      <c r="I978" s="1023"/>
      <c r="J978" s="1023"/>
      <c r="K978" s="1023"/>
      <c r="L978" s="1023"/>
      <c r="M978" s="1023"/>
      <c r="N978" s="1023"/>
      <c r="O978" s="1023"/>
      <c r="P978" s="1023"/>
      <c r="Q978" s="1023"/>
      <c r="R978" s="1023"/>
      <c r="S978" s="1023"/>
      <c r="T978" s="1023"/>
      <c r="U978" s="1023"/>
      <c r="V978" s="1023"/>
      <c r="W978" s="1023"/>
      <c r="X978" s="1023"/>
      <c r="Y978" s="1023"/>
      <c r="Z978" s="1023"/>
    </row>
    <row r="979" spans="1:26" ht="11.25" customHeight="1" x14ac:dyDescent="0.2">
      <c r="A979" s="1023"/>
      <c r="B979" s="1023"/>
      <c r="C979" s="1023"/>
      <c r="D979" s="1023"/>
      <c r="E979" s="1023"/>
      <c r="F979" s="1023"/>
      <c r="G979" s="1023"/>
      <c r="H979" s="1023"/>
      <c r="I979" s="1023"/>
      <c r="J979" s="1023"/>
      <c r="K979" s="1023"/>
      <c r="L979" s="1023"/>
      <c r="M979" s="1023"/>
      <c r="N979" s="1023"/>
      <c r="O979" s="1023"/>
      <c r="P979" s="1023"/>
      <c r="Q979" s="1023"/>
      <c r="R979" s="1023"/>
      <c r="S979" s="1023"/>
      <c r="T979" s="1023"/>
      <c r="U979" s="1023"/>
      <c r="V979" s="1023"/>
      <c r="W979" s="1023"/>
      <c r="X979" s="1023"/>
      <c r="Y979" s="1023"/>
      <c r="Z979" s="1023"/>
    </row>
    <row r="980" spans="1:26" ht="11.25" customHeight="1" x14ac:dyDescent="0.2">
      <c r="A980" s="1023"/>
      <c r="B980" s="1023"/>
      <c r="C980" s="1023"/>
      <c r="D980" s="1023"/>
      <c r="E980" s="1023"/>
      <c r="F980" s="1023"/>
      <c r="G980" s="1023"/>
      <c r="H980" s="1023"/>
      <c r="I980" s="1023"/>
      <c r="J980" s="1023"/>
      <c r="K980" s="1023"/>
      <c r="L980" s="1023"/>
      <c r="M980" s="1023"/>
      <c r="N980" s="1023"/>
      <c r="O980" s="1023"/>
      <c r="P980" s="1023"/>
      <c r="Q980" s="1023"/>
      <c r="R980" s="1023"/>
      <c r="S980" s="1023"/>
      <c r="T980" s="1023"/>
      <c r="U980" s="1023"/>
      <c r="V980" s="1023"/>
      <c r="W980" s="1023"/>
      <c r="X980" s="1023"/>
      <c r="Y980" s="1023"/>
      <c r="Z980" s="1023"/>
    </row>
    <row r="981" spans="1:26" ht="11.25" customHeight="1" x14ac:dyDescent="0.2">
      <c r="A981" s="1023"/>
      <c r="B981" s="1023"/>
      <c r="C981" s="1023"/>
      <c r="D981" s="1023"/>
      <c r="E981" s="1023"/>
      <c r="F981" s="1023"/>
      <c r="G981" s="1023"/>
      <c r="H981" s="1023"/>
      <c r="I981" s="1023"/>
      <c r="J981" s="1023"/>
      <c r="K981" s="1023"/>
      <c r="L981" s="1023"/>
      <c r="M981" s="1023"/>
      <c r="N981" s="1023"/>
      <c r="O981" s="1023"/>
      <c r="P981" s="1023"/>
      <c r="Q981" s="1023"/>
      <c r="R981" s="1023"/>
      <c r="S981" s="1023"/>
      <c r="T981" s="1023"/>
      <c r="U981" s="1023"/>
      <c r="V981" s="1023"/>
      <c r="W981" s="1023"/>
      <c r="X981" s="1023"/>
      <c r="Y981" s="1023"/>
      <c r="Z981" s="1023"/>
    </row>
    <row r="982" spans="1:26" ht="11.25" customHeight="1" x14ac:dyDescent="0.2">
      <c r="A982" s="1023"/>
      <c r="B982" s="1023"/>
      <c r="C982" s="1023"/>
      <c r="D982" s="1023"/>
      <c r="E982" s="1023"/>
      <c r="F982" s="1023"/>
      <c r="G982" s="1023"/>
      <c r="H982" s="1023"/>
      <c r="I982" s="1023"/>
      <c r="J982" s="1023"/>
      <c r="K982" s="1023"/>
      <c r="L982" s="1023"/>
      <c r="M982" s="1023"/>
      <c r="N982" s="1023"/>
      <c r="O982" s="1023"/>
      <c r="P982" s="1023"/>
      <c r="Q982" s="1023"/>
      <c r="R982" s="1023"/>
      <c r="S982" s="1023"/>
      <c r="T982" s="1023"/>
      <c r="U982" s="1023"/>
      <c r="V982" s="1023"/>
      <c r="W982" s="1023"/>
      <c r="X982" s="1023"/>
      <c r="Y982" s="1023"/>
      <c r="Z982" s="1023"/>
    </row>
    <row r="983" spans="1:26" ht="11.25" customHeight="1" x14ac:dyDescent="0.2">
      <c r="A983" s="1023"/>
      <c r="B983" s="1023"/>
      <c r="C983" s="1023"/>
      <c r="D983" s="1023"/>
      <c r="E983" s="1023"/>
      <c r="F983" s="1023"/>
      <c r="G983" s="1023"/>
      <c r="H983" s="1023"/>
      <c r="I983" s="1023"/>
      <c r="J983" s="1023"/>
      <c r="K983" s="1023"/>
      <c r="L983" s="1023"/>
      <c r="M983" s="1023"/>
      <c r="N983" s="1023"/>
      <c r="O983" s="1023"/>
      <c r="P983" s="1023"/>
      <c r="Q983" s="1023"/>
      <c r="R983" s="1023"/>
      <c r="S983" s="1023"/>
      <c r="T983" s="1023"/>
      <c r="U983" s="1023"/>
      <c r="V983" s="1023"/>
      <c r="W983" s="1023"/>
      <c r="X983" s="1023"/>
      <c r="Y983" s="1023"/>
      <c r="Z983" s="1023"/>
    </row>
    <row r="984" spans="1:26" ht="11.25" customHeight="1" x14ac:dyDescent="0.2">
      <c r="A984" s="1023"/>
      <c r="B984" s="1023"/>
      <c r="C984" s="1023"/>
      <c r="D984" s="1023"/>
      <c r="E984" s="1023"/>
      <c r="F984" s="1023"/>
      <c r="G984" s="1023"/>
      <c r="H984" s="1023"/>
      <c r="I984" s="1023"/>
      <c r="J984" s="1023"/>
      <c r="K984" s="1023"/>
      <c r="L984" s="1023"/>
      <c r="M984" s="1023"/>
      <c r="N984" s="1023"/>
      <c r="O984" s="1023"/>
      <c r="P984" s="1023"/>
      <c r="Q984" s="1023"/>
      <c r="R984" s="1023"/>
      <c r="S984" s="1023"/>
      <c r="T984" s="1023"/>
      <c r="U984" s="1023"/>
      <c r="V984" s="1023"/>
      <c r="W984" s="1023"/>
      <c r="X984" s="1023"/>
      <c r="Y984" s="1023"/>
      <c r="Z984" s="1023"/>
    </row>
    <row r="985" spans="1:26" ht="11.25" customHeight="1" x14ac:dyDescent="0.2">
      <c r="A985" s="1023"/>
      <c r="B985" s="1023"/>
      <c r="C985" s="1023"/>
      <c r="D985" s="1023"/>
      <c r="E985" s="1023"/>
      <c r="F985" s="1023"/>
      <c r="G985" s="1023"/>
      <c r="H985" s="1023"/>
      <c r="I985" s="1023"/>
      <c r="J985" s="1023"/>
      <c r="K985" s="1023"/>
      <c r="L985" s="1023"/>
      <c r="M985" s="1023"/>
      <c r="N985" s="1023"/>
      <c r="O985" s="1023"/>
      <c r="P985" s="1023"/>
      <c r="Q985" s="1023"/>
      <c r="R985" s="1023"/>
      <c r="S985" s="1023"/>
      <c r="T985" s="1023"/>
      <c r="U985" s="1023"/>
      <c r="V985" s="1023"/>
      <c r="W985" s="1023"/>
      <c r="X985" s="1023"/>
      <c r="Y985" s="1023"/>
      <c r="Z985" s="1023"/>
    </row>
    <row r="986" spans="1:26" ht="11.25" customHeight="1" x14ac:dyDescent="0.2">
      <c r="A986" s="1023"/>
      <c r="B986" s="1023"/>
      <c r="C986" s="1023"/>
      <c r="D986" s="1023"/>
      <c r="E986" s="1023"/>
      <c r="F986" s="1023"/>
      <c r="G986" s="1023"/>
      <c r="H986" s="1023"/>
      <c r="I986" s="1023"/>
      <c r="J986" s="1023"/>
      <c r="K986" s="1023"/>
      <c r="L986" s="1023"/>
      <c r="M986" s="1023"/>
      <c r="N986" s="1023"/>
      <c r="O986" s="1023"/>
      <c r="P986" s="1023"/>
      <c r="Q986" s="1023"/>
      <c r="R986" s="1023"/>
      <c r="S986" s="1023"/>
      <c r="T986" s="1023"/>
      <c r="U986" s="1023"/>
      <c r="V986" s="1023"/>
      <c r="W986" s="1023"/>
      <c r="X986" s="1023"/>
      <c r="Y986" s="1023"/>
      <c r="Z986" s="1023"/>
    </row>
    <row r="987" spans="1:26" ht="11.25" customHeight="1" x14ac:dyDescent="0.2">
      <c r="A987" s="1023"/>
      <c r="B987" s="1023"/>
      <c r="C987" s="1023"/>
      <c r="D987" s="1023"/>
      <c r="E987" s="1023"/>
      <c r="F987" s="1023"/>
      <c r="G987" s="1023"/>
      <c r="H987" s="1023"/>
      <c r="I987" s="1023"/>
      <c r="J987" s="1023"/>
      <c r="K987" s="1023"/>
      <c r="L987" s="1023"/>
      <c r="M987" s="1023"/>
      <c r="N987" s="1023"/>
      <c r="O987" s="1023"/>
      <c r="P987" s="1023"/>
      <c r="Q987" s="1023"/>
      <c r="R987" s="1023"/>
      <c r="S987" s="1023"/>
      <c r="T987" s="1023"/>
      <c r="U987" s="1023"/>
      <c r="V987" s="1023"/>
      <c r="W987" s="1023"/>
      <c r="X987" s="1023"/>
      <c r="Y987" s="1023"/>
      <c r="Z987" s="1023"/>
    </row>
    <row r="988" spans="1:26" ht="11.25" customHeight="1" x14ac:dyDescent="0.2">
      <c r="A988" s="1023"/>
      <c r="B988" s="1023"/>
      <c r="C988" s="1023"/>
      <c r="D988" s="1023"/>
      <c r="E988" s="1023"/>
      <c r="F988" s="1023"/>
      <c r="G988" s="1023"/>
      <c r="H988" s="1023"/>
      <c r="I988" s="1023"/>
      <c r="J988" s="1023"/>
      <c r="K988" s="1023"/>
      <c r="L988" s="1023"/>
      <c r="M988" s="1023"/>
      <c r="N988" s="1023"/>
      <c r="O988" s="1023"/>
      <c r="P988" s="1023"/>
      <c r="Q988" s="1023"/>
      <c r="R988" s="1023"/>
      <c r="S988" s="1023"/>
      <c r="T988" s="1023"/>
      <c r="U988" s="1023"/>
      <c r="V988" s="1023"/>
      <c r="W988" s="1023"/>
      <c r="X988" s="1023"/>
      <c r="Y988" s="1023"/>
      <c r="Z988" s="1023"/>
    </row>
    <row r="989" spans="1:26" ht="11.25" customHeight="1" x14ac:dyDescent="0.2">
      <c r="A989" s="1023"/>
      <c r="B989" s="1023"/>
      <c r="C989" s="1023"/>
      <c r="D989" s="1023"/>
      <c r="E989" s="1023"/>
      <c r="F989" s="1023"/>
      <c r="G989" s="1023"/>
      <c r="H989" s="1023"/>
      <c r="I989" s="1023"/>
      <c r="J989" s="1023"/>
      <c r="K989" s="1023"/>
      <c r="L989" s="1023"/>
      <c r="M989" s="1023"/>
      <c r="N989" s="1023"/>
      <c r="O989" s="1023"/>
      <c r="P989" s="1023"/>
      <c r="Q989" s="1023"/>
      <c r="R989" s="1023"/>
      <c r="S989" s="1023"/>
      <c r="T989" s="1023"/>
      <c r="U989" s="1023"/>
      <c r="V989" s="1023"/>
      <c r="W989" s="1023"/>
      <c r="X989" s="1023"/>
      <c r="Y989" s="1023"/>
      <c r="Z989" s="1023"/>
    </row>
    <row r="990" spans="1:26" ht="11.25" customHeight="1" x14ac:dyDescent="0.2">
      <c r="A990" s="1023"/>
      <c r="B990" s="1023"/>
      <c r="C990" s="1023"/>
      <c r="D990" s="1023"/>
      <c r="E990" s="1023"/>
      <c r="F990" s="1023"/>
      <c r="G990" s="1023"/>
      <c r="H990" s="1023"/>
      <c r="I990" s="1023"/>
      <c r="J990" s="1023"/>
      <c r="K990" s="1023"/>
      <c r="L990" s="1023"/>
      <c r="M990" s="1023"/>
      <c r="N990" s="1023"/>
      <c r="O990" s="1023"/>
      <c r="P990" s="1023"/>
      <c r="Q990" s="1023"/>
      <c r="R990" s="1023"/>
      <c r="S990" s="1023"/>
      <c r="T990" s="1023"/>
      <c r="U990" s="1023"/>
      <c r="V990" s="1023"/>
      <c r="W990" s="1023"/>
      <c r="X990" s="1023"/>
      <c r="Y990" s="1023"/>
      <c r="Z990" s="1023"/>
    </row>
    <row r="991" spans="1:26" ht="11.25" customHeight="1" x14ac:dyDescent="0.2">
      <c r="A991" s="1023"/>
      <c r="B991" s="1023"/>
      <c r="C991" s="1023"/>
      <c r="D991" s="1023"/>
      <c r="E991" s="1023"/>
      <c r="F991" s="1023"/>
      <c r="G991" s="1023"/>
      <c r="H991" s="1023"/>
      <c r="I991" s="1023"/>
      <c r="J991" s="1023"/>
      <c r="K991" s="1023"/>
      <c r="L991" s="1023"/>
      <c r="M991" s="1023"/>
      <c r="N991" s="1023"/>
      <c r="O991" s="1023"/>
      <c r="P991" s="1023"/>
      <c r="Q991" s="1023"/>
      <c r="R991" s="1023"/>
      <c r="S991" s="1023"/>
      <c r="T991" s="1023"/>
      <c r="U991" s="1023"/>
      <c r="V991" s="1023"/>
      <c r="W991" s="1023"/>
      <c r="X991" s="1023"/>
      <c r="Y991" s="1023"/>
      <c r="Z991" s="1023"/>
    </row>
    <row r="992" spans="1:26" ht="11.25" customHeight="1" x14ac:dyDescent="0.2">
      <c r="A992" s="1023"/>
      <c r="B992" s="1023"/>
      <c r="C992" s="1023"/>
      <c r="D992" s="1023"/>
      <c r="E992" s="1023"/>
      <c r="F992" s="1023"/>
      <c r="G992" s="1023"/>
      <c r="H992" s="1023"/>
      <c r="I992" s="1023"/>
      <c r="J992" s="1023"/>
      <c r="K992" s="1023"/>
      <c r="L992" s="1023"/>
      <c r="M992" s="1023"/>
      <c r="N992" s="1023"/>
      <c r="O992" s="1023"/>
      <c r="P992" s="1023"/>
      <c r="Q992" s="1023"/>
      <c r="R992" s="1023"/>
      <c r="S992" s="1023"/>
      <c r="T992" s="1023"/>
      <c r="U992" s="1023"/>
      <c r="V992" s="1023"/>
      <c r="W992" s="1023"/>
      <c r="X992" s="1023"/>
      <c r="Y992" s="1023"/>
      <c r="Z992" s="1023"/>
    </row>
    <row r="993" spans="1:26" ht="11.25" customHeight="1" x14ac:dyDescent="0.2">
      <c r="A993" s="1023"/>
      <c r="B993" s="1023"/>
      <c r="C993" s="1023"/>
      <c r="D993" s="1023"/>
      <c r="E993" s="1023"/>
      <c r="F993" s="1023"/>
      <c r="G993" s="1023"/>
      <c r="H993" s="1023"/>
      <c r="I993" s="1023"/>
      <c r="J993" s="1023"/>
      <c r="K993" s="1023"/>
      <c r="L993" s="1023"/>
      <c r="M993" s="1023"/>
      <c r="N993" s="1023"/>
      <c r="O993" s="1023"/>
      <c r="P993" s="1023"/>
      <c r="Q993" s="1023"/>
      <c r="R993" s="1023"/>
      <c r="S993" s="1023"/>
      <c r="T993" s="1023"/>
      <c r="U993" s="1023"/>
      <c r="V993" s="1023"/>
      <c r="W993" s="1023"/>
      <c r="X993" s="1023"/>
      <c r="Y993" s="1023"/>
      <c r="Z993" s="1023"/>
    </row>
    <row r="994" spans="1:26" ht="11.25" customHeight="1" x14ac:dyDescent="0.2">
      <c r="A994" s="1023"/>
      <c r="B994" s="1023"/>
      <c r="C994" s="1023"/>
      <c r="D994" s="1023"/>
      <c r="E994" s="1023"/>
      <c r="F994" s="1023"/>
      <c r="G994" s="1023"/>
      <c r="H994" s="1023"/>
      <c r="I994" s="1023"/>
      <c r="J994" s="1023"/>
      <c r="K994" s="1023"/>
      <c r="L994" s="1023"/>
      <c r="M994" s="1023"/>
      <c r="N994" s="1023"/>
      <c r="O994" s="1023"/>
      <c r="P994" s="1023"/>
      <c r="Q994" s="1023"/>
      <c r="R994" s="1023"/>
      <c r="S994" s="1023"/>
      <c r="T994" s="1023"/>
      <c r="U994" s="1023"/>
      <c r="V994" s="1023"/>
      <c r="W994" s="1023"/>
      <c r="X994" s="1023"/>
      <c r="Y994" s="1023"/>
      <c r="Z994" s="1023"/>
    </row>
    <row r="995" spans="1:26" ht="11.25" customHeight="1" x14ac:dyDescent="0.2">
      <c r="A995" s="1023"/>
      <c r="B995" s="1023"/>
      <c r="C995" s="1023"/>
      <c r="D995" s="1023"/>
      <c r="E995" s="1023"/>
      <c r="F995" s="1023"/>
      <c r="G995" s="1023"/>
      <c r="H995" s="1023"/>
      <c r="I995" s="1023"/>
      <c r="J995" s="1023"/>
      <c r="K995" s="1023"/>
      <c r="L995" s="1023"/>
      <c r="M995" s="1023"/>
      <c r="N995" s="1023"/>
      <c r="O995" s="1023"/>
      <c r="P995" s="1023"/>
      <c r="Q995" s="1023"/>
      <c r="R995" s="1023"/>
      <c r="S995" s="1023"/>
      <c r="T995" s="1023"/>
      <c r="U995" s="1023"/>
      <c r="V995" s="1023"/>
      <c r="W995" s="1023"/>
      <c r="X995" s="1023"/>
      <c r="Y995" s="1023"/>
      <c r="Z995" s="1023"/>
    </row>
    <row r="996" spans="1:26" ht="11.25" customHeight="1" x14ac:dyDescent="0.2">
      <c r="A996" s="1023"/>
      <c r="B996" s="1023"/>
      <c r="C996" s="1023"/>
      <c r="D996" s="1023"/>
      <c r="E996" s="1023"/>
      <c r="F996" s="1023"/>
      <c r="G996" s="1023"/>
      <c r="H996" s="1023"/>
      <c r="I996" s="1023"/>
      <c r="J996" s="1023"/>
      <c r="K996" s="1023"/>
      <c r="L996" s="1023"/>
      <c r="M996" s="1023"/>
      <c r="N996" s="1023"/>
      <c r="O996" s="1023"/>
      <c r="P996" s="1023"/>
      <c r="Q996" s="1023"/>
      <c r="R996" s="1023"/>
      <c r="S996" s="1023"/>
      <c r="T996" s="1023"/>
      <c r="U996" s="1023"/>
      <c r="V996" s="1023"/>
      <c r="W996" s="1023"/>
      <c r="X996" s="1023"/>
      <c r="Y996" s="1023"/>
      <c r="Z996" s="1023"/>
    </row>
    <row r="997" spans="1:26" ht="11.25" customHeight="1" x14ac:dyDescent="0.2">
      <c r="A997" s="1023"/>
      <c r="B997" s="1023"/>
      <c r="C997" s="1023"/>
      <c r="D997" s="1023"/>
      <c r="E997" s="1023"/>
      <c r="F997" s="1023"/>
      <c r="G997" s="1023"/>
      <c r="H997" s="1023"/>
      <c r="I997" s="1023"/>
      <c r="J997" s="1023"/>
      <c r="K997" s="1023"/>
      <c r="L997" s="1023"/>
      <c r="M997" s="1023"/>
      <c r="N997" s="1023"/>
      <c r="O997" s="1023"/>
      <c r="P997" s="1023"/>
      <c r="Q997" s="1023"/>
      <c r="R997" s="1023"/>
      <c r="S997" s="1023"/>
      <c r="T997" s="1023"/>
      <c r="U997" s="1023"/>
      <c r="V997" s="1023"/>
      <c r="W997" s="1023"/>
      <c r="X997" s="1023"/>
      <c r="Y997" s="1023"/>
      <c r="Z997" s="1023"/>
    </row>
    <row r="998" spans="1:26" ht="11.25" customHeight="1" x14ac:dyDescent="0.2">
      <c r="A998" s="1023"/>
      <c r="B998" s="1023"/>
      <c r="C998" s="1023"/>
      <c r="D998" s="1023"/>
      <c r="E998" s="1023"/>
      <c r="F998" s="1023"/>
      <c r="G998" s="1023"/>
      <c r="H998" s="1023"/>
      <c r="I998" s="1023"/>
      <c r="J998" s="1023"/>
      <c r="K998" s="1023"/>
      <c r="L998" s="1023"/>
      <c r="M998" s="1023"/>
      <c r="N998" s="1023"/>
      <c r="O998" s="1023"/>
      <c r="P998" s="1023"/>
      <c r="Q998" s="1023"/>
      <c r="R998" s="1023"/>
      <c r="S998" s="1023"/>
      <c r="T998" s="1023"/>
      <c r="U998" s="1023"/>
      <c r="V998" s="1023"/>
      <c r="W998" s="1023"/>
      <c r="X998" s="1023"/>
      <c r="Y998" s="1023"/>
      <c r="Z998" s="1023"/>
    </row>
    <row r="999" spans="1:26" ht="11.25" customHeight="1" x14ac:dyDescent="0.2">
      <c r="A999" s="1023"/>
      <c r="B999" s="1023"/>
      <c r="C999" s="1023"/>
      <c r="D999" s="1023"/>
      <c r="E999" s="1023"/>
      <c r="F999" s="1023"/>
      <c r="G999" s="1023"/>
      <c r="H999" s="1023"/>
      <c r="I999" s="1023"/>
      <c r="J999" s="1023"/>
      <c r="K999" s="1023"/>
      <c r="L999" s="1023"/>
      <c r="M999" s="1023"/>
      <c r="N999" s="1023"/>
      <c r="O999" s="1023"/>
      <c r="P999" s="1023"/>
      <c r="Q999" s="1023"/>
      <c r="R999" s="1023"/>
      <c r="S999" s="1023"/>
      <c r="T999" s="1023"/>
      <c r="U999" s="1023"/>
      <c r="V999" s="1023"/>
      <c r="W999" s="1023"/>
      <c r="X999" s="1023"/>
      <c r="Y999" s="1023"/>
      <c r="Z999" s="1023"/>
    </row>
  </sheetData>
  <mergeCells count="1">
    <mergeCell ref="K38:L38"/>
  </mergeCells>
  <printOptions gridLines="1"/>
  <pageMargins left="0.16" right="0.16" top="0.28000000000000003" bottom="0.2" header="0" footer="0"/>
  <pageSetup orientation="landscape"/>
  <colBreaks count="1" manualBreakCount="1">
    <brk id="11" man="1"/>
  </colBreaks>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8"/>
  <sheetViews>
    <sheetView showGridLines="0" workbookViewId="0"/>
  </sheetViews>
  <sheetFormatPr defaultColWidth="16.83203125" defaultRowHeight="15" customHeight="1" x14ac:dyDescent="0.2"/>
  <cols>
    <col min="1" max="1" width="4.33203125" customWidth="1"/>
    <col min="2" max="2" width="20.33203125" customWidth="1"/>
    <col min="3" max="3" width="16" customWidth="1"/>
    <col min="4" max="4" width="15.5" bestFit="1" customWidth="1"/>
    <col min="5" max="5" width="22.6640625" customWidth="1"/>
    <col min="6" max="6" width="15.83203125" customWidth="1"/>
    <col min="7" max="7" width="22" customWidth="1"/>
    <col min="8" max="8" width="20.5" customWidth="1"/>
    <col min="9" max="9" width="22.1640625" bestFit="1" customWidth="1"/>
    <col min="10" max="10" width="10.83203125" customWidth="1"/>
    <col min="11" max="11" width="15.5" bestFit="1" customWidth="1"/>
    <col min="12" max="12" width="13.6640625" customWidth="1"/>
    <col min="13" max="13" width="18.83203125" bestFit="1" customWidth="1"/>
    <col min="14" max="14" width="10.83203125" customWidth="1"/>
    <col min="15" max="15" width="14" customWidth="1"/>
    <col min="16" max="16" width="15.6640625" customWidth="1"/>
    <col min="17" max="17" width="18.83203125" customWidth="1"/>
    <col min="18" max="18" width="11.6640625" customWidth="1"/>
    <col min="19" max="19" width="17" customWidth="1"/>
    <col min="20" max="20" width="19.33203125" customWidth="1"/>
    <col min="21" max="21" width="12.1640625" customWidth="1"/>
    <col min="22" max="22" width="20.6640625" customWidth="1"/>
    <col min="23" max="23" width="23.33203125" bestFit="1" customWidth="1"/>
    <col min="24" max="24" width="22" bestFit="1" customWidth="1"/>
  </cols>
  <sheetData>
    <row r="1" spans="1:25" ht="16.5" customHeight="1" x14ac:dyDescent="0.2">
      <c r="A1" s="8"/>
      <c r="B1" s="229"/>
      <c r="C1" s="230"/>
      <c r="D1" s="230"/>
      <c r="E1" s="231"/>
      <c r="F1" s="8"/>
      <c r="G1" s="8"/>
      <c r="H1" s="8"/>
      <c r="I1" s="8"/>
      <c r="J1" s="8"/>
      <c r="K1" s="8"/>
      <c r="L1" s="8"/>
      <c r="M1" s="8"/>
      <c r="N1" s="8"/>
      <c r="O1" s="8"/>
      <c r="P1" s="8"/>
      <c r="Q1" s="8"/>
      <c r="R1" s="8"/>
      <c r="S1" s="8"/>
      <c r="T1" s="8"/>
      <c r="U1" s="8"/>
      <c r="V1" s="8"/>
      <c r="W1" s="8"/>
      <c r="X1" s="8"/>
      <c r="Y1" s="8"/>
    </row>
    <row r="2" spans="1:25" ht="16.5" customHeight="1" x14ac:dyDescent="0.2">
      <c r="A2" s="8"/>
      <c r="B2" s="232" t="s">
        <v>596</v>
      </c>
      <c r="C2" s="230"/>
      <c r="D2" s="230"/>
      <c r="E2" s="231"/>
      <c r="F2" s="8"/>
      <c r="G2" s="8"/>
      <c r="H2" s="8"/>
      <c r="I2" s="8"/>
      <c r="J2" s="8"/>
      <c r="K2" s="8"/>
      <c r="L2" s="8"/>
      <c r="M2" s="8"/>
      <c r="N2" s="8"/>
      <c r="O2" s="8"/>
      <c r="P2" s="8"/>
      <c r="Q2" s="8"/>
      <c r="R2" s="8"/>
      <c r="S2" s="8"/>
      <c r="T2" s="8"/>
      <c r="U2" s="8"/>
      <c r="V2" s="8"/>
      <c r="W2" s="8"/>
      <c r="X2" s="8"/>
      <c r="Y2" s="8"/>
    </row>
    <row r="3" spans="1:25" ht="16.5" customHeight="1" x14ac:dyDescent="0.2">
      <c r="A3" s="8"/>
      <c r="B3" s="8"/>
      <c r="C3" s="8"/>
      <c r="D3" s="8"/>
      <c r="E3" s="233"/>
      <c r="F3" s="8"/>
      <c r="G3" s="8"/>
      <c r="H3" s="8"/>
      <c r="I3" s="8"/>
      <c r="J3" s="8"/>
      <c r="K3" s="8"/>
      <c r="L3" s="8"/>
      <c r="M3" s="8"/>
      <c r="N3" s="8"/>
      <c r="O3" s="8"/>
      <c r="P3" s="8"/>
      <c r="Q3" s="8"/>
      <c r="R3" s="8"/>
      <c r="S3" s="8"/>
      <c r="T3" s="8"/>
      <c r="U3" s="8"/>
      <c r="V3" s="8"/>
      <c r="W3" s="8"/>
      <c r="X3" s="8"/>
      <c r="Y3" s="8"/>
    </row>
    <row r="4" spans="1:25" ht="16.5" customHeight="1" x14ac:dyDescent="0.2">
      <c r="A4" s="8"/>
      <c r="B4" s="8"/>
      <c r="C4" s="8"/>
      <c r="D4" s="8"/>
      <c r="E4" s="233"/>
      <c r="F4" s="8"/>
      <c r="G4" s="8"/>
      <c r="H4" s="8"/>
      <c r="I4" s="8"/>
      <c r="J4" s="8"/>
      <c r="K4" s="8"/>
      <c r="L4" s="8"/>
      <c r="M4" s="8"/>
      <c r="N4" s="8"/>
      <c r="O4" s="8"/>
      <c r="P4" s="8"/>
      <c r="Q4" s="8"/>
      <c r="R4" s="8"/>
      <c r="S4" s="8"/>
      <c r="T4" s="8"/>
      <c r="U4" s="8"/>
      <c r="V4" s="8"/>
      <c r="W4" s="8"/>
      <c r="X4" s="8"/>
      <c r="Y4" s="8"/>
    </row>
    <row r="5" spans="1:25" ht="16.5" customHeight="1" x14ac:dyDescent="0.2">
      <c r="A5" s="8"/>
      <c r="B5" s="8"/>
      <c r="C5" s="8"/>
      <c r="D5" s="8"/>
      <c r="E5" s="233"/>
      <c r="F5" s="8"/>
      <c r="G5" s="8"/>
      <c r="H5" s="8"/>
      <c r="I5" s="8"/>
      <c r="J5" s="8"/>
      <c r="K5" s="8"/>
      <c r="L5" s="8"/>
      <c r="M5" s="8"/>
      <c r="N5" s="8"/>
      <c r="O5" s="8"/>
      <c r="P5" s="8"/>
      <c r="Q5" s="8"/>
      <c r="R5" s="8"/>
      <c r="S5" s="8"/>
      <c r="T5" s="8"/>
      <c r="U5" s="8"/>
      <c r="V5" s="8"/>
      <c r="W5" s="8"/>
      <c r="X5" s="8"/>
      <c r="Y5" s="8"/>
    </row>
    <row r="6" spans="1:25" ht="16.5" customHeight="1" x14ac:dyDescent="0.2">
      <c r="A6" s="8"/>
      <c r="B6" s="8"/>
      <c r="C6" s="8"/>
      <c r="D6" s="8"/>
      <c r="E6" s="8"/>
      <c r="F6" s="8"/>
      <c r="G6" s="8"/>
      <c r="H6" s="8"/>
      <c r="I6" s="8"/>
      <c r="J6" s="8"/>
      <c r="K6" s="8"/>
      <c r="L6" s="8"/>
      <c r="M6" s="8"/>
      <c r="N6" s="8"/>
      <c r="O6" s="8"/>
      <c r="P6" s="8"/>
      <c r="Q6" s="8"/>
      <c r="R6" s="8"/>
      <c r="S6" s="8"/>
      <c r="T6" s="8"/>
      <c r="U6" s="8"/>
      <c r="V6" s="8"/>
      <c r="W6" s="8"/>
      <c r="X6" s="8"/>
      <c r="Y6" s="8"/>
    </row>
    <row r="7" spans="1:25" ht="16.5" customHeight="1" x14ac:dyDescent="0.2">
      <c r="A7" s="8"/>
      <c r="B7" s="8"/>
      <c r="C7" s="8"/>
      <c r="D7" s="8"/>
      <c r="E7" s="8"/>
      <c r="F7" s="8"/>
      <c r="G7" s="8"/>
      <c r="H7" s="8"/>
      <c r="I7" s="8"/>
      <c r="J7" s="8"/>
      <c r="K7" s="8"/>
      <c r="L7" s="8"/>
      <c r="M7" s="8"/>
      <c r="N7" s="8"/>
      <c r="O7" s="8"/>
      <c r="P7" s="8"/>
      <c r="Q7" s="8"/>
      <c r="R7" s="8"/>
      <c r="S7" s="8"/>
      <c r="T7" s="8"/>
      <c r="U7" s="8"/>
      <c r="V7" s="8"/>
      <c r="W7" s="8"/>
      <c r="X7" s="8"/>
      <c r="Y7" s="8"/>
    </row>
    <row r="8" spans="1:25" ht="12.75" x14ac:dyDescent="0.2">
      <c r="A8" s="8"/>
      <c r="B8" s="234" t="s">
        <v>597</v>
      </c>
      <c r="C8" s="235"/>
      <c r="D8" s="235"/>
      <c r="E8" s="235"/>
      <c r="F8" s="235"/>
      <c r="G8" s="235"/>
      <c r="H8" s="235"/>
      <c r="I8" s="235"/>
      <c r="J8" s="235"/>
      <c r="K8" s="235"/>
      <c r="L8" s="235"/>
      <c r="M8" s="235"/>
      <c r="N8" s="235"/>
      <c r="O8" s="235"/>
      <c r="P8" s="235"/>
      <c r="Q8" s="235"/>
      <c r="R8" s="235"/>
      <c r="S8" s="235"/>
      <c r="T8" s="235"/>
      <c r="U8" s="235"/>
      <c r="V8" s="235"/>
      <c r="W8" s="235"/>
      <c r="X8" s="235"/>
      <c r="Y8" s="8"/>
    </row>
    <row r="9" spans="1:25" ht="12.75" x14ac:dyDescent="0.2">
      <c r="A9" s="8"/>
      <c r="B9" s="236"/>
      <c r="C9" s="236"/>
      <c r="D9" s="236"/>
      <c r="E9" s="236"/>
      <c r="F9" s="236"/>
      <c r="G9" s="236"/>
      <c r="H9" s="236"/>
      <c r="I9" s="236"/>
      <c r="J9" s="236"/>
      <c r="K9" s="236"/>
      <c r="L9" s="236"/>
      <c r="M9" s="236"/>
      <c r="N9" s="236"/>
      <c r="O9" s="236"/>
      <c r="P9" s="236"/>
      <c r="Q9" s="236"/>
      <c r="R9" s="236"/>
      <c r="S9" s="8"/>
      <c r="V9" s="8"/>
      <c r="W9" s="8"/>
      <c r="X9" s="8"/>
      <c r="Y9" s="8"/>
    </row>
    <row r="10" spans="1:25" ht="12.75" x14ac:dyDescent="0.2">
      <c r="A10" s="8"/>
      <c r="B10" s="236" t="s">
        <v>598</v>
      </c>
      <c r="C10" s="236"/>
      <c r="D10" s="236"/>
      <c r="E10" s="236"/>
      <c r="F10" s="236"/>
      <c r="G10" s="236"/>
      <c r="H10" s="236"/>
      <c r="I10" s="236"/>
      <c r="J10" s="236"/>
      <c r="K10" s="236"/>
      <c r="L10" s="236"/>
      <c r="M10" s="236"/>
      <c r="N10" s="236"/>
      <c r="O10" s="236"/>
      <c r="P10" s="236"/>
      <c r="Q10" s="236"/>
      <c r="R10" s="236"/>
      <c r="S10" s="236" t="s">
        <v>599</v>
      </c>
      <c r="T10" s="8"/>
      <c r="U10" s="8"/>
      <c r="V10" s="236" t="s">
        <v>600</v>
      </c>
      <c r="X10" s="8"/>
      <c r="Y10" s="8"/>
    </row>
    <row r="11" spans="1:25" ht="12.75" x14ac:dyDescent="0.2">
      <c r="A11" s="8"/>
      <c r="B11" s="236"/>
      <c r="C11" s="236"/>
      <c r="D11" s="236"/>
      <c r="E11" s="236"/>
      <c r="F11" s="236"/>
      <c r="G11" s="236"/>
      <c r="H11" s="236"/>
      <c r="I11" s="236"/>
      <c r="J11" s="236"/>
      <c r="K11" s="236"/>
      <c r="L11" s="236"/>
      <c r="M11" s="236"/>
      <c r="N11" s="236"/>
      <c r="O11" s="236"/>
      <c r="P11" s="236"/>
      <c r="Q11" s="236"/>
      <c r="R11" s="236"/>
      <c r="S11" s="8"/>
      <c r="T11" s="8"/>
      <c r="U11" s="8"/>
      <c r="W11" s="8"/>
      <c r="X11" s="8"/>
      <c r="Y11" s="8"/>
    </row>
    <row r="12" spans="1:25" ht="12.75" x14ac:dyDescent="0.2">
      <c r="A12" s="8"/>
      <c r="B12" s="237"/>
      <c r="C12" s="2027" t="s">
        <v>350</v>
      </c>
      <c r="D12" s="2017"/>
      <c r="E12" s="2009"/>
      <c r="F12" s="8"/>
      <c r="G12" s="2027" t="s">
        <v>79</v>
      </c>
      <c r="H12" s="2017"/>
      <c r="I12" s="2009"/>
      <c r="J12" s="8"/>
      <c r="K12" s="2027" t="s">
        <v>601</v>
      </c>
      <c r="L12" s="2017"/>
      <c r="M12" s="2009"/>
      <c r="N12" s="8"/>
      <c r="O12" s="2027" t="s">
        <v>602</v>
      </c>
      <c r="P12" s="2017"/>
      <c r="Q12" s="2009"/>
      <c r="R12" s="237"/>
      <c r="S12" s="8"/>
      <c r="T12" s="8"/>
      <c r="U12" s="8"/>
      <c r="V12" s="8"/>
      <c r="W12" s="8"/>
      <c r="X12" s="8"/>
      <c r="Y12" s="8"/>
    </row>
    <row r="13" spans="1:25" ht="14.25" x14ac:dyDescent="0.25">
      <c r="A13" s="8"/>
      <c r="B13" s="238" t="s">
        <v>603</v>
      </c>
      <c r="C13" s="238" t="s">
        <v>604</v>
      </c>
      <c r="D13" s="238" t="s">
        <v>605</v>
      </c>
      <c r="E13" s="238" t="s">
        <v>606</v>
      </c>
      <c r="F13" s="8"/>
      <c r="G13" s="238" t="s">
        <v>607</v>
      </c>
      <c r="H13" s="238" t="s">
        <v>608</v>
      </c>
      <c r="I13" s="238" t="s">
        <v>609</v>
      </c>
      <c r="J13" s="8"/>
      <c r="K13" s="238" t="s">
        <v>610</v>
      </c>
      <c r="L13" s="238" t="s">
        <v>611</v>
      </c>
      <c r="M13" s="238" t="s">
        <v>612</v>
      </c>
      <c r="N13" s="8"/>
      <c r="O13" s="238" t="s">
        <v>613</v>
      </c>
      <c r="P13" s="238" t="s">
        <v>614</v>
      </c>
      <c r="Q13" s="238" t="s">
        <v>615</v>
      </c>
      <c r="R13" s="237"/>
      <c r="S13" s="238" t="s">
        <v>603</v>
      </c>
      <c r="T13" s="238" t="s">
        <v>616</v>
      </c>
      <c r="U13" s="8"/>
      <c r="V13" s="238" t="s">
        <v>603</v>
      </c>
      <c r="W13" s="238" t="s">
        <v>350</v>
      </c>
      <c r="X13" s="238" t="s">
        <v>79</v>
      </c>
      <c r="Y13" s="8"/>
    </row>
    <row r="14" spans="1:25" ht="12.75" x14ac:dyDescent="0.2">
      <c r="A14" s="8"/>
      <c r="B14" s="239">
        <v>24001</v>
      </c>
      <c r="C14" s="240">
        <v>12961031.207323525</v>
      </c>
      <c r="D14" s="240">
        <v>4988407.8957107924</v>
      </c>
      <c r="E14" s="240">
        <v>285242741519.3858</v>
      </c>
      <c r="F14" s="8"/>
      <c r="G14" s="240">
        <v>2726047.028859342</v>
      </c>
      <c r="H14" s="240">
        <v>14672013.573818466</v>
      </c>
      <c r="I14" s="240">
        <v>126884761716.61719</v>
      </c>
      <c r="J14" s="8"/>
      <c r="K14" s="240">
        <v>27109397.839307766</v>
      </c>
      <c r="L14" s="240">
        <v>106467.7460477351</v>
      </c>
      <c r="M14" s="240">
        <v>2302039127.6485577</v>
      </c>
      <c r="N14" s="8"/>
      <c r="O14" s="240">
        <v>30932.170911230151</v>
      </c>
      <c r="P14" s="240">
        <v>4693.3507965803274</v>
      </c>
      <c r="Q14" s="240">
        <v>390153531.703125</v>
      </c>
      <c r="R14" s="241"/>
      <c r="S14" s="239" t="s">
        <v>617</v>
      </c>
      <c r="T14" s="242">
        <v>820.99989172408982</v>
      </c>
      <c r="U14" s="8"/>
      <c r="V14" s="239" t="s">
        <v>617</v>
      </c>
      <c r="W14" s="242">
        <v>3924998268483.938</v>
      </c>
      <c r="X14" s="242">
        <v>1711421239994.8398</v>
      </c>
      <c r="Y14" s="8"/>
    </row>
    <row r="15" spans="1:25" ht="12.75" x14ac:dyDescent="0.2">
      <c r="A15" s="8"/>
      <c r="B15" s="239">
        <v>24003</v>
      </c>
      <c r="C15" s="240">
        <v>78583210.432189494</v>
      </c>
      <c r="D15" s="240">
        <v>37055957.022311278</v>
      </c>
      <c r="E15" s="240">
        <v>2139368367997.408</v>
      </c>
      <c r="F15" s="8"/>
      <c r="G15" s="240">
        <v>9248971.1956428606</v>
      </c>
      <c r="H15" s="240">
        <v>48002031.476775594</v>
      </c>
      <c r="I15" s="240">
        <v>412968507759</v>
      </c>
      <c r="J15" s="8"/>
      <c r="K15" s="240">
        <v>26024523.080211617</v>
      </c>
      <c r="L15" s="240">
        <v>150131.4322885274</v>
      </c>
      <c r="M15" s="240">
        <v>2146564465.4390862</v>
      </c>
      <c r="N15" s="8"/>
      <c r="O15" s="240">
        <v>152589.6319457888</v>
      </c>
      <c r="P15" s="240">
        <v>31719.124936848741</v>
      </c>
      <c r="Q15" s="240">
        <v>2207548643</v>
      </c>
      <c r="R15" s="241"/>
      <c r="S15" s="239" t="s">
        <v>618</v>
      </c>
      <c r="T15" s="242">
        <v>5926.9982816494103</v>
      </c>
      <c r="U15" s="8"/>
      <c r="V15" s="239" t="s">
        <v>618</v>
      </c>
      <c r="W15" s="242">
        <v>29438155051708.652</v>
      </c>
      <c r="X15" s="242">
        <v>5570117296264.6709</v>
      </c>
      <c r="Y15" s="8"/>
    </row>
    <row r="16" spans="1:25" ht="12.75" x14ac:dyDescent="0.2">
      <c r="A16" s="8"/>
      <c r="B16" s="239">
        <v>24005</v>
      </c>
      <c r="C16" s="240">
        <v>101114041.70050219</v>
      </c>
      <c r="D16" s="240">
        <v>45776041.050232194</v>
      </c>
      <c r="E16" s="240">
        <v>2925215143649.3013</v>
      </c>
      <c r="F16" s="8"/>
      <c r="G16" s="240">
        <v>14660800.939474117</v>
      </c>
      <c r="H16" s="240">
        <v>79841201.814045176</v>
      </c>
      <c r="I16" s="240">
        <v>683763062494</v>
      </c>
      <c r="J16" s="8"/>
      <c r="K16" s="240">
        <v>42164342.701271504</v>
      </c>
      <c r="L16" s="240">
        <v>248859.23042726496</v>
      </c>
      <c r="M16" s="240">
        <v>3697456655.4345641</v>
      </c>
      <c r="N16" s="8"/>
      <c r="O16" s="240">
        <v>191057.28082507817</v>
      </c>
      <c r="P16" s="240">
        <v>36819.977117538518</v>
      </c>
      <c r="Q16" s="240">
        <v>2821480088</v>
      </c>
      <c r="R16" s="241"/>
      <c r="S16" s="239" t="s">
        <v>619</v>
      </c>
      <c r="T16" s="242">
        <v>8267.0011098595405</v>
      </c>
      <c r="U16" s="8"/>
      <c r="V16" s="239" t="s">
        <v>620</v>
      </c>
      <c r="W16" s="242">
        <v>40251554757898.563</v>
      </c>
      <c r="X16" s="242">
        <v>9222591918218.0762</v>
      </c>
      <c r="Y16" s="8"/>
    </row>
    <row r="17" spans="1:25" ht="12.75" x14ac:dyDescent="0.2">
      <c r="A17" s="8"/>
      <c r="B17" s="239">
        <v>24009</v>
      </c>
      <c r="C17" s="240">
        <v>14802751.373463359</v>
      </c>
      <c r="D17" s="240">
        <v>6022046.8293156018</v>
      </c>
      <c r="E17" s="240">
        <v>282602123587.73065</v>
      </c>
      <c r="F17" s="8"/>
      <c r="G17" s="240">
        <v>925227.12496750802</v>
      </c>
      <c r="H17" s="240">
        <v>4420160.8759109387</v>
      </c>
      <c r="I17" s="240">
        <v>39350181645.820313</v>
      </c>
      <c r="J17" s="8"/>
      <c r="K17" s="240">
        <v>2994543.8404249288</v>
      </c>
      <c r="L17" s="240">
        <v>19509.390674650651</v>
      </c>
      <c r="M17" s="240">
        <v>278370426.33123732</v>
      </c>
      <c r="N17" s="8"/>
      <c r="O17" s="240">
        <v>25094.325600996617</v>
      </c>
      <c r="P17" s="240">
        <v>4194.5604770481641</v>
      </c>
      <c r="Q17" s="240">
        <v>257425149.8984375</v>
      </c>
      <c r="R17" s="241"/>
      <c r="S17" s="239" t="s">
        <v>621</v>
      </c>
      <c r="T17" s="242">
        <v>779.00039184808008</v>
      </c>
      <c r="U17" s="8"/>
      <c r="V17" s="239" t="s">
        <v>621</v>
      </c>
      <c r="W17" s="242">
        <v>3888660140655.4819</v>
      </c>
      <c r="X17" s="242">
        <v>530755284723.07196</v>
      </c>
      <c r="Y17" s="8"/>
    </row>
    <row r="18" spans="1:25" ht="12.75" x14ac:dyDescent="0.2">
      <c r="A18" s="8"/>
      <c r="B18" s="239">
        <v>24011</v>
      </c>
      <c r="C18" s="240">
        <v>7404564.2570053218</v>
      </c>
      <c r="D18" s="240">
        <v>3153169.9376757732</v>
      </c>
      <c r="E18" s="240">
        <v>139801382469.11673</v>
      </c>
      <c r="F18" s="8"/>
      <c r="G18" s="240">
        <v>887521.65673074545</v>
      </c>
      <c r="H18" s="240">
        <v>4528641.6564973304</v>
      </c>
      <c r="I18" s="240">
        <v>40364322860.905952</v>
      </c>
      <c r="J18" s="8"/>
      <c r="K18" s="240">
        <v>2508456.8732485878</v>
      </c>
      <c r="L18" s="240">
        <v>15770.848041543733</v>
      </c>
      <c r="M18" s="240">
        <v>243432516.56958035</v>
      </c>
      <c r="N18" s="8"/>
      <c r="O18" s="240">
        <v>17779.770603902616</v>
      </c>
      <c r="P18" s="240">
        <v>2996.3325804620831</v>
      </c>
      <c r="Q18" s="240">
        <v>190487597.7929689</v>
      </c>
      <c r="R18" s="241"/>
      <c r="S18" s="239" t="s">
        <v>622</v>
      </c>
      <c r="T18" s="242">
        <v>403.99987122307203</v>
      </c>
      <c r="U18" s="8"/>
      <c r="V18" s="239" t="s">
        <v>622</v>
      </c>
      <c r="W18" s="242">
        <v>1923695670290.303</v>
      </c>
      <c r="X18" s="242">
        <v>544433680047.82086</v>
      </c>
      <c r="Y18" s="8"/>
    </row>
    <row r="19" spans="1:25" ht="12.75" x14ac:dyDescent="0.2">
      <c r="A19" s="8"/>
      <c r="B19" s="239">
        <v>24013</v>
      </c>
      <c r="C19" s="240">
        <v>24906417.844563793</v>
      </c>
      <c r="D19" s="240">
        <v>11699488.729921389</v>
      </c>
      <c r="E19" s="240">
        <v>489299449486.00513</v>
      </c>
      <c r="F19" s="8"/>
      <c r="G19" s="240">
        <v>2141781.4067500322</v>
      </c>
      <c r="H19" s="240">
        <v>10019008.546466118</v>
      </c>
      <c r="I19" s="240">
        <v>89066791591.273438</v>
      </c>
      <c r="J19" s="8"/>
      <c r="K19" s="240">
        <v>6490288.3225046592</v>
      </c>
      <c r="L19" s="240">
        <v>37209.833233296798</v>
      </c>
      <c r="M19" s="240">
        <v>489086412.67236185</v>
      </c>
      <c r="N19" s="8"/>
      <c r="O19" s="240">
        <v>42316.775514010325</v>
      </c>
      <c r="P19" s="240">
        <v>8854.053473010692</v>
      </c>
      <c r="Q19" s="240">
        <v>484210387.4921875</v>
      </c>
      <c r="R19" s="241"/>
      <c r="S19" s="239" t="s">
        <v>623</v>
      </c>
      <c r="T19" s="242">
        <v>1294.999986103481</v>
      </c>
      <c r="U19" s="8"/>
      <c r="V19" s="239" t="s">
        <v>623</v>
      </c>
      <c r="W19" s="242">
        <v>6732861247194.2422</v>
      </c>
      <c r="X19" s="242">
        <v>1201332184996.3198</v>
      </c>
      <c r="Y19" s="8"/>
    </row>
    <row r="20" spans="1:25" ht="12.75" x14ac:dyDescent="0.2">
      <c r="A20" s="8"/>
      <c r="B20" s="239">
        <v>24015</v>
      </c>
      <c r="C20" s="240">
        <v>19609091.309278123</v>
      </c>
      <c r="D20" s="240">
        <v>7261333.8559832647</v>
      </c>
      <c r="E20" s="240">
        <v>439448795744.43896</v>
      </c>
      <c r="F20" s="8"/>
      <c r="G20" s="240">
        <v>4642750.6450354019</v>
      </c>
      <c r="H20" s="240">
        <v>25051599.020770092</v>
      </c>
      <c r="I20" s="240">
        <v>218984405795.59766</v>
      </c>
      <c r="J20" s="8"/>
      <c r="K20" s="240">
        <v>18173735.267419692</v>
      </c>
      <c r="L20" s="240">
        <v>112300.43750953648</v>
      </c>
      <c r="M20" s="240">
        <v>1935248803.6029041</v>
      </c>
      <c r="N20" s="8"/>
      <c r="O20" s="240">
        <v>45915.445084050458</v>
      </c>
      <c r="P20" s="240">
        <v>6789.2037267684982</v>
      </c>
      <c r="Q20" s="240">
        <v>568578823.390625</v>
      </c>
      <c r="R20" s="241"/>
      <c r="S20" s="239" t="s">
        <v>624</v>
      </c>
      <c r="T20" s="242">
        <v>1339.000400616475</v>
      </c>
      <c r="U20" s="8"/>
      <c r="V20" s="239" t="s">
        <v>624</v>
      </c>
      <c r="W20" s="242">
        <v>6046905045746.9004</v>
      </c>
      <c r="X20" s="242">
        <v>2953661033905.3687</v>
      </c>
      <c r="Y20" s="8"/>
    </row>
    <row r="21" spans="1:25" ht="12.75" x14ac:dyDescent="0.2">
      <c r="A21" s="8"/>
      <c r="B21" s="239">
        <v>24017</v>
      </c>
      <c r="C21" s="240">
        <v>24206483.478116568</v>
      </c>
      <c r="D21" s="240">
        <v>9954326.5151604023</v>
      </c>
      <c r="E21" s="240">
        <v>476691647681.91583</v>
      </c>
      <c r="F21" s="8"/>
      <c r="G21" s="240">
        <v>1754547.7437447591</v>
      </c>
      <c r="H21" s="240">
        <v>8367434.1459522266</v>
      </c>
      <c r="I21" s="240">
        <v>74012576826.90625</v>
      </c>
      <c r="J21" s="8"/>
      <c r="K21" s="240">
        <v>4448637.4709865674</v>
      </c>
      <c r="L21" s="240">
        <v>23302.397113323274</v>
      </c>
      <c r="M21" s="240">
        <v>345766675.0700677</v>
      </c>
      <c r="N21" s="8"/>
      <c r="O21" s="240">
        <v>41681.632744245202</v>
      </c>
      <c r="P21" s="240">
        <v>6967.3590619563975</v>
      </c>
      <c r="Q21" s="240">
        <v>414833459</v>
      </c>
      <c r="R21" s="241"/>
      <c r="S21" s="239" t="s">
        <v>625</v>
      </c>
      <c r="T21" s="242">
        <v>1316.0002060471561</v>
      </c>
      <c r="U21" s="8"/>
      <c r="V21" s="239" t="s">
        <v>625</v>
      </c>
      <c r="W21" s="242">
        <v>6559376388467.1914</v>
      </c>
      <c r="X21" s="242">
        <v>998281249491.75305</v>
      </c>
      <c r="Y21" s="8"/>
    </row>
    <row r="22" spans="1:25" ht="12.75" x14ac:dyDescent="0.2">
      <c r="A22" s="8"/>
      <c r="B22" s="239">
        <v>24019</v>
      </c>
      <c r="C22" s="240">
        <v>6282350.7684248816</v>
      </c>
      <c r="D22" s="240">
        <v>2540252.1255220268</v>
      </c>
      <c r="E22" s="240">
        <v>127391069825.7795</v>
      </c>
      <c r="F22" s="8"/>
      <c r="G22" s="240">
        <v>731614.76020504395</v>
      </c>
      <c r="H22" s="240">
        <v>3747930.1391844396</v>
      </c>
      <c r="I22" s="240">
        <v>34140199307.848145</v>
      </c>
      <c r="J22" s="8"/>
      <c r="K22" s="240">
        <v>1748868.8405418273</v>
      </c>
      <c r="L22" s="240">
        <v>10815.328387618041</v>
      </c>
      <c r="M22" s="240">
        <v>172949792.87441987</v>
      </c>
      <c r="N22" s="8"/>
      <c r="O22" s="240">
        <v>14496.46458637891</v>
      </c>
      <c r="P22" s="240">
        <v>2311.2062035202898</v>
      </c>
      <c r="Q22" s="240">
        <v>167025557.19921881</v>
      </c>
      <c r="R22" s="241"/>
      <c r="S22" s="239" t="s">
        <v>626</v>
      </c>
      <c r="T22" s="242">
        <v>367.999797303479</v>
      </c>
      <c r="U22" s="8"/>
      <c r="V22" s="239" t="s">
        <v>626</v>
      </c>
      <c r="W22" s="242">
        <v>1752927472970.887</v>
      </c>
      <c r="X22" s="242">
        <v>460482786759.31342</v>
      </c>
      <c r="Y22" s="8"/>
    </row>
    <row r="23" spans="1:25" ht="12.75" x14ac:dyDescent="0.2">
      <c r="A23" s="8"/>
      <c r="B23" s="239">
        <v>24021</v>
      </c>
      <c r="C23" s="240">
        <v>47567715.066403516</v>
      </c>
      <c r="D23" s="240">
        <v>18125606.605671804</v>
      </c>
      <c r="E23" s="240">
        <v>1138497131233.0684</v>
      </c>
      <c r="F23" s="8"/>
      <c r="G23" s="240">
        <v>5373930.8275320372</v>
      </c>
      <c r="H23" s="240">
        <v>31177238.56493631</v>
      </c>
      <c r="I23" s="240">
        <v>267788798587</v>
      </c>
      <c r="J23" s="8"/>
      <c r="K23" s="240">
        <v>13227203.372317068</v>
      </c>
      <c r="L23" s="240">
        <v>84210.719868898363</v>
      </c>
      <c r="M23" s="240">
        <v>1374682048.1631532</v>
      </c>
      <c r="N23" s="8"/>
      <c r="O23" s="240">
        <v>86648.556731298508</v>
      </c>
      <c r="P23" s="240">
        <v>13122.445001721404</v>
      </c>
      <c r="Q23" s="240">
        <v>1051492939</v>
      </c>
      <c r="R23" s="241"/>
      <c r="S23" s="239" t="s">
        <v>627</v>
      </c>
      <c r="T23" s="242">
        <v>3232.9984469041297</v>
      </c>
      <c r="U23" s="8"/>
      <c r="V23" s="239" t="s">
        <v>627</v>
      </c>
      <c r="W23" s="242">
        <v>15665955753905.922</v>
      </c>
      <c r="X23" s="242">
        <v>3611935290494.5059</v>
      </c>
      <c r="Y23" s="8"/>
    </row>
    <row r="24" spans="1:25" ht="12.75" x14ac:dyDescent="0.2">
      <c r="A24" s="8"/>
      <c r="B24" s="239">
        <v>24023</v>
      </c>
      <c r="C24" s="240">
        <v>6935468.1542852055</v>
      </c>
      <c r="D24" s="240">
        <v>2543200.2181031588</v>
      </c>
      <c r="E24" s="240">
        <v>181322030106.09741</v>
      </c>
      <c r="F24" s="8"/>
      <c r="G24" s="240">
        <v>1598388.34641415</v>
      </c>
      <c r="H24" s="240">
        <v>8999417.0859970544</v>
      </c>
      <c r="I24" s="240">
        <v>76660328399.458008</v>
      </c>
      <c r="J24" s="8"/>
      <c r="K24" s="240">
        <v>4901161.7464750735</v>
      </c>
      <c r="L24" s="240">
        <v>27782.94076760855</v>
      </c>
      <c r="M24" s="240">
        <v>532342346.69241387</v>
      </c>
      <c r="N24" s="8"/>
      <c r="O24" s="240">
        <v>18856.793984892745</v>
      </c>
      <c r="P24" s="240">
        <v>2612.3499749191333</v>
      </c>
      <c r="Q24" s="240">
        <v>270599368.89355338</v>
      </c>
      <c r="R24" s="241"/>
      <c r="S24" s="239" t="s">
        <v>628</v>
      </c>
      <c r="T24" s="242">
        <v>537.00027151691495</v>
      </c>
      <c r="U24" s="8"/>
      <c r="V24" s="239" t="s">
        <v>628</v>
      </c>
      <c r="W24" s="242">
        <v>2495028525609.0352</v>
      </c>
      <c r="X24" s="242">
        <v>1033994337699.8296</v>
      </c>
      <c r="Y24" s="8"/>
    </row>
    <row r="25" spans="1:25" ht="12.75" x14ac:dyDescent="0.2">
      <c r="A25" s="8"/>
      <c r="B25" s="239">
        <v>24025</v>
      </c>
      <c r="C25" s="240">
        <v>35183131.341328986</v>
      </c>
      <c r="D25" s="240">
        <v>16050849.098949999</v>
      </c>
      <c r="E25" s="240">
        <v>900210014846.18408</v>
      </c>
      <c r="F25" s="8"/>
      <c r="G25" s="240">
        <v>4341254.2500923239</v>
      </c>
      <c r="H25" s="240">
        <v>22817559.277143829</v>
      </c>
      <c r="I25" s="240">
        <v>196830715744</v>
      </c>
      <c r="J25" s="8"/>
      <c r="K25" s="240">
        <v>13553069.679624883</v>
      </c>
      <c r="L25" s="240">
        <v>80749.383606911084</v>
      </c>
      <c r="M25" s="240">
        <v>1126653157.7198486</v>
      </c>
      <c r="N25" s="8"/>
      <c r="O25" s="240">
        <v>60165.536955520576</v>
      </c>
      <c r="P25" s="240">
        <v>11838.62420329451</v>
      </c>
      <c r="Q25" s="240">
        <v>827656717</v>
      </c>
      <c r="R25" s="241"/>
      <c r="S25" s="239" t="s">
        <v>629</v>
      </c>
      <c r="T25" s="242">
        <v>2516.9994575216101</v>
      </c>
      <c r="U25" s="8"/>
      <c r="V25" s="239" t="s">
        <v>629</v>
      </c>
      <c r="W25" s="242">
        <v>12387079250109.465</v>
      </c>
      <c r="X25" s="242">
        <v>2654852053500.8906</v>
      </c>
      <c r="Y25" s="8"/>
    </row>
    <row r="26" spans="1:25" ht="12.75" x14ac:dyDescent="0.2">
      <c r="A26" s="8"/>
      <c r="B26" s="239">
        <v>24027</v>
      </c>
      <c r="C26" s="240">
        <v>41964719.875231296</v>
      </c>
      <c r="D26" s="240">
        <v>18821299.786994133</v>
      </c>
      <c r="E26" s="240">
        <v>1429565737749.5242</v>
      </c>
      <c r="F26" s="8"/>
      <c r="G26" s="240">
        <v>6936123.7227475503</v>
      </c>
      <c r="H26" s="240">
        <v>38941961.110550456</v>
      </c>
      <c r="I26" s="240">
        <v>330328347694</v>
      </c>
      <c r="J26" s="8"/>
      <c r="K26" s="240">
        <v>17779952.771500226</v>
      </c>
      <c r="L26" s="240">
        <v>106920.47108745592</v>
      </c>
      <c r="M26" s="240">
        <v>1644072211.9273677</v>
      </c>
      <c r="N26" s="8"/>
      <c r="O26" s="240">
        <v>82779.904943287547</v>
      </c>
      <c r="P26" s="240">
        <v>15345.669973373419</v>
      </c>
      <c r="Q26" s="240">
        <v>1352998726</v>
      </c>
      <c r="R26" s="241"/>
      <c r="S26" s="239" t="s">
        <v>630</v>
      </c>
      <c r="T26" s="242">
        <v>4099.9992787188494</v>
      </c>
      <c r="U26" s="8"/>
      <c r="V26" s="239" t="s">
        <v>630</v>
      </c>
      <c r="W26" s="242">
        <v>19671113819697.852</v>
      </c>
      <c r="X26" s="242">
        <v>4455467038774.5537</v>
      </c>
      <c r="Y26" s="8"/>
    </row>
    <row r="27" spans="1:25" ht="12.75" x14ac:dyDescent="0.2">
      <c r="A27" s="8"/>
      <c r="B27" s="239">
        <v>24029</v>
      </c>
      <c r="C27" s="240">
        <v>4097467.889283597</v>
      </c>
      <c r="D27" s="240">
        <v>1550056.3735179817</v>
      </c>
      <c r="E27" s="240">
        <v>72448114554.061234</v>
      </c>
      <c r="F27" s="8"/>
      <c r="G27" s="240">
        <v>509515.07499137672</v>
      </c>
      <c r="H27" s="240">
        <v>2497538.7137781847</v>
      </c>
      <c r="I27" s="240">
        <v>22471588018.963867</v>
      </c>
      <c r="J27" s="8"/>
      <c r="K27" s="240">
        <v>2032045.9168569993</v>
      </c>
      <c r="L27" s="240">
        <v>11963.476537942881</v>
      </c>
      <c r="M27" s="240">
        <v>211110009.45146954</v>
      </c>
      <c r="N27" s="8"/>
      <c r="O27" s="240">
        <v>9785.9634542055628</v>
      </c>
      <c r="P27" s="240">
        <v>1531.5734890848391</v>
      </c>
      <c r="Q27" s="240">
        <v>101863460.50000009</v>
      </c>
      <c r="R27" s="241"/>
      <c r="S27" s="239" t="s">
        <v>631</v>
      </c>
      <c r="T27" s="242">
        <v>203.99993263975901</v>
      </c>
      <c r="U27" s="8"/>
      <c r="V27" s="239" t="s">
        <v>631</v>
      </c>
      <c r="W27" s="242">
        <v>996900877636.85608</v>
      </c>
      <c r="X27" s="242">
        <v>303096597882.11816</v>
      </c>
      <c r="Y27" s="8"/>
    </row>
    <row r="28" spans="1:25" ht="12.75" x14ac:dyDescent="0.2">
      <c r="A28" s="8"/>
      <c r="B28" s="239">
        <v>24031</v>
      </c>
      <c r="C28" s="240">
        <v>111130213.70450398</v>
      </c>
      <c r="D28" s="240">
        <v>49037646.341115855</v>
      </c>
      <c r="E28" s="240">
        <v>2652326828754.4648</v>
      </c>
      <c r="F28" s="8"/>
      <c r="G28" s="240">
        <v>11408644.316400655</v>
      </c>
      <c r="H28" s="240">
        <v>56209777.372750901</v>
      </c>
      <c r="I28" s="240">
        <v>483947451362</v>
      </c>
      <c r="J28" s="8"/>
      <c r="K28" s="240">
        <v>43421976.363386653</v>
      </c>
      <c r="L28" s="240">
        <v>258784.76837358609</v>
      </c>
      <c r="M28" s="240">
        <v>3270087601.9187016</v>
      </c>
      <c r="N28" s="8"/>
      <c r="O28" s="240">
        <v>222280.81340556635</v>
      </c>
      <c r="P28" s="240">
        <v>38478.787558197939</v>
      </c>
      <c r="Q28" s="240">
        <v>2370631142</v>
      </c>
      <c r="R28" s="241"/>
      <c r="S28" s="239" t="s">
        <v>632</v>
      </c>
      <c r="T28" s="242">
        <v>7304.0035851253597</v>
      </c>
      <c r="U28" s="8"/>
      <c r="V28" s="239" t="s">
        <v>632</v>
      </c>
      <c r="W28" s="242">
        <v>36496569190532.586</v>
      </c>
      <c r="X28" s="242">
        <v>6527478388747.7129</v>
      </c>
      <c r="Y28" s="8"/>
    </row>
    <row r="29" spans="1:25" ht="12.75" x14ac:dyDescent="0.2">
      <c r="A29" s="8"/>
      <c r="B29" s="239">
        <v>24033</v>
      </c>
      <c r="C29" s="240">
        <v>132030073.67438088</v>
      </c>
      <c r="D29" s="240">
        <v>50781099.000103489</v>
      </c>
      <c r="E29" s="240">
        <v>3270539089784.4609</v>
      </c>
      <c r="F29" s="8"/>
      <c r="G29" s="240">
        <v>13754233.660796661</v>
      </c>
      <c r="H29" s="240">
        <v>71455849.341527462</v>
      </c>
      <c r="I29" s="240">
        <v>618203122500</v>
      </c>
      <c r="J29" s="8"/>
      <c r="K29" s="240">
        <v>43611596.413165331</v>
      </c>
      <c r="L29" s="240">
        <v>252180.39039045549</v>
      </c>
      <c r="M29" s="240">
        <v>3722729792.6584501</v>
      </c>
      <c r="N29" s="8"/>
      <c r="O29" s="240">
        <v>251239.87692409707</v>
      </c>
      <c r="P29" s="240">
        <v>38818.592799425132</v>
      </c>
      <c r="Q29" s="240">
        <v>2999191732</v>
      </c>
      <c r="R29" s="241"/>
      <c r="S29" s="239" t="s">
        <v>633</v>
      </c>
      <c r="T29" s="242">
        <v>8986.9967383541116</v>
      </c>
      <c r="U29" s="8"/>
      <c r="V29" s="239" t="s">
        <v>633</v>
      </c>
      <c r="W29" s="242">
        <v>45003294634611.516</v>
      </c>
      <c r="X29" s="242">
        <v>8338325114851.6895</v>
      </c>
      <c r="Y29" s="8"/>
    </row>
    <row r="30" spans="1:25" ht="12.75" x14ac:dyDescent="0.2">
      <c r="A30" s="8"/>
      <c r="B30" s="239">
        <v>24035</v>
      </c>
      <c r="C30" s="240">
        <v>13094085.640270434</v>
      </c>
      <c r="D30" s="240">
        <v>4628518.1405793093</v>
      </c>
      <c r="E30" s="240">
        <v>333236755167.14288</v>
      </c>
      <c r="F30" s="8"/>
      <c r="G30" s="240">
        <v>1970970.2313263037</v>
      </c>
      <c r="H30" s="240">
        <v>12119135.819216227</v>
      </c>
      <c r="I30" s="240">
        <v>104412246092.41211</v>
      </c>
      <c r="J30" s="8"/>
      <c r="K30" s="240">
        <v>4645367.4558403986</v>
      </c>
      <c r="L30" s="240">
        <v>31863.686781883061</v>
      </c>
      <c r="M30" s="240">
        <v>483363338.57568359</v>
      </c>
      <c r="N30" s="8"/>
      <c r="O30" s="240">
        <v>23021.346738144795</v>
      </c>
      <c r="P30" s="240">
        <v>3277.1486326753889</v>
      </c>
      <c r="Q30" s="240">
        <v>325577913.69531238</v>
      </c>
      <c r="R30" s="241"/>
      <c r="S30" s="239" t="s">
        <v>634</v>
      </c>
      <c r="T30" s="242">
        <v>1015.9996509194731</v>
      </c>
      <c r="U30" s="8"/>
      <c r="V30" s="239" t="s">
        <v>634</v>
      </c>
      <c r="W30" s="242">
        <v>4585405983187.5234</v>
      </c>
      <c r="X30" s="242">
        <v>1408311509232.2751</v>
      </c>
      <c r="Y30" s="8"/>
    </row>
    <row r="31" spans="1:25" ht="12.75" x14ac:dyDescent="0.2">
      <c r="A31" s="8"/>
      <c r="B31" s="239">
        <v>24037</v>
      </c>
      <c r="C31" s="240">
        <v>16834263.457527544</v>
      </c>
      <c r="D31" s="240">
        <v>7621880.046025686</v>
      </c>
      <c r="E31" s="240">
        <v>323006091048.67358</v>
      </c>
      <c r="F31" s="8"/>
      <c r="G31" s="240">
        <v>1970350.6464092655</v>
      </c>
      <c r="H31" s="240">
        <v>9441036.6848040409</v>
      </c>
      <c r="I31" s="240">
        <v>84034454575.779541</v>
      </c>
      <c r="J31" s="8"/>
      <c r="K31" s="240">
        <v>6419293.8734576013</v>
      </c>
      <c r="L31" s="240">
        <v>43985.898351669181</v>
      </c>
      <c r="M31" s="240">
        <v>570046106.76989746</v>
      </c>
      <c r="N31" s="8"/>
      <c r="O31" s="240">
        <v>41462.924527637675</v>
      </c>
      <c r="P31" s="240">
        <v>7346.275384426126</v>
      </c>
      <c r="Q31" s="240">
        <v>420176198</v>
      </c>
      <c r="R31" s="241"/>
      <c r="S31" s="239" t="s">
        <v>635</v>
      </c>
      <c r="T31" s="242">
        <v>910.99997847138002</v>
      </c>
      <c r="U31" s="8"/>
      <c r="V31" s="239" t="s">
        <v>635</v>
      </c>
      <c r="W31" s="242">
        <v>4444631019244.3447</v>
      </c>
      <c r="X31" s="242">
        <v>1133456166711.1875</v>
      </c>
      <c r="Y31" s="8"/>
    </row>
    <row r="32" spans="1:25" ht="12.75" x14ac:dyDescent="0.2">
      <c r="A32" s="8"/>
      <c r="B32" s="239">
        <v>24039</v>
      </c>
      <c r="C32" s="240">
        <v>4338673.2102756361</v>
      </c>
      <c r="D32" s="240">
        <v>1687288.7953566054</v>
      </c>
      <c r="E32" s="240">
        <v>95062845093.029526</v>
      </c>
      <c r="F32" s="8"/>
      <c r="G32" s="240">
        <v>501175.08712518238</v>
      </c>
      <c r="H32" s="240">
        <v>2793195.5826301016</v>
      </c>
      <c r="I32" s="240">
        <v>25446966891.416016</v>
      </c>
      <c r="J32" s="8"/>
      <c r="K32" s="240">
        <v>1284759.3192046282</v>
      </c>
      <c r="L32" s="240">
        <v>8207.7782381772813</v>
      </c>
      <c r="M32" s="240">
        <v>136296159.62463361</v>
      </c>
      <c r="N32" s="8"/>
      <c r="O32" s="240">
        <v>10135.843007259062</v>
      </c>
      <c r="P32" s="240">
        <v>1536.2324486374846</v>
      </c>
      <c r="Q32" s="240">
        <v>127751475.81835954</v>
      </c>
      <c r="R32" s="241"/>
      <c r="S32" s="239" t="s">
        <v>636</v>
      </c>
      <c r="T32" s="242">
        <v>278.000055056284</v>
      </c>
      <c r="U32" s="8"/>
      <c r="V32" s="239" t="s">
        <v>636</v>
      </c>
      <c r="W32" s="242">
        <v>1308083729921.2661</v>
      </c>
      <c r="X32" s="242">
        <v>343228528903.57086</v>
      </c>
      <c r="Y32" s="8"/>
    </row>
    <row r="33" spans="1:25" ht="12.75" x14ac:dyDescent="0.2">
      <c r="A33" s="8"/>
      <c r="B33" s="239">
        <v>24041</v>
      </c>
      <c r="C33" s="240">
        <v>8878978.8299706802</v>
      </c>
      <c r="D33" s="240">
        <v>3394392.2916224129</v>
      </c>
      <c r="E33" s="240">
        <v>218889504209.28824</v>
      </c>
      <c r="F33" s="8"/>
      <c r="G33" s="240">
        <v>1203894.7146482498</v>
      </c>
      <c r="H33" s="240">
        <v>6639806.6734336307</v>
      </c>
      <c r="I33" s="240">
        <v>58957533624.438965</v>
      </c>
      <c r="J33" s="8"/>
      <c r="K33" s="240">
        <v>3037080.7634508573</v>
      </c>
      <c r="L33" s="240">
        <v>17743.360049963016</v>
      </c>
      <c r="M33" s="240">
        <v>318462103.80847168</v>
      </c>
      <c r="N33" s="8"/>
      <c r="O33" s="240">
        <v>22708.571095332387</v>
      </c>
      <c r="P33" s="240">
        <v>3433.8437215089775</v>
      </c>
      <c r="Q33" s="240">
        <v>309913919.00390619</v>
      </c>
      <c r="R33" s="241"/>
      <c r="S33" s="239" t="s">
        <v>637</v>
      </c>
      <c r="T33" s="242">
        <v>643.99958808470296</v>
      </c>
      <c r="U33" s="8"/>
      <c r="V33" s="239" t="s">
        <v>637</v>
      </c>
      <c r="W33" s="242">
        <v>3011963725231.9692</v>
      </c>
      <c r="X33" s="242">
        <v>795218800146.17798</v>
      </c>
      <c r="Y33" s="8"/>
    </row>
    <row r="34" spans="1:25" ht="12.75" x14ac:dyDescent="0.2">
      <c r="A34" s="8"/>
      <c r="B34" s="239">
        <v>24043</v>
      </c>
      <c r="C34" s="240">
        <v>32195804.440670542</v>
      </c>
      <c r="D34" s="240">
        <v>11970546.342620434</v>
      </c>
      <c r="E34" s="240">
        <v>725708632319.12134</v>
      </c>
      <c r="F34" s="8"/>
      <c r="G34" s="240">
        <v>7636496.3621203732</v>
      </c>
      <c r="H34" s="240">
        <v>45312576.147193074</v>
      </c>
      <c r="I34" s="240">
        <v>384506428402</v>
      </c>
      <c r="J34" s="8"/>
      <c r="K34" s="240">
        <v>15053990.357335461</v>
      </c>
      <c r="L34" s="240">
        <v>96331.675093472339</v>
      </c>
      <c r="M34" s="240">
        <v>1720672604.5966213</v>
      </c>
      <c r="N34" s="8"/>
      <c r="O34" s="240">
        <v>53637.618759073375</v>
      </c>
      <c r="P34" s="240">
        <v>7566.4703685045088</v>
      </c>
      <c r="Q34" s="240">
        <v>659792963</v>
      </c>
      <c r="R34" s="241"/>
      <c r="S34" s="239" t="s">
        <v>638</v>
      </c>
      <c r="T34" s="242">
        <v>2103.9999933670597</v>
      </c>
      <c r="U34" s="8"/>
      <c r="V34" s="239" t="s">
        <v>638</v>
      </c>
      <c r="W34" s="242">
        <v>9985901193221.5215</v>
      </c>
      <c r="X34" s="242">
        <v>5186221214607.8574</v>
      </c>
      <c r="Y34" s="8"/>
    </row>
    <row r="35" spans="1:25" ht="12.75" x14ac:dyDescent="0.2">
      <c r="A35" s="8"/>
      <c r="B35" s="239">
        <v>24045</v>
      </c>
      <c r="C35" s="240">
        <v>17046282.303049825</v>
      </c>
      <c r="D35" s="240">
        <v>7115349.2385219047</v>
      </c>
      <c r="E35" s="240">
        <v>361497468770.17236</v>
      </c>
      <c r="F35" s="8"/>
      <c r="G35" s="240">
        <v>2539798.4755400415</v>
      </c>
      <c r="H35" s="240">
        <v>12713219.523464717</v>
      </c>
      <c r="I35" s="240">
        <v>112847356102.10938</v>
      </c>
      <c r="J35" s="8"/>
      <c r="K35" s="240">
        <v>6748319.3382935366</v>
      </c>
      <c r="L35" s="240">
        <v>37556.159352064169</v>
      </c>
      <c r="M35" s="240">
        <v>584329052.81848419</v>
      </c>
      <c r="N35" s="8"/>
      <c r="O35" s="240">
        <v>44339.349490463777</v>
      </c>
      <c r="P35" s="240">
        <v>7309.2925336956851</v>
      </c>
      <c r="Q35" s="240">
        <v>508345082</v>
      </c>
      <c r="R35" s="241"/>
      <c r="S35" s="239" t="s">
        <v>639</v>
      </c>
      <c r="T35" s="242">
        <v>1003.0004968227588</v>
      </c>
      <c r="U35" s="8"/>
      <c r="V35" s="239" t="s">
        <v>639</v>
      </c>
      <c r="W35" s="242">
        <v>4974280000560.4141</v>
      </c>
      <c r="X35" s="242">
        <v>1522084446138.5356</v>
      </c>
      <c r="Y35" s="8"/>
    </row>
    <row r="36" spans="1:25" ht="12.75" x14ac:dyDescent="0.2">
      <c r="A36" s="8"/>
      <c r="B36" s="239">
        <v>24047</v>
      </c>
      <c r="C36" s="240">
        <v>12639108.328468807</v>
      </c>
      <c r="D36" s="240">
        <v>5007464.950520047</v>
      </c>
      <c r="E36" s="240">
        <v>309445221156.38074</v>
      </c>
      <c r="F36" s="8"/>
      <c r="G36" s="240">
        <v>1970152.3400691915</v>
      </c>
      <c r="H36" s="240">
        <v>10784958.955049459</v>
      </c>
      <c r="I36" s="240">
        <v>94252861971.199219</v>
      </c>
      <c r="J36" s="8"/>
      <c r="K36" s="240">
        <v>5266352.9505878482</v>
      </c>
      <c r="L36" s="240">
        <v>28978.094012334968</v>
      </c>
      <c r="M36" s="240">
        <v>479742191.6053167</v>
      </c>
      <c r="N36" s="8"/>
      <c r="O36" s="240">
        <v>32732.803069930444</v>
      </c>
      <c r="P36" s="240">
        <v>5148.1354943364768</v>
      </c>
      <c r="Q36" s="240">
        <v>442961726</v>
      </c>
      <c r="R36" s="241"/>
      <c r="S36" s="239" t="s">
        <v>640</v>
      </c>
      <c r="T36" s="242">
        <v>893.00037031429986</v>
      </c>
      <c r="U36" s="8"/>
      <c r="V36" s="239" t="s">
        <v>640</v>
      </c>
      <c r="W36" s="242">
        <v>4258030268399.4189</v>
      </c>
      <c r="X36" s="242">
        <v>1271282192887.4856</v>
      </c>
      <c r="Y36" s="8"/>
    </row>
    <row r="37" spans="1:25" ht="12.75" x14ac:dyDescent="0.2">
      <c r="A37" s="8"/>
      <c r="B37" s="239">
        <v>24510</v>
      </c>
      <c r="C37" s="240">
        <v>43359646.512862548</v>
      </c>
      <c r="D37" s="240">
        <v>19455238.499967784</v>
      </c>
      <c r="E37" s="240">
        <v>1244816073411.5618</v>
      </c>
      <c r="F37" s="8"/>
      <c r="G37" s="240">
        <v>6381245.7945064064</v>
      </c>
      <c r="H37" s="240">
        <v>29102291.229413904</v>
      </c>
      <c r="I37" s="240">
        <v>253502911980.31055</v>
      </c>
      <c r="J37" s="8"/>
      <c r="K37" s="240">
        <v>20557414.319959372</v>
      </c>
      <c r="L37" s="240">
        <v>156139.92637292511</v>
      </c>
      <c r="M37" s="240">
        <v>1506384565.309752</v>
      </c>
      <c r="N37" s="8"/>
      <c r="O37" s="240">
        <v>81032.683604128353</v>
      </c>
      <c r="P37" s="240">
        <v>15434.535007402319</v>
      </c>
      <c r="Q37" s="240">
        <v>1143276891.5307651</v>
      </c>
      <c r="R37" s="241"/>
      <c r="S37" s="239" t="s">
        <v>641</v>
      </c>
      <c r="T37" s="242">
        <v>3290.0005253531403</v>
      </c>
      <c r="U37" s="8"/>
      <c r="V37" s="239" t="s">
        <v>641</v>
      </c>
      <c r="W37" s="242">
        <v>17128929815157.424</v>
      </c>
      <c r="X37" s="242">
        <v>3419246228091.2529</v>
      </c>
      <c r="Y37" s="8"/>
    </row>
    <row r="38" spans="1:25" ht="12.75" x14ac:dyDescent="0.2">
      <c r="A38" s="8"/>
      <c r="B38" s="243" t="s">
        <v>102</v>
      </c>
      <c r="C38" s="244">
        <v>817165574.79938066</v>
      </c>
      <c r="D38" s="244">
        <v>346241459.69150341</v>
      </c>
      <c r="E38" s="244">
        <v>20561632260164.313</v>
      </c>
      <c r="F38" s="8"/>
      <c r="G38" s="244">
        <v>105815436.35212956</v>
      </c>
      <c r="H38" s="244">
        <v>559655583.33130968</v>
      </c>
      <c r="I38" s="244">
        <v>4833725921943.0566</v>
      </c>
      <c r="J38" s="8"/>
      <c r="K38" s="244">
        <v>333202378.8773731</v>
      </c>
      <c r="L38" s="244">
        <v>1967765.3726088435</v>
      </c>
      <c r="M38" s="244">
        <v>29291888167.283047</v>
      </c>
      <c r="N38" s="8"/>
      <c r="O38" s="244">
        <v>1602692.0845065194</v>
      </c>
      <c r="P38" s="244">
        <v>278145.144964937</v>
      </c>
      <c r="Q38" s="244">
        <v>20413973491.918461</v>
      </c>
      <c r="R38" s="245"/>
      <c r="S38" s="243" t="s">
        <v>102</v>
      </c>
      <c r="T38" s="244">
        <v>57536.998305544614</v>
      </c>
      <c r="U38" s="8"/>
      <c r="V38" s="243" t="s">
        <v>102</v>
      </c>
      <c r="W38" s="246">
        <v>282932301830443.25</v>
      </c>
      <c r="X38" s="246">
        <v>65197274583070.875</v>
      </c>
      <c r="Y38" s="8"/>
    </row>
    <row r="39" spans="1:25" ht="12.75" x14ac:dyDescent="0.2">
      <c r="A39" s="8"/>
      <c r="B39" s="8"/>
      <c r="C39" s="8"/>
      <c r="D39" s="8"/>
      <c r="E39" s="8"/>
      <c r="F39" s="8"/>
      <c r="G39" s="8"/>
      <c r="H39" s="8"/>
      <c r="I39" s="241"/>
      <c r="J39" s="8"/>
      <c r="K39" s="8"/>
      <c r="L39" s="241"/>
      <c r="M39" s="8"/>
      <c r="N39" s="8"/>
      <c r="O39" s="8"/>
      <c r="P39" s="8"/>
      <c r="Q39" s="8"/>
      <c r="R39" s="8"/>
      <c r="S39" s="8"/>
      <c r="T39" s="8"/>
      <c r="U39" s="8"/>
      <c r="V39" s="8"/>
      <c r="W39" s="8"/>
      <c r="X39" s="8"/>
      <c r="Y39" s="8"/>
    </row>
    <row r="40" spans="1:25" ht="12.75" x14ac:dyDescent="0.2">
      <c r="A40" s="8"/>
      <c r="B40" s="247" t="s">
        <v>642</v>
      </c>
      <c r="C40" s="248"/>
      <c r="D40" s="248"/>
      <c r="E40" s="248"/>
      <c r="F40" s="248"/>
      <c r="G40" s="248"/>
      <c r="H40" s="248"/>
      <c r="I40" s="248"/>
      <c r="J40" s="248"/>
      <c r="K40" s="248"/>
      <c r="L40" s="248"/>
      <c r="M40" s="248"/>
      <c r="N40" s="248"/>
      <c r="O40" s="248"/>
      <c r="P40" s="248"/>
      <c r="Q40" s="248"/>
      <c r="R40" s="8"/>
      <c r="S40" s="8"/>
      <c r="T40" s="8"/>
      <c r="U40" s="8"/>
      <c r="Y40" s="8"/>
    </row>
    <row r="41" spans="1:25" ht="12.75" x14ac:dyDescent="0.2">
      <c r="A41" s="8"/>
      <c r="B41" s="236"/>
      <c r="C41" s="237"/>
      <c r="D41" s="237"/>
      <c r="E41" s="237"/>
      <c r="F41" s="237"/>
      <c r="G41" s="237"/>
      <c r="H41" s="237"/>
      <c r="I41" s="237"/>
      <c r="J41" s="237"/>
      <c r="K41" s="237"/>
      <c r="L41" s="237"/>
      <c r="M41" s="237"/>
      <c r="N41" s="237"/>
      <c r="O41" s="237"/>
      <c r="P41" s="237"/>
      <c r="Q41" s="237"/>
      <c r="R41" s="237"/>
      <c r="S41" s="8"/>
      <c r="T41" s="8"/>
      <c r="U41" s="8"/>
      <c r="Y41" s="8"/>
    </row>
    <row r="42" spans="1:25" ht="12.75" x14ac:dyDescent="0.2">
      <c r="A42" s="8"/>
      <c r="B42" s="236"/>
      <c r="C42" s="2027" t="s">
        <v>350</v>
      </c>
      <c r="D42" s="2017"/>
      <c r="E42" s="2009"/>
      <c r="F42" s="237"/>
      <c r="G42" s="2027" t="s">
        <v>79</v>
      </c>
      <c r="H42" s="2017"/>
      <c r="I42" s="2009"/>
      <c r="J42" s="8"/>
      <c r="K42" s="2027" t="s">
        <v>601</v>
      </c>
      <c r="L42" s="2017"/>
      <c r="M42" s="2009"/>
      <c r="N42" s="8"/>
      <c r="O42" s="2027" t="s">
        <v>602</v>
      </c>
      <c r="P42" s="2017"/>
      <c r="Q42" s="2009"/>
      <c r="R42" s="237"/>
      <c r="S42" s="8"/>
      <c r="T42" s="8"/>
      <c r="U42" s="8"/>
      <c r="V42" s="8" t="s">
        <v>643</v>
      </c>
      <c r="Y42" s="8"/>
    </row>
    <row r="43" spans="1:25" ht="14.25" x14ac:dyDescent="0.25">
      <c r="A43" s="8"/>
      <c r="B43" s="236"/>
      <c r="C43" s="238" t="s">
        <v>644</v>
      </c>
      <c r="D43" s="238" t="s">
        <v>645</v>
      </c>
      <c r="E43" s="238" t="s">
        <v>646</v>
      </c>
      <c r="F43" s="237"/>
      <c r="G43" s="238" t="s">
        <v>647</v>
      </c>
      <c r="H43" s="238" t="s">
        <v>648</v>
      </c>
      <c r="I43" s="238" t="s">
        <v>649</v>
      </c>
      <c r="J43" s="8"/>
      <c r="K43" s="238" t="s">
        <v>650</v>
      </c>
      <c r="L43" s="238" t="s">
        <v>651</v>
      </c>
      <c r="M43" s="238" t="s">
        <v>652</v>
      </c>
      <c r="N43" s="8"/>
      <c r="O43" s="238" t="s">
        <v>653</v>
      </c>
      <c r="P43" s="238" t="s">
        <v>654</v>
      </c>
      <c r="Q43" s="238" t="s">
        <v>655</v>
      </c>
      <c r="R43" s="237"/>
      <c r="S43" s="8"/>
      <c r="T43" s="8"/>
      <c r="U43" s="8"/>
      <c r="Y43" s="8"/>
    </row>
    <row r="44" spans="1:25" ht="12.75" x14ac:dyDescent="0.2">
      <c r="A44" s="8"/>
      <c r="B44" s="249" t="s">
        <v>656</v>
      </c>
      <c r="C44" s="250">
        <f t="shared" ref="C44:E44" si="0">C38/1000/1000</f>
        <v>817.16557479938058</v>
      </c>
      <c r="D44" s="250">
        <f t="shared" si="0"/>
        <v>346.24145969150345</v>
      </c>
      <c r="E44" s="250">
        <f t="shared" si="0"/>
        <v>20561632.260164313</v>
      </c>
      <c r="F44" s="251"/>
      <c r="G44" s="250">
        <f t="shared" ref="G44:I44" si="1">G38/1000/1000</f>
        <v>105.81543635212957</v>
      </c>
      <c r="H44" s="250">
        <f t="shared" si="1"/>
        <v>559.65558333130969</v>
      </c>
      <c r="I44" s="250">
        <f t="shared" si="1"/>
        <v>4833725.9219430573</v>
      </c>
      <c r="J44" s="251"/>
      <c r="K44" s="250">
        <f t="shared" ref="K44:M44" si="2">K38/1000/1000</f>
        <v>333.20237887737312</v>
      </c>
      <c r="L44" s="250">
        <f t="shared" si="2"/>
        <v>1.9677653726088435</v>
      </c>
      <c r="M44" s="250">
        <f t="shared" si="2"/>
        <v>29291.888167283047</v>
      </c>
      <c r="N44" s="251"/>
      <c r="O44" s="250">
        <f t="shared" ref="O44:Q44" si="3">O38/1000/1000</f>
        <v>1.6026920845065193</v>
      </c>
      <c r="P44" s="252">
        <f t="shared" si="3"/>
        <v>0.27814514496493703</v>
      </c>
      <c r="Q44" s="250">
        <f t="shared" si="3"/>
        <v>20413.973491918459</v>
      </c>
      <c r="R44" s="253"/>
      <c r="S44" s="8"/>
      <c r="T44" s="8"/>
      <c r="U44" s="8"/>
      <c r="V44" s="8" t="s">
        <v>657</v>
      </c>
      <c r="W44" s="19" t="s">
        <v>658</v>
      </c>
      <c r="X44" s="19" t="s">
        <v>79</v>
      </c>
      <c r="Y44" s="8"/>
    </row>
    <row r="45" spans="1:25" ht="12.75" x14ac:dyDescent="0.2">
      <c r="A45" s="8"/>
      <c r="B45" s="249" t="s">
        <v>27</v>
      </c>
      <c r="C45" s="254">
        <f>C44*$I$50/1000000</f>
        <v>2.2798919536902718E-2</v>
      </c>
      <c r="D45" s="254">
        <f>D44*$I$51/1000000</f>
        <v>9.4523918495780443E-2</v>
      </c>
      <c r="E45" s="254">
        <f>E44*$I$49/1000000</f>
        <v>20.561632260164313</v>
      </c>
      <c r="F45" s="8"/>
      <c r="G45" s="254">
        <f>G44*$I$50/1000000</f>
        <v>2.952250674224415E-3</v>
      </c>
      <c r="H45" s="254">
        <f>H44*$I$51/1000000</f>
        <v>0.15278597424944754</v>
      </c>
      <c r="I45" s="254">
        <f>I44*$I$49/1000000</f>
        <v>4.8337259219430573</v>
      </c>
      <c r="J45" s="8"/>
      <c r="K45" s="254">
        <f>K44*$I$50/1000000</f>
        <v>9.2963463706787104E-3</v>
      </c>
      <c r="L45" s="254">
        <f>L44*$I$51/1000000</f>
        <v>5.3719994672221422E-4</v>
      </c>
      <c r="M45" s="254">
        <f>M44*$I$49/1000000</f>
        <v>2.9291888167283047E-2</v>
      </c>
      <c r="N45" s="8"/>
      <c r="O45" s="255">
        <f>O44*$I$50/1000000</f>
        <v>4.4715109157731886E-5</v>
      </c>
      <c r="P45" s="256">
        <f>P44*$I$51/1000000</f>
        <v>7.5933624575427814E-5</v>
      </c>
      <c r="Q45" s="254">
        <f>Q44*$I$49/1000000</f>
        <v>2.0413973491918459E-2</v>
      </c>
      <c r="S45" s="8"/>
      <c r="T45" s="8"/>
      <c r="U45" s="8"/>
      <c r="V45" s="239" t="s">
        <v>659</v>
      </c>
      <c r="W45" s="19">
        <v>41.695999999999998</v>
      </c>
      <c r="X45" s="19">
        <v>42.869</v>
      </c>
      <c r="Y45" s="8"/>
    </row>
    <row r="46" spans="1:25" ht="12.75" x14ac:dyDescent="0.2">
      <c r="A46" s="8"/>
      <c r="C46" s="236"/>
      <c r="D46" s="236"/>
      <c r="F46" s="236"/>
      <c r="G46" s="236"/>
      <c r="H46" s="236"/>
      <c r="I46" s="236"/>
      <c r="J46" s="236"/>
      <c r="K46" s="236"/>
      <c r="L46" s="236"/>
      <c r="M46" s="236"/>
      <c r="N46" s="236"/>
      <c r="O46" s="236"/>
      <c r="P46" s="236"/>
      <c r="Q46" s="236"/>
      <c r="R46" s="236"/>
      <c r="S46" s="8"/>
      <c r="T46" s="8"/>
      <c r="U46" s="8"/>
      <c r="V46" s="239" t="s">
        <v>660</v>
      </c>
      <c r="W46" s="19">
        <v>2829</v>
      </c>
      <c r="X46" s="19">
        <v>3203</v>
      </c>
      <c r="Y46" s="8"/>
    </row>
    <row r="47" spans="1:25" ht="25.5" x14ac:dyDescent="0.2">
      <c r="A47" s="8"/>
      <c r="B47" s="257" t="s">
        <v>49</v>
      </c>
      <c r="C47" s="862" t="s">
        <v>661</v>
      </c>
      <c r="D47" s="862" t="s">
        <v>662</v>
      </c>
      <c r="E47" s="862" t="s">
        <v>663</v>
      </c>
      <c r="F47" s="862" t="s">
        <v>664</v>
      </c>
      <c r="G47" s="8"/>
      <c r="H47" s="2026" t="s">
        <v>1</v>
      </c>
      <c r="I47" s="2009"/>
      <c r="J47" s="8"/>
      <c r="K47" s="8"/>
      <c r="L47" s="8"/>
      <c r="M47" s="8"/>
      <c r="N47" s="8"/>
      <c r="O47" s="8"/>
      <c r="P47" s="8"/>
      <c r="Q47" s="8"/>
      <c r="R47" s="8"/>
      <c r="S47" s="8"/>
      <c r="T47" s="8"/>
      <c r="U47" s="8"/>
      <c r="V47" s="8"/>
      <c r="W47" s="230"/>
      <c r="X47" s="230"/>
      <c r="Y47" s="8"/>
    </row>
    <row r="48" spans="1:25" ht="12.75" x14ac:dyDescent="0.2">
      <c r="A48" s="8"/>
      <c r="B48" s="72" t="s">
        <v>350</v>
      </c>
      <c r="C48" s="254">
        <f>E45</f>
        <v>20.561632260164313</v>
      </c>
      <c r="D48" s="254">
        <f t="shared" ref="D48:E48" si="4">C45</f>
        <v>2.2798919536902718E-2</v>
      </c>
      <c r="E48" s="254">
        <f t="shared" si="4"/>
        <v>9.4523918495780443E-2</v>
      </c>
      <c r="F48" s="258">
        <f t="shared" ref="F48:F51" si="5">SUM(C48:E48)</f>
        <v>20.678955098196997</v>
      </c>
      <c r="G48" s="8"/>
      <c r="H48" s="259"/>
      <c r="I48" s="260" t="str">
        <f>Summary!E3</f>
        <v>AR6 100-yr GWP</v>
      </c>
      <c r="J48" s="8"/>
      <c r="K48" s="8"/>
      <c r="L48" s="8"/>
      <c r="M48" s="8"/>
      <c r="N48" s="8"/>
      <c r="O48" s="8"/>
      <c r="P48" s="8"/>
      <c r="Q48" s="8"/>
      <c r="R48" s="8"/>
      <c r="S48" s="8"/>
      <c r="T48" s="8"/>
      <c r="U48" s="8"/>
      <c r="V48" s="237"/>
      <c r="W48" s="238" t="s">
        <v>350</v>
      </c>
      <c r="X48" s="238" t="s">
        <v>79</v>
      </c>
      <c r="Y48" s="8"/>
    </row>
    <row r="49" spans="1:25" ht="12.75" x14ac:dyDescent="0.2">
      <c r="A49" s="8"/>
      <c r="B49" s="72" t="s">
        <v>79</v>
      </c>
      <c r="C49" s="254">
        <f>I45</f>
        <v>4.8337259219430573</v>
      </c>
      <c r="D49" s="254">
        <f t="shared" ref="D49:E49" si="6">G45</f>
        <v>2.952250674224415E-3</v>
      </c>
      <c r="E49" s="254">
        <f t="shared" si="6"/>
        <v>0.15278597424944754</v>
      </c>
      <c r="F49" s="258">
        <f t="shared" si="5"/>
        <v>4.9894641468667293</v>
      </c>
      <c r="G49" s="8"/>
      <c r="H49" s="261" t="str">
        <f>Summary!C4</f>
        <v>CO2</v>
      </c>
      <c r="I49" s="259">
        <f>Summary!E4</f>
        <v>1</v>
      </c>
      <c r="J49" s="8"/>
      <c r="K49" s="8"/>
      <c r="L49" s="8"/>
      <c r="M49" s="8"/>
      <c r="N49" s="8"/>
      <c r="O49" s="8"/>
      <c r="P49" s="8"/>
      <c r="Q49" s="8"/>
      <c r="R49" s="8"/>
      <c r="S49" s="8"/>
      <c r="T49" s="8"/>
      <c r="U49" s="8"/>
      <c r="V49" s="262" t="s">
        <v>665</v>
      </c>
      <c r="W49" s="263">
        <f t="shared" ref="W49:X49" si="7">+(W38/W45*(1/W46))</f>
        <v>2398585430.4736447</v>
      </c>
      <c r="X49" s="263">
        <f t="shared" si="7"/>
        <v>474820159.8676402</v>
      </c>
      <c r="Y49" s="8"/>
    </row>
    <row r="50" spans="1:25" ht="12.75" x14ac:dyDescent="0.2">
      <c r="A50" s="8"/>
      <c r="B50" s="72" t="s">
        <v>601</v>
      </c>
      <c r="C50" s="254">
        <f>M45</f>
        <v>2.9291888167283047E-2</v>
      </c>
      <c r="D50" s="254">
        <f t="shared" ref="D50:E50" si="8">K45</f>
        <v>9.2963463706787104E-3</v>
      </c>
      <c r="E50" s="254">
        <f t="shared" si="8"/>
        <v>5.3719994672221422E-4</v>
      </c>
      <c r="F50" s="258">
        <f t="shared" si="5"/>
        <v>3.9125434484683974E-2</v>
      </c>
      <c r="H50" s="261" t="str">
        <f>Summary!C5</f>
        <v>CH4</v>
      </c>
      <c r="I50" s="259">
        <f>Summary!E5</f>
        <v>27.9</v>
      </c>
      <c r="J50" s="8"/>
      <c r="K50" s="8"/>
      <c r="L50" s="8"/>
      <c r="M50" s="8"/>
      <c r="N50" s="8"/>
      <c r="O50" s="8"/>
      <c r="P50" s="8"/>
      <c r="Q50" s="8"/>
      <c r="R50" s="8"/>
      <c r="S50" s="8"/>
      <c r="T50" s="8"/>
      <c r="U50" s="8"/>
      <c r="Y50" s="8"/>
    </row>
    <row r="51" spans="1:25" ht="12.75" x14ac:dyDescent="0.2">
      <c r="A51" s="8"/>
      <c r="B51" s="72" t="s">
        <v>602</v>
      </c>
      <c r="C51" s="254">
        <f>Q45</f>
        <v>2.0413973491918459E-2</v>
      </c>
      <c r="D51" s="254">
        <f t="shared" ref="D51:E51" si="9">O45</f>
        <v>4.4715109157731886E-5</v>
      </c>
      <c r="E51" s="254">
        <f t="shared" si="9"/>
        <v>7.5933624575427814E-5</v>
      </c>
      <c r="F51" s="258">
        <f t="shared" si="5"/>
        <v>2.0534622225651618E-2</v>
      </c>
      <c r="H51" s="261" t="str">
        <f>Summary!C6</f>
        <v>N2O</v>
      </c>
      <c r="I51" s="259">
        <f>Summary!E6</f>
        <v>273</v>
      </c>
      <c r="J51" s="8"/>
      <c r="K51" s="8"/>
      <c r="L51" s="8"/>
      <c r="M51" s="8"/>
      <c r="N51" s="8"/>
      <c r="O51" s="8"/>
      <c r="P51" s="8"/>
      <c r="Q51" s="8"/>
      <c r="R51" s="8"/>
      <c r="S51" s="8"/>
      <c r="T51" s="8"/>
      <c r="U51" s="8"/>
      <c r="V51" s="8"/>
      <c r="W51" s="230"/>
      <c r="X51" s="230"/>
      <c r="Y51" s="8"/>
    </row>
    <row r="52" spans="1:25" ht="12.75" x14ac:dyDescent="0.2">
      <c r="A52" s="8"/>
      <c r="B52" s="264"/>
      <c r="C52" s="265"/>
      <c r="D52" s="265"/>
      <c r="E52" s="266" t="s">
        <v>102</v>
      </c>
      <c r="F52" s="267">
        <f>SUM(F48:F51)</f>
        <v>25.728079301774063</v>
      </c>
      <c r="H52" s="261" t="str">
        <f>Summary!C7</f>
        <v>SF6</v>
      </c>
      <c r="I52" s="268">
        <f>Summary!E7</f>
        <v>24300</v>
      </c>
      <c r="J52" s="8"/>
      <c r="K52" s="8"/>
      <c r="L52" s="8"/>
      <c r="M52" s="8"/>
      <c r="N52" s="8"/>
      <c r="O52" s="8"/>
      <c r="P52" s="8"/>
      <c r="Q52" s="8"/>
      <c r="R52" s="8"/>
      <c r="S52" s="8"/>
      <c r="T52" s="8"/>
      <c r="U52" s="8"/>
      <c r="V52" s="8"/>
      <c r="W52" s="230"/>
      <c r="X52" s="230"/>
      <c r="Y52" s="8"/>
    </row>
    <row r="53" spans="1:25" ht="12.75" x14ac:dyDescent="0.2">
      <c r="A53" s="8"/>
      <c r="B53" s="8"/>
      <c r="C53" s="8"/>
      <c r="J53" s="8"/>
      <c r="K53" s="8"/>
      <c r="L53" s="8"/>
      <c r="M53" s="8"/>
      <c r="N53" s="8"/>
      <c r="O53" s="8"/>
      <c r="P53" s="8"/>
      <c r="Q53" s="8"/>
      <c r="R53" s="8"/>
      <c r="S53" s="8"/>
      <c r="T53" s="8"/>
      <c r="U53" s="8"/>
      <c r="Y53" s="8"/>
    </row>
    <row r="54" spans="1:25" ht="25.5" x14ac:dyDescent="0.2">
      <c r="A54" s="8"/>
      <c r="B54" s="257" t="s">
        <v>188</v>
      </c>
      <c r="C54" s="862" t="s">
        <v>661</v>
      </c>
      <c r="D54" s="862" t="s">
        <v>662</v>
      </c>
      <c r="E54" s="862" t="s">
        <v>663</v>
      </c>
      <c r="F54" s="862" t="s">
        <v>664</v>
      </c>
      <c r="J54" s="8"/>
      <c r="K54" s="8"/>
      <c r="L54" s="8"/>
      <c r="M54" s="8"/>
      <c r="N54" s="8"/>
      <c r="O54" s="8"/>
      <c r="P54" s="8"/>
      <c r="Q54" s="8"/>
      <c r="R54" s="8"/>
      <c r="S54" s="8"/>
      <c r="T54" s="8"/>
      <c r="U54" s="8"/>
      <c r="Y54" s="8"/>
    </row>
    <row r="55" spans="1:25" ht="12.75" x14ac:dyDescent="0.2">
      <c r="A55" s="8"/>
      <c r="B55" s="239" t="s">
        <v>1862</v>
      </c>
      <c r="C55" s="269">
        <f t="shared" ref="C55:E55" si="10">C48+C51</f>
        <v>20.582046233656232</v>
      </c>
      <c r="D55" s="269">
        <f t="shared" si="10"/>
        <v>2.284363464606045E-2</v>
      </c>
      <c r="E55" s="269">
        <f t="shared" si="10"/>
        <v>9.4599852120355876E-2</v>
      </c>
      <c r="F55" s="258">
        <f t="shared" ref="F55:F57" si="11">SUM(C55:E55)</f>
        <v>20.699489720422651</v>
      </c>
      <c r="J55" s="8"/>
      <c r="K55" s="8"/>
      <c r="L55" s="8"/>
      <c r="M55" s="8"/>
      <c r="N55" s="8"/>
      <c r="O55" s="8"/>
      <c r="P55" s="8"/>
      <c r="Q55" s="8"/>
      <c r="R55" s="8"/>
      <c r="S55" s="8"/>
      <c r="T55" s="8"/>
      <c r="U55" s="8"/>
      <c r="V55" s="270"/>
      <c r="W55" s="8"/>
      <c r="X55" s="271"/>
      <c r="Y55" s="8"/>
    </row>
    <row r="56" spans="1:25" ht="12.75" x14ac:dyDescent="0.2">
      <c r="A56" s="8"/>
      <c r="B56" s="239" t="s">
        <v>1863</v>
      </c>
      <c r="C56" s="269">
        <f t="shared" ref="C56:E56" si="12">C49</f>
        <v>4.8337259219430573</v>
      </c>
      <c r="D56" s="269">
        <f t="shared" si="12"/>
        <v>2.952250674224415E-3</v>
      </c>
      <c r="E56" s="269">
        <f t="shared" si="12"/>
        <v>0.15278597424944754</v>
      </c>
      <c r="F56" s="258">
        <f t="shared" si="11"/>
        <v>4.9894641468667293</v>
      </c>
      <c r="J56" s="8"/>
      <c r="K56" s="8"/>
      <c r="L56" s="8"/>
      <c r="M56" s="8"/>
      <c r="N56" s="8"/>
      <c r="O56" s="8"/>
      <c r="P56" s="8"/>
      <c r="Q56" s="8"/>
      <c r="R56" s="8"/>
      <c r="S56" s="8"/>
      <c r="T56" s="8"/>
      <c r="U56" s="8"/>
      <c r="V56" s="8"/>
      <c r="X56" s="8"/>
      <c r="Y56" s="8"/>
    </row>
    <row r="57" spans="1:25" ht="12.75" x14ac:dyDescent="0.2">
      <c r="A57" s="8"/>
      <c r="B57" s="239" t="s">
        <v>29</v>
      </c>
      <c r="C57" s="269">
        <f t="shared" ref="C57:E57" si="13">C50</f>
        <v>2.9291888167283047E-2</v>
      </c>
      <c r="D57" s="269">
        <f t="shared" si="13"/>
        <v>9.2963463706787104E-3</v>
      </c>
      <c r="E57" s="269">
        <f t="shared" si="13"/>
        <v>5.3719994672221422E-4</v>
      </c>
      <c r="F57" s="258">
        <f t="shared" si="11"/>
        <v>3.9125434484683974E-2</v>
      </c>
      <c r="J57" s="8"/>
      <c r="K57" s="8"/>
      <c r="L57" s="8"/>
      <c r="M57" s="8"/>
      <c r="N57" s="8"/>
      <c r="O57" s="8"/>
      <c r="P57" s="8"/>
      <c r="Q57" s="8"/>
      <c r="R57" s="8"/>
      <c r="S57" s="8"/>
      <c r="T57" s="8"/>
      <c r="U57" s="8"/>
      <c r="V57" s="8"/>
      <c r="W57" s="8"/>
      <c r="X57" s="8"/>
      <c r="Y57" s="8"/>
    </row>
    <row r="58" spans="1:25" ht="12.75" x14ac:dyDescent="0.2">
      <c r="A58" s="8"/>
      <c r="B58" s="264"/>
      <c r="C58" s="265"/>
      <c r="D58" s="265"/>
      <c r="E58" s="266" t="s">
        <v>102</v>
      </c>
      <c r="F58" s="267">
        <f>SUM(F55:F57)</f>
        <v>25.728079301774066</v>
      </c>
      <c r="J58" s="8"/>
      <c r="K58" s="8"/>
      <c r="L58" s="8"/>
      <c r="M58" s="8"/>
      <c r="N58" s="8"/>
      <c r="O58" s="8"/>
      <c r="P58" s="8"/>
      <c r="Q58" s="8"/>
      <c r="R58" s="8"/>
      <c r="S58" s="8"/>
      <c r="T58" s="8"/>
      <c r="U58" s="8"/>
      <c r="V58" s="8"/>
      <c r="W58" s="8"/>
      <c r="X58" s="8"/>
      <c r="Y58" s="8"/>
    </row>
    <row r="59" spans="1:25" ht="12.75" x14ac:dyDescent="0.2">
      <c r="A59" s="8"/>
      <c r="B59" s="8"/>
      <c r="C59" s="8"/>
      <c r="J59" s="8"/>
      <c r="K59" s="8"/>
      <c r="L59" s="8"/>
      <c r="M59" s="8"/>
      <c r="N59" s="8"/>
      <c r="O59" s="8"/>
      <c r="P59" s="8"/>
      <c r="Q59" s="8"/>
      <c r="R59" s="8"/>
      <c r="S59" s="8"/>
      <c r="T59" s="8"/>
      <c r="U59" s="8"/>
      <c r="V59" s="8"/>
      <c r="W59" s="8"/>
      <c r="X59" s="8"/>
      <c r="Y59" s="8"/>
    </row>
    <row r="60" spans="1:25" ht="12.75" x14ac:dyDescent="0.2">
      <c r="A60" s="8"/>
      <c r="B60" s="8"/>
      <c r="C60" s="8"/>
      <c r="J60" s="8"/>
      <c r="K60" s="8"/>
      <c r="L60" s="8"/>
      <c r="M60" s="8"/>
      <c r="N60" s="8"/>
      <c r="O60" s="8"/>
      <c r="P60" s="8"/>
      <c r="Q60" s="8"/>
      <c r="R60" s="8"/>
      <c r="S60" s="8"/>
      <c r="T60" s="8"/>
      <c r="U60" s="8"/>
      <c r="V60" s="8"/>
      <c r="W60" s="8"/>
      <c r="X60" s="8"/>
      <c r="Y60" s="8"/>
    </row>
    <row r="61" spans="1:25" ht="12.75" x14ac:dyDescent="0.2">
      <c r="A61" s="8"/>
      <c r="B61" s="8"/>
      <c r="C61" s="8"/>
      <c r="J61" s="8"/>
      <c r="K61" s="8"/>
      <c r="L61" s="8"/>
      <c r="M61" s="8"/>
      <c r="N61" s="8"/>
      <c r="O61" s="8"/>
      <c r="P61" s="8"/>
      <c r="Q61" s="8"/>
      <c r="R61" s="8"/>
      <c r="S61" s="8"/>
      <c r="T61" s="8"/>
      <c r="U61" s="8"/>
      <c r="V61" s="8"/>
      <c r="W61" s="8"/>
      <c r="X61" s="8"/>
      <c r="Y61" s="8"/>
    </row>
    <row r="62" spans="1:25" ht="12.75" x14ac:dyDescent="0.2">
      <c r="A62" s="8"/>
      <c r="B62" s="8"/>
      <c r="C62" s="8"/>
      <c r="J62" s="8"/>
      <c r="K62" s="8"/>
      <c r="L62" s="8"/>
      <c r="M62" s="8"/>
      <c r="N62" s="8"/>
      <c r="O62" s="8"/>
      <c r="P62" s="8"/>
      <c r="Q62" s="8"/>
      <c r="R62" s="8"/>
      <c r="S62" s="8"/>
      <c r="T62" s="8"/>
      <c r="U62" s="8"/>
      <c r="V62" s="8"/>
      <c r="W62" s="8"/>
      <c r="X62" s="8"/>
      <c r="Y62" s="8"/>
    </row>
    <row r="63" spans="1:25" ht="12.75" x14ac:dyDescent="0.2">
      <c r="A63" s="8"/>
      <c r="B63" s="8"/>
      <c r="C63" s="8"/>
      <c r="J63" s="8"/>
      <c r="K63" s="8"/>
      <c r="L63" s="8"/>
      <c r="M63" s="8"/>
      <c r="N63" s="8"/>
      <c r="O63" s="8"/>
      <c r="P63" s="8"/>
      <c r="Q63" s="8"/>
      <c r="R63" s="8"/>
      <c r="S63" s="8"/>
      <c r="T63" s="8"/>
      <c r="U63" s="8"/>
      <c r="V63" s="8"/>
      <c r="W63" s="8"/>
      <c r="X63" s="8"/>
      <c r="Y63" s="8"/>
    </row>
    <row r="64" spans="1:25" ht="12.75" x14ac:dyDescent="0.2">
      <c r="A64" s="8"/>
      <c r="B64" s="8"/>
      <c r="C64" s="8"/>
      <c r="J64" s="8"/>
      <c r="K64" s="8"/>
      <c r="L64" s="8"/>
      <c r="M64" s="8"/>
      <c r="N64" s="8"/>
      <c r="O64" s="8"/>
      <c r="P64" s="8"/>
      <c r="Q64" s="8"/>
      <c r="R64" s="8"/>
      <c r="S64" s="8"/>
      <c r="T64" s="8"/>
      <c r="U64" s="8"/>
      <c r="V64" s="8"/>
      <c r="W64" s="8"/>
      <c r="X64" s="8"/>
      <c r="Y64" s="8"/>
    </row>
    <row r="65" spans="1:25" ht="12.75" x14ac:dyDescent="0.2">
      <c r="A65" s="8"/>
      <c r="B65" s="8"/>
      <c r="C65" s="8"/>
      <c r="J65" s="8"/>
      <c r="K65" s="8"/>
      <c r="L65" s="8"/>
      <c r="M65" s="8"/>
      <c r="N65" s="8"/>
      <c r="O65" s="8"/>
      <c r="P65" s="8"/>
      <c r="Q65" s="8"/>
      <c r="R65" s="8"/>
      <c r="S65" s="8"/>
      <c r="T65" s="8"/>
      <c r="U65" s="8"/>
      <c r="V65" s="8"/>
      <c r="W65" s="8"/>
      <c r="X65" s="8"/>
      <c r="Y65" s="8"/>
    </row>
    <row r="66" spans="1:25" ht="12.75" x14ac:dyDescent="0.2">
      <c r="A66" s="8"/>
      <c r="B66" s="8"/>
      <c r="C66" s="8"/>
      <c r="J66" s="8"/>
      <c r="K66" s="8"/>
      <c r="L66" s="8"/>
      <c r="M66" s="8"/>
      <c r="N66" s="8"/>
      <c r="O66" s="8"/>
      <c r="P66" s="8"/>
      <c r="Q66" s="8"/>
      <c r="R66" s="8"/>
      <c r="S66" s="8"/>
      <c r="T66" s="8"/>
      <c r="U66" s="8"/>
      <c r="V66" s="8"/>
      <c r="W66" s="8"/>
      <c r="X66" s="8"/>
      <c r="Y66" s="8"/>
    </row>
    <row r="67" spans="1:25" ht="12.75" x14ac:dyDescent="0.2">
      <c r="A67" s="8"/>
      <c r="B67" s="8"/>
      <c r="C67" s="8"/>
      <c r="J67" s="8"/>
      <c r="K67" s="8"/>
      <c r="L67" s="8"/>
      <c r="M67" s="8"/>
      <c r="N67" s="8"/>
      <c r="O67" s="8"/>
      <c r="P67" s="8"/>
      <c r="Q67" s="8"/>
      <c r="R67" s="8"/>
      <c r="S67" s="8"/>
      <c r="T67" s="8"/>
      <c r="U67" s="8"/>
      <c r="V67" s="8"/>
      <c r="W67" s="8"/>
      <c r="X67" s="8"/>
      <c r="Y67" s="8"/>
    </row>
    <row r="68" spans="1:25" ht="12.75" x14ac:dyDescent="0.2">
      <c r="A68" s="8"/>
      <c r="B68" s="8"/>
      <c r="C68" s="8"/>
      <c r="J68" s="8"/>
      <c r="K68" s="8"/>
      <c r="L68" s="8"/>
      <c r="M68" s="8"/>
      <c r="N68" s="8"/>
      <c r="O68" s="8"/>
      <c r="P68" s="8"/>
      <c r="Q68" s="8"/>
      <c r="R68" s="8"/>
      <c r="S68" s="8"/>
      <c r="T68" s="8"/>
      <c r="U68" s="8"/>
      <c r="V68" s="8"/>
      <c r="W68" s="8"/>
      <c r="X68" s="8"/>
      <c r="Y68" s="8"/>
    </row>
    <row r="69" spans="1:25" ht="12.75" x14ac:dyDescent="0.2">
      <c r="A69" s="8"/>
      <c r="B69" s="8"/>
      <c r="C69" s="8"/>
      <c r="J69" s="8"/>
      <c r="K69" s="8"/>
      <c r="L69" s="8"/>
      <c r="M69" s="8"/>
      <c r="N69" s="8"/>
      <c r="O69" s="8"/>
      <c r="P69" s="8"/>
      <c r="Q69" s="8"/>
      <c r="R69" s="8"/>
      <c r="S69" s="8"/>
      <c r="T69" s="8"/>
      <c r="U69" s="8"/>
      <c r="V69" s="8"/>
      <c r="W69" s="8"/>
      <c r="X69" s="8"/>
      <c r="Y69" s="8"/>
    </row>
    <row r="70" spans="1:25" ht="12.75" x14ac:dyDescent="0.2">
      <c r="A70" s="8"/>
      <c r="B70" s="8"/>
      <c r="C70" s="8"/>
      <c r="J70" s="8"/>
      <c r="K70" s="8"/>
      <c r="L70" s="8"/>
      <c r="M70" s="8"/>
      <c r="N70" s="8"/>
      <c r="O70" s="8"/>
      <c r="P70" s="8"/>
      <c r="Q70" s="8"/>
      <c r="R70" s="8"/>
      <c r="S70" s="8"/>
      <c r="T70" s="8"/>
      <c r="U70" s="8"/>
      <c r="V70" s="8"/>
      <c r="W70" s="8"/>
      <c r="X70" s="8"/>
      <c r="Y70" s="8"/>
    </row>
    <row r="71" spans="1:25" ht="12.75" x14ac:dyDescent="0.2">
      <c r="A71" s="8"/>
      <c r="B71" s="8"/>
      <c r="C71" s="8"/>
      <c r="J71" s="8"/>
      <c r="K71" s="8"/>
      <c r="L71" s="8"/>
      <c r="M71" s="8"/>
      <c r="N71" s="8"/>
      <c r="O71" s="8"/>
      <c r="P71" s="8"/>
      <c r="Q71" s="8"/>
      <c r="R71" s="8"/>
      <c r="S71" s="8"/>
      <c r="T71" s="8"/>
      <c r="U71" s="8"/>
      <c r="V71" s="8"/>
      <c r="W71" s="8"/>
      <c r="X71" s="8"/>
      <c r="Y71" s="8"/>
    </row>
    <row r="72" spans="1:25" ht="12.75" x14ac:dyDescent="0.2">
      <c r="A72" s="8"/>
      <c r="B72" s="8"/>
      <c r="C72" s="8"/>
      <c r="J72" s="8"/>
      <c r="K72" s="8"/>
      <c r="L72" s="8"/>
      <c r="M72" s="8"/>
      <c r="N72" s="8"/>
      <c r="O72" s="8"/>
      <c r="P72" s="8"/>
      <c r="Q72" s="8"/>
      <c r="R72" s="8"/>
      <c r="S72" s="8"/>
      <c r="T72" s="8"/>
      <c r="U72" s="8"/>
      <c r="V72" s="8"/>
      <c r="W72" s="8"/>
      <c r="X72" s="8"/>
      <c r="Y72" s="8"/>
    </row>
    <row r="73" spans="1:25" ht="12.75" x14ac:dyDescent="0.2">
      <c r="A73" s="8"/>
      <c r="B73" s="8"/>
      <c r="C73" s="8"/>
      <c r="J73" s="8"/>
      <c r="K73" s="8"/>
      <c r="L73" s="8"/>
      <c r="M73" s="8"/>
      <c r="N73" s="8"/>
      <c r="O73" s="8"/>
      <c r="P73" s="8"/>
      <c r="Q73" s="8"/>
      <c r="R73" s="8"/>
      <c r="S73" s="8"/>
      <c r="T73" s="8"/>
      <c r="U73" s="8"/>
      <c r="V73" s="8"/>
      <c r="W73" s="8"/>
      <c r="X73" s="8"/>
      <c r="Y73" s="8"/>
    </row>
    <row r="74" spans="1:25" ht="12.75" x14ac:dyDescent="0.2">
      <c r="A74" s="8"/>
      <c r="B74" s="8"/>
      <c r="C74" s="8"/>
      <c r="J74" s="8"/>
      <c r="K74" s="8"/>
      <c r="L74" s="8"/>
      <c r="M74" s="8"/>
      <c r="N74" s="8"/>
      <c r="O74" s="8"/>
      <c r="P74" s="8"/>
      <c r="Q74" s="8"/>
      <c r="R74" s="8"/>
      <c r="S74" s="8"/>
      <c r="T74" s="8"/>
      <c r="U74" s="8"/>
      <c r="V74" s="8"/>
      <c r="W74" s="8"/>
      <c r="X74" s="8"/>
      <c r="Y74" s="8"/>
    </row>
    <row r="75" spans="1:25" ht="12.75" x14ac:dyDescent="0.2">
      <c r="A75" s="8"/>
      <c r="B75" s="8"/>
      <c r="C75" s="8"/>
      <c r="J75" s="8"/>
      <c r="K75" s="8"/>
      <c r="L75" s="8"/>
      <c r="M75" s="8"/>
      <c r="N75" s="8"/>
      <c r="O75" s="8"/>
      <c r="P75" s="8"/>
      <c r="Q75" s="8"/>
      <c r="R75" s="8"/>
      <c r="S75" s="8"/>
      <c r="T75" s="8"/>
      <c r="U75" s="8"/>
      <c r="V75" s="8"/>
      <c r="W75" s="8"/>
      <c r="X75" s="8"/>
      <c r="Y75" s="8"/>
    </row>
    <row r="76" spans="1:25" ht="12.75" x14ac:dyDescent="0.2">
      <c r="A76" s="8"/>
      <c r="B76" s="8"/>
      <c r="C76" s="8"/>
      <c r="J76" s="8"/>
      <c r="K76" s="8"/>
      <c r="L76" s="8"/>
      <c r="M76" s="8"/>
      <c r="N76" s="8"/>
      <c r="O76" s="8"/>
      <c r="P76" s="8"/>
      <c r="Q76" s="8"/>
      <c r="R76" s="8"/>
      <c r="S76" s="8"/>
      <c r="T76" s="8"/>
      <c r="U76" s="8"/>
      <c r="V76" s="8"/>
      <c r="W76" s="8"/>
      <c r="X76" s="8"/>
      <c r="Y76" s="8"/>
    </row>
    <row r="77" spans="1:25" ht="12.75" x14ac:dyDescent="0.2">
      <c r="A77" s="8"/>
      <c r="B77" s="8"/>
      <c r="C77" s="8"/>
      <c r="J77" s="8"/>
      <c r="K77" s="8"/>
      <c r="L77" s="8"/>
      <c r="M77" s="8"/>
      <c r="N77" s="8"/>
      <c r="O77" s="8"/>
      <c r="P77" s="8"/>
      <c r="Q77" s="8"/>
      <c r="R77" s="8"/>
      <c r="S77" s="8"/>
      <c r="T77" s="8"/>
      <c r="U77" s="8"/>
      <c r="V77" s="8"/>
      <c r="W77" s="8"/>
      <c r="X77" s="8"/>
      <c r="Y77" s="8"/>
    </row>
    <row r="78" spans="1:25" ht="12.75" x14ac:dyDescent="0.2">
      <c r="A78" s="8"/>
      <c r="B78" s="8"/>
      <c r="C78" s="8"/>
      <c r="J78" s="8"/>
      <c r="K78" s="8"/>
      <c r="L78" s="8"/>
      <c r="M78" s="8"/>
      <c r="N78" s="8"/>
      <c r="O78" s="8"/>
      <c r="P78" s="8"/>
      <c r="Q78" s="8"/>
      <c r="R78" s="8"/>
      <c r="S78" s="8"/>
      <c r="T78" s="8"/>
      <c r="U78" s="8"/>
      <c r="V78" s="8"/>
      <c r="W78" s="8"/>
      <c r="X78" s="8"/>
      <c r="Y78" s="8"/>
    </row>
    <row r="79" spans="1:25" ht="12.75" x14ac:dyDescent="0.2">
      <c r="A79" s="8"/>
      <c r="B79" s="8"/>
      <c r="C79" s="8"/>
      <c r="J79" s="8"/>
      <c r="K79" s="8"/>
      <c r="L79" s="8"/>
      <c r="M79" s="8"/>
      <c r="N79" s="8"/>
      <c r="O79" s="8"/>
      <c r="P79" s="8"/>
      <c r="Q79" s="8"/>
      <c r="R79" s="8"/>
      <c r="S79" s="8"/>
      <c r="T79" s="8"/>
      <c r="U79" s="8"/>
      <c r="V79" s="8"/>
      <c r="W79" s="8"/>
      <c r="X79" s="8"/>
      <c r="Y79" s="8"/>
    </row>
    <row r="80" spans="1:25" ht="12.75" x14ac:dyDescent="0.2">
      <c r="A80" s="8"/>
      <c r="B80" s="8"/>
      <c r="C80" s="8"/>
      <c r="J80" s="8"/>
      <c r="K80" s="8"/>
      <c r="L80" s="8"/>
      <c r="M80" s="8"/>
      <c r="N80" s="8"/>
      <c r="O80" s="8"/>
      <c r="P80" s="8"/>
      <c r="Q80" s="8"/>
      <c r="R80" s="8"/>
      <c r="S80" s="8"/>
      <c r="T80" s="8"/>
      <c r="U80" s="8"/>
      <c r="V80" s="8"/>
      <c r="W80" s="8"/>
      <c r="X80" s="8"/>
      <c r="Y80" s="8"/>
    </row>
    <row r="81" spans="1:25" ht="12.75" x14ac:dyDescent="0.2">
      <c r="A81" s="8"/>
      <c r="B81" s="8"/>
      <c r="C81" s="8"/>
      <c r="J81" s="8"/>
      <c r="K81" s="8"/>
      <c r="L81" s="8"/>
      <c r="M81" s="8"/>
      <c r="N81" s="8"/>
      <c r="O81" s="8"/>
      <c r="P81" s="8"/>
      <c r="Q81" s="8"/>
      <c r="R81" s="8"/>
      <c r="S81" s="8"/>
      <c r="T81" s="8"/>
      <c r="U81" s="8"/>
      <c r="V81" s="8"/>
      <c r="W81" s="8"/>
      <c r="X81" s="8"/>
      <c r="Y81" s="8"/>
    </row>
    <row r="82" spans="1:25" ht="12.75" x14ac:dyDescent="0.2">
      <c r="A82" s="8"/>
      <c r="B82" s="8"/>
      <c r="C82" s="8"/>
      <c r="J82" s="8"/>
      <c r="K82" s="8"/>
      <c r="L82" s="8"/>
      <c r="M82" s="8"/>
      <c r="N82" s="8"/>
      <c r="O82" s="8"/>
      <c r="P82" s="8"/>
      <c r="Q82" s="8"/>
      <c r="R82" s="8"/>
      <c r="S82" s="8"/>
      <c r="T82" s="8"/>
      <c r="U82" s="8"/>
      <c r="V82" s="8"/>
      <c r="W82" s="8"/>
      <c r="X82" s="8"/>
      <c r="Y82" s="8"/>
    </row>
    <row r="83" spans="1:25" ht="12.75" x14ac:dyDescent="0.2">
      <c r="A83" s="8"/>
      <c r="B83" s="8"/>
      <c r="C83" s="8"/>
      <c r="J83" s="8"/>
      <c r="K83" s="8"/>
      <c r="L83" s="8"/>
      <c r="M83" s="8"/>
      <c r="N83" s="8"/>
      <c r="O83" s="8"/>
      <c r="P83" s="8"/>
      <c r="Q83" s="8"/>
      <c r="R83" s="8"/>
      <c r="S83" s="8"/>
      <c r="T83" s="8"/>
      <c r="U83" s="8"/>
      <c r="V83" s="8"/>
      <c r="W83" s="8"/>
      <c r="X83" s="8"/>
      <c r="Y83" s="8"/>
    </row>
    <row r="84" spans="1:25" ht="12.75" x14ac:dyDescent="0.2">
      <c r="A84" s="8"/>
      <c r="B84" s="8"/>
      <c r="C84" s="8"/>
      <c r="J84" s="8"/>
      <c r="K84" s="8"/>
      <c r="L84" s="8"/>
      <c r="M84" s="8"/>
      <c r="N84" s="8"/>
      <c r="O84" s="8"/>
      <c r="P84" s="8"/>
      <c r="Q84" s="8"/>
      <c r="R84" s="8"/>
      <c r="S84" s="8"/>
      <c r="T84" s="8"/>
      <c r="U84" s="8"/>
      <c r="V84" s="8"/>
      <c r="W84" s="8"/>
      <c r="X84" s="8"/>
      <c r="Y84" s="8"/>
    </row>
    <row r="85" spans="1:25" ht="12.75" x14ac:dyDescent="0.2">
      <c r="A85" s="8"/>
      <c r="B85" s="8"/>
      <c r="C85" s="8"/>
      <c r="J85" s="8"/>
      <c r="K85" s="8"/>
      <c r="L85" s="8"/>
      <c r="M85" s="8"/>
      <c r="N85" s="8"/>
      <c r="O85" s="8"/>
      <c r="P85" s="8"/>
      <c r="Q85" s="8"/>
      <c r="R85" s="8"/>
      <c r="S85" s="8"/>
      <c r="T85" s="8"/>
      <c r="U85" s="8"/>
      <c r="V85" s="8"/>
      <c r="W85" s="8"/>
      <c r="X85" s="8"/>
      <c r="Y85" s="8"/>
    </row>
    <row r="86" spans="1:25" ht="12.75" x14ac:dyDescent="0.2">
      <c r="A86" s="8"/>
      <c r="B86" s="8"/>
      <c r="C86" s="8"/>
      <c r="J86" s="8"/>
      <c r="K86" s="8"/>
      <c r="L86" s="8"/>
      <c r="M86" s="8"/>
      <c r="N86" s="8"/>
      <c r="O86" s="8"/>
      <c r="P86" s="8"/>
      <c r="Q86" s="8"/>
      <c r="R86" s="8"/>
      <c r="S86" s="8"/>
      <c r="T86" s="8"/>
      <c r="U86" s="8"/>
      <c r="V86" s="8"/>
      <c r="W86" s="8"/>
      <c r="X86" s="8"/>
      <c r="Y86" s="8"/>
    </row>
    <row r="87" spans="1:25" ht="12.75" x14ac:dyDescent="0.2">
      <c r="A87" s="8"/>
      <c r="B87" s="8"/>
      <c r="C87" s="8"/>
      <c r="J87" s="8"/>
      <c r="K87" s="8"/>
      <c r="L87" s="8"/>
      <c r="M87" s="8"/>
      <c r="N87" s="8"/>
      <c r="O87" s="8"/>
      <c r="P87" s="8"/>
      <c r="Q87" s="8"/>
      <c r="R87" s="8"/>
      <c r="S87" s="8"/>
      <c r="T87" s="8"/>
      <c r="U87" s="8"/>
      <c r="V87" s="8"/>
      <c r="W87" s="8"/>
      <c r="X87" s="8"/>
      <c r="Y87" s="8"/>
    </row>
    <row r="88" spans="1:25" ht="12.75" x14ac:dyDescent="0.2">
      <c r="A88" s="8"/>
      <c r="B88" s="8"/>
      <c r="C88" s="8"/>
      <c r="J88" s="8"/>
      <c r="K88" s="8"/>
      <c r="L88" s="8"/>
      <c r="M88" s="8"/>
      <c r="N88" s="8"/>
      <c r="O88" s="8"/>
      <c r="P88" s="8"/>
      <c r="Q88" s="8"/>
      <c r="R88" s="8"/>
      <c r="S88" s="8"/>
      <c r="T88" s="8"/>
      <c r="U88" s="8"/>
      <c r="V88" s="8"/>
      <c r="W88" s="8"/>
      <c r="X88" s="8"/>
      <c r="Y88" s="8"/>
    </row>
    <row r="89" spans="1:25" ht="12.75" x14ac:dyDescent="0.2">
      <c r="A89" s="8"/>
      <c r="B89" s="8"/>
      <c r="C89" s="8"/>
      <c r="J89" s="8"/>
      <c r="K89" s="8"/>
      <c r="L89" s="8"/>
      <c r="M89" s="8"/>
      <c r="N89" s="8"/>
      <c r="O89" s="8"/>
      <c r="P89" s="8"/>
      <c r="Q89" s="8"/>
      <c r="R89" s="8"/>
      <c r="S89" s="8"/>
      <c r="T89" s="8"/>
      <c r="U89" s="8"/>
      <c r="V89" s="8"/>
      <c r="W89" s="8"/>
      <c r="X89" s="8"/>
      <c r="Y89" s="8"/>
    </row>
    <row r="90" spans="1:25" ht="12.75" x14ac:dyDescent="0.2">
      <c r="A90" s="8"/>
      <c r="B90" s="8"/>
      <c r="C90" s="8"/>
      <c r="J90" s="8"/>
      <c r="K90" s="8"/>
      <c r="L90" s="8"/>
      <c r="M90" s="8"/>
      <c r="N90" s="8"/>
      <c r="O90" s="8"/>
      <c r="P90" s="8"/>
      <c r="Q90" s="8"/>
      <c r="R90" s="8"/>
      <c r="S90" s="8"/>
      <c r="T90" s="8"/>
      <c r="U90" s="8"/>
      <c r="V90" s="8"/>
      <c r="W90" s="8"/>
      <c r="X90" s="8"/>
      <c r="Y90" s="8"/>
    </row>
    <row r="91" spans="1:25" ht="12.75" x14ac:dyDescent="0.2">
      <c r="A91" s="8"/>
      <c r="B91" s="8"/>
      <c r="C91" s="8"/>
      <c r="J91" s="8"/>
      <c r="K91" s="8"/>
      <c r="L91" s="8"/>
      <c r="M91" s="8"/>
      <c r="N91" s="8"/>
      <c r="O91" s="8"/>
      <c r="P91" s="8"/>
      <c r="Q91" s="8"/>
      <c r="R91" s="8"/>
      <c r="S91" s="8"/>
      <c r="T91" s="8"/>
      <c r="U91" s="8"/>
      <c r="V91" s="8"/>
      <c r="W91" s="8"/>
      <c r="X91" s="8"/>
      <c r="Y91" s="8"/>
    </row>
    <row r="92" spans="1:25" ht="12.75" x14ac:dyDescent="0.2">
      <c r="A92" s="8"/>
      <c r="B92" s="8"/>
      <c r="C92" s="8"/>
      <c r="J92" s="8"/>
      <c r="K92" s="8"/>
      <c r="L92" s="8"/>
      <c r="M92" s="8"/>
      <c r="N92" s="8"/>
      <c r="O92" s="8"/>
      <c r="P92" s="8"/>
      <c r="Q92" s="8"/>
      <c r="R92" s="8"/>
      <c r="S92" s="8"/>
      <c r="T92" s="8"/>
      <c r="U92" s="8"/>
      <c r="V92" s="8"/>
      <c r="W92" s="8"/>
      <c r="X92" s="8"/>
      <c r="Y92" s="8"/>
    </row>
    <row r="93" spans="1:25" ht="12.75" x14ac:dyDescent="0.2">
      <c r="A93" s="8"/>
      <c r="B93" s="8"/>
      <c r="C93" s="8"/>
      <c r="J93" s="8"/>
      <c r="K93" s="8"/>
      <c r="L93" s="8"/>
      <c r="M93" s="8"/>
      <c r="N93" s="8"/>
      <c r="O93" s="8"/>
      <c r="P93" s="8"/>
      <c r="Q93" s="8"/>
      <c r="R93" s="8"/>
      <c r="S93" s="8"/>
      <c r="T93" s="8"/>
      <c r="U93" s="8"/>
      <c r="V93" s="8"/>
      <c r="W93" s="8"/>
      <c r="X93" s="8"/>
      <c r="Y93" s="8"/>
    </row>
    <row r="94" spans="1:25" ht="12.75" x14ac:dyDescent="0.2">
      <c r="A94" s="8"/>
      <c r="B94" s="8"/>
      <c r="C94" s="8"/>
      <c r="J94" s="8"/>
      <c r="K94" s="8"/>
      <c r="L94" s="8"/>
      <c r="M94" s="8"/>
      <c r="N94" s="8"/>
      <c r="O94" s="8"/>
      <c r="P94" s="8"/>
      <c r="Q94" s="8"/>
      <c r="R94" s="8"/>
      <c r="S94" s="8"/>
      <c r="T94" s="8"/>
      <c r="U94" s="8"/>
      <c r="V94" s="8"/>
      <c r="W94" s="8"/>
      <c r="X94" s="8"/>
      <c r="Y94" s="8"/>
    </row>
    <row r="95" spans="1:25" ht="12.75" x14ac:dyDescent="0.2">
      <c r="A95" s="8"/>
      <c r="B95" s="8"/>
      <c r="C95" s="8"/>
      <c r="J95" s="8"/>
      <c r="K95" s="8"/>
      <c r="L95" s="8"/>
      <c r="M95" s="8"/>
      <c r="N95" s="8"/>
      <c r="O95" s="8"/>
      <c r="P95" s="8"/>
      <c r="Q95" s="8"/>
      <c r="R95" s="8"/>
      <c r="S95" s="8"/>
      <c r="T95" s="8"/>
      <c r="U95" s="8"/>
      <c r="V95" s="8"/>
      <c r="W95" s="8"/>
      <c r="X95" s="8"/>
      <c r="Y95" s="8"/>
    </row>
    <row r="96" spans="1:25" ht="12.75" x14ac:dyDescent="0.2">
      <c r="A96" s="8"/>
      <c r="B96" s="8"/>
      <c r="C96" s="8"/>
      <c r="J96" s="8"/>
      <c r="K96" s="8"/>
      <c r="L96" s="8"/>
      <c r="M96" s="8"/>
      <c r="N96" s="8"/>
      <c r="O96" s="8"/>
      <c r="P96" s="8"/>
      <c r="Q96" s="8"/>
      <c r="R96" s="8"/>
      <c r="S96" s="8"/>
      <c r="T96" s="8"/>
      <c r="U96" s="8"/>
      <c r="V96" s="8"/>
      <c r="W96" s="8"/>
      <c r="X96" s="8"/>
      <c r="Y96" s="8"/>
    </row>
    <row r="97" spans="1:25" ht="12.75" x14ac:dyDescent="0.2">
      <c r="A97" s="8"/>
      <c r="B97" s="8"/>
      <c r="C97" s="8"/>
      <c r="J97" s="8"/>
      <c r="K97" s="8"/>
      <c r="L97" s="8"/>
      <c r="M97" s="8"/>
      <c r="N97" s="8"/>
      <c r="O97" s="8"/>
      <c r="P97" s="8"/>
      <c r="Q97" s="8"/>
      <c r="R97" s="8"/>
      <c r="S97" s="8"/>
      <c r="T97" s="8"/>
      <c r="U97" s="8"/>
      <c r="V97" s="8"/>
      <c r="W97" s="8"/>
      <c r="X97" s="8"/>
      <c r="Y97" s="8"/>
    </row>
    <row r="98" spans="1:25" ht="12.75" x14ac:dyDescent="0.2">
      <c r="A98" s="8"/>
      <c r="B98" s="8"/>
      <c r="C98" s="8"/>
      <c r="J98" s="8"/>
      <c r="K98" s="8"/>
      <c r="L98" s="8"/>
      <c r="M98" s="8"/>
      <c r="N98" s="8"/>
      <c r="O98" s="8"/>
      <c r="P98" s="8"/>
      <c r="Q98" s="8"/>
      <c r="R98" s="8"/>
      <c r="S98" s="8"/>
      <c r="T98" s="8"/>
      <c r="U98" s="8"/>
      <c r="V98" s="8"/>
      <c r="W98" s="8"/>
      <c r="X98" s="8"/>
      <c r="Y98" s="8"/>
    </row>
    <row r="99" spans="1:25" ht="12.75" x14ac:dyDescent="0.2">
      <c r="A99" s="8"/>
      <c r="B99" s="8"/>
      <c r="C99" s="8"/>
      <c r="J99" s="8"/>
      <c r="K99" s="8"/>
      <c r="L99" s="8"/>
      <c r="M99" s="8"/>
      <c r="N99" s="8"/>
      <c r="O99" s="8"/>
      <c r="P99" s="8"/>
      <c r="Q99" s="8"/>
      <c r="R99" s="8"/>
      <c r="S99" s="8"/>
      <c r="T99" s="8"/>
      <c r="U99" s="8"/>
      <c r="V99" s="8"/>
      <c r="W99" s="8"/>
      <c r="X99" s="8"/>
      <c r="Y99" s="8"/>
    </row>
    <row r="100" spans="1:25" ht="12.75" x14ac:dyDescent="0.2">
      <c r="A100" s="8"/>
      <c r="B100" s="8"/>
      <c r="C100" s="8"/>
      <c r="J100" s="8"/>
      <c r="K100" s="8"/>
      <c r="L100" s="8"/>
      <c r="M100" s="8"/>
      <c r="N100" s="8"/>
      <c r="O100" s="8"/>
      <c r="P100" s="8"/>
      <c r="Q100" s="8"/>
      <c r="R100" s="8"/>
      <c r="S100" s="8"/>
      <c r="T100" s="8"/>
      <c r="U100" s="8"/>
      <c r="V100" s="8"/>
      <c r="W100" s="8"/>
      <c r="X100" s="8"/>
      <c r="Y100" s="8"/>
    </row>
    <row r="101" spans="1:25" ht="12.75" x14ac:dyDescent="0.2">
      <c r="A101" s="8"/>
      <c r="B101" s="8"/>
      <c r="C101" s="8"/>
      <c r="J101" s="8"/>
      <c r="K101" s="8"/>
      <c r="L101" s="8"/>
      <c r="M101" s="8"/>
      <c r="N101" s="8"/>
      <c r="O101" s="8"/>
      <c r="P101" s="8"/>
      <c r="Q101" s="8"/>
      <c r="R101" s="8"/>
      <c r="S101" s="8"/>
      <c r="T101" s="8"/>
      <c r="U101" s="8"/>
      <c r="V101" s="8"/>
      <c r="W101" s="8"/>
      <c r="X101" s="8"/>
      <c r="Y101" s="8"/>
    </row>
    <row r="102" spans="1:25" ht="12.75" x14ac:dyDescent="0.2">
      <c r="A102" s="8"/>
      <c r="B102" s="8"/>
      <c r="C102" s="8"/>
      <c r="J102" s="8"/>
      <c r="K102" s="8"/>
      <c r="L102" s="8"/>
      <c r="M102" s="8"/>
      <c r="N102" s="8"/>
      <c r="O102" s="8"/>
      <c r="P102" s="8"/>
      <c r="Q102" s="8"/>
      <c r="R102" s="8"/>
      <c r="S102" s="8"/>
      <c r="T102" s="8"/>
      <c r="U102" s="8"/>
      <c r="V102" s="8"/>
      <c r="W102" s="8"/>
      <c r="X102" s="8"/>
      <c r="Y102" s="8"/>
    </row>
    <row r="103" spans="1:25" ht="12.75" x14ac:dyDescent="0.2">
      <c r="A103" s="8"/>
      <c r="B103" s="8"/>
      <c r="C103" s="8"/>
      <c r="J103" s="8"/>
      <c r="K103" s="8"/>
      <c r="L103" s="8"/>
      <c r="M103" s="8"/>
      <c r="N103" s="8"/>
      <c r="O103" s="8"/>
      <c r="P103" s="8"/>
      <c r="Q103" s="8"/>
      <c r="R103" s="8"/>
      <c r="S103" s="8"/>
      <c r="T103" s="8"/>
      <c r="U103" s="8"/>
      <c r="V103" s="8"/>
      <c r="W103" s="8"/>
      <c r="X103" s="8"/>
      <c r="Y103" s="8"/>
    </row>
    <row r="104" spans="1:25" ht="12.75" x14ac:dyDescent="0.2">
      <c r="A104" s="8"/>
      <c r="B104" s="8"/>
      <c r="C104" s="8"/>
      <c r="J104" s="8"/>
      <c r="K104" s="8"/>
      <c r="L104" s="8"/>
      <c r="M104" s="8"/>
      <c r="N104" s="8"/>
      <c r="O104" s="8"/>
      <c r="P104" s="8"/>
      <c r="Q104" s="8"/>
      <c r="R104" s="8"/>
      <c r="S104" s="8"/>
      <c r="T104" s="8"/>
      <c r="U104" s="8"/>
      <c r="V104" s="8"/>
      <c r="W104" s="8"/>
      <c r="X104" s="8"/>
      <c r="Y104" s="8"/>
    </row>
    <row r="105" spans="1:25" ht="12.75" x14ac:dyDescent="0.2">
      <c r="A105" s="8"/>
      <c r="B105" s="8"/>
      <c r="C105" s="8"/>
      <c r="J105" s="8"/>
      <c r="K105" s="8"/>
      <c r="L105" s="8"/>
      <c r="M105" s="8"/>
      <c r="N105" s="8"/>
      <c r="O105" s="8"/>
      <c r="P105" s="8"/>
      <c r="Q105" s="8"/>
      <c r="R105" s="8"/>
      <c r="S105" s="8"/>
      <c r="T105" s="8"/>
      <c r="U105" s="8"/>
      <c r="V105" s="8"/>
      <c r="W105" s="8"/>
      <c r="X105" s="8"/>
      <c r="Y105" s="8"/>
    </row>
    <row r="106" spans="1:25" ht="12.75" x14ac:dyDescent="0.2">
      <c r="A106" s="8"/>
      <c r="B106" s="8"/>
      <c r="C106" s="8"/>
      <c r="J106" s="8"/>
      <c r="K106" s="8"/>
      <c r="L106" s="8"/>
      <c r="M106" s="8"/>
      <c r="N106" s="8"/>
      <c r="O106" s="8"/>
      <c r="P106" s="8"/>
      <c r="Q106" s="8"/>
      <c r="R106" s="8"/>
      <c r="S106" s="8"/>
      <c r="T106" s="8"/>
      <c r="U106" s="8"/>
      <c r="V106" s="8"/>
      <c r="W106" s="8"/>
      <c r="X106" s="8"/>
      <c r="Y106" s="8"/>
    </row>
    <row r="107" spans="1:25" ht="12.75" x14ac:dyDescent="0.2">
      <c r="A107" s="8"/>
      <c r="B107" s="8"/>
      <c r="C107" s="8"/>
      <c r="J107" s="8"/>
      <c r="K107" s="8"/>
      <c r="L107" s="8"/>
      <c r="M107" s="8"/>
      <c r="N107" s="8"/>
      <c r="O107" s="8"/>
      <c r="P107" s="8"/>
      <c r="Q107" s="8"/>
      <c r="R107" s="8"/>
      <c r="S107" s="8"/>
      <c r="T107" s="8"/>
      <c r="U107" s="8"/>
      <c r="V107" s="8"/>
      <c r="W107" s="8"/>
      <c r="X107" s="8"/>
      <c r="Y107" s="8"/>
    </row>
    <row r="108" spans="1:25" ht="12.75" x14ac:dyDescent="0.2">
      <c r="A108" s="8"/>
      <c r="B108" s="8"/>
      <c r="C108" s="8"/>
      <c r="J108" s="8"/>
      <c r="K108" s="8"/>
      <c r="L108" s="8"/>
      <c r="M108" s="8"/>
      <c r="N108" s="8"/>
      <c r="O108" s="8"/>
      <c r="P108" s="8"/>
      <c r="Q108" s="8"/>
      <c r="R108" s="8"/>
      <c r="S108" s="8"/>
      <c r="T108" s="8"/>
      <c r="U108" s="8"/>
      <c r="V108" s="8"/>
      <c r="W108" s="8"/>
      <c r="X108" s="8"/>
      <c r="Y108" s="8"/>
    </row>
    <row r="109" spans="1:25" ht="12.75" x14ac:dyDescent="0.2">
      <c r="A109" s="8"/>
      <c r="B109" s="8"/>
      <c r="C109" s="8"/>
      <c r="J109" s="8"/>
      <c r="K109" s="8"/>
      <c r="L109" s="8"/>
      <c r="M109" s="8"/>
      <c r="N109" s="8"/>
      <c r="O109" s="8"/>
      <c r="P109" s="8"/>
      <c r="Q109" s="8"/>
      <c r="R109" s="8"/>
      <c r="S109" s="8"/>
      <c r="T109" s="8"/>
      <c r="U109" s="8"/>
      <c r="V109" s="8"/>
      <c r="W109" s="8"/>
      <c r="X109" s="8"/>
      <c r="Y109" s="8"/>
    </row>
    <row r="110" spans="1:25" ht="12.75" x14ac:dyDescent="0.2">
      <c r="A110" s="8"/>
      <c r="B110" s="8"/>
      <c r="C110" s="8"/>
      <c r="J110" s="8"/>
      <c r="K110" s="8"/>
      <c r="L110" s="8"/>
      <c r="M110" s="8"/>
      <c r="N110" s="8"/>
      <c r="O110" s="8"/>
      <c r="P110" s="8"/>
      <c r="Q110" s="8"/>
      <c r="R110" s="8"/>
      <c r="S110" s="8"/>
      <c r="T110" s="8"/>
      <c r="U110" s="8"/>
      <c r="V110" s="8"/>
      <c r="W110" s="8"/>
      <c r="X110" s="8"/>
      <c r="Y110" s="8"/>
    </row>
    <row r="111" spans="1:25" ht="12.75" x14ac:dyDescent="0.2">
      <c r="A111" s="8"/>
      <c r="B111" s="8"/>
      <c r="C111" s="8"/>
      <c r="J111" s="8"/>
      <c r="K111" s="8"/>
      <c r="L111" s="8"/>
      <c r="M111" s="8"/>
      <c r="N111" s="8"/>
      <c r="O111" s="8"/>
      <c r="P111" s="8"/>
      <c r="Q111" s="8"/>
      <c r="R111" s="8"/>
      <c r="S111" s="8"/>
      <c r="T111" s="8"/>
      <c r="U111" s="8"/>
      <c r="V111" s="8"/>
      <c r="W111" s="8"/>
      <c r="X111" s="8"/>
      <c r="Y111" s="8"/>
    </row>
    <row r="112" spans="1:25" ht="12.75" x14ac:dyDescent="0.2">
      <c r="A112" s="8"/>
      <c r="B112" s="8"/>
      <c r="C112" s="8"/>
      <c r="J112" s="8"/>
      <c r="K112" s="8"/>
      <c r="L112" s="8"/>
      <c r="M112" s="8"/>
      <c r="N112" s="8"/>
      <c r="O112" s="8"/>
      <c r="P112" s="8"/>
      <c r="Q112" s="8"/>
      <c r="R112" s="8"/>
      <c r="S112" s="8"/>
      <c r="T112" s="8"/>
      <c r="U112" s="8"/>
      <c r="V112" s="8"/>
      <c r="W112" s="8"/>
      <c r="X112" s="8"/>
      <c r="Y112" s="8"/>
    </row>
    <row r="113" spans="1:25" ht="12.75" x14ac:dyDescent="0.2">
      <c r="A113" s="8"/>
      <c r="B113" s="8"/>
      <c r="C113" s="8"/>
      <c r="J113" s="8"/>
      <c r="K113" s="8"/>
      <c r="L113" s="8"/>
      <c r="M113" s="8"/>
      <c r="N113" s="8"/>
      <c r="O113" s="8"/>
      <c r="P113" s="8"/>
      <c r="Q113" s="8"/>
      <c r="R113" s="8"/>
      <c r="S113" s="8"/>
      <c r="T113" s="8"/>
      <c r="U113" s="8"/>
      <c r="V113" s="8"/>
      <c r="W113" s="8"/>
      <c r="X113" s="8"/>
      <c r="Y113" s="8"/>
    </row>
    <row r="114" spans="1:25" ht="12.75" x14ac:dyDescent="0.2">
      <c r="A114" s="8"/>
      <c r="B114" s="8"/>
      <c r="C114" s="8"/>
      <c r="D114" s="8"/>
      <c r="E114" s="8"/>
      <c r="F114" s="8"/>
      <c r="G114" s="8"/>
      <c r="H114" s="8"/>
      <c r="I114" s="8"/>
      <c r="J114" s="8"/>
      <c r="K114" s="8"/>
      <c r="L114" s="8"/>
      <c r="M114" s="8"/>
      <c r="N114" s="8"/>
      <c r="O114" s="8"/>
      <c r="P114" s="8"/>
      <c r="Q114" s="8"/>
      <c r="R114" s="8"/>
      <c r="S114" s="8"/>
      <c r="T114" s="8"/>
      <c r="U114" s="8"/>
      <c r="V114" s="8"/>
      <c r="W114" s="8"/>
      <c r="X114" s="8"/>
      <c r="Y114" s="8"/>
    </row>
    <row r="115" spans="1:25" ht="12.75" x14ac:dyDescent="0.2">
      <c r="A115" s="8"/>
      <c r="B115" s="8"/>
      <c r="C115" s="8"/>
      <c r="D115" s="8"/>
      <c r="E115" s="8"/>
      <c r="F115" s="8"/>
      <c r="G115" s="8"/>
      <c r="H115" s="8"/>
      <c r="I115" s="8"/>
      <c r="J115" s="8"/>
      <c r="K115" s="8"/>
      <c r="L115" s="8"/>
      <c r="M115" s="8"/>
      <c r="N115" s="8"/>
      <c r="O115" s="8"/>
      <c r="P115" s="8"/>
      <c r="Q115" s="8"/>
      <c r="R115" s="8"/>
      <c r="S115" s="8"/>
      <c r="T115" s="8"/>
      <c r="U115" s="8"/>
      <c r="V115" s="8"/>
      <c r="W115" s="8"/>
      <c r="X115" s="8"/>
      <c r="Y115" s="8"/>
    </row>
    <row r="116" spans="1:25" ht="12.75" x14ac:dyDescent="0.2">
      <c r="A116" s="8"/>
      <c r="B116" s="8"/>
      <c r="C116" s="8"/>
      <c r="D116" s="8"/>
      <c r="E116" s="8"/>
      <c r="F116" s="8"/>
      <c r="G116" s="8"/>
      <c r="H116" s="8"/>
      <c r="I116" s="8"/>
      <c r="J116" s="8"/>
      <c r="K116" s="8"/>
      <c r="L116" s="8"/>
      <c r="M116" s="8"/>
      <c r="N116" s="8"/>
      <c r="O116" s="8"/>
      <c r="P116" s="8"/>
      <c r="Q116" s="8"/>
      <c r="R116" s="8"/>
      <c r="S116" s="8"/>
      <c r="T116" s="8"/>
      <c r="U116" s="8"/>
      <c r="V116" s="8"/>
      <c r="W116" s="8"/>
      <c r="X116" s="8"/>
      <c r="Y116" s="8"/>
    </row>
    <row r="117" spans="1:25" ht="12.75" x14ac:dyDescent="0.2">
      <c r="A117" s="8"/>
      <c r="B117" s="8"/>
      <c r="C117" s="8"/>
      <c r="D117" s="8"/>
      <c r="E117" s="8"/>
      <c r="F117" s="8"/>
      <c r="G117" s="8"/>
      <c r="H117" s="8"/>
      <c r="I117" s="8"/>
      <c r="J117" s="8"/>
      <c r="K117" s="8"/>
      <c r="L117" s="8"/>
      <c r="M117" s="8"/>
      <c r="N117" s="8"/>
      <c r="O117" s="8"/>
      <c r="P117" s="8"/>
      <c r="Q117" s="8"/>
      <c r="R117" s="8"/>
      <c r="S117" s="8"/>
      <c r="T117" s="8"/>
      <c r="U117" s="8"/>
      <c r="V117" s="8"/>
      <c r="W117" s="8"/>
      <c r="X117" s="8"/>
      <c r="Y117" s="8"/>
    </row>
    <row r="118" spans="1:25" ht="12.75" x14ac:dyDescent="0.2">
      <c r="A118" s="8"/>
      <c r="B118" s="8"/>
      <c r="C118" s="8"/>
      <c r="D118" s="8"/>
      <c r="E118" s="8"/>
      <c r="F118" s="8"/>
      <c r="G118" s="8"/>
      <c r="H118" s="8"/>
      <c r="I118" s="8"/>
      <c r="J118" s="8"/>
      <c r="K118" s="8"/>
      <c r="L118" s="8"/>
      <c r="M118" s="8"/>
      <c r="N118" s="8"/>
      <c r="O118" s="8"/>
      <c r="P118" s="8"/>
      <c r="Q118" s="8"/>
      <c r="R118" s="8"/>
      <c r="S118" s="8"/>
      <c r="T118" s="8"/>
      <c r="U118" s="8"/>
      <c r="V118" s="8"/>
      <c r="W118" s="8"/>
      <c r="X118" s="8"/>
      <c r="Y118" s="8"/>
    </row>
    <row r="119" spans="1:25" ht="16.5" customHeight="1" x14ac:dyDescent="0.2">
      <c r="A119" s="8"/>
      <c r="B119" s="8"/>
      <c r="C119" s="8"/>
      <c r="D119" s="8"/>
      <c r="E119" s="8"/>
      <c r="F119" s="8"/>
      <c r="G119" s="8"/>
      <c r="H119" s="8"/>
      <c r="I119" s="8"/>
      <c r="J119" s="8"/>
      <c r="K119" s="8"/>
      <c r="L119" s="8"/>
      <c r="M119" s="8"/>
      <c r="N119" s="8"/>
      <c r="O119" s="8"/>
      <c r="P119" s="8"/>
      <c r="Q119" s="8"/>
      <c r="R119" s="8"/>
      <c r="S119" s="8"/>
      <c r="T119" s="8"/>
      <c r="U119" s="8"/>
      <c r="V119" s="8"/>
      <c r="W119" s="8"/>
      <c r="X119" s="8"/>
      <c r="Y119" s="8"/>
    </row>
    <row r="120" spans="1:25" ht="16.5" customHeight="1" x14ac:dyDescent="0.2">
      <c r="A120" s="8"/>
      <c r="B120" s="8"/>
      <c r="C120" s="8"/>
      <c r="D120" s="8"/>
      <c r="E120" s="8"/>
      <c r="F120" s="8"/>
      <c r="G120" s="8"/>
      <c r="H120" s="8"/>
      <c r="I120" s="8"/>
      <c r="J120" s="8"/>
      <c r="K120" s="8"/>
      <c r="L120" s="8"/>
      <c r="M120" s="8"/>
      <c r="N120" s="8"/>
      <c r="O120" s="8"/>
      <c r="P120" s="8"/>
      <c r="Q120" s="8"/>
      <c r="R120" s="8"/>
      <c r="S120" s="8"/>
      <c r="T120" s="8"/>
      <c r="U120" s="8"/>
      <c r="V120" s="8"/>
      <c r="W120" s="8"/>
      <c r="X120" s="8"/>
      <c r="Y120" s="8"/>
    </row>
    <row r="121" spans="1:25" ht="16.5" customHeight="1" x14ac:dyDescent="0.2">
      <c r="A121" s="8"/>
      <c r="B121" s="8"/>
      <c r="C121" s="8"/>
      <c r="D121" s="8"/>
      <c r="E121" s="8"/>
      <c r="F121" s="8"/>
      <c r="G121" s="8"/>
      <c r="H121" s="8"/>
      <c r="I121" s="8"/>
      <c r="J121" s="8"/>
      <c r="K121" s="8"/>
      <c r="L121" s="8"/>
      <c r="M121" s="8"/>
      <c r="N121" s="8"/>
      <c r="O121" s="8"/>
      <c r="P121" s="8"/>
      <c r="Q121" s="8"/>
      <c r="R121" s="8"/>
      <c r="S121" s="8"/>
      <c r="T121" s="8"/>
      <c r="U121" s="8"/>
      <c r="V121" s="8"/>
      <c r="W121" s="8"/>
      <c r="X121" s="8"/>
      <c r="Y121" s="8"/>
    </row>
    <row r="122" spans="1:25" ht="16.5" customHeight="1" x14ac:dyDescent="0.2">
      <c r="A122" s="8"/>
      <c r="B122" s="8"/>
      <c r="C122" s="8"/>
      <c r="D122" s="8"/>
      <c r="E122" s="8"/>
      <c r="F122" s="8"/>
      <c r="G122" s="8"/>
      <c r="H122" s="8"/>
      <c r="I122" s="8"/>
      <c r="J122" s="8"/>
      <c r="K122" s="8"/>
      <c r="L122" s="8"/>
      <c r="M122" s="8"/>
      <c r="N122" s="8"/>
      <c r="O122" s="8"/>
      <c r="P122" s="8"/>
      <c r="Q122" s="8"/>
      <c r="R122" s="8"/>
      <c r="S122" s="8"/>
      <c r="T122" s="8"/>
      <c r="U122" s="8"/>
      <c r="V122" s="8"/>
      <c r="W122" s="8"/>
      <c r="X122" s="8"/>
      <c r="Y122" s="8"/>
    </row>
    <row r="123" spans="1:25" ht="16.5" customHeight="1" x14ac:dyDescent="0.2">
      <c r="A123" s="8"/>
      <c r="B123" s="8"/>
      <c r="C123" s="8"/>
      <c r="D123" s="8"/>
      <c r="E123" s="8"/>
      <c r="F123" s="8"/>
      <c r="G123" s="8"/>
      <c r="H123" s="8"/>
      <c r="I123" s="8"/>
      <c r="J123" s="8"/>
      <c r="K123" s="8"/>
      <c r="L123" s="8"/>
      <c r="M123" s="8"/>
      <c r="N123" s="8"/>
      <c r="O123" s="8"/>
      <c r="P123" s="8"/>
      <c r="Q123" s="8"/>
      <c r="R123" s="8"/>
      <c r="S123" s="8"/>
      <c r="T123" s="8"/>
      <c r="U123" s="8"/>
      <c r="V123" s="8"/>
      <c r="W123" s="8"/>
      <c r="X123" s="8"/>
      <c r="Y123" s="8"/>
    </row>
    <row r="124" spans="1:25" ht="16.5" customHeight="1" x14ac:dyDescent="0.2">
      <c r="A124" s="8"/>
      <c r="B124" s="8"/>
      <c r="C124" s="8"/>
      <c r="D124" s="8"/>
      <c r="E124" s="8"/>
      <c r="F124" s="8"/>
      <c r="G124" s="8"/>
      <c r="H124" s="8"/>
      <c r="I124" s="8"/>
      <c r="J124" s="8"/>
      <c r="K124" s="8"/>
      <c r="L124" s="8"/>
      <c r="M124" s="8"/>
      <c r="N124" s="8"/>
      <c r="O124" s="8"/>
      <c r="P124" s="8"/>
      <c r="Q124" s="8"/>
      <c r="R124" s="8"/>
      <c r="S124" s="8"/>
      <c r="T124" s="8"/>
      <c r="U124" s="8"/>
      <c r="V124" s="8"/>
      <c r="W124" s="8"/>
      <c r="X124" s="8"/>
      <c r="Y124" s="8"/>
    </row>
    <row r="125" spans="1:25" ht="16.5" customHeight="1" x14ac:dyDescent="0.2">
      <c r="A125" s="8"/>
      <c r="B125" s="8"/>
      <c r="C125" s="8"/>
      <c r="D125" s="8"/>
      <c r="E125" s="8"/>
      <c r="F125" s="8"/>
      <c r="G125" s="8"/>
      <c r="H125" s="8"/>
      <c r="I125" s="8"/>
      <c r="J125" s="8"/>
      <c r="K125" s="8"/>
      <c r="L125" s="8"/>
      <c r="M125" s="8"/>
      <c r="N125" s="8"/>
      <c r="O125" s="8"/>
      <c r="P125" s="8"/>
      <c r="Q125" s="8"/>
      <c r="R125" s="8"/>
      <c r="S125" s="8"/>
      <c r="T125" s="8"/>
      <c r="U125" s="8"/>
      <c r="V125" s="8"/>
      <c r="W125" s="8"/>
      <c r="X125" s="8"/>
      <c r="Y125" s="8"/>
    </row>
    <row r="126" spans="1:25" ht="16.5" customHeight="1" x14ac:dyDescent="0.2">
      <c r="A126" s="8"/>
      <c r="B126" s="8"/>
      <c r="C126" s="8"/>
      <c r="D126" s="8"/>
      <c r="E126" s="8"/>
      <c r="F126" s="8"/>
      <c r="G126" s="8"/>
      <c r="H126" s="8"/>
      <c r="I126" s="8"/>
      <c r="J126" s="8"/>
      <c r="K126" s="8"/>
      <c r="L126" s="8"/>
      <c r="M126" s="8"/>
      <c r="N126" s="8"/>
      <c r="O126" s="8"/>
      <c r="P126" s="8"/>
      <c r="Q126" s="8"/>
      <c r="R126" s="8"/>
      <c r="S126" s="8"/>
      <c r="T126" s="8"/>
      <c r="U126" s="8"/>
      <c r="V126" s="8"/>
      <c r="W126" s="8"/>
      <c r="X126" s="8"/>
      <c r="Y126" s="8"/>
    </row>
    <row r="127" spans="1:25" ht="16.5" customHeight="1" x14ac:dyDescent="0.2">
      <c r="A127" s="8"/>
      <c r="B127" s="8"/>
      <c r="C127" s="8"/>
      <c r="D127" s="8"/>
      <c r="E127" s="8"/>
      <c r="F127" s="8"/>
      <c r="G127" s="8"/>
      <c r="H127" s="8"/>
      <c r="I127" s="8"/>
      <c r="J127" s="8"/>
      <c r="K127" s="8"/>
      <c r="L127" s="8"/>
      <c r="M127" s="8"/>
      <c r="N127" s="8"/>
      <c r="O127" s="8"/>
      <c r="P127" s="8"/>
      <c r="Q127" s="8"/>
      <c r="R127" s="8"/>
      <c r="S127" s="8"/>
      <c r="T127" s="8"/>
      <c r="U127" s="8"/>
      <c r="V127" s="8"/>
      <c r="W127" s="8"/>
      <c r="X127" s="8"/>
      <c r="Y127" s="8"/>
    </row>
    <row r="128" spans="1:25" ht="16.5" customHeight="1" x14ac:dyDescent="0.2">
      <c r="A128" s="8"/>
      <c r="B128" s="8"/>
      <c r="C128" s="8"/>
      <c r="D128" s="8"/>
      <c r="E128" s="8"/>
      <c r="F128" s="8"/>
      <c r="G128" s="8"/>
      <c r="H128" s="8"/>
      <c r="I128" s="8"/>
      <c r="J128" s="8"/>
      <c r="K128" s="8"/>
      <c r="L128" s="8"/>
      <c r="M128" s="8"/>
      <c r="N128" s="8"/>
      <c r="O128" s="8"/>
      <c r="P128" s="8"/>
      <c r="Q128" s="8"/>
      <c r="R128" s="8"/>
      <c r="S128" s="8"/>
      <c r="T128" s="8"/>
      <c r="U128" s="8"/>
      <c r="V128" s="8"/>
      <c r="W128" s="8"/>
      <c r="X128" s="8"/>
      <c r="Y128" s="8"/>
    </row>
    <row r="129" spans="1:25" ht="16.5" customHeight="1" x14ac:dyDescent="0.2">
      <c r="A129" s="8"/>
      <c r="B129" s="8"/>
      <c r="C129" s="8"/>
      <c r="D129" s="8"/>
      <c r="E129" s="8"/>
      <c r="F129" s="8"/>
      <c r="G129" s="8"/>
      <c r="H129" s="8"/>
      <c r="I129" s="8"/>
      <c r="J129" s="8"/>
      <c r="K129" s="8"/>
      <c r="L129" s="8"/>
      <c r="M129" s="8"/>
      <c r="N129" s="8"/>
      <c r="O129" s="8"/>
      <c r="P129" s="8"/>
      <c r="Q129" s="8"/>
      <c r="R129" s="8"/>
      <c r="S129" s="8"/>
      <c r="T129" s="8"/>
      <c r="U129" s="8"/>
      <c r="V129" s="8"/>
      <c r="W129" s="8"/>
      <c r="X129" s="8"/>
      <c r="Y129" s="8"/>
    </row>
    <row r="130" spans="1:25" ht="16.5" customHeight="1" x14ac:dyDescent="0.2">
      <c r="A130" s="8"/>
      <c r="B130" s="8"/>
      <c r="C130" s="8"/>
      <c r="D130" s="8"/>
      <c r="E130" s="8"/>
      <c r="F130" s="8"/>
      <c r="G130" s="8"/>
      <c r="H130" s="8"/>
      <c r="I130" s="8"/>
      <c r="J130" s="8"/>
      <c r="K130" s="8"/>
      <c r="L130" s="8"/>
      <c r="M130" s="8"/>
      <c r="N130" s="8"/>
      <c r="O130" s="8"/>
      <c r="P130" s="8"/>
      <c r="Q130" s="8"/>
      <c r="R130" s="8"/>
      <c r="S130" s="8"/>
      <c r="T130" s="8"/>
      <c r="U130" s="8"/>
      <c r="V130" s="8"/>
      <c r="W130" s="8"/>
      <c r="X130" s="8"/>
      <c r="Y130" s="8"/>
    </row>
    <row r="131" spans="1:25" ht="16.5" customHeight="1" x14ac:dyDescent="0.2">
      <c r="A131" s="8"/>
      <c r="B131" s="8"/>
      <c r="C131" s="8"/>
      <c r="D131" s="8"/>
      <c r="E131" s="8"/>
      <c r="F131" s="8"/>
      <c r="G131" s="8"/>
      <c r="H131" s="8"/>
      <c r="I131" s="8"/>
      <c r="J131" s="8"/>
      <c r="K131" s="8"/>
      <c r="L131" s="8"/>
      <c r="M131" s="8"/>
      <c r="N131" s="8"/>
      <c r="O131" s="8"/>
      <c r="P131" s="8"/>
      <c r="Q131" s="8"/>
      <c r="R131" s="8"/>
      <c r="S131" s="8"/>
      <c r="T131" s="8"/>
      <c r="U131" s="8"/>
      <c r="V131" s="8"/>
      <c r="W131" s="8"/>
      <c r="X131" s="8"/>
      <c r="Y131" s="8"/>
    </row>
    <row r="132" spans="1:25" ht="16.5" customHeight="1" x14ac:dyDescent="0.2">
      <c r="A132" s="8"/>
      <c r="B132" s="8"/>
      <c r="C132" s="8"/>
      <c r="D132" s="8"/>
      <c r="E132" s="8"/>
      <c r="F132" s="8"/>
      <c r="G132" s="8"/>
      <c r="H132" s="8"/>
      <c r="I132" s="8"/>
      <c r="J132" s="8"/>
      <c r="K132" s="8"/>
      <c r="L132" s="8"/>
      <c r="M132" s="8"/>
      <c r="N132" s="8"/>
      <c r="O132" s="8"/>
      <c r="P132" s="8"/>
      <c r="Q132" s="8"/>
      <c r="R132" s="8"/>
      <c r="S132" s="8"/>
      <c r="T132" s="8"/>
      <c r="U132" s="8"/>
      <c r="V132" s="8"/>
      <c r="W132" s="8"/>
      <c r="X132" s="8"/>
      <c r="Y132" s="8"/>
    </row>
    <row r="133" spans="1:25" ht="16.5" customHeight="1" x14ac:dyDescent="0.2">
      <c r="A133" s="8"/>
      <c r="B133" s="8"/>
      <c r="C133" s="8"/>
      <c r="D133" s="8"/>
      <c r="E133" s="8"/>
      <c r="F133" s="8"/>
      <c r="G133" s="8"/>
      <c r="H133" s="8"/>
      <c r="I133" s="8"/>
      <c r="J133" s="8"/>
      <c r="K133" s="8"/>
      <c r="L133" s="8"/>
      <c r="M133" s="8"/>
      <c r="N133" s="8"/>
      <c r="O133" s="8"/>
      <c r="P133" s="8"/>
      <c r="Q133" s="8"/>
      <c r="R133" s="8"/>
      <c r="S133" s="8"/>
      <c r="T133" s="8"/>
      <c r="U133" s="8"/>
      <c r="V133" s="8"/>
      <c r="W133" s="8"/>
      <c r="X133" s="8"/>
      <c r="Y133" s="8"/>
    </row>
    <row r="134" spans="1:25" ht="16.5" customHeight="1" x14ac:dyDescent="0.2">
      <c r="A134" s="8"/>
      <c r="B134" s="8"/>
      <c r="C134" s="8"/>
      <c r="D134" s="8"/>
      <c r="E134" s="8"/>
      <c r="F134" s="8"/>
      <c r="G134" s="8"/>
      <c r="H134" s="8"/>
      <c r="I134" s="8"/>
      <c r="J134" s="8"/>
      <c r="K134" s="8"/>
      <c r="L134" s="8"/>
      <c r="M134" s="8"/>
      <c r="N134" s="8"/>
      <c r="O134" s="8"/>
      <c r="P134" s="8"/>
      <c r="Q134" s="8"/>
      <c r="R134" s="8"/>
      <c r="S134" s="8"/>
      <c r="T134" s="8"/>
      <c r="U134" s="8"/>
      <c r="V134" s="8"/>
      <c r="W134" s="8"/>
      <c r="X134" s="8"/>
      <c r="Y134" s="8"/>
    </row>
    <row r="135" spans="1:25" ht="16.5" customHeight="1" x14ac:dyDescent="0.2">
      <c r="A135" s="8"/>
      <c r="B135" s="8"/>
      <c r="C135" s="8"/>
      <c r="D135" s="8"/>
      <c r="E135" s="8"/>
      <c r="F135" s="8"/>
      <c r="G135" s="8"/>
      <c r="H135" s="8"/>
      <c r="I135" s="8"/>
      <c r="J135" s="8"/>
      <c r="K135" s="8"/>
      <c r="L135" s="8"/>
      <c r="M135" s="8"/>
      <c r="N135" s="8"/>
      <c r="O135" s="8"/>
      <c r="P135" s="8"/>
      <c r="Q135" s="8"/>
      <c r="R135" s="8"/>
      <c r="S135" s="8"/>
      <c r="T135" s="8"/>
      <c r="U135" s="8"/>
      <c r="V135" s="8"/>
      <c r="W135" s="8"/>
      <c r="X135" s="8"/>
      <c r="Y135" s="8"/>
    </row>
    <row r="136" spans="1:25" ht="16.5" customHeight="1" x14ac:dyDescent="0.2">
      <c r="A136" s="8"/>
      <c r="B136" s="8"/>
      <c r="C136" s="8"/>
      <c r="D136" s="8"/>
      <c r="E136" s="8"/>
      <c r="F136" s="8"/>
      <c r="G136" s="8"/>
      <c r="H136" s="8"/>
      <c r="I136" s="8"/>
      <c r="J136" s="8"/>
      <c r="K136" s="8"/>
      <c r="L136" s="8"/>
      <c r="M136" s="8"/>
      <c r="N136" s="8"/>
      <c r="O136" s="8"/>
      <c r="P136" s="8"/>
      <c r="Q136" s="8"/>
      <c r="R136" s="8"/>
      <c r="S136" s="8"/>
      <c r="T136" s="8"/>
      <c r="U136" s="8"/>
      <c r="V136" s="8"/>
      <c r="W136" s="8"/>
      <c r="X136" s="8"/>
      <c r="Y136" s="8"/>
    </row>
    <row r="137" spans="1:25" ht="16.5" customHeight="1" x14ac:dyDescent="0.2">
      <c r="A137" s="8"/>
      <c r="B137" s="8"/>
      <c r="C137" s="8"/>
      <c r="D137" s="8"/>
      <c r="E137" s="8"/>
      <c r="F137" s="8"/>
      <c r="G137" s="8"/>
      <c r="H137" s="8"/>
      <c r="I137" s="8"/>
      <c r="J137" s="8"/>
      <c r="K137" s="8"/>
      <c r="L137" s="8"/>
      <c r="M137" s="8"/>
      <c r="N137" s="8"/>
      <c r="O137" s="8"/>
      <c r="P137" s="8"/>
      <c r="Q137" s="8"/>
      <c r="R137" s="8"/>
      <c r="S137" s="8"/>
      <c r="T137" s="8"/>
      <c r="U137" s="8"/>
      <c r="V137" s="8"/>
      <c r="W137" s="8"/>
      <c r="X137" s="8"/>
      <c r="Y137" s="8"/>
    </row>
    <row r="138" spans="1:25" ht="16.5" customHeight="1" x14ac:dyDescent="0.2">
      <c r="A138" s="8"/>
      <c r="B138" s="8"/>
      <c r="C138" s="8"/>
      <c r="D138" s="8"/>
      <c r="E138" s="8"/>
      <c r="F138" s="8"/>
      <c r="G138" s="8"/>
      <c r="H138" s="8"/>
      <c r="I138" s="8"/>
      <c r="J138" s="8"/>
      <c r="K138" s="8"/>
      <c r="L138" s="8"/>
      <c r="M138" s="8"/>
      <c r="N138" s="8"/>
      <c r="O138" s="8"/>
      <c r="P138" s="8"/>
      <c r="Q138" s="8"/>
      <c r="R138" s="8"/>
      <c r="S138" s="8"/>
      <c r="T138" s="8"/>
      <c r="U138" s="8"/>
      <c r="V138" s="8"/>
      <c r="W138" s="8"/>
      <c r="X138" s="8"/>
      <c r="Y138" s="8"/>
    </row>
    <row r="139" spans="1:25" ht="16.5" customHeight="1" x14ac:dyDescent="0.2">
      <c r="A139" s="8"/>
      <c r="B139" s="8"/>
      <c r="C139" s="8"/>
      <c r="D139" s="8"/>
      <c r="E139" s="8"/>
      <c r="F139" s="8"/>
      <c r="G139" s="8"/>
      <c r="H139" s="8"/>
      <c r="I139" s="8"/>
      <c r="J139" s="8"/>
      <c r="K139" s="8"/>
      <c r="L139" s="8"/>
      <c r="M139" s="8"/>
      <c r="N139" s="8"/>
      <c r="O139" s="8"/>
      <c r="P139" s="8"/>
      <c r="Q139" s="8"/>
      <c r="R139" s="8"/>
      <c r="S139" s="8"/>
      <c r="T139" s="8"/>
      <c r="U139" s="8"/>
      <c r="V139" s="8"/>
      <c r="W139" s="8"/>
      <c r="X139" s="8"/>
      <c r="Y139" s="8"/>
    </row>
    <row r="140" spans="1:25" ht="16.5" customHeight="1" x14ac:dyDescent="0.2">
      <c r="A140" s="8"/>
      <c r="B140" s="8"/>
      <c r="C140" s="8"/>
      <c r="D140" s="8"/>
      <c r="E140" s="8"/>
      <c r="F140" s="8"/>
      <c r="G140" s="8"/>
      <c r="H140" s="8"/>
      <c r="I140" s="8"/>
      <c r="J140" s="8"/>
      <c r="K140" s="8"/>
      <c r="L140" s="8"/>
      <c r="M140" s="8"/>
      <c r="N140" s="8"/>
      <c r="O140" s="8"/>
      <c r="P140" s="8"/>
      <c r="Q140" s="8"/>
      <c r="R140" s="8"/>
      <c r="S140" s="8"/>
      <c r="T140" s="8"/>
      <c r="U140" s="8"/>
      <c r="V140" s="8"/>
      <c r="W140" s="8"/>
      <c r="X140" s="8"/>
      <c r="Y140" s="8"/>
    </row>
    <row r="141" spans="1:25" ht="16.5" customHeight="1" x14ac:dyDescent="0.2">
      <c r="A141" s="8"/>
      <c r="B141" s="8"/>
      <c r="C141" s="8"/>
      <c r="D141" s="8"/>
      <c r="E141" s="8"/>
      <c r="F141" s="8"/>
      <c r="G141" s="8"/>
      <c r="H141" s="8"/>
      <c r="I141" s="8"/>
      <c r="J141" s="8"/>
      <c r="K141" s="8"/>
      <c r="L141" s="8"/>
      <c r="M141" s="8"/>
      <c r="N141" s="8"/>
      <c r="O141" s="8"/>
      <c r="P141" s="8"/>
      <c r="Q141" s="8"/>
      <c r="R141" s="8"/>
      <c r="S141" s="8"/>
      <c r="T141" s="8"/>
      <c r="U141" s="8"/>
      <c r="V141" s="8"/>
      <c r="W141" s="8"/>
      <c r="X141" s="8"/>
      <c r="Y141" s="8"/>
    </row>
    <row r="142" spans="1:25" ht="16.5" customHeight="1" x14ac:dyDescent="0.2">
      <c r="A142" s="8"/>
      <c r="B142" s="8"/>
      <c r="C142" s="8"/>
      <c r="D142" s="8"/>
      <c r="E142" s="8"/>
      <c r="F142" s="8"/>
      <c r="G142" s="8"/>
      <c r="H142" s="8"/>
      <c r="I142" s="8"/>
      <c r="J142" s="8"/>
      <c r="K142" s="8"/>
      <c r="L142" s="8"/>
      <c r="M142" s="8"/>
      <c r="N142" s="8"/>
      <c r="O142" s="8"/>
      <c r="P142" s="8"/>
      <c r="Q142" s="8"/>
      <c r="R142" s="8"/>
      <c r="S142" s="8"/>
      <c r="T142" s="8"/>
      <c r="U142" s="8"/>
      <c r="V142" s="8"/>
      <c r="W142" s="8"/>
      <c r="X142" s="8"/>
      <c r="Y142" s="8"/>
    </row>
    <row r="143" spans="1:25" ht="16.5" customHeight="1" x14ac:dyDescent="0.2">
      <c r="A143" s="8"/>
      <c r="B143" s="8"/>
      <c r="C143" s="8"/>
      <c r="D143" s="8"/>
      <c r="E143" s="8"/>
      <c r="F143" s="8"/>
      <c r="G143" s="8"/>
      <c r="H143" s="8"/>
      <c r="I143" s="8"/>
      <c r="J143" s="8"/>
      <c r="K143" s="8"/>
      <c r="L143" s="8"/>
      <c r="M143" s="8"/>
      <c r="N143" s="8"/>
      <c r="O143" s="8"/>
      <c r="P143" s="8"/>
      <c r="Q143" s="8"/>
      <c r="R143" s="8"/>
      <c r="S143" s="8"/>
      <c r="T143" s="8"/>
      <c r="U143" s="8"/>
      <c r="V143" s="8"/>
      <c r="W143" s="8"/>
      <c r="X143" s="8"/>
      <c r="Y143" s="8"/>
    </row>
    <row r="144" spans="1:25" ht="16.5" customHeight="1" x14ac:dyDescent="0.2">
      <c r="A144" s="8"/>
      <c r="B144" s="8"/>
      <c r="C144" s="8"/>
      <c r="D144" s="8"/>
      <c r="E144" s="8"/>
      <c r="F144" s="8"/>
      <c r="G144" s="8"/>
      <c r="H144" s="8"/>
      <c r="I144" s="8"/>
      <c r="J144" s="8"/>
      <c r="K144" s="8"/>
      <c r="L144" s="8"/>
      <c r="M144" s="8"/>
      <c r="N144" s="8"/>
      <c r="O144" s="8"/>
      <c r="P144" s="8"/>
      <c r="Q144" s="8"/>
      <c r="R144" s="8"/>
      <c r="S144" s="8"/>
      <c r="T144" s="8"/>
      <c r="U144" s="8"/>
      <c r="V144" s="8"/>
      <c r="W144" s="8"/>
      <c r="X144" s="8"/>
      <c r="Y144" s="8"/>
    </row>
    <row r="145" spans="1:25" ht="16.5" customHeight="1" x14ac:dyDescent="0.2">
      <c r="A145" s="8"/>
      <c r="B145" s="8"/>
      <c r="C145" s="8"/>
      <c r="D145" s="8"/>
      <c r="E145" s="8"/>
      <c r="F145" s="8"/>
      <c r="G145" s="8"/>
      <c r="H145" s="8"/>
      <c r="I145" s="8"/>
      <c r="J145" s="8"/>
      <c r="K145" s="8"/>
      <c r="L145" s="8"/>
      <c r="M145" s="8"/>
      <c r="N145" s="8"/>
      <c r="O145" s="8"/>
      <c r="P145" s="8"/>
      <c r="Q145" s="8"/>
      <c r="R145" s="8"/>
      <c r="S145" s="8"/>
      <c r="T145" s="8"/>
      <c r="U145" s="8"/>
      <c r="V145" s="8"/>
      <c r="W145" s="8"/>
      <c r="X145" s="8"/>
      <c r="Y145" s="8"/>
    </row>
    <row r="146" spans="1:25" ht="16.5" customHeight="1" x14ac:dyDescent="0.2">
      <c r="A146" s="8"/>
      <c r="B146" s="8"/>
      <c r="C146" s="8"/>
      <c r="D146" s="8"/>
      <c r="E146" s="8"/>
      <c r="F146" s="8"/>
      <c r="G146" s="8"/>
      <c r="H146" s="8"/>
      <c r="I146" s="8"/>
      <c r="J146" s="8"/>
      <c r="K146" s="8"/>
      <c r="L146" s="8"/>
      <c r="M146" s="8"/>
      <c r="N146" s="8"/>
      <c r="O146" s="8"/>
      <c r="P146" s="8"/>
      <c r="Q146" s="8"/>
      <c r="R146" s="8"/>
      <c r="S146" s="8"/>
      <c r="T146" s="8"/>
      <c r="U146" s="8"/>
      <c r="V146" s="8"/>
      <c r="W146" s="8"/>
      <c r="X146" s="8"/>
      <c r="Y146" s="8"/>
    </row>
    <row r="147" spans="1:25" ht="16.5" customHeight="1" x14ac:dyDescent="0.2">
      <c r="A147" s="8"/>
      <c r="B147" s="8"/>
      <c r="C147" s="8"/>
      <c r="D147" s="8"/>
      <c r="E147" s="8"/>
      <c r="F147" s="8"/>
      <c r="G147" s="8"/>
      <c r="H147" s="8"/>
      <c r="I147" s="8"/>
      <c r="J147" s="8"/>
      <c r="K147" s="8"/>
      <c r="L147" s="8"/>
      <c r="M147" s="8"/>
      <c r="N147" s="8"/>
      <c r="O147" s="8"/>
      <c r="P147" s="8"/>
      <c r="Q147" s="8"/>
      <c r="R147" s="8"/>
      <c r="S147" s="8"/>
      <c r="T147" s="8"/>
      <c r="U147" s="8"/>
      <c r="V147" s="8"/>
      <c r="W147" s="8"/>
      <c r="X147" s="8"/>
      <c r="Y147" s="8"/>
    </row>
    <row r="148" spans="1:25" ht="16.5" customHeight="1" x14ac:dyDescent="0.2">
      <c r="A148" s="8"/>
      <c r="B148" s="8"/>
      <c r="C148" s="8"/>
      <c r="D148" s="8"/>
      <c r="E148" s="8"/>
      <c r="F148" s="8"/>
      <c r="G148" s="8"/>
      <c r="H148" s="8"/>
      <c r="I148" s="8"/>
      <c r="J148" s="8"/>
      <c r="K148" s="8"/>
      <c r="L148" s="8"/>
      <c r="M148" s="8"/>
      <c r="N148" s="8"/>
      <c r="O148" s="8"/>
      <c r="P148" s="8"/>
      <c r="Q148" s="8"/>
      <c r="R148" s="8"/>
      <c r="S148" s="8"/>
      <c r="T148" s="8"/>
      <c r="U148" s="8"/>
      <c r="V148" s="8"/>
      <c r="W148" s="8"/>
      <c r="X148" s="8"/>
      <c r="Y148" s="8"/>
    </row>
    <row r="149" spans="1:25" ht="16.5" customHeight="1" x14ac:dyDescent="0.2">
      <c r="A149" s="8"/>
      <c r="B149" s="8"/>
      <c r="C149" s="8"/>
      <c r="D149" s="8"/>
      <c r="E149" s="8"/>
      <c r="F149" s="8"/>
      <c r="G149" s="8"/>
      <c r="H149" s="8"/>
      <c r="I149" s="8"/>
      <c r="J149" s="8"/>
      <c r="K149" s="8"/>
      <c r="L149" s="8"/>
      <c r="M149" s="8"/>
      <c r="N149" s="8"/>
      <c r="O149" s="8"/>
      <c r="P149" s="8"/>
      <c r="Q149" s="8"/>
      <c r="R149" s="8"/>
      <c r="S149" s="8"/>
      <c r="T149" s="8"/>
      <c r="U149" s="8"/>
      <c r="V149" s="8"/>
      <c r="W149" s="8"/>
      <c r="X149" s="8"/>
      <c r="Y149" s="8"/>
    </row>
    <row r="150" spans="1:25" ht="16.5" customHeight="1" x14ac:dyDescent="0.2">
      <c r="A150" s="8"/>
      <c r="B150" s="8"/>
      <c r="C150" s="8"/>
      <c r="D150" s="8"/>
      <c r="E150" s="8"/>
      <c r="F150" s="8"/>
      <c r="G150" s="8"/>
      <c r="H150" s="8"/>
      <c r="I150" s="8"/>
      <c r="J150" s="8"/>
      <c r="K150" s="8"/>
      <c r="L150" s="8"/>
      <c r="M150" s="8"/>
      <c r="N150" s="8"/>
      <c r="O150" s="8"/>
      <c r="P150" s="8"/>
      <c r="Q150" s="8"/>
      <c r="R150" s="8"/>
      <c r="S150" s="8"/>
      <c r="T150" s="8"/>
      <c r="U150" s="8"/>
      <c r="V150" s="8"/>
      <c r="W150" s="8"/>
      <c r="X150" s="8"/>
      <c r="Y150" s="8"/>
    </row>
    <row r="151" spans="1:25" ht="16.5" customHeight="1" x14ac:dyDescent="0.2">
      <c r="A151" s="8"/>
      <c r="B151" s="8"/>
      <c r="C151" s="8"/>
      <c r="D151" s="8"/>
      <c r="E151" s="8"/>
      <c r="F151" s="8"/>
      <c r="G151" s="8"/>
      <c r="H151" s="8"/>
      <c r="I151" s="8"/>
      <c r="J151" s="8"/>
      <c r="K151" s="8"/>
      <c r="L151" s="8"/>
      <c r="M151" s="8"/>
      <c r="N151" s="8"/>
      <c r="O151" s="8"/>
      <c r="P151" s="8"/>
      <c r="Q151" s="8"/>
      <c r="R151" s="8"/>
      <c r="S151" s="8"/>
      <c r="T151" s="8"/>
      <c r="U151" s="8"/>
      <c r="V151" s="8"/>
      <c r="W151" s="8"/>
      <c r="X151" s="8"/>
      <c r="Y151" s="8"/>
    </row>
    <row r="152" spans="1:25" ht="16.5" customHeight="1" x14ac:dyDescent="0.2">
      <c r="A152" s="8"/>
      <c r="B152" s="8"/>
      <c r="C152" s="8"/>
      <c r="D152" s="8"/>
      <c r="E152" s="8"/>
      <c r="F152" s="8"/>
      <c r="G152" s="8"/>
      <c r="H152" s="8"/>
      <c r="I152" s="8"/>
      <c r="J152" s="8"/>
      <c r="K152" s="8"/>
      <c r="L152" s="8"/>
      <c r="M152" s="8"/>
      <c r="N152" s="8"/>
      <c r="O152" s="8"/>
      <c r="P152" s="8"/>
      <c r="Q152" s="8"/>
      <c r="R152" s="8"/>
      <c r="S152" s="8"/>
      <c r="T152" s="8"/>
      <c r="U152" s="8"/>
      <c r="V152" s="8"/>
      <c r="W152" s="8"/>
      <c r="X152" s="8"/>
      <c r="Y152" s="8"/>
    </row>
    <row r="153" spans="1:25" ht="16.5" customHeight="1" x14ac:dyDescent="0.2">
      <c r="A153" s="8"/>
      <c r="B153" s="8"/>
      <c r="C153" s="8"/>
      <c r="D153" s="8"/>
      <c r="E153" s="8"/>
      <c r="F153" s="8"/>
      <c r="G153" s="8"/>
      <c r="H153" s="8"/>
      <c r="I153" s="8"/>
      <c r="J153" s="8"/>
      <c r="K153" s="8"/>
      <c r="L153" s="8"/>
      <c r="M153" s="8"/>
      <c r="N153" s="8"/>
      <c r="O153" s="8"/>
      <c r="P153" s="8"/>
      <c r="Q153" s="8"/>
      <c r="R153" s="8"/>
      <c r="S153" s="8"/>
      <c r="T153" s="8"/>
      <c r="U153" s="8"/>
      <c r="V153" s="8"/>
      <c r="W153" s="8"/>
      <c r="X153" s="8"/>
      <c r="Y153" s="8"/>
    </row>
    <row r="154" spans="1:25" ht="16.5" customHeight="1" x14ac:dyDescent="0.2">
      <c r="A154" s="8"/>
      <c r="B154" s="8"/>
      <c r="C154" s="8"/>
      <c r="D154" s="8"/>
      <c r="E154" s="8"/>
      <c r="F154" s="8"/>
      <c r="G154" s="8"/>
      <c r="H154" s="8"/>
      <c r="I154" s="8"/>
      <c r="J154" s="8"/>
      <c r="K154" s="8"/>
      <c r="L154" s="8"/>
      <c r="M154" s="8"/>
      <c r="N154" s="8"/>
      <c r="O154" s="8"/>
      <c r="P154" s="8"/>
      <c r="Q154" s="8"/>
      <c r="R154" s="8"/>
      <c r="S154" s="8"/>
      <c r="T154" s="8"/>
      <c r="U154" s="8"/>
      <c r="V154" s="8"/>
      <c r="W154" s="8"/>
      <c r="X154" s="8"/>
      <c r="Y154" s="8"/>
    </row>
    <row r="155" spans="1:25" ht="16.5" customHeight="1" x14ac:dyDescent="0.2">
      <c r="A155" s="8"/>
      <c r="B155" s="8"/>
      <c r="C155" s="8"/>
      <c r="D155" s="8"/>
      <c r="E155" s="8"/>
      <c r="F155" s="8"/>
      <c r="G155" s="8"/>
      <c r="H155" s="8"/>
      <c r="I155" s="8"/>
      <c r="J155" s="8"/>
      <c r="K155" s="8"/>
      <c r="L155" s="8"/>
      <c r="M155" s="8"/>
      <c r="N155" s="8"/>
      <c r="O155" s="8"/>
      <c r="P155" s="8"/>
      <c r="Q155" s="8"/>
      <c r="R155" s="8"/>
      <c r="S155" s="8"/>
      <c r="T155" s="8"/>
      <c r="U155" s="8"/>
      <c r="V155" s="8"/>
      <c r="W155" s="8"/>
      <c r="X155" s="8"/>
      <c r="Y155" s="8"/>
    </row>
    <row r="156" spans="1:25" ht="16.5" customHeight="1" x14ac:dyDescent="0.2">
      <c r="A156" s="8"/>
      <c r="B156" s="8"/>
      <c r="C156" s="8"/>
      <c r="D156" s="8"/>
      <c r="E156" s="8"/>
      <c r="F156" s="8"/>
      <c r="G156" s="8"/>
      <c r="H156" s="8"/>
      <c r="I156" s="8"/>
      <c r="J156" s="8"/>
      <c r="K156" s="8"/>
      <c r="L156" s="8"/>
      <c r="M156" s="8"/>
      <c r="N156" s="8"/>
      <c r="O156" s="8"/>
      <c r="P156" s="8"/>
      <c r="Q156" s="8"/>
      <c r="R156" s="8"/>
      <c r="S156" s="8"/>
      <c r="T156" s="8"/>
      <c r="U156" s="8"/>
      <c r="V156" s="8"/>
      <c r="W156" s="8"/>
      <c r="X156" s="8"/>
      <c r="Y156" s="8"/>
    </row>
    <row r="157" spans="1:25" ht="16.5" customHeight="1" x14ac:dyDescent="0.2">
      <c r="A157" s="8"/>
      <c r="B157" s="8"/>
      <c r="C157" s="8"/>
      <c r="D157" s="8"/>
      <c r="E157" s="8"/>
      <c r="F157" s="8"/>
      <c r="G157" s="8"/>
      <c r="H157" s="8"/>
      <c r="I157" s="8"/>
      <c r="J157" s="8"/>
      <c r="K157" s="8"/>
      <c r="L157" s="8"/>
      <c r="M157" s="8"/>
      <c r="N157" s="8"/>
      <c r="O157" s="8"/>
      <c r="P157" s="8"/>
      <c r="Q157" s="8"/>
      <c r="R157" s="8"/>
      <c r="S157" s="8"/>
      <c r="T157" s="8"/>
      <c r="U157" s="8"/>
      <c r="V157" s="8"/>
      <c r="W157" s="8"/>
      <c r="X157" s="8"/>
      <c r="Y157" s="8"/>
    </row>
    <row r="158" spans="1:25" ht="16.5" customHeight="1" x14ac:dyDescent="0.2">
      <c r="A158" s="8"/>
      <c r="B158" s="8"/>
      <c r="C158" s="8"/>
      <c r="D158" s="8"/>
      <c r="E158" s="8"/>
      <c r="F158" s="8"/>
      <c r="G158" s="8"/>
      <c r="H158" s="8"/>
      <c r="I158" s="8"/>
      <c r="J158" s="8"/>
      <c r="K158" s="8"/>
      <c r="L158" s="8"/>
      <c r="M158" s="8"/>
      <c r="N158" s="8"/>
      <c r="O158" s="8"/>
      <c r="P158" s="8"/>
      <c r="Q158" s="8"/>
      <c r="R158" s="8"/>
      <c r="S158" s="8"/>
      <c r="T158" s="8"/>
      <c r="U158" s="8"/>
      <c r="V158" s="8"/>
      <c r="W158" s="8"/>
      <c r="X158" s="8"/>
      <c r="Y158" s="8"/>
    </row>
    <row r="159" spans="1:25" ht="16.5" customHeight="1" x14ac:dyDescent="0.2">
      <c r="A159" s="8"/>
      <c r="B159" s="8"/>
      <c r="C159" s="8"/>
      <c r="D159" s="8"/>
      <c r="E159" s="8"/>
      <c r="F159" s="8"/>
      <c r="G159" s="8"/>
      <c r="H159" s="8"/>
      <c r="I159" s="8"/>
      <c r="J159" s="8"/>
      <c r="K159" s="8"/>
      <c r="L159" s="8"/>
      <c r="M159" s="8"/>
      <c r="N159" s="8"/>
      <c r="O159" s="8"/>
      <c r="P159" s="8"/>
      <c r="Q159" s="8"/>
      <c r="R159" s="8"/>
      <c r="S159" s="8"/>
      <c r="T159" s="8"/>
      <c r="U159" s="8"/>
      <c r="V159" s="8"/>
      <c r="W159" s="8"/>
      <c r="X159" s="8"/>
      <c r="Y159" s="8"/>
    </row>
    <row r="160" spans="1:25" ht="16.5" customHeight="1" x14ac:dyDescent="0.2">
      <c r="A160" s="8"/>
      <c r="B160" s="8"/>
      <c r="C160" s="8"/>
      <c r="D160" s="8"/>
      <c r="E160" s="8"/>
      <c r="F160" s="8"/>
      <c r="G160" s="8"/>
      <c r="H160" s="8"/>
      <c r="I160" s="8"/>
      <c r="J160" s="8"/>
      <c r="K160" s="8"/>
      <c r="L160" s="8"/>
      <c r="M160" s="8"/>
      <c r="N160" s="8"/>
      <c r="O160" s="8"/>
      <c r="P160" s="8"/>
      <c r="Q160" s="8"/>
      <c r="R160" s="8"/>
      <c r="S160" s="8"/>
      <c r="T160" s="8"/>
      <c r="U160" s="8"/>
      <c r="V160" s="8"/>
      <c r="W160" s="8"/>
      <c r="X160" s="8"/>
      <c r="Y160" s="8"/>
    </row>
    <row r="161" spans="1:25" ht="16.5" customHeight="1" x14ac:dyDescent="0.2">
      <c r="A161" s="8"/>
      <c r="B161" s="8"/>
      <c r="C161" s="8"/>
      <c r="D161" s="8"/>
      <c r="E161" s="8"/>
      <c r="F161" s="8"/>
      <c r="G161" s="8"/>
      <c r="H161" s="8"/>
      <c r="I161" s="8"/>
      <c r="J161" s="8"/>
      <c r="K161" s="8"/>
      <c r="L161" s="8"/>
      <c r="M161" s="8"/>
      <c r="N161" s="8"/>
      <c r="O161" s="8"/>
      <c r="P161" s="8"/>
      <c r="Q161" s="8"/>
      <c r="R161" s="8"/>
      <c r="S161" s="8"/>
      <c r="T161" s="8"/>
      <c r="U161" s="8"/>
      <c r="V161" s="8"/>
      <c r="W161" s="8"/>
      <c r="X161" s="8"/>
      <c r="Y161" s="8"/>
    </row>
    <row r="162" spans="1:25" ht="16.5" customHeight="1" x14ac:dyDescent="0.2">
      <c r="A162" s="8"/>
      <c r="B162" s="8"/>
      <c r="C162" s="8"/>
      <c r="D162" s="8"/>
      <c r="E162" s="8"/>
      <c r="F162" s="8"/>
      <c r="G162" s="8"/>
      <c r="H162" s="8"/>
      <c r="I162" s="8"/>
      <c r="J162" s="8"/>
      <c r="K162" s="8"/>
      <c r="L162" s="8"/>
      <c r="M162" s="8"/>
      <c r="N162" s="8"/>
      <c r="O162" s="8"/>
      <c r="P162" s="8"/>
      <c r="Q162" s="8"/>
      <c r="R162" s="8"/>
      <c r="S162" s="8"/>
      <c r="T162" s="8"/>
      <c r="U162" s="8"/>
      <c r="V162" s="8"/>
      <c r="W162" s="8"/>
      <c r="X162" s="8"/>
      <c r="Y162" s="8"/>
    </row>
    <row r="163" spans="1:25" ht="16.5" customHeight="1" x14ac:dyDescent="0.2">
      <c r="A163" s="8"/>
      <c r="B163" s="8"/>
      <c r="C163" s="8"/>
      <c r="D163" s="8"/>
      <c r="E163" s="8"/>
      <c r="F163" s="8"/>
      <c r="G163" s="8"/>
      <c r="H163" s="8"/>
      <c r="I163" s="8"/>
      <c r="J163" s="8"/>
      <c r="K163" s="8"/>
      <c r="L163" s="8"/>
      <c r="M163" s="8"/>
      <c r="N163" s="8"/>
      <c r="O163" s="8"/>
      <c r="P163" s="8"/>
      <c r="Q163" s="8"/>
      <c r="R163" s="8"/>
      <c r="S163" s="8"/>
      <c r="T163" s="8"/>
      <c r="U163" s="8"/>
      <c r="V163" s="8"/>
      <c r="W163" s="8"/>
      <c r="X163" s="8"/>
      <c r="Y163" s="8"/>
    </row>
    <row r="164" spans="1:25" ht="16.5" customHeight="1" x14ac:dyDescent="0.2">
      <c r="A164" s="8"/>
      <c r="B164" s="8"/>
      <c r="C164" s="8"/>
      <c r="D164" s="8"/>
      <c r="E164" s="8"/>
      <c r="F164" s="8"/>
      <c r="G164" s="8"/>
      <c r="H164" s="8"/>
      <c r="I164" s="8"/>
      <c r="J164" s="8"/>
      <c r="K164" s="8"/>
      <c r="L164" s="8"/>
      <c r="M164" s="8"/>
      <c r="N164" s="8"/>
      <c r="O164" s="8"/>
      <c r="P164" s="8"/>
      <c r="Q164" s="8"/>
      <c r="R164" s="8"/>
      <c r="S164" s="8"/>
      <c r="T164" s="8"/>
      <c r="U164" s="8"/>
      <c r="V164" s="8"/>
      <c r="W164" s="8"/>
      <c r="X164" s="8"/>
      <c r="Y164" s="8"/>
    </row>
    <row r="165" spans="1:25" ht="16.5" customHeight="1" x14ac:dyDescent="0.2">
      <c r="A165" s="8"/>
      <c r="B165" s="8"/>
      <c r="C165" s="8"/>
      <c r="D165" s="8"/>
      <c r="E165" s="8"/>
      <c r="F165" s="8"/>
      <c r="G165" s="8"/>
      <c r="H165" s="8"/>
      <c r="I165" s="8"/>
      <c r="J165" s="8"/>
      <c r="K165" s="8"/>
      <c r="L165" s="8"/>
      <c r="M165" s="8"/>
      <c r="N165" s="8"/>
      <c r="O165" s="8"/>
      <c r="P165" s="8"/>
      <c r="Q165" s="8"/>
      <c r="R165" s="8"/>
      <c r="S165" s="8"/>
      <c r="T165" s="8"/>
      <c r="U165" s="8"/>
      <c r="V165" s="8"/>
      <c r="W165" s="8"/>
      <c r="X165" s="8"/>
      <c r="Y165" s="8"/>
    </row>
    <row r="166" spans="1:25" ht="16.5" customHeight="1" x14ac:dyDescent="0.2">
      <c r="A166" s="8"/>
      <c r="B166" s="8"/>
      <c r="C166" s="8"/>
      <c r="D166" s="8"/>
      <c r="E166" s="8"/>
      <c r="F166" s="8"/>
      <c r="G166" s="8"/>
      <c r="H166" s="8"/>
      <c r="I166" s="8"/>
      <c r="J166" s="8"/>
      <c r="K166" s="8"/>
      <c r="L166" s="8"/>
      <c r="M166" s="8"/>
      <c r="N166" s="8"/>
      <c r="O166" s="8"/>
      <c r="P166" s="8"/>
      <c r="Q166" s="8"/>
      <c r="R166" s="8"/>
      <c r="S166" s="8"/>
      <c r="T166" s="8"/>
      <c r="U166" s="8"/>
      <c r="V166" s="8"/>
      <c r="W166" s="8"/>
      <c r="X166" s="8"/>
      <c r="Y166" s="8"/>
    </row>
    <row r="167" spans="1:25" ht="16.5" customHeight="1" x14ac:dyDescent="0.2">
      <c r="A167" s="8"/>
      <c r="B167" s="8"/>
      <c r="C167" s="8"/>
      <c r="D167" s="8"/>
      <c r="E167" s="8"/>
      <c r="F167" s="8"/>
      <c r="G167" s="8"/>
      <c r="H167" s="8"/>
      <c r="I167" s="8"/>
      <c r="J167" s="8"/>
      <c r="K167" s="8"/>
      <c r="L167" s="8"/>
      <c r="M167" s="8"/>
      <c r="N167" s="8"/>
      <c r="O167" s="8"/>
      <c r="P167" s="8"/>
      <c r="Q167" s="8"/>
      <c r="R167" s="8"/>
      <c r="S167" s="8"/>
      <c r="T167" s="8"/>
      <c r="U167" s="8"/>
      <c r="V167" s="8"/>
      <c r="W167" s="8"/>
      <c r="X167" s="8"/>
      <c r="Y167" s="8"/>
    </row>
    <row r="168" spans="1:25" ht="16.5" customHeight="1" x14ac:dyDescent="0.2">
      <c r="A168" s="8"/>
      <c r="B168" s="8"/>
      <c r="C168" s="8"/>
      <c r="D168" s="8"/>
      <c r="E168" s="8"/>
      <c r="F168" s="8"/>
      <c r="G168" s="8"/>
      <c r="H168" s="8"/>
      <c r="I168" s="8"/>
      <c r="J168" s="8"/>
      <c r="K168" s="8"/>
      <c r="L168" s="8"/>
      <c r="M168" s="8"/>
      <c r="N168" s="8"/>
      <c r="O168" s="8"/>
      <c r="P168" s="8"/>
      <c r="Q168" s="8"/>
      <c r="R168" s="8"/>
      <c r="S168" s="8"/>
      <c r="T168" s="8"/>
      <c r="U168" s="8"/>
      <c r="V168" s="8"/>
      <c r="W168" s="8"/>
      <c r="X168" s="8"/>
      <c r="Y168" s="8"/>
    </row>
    <row r="169" spans="1:25" ht="16.5" customHeight="1" x14ac:dyDescent="0.2">
      <c r="A169" s="8"/>
      <c r="B169" s="8"/>
      <c r="C169" s="8"/>
      <c r="D169" s="8"/>
      <c r="E169" s="8"/>
      <c r="F169" s="8"/>
      <c r="G169" s="8"/>
      <c r="H169" s="8"/>
      <c r="I169" s="8"/>
      <c r="J169" s="8"/>
      <c r="K169" s="8"/>
      <c r="L169" s="8"/>
      <c r="M169" s="8"/>
      <c r="N169" s="8"/>
      <c r="O169" s="8"/>
      <c r="P169" s="8"/>
      <c r="Q169" s="8"/>
      <c r="R169" s="8"/>
      <c r="S169" s="8"/>
      <c r="T169" s="8"/>
      <c r="U169" s="8"/>
      <c r="V169" s="8"/>
      <c r="W169" s="8"/>
      <c r="X169" s="8"/>
      <c r="Y169" s="8"/>
    </row>
    <row r="170" spans="1:25" ht="16.5" customHeight="1" x14ac:dyDescent="0.2">
      <c r="A170" s="8"/>
      <c r="B170" s="8"/>
      <c r="C170" s="8"/>
      <c r="D170" s="8"/>
      <c r="E170" s="8"/>
      <c r="F170" s="8"/>
      <c r="G170" s="8"/>
      <c r="H170" s="8"/>
      <c r="I170" s="8"/>
      <c r="J170" s="8"/>
      <c r="K170" s="8"/>
      <c r="L170" s="8"/>
      <c r="M170" s="8"/>
      <c r="N170" s="8"/>
      <c r="O170" s="8"/>
      <c r="P170" s="8"/>
      <c r="Q170" s="8"/>
      <c r="R170" s="8"/>
      <c r="S170" s="8"/>
      <c r="T170" s="8"/>
      <c r="U170" s="8"/>
      <c r="V170" s="8"/>
      <c r="W170" s="8"/>
      <c r="X170" s="8"/>
      <c r="Y170" s="8"/>
    </row>
    <row r="171" spans="1:25" ht="16.5" customHeight="1" x14ac:dyDescent="0.2">
      <c r="A171" s="8"/>
      <c r="B171" s="8"/>
      <c r="C171" s="8"/>
      <c r="D171" s="8"/>
      <c r="E171" s="8"/>
      <c r="F171" s="8"/>
      <c r="G171" s="8"/>
      <c r="H171" s="8"/>
      <c r="I171" s="8"/>
      <c r="J171" s="8"/>
      <c r="K171" s="8"/>
      <c r="L171" s="8"/>
      <c r="M171" s="8"/>
      <c r="N171" s="8"/>
      <c r="O171" s="8"/>
      <c r="P171" s="8"/>
      <c r="Q171" s="8"/>
      <c r="R171" s="8"/>
      <c r="S171" s="8"/>
      <c r="T171" s="8"/>
      <c r="U171" s="8"/>
      <c r="V171" s="8"/>
      <c r="W171" s="8"/>
      <c r="X171" s="8"/>
      <c r="Y171" s="8"/>
    </row>
    <row r="172" spans="1:25" ht="16.5" customHeight="1" x14ac:dyDescent="0.2">
      <c r="A172" s="8"/>
      <c r="B172" s="8"/>
      <c r="C172" s="8"/>
      <c r="D172" s="8"/>
      <c r="E172" s="8"/>
      <c r="F172" s="8"/>
      <c r="G172" s="8"/>
      <c r="H172" s="8"/>
      <c r="I172" s="8"/>
      <c r="J172" s="8"/>
      <c r="K172" s="8"/>
      <c r="L172" s="8"/>
      <c r="M172" s="8"/>
      <c r="N172" s="8"/>
      <c r="O172" s="8"/>
      <c r="P172" s="8"/>
      <c r="Q172" s="8"/>
      <c r="R172" s="8"/>
      <c r="S172" s="8"/>
      <c r="T172" s="8"/>
      <c r="U172" s="8"/>
      <c r="V172" s="8"/>
      <c r="W172" s="8"/>
      <c r="X172" s="8"/>
      <c r="Y172" s="8"/>
    </row>
    <row r="173" spans="1:25" ht="16.5" customHeight="1" x14ac:dyDescent="0.2">
      <c r="A173" s="8"/>
      <c r="B173" s="8"/>
      <c r="C173" s="8"/>
      <c r="D173" s="8"/>
      <c r="E173" s="8"/>
      <c r="F173" s="8"/>
      <c r="G173" s="8"/>
      <c r="H173" s="8"/>
      <c r="I173" s="8"/>
      <c r="J173" s="8"/>
      <c r="K173" s="8"/>
      <c r="L173" s="8"/>
      <c r="M173" s="8"/>
      <c r="N173" s="8"/>
      <c r="O173" s="8"/>
      <c r="P173" s="8"/>
      <c r="Q173" s="8"/>
      <c r="R173" s="8"/>
      <c r="S173" s="8"/>
      <c r="T173" s="8"/>
      <c r="U173" s="8"/>
      <c r="V173" s="8"/>
      <c r="W173" s="8"/>
      <c r="X173" s="8"/>
      <c r="Y173" s="8"/>
    </row>
    <row r="174" spans="1:25" ht="16.5" customHeight="1" x14ac:dyDescent="0.2">
      <c r="A174" s="8"/>
      <c r="B174" s="8"/>
      <c r="C174" s="8"/>
      <c r="D174" s="8"/>
      <c r="E174" s="8"/>
      <c r="F174" s="8"/>
      <c r="G174" s="8"/>
      <c r="H174" s="8"/>
      <c r="I174" s="8"/>
      <c r="J174" s="8"/>
      <c r="K174" s="8"/>
      <c r="L174" s="8"/>
      <c r="M174" s="8"/>
      <c r="N174" s="8"/>
      <c r="O174" s="8"/>
      <c r="P174" s="8"/>
      <c r="Q174" s="8"/>
      <c r="R174" s="8"/>
      <c r="S174" s="8"/>
      <c r="T174" s="8"/>
      <c r="U174" s="8"/>
      <c r="V174" s="8"/>
      <c r="W174" s="8"/>
      <c r="X174" s="8"/>
      <c r="Y174" s="8"/>
    </row>
    <row r="175" spans="1:25" ht="16.5" customHeight="1" x14ac:dyDescent="0.2">
      <c r="A175" s="8"/>
      <c r="B175" s="8"/>
      <c r="C175" s="8"/>
      <c r="D175" s="8"/>
      <c r="E175" s="8"/>
      <c r="F175" s="8"/>
      <c r="G175" s="8"/>
      <c r="H175" s="8"/>
      <c r="I175" s="8"/>
      <c r="J175" s="8"/>
      <c r="K175" s="8"/>
      <c r="L175" s="8"/>
      <c r="M175" s="8"/>
      <c r="N175" s="8"/>
      <c r="O175" s="8"/>
      <c r="P175" s="8"/>
      <c r="Q175" s="8"/>
      <c r="R175" s="8"/>
      <c r="S175" s="8"/>
      <c r="T175" s="8"/>
      <c r="U175" s="8"/>
      <c r="V175" s="8"/>
      <c r="W175" s="8"/>
      <c r="X175" s="8"/>
      <c r="Y175" s="8"/>
    </row>
    <row r="176" spans="1:25" ht="16.5" customHeight="1" x14ac:dyDescent="0.2">
      <c r="A176" s="8"/>
      <c r="B176" s="8"/>
      <c r="C176" s="8"/>
      <c r="D176" s="8"/>
      <c r="E176" s="8"/>
      <c r="F176" s="8"/>
      <c r="G176" s="8"/>
      <c r="H176" s="8"/>
      <c r="I176" s="8"/>
      <c r="J176" s="8"/>
      <c r="K176" s="8"/>
      <c r="L176" s="8"/>
      <c r="M176" s="8"/>
      <c r="N176" s="8"/>
      <c r="O176" s="8"/>
      <c r="P176" s="8"/>
      <c r="Q176" s="8"/>
      <c r="R176" s="8"/>
      <c r="S176" s="8"/>
      <c r="T176" s="8"/>
      <c r="U176" s="8"/>
      <c r="V176" s="8"/>
      <c r="W176" s="8"/>
      <c r="X176" s="8"/>
      <c r="Y176" s="8"/>
    </row>
    <row r="177" spans="1:25" ht="16.5" customHeight="1" x14ac:dyDescent="0.2">
      <c r="A177" s="8"/>
      <c r="B177" s="8"/>
      <c r="C177" s="8"/>
      <c r="D177" s="8"/>
      <c r="E177" s="8"/>
      <c r="F177" s="8"/>
      <c r="G177" s="8"/>
      <c r="H177" s="8"/>
      <c r="I177" s="8"/>
      <c r="J177" s="8"/>
      <c r="K177" s="8"/>
      <c r="L177" s="8"/>
      <c r="M177" s="8"/>
      <c r="N177" s="8"/>
      <c r="O177" s="8"/>
      <c r="P177" s="8"/>
      <c r="Q177" s="8"/>
      <c r="R177" s="8"/>
      <c r="S177" s="8"/>
      <c r="T177" s="8"/>
      <c r="U177" s="8"/>
      <c r="V177" s="8"/>
      <c r="W177" s="8"/>
      <c r="X177" s="8"/>
      <c r="Y177" s="8"/>
    </row>
    <row r="178" spans="1:25" ht="16.5" customHeight="1" x14ac:dyDescent="0.2">
      <c r="A178" s="8"/>
      <c r="B178" s="8"/>
      <c r="C178" s="8"/>
      <c r="D178" s="8"/>
      <c r="E178" s="8"/>
      <c r="F178" s="8"/>
      <c r="G178" s="8"/>
      <c r="H178" s="8"/>
      <c r="I178" s="8"/>
      <c r="J178" s="8"/>
      <c r="K178" s="8"/>
      <c r="L178" s="8"/>
      <c r="M178" s="8"/>
      <c r="N178" s="8"/>
      <c r="O178" s="8"/>
      <c r="P178" s="8"/>
      <c r="Q178" s="8"/>
      <c r="R178" s="8"/>
      <c r="S178" s="8"/>
      <c r="T178" s="8"/>
      <c r="U178" s="8"/>
      <c r="V178" s="8"/>
      <c r="W178" s="8"/>
      <c r="X178" s="8"/>
      <c r="Y178" s="8"/>
    </row>
    <row r="179" spans="1:25" ht="16.5" customHeight="1" x14ac:dyDescent="0.2">
      <c r="A179" s="8"/>
      <c r="B179" s="8"/>
      <c r="C179" s="8"/>
      <c r="D179" s="8"/>
      <c r="E179" s="8"/>
      <c r="F179" s="8"/>
      <c r="G179" s="8"/>
      <c r="H179" s="8"/>
      <c r="I179" s="8"/>
      <c r="J179" s="8"/>
      <c r="K179" s="8"/>
      <c r="L179" s="8"/>
      <c r="M179" s="8"/>
      <c r="N179" s="8"/>
      <c r="O179" s="8"/>
      <c r="P179" s="8"/>
      <c r="Q179" s="8"/>
      <c r="R179" s="8"/>
      <c r="S179" s="8"/>
      <c r="T179" s="8"/>
      <c r="U179" s="8"/>
      <c r="V179" s="8"/>
      <c r="W179" s="8"/>
      <c r="X179" s="8"/>
      <c r="Y179" s="8"/>
    </row>
    <row r="180" spans="1:25" ht="16.5" customHeight="1" x14ac:dyDescent="0.2">
      <c r="A180" s="8"/>
      <c r="B180" s="8"/>
      <c r="C180" s="8"/>
      <c r="D180" s="8"/>
      <c r="E180" s="8"/>
      <c r="F180" s="8"/>
      <c r="G180" s="8"/>
      <c r="H180" s="8"/>
      <c r="I180" s="8"/>
      <c r="J180" s="8"/>
      <c r="K180" s="8"/>
      <c r="L180" s="8"/>
      <c r="M180" s="8"/>
      <c r="N180" s="8"/>
      <c r="O180" s="8"/>
      <c r="P180" s="8"/>
      <c r="Q180" s="8"/>
      <c r="R180" s="8"/>
      <c r="S180" s="8"/>
      <c r="T180" s="8"/>
      <c r="U180" s="8"/>
      <c r="V180" s="8"/>
      <c r="W180" s="8"/>
      <c r="X180" s="8"/>
      <c r="Y180" s="8"/>
    </row>
    <row r="181" spans="1:25" ht="16.5" customHeight="1" x14ac:dyDescent="0.2">
      <c r="A181" s="8"/>
      <c r="B181" s="8"/>
      <c r="C181" s="8"/>
      <c r="D181" s="8"/>
      <c r="E181" s="8"/>
      <c r="F181" s="8"/>
      <c r="G181" s="8"/>
      <c r="H181" s="8"/>
      <c r="I181" s="8"/>
      <c r="J181" s="8"/>
      <c r="K181" s="8"/>
      <c r="L181" s="8"/>
      <c r="M181" s="8"/>
      <c r="N181" s="8"/>
      <c r="O181" s="8"/>
      <c r="P181" s="8"/>
      <c r="Q181" s="8"/>
      <c r="R181" s="8"/>
      <c r="S181" s="8"/>
      <c r="T181" s="8"/>
      <c r="U181" s="8"/>
      <c r="V181" s="8"/>
      <c r="W181" s="8"/>
      <c r="X181" s="8"/>
      <c r="Y181" s="8"/>
    </row>
    <row r="182" spans="1:25" ht="16.5" customHeight="1" x14ac:dyDescent="0.2">
      <c r="A182" s="8"/>
      <c r="B182" s="8"/>
      <c r="C182" s="8"/>
      <c r="D182" s="8"/>
      <c r="E182" s="8"/>
      <c r="F182" s="8"/>
      <c r="G182" s="8"/>
      <c r="H182" s="8"/>
      <c r="I182" s="8"/>
      <c r="J182" s="8"/>
      <c r="K182" s="8"/>
      <c r="L182" s="8"/>
      <c r="M182" s="8"/>
      <c r="N182" s="8"/>
      <c r="O182" s="8"/>
      <c r="P182" s="8"/>
      <c r="Q182" s="8"/>
      <c r="R182" s="8"/>
      <c r="S182" s="8"/>
      <c r="T182" s="8"/>
      <c r="U182" s="8"/>
      <c r="V182" s="8"/>
      <c r="W182" s="8"/>
      <c r="X182" s="8"/>
      <c r="Y182" s="8"/>
    </row>
    <row r="183" spans="1:25" ht="16.5" customHeight="1" x14ac:dyDescent="0.2">
      <c r="A183" s="8"/>
      <c r="B183" s="8"/>
      <c r="C183" s="8"/>
      <c r="D183" s="8"/>
      <c r="E183" s="8"/>
      <c r="F183" s="8"/>
      <c r="G183" s="8"/>
      <c r="H183" s="8"/>
      <c r="I183" s="8"/>
      <c r="J183" s="8"/>
      <c r="K183" s="8"/>
      <c r="L183" s="8"/>
      <c r="M183" s="8"/>
      <c r="N183" s="8"/>
      <c r="O183" s="8"/>
      <c r="P183" s="8"/>
      <c r="Q183" s="8"/>
      <c r="R183" s="8"/>
      <c r="S183" s="8"/>
      <c r="T183" s="8"/>
      <c r="U183" s="8"/>
      <c r="V183" s="8"/>
      <c r="W183" s="8"/>
      <c r="X183" s="8"/>
      <c r="Y183" s="8"/>
    </row>
    <row r="184" spans="1:25" ht="16.5" customHeight="1" x14ac:dyDescent="0.2">
      <c r="A184" s="8"/>
      <c r="B184" s="8"/>
      <c r="C184" s="8"/>
      <c r="D184" s="8"/>
      <c r="E184" s="8"/>
      <c r="F184" s="8"/>
      <c r="G184" s="8"/>
      <c r="H184" s="8"/>
      <c r="I184" s="8"/>
      <c r="J184" s="8"/>
      <c r="K184" s="8"/>
      <c r="L184" s="8"/>
      <c r="M184" s="8"/>
      <c r="N184" s="8"/>
      <c r="O184" s="8"/>
      <c r="P184" s="8"/>
      <c r="Q184" s="8"/>
      <c r="R184" s="8"/>
      <c r="S184" s="8"/>
      <c r="T184" s="8"/>
      <c r="U184" s="8"/>
      <c r="V184" s="8"/>
      <c r="W184" s="8"/>
      <c r="X184" s="8"/>
      <c r="Y184" s="8"/>
    </row>
    <row r="185" spans="1:25" ht="16.5" customHeight="1" x14ac:dyDescent="0.2">
      <c r="A185" s="8"/>
      <c r="B185" s="8"/>
      <c r="C185" s="8"/>
      <c r="D185" s="8"/>
      <c r="E185" s="8"/>
      <c r="F185" s="8"/>
      <c r="G185" s="8"/>
      <c r="H185" s="8"/>
      <c r="I185" s="8"/>
      <c r="J185" s="8"/>
      <c r="K185" s="8"/>
      <c r="L185" s="8"/>
      <c r="M185" s="8"/>
      <c r="N185" s="8"/>
      <c r="O185" s="8"/>
      <c r="P185" s="8"/>
      <c r="Q185" s="8"/>
      <c r="R185" s="8"/>
      <c r="S185" s="8"/>
      <c r="T185" s="8"/>
      <c r="U185" s="8"/>
      <c r="V185" s="8"/>
      <c r="W185" s="8"/>
      <c r="X185" s="8"/>
      <c r="Y185" s="8"/>
    </row>
    <row r="186" spans="1:25" ht="16.5" customHeight="1" x14ac:dyDescent="0.2">
      <c r="A186" s="8"/>
      <c r="B186" s="8"/>
      <c r="C186" s="8"/>
      <c r="D186" s="8"/>
      <c r="E186" s="8"/>
      <c r="F186" s="8"/>
      <c r="G186" s="8"/>
      <c r="H186" s="8"/>
      <c r="I186" s="8"/>
      <c r="J186" s="8"/>
      <c r="K186" s="8"/>
      <c r="L186" s="8"/>
      <c r="M186" s="8"/>
      <c r="N186" s="8"/>
      <c r="O186" s="8"/>
      <c r="P186" s="8"/>
      <c r="Q186" s="8"/>
      <c r="R186" s="8"/>
      <c r="S186" s="8"/>
      <c r="T186" s="8"/>
      <c r="U186" s="8"/>
      <c r="V186" s="8"/>
      <c r="W186" s="8"/>
      <c r="X186" s="8"/>
      <c r="Y186" s="8"/>
    </row>
    <row r="187" spans="1:25" ht="16.5" customHeight="1" x14ac:dyDescent="0.2">
      <c r="A187" s="8"/>
      <c r="B187" s="8"/>
      <c r="C187" s="8"/>
      <c r="D187" s="8"/>
      <c r="E187" s="8"/>
      <c r="F187" s="8"/>
      <c r="G187" s="8"/>
      <c r="H187" s="8"/>
      <c r="I187" s="8"/>
      <c r="J187" s="8"/>
      <c r="K187" s="8"/>
      <c r="L187" s="8"/>
      <c r="M187" s="8"/>
      <c r="N187" s="8"/>
      <c r="O187" s="8"/>
      <c r="P187" s="8"/>
      <c r="Q187" s="8"/>
      <c r="R187" s="8"/>
      <c r="S187" s="8"/>
      <c r="T187" s="8"/>
      <c r="U187" s="8"/>
      <c r="V187" s="8"/>
      <c r="W187" s="8"/>
      <c r="X187" s="8"/>
      <c r="Y187" s="8"/>
    </row>
    <row r="188" spans="1:25" ht="16.5" customHeight="1" x14ac:dyDescent="0.2">
      <c r="A188" s="8"/>
      <c r="B188" s="8"/>
      <c r="C188" s="8"/>
      <c r="D188" s="8"/>
      <c r="E188" s="8"/>
      <c r="F188" s="8"/>
      <c r="G188" s="8"/>
      <c r="H188" s="8"/>
      <c r="I188" s="8"/>
      <c r="J188" s="8"/>
      <c r="K188" s="8"/>
      <c r="L188" s="8"/>
      <c r="M188" s="8"/>
      <c r="N188" s="8"/>
      <c r="O188" s="8"/>
      <c r="P188" s="8"/>
      <c r="Q188" s="8"/>
      <c r="R188" s="8"/>
      <c r="S188" s="8"/>
      <c r="T188" s="8"/>
      <c r="U188" s="8"/>
      <c r="V188" s="8"/>
      <c r="W188" s="8"/>
      <c r="X188" s="8"/>
      <c r="Y188" s="8"/>
    </row>
    <row r="189" spans="1:25" ht="16.5" customHeight="1" x14ac:dyDescent="0.2">
      <c r="A189" s="8"/>
      <c r="B189" s="8"/>
      <c r="C189" s="8"/>
      <c r="D189" s="8"/>
      <c r="E189" s="8"/>
      <c r="F189" s="8"/>
      <c r="G189" s="8"/>
      <c r="H189" s="8"/>
      <c r="I189" s="8"/>
      <c r="J189" s="8"/>
      <c r="K189" s="8"/>
      <c r="L189" s="8"/>
      <c r="M189" s="8"/>
      <c r="N189" s="8"/>
      <c r="O189" s="8"/>
      <c r="P189" s="8"/>
      <c r="Q189" s="8"/>
      <c r="R189" s="8"/>
      <c r="S189" s="8"/>
      <c r="T189" s="8"/>
      <c r="U189" s="8"/>
      <c r="V189" s="8"/>
      <c r="W189" s="8"/>
      <c r="X189" s="8"/>
      <c r="Y189" s="8"/>
    </row>
    <row r="190" spans="1:25" ht="16.5" customHeight="1" x14ac:dyDescent="0.2">
      <c r="A190" s="8"/>
      <c r="B190" s="8"/>
      <c r="C190" s="8"/>
      <c r="D190" s="8"/>
      <c r="E190" s="8"/>
      <c r="F190" s="8"/>
      <c r="G190" s="8"/>
      <c r="H190" s="8"/>
      <c r="I190" s="8"/>
      <c r="J190" s="8"/>
      <c r="K190" s="8"/>
      <c r="L190" s="8"/>
      <c r="M190" s="8"/>
      <c r="N190" s="8"/>
      <c r="O190" s="8"/>
      <c r="P190" s="8"/>
      <c r="Q190" s="8"/>
      <c r="R190" s="8"/>
      <c r="S190" s="8"/>
      <c r="T190" s="8"/>
      <c r="U190" s="8"/>
      <c r="V190" s="8"/>
      <c r="W190" s="8"/>
      <c r="X190" s="8"/>
      <c r="Y190" s="8"/>
    </row>
    <row r="191" spans="1:25" ht="16.5" customHeight="1" x14ac:dyDescent="0.2">
      <c r="A191" s="8"/>
      <c r="B191" s="8"/>
      <c r="C191" s="8"/>
      <c r="D191" s="8"/>
      <c r="E191" s="8"/>
      <c r="F191" s="8"/>
      <c r="G191" s="8"/>
      <c r="H191" s="8"/>
      <c r="I191" s="8"/>
      <c r="J191" s="8"/>
      <c r="K191" s="8"/>
      <c r="L191" s="8"/>
      <c r="M191" s="8"/>
      <c r="N191" s="8"/>
      <c r="O191" s="8"/>
      <c r="P191" s="8"/>
      <c r="Q191" s="8"/>
      <c r="R191" s="8"/>
      <c r="S191" s="8"/>
      <c r="T191" s="8"/>
      <c r="U191" s="8"/>
      <c r="V191" s="8"/>
      <c r="W191" s="8"/>
      <c r="X191" s="8"/>
      <c r="Y191" s="8"/>
    </row>
    <row r="192" spans="1:25" ht="16.5" customHeight="1" x14ac:dyDescent="0.2">
      <c r="A192" s="8"/>
      <c r="B192" s="8"/>
      <c r="C192" s="8"/>
      <c r="D192" s="8"/>
      <c r="E192" s="8"/>
      <c r="F192" s="8"/>
      <c r="G192" s="8"/>
      <c r="H192" s="8"/>
      <c r="I192" s="8"/>
      <c r="J192" s="8"/>
      <c r="K192" s="8"/>
      <c r="L192" s="8"/>
      <c r="M192" s="8"/>
      <c r="N192" s="8"/>
      <c r="O192" s="8"/>
      <c r="P192" s="8"/>
      <c r="Q192" s="8"/>
      <c r="R192" s="8"/>
      <c r="S192" s="8"/>
      <c r="T192" s="8"/>
      <c r="U192" s="8"/>
      <c r="V192" s="8"/>
      <c r="W192" s="8"/>
      <c r="X192" s="8"/>
      <c r="Y192" s="8"/>
    </row>
    <row r="193" spans="1:25" ht="16.5" customHeight="1" x14ac:dyDescent="0.2">
      <c r="A193" s="8"/>
      <c r="B193" s="8"/>
      <c r="C193" s="8"/>
      <c r="D193" s="8"/>
      <c r="E193" s="8"/>
      <c r="F193" s="8"/>
      <c r="G193" s="8"/>
      <c r="H193" s="8"/>
      <c r="I193" s="8"/>
      <c r="J193" s="8"/>
      <c r="K193" s="8"/>
      <c r="L193" s="8"/>
      <c r="M193" s="8"/>
      <c r="N193" s="8"/>
      <c r="O193" s="8"/>
      <c r="P193" s="8"/>
      <c r="Q193" s="8"/>
      <c r="R193" s="8"/>
      <c r="S193" s="8"/>
      <c r="T193" s="8"/>
      <c r="U193" s="8"/>
      <c r="V193" s="8"/>
      <c r="W193" s="8"/>
      <c r="X193" s="8"/>
      <c r="Y193" s="8"/>
    </row>
    <row r="194" spans="1:25" ht="16.5" customHeight="1" x14ac:dyDescent="0.2">
      <c r="A194" s="8"/>
      <c r="B194" s="8"/>
      <c r="C194" s="8"/>
      <c r="D194" s="8"/>
      <c r="E194" s="8"/>
      <c r="F194" s="8"/>
      <c r="G194" s="8"/>
      <c r="H194" s="8"/>
      <c r="I194" s="8"/>
      <c r="J194" s="8"/>
      <c r="K194" s="8"/>
      <c r="L194" s="8"/>
      <c r="M194" s="8"/>
      <c r="N194" s="8"/>
      <c r="O194" s="8"/>
      <c r="P194" s="8"/>
      <c r="Q194" s="8"/>
      <c r="R194" s="8"/>
      <c r="S194" s="8"/>
      <c r="T194" s="8"/>
      <c r="U194" s="8"/>
      <c r="V194" s="8"/>
      <c r="W194" s="8"/>
      <c r="X194" s="8"/>
      <c r="Y194" s="8"/>
    </row>
    <row r="195" spans="1:25" ht="16.5" customHeight="1" x14ac:dyDescent="0.2">
      <c r="A195" s="8"/>
      <c r="B195" s="8"/>
      <c r="C195" s="8"/>
      <c r="D195" s="8"/>
      <c r="E195" s="8"/>
      <c r="F195" s="8"/>
      <c r="G195" s="8"/>
      <c r="H195" s="8"/>
      <c r="I195" s="8"/>
      <c r="J195" s="8"/>
      <c r="K195" s="8"/>
      <c r="L195" s="8"/>
      <c r="M195" s="8"/>
      <c r="N195" s="8"/>
      <c r="O195" s="8"/>
      <c r="P195" s="8"/>
      <c r="Q195" s="8"/>
      <c r="R195" s="8"/>
      <c r="S195" s="8"/>
      <c r="T195" s="8"/>
      <c r="U195" s="8"/>
      <c r="V195" s="8"/>
      <c r="W195" s="8"/>
      <c r="X195" s="8"/>
      <c r="Y195" s="8"/>
    </row>
    <row r="196" spans="1:25" ht="16.5" customHeight="1" x14ac:dyDescent="0.2">
      <c r="A196" s="8"/>
      <c r="B196" s="8"/>
      <c r="C196" s="8"/>
      <c r="D196" s="8"/>
      <c r="E196" s="8"/>
      <c r="F196" s="8"/>
      <c r="G196" s="8"/>
      <c r="H196" s="8"/>
      <c r="I196" s="8"/>
      <c r="J196" s="8"/>
      <c r="K196" s="8"/>
      <c r="L196" s="8"/>
      <c r="M196" s="8"/>
      <c r="N196" s="8"/>
      <c r="O196" s="8"/>
      <c r="P196" s="8"/>
      <c r="Q196" s="8"/>
      <c r="R196" s="8"/>
      <c r="S196" s="8"/>
      <c r="T196" s="8"/>
      <c r="U196" s="8"/>
      <c r="V196" s="8"/>
      <c r="W196" s="8"/>
      <c r="X196" s="8"/>
      <c r="Y196" s="8"/>
    </row>
    <row r="197" spans="1:25" ht="16.5" customHeight="1" x14ac:dyDescent="0.2">
      <c r="A197" s="8"/>
      <c r="B197" s="8"/>
      <c r="C197" s="8"/>
      <c r="D197" s="8"/>
      <c r="E197" s="8"/>
      <c r="F197" s="8"/>
      <c r="G197" s="8"/>
      <c r="H197" s="8"/>
      <c r="I197" s="8"/>
      <c r="J197" s="8"/>
      <c r="K197" s="8"/>
      <c r="L197" s="8"/>
      <c r="M197" s="8"/>
      <c r="N197" s="8"/>
      <c r="O197" s="8"/>
      <c r="P197" s="8"/>
      <c r="Q197" s="8"/>
      <c r="R197" s="8"/>
      <c r="S197" s="8"/>
      <c r="T197" s="8"/>
      <c r="U197" s="8"/>
      <c r="V197" s="8"/>
      <c r="W197" s="8"/>
      <c r="X197" s="8"/>
      <c r="Y197" s="8"/>
    </row>
    <row r="198" spans="1:25" ht="16.5" customHeight="1" x14ac:dyDescent="0.2">
      <c r="A198" s="8"/>
      <c r="B198" s="8"/>
      <c r="C198" s="8"/>
      <c r="D198" s="8"/>
      <c r="E198" s="8"/>
      <c r="F198" s="8"/>
      <c r="G198" s="8"/>
      <c r="H198" s="8"/>
      <c r="I198" s="8"/>
      <c r="J198" s="8"/>
      <c r="K198" s="8"/>
      <c r="L198" s="8"/>
      <c r="M198" s="8"/>
      <c r="N198" s="8"/>
      <c r="O198" s="8"/>
      <c r="P198" s="8"/>
      <c r="Q198" s="8"/>
      <c r="R198" s="8"/>
      <c r="S198" s="8"/>
      <c r="T198" s="8"/>
      <c r="U198" s="8"/>
      <c r="V198" s="8"/>
      <c r="W198" s="8"/>
      <c r="X198" s="8"/>
      <c r="Y198" s="8"/>
    </row>
    <row r="199" spans="1:25" ht="16.5" customHeight="1" x14ac:dyDescent="0.2">
      <c r="A199" s="8"/>
      <c r="B199" s="8"/>
      <c r="C199" s="8"/>
      <c r="D199" s="8"/>
      <c r="E199" s="8"/>
      <c r="F199" s="8"/>
      <c r="G199" s="8"/>
      <c r="H199" s="8"/>
      <c r="I199" s="8"/>
      <c r="J199" s="8"/>
      <c r="K199" s="8"/>
      <c r="L199" s="8"/>
      <c r="M199" s="8"/>
      <c r="N199" s="8"/>
      <c r="O199" s="8"/>
      <c r="P199" s="8"/>
      <c r="Q199" s="8"/>
      <c r="R199" s="8"/>
      <c r="S199" s="8"/>
      <c r="T199" s="8"/>
      <c r="U199" s="8"/>
      <c r="V199" s="8"/>
      <c r="W199" s="8"/>
      <c r="X199" s="8"/>
      <c r="Y199" s="8"/>
    </row>
    <row r="200" spans="1:25" ht="16.5" customHeight="1" x14ac:dyDescent="0.2">
      <c r="A200" s="8"/>
      <c r="B200" s="8"/>
      <c r="C200" s="8"/>
      <c r="D200" s="8"/>
      <c r="E200" s="8"/>
      <c r="F200" s="8"/>
      <c r="G200" s="8"/>
      <c r="H200" s="8"/>
      <c r="I200" s="8"/>
      <c r="J200" s="8"/>
      <c r="K200" s="8"/>
      <c r="L200" s="8"/>
      <c r="M200" s="8"/>
      <c r="N200" s="8"/>
      <c r="O200" s="8"/>
      <c r="P200" s="8"/>
      <c r="Q200" s="8"/>
      <c r="R200" s="8"/>
      <c r="S200" s="8"/>
      <c r="T200" s="8"/>
      <c r="U200" s="8"/>
      <c r="V200" s="8"/>
      <c r="W200" s="8"/>
      <c r="X200" s="8"/>
      <c r="Y200" s="8"/>
    </row>
    <row r="201" spans="1:25" ht="16.5" customHeight="1" x14ac:dyDescent="0.2">
      <c r="A201" s="8"/>
      <c r="B201" s="8"/>
      <c r="C201" s="8"/>
      <c r="D201" s="8"/>
      <c r="E201" s="8"/>
      <c r="F201" s="8"/>
      <c r="G201" s="8"/>
      <c r="H201" s="8"/>
      <c r="I201" s="8"/>
      <c r="J201" s="8"/>
      <c r="K201" s="8"/>
      <c r="L201" s="8"/>
      <c r="M201" s="8"/>
      <c r="N201" s="8"/>
      <c r="O201" s="8"/>
      <c r="P201" s="8"/>
      <c r="Q201" s="8"/>
      <c r="R201" s="8"/>
      <c r="S201" s="8"/>
      <c r="T201" s="8"/>
      <c r="U201" s="8"/>
      <c r="V201" s="8"/>
      <c r="W201" s="8"/>
      <c r="X201" s="8"/>
      <c r="Y201" s="8"/>
    </row>
    <row r="202" spans="1:25" ht="16.5" customHeight="1" x14ac:dyDescent="0.2">
      <c r="A202" s="8"/>
      <c r="B202" s="8"/>
      <c r="C202" s="8"/>
      <c r="D202" s="8"/>
      <c r="E202" s="8"/>
      <c r="F202" s="8"/>
      <c r="G202" s="8"/>
      <c r="H202" s="8"/>
      <c r="I202" s="8"/>
      <c r="J202" s="8"/>
      <c r="K202" s="8"/>
      <c r="L202" s="8"/>
      <c r="M202" s="8"/>
      <c r="N202" s="8"/>
      <c r="O202" s="8"/>
      <c r="P202" s="8"/>
      <c r="Q202" s="8"/>
      <c r="R202" s="8"/>
      <c r="S202" s="8"/>
      <c r="T202" s="8"/>
      <c r="U202" s="8"/>
      <c r="V202" s="8"/>
      <c r="W202" s="8"/>
      <c r="X202" s="8"/>
      <c r="Y202" s="8"/>
    </row>
    <row r="203" spans="1:25" ht="16.5" customHeight="1" x14ac:dyDescent="0.2">
      <c r="A203" s="8"/>
      <c r="B203" s="8"/>
      <c r="C203" s="8"/>
      <c r="D203" s="8"/>
      <c r="E203" s="8"/>
      <c r="F203" s="8"/>
      <c r="G203" s="8"/>
      <c r="H203" s="8"/>
      <c r="I203" s="8"/>
      <c r="J203" s="8"/>
      <c r="K203" s="8"/>
      <c r="L203" s="8"/>
      <c r="M203" s="8"/>
      <c r="N203" s="8"/>
      <c r="O203" s="8"/>
      <c r="P203" s="8"/>
      <c r="Q203" s="8"/>
      <c r="R203" s="8"/>
      <c r="S203" s="8"/>
      <c r="T203" s="8"/>
      <c r="U203" s="8"/>
      <c r="V203" s="8"/>
      <c r="W203" s="8"/>
      <c r="X203" s="8"/>
      <c r="Y203" s="8"/>
    </row>
    <row r="204" spans="1:25" ht="16.5" customHeight="1" x14ac:dyDescent="0.2">
      <c r="A204" s="8"/>
      <c r="B204" s="8"/>
      <c r="C204" s="8"/>
      <c r="D204" s="8"/>
      <c r="E204" s="8"/>
      <c r="F204" s="8"/>
      <c r="G204" s="8"/>
      <c r="H204" s="8"/>
      <c r="I204" s="8"/>
      <c r="J204" s="8"/>
      <c r="K204" s="8"/>
      <c r="L204" s="8"/>
      <c r="M204" s="8"/>
      <c r="N204" s="8"/>
      <c r="O204" s="8"/>
      <c r="P204" s="8"/>
      <c r="Q204" s="8"/>
      <c r="R204" s="8"/>
      <c r="S204" s="8"/>
      <c r="T204" s="8"/>
      <c r="U204" s="8"/>
      <c r="V204" s="8"/>
      <c r="W204" s="8"/>
      <c r="X204" s="8"/>
      <c r="Y204" s="8"/>
    </row>
    <row r="205" spans="1:25" ht="16.5" customHeight="1" x14ac:dyDescent="0.2">
      <c r="A205" s="8"/>
      <c r="B205" s="8"/>
      <c r="C205" s="8"/>
      <c r="D205" s="8"/>
      <c r="E205" s="8"/>
      <c r="F205" s="8"/>
      <c r="G205" s="8"/>
      <c r="H205" s="8"/>
      <c r="I205" s="8"/>
      <c r="J205" s="8"/>
      <c r="K205" s="8"/>
      <c r="L205" s="8"/>
      <c r="M205" s="8"/>
      <c r="N205" s="8"/>
      <c r="O205" s="8"/>
      <c r="P205" s="8"/>
      <c r="Q205" s="8"/>
      <c r="R205" s="8"/>
      <c r="S205" s="8"/>
      <c r="T205" s="8"/>
      <c r="U205" s="8"/>
      <c r="V205" s="8"/>
      <c r="W205" s="8"/>
      <c r="X205" s="8"/>
      <c r="Y205" s="8"/>
    </row>
    <row r="206" spans="1:25" ht="16.5" customHeight="1" x14ac:dyDescent="0.2">
      <c r="A206" s="8"/>
      <c r="B206" s="8"/>
      <c r="C206" s="8"/>
      <c r="D206" s="8"/>
      <c r="E206" s="8"/>
      <c r="F206" s="8"/>
      <c r="G206" s="8"/>
      <c r="H206" s="8"/>
      <c r="I206" s="8"/>
      <c r="J206" s="8"/>
      <c r="K206" s="8"/>
      <c r="L206" s="8"/>
      <c r="M206" s="8"/>
      <c r="N206" s="8"/>
      <c r="O206" s="8"/>
      <c r="P206" s="8"/>
      <c r="Q206" s="8"/>
      <c r="R206" s="8"/>
      <c r="S206" s="8"/>
      <c r="T206" s="8"/>
      <c r="U206" s="8"/>
      <c r="V206" s="8"/>
      <c r="W206" s="8"/>
      <c r="X206" s="8"/>
      <c r="Y206" s="8"/>
    </row>
    <row r="207" spans="1:25" ht="16.5" customHeight="1" x14ac:dyDescent="0.2">
      <c r="A207" s="8"/>
      <c r="B207" s="8"/>
      <c r="C207" s="8"/>
      <c r="D207" s="8"/>
      <c r="E207" s="8"/>
      <c r="F207" s="8"/>
      <c r="G207" s="8"/>
      <c r="H207" s="8"/>
      <c r="I207" s="8"/>
      <c r="J207" s="8"/>
      <c r="K207" s="8"/>
      <c r="L207" s="8"/>
      <c r="M207" s="8"/>
      <c r="N207" s="8"/>
      <c r="O207" s="8"/>
      <c r="P207" s="8"/>
      <c r="Q207" s="8"/>
      <c r="R207" s="8"/>
      <c r="S207" s="8"/>
      <c r="T207" s="8"/>
      <c r="U207" s="8"/>
      <c r="V207" s="8"/>
      <c r="W207" s="8"/>
      <c r="X207" s="8"/>
      <c r="Y207" s="8"/>
    </row>
    <row r="208" spans="1:25" ht="16.5" customHeight="1" x14ac:dyDescent="0.2">
      <c r="A208" s="8"/>
      <c r="B208" s="8"/>
      <c r="C208" s="8"/>
      <c r="D208" s="8"/>
      <c r="E208" s="8"/>
      <c r="F208" s="8"/>
      <c r="G208" s="8"/>
      <c r="H208" s="8"/>
      <c r="I208" s="8"/>
      <c r="J208" s="8"/>
      <c r="K208" s="8"/>
      <c r="L208" s="8"/>
      <c r="M208" s="8"/>
      <c r="N208" s="8"/>
      <c r="O208" s="8"/>
      <c r="P208" s="8"/>
      <c r="Q208" s="8"/>
      <c r="R208" s="8"/>
      <c r="S208" s="8"/>
      <c r="T208" s="8"/>
      <c r="U208" s="8"/>
      <c r="V208" s="8"/>
      <c r="W208" s="8"/>
      <c r="X208" s="8"/>
      <c r="Y208" s="8"/>
    </row>
    <row r="209" spans="1:25" ht="16.5" customHeight="1" x14ac:dyDescent="0.2">
      <c r="A209" s="8"/>
      <c r="B209" s="8"/>
      <c r="C209" s="8"/>
      <c r="D209" s="8"/>
      <c r="E209" s="8"/>
      <c r="F209" s="8"/>
      <c r="G209" s="8"/>
      <c r="H209" s="8"/>
      <c r="I209" s="8"/>
      <c r="J209" s="8"/>
      <c r="K209" s="8"/>
      <c r="L209" s="8"/>
      <c r="M209" s="8"/>
      <c r="N209" s="8"/>
      <c r="O209" s="8"/>
      <c r="P209" s="8"/>
      <c r="Q209" s="8"/>
      <c r="R209" s="8"/>
      <c r="S209" s="8"/>
      <c r="T209" s="8"/>
      <c r="U209" s="8"/>
      <c r="V209" s="8"/>
      <c r="W209" s="8"/>
      <c r="X209" s="8"/>
      <c r="Y209" s="8"/>
    </row>
    <row r="210" spans="1:25" ht="16.5" customHeight="1" x14ac:dyDescent="0.2">
      <c r="A210" s="8"/>
      <c r="B210" s="8"/>
      <c r="C210" s="8"/>
      <c r="D210" s="8"/>
      <c r="E210" s="8"/>
      <c r="F210" s="8"/>
      <c r="G210" s="8"/>
      <c r="H210" s="8"/>
      <c r="I210" s="8"/>
      <c r="J210" s="8"/>
      <c r="K210" s="8"/>
      <c r="L210" s="8"/>
      <c r="M210" s="8"/>
      <c r="N210" s="8"/>
      <c r="O210" s="8"/>
      <c r="P210" s="8"/>
      <c r="Q210" s="8"/>
      <c r="R210" s="8"/>
      <c r="S210" s="8"/>
      <c r="T210" s="8"/>
      <c r="U210" s="8"/>
      <c r="V210" s="8"/>
      <c r="W210" s="8"/>
      <c r="X210" s="8"/>
      <c r="Y210" s="8"/>
    </row>
    <row r="211" spans="1:25" ht="16.5" customHeight="1" x14ac:dyDescent="0.2">
      <c r="A211" s="8"/>
      <c r="B211" s="8"/>
      <c r="C211" s="8"/>
      <c r="D211" s="8"/>
      <c r="E211" s="8"/>
      <c r="F211" s="8"/>
      <c r="G211" s="8"/>
      <c r="H211" s="8"/>
      <c r="I211" s="8"/>
      <c r="J211" s="8"/>
      <c r="K211" s="8"/>
      <c r="L211" s="8"/>
      <c r="M211" s="8"/>
      <c r="N211" s="8"/>
      <c r="O211" s="8"/>
      <c r="P211" s="8"/>
      <c r="Q211" s="8"/>
      <c r="R211" s="8"/>
      <c r="S211" s="8"/>
      <c r="T211" s="8"/>
      <c r="U211" s="8"/>
      <c r="V211" s="8"/>
      <c r="W211" s="8"/>
      <c r="X211" s="8"/>
      <c r="Y211" s="8"/>
    </row>
    <row r="212" spans="1:25" ht="16.5" customHeight="1" x14ac:dyDescent="0.2">
      <c r="A212" s="8"/>
      <c r="B212" s="8"/>
      <c r="C212" s="8"/>
      <c r="D212" s="8"/>
      <c r="E212" s="8"/>
      <c r="F212" s="8"/>
      <c r="G212" s="8"/>
      <c r="H212" s="8"/>
      <c r="I212" s="8"/>
      <c r="J212" s="8"/>
      <c r="K212" s="8"/>
      <c r="L212" s="8"/>
      <c r="M212" s="8"/>
      <c r="N212" s="8"/>
      <c r="O212" s="8"/>
      <c r="P212" s="8"/>
      <c r="Q212" s="8"/>
      <c r="R212" s="8"/>
      <c r="S212" s="8"/>
      <c r="T212" s="8"/>
      <c r="U212" s="8"/>
      <c r="V212" s="8"/>
      <c r="W212" s="8"/>
      <c r="X212" s="8"/>
      <c r="Y212" s="8"/>
    </row>
    <row r="213" spans="1:25" ht="16.5" customHeight="1" x14ac:dyDescent="0.2">
      <c r="A213" s="8"/>
      <c r="B213" s="8"/>
      <c r="C213" s="8"/>
      <c r="D213" s="8"/>
      <c r="E213" s="8"/>
      <c r="F213" s="8"/>
      <c r="G213" s="8"/>
      <c r="H213" s="8"/>
      <c r="I213" s="8"/>
      <c r="J213" s="8"/>
      <c r="K213" s="8"/>
      <c r="L213" s="8"/>
      <c r="M213" s="8"/>
      <c r="N213" s="8"/>
      <c r="O213" s="8"/>
      <c r="P213" s="8"/>
      <c r="Q213" s="8"/>
      <c r="R213" s="8"/>
      <c r="S213" s="8"/>
      <c r="T213" s="8"/>
      <c r="U213" s="8"/>
      <c r="V213" s="8"/>
      <c r="W213" s="8"/>
      <c r="X213" s="8"/>
      <c r="Y213" s="8"/>
    </row>
    <row r="214" spans="1:25" ht="16.5" customHeight="1" x14ac:dyDescent="0.2">
      <c r="A214" s="8"/>
      <c r="B214" s="8"/>
      <c r="C214" s="8"/>
      <c r="D214" s="8"/>
      <c r="E214" s="8"/>
      <c r="F214" s="8"/>
      <c r="G214" s="8"/>
      <c r="H214" s="8"/>
      <c r="I214" s="8"/>
      <c r="J214" s="8"/>
      <c r="K214" s="8"/>
      <c r="L214" s="8"/>
      <c r="M214" s="8"/>
      <c r="N214" s="8"/>
      <c r="O214" s="8"/>
      <c r="P214" s="8"/>
      <c r="Q214" s="8"/>
      <c r="R214" s="8"/>
      <c r="S214" s="8"/>
      <c r="T214" s="8"/>
      <c r="U214" s="8"/>
      <c r="V214" s="8"/>
      <c r="W214" s="8"/>
      <c r="X214" s="8"/>
      <c r="Y214" s="8"/>
    </row>
    <row r="215" spans="1:25" ht="16.5" customHeight="1" x14ac:dyDescent="0.2">
      <c r="A215" s="8"/>
      <c r="B215" s="8"/>
      <c r="C215" s="8"/>
      <c r="D215" s="8"/>
      <c r="E215" s="8"/>
      <c r="F215" s="8"/>
      <c r="G215" s="8"/>
      <c r="H215" s="8"/>
      <c r="I215" s="8"/>
      <c r="J215" s="8"/>
      <c r="K215" s="8"/>
      <c r="L215" s="8"/>
      <c r="M215" s="8"/>
      <c r="N215" s="8"/>
      <c r="O215" s="8"/>
      <c r="P215" s="8"/>
      <c r="Q215" s="8"/>
      <c r="R215" s="8"/>
      <c r="S215" s="8"/>
      <c r="T215" s="8"/>
      <c r="U215" s="8"/>
      <c r="V215" s="8"/>
      <c r="W215" s="8"/>
      <c r="X215" s="8"/>
      <c r="Y215" s="8"/>
    </row>
    <row r="216" spans="1:25" ht="16.5" customHeight="1" x14ac:dyDescent="0.2">
      <c r="A216" s="8"/>
      <c r="B216" s="8"/>
      <c r="C216" s="8"/>
      <c r="D216" s="8"/>
      <c r="E216" s="8"/>
      <c r="F216" s="8"/>
      <c r="G216" s="8"/>
      <c r="H216" s="8"/>
      <c r="I216" s="8"/>
      <c r="J216" s="8"/>
      <c r="K216" s="8"/>
      <c r="L216" s="8"/>
      <c r="M216" s="8"/>
      <c r="N216" s="8"/>
      <c r="O216" s="8"/>
      <c r="P216" s="8"/>
      <c r="Q216" s="8"/>
      <c r="R216" s="8"/>
      <c r="S216" s="8"/>
      <c r="T216" s="8"/>
      <c r="U216" s="8"/>
      <c r="V216" s="8"/>
      <c r="W216" s="8"/>
      <c r="X216" s="8"/>
      <c r="Y216" s="8"/>
    </row>
    <row r="217" spans="1:25" ht="16.5" customHeight="1" x14ac:dyDescent="0.2">
      <c r="A217" s="8"/>
      <c r="B217" s="8"/>
      <c r="C217" s="8"/>
      <c r="D217" s="8"/>
      <c r="E217" s="8"/>
      <c r="F217" s="8"/>
      <c r="G217" s="8"/>
      <c r="H217" s="8"/>
      <c r="I217" s="8"/>
      <c r="J217" s="8"/>
      <c r="K217" s="8"/>
      <c r="L217" s="8"/>
      <c r="M217" s="8"/>
      <c r="N217" s="8"/>
      <c r="O217" s="8"/>
      <c r="P217" s="8"/>
      <c r="Q217" s="8"/>
      <c r="R217" s="8"/>
      <c r="S217" s="8"/>
      <c r="T217" s="8"/>
      <c r="U217" s="8"/>
      <c r="V217" s="8"/>
      <c r="W217" s="8"/>
      <c r="X217" s="8"/>
      <c r="Y217" s="8"/>
    </row>
    <row r="218" spans="1:25" ht="16.5" customHeight="1" x14ac:dyDescent="0.2">
      <c r="A218" s="8"/>
      <c r="B218" s="8"/>
      <c r="C218" s="8"/>
      <c r="D218" s="8"/>
      <c r="E218" s="8"/>
      <c r="F218" s="8"/>
      <c r="G218" s="8"/>
      <c r="H218" s="8"/>
      <c r="I218" s="8"/>
      <c r="J218" s="8"/>
      <c r="K218" s="8"/>
      <c r="L218" s="8"/>
      <c r="M218" s="8"/>
      <c r="N218" s="8"/>
      <c r="O218" s="8"/>
      <c r="P218" s="8"/>
      <c r="Q218" s="8"/>
      <c r="R218" s="8"/>
      <c r="S218" s="8"/>
      <c r="T218" s="8"/>
      <c r="U218" s="8"/>
      <c r="V218" s="8"/>
      <c r="W218" s="8"/>
      <c r="X218" s="8"/>
      <c r="Y218" s="8"/>
    </row>
    <row r="219" spans="1:25" ht="16.5" customHeight="1" x14ac:dyDescent="0.2">
      <c r="A219" s="8"/>
      <c r="B219" s="8"/>
      <c r="C219" s="8"/>
      <c r="D219" s="8"/>
      <c r="E219" s="8"/>
      <c r="F219" s="8"/>
      <c r="G219" s="8"/>
      <c r="H219" s="8"/>
      <c r="I219" s="8"/>
      <c r="J219" s="8"/>
      <c r="K219" s="8"/>
      <c r="L219" s="8"/>
      <c r="M219" s="8"/>
      <c r="N219" s="8"/>
      <c r="O219" s="8"/>
      <c r="P219" s="8"/>
      <c r="Q219" s="8"/>
      <c r="R219" s="8"/>
      <c r="S219" s="8"/>
      <c r="T219" s="8"/>
      <c r="U219" s="8"/>
      <c r="V219" s="8"/>
      <c r="W219" s="8"/>
      <c r="X219" s="8"/>
      <c r="Y219" s="8"/>
    </row>
    <row r="220" spans="1:25" ht="16.5" customHeight="1" x14ac:dyDescent="0.2">
      <c r="A220" s="8"/>
      <c r="B220" s="8"/>
      <c r="C220" s="8"/>
      <c r="D220" s="8"/>
      <c r="E220" s="8"/>
      <c r="F220" s="8"/>
      <c r="G220" s="8"/>
      <c r="H220" s="8"/>
      <c r="I220" s="8"/>
      <c r="J220" s="8"/>
      <c r="K220" s="8"/>
      <c r="L220" s="8"/>
      <c r="M220" s="8"/>
      <c r="N220" s="8"/>
      <c r="O220" s="8"/>
      <c r="P220" s="8"/>
      <c r="Q220" s="8"/>
      <c r="R220" s="8"/>
      <c r="S220" s="8"/>
      <c r="T220" s="8"/>
      <c r="U220" s="8"/>
      <c r="V220" s="8"/>
      <c r="W220" s="8"/>
      <c r="X220" s="8"/>
      <c r="Y220" s="8"/>
    </row>
    <row r="221" spans="1:25" ht="16.5" customHeight="1" x14ac:dyDescent="0.2">
      <c r="A221" s="8"/>
      <c r="B221" s="8"/>
      <c r="C221" s="8"/>
      <c r="D221" s="8"/>
      <c r="E221" s="8"/>
      <c r="F221" s="8"/>
      <c r="G221" s="8"/>
      <c r="H221" s="8"/>
      <c r="I221" s="8"/>
      <c r="J221" s="8"/>
      <c r="K221" s="8"/>
      <c r="L221" s="8"/>
      <c r="M221" s="8"/>
      <c r="N221" s="8"/>
      <c r="O221" s="8"/>
      <c r="P221" s="8"/>
      <c r="Q221" s="8"/>
      <c r="R221" s="8"/>
      <c r="S221" s="8"/>
      <c r="T221" s="8"/>
      <c r="U221" s="8"/>
      <c r="V221" s="8"/>
      <c r="W221" s="8"/>
      <c r="X221" s="8"/>
      <c r="Y221" s="8"/>
    </row>
    <row r="222" spans="1:25" ht="16.5" customHeight="1" x14ac:dyDescent="0.2">
      <c r="A222" s="8"/>
      <c r="B222" s="8"/>
      <c r="C222" s="8"/>
      <c r="D222" s="8"/>
      <c r="E222" s="8"/>
      <c r="F222" s="8"/>
      <c r="G222" s="8"/>
      <c r="H222" s="8"/>
      <c r="I222" s="8"/>
      <c r="J222" s="8"/>
      <c r="K222" s="8"/>
      <c r="L222" s="8"/>
      <c r="M222" s="8"/>
      <c r="N222" s="8"/>
      <c r="O222" s="8"/>
      <c r="P222" s="8"/>
      <c r="Q222" s="8"/>
      <c r="R222" s="8"/>
      <c r="S222" s="8"/>
      <c r="T222" s="8"/>
      <c r="U222" s="8"/>
      <c r="V222" s="8"/>
      <c r="W222" s="8"/>
      <c r="X222" s="8"/>
      <c r="Y222" s="8"/>
    </row>
    <row r="223" spans="1:25" ht="16.5" customHeight="1" x14ac:dyDescent="0.2">
      <c r="A223" s="8"/>
      <c r="B223" s="8"/>
      <c r="C223" s="8"/>
      <c r="D223" s="8"/>
      <c r="E223" s="8"/>
      <c r="F223" s="8"/>
      <c r="G223" s="8"/>
      <c r="H223" s="8"/>
      <c r="I223" s="8"/>
      <c r="J223" s="8"/>
      <c r="K223" s="8"/>
      <c r="L223" s="8"/>
      <c r="M223" s="8"/>
      <c r="N223" s="8"/>
      <c r="O223" s="8"/>
      <c r="P223" s="8"/>
      <c r="Q223" s="8"/>
      <c r="R223" s="8"/>
      <c r="S223" s="8"/>
      <c r="T223" s="8"/>
      <c r="U223" s="8"/>
      <c r="V223" s="8"/>
      <c r="W223" s="8"/>
      <c r="X223" s="8"/>
      <c r="Y223" s="8"/>
    </row>
    <row r="224" spans="1:25" ht="16.5" customHeight="1" x14ac:dyDescent="0.2">
      <c r="A224" s="8"/>
      <c r="B224" s="8"/>
      <c r="C224" s="8"/>
      <c r="D224" s="8"/>
      <c r="E224" s="8"/>
      <c r="F224" s="8"/>
      <c r="G224" s="8"/>
      <c r="H224" s="8"/>
      <c r="I224" s="8"/>
      <c r="J224" s="8"/>
      <c r="K224" s="8"/>
      <c r="L224" s="8"/>
      <c r="M224" s="8"/>
      <c r="N224" s="8"/>
      <c r="O224" s="8"/>
      <c r="P224" s="8"/>
      <c r="Q224" s="8"/>
      <c r="R224" s="8"/>
      <c r="S224" s="8"/>
      <c r="T224" s="8"/>
      <c r="U224" s="8"/>
      <c r="V224" s="8"/>
      <c r="W224" s="8"/>
      <c r="X224" s="8"/>
      <c r="Y224" s="8"/>
    </row>
    <row r="225" spans="1:25" ht="16.5" customHeight="1" x14ac:dyDescent="0.2">
      <c r="A225" s="8"/>
      <c r="B225" s="8"/>
      <c r="C225" s="8"/>
      <c r="D225" s="8"/>
      <c r="E225" s="8"/>
      <c r="F225" s="8"/>
      <c r="G225" s="8"/>
      <c r="H225" s="8"/>
      <c r="I225" s="8"/>
      <c r="J225" s="8"/>
      <c r="K225" s="8"/>
      <c r="L225" s="8"/>
      <c r="M225" s="8"/>
      <c r="N225" s="8"/>
      <c r="O225" s="8"/>
      <c r="P225" s="8"/>
      <c r="Q225" s="8"/>
      <c r="R225" s="8"/>
      <c r="S225" s="8"/>
      <c r="T225" s="8"/>
      <c r="U225" s="8"/>
      <c r="V225" s="8"/>
      <c r="W225" s="8"/>
      <c r="X225" s="8"/>
      <c r="Y225" s="8"/>
    </row>
    <row r="226" spans="1:25" ht="16.5" customHeight="1" x14ac:dyDescent="0.2">
      <c r="A226" s="8"/>
      <c r="B226" s="8"/>
      <c r="C226" s="8"/>
      <c r="D226" s="8"/>
      <c r="E226" s="8"/>
      <c r="F226" s="8"/>
      <c r="G226" s="8"/>
      <c r="H226" s="8"/>
      <c r="I226" s="8"/>
      <c r="J226" s="8"/>
      <c r="K226" s="8"/>
      <c r="L226" s="8"/>
      <c r="M226" s="8"/>
      <c r="N226" s="8"/>
      <c r="O226" s="8"/>
      <c r="P226" s="8"/>
      <c r="Q226" s="8"/>
      <c r="R226" s="8"/>
      <c r="S226" s="8"/>
      <c r="T226" s="8"/>
      <c r="U226" s="8"/>
      <c r="V226" s="8"/>
      <c r="W226" s="8"/>
      <c r="X226" s="8"/>
      <c r="Y226" s="8"/>
    </row>
    <row r="227" spans="1:25" ht="16.5" customHeight="1" x14ac:dyDescent="0.2">
      <c r="A227" s="8"/>
      <c r="B227" s="8"/>
      <c r="C227" s="8"/>
      <c r="D227" s="8"/>
      <c r="E227" s="8"/>
      <c r="F227" s="8"/>
      <c r="G227" s="8"/>
      <c r="H227" s="8"/>
      <c r="I227" s="8"/>
      <c r="J227" s="8"/>
      <c r="K227" s="8"/>
      <c r="L227" s="8"/>
      <c r="M227" s="8"/>
      <c r="N227" s="8"/>
      <c r="O227" s="8"/>
      <c r="P227" s="8"/>
      <c r="Q227" s="8"/>
      <c r="R227" s="8"/>
      <c r="S227" s="8"/>
      <c r="T227" s="8"/>
      <c r="U227" s="8"/>
      <c r="V227" s="8"/>
      <c r="W227" s="8"/>
      <c r="X227" s="8"/>
      <c r="Y227" s="8"/>
    </row>
    <row r="228" spans="1:25" ht="16.5" customHeight="1" x14ac:dyDescent="0.2">
      <c r="A228" s="8"/>
      <c r="B228" s="8"/>
      <c r="C228" s="8"/>
      <c r="D228" s="8"/>
      <c r="E228" s="8"/>
      <c r="F228" s="8"/>
      <c r="G228" s="8"/>
      <c r="H228" s="8"/>
      <c r="I228" s="8"/>
      <c r="J228" s="8"/>
      <c r="K228" s="8"/>
      <c r="L228" s="8"/>
      <c r="M228" s="8"/>
      <c r="N228" s="8"/>
      <c r="O228" s="8"/>
      <c r="P228" s="8"/>
      <c r="Q228" s="8"/>
      <c r="R228" s="8"/>
      <c r="S228" s="8"/>
      <c r="T228" s="8"/>
      <c r="U228" s="8"/>
      <c r="V228" s="8"/>
      <c r="W228" s="8"/>
      <c r="X228" s="8"/>
      <c r="Y228" s="8"/>
    </row>
    <row r="229" spans="1:25" ht="16.5" customHeight="1" x14ac:dyDescent="0.2">
      <c r="A229" s="8"/>
      <c r="B229" s="8"/>
      <c r="C229" s="8"/>
      <c r="D229" s="8"/>
      <c r="E229" s="8"/>
      <c r="F229" s="8"/>
      <c r="G229" s="8"/>
      <c r="H229" s="8"/>
      <c r="I229" s="8"/>
      <c r="J229" s="8"/>
      <c r="K229" s="8"/>
      <c r="L229" s="8"/>
      <c r="M229" s="8"/>
      <c r="N229" s="8"/>
      <c r="O229" s="8"/>
      <c r="P229" s="8"/>
      <c r="Q229" s="8"/>
      <c r="R229" s="8"/>
      <c r="S229" s="8"/>
      <c r="T229" s="8"/>
      <c r="U229" s="8"/>
      <c r="V229" s="8"/>
      <c r="W229" s="8"/>
      <c r="X229" s="8"/>
      <c r="Y229" s="8"/>
    </row>
    <row r="230" spans="1:25" ht="16.5" customHeight="1" x14ac:dyDescent="0.2">
      <c r="A230" s="8"/>
      <c r="B230" s="8"/>
      <c r="C230" s="8"/>
      <c r="D230" s="8"/>
      <c r="E230" s="8"/>
      <c r="F230" s="8"/>
      <c r="G230" s="8"/>
      <c r="H230" s="8"/>
      <c r="I230" s="8"/>
      <c r="J230" s="8"/>
      <c r="K230" s="8"/>
      <c r="L230" s="8"/>
      <c r="M230" s="8"/>
      <c r="N230" s="8"/>
      <c r="O230" s="8"/>
      <c r="P230" s="8"/>
      <c r="Q230" s="8"/>
      <c r="R230" s="8"/>
      <c r="S230" s="8"/>
      <c r="T230" s="8"/>
      <c r="U230" s="8"/>
      <c r="V230" s="8"/>
      <c r="W230" s="8"/>
      <c r="X230" s="8"/>
      <c r="Y230" s="8"/>
    </row>
    <row r="231" spans="1:25" ht="16.5" customHeight="1" x14ac:dyDescent="0.2">
      <c r="A231" s="8"/>
      <c r="B231" s="8"/>
      <c r="C231" s="8"/>
      <c r="D231" s="8"/>
      <c r="E231" s="8"/>
      <c r="F231" s="8"/>
      <c r="G231" s="8"/>
      <c r="H231" s="8"/>
      <c r="I231" s="8"/>
      <c r="J231" s="8"/>
      <c r="K231" s="8"/>
      <c r="L231" s="8"/>
      <c r="M231" s="8"/>
      <c r="N231" s="8"/>
      <c r="O231" s="8"/>
      <c r="P231" s="8"/>
      <c r="Q231" s="8"/>
      <c r="R231" s="8"/>
      <c r="S231" s="8"/>
      <c r="T231" s="8"/>
      <c r="U231" s="8"/>
      <c r="V231" s="8"/>
      <c r="W231" s="8"/>
      <c r="X231" s="8"/>
      <c r="Y231" s="8"/>
    </row>
    <row r="232" spans="1:25" ht="16.5" customHeight="1" x14ac:dyDescent="0.2">
      <c r="A232" s="8"/>
      <c r="B232" s="8"/>
      <c r="C232" s="8"/>
      <c r="D232" s="8"/>
      <c r="E232" s="8"/>
      <c r="F232" s="8"/>
      <c r="G232" s="8"/>
      <c r="H232" s="8"/>
      <c r="I232" s="8"/>
      <c r="J232" s="8"/>
      <c r="K232" s="8"/>
      <c r="L232" s="8"/>
      <c r="M232" s="8"/>
      <c r="N232" s="8"/>
      <c r="O232" s="8"/>
      <c r="P232" s="8"/>
      <c r="Q232" s="8"/>
      <c r="R232" s="8"/>
      <c r="S232" s="8"/>
      <c r="T232" s="8"/>
      <c r="U232" s="8"/>
      <c r="V232" s="8"/>
      <c r="W232" s="8"/>
      <c r="X232" s="8"/>
      <c r="Y232" s="8"/>
    </row>
    <row r="233" spans="1:25" ht="16.5" customHeight="1" x14ac:dyDescent="0.2">
      <c r="A233" s="8"/>
      <c r="B233" s="8"/>
      <c r="C233" s="8"/>
      <c r="D233" s="8"/>
      <c r="E233" s="8"/>
      <c r="F233" s="8"/>
      <c r="G233" s="8"/>
      <c r="H233" s="8"/>
      <c r="I233" s="8"/>
      <c r="J233" s="8"/>
      <c r="K233" s="8"/>
      <c r="L233" s="8"/>
      <c r="M233" s="8"/>
      <c r="N233" s="8"/>
      <c r="O233" s="8"/>
      <c r="P233" s="8"/>
      <c r="Q233" s="8"/>
      <c r="R233" s="8"/>
      <c r="S233" s="8"/>
      <c r="T233" s="8"/>
      <c r="U233" s="8"/>
      <c r="V233" s="8"/>
      <c r="W233" s="8"/>
      <c r="X233" s="8"/>
      <c r="Y233" s="8"/>
    </row>
    <row r="234" spans="1:25" ht="16.5" customHeight="1" x14ac:dyDescent="0.2">
      <c r="A234" s="8"/>
      <c r="B234" s="8"/>
      <c r="C234" s="8"/>
      <c r="D234" s="8"/>
      <c r="E234" s="8"/>
      <c r="F234" s="8"/>
      <c r="G234" s="8"/>
      <c r="H234" s="8"/>
      <c r="I234" s="8"/>
      <c r="J234" s="8"/>
      <c r="K234" s="8"/>
      <c r="L234" s="8"/>
      <c r="M234" s="8"/>
      <c r="N234" s="8"/>
      <c r="O234" s="8"/>
      <c r="P234" s="8"/>
      <c r="Q234" s="8"/>
      <c r="R234" s="8"/>
      <c r="S234" s="8"/>
      <c r="T234" s="8"/>
      <c r="U234" s="8"/>
      <c r="V234" s="8"/>
      <c r="W234" s="8"/>
      <c r="X234" s="8"/>
      <c r="Y234" s="8"/>
    </row>
    <row r="235" spans="1:25" ht="16.5" customHeight="1" x14ac:dyDescent="0.2">
      <c r="A235" s="8"/>
      <c r="B235" s="8"/>
      <c r="C235" s="8"/>
      <c r="D235" s="8"/>
      <c r="E235" s="8"/>
      <c r="F235" s="8"/>
      <c r="G235" s="8"/>
      <c r="H235" s="8"/>
      <c r="I235" s="8"/>
      <c r="J235" s="8"/>
      <c r="K235" s="8"/>
      <c r="L235" s="8"/>
      <c r="M235" s="8"/>
      <c r="N235" s="8"/>
      <c r="O235" s="8"/>
      <c r="P235" s="8"/>
      <c r="Q235" s="8"/>
      <c r="R235" s="8"/>
      <c r="S235" s="8"/>
      <c r="T235" s="8"/>
      <c r="U235" s="8"/>
      <c r="V235" s="8"/>
      <c r="W235" s="8"/>
      <c r="X235" s="8"/>
      <c r="Y235" s="8"/>
    </row>
    <row r="236" spans="1:25" ht="16.5" customHeight="1" x14ac:dyDescent="0.2">
      <c r="A236" s="8"/>
      <c r="B236" s="8"/>
      <c r="C236" s="8"/>
      <c r="D236" s="8"/>
      <c r="E236" s="8"/>
      <c r="F236" s="8"/>
      <c r="G236" s="8"/>
      <c r="H236" s="8"/>
      <c r="I236" s="8"/>
      <c r="J236" s="8"/>
      <c r="K236" s="8"/>
      <c r="L236" s="8"/>
      <c r="M236" s="8"/>
      <c r="N236" s="8"/>
      <c r="O236" s="8"/>
      <c r="P236" s="8"/>
      <c r="Q236" s="8"/>
      <c r="R236" s="8"/>
      <c r="S236" s="8"/>
      <c r="T236" s="8"/>
      <c r="U236" s="8"/>
      <c r="V236" s="8"/>
      <c r="W236" s="8"/>
      <c r="X236" s="8"/>
      <c r="Y236" s="8"/>
    </row>
    <row r="237" spans="1:25" ht="16.5" customHeight="1" x14ac:dyDescent="0.2">
      <c r="A237" s="8"/>
      <c r="B237" s="8"/>
      <c r="C237" s="8"/>
      <c r="D237" s="8"/>
      <c r="E237" s="8"/>
      <c r="F237" s="8"/>
      <c r="G237" s="8"/>
      <c r="H237" s="8"/>
      <c r="I237" s="8"/>
      <c r="J237" s="8"/>
      <c r="K237" s="8"/>
      <c r="L237" s="8"/>
      <c r="M237" s="8"/>
      <c r="N237" s="8"/>
      <c r="O237" s="8"/>
      <c r="P237" s="8"/>
      <c r="Q237" s="8"/>
      <c r="R237" s="8"/>
      <c r="S237" s="8"/>
      <c r="T237" s="8"/>
      <c r="U237" s="8"/>
      <c r="V237" s="8"/>
      <c r="W237" s="8"/>
      <c r="X237" s="8"/>
      <c r="Y237" s="8"/>
    </row>
    <row r="238" spans="1:25" ht="16.5" customHeight="1" x14ac:dyDescent="0.2">
      <c r="A238" s="8"/>
      <c r="B238" s="8"/>
      <c r="C238" s="8"/>
      <c r="D238" s="8"/>
      <c r="E238" s="8"/>
      <c r="F238" s="8"/>
      <c r="G238" s="8"/>
      <c r="H238" s="8"/>
      <c r="I238" s="8"/>
      <c r="J238" s="8"/>
      <c r="K238" s="8"/>
      <c r="L238" s="8"/>
      <c r="M238" s="8"/>
      <c r="N238" s="8"/>
      <c r="O238" s="8"/>
      <c r="P238" s="8"/>
      <c r="Q238" s="8"/>
      <c r="R238" s="8"/>
      <c r="S238" s="8"/>
      <c r="T238" s="8"/>
      <c r="U238" s="8"/>
      <c r="V238" s="8"/>
      <c r="W238" s="8"/>
      <c r="X238" s="8"/>
      <c r="Y238" s="8"/>
    </row>
    <row r="239" spans="1:25" ht="16.5" customHeight="1" x14ac:dyDescent="0.2">
      <c r="A239" s="8"/>
      <c r="B239" s="8"/>
      <c r="C239" s="8"/>
      <c r="D239" s="8"/>
      <c r="E239" s="8"/>
      <c r="F239" s="8"/>
      <c r="G239" s="8"/>
      <c r="H239" s="8"/>
      <c r="I239" s="8"/>
      <c r="J239" s="8"/>
      <c r="K239" s="8"/>
      <c r="L239" s="8"/>
      <c r="M239" s="8"/>
      <c r="N239" s="8"/>
      <c r="O239" s="8"/>
      <c r="P239" s="8"/>
      <c r="Q239" s="8"/>
      <c r="R239" s="8"/>
      <c r="S239" s="8"/>
      <c r="T239" s="8"/>
      <c r="U239" s="8"/>
      <c r="V239" s="8"/>
      <c r="W239" s="8"/>
      <c r="X239" s="8"/>
      <c r="Y239" s="8"/>
    </row>
    <row r="240" spans="1:25" ht="16.5" customHeight="1" x14ac:dyDescent="0.2">
      <c r="A240" s="8"/>
      <c r="B240" s="8"/>
      <c r="C240" s="8"/>
      <c r="D240" s="8"/>
      <c r="E240" s="8"/>
      <c r="F240" s="8"/>
      <c r="G240" s="8"/>
      <c r="H240" s="8"/>
      <c r="I240" s="8"/>
      <c r="J240" s="8"/>
      <c r="K240" s="8"/>
      <c r="L240" s="8"/>
      <c r="M240" s="8"/>
      <c r="N240" s="8"/>
      <c r="O240" s="8"/>
      <c r="P240" s="8"/>
      <c r="Q240" s="8"/>
      <c r="R240" s="8"/>
      <c r="S240" s="8"/>
      <c r="T240" s="8"/>
      <c r="U240" s="8"/>
      <c r="V240" s="8"/>
      <c r="W240" s="8"/>
      <c r="X240" s="8"/>
      <c r="Y240" s="8"/>
    </row>
    <row r="241" spans="1:25" ht="16.5" customHeight="1" x14ac:dyDescent="0.2">
      <c r="A241" s="8"/>
      <c r="B241" s="8"/>
      <c r="C241" s="8"/>
      <c r="D241" s="8"/>
      <c r="E241" s="8"/>
      <c r="F241" s="8"/>
      <c r="G241" s="8"/>
      <c r="H241" s="8"/>
      <c r="I241" s="8"/>
      <c r="J241" s="8"/>
      <c r="K241" s="8"/>
      <c r="L241" s="8"/>
      <c r="M241" s="8"/>
      <c r="N241" s="8"/>
      <c r="O241" s="8"/>
      <c r="P241" s="8"/>
      <c r="Q241" s="8"/>
      <c r="R241" s="8"/>
      <c r="S241" s="8"/>
      <c r="T241" s="8"/>
      <c r="U241" s="8"/>
      <c r="V241" s="8"/>
      <c r="W241" s="8"/>
      <c r="X241" s="8"/>
      <c r="Y241" s="8"/>
    </row>
    <row r="242" spans="1:25" ht="16.5" customHeight="1" x14ac:dyDescent="0.2">
      <c r="A242" s="8"/>
      <c r="B242" s="8"/>
      <c r="C242" s="8"/>
      <c r="D242" s="8"/>
      <c r="E242" s="8"/>
      <c r="F242" s="8"/>
      <c r="G242" s="8"/>
      <c r="H242" s="8"/>
      <c r="I242" s="8"/>
      <c r="J242" s="8"/>
      <c r="K242" s="8"/>
      <c r="L242" s="8"/>
      <c r="M242" s="8"/>
      <c r="N242" s="8"/>
      <c r="O242" s="8"/>
      <c r="P242" s="8"/>
      <c r="Q242" s="8"/>
      <c r="R242" s="8"/>
      <c r="S242" s="8"/>
      <c r="T242" s="8"/>
      <c r="U242" s="8"/>
      <c r="V242" s="8"/>
      <c r="W242" s="8"/>
      <c r="X242" s="8"/>
      <c r="Y242" s="8"/>
    </row>
    <row r="243" spans="1:25" ht="16.5" customHeight="1" x14ac:dyDescent="0.2">
      <c r="A243" s="8"/>
      <c r="B243" s="8"/>
      <c r="C243" s="8"/>
      <c r="D243" s="8"/>
      <c r="E243" s="8"/>
      <c r="F243" s="8"/>
      <c r="G243" s="8"/>
      <c r="H243" s="8"/>
      <c r="I243" s="8"/>
      <c r="J243" s="8"/>
      <c r="K243" s="8"/>
      <c r="L243" s="8"/>
      <c r="M243" s="8"/>
      <c r="N243" s="8"/>
      <c r="O243" s="8"/>
      <c r="P243" s="8"/>
      <c r="Q243" s="8"/>
      <c r="R243" s="8"/>
      <c r="S243" s="8"/>
      <c r="T243" s="8"/>
      <c r="U243" s="8"/>
      <c r="V243" s="8"/>
      <c r="W243" s="8"/>
      <c r="X243" s="8"/>
      <c r="Y243" s="8"/>
    </row>
    <row r="244" spans="1:25" ht="16.5" customHeight="1" x14ac:dyDescent="0.2">
      <c r="A244" s="8"/>
      <c r="B244" s="8"/>
      <c r="C244" s="8"/>
      <c r="D244" s="8"/>
      <c r="E244" s="8"/>
      <c r="F244" s="8"/>
      <c r="G244" s="8"/>
      <c r="H244" s="8"/>
      <c r="I244" s="8"/>
      <c r="J244" s="8"/>
      <c r="K244" s="8"/>
      <c r="L244" s="8"/>
      <c r="M244" s="8"/>
      <c r="N244" s="8"/>
      <c r="O244" s="8"/>
      <c r="P244" s="8"/>
      <c r="Q244" s="8"/>
      <c r="R244" s="8"/>
      <c r="S244" s="8"/>
      <c r="T244" s="8"/>
      <c r="U244" s="8"/>
      <c r="V244" s="8"/>
      <c r="W244" s="8"/>
      <c r="X244" s="8"/>
      <c r="Y244" s="8"/>
    </row>
    <row r="245" spans="1:25" ht="16.5" customHeight="1" x14ac:dyDescent="0.2">
      <c r="A245" s="8"/>
      <c r="B245" s="8"/>
      <c r="C245" s="8"/>
      <c r="D245" s="8"/>
      <c r="E245" s="8"/>
      <c r="F245" s="8"/>
      <c r="G245" s="8"/>
      <c r="H245" s="8"/>
      <c r="I245" s="8"/>
      <c r="J245" s="8"/>
      <c r="K245" s="8"/>
      <c r="L245" s="8"/>
      <c r="M245" s="8"/>
      <c r="N245" s="8"/>
      <c r="O245" s="8"/>
      <c r="P245" s="8"/>
      <c r="Q245" s="8"/>
      <c r="R245" s="8"/>
      <c r="S245" s="8"/>
      <c r="T245" s="8"/>
      <c r="U245" s="8"/>
      <c r="V245" s="8"/>
      <c r="W245" s="8"/>
      <c r="X245" s="8"/>
      <c r="Y245" s="8"/>
    </row>
    <row r="246" spans="1:25" ht="16.5" customHeight="1" x14ac:dyDescent="0.2">
      <c r="A246" s="8"/>
      <c r="B246" s="8"/>
      <c r="C246" s="8"/>
      <c r="D246" s="8"/>
      <c r="E246" s="8"/>
      <c r="F246" s="8"/>
      <c r="G246" s="8"/>
      <c r="H246" s="8"/>
      <c r="I246" s="8"/>
      <c r="J246" s="8"/>
      <c r="K246" s="8"/>
      <c r="L246" s="8"/>
      <c r="M246" s="8"/>
      <c r="N246" s="8"/>
      <c r="O246" s="8"/>
      <c r="P246" s="8"/>
      <c r="Q246" s="8"/>
      <c r="R246" s="8"/>
      <c r="S246" s="8"/>
      <c r="T246" s="8"/>
      <c r="U246" s="8"/>
      <c r="V246" s="8"/>
      <c r="W246" s="8"/>
      <c r="X246" s="8"/>
      <c r="Y246" s="8"/>
    </row>
    <row r="247" spans="1:25" ht="16.5" customHeight="1" x14ac:dyDescent="0.2">
      <c r="A247" s="8"/>
      <c r="B247" s="8"/>
      <c r="C247" s="8"/>
      <c r="D247" s="8"/>
      <c r="E247" s="8"/>
      <c r="F247" s="8"/>
      <c r="G247" s="8"/>
      <c r="H247" s="8"/>
      <c r="I247" s="8"/>
      <c r="J247" s="8"/>
      <c r="K247" s="8"/>
      <c r="L247" s="8"/>
      <c r="M247" s="8"/>
      <c r="N247" s="8"/>
      <c r="O247" s="8"/>
      <c r="P247" s="8"/>
      <c r="Q247" s="8"/>
      <c r="R247" s="8"/>
      <c r="S247" s="8"/>
      <c r="T247" s="8"/>
      <c r="U247" s="8"/>
      <c r="V247" s="8"/>
      <c r="W247" s="8"/>
      <c r="X247" s="8"/>
      <c r="Y247" s="8"/>
    </row>
    <row r="248" spans="1:25" ht="16.5" customHeight="1" x14ac:dyDescent="0.2">
      <c r="A248" s="8"/>
      <c r="B248" s="8"/>
      <c r="C248" s="8"/>
      <c r="D248" s="8"/>
      <c r="E248" s="8"/>
      <c r="F248" s="8"/>
      <c r="G248" s="8"/>
      <c r="H248" s="8"/>
      <c r="I248" s="8"/>
      <c r="J248" s="8"/>
      <c r="K248" s="8"/>
      <c r="L248" s="8"/>
      <c r="M248" s="8"/>
      <c r="N248" s="8"/>
      <c r="O248" s="8"/>
      <c r="P248" s="8"/>
      <c r="Q248" s="8"/>
      <c r="R248" s="8"/>
      <c r="S248" s="8"/>
      <c r="T248" s="8"/>
      <c r="U248" s="8"/>
      <c r="V248" s="8"/>
      <c r="W248" s="8"/>
      <c r="X248" s="8"/>
      <c r="Y248" s="8"/>
    </row>
    <row r="249" spans="1:25" ht="16.5" customHeight="1" x14ac:dyDescent="0.2">
      <c r="A249" s="8"/>
      <c r="B249" s="8"/>
      <c r="C249" s="8"/>
      <c r="D249" s="8"/>
      <c r="E249" s="8"/>
      <c r="F249" s="8"/>
      <c r="G249" s="8"/>
      <c r="H249" s="8"/>
      <c r="I249" s="8"/>
      <c r="J249" s="8"/>
      <c r="K249" s="8"/>
      <c r="L249" s="8"/>
      <c r="M249" s="8"/>
      <c r="N249" s="8"/>
      <c r="O249" s="8"/>
      <c r="P249" s="8"/>
      <c r="Q249" s="8"/>
      <c r="R249" s="8"/>
      <c r="S249" s="8"/>
      <c r="T249" s="8"/>
      <c r="U249" s="8"/>
      <c r="V249" s="8"/>
      <c r="W249" s="8"/>
      <c r="X249" s="8"/>
      <c r="Y249" s="8"/>
    </row>
    <row r="250" spans="1:25" ht="16.5" customHeight="1" x14ac:dyDescent="0.2">
      <c r="A250" s="8"/>
      <c r="B250" s="8"/>
      <c r="C250" s="8"/>
      <c r="D250" s="8"/>
      <c r="E250" s="8"/>
      <c r="F250" s="8"/>
      <c r="G250" s="8"/>
      <c r="H250" s="8"/>
      <c r="I250" s="8"/>
      <c r="J250" s="8"/>
      <c r="K250" s="8"/>
      <c r="L250" s="8"/>
      <c r="M250" s="8"/>
      <c r="N250" s="8"/>
      <c r="O250" s="8"/>
      <c r="P250" s="8"/>
      <c r="Q250" s="8"/>
      <c r="R250" s="8"/>
      <c r="S250" s="8"/>
      <c r="T250" s="8"/>
      <c r="U250" s="8"/>
      <c r="V250" s="8"/>
      <c r="W250" s="8"/>
      <c r="X250" s="8"/>
      <c r="Y250" s="8"/>
    </row>
    <row r="251" spans="1:25" ht="16.5" customHeight="1" x14ac:dyDescent="0.2">
      <c r="A251" s="8"/>
      <c r="B251" s="8"/>
      <c r="C251" s="8"/>
      <c r="D251" s="8"/>
      <c r="E251" s="8"/>
      <c r="F251" s="8"/>
      <c r="G251" s="8"/>
      <c r="H251" s="8"/>
      <c r="I251" s="8"/>
      <c r="J251" s="8"/>
      <c r="K251" s="8"/>
      <c r="L251" s="8"/>
      <c r="M251" s="8"/>
      <c r="N251" s="8"/>
      <c r="O251" s="8"/>
      <c r="P251" s="8"/>
      <c r="Q251" s="8"/>
      <c r="R251" s="8"/>
      <c r="S251" s="8"/>
      <c r="T251" s="8"/>
      <c r="U251" s="8"/>
      <c r="V251" s="8"/>
      <c r="W251" s="8"/>
      <c r="X251" s="8"/>
      <c r="Y251" s="8"/>
    </row>
    <row r="252" spans="1:25" ht="16.5" customHeight="1" x14ac:dyDescent="0.2">
      <c r="A252" s="8"/>
      <c r="B252" s="8"/>
      <c r="C252" s="8"/>
      <c r="D252" s="8"/>
      <c r="E252" s="8"/>
      <c r="F252" s="8"/>
      <c r="G252" s="8"/>
      <c r="H252" s="8"/>
      <c r="I252" s="8"/>
      <c r="J252" s="8"/>
      <c r="K252" s="8"/>
      <c r="L252" s="8"/>
      <c r="M252" s="8"/>
      <c r="N252" s="8"/>
      <c r="O252" s="8"/>
      <c r="P252" s="8"/>
      <c r="Q252" s="8"/>
      <c r="R252" s="8"/>
      <c r="S252" s="8"/>
      <c r="T252" s="8"/>
      <c r="U252" s="8"/>
      <c r="V252" s="8"/>
      <c r="W252" s="8"/>
      <c r="X252" s="8"/>
      <c r="Y252" s="8"/>
    </row>
    <row r="253" spans="1:25" ht="16.5" customHeight="1" x14ac:dyDescent="0.2">
      <c r="A253" s="8"/>
      <c r="B253" s="8"/>
      <c r="C253" s="8"/>
      <c r="D253" s="8"/>
      <c r="E253" s="8"/>
      <c r="F253" s="8"/>
      <c r="G253" s="8"/>
      <c r="H253" s="8"/>
      <c r="I253" s="8"/>
      <c r="J253" s="8"/>
      <c r="K253" s="8"/>
      <c r="L253" s="8"/>
      <c r="M253" s="8"/>
      <c r="N253" s="8"/>
      <c r="O253" s="8"/>
      <c r="P253" s="8"/>
      <c r="Q253" s="8"/>
      <c r="R253" s="8"/>
      <c r="S253" s="8"/>
      <c r="T253" s="8"/>
      <c r="U253" s="8"/>
      <c r="V253" s="8"/>
      <c r="W253" s="8"/>
      <c r="X253" s="8"/>
      <c r="Y253" s="8"/>
    </row>
    <row r="254" spans="1:25" ht="16.5" customHeight="1" x14ac:dyDescent="0.2">
      <c r="A254" s="8"/>
      <c r="B254" s="8"/>
      <c r="C254" s="8"/>
      <c r="D254" s="8"/>
      <c r="E254" s="8"/>
      <c r="F254" s="8"/>
      <c r="G254" s="8"/>
      <c r="H254" s="8"/>
      <c r="I254" s="8"/>
      <c r="J254" s="8"/>
      <c r="K254" s="8"/>
      <c r="L254" s="8"/>
      <c r="M254" s="8"/>
      <c r="N254" s="8"/>
      <c r="O254" s="8"/>
      <c r="P254" s="8"/>
      <c r="Q254" s="8"/>
      <c r="R254" s="8"/>
      <c r="S254" s="8"/>
      <c r="T254" s="8"/>
      <c r="U254" s="8"/>
      <c r="V254" s="8"/>
      <c r="W254" s="8"/>
      <c r="X254" s="8"/>
      <c r="Y254" s="8"/>
    </row>
    <row r="255" spans="1:25" ht="16.5" customHeight="1" x14ac:dyDescent="0.2">
      <c r="A255" s="8"/>
      <c r="B255" s="8"/>
      <c r="C255" s="8"/>
      <c r="D255" s="8"/>
      <c r="E255" s="8"/>
      <c r="F255" s="8"/>
      <c r="G255" s="8"/>
      <c r="H255" s="8"/>
      <c r="I255" s="8"/>
      <c r="J255" s="8"/>
      <c r="K255" s="8"/>
      <c r="L255" s="8"/>
      <c r="M255" s="8"/>
      <c r="N255" s="8"/>
      <c r="O255" s="8"/>
      <c r="P255" s="8"/>
      <c r="Q255" s="8"/>
      <c r="R255" s="8"/>
      <c r="S255" s="8"/>
      <c r="T255" s="8"/>
      <c r="U255" s="8"/>
      <c r="V255" s="8"/>
      <c r="W255" s="8"/>
      <c r="X255" s="8"/>
      <c r="Y255" s="8"/>
    </row>
    <row r="256" spans="1:25" ht="16.5" customHeight="1" x14ac:dyDescent="0.2">
      <c r="A256" s="8"/>
      <c r="B256" s="8"/>
      <c r="C256" s="8"/>
      <c r="D256" s="8"/>
      <c r="E256" s="8"/>
      <c r="F256" s="8"/>
      <c r="G256" s="8"/>
      <c r="H256" s="8"/>
      <c r="I256" s="8"/>
      <c r="J256" s="8"/>
      <c r="K256" s="8"/>
      <c r="L256" s="8"/>
      <c r="M256" s="8"/>
      <c r="N256" s="8"/>
      <c r="O256" s="8"/>
      <c r="P256" s="8"/>
      <c r="Q256" s="8"/>
      <c r="R256" s="8"/>
      <c r="S256" s="8"/>
      <c r="T256" s="8"/>
      <c r="U256" s="8"/>
      <c r="V256" s="8"/>
      <c r="W256" s="8"/>
      <c r="X256" s="8"/>
      <c r="Y256" s="8"/>
    </row>
    <row r="257" spans="1:25" ht="16.5" customHeight="1" x14ac:dyDescent="0.2">
      <c r="A257" s="8"/>
      <c r="B257" s="8"/>
      <c r="C257" s="8"/>
      <c r="D257" s="8"/>
      <c r="E257" s="8"/>
      <c r="F257" s="8"/>
      <c r="G257" s="8"/>
      <c r="H257" s="8"/>
      <c r="I257" s="8"/>
      <c r="J257" s="8"/>
      <c r="K257" s="8"/>
      <c r="L257" s="8"/>
      <c r="M257" s="8"/>
      <c r="N257" s="8"/>
      <c r="O257" s="8"/>
      <c r="P257" s="8"/>
      <c r="Q257" s="8"/>
      <c r="R257" s="8"/>
      <c r="S257" s="8"/>
      <c r="T257" s="8"/>
      <c r="U257" s="8"/>
      <c r="V257" s="8"/>
      <c r="W257" s="8"/>
      <c r="X257" s="8"/>
      <c r="Y257" s="8"/>
    </row>
    <row r="258" spans="1:25" ht="16.5" customHeight="1" x14ac:dyDescent="0.2">
      <c r="A258" s="8"/>
      <c r="B258" s="8"/>
      <c r="C258" s="8"/>
      <c r="D258" s="8"/>
      <c r="E258" s="8"/>
      <c r="F258" s="8"/>
      <c r="G258" s="8"/>
      <c r="H258" s="8"/>
      <c r="I258" s="8"/>
      <c r="J258" s="8"/>
      <c r="K258" s="8"/>
      <c r="L258" s="8"/>
      <c r="M258" s="8"/>
      <c r="N258" s="8"/>
      <c r="O258" s="8"/>
      <c r="P258" s="8"/>
      <c r="Q258" s="8"/>
      <c r="R258" s="8"/>
      <c r="S258" s="8"/>
      <c r="T258" s="8"/>
      <c r="U258" s="8"/>
      <c r="V258" s="8"/>
      <c r="W258" s="8"/>
      <c r="X258" s="8"/>
      <c r="Y258" s="8"/>
    </row>
    <row r="259" spans="1:25" ht="16.5" customHeight="1" x14ac:dyDescent="0.2">
      <c r="A259" s="8"/>
      <c r="B259" s="8"/>
      <c r="C259" s="8"/>
      <c r="D259" s="8"/>
      <c r="E259" s="8"/>
      <c r="F259" s="8"/>
      <c r="G259" s="8"/>
      <c r="H259" s="8"/>
      <c r="I259" s="8"/>
      <c r="J259" s="8"/>
      <c r="K259" s="8"/>
      <c r="L259" s="8"/>
      <c r="M259" s="8"/>
      <c r="N259" s="8"/>
      <c r="O259" s="8"/>
      <c r="P259" s="8"/>
      <c r="Q259" s="8"/>
      <c r="R259" s="8"/>
      <c r="S259" s="8"/>
      <c r="T259" s="8"/>
      <c r="U259" s="8"/>
      <c r="V259" s="8"/>
      <c r="W259" s="8"/>
      <c r="X259" s="8"/>
      <c r="Y259" s="8"/>
    </row>
    <row r="260" spans="1:25" ht="16.5" customHeight="1" x14ac:dyDescent="0.2">
      <c r="A260" s="8"/>
      <c r="B260" s="8"/>
      <c r="C260" s="8"/>
      <c r="D260" s="8"/>
      <c r="E260" s="8"/>
      <c r="F260" s="8"/>
      <c r="G260" s="8"/>
      <c r="H260" s="8"/>
      <c r="I260" s="8"/>
      <c r="J260" s="8"/>
      <c r="K260" s="8"/>
      <c r="L260" s="8"/>
      <c r="M260" s="8"/>
      <c r="N260" s="8"/>
      <c r="O260" s="8"/>
      <c r="P260" s="8"/>
      <c r="Q260" s="8"/>
      <c r="R260" s="8"/>
      <c r="S260" s="8"/>
      <c r="T260" s="8"/>
      <c r="U260" s="8"/>
      <c r="V260" s="8"/>
      <c r="W260" s="8"/>
      <c r="X260" s="8"/>
      <c r="Y260" s="8"/>
    </row>
    <row r="261" spans="1:25" ht="16.5" customHeight="1" x14ac:dyDescent="0.2">
      <c r="A261" s="8"/>
      <c r="B261" s="8"/>
      <c r="C261" s="8"/>
      <c r="D261" s="8"/>
      <c r="E261" s="8"/>
      <c r="F261" s="8"/>
      <c r="G261" s="8"/>
      <c r="H261" s="8"/>
      <c r="I261" s="8"/>
      <c r="J261" s="8"/>
      <c r="K261" s="8"/>
      <c r="L261" s="8"/>
      <c r="M261" s="8"/>
      <c r="N261" s="8"/>
      <c r="O261" s="8"/>
      <c r="P261" s="8"/>
      <c r="Q261" s="8"/>
      <c r="R261" s="8"/>
      <c r="S261" s="8"/>
      <c r="T261" s="8"/>
      <c r="U261" s="8"/>
      <c r="V261" s="8"/>
      <c r="W261" s="8"/>
      <c r="X261" s="8"/>
      <c r="Y261" s="8"/>
    </row>
    <row r="262" spans="1:25" ht="16.5" customHeight="1" x14ac:dyDescent="0.2">
      <c r="A262" s="8"/>
      <c r="B262" s="8"/>
      <c r="C262" s="8"/>
      <c r="D262" s="8"/>
      <c r="E262" s="8"/>
      <c r="F262" s="8"/>
      <c r="G262" s="8"/>
      <c r="H262" s="8"/>
      <c r="I262" s="8"/>
      <c r="J262" s="8"/>
      <c r="K262" s="8"/>
      <c r="L262" s="8"/>
      <c r="M262" s="8"/>
      <c r="N262" s="8"/>
      <c r="O262" s="8"/>
      <c r="P262" s="8"/>
      <c r="Q262" s="8"/>
      <c r="R262" s="8"/>
      <c r="S262" s="8"/>
      <c r="T262" s="8"/>
      <c r="U262" s="8"/>
      <c r="V262" s="8"/>
      <c r="W262" s="8"/>
      <c r="X262" s="8"/>
      <c r="Y262" s="8"/>
    </row>
    <row r="263" spans="1:25" ht="16.5" customHeight="1" x14ac:dyDescent="0.2">
      <c r="A263" s="8"/>
      <c r="B263" s="8"/>
      <c r="C263" s="8"/>
      <c r="D263" s="8"/>
      <c r="E263" s="8"/>
      <c r="F263" s="8"/>
      <c r="G263" s="8"/>
      <c r="H263" s="8"/>
      <c r="I263" s="8"/>
      <c r="J263" s="8"/>
      <c r="K263" s="8"/>
      <c r="L263" s="8"/>
      <c r="M263" s="8"/>
      <c r="N263" s="8"/>
      <c r="O263" s="8"/>
      <c r="P263" s="8"/>
      <c r="Q263" s="8"/>
      <c r="R263" s="8"/>
      <c r="S263" s="8"/>
      <c r="T263" s="8"/>
      <c r="U263" s="8"/>
      <c r="V263" s="8"/>
      <c r="W263" s="8"/>
      <c r="X263" s="8"/>
      <c r="Y263" s="8"/>
    </row>
    <row r="264" spans="1:25" ht="16.5" customHeight="1" x14ac:dyDescent="0.2">
      <c r="A264" s="8"/>
      <c r="B264" s="8"/>
      <c r="C264" s="8"/>
      <c r="D264" s="8"/>
      <c r="E264" s="8"/>
      <c r="F264" s="8"/>
      <c r="G264" s="8"/>
      <c r="H264" s="8"/>
      <c r="I264" s="8"/>
      <c r="J264" s="8"/>
      <c r="K264" s="8"/>
      <c r="L264" s="8"/>
      <c r="M264" s="8"/>
      <c r="N264" s="8"/>
      <c r="O264" s="8"/>
      <c r="P264" s="8"/>
      <c r="Q264" s="8"/>
      <c r="R264" s="8"/>
      <c r="S264" s="8"/>
      <c r="T264" s="8"/>
      <c r="U264" s="8"/>
      <c r="V264" s="8"/>
      <c r="W264" s="8"/>
      <c r="X264" s="8"/>
      <c r="Y264" s="8"/>
    </row>
    <row r="265" spans="1:25" ht="16.5" customHeight="1" x14ac:dyDescent="0.2">
      <c r="A265" s="8"/>
      <c r="B265" s="8"/>
      <c r="C265" s="8"/>
      <c r="D265" s="8"/>
      <c r="E265" s="8"/>
      <c r="F265" s="8"/>
      <c r="G265" s="8"/>
      <c r="H265" s="8"/>
      <c r="I265" s="8"/>
      <c r="J265" s="8"/>
      <c r="K265" s="8"/>
      <c r="L265" s="8"/>
      <c r="M265" s="8"/>
      <c r="N265" s="8"/>
      <c r="O265" s="8"/>
      <c r="P265" s="8"/>
      <c r="Q265" s="8"/>
      <c r="R265" s="8"/>
      <c r="S265" s="8"/>
      <c r="T265" s="8"/>
      <c r="U265" s="8"/>
      <c r="V265" s="8"/>
      <c r="W265" s="8"/>
      <c r="X265" s="8"/>
      <c r="Y265" s="8"/>
    </row>
    <row r="266" spans="1:25" ht="16.5" customHeight="1" x14ac:dyDescent="0.2">
      <c r="A266" s="8"/>
      <c r="B266" s="8"/>
      <c r="C266" s="8"/>
      <c r="D266" s="8"/>
      <c r="E266" s="8"/>
      <c r="F266" s="8"/>
      <c r="G266" s="8"/>
      <c r="H266" s="8"/>
      <c r="I266" s="8"/>
      <c r="J266" s="8"/>
      <c r="K266" s="8"/>
      <c r="L266" s="8"/>
      <c r="M266" s="8"/>
      <c r="N266" s="8"/>
      <c r="O266" s="8"/>
      <c r="P266" s="8"/>
      <c r="Q266" s="8"/>
      <c r="R266" s="8"/>
      <c r="S266" s="8"/>
      <c r="T266" s="8"/>
      <c r="U266" s="8"/>
      <c r="V266" s="8"/>
      <c r="W266" s="8"/>
      <c r="X266" s="8"/>
      <c r="Y266" s="8"/>
    </row>
    <row r="267" spans="1:25" ht="16.5" customHeight="1" x14ac:dyDescent="0.2">
      <c r="A267" s="8"/>
      <c r="B267" s="8"/>
      <c r="C267" s="8"/>
      <c r="D267" s="8"/>
      <c r="E267" s="8"/>
      <c r="F267" s="8"/>
      <c r="G267" s="8"/>
      <c r="H267" s="8"/>
      <c r="I267" s="8"/>
      <c r="J267" s="8"/>
      <c r="K267" s="8"/>
      <c r="L267" s="8"/>
      <c r="M267" s="8"/>
      <c r="N267" s="8"/>
      <c r="O267" s="8"/>
      <c r="P267" s="8"/>
      <c r="Q267" s="8"/>
      <c r="R267" s="8"/>
      <c r="S267" s="8"/>
      <c r="T267" s="8"/>
      <c r="U267" s="8"/>
      <c r="V267" s="8"/>
      <c r="W267" s="8"/>
      <c r="X267" s="8"/>
      <c r="Y267" s="8"/>
    </row>
    <row r="268" spans="1:25" ht="16.5" customHeight="1" x14ac:dyDescent="0.2">
      <c r="A268" s="8"/>
      <c r="B268" s="8"/>
      <c r="C268" s="8"/>
      <c r="D268" s="8"/>
      <c r="E268" s="8"/>
      <c r="F268" s="8"/>
      <c r="G268" s="8"/>
      <c r="H268" s="8"/>
      <c r="I268" s="8"/>
      <c r="J268" s="8"/>
      <c r="K268" s="8"/>
      <c r="L268" s="8"/>
      <c r="M268" s="8"/>
      <c r="N268" s="8"/>
      <c r="O268" s="8"/>
      <c r="P268" s="8"/>
      <c r="Q268" s="8"/>
      <c r="R268" s="8"/>
      <c r="S268" s="8"/>
      <c r="T268" s="8"/>
      <c r="U268" s="8"/>
      <c r="V268" s="8"/>
      <c r="W268" s="8"/>
      <c r="X268" s="8"/>
      <c r="Y268" s="8"/>
    </row>
    <row r="269" spans="1:25" ht="16.5" customHeight="1" x14ac:dyDescent="0.2">
      <c r="A269" s="8"/>
      <c r="B269" s="8"/>
      <c r="C269" s="8"/>
      <c r="D269" s="8"/>
      <c r="E269" s="8"/>
      <c r="F269" s="8"/>
      <c r="G269" s="8"/>
      <c r="H269" s="8"/>
      <c r="I269" s="8"/>
      <c r="J269" s="8"/>
      <c r="K269" s="8"/>
      <c r="L269" s="8"/>
      <c r="M269" s="8"/>
      <c r="N269" s="8"/>
      <c r="O269" s="8"/>
      <c r="P269" s="8"/>
      <c r="Q269" s="8"/>
      <c r="R269" s="8"/>
      <c r="S269" s="8"/>
      <c r="T269" s="8"/>
      <c r="U269" s="8"/>
      <c r="V269" s="8"/>
      <c r="W269" s="8"/>
      <c r="X269" s="8"/>
      <c r="Y269" s="8"/>
    </row>
    <row r="270" spans="1:25" ht="16.5" customHeight="1" x14ac:dyDescent="0.2">
      <c r="A270" s="8"/>
      <c r="B270" s="8"/>
      <c r="C270" s="8"/>
      <c r="D270" s="8"/>
      <c r="E270" s="8"/>
      <c r="F270" s="8"/>
      <c r="G270" s="8"/>
      <c r="H270" s="8"/>
      <c r="I270" s="8"/>
      <c r="J270" s="8"/>
      <c r="K270" s="8"/>
      <c r="L270" s="8"/>
      <c r="M270" s="8"/>
      <c r="N270" s="8"/>
      <c r="O270" s="8"/>
      <c r="P270" s="8"/>
      <c r="Q270" s="8"/>
      <c r="R270" s="8"/>
      <c r="S270" s="8"/>
      <c r="T270" s="8"/>
      <c r="U270" s="8"/>
      <c r="V270" s="8"/>
      <c r="W270" s="8"/>
      <c r="X270" s="8"/>
      <c r="Y270" s="8"/>
    </row>
    <row r="271" spans="1:25" ht="16.5" customHeight="1" x14ac:dyDescent="0.2">
      <c r="A271" s="8"/>
      <c r="B271" s="8"/>
      <c r="C271" s="8"/>
      <c r="D271" s="8"/>
      <c r="E271" s="8"/>
      <c r="F271" s="8"/>
      <c r="G271" s="8"/>
      <c r="H271" s="8"/>
      <c r="I271" s="8"/>
      <c r="J271" s="8"/>
      <c r="K271" s="8"/>
      <c r="L271" s="8"/>
      <c r="M271" s="8"/>
      <c r="N271" s="8"/>
      <c r="O271" s="8"/>
      <c r="P271" s="8"/>
      <c r="Q271" s="8"/>
      <c r="R271" s="8"/>
      <c r="S271" s="8"/>
      <c r="T271" s="8"/>
      <c r="U271" s="8"/>
      <c r="V271" s="8"/>
      <c r="W271" s="8"/>
      <c r="X271" s="8"/>
      <c r="Y271" s="8"/>
    </row>
    <row r="272" spans="1:25" ht="16.5" customHeight="1" x14ac:dyDescent="0.2">
      <c r="A272" s="8"/>
      <c r="B272" s="8"/>
      <c r="C272" s="8"/>
      <c r="D272" s="8"/>
      <c r="E272" s="8"/>
      <c r="F272" s="8"/>
      <c r="G272" s="8"/>
      <c r="H272" s="8"/>
      <c r="I272" s="8"/>
      <c r="J272" s="8"/>
      <c r="K272" s="8"/>
      <c r="L272" s="8"/>
      <c r="M272" s="8"/>
      <c r="N272" s="8"/>
      <c r="O272" s="8"/>
      <c r="P272" s="8"/>
      <c r="Q272" s="8"/>
      <c r="R272" s="8"/>
      <c r="S272" s="8"/>
      <c r="T272" s="8"/>
      <c r="U272" s="8"/>
      <c r="V272" s="8"/>
      <c r="W272" s="8"/>
      <c r="X272" s="8"/>
      <c r="Y272" s="8"/>
    </row>
    <row r="273" spans="1:25" ht="16.5" customHeight="1" x14ac:dyDescent="0.2">
      <c r="A273" s="8"/>
      <c r="B273" s="8"/>
      <c r="C273" s="8"/>
      <c r="D273" s="8"/>
      <c r="E273" s="8"/>
      <c r="F273" s="8"/>
      <c r="G273" s="8"/>
      <c r="H273" s="8"/>
      <c r="I273" s="8"/>
      <c r="J273" s="8"/>
      <c r="K273" s="8"/>
      <c r="L273" s="8"/>
      <c r="M273" s="8"/>
      <c r="N273" s="8"/>
      <c r="O273" s="8"/>
      <c r="P273" s="8"/>
      <c r="Q273" s="8"/>
      <c r="R273" s="8"/>
      <c r="S273" s="8"/>
      <c r="T273" s="8"/>
      <c r="U273" s="8"/>
      <c r="V273" s="8"/>
      <c r="W273" s="8"/>
      <c r="X273" s="8"/>
      <c r="Y273" s="8"/>
    </row>
    <row r="274" spans="1:25" ht="16.5" customHeight="1" x14ac:dyDescent="0.2">
      <c r="A274" s="8"/>
      <c r="B274" s="8"/>
      <c r="C274" s="8"/>
      <c r="D274" s="8"/>
      <c r="E274" s="8"/>
      <c r="F274" s="8"/>
      <c r="G274" s="8"/>
      <c r="H274" s="8"/>
      <c r="I274" s="8"/>
      <c r="J274" s="8"/>
      <c r="K274" s="8"/>
      <c r="L274" s="8"/>
      <c r="M274" s="8"/>
      <c r="N274" s="8"/>
      <c r="O274" s="8"/>
      <c r="P274" s="8"/>
      <c r="Q274" s="8"/>
      <c r="R274" s="8"/>
      <c r="S274" s="8"/>
      <c r="T274" s="8"/>
      <c r="U274" s="8"/>
      <c r="V274" s="8"/>
      <c r="W274" s="8"/>
      <c r="X274" s="8"/>
      <c r="Y274" s="8"/>
    </row>
    <row r="275" spans="1:25" ht="16.5" customHeight="1" x14ac:dyDescent="0.2">
      <c r="A275" s="8"/>
      <c r="B275" s="8"/>
      <c r="C275" s="8"/>
      <c r="D275" s="8"/>
      <c r="E275" s="8"/>
      <c r="F275" s="8"/>
      <c r="G275" s="8"/>
      <c r="H275" s="8"/>
      <c r="I275" s="8"/>
      <c r="J275" s="8"/>
      <c r="K275" s="8"/>
      <c r="L275" s="8"/>
      <c r="M275" s="8"/>
      <c r="N275" s="8"/>
      <c r="O275" s="8"/>
      <c r="P275" s="8"/>
      <c r="Q275" s="8"/>
      <c r="R275" s="8"/>
      <c r="S275" s="8"/>
      <c r="T275" s="8"/>
      <c r="U275" s="8"/>
      <c r="V275" s="8"/>
      <c r="W275" s="8"/>
      <c r="X275" s="8"/>
      <c r="Y275" s="8"/>
    </row>
    <row r="276" spans="1:25" ht="16.5" customHeight="1" x14ac:dyDescent="0.2">
      <c r="A276" s="8"/>
      <c r="B276" s="8"/>
      <c r="C276" s="8"/>
      <c r="D276" s="8"/>
      <c r="E276" s="8"/>
      <c r="F276" s="8"/>
      <c r="G276" s="8"/>
      <c r="H276" s="8"/>
      <c r="I276" s="8"/>
      <c r="J276" s="8"/>
      <c r="K276" s="8"/>
      <c r="L276" s="8"/>
      <c r="M276" s="8"/>
      <c r="N276" s="8"/>
      <c r="O276" s="8"/>
      <c r="P276" s="8"/>
      <c r="Q276" s="8"/>
      <c r="R276" s="8"/>
      <c r="S276" s="8"/>
      <c r="T276" s="8"/>
      <c r="U276" s="8"/>
      <c r="V276" s="8"/>
      <c r="W276" s="8"/>
      <c r="X276" s="8"/>
      <c r="Y276" s="8"/>
    </row>
    <row r="277" spans="1:25" ht="16.5" customHeight="1" x14ac:dyDescent="0.2">
      <c r="A277" s="8"/>
      <c r="B277" s="8"/>
      <c r="C277" s="8"/>
      <c r="D277" s="8"/>
      <c r="E277" s="8"/>
      <c r="F277" s="8"/>
      <c r="G277" s="8"/>
      <c r="H277" s="8"/>
      <c r="I277" s="8"/>
      <c r="J277" s="8"/>
      <c r="K277" s="8"/>
      <c r="L277" s="8"/>
      <c r="M277" s="8"/>
      <c r="N277" s="8"/>
      <c r="O277" s="8"/>
      <c r="P277" s="8"/>
      <c r="Q277" s="8"/>
      <c r="R277" s="8"/>
      <c r="S277" s="8"/>
      <c r="T277" s="8"/>
      <c r="U277" s="8"/>
      <c r="V277" s="8"/>
      <c r="W277" s="8"/>
      <c r="X277" s="8"/>
      <c r="Y277" s="8"/>
    </row>
    <row r="278" spans="1:25" ht="16.5" customHeight="1" x14ac:dyDescent="0.2">
      <c r="A278" s="8"/>
      <c r="B278" s="8"/>
      <c r="C278" s="8"/>
      <c r="D278" s="8"/>
      <c r="E278" s="8"/>
      <c r="F278" s="8"/>
      <c r="G278" s="8"/>
      <c r="H278" s="8"/>
      <c r="I278" s="8"/>
      <c r="J278" s="8"/>
      <c r="K278" s="8"/>
      <c r="L278" s="8"/>
      <c r="M278" s="8"/>
      <c r="N278" s="8"/>
      <c r="O278" s="8"/>
      <c r="P278" s="8"/>
      <c r="Q278" s="8"/>
      <c r="R278" s="8"/>
      <c r="S278" s="8"/>
      <c r="T278" s="8"/>
      <c r="U278" s="8"/>
      <c r="V278" s="8"/>
      <c r="W278" s="8"/>
      <c r="X278" s="8"/>
      <c r="Y278" s="8"/>
    </row>
    <row r="279" spans="1:25" ht="16.5" customHeight="1" x14ac:dyDescent="0.2">
      <c r="A279" s="8"/>
      <c r="B279" s="8"/>
      <c r="C279" s="8"/>
      <c r="D279" s="8"/>
      <c r="E279" s="8"/>
      <c r="F279" s="8"/>
      <c r="G279" s="8"/>
      <c r="H279" s="8"/>
      <c r="I279" s="8"/>
      <c r="J279" s="8"/>
      <c r="K279" s="8"/>
      <c r="L279" s="8"/>
      <c r="M279" s="8"/>
      <c r="N279" s="8"/>
      <c r="O279" s="8"/>
      <c r="P279" s="8"/>
      <c r="Q279" s="8"/>
      <c r="R279" s="8"/>
      <c r="S279" s="8"/>
      <c r="T279" s="8"/>
      <c r="U279" s="8"/>
      <c r="V279" s="8"/>
      <c r="W279" s="8"/>
      <c r="X279" s="8"/>
      <c r="Y279" s="8"/>
    </row>
    <row r="280" spans="1:25" ht="16.5" customHeight="1" x14ac:dyDescent="0.2">
      <c r="A280" s="8"/>
      <c r="B280" s="8"/>
      <c r="C280" s="8"/>
      <c r="D280" s="8"/>
      <c r="E280" s="8"/>
      <c r="F280" s="8"/>
      <c r="G280" s="8"/>
      <c r="H280" s="8"/>
      <c r="I280" s="8"/>
      <c r="J280" s="8"/>
      <c r="K280" s="8"/>
      <c r="L280" s="8"/>
      <c r="M280" s="8"/>
      <c r="N280" s="8"/>
      <c r="O280" s="8"/>
      <c r="P280" s="8"/>
      <c r="Q280" s="8"/>
      <c r="R280" s="8"/>
      <c r="S280" s="8"/>
      <c r="T280" s="8"/>
      <c r="U280" s="8"/>
      <c r="V280" s="8"/>
      <c r="W280" s="8"/>
      <c r="X280" s="8"/>
      <c r="Y280" s="8"/>
    </row>
    <row r="281" spans="1:25" ht="16.5" customHeight="1" x14ac:dyDescent="0.2">
      <c r="A281" s="8"/>
      <c r="B281" s="8"/>
      <c r="C281" s="8"/>
      <c r="D281" s="8"/>
      <c r="E281" s="8"/>
      <c r="F281" s="8"/>
      <c r="G281" s="8"/>
      <c r="H281" s="8"/>
      <c r="I281" s="8"/>
      <c r="J281" s="8"/>
      <c r="K281" s="8"/>
      <c r="L281" s="8"/>
      <c r="M281" s="8"/>
      <c r="N281" s="8"/>
      <c r="O281" s="8"/>
      <c r="P281" s="8"/>
      <c r="Q281" s="8"/>
      <c r="R281" s="8"/>
      <c r="S281" s="8"/>
      <c r="T281" s="8"/>
      <c r="U281" s="8"/>
      <c r="V281" s="8"/>
      <c r="W281" s="8"/>
      <c r="X281" s="8"/>
      <c r="Y281" s="8"/>
    </row>
    <row r="282" spans="1:25" ht="16.5" customHeight="1" x14ac:dyDescent="0.2">
      <c r="A282" s="8"/>
      <c r="B282" s="8"/>
      <c r="C282" s="8"/>
      <c r="D282" s="8"/>
      <c r="E282" s="8"/>
      <c r="F282" s="8"/>
      <c r="G282" s="8"/>
      <c r="H282" s="8"/>
      <c r="I282" s="8"/>
      <c r="J282" s="8"/>
      <c r="K282" s="8"/>
      <c r="L282" s="8"/>
      <c r="M282" s="8"/>
      <c r="N282" s="8"/>
      <c r="O282" s="8"/>
      <c r="P282" s="8"/>
      <c r="Q282" s="8"/>
      <c r="R282" s="8"/>
      <c r="S282" s="8"/>
      <c r="T282" s="8"/>
      <c r="U282" s="8"/>
      <c r="V282" s="8"/>
      <c r="W282" s="8"/>
      <c r="X282" s="8"/>
      <c r="Y282" s="8"/>
    </row>
    <row r="283" spans="1:25" ht="16.5" customHeight="1" x14ac:dyDescent="0.2">
      <c r="A283" s="8"/>
      <c r="B283" s="8"/>
      <c r="C283" s="8"/>
      <c r="D283" s="8"/>
      <c r="E283" s="8"/>
      <c r="F283" s="8"/>
      <c r="G283" s="8"/>
      <c r="H283" s="8"/>
      <c r="I283" s="8"/>
      <c r="J283" s="8"/>
      <c r="K283" s="8"/>
      <c r="L283" s="8"/>
      <c r="M283" s="8"/>
      <c r="N283" s="8"/>
      <c r="O283" s="8"/>
      <c r="P283" s="8"/>
      <c r="Q283" s="8"/>
      <c r="R283" s="8"/>
      <c r="S283" s="8"/>
      <c r="T283" s="8"/>
      <c r="U283" s="8"/>
      <c r="V283" s="8"/>
      <c r="W283" s="8"/>
      <c r="X283" s="8"/>
      <c r="Y283" s="8"/>
    </row>
    <row r="284" spans="1:25" ht="16.5" customHeight="1" x14ac:dyDescent="0.2">
      <c r="A284" s="8"/>
      <c r="B284" s="8"/>
      <c r="C284" s="8"/>
      <c r="D284" s="8"/>
      <c r="E284" s="8"/>
      <c r="F284" s="8"/>
      <c r="G284" s="8"/>
      <c r="H284" s="8"/>
      <c r="I284" s="8"/>
      <c r="J284" s="8"/>
      <c r="K284" s="8"/>
      <c r="L284" s="8"/>
      <c r="M284" s="8"/>
      <c r="N284" s="8"/>
      <c r="O284" s="8"/>
      <c r="P284" s="8"/>
      <c r="Q284" s="8"/>
      <c r="R284" s="8"/>
      <c r="S284" s="8"/>
      <c r="T284" s="8"/>
      <c r="U284" s="8"/>
      <c r="V284" s="8"/>
      <c r="W284" s="8"/>
      <c r="X284" s="8"/>
      <c r="Y284" s="8"/>
    </row>
    <row r="285" spans="1:25" ht="16.5" customHeight="1" x14ac:dyDescent="0.2">
      <c r="A285" s="8"/>
      <c r="B285" s="8"/>
      <c r="C285" s="8"/>
      <c r="D285" s="8"/>
      <c r="E285" s="8"/>
      <c r="F285" s="8"/>
      <c r="G285" s="8"/>
      <c r="H285" s="8"/>
      <c r="I285" s="8"/>
      <c r="J285" s="8"/>
      <c r="K285" s="8"/>
      <c r="L285" s="8"/>
      <c r="M285" s="8"/>
      <c r="N285" s="8"/>
      <c r="O285" s="8"/>
      <c r="P285" s="8"/>
      <c r="Q285" s="8"/>
      <c r="R285" s="8"/>
      <c r="S285" s="8"/>
      <c r="T285" s="8"/>
      <c r="U285" s="8"/>
      <c r="V285" s="8"/>
      <c r="W285" s="8"/>
      <c r="X285" s="8"/>
      <c r="Y285" s="8"/>
    </row>
    <row r="286" spans="1:25" ht="16.5" customHeight="1" x14ac:dyDescent="0.2">
      <c r="A286" s="8"/>
      <c r="B286" s="8"/>
      <c r="C286" s="8"/>
      <c r="D286" s="8"/>
      <c r="E286" s="8"/>
      <c r="F286" s="8"/>
      <c r="G286" s="8"/>
      <c r="H286" s="8"/>
      <c r="I286" s="8"/>
      <c r="J286" s="8"/>
      <c r="K286" s="8"/>
      <c r="L286" s="8"/>
      <c r="M286" s="8"/>
      <c r="N286" s="8"/>
      <c r="O286" s="8"/>
      <c r="P286" s="8"/>
      <c r="Q286" s="8"/>
      <c r="R286" s="8"/>
      <c r="S286" s="8"/>
      <c r="T286" s="8"/>
      <c r="U286" s="8"/>
      <c r="V286" s="8"/>
      <c r="W286" s="8"/>
      <c r="X286" s="8"/>
      <c r="Y286" s="8"/>
    </row>
    <row r="287" spans="1:25" ht="16.5" customHeight="1" x14ac:dyDescent="0.2">
      <c r="A287" s="8"/>
      <c r="B287" s="8"/>
      <c r="C287" s="8"/>
      <c r="D287" s="8"/>
      <c r="E287" s="8"/>
      <c r="F287" s="8"/>
      <c r="G287" s="8"/>
      <c r="H287" s="8"/>
      <c r="I287" s="8"/>
      <c r="J287" s="8"/>
      <c r="K287" s="8"/>
      <c r="L287" s="8"/>
      <c r="M287" s="8"/>
      <c r="N287" s="8"/>
      <c r="O287" s="8"/>
      <c r="P287" s="8"/>
      <c r="Q287" s="8"/>
      <c r="R287" s="8"/>
      <c r="S287" s="8"/>
      <c r="T287" s="8"/>
      <c r="U287" s="8"/>
      <c r="V287" s="8"/>
      <c r="W287" s="8"/>
      <c r="X287" s="8"/>
      <c r="Y287" s="8"/>
    </row>
    <row r="288" spans="1:25" ht="16.5" customHeight="1" x14ac:dyDescent="0.2">
      <c r="A288" s="8"/>
      <c r="B288" s="8"/>
      <c r="C288" s="8"/>
      <c r="D288" s="8"/>
      <c r="E288" s="8"/>
      <c r="F288" s="8"/>
      <c r="G288" s="8"/>
      <c r="H288" s="8"/>
      <c r="I288" s="8"/>
      <c r="J288" s="8"/>
      <c r="K288" s="8"/>
      <c r="L288" s="8"/>
      <c r="M288" s="8"/>
      <c r="N288" s="8"/>
      <c r="O288" s="8"/>
      <c r="P288" s="8"/>
      <c r="Q288" s="8"/>
      <c r="R288" s="8"/>
      <c r="S288" s="8"/>
      <c r="T288" s="8"/>
      <c r="U288" s="8"/>
      <c r="V288" s="8"/>
      <c r="W288" s="8"/>
      <c r="X288" s="8"/>
      <c r="Y288" s="8"/>
    </row>
    <row r="289" spans="1:25" ht="16.5" customHeight="1" x14ac:dyDescent="0.2">
      <c r="A289" s="8"/>
      <c r="B289" s="8"/>
      <c r="C289" s="8"/>
      <c r="D289" s="8"/>
      <c r="E289" s="8"/>
      <c r="F289" s="8"/>
      <c r="G289" s="8"/>
      <c r="H289" s="8"/>
      <c r="I289" s="8"/>
      <c r="J289" s="8"/>
      <c r="K289" s="8"/>
      <c r="L289" s="8"/>
      <c r="M289" s="8"/>
      <c r="N289" s="8"/>
      <c r="O289" s="8"/>
      <c r="P289" s="8"/>
      <c r="Q289" s="8"/>
      <c r="R289" s="8"/>
      <c r="S289" s="8"/>
      <c r="T289" s="8"/>
      <c r="U289" s="8"/>
      <c r="V289" s="8"/>
      <c r="W289" s="8"/>
      <c r="X289" s="8"/>
      <c r="Y289" s="8"/>
    </row>
    <row r="290" spans="1:25" ht="16.5" customHeight="1" x14ac:dyDescent="0.2">
      <c r="A290" s="8"/>
      <c r="B290" s="8"/>
      <c r="C290" s="8"/>
      <c r="D290" s="8"/>
      <c r="E290" s="8"/>
      <c r="F290" s="8"/>
      <c r="G290" s="8"/>
      <c r="H290" s="8"/>
      <c r="I290" s="8"/>
      <c r="J290" s="8"/>
      <c r="K290" s="8"/>
      <c r="L290" s="8"/>
      <c r="M290" s="8"/>
      <c r="N290" s="8"/>
      <c r="O290" s="8"/>
      <c r="P290" s="8"/>
      <c r="Q290" s="8"/>
      <c r="R290" s="8"/>
      <c r="S290" s="8"/>
      <c r="T290" s="8"/>
      <c r="U290" s="8"/>
      <c r="V290" s="8"/>
      <c r="W290" s="8"/>
      <c r="X290" s="8"/>
      <c r="Y290" s="8"/>
    </row>
    <row r="291" spans="1:25" ht="16.5" customHeight="1" x14ac:dyDescent="0.2">
      <c r="A291" s="8"/>
      <c r="B291" s="8"/>
      <c r="C291" s="8"/>
      <c r="D291" s="8"/>
      <c r="E291" s="8"/>
      <c r="F291" s="8"/>
      <c r="G291" s="8"/>
      <c r="H291" s="8"/>
      <c r="I291" s="8"/>
      <c r="J291" s="8"/>
      <c r="K291" s="8"/>
      <c r="L291" s="8"/>
      <c r="M291" s="8"/>
      <c r="N291" s="8"/>
      <c r="O291" s="8"/>
      <c r="P291" s="8"/>
      <c r="Q291" s="8"/>
      <c r="R291" s="8"/>
      <c r="S291" s="8"/>
      <c r="T291" s="8"/>
      <c r="U291" s="8"/>
      <c r="V291" s="8"/>
      <c r="W291" s="8"/>
      <c r="X291" s="8"/>
      <c r="Y291" s="8"/>
    </row>
    <row r="292" spans="1:25" ht="16.5" customHeight="1" x14ac:dyDescent="0.2">
      <c r="A292" s="8"/>
      <c r="B292" s="8"/>
      <c r="C292" s="8"/>
      <c r="D292" s="8"/>
      <c r="E292" s="8"/>
      <c r="F292" s="8"/>
      <c r="G292" s="8"/>
      <c r="H292" s="8"/>
      <c r="I292" s="8"/>
      <c r="J292" s="8"/>
      <c r="K292" s="8"/>
      <c r="L292" s="8"/>
      <c r="M292" s="8"/>
      <c r="N292" s="8"/>
      <c r="O292" s="8"/>
      <c r="P292" s="8"/>
      <c r="Q292" s="8"/>
      <c r="R292" s="8"/>
      <c r="S292" s="8"/>
      <c r="T292" s="8"/>
      <c r="U292" s="8"/>
      <c r="V292" s="8"/>
      <c r="W292" s="8"/>
      <c r="X292" s="8"/>
      <c r="Y292" s="8"/>
    </row>
    <row r="293" spans="1:25" ht="16.5" customHeight="1" x14ac:dyDescent="0.2">
      <c r="A293" s="8"/>
      <c r="B293" s="8"/>
      <c r="C293" s="8"/>
      <c r="D293" s="8"/>
      <c r="E293" s="8"/>
      <c r="F293" s="8"/>
      <c r="G293" s="8"/>
      <c r="H293" s="8"/>
      <c r="I293" s="8"/>
      <c r="J293" s="8"/>
      <c r="K293" s="8"/>
      <c r="L293" s="8"/>
      <c r="M293" s="8"/>
      <c r="N293" s="8"/>
      <c r="O293" s="8"/>
      <c r="P293" s="8"/>
      <c r="Q293" s="8"/>
      <c r="R293" s="8"/>
      <c r="S293" s="8"/>
      <c r="T293" s="8"/>
      <c r="U293" s="8"/>
      <c r="V293" s="8"/>
      <c r="W293" s="8"/>
      <c r="X293" s="8"/>
      <c r="Y293" s="8"/>
    </row>
    <row r="294" spans="1:25" ht="16.5" customHeight="1" x14ac:dyDescent="0.2">
      <c r="A294" s="8"/>
      <c r="B294" s="8"/>
      <c r="C294" s="8"/>
      <c r="D294" s="8"/>
      <c r="E294" s="8"/>
      <c r="F294" s="8"/>
      <c r="G294" s="8"/>
      <c r="H294" s="8"/>
      <c r="I294" s="8"/>
      <c r="J294" s="8"/>
      <c r="K294" s="8"/>
      <c r="L294" s="8"/>
      <c r="M294" s="8"/>
      <c r="N294" s="8"/>
      <c r="O294" s="8"/>
      <c r="P294" s="8"/>
      <c r="Q294" s="8"/>
      <c r="R294" s="8"/>
      <c r="S294" s="8"/>
      <c r="T294" s="8"/>
      <c r="U294" s="8"/>
      <c r="V294" s="8"/>
      <c r="W294" s="8"/>
      <c r="X294" s="8"/>
      <c r="Y294" s="8"/>
    </row>
    <row r="295" spans="1:25" ht="16.5" customHeight="1" x14ac:dyDescent="0.2">
      <c r="A295" s="8"/>
      <c r="B295" s="8"/>
      <c r="C295" s="8"/>
      <c r="D295" s="8"/>
      <c r="E295" s="8"/>
      <c r="F295" s="8"/>
      <c r="G295" s="8"/>
      <c r="H295" s="8"/>
      <c r="I295" s="8"/>
      <c r="J295" s="8"/>
      <c r="K295" s="8"/>
      <c r="L295" s="8"/>
      <c r="M295" s="8"/>
      <c r="N295" s="8"/>
      <c r="O295" s="8"/>
      <c r="P295" s="8"/>
      <c r="Q295" s="8"/>
      <c r="R295" s="8"/>
      <c r="S295" s="8"/>
      <c r="T295" s="8"/>
      <c r="U295" s="8"/>
      <c r="V295" s="8"/>
      <c r="W295" s="8"/>
      <c r="X295" s="8"/>
      <c r="Y295" s="8"/>
    </row>
    <row r="296" spans="1:25" ht="16.5" customHeight="1" x14ac:dyDescent="0.2">
      <c r="A296" s="8"/>
      <c r="B296" s="8"/>
      <c r="C296" s="8"/>
      <c r="D296" s="8"/>
      <c r="E296" s="8"/>
      <c r="F296" s="8"/>
      <c r="G296" s="8"/>
      <c r="H296" s="8"/>
      <c r="I296" s="8"/>
      <c r="J296" s="8"/>
      <c r="K296" s="8"/>
      <c r="L296" s="8"/>
      <c r="M296" s="8"/>
      <c r="N296" s="8"/>
      <c r="O296" s="8"/>
      <c r="P296" s="8"/>
      <c r="Q296" s="8"/>
      <c r="R296" s="8"/>
      <c r="S296" s="8"/>
      <c r="T296" s="8"/>
      <c r="U296" s="8"/>
      <c r="V296" s="8"/>
      <c r="W296" s="8"/>
      <c r="X296" s="8"/>
      <c r="Y296" s="8"/>
    </row>
    <row r="297" spans="1:25" ht="16.5" customHeight="1" x14ac:dyDescent="0.2">
      <c r="A297" s="8"/>
      <c r="B297" s="8"/>
      <c r="C297" s="8"/>
      <c r="D297" s="8"/>
      <c r="E297" s="8"/>
      <c r="F297" s="8"/>
      <c r="G297" s="8"/>
      <c r="H297" s="8"/>
      <c r="I297" s="8"/>
      <c r="J297" s="8"/>
      <c r="K297" s="8"/>
      <c r="L297" s="8"/>
      <c r="M297" s="8"/>
      <c r="N297" s="8"/>
      <c r="O297" s="8"/>
      <c r="P297" s="8"/>
      <c r="Q297" s="8"/>
      <c r="R297" s="8"/>
      <c r="S297" s="8"/>
      <c r="T297" s="8"/>
      <c r="U297" s="8"/>
      <c r="V297" s="8"/>
      <c r="W297" s="8"/>
      <c r="X297" s="8"/>
      <c r="Y297" s="8"/>
    </row>
    <row r="298" spans="1:25" ht="16.5" customHeight="1" x14ac:dyDescent="0.2">
      <c r="A298" s="8"/>
      <c r="B298" s="8"/>
      <c r="C298" s="8"/>
      <c r="D298" s="8"/>
      <c r="E298" s="8"/>
      <c r="F298" s="8"/>
      <c r="G298" s="8"/>
      <c r="H298" s="8"/>
      <c r="I298" s="8"/>
      <c r="J298" s="8"/>
      <c r="K298" s="8"/>
      <c r="L298" s="8"/>
      <c r="M298" s="8"/>
      <c r="N298" s="8"/>
      <c r="O298" s="8"/>
      <c r="P298" s="8"/>
      <c r="Q298" s="8"/>
      <c r="R298" s="8"/>
      <c r="S298" s="8"/>
      <c r="T298" s="8"/>
      <c r="U298" s="8"/>
      <c r="V298" s="8"/>
      <c r="W298" s="8"/>
      <c r="X298" s="8"/>
      <c r="Y298" s="8"/>
    </row>
    <row r="299" spans="1:25" ht="16.5" customHeight="1" x14ac:dyDescent="0.2">
      <c r="A299" s="8"/>
      <c r="B299" s="8"/>
      <c r="C299" s="8"/>
      <c r="D299" s="8"/>
      <c r="E299" s="8"/>
      <c r="F299" s="8"/>
      <c r="G299" s="8"/>
      <c r="H299" s="8"/>
      <c r="I299" s="8"/>
      <c r="J299" s="8"/>
      <c r="K299" s="8"/>
      <c r="L299" s="8"/>
      <c r="M299" s="8"/>
      <c r="N299" s="8"/>
      <c r="O299" s="8"/>
      <c r="P299" s="8"/>
      <c r="Q299" s="8"/>
      <c r="R299" s="8"/>
      <c r="S299" s="8"/>
      <c r="T299" s="8"/>
      <c r="U299" s="8"/>
      <c r="V299" s="8"/>
      <c r="W299" s="8"/>
      <c r="X299" s="8"/>
      <c r="Y299" s="8"/>
    </row>
    <row r="300" spans="1:25" ht="16.5" customHeight="1" x14ac:dyDescent="0.2">
      <c r="A300" s="8"/>
      <c r="B300" s="8"/>
      <c r="C300" s="8"/>
      <c r="D300" s="8"/>
      <c r="E300" s="8"/>
      <c r="F300" s="8"/>
      <c r="G300" s="8"/>
      <c r="H300" s="8"/>
      <c r="I300" s="8"/>
      <c r="J300" s="8"/>
      <c r="K300" s="8"/>
      <c r="L300" s="8"/>
      <c r="M300" s="8"/>
      <c r="N300" s="8"/>
      <c r="O300" s="8"/>
      <c r="P300" s="8"/>
      <c r="Q300" s="8"/>
      <c r="R300" s="8"/>
      <c r="S300" s="8"/>
      <c r="T300" s="8"/>
      <c r="U300" s="8"/>
      <c r="V300" s="8"/>
      <c r="W300" s="8"/>
      <c r="X300" s="8"/>
      <c r="Y300" s="8"/>
    </row>
    <row r="301" spans="1:25" ht="16.5" customHeight="1" x14ac:dyDescent="0.2">
      <c r="A301" s="8"/>
      <c r="B301" s="8"/>
      <c r="C301" s="8"/>
      <c r="D301" s="8"/>
      <c r="E301" s="8"/>
      <c r="F301" s="8"/>
      <c r="G301" s="8"/>
      <c r="H301" s="8"/>
      <c r="I301" s="8"/>
      <c r="J301" s="8"/>
      <c r="K301" s="8"/>
      <c r="L301" s="8"/>
      <c r="M301" s="8"/>
      <c r="N301" s="8"/>
      <c r="O301" s="8"/>
      <c r="P301" s="8"/>
      <c r="Q301" s="8"/>
      <c r="R301" s="8"/>
      <c r="S301" s="8"/>
      <c r="T301" s="8"/>
      <c r="U301" s="8"/>
      <c r="V301" s="8"/>
      <c r="W301" s="8"/>
      <c r="X301" s="8"/>
      <c r="Y301" s="8"/>
    </row>
    <row r="302" spans="1:25" ht="16.5" customHeight="1" x14ac:dyDescent="0.2">
      <c r="A302" s="8"/>
      <c r="B302" s="8"/>
      <c r="C302" s="8"/>
      <c r="D302" s="8"/>
      <c r="E302" s="8"/>
      <c r="F302" s="8"/>
      <c r="G302" s="8"/>
      <c r="H302" s="8"/>
      <c r="I302" s="8"/>
      <c r="J302" s="8"/>
      <c r="K302" s="8"/>
      <c r="L302" s="8"/>
      <c r="M302" s="8"/>
      <c r="N302" s="8"/>
      <c r="O302" s="8"/>
      <c r="P302" s="8"/>
      <c r="Q302" s="8"/>
      <c r="R302" s="8"/>
      <c r="S302" s="8"/>
      <c r="T302" s="8"/>
      <c r="U302" s="8"/>
      <c r="V302" s="8"/>
      <c r="W302" s="8"/>
      <c r="X302" s="8"/>
      <c r="Y302" s="8"/>
    </row>
    <row r="303" spans="1:25" ht="16.5" customHeight="1" x14ac:dyDescent="0.2">
      <c r="A303" s="8"/>
      <c r="B303" s="8"/>
      <c r="C303" s="8"/>
      <c r="D303" s="8"/>
      <c r="E303" s="8"/>
      <c r="F303" s="8"/>
      <c r="G303" s="8"/>
      <c r="H303" s="8"/>
      <c r="I303" s="8"/>
      <c r="J303" s="8"/>
      <c r="K303" s="8"/>
      <c r="L303" s="8"/>
      <c r="M303" s="8"/>
      <c r="N303" s="8"/>
      <c r="O303" s="8"/>
      <c r="P303" s="8"/>
      <c r="Q303" s="8"/>
      <c r="R303" s="8"/>
      <c r="S303" s="8"/>
      <c r="T303" s="8"/>
      <c r="U303" s="8"/>
      <c r="V303" s="8"/>
      <c r="W303" s="8"/>
      <c r="X303" s="8"/>
      <c r="Y303" s="8"/>
    </row>
    <row r="304" spans="1:25" ht="16.5" customHeight="1" x14ac:dyDescent="0.2">
      <c r="A304" s="8"/>
      <c r="B304" s="8"/>
      <c r="C304" s="8"/>
      <c r="D304" s="8"/>
      <c r="E304" s="8"/>
      <c r="F304" s="8"/>
      <c r="G304" s="8"/>
      <c r="H304" s="8"/>
      <c r="I304" s="8"/>
      <c r="J304" s="8"/>
      <c r="K304" s="8"/>
      <c r="L304" s="8"/>
      <c r="M304" s="8"/>
      <c r="N304" s="8"/>
      <c r="O304" s="8"/>
      <c r="P304" s="8"/>
      <c r="Q304" s="8"/>
      <c r="R304" s="8"/>
      <c r="S304" s="8"/>
      <c r="T304" s="8"/>
      <c r="U304" s="8"/>
      <c r="V304" s="8"/>
      <c r="W304" s="8"/>
      <c r="X304" s="8"/>
      <c r="Y304" s="8"/>
    </row>
    <row r="305" spans="1:25" ht="16.5" customHeight="1" x14ac:dyDescent="0.2">
      <c r="A305" s="8"/>
      <c r="B305" s="8"/>
      <c r="C305" s="8"/>
      <c r="D305" s="8"/>
      <c r="E305" s="8"/>
      <c r="F305" s="8"/>
      <c r="G305" s="8"/>
      <c r="H305" s="8"/>
      <c r="I305" s="8"/>
      <c r="J305" s="8"/>
      <c r="K305" s="8"/>
      <c r="L305" s="8"/>
      <c r="M305" s="8"/>
      <c r="N305" s="8"/>
      <c r="O305" s="8"/>
      <c r="P305" s="8"/>
      <c r="Q305" s="8"/>
      <c r="R305" s="8"/>
      <c r="S305" s="8"/>
      <c r="T305" s="8"/>
      <c r="U305" s="8"/>
      <c r="V305" s="8"/>
      <c r="W305" s="8"/>
      <c r="X305" s="8"/>
      <c r="Y305" s="8"/>
    </row>
    <row r="306" spans="1:25" ht="16.5" customHeight="1" x14ac:dyDescent="0.2">
      <c r="A306" s="8"/>
      <c r="B306" s="8"/>
      <c r="C306" s="8"/>
      <c r="D306" s="8"/>
      <c r="E306" s="8"/>
      <c r="F306" s="8"/>
      <c r="G306" s="8"/>
      <c r="H306" s="8"/>
      <c r="I306" s="8"/>
      <c r="J306" s="8"/>
      <c r="K306" s="8"/>
      <c r="L306" s="8"/>
      <c r="M306" s="8"/>
      <c r="N306" s="8"/>
      <c r="O306" s="8"/>
      <c r="P306" s="8"/>
      <c r="Q306" s="8"/>
      <c r="R306" s="8"/>
      <c r="S306" s="8"/>
      <c r="T306" s="8"/>
      <c r="U306" s="8"/>
      <c r="V306" s="8"/>
      <c r="W306" s="8"/>
      <c r="X306" s="8"/>
      <c r="Y306" s="8"/>
    </row>
    <row r="307" spans="1:25" ht="16.5" customHeight="1" x14ac:dyDescent="0.2">
      <c r="A307" s="8"/>
      <c r="B307" s="8"/>
      <c r="C307" s="8"/>
      <c r="D307" s="8"/>
      <c r="E307" s="8"/>
      <c r="F307" s="8"/>
      <c r="G307" s="8"/>
      <c r="H307" s="8"/>
      <c r="I307" s="8"/>
      <c r="J307" s="8"/>
      <c r="K307" s="8"/>
      <c r="L307" s="8"/>
      <c r="M307" s="8"/>
      <c r="N307" s="8"/>
      <c r="O307" s="8"/>
      <c r="P307" s="8"/>
      <c r="Q307" s="8"/>
      <c r="R307" s="8"/>
      <c r="S307" s="8"/>
      <c r="T307" s="8"/>
      <c r="U307" s="8"/>
      <c r="V307" s="8"/>
      <c r="W307" s="8"/>
      <c r="X307" s="8"/>
      <c r="Y307" s="8"/>
    </row>
    <row r="308" spans="1:25" ht="16.5" customHeight="1" x14ac:dyDescent="0.2">
      <c r="A308" s="8"/>
      <c r="B308" s="8"/>
      <c r="C308" s="8"/>
      <c r="D308" s="8"/>
      <c r="E308" s="8"/>
      <c r="F308" s="8"/>
      <c r="G308" s="8"/>
      <c r="H308" s="8"/>
      <c r="I308" s="8"/>
      <c r="J308" s="8"/>
      <c r="K308" s="8"/>
      <c r="L308" s="8"/>
      <c r="M308" s="8"/>
      <c r="N308" s="8"/>
      <c r="O308" s="8"/>
      <c r="P308" s="8"/>
      <c r="Q308" s="8"/>
      <c r="R308" s="8"/>
      <c r="S308" s="8"/>
      <c r="T308" s="8"/>
      <c r="U308" s="8"/>
      <c r="V308" s="8"/>
      <c r="W308" s="8"/>
      <c r="X308" s="8"/>
      <c r="Y308" s="8"/>
    </row>
    <row r="309" spans="1:25" ht="16.5" customHeight="1" x14ac:dyDescent="0.2">
      <c r="A309" s="8"/>
      <c r="B309" s="8"/>
      <c r="C309" s="8"/>
      <c r="D309" s="8"/>
      <c r="E309" s="8"/>
      <c r="F309" s="8"/>
      <c r="G309" s="8"/>
      <c r="H309" s="8"/>
      <c r="I309" s="8"/>
      <c r="J309" s="8"/>
      <c r="K309" s="8"/>
      <c r="L309" s="8"/>
      <c r="M309" s="8"/>
      <c r="N309" s="8"/>
      <c r="O309" s="8"/>
      <c r="P309" s="8"/>
      <c r="Q309" s="8"/>
      <c r="R309" s="8"/>
      <c r="S309" s="8"/>
      <c r="T309" s="8"/>
      <c r="U309" s="8"/>
      <c r="V309" s="8"/>
      <c r="W309" s="8"/>
      <c r="X309" s="8"/>
      <c r="Y309" s="8"/>
    </row>
    <row r="310" spans="1:25" ht="16.5" customHeight="1" x14ac:dyDescent="0.2">
      <c r="A310" s="8"/>
      <c r="B310" s="8"/>
      <c r="C310" s="8"/>
      <c r="D310" s="8"/>
      <c r="E310" s="8"/>
      <c r="F310" s="8"/>
      <c r="G310" s="8"/>
      <c r="H310" s="8"/>
      <c r="I310" s="8"/>
      <c r="J310" s="8"/>
      <c r="K310" s="8"/>
      <c r="L310" s="8"/>
      <c r="M310" s="8"/>
      <c r="N310" s="8"/>
      <c r="O310" s="8"/>
      <c r="P310" s="8"/>
      <c r="Q310" s="8"/>
      <c r="R310" s="8"/>
      <c r="S310" s="8"/>
      <c r="T310" s="8"/>
      <c r="U310" s="8"/>
      <c r="V310" s="8"/>
      <c r="W310" s="8"/>
      <c r="X310" s="8"/>
      <c r="Y310" s="8"/>
    </row>
    <row r="311" spans="1:25" ht="16.5" customHeight="1" x14ac:dyDescent="0.2">
      <c r="A311" s="8"/>
      <c r="B311" s="8"/>
      <c r="C311" s="8"/>
      <c r="D311" s="8"/>
      <c r="E311" s="8"/>
      <c r="F311" s="8"/>
      <c r="G311" s="8"/>
      <c r="H311" s="8"/>
      <c r="I311" s="8"/>
      <c r="J311" s="8"/>
      <c r="K311" s="8"/>
      <c r="L311" s="8"/>
      <c r="M311" s="8"/>
      <c r="N311" s="8"/>
      <c r="O311" s="8"/>
      <c r="P311" s="8"/>
      <c r="Q311" s="8"/>
      <c r="R311" s="8"/>
      <c r="S311" s="8"/>
      <c r="T311" s="8"/>
      <c r="U311" s="8"/>
      <c r="V311" s="8"/>
      <c r="W311" s="8"/>
      <c r="X311" s="8"/>
      <c r="Y311" s="8"/>
    </row>
    <row r="312" spans="1:25" ht="16.5" customHeight="1" x14ac:dyDescent="0.2">
      <c r="A312" s="8"/>
      <c r="B312" s="8"/>
      <c r="C312" s="8"/>
      <c r="D312" s="8"/>
      <c r="E312" s="8"/>
      <c r="F312" s="8"/>
      <c r="G312" s="8"/>
      <c r="H312" s="8"/>
      <c r="I312" s="8"/>
      <c r="J312" s="8"/>
      <c r="K312" s="8"/>
      <c r="L312" s="8"/>
      <c r="M312" s="8"/>
      <c r="N312" s="8"/>
      <c r="O312" s="8"/>
      <c r="P312" s="8"/>
      <c r="Q312" s="8"/>
      <c r="R312" s="8"/>
      <c r="S312" s="8"/>
      <c r="T312" s="8"/>
      <c r="U312" s="8"/>
      <c r="V312" s="8"/>
      <c r="W312" s="8"/>
      <c r="X312" s="8"/>
      <c r="Y312" s="8"/>
    </row>
    <row r="313" spans="1:25" ht="16.5" customHeight="1" x14ac:dyDescent="0.2">
      <c r="A313" s="8"/>
      <c r="B313" s="8"/>
      <c r="C313" s="8"/>
      <c r="D313" s="8"/>
      <c r="E313" s="8"/>
      <c r="F313" s="8"/>
      <c r="G313" s="8"/>
      <c r="H313" s="8"/>
      <c r="I313" s="8"/>
      <c r="J313" s="8"/>
      <c r="K313" s="8"/>
      <c r="L313" s="8"/>
      <c r="M313" s="8"/>
      <c r="N313" s="8"/>
      <c r="O313" s="8"/>
      <c r="P313" s="8"/>
      <c r="Q313" s="8"/>
      <c r="R313" s="8"/>
      <c r="S313" s="8"/>
      <c r="T313" s="8"/>
      <c r="U313" s="8"/>
      <c r="V313" s="8"/>
      <c r="W313" s="8"/>
      <c r="X313" s="8"/>
      <c r="Y313" s="8"/>
    </row>
    <row r="314" spans="1:25" ht="16.5" customHeight="1" x14ac:dyDescent="0.2">
      <c r="A314" s="8"/>
      <c r="B314" s="8"/>
      <c r="C314" s="8"/>
      <c r="D314" s="8"/>
      <c r="E314" s="8"/>
      <c r="F314" s="8"/>
      <c r="G314" s="8"/>
      <c r="H314" s="8"/>
      <c r="I314" s="8"/>
      <c r="J314" s="8"/>
      <c r="K314" s="8"/>
      <c r="L314" s="8"/>
      <c r="M314" s="8"/>
      <c r="N314" s="8"/>
      <c r="O314" s="8"/>
      <c r="P314" s="8"/>
      <c r="Q314" s="8"/>
      <c r="R314" s="8"/>
      <c r="S314" s="8"/>
      <c r="T314" s="8"/>
      <c r="U314" s="8"/>
      <c r="V314" s="8"/>
      <c r="W314" s="8"/>
      <c r="X314" s="8"/>
      <c r="Y314" s="8"/>
    </row>
    <row r="315" spans="1:25" ht="16.5" customHeight="1" x14ac:dyDescent="0.2">
      <c r="A315" s="8"/>
      <c r="B315" s="8"/>
      <c r="C315" s="8"/>
      <c r="D315" s="8"/>
      <c r="E315" s="8"/>
      <c r="F315" s="8"/>
      <c r="G315" s="8"/>
      <c r="H315" s="8"/>
      <c r="I315" s="8"/>
      <c r="J315" s="8"/>
      <c r="K315" s="8"/>
      <c r="L315" s="8"/>
      <c r="M315" s="8"/>
      <c r="N315" s="8"/>
      <c r="O315" s="8"/>
      <c r="P315" s="8"/>
      <c r="Q315" s="8"/>
      <c r="R315" s="8"/>
      <c r="S315" s="8"/>
      <c r="T315" s="8"/>
      <c r="U315" s="8"/>
      <c r="V315" s="8"/>
      <c r="W315" s="8"/>
      <c r="X315" s="8"/>
      <c r="Y315" s="8"/>
    </row>
    <row r="316" spans="1:25" ht="16.5" customHeight="1" x14ac:dyDescent="0.2">
      <c r="A316" s="8"/>
      <c r="B316" s="8"/>
      <c r="C316" s="8"/>
      <c r="D316" s="8"/>
      <c r="E316" s="8"/>
      <c r="F316" s="8"/>
      <c r="G316" s="8"/>
      <c r="H316" s="8"/>
      <c r="I316" s="8"/>
      <c r="J316" s="8"/>
      <c r="K316" s="8"/>
      <c r="L316" s="8"/>
      <c r="M316" s="8"/>
      <c r="N316" s="8"/>
      <c r="O316" s="8"/>
      <c r="P316" s="8"/>
      <c r="Q316" s="8"/>
      <c r="R316" s="8"/>
      <c r="S316" s="8"/>
      <c r="T316" s="8"/>
      <c r="U316" s="8"/>
      <c r="V316" s="8"/>
      <c r="W316" s="8"/>
      <c r="X316" s="8"/>
      <c r="Y316" s="8"/>
    </row>
    <row r="317" spans="1:25" ht="16.5" customHeight="1" x14ac:dyDescent="0.2">
      <c r="A317" s="8"/>
      <c r="B317" s="8"/>
      <c r="C317" s="8"/>
      <c r="D317" s="8"/>
      <c r="E317" s="8"/>
      <c r="F317" s="8"/>
      <c r="G317" s="8"/>
      <c r="H317" s="8"/>
      <c r="I317" s="8"/>
      <c r="J317" s="8"/>
      <c r="K317" s="8"/>
      <c r="L317" s="8"/>
      <c r="M317" s="8"/>
      <c r="N317" s="8"/>
      <c r="O317" s="8"/>
      <c r="P317" s="8"/>
      <c r="Q317" s="8"/>
      <c r="R317" s="8"/>
      <c r="S317" s="8"/>
      <c r="T317" s="8"/>
      <c r="U317" s="8"/>
      <c r="V317" s="8"/>
      <c r="W317" s="8"/>
      <c r="X317" s="8"/>
      <c r="Y317" s="8"/>
    </row>
    <row r="318" spans="1:25" ht="16.5" customHeight="1" x14ac:dyDescent="0.2">
      <c r="A318" s="8"/>
      <c r="B318" s="8"/>
      <c r="C318" s="8"/>
      <c r="D318" s="8"/>
      <c r="E318" s="8"/>
      <c r="F318" s="8"/>
      <c r="G318" s="8"/>
      <c r="H318" s="8"/>
      <c r="I318" s="8"/>
      <c r="J318" s="8"/>
      <c r="K318" s="8"/>
      <c r="L318" s="8"/>
      <c r="M318" s="8"/>
      <c r="N318" s="8"/>
      <c r="O318" s="8"/>
      <c r="P318" s="8"/>
      <c r="Q318" s="8"/>
      <c r="R318" s="8"/>
      <c r="S318" s="8"/>
      <c r="T318" s="8"/>
      <c r="U318" s="8"/>
      <c r="V318" s="8"/>
      <c r="W318" s="8"/>
      <c r="X318" s="8"/>
      <c r="Y318" s="8"/>
    </row>
    <row r="319" spans="1:25" ht="16.5" customHeight="1" x14ac:dyDescent="0.2">
      <c r="A319" s="8"/>
      <c r="B319" s="8"/>
      <c r="C319" s="8"/>
      <c r="D319" s="8"/>
      <c r="E319" s="8"/>
      <c r="F319" s="8"/>
      <c r="G319" s="8"/>
      <c r="H319" s="8"/>
      <c r="I319" s="8"/>
      <c r="J319" s="8"/>
      <c r="K319" s="8"/>
      <c r="L319" s="8"/>
      <c r="M319" s="8"/>
      <c r="N319" s="8"/>
      <c r="O319" s="8"/>
      <c r="P319" s="8"/>
      <c r="Q319" s="8"/>
      <c r="R319" s="8"/>
      <c r="S319" s="8"/>
      <c r="T319" s="8"/>
      <c r="U319" s="8"/>
      <c r="V319" s="8"/>
      <c r="W319" s="8"/>
      <c r="X319" s="8"/>
      <c r="Y319" s="8"/>
    </row>
    <row r="320" spans="1:25" ht="16.5" customHeight="1" x14ac:dyDescent="0.2">
      <c r="A320" s="8"/>
      <c r="B320" s="8"/>
      <c r="C320" s="8"/>
      <c r="D320" s="8"/>
      <c r="E320" s="8"/>
      <c r="F320" s="8"/>
      <c r="G320" s="8"/>
      <c r="H320" s="8"/>
      <c r="I320" s="8"/>
      <c r="J320" s="8"/>
      <c r="K320" s="8"/>
      <c r="L320" s="8"/>
      <c r="M320" s="8"/>
      <c r="N320" s="8"/>
      <c r="O320" s="8"/>
      <c r="P320" s="8"/>
      <c r="Q320" s="8"/>
      <c r="R320" s="8"/>
      <c r="S320" s="8"/>
      <c r="T320" s="8"/>
      <c r="U320" s="8"/>
      <c r="V320" s="8"/>
      <c r="W320" s="8"/>
      <c r="X320" s="8"/>
      <c r="Y320" s="8"/>
    </row>
    <row r="321" spans="1:25" ht="16.5" customHeight="1" x14ac:dyDescent="0.2">
      <c r="A321" s="8"/>
      <c r="B321" s="8"/>
      <c r="C321" s="8"/>
      <c r="D321" s="8"/>
      <c r="E321" s="8"/>
      <c r="F321" s="8"/>
      <c r="G321" s="8"/>
      <c r="H321" s="8"/>
      <c r="I321" s="8"/>
      <c r="J321" s="8"/>
      <c r="K321" s="8"/>
      <c r="L321" s="8"/>
      <c r="M321" s="8"/>
      <c r="N321" s="8"/>
      <c r="O321" s="8"/>
      <c r="P321" s="8"/>
      <c r="Q321" s="8"/>
      <c r="R321" s="8"/>
      <c r="S321" s="8"/>
      <c r="T321" s="8"/>
      <c r="U321" s="8"/>
      <c r="V321" s="8"/>
      <c r="W321" s="8"/>
      <c r="X321" s="8"/>
      <c r="Y321" s="8"/>
    </row>
    <row r="322" spans="1:25" ht="16.5" customHeight="1" x14ac:dyDescent="0.2">
      <c r="A322" s="8"/>
      <c r="B322" s="8"/>
      <c r="C322" s="8"/>
      <c r="D322" s="8"/>
      <c r="E322" s="8"/>
      <c r="F322" s="8"/>
      <c r="G322" s="8"/>
      <c r="H322" s="8"/>
      <c r="I322" s="8"/>
      <c r="J322" s="8"/>
      <c r="K322" s="8"/>
      <c r="L322" s="8"/>
      <c r="M322" s="8"/>
      <c r="N322" s="8"/>
      <c r="O322" s="8"/>
      <c r="P322" s="8"/>
      <c r="Q322" s="8"/>
      <c r="R322" s="8"/>
      <c r="S322" s="8"/>
      <c r="T322" s="8"/>
      <c r="U322" s="8"/>
      <c r="V322" s="8"/>
      <c r="W322" s="8"/>
      <c r="X322" s="8"/>
      <c r="Y322" s="8"/>
    </row>
    <row r="323" spans="1:25" ht="16.5" customHeight="1" x14ac:dyDescent="0.2">
      <c r="A323" s="8"/>
      <c r="B323" s="8"/>
      <c r="C323" s="8"/>
      <c r="D323" s="8"/>
      <c r="E323" s="8"/>
      <c r="F323" s="8"/>
      <c r="G323" s="8"/>
      <c r="H323" s="8"/>
      <c r="I323" s="8"/>
      <c r="J323" s="8"/>
      <c r="K323" s="8"/>
      <c r="L323" s="8"/>
      <c r="M323" s="8"/>
      <c r="N323" s="8"/>
      <c r="O323" s="8"/>
      <c r="P323" s="8"/>
      <c r="Q323" s="8"/>
      <c r="R323" s="8"/>
      <c r="S323" s="8"/>
      <c r="T323" s="8"/>
      <c r="U323" s="8"/>
      <c r="V323" s="8"/>
      <c r="W323" s="8"/>
      <c r="X323" s="8"/>
      <c r="Y323" s="8"/>
    </row>
    <row r="324" spans="1:25" ht="16.5" customHeight="1" x14ac:dyDescent="0.2">
      <c r="A324" s="8"/>
      <c r="B324" s="8"/>
      <c r="C324" s="8"/>
      <c r="D324" s="8"/>
      <c r="E324" s="8"/>
      <c r="F324" s="8"/>
      <c r="G324" s="8"/>
      <c r="H324" s="8"/>
      <c r="I324" s="8"/>
      <c r="J324" s="8"/>
      <c r="K324" s="8"/>
      <c r="L324" s="8"/>
      <c r="M324" s="8"/>
      <c r="N324" s="8"/>
      <c r="O324" s="8"/>
      <c r="P324" s="8"/>
      <c r="Q324" s="8"/>
      <c r="R324" s="8"/>
      <c r="S324" s="8"/>
      <c r="T324" s="8"/>
      <c r="U324" s="8"/>
      <c r="V324" s="8"/>
      <c r="W324" s="8"/>
      <c r="X324" s="8"/>
      <c r="Y324" s="8"/>
    </row>
    <row r="325" spans="1:25" ht="16.5" customHeight="1" x14ac:dyDescent="0.2">
      <c r="A325" s="8"/>
      <c r="B325" s="8"/>
      <c r="C325" s="8"/>
      <c r="D325" s="8"/>
      <c r="E325" s="8"/>
      <c r="F325" s="8"/>
      <c r="G325" s="8"/>
      <c r="H325" s="8"/>
      <c r="I325" s="8"/>
      <c r="J325" s="8"/>
      <c r="K325" s="8"/>
      <c r="L325" s="8"/>
      <c r="M325" s="8"/>
      <c r="N325" s="8"/>
      <c r="O325" s="8"/>
      <c r="P325" s="8"/>
      <c r="Q325" s="8"/>
      <c r="R325" s="8"/>
      <c r="S325" s="8"/>
      <c r="T325" s="8"/>
      <c r="U325" s="8"/>
      <c r="V325" s="8"/>
      <c r="W325" s="8"/>
      <c r="X325" s="8"/>
      <c r="Y325" s="8"/>
    </row>
    <row r="326" spans="1:25" ht="16.5" customHeight="1" x14ac:dyDescent="0.2">
      <c r="A326" s="8"/>
      <c r="B326" s="8"/>
      <c r="C326" s="8"/>
      <c r="D326" s="8"/>
      <c r="E326" s="8"/>
      <c r="F326" s="8"/>
      <c r="G326" s="8"/>
      <c r="H326" s="8"/>
      <c r="I326" s="8"/>
      <c r="J326" s="8"/>
      <c r="K326" s="8"/>
      <c r="L326" s="8"/>
      <c r="M326" s="8"/>
      <c r="N326" s="8"/>
      <c r="O326" s="8"/>
      <c r="P326" s="8"/>
      <c r="Q326" s="8"/>
      <c r="R326" s="8"/>
      <c r="S326" s="8"/>
      <c r="T326" s="8"/>
      <c r="U326" s="8"/>
      <c r="V326" s="8"/>
      <c r="W326" s="8"/>
      <c r="X326" s="8"/>
      <c r="Y326" s="8"/>
    </row>
    <row r="327" spans="1:25" ht="16.5" customHeight="1" x14ac:dyDescent="0.2">
      <c r="A327" s="8"/>
      <c r="B327" s="8"/>
      <c r="C327" s="8"/>
      <c r="D327" s="8"/>
      <c r="E327" s="8"/>
      <c r="F327" s="8"/>
      <c r="G327" s="8"/>
      <c r="H327" s="8"/>
      <c r="I327" s="8"/>
      <c r="J327" s="8"/>
      <c r="K327" s="8"/>
      <c r="L327" s="8"/>
      <c r="M327" s="8"/>
      <c r="N327" s="8"/>
      <c r="O327" s="8"/>
      <c r="P327" s="8"/>
      <c r="Q327" s="8"/>
      <c r="R327" s="8"/>
      <c r="S327" s="8"/>
      <c r="T327" s="8"/>
      <c r="U327" s="8"/>
      <c r="V327" s="8"/>
      <c r="W327" s="8"/>
      <c r="X327" s="8"/>
      <c r="Y327" s="8"/>
    </row>
    <row r="328" spans="1:25" ht="16.5" customHeight="1" x14ac:dyDescent="0.2">
      <c r="A328" s="8"/>
      <c r="B328" s="8"/>
      <c r="C328" s="8"/>
      <c r="D328" s="8"/>
      <c r="E328" s="8"/>
      <c r="F328" s="8"/>
      <c r="G328" s="8"/>
      <c r="H328" s="8"/>
      <c r="I328" s="8"/>
      <c r="J328" s="8"/>
      <c r="K328" s="8"/>
      <c r="L328" s="8"/>
      <c r="M328" s="8"/>
      <c r="N328" s="8"/>
      <c r="O328" s="8"/>
      <c r="P328" s="8"/>
      <c r="Q328" s="8"/>
      <c r="R328" s="8"/>
      <c r="S328" s="8"/>
      <c r="T328" s="8"/>
      <c r="U328" s="8"/>
      <c r="V328" s="8"/>
      <c r="W328" s="8"/>
      <c r="X328" s="8"/>
      <c r="Y328" s="8"/>
    </row>
    <row r="329" spans="1:25" ht="16.5" customHeight="1" x14ac:dyDescent="0.2">
      <c r="A329" s="8"/>
      <c r="B329" s="8"/>
      <c r="C329" s="8"/>
      <c r="D329" s="8"/>
      <c r="E329" s="8"/>
      <c r="F329" s="8"/>
      <c r="G329" s="8"/>
      <c r="H329" s="8"/>
      <c r="I329" s="8"/>
      <c r="J329" s="8"/>
      <c r="K329" s="8"/>
      <c r="L329" s="8"/>
      <c r="M329" s="8"/>
      <c r="N329" s="8"/>
      <c r="O329" s="8"/>
      <c r="P329" s="8"/>
      <c r="Q329" s="8"/>
      <c r="R329" s="8"/>
      <c r="S329" s="8"/>
      <c r="T329" s="8"/>
      <c r="U329" s="8"/>
      <c r="V329" s="8"/>
      <c r="W329" s="8"/>
      <c r="X329" s="8"/>
      <c r="Y329" s="8"/>
    </row>
    <row r="330" spans="1:25" ht="16.5" customHeight="1" x14ac:dyDescent="0.2">
      <c r="A330" s="8"/>
      <c r="B330" s="8"/>
      <c r="C330" s="8"/>
      <c r="D330" s="8"/>
      <c r="E330" s="8"/>
      <c r="F330" s="8"/>
      <c r="G330" s="8"/>
      <c r="H330" s="8"/>
      <c r="I330" s="8"/>
      <c r="J330" s="8"/>
      <c r="K330" s="8"/>
      <c r="L330" s="8"/>
      <c r="M330" s="8"/>
      <c r="N330" s="8"/>
      <c r="O330" s="8"/>
      <c r="P330" s="8"/>
      <c r="Q330" s="8"/>
      <c r="R330" s="8"/>
      <c r="S330" s="8"/>
      <c r="T330" s="8"/>
      <c r="U330" s="8"/>
      <c r="V330" s="8"/>
      <c r="W330" s="8"/>
      <c r="X330" s="8"/>
      <c r="Y330" s="8"/>
    </row>
    <row r="331" spans="1:25" ht="16.5" customHeight="1" x14ac:dyDescent="0.2">
      <c r="A331" s="8"/>
      <c r="B331" s="8"/>
      <c r="C331" s="8"/>
      <c r="D331" s="8"/>
      <c r="E331" s="8"/>
      <c r="F331" s="8"/>
      <c r="G331" s="8"/>
      <c r="H331" s="8"/>
      <c r="I331" s="8"/>
      <c r="J331" s="8"/>
      <c r="K331" s="8"/>
      <c r="L331" s="8"/>
      <c r="M331" s="8"/>
      <c r="N331" s="8"/>
      <c r="O331" s="8"/>
      <c r="P331" s="8"/>
      <c r="Q331" s="8"/>
      <c r="R331" s="8"/>
      <c r="S331" s="8"/>
      <c r="T331" s="8"/>
      <c r="U331" s="8"/>
      <c r="V331" s="8"/>
      <c r="W331" s="8"/>
      <c r="X331" s="8"/>
      <c r="Y331" s="8"/>
    </row>
    <row r="332" spans="1:25" ht="16.5" customHeight="1" x14ac:dyDescent="0.2">
      <c r="A332" s="8"/>
      <c r="B332" s="8"/>
      <c r="C332" s="8"/>
      <c r="D332" s="8"/>
      <c r="E332" s="8"/>
      <c r="F332" s="8"/>
      <c r="G332" s="8"/>
      <c r="H332" s="8"/>
      <c r="I332" s="8"/>
      <c r="J332" s="8"/>
      <c r="K332" s="8"/>
      <c r="L332" s="8"/>
      <c r="M332" s="8"/>
      <c r="N332" s="8"/>
      <c r="O332" s="8"/>
      <c r="P332" s="8"/>
      <c r="Q332" s="8"/>
      <c r="R332" s="8"/>
      <c r="S332" s="8"/>
      <c r="T332" s="8"/>
      <c r="U332" s="8"/>
      <c r="V332" s="8"/>
      <c r="W332" s="8"/>
      <c r="X332" s="8"/>
      <c r="Y332" s="8"/>
    </row>
    <row r="333" spans="1:25" ht="16.5" customHeight="1" x14ac:dyDescent="0.2">
      <c r="A333" s="8"/>
      <c r="B333" s="8"/>
      <c r="C333" s="8"/>
      <c r="D333" s="8"/>
      <c r="E333" s="8"/>
      <c r="F333" s="8"/>
      <c r="G333" s="8"/>
      <c r="H333" s="8"/>
      <c r="I333" s="8"/>
      <c r="J333" s="8"/>
      <c r="K333" s="8"/>
      <c r="L333" s="8"/>
      <c r="M333" s="8"/>
      <c r="N333" s="8"/>
      <c r="O333" s="8"/>
      <c r="P333" s="8"/>
      <c r="Q333" s="8"/>
      <c r="R333" s="8"/>
      <c r="S333" s="8"/>
      <c r="T333" s="8"/>
      <c r="U333" s="8"/>
      <c r="V333" s="8"/>
      <c r="W333" s="8"/>
      <c r="X333" s="8"/>
      <c r="Y333" s="8"/>
    </row>
    <row r="334" spans="1:25" ht="16.5" customHeight="1" x14ac:dyDescent="0.2">
      <c r="A334" s="8"/>
      <c r="B334" s="8"/>
      <c r="C334" s="8"/>
      <c r="D334" s="8"/>
      <c r="E334" s="8"/>
      <c r="F334" s="8"/>
      <c r="G334" s="8"/>
      <c r="H334" s="8"/>
      <c r="I334" s="8"/>
      <c r="J334" s="8"/>
      <c r="K334" s="8"/>
      <c r="L334" s="8"/>
      <c r="M334" s="8"/>
      <c r="N334" s="8"/>
      <c r="O334" s="8"/>
      <c r="P334" s="8"/>
      <c r="Q334" s="8"/>
      <c r="R334" s="8"/>
      <c r="S334" s="8"/>
      <c r="T334" s="8"/>
      <c r="U334" s="8"/>
      <c r="V334" s="8"/>
      <c r="W334" s="8"/>
      <c r="X334" s="8"/>
      <c r="Y334" s="8"/>
    </row>
    <row r="335" spans="1:25" ht="16.5" customHeight="1" x14ac:dyDescent="0.2">
      <c r="A335" s="8"/>
      <c r="B335" s="8"/>
      <c r="C335" s="8"/>
      <c r="D335" s="8"/>
      <c r="E335" s="8"/>
      <c r="F335" s="8"/>
      <c r="G335" s="8"/>
      <c r="H335" s="8"/>
      <c r="I335" s="8"/>
      <c r="J335" s="8"/>
      <c r="K335" s="8"/>
      <c r="L335" s="8"/>
      <c r="M335" s="8"/>
      <c r="N335" s="8"/>
      <c r="O335" s="8"/>
      <c r="P335" s="8"/>
      <c r="Q335" s="8"/>
      <c r="R335" s="8"/>
      <c r="S335" s="8"/>
      <c r="T335" s="8"/>
      <c r="U335" s="8"/>
      <c r="V335" s="8"/>
      <c r="W335" s="8"/>
      <c r="X335" s="8"/>
      <c r="Y335" s="8"/>
    </row>
    <row r="336" spans="1:25" ht="16.5" customHeight="1" x14ac:dyDescent="0.2">
      <c r="A336" s="8"/>
      <c r="B336" s="8"/>
      <c r="C336" s="8"/>
      <c r="D336" s="8"/>
      <c r="E336" s="8"/>
      <c r="F336" s="8"/>
      <c r="G336" s="8"/>
      <c r="H336" s="8"/>
      <c r="I336" s="8"/>
      <c r="J336" s="8"/>
      <c r="K336" s="8"/>
      <c r="L336" s="8"/>
      <c r="M336" s="8"/>
      <c r="N336" s="8"/>
      <c r="O336" s="8"/>
      <c r="P336" s="8"/>
      <c r="Q336" s="8"/>
      <c r="R336" s="8"/>
      <c r="S336" s="8"/>
      <c r="T336" s="8"/>
      <c r="U336" s="8"/>
      <c r="V336" s="8"/>
      <c r="W336" s="8"/>
      <c r="X336" s="8"/>
      <c r="Y336" s="8"/>
    </row>
    <row r="337" spans="1:25" ht="16.5" customHeight="1" x14ac:dyDescent="0.2">
      <c r="A337" s="8"/>
      <c r="B337" s="8"/>
      <c r="C337" s="8"/>
      <c r="D337" s="8"/>
      <c r="E337" s="8"/>
      <c r="F337" s="8"/>
      <c r="G337" s="8"/>
      <c r="H337" s="8"/>
      <c r="I337" s="8"/>
      <c r="J337" s="8"/>
      <c r="K337" s="8"/>
      <c r="L337" s="8"/>
      <c r="M337" s="8"/>
      <c r="N337" s="8"/>
      <c r="O337" s="8"/>
      <c r="P337" s="8"/>
      <c r="Q337" s="8"/>
      <c r="R337" s="8"/>
      <c r="S337" s="8"/>
      <c r="T337" s="8"/>
      <c r="U337" s="8"/>
      <c r="V337" s="8"/>
      <c r="W337" s="8"/>
      <c r="X337" s="8"/>
      <c r="Y337" s="8"/>
    </row>
    <row r="338" spans="1:25" ht="16.5" customHeight="1" x14ac:dyDescent="0.2">
      <c r="A338" s="8"/>
      <c r="B338" s="8"/>
      <c r="C338" s="8"/>
      <c r="D338" s="8"/>
      <c r="E338" s="8"/>
      <c r="F338" s="8"/>
      <c r="G338" s="8"/>
      <c r="H338" s="8"/>
      <c r="I338" s="8"/>
      <c r="J338" s="8"/>
      <c r="K338" s="8"/>
      <c r="L338" s="8"/>
      <c r="M338" s="8"/>
      <c r="N338" s="8"/>
      <c r="O338" s="8"/>
      <c r="P338" s="8"/>
      <c r="Q338" s="8"/>
      <c r="R338" s="8"/>
      <c r="S338" s="8"/>
      <c r="T338" s="8"/>
      <c r="U338" s="8"/>
      <c r="V338" s="8"/>
      <c r="W338" s="8"/>
      <c r="X338" s="8"/>
      <c r="Y338" s="8"/>
    </row>
    <row r="339" spans="1:25" ht="16.5" customHeight="1" x14ac:dyDescent="0.2">
      <c r="A339" s="8"/>
      <c r="B339" s="8"/>
      <c r="C339" s="8"/>
      <c r="D339" s="8"/>
      <c r="E339" s="8"/>
      <c r="F339" s="8"/>
      <c r="G339" s="8"/>
      <c r="H339" s="8"/>
      <c r="I339" s="8"/>
      <c r="J339" s="8"/>
      <c r="K339" s="8"/>
      <c r="L339" s="8"/>
      <c r="M339" s="8"/>
      <c r="N339" s="8"/>
      <c r="O339" s="8"/>
      <c r="P339" s="8"/>
      <c r="Q339" s="8"/>
      <c r="R339" s="8"/>
      <c r="S339" s="8"/>
      <c r="T339" s="8"/>
      <c r="U339" s="8"/>
      <c r="V339" s="8"/>
      <c r="W339" s="8"/>
      <c r="X339" s="8"/>
      <c r="Y339" s="8"/>
    </row>
    <row r="340" spans="1:25" ht="16.5" customHeight="1" x14ac:dyDescent="0.2">
      <c r="A340" s="8"/>
      <c r="B340" s="8"/>
      <c r="C340" s="8"/>
      <c r="D340" s="8"/>
      <c r="E340" s="8"/>
      <c r="F340" s="8"/>
      <c r="G340" s="8"/>
      <c r="H340" s="8"/>
      <c r="I340" s="8"/>
      <c r="J340" s="8"/>
      <c r="K340" s="8"/>
      <c r="L340" s="8"/>
      <c r="M340" s="8"/>
      <c r="N340" s="8"/>
      <c r="O340" s="8"/>
      <c r="P340" s="8"/>
      <c r="Q340" s="8"/>
      <c r="R340" s="8"/>
      <c r="S340" s="8"/>
      <c r="T340" s="8"/>
      <c r="U340" s="8"/>
      <c r="V340" s="8"/>
      <c r="W340" s="8"/>
      <c r="X340" s="8"/>
      <c r="Y340" s="8"/>
    </row>
    <row r="341" spans="1:25" ht="16.5" customHeight="1" x14ac:dyDescent="0.2">
      <c r="A341" s="8"/>
      <c r="B341" s="8"/>
      <c r="C341" s="8"/>
      <c r="D341" s="8"/>
      <c r="E341" s="8"/>
      <c r="F341" s="8"/>
      <c r="G341" s="8"/>
      <c r="H341" s="8"/>
      <c r="I341" s="8"/>
      <c r="J341" s="8"/>
      <c r="K341" s="8"/>
      <c r="L341" s="8"/>
      <c r="M341" s="8"/>
      <c r="N341" s="8"/>
      <c r="O341" s="8"/>
      <c r="P341" s="8"/>
      <c r="Q341" s="8"/>
      <c r="R341" s="8"/>
      <c r="S341" s="8"/>
      <c r="T341" s="8"/>
      <c r="U341" s="8"/>
      <c r="V341" s="8"/>
      <c r="W341" s="8"/>
      <c r="X341" s="8"/>
      <c r="Y341" s="8"/>
    </row>
    <row r="342" spans="1:25" ht="16.5" customHeight="1" x14ac:dyDescent="0.2">
      <c r="A342" s="8"/>
      <c r="B342" s="8"/>
      <c r="C342" s="8"/>
      <c r="D342" s="8"/>
      <c r="E342" s="8"/>
      <c r="F342" s="8"/>
      <c r="G342" s="8"/>
      <c r="H342" s="8"/>
      <c r="I342" s="8"/>
      <c r="J342" s="8"/>
      <c r="K342" s="8"/>
      <c r="L342" s="8"/>
      <c r="M342" s="8"/>
      <c r="N342" s="8"/>
      <c r="O342" s="8"/>
      <c r="P342" s="8"/>
      <c r="Q342" s="8"/>
      <c r="R342" s="8"/>
      <c r="S342" s="8"/>
      <c r="T342" s="8"/>
      <c r="U342" s="8"/>
      <c r="V342" s="8"/>
      <c r="W342" s="8"/>
      <c r="X342" s="8"/>
      <c r="Y342" s="8"/>
    </row>
    <row r="343" spans="1:25" ht="16.5" customHeight="1" x14ac:dyDescent="0.2">
      <c r="A343" s="8"/>
      <c r="B343" s="8"/>
      <c r="C343" s="8"/>
      <c r="D343" s="8"/>
      <c r="E343" s="8"/>
      <c r="F343" s="8"/>
      <c r="G343" s="8"/>
      <c r="H343" s="8"/>
      <c r="I343" s="8"/>
      <c r="J343" s="8"/>
      <c r="K343" s="8"/>
      <c r="L343" s="8"/>
      <c r="M343" s="8"/>
      <c r="N343" s="8"/>
      <c r="O343" s="8"/>
      <c r="P343" s="8"/>
      <c r="Q343" s="8"/>
      <c r="R343" s="8"/>
      <c r="S343" s="8"/>
      <c r="T343" s="8"/>
      <c r="U343" s="8"/>
      <c r="V343" s="8"/>
      <c r="W343" s="8"/>
      <c r="X343" s="8"/>
      <c r="Y343" s="8"/>
    </row>
    <row r="344" spans="1:25" ht="16.5" customHeight="1" x14ac:dyDescent="0.2">
      <c r="A344" s="8"/>
      <c r="B344" s="8"/>
      <c r="C344" s="8"/>
      <c r="D344" s="8"/>
      <c r="E344" s="8"/>
      <c r="F344" s="8"/>
      <c r="G344" s="8"/>
      <c r="H344" s="8"/>
      <c r="I344" s="8"/>
      <c r="J344" s="8"/>
      <c r="K344" s="8"/>
      <c r="L344" s="8"/>
      <c r="M344" s="8"/>
      <c r="N344" s="8"/>
      <c r="O344" s="8"/>
      <c r="P344" s="8"/>
      <c r="Q344" s="8"/>
      <c r="R344" s="8"/>
      <c r="S344" s="8"/>
      <c r="T344" s="8"/>
      <c r="U344" s="8"/>
      <c r="V344" s="8"/>
      <c r="W344" s="8"/>
      <c r="X344" s="8"/>
      <c r="Y344" s="8"/>
    </row>
    <row r="345" spans="1:25" ht="16.5" customHeight="1" x14ac:dyDescent="0.2">
      <c r="A345" s="8"/>
      <c r="B345" s="8"/>
      <c r="C345" s="8"/>
      <c r="D345" s="8"/>
      <c r="E345" s="8"/>
      <c r="F345" s="8"/>
      <c r="G345" s="8"/>
      <c r="H345" s="8"/>
      <c r="I345" s="8"/>
      <c r="J345" s="8"/>
      <c r="K345" s="8"/>
      <c r="L345" s="8"/>
      <c r="M345" s="8"/>
      <c r="N345" s="8"/>
      <c r="O345" s="8"/>
      <c r="P345" s="8"/>
      <c r="Q345" s="8"/>
      <c r="R345" s="8"/>
      <c r="S345" s="8"/>
      <c r="T345" s="8"/>
      <c r="U345" s="8"/>
      <c r="V345" s="8"/>
      <c r="W345" s="8"/>
      <c r="X345" s="8"/>
      <c r="Y345" s="8"/>
    </row>
    <row r="346" spans="1:25" ht="16.5" customHeight="1" x14ac:dyDescent="0.2">
      <c r="A346" s="8"/>
      <c r="B346" s="8"/>
      <c r="C346" s="8"/>
      <c r="D346" s="8"/>
      <c r="E346" s="8"/>
      <c r="F346" s="8"/>
      <c r="G346" s="8"/>
      <c r="H346" s="8"/>
      <c r="I346" s="8"/>
      <c r="J346" s="8"/>
      <c r="K346" s="8"/>
      <c r="L346" s="8"/>
      <c r="M346" s="8"/>
      <c r="N346" s="8"/>
      <c r="O346" s="8"/>
      <c r="P346" s="8"/>
      <c r="Q346" s="8"/>
      <c r="R346" s="8"/>
      <c r="S346" s="8"/>
      <c r="T346" s="8"/>
      <c r="U346" s="8"/>
      <c r="V346" s="8"/>
      <c r="W346" s="8"/>
      <c r="X346" s="8"/>
      <c r="Y346" s="8"/>
    </row>
    <row r="347" spans="1:25" ht="16.5" customHeight="1" x14ac:dyDescent="0.2">
      <c r="A347" s="8"/>
      <c r="B347" s="8"/>
      <c r="C347" s="8"/>
      <c r="D347" s="8"/>
      <c r="E347" s="8"/>
      <c r="F347" s="8"/>
      <c r="G347" s="8"/>
      <c r="H347" s="8"/>
      <c r="I347" s="8"/>
      <c r="J347" s="8"/>
      <c r="K347" s="8"/>
      <c r="L347" s="8"/>
      <c r="M347" s="8"/>
      <c r="N347" s="8"/>
      <c r="O347" s="8"/>
      <c r="P347" s="8"/>
      <c r="Q347" s="8"/>
      <c r="R347" s="8"/>
      <c r="S347" s="8"/>
      <c r="T347" s="8"/>
      <c r="U347" s="8"/>
      <c r="V347" s="8"/>
      <c r="W347" s="8"/>
      <c r="X347" s="8"/>
      <c r="Y347" s="8"/>
    </row>
    <row r="348" spans="1:25" ht="16.5" customHeight="1" x14ac:dyDescent="0.2">
      <c r="A348" s="8"/>
      <c r="B348" s="8"/>
      <c r="C348" s="8"/>
      <c r="D348" s="8"/>
      <c r="E348" s="8"/>
      <c r="F348" s="8"/>
      <c r="G348" s="8"/>
      <c r="H348" s="8"/>
      <c r="I348" s="8"/>
      <c r="J348" s="8"/>
      <c r="K348" s="8"/>
      <c r="L348" s="8"/>
      <c r="M348" s="8"/>
      <c r="N348" s="8"/>
      <c r="O348" s="8"/>
      <c r="P348" s="8"/>
      <c r="Q348" s="8"/>
      <c r="R348" s="8"/>
      <c r="S348" s="8"/>
      <c r="T348" s="8"/>
      <c r="U348" s="8"/>
      <c r="V348" s="8"/>
      <c r="W348" s="8"/>
      <c r="X348" s="8"/>
      <c r="Y348" s="8"/>
    </row>
    <row r="349" spans="1:25" ht="16.5" customHeight="1" x14ac:dyDescent="0.2">
      <c r="A349" s="8"/>
      <c r="B349" s="8"/>
      <c r="C349" s="8"/>
      <c r="D349" s="8"/>
      <c r="E349" s="8"/>
      <c r="F349" s="8"/>
      <c r="G349" s="8"/>
      <c r="H349" s="8"/>
      <c r="I349" s="8"/>
      <c r="J349" s="8"/>
      <c r="K349" s="8"/>
      <c r="L349" s="8"/>
      <c r="M349" s="8"/>
      <c r="N349" s="8"/>
      <c r="O349" s="8"/>
      <c r="P349" s="8"/>
      <c r="Q349" s="8"/>
      <c r="R349" s="8"/>
      <c r="S349" s="8"/>
      <c r="T349" s="8"/>
      <c r="U349" s="8"/>
      <c r="V349" s="8"/>
      <c r="W349" s="8"/>
      <c r="X349" s="8"/>
      <c r="Y349" s="8"/>
    </row>
    <row r="350" spans="1:25" ht="16.5" customHeight="1" x14ac:dyDescent="0.2">
      <c r="A350" s="8"/>
      <c r="B350" s="8"/>
      <c r="C350" s="8"/>
      <c r="D350" s="8"/>
      <c r="E350" s="8"/>
      <c r="F350" s="8"/>
      <c r="G350" s="8"/>
      <c r="H350" s="8"/>
      <c r="I350" s="8"/>
      <c r="J350" s="8"/>
      <c r="K350" s="8"/>
      <c r="L350" s="8"/>
      <c r="M350" s="8"/>
      <c r="N350" s="8"/>
      <c r="O350" s="8"/>
      <c r="P350" s="8"/>
      <c r="Q350" s="8"/>
      <c r="R350" s="8"/>
      <c r="S350" s="8"/>
      <c r="T350" s="8"/>
      <c r="U350" s="8"/>
      <c r="V350" s="8"/>
      <c r="W350" s="8"/>
      <c r="X350" s="8"/>
      <c r="Y350" s="8"/>
    </row>
    <row r="351" spans="1:25" ht="16.5" customHeight="1" x14ac:dyDescent="0.2">
      <c r="A351" s="8"/>
      <c r="B351" s="8"/>
      <c r="C351" s="8"/>
      <c r="D351" s="8"/>
      <c r="E351" s="8"/>
      <c r="F351" s="8"/>
      <c r="G351" s="8"/>
      <c r="H351" s="8"/>
      <c r="I351" s="8"/>
      <c r="J351" s="8"/>
      <c r="K351" s="8"/>
      <c r="L351" s="8"/>
      <c r="M351" s="8"/>
      <c r="N351" s="8"/>
      <c r="O351" s="8"/>
      <c r="P351" s="8"/>
      <c r="Q351" s="8"/>
      <c r="R351" s="8"/>
      <c r="S351" s="8"/>
      <c r="T351" s="8"/>
      <c r="U351" s="8"/>
      <c r="V351" s="8"/>
      <c r="W351" s="8"/>
      <c r="X351" s="8"/>
      <c r="Y351" s="8"/>
    </row>
    <row r="352" spans="1:25" ht="16.5" customHeight="1" x14ac:dyDescent="0.2">
      <c r="A352" s="8"/>
      <c r="B352" s="8"/>
      <c r="C352" s="8"/>
      <c r="D352" s="8"/>
      <c r="E352" s="8"/>
      <c r="F352" s="8"/>
      <c r="G352" s="8"/>
      <c r="H352" s="8"/>
      <c r="I352" s="8"/>
      <c r="J352" s="8"/>
      <c r="K352" s="8"/>
      <c r="L352" s="8"/>
      <c r="M352" s="8"/>
      <c r="N352" s="8"/>
      <c r="O352" s="8"/>
      <c r="P352" s="8"/>
      <c r="Q352" s="8"/>
      <c r="R352" s="8"/>
      <c r="S352" s="8"/>
      <c r="T352" s="8"/>
      <c r="U352" s="8"/>
      <c r="V352" s="8"/>
      <c r="W352" s="8"/>
      <c r="X352" s="8"/>
      <c r="Y352" s="8"/>
    </row>
    <row r="353" spans="1:25" ht="16.5" customHeight="1" x14ac:dyDescent="0.2">
      <c r="A353" s="8"/>
      <c r="B353" s="8"/>
      <c r="C353" s="8"/>
      <c r="D353" s="8"/>
      <c r="E353" s="8"/>
      <c r="F353" s="8"/>
      <c r="G353" s="8"/>
      <c r="H353" s="8"/>
      <c r="I353" s="8"/>
      <c r="J353" s="8"/>
      <c r="K353" s="8"/>
      <c r="L353" s="8"/>
      <c r="M353" s="8"/>
      <c r="N353" s="8"/>
      <c r="O353" s="8"/>
      <c r="P353" s="8"/>
      <c r="Q353" s="8"/>
      <c r="R353" s="8"/>
      <c r="S353" s="8"/>
      <c r="T353" s="8"/>
      <c r="U353" s="8"/>
      <c r="V353" s="8"/>
      <c r="W353" s="8"/>
      <c r="X353" s="8"/>
      <c r="Y353" s="8"/>
    </row>
    <row r="354" spans="1:25" ht="16.5" customHeight="1" x14ac:dyDescent="0.2">
      <c r="A354" s="8"/>
      <c r="B354" s="8"/>
      <c r="C354" s="8"/>
      <c r="D354" s="8"/>
      <c r="E354" s="8"/>
      <c r="F354" s="8"/>
      <c r="G354" s="8"/>
      <c r="H354" s="8"/>
      <c r="I354" s="8"/>
      <c r="J354" s="8"/>
      <c r="K354" s="8"/>
      <c r="L354" s="8"/>
      <c r="M354" s="8"/>
      <c r="N354" s="8"/>
      <c r="O354" s="8"/>
      <c r="P354" s="8"/>
      <c r="Q354" s="8"/>
      <c r="R354" s="8"/>
      <c r="S354" s="8"/>
      <c r="T354" s="8"/>
      <c r="U354" s="8"/>
      <c r="V354" s="8"/>
      <c r="W354" s="8"/>
      <c r="X354" s="8"/>
      <c r="Y354" s="8"/>
    </row>
    <row r="355" spans="1:25" ht="16.5" customHeight="1" x14ac:dyDescent="0.2">
      <c r="A355" s="8"/>
      <c r="B355" s="8"/>
      <c r="C355" s="8"/>
      <c r="D355" s="8"/>
      <c r="E355" s="8"/>
      <c r="F355" s="8"/>
      <c r="G355" s="8"/>
      <c r="H355" s="8"/>
      <c r="I355" s="8"/>
      <c r="J355" s="8"/>
      <c r="K355" s="8"/>
      <c r="L355" s="8"/>
      <c r="M355" s="8"/>
      <c r="N355" s="8"/>
      <c r="O355" s="8"/>
      <c r="P355" s="8"/>
      <c r="Q355" s="8"/>
      <c r="R355" s="8"/>
      <c r="S355" s="8"/>
      <c r="T355" s="8"/>
      <c r="U355" s="8"/>
      <c r="V355" s="8"/>
      <c r="W355" s="8"/>
      <c r="X355" s="8"/>
      <c r="Y355" s="8"/>
    </row>
    <row r="356" spans="1:25" ht="16.5" customHeight="1" x14ac:dyDescent="0.2">
      <c r="A356" s="8"/>
      <c r="B356" s="8"/>
      <c r="C356" s="8"/>
      <c r="D356" s="8"/>
      <c r="E356" s="8"/>
      <c r="F356" s="8"/>
      <c r="G356" s="8"/>
      <c r="H356" s="8"/>
      <c r="I356" s="8"/>
      <c r="J356" s="8"/>
      <c r="K356" s="8"/>
      <c r="L356" s="8"/>
      <c r="M356" s="8"/>
      <c r="N356" s="8"/>
      <c r="O356" s="8"/>
      <c r="P356" s="8"/>
      <c r="Q356" s="8"/>
      <c r="R356" s="8"/>
      <c r="S356" s="8"/>
      <c r="T356" s="8"/>
      <c r="U356" s="8"/>
      <c r="V356" s="8"/>
      <c r="W356" s="8"/>
      <c r="X356" s="8"/>
      <c r="Y356" s="8"/>
    </row>
    <row r="357" spans="1:25" ht="16.5" customHeight="1" x14ac:dyDescent="0.2">
      <c r="A357" s="8"/>
      <c r="B357" s="8"/>
      <c r="C357" s="8"/>
      <c r="D357" s="8"/>
      <c r="E357" s="8"/>
      <c r="F357" s="8"/>
      <c r="G357" s="8"/>
      <c r="H357" s="8"/>
      <c r="I357" s="8"/>
      <c r="J357" s="8"/>
      <c r="K357" s="8"/>
      <c r="L357" s="8"/>
      <c r="M357" s="8"/>
      <c r="N357" s="8"/>
      <c r="O357" s="8"/>
      <c r="P357" s="8"/>
      <c r="Q357" s="8"/>
      <c r="R357" s="8"/>
      <c r="S357" s="8"/>
      <c r="T357" s="8"/>
      <c r="U357" s="8"/>
      <c r="V357" s="8"/>
      <c r="W357" s="8"/>
      <c r="X357" s="8"/>
      <c r="Y357" s="8"/>
    </row>
    <row r="358" spans="1:25" ht="16.5" customHeight="1" x14ac:dyDescent="0.2">
      <c r="A358" s="8"/>
      <c r="B358" s="8"/>
      <c r="C358" s="8"/>
      <c r="D358" s="8"/>
      <c r="E358" s="8"/>
      <c r="F358" s="8"/>
      <c r="G358" s="8"/>
      <c r="H358" s="8"/>
      <c r="I358" s="8"/>
      <c r="J358" s="8"/>
      <c r="K358" s="8"/>
      <c r="L358" s="8"/>
      <c r="M358" s="8"/>
      <c r="N358" s="8"/>
      <c r="O358" s="8"/>
      <c r="P358" s="8"/>
      <c r="Q358" s="8"/>
      <c r="R358" s="8"/>
      <c r="S358" s="8"/>
      <c r="T358" s="8"/>
      <c r="U358" s="8"/>
      <c r="V358" s="8"/>
      <c r="W358" s="8"/>
      <c r="X358" s="8"/>
      <c r="Y358" s="8"/>
    </row>
    <row r="359" spans="1:25" ht="16.5" customHeight="1" x14ac:dyDescent="0.2">
      <c r="A359" s="8"/>
      <c r="B359" s="8"/>
      <c r="C359" s="8"/>
      <c r="D359" s="8"/>
      <c r="E359" s="8"/>
      <c r="F359" s="8"/>
      <c r="G359" s="8"/>
      <c r="H359" s="8"/>
      <c r="I359" s="8"/>
      <c r="J359" s="8"/>
      <c r="K359" s="8"/>
      <c r="L359" s="8"/>
      <c r="M359" s="8"/>
      <c r="N359" s="8"/>
      <c r="O359" s="8"/>
      <c r="P359" s="8"/>
      <c r="Q359" s="8"/>
      <c r="R359" s="8"/>
      <c r="S359" s="8"/>
      <c r="T359" s="8"/>
      <c r="U359" s="8"/>
      <c r="V359" s="8"/>
      <c r="W359" s="8"/>
      <c r="X359" s="8"/>
      <c r="Y359" s="8"/>
    </row>
    <row r="360" spans="1:25" ht="16.5" customHeight="1" x14ac:dyDescent="0.2">
      <c r="A360" s="8"/>
      <c r="B360" s="8"/>
      <c r="C360" s="8"/>
      <c r="D360" s="8"/>
      <c r="E360" s="8"/>
      <c r="F360" s="8"/>
      <c r="G360" s="8"/>
      <c r="H360" s="8"/>
      <c r="I360" s="8"/>
      <c r="J360" s="8"/>
      <c r="K360" s="8"/>
      <c r="L360" s="8"/>
      <c r="M360" s="8"/>
      <c r="N360" s="8"/>
      <c r="O360" s="8"/>
      <c r="P360" s="8"/>
      <c r="Q360" s="8"/>
      <c r="R360" s="8"/>
      <c r="S360" s="8"/>
      <c r="T360" s="8"/>
      <c r="U360" s="8"/>
      <c r="V360" s="8"/>
      <c r="W360" s="8"/>
      <c r="X360" s="8"/>
      <c r="Y360" s="8"/>
    </row>
    <row r="361" spans="1:25" ht="16.5" customHeight="1" x14ac:dyDescent="0.2">
      <c r="A361" s="8"/>
      <c r="B361" s="8"/>
      <c r="C361" s="8"/>
      <c r="D361" s="8"/>
      <c r="E361" s="8"/>
      <c r="F361" s="8"/>
      <c r="G361" s="8"/>
      <c r="H361" s="8"/>
      <c r="I361" s="8"/>
      <c r="J361" s="8"/>
      <c r="K361" s="8"/>
      <c r="L361" s="8"/>
      <c r="M361" s="8"/>
      <c r="N361" s="8"/>
      <c r="O361" s="8"/>
      <c r="P361" s="8"/>
      <c r="Q361" s="8"/>
      <c r="R361" s="8"/>
      <c r="S361" s="8"/>
      <c r="T361" s="8"/>
      <c r="U361" s="8"/>
      <c r="V361" s="8"/>
      <c r="W361" s="8"/>
      <c r="X361" s="8"/>
      <c r="Y361" s="8"/>
    </row>
    <row r="362" spans="1:25" ht="16.5" customHeight="1" x14ac:dyDescent="0.2">
      <c r="A362" s="8"/>
      <c r="B362" s="8"/>
      <c r="C362" s="8"/>
      <c r="D362" s="8"/>
      <c r="E362" s="8"/>
      <c r="F362" s="8"/>
      <c r="G362" s="8"/>
      <c r="H362" s="8"/>
      <c r="I362" s="8"/>
      <c r="J362" s="8"/>
      <c r="K362" s="8"/>
      <c r="L362" s="8"/>
      <c r="M362" s="8"/>
      <c r="N362" s="8"/>
      <c r="O362" s="8"/>
      <c r="P362" s="8"/>
      <c r="Q362" s="8"/>
      <c r="R362" s="8"/>
      <c r="S362" s="8"/>
      <c r="T362" s="8"/>
      <c r="U362" s="8"/>
      <c r="V362" s="8"/>
      <c r="W362" s="8"/>
      <c r="X362" s="8"/>
      <c r="Y362" s="8"/>
    </row>
    <row r="363" spans="1:25" ht="16.5" customHeight="1" x14ac:dyDescent="0.2">
      <c r="A363" s="8"/>
      <c r="B363" s="8"/>
      <c r="C363" s="8"/>
      <c r="D363" s="8"/>
      <c r="E363" s="8"/>
      <c r="F363" s="8"/>
      <c r="G363" s="8"/>
      <c r="H363" s="8"/>
      <c r="I363" s="8"/>
      <c r="J363" s="8"/>
      <c r="K363" s="8"/>
      <c r="L363" s="8"/>
      <c r="M363" s="8"/>
      <c r="N363" s="8"/>
      <c r="O363" s="8"/>
      <c r="P363" s="8"/>
      <c r="Q363" s="8"/>
      <c r="R363" s="8"/>
      <c r="S363" s="8"/>
      <c r="T363" s="8"/>
      <c r="U363" s="8"/>
      <c r="V363" s="8"/>
      <c r="W363" s="8"/>
      <c r="X363" s="8"/>
      <c r="Y363" s="8"/>
    </row>
    <row r="364" spans="1:25" ht="16.5" customHeight="1" x14ac:dyDescent="0.2">
      <c r="A364" s="8"/>
      <c r="B364" s="8"/>
      <c r="C364" s="8"/>
      <c r="D364" s="8"/>
      <c r="E364" s="8"/>
      <c r="F364" s="8"/>
      <c r="G364" s="8"/>
      <c r="H364" s="8"/>
      <c r="I364" s="8"/>
      <c r="J364" s="8"/>
      <c r="K364" s="8"/>
      <c r="L364" s="8"/>
      <c r="M364" s="8"/>
      <c r="N364" s="8"/>
      <c r="O364" s="8"/>
      <c r="P364" s="8"/>
      <c r="Q364" s="8"/>
      <c r="R364" s="8"/>
      <c r="S364" s="8"/>
      <c r="T364" s="8"/>
      <c r="U364" s="8"/>
      <c r="V364" s="8"/>
      <c r="W364" s="8"/>
      <c r="X364" s="8"/>
      <c r="Y364" s="8"/>
    </row>
    <row r="365" spans="1:25" ht="16.5" customHeight="1" x14ac:dyDescent="0.2">
      <c r="A365" s="8"/>
      <c r="B365" s="8"/>
      <c r="C365" s="8"/>
      <c r="D365" s="8"/>
      <c r="E365" s="8"/>
      <c r="F365" s="8"/>
      <c r="G365" s="8"/>
      <c r="H365" s="8"/>
      <c r="I365" s="8"/>
      <c r="J365" s="8"/>
      <c r="K365" s="8"/>
      <c r="L365" s="8"/>
      <c r="M365" s="8"/>
      <c r="N365" s="8"/>
      <c r="O365" s="8"/>
      <c r="P365" s="8"/>
      <c r="Q365" s="8"/>
      <c r="R365" s="8"/>
      <c r="S365" s="8"/>
      <c r="T365" s="8"/>
      <c r="U365" s="8"/>
      <c r="V365" s="8"/>
      <c r="W365" s="8"/>
      <c r="X365" s="8"/>
      <c r="Y365" s="8"/>
    </row>
    <row r="366" spans="1:25" ht="16.5" customHeight="1" x14ac:dyDescent="0.2">
      <c r="A366" s="8"/>
      <c r="B366" s="8"/>
      <c r="C366" s="8"/>
      <c r="D366" s="8"/>
      <c r="E366" s="8"/>
      <c r="F366" s="8"/>
      <c r="G366" s="8"/>
      <c r="H366" s="8"/>
      <c r="I366" s="8"/>
      <c r="J366" s="8"/>
      <c r="K366" s="8"/>
      <c r="L366" s="8"/>
      <c r="M366" s="8"/>
      <c r="N366" s="8"/>
      <c r="O366" s="8"/>
      <c r="P366" s="8"/>
      <c r="Q366" s="8"/>
      <c r="R366" s="8"/>
      <c r="S366" s="8"/>
      <c r="T366" s="8"/>
      <c r="U366" s="8"/>
      <c r="V366" s="8"/>
      <c r="W366" s="8"/>
      <c r="X366" s="8"/>
      <c r="Y366" s="8"/>
    </row>
    <row r="367" spans="1:25" ht="16.5" customHeight="1" x14ac:dyDescent="0.2">
      <c r="A367" s="8"/>
      <c r="B367" s="8"/>
      <c r="C367" s="8"/>
      <c r="D367" s="8"/>
      <c r="E367" s="8"/>
      <c r="F367" s="8"/>
      <c r="G367" s="8"/>
      <c r="H367" s="8"/>
      <c r="I367" s="8"/>
      <c r="J367" s="8"/>
      <c r="K367" s="8"/>
      <c r="L367" s="8"/>
      <c r="M367" s="8"/>
      <c r="N367" s="8"/>
      <c r="O367" s="8"/>
      <c r="P367" s="8"/>
      <c r="Q367" s="8"/>
      <c r="R367" s="8"/>
      <c r="S367" s="8"/>
      <c r="T367" s="8"/>
      <c r="U367" s="8"/>
      <c r="V367" s="8"/>
      <c r="W367" s="8"/>
      <c r="X367" s="8"/>
      <c r="Y367" s="8"/>
    </row>
    <row r="368" spans="1:25" ht="16.5" customHeight="1" x14ac:dyDescent="0.2">
      <c r="A368" s="8"/>
      <c r="B368" s="8"/>
      <c r="C368" s="8"/>
      <c r="D368" s="8"/>
      <c r="E368" s="8"/>
      <c r="F368" s="8"/>
      <c r="G368" s="8"/>
      <c r="H368" s="8"/>
      <c r="I368" s="8"/>
      <c r="J368" s="8"/>
      <c r="K368" s="8"/>
      <c r="L368" s="8"/>
      <c r="M368" s="8"/>
      <c r="N368" s="8"/>
      <c r="O368" s="8"/>
      <c r="P368" s="8"/>
      <c r="Q368" s="8"/>
      <c r="R368" s="8"/>
      <c r="S368" s="8"/>
      <c r="T368" s="8"/>
      <c r="U368" s="8"/>
      <c r="V368" s="8"/>
      <c r="W368" s="8"/>
      <c r="X368" s="8"/>
      <c r="Y368" s="8"/>
    </row>
    <row r="369" spans="1:25" ht="16.5" customHeight="1" x14ac:dyDescent="0.2">
      <c r="A369" s="8"/>
      <c r="B369" s="8"/>
      <c r="C369" s="8"/>
      <c r="D369" s="8"/>
      <c r="E369" s="8"/>
      <c r="F369" s="8"/>
      <c r="G369" s="8"/>
      <c r="H369" s="8"/>
      <c r="I369" s="8"/>
      <c r="J369" s="8"/>
      <c r="K369" s="8"/>
      <c r="L369" s="8"/>
      <c r="M369" s="8"/>
      <c r="N369" s="8"/>
      <c r="O369" s="8"/>
      <c r="P369" s="8"/>
      <c r="Q369" s="8"/>
      <c r="R369" s="8"/>
      <c r="S369" s="8"/>
      <c r="T369" s="8"/>
      <c r="U369" s="8"/>
      <c r="V369" s="8"/>
      <c r="W369" s="8"/>
      <c r="X369" s="8"/>
      <c r="Y369" s="8"/>
    </row>
    <row r="370" spans="1:25" ht="16.5" customHeight="1" x14ac:dyDescent="0.2">
      <c r="A370" s="8"/>
      <c r="B370" s="8"/>
      <c r="C370" s="8"/>
      <c r="D370" s="8"/>
      <c r="E370" s="8"/>
      <c r="F370" s="8"/>
      <c r="G370" s="8"/>
      <c r="H370" s="8"/>
      <c r="I370" s="8"/>
      <c r="J370" s="8"/>
      <c r="K370" s="8"/>
      <c r="L370" s="8"/>
      <c r="M370" s="8"/>
      <c r="N370" s="8"/>
      <c r="O370" s="8"/>
      <c r="P370" s="8"/>
      <c r="Q370" s="8"/>
      <c r="R370" s="8"/>
      <c r="S370" s="8"/>
      <c r="T370" s="8"/>
      <c r="U370" s="8"/>
      <c r="V370" s="8"/>
      <c r="W370" s="8"/>
      <c r="X370" s="8"/>
      <c r="Y370" s="8"/>
    </row>
    <row r="371" spans="1:25" ht="16.5" customHeight="1" x14ac:dyDescent="0.2">
      <c r="A371" s="8"/>
      <c r="B371" s="8"/>
      <c r="C371" s="8"/>
      <c r="D371" s="8"/>
      <c r="E371" s="8"/>
      <c r="F371" s="8"/>
      <c r="G371" s="8"/>
      <c r="H371" s="8"/>
      <c r="I371" s="8"/>
      <c r="J371" s="8"/>
      <c r="K371" s="8"/>
      <c r="L371" s="8"/>
      <c r="M371" s="8"/>
      <c r="N371" s="8"/>
      <c r="O371" s="8"/>
      <c r="P371" s="8"/>
      <c r="Q371" s="8"/>
      <c r="R371" s="8"/>
      <c r="S371" s="8"/>
      <c r="T371" s="8"/>
      <c r="U371" s="8"/>
      <c r="V371" s="8"/>
      <c r="W371" s="8"/>
      <c r="X371" s="8"/>
      <c r="Y371" s="8"/>
    </row>
    <row r="372" spans="1:25" ht="16.5" customHeight="1" x14ac:dyDescent="0.2">
      <c r="A372" s="8"/>
      <c r="B372" s="8"/>
      <c r="C372" s="8"/>
      <c r="D372" s="8"/>
      <c r="E372" s="8"/>
      <c r="F372" s="8"/>
      <c r="G372" s="8"/>
      <c r="H372" s="8"/>
      <c r="I372" s="8"/>
      <c r="J372" s="8"/>
      <c r="K372" s="8"/>
      <c r="L372" s="8"/>
      <c r="M372" s="8"/>
      <c r="N372" s="8"/>
      <c r="O372" s="8"/>
      <c r="P372" s="8"/>
      <c r="Q372" s="8"/>
      <c r="R372" s="8"/>
      <c r="S372" s="8"/>
      <c r="T372" s="8"/>
      <c r="U372" s="8"/>
      <c r="V372" s="8"/>
      <c r="W372" s="8"/>
      <c r="X372" s="8"/>
      <c r="Y372" s="8"/>
    </row>
    <row r="373" spans="1:25" ht="16.5" customHeight="1" x14ac:dyDescent="0.2">
      <c r="A373" s="8"/>
      <c r="B373" s="8"/>
      <c r="C373" s="8"/>
      <c r="D373" s="8"/>
      <c r="E373" s="8"/>
      <c r="F373" s="8"/>
      <c r="G373" s="8"/>
      <c r="H373" s="8"/>
      <c r="I373" s="8"/>
      <c r="J373" s="8"/>
      <c r="K373" s="8"/>
      <c r="L373" s="8"/>
      <c r="M373" s="8"/>
      <c r="N373" s="8"/>
      <c r="O373" s="8"/>
      <c r="P373" s="8"/>
      <c r="Q373" s="8"/>
      <c r="R373" s="8"/>
      <c r="S373" s="8"/>
      <c r="T373" s="8"/>
      <c r="U373" s="8"/>
      <c r="V373" s="8"/>
      <c r="W373" s="8"/>
      <c r="X373" s="8"/>
      <c r="Y373" s="8"/>
    </row>
    <row r="374" spans="1:25" ht="16.5" customHeight="1" x14ac:dyDescent="0.2">
      <c r="A374" s="8"/>
      <c r="B374" s="8"/>
      <c r="C374" s="8"/>
      <c r="D374" s="8"/>
      <c r="E374" s="8"/>
      <c r="F374" s="8"/>
      <c r="G374" s="8"/>
      <c r="H374" s="8"/>
      <c r="I374" s="8"/>
      <c r="J374" s="8"/>
      <c r="K374" s="8"/>
      <c r="L374" s="8"/>
      <c r="M374" s="8"/>
      <c r="N374" s="8"/>
      <c r="O374" s="8"/>
      <c r="P374" s="8"/>
      <c r="Q374" s="8"/>
      <c r="R374" s="8"/>
      <c r="S374" s="8"/>
      <c r="T374" s="8"/>
      <c r="U374" s="8"/>
      <c r="V374" s="8"/>
      <c r="W374" s="8"/>
      <c r="X374" s="8"/>
      <c r="Y374" s="8"/>
    </row>
    <row r="375" spans="1:25" ht="16.5" customHeight="1" x14ac:dyDescent="0.2">
      <c r="A375" s="8"/>
      <c r="B375" s="8"/>
      <c r="C375" s="8"/>
      <c r="D375" s="8"/>
      <c r="E375" s="8"/>
      <c r="F375" s="8"/>
      <c r="G375" s="8"/>
      <c r="H375" s="8"/>
      <c r="I375" s="8"/>
      <c r="J375" s="8"/>
      <c r="K375" s="8"/>
      <c r="L375" s="8"/>
      <c r="M375" s="8"/>
      <c r="N375" s="8"/>
      <c r="O375" s="8"/>
      <c r="P375" s="8"/>
      <c r="Q375" s="8"/>
      <c r="R375" s="8"/>
      <c r="S375" s="8"/>
      <c r="T375" s="8"/>
      <c r="U375" s="8"/>
      <c r="V375" s="8"/>
      <c r="W375" s="8"/>
      <c r="X375" s="8"/>
      <c r="Y375" s="8"/>
    </row>
    <row r="376" spans="1:25" ht="16.5" customHeight="1" x14ac:dyDescent="0.2">
      <c r="A376" s="8"/>
      <c r="B376" s="8"/>
      <c r="C376" s="8"/>
      <c r="D376" s="8"/>
      <c r="E376" s="8"/>
      <c r="F376" s="8"/>
      <c r="G376" s="8"/>
      <c r="H376" s="8"/>
      <c r="I376" s="8"/>
      <c r="J376" s="8"/>
      <c r="K376" s="8"/>
      <c r="L376" s="8"/>
      <c r="M376" s="8"/>
      <c r="N376" s="8"/>
      <c r="O376" s="8"/>
      <c r="P376" s="8"/>
      <c r="Q376" s="8"/>
      <c r="R376" s="8"/>
      <c r="S376" s="8"/>
      <c r="T376" s="8"/>
      <c r="U376" s="8"/>
      <c r="V376" s="8"/>
      <c r="W376" s="8"/>
      <c r="X376" s="8"/>
      <c r="Y376" s="8"/>
    </row>
    <row r="377" spans="1:25" ht="16.5" customHeight="1" x14ac:dyDescent="0.2">
      <c r="A377" s="8"/>
      <c r="B377" s="8"/>
      <c r="C377" s="8"/>
      <c r="D377" s="8"/>
      <c r="E377" s="8"/>
      <c r="F377" s="8"/>
      <c r="G377" s="8"/>
      <c r="H377" s="8"/>
      <c r="I377" s="8"/>
      <c r="J377" s="8"/>
      <c r="K377" s="8"/>
      <c r="L377" s="8"/>
      <c r="M377" s="8"/>
      <c r="N377" s="8"/>
      <c r="O377" s="8"/>
      <c r="P377" s="8"/>
      <c r="Q377" s="8"/>
      <c r="R377" s="8"/>
      <c r="S377" s="8"/>
      <c r="T377" s="8"/>
      <c r="U377" s="8"/>
      <c r="V377" s="8"/>
      <c r="W377" s="8"/>
      <c r="X377" s="8"/>
      <c r="Y377" s="8"/>
    </row>
    <row r="378" spans="1:25" ht="16.5" customHeight="1" x14ac:dyDescent="0.2">
      <c r="A378" s="8"/>
      <c r="B378" s="8"/>
      <c r="C378" s="8"/>
      <c r="D378" s="8"/>
      <c r="E378" s="8"/>
      <c r="F378" s="8"/>
      <c r="G378" s="8"/>
      <c r="H378" s="8"/>
      <c r="I378" s="8"/>
      <c r="J378" s="8"/>
      <c r="K378" s="8"/>
      <c r="L378" s="8"/>
      <c r="M378" s="8"/>
      <c r="N378" s="8"/>
      <c r="O378" s="8"/>
      <c r="P378" s="8"/>
      <c r="Q378" s="8"/>
      <c r="R378" s="8"/>
      <c r="S378" s="8"/>
      <c r="T378" s="8"/>
      <c r="U378" s="8"/>
      <c r="V378" s="8"/>
      <c r="W378" s="8"/>
      <c r="X378" s="8"/>
      <c r="Y378" s="8"/>
    </row>
    <row r="379" spans="1:25" ht="16.5" customHeight="1" x14ac:dyDescent="0.2">
      <c r="A379" s="8"/>
      <c r="B379" s="8"/>
      <c r="C379" s="8"/>
      <c r="D379" s="8"/>
      <c r="E379" s="8"/>
      <c r="F379" s="8"/>
      <c r="G379" s="8"/>
      <c r="H379" s="8"/>
      <c r="I379" s="8"/>
      <c r="J379" s="8"/>
      <c r="K379" s="8"/>
      <c r="L379" s="8"/>
      <c r="M379" s="8"/>
      <c r="N379" s="8"/>
      <c r="O379" s="8"/>
      <c r="P379" s="8"/>
      <c r="Q379" s="8"/>
      <c r="R379" s="8"/>
      <c r="S379" s="8"/>
      <c r="T379" s="8"/>
      <c r="U379" s="8"/>
      <c r="V379" s="8"/>
      <c r="W379" s="8"/>
      <c r="X379" s="8"/>
      <c r="Y379" s="8"/>
    </row>
    <row r="380" spans="1:25" ht="16.5" customHeight="1" x14ac:dyDescent="0.2">
      <c r="A380" s="8"/>
      <c r="B380" s="8"/>
      <c r="C380" s="8"/>
      <c r="D380" s="8"/>
      <c r="E380" s="8"/>
      <c r="F380" s="8"/>
      <c r="G380" s="8"/>
      <c r="H380" s="8"/>
      <c r="I380" s="8"/>
      <c r="J380" s="8"/>
      <c r="K380" s="8"/>
      <c r="L380" s="8"/>
      <c r="M380" s="8"/>
      <c r="N380" s="8"/>
      <c r="O380" s="8"/>
      <c r="P380" s="8"/>
      <c r="Q380" s="8"/>
      <c r="R380" s="8"/>
      <c r="S380" s="8"/>
      <c r="T380" s="8"/>
      <c r="U380" s="8"/>
      <c r="V380" s="8"/>
      <c r="W380" s="8"/>
      <c r="X380" s="8"/>
      <c r="Y380" s="8"/>
    </row>
    <row r="381" spans="1:25" ht="16.5" customHeight="1" x14ac:dyDescent="0.2">
      <c r="A381" s="8"/>
      <c r="B381" s="8"/>
      <c r="C381" s="8"/>
      <c r="D381" s="8"/>
      <c r="E381" s="8"/>
      <c r="F381" s="8"/>
      <c r="G381" s="8"/>
      <c r="H381" s="8"/>
      <c r="I381" s="8"/>
      <c r="J381" s="8"/>
      <c r="K381" s="8"/>
      <c r="L381" s="8"/>
      <c r="M381" s="8"/>
      <c r="N381" s="8"/>
      <c r="O381" s="8"/>
      <c r="P381" s="8"/>
      <c r="Q381" s="8"/>
      <c r="R381" s="8"/>
      <c r="S381" s="8"/>
      <c r="T381" s="8"/>
      <c r="U381" s="8"/>
      <c r="V381" s="8"/>
      <c r="W381" s="8"/>
      <c r="X381" s="8"/>
      <c r="Y381" s="8"/>
    </row>
    <row r="382" spans="1:25" ht="16.5" customHeight="1" x14ac:dyDescent="0.2">
      <c r="A382" s="8"/>
      <c r="B382" s="8"/>
      <c r="C382" s="8"/>
      <c r="D382" s="8"/>
      <c r="E382" s="8"/>
      <c r="F382" s="8"/>
      <c r="G382" s="8"/>
      <c r="H382" s="8"/>
      <c r="I382" s="8"/>
      <c r="J382" s="8"/>
      <c r="K382" s="8"/>
      <c r="L382" s="8"/>
      <c r="M382" s="8"/>
      <c r="N382" s="8"/>
      <c r="O382" s="8"/>
      <c r="P382" s="8"/>
      <c r="Q382" s="8"/>
      <c r="R382" s="8"/>
      <c r="S382" s="8"/>
      <c r="T382" s="8"/>
      <c r="U382" s="8"/>
      <c r="V382" s="8"/>
      <c r="W382" s="8"/>
      <c r="X382" s="8"/>
      <c r="Y382" s="8"/>
    </row>
    <row r="383" spans="1:25" ht="16.5" customHeight="1" x14ac:dyDescent="0.2">
      <c r="A383" s="8"/>
      <c r="B383" s="8"/>
      <c r="C383" s="8"/>
      <c r="D383" s="8"/>
      <c r="E383" s="8"/>
      <c r="F383" s="8"/>
      <c r="G383" s="8"/>
      <c r="H383" s="8"/>
      <c r="I383" s="8"/>
      <c r="J383" s="8"/>
      <c r="K383" s="8"/>
      <c r="L383" s="8"/>
      <c r="M383" s="8"/>
      <c r="N383" s="8"/>
      <c r="O383" s="8"/>
      <c r="P383" s="8"/>
      <c r="Q383" s="8"/>
      <c r="R383" s="8"/>
      <c r="S383" s="8"/>
      <c r="T383" s="8"/>
      <c r="U383" s="8"/>
      <c r="V383" s="8"/>
      <c r="W383" s="8"/>
      <c r="X383" s="8"/>
      <c r="Y383" s="8"/>
    </row>
    <row r="384" spans="1:25" ht="16.5" customHeight="1" x14ac:dyDescent="0.2">
      <c r="A384" s="8"/>
      <c r="B384" s="8"/>
      <c r="C384" s="8"/>
      <c r="D384" s="8"/>
      <c r="E384" s="8"/>
      <c r="F384" s="8"/>
      <c r="G384" s="8"/>
      <c r="H384" s="8"/>
      <c r="I384" s="8"/>
      <c r="J384" s="8"/>
      <c r="K384" s="8"/>
      <c r="L384" s="8"/>
      <c r="M384" s="8"/>
      <c r="N384" s="8"/>
      <c r="O384" s="8"/>
      <c r="P384" s="8"/>
      <c r="Q384" s="8"/>
      <c r="R384" s="8"/>
      <c r="S384" s="8"/>
      <c r="T384" s="8"/>
      <c r="U384" s="8"/>
      <c r="V384" s="8"/>
      <c r="W384" s="8"/>
      <c r="X384" s="8"/>
      <c r="Y384" s="8"/>
    </row>
    <row r="385" spans="1:25" ht="16.5" customHeight="1" x14ac:dyDescent="0.2">
      <c r="A385" s="8"/>
      <c r="B385" s="8"/>
      <c r="C385" s="8"/>
      <c r="D385" s="8"/>
      <c r="E385" s="8"/>
      <c r="F385" s="8"/>
      <c r="G385" s="8"/>
      <c r="H385" s="8"/>
      <c r="I385" s="8"/>
      <c r="J385" s="8"/>
      <c r="K385" s="8"/>
      <c r="L385" s="8"/>
      <c r="M385" s="8"/>
      <c r="N385" s="8"/>
      <c r="O385" s="8"/>
      <c r="P385" s="8"/>
      <c r="Q385" s="8"/>
      <c r="R385" s="8"/>
      <c r="S385" s="8"/>
      <c r="T385" s="8"/>
      <c r="U385" s="8"/>
      <c r="V385" s="8"/>
      <c r="W385" s="8"/>
      <c r="X385" s="8"/>
      <c r="Y385" s="8"/>
    </row>
    <row r="386" spans="1:25" ht="16.5" customHeight="1" x14ac:dyDescent="0.2">
      <c r="A386" s="8"/>
      <c r="B386" s="8"/>
      <c r="C386" s="8"/>
      <c r="D386" s="8"/>
      <c r="E386" s="8"/>
      <c r="F386" s="8"/>
      <c r="G386" s="8"/>
      <c r="H386" s="8"/>
      <c r="I386" s="8"/>
      <c r="J386" s="8"/>
      <c r="K386" s="8"/>
      <c r="L386" s="8"/>
      <c r="M386" s="8"/>
      <c r="N386" s="8"/>
      <c r="O386" s="8"/>
      <c r="P386" s="8"/>
      <c r="Q386" s="8"/>
      <c r="R386" s="8"/>
      <c r="S386" s="8"/>
      <c r="T386" s="8"/>
      <c r="U386" s="8"/>
      <c r="V386" s="8"/>
      <c r="W386" s="8"/>
      <c r="X386" s="8"/>
      <c r="Y386" s="8"/>
    </row>
    <row r="387" spans="1:25" ht="16.5" customHeight="1" x14ac:dyDescent="0.2">
      <c r="A387" s="8"/>
      <c r="B387" s="8"/>
      <c r="C387" s="8"/>
      <c r="D387" s="8"/>
      <c r="E387" s="8"/>
      <c r="F387" s="8"/>
      <c r="G387" s="8"/>
      <c r="H387" s="8"/>
      <c r="I387" s="8"/>
      <c r="J387" s="8"/>
      <c r="K387" s="8"/>
      <c r="L387" s="8"/>
      <c r="M387" s="8"/>
      <c r="N387" s="8"/>
      <c r="O387" s="8"/>
      <c r="P387" s="8"/>
      <c r="Q387" s="8"/>
      <c r="R387" s="8"/>
      <c r="S387" s="8"/>
      <c r="T387" s="8"/>
      <c r="U387" s="8"/>
      <c r="V387" s="8"/>
      <c r="W387" s="8"/>
      <c r="X387" s="8"/>
      <c r="Y387" s="8"/>
    </row>
    <row r="388" spans="1:25" ht="16.5" customHeight="1" x14ac:dyDescent="0.2">
      <c r="A388" s="8"/>
      <c r="B388" s="8"/>
      <c r="C388" s="8"/>
      <c r="D388" s="8"/>
      <c r="E388" s="8"/>
      <c r="F388" s="8"/>
      <c r="G388" s="8"/>
      <c r="H388" s="8"/>
      <c r="I388" s="8"/>
      <c r="J388" s="8"/>
      <c r="K388" s="8"/>
      <c r="L388" s="8"/>
      <c r="M388" s="8"/>
      <c r="N388" s="8"/>
      <c r="O388" s="8"/>
      <c r="P388" s="8"/>
      <c r="Q388" s="8"/>
      <c r="R388" s="8"/>
      <c r="S388" s="8"/>
      <c r="T388" s="8"/>
      <c r="U388" s="8"/>
      <c r="V388" s="8"/>
      <c r="W388" s="8"/>
      <c r="X388" s="8"/>
      <c r="Y388" s="8"/>
    </row>
    <row r="389" spans="1:25" ht="16.5" customHeight="1" x14ac:dyDescent="0.2">
      <c r="A389" s="8"/>
      <c r="B389" s="8"/>
      <c r="C389" s="8"/>
      <c r="D389" s="8"/>
      <c r="E389" s="8"/>
      <c r="F389" s="8"/>
      <c r="G389" s="8"/>
      <c r="H389" s="8"/>
      <c r="I389" s="8"/>
      <c r="J389" s="8"/>
      <c r="K389" s="8"/>
      <c r="L389" s="8"/>
      <c r="M389" s="8"/>
      <c r="N389" s="8"/>
      <c r="O389" s="8"/>
      <c r="P389" s="8"/>
      <c r="Q389" s="8"/>
      <c r="R389" s="8"/>
      <c r="S389" s="8"/>
      <c r="T389" s="8"/>
      <c r="U389" s="8"/>
      <c r="V389" s="8"/>
      <c r="W389" s="8"/>
      <c r="X389" s="8"/>
      <c r="Y389" s="8"/>
    </row>
    <row r="390" spans="1:25" ht="16.5" customHeight="1" x14ac:dyDescent="0.2">
      <c r="A390" s="8"/>
      <c r="B390" s="8"/>
      <c r="C390" s="8"/>
      <c r="D390" s="8"/>
      <c r="E390" s="8"/>
      <c r="F390" s="8"/>
      <c r="G390" s="8"/>
      <c r="H390" s="8"/>
      <c r="I390" s="8"/>
      <c r="J390" s="8"/>
      <c r="K390" s="8"/>
      <c r="L390" s="8"/>
      <c r="M390" s="8"/>
      <c r="N390" s="8"/>
      <c r="O390" s="8"/>
      <c r="P390" s="8"/>
      <c r="Q390" s="8"/>
      <c r="R390" s="8"/>
      <c r="S390" s="8"/>
      <c r="T390" s="8"/>
      <c r="U390" s="8"/>
      <c r="V390" s="8"/>
      <c r="W390" s="8"/>
      <c r="X390" s="8"/>
      <c r="Y390" s="8"/>
    </row>
    <row r="391" spans="1:25" ht="16.5" customHeight="1" x14ac:dyDescent="0.2">
      <c r="A391" s="8"/>
      <c r="B391" s="8"/>
      <c r="C391" s="8"/>
      <c r="D391" s="8"/>
      <c r="E391" s="8"/>
      <c r="F391" s="8"/>
      <c r="G391" s="8"/>
      <c r="H391" s="8"/>
      <c r="I391" s="8"/>
      <c r="J391" s="8"/>
      <c r="K391" s="8"/>
      <c r="L391" s="8"/>
      <c r="M391" s="8"/>
      <c r="N391" s="8"/>
      <c r="O391" s="8"/>
      <c r="P391" s="8"/>
      <c r="Q391" s="8"/>
      <c r="R391" s="8"/>
      <c r="S391" s="8"/>
      <c r="T391" s="8"/>
      <c r="U391" s="8"/>
      <c r="V391" s="8"/>
      <c r="W391" s="8"/>
      <c r="X391" s="8"/>
      <c r="Y391" s="8"/>
    </row>
    <row r="392" spans="1:25" ht="16.5" customHeight="1" x14ac:dyDescent="0.2">
      <c r="A392" s="8"/>
      <c r="B392" s="8"/>
      <c r="C392" s="8"/>
      <c r="D392" s="8"/>
      <c r="E392" s="8"/>
      <c r="F392" s="8"/>
      <c r="G392" s="8"/>
      <c r="H392" s="8"/>
      <c r="I392" s="8"/>
      <c r="J392" s="8"/>
      <c r="K392" s="8"/>
      <c r="L392" s="8"/>
      <c r="M392" s="8"/>
      <c r="N392" s="8"/>
      <c r="O392" s="8"/>
      <c r="P392" s="8"/>
      <c r="Q392" s="8"/>
      <c r="R392" s="8"/>
      <c r="S392" s="8"/>
      <c r="T392" s="8"/>
      <c r="U392" s="8"/>
      <c r="V392" s="8"/>
      <c r="W392" s="8"/>
      <c r="X392" s="8"/>
      <c r="Y392" s="8"/>
    </row>
    <row r="393" spans="1:25" ht="16.5" customHeight="1" x14ac:dyDescent="0.2">
      <c r="A393" s="8"/>
      <c r="B393" s="8"/>
      <c r="C393" s="8"/>
      <c r="D393" s="8"/>
      <c r="E393" s="8"/>
      <c r="F393" s="8"/>
      <c r="G393" s="8"/>
      <c r="H393" s="8"/>
      <c r="I393" s="8"/>
      <c r="J393" s="8"/>
      <c r="K393" s="8"/>
      <c r="L393" s="8"/>
      <c r="M393" s="8"/>
      <c r="N393" s="8"/>
      <c r="O393" s="8"/>
      <c r="P393" s="8"/>
      <c r="Q393" s="8"/>
      <c r="R393" s="8"/>
      <c r="S393" s="8"/>
      <c r="T393" s="8"/>
      <c r="U393" s="8"/>
      <c r="V393" s="8"/>
      <c r="W393" s="8"/>
      <c r="X393" s="8"/>
      <c r="Y393" s="8"/>
    </row>
    <row r="394" spans="1:25" ht="16.5" customHeight="1" x14ac:dyDescent="0.2">
      <c r="A394" s="8"/>
      <c r="B394" s="8"/>
      <c r="C394" s="8"/>
      <c r="D394" s="8"/>
      <c r="E394" s="8"/>
      <c r="F394" s="8"/>
      <c r="G394" s="8"/>
      <c r="H394" s="8"/>
      <c r="I394" s="8"/>
      <c r="J394" s="8"/>
      <c r="K394" s="8"/>
      <c r="L394" s="8"/>
      <c r="M394" s="8"/>
      <c r="N394" s="8"/>
      <c r="O394" s="8"/>
      <c r="P394" s="8"/>
      <c r="Q394" s="8"/>
      <c r="R394" s="8"/>
      <c r="S394" s="8"/>
      <c r="T394" s="8"/>
      <c r="U394" s="8"/>
      <c r="V394" s="8"/>
      <c r="W394" s="8"/>
      <c r="X394" s="8"/>
      <c r="Y394" s="8"/>
    </row>
    <row r="395" spans="1:25" ht="16.5" customHeight="1" x14ac:dyDescent="0.2">
      <c r="A395" s="8"/>
      <c r="B395" s="8"/>
      <c r="C395" s="8"/>
      <c r="D395" s="8"/>
      <c r="E395" s="8"/>
      <c r="F395" s="8"/>
      <c r="G395" s="8"/>
      <c r="H395" s="8"/>
      <c r="I395" s="8"/>
      <c r="J395" s="8"/>
      <c r="K395" s="8"/>
      <c r="L395" s="8"/>
      <c r="M395" s="8"/>
      <c r="N395" s="8"/>
      <c r="O395" s="8"/>
      <c r="P395" s="8"/>
      <c r="Q395" s="8"/>
      <c r="R395" s="8"/>
      <c r="S395" s="8"/>
      <c r="T395" s="8"/>
      <c r="U395" s="8"/>
      <c r="V395" s="8"/>
      <c r="W395" s="8"/>
      <c r="X395" s="8"/>
      <c r="Y395" s="8"/>
    </row>
    <row r="396" spans="1:25" ht="16.5" customHeight="1" x14ac:dyDescent="0.2">
      <c r="A396" s="8"/>
      <c r="B396" s="8"/>
      <c r="C396" s="8"/>
      <c r="D396" s="8"/>
      <c r="E396" s="8"/>
      <c r="F396" s="8"/>
      <c r="G396" s="8"/>
      <c r="H396" s="8"/>
      <c r="I396" s="8"/>
      <c r="J396" s="8"/>
      <c r="K396" s="8"/>
      <c r="L396" s="8"/>
      <c r="M396" s="8"/>
      <c r="N396" s="8"/>
      <c r="O396" s="8"/>
      <c r="P396" s="8"/>
      <c r="Q396" s="8"/>
      <c r="R396" s="8"/>
      <c r="S396" s="8"/>
      <c r="T396" s="8"/>
      <c r="U396" s="8"/>
      <c r="V396" s="8"/>
      <c r="W396" s="8"/>
      <c r="X396" s="8"/>
      <c r="Y396" s="8"/>
    </row>
    <row r="397" spans="1:25" ht="16.5" customHeight="1" x14ac:dyDescent="0.2">
      <c r="A397" s="8"/>
      <c r="B397" s="8"/>
      <c r="C397" s="8"/>
      <c r="D397" s="8"/>
      <c r="E397" s="8"/>
      <c r="F397" s="8"/>
      <c r="G397" s="8"/>
      <c r="H397" s="8"/>
      <c r="I397" s="8"/>
      <c r="J397" s="8"/>
      <c r="K397" s="8"/>
      <c r="L397" s="8"/>
      <c r="M397" s="8"/>
      <c r="N397" s="8"/>
      <c r="O397" s="8"/>
      <c r="P397" s="8"/>
      <c r="Q397" s="8"/>
      <c r="R397" s="8"/>
      <c r="S397" s="8"/>
      <c r="T397" s="8"/>
      <c r="U397" s="8"/>
      <c r="V397" s="8"/>
      <c r="W397" s="8"/>
      <c r="X397" s="8"/>
      <c r="Y397" s="8"/>
    </row>
    <row r="398" spans="1:25" ht="16.5" customHeight="1" x14ac:dyDescent="0.2">
      <c r="A398" s="8"/>
      <c r="B398" s="8"/>
      <c r="C398" s="8"/>
      <c r="D398" s="8"/>
      <c r="E398" s="8"/>
      <c r="F398" s="8"/>
      <c r="G398" s="8"/>
      <c r="H398" s="8"/>
      <c r="I398" s="8"/>
      <c r="J398" s="8"/>
      <c r="K398" s="8"/>
      <c r="L398" s="8"/>
      <c r="M398" s="8"/>
      <c r="N398" s="8"/>
      <c r="O398" s="8"/>
      <c r="P398" s="8"/>
      <c r="Q398" s="8"/>
      <c r="R398" s="8"/>
      <c r="S398" s="8"/>
      <c r="T398" s="8"/>
      <c r="U398" s="8"/>
      <c r="V398" s="8"/>
      <c r="W398" s="8"/>
      <c r="X398" s="8"/>
      <c r="Y398" s="8"/>
    </row>
    <row r="399" spans="1:25" ht="16.5" customHeight="1" x14ac:dyDescent="0.2">
      <c r="A399" s="8"/>
      <c r="B399" s="8"/>
      <c r="C399" s="8"/>
      <c r="D399" s="8"/>
      <c r="E399" s="8"/>
      <c r="F399" s="8"/>
      <c r="G399" s="8"/>
      <c r="H399" s="8"/>
      <c r="I399" s="8"/>
      <c r="J399" s="8"/>
      <c r="K399" s="8"/>
      <c r="L399" s="8"/>
      <c r="M399" s="8"/>
      <c r="N399" s="8"/>
      <c r="O399" s="8"/>
      <c r="P399" s="8"/>
      <c r="Q399" s="8"/>
      <c r="R399" s="8"/>
      <c r="S399" s="8"/>
      <c r="T399" s="8"/>
      <c r="U399" s="8"/>
      <c r="V399" s="8"/>
      <c r="W399" s="8"/>
      <c r="X399" s="8"/>
      <c r="Y399" s="8"/>
    </row>
    <row r="400" spans="1:25" ht="16.5" customHeight="1" x14ac:dyDescent="0.2">
      <c r="A400" s="8"/>
      <c r="B400" s="8"/>
      <c r="C400" s="8"/>
      <c r="D400" s="8"/>
      <c r="E400" s="8"/>
      <c r="F400" s="8"/>
      <c r="G400" s="8"/>
      <c r="H400" s="8"/>
      <c r="I400" s="8"/>
      <c r="J400" s="8"/>
      <c r="K400" s="8"/>
      <c r="L400" s="8"/>
      <c r="M400" s="8"/>
      <c r="N400" s="8"/>
      <c r="O400" s="8"/>
      <c r="P400" s="8"/>
      <c r="Q400" s="8"/>
      <c r="R400" s="8"/>
      <c r="S400" s="8"/>
      <c r="T400" s="8"/>
      <c r="U400" s="8"/>
      <c r="V400" s="8"/>
      <c r="W400" s="8"/>
      <c r="X400" s="8"/>
      <c r="Y400" s="8"/>
    </row>
    <row r="401" spans="1:25" ht="16.5" customHeight="1" x14ac:dyDescent="0.2">
      <c r="A401" s="8"/>
      <c r="B401" s="8"/>
      <c r="C401" s="8"/>
      <c r="D401" s="8"/>
      <c r="E401" s="8"/>
      <c r="F401" s="8"/>
      <c r="G401" s="8"/>
      <c r="H401" s="8"/>
      <c r="I401" s="8"/>
      <c r="J401" s="8"/>
      <c r="K401" s="8"/>
      <c r="L401" s="8"/>
      <c r="M401" s="8"/>
      <c r="N401" s="8"/>
      <c r="O401" s="8"/>
      <c r="P401" s="8"/>
      <c r="Q401" s="8"/>
      <c r="R401" s="8"/>
      <c r="S401" s="8"/>
      <c r="T401" s="8"/>
      <c r="U401" s="8"/>
      <c r="V401" s="8"/>
      <c r="W401" s="8"/>
      <c r="X401" s="8"/>
      <c r="Y401" s="8"/>
    </row>
    <row r="402" spans="1:25" ht="16.5" customHeight="1" x14ac:dyDescent="0.2">
      <c r="A402" s="8"/>
      <c r="B402" s="8"/>
      <c r="C402" s="8"/>
      <c r="D402" s="8"/>
      <c r="E402" s="8"/>
      <c r="F402" s="8"/>
      <c r="G402" s="8"/>
      <c r="H402" s="8"/>
      <c r="I402" s="8"/>
      <c r="J402" s="8"/>
      <c r="K402" s="8"/>
      <c r="L402" s="8"/>
      <c r="M402" s="8"/>
      <c r="N402" s="8"/>
      <c r="O402" s="8"/>
      <c r="P402" s="8"/>
      <c r="Q402" s="8"/>
      <c r="R402" s="8"/>
      <c r="S402" s="8"/>
      <c r="T402" s="8"/>
      <c r="U402" s="8"/>
      <c r="V402" s="8"/>
      <c r="W402" s="8"/>
      <c r="X402" s="8"/>
      <c r="Y402" s="8"/>
    </row>
    <row r="403" spans="1:25" ht="16.5" customHeight="1" x14ac:dyDescent="0.2">
      <c r="A403" s="8"/>
      <c r="B403" s="8"/>
      <c r="C403" s="8"/>
      <c r="D403" s="8"/>
      <c r="E403" s="8"/>
      <c r="F403" s="8"/>
      <c r="G403" s="8"/>
      <c r="H403" s="8"/>
      <c r="I403" s="8"/>
      <c r="J403" s="8"/>
      <c r="K403" s="8"/>
      <c r="L403" s="8"/>
      <c r="M403" s="8"/>
      <c r="N403" s="8"/>
      <c r="O403" s="8"/>
      <c r="P403" s="8"/>
      <c r="Q403" s="8"/>
      <c r="R403" s="8"/>
      <c r="S403" s="8"/>
      <c r="T403" s="8"/>
      <c r="U403" s="8"/>
      <c r="V403" s="8"/>
      <c r="W403" s="8"/>
      <c r="X403" s="8"/>
      <c r="Y403" s="8"/>
    </row>
    <row r="404" spans="1:25" ht="16.5" customHeight="1" x14ac:dyDescent="0.2">
      <c r="A404" s="8"/>
      <c r="B404" s="8"/>
      <c r="C404" s="8"/>
      <c r="D404" s="8"/>
      <c r="E404" s="8"/>
      <c r="F404" s="8"/>
      <c r="G404" s="8"/>
      <c r="H404" s="8"/>
      <c r="I404" s="8"/>
      <c r="J404" s="8"/>
      <c r="K404" s="8"/>
      <c r="L404" s="8"/>
      <c r="M404" s="8"/>
      <c r="N404" s="8"/>
      <c r="O404" s="8"/>
      <c r="P404" s="8"/>
      <c r="Q404" s="8"/>
      <c r="R404" s="8"/>
      <c r="S404" s="8"/>
      <c r="T404" s="8"/>
      <c r="U404" s="8"/>
      <c r="V404" s="8"/>
      <c r="W404" s="8"/>
      <c r="X404" s="8"/>
      <c r="Y404" s="8"/>
    </row>
    <row r="405" spans="1:25" ht="16.5" customHeight="1" x14ac:dyDescent="0.2">
      <c r="A405" s="8"/>
      <c r="B405" s="8"/>
      <c r="C405" s="8"/>
      <c r="D405" s="8"/>
      <c r="E405" s="8"/>
      <c r="F405" s="8"/>
      <c r="G405" s="8"/>
      <c r="H405" s="8"/>
      <c r="I405" s="8"/>
      <c r="J405" s="8"/>
      <c r="K405" s="8"/>
      <c r="L405" s="8"/>
      <c r="M405" s="8"/>
      <c r="N405" s="8"/>
      <c r="O405" s="8"/>
      <c r="P405" s="8"/>
      <c r="Q405" s="8"/>
      <c r="R405" s="8"/>
      <c r="S405" s="8"/>
      <c r="T405" s="8"/>
      <c r="U405" s="8"/>
      <c r="V405" s="8"/>
      <c r="W405" s="8"/>
      <c r="X405" s="8"/>
      <c r="Y405" s="8"/>
    </row>
    <row r="406" spans="1:25" ht="16.5" customHeight="1" x14ac:dyDescent="0.2">
      <c r="A406" s="8"/>
      <c r="B406" s="8"/>
      <c r="C406" s="8"/>
      <c r="D406" s="8"/>
      <c r="E406" s="8"/>
      <c r="F406" s="8"/>
      <c r="G406" s="8"/>
      <c r="H406" s="8"/>
      <c r="I406" s="8"/>
      <c r="J406" s="8"/>
      <c r="K406" s="8"/>
      <c r="L406" s="8"/>
      <c r="M406" s="8"/>
      <c r="N406" s="8"/>
      <c r="O406" s="8"/>
      <c r="P406" s="8"/>
      <c r="Q406" s="8"/>
      <c r="R406" s="8"/>
      <c r="S406" s="8"/>
      <c r="T406" s="8"/>
      <c r="U406" s="8"/>
      <c r="V406" s="8"/>
      <c r="W406" s="8"/>
      <c r="X406" s="8"/>
      <c r="Y406" s="8"/>
    </row>
    <row r="407" spans="1:25" ht="16.5" customHeight="1" x14ac:dyDescent="0.2">
      <c r="A407" s="8"/>
      <c r="B407" s="8"/>
      <c r="C407" s="8"/>
      <c r="D407" s="8"/>
      <c r="E407" s="8"/>
      <c r="F407" s="8"/>
      <c r="G407" s="8"/>
      <c r="H407" s="8"/>
      <c r="I407" s="8"/>
      <c r="J407" s="8"/>
      <c r="K407" s="8"/>
      <c r="L407" s="8"/>
      <c r="M407" s="8"/>
      <c r="N407" s="8"/>
      <c r="O407" s="8"/>
      <c r="P407" s="8"/>
      <c r="Q407" s="8"/>
      <c r="R407" s="8"/>
      <c r="S407" s="8"/>
      <c r="T407" s="8"/>
      <c r="U407" s="8"/>
      <c r="V407" s="8"/>
      <c r="W407" s="8"/>
      <c r="X407" s="8"/>
      <c r="Y407" s="8"/>
    </row>
    <row r="408" spans="1:25" ht="16.5" customHeight="1" x14ac:dyDescent="0.2">
      <c r="A408" s="8"/>
      <c r="B408" s="8"/>
      <c r="C408" s="8"/>
      <c r="D408" s="8"/>
      <c r="E408" s="8"/>
      <c r="F408" s="8"/>
      <c r="G408" s="8"/>
      <c r="H408" s="8"/>
      <c r="I408" s="8"/>
      <c r="J408" s="8"/>
      <c r="K408" s="8"/>
      <c r="L408" s="8"/>
      <c r="M408" s="8"/>
      <c r="N408" s="8"/>
      <c r="O408" s="8"/>
      <c r="P408" s="8"/>
      <c r="Q408" s="8"/>
      <c r="R408" s="8"/>
      <c r="S408" s="8"/>
      <c r="T408" s="8"/>
      <c r="U408" s="8"/>
      <c r="V408" s="8"/>
      <c r="W408" s="8"/>
      <c r="X408" s="8"/>
      <c r="Y408" s="8"/>
    </row>
    <row r="409" spans="1:25" ht="16.5" customHeight="1" x14ac:dyDescent="0.2">
      <c r="A409" s="8"/>
      <c r="B409" s="8"/>
      <c r="C409" s="8"/>
      <c r="D409" s="8"/>
      <c r="E409" s="8"/>
      <c r="F409" s="8"/>
      <c r="G409" s="8"/>
      <c r="H409" s="8"/>
      <c r="I409" s="8"/>
      <c r="J409" s="8"/>
      <c r="K409" s="8"/>
      <c r="L409" s="8"/>
      <c r="M409" s="8"/>
      <c r="N409" s="8"/>
      <c r="O409" s="8"/>
      <c r="P409" s="8"/>
      <c r="Q409" s="8"/>
      <c r="R409" s="8"/>
      <c r="S409" s="8"/>
      <c r="T409" s="8"/>
      <c r="U409" s="8"/>
      <c r="V409" s="8"/>
      <c r="W409" s="8"/>
      <c r="X409" s="8"/>
      <c r="Y409" s="8"/>
    </row>
    <row r="410" spans="1:25" ht="16.5" customHeight="1" x14ac:dyDescent="0.2">
      <c r="A410" s="8"/>
      <c r="B410" s="8"/>
      <c r="C410" s="8"/>
      <c r="D410" s="8"/>
      <c r="E410" s="8"/>
      <c r="F410" s="8"/>
      <c r="G410" s="8"/>
      <c r="H410" s="8"/>
      <c r="I410" s="8"/>
      <c r="J410" s="8"/>
      <c r="K410" s="8"/>
      <c r="L410" s="8"/>
      <c r="M410" s="8"/>
      <c r="N410" s="8"/>
      <c r="O410" s="8"/>
      <c r="P410" s="8"/>
      <c r="Q410" s="8"/>
      <c r="R410" s="8"/>
      <c r="S410" s="8"/>
      <c r="T410" s="8"/>
      <c r="U410" s="8"/>
      <c r="V410" s="8"/>
      <c r="W410" s="8"/>
      <c r="X410" s="8"/>
      <c r="Y410" s="8"/>
    </row>
    <row r="411" spans="1:25" ht="16.5" customHeight="1" x14ac:dyDescent="0.2">
      <c r="A411" s="8"/>
      <c r="B411" s="8"/>
      <c r="C411" s="8"/>
      <c r="D411" s="8"/>
      <c r="E411" s="8"/>
      <c r="F411" s="8"/>
      <c r="G411" s="8"/>
      <c r="H411" s="8"/>
      <c r="I411" s="8"/>
      <c r="J411" s="8"/>
      <c r="K411" s="8"/>
      <c r="L411" s="8"/>
      <c r="M411" s="8"/>
      <c r="N411" s="8"/>
      <c r="O411" s="8"/>
      <c r="P411" s="8"/>
      <c r="Q411" s="8"/>
      <c r="R411" s="8"/>
      <c r="S411" s="8"/>
      <c r="T411" s="8"/>
      <c r="U411" s="8"/>
      <c r="V411" s="8"/>
      <c r="W411" s="8"/>
      <c r="X411" s="8"/>
      <c r="Y411" s="8"/>
    </row>
    <row r="412" spans="1:25" ht="16.5" customHeight="1" x14ac:dyDescent="0.2">
      <c r="A412" s="8"/>
      <c r="B412" s="8"/>
      <c r="C412" s="8"/>
      <c r="D412" s="8"/>
      <c r="E412" s="8"/>
      <c r="F412" s="8"/>
      <c r="G412" s="8"/>
      <c r="H412" s="8"/>
      <c r="I412" s="8"/>
      <c r="J412" s="8"/>
      <c r="K412" s="8"/>
      <c r="L412" s="8"/>
      <c r="M412" s="8"/>
      <c r="N412" s="8"/>
      <c r="O412" s="8"/>
      <c r="P412" s="8"/>
      <c r="Q412" s="8"/>
      <c r="R412" s="8"/>
      <c r="S412" s="8"/>
      <c r="T412" s="8"/>
      <c r="U412" s="8"/>
      <c r="V412" s="8"/>
      <c r="W412" s="8"/>
      <c r="X412" s="8"/>
      <c r="Y412" s="8"/>
    </row>
    <row r="413" spans="1:25" ht="16.5" customHeight="1" x14ac:dyDescent="0.2">
      <c r="A413" s="8"/>
      <c r="B413" s="8"/>
      <c r="C413" s="8"/>
      <c r="D413" s="8"/>
      <c r="E413" s="8"/>
      <c r="F413" s="8"/>
      <c r="G413" s="8"/>
      <c r="H413" s="8"/>
      <c r="I413" s="8"/>
      <c r="J413" s="8"/>
      <c r="K413" s="8"/>
      <c r="L413" s="8"/>
      <c r="M413" s="8"/>
      <c r="N413" s="8"/>
      <c r="O413" s="8"/>
      <c r="P413" s="8"/>
      <c r="Q413" s="8"/>
      <c r="R413" s="8"/>
      <c r="S413" s="8"/>
      <c r="T413" s="8"/>
      <c r="U413" s="8"/>
      <c r="V413" s="8"/>
      <c r="W413" s="8"/>
      <c r="X413" s="8"/>
      <c r="Y413" s="8"/>
    </row>
    <row r="414" spans="1:25" ht="16.5" customHeight="1" x14ac:dyDescent="0.2">
      <c r="A414" s="8"/>
      <c r="B414" s="8"/>
      <c r="C414" s="8"/>
      <c r="D414" s="8"/>
      <c r="E414" s="8"/>
      <c r="F414" s="8"/>
      <c r="G414" s="8"/>
      <c r="H414" s="8"/>
      <c r="I414" s="8"/>
      <c r="J414" s="8"/>
      <c r="K414" s="8"/>
      <c r="L414" s="8"/>
      <c r="M414" s="8"/>
      <c r="N414" s="8"/>
      <c r="O414" s="8"/>
      <c r="P414" s="8"/>
      <c r="Q414" s="8"/>
      <c r="R414" s="8"/>
      <c r="S414" s="8"/>
      <c r="T414" s="8"/>
      <c r="U414" s="8"/>
      <c r="V414" s="8"/>
      <c r="W414" s="8"/>
      <c r="X414" s="8"/>
      <c r="Y414" s="8"/>
    </row>
    <row r="415" spans="1:25" ht="16.5" customHeight="1" x14ac:dyDescent="0.2">
      <c r="A415" s="8"/>
      <c r="B415" s="8"/>
      <c r="C415" s="8"/>
      <c r="D415" s="8"/>
      <c r="E415" s="8"/>
      <c r="F415" s="8"/>
      <c r="G415" s="8"/>
      <c r="H415" s="8"/>
      <c r="I415" s="8"/>
      <c r="J415" s="8"/>
      <c r="K415" s="8"/>
      <c r="L415" s="8"/>
      <c r="M415" s="8"/>
      <c r="N415" s="8"/>
      <c r="O415" s="8"/>
      <c r="P415" s="8"/>
      <c r="Q415" s="8"/>
      <c r="R415" s="8"/>
      <c r="S415" s="8"/>
      <c r="T415" s="8"/>
      <c r="U415" s="8"/>
      <c r="V415" s="8"/>
      <c r="W415" s="8"/>
      <c r="X415" s="8"/>
      <c r="Y415" s="8"/>
    </row>
    <row r="416" spans="1:25" ht="16.5" customHeight="1" x14ac:dyDescent="0.2">
      <c r="A416" s="8"/>
      <c r="B416" s="8"/>
      <c r="C416" s="8"/>
      <c r="D416" s="8"/>
      <c r="E416" s="8"/>
      <c r="F416" s="8"/>
      <c r="G416" s="8"/>
      <c r="H416" s="8"/>
      <c r="I416" s="8"/>
      <c r="J416" s="8"/>
      <c r="K416" s="8"/>
      <c r="L416" s="8"/>
      <c r="M416" s="8"/>
      <c r="N416" s="8"/>
      <c r="O416" s="8"/>
      <c r="P416" s="8"/>
      <c r="Q416" s="8"/>
      <c r="R416" s="8"/>
      <c r="S416" s="8"/>
      <c r="T416" s="8"/>
      <c r="U416" s="8"/>
      <c r="V416" s="8"/>
      <c r="W416" s="8"/>
      <c r="X416" s="8"/>
      <c r="Y416" s="8"/>
    </row>
    <row r="417" spans="1:25" ht="16.5" customHeight="1" x14ac:dyDescent="0.2">
      <c r="A417" s="8"/>
      <c r="B417" s="8"/>
      <c r="C417" s="8"/>
      <c r="D417" s="8"/>
      <c r="E417" s="8"/>
      <c r="F417" s="8"/>
      <c r="G417" s="8"/>
      <c r="H417" s="8"/>
      <c r="I417" s="8"/>
      <c r="J417" s="8"/>
      <c r="K417" s="8"/>
      <c r="L417" s="8"/>
      <c r="M417" s="8"/>
      <c r="N417" s="8"/>
      <c r="O417" s="8"/>
      <c r="P417" s="8"/>
      <c r="Q417" s="8"/>
      <c r="R417" s="8"/>
      <c r="S417" s="8"/>
      <c r="T417" s="8"/>
      <c r="U417" s="8"/>
      <c r="V417" s="8"/>
      <c r="W417" s="8"/>
      <c r="X417" s="8"/>
      <c r="Y417" s="8"/>
    </row>
    <row r="418" spans="1:25" ht="16.5" customHeight="1" x14ac:dyDescent="0.2">
      <c r="A418" s="8"/>
      <c r="B418" s="8"/>
      <c r="C418" s="8"/>
      <c r="D418" s="8"/>
      <c r="E418" s="8"/>
      <c r="F418" s="8"/>
      <c r="G418" s="8"/>
      <c r="H418" s="8"/>
      <c r="I418" s="8"/>
      <c r="J418" s="8"/>
      <c r="K418" s="8"/>
      <c r="L418" s="8"/>
      <c r="M418" s="8"/>
      <c r="N418" s="8"/>
      <c r="O418" s="8"/>
      <c r="P418" s="8"/>
      <c r="Q418" s="8"/>
      <c r="R418" s="8"/>
      <c r="S418" s="8"/>
      <c r="T418" s="8"/>
      <c r="U418" s="8"/>
      <c r="V418" s="8"/>
      <c r="W418" s="8"/>
      <c r="X418" s="8"/>
      <c r="Y418" s="8"/>
    </row>
    <row r="419" spans="1:25" ht="16.5" customHeight="1" x14ac:dyDescent="0.2">
      <c r="A419" s="8"/>
      <c r="B419" s="8"/>
      <c r="C419" s="8"/>
      <c r="D419" s="8"/>
      <c r="E419" s="8"/>
      <c r="F419" s="8"/>
      <c r="G419" s="8"/>
      <c r="H419" s="8"/>
      <c r="I419" s="8"/>
      <c r="J419" s="8"/>
      <c r="K419" s="8"/>
      <c r="L419" s="8"/>
      <c r="M419" s="8"/>
      <c r="N419" s="8"/>
      <c r="O419" s="8"/>
      <c r="P419" s="8"/>
      <c r="Q419" s="8"/>
      <c r="R419" s="8"/>
      <c r="S419" s="8"/>
      <c r="T419" s="8"/>
      <c r="U419" s="8"/>
      <c r="V419" s="8"/>
      <c r="W419" s="8"/>
      <c r="X419" s="8"/>
      <c r="Y419" s="8"/>
    </row>
    <row r="420" spans="1:25" ht="16.5" customHeight="1" x14ac:dyDescent="0.2">
      <c r="A420" s="8"/>
      <c r="B420" s="8"/>
      <c r="C420" s="8"/>
      <c r="D420" s="8"/>
      <c r="E420" s="8"/>
      <c r="F420" s="8"/>
      <c r="G420" s="8"/>
      <c r="H420" s="8"/>
      <c r="I420" s="8"/>
      <c r="J420" s="8"/>
      <c r="K420" s="8"/>
      <c r="L420" s="8"/>
      <c r="M420" s="8"/>
      <c r="N420" s="8"/>
      <c r="O420" s="8"/>
      <c r="P420" s="8"/>
      <c r="Q420" s="8"/>
      <c r="R420" s="8"/>
      <c r="S420" s="8"/>
      <c r="T420" s="8"/>
      <c r="U420" s="8"/>
      <c r="V420" s="8"/>
      <c r="W420" s="8"/>
      <c r="X420" s="8"/>
      <c r="Y420" s="8"/>
    </row>
    <row r="421" spans="1:25" ht="16.5" customHeight="1" x14ac:dyDescent="0.2">
      <c r="A421" s="8"/>
      <c r="B421" s="8"/>
      <c r="C421" s="8"/>
      <c r="D421" s="8"/>
      <c r="E421" s="8"/>
      <c r="F421" s="8"/>
      <c r="G421" s="8"/>
      <c r="H421" s="8"/>
      <c r="I421" s="8"/>
      <c r="J421" s="8"/>
      <c r="K421" s="8"/>
      <c r="L421" s="8"/>
      <c r="M421" s="8"/>
      <c r="N421" s="8"/>
      <c r="O421" s="8"/>
      <c r="P421" s="8"/>
      <c r="Q421" s="8"/>
      <c r="R421" s="8"/>
      <c r="S421" s="8"/>
      <c r="T421" s="8"/>
      <c r="U421" s="8"/>
      <c r="V421" s="8"/>
      <c r="W421" s="8"/>
      <c r="X421" s="8"/>
      <c r="Y421" s="8"/>
    </row>
    <row r="422" spans="1:25" ht="16.5" customHeight="1" x14ac:dyDescent="0.2">
      <c r="A422" s="8"/>
      <c r="B422" s="8"/>
      <c r="C422" s="8"/>
      <c r="D422" s="8"/>
      <c r="E422" s="8"/>
      <c r="F422" s="8"/>
      <c r="G422" s="8"/>
      <c r="H422" s="8"/>
      <c r="I422" s="8"/>
      <c r="J422" s="8"/>
      <c r="K422" s="8"/>
      <c r="L422" s="8"/>
      <c r="M422" s="8"/>
      <c r="N422" s="8"/>
      <c r="O422" s="8"/>
      <c r="P422" s="8"/>
      <c r="Q422" s="8"/>
      <c r="R422" s="8"/>
      <c r="S422" s="8"/>
      <c r="T422" s="8"/>
      <c r="U422" s="8"/>
      <c r="V422" s="8"/>
      <c r="W422" s="8"/>
      <c r="X422" s="8"/>
      <c r="Y422" s="8"/>
    </row>
    <row r="423" spans="1:25" ht="16.5" customHeight="1" x14ac:dyDescent="0.2">
      <c r="A423" s="8"/>
      <c r="B423" s="8"/>
      <c r="C423" s="8"/>
      <c r="D423" s="8"/>
      <c r="E423" s="8"/>
      <c r="F423" s="8"/>
      <c r="G423" s="8"/>
      <c r="H423" s="8"/>
      <c r="I423" s="8"/>
      <c r="J423" s="8"/>
      <c r="K423" s="8"/>
      <c r="L423" s="8"/>
      <c r="M423" s="8"/>
      <c r="N423" s="8"/>
      <c r="O423" s="8"/>
      <c r="P423" s="8"/>
      <c r="Q423" s="8"/>
      <c r="R423" s="8"/>
      <c r="S423" s="8"/>
      <c r="T423" s="8"/>
      <c r="U423" s="8"/>
      <c r="V423" s="8"/>
      <c r="W423" s="8"/>
      <c r="X423" s="8"/>
      <c r="Y423" s="8"/>
    </row>
    <row r="424" spans="1:25" ht="16.5" customHeight="1" x14ac:dyDescent="0.2">
      <c r="A424" s="8"/>
      <c r="B424" s="8"/>
      <c r="C424" s="8"/>
      <c r="D424" s="8"/>
      <c r="E424" s="8"/>
      <c r="F424" s="8"/>
      <c r="G424" s="8"/>
      <c r="H424" s="8"/>
      <c r="I424" s="8"/>
      <c r="J424" s="8"/>
      <c r="K424" s="8"/>
      <c r="L424" s="8"/>
      <c r="M424" s="8"/>
      <c r="N424" s="8"/>
      <c r="O424" s="8"/>
      <c r="P424" s="8"/>
      <c r="Q424" s="8"/>
      <c r="R424" s="8"/>
      <c r="S424" s="8"/>
      <c r="T424" s="8"/>
      <c r="U424" s="8"/>
      <c r="V424" s="8"/>
      <c r="W424" s="8"/>
      <c r="X424" s="8"/>
      <c r="Y424" s="8"/>
    </row>
    <row r="425" spans="1:25" ht="16.5" customHeight="1" x14ac:dyDescent="0.2">
      <c r="A425" s="8"/>
      <c r="B425" s="8"/>
      <c r="C425" s="8"/>
      <c r="D425" s="8"/>
      <c r="E425" s="8"/>
      <c r="F425" s="8"/>
      <c r="G425" s="8"/>
      <c r="H425" s="8"/>
      <c r="I425" s="8"/>
      <c r="J425" s="8"/>
      <c r="K425" s="8"/>
      <c r="L425" s="8"/>
      <c r="M425" s="8"/>
      <c r="N425" s="8"/>
      <c r="O425" s="8"/>
      <c r="P425" s="8"/>
      <c r="Q425" s="8"/>
      <c r="R425" s="8"/>
      <c r="S425" s="8"/>
      <c r="T425" s="8"/>
      <c r="U425" s="8"/>
      <c r="V425" s="8"/>
      <c r="W425" s="8"/>
      <c r="X425" s="8"/>
      <c r="Y425" s="8"/>
    </row>
    <row r="426" spans="1:25" ht="16.5" customHeight="1" x14ac:dyDescent="0.2">
      <c r="A426" s="8"/>
      <c r="B426" s="8"/>
      <c r="C426" s="8"/>
      <c r="D426" s="8"/>
      <c r="E426" s="8"/>
      <c r="F426" s="8"/>
      <c r="G426" s="8"/>
      <c r="H426" s="8"/>
      <c r="I426" s="8"/>
      <c r="J426" s="8"/>
      <c r="K426" s="8"/>
      <c r="L426" s="8"/>
      <c r="M426" s="8"/>
      <c r="N426" s="8"/>
      <c r="O426" s="8"/>
      <c r="P426" s="8"/>
      <c r="Q426" s="8"/>
      <c r="R426" s="8"/>
      <c r="S426" s="8"/>
      <c r="T426" s="8"/>
      <c r="U426" s="8"/>
      <c r="V426" s="8"/>
      <c r="W426" s="8"/>
      <c r="X426" s="8"/>
      <c r="Y426" s="8"/>
    </row>
    <row r="427" spans="1:25" ht="16.5" customHeight="1" x14ac:dyDescent="0.2">
      <c r="A427" s="8"/>
      <c r="B427" s="8"/>
      <c r="C427" s="8"/>
      <c r="D427" s="8"/>
      <c r="E427" s="8"/>
      <c r="F427" s="8"/>
      <c r="G427" s="8"/>
      <c r="H427" s="8"/>
      <c r="I427" s="8"/>
      <c r="J427" s="8"/>
      <c r="K427" s="8"/>
      <c r="L427" s="8"/>
      <c r="M427" s="8"/>
      <c r="N427" s="8"/>
      <c r="O427" s="8"/>
      <c r="P427" s="8"/>
      <c r="Q427" s="8"/>
      <c r="R427" s="8"/>
      <c r="S427" s="8"/>
      <c r="T427" s="8"/>
      <c r="U427" s="8"/>
      <c r="V427" s="8"/>
      <c r="W427" s="8"/>
      <c r="X427" s="8"/>
      <c r="Y427" s="8"/>
    </row>
    <row r="428" spans="1:25" ht="16.5" customHeight="1" x14ac:dyDescent="0.2">
      <c r="A428" s="8"/>
      <c r="B428" s="8"/>
      <c r="C428" s="8"/>
      <c r="D428" s="8"/>
      <c r="E428" s="8"/>
      <c r="F428" s="8"/>
      <c r="G428" s="8"/>
      <c r="H428" s="8"/>
      <c r="I428" s="8"/>
      <c r="J428" s="8"/>
      <c r="K428" s="8"/>
      <c r="L428" s="8"/>
      <c r="M428" s="8"/>
      <c r="N428" s="8"/>
      <c r="O428" s="8"/>
      <c r="P428" s="8"/>
      <c r="Q428" s="8"/>
      <c r="R428" s="8"/>
      <c r="S428" s="8"/>
      <c r="T428" s="8"/>
      <c r="U428" s="8"/>
      <c r="V428" s="8"/>
      <c r="W428" s="8"/>
      <c r="X428" s="8"/>
      <c r="Y428" s="8"/>
    </row>
    <row r="429" spans="1:25" ht="16.5" customHeight="1" x14ac:dyDescent="0.2">
      <c r="A429" s="8"/>
      <c r="B429" s="8"/>
      <c r="C429" s="8"/>
      <c r="D429" s="8"/>
      <c r="E429" s="8"/>
      <c r="F429" s="8"/>
      <c r="G429" s="8"/>
      <c r="H429" s="8"/>
      <c r="I429" s="8"/>
      <c r="J429" s="8"/>
      <c r="K429" s="8"/>
      <c r="L429" s="8"/>
      <c r="M429" s="8"/>
      <c r="N429" s="8"/>
      <c r="O429" s="8"/>
      <c r="P429" s="8"/>
      <c r="Q429" s="8"/>
      <c r="R429" s="8"/>
      <c r="S429" s="8"/>
      <c r="T429" s="8"/>
      <c r="U429" s="8"/>
      <c r="V429" s="8"/>
      <c r="W429" s="8"/>
      <c r="X429" s="8"/>
      <c r="Y429" s="8"/>
    </row>
    <row r="430" spans="1:25" ht="16.5" customHeight="1" x14ac:dyDescent="0.2">
      <c r="A430" s="8"/>
      <c r="B430" s="8"/>
      <c r="C430" s="8"/>
      <c r="D430" s="8"/>
      <c r="E430" s="8"/>
      <c r="F430" s="8"/>
      <c r="G430" s="8"/>
      <c r="H430" s="8"/>
      <c r="I430" s="8"/>
      <c r="J430" s="8"/>
      <c r="K430" s="8"/>
      <c r="L430" s="8"/>
      <c r="M430" s="8"/>
      <c r="N430" s="8"/>
      <c r="O430" s="8"/>
      <c r="P430" s="8"/>
      <c r="Q430" s="8"/>
      <c r="R430" s="8"/>
      <c r="S430" s="8"/>
      <c r="T430" s="8"/>
      <c r="U430" s="8"/>
      <c r="V430" s="8"/>
      <c r="W430" s="8"/>
      <c r="X430" s="8"/>
      <c r="Y430" s="8"/>
    </row>
    <row r="431" spans="1:25" ht="16.5" customHeight="1" x14ac:dyDescent="0.2">
      <c r="A431" s="8"/>
      <c r="B431" s="8"/>
      <c r="C431" s="8"/>
      <c r="D431" s="8"/>
      <c r="E431" s="8"/>
      <c r="F431" s="8"/>
      <c r="G431" s="8"/>
      <c r="H431" s="8"/>
      <c r="I431" s="8"/>
      <c r="J431" s="8"/>
      <c r="K431" s="8"/>
      <c r="L431" s="8"/>
      <c r="M431" s="8"/>
      <c r="N431" s="8"/>
      <c r="O431" s="8"/>
      <c r="P431" s="8"/>
      <c r="Q431" s="8"/>
      <c r="R431" s="8"/>
      <c r="S431" s="8"/>
      <c r="T431" s="8"/>
      <c r="U431" s="8"/>
      <c r="V431" s="8"/>
      <c r="W431" s="8"/>
      <c r="X431" s="8"/>
      <c r="Y431" s="8"/>
    </row>
    <row r="432" spans="1:25" ht="16.5" customHeight="1" x14ac:dyDescent="0.2">
      <c r="A432" s="8"/>
      <c r="B432" s="8"/>
      <c r="C432" s="8"/>
      <c r="D432" s="8"/>
      <c r="E432" s="8"/>
      <c r="F432" s="8"/>
      <c r="G432" s="8"/>
      <c r="H432" s="8"/>
      <c r="I432" s="8"/>
      <c r="J432" s="8"/>
      <c r="K432" s="8"/>
      <c r="L432" s="8"/>
      <c r="M432" s="8"/>
      <c r="N432" s="8"/>
      <c r="O432" s="8"/>
      <c r="P432" s="8"/>
      <c r="Q432" s="8"/>
      <c r="R432" s="8"/>
      <c r="S432" s="8"/>
      <c r="T432" s="8"/>
      <c r="U432" s="8"/>
      <c r="V432" s="8"/>
      <c r="W432" s="8"/>
      <c r="X432" s="8"/>
      <c r="Y432" s="8"/>
    </row>
    <row r="433" spans="1:25" ht="16.5" customHeight="1" x14ac:dyDescent="0.2">
      <c r="A433" s="8"/>
      <c r="B433" s="8"/>
      <c r="C433" s="8"/>
      <c r="D433" s="8"/>
      <c r="E433" s="8"/>
      <c r="F433" s="8"/>
      <c r="G433" s="8"/>
      <c r="H433" s="8"/>
      <c r="I433" s="8"/>
      <c r="J433" s="8"/>
      <c r="K433" s="8"/>
      <c r="L433" s="8"/>
      <c r="M433" s="8"/>
      <c r="N433" s="8"/>
      <c r="O433" s="8"/>
      <c r="P433" s="8"/>
      <c r="Q433" s="8"/>
      <c r="R433" s="8"/>
      <c r="S433" s="8"/>
      <c r="T433" s="8"/>
      <c r="U433" s="8"/>
      <c r="V433" s="8"/>
      <c r="W433" s="8"/>
      <c r="X433" s="8"/>
      <c r="Y433" s="8"/>
    </row>
    <row r="434" spans="1:25" ht="16.5" customHeight="1" x14ac:dyDescent="0.2">
      <c r="A434" s="8"/>
      <c r="B434" s="8"/>
      <c r="C434" s="8"/>
      <c r="D434" s="8"/>
      <c r="E434" s="8"/>
      <c r="F434" s="8"/>
      <c r="G434" s="8"/>
      <c r="H434" s="8"/>
      <c r="I434" s="8"/>
      <c r="J434" s="8"/>
      <c r="K434" s="8"/>
      <c r="L434" s="8"/>
      <c r="M434" s="8"/>
      <c r="N434" s="8"/>
      <c r="O434" s="8"/>
      <c r="P434" s="8"/>
      <c r="Q434" s="8"/>
      <c r="R434" s="8"/>
      <c r="S434" s="8"/>
      <c r="T434" s="8"/>
      <c r="U434" s="8"/>
      <c r="V434" s="8"/>
      <c r="W434" s="8"/>
      <c r="X434" s="8"/>
      <c r="Y434" s="8"/>
    </row>
    <row r="435" spans="1:25" ht="16.5" customHeight="1" x14ac:dyDescent="0.2">
      <c r="A435" s="8"/>
      <c r="B435" s="8"/>
      <c r="C435" s="8"/>
      <c r="D435" s="8"/>
      <c r="E435" s="8"/>
      <c r="F435" s="8"/>
      <c r="G435" s="8"/>
      <c r="H435" s="8"/>
      <c r="I435" s="8"/>
      <c r="J435" s="8"/>
      <c r="K435" s="8"/>
      <c r="L435" s="8"/>
      <c r="M435" s="8"/>
      <c r="N435" s="8"/>
      <c r="O435" s="8"/>
      <c r="P435" s="8"/>
      <c r="Q435" s="8"/>
      <c r="R435" s="8"/>
      <c r="S435" s="8"/>
      <c r="T435" s="8"/>
      <c r="U435" s="8"/>
      <c r="V435" s="8"/>
      <c r="W435" s="8"/>
      <c r="X435" s="8"/>
      <c r="Y435" s="8"/>
    </row>
    <row r="436" spans="1:25" ht="16.5" customHeight="1" x14ac:dyDescent="0.2">
      <c r="A436" s="8"/>
      <c r="B436" s="8"/>
      <c r="C436" s="8"/>
      <c r="D436" s="8"/>
      <c r="E436" s="8"/>
      <c r="F436" s="8"/>
      <c r="G436" s="8"/>
      <c r="H436" s="8"/>
      <c r="I436" s="8"/>
      <c r="J436" s="8"/>
      <c r="K436" s="8"/>
      <c r="L436" s="8"/>
      <c r="M436" s="8"/>
      <c r="N436" s="8"/>
      <c r="O436" s="8"/>
      <c r="P436" s="8"/>
      <c r="Q436" s="8"/>
      <c r="R436" s="8"/>
      <c r="S436" s="8"/>
      <c r="T436" s="8"/>
      <c r="U436" s="8"/>
      <c r="V436" s="8"/>
      <c r="W436" s="8"/>
      <c r="X436" s="8"/>
      <c r="Y436" s="8"/>
    </row>
    <row r="437" spans="1:25" ht="16.5" customHeight="1" x14ac:dyDescent="0.2">
      <c r="A437" s="8"/>
      <c r="B437" s="8"/>
      <c r="C437" s="8"/>
      <c r="D437" s="8"/>
      <c r="E437" s="8"/>
      <c r="F437" s="8"/>
      <c r="G437" s="8"/>
      <c r="H437" s="8"/>
      <c r="I437" s="8"/>
      <c r="J437" s="8"/>
      <c r="K437" s="8"/>
      <c r="L437" s="8"/>
      <c r="M437" s="8"/>
      <c r="N437" s="8"/>
      <c r="O437" s="8"/>
      <c r="P437" s="8"/>
      <c r="Q437" s="8"/>
      <c r="R437" s="8"/>
      <c r="S437" s="8"/>
      <c r="T437" s="8"/>
      <c r="U437" s="8"/>
      <c r="V437" s="8"/>
      <c r="W437" s="8"/>
      <c r="X437" s="8"/>
      <c r="Y437" s="8"/>
    </row>
    <row r="438" spans="1:25" ht="16.5" customHeight="1" x14ac:dyDescent="0.2">
      <c r="A438" s="8"/>
      <c r="B438" s="8"/>
      <c r="C438" s="8"/>
      <c r="D438" s="8"/>
      <c r="E438" s="8"/>
      <c r="F438" s="8"/>
      <c r="G438" s="8"/>
      <c r="H438" s="8"/>
      <c r="I438" s="8"/>
      <c r="J438" s="8"/>
      <c r="K438" s="8"/>
      <c r="L438" s="8"/>
      <c r="M438" s="8"/>
      <c r="N438" s="8"/>
      <c r="O438" s="8"/>
      <c r="P438" s="8"/>
      <c r="Q438" s="8"/>
      <c r="R438" s="8"/>
      <c r="S438" s="8"/>
      <c r="T438" s="8"/>
      <c r="U438" s="8"/>
      <c r="V438" s="8"/>
      <c r="W438" s="8"/>
      <c r="X438" s="8"/>
      <c r="Y438" s="8"/>
    </row>
    <row r="439" spans="1:25" ht="16.5" customHeight="1" x14ac:dyDescent="0.2">
      <c r="A439" s="8"/>
      <c r="B439" s="8"/>
      <c r="C439" s="8"/>
      <c r="D439" s="8"/>
      <c r="E439" s="8"/>
      <c r="F439" s="8"/>
      <c r="G439" s="8"/>
      <c r="H439" s="8"/>
      <c r="I439" s="8"/>
      <c r="J439" s="8"/>
      <c r="K439" s="8"/>
      <c r="L439" s="8"/>
      <c r="M439" s="8"/>
      <c r="N439" s="8"/>
      <c r="O439" s="8"/>
      <c r="P439" s="8"/>
      <c r="Q439" s="8"/>
      <c r="R439" s="8"/>
      <c r="S439" s="8"/>
      <c r="T439" s="8"/>
      <c r="U439" s="8"/>
      <c r="V439" s="8"/>
      <c r="W439" s="8"/>
      <c r="X439" s="8"/>
      <c r="Y439" s="8"/>
    </row>
    <row r="440" spans="1:25" ht="16.5" customHeight="1" x14ac:dyDescent="0.2">
      <c r="A440" s="8"/>
      <c r="B440" s="8"/>
      <c r="C440" s="8"/>
      <c r="D440" s="8"/>
      <c r="E440" s="8"/>
      <c r="F440" s="8"/>
      <c r="G440" s="8"/>
      <c r="H440" s="8"/>
      <c r="I440" s="8"/>
      <c r="J440" s="8"/>
      <c r="K440" s="8"/>
      <c r="L440" s="8"/>
      <c r="M440" s="8"/>
      <c r="N440" s="8"/>
      <c r="O440" s="8"/>
      <c r="P440" s="8"/>
      <c r="Q440" s="8"/>
      <c r="R440" s="8"/>
      <c r="S440" s="8"/>
      <c r="T440" s="8"/>
      <c r="U440" s="8"/>
      <c r="V440" s="8"/>
      <c r="W440" s="8"/>
      <c r="X440" s="8"/>
      <c r="Y440" s="8"/>
    </row>
    <row r="441" spans="1:25" ht="16.5" customHeight="1" x14ac:dyDescent="0.2">
      <c r="A441" s="8"/>
      <c r="B441" s="8"/>
      <c r="C441" s="8"/>
      <c r="D441" s="8"/>
      <c r="E441" s="8"/>
      <c r="F441" s="8"/>
      <c r="G441" s="8"/>
      <c r="H441" s="8"/>
      <c r="I441" s="8"/>
      <c r="J441" s="8"/>
      <c r="K441" s="8"/>
      <c r="L441" s="8"/>
      <c r="M441" s="8"/>
      <c r="N441" s="8"/>
      <c r="O441" s="8"/>
      <c r="P441" s="8"/>
      <c r="Q441" s="8"/>
      <c r="R441" s="8"/>
      <c r="S441" s="8"/>
      <c r="T441" s="8"/>
      <c r="U441" s="8"/>
      <c r="V441" s="8"/>
      <c r="W441" s="8"/>
      <c r="X441" s="8"/>
      <c r="Y441" s="8"/>
    </row>
    <row r="442" spans="1:25" ht="16.5" customHeight="1" x14ac:dyDescent="0.2">
      <c r="A442" s="8"/>
      <c r="B442" s="8"/>
      <c r="C442" s="8"/>
      <c r="D442" s="8"/>
      <c r="E442" s="8"/>
      <c r="F442" s="8"/>
      <c r="G442" s="8"/>
      <c r="H442" s="8"/>
      <c r="I442" s="8"/>
      <c r="J442" s="8"/>
      <c r="K442" s="8"/>
      <c r="L442" s="8"/>
      <c r="M442" s="8"/>
      <c r="N442" s="8"/>
      <c r="O442" s="8"/>
      <c r="P442" s="8"/>
      <c r="Q442" s="8"/>
      <c r="R442" s="8"/>
      <c r="S442" s="8"/>
      <c r="T442" s="8"/>
      <c r="U442" s="8"/>
      <c r="V442" s="8"/>
      <c r="W442" s="8"/>
      <c r="X442" s="8"/>
      <c r="Y442" s="8"/>
    </row>
    <row r="443" spans="1:25" ht="16.5" customHeight="1" x14ac:dyDescent="0.2">
      <c r="A443" s="8"/>
      <c r="B443" s="8"/>
      <c r="C443" s="8"/>
      <c r="D443" s="8"/>
      <c r="E443" s="8"/>
      <c r="F443" s="8"/>
      <c r="G443" s="8"/>
      <c r="H443" s="8"/>
      <c r="I443" s="8"/>
      <c r="J443" s="8"/>
      <c r="K443" s="8"/>
      <c r="L443" s="8"/>
      <c r="M443" s="8"/>
      <c r="N443" s="8"/>
      <c r="O443" s="8"/>
      <c r="P443" s="8"/>
      <c r="Q443" s="8"/>
      <c r="R443" s="8"/>
      <c r="S443" s="8"/>
      <c r="T443" s="8"/>
      <c r="U443" s="8"/>
      <c r="V443" s="8"/>
      <c r="W443" s="8"/>
      <c r="X443" s="8"/>
      <c r="Y443" s="8"/>
    </row>
    <row r="444" spans="1:25" ht="16.5" customHeight="1" x14ac:dyDescent="0.2">
      <c r="A444" s="8"/>
      <c r="B444" s="8"/>
      <c r="C444" s="8"/>
      <c r="D444" s="8"/>
      <c r="E444" s="8"/>
      <c r="F444" s="8"/>
      <c r="G444" s="8"/>
      <c r="H444" s="8"/>
      <c r="I444" s="8"/>
      <c r="J444" s="8"/>
      <c r="K444" s="8"/>
      <c r="L444" s="8"/>
      <c r="M444" s="8"/>
      <c r="N444" s="8"/>
      <c r="O444" s="8"/>
      <c r="P444" s="8"/>
      <c r="Q444" s="8"/>
      <c r="R444" s="8"/>
      <c r="S444" s="8"/>
      <c r="T444" s="8"/>
      <c r="U444" s="8"/>
      <c r="V444" s="8"/>
      <c r="W444" s="8"/>
      <c r="X444" s="8"/>
      <c r="Y444" s="8"/>
    </row>
    <row r="445" spans="1:25" ht="16.5" customHeight="1" x14ac:dyDescent="0.2">
      <c r="A445" s="8"/>
      <c r="B445" s="8"/>
      <c r="C445" s="8"/>
      <c r="D445" s="8"/>
      <c r="E445" s="8"/>
      <c r="F445" s="8"/>
      <c r="G445" s="8"/>
      <c r="H445" s="8"/>
      <c r="I445" s="8"/>
      <c r="J445" s="8"/>
      <c r="K445" s="8"/>
      <c r="L445" s="8"/>
      <c r="M445" s="8"/>
      <c r="N445" s="8"/>
      <c r="O445" s="8"/>
      <c r="P445" s="8"/>
      <c r="Q445" s="8"/>
      <c r="R445" s="8"/>
      <c r="S445" s="8"/>
      <c r="T445" s="8"/>
      <c r="U445" s="8"/>
      <c r="V445" s="8"/>
      <c r="W445" s="8"/>
      <c r="X445" s="8"/>
      <c r="Y445" s="8"/>
    </row>
    <row r="446" spans="1:25" ht="16.5" customHeight="1" x14ac:dyDescent="0.2">
      <c r="A446" s="8"/>
      <c r="B446" s="8"/>
      <c r="C446" s="8"/>
      <c r="D446" s="8"/>
      <c r="E446" s="8"/>
      <c r="F446" s="8"/>
      <c r="G446" s="8"/>
      <c r="H446" s="8"/>
      <c r="I446" s="8"/>
      <c r="J446" s="8"/>
      <c r="K446" s="8"/>
      <c r="L446" s="8"/>
      <c r="M446" s="8"/>
      <c r="N446" s="8"/>
      <c r="O446" s="8"/>
      <c r="P446" s="8"/>
      <c r="Q446" s="8"/>
      <c r="R446" s="8"/>
      <c r="S446" s="8"/>
      <c r="T446" s="8"/>
      <c r="U446" s="8"/>
      <c r="V446" s="8"/>
      <c r="W446" s="8"/>
      <c r="X446" s="8"/>
      <c r="Y446" s="8"/>
    </row>
    <row r="447" spans="1:25" ht="16.5" customHeight="1" x14ac:dyDescent="0.2">
      <c r="A447" s="8"/>
      <c r="B447" s="8"/>
      <c r="C447" s="8"/>
      <c r="D447" s="8"/>
      <c r="E447" s="8"/>
      <c r="F447" s="8"/>
      <c r="G447" s="8"/>
      <c r="H447" s="8"/>
      <c r="I447" s="8"/>
      <c r="J447" s="8"/>
      <c r="K447" s="8"/>
      <c r="L447" s="8"/>
      <c r="M447" s="8"/>
      <c r="N447" s="8"/>
      <c r="O447" s="8"/>
      <c r="P447" s="8"/>
      <c r="Q447" s="8"/>
      <c r="R447" s="8"/>
      <c r="S447" s="8"/>
      <c r="T447" s="8"/>
      <c r="U447" s="8"/>
      <c r="V447" s="8"/>
      <c r="W447" s="8"/>
      <c r="X447" s="8"/>
      <c r="Y447" s="8"/>
    </row>
    <row r="448" spans="1:25" ht="16.5" customHeight="1" x14ac:dyDescent="0.2">
      <c r="A448" s="8"/>
      <c r="B448" s="8"/>
      <c r="C448" s="8"/>
      <c r="D448" s="8"/>
      <c r="E448" s="8"/>
      <c r="F448" s="8"/>
      <c r="G448" s="8"/>
      <c r="H448" s="8"/>
      <c r="I448" s="8"/>
      <c r="J448" s="8"/>
      <c r="K448" s="8"/>
      <c r="L448" s="8"/>
      <c r="M448" s="8"/>
      <c r="N448" s="8"/>
      <c r="O448" s="8"/>
      <c r="P448" s="8"/>
      <c r="Q448" s="8"/>
      <c r="R448" s="8"/>
      <c r="S448" s="8"/>
      <c r="T448" s="8"/>
      <c r="U448" s="8"/>
      <c r="V448" s="8"/>
      <c r="W448" s="8"/>
      <c r="X448" s="8"/>
      <c r="Y448" s="8"/>
    </row>
    <row r="449" spans="1:25" ht="16.5" customHeight="1" x14ac:dyDescent="0.2">
      <c r="A449" s="8"/>
      <c r="B449" s="8"/>
      <c r="C449" s="8"/>
      <c r="D449" s="8"/>
      <c r="E449" s="8"/>
      <c r="F449" s="8"/>
      <c r="G449" s="8"/>
      <c r="H449" s="8"/>
      <c r="I449" s="8"/>
      <c r="J449" s="8"/>
      <c r="K449" s="8"/>
      <c r="L449" s="8"/>
      <c r="M449" s="8"/>
      <c r="N449" s="8"/>
      <c r="O449" s="8"/>
      <c r="P449" s="8"/>
      <c r="Q449" s="8"/>
      <c r="R449" s="8"/>
      <c r="S449" s="8"/>
      <c r="T449" s="8"/>
      <c r="U449" s="8"/>
      <c r="V449" s="8"/>
      <c r="W449" s="8"/>
      <c r="X449" s="8"/>
      <c r="Y449" s="8"/>
    </row>
    <row r="450" spans="1:25" ht="16.5" customHeight="1" x14ac:dyDescent="0.2">
      <c r="A450" s="8"/>
      <c r="B450" s="8"/>
      <c r="C450" s="8"/>
      <c r="D450" s="8"/>
      <c r="E450" s="8"/>
      <c r="F450" s="8"/>
      <c r="G450" s="8"/>
      <c r="H450" s="8"/>
      <c r="I450" s="8"/>
      <c r="J450" s="8"/>
      <c r="K450" s="8"/>
      <c r="L450" s="8"/>
      <c r="M450" s="8"/>
      <c r="N450" s="8"/>
      <c r="O450" s="8"/>
      <c r="P450" s="8"/>
      <c r="Q450" s="8"/>
      <c r="R450" s="8"/>
      <c r="S450" s="8"/>
      <c r="T450" s="8"/>
      <c r="U450" s="8"/>
      <c r="V450" s="8"/>
      <c r="W450" s="8"/>
      <c r="X450" s="8"/>
      <c r="Y450" s="8"/>
    </row>
    <row r="451" spans="1:25" ht="16.5" customHeight="1" x14ac:dyDescent="0.2">
      <c r="A451" s="8"/>
      <c r="B451" s="8"/>
      <c r="C451" s="8"/>
      <c r="D451" s="8"/>
      <c r="E451" s="8"/>
      <c r="F451" s="8"/>
      <c r="G451" s="8"/>
      <c r="H451" s="8"/>
      <c r="I451" s="8"/>
      <c r="J451" s="8"/>
      <c r="K451" s="8"/>
      <c r="L451" s="8"/>
      <c r="M451" s="8"/>
      <c r="N451" s="8"/>
      <c r="O451" s="8"/>
      <c r="P451" s="8"/>
      <c r="Q451" s="8"/>
      <c r="R451" s="8"/>
      <c r="S451" s="8"/>
      <c r="T451" s="8"/>
      <c r="U451" s="8"/>
      <c r="V451" s="8"/>
      <c r="W451" s="8"/>
      <c r="X451" s="8"/>
      <c r="Y451" s="8"/>
    </row>
    <row r="452" spans="1:25" ht="16.5" customHeight="1" x14ac:dyDescent="0.2">
      <c r="A452" s="8"/>
      <c r="B452" s="8"/>
      <c r="C452" s="8"/>
      <c r="D452" s="8"/>
      <c r="E452" s="8"/>
      <c r="F452" s="8"/>
      <c r="G452" s="8"/>
      <c r="H452" s="8"/>
      <c r="I452" s="8"/>
      <c r="J452" s="8"/>
      <c r="K452" s="8"/>
      <c r="L452" s="8"/>
      <c r="M452" s="8"/>
      <c r="N452" s="8"/>
      <c r="O452" s="8"/>
      <c r="P452" s="8"/>
      <c r="Q452" s="8"/>
      <c r="R452" s="8"/>
      <c r="S452" s="8"/>
      <c r="T452" s="8"/>
      <c r="U452" s="8"/>
      <c r="V452" s="8"/>
      <c r="W452" s="8"/>
      <c r="X452" s="8"/>
      <c r="Y452" s="8"/>
    </row>
    <row r="453" spans="1:25" ht="16.5" customHeight="1" x14ac:dyDescent="0.2">
      <c r="A453" s="8"/>
      <c r="B453" s="8"/>
      <c r="C453" s="8"/>
      <c r="D453" s="8"/>
      <c r="E453" s="8"/>
      <c r="F453" s="8"/>
      <c r="G453" s="8"/>
      <c r="H453" s="8"/>
      <c r="I453" s="8"/>
      <c r="J453" s="8"/>
      <c r="K453" s="8"/>
      <c r="L453" s="8"/>
      <c r="M453" s="8"/>
      <c r="N453" s="8"/>
      <c r="O453" s="8"/>
      <c r="P453" s="8"/>
      <c r="Q453" s="8"/>
      <c r="R453" s="8"/>
      <c r="S453" s="8"/>
      <c r="T453" s="8"/>
      <c r="U453" s="8"/>
      <c r="V453" s="8"/>
      <c r="W453" s="8"/>
      <c r="X453" s="8"/>
      <c r="Y453" s="8"/>
    </row>
    <row r="454" spans="1:25" ht="16.5" customHeight="1" x14ac:dyDescent="0.2">
      <c r="A454" s="8"/>
      <c r="B454" s="8"/>
      <c r="C454" s="8"/>
      <c r="D454" s="8"/>
      <c r="E454" s="8"/>
      <c r="F454" s="8"/>
      <c r="G454" s="8"/>
      <c r="H454" s="8"/>
      <c r="I454" s="8"/>
      <c r="J454" s="8"/>
      <c r="K454" s="8"/>
      <c r="L454" s="8"/>
      <c r="M454" s="8"/>
      <c r="N454" s="8"/>
      <c r="O454" s="8"/>
      <c r="P454" s="8"/>
      <c r="Q454" s="8"/>
      <c r="R454" s="8"/>
      <c r="S454" s="8"/>
      <c r="T454" s="8"/>
      <c r="U454" s="8"/>
      <c r="V454" s="8"/>
      <c r="W454" s="8"/>
      <c r="X454" s="8"/>
      <c r="Y454" s="8"/>
    </row>
    <row r="455" spans="1:25" ht="16.5" customHeight="1" x14ac:dyDescent="0.2">
      <c r="A455" s="8"/>
      <c r="B455" s="8"/>
      <c r="C455" s="8"/>
      <c r="D455" s="8"/>
      <c r="E455" s="8"/>
      <c r="F455" s="8"/>
      <c r="G455" s="8"/>
      <c r="H455" s="8"/>
      <c r="I455" s="8"/>
      <c r="J455" s="8"/>
      <c r="K455" s="8"/>
      <c r="L455" s="8"/>
      <c r="M455" s="8"/>
      <c r="N455" s="8"/>
      <c r="O455" s="8"/>
      <c r="P455" s="8"/>
      <c r="Q455" s="8"/>
      <c r="R455" s="8"/>
      <c r="S455" s="8"/>
      <c r="T455" s="8"/>
      <c r="U455" s="8"/>
      <c r="V455" s="8"/>
      <c r="W455" s="8"/>
      <c r="X455" s="8"/>
      <c r="Y455" s="8"/>
    </row>
    <row r="456" spans="1:25" ht="16.5" customHeight="1" x14ac:dyDescent="0.2">
      <c r="A456" s="8"/>
      <c r="B456" s="8"/>
      <c r="C456" s="8"/>
      <c r="D456" s="8"/>
      <c r="E456" s="8"/>
      <c r="F456" s="8"/>
      <c r="G456" s="8"/>
      <c r="H456" s="8"/>
      <c r="I456" s="8"/>
      <c r="J456" s="8"/>
      <c r="K456" s="8"/>
      <c r="L456" s="8"/>
      <c r="M456" s="8"/>
      <c r="N456" s="8"/>
      <c r="O456" s="8"/>
      <c r="P456" s="8"/>
      <c r="Q456" s="8"/>
      <c r="R456" s="8"/>
      <c r="S456" s="8"/>
      <c r="T456" s="8"/>
      <c r="U456" s="8"/>
      <c r="V456" s="8"/>
      <c r="W456" s="8"/>
      <c r="X456" s="8"/>
      <c r="Y456" s="8"/>
    </row>
    <row r="457" spans="1:25" ht="16.5" customHeight="1" x14ac:dyDescent="0.2">
      <c r="A457" s="8"/>
      <c r="B457" s="8"/>
      <c r="C457" s="8"/>
      <c r="D457" s="8"/>
      <c r="E457" s="8"/>
      <c r="F457" s="8"/>
      <c r="G457" s="8"/>
      <c r="H457" s="8"/>
      <c r="I457" s="8"/>
      <c r="J457" s="8"/>
      <c r="K457" s="8"/>
      <c r="L457" s="8"/>
      <c r="M457" s="8"/>
      <c r="N457" s="8"/>
      <c r="O457" s="8"/>
      <c r="P457" s="8"/>
      <c r="Q457" s="8"/>
      <c r="R457" s="8"/>
      <c r="S457" s="8"/>
      <c r="T457" s="8"/>
      <c r="U457" s="8"/>
      <c r="V457" s="8"/>
      <c r="W457" s="8"/>
      <c r="X457" s="8"/>
      <c r="Y457" s="8"/>
    </row>
    <row r="458" spans="1:25" ht="16.5" customHeight="1" x14ac:dyDescent="0.2">
      <c r="A458" s="8"/>
      <c r="B458" s="8"/>
      <c r="C458" s="8"/>
      <c r="D458" s="8"/>
      <c r="E458" s="8"/>
      <c r="F458" s="8"/>
      <c r="G458" s="8"/>
      <c r="H458" s="8"/>
      <c r="I458" s="8"/>
      <c r="J458" s="8"/>
      <c r="K458" s="8"/>
      <c r="L458" s="8"/>
      <c r="M458" s="8"/>
      <c r="N458" s="8"/>
      <c r="O458" s="8"/>
      <c r="P458" s="8"/>
      <c r="Q458" s="8"/>
      <c r="R458" s="8"/>
      <c r="S458" s="8"/>
      <c r="T458" s="8"/>
      <c r="U458" s="8"/>
      <c r="V458" s="8"/>
      <c r="W458" s="8"/>
      <c r="X458" s="8"/>
      <c r="Y458" s="8"/>
    </row>
    <row r="459" spans="1:25" ht="16.5" customHeight="1" x14ac:dyDescent="0.2">
      <c r="A459" s="8"/>
      <c r="B459" s="8"/>
      <c r="C459" s="8"/>
      <c r="D459" s="8"/>
      <c r="E459" s="8"/>
      <c r="F459" s="8"/>
      <c r="G459" s="8"/>
      <c r="H459" s="8"/>
      <c r="I459" s="8"/>
      <c r="J459" s="8"/>
      <c r="K459" s="8"/>
      <c r="L459" s="8"/>
      <c r="M459" s="8"/>
      <c r="N459" s="8"/>
      <c r="O459" s="8"/>
      <c r="P459" s="8"/>
      <c r="Q459" s="8"/>
      <c r="R459" s="8"/>
      <c r="S459" s="8"/>
      <c r="T459" s="8"/>
      <c r="U459" s="8"/>
      <c r="V459" s="8"/>
      <c r="W459" s="8"/>
      <c r="X459" s="8"/>
      <c r="Y459" s="8"/>
    </row>
    <row r="460" spans="1:25" ht="16.5" customHeight="1" x14ac:dyDescent="0.2">
      <c r="A460" s="8"/>
      <c r="B460" s="8"/>
      <c r="C460" s="8"/>
      <c r="D460" s="8"/>
      <c r="E460" s="8"/>
      <c r="F460" s="8"/>
      <c r="G460" s="8"/>
      <c r="H460" s="8"/>
      <c r="I460" s="8"/>
      <c r="J460" s="8"/>
      <c r="K460" s="8"/>
      <c r="L460" s="8"/>
      <c r="M460" s="8"/>
      <c r="N460" s="8"/>
      <c r="O460" s="8"/>
      <c r="P460" s="8"/>
      <c r="Q460" s="8"/>
      <c r="R460" s="8"/>
      <c r="S460" s="8"/>
      <c r="T460" s="8"/>
      <c r="U460" s="8"/>
      <c r="V460" s="8"/>
      <c r="W460" s="8"/>
      <c r="X460" s="8"/>
      <c r="Y460" s="8"/>
    </row>
    <row r="461" spans="1:25" ht="16.5" customHeight="1" x14ac:dyDescent="0.2">
      <c r="A461" s="8"/>
      <c r="B461" s="8"/>
      <c r="C461" s="8"/>
      <c r="D461" s="8"/>
      <c r="E461" s="8"/>
      <c r="F461" s="8"/>
      <c r="G461" s="8"/>
      <c r="H461" s="8"/>
      <c r="I461" s="8"/>
      <c r="J461" s="8"/>
      <c r="K461" s="8"/>
      <c r="L461" s="8"/>
      <c r="M461" s="8"/>
      <c r="N461" s="8"/>
      <c r="O461" s="8"/>
      <c r="P461" s="8"/>
      <c r="Q461" s="8"/>
      <c r="R461" s="8"/>
      <c r="S461" s="8"/>
      <c r="T461" s="8"/>
      <c r="U461" s="8"/>
      <c r="V461" s="8"/>
      <c r="W461" s="8"/>
      <c r="X461" s="8"/>
      <c r="Y461" s="8"/>
    </row>
    <row r="462" spans="1:25" ht="16.5" customHeight="1" x14ac:dyDescent="0.2">
      <c r="A462" s="8"/>
      <c r="B462" s="8"/>
      <c r="C462" s="8"/>
      <c r="D462" s="8"/>
      <c r="E462" s="8"/>
      <c r="F462" s="8"/>
      <c r="G462" s="8"/>
      <c r="H462" s="8"/>
      <c r="I462" s="8"/>
      <c r="J462" s="8"/>
      <c r="K462" s="8"/>
      <c r="L462" s="8"/>
      <c r="M462" s="8"/>
      <c r="N462" s="8"/>
      <c r="O462" s="8"/>
      <c r="P462" s="8"/>
      <c r="Q462" s="8"/>
      <c r="R462" s="8"/>
      <c r="S462" s="8"/>
      <c r="T462" s="8"/>
      <c r="U462" s="8"/>
      <c r="V462" s="8"/>
      <c r="W462" s="8"/>
      <c r="X462" s="8"/>
      <c r="Y462" s="8"/>
    </row>
    <row r="463" spans="1:25" ht="16.5" customHeight="1" x14ac:dyDescent="0.2">
      <c r="A463" s="8"/>
      <c r="B463" s="8"/>
      <c r="C463" s="8"/>
      <c r="D463" s="8"/>
      <c r="E463" s="8"/>
      <c r="F463" s="8"/>
      <c r="G463" s="8"/>
      <c r="H463" s="8"/>
      <c r="I463" s="8"/>
      <c r="J463" s="8"/>
      <c r="K463" s="8"/>
      <c r="L463" s="8"/>
      <c r="M463" s="8"/>
      <c r="N463" s="8"/>
      <c r="O463" s="8"/>
      <c r="P463" s="8"/>
      <c r="Q463" s="8"/>
      <c r="R463" s="8"/>
      <c r="S463" s="8"/>
      <c r="T463" s="8"/>
      <c r="U463" s="8"/>
      <c r="V463" s="8"/>
      <c r="W463" s="8"/>
      <c r="X463" s="8"/>
      <c r="Y463" s="8"/>
    </row>
    <row r="464" spans="1:25" ht="16.5" customHeight="1" x14ac:dyDescent="0.2">
      <c r="A464" s="8"/>
      <c r="B464" s="8"/>
      <c r="C464" s="8"/>
      <c r="D464" s="8"/>
      <c r="E464" s="8"/>
      <c r="F464" s="8"/>
      <c r="G464" s="8"/>
      <c r="H464" s="8"/>
      <c r="I464" s="8"/>
      <c r="J464" s="8"/>
      <c r="K464" s="8"/>
      <c r="L464" s="8"/>
      <c r="M464" s="8"/>
      <c r="N464" s="8"/>
      <c r="O464" s="8"/>
      <c r="P464" s="8"/>
      <c r="Q464" s="8"/>
      <c r="R464" s="8"/>
      <c r="S464" s="8"/>
      <c r="T464" s="8"/>
      <c r="U464" s="8"/>
      <c r="V464" s="8"/>
      <c r="W464" s="8"/>
      <c r="X464" s="8"/>
      <c r="Y464" s="8"/>
    </row>
    <row r="465" spans="1:25" ht="16.5" customHeight="1" x14ac:dyDescent="0.2">
      <c r="A465" s="8"/>
      <c r="B465" s="8"/>
      <c r="C465" s="8"/>
      <c r="D465" s="8"/>
      <c r="E465" s="8"/>
      <c r="F465" s="8"/>
      <c r="G465" s="8"/>
      <c r="H465" s="8"/>
      <c r="I465" s="8"/>
      <c r="J465" s="8"/>
      <c r="K465" s="8"/>
      <c r="L465" s="8"/>
      <c r="M465" s="8"/>
      <c r="N465" s="8"/>
      <c r="O465" s="8"/>
      <c r="P465" s="8"/>
      <c r="Q465" s="8"/>
      <c r="R465" s="8"/>
      <c r="S465" s="8"/>
      <c r="T465" s="8"/>
      <c r="U465" s="8"/>
      <c r="V465" s="8"/>
      <c r="W465" s="8"/>
      <c r="X465" s="8"/>
      <c r="Y465" s="8"/>
    </row>
    <row r="466" spans="1:25" ht="16.5" customHeight="1" x14ac:dyDescent="0.2">
      <c r="A466" s="8"/>
      <c r="B466" s="8"/>
      <c r="C466" s="8"/>
      <c r="D466" s="8"/>
      <c r="E466" s="8"/>
      <c r="F466" s="8"/>
      <c r="G466" s="8"/>
      <c r="H466" s="8"/>
      <c r="I466" s="8"/>
      <c r="J466" s="8"/>
      <c r="K466" s="8"/>
      <c r="L466" s="8"/>
      <c r="M466" s="8"/>
      <c r="N466" s="8"/>
      <c r="O466" s="8"/>
      <c r="P466" s="8"/>
      <c r="Q466" s="8"/>
      <c r="R466" s="8"/>
      <c r="S466" s="8"/>
      <c r="T466" s="8"/>
      <c r="U466" s="8"/>
      <c r="V466" s="8"/>
      <c r="W466" s="8"/>
      <c r="X466" s="8"/>
      <c r="Y466" s="8"/>
    </row>
    <row r="467" spans="1:25" ht="16.5" customHeight="1" x14ac:dyDescent="0.2">
      <c r="A467" s="8"/>
      <c r="B467" s="8"/>
      <c r="C467" s="8"/>
      <c r="D467" s="8"/>
      <c r="E467" s="8"/>
      <c r="F467" s="8"/>
      <c r="G467" s="8"/>
      <c r="H467" s="8"/>
      <c r="I467" s="8"/>
      <c r="J467" s="8"/>
      <c r="K467" s="8"/>
      <c r="L467" s="8"/>
      <c r="M467" s="8"/>
      <c r="N467" s="8"/>
      <c r="O467" s="8"/>
      <c r="P467" s="8"/>
      <c r="Q467" s="8"/>
      <c r="R467" s="8"/>
      <c r="S467" s="8"/>
      <c r="T467" s="8"/>
      <c r="U467" s="8"/>
      <c r="V467" s="8"/>
      <c r="W467" s="8"/>
      <c r="X467" s="8"/>
      <c r="Y467" s="8"/>
    </row>
    <row r="468" spans="1:25" ht="16.5" customHeight="1" x14ac:dyDescent="0.2">
      <c r="A468" s="8"/>
      <c r="B468" s="8"/>
      <c r="C468" s="8"/>
      <c r="D468" s="8"/>
      <c r="E468" s="8"/>
      <c r="F468" s="8"/>
      <c r="G468" s="8"/>
      <c r="H468" s="8"/>
      <c r="I468" s="8"/>
      <c r="J468" s="8"/>
      <c r="K468" s="8"/>
      <c r="L468" s="8"/>
      <c r="M468" s="8"/>
      <c r="N468" s="8"/>
      <c r="O468" s="8"/>
      <c r="P468" s="8"/>
      <c r="Q468" s="8"/>
      <c r="R468" s="8"/>
      <c r="S468" s="8"/>
      <c r="T468" s="8"/>
      <c r="U468" s="8"/>
      <c r="V468" s="8"/>
      <c r="W468" s="8"/>
      <c r="X468" s="8"/>
      <c r="Y468" s="8"/>
    </row>
    <row r="469" spans="1:25" ht="16.5" customHeight="1" x14ac:dyDescent="0.2">
      <c r="A469" s="8"/>
      <c r="B469" s="8"/>
      <c r="C469" s="8"/>
      <c r="D469" s="8"/>
      <c r="E469" s="8"/>
      <c r="F469" s="8"/>
      <c r="G469" s="8"/>
      <c r="H469" s="8"/>
      <c r="I469" s="8"/>
      <c r="J469" s="8"/>
      <c r="K469" s="8"/>
      <c r="L469" s="8"/>
      <c r="M469" s="8"/>
      <c r="N469" s="8"/>
      <c r="O469" s="8"/>
      <c r="P469" s="8"/>
      <c r="Q469" s="8"/>
      <c r="R469" s="8"/>
      <c r="S469" s="8"/>
      <c r="T469" s="8"/>
      <c r="U469" s="8"/>
      <c r="V469" s="8"/>
      <c r="W469" s="8"/>
      <c r="X469" s="8"/>
      <c r="Y469" s="8"/>
    </row>
    <row r="470" spans="1:25" ht="16.5" customHeight="1" x14ac:dyDescent="0.2">
      <c r="A470" s="8"/>
      <c r="B470" s="8"/>
      <c r="C470" s="8"/>
      <c r="D470" s="8"/>
      <c r="E470" s="8"/>
      <c r="F470" s="8"/>
      <c r="G470" s="8"/>
      <c r="H470" s="8"/>
      <c r="I470" s="8"/>
      <c r="J470" s="8"/>
      <c r="K470" s="8"/>
      <c r="L470" s="8"/>
      <c r="M470" s="8"/>
      <c r="N470" s="8"/>
      <c r="O470" s="8"/>
      <c r="P470" s="8"/>
      <c r="Q470" s="8"/>
      <c r="R470" s="8"/>
      <c r="S470" s="8"/>
      <c r="T470" s="8"/>
      <c r="U470" s="8"/>
      <c r="V470" s="8"/>
      <c r="W470" s="8"/>
      <c r="X470" s="8"/>
      <c r="Y470" s="8"/>
    </row>
    <row r="471" spans="1:25" ht="16.5" customHeight="1" x14ac:dyDescent="0.2">
      <c r="A471" s="8"/>
      <c r="B471" s="8"/>
      <c r="C471" s="8"/>
      <c r="D471" s="8"/>
      <c r="E471" s="8"/>
      <c r="F471" s="8"/>
      <c r="G471" s="8"/>
      <c r="H471" s="8"/>
      <c r="I471" s="8"/>
      <c r="J471" s="8"/>
      <c r="K471" s="8"/>
      <c r="L471" s="8"/>
      <c r="M471" s="8"/>
      <c r="N471" s="8"/>
      <c r="O471" s="8"/>
      <c r="P471" s="8"/>
      <c r="Q471" s="8"/>
      <c r="R471" s="8"/>
      <c r="S471" s="8"/>
      <c r="T471" s="8"/>
      <c r="U471" s="8"/>
      <c r="V471" s="8"/>
      <c r="W471" s="8"/>
      <c r="X471" s="8"/>
      <c r="Y471" s="8"/>
    </row>
    <row r="472" spans="1:25" ht="16.5" customHeight="1" x14ac:dyDescent="0.2">
      <c r="A472" s="8"/>
      <c r="B472" s="8"/>
      <c r="C472" s="8"/>
      <c r="D472" s="8"/>
      <c r="E472" s="8"/>
      <c r="F472" s="8"/>
      <c r="G472" s="8"/>
      <c r="H472" s="8"/>
      <c r="I472" s="8"/>
      <c r="J472" s="8"/>
      <c r="K472" s="8"/>
      <c r="L472" s="8"/>
      <c r="M472" s="8"/>
      <c r="N472" s="8"/>
      <c r="O472" s="8"/>
      <c r="P472" s="8"/>
      <c r="Q472" s="8"/>
      <c r="R472" s="8"/>
      <c r="S472" s="8"/>
      <c r="T472" s="8"/>
      <c r="U472" s="8"/>
      <c r="V472" s="8"/>
      <c r="W472" s="8"/>
      <c r="X472" s="8"/>
      <c r="Y472" s="8"/>
    </row>
    <row r="473" spans="1:25" ht="16.5" customHeight="1" x14ac:dyDescent="0.2">
      <c r="A473" s="8"/>
      <c r="B473" s="8"/>
      <c r="C473" s="8"/>
      <c r="D473" s="8"/>
      <c r="E473" s="8"/>
      <c r="F473" s="8"/>
      <c r="G473" s="8"/>
      <c r="H473" s="8"/>
      <c r="I473" s="8"/>
      <c r="J473" s="8"/>
      <c r="K473" s="8"/>
      <c r="L473" s="8"/>
      <c r="M473" s="8"/>
      <c r="N473" s="8"/>
      <c r="O473" s="8"/>
      <c r="P473" s="8"/>
      <c r="Q473" s="8"/>
      <c r="R473" s="8"/>
      <c r="S473" s="8"/>
      <c r="T473" s="8"/>
      <c r="U473" s="8"/>
      <c r="V473" s="8"/>
      <c r="W473" s="8"/>
      <c r="X473" s="8"/>
      <c r="Y473" s="8"/>
    </row>
    <row r="474" spans="1:25" ht="16.5" customHeight="1" x14ac:dyDescent="0.2">
      <c r="A474" s="8"/>
      <c r="B474" s="8"/>
      <c r="C474" s="8"/>
      <c r="D474" s="8"/>
      <c r="E474" s="8"/>
      <c r="F474" s="8"/>
      <c r="G474" s="8"/>
      <c r="H474" s="8"/>
      <c r="I474" s="8"/>
      <c r="J474" s="8"/>
      <c r="K474" s="8"/>
      <c r="L474" s="8"/>
      <c r="M474" s="8"/>
      <c r="N474" s="8"/>
      <c r="O474" s="8"/>
      <c r="P474" s="8"/>
      <c r="Q474" s="8"/>
      <c r="R474" s="8"/>
      <c r="S474" s="8"/>
      <c r="T474" s="8"/>
      <c r="U474" s="8"/>
      <c r="V474" s="8"/>
      <c r="W474" s="8"/>
      <c r="X474" s="8"/>
      <c r="Y474" s="8"/>
    </row>
    <row r="475" spans="1:25" ht="16.5" customHeight="1" x14ac:dyDescent="0.2">
      <c r="A475" s="8"/>
      <c r="B475" s="8"/>
      <c r="C475" s="8"/>
      <c r="D475" s="8"/>
      <c r="E475" s="8"/>
      <c r="F475" s="8"/>
      <c r="G475" s="8"/>
      <c r="H475" s="8"/>
      <c r="I475" s="8"/>
      <c r="J475" s="8"/>
      <c r="K475" s="8"/>
      <c r="L475" s="8"/>
      <c r="M475" s="8"/>
      <c r="N475" s="8"/>
      <c r="O475" s="8"/>
      <c r="P475" s="8"/>
      <c r="Q475" s="8"/>
      <c r="R475" s="8"/>
      <c r="S475" s="8"/>
      <c r="T475" s="8"/>
      <c r="U475" s="8"/>
      <c r="V475" s="8"/>
      <c r="W475" s="8"/>
      <c r="X475" s="8"/>
      <c r="Y475" s="8"/>
    </row>
    <row r="476" spans="1:25" ht="16.5" customHeight="1" x14ac:dyDescent="0.2">
      <c r="A476" s="8"/>
      <c r="B476" s="8"/>
      <c r="C476" s="8"/>
      <c r="D476" s="8"/>
      <c r="E476" s="8"/>
      <c r="F476" s="8"/>
      <c r="G476" s="8"/>
      <c r="H476" s="8"/>
      <c r="I476" s="8"/>
      <c r="J476" s="8"/>
      <c r="K476" s="8"/>
      <c r="L476" s="8"/>
      <c r="M476" s="8"/>
      <c r="N476" s="8"/>
      <c r="O476" s="8"/>
      <c r="P476" s="8"/>
      <c r="Q476" s="8"/>
      <c r="R476" s="8"/>
      <c r="S476" s="8"/>
      <c r="T476" s="8"/>
      <c r="U476" s="8"/>
      <c r="V476" s="8"/>
      <c r="W476" s="8"/>
      <c r="X476" s="8"/>
      <c r="Y476" s="8"/>
    </row>
    <row r="477" spans="1:25" ht="16.5" customHeight="1" x14ac:dyDescent="0.2">
      <c r="A477" s="8"/>
      <c r="B477" s="8"/>
      <c r="C477" s="8"/>
      <c r="D477" s="8"/>
      <c r="E477" s="8"/>
      <c r="F477" s="8"/>
      <c r="G477" s="8"/>
      <c r="H477" s="8"/>
      <c r="I477" s="8"/>
      <c r="J477" s="8"/>
      <c r="K477" s="8"/>
      <c r="L477" s="8"/>
      <c r="M477" s="8"/>
      <c r="N477" s="8"/>
      <c r="O477" s="8"/>
      <c r="P477" s="8"/>
      <c r="Q477" s="8"/>
      <c r="R477" s="8"/>
      <c r="S477" s="8"/>
      <c r="T477" s="8"/>
      <c r="U477" s="8"/>
      <c r="V477" s="8"/>
      <c r="W477" s="8"/>
      <c r="X477" s="8"/>
      <c r="Y477" s="8"/>
    </row>
    <row r="478" spans="1:25" ht="16.5" customHeight="1" x14ac:dyDescent="0.2">
      <c r="A478" s="8"/>
      <c r="B478" s="8"/>
      <c r="C478" s="8"/>
      <c r="D478" s="8"/>
      <c r="E478" s="8"/>
      <c r="F478" s="8"/>
      <c r="G478" s="8"/>
      <c r="H478" s="8"/>
      <c r="I478" s="8"/>
      <c r="J478" s="8"/>
      <c r="K478" s="8"/>
      <c r="L478" s="8"/>
      <c r="M478" s="8"/>
      <c r="N478" s="8"/>
      <c r="O478" s="8"/>
      <c r="P478" s="8"/>
      <c r="Q478" s="8"/>
      <c r="R478" s="8"/>
      <c r="S478" s="8"/>
      <c r="T478" s="8"/>
      <c r="U478" s="8"/>
      <c r="V478" s="8"/>
      <c r="W478" s="8"/>
      <c r="X478" s="8"/>
      <c r="Y478" s="8"/>
    </row>
    <row r="479" spans="1:25" ht="16.5" customHeight="1" x14ac:dyDescent="0.2">
      <c r="A479" s="8"/>
      <c r="B479" s="8"/>
      <c r="C479" s="8"/>
      <c r="D479" s="8"/>
      <c r="E479" s="8"/>
      <c r="F479" s="8"/>
      <c r="G479" s="8"/>
      <c r="H479" s="8"/>
      <c r="I479" s="8"/>
      <c r="J479" s="8"/>
      <c r="K479" s="8"/>
      <c r="L479" s="8"/>
      <c r="M479" s="8"/>
      <c r="N479" s="8"/>
      <c r="O479" s="8"/>
      <c r="P479" s="8"/>
      <c r="Q479" s="8"/>
      <c r="R479" s="8"/>
      <c r="S479" s="8"/>
      <c r="T479" s="8"/>
      <c r="U479" s="8"/>
      <c r="V479" s="8"/>
      <c r="W479" s="8"/>
      <c r="X479" s="8"/>
      <c r="Y479" s="8"/>
    </row>
    <row r="480" spans="1:25" ht="16.5" customHeight="1" x14ac:dyDescent="0.2">
      <c r="A480" s="8"/>
      <c r="B480" s="8"/>
      <c r="C480" s="8"/>
      <c r="D480" s="8"/>
      <c r="E480" s="8"/>
      <c r="F480" s="8"/>
      <c r="G480" s="8"/>
      <c r="H480" s="8"/>
      <c r="I480" s="8"/>
      <c r="J480" s="8"/>
      <c r="K480" s="8"/>
      <c r="L480" s="8"/>
      <c r="M480" s="8"/>
      <c r="N480" s="8"/>
      <c r="O480" s="8"/>
      <c r="P480" s="8"/>
      <c r="Q480" s="8"/>
      <c r="R480" s="8"/>
      <c r="S480" s="8"/>
      <c r="T480" s="8"/>
      <c r="U480" s="8"/>
      <c r="V480" s="8"/>
      <c r="W480" s="8"/>
      <c r="X480" s="8"/>
      <c r="Y480" s="8"/>
    </row>
    <row r="481" spans="1:25" ht="16.5" customHeight="1" x14ac:dyDescent="0.2">
      <c r="A481" s="8"/>
      <c r="B481" s="8"/>
      <c r="C481" s="8"/>
      <c r="D481" s="8"/>
      <c r="E481" s="8"/>
      <c r="F481" s="8"/>
      <c r="G481" s="8"/>
      <c r="H481" s="8"/>
      <c r="I481" s="8"/>
      <c r="J481" s="8"/>
      <c r="K481" s="8"/>
      <c r="L481" s="8"/>
      <c r="M481" s="8"/>
      <c r="N481" s="8"/>
      <c r="O481" s="8"/>
      <c r="P481" s="8"/>
      <c r="Q481" s="8"/>
      <c r="R481" s="8"/>
      <c r="S481" s="8"/>
      <c r="T481" s="8"/>
      <c r="U481" s="8"/>
      <c r="V481" s="8"/>
      <c r="W481" s="8"/>
      <c r="X481" s="8"/>
      <c r="Y481" s="8"/>
    </row>
    <row r="482" spans="1:25" ht="16.5" customHeight="1" x14ac:dyDescent="0.2">
      <c r="A482" s="8"/>
      <c r="B482" s="8"/>
      <c r="C482" s="8"/>
      <c r="D482" s="8"/>
      <c r="E482" s="8"/>
      <c r="F482" s="8"/>
      <c r="G482" s="8"/>
      <c r="H482" s="8"/>
      <c r="I482" s="8"/>
      <c r="J482" s="8"/>
      <c r="K482" s="8"/>
      <c r="L482" s="8"/>
      <c r="M482" s="8"/>
      <c r="N482" s="8"/>
      <c r="O482" s="8"/>
      <c r="P482" s="8"/>
      <c r="Q482" s="8"/>
      <c r="R482" s="8"/>
      <c r="S482" s="8"/>
      <c r="T482" s="8"/>
      <c r="U482" s="8"/>
      <c r="V482" s="8"/>
      <c r="W482" s="8"/>
      <c r="X482" s="8"/>
      <c r="Y482" s="8"/>
    </row>
    <row r="483" spans="1:25" ht="16.5" customHeight="1" x14ac:dyDescent="0.2">
      <c r="A483" s="8"/>
      <c r="B483" s="8"/>
      <c r="C483" s="8"/>
      <c r="D483" s="8"/>
      <c r="E483" s="8"/>
      <c r="F483" s="8"/>
      <c r="G483" s="8"/>
      <c r="H483" s="8"/>
      <c r="I483" s="8"/>
      <c r="J483" s="8"/>
      <c r="K483" s="8"/>
      <c r="L483" s="8"/>
      <c r="M483" s="8"/>
      <c r="N483" s="8"/>
      <c r="O483" s="8"/>
      <c r="P483" s="8"/>
      <c r="Q483" s="8"/>
      <c r="R483" s="8"/>
      <c r="S483" s="8"/>
      <c r="T483" s="8"/>
      <c r="U483" s="8"/>
      <c r="V483" s="8"/>
      <c r="W483" s="8"/>
      <c r="X483" s="8"/>
      <c r="Y483" s="8"/>
    </row>
    <row r="484" spans="1:25" ht="16.5" customHeight="1" x14ac:dyDescent="0.2">
      <c r="A484" s="8"/>
      <c r="B484" s="8"/>
      <c r="C484" s="8"/>
      <c r="D484" s="8"/>
      <c r="E484" s="8"/>
      <c r="F484" s="8"/>
      <c r="G484" s="8"/>
      <c r="H484" s="8"/>
      <c r="I484" s="8"/>
      <c r="J484" s="8"/>
      <c r="K484" s="8"/>
      <c r="L484" s="8"/>
      <c r="M484" s="8"/>
      <c r="N484" s="8"/>
      <c r="O484" s="8"/>
      <c r="P484" s="8"/>
      <c r="Q484" s="8"/>
      <c r="R484" s="8"/>
      <c r="S484" s="8"/>
      <c r="T484" s="8"/>
      <c r="U484" s="8"/>
      <c r="V484" s="8"/>
      <c r="W484" s="8"/>
      <c r="X484" s="8"/>
      <c r="Y484" s="8"/>
    </row>
    <row r="485" spans="1:25" ht="16.5" customHeight="1" x14ac:dyDescent="0.2">
      <c r="A485" s="8"/>
      <c r="B485" s="8"/>
      <c r="C485" s="8"/>
      <c r="D485" s="8"/>
      <c r="E485" s="8"/>
      <c r="F485" s="8"/>
      <c r="G485" s="8"/>
      <c r="H485" s="8"/>
      <c r="I485" s="8"/>
      <c r="J485" s="8"/>
      <c r="K485" s="8"/>
      <c r="L485" s="8"/>
      <c r="M485" s="8"/>
      <c r="N485" s="8"/>
      <c r="O485" s="8"/>
      <c r="P485" s="8"/>
      <c r="Q485" s="8"/>
      <c r="R485" s="8"/>
      <c r="S485" s="8"/>
      <c r="T485" s="8"/>
      <c r="U485" s="8"/>
      <c r="V485" s="8"/>
      <c r="W485" s="8"/>
      <c r="X485" s="8"/>
      <c r="Y485" s="8"/>
    </row>
    <row r="486" spans="1:25" ht="16.5" customHeight="1" x14ac:dyDescent="0.2">
      <c r="A486" s="8"/>
      <c r="B486" s="8"/>
      <c r="C486" s="8"/>
      <c r="D486" s="8"/>
      <c r="E486" s="8"/>
      <c r="F486" s="8"/>
      <c r="G486" s="8"/>
      <c r="H486" s="8"/>
      <c r="I486" s="8"/>
      <c r="J486" s="8"/>
      <c r="K486" s="8"/>
      <c r="L486" s="8"/>
      <c r="M486" s="8"/>
      <c r="N486" s="8"/>
      <c r="O486" s="8"/>
      <c r="P486" s="8"/>
      <c r="Q486" s="8"/>
      <c r="R486" s="8"/>
      <c r="S486" s="8"/>
      <c r="T486" s="8"/>
      <c r="U486" s="8"/>
      <c r="V486" s="8"/>
      <c r="W486" s="8"/>
      <c r="X486" s="8"/>
      <c r="Y486" s="8"/>
    </row>
    <row r="487" spans="1:25" ht="16.5" customHeight="1" x14ac:dyDescent="0.2">
      <c r="A487" s="8"/>
      <c r="B487" s="8"/>
      <c r="C487" s="8"/>
      <c r="D487" s="8"/>
      <c r="E487" s="8"/>
      <c r="F487" s="8"/>
      <c r="G487" s="8"/>
      <c r="H487" s="8"/>
      <c r="I487" s="8"/>
      <c r="J487" s="8"/>
      <c r="K487" s="8"/>
      <c r="L487" s="8"/>
      <c r="M487" s="8"/>
      <c r="N487" s="8"/>
      <c r="O487" s="8"/>
      <c r="P487" s="8"/>
      <c r="Q487" s="8"/>
      <c r="R487" s="8"/>
      <c r="S487" s="8"/>
      <c r="T487" s="8"/>
      <c r="U487" s="8"/>
      <c r="V487" s="8"/>
      <c r="W487" s="8"/>
      <c r="X487" s="8"/>
      <c r="Y487" s="8"/>
    </row>
    <row r="488" spans="1:25" ht="16.5" customHeight="1" x14ac:dyDescent="0.2">
      <c r="A488" s="8"/>
      <c r="B488" s="8"/>
      <c r="C488" s="8"/>
      <c r="D488" s="8"/>
      <c r="E488" s="8"/>
      <c r="F488" s="8"/>
      <c r="G488" s="8"/>
      <c r="H488" s="8"/>
      <c r="I488" s="8"/>
      <c r="J488" s="8"/>
      <c r="K488" s="8"/>
      <c r="L488" s="8"/>
      <c r="M488" s="8"/>
      <c r="N488" s="8"/>
      <c r="O488" s="8"/>
      <c r="P488" s="8"/>
      <c r="Q488" s="8"/>
      <c r="R488" s="8"/>
      <c r="S488" s="8"/>
      <c r="T488" s="8"/>
      <c r="U488" s="8"/>
      <c r="V488" s="8"/>
      <c r="W488" s="8"/>
      <c r="X488" s="8"/>
      <c r="Y488" s="8"/>
    </row>
    <row r="489" spans="1:25" ht="16.5" customHeight="1" x14ac:dyDescent="0.2">
      <c r="A489" s="8"/>
      <c r="B489" s="8"/>
      <c r="C489" s="8"/>
      <c r="D489" s="8"/>
      <c r="E489" s="8"/>
      <c r="F489" s="8"/>
      <c r="G489" s="8"/>
      <c r="H489" s="8"/>
      <c r="I489" s="8"/>
      <c r="J489" s="8"/>
      <c r="K489" s="8"/>
      <c r="L489" s="8"/>
      <c r="M489" s="8"/>
      <c r="N489" s="8"/>
      <c r="O489" s="8"/>
      <c r="P489" s="8"/>
      <c r="Q489" s="8"/>
      <c r="R489" s="8"/>
      <c r="S489" s="8"/>
      <c r="T489" s="8"/>
      <c r="U489" s="8"/>
      <c r="V489" s="8"/>
      <c r="W489" s="8"/>
      <c r="X489" s="8"/>
      <c r="Y489" s="8"/>
    </row>
    <row r="490" spans="1:25" ht="16.5" customHeight="1" x14ac:dyDescent="0.2">
      <c r="A490" s="8"/>
      <c r="B490" s="8"/>
      <c r="C490" s="8"/>
      <c r="D490" s="8"/>
      <c r="E490" s="8"/>
      <c r="F490" s="8"/>
      <c r="G490" s="8"/>
      <c r="H490" s="8"/>
      <c r="I490" s="8"/>
      <c r="J490" s="8"/>
      <c r="K490" s="8"/>
      <c r="L490" s="8"/>
      <c r="M490" s="8"/>
      <c r="N490" s="8"/>
      <c r="O490" s="8"/>
      <c r="P490" s="8"/>
      <c r="Q490" s="8"/>
      <c r="R490" s="8"/>
      <c r="S490" s="8"/>
      <c r="T490" s="8"/>
      <c r="U490" s="8"/>
      <c r="V490" s="8"/>
      <c r="W490" s="8"/>
      <c r="X490" s="8"/>
      <c r="Y490" s="8"/>
    </row>
    <row r="491" spans="1:25" ht="16.5" customHeight="1" x14ac:dyDescent="0.2">
      <c r="A491" s="8"/>
      <c r="B491" s="8"/>
      <c r="C491" s="8"/>
      <c r="D491" s="8"/>
      <c r="E491" s="8"/>
      <c r="F491" s="8"/>
      <c r="G491" s="8"/>
      <c r="H491" s="8"/>
      <c r="I491" s="8"/>
      <c r="J491" s="8"/>
      <c r="K491" s="8"/>
      <c r="L491" s="8"/>
      <c r="M491" s="8"/>
      <c r="N491" s="8"/>
      <c r="O491" s="8"/>
      <c r="P491" s="8"/>
      <c r="Q491" s="8"/>
      <c r="R491" s="8"/>
      <c r="S491" s="8"/>
      <c r="T491" s="8"/>
      <c r="U491" s="8"/>
      <c r="V491" s="8"/>
      <c r="W491" s="8"/>
      <c r="X491" s="8"/>
      <c r="Y491" s="8"/>
    </row>
    <row r="492" spans="1:25" ht="16.5" customHeight="1" x14ac:dyDescent="0.2">
      <c r="A492" s="8"/>
      <c r="B492" s="8"/>
      <c r="C492" s="8"/>
      <c r="D492" s="8"/>
      <c r="E492" s="8"/>
      <c r="F492" s="8"/>
      <c r="G492" s="8"/>
      <c r="H492" s="8"/>
      <c r="I492" s="8"/>
      <c r="J492" s="8"/>
      <c r="K492" s="8"/>
      <c r="L492" s="8"/>
      <c r="M492" s="8"/>
      <c r="N492" s="8"/>
      <c r="O492" s="8"/>
      <c r="P492" s="8"/>
      <c r="Q492" s="8"/>
      <c r="R492" s="8"/>
      <c r="S492" s="8"/>
      <c r="T492" s="8"/>
      <c r="U492" s="8"/>
      <c r="V492" s="8"/>
      <c r="W492" s="8"/>
      <c r="X492" s="8"/>
      <c r="Y492" s="8"/>
    </row>
    <row r="493" spans="1:25" ht="16.5" customHeight="1" x14ac:dyDescent="0.2">
      <c r="A493" s="8"/>
      <c r="B493" s="8"/>
      <c r="C493" s="8"/>
      <c r="D493" s="8"/>
      <c r="E493" s="8"/>
      <c r="F493" s="8"/>
      <c r="G493" s="8"/>
      <c r="H493" s="8"/>
      <c r="I493" s="8"/>
      <c r="J493" s="8"/>
      <c r="K493" s="8"/>
      <c r="L493" s="8"/>
      <c r="M493" s="8"/>
      <c r="N493" s="8"/>
      <c r="O493" s="8"/>
      <c r="P493" s="8"/>
      <c r="Q493" s="8"/>
      <c r="R493" s="8"/>
      <c r="S493" s="8"/>
      <c r="T493" s="8"/>
      <c r="U493" s="8"/>
      <c r="V493" s="8"/>
      <c r="W493" s="8"/>
      <c r="X493" s="8"/>
      <c r="Y493" s="8"/>
    </row>
    <row r="494" spans="1:25" ht="16.5" customHeight="1" x14ac:dyDescent="0.2">
      <c r="A494" s="8"/>
      <c r="B494" s="8"/>
      <c r="C494" s="8"/>
      <c r="D494" s="8"/>
      <c r="E494" s="8"/>
      <c r="F494" s="8"/>
      <c r="G494" s="8"/>
      <c r="H494" s="8"/>
      <c r="I494" s="8"/>
      <c r="J494" s="8"/>
      <c r="K494" s="8"/>
      <c r="L494" s="8"/>
      <c r="M494" s="8"/>
      <c r="N494" s="8"/>
      <c r="O494" s="8"/>
      <c r="P494" s="8"/>
      <c r="Q494" s="8"/>
      <c r="R494" s="8"/>
      <c r="S494" s="8"/>
      <c r="T494" s="8"/>
      <c r="U494" s="8"/>
      <c r="V494" s="8"/>
      <c r="W494" s="8"/>
      <c r="X494" s="8"/>
      <c r="Y494" s="8"/>
    </row>
    <row r="495" spans="1:25" ht="16.5" customHeight="1" x14ac:dyDescent="0.2">
      <c r="A495" s="8"/>
      <c r="B495" s="8"/>
      <c r="C495" s="8"/>
      <c r="D495" s="8"/>
      <c r="E495" s="8"/>
      <c r="F495" s="8"/>
      <c r="G495" s="8"/>
      <c r="H495" s="8"/>
      <c r="I495" s="8"/>
      <c r="J495" s="8"/>
      <c r="K495" s="8"/>
      <c r="L495" s="8"/>
      <c r="M495" s="8"/>
      <c r="N495" s="8"/>
      <c r="O495" s="8"/>
      <c r="P495" s="8"/>
      <c r="Q495" s="8"/>
      <c r="R495" s="8"/>
      <c r="S495" s="8"/>
      <c r="T495" s="8"/>
      <c r="U495" s="8"/>
      <c r="V495" s="8"/>
      <c r="W495" s="8"/>
      <c r="X495" s="8"/>
      <c r="Y495" s="8"/>
    </row>
    <row r="496" spans="1:25" ht="16.5" customHeight="1" x14ac:dyDescent="0.2">
      <c r="A496" s="8"/>
      <c r="B496" s="8"/>
      <c r="C496" s="8"/>
      <c r="D496" s="8"/>
      <c r="E496" s="8"/>
      <c r="F496" s="8"/>
      <c r="G496" s="8"/>
      <c r="H496" s="8"/>
      <c r="I496" s="8"/>
      <c r="J496" s="8"/>
      <c r="K496" s="8"/>
      <c r="L496" s="8"/>
      <c r="M496" s="8"/>
      <c r="N496" s="8"/>
      <c r="O496" s="8"/>
      <c r="P496" s="8"/>
      <c r="Q496" s="8"/>
      <c r="R496" s="8"/>
      <c r="S496" s="8"/>
      <c r="T496" s="8"/>
      <c r="U496" s="8"/>
      <c r="V496" s="8"/>
      <c r="W496" s="8"/>
      <c r="X496" s="8"/>
      <c r="Y496" s="8"/>
    </row>
    <row r="497" spans="1:25" ht="16.5" customHeight="1" x14ac:dyDescent="0.2">
      <c r="A497" s="8"/>
      <c r="B497" s="8"/>
      <c r="C497" s="8"/>
      <c r="D497" s="8"/>
      <c r="E497" s="8"/>
      <c r="F497" s="8"/>
      <c r="G497" s="8"/>
      <c r="H497" s="8"/>
      <c r="I497" s="8"/>
      <c r="J497" s="8"/>
      <c r="K497" s="8"/>
      <c r="L497" s="8"/>
      <c r="M497" s="8"/>
      <c r="N497" s="8"/>
      <c r="O497" s="8"/>
      <c r="P497" s="8"/>
      <c r="Q497" s="8"/>
      <c r="R497" s="8"/>
      <c r="S497" s="8"/>
      <c r="T497" s="8"/>
      <c r="U497" s="8"/>
      <c r="V497" s="8"/>
      <c r="W497" s="8"/>
      <c r="X497" s="8"/>
      <c r="Y497" s="8"/>
    </row>
    <row r="498" spans="1:25" ht="16.5" customHeight="1" x14ac:dyDescent="0.2">
      <c r="A498" s="8"/>
      <c r="B498" s="8"/>
      <c r="C498" s="8"/>
      <c r="D498" s="8"/>
      <c r="E498" s="8"/>
      <c r="F498" s="8"/>
      <c r="G498" s="8"/>
      <c r="H498" s="8"/>
      <c r="I498" s="8"/>
      <c r="J498" s="8"/>
      <c r="K498" s="8"/>
      <c r="L498" s="8"/>
      <c r="M498" s="8"/>
      <c r="N498" s="8"/>
      <c r="O498" s="8"/>
      <c r="P498" s="8"/>
      <c r="Q498" s="8"/>
      <c r="R498" s="8"/>
      <c r="S498" s="8"/>
      <c r="T498" s="8"/>
      <c r="U498" s="8"/>
      <c r="V498" s="8"/>
      <c r="W498" s="8"/>
      <c r="X498" s="8"/>
      <c r="Y498" s="8"/>
    </row>
    <row r="499" spans="1:25" ht="16.5" customHeight="1" x14ac:dyDescent="0.2">
      <c r="A499" s="8"/>
      <c r="B499" s="8"/>
      <c r="C499" s="8"/>
      <c r="D499" s="8"/>
      <c r="E499" s="8"/>
      <c r="F499" s="8"/>
      <c r="G499" s="8"/>
      <c r="H499" s="8"/>
      <c r="I499" s="8"/>
      <c r="J499" s="8"/>
      <c r="K499" s="8"/>
      <c r="L499" s="8"/>
      <c r="M499" s="8"/>
      <c r="N499" s="8"/>
      <c r="O499" s="8"/>
      <c r="P499" s="8"/>
      <c r="Q499" s="8"/>
      <c r="R499" s="8"/>
      <c r="S499" s="8"/>
      <c r="T499" s="8"/>
      <c r="U499" s="8"/>
      <c r="V499" s="8"/>
      <c r="W499" s="8"/>
      <c r="X499" s="8"/>
      <c r="Y499" s="8"/>
    </row>
    <row r="500" spans="1:25" ht="16.5" customHeight="1" x14ac:dyDescent="0.2">
      <c r="A500" s="8"/>
      <c r="B500" s="8"/>
      <c r="C500" s="8"/>
      <c r="D500" s="8"/>
      <c r="E500" s="8"/>
      <c r="F500" s="8"/>
      <c r="G500" s="8"/>
      <c r="H500" s="8"/>
      <c r="I500" s="8"/>
      <c r="J500" s="8"/>
      <c r="K500" s="8"/>
      <c r="L500" s="8"/>
      <c r="M500" s="8"/>
      <c r="N500" s="8"/>
      <c r="O500" s="8"/>
      <c r="P500" s="8"/>
      <c r="Q500" s="8"/>
      <c r="R500" s="8"/>
      <c r="S500" s="8"/>
      <c r="T500" s="8"/>
      <c r="U500" s="8"/>
      <c r="V500" s="8"/>
      <c r="W500" s="8"/>
      <c r="X500" s="8"/>
      <c r="Y500" s="8"/>
    </row>
    <row r="501" spans="1:25" ht="16.5" customHeight="1" x14ac:dyDescent="0.2">
      <c r="A501" s="8"/>
      <c r="B501" s="8"/>
      <c r="C501" s="8"/>
      <c r="D501" s="8"/>
      <c r="E501" s="8"/>
      <c r="F501" s="8"/>
      <c r="G501" s="8"/>
      <c r="H501" s="8"/>
      <c r="I501" s="8"/>
      <c r="J501" s="8"/>
      <c r="K501" s="8"/>
      <c r="L501" s="8"/>
      <c r="M501" s="8"/>
      <c r="N501" s="8"/>
      <c r="O501" s="8"/>
      <c r="P501" s="8"/>
      <c r="Q501" s="8"/>
      <c r="R501" s="8"/>
      <c r="S501" s="8"/>
      <c r="T501" s="8"/>
      <c r="U501" s="8"/>
      <c r="V501" s="8"/>
      <c r="W501" s="8"/>
      <c r="X501" s="8"/>
      <c r="Y501" s="8"/>
    </row>
    <row r="502" spans="1:25" ht="16.5" customHeight="1" x14ac:dyDescent="0.2">
      <c r="A502" s="8"/>
      <c r="B502" s="8"/>
      <c r="C502" s="8"/>
      <c r="D502" s="8"/>
      <c r="E502" s="8"/>
      <c r="F502" s="8"/>
      <c r="G502" s="8"/>
      <c r="H502" s="8"/>
      <c r="I502" s="8"/>
      <c r="J502" s="8"/>
      <c r="K502" s="8"/>
      <c r="L502" s="8"/>
      <c r="M502" s="8"/>
      <c r="N502" s="8"/>
      <c r="O502" s="8"/>
      <c r="P502" s="8"/>
      <c r="Q502" s="8"/>
      <c r="R502" s="8"/>
      <c r="S502" s="8"/>
      <c r="T502" s="8"/>
      <c r="U502" s="8"/>
      <c r="V502" s="8"/>
      <c r="W502" s="8"/>
      <c r="X502" s="8"/>
      <c r="Y502" s="8"/>
    </row>
    <row r="503" spans="1:25" ht="16.5" customHeight="1" x14ac:dyDescent="0.2">
      <c r="A503" s="8"/>
      <c r="B503" s="8"/>
      <c r="C503" s="8"/>
      <c r="D503" s="8"/>
      <c r="E503" s="8"/>
      <c r="F503" s="8"/>
      <c r="G503" s="8"/>
      <c r="H503" s="8"/>
      <c r="I503" s="8"/>
      <c r="J503" s="8"/>
      <c r="K503" s="8"/>
      <c r="L503" s="8"/>
      <c r="M503" s="8"/>
      <c r="N503" s="8"/>
      <c r="O503" s="8"/>
      <c r="P503" s="8"/>
      <c r="Q503" s="8"/>
      <c r="R503" s="8"/>
      <c r="S503" s="8"/>
      <c r="T503" s="8"/>
      <c r="U503" s="8"/>
      <c r="V503" s="8"/>
      <c r="W503" s="8"/>
      <c r="X503" s="8"/>
      <c r="Y503" s="8"/>
    </row>
    <row r="504" spans="1:25" ht="16.5" customHeight="1" x14ac:dyDescent="0.2">
      <c r="A504" s="8"/>
      <c r="B504" s="8"/>
      <c r="C504" s="8"/>
      <c r="D504" s="8"/>
      <c r="E504" s="8"/>
      <c r="F504" s="8"/>
      <c r="G504" s="8"/>
      <c r="H504" s="8"/>
      <c r="I504" s="8"/>
      <c r="J504" s="8"/>
      <c r="K504" s="8"/>
      <c r="L504" s="8"/>
      <c r="M504" s="8"/>
      <c r="N504" s="8"/>
      <c r="O504" s="8"/>
      <c r="P504" s="8"/>
      <c r="Q504" s="8"/>
      <c r="R504" s="8"/>
      <c r="S504" s="8"/>
      <c r="T504" s="8"/>
      <c r="U504" s="8"/>
      <c r="V504" s="8"/>
      <c r="W504" s="8"/>
      <c r="X504" s="8"/>
      <c r="Y504" s="8"/>
    </row>
    <row r="505" spans="1:25" ht="16.5" customHeight="1" x14ac:dyDescent="0.2">
      <c r="A505" s="8"/>
      <c r="B505" s="8"/>
      <c r="C505" s="8"/>
      <c r="D505" s="8"/>
      <c r="E505" s="8"/>
      <c r="F505" s="8"/>
      <c r="G505" s="8"/>
      <c r="H505" s="8"/>
      <c r="I505" s="8"/>
      <c r="J505" s="8"/>
      <c r="K505" s="8"/>
      <c r="L505" s="8"/>
      <c r="M505" s="8"/>
      <c r="N505" s="8"/>
      <c r="O505" s="8"/>
      <c r="P505" s="8"/>
      <c r="Q505" s="8"/>
      <c r="R505" s="8"/>
      <c r="S505" s="8"/>
      <c r="T505" s="8"/>
      <c r="U505" s="8"/>
      <c r="V505" s="8"/>
      <c r="W505" s="8"/>
      <c r="X505" s="8"/>
      <c r="Y505" s="8"/>
    </row>
    <row r="506" spans="1:25" ht="16.5" customHeight="1" x14ac:dyDescent="0.2">
      <c r="A506" s="8"/>
      <c r="B506" s="8"/>
      <c r="C506" s="8"/>
      <c r="D506" s="8"/>
      <c r="E506" s="8"/>
      <c r="F506" s="8"/>
      <c r="G506" s="8"/>
      <c r="H506" s="8"/>
      <c r="I506" s="8"/>
      <c r="J506" s="8"/>
      <c r="K506" s="8"/>
      <c r="L506" s="8"/>
      <c r="M506" s="8"/>
      <c r="N506" s="8"/>
      <c r="O506" s="8"/>
      <c r="P506" s="8"/>
      <c r="Q506" s="8"/>
      <c r="R506" s="8"/>
      <c r="S506" s="8"/>
      <c r="T506" s="8"/>
      <c r="U506" s="8"/>
      <c r="V506" s="8"/>
      <c r="W506" s="8"/>
      <c r="X506" s="8"/>
      <c r="Y506" s="8"/>
    </row>
    <row r="507" spans="1:25" ht="16.5" customHeight="1" x14ac:dyDescent="0.2">
      <c r="A507" s="8"/>
      <c r="B507" s="8"/>
      <c r="C507" s="8"/>
      <c r="D507" s="8"/>
      <c r="E507" s="8"/>
      <c r="F507" s="8"/>
      <c r="G507" s="8"/>
      <c r="H507" s="8"/>
      <c r="I507" s="8"/>
      <c r="J507" s="8"/>
      <c r="K507" s="8"/>
      <c r="L507" s="8"/>
      <c r="M507" s="8"/>
      <c r="N507" s="8"/>
      <c r="O507" s="8"/>
      <c r="P507" s="8"/>
      <c r="Q507" s="8"/>
      <c r="R507" s="8"/>
      <c r="S507" s="8"/>
      <c r="T507" s="8"/>
      <c r="U507" s="8"/>
      <c r="V507" s="8"/>
      <c r="W507" s="8"/>
      <c r="X507" s="8"/>
      <c r="Y507" s="8"/>
    </row>
    <row r="508" spans="1:25" ht="16.5" customHeight="1" x14ac:dyDescent="0.2">
      <c r="A508" s="8"/>
      <c r="B508" s="8"/>
      <c r="C508" s="8"/>
      <c r="D508" s="8"/>
      <c r="E508" s="8"/>
      <c r="F508" s="8"/>
      <c r="G508" s="8"/>
      <c r="H508" s="8"/>
      <c r="I508" s="8"/>
      <c r="J508" s="8"/>
      <c r="K508" s="8"/>
      <c r="L508" s="8"/>
      <c r="M508" s="8"/>
      <c r="N508" s="8"/>
      <c r="O508" s="8"/>
      <c r="P508" s="8"/>
      <c r="Q508" s="8"/>
      <c r="R508" s="8"/>
      <c r="S508" s="8"/>
      <c r="T508" s="8"/>
      <c r="U508" s="8"/>
      <c r="V508" s="8"/>
      <c r="W508" s="8"/>
      <c r="X508" s="8"/>
      <c r="Y508" s="8"/>
    </row>
    <row r="509" spans="1:25" ht="16.5" customHeight="1" x14ac:dyDescent="0.2">
      <c r="A509" s="8"/>
      <c r="B509" s="8"/>
      <c r="C509" s="8"/>
      <c r="D509" s="8"/>
      <c r="E509" s="8"/>
      <c r="F509" s="8"/>
      <c r="G509" s="8"/>
      <c r="H509" s="8"/>
      <c r="I509" s="8"/>
      <c r="J509" s="8"/>
      <c r="K509" s="8"/>
      <c r="L509" s="8"/>
      <c r="M509" s="8"/>
      <c r="N509" s="8"/>
      <c r="O509" s="8"/>
      <c r="P509" s="8"/>
      <c r="Q509" s="8"/>
      <c r="R509" s="8"/>
      <c r="S509" s="8"/>
      <c r="T509" s="8"/>
      <c r="U509" s="8"/>
      <c r="V509" s="8"/>
      <c r="W509" s="8"/>
      <c r="X509" s="8"/>
      <c r="Y509" s="8"/>
    </row>
    <row r="510" spans="1:25" ht="16.5" customHeight="1" x14ac:dyDescent="0.2">
      <c r="A510" s="8"/>
      <c r="B510" s="8"/>
      <c r="C510" s="8"/>
      <c r="D510" s="8"/>
      <c r="E510" s="8"/>
      <c r="F510" s="8"/>
      <c r="G510" s="8"/>
      <c r="H510" s="8"/>
      <c r="I510" s="8"/>
      <c r="J510" s="8"/>
      <c r="K510" s="8"/>
      <c r="L510" s="8"/>
      <c r="M510" s="8"/>
      <c r="N510" s="8"/>
      <c r="O510" s="8"/>
      <c r="P510" s="8"/>
      <c r="Q510" s="8"/>
      <c r="R510" s="8"/>
      <c r="S510" s="8"/>
      <c r="T510" s="8"/>
      <c r="U510" s="8"/>
      <c r="V510" s="8"/>
      <c r="W510" s="8"/>
      <c r="X510" s="8"/>
      <c r="Y510" s="8"/>
    </row>
    <row r="511" spans="1:25" ht="16.5" customHeight="1" x14ac:dyDescent="0.2">
      <c r="A511" s="8"/>
      <c r="B511" s="8"/>
      <c r="C511" s="8"/>
      <c r="D511" s="8"/>
      <c r="E511" s="8"/>
      <c r="F511" s="8"/>
      <c r="G511" s="8"/>
      <c r="H511" s="8"/>
      <c r="I511" s="8"/>
      <c r="J511" s="8"/>
      <c r="K511" s="8"/>
      <c r="L511" s="8"/>
      <c r="M511" s="8"/>
      <c r="N511" s="8"/>
      <c r="O511" s="8"/>
      <c r="P511" s="8"/>
      <c r="Q511" s="8"/>
      <c r="R511" s="8"/>
      <c r="S511" s="8"/>
      <c r="T511" s="8"/>
      <c r="U511" s="8"/>
      <c r="V511" s="8"/>
      <c r="W511" s="8"/>
      <c r="X511" s="8"/>
      <c r="Y511" s="8"/>
    </row>
    <row r="512" spans="1:25" ht="16.5" customHeight="1" x14ac:dyDescent="0.2">
      <c r="A512" s="8"/>
      <c r="B512" s="8"/>
      <c r="C512" s="8"/>
      <c r="D512" s="8"/>
      <c r="E512" s="8"/>
      <c r="F512" s="8"/>
      <c r="G512" s="8"/>
      <c r="H512" s="8"/>
      <c r="I512" s="8"/>
      <c r="J512" s="8"/>
      <c r="K512" s="8"/>
      <c r="L512" s="8"/>
      <c r="M512" s="8"/>
      <c r="N512" s="8"/>
      <c r="O512" s="8"/>
      <c r="P512" s="8"/>
      <c r="Q512" s="8"/>
      <c r="R512" s="8"/>
      <c r="S512" s="8"/>
      <c r="T512" s="8"/>
      <c r="U512" s="8"/>
      <c r="V512" s="8"/>
      <c r="W512" s="8"/>
      <c r="X512" s="8"/>
      <c r="Y512" s="8"/>
    </row>
    <row r="513" spans="1:25" ht="16.5" customHeight="1" x14ac:dyDescent="0.2">
      <c r="A513" s="8"/>
      <c r="B513" s="8"/>
      <c r="C513" s="8"/>
      <c r="D513" s="8"/>
      <c r="E513" s="8"/>
      <c r="F513" s="8"/>
      <c r="G513" s="8"/>
      <c r="H513" s="8"/>
      <c r="I513" s="8"/>
      <c r="J513" s="8"/>
      <c r="K513" s="8"/>
      <c r="L513" s="8"/>
      <c r="M513" s="8"/>
      <c r="N513" s="8"/>
      <c r="O513" s="8"/>
      <c r="P513" s="8"/>
      <c r="Q513" s="8"/>
      <c r="R513" s="8"/>
      <c r="S513" s="8"/>
      <c r="T513" s="8"/>
      <c r="U513" s="8"/>
      <c r="V513" s="8"/>
      <c r="W513" s="8"/>
      <c r="X513" s="8"/>
      <c r="Y513" s="8"/>
    </row>
    <row r="514" spans="1:25" ht="16.5" customHeight="1" x14ac:dyDescent="0.2">
      <c r="A514" s="8"/>
      <c r="B514" s="8"/>
      <c r="C514" s="8"/>
      <c r="D514" s="8"/>
      <c r="E514" s="8"/>
      <c r="F514" s="8"/>
      <c r="G514" s="8"/>
      <c r="H514" s="8"/>
      <c r="I514" s="8"/>
      <c r="J514" s="8"/>
      <c r="K514" s="8"/>
      <c r="L514" s="8"/>
      <c r="M514" s="8"/>
      <c r="N514" s="8"/>
      <c r="O514" s="8"/>
      <c r="P514" s="8"/>
      <c r="Q514" s="8"/>
      <c r="R514" s="8"/>
      <c r="S514" s="8"/>
      <c r="T514" s="8"/>
      <c r="U514" s="8"/>
      <c r="V514" s="8"/>
      <c r="W514" s="8"/>
      <c r="X514" s="8"/>
      <c r="Y514" s="8"/>
    </row>
    <row r="515" spans="1:25" ht="16.5" customHeight="1" x14ac:dyDescent="0.2">
      <c r="A515" s="8"/>
      <c r="B515" s="8"/>
      <c r="C515" s="8"/>
      <c r="D515" s="8"/>
      <c r="E515" s="8"/>
      <c r="F515" s="8"/>
      <c r="G515" s="8"/>
      <c r="H515" s="8"/>
      <c r="I515" s="8"/>
      <c r="J515" s="8"/>
      <c r="K515" s="8"/>
      <c r="L515" s="8"/>
      <c r="M515" s="8"/>
      <c r="N515" s="8"/>
      <c r="O515" s="8"/>
      <c r="P515" s="8"/>
      <c r="Q515" s="8"/>
      <c r="R515" s="8"/>
      <c r="S515" s="8"/>
      <c r="T515" s="8"/>
      <c r="U515" s="8"/>
      <c r="V515" s="8"/>
      <c r="W515" s="8"/>
      <c r="X515" s="8"/>
      <c r="Y515" s="8"/>
    </row>
    <row r="516" spans="1:25" ht="16.5" customHeight="1" x14ac:dyDescent="0.2">
      <c r="A516" s="8"/>
      <c r="B516" s="8"/>
      <c r="C516" s="8"/>
      <c r="D516" s="8"/>
      <c r="E516" s="8"/>
      <c r="F516" s="8"/>
      <c r="G516" s="8"/>
      <c r="H516" s="8"/>
      <c r="I516" s="8"/>
      <c r="J516" s="8"/>
      <c r="K516" s="8"/>
      <c r="L516" s="8"/>
      <c r="M516" s="8"/>
      <c r="N516" s="8"/>
      <c r="O516" s="8"/>
      <c r="P516" s="8"/>
      <c r="Q516" s="8"/>
      <c r="R516" s="8"/>
      <c r="S516" s="8"/>
      <c r="T516" s="8"/>
      <c r="U516" s="8"/>
      <c r="V516" s="8"/>
      <c r="W516" s="8"/>
      <c r="X516" s="8"/>
      <c r="Y516" s="8"/>
    </row>
    <row r="517" spans="1:25" ht="16.5" customHeight="1" x14ac:dyDescent="0.2">
      <c r="A517" s="8"/>
      <c r="B517" s="8"/>
      <c r="C517" s="8"/>
      <c r="D517" s="8"/>
      <c r="E517" s="8"/>
      <c r="F517" s="8"/>
      <c r="G517" s="8"/>
      <c r="H517" s="8"/>
      <c r="I517" s="8"/>
      <c r="J517" s="8"/>
      <c r="K517" s="8"/>
      <c r="L517" s="8"/>
      <c r="M517" s="8"/>
      <c r="N517" s="8"/>
      <c r="O517" s="8"/>
      <c r="P517" s="8"/>
      <c r="Q517" s="8"/>
      <c r="R517" s="8"/>
      <c r="S517" s="8"/>
      <c r="T517" s="8"/>
      <c r="U517" s="8"/>
      <c r="V517" s="8"/>
      <c r="W517" s="8"/>
      <c r="X517" s="8"/>
      <c r="Y517" s="8"/>
    </row>
    <row r="518" spans="1:25" ht="16.5" customHeight="1" x14ac:dyDescent="0.2">
      <c r="A518" s="8"/>
      <c r="B518" s="8"/>
      <c r="C518" s="8"/>
      <c r="D518" s="8"/>
      <c r="E518" s="8"/>
      <c r="F518" s="8"/>
      <c r="G518" s="8"/>
      <c r="H518" s="8"/>
      <c r="I518" s="8"/>
      <c r="J518" s="8"/>
      <c r="K518" s="8"/>
      <c r="L518" s="8"/>
      <c r="M518" s="8"/>
      <c r="N518" s="8"/>
      <c r="O518" s="8"/>
      <c r="P518" s="8"/>
      <c r="Q518" s="8"/>
      <c r="R518" s="8"/>
      <c r="S518" s="8"/>
      <c r="T518" s="8"/>
      <c r="U518" s="8"/>
      <c r="V518" s="8"/>
      <c r="W518" s="8"/>
      <c r="X518" s="8"/>
      <c r="Y518" s="8"/>
    </row>
    <row r="519" spans="1:25" ht="16.5" customHeight="1" x14ac:dyDescent="0.2">
      <c r="A519" s="8"/>
      <c r="B519" s="8"/>
      <c r="C519" s="8"/>
      <c r="D519" s="8"/>
      <c r="E519" s="8"/>
      <c r="F519" s="8"/>
      <c r="G519" s="8"/>
      <c r="H519" s="8"/>
      <c r="I519" s="8"/>
      <c r="J519" s="8"/>
      <c r="K519" s="8"/>
      <c r="L519" s="8"/>
      <c r="M519" s="8"/>
      <c r="N519" s="8"/>
      <c r="O519" s="8"/>
      <c r="P519" s="8"/>
      <c r="Q519" s="8"/>
      <c r="R519" s="8"/>
      <c r="S519" s="8"/>
      <c r="T519" s="8"/>
      <c r="U519" s="8"/>
      <c r="V519" s="8"/>
      <c r="W519" s="8"/>
      <c r="X519" s="8"/>
      <c r="Y519" s="8"/>
    </row>
    <row r="520" spans="1:25" ht="16.5" customHeight="1" x14ac:dyDescent="0.2">
      <c r="A520" s="8"/>
      <c r="B520" s="8"/>
      <c r="C520" s="8"/>
      <c r="D520" s="8"/>
      <c r="E520" s="8"/>
      <c r="F520" s="8"/>
      <c r="G520" s="8"/>
      <c r="H520" s="8"/>
      <c r="I520" s="8"/>
      <c r="J520" s="8"/>
      <c r="K520" s="8"/>
      <c r="L520" s="8"/>
      <c r="M520" s="8"/>
      <c r="N520" s="8"/>
      <c r="O520" s="8"/>
      <c r="P520" s="8"/>
      <c r="Q520" s="8"/>
      <c r="R520" s="8"/>
      <c r="S520" s="8"/>
      <c r="T520" s="8"/>
      <c r="U520" s="8"/>
      <c r="V520" s="8"/>
      <c r="W520" s="8"/>
      <c r="X520" s="8"/>
      <c r="Y520" s="8"/>
    </row>
    <row r="521" spans="1:25" ht="16.5" customHeight="1" x14ac:dyDescent="0.2">
      <c r="A521" s="8"/>
      <c r="B521" s="8"/>
      <c r="C521" s="8"/>
      <c r="D521" s="8"/>
      <c r="E521" s="8"/>
      <c r="F521" s="8"/>
      <c r="G521" s="8"/>
      <c r="H521" s="8"/>
      <c r="I521" s="8"/>
      <c r="J521" s="8"/>
      <c r="K521" s="8"/>
      <c r="L521" s="8"/>
      <c r="M521" s="8"/>
      <c r="N521" s="8"/>
      <c r="O521" s="8"/>
      <c r="P521" s="8"/>
      <c r="Q521" s="8"/>
      <c r="R521" s="8"/>
      <c r="S521" s="8"/>
      <c r="T521" s="8"/>
      <c r="U521" s="8"/>
      <c r="V521" s="8"/>
      <c r="W521" s="8"/>
      <c r="X521" s="8"/>
      <c r="Y521" s="8"/>
    </row>
    <row r="522" spans="1:25" ht="16.5" customHeight="1" x14ac:dyDescent="0.2">
      <c r="A522" s="8"/>
      <c r="B522" s="8"/>
      <c r="C522" s="8"/>
      <c r="D522" s="8"/>
      <c r="E522" s="8"/>
      <c r="F522" s="8"/>
      <c r="G522" s="8"/>
      <c r="H522" s="8"/>
      <c r="I522" s="8"/>
      <c r="J522" s="8"/>
      <c r="K522" s="8"/>
      <c r="L522" s="8"/>
      <c r="M522" s="8"/>
      <c r="N522" s="8"/>
      <c r="O522" s="8"/>
      <c r="P522" s="8"/>
      <c r="Q522" s="8"/>
      <c r="R522" s="8"/>
      <c r="S522" s="8"/>
      <c r="T522" s="8"/>
      <c r="U522" s="8"/>
      <c r="V522" s="8"/>
      <c r="W522" s="8"/>
      <c r="X522" s="8"/>
      <c r="Y522" s="8"/>
    </row>
    <row r="523" spans="1:25" ht="16.5" customHeight="1" x14ac:dyDescent="0.2">
      <c r="A523" s="8"/>
      <c r="B523" s="8"/>
      <c r="C523" s="8"/>
      <c r="D523" s="8"/>
      <c r="E523" s="8"/>
      <c r="F523" s="8"/>
      <c r="G523" s="8"/>
      <c r="H523" s="8"/>
      <c r="I523" s="8"/>
      <c r="J523" s="8"/>
      <c r="K523" s="8"/>
      <c r="L523" s="8"/>
      <c r="M523" s="8"/>
      <c r="N523" s="8"/>
      <c r="O523" s="8"/>
      <c r="P523" s="8"/>
      <c r="Q523" s="8"/>
      <c r="R523" s="8"/>
      <c r="S523" s="8"/>
      <c r="T523" s="8"/>
      <c r="U523" s="8"/>
      <c r="V523" s="8"/>
      <c r="W523" s="8"/>
      <c r="X523" s="8"/>
      <c r="Y523" s="8"/>
    </row>
    <row r="524" spans="1:25" ht="16.5" customHeight="1" x14ac:dyDescent="0.2">
      <c r="A524" s="8"/>
      <c r="B524" s="8"/>
      <c r="C524" s="8"/>
      <c r="D524" s="8"/>
      <c r="E524" s="8"/>
      <c r="F524" s="8"/>
      <c r="G524" s="8"/>
      <c r="H524" s="8"/>
      <c r="I524" s="8"/>
      <c r="J524" s="8"/>
      <c r="K524" s="8"/>
      <c r="L524" s="8"/>
      <c r="M524" s="8"/>
      <c r="N524" s="8"/>
      <c r="O524" s="8"/>
      <c r="P524" s="8"/>
      <c r="Q524" s="8"/>
      <c r="R524" s="8"/>
      <c r="S524" s="8"/>
      <c r="T524" s="8"/>
      <c r="U524" s="8"/>
      <c r="V524" s="8"/>
      <c r="W524" s="8"/>
      <c r="X524" s="8"/>
      <c r="Y524" s="8"/>
    </row>
    <row r="525" spans="1:25" ht="16.5" customHeight="1" x14ac:dyDescent="0.2">
      <c r="A525" s="8"/>
      <c r="B525" s="8"/>
      <c r="C525" s="8"/>
      <c r="D525" s="8"/>
      <c r="E525" s="8"/>
      <c r="F525" s="8"/>
      <c r="G525" s="8"/>
      <c r="H525" s="8"/>
      <c r="I525" s="8"/>
      <c r="J525" s="8"/>
      <c r="K525" s="8"/>
      <c r="L525" s="8"/>
      <c r="M525" s="8"/>
      <c r="N525" s="8"/>
      <c r="O525" s="8"/>
      <c r="P525" s="8"/>
      <c r="Q525" s="8"/>
      <c r="R525" s="8"/>
      <c r="S525" s="8"/>
      <c r="T525" s="8"/>
      <c r="U525" s="8"/>
      <c r="V525" s="8"/>
      <c r="W525" s="8"/>
      <c r="X525" s="8"/>
      <c r="Y525" s="8"/>
    </row>
    <row r="526" spans="1:25" ht="16.5" customHeight="1" x14ac:dyDescent="0.2">
      <c r="A526" s="8"/>
      <c r="B526" s="8"/>
      <c r="C526" s="8"/>
      <c r="D526" s="8"/>
      <c r="E526" s="8"/>
      <c r="F526" s="8"/>
      <c r="G526" s="8"/>
      <c r="H526" s="8"/>
      <c r="I526" s="8"/>
      <c r="J526" s="8"/>
      <c r="K526" s="8"/>
      <c r="L526" s="8"/>
      <c r="M526" s="8"/>
      <c r="N526" s="8"/>
      <c r="O526" s="8"/>
      <c r="P526" s="8"/>
      <c r="Q526" s="8"/>
      <c r="R526" s="8"/>
      <c r="S526" s="8"/>
      <c r="T526" s="8"/>
      <c r="U526" s="8"/>
      <c r="V526" s="8"/>
      <c r="W526" s="8"/>
      <c r="X526" s="8"/>
      <c r="Y526" s="8"/>
    </row>
    <row r="527" spans="1:25" ht="16.5" customHeight="1" x14ac:dyDescent="0.2">
      <c r="A527" s="8"/>
      <c r="B527" s="8"/>
      <c r="C527" s="8"/>
      <c r="D527" s="8"/>
      <c r="E527" s="8"/>
      <c r="F527" s="8"/>
      <c r="G527" s="8"/>
      <c r="H527" s="8"/>
      <c r="I527" s="8"/>
      <c r="J527" s="8"/>
      <c r="K527" s="8"/>
      <c r="L527" s="8"/>
      <c r="M527" s="8"/>
      <c r="N527" s="8"/>
      <c r="O527" s="8"/>
      <c r="P527" s="8"/>
      <c r="Q527" s="8"/>
      <c r="R527" s="8"/>
      <c r="S527" s="8"/>
      <c r="T527" s="8"/>
      <c r="U527" s="8"/>
      <c r="V527" s="8"/>
      <c r="W527" s="8"/>
      <c r="X527" s="8"/>
      <c r="Y527" s="8"/>
    </row>
    <row r="528" spans="1:25" ht="16.5" customHeight="1" x14ac:dyDescent="0.2">
      <c r="A528" s="8"/>
      <c r="B528" s="8"/>
      <c r="C528" s="8"/>
      <c r="D528" s="8"/>
      <c r="E528" s="8"/>
      <c r="F528" s="8"/>
      <c r="G528" s="8"/>
      <c r="H528" s="8"/>
      <c r="I528" s="8"/>
      <c r="J528" s="8"/>
      <c r="K528" s="8"/>
      <c r="L528" s="8"/>
      <c r="M528" s="8"/>
      <c r="N528" s="8"/>
      <c r="O528" s="8"/>
      <c r="P528" s="8"/>
      <c r="Q528" s="8"/>
      <c r="R528" s="8"/>
      <c r="S528" s="8"/>
      <c r="T528" s="8"/>
      <c r="U528" s="8"/>
      <c r="V528" s="8"/>
      <c r="W528" s="8"/>
      <c r="X528" s="8"/>
      <c r="Y528" s="8"/>
    </row>
    <row r="529" spans="1:25" ht="16.5" customHeight="1" x14ac:dyDescent="0.2">
      <c r="A529" s="8"/>
      <c r="B529" s="8"/>
      <c r="C529" s="8"/>
      <c r="D529" s="8"/>
      <c r="E529" s="8"/>
      <c r="F529" s="8"/>
      <c r="G529" s="8"/>
      <c r="H529" s="8"/>
      <c r="I529" s="8"/>
      <c r="J529" s="8"/>
      <c r="K529" s="8"/>
      <c r="L529" s="8"/>
      <c r="M529" s="8"/>
      <c r="N529" s="8"/>
      <c r="O529" s="8"/>
      <c r="P529" s="8"/>
      <c r="Q529" s="8"/>
      <c r="R529" s="8"/>
      <c r="S529" s="8"/>
      <c r="T529" s="8"/>
      <c r="U529" s="8"/>
      <c r="V529" s="8"/>
      <c r="W529" s="8"/>
      <c r="X529" s="8"/>
      <c r="Y529" s="8"/>
    </row>
    <row r="530" spans="1:25" ht="16.5" customHeight="1" x14ac:dyDescent="0.2">
      <c r="A530" s="8"/>
      <c r="B530" s="8"/>
      <c r="C530" s="8"/>
      <c r="D530" s="8"/>
      <c r="E530" s="8"/>
      <c r="F530" s="8"/>
      <c r="G530" s="8"/>
      <c r="H530" s="8"/>
      <c r="I530" s="8"/>
      <c r="J530" s="8"/>
      <c r="K530" s="8"/>
      <c r="L530" s="8"/>
      <c r="M530" s="8"/>
      <c r="N530" s="8"/>
      <c r="O530" s="8"/>
      <c r="P530" s="8"/>
      <c r="Q530" s="8"/>
      <c r="R530" s="8"/>
      <c r="S530" s="8"/>
      <c r="T530" s="8"/>
      <c r="U530" s="8"/>
      <c r="V530" s="8"/>
      <c r="W530" s="8"/>
      <c r="X530" s="8"/>
      <c r="Y530" s="8"/>
    </row>
    <row r="531" spans="1:25" ht="16.5" customHeight="1" x14ac:dyDescent="0.2">
      <c r="A531" s="8"/>
      <c r="B531" s="8"/>
      <c r="C531" s="8"/>
      <c r="D531" s="8"/>
      <c r="E531" s="8"/>
      <c r="F531" s="8"/>
      <c r="G531" s="8"/>
      <c r="H531" s="8"/>
      <c r="I531" s="8"/>
      <c r="J531" s="8"/>
      <c r="K531" s="8"/>
      <c r="L531" s="8"/>
      <c r="M531" s="8"/>
      <c r="N531" s="8"/>
      <c r="O531" s="8"/>
      <c r="P531" s="8"/>
      <c r="Q531" s="8"/>
      <c r="R531" s="8"/>
      <c r="S531" s="8"/>
      <c r="T531" s="8"/>
      <c r="U531" s="8"/>
      <c r="V531" s="8"/>
      <c r="W531" s="8"/>
      <c r="X531" s="8"/>
      <c r="Y531" s="8"/>
    </row>
    <row r="532" spans="1:25" ht="16.5" customHeight="1" x14ac:dyDescent="0.2">
      <c r="A532" s="8"/>
      <c r="B532" s="8"/>
      <c r="C532" s="8"/>
      <c r="D532" s="8"/>
      <c r="E532" s="8"/>
      <c r="F532" s="8"/>
      <c r="G532" s="8"/>
      <c r="H532" s="8"/>
      <c r="I532" s="8"/>
      <c r="J532" s="8"/>
      <c r="K532" s="8"/>
      <c r="L532" s="8"/>
      <c r="M532" s="8"/>
      <c r="N532" s="8"/>
      <c r="O532" s="8"/>
      <c r="P532" s="8"/>
      <c r="Q532" s="8"/>
      <c r="R532" s="8"/>
      <c r="S532" s="8"/>
      <c r="T532" s="8"/>
      <c r="U532" s="8"/>
      <c r="V532" s="8"/>
      <c r="W532" s="8"/>
      <c r="X532" s="8"/>
      <c r="Y532" s="8"/>
    </row>
    <row r="533" spans="1:25" ht="16.5" customHeight="1" x14ac:dyDescent="0.2">
      <c r="A533" s="8"/>
      <c r="B533" s="8"/>
      <c r="C533" s="8"/>
      <c r="D533" s="8"/>
      <c r="E533" s="8"/>
      <c r="F533" s="8"/>
      <c r="G533" s="8"/>
      <c r="H533" s="8"/>
      <c r="I533" s="8"/>
      <c r="J533" s="8"/>
      <c r="K533" s="8"/>
      <c r="L533" s="8"/>
      <c r="M533" s="8"/>
      <c r="N533" s="8"/>
      <c r="O533" s="8"/>
      <c r="P533" s="8"/>
      <c r="Q533" s="8"/>
      <c r="R533" s="8"/>
      <c r="S533" s="8"/>
      <c r="T533" s="8"/>
      <c r="U533" s="8"/>
      <c r="V533" s="8"/>
      <c r="W533" s="8"/>
      <c r="X533" s="8"/>
      <c r="Y533" s="8"/>
    </row>
    <row r="534" spans="1:25" ht="16.5" customHeight="1" x14ac:dyDescent="0.2">
      <c r="A534" s="8"/>
      <c r="B534" s="8"/>
      <c r="C534" s="8"/>
      <c r="D534" s="8"/>
      <c r="E534" s="8"/>
      <c r="F534" s="8"/>
      <c r="G534" s="8"/>
      <c r="H534" s="8"/>
      <c r="I534" s="8"/>
      <c r="J534" s="8"/>
      <c r="K534" s="8"/>
      <c r="L534" s="8"/>
      <c r="M534" s="8"/>
      <c r="N534" s="8"/>
      <c r="O534" s="8"/>
      <c r="P534" s="8"/>
      <c r="Q534" s="8"/>
      <c r="R534" s="8"/>
      <c r="S534" s="8"/>
      <c r="T534" s="8"/>
      <c r="U534" s="8"/>
      <c r="V534" s="8"/>
      <c r="W534" s="8"/>
      <c r="X534" s="8"/>
      <c r="Y534" s="8"/>
    </row>
    <row r="535" spans="1:25" ht="16.5" customHeight="1" x14ac:dyDescent="0.2">
      <c r="A535" s="8"/>
      <c r="B535" s="8"/>
      <c r="C535" s="8"/>
      <c r="D535" s="8"/>
      <c r="E535" s="8"/>
      <c r="F535" s="8"/>
      <c r="G535" s="8"/>
      <c r="H535" s="8"/>
      <c r="I535" s="8"/>
      <c r="J535" s="8"/>
      <c r="K535" s="8"/>
      <c r="L535" s="8"/>
      <c r="M535" s="8"/>
      <c r="N535" s="8"/>
      <c r="O535" s="8"/>
      <c r="P535" s="8"/>
      <c r="Q535" s="8"/>
      <c r="R535" s="8"/>
      <c r="S535" s="8"/>
      <c r="T535" s="8"/>
      <c r="U535" s="8"/>
      <c r="V535" s="8"/>
      <c r="W535" s="8"/>
      <c r="X535" s="8"/>
      <c r="Y535" s="8"/>
    </row>
    <row r="536" spans="1:25" ht="16.5" customHeight="1" x14ac:dyDescent="0.2">
      <c r="A536" s="8"/>
      <c r="B536" s="8"/>
      <c r="C536" s="8"/>
      <c r="D536" s="8"/>
      <c r="E536" s="8"/>
      <c r="F536" s="8"/>
      <c r="G536" s="8"/>
      <c r="H536" s="8"/>
      <c r="I536" s="8"/>
      <c r="J536" s="8"/>
      <c r="K536" s="8"/>
      <c r="L536" s="8"/>
      <c r="M536" s="8"/>
      <c r="N536" s="8"/>
      <c r="O536" s="8"/>
      <c r="P536" s="8"/>
      <c r="Q536" s="8"/>
      <c r="R536" s="8"/>
      <c r="S536" s="8"/>
      <c r="T536" s="8"/>
      <c r="U536" s="8"/>
      <c r="V536" s="8"/>
      <c r="W536" s="8"/>
      <c r="X536" s="8"/>
      <c r="Y536" s="8"/>
    </row>
    <row r="537" spans="1:25" ht="16.5" customHeight="1" x14ac:dyDescent="0.2">
      <c r="A537" s="8"/>
      <c r="B537" s="8"/>
      <c r="C537" s="8"/>
      <c r="D537" s="8"/>
      <c r="E537" s="8"/>
      <c r="F537" s="8"/>
      <c r="G537" s="8"/>
      <c r="H537" s="8"/>
      <c r="I537" s="8"/>
      <c r="J537" s="8"/>
      <c r="K537" s="8"/>
      <c r="L537" s="8"/>
      <c r="M537" s="8"/>
      <c r="N537" s="8"/>
      <c r="O537" s="8"/>
      <c r="P537" s="8"/>
      <c r="Q537" s="8"/>
      <c r="R537" s="8"/>
      <c r="S537" s="8"/>
      <c r="T537" s="8"/>
      <c r="U537" s="8"/>
      <c r="V537" s="8"/>
      <c r="W537" s="8"/>
      <c r="X537" s="8"/>
      <c r="Y537" s="8"/>
    </row>
    <row r="538" spans="1:25" ht="16.5" customHeight="1" x14ac:dyDescent="0.2">
      <c r="A538" s="8"/>
      <c r="B538" s="8"/>
      <c r="C538" s="8"/>
      <c r="D538" s="8"/>
      <c r="E538" s="8"/>
      <c r="F538" s="8"/>
      <c r="G538" s="8"/>
      <c r="H538" s="8"/>
      <c r="I538" s="8"/>
      <c r="J538" s="8"/>
      <c r="K538" s="8"/>
      <c r="L538" s="8"/>
      <c r="M538" s="8"/>
      <c r="N538" s="8"/>
      <c r="O538" s="8"/>
      <c r="P538" s="8"/>
      <c r="Q538" s="8"/>
      <c r="R538" s="8"/>
      <c r="S538" s="8"/>
      <c r="T538" s="8"/>
      <c r="U538" s="8"/>
      <c r="V538" s="8"/>
      <c r="W538" s="8"/>
      <c r="X538" s="8"/>
      <c r="Y538" s="8"/>
    </row>
    <row r="539" spans="1:25" ht="16.5" customHeight="1" x14ac:dyDescent="0.2">
      <c r="A539" s="8"/>
      <c r="B539" s="8"/>
      <c r="C539" s="8"/>
      <c r="D539" s="8"/>
      <c r="E539" s="8"/>
      <c r="F539" s="8"/>
      <c r="G539" s="8"/>
      <c r="H539" s="8"/>
      <c r="I539" s="8"/>
      <c r="J539" s="8"/>
      <c r="K539" s="8"/>
      <c r="L539" s="8"/>
      <c r="M539" s="8"/>
      <c r="N539" s="8"/>
      <c r="O539" s="8"/>
      <c r="P539" s="8"/>
      <c r="Q539" s="8"/>
      <c r="R539" s="8"/>
      <c r="S539" s="8"/>
      <c r="T539" s="8"/>
      <c r="U539" s="8"/>
      <c r="V539" s="8"/>
      <c r="W539" s="8"/>
      <c r="X539" s="8"/>
      <c r="Y539" s="8"/>
    </row>
    <row r="540" spans="1:25" ht="16.5" customHeight="1" x14ac:dyDescent="0.2">
      <c r="A540" s="8"/>
      <c r="B540" s="8"/>
      <c r="C540" s="8"/>
      <c r="D540" s="8"/>
      <c r="E540" s="8"/>
      <c r="F540" s="8"/>
      <c r="G540" s="8"/>
      <c r="H540" s="8"/>
      <c r="I540" s="8"/>
      <c r="J540" s="8"/>
      <c r="K540" s="8"/>
      <c r="L540" s="8"/>
      <c r="M540" s="8"/>
      <c r="N540" s="8"/>
      <c r="O540" s="8"/>
      <c r="P540" s="8"/>
      <c r="Q540" s="8"/>
      <c r="R540" s="8"/>
      <c r="S540" s="8"/>
      <c r="T540" s="8"/>
      <c r="U540" s="8"/>
      <c r="V540" s="8"/>
      <c r="W540" s="8"/>
      <c r="X540" s="8"/>
      <c r="Y540" s="8"/>
    </row>
    <row r="541" spans="1:25" ht="16.5" customHeight="1" x14ac:dyDescent="0.2">
      <c r="A541" s="8"/>
      <c r="B541" s="8"/>
      <c r="C541" s="8"/>
      <c r="D541" s="8"/>
      <c r="E541" s="8"/>
      <c r="F541" s="8"/>
      <c r="G541" s="8"/>
      <c r="H541" s="8"/>
      <c r="I541" s="8"/>
      <c r="J541" s="8"/>
      <c r="K541" s="8"/>
      <c r="L541" s="8"/>
      <c r="M541" s="8"/>
      <c r="N541" s="8"/>
      <c r="O541" s="8"/>
      <c r="P541" s="8"/>
      <c r="Q541" s="8"/>
      <c r="R541" s="8"/>
      <c r="S541" s="8"/>
      <c r="T541" s="8"/>
      <c r="U541" s="8"/>
      <c r="V541" s="8"/>
      <c r="W541" s="8"/>
      <c r="X541" s="8"/>
      <c r="Y541" s="8"/>
    </row>
    <row r="542" spans="1:25" ht="16.5" customHeight="1" x14ac:dyDescent="0.2">
      <c r="A542" s="8"/>
      <c r="B542" s="8"/>
      <c r="C542" s="8"/>
      <c r="D542" s="8"/>
      <c r="E542" s="8"/>
      <c r="F542" s="8"/>
      <c r="G542" s="8"/>
      <c r="H542" s="8"/>
      <c r="I542" s="8"/>
      <c r="J542" s="8"/>
      <c r="K542" s="8"/>
      <c r="L542" s="8"/>
      <c r="M542" s="8"/>
      <c r="N542" s="8"/>
      <c r="O542" s="8"/>
      <c r="P542" s="8"/>
      <c r="Q542" s="8"/>
      <c r="R542" s="8"/>
      <c r="S542" s="8"/>
      <c r="T542" s="8"/>
      <c r="U542" s="8"/>
      <c r="V542" s="8"/>
      <c r="W542" s="8"/>
      <c r="X542" s="8"/>
      <c r="Y542" s="8"/>
    </row>
    <row r="543" spans="1:25" ht="16.5" customHeight="1" x14ac:dyDescent="0.2">
      <c r="A543" s="8"/>
      <c r="B543" s="8"/>
      <c r="C543" s="8"/>
      <c r="D543" s="8"/>
      <c r="E543" s="8"/>
      <c r="F543" s="8"/>
      <c r="G543" s="8"/>
      <c r="H543" s="8"/>
      <c r="I543" s="8"/>
      <c r="J543" s="8"/>
      <c r="K543" s="8"/>
      <c r="L543" s="8"/>
      <c r="M543" s="8"/>
      <c r="N543" s="8"/>
      <c r="O543" s="8"/>
      <c r="P543" s="8"/>
      <c r="Q543" s="8"/>
      <c r="R543" s="8"/>
      <c r="S543" s="8"/>
      <c r="T543" s="8"/>
      <c r="U543" s="8"/>
      <c r="V543" s="8"/>
      <c r="W543" s="8"/>
      <c r="X543" s="8"/>
      <c r="Y543" s="8"/>
    </row>
    <row r="544" spans="1:25" ht="16.5" customHeight="1" x14ac:dyDescent="0.2">
      <c r="A544" s="8"/>
      <c r="B544" s="8"/>
      <c r="C544" s="8"/>
      <c r="D544" s="8"/>
      <c r="E544" s="8"/>
      <c r="F544" s="8"/>
      <c r="G544" s="8"/>
      <c r="H544" s="8"/>
      <c r="I544" s="8"/>
      <c r="J544" s="8"/>
      <c r="K544" s="8"/>
      <c r="L544" s="8"/>
      <c r="M544" s="8"/>
      <c r="N544" s="8"/>
      <c r="O544" s="8"/>
      <c r="P544" s="8"/>
      <c r="Q544" s="8"/>
      <c r="R544" s="8"/>
      <c r="S544" s="8"/>
      <c r="T544" s="8"/>
      <c r="U544" s="8"/>
      <c r="V544" s="8"/>
      <c r="W544" s="8"/>
      <c r="X544" s="8"/>
      <c r="Y544" s="8"/>
    </row>
    <row r="545" spans="1:25" ht="16.5" customHeight="1" x14ac:dyDescent="0.2">
      <c r="A545" s="8"/>
      <c r="B545" s="8"/>
      <c r="C545" s="8"/>
      <c r="D545" s="8"/>
      <c r="E545" s="8"/>
      <c r="F545" s="8"/>
      <c r="G545" s="8"/>
      <c r="H545" s="8"/>
      <c r="I545" s="8"/>
      <c r="J545" s="8"/>
      <c r="K545" s="8"/>
      <c r="L545" s="8"/>
      <c r="M545" s="8"/>
      <c r="N545" s="8"/>
      <c r="O545" s="8"/>
      <c r="P545" s="8"/>
      <c r="Q545" s="8"/>
      <c r="R545" s="8"/>
      <c r="S545" s="8"/>
      <c r="T545" s="8"/>
      <c r="U545" s="8"/>
      <c r="V545" s="8"/>
      <c r="W545" s="8"/>
      <c r="X545" s="8"/>
      <c r="Y545" s="8"/>
    </row>
    <row r="546" spans="1:25" ht="16.5" customHeight="1" x14ac:dyDescent="0.2">
      <c r="A546" s="8"/>
      <c r="B546" s="8"/>
      <c r="C546" s="8"/>
      <c r="D546" s="8"/>
      <c r="E546" s="8"/>
      <c r="F546" s="8"/>
      <c r="G546" s="8"/>
      <c r="H546" s="8"/>
      <c r="I546" s="8"/>
      <c r="J546" s="8"/>
      <c r="K546" s="8"/>
      <c r="L546" s="8"/>
      <c r="M546" s="8"/>
      <c r="N546" s="8"/>
      <c r="O546" s="8"/>
      <c r="P546" s="8"/>
      <c r="Q546" s="8"/>
      <c r="R546" s="8"/>
      <c r="S546" s="8"/>
      <c r="T546" s="8"/>
      <c r="U546" s="8"/>
      <c r="V546" s="8"/>
      <c r="W546" s="8"/>
      <c r="X546" s="8"/>
      <c r="Y546" s="8"/>
    </row>
    <row r="547" spans="1:25" ht="16.5" customHeight="1" x14ac:dyDescent="0.2">
      <c r="A547" s="8"/>
      <c r="B547" s="8"/>
      <c r="C547" s="8"/>
      <c r="D547" s="8"/>
      <c r="E547" s="8"/>
      <c r="F547" s="8"/>
      <c r="G547" s="8"/>
      <c r="H547" s="8"/>
      <c r="I547" s="8"/>
      <c r="J547" s="8"/>
      <c r="K547" s="8"/>
      <c r="L547" s="8"/>
      <c r="M547" s="8"/>
      <c r="N547" s="8"/>
      <c r="O547" s="8"/>
      <c r="P547" s="8"/>
      <c r="Q547" s="8"/>
      <c r="R547" s="8"/>
      <c r="S547" s="8"/>
      <c r="T547" s="8"/>
      <c r="U547" s="8"/>
      <c r="V547" s="8"/>
      <c r="W547" s="8"/>
      <c r="X547" s="8"/>
      <c r="Y547" s="8"/>
    </row>
    <row r="548" spans="1:25" ht="16.5" customHeight="1" x14ac:dyDescent="0.2">
      <c r="A548" s="8"/>
      <c r="B548" s="8"/>
      <c r="C548" s="8"/>
      <c r="D548" s="8"/>
      <c r="E548" s="8"/>
      <c r="F548" s="8"/>
      <c r="G548" s="8"/>
      <c r="H548" s="8"/>
      <c r="I548" s="8"/>
      <c r="J548" s="8"/>
      <c r="K548" s="8"/>
      <c r="L548" s="8"/>
      <c r="M548" s="8"/>
      <c r="N548" s="8"/>
      <c r="O548" s="8"/>
      <c r="P548" s="8"/>
      <c r="Q548" s="8"/>
      <c r="R548" s="8"/>
      <c r="S548" s="8"/>
      <c r="T548" s="8"/>
      <c r="U548" s="8"/>
      <c r="V548" s="8"/>
      <c r="W548" s="8"/>
      <c r="X548" s="8"/>
      <c r="Y548" s="8"/>
    </row>
    <row r="549" spans="1:25" ht="16.5" customHeight="1" x14ac:dyDescent="0.2">
      <c r="A549" s="8"/>
      <c r="B549" s="8"/>
      <c r="C549" s="8"/>
      <c r="D549" s="8"/>
      <c r="E549" s="8"/>
      <c r="F549" s="8"/>
      <c r="G549" s="8"/>
      <c r="H549" s="8"/>
      <c r="I549" s="8"/>
      <c r="J549" s="8"/>
      <c r="K549" s="8"/>
      <c r="L549" s="8"/>
      <c r="M549" s="8"/>
      <c r="N549" s="8"/>
      <c r="O549" s="8"/>
      <c r="P549" s="8"/>
      <c r="Q549" s="8"/>
      <c r="R549" s="8"/>
      <c r="S549" s="8"/>
      <c r="T549" s="8"/>
      <c r="U549" s="8"/>
      <c r="V549" s="8"/>
      <c r="W549" s="8"/>
      <c r="X549" s="8"/>
      <c r="Y549" s="8"/>
    </row>
    <row r="550" spans="1:25" ht="16.5" customHeight="1" x14ac:dyDescent="0.2">
      <c r="A550" s="8"/>
      <c r="B550" s="8"/>
      <c r="C550" s="8"/>
      <c r="D550" s="8"/>
      <c r="E550" s="8"/>
      <c r="F550" s="8"/>
      <c r="G550" s="8"/>
      <c r="H550" s="8"/>
      <c r="I550" s="8"/>
      <c r="J550" s="8"/>
      <c r="K550" s="8"/>
      <c r="L550" s="8"/>
      <c r="M550" s="8"/>
      <c r="N550" s="8"/>
      <c r="O550" s="8"/>
      <c r="P550" s="8"/>
      <c r="Q550" s="8"/>
      <c r="R550" s="8"/>
      <c r="S550" s="8"/>
      <c r="T550" s="8"/>
      <c r="U550" s="8"/>
      <c r="V550" s="8"/>
      <c r="W550" s="8"/>
      <c r="X550" s="8"/>
      <c r="Y550" s="8"/>
    </row>
    <row r="551" spans="1:25" ht="16.5" customHeight="1" x14ac:dyDescent="0.2">
      <c r="A551" s="8"/>
      <c r="B551" s="8"/>
      <c r="C551" s="8"/>
      <c r="D551" s="8"/>
      <c r="E551" s="8"/>
      <c r="F551" s="8"/>
      <c r="G551" s="8"/>
      <c r="H551" s="8"/>
      <c r="I551" s="8"/>
      <c r="J551" s="8"/>
      <c r="K551" s="8"/>
      <c r="L551" s="8"/>
      <c r="M551" s="8"/>
      <c r="N551" s="8"/>
      <c r="O551" s="8"/>
      <c r="P551" s="8"/>
      <c r="Q551" s="8"/>
      <c r="R551" s="8"/>
      <c r="S551" s="8"/>
      <c r="T551" s="8"/>
      <c r="U551" s="8"/>
      <c r="V551" s="8"/>
      <c r="W551" s="8"/>
      <c r="X551" s="8"/>
      <c r="Y551" s="8"/>
    </row>
    <row r="552" spans="1:25" ht="16.5" customHeight="1" x14ac:dyDescent="0.2">
      <c r="A552" s="8"/>
      <c r="B552" s="8"/>
      <c r="C552" s="8"/>
      <c r="D552" s="8"/>
      <c r="E552" s="8"/>
      <c r="F552" s="8"/>
      <c r="G552" s="8"/>
      <c r="H552" s="8"/>
      <c r="I552" s="8"/>
      <c r="J552" s="8"/>
      <c r="K552" s="8"/>
      <c r="L552" s="8"/>
      <c r="M552" s="8"/>
      <c r="N552" s="8"/>
      <c r="O552" s="8"/>
      <c r="P552" s="8"/>
      <c r="Q552" s="8"/>
      <c r="R552" s="8"/>
      <c r="S552" s="8"/>
      <c r="T552" s="8"/>
      <c r="U552" s="8"/>
      <c r="V552" s="8"/>
      <c r="W552" s="8"/>
      <c r="X552" s="8"/>
      <c r="Y552" s="8"/>
    </row>
    <row r="553" spans="1:25" ht="16.5" customHeight="1" x14ac:dyDescent="0.2">
      <c r="A553" s="8"/>
      <c r="B553" s="8"/>
      <c r="C553" s="8"/>
      <c r="D553" s="8"/>
      <c r="E553" s="8"/>
      <c r="F553" s="8"/>
      <c r="G553" s="8"/>
      <c r="H553" s="8"/>
      <c r="I553" s="8"/>
      <c r="J553" s="8"/>
      <c r="K553" s="8"/>
      <c r="L553" s="8"/>
      <c r="M553" s="8"/>
      <c r="N553" s="8"/>
      <c r="O553" s="8"/>
      <c r="P553" s="8"/>
      <c r="Q553" s="8"/>
      <c r="R553" s="8"/>
      <c r="S553" s="8"/>
      <c r="T553" s="8"/>
      <c r="U553" s="8"/>
      <c r="V553" s="8"/>
      <c r="W553" s="8"/>
      <c r="X553" s="8"/>
      <c r="Y553" s="8"/>
    </row>
    <row r="554" spans="1:25" ht="16.5" customHeight="1" x14ac:dyDescent="0.2">
      <c r="A554" s="8"/>
      <c r="B554" s="8"/>
      <c r="C554" s="8"/>
      <c r="D554" s="8"/>
      <c r="E554" s="8"/>
      <c r="F554" s="8"/>
      <c r="G554" s="8"/>
      <c r="H554" s="8"/>
      <c r="I554" s="8"/>
      <c r="J554" s="8"/>
      <c r="K554" s="8"/>
      <c r="L554" s="8"/>
      <c r="M554" s="8"/>
      <c r="N554" s="8"/>
      <c r="O554" s="8"/>
      <c r="P554" s="8"/>
      <c r="Q554" s="8"/>
      <c r="R554" s="8"/>
      <c r="S554" s="8"/>
      <c r="T554" s="8"/>
      <c r="U554" s="8"/>
      <c r="V554" s="8"/>
      <c r="W554" s="8"/>
      <c r="X554" s="8"/>
      <c r="Y554" s="8"/>
    </row>
    <row r="555" spans="1:25" ht="16.5" customHeight="1" x14ac:dyDescent="0.2">
      <c r="A555" s="8"/>
      <c r="B555" s="8"/>
      <c r="C555" s="8"/>
      <c r="D555" s="8"/>
      <c r="E555" s="8"/>
      <c r="F555" s="8"/>
      <c r="G555" s="8"/>
      <c r="H555" s="8"/>
      <c r="I555" s="8"/>
      <c r="J555" s="8"/>
      <c r="K555" s="8"/>
      <c r="L555" s="8"/>
      <c r="M555" s="8"/>
      <c r="N555" s="8"/>
      <c r="O555" s="8"/>
      <c r="P555" s="8"/>
      <c r="Q555" s="8"/>
      <c r="R555" s="8"/>
      <c r="S555" s="8"/>
      <c r="T555" s="8"/>
      <c r="U555" s="8"/>
      <c r="V555" s="8"/>
      <c r="W555" s="8"/>
      <c r="X555" s="8"/>
      <c r="Y555" s="8"/>
    </row>
    <row r="556" spans="1:25" ht="16.5" customHeight="1" x14ac:dyDescent="0.2">
      <c r="A556" s="8"/>
      <c r="B556" s="8"/>
      <c r="C556" s="8"/>
      <c r="D556" s="8"/>
      <c r="E556" s="8"/>
      <c r="F556" s="8"/>
      <c r="G556" s="8"/>
      <c r="H556" s="8"/>
      <c r="I556" s="8"/>
      <c r="J556" s="8"/>
      <c r="K556" s="8"/>
      <c r="L556" s="8"/>
      <c r="M556" s="8"/>
      <c r="N556" s="8"/>
      <c r="O556" s="8"/>
      <c r="P556" s="8"/>
      <c r="Q556" s="8"/>
      <c r="R556" s="8"/>
      <c r="S556" s="8"/>
      <c r="T556" s="8"/>
      <c r="U556" s="8"/>
      <c r="V556" s="8"/>
      <c r="W556" s="8"/>
      <c r="X556" s="8"/>
      <c r="Y556" s="8"/>
    </row>
    <row r="557" spans="1:25" ht="16.5" customHeight="1" x14ac:dyDescent="0.2">
      <c r="A557" s="8"/>
      <c r="B557" s="8"/>
      <c r="C557" s="8"/>
      <c r="D557" s="8"/>
      <c r="E557" s="8"/>
      <c r="F557" s="8"/>
      <c r="G557" s="8"/>
      <c r="H557" s="8"/>
      <c r="I557" s="8"/>
      <c r="J557" s="8"/>
      <c r="K557" s="8"/>
      <c r="L557" s="8"/>
      <c r="M557" s="8"/>
      <c r="N557" s="8"/>
      <c r="O557" s="8"/>
      <c r="P557" s="8"/>
      <c r="Q557" s="8"/>
      <c r="R557" s="8"/>
      <c r="S557" s="8"/>
      <c r="T557" s="8"/>
      <c r="U557" s="8"/>
      <c r="V557" s="8"/>
      <c r="W557" s="8"/>
      <c r="X557" s="8"/>
      <c r="Y557" s="8"/>
    </row>
    <row r="558" spans="1:25" ht="16.5" customHeight="1" x14ac:dyDescent="0.2">
      <c r="A558" s="8"/>
      <c r="B558" s="8"/>
      <c r="C558" s="8"/>
      <c r="D558" s="8"/>
      <c r="E558" s="8"/>
      <c r="F558" s="8"/>
      <c r="G558" s="8"/>
      <c r="H558" s="8"/>
      <c r="I558" s="8"/>
      <c r="J558" s="8"/>
      <c r="K558" s="8"/>
      <c r="L558" s="8"/>
      <c r="M558" s="8"/>
      <c r="N558" s="8"/>
      <c r="O558" s="8"/>
      <c r="P558" s="8"/>
      <c r="Q558" s="8"/>
      <c r="R558" s="8"/>
      <c r="S558" s="8"/>
      <c r="T558" s="8"/>
      <c r="U558" s="8"/>
      <c r="V558" s="8"/>
      <c r="W558" s="8"/>
      <c r="X558" s="8"/>
      <c r="Y558" s="8"/>
    </row>
    <row r="559" spans="1:25" ht="16.5" customHeight="1" x14ac:dyDescent="0.2">
      <c r="A559" s="8"/>
      <c r="B559" s="8"/>
      <c r="C559" s="8"/>
      <c r="D559" s="8"/>
      <c r="E559" s="8"/>
      <c r="F559" s="8"/>
      <c r="G559" s="8"/>
      <c r="H559" s="8"/>
      <c r="I559" s="8"/>
      <c r="J559" s="8"/>
      <c r="K559" s="8"/>
      <c r="L559" s="8"/>
      <c r="M559" s="8"/>
      <c r="N559" s="8"/>
      <c r="O559" s="8"/>
      <c r="P559" s="8"/>
      <c r="Q559" s="8"/>
      <c r="R559" s="8"/>
      <c r="S559" s="8"/>
      <c r="T559" s="8"/>
      <c r="U559" s="8"/>
      <c r="V559" s="8"/>
      <c r="W559" s="8"/>
      <c r="X559" s="8"/>
      <c r="Y559" s="8"/>
    </row>
    <row r="560" spans="1:25" ht="16.5" customHeight="1" x14ac:dyDescent="0.2">
      <c r="A560" s="8"/>
      <c r="B560" s="8"/>
      <c r="C560" s="8"/>
      <c r="D560" s="8"/>
      <c r="E560" s="8"/>
      <c r="F560" s="8"/>
      <c r="G560" s="8"/>
      <c r="H560" s="8"/>
      <c r="I560" s="8"/>
      <c r="J560" s="8"/>
      <c r="K560" s="8"/>
      <c r="L560" s="8"/>
      <c r="M560" s="8"/>
      <c r="N560" s="8"/>
      <c r="O560" s="8"/>
      <c r="P560" s="8"/>
      <c r="Q560" s="8"/>
      <c r="R560" s="8"/>
      <c r="S560" s="8"/>
      <c r="T560" s="8"/>
      <c r="U560" s="8"/>
      <c r="V560" s="8"/>
      <c r="W560" s="8"/>
      <c r="X560" s="8"/>
      <c r="Y560" s="8"/>
    </row>
    <row r="561" spans="1:25" ht="16.5" customHeight="1" x14ac:dyDescent="0.2">
      <c r="A561" s="8"/>
      <c r="B561" s="8"/>
      <c r="C561" s="8"/>
      <c r="D561" s="8"/>
      <c r="E561" s="8"/>
      <c r="F561" s="8"/>
      <c r="G561" s="8"/>
      <c r="H561" s="8"/>
      <c r="I561" s="8"/>
      <c r="J561" s="8"/>
      <c r="K561" s="8"/>
      <c r="L561" s="8"/>
      <c r="M561" s="8"/>
      <c r="N561" s="8"/>
      <c r="O561" s="8"/>
      <c r="P561" s="8"/>
      <c r="Q561" s="8"/>
      <c r="R561" s="8"/>
      <c r="S561" s="8"/>
      <c r="T561" s="8"/>
      <c r="U561" s="8"/>
      <c r="V561" s="8"/>
      <c r="W561" s="8"/>
      <c r="X561" s="8"/>
      <c r="Y561" s="8"/>
    </row>
    <row r="562" spans="1:25" ht="16.5" customHeight="1" x14ac:dyDescent="0.2">
      <c r="A562" s="8"/>
      <c r="B562" s="8"/>
      <c r="C562" s="8"/>
      <c r="D562" s="8"/>
      <c r="E562" s="8"/>
      <c r="F562" s="8"/>
      <c r="G562" s="8"/>
      <c r="H562" s="8"/>
      <c r="I562" s="8"/>
      <c r="J562" s="8"/>
      <c r="K562" s="8"/>
      <c r="L562" s="8"/>
      <c r="M562" s="8"/>
      <c r="N562" s="8"/>
      <c r="O562" s="8"/>
      <c r="P562" s="8"/>
      <c r="Q562" s="8"/>
      <c r="R562" s="8"/>
      <c r="S562" s="8"/>
      <c r="T562" s="8"/>
      <c r="U562" s="8"/>
      <c r="V562" s="8"/>
      <c r="W562" s="8"/>
      <c r="X562" s="8"/>
      <c r="Y562" s="8"/>
    </row>
    <row r="563" spans="1:25" ht="16.5" customHeight="1" x14ac:dyDescent="0.2">
      <c r="A563" s="8"/>
      <c r="B563" s="8"/>
      <c r="C563" s="8"/>
      <c r="D563" s="8"/>
      <c r="E563" s="8"/>
      <c r="F563" s="8"/>
      <c r="G563" s="8"/>
      <c r="H563" s="8"/>
      <c r="I563" s="8"/>
      <c r="J563" s="8"/>
      <c r="K563" s="8"/>
      <c r="L563" s="8"/>
      <c r="M563" s="8"/>
      <c r="N563" s="8"/>
      <c r="O563" s="8"/>
      <c r="P563" s="8"/>
      <c r="Q563" s="8"/>
      <c r="R563" s="8"/>
      <c r="S563" s="8"/>
      <c r="T563" s="8"/>
      <c r="U563" s="8"/>
      <c r="V563" s="8"/>
      <c r="W563" s="8"/>
      <c r="X563" s="8"/>
      <c r="Y563" s="8"/>
    </row>
    <row r="564" spans="1:25" ht="16.5" customHeight="1" x14ac:dyDescent="0.2">
      <c r="A564" s="8"/>
      <c r="B564" s="8"/>
      <c r="C564" s="8"/>
      <c r="D564" s="8"/>
      <c r="E564" s="8"/>
      <c r="F564" s="8"/>
      <c r="G564" s="8"/>
      <c r="H564" s="8"/>
      <c r="I564" s="8"/>
      <c r="J564" s="8"/>
      <c r="K564" s="8"/>
      <c r="L564" s="8"/>
      <c r="M564" s="8"/>
      <c r="N564" s="8"/>
      <c r="O564" s="8"/>
      <c r="P564" s="8"/>
      <c r="Q564" s="8"/>
      <c r="R564" s="8"/>
      <c r="S564" s="8"/>
      <c r="T564" s="8"/>
      <c r="U564" s="8"/>
      <c r="V564" s="8"/>
      <c r="W564" s="8"/>
      <c r="X564" s="8"/>
      <c r="Y564" s="8"/>
    </row>
    <row r="565" spans="1:25" ht="16.5" customHeight="1" x14ac:dyDescent="0.2">
      <c r="A565" s="8"/>
      <c r="B565" s="8"/>
      <c r="C565" s="8"/>
      <c r="D565" s="8"/>
      <c r="E565" s="8"/>
      <c r="F565" s="8"/>
      <c r="G565" s="8"/>
      <c r="H565" s="8"/>
      <c r="I565" s="8"/>
      <c r="J565" s="8"/>
      <c r="K565" s="8"/>
      <c r="L565" s="8"/>
      <c r="M565" s="8"/>
      <c r="N565" s="8"/>
      <c r="O565" s="8"/>
      <c r="P565" s="8"/>
      <c r="Q565" s="8"/>
      <c r="R565" s="8"/>
      <c r="S565" s="8"/>
      <c r="T565" s="8"/>
      <c r="U565" s="8"/>
      <c r="V565" s="8"/>
      <c r="W565" s="8"/>
      <c r="X565" s="8"/>
      <c r="Y565" s="8"/>
    </row>
    <row r="566" spans="1:25" ht="16.5" customHeight="1" x14ac:dyDescent="0.2">
      <c r="A566" s="8"/>
      <c r="B566" s="8"/>
      <c r="C566" s="8"/>
      <c r="D566" s="8"/>
      <c r="E566" s="8"/>
      <c r="F566" s="8"/>
      <c r="G566" s="8"/>
      <c r="H566" s="8"/>
      <c r="I566" s="8"/>
      <c r="J566" s="8"/>
      <c r="K566" s="8"/>
      <c r="L566" s="8"/>
      <c r="M566" s="8"/>
      <c r="N566" s="8"/>
      <c r="O566" s="8"/>
      <c r="P566" s="8"/>
      <c r="Q566" s="8"/>
      <c r="R566" s="8"/>
      <c r="S566" s="8"/>
      <c r="T566" s="8"/>
      <c r="U566" s="8"/>
      <c r="V566" s="8"/>
      <c r="W566" s="8"/>
      <c r="X566" s="8"/>
      <c r="Y566" s="8"/>
    </row>
    <row r="567" spans="1:25" ht="16.5" customHeight="1" x14ac:dyDescent="0.2">
      <c r="A567" s="8"/>
      <c r="B567" s="8"/>
      <c r="C567" s="8"/>
      <c r="D567" s="8"/>
      <c r="E567" s="8"/>
      <c r="F567" s="8"/>
      <c r="G567" s="8"/>
      <c r="H567" s="8"/>
      <c r="I567" s="8"/>
      <c r="J567" s="8"/>
      <c r="K567" s="8"/>
      <c r="L567" s="8"/>
      <c r="M567" s="8"/>
      <c r="N567" s="8"/>
      <c r="O567" s="8"/>
      <c r="P567" s="8"/>
      <c r="Q567" s="8"/>
      <c r="R567" s="8"/>
      <c r="S567" s="8"/>
      <c r="T567" s="8"/>
      <c r="U567" s="8"/>
      <c r="V567" s="8"/>
      <c r="W567" s="8"/>
      <c r="X567" s="8"/>
      <c r="Y567" s="8"/>
    </row>
    <row r="568" spans="1:25" ht="16.5" customHeight="1" x14ac:dyDescent="0.2">
      <c r="A568" s="8"/>
      <c r="B568" s="8"/>
      <c r="C568" s="8"/>
      <c r="D568" s="8"/>
      <c r="E568" s="8"/>
      <c r="F568" s="8"/>
      <c r="G568" s="8"/>
      <c r="H568" s="8"/>
      <c r="I568" s="8"/>
      <c r="J568" s="8"/>
      <c r="K568" s="8"/>
      <c r="L568" s="8"/>
      <c r="M568" s="8"/>
      <c r="N568" s="8"/>
      <c r="O568" s="8"/>
      <c r="P568" s="8"/>
      <c r="Q568" s="8"/>
      <c r="R568" s="8"/>
      <c r="S568" s="8"/>
      <c r="T568" s="8"/>
      <c r="U568" s="8"/>
      <c r="V568" s="8"/>
      <c r="W568" s="8"/>
      <c r="X568" s="8"/>
      <c r="Y568" s="8"/>
    </row>
    <row r="569" spans="1:25" ht="16.5" customHeight="1" x14ac:dyDescent="0.2">
      <c r="A569" s="8"/>
      <c r="B569" s="8"/>
      <c r="C569" s="8"/>
      <c r="D569" s="8"/>
      <c r="E569" s="8"/>
      <c r="F569" s="8"/>
      <c r="G569" s="8"/>
      <c r="H569" s="8"/>
      <c r="I569" s="8"/>
      <c r="J569" s="8"/>
      <c r="K569" s="8"/>
      <c r="L569" s="8"/>
      <c r="M569" s="8"/>
      <c r="N569" s="8"/>
      <c r="O569" s="8"/>
      <c r="P569" s="8"/>
      <c r="Q569" s="8"/>
      <c r="R569" s="8"/>
      <c r="S569" s="8"/>
      <c r="T569" s="8"/>
      <c r="U569" s="8"/>
      <c r="V569" s="8"/>
      <c r="W569" s="8"/>
      <c r="X569" s="8"/>
      <c r="Y569" s="8"/>
    </row>
    <row r="570" spans="1:25" ht="16.5" customHeight="1" x14ac:dyDescent="0.2">
      <c r="A570" s="8"/>
      <c r="B570" s="8"/>
      <c r="C570" s="8"/>
      <c r="D570" s="8"/>
      <c r="E570" s="8"/>
      <c r="F570" s="8"/>
      <c r="G570" s="8"/>
      <c r="H570" s="8"/>
      <c r="I570" s="8"/>
      <c r="J570" s="8"/>
      <c r="K570" s="8"/>
      <c r="L570" s="8"/>
      <c r="M570" s="8"/>
      <c r="N570" s="8"/>
      <c r="O570" s="8"/>
      <c r="P570" s="8"/>
      <c r="Q570" s="8"/>
      <c r="R570" s="8"/>
      <c r="S570" s="8"/>
      <c r="T570" s="8"/>
      <c r="U570" s="8"/>
      <c r="V570" s="8"/>
      <c r="W570" s="8"/>
      <c r="X570" s="8"/>
      <c r="Y570" s="8"/>
    </row>
    <row r="571" spans="1:25" ht="16.5" customHeight="1" x14ac:dyDescent="0.2">
      <c r="A571" s="8"/>
      <c r="B571" s="8"/>
      <c r="C571" s="8"/>
      <c r="D571" s="8"/>
      <c r="E571" s="8"/>
      <c r="F571" s="8"/>
      <c r="G571" s="8"/>
      <c r="H571" s="8"/>
      <c r="I571" s="8"/>
      <c r="J571" s="8"/>
      <c r="K571" s="8"/>
      <c r="L571" s="8"/>
      <c r="M571" s="8"/>
      <c r="N571" s="8"/>
      <c r="O571" s="8"/>
      <c r="P571" s="8"/>
      <c r="Q571" s="8"/>
      <c r="R571" s="8"/>
      <c r="S571" s="8"/>
      <c r="T571" s="8"/>
      <c r="U571" s="8"/>
      <c r="V571" s="8"/>
      <c r="W571" s="8"/>
      <c r="X571" s="8"/>
      <c r="Y571" s="8"/>
    </row>
    <row r="572" spans="1:25" ht="16.5" customHeight="1" x14ac:dyDescent="0.2">
      <c r="A572" s="8"/>
      <c r="B572" s="8"/>
      <c r="C572" s="8"/>
      <c r="D572" s="8"/>
      <c r="E572" s="8"/>
      <c r="F572" s="8"/>
      <c r="G572" s="8"/>
      <c r="H572" s="8"/>
      <c r="I572" s="8"/>
      <c r="J572" s="8"/>
      <c r="K572" s="8"/>
      <c r="L572" s="8"/>
      <c r="M572" s="8"/>
      <c r="N572" s="8"/>
      <c r="O572" s="8"/>
      <c r="P572" s="8"/>
      <c r="Q572" s="8"/>
      <c r="R572" s="8"/>
      <c r="S572" s="8"/>
      <c r="T572" s="8"/>
      <c r="U572" s="8"/>
      <c r="V572" s="8"/>
      <c r="W572" s="8"/>
      <c r="X572" s="8"/>
      <c r="Y572" s="8"/>
    </row>
    <row r="573" spans="1:25" ht="16.5" customHeight="1" x14ac:dyDescent="0.2">
      <c r="A573" s="8"/>
      <c r="B573" s="8"/>
      <c r="C573" s="8"/>
      <c r="D573" s="8"/>
      <c r="E573" s="8"/>
      <c r="F573" s="8"/>
      <c r="G573" s="8"/>
      <c r="H573" s="8"/>
      <c r="I573" s="8"/>
      <c r="J573" s="8"/>
      <c r="K573" s="8"/>
      <c r="L573" s="8"/>
      <c r="M573" s="8"/>
      <c r="N573" s="8"/>
      <c r="O573" s="8"/>
      <c r="P573" s="8"/>
      <c r="Q573" s="8"/>
      <c r="R573" s="8"/>
      <c r="S573" s="8"/>
      <c r="T573" s="8"/>
      <c r="U573" s="8"/>
      <c r="V573" s="8"/>
      <c r="W573" s="8"/>
      <c r="X573" s="8"/>
      <c r="Y573" s="8"/>
    </row>
    <row r="574" spans="1:25" ht="16.5" customHeight="1" x14ac:dyDescent="0.2">
      <c r="A574" s="8"/>
      <c r="B574" s="8"/>
      <c r="C574" s="8"/>
      <c r="D574" s="8"/>
      <c r="E574" s="8"/>
      <c r="F574" s="8"/>
      <c r="G574" s="8"/>
      <c r="H574" s="8"/>
      <c r="I574" s="8"/>
      <c r="J574" s="8"/>
      <c r="K574" s="8"/>
      <c r="L574" s="8"/>
      <c r="M574" s="8"/>
      <c r="N574" s="8"/>
      <c r="O574" s="8"/>
      <c r="P574" s="8"/>
      <c r="Q574" s="8"/>
      <c r="R574" s="8"/>
      <c r="S574" s="8"/>
      <c r="T574" s="8"/>
      <c r="U574" s="8"/>
      <c r="V574" s="8"/>
      <c r="W574" s="8"/>
      <c r="X574" s="8"/>
      <c r="Y574" s="8"/>
    </row>
    <row r="575" spans="1:25" ht="16.5" customHeight="1" x14ac:dyDescent="0.2">
      <c r="A575" s="8"/>
      <c r="B575" s="8"/>
      <c r="C575" s="8"/>
      <c r="D575" s="8"/>
      <c r="E575" s="8"/>
      <c r="F575" s="8"/>
      <c r="G575" s="8"/>
      <c r="H575" s="8"/>
      <c r="I575" s="8"/>
      <c r="J575" s="8"/>
      <c r="K575" s="8"/>
      <c r="L575" s="8"/>
      <c r="M575" s="8"/>
      <c r="N575" s="8"/>
      <c r="O575" s="8"/>
      <c r="P575" s="8"/>
      <c r="Q575" s="8"/>
      <c r="R575" s="8"/>
      <c r="S575" s="8"/>
      <c r="T575" s="8"/>
      <c r="U575" s="8"/>
      <c r="V575" s="8"/>
      <c r="W575" s="8"/>
      <c r="X575" s="8"/>
      <c r="Y575" s="8"/>
    </row>
    <row r="576" spans="1:25" ht="16.5" customHeight="1" x14ac:dyDescent="0.2">
      <c r="A576" s="8"/>
      <c r="B576" s="8"/>
      <c r="C576" s="8"/>
      <c r="D576" s="8"/>
      <c r="E576" s="8"/>
      <c r="F576" s="8"/>
      <c r="G576" s="8"/>
      <c r="H576" s="8"/>
      <c r="I576" s="8"/>
      <c r="J576" s="8"/>
      <c r="K576" s="8"/>
      <c r="L576" s="8"/>
      <c r="M576" s="8"/>
      <c r="N576" s="8"/>
      <c r="O576" s="8"/>
      <c r="P576" s="8"/>
      <c r="Q576" s="8"/>
      <c r="R576" s="8"/>
      <c r="S576" s="8"/>
      <c r="T576" s="8"/>
      <c r="U576" s="8"/>
      <c r="V576" s="8"/>
      <c r="W576" s="8"/>
      <c r="X576" s="8"/>
      <c r="Y576" s="8"/>
    </row>
    <row r="577" spans="1:25" ht="16.5" customHeight="1" x14ac:dyDescent="0.2">
      <c r="A577" s="8"/>
      <c r="B577" s="8"/>
      <c r="C577" s="8"/>
      <c r="D577" s="8"/>
      <c r="E577" s="8"/>
      <c r="F577" s="8"/>
      <c r="G577" s="8"/>
      <c r="H577" s="8"/>
      <c r="I577" s="8"/>
      <c r="J577" s="8"/>
      <c r="K577" s="8"/>
      <c r="L577" s="8"/>
      <c r="M577" s="8"/>
      <c r="N577" s="8"/>
      <c r="O577" s="8"/>
      <c r="P577" s="8"/>
      <c r="Q577" s="8"/>
      <c r="R577" s="8"/>
      <c r="S577" s="8"/>
      <c r="T577" s="8"/>
      <c r="U577" s="8"/>
      <c r="V577" s="8"/>
      <c r="W577" s="8"/>
      <c r="X577" s="8"/>
      <c r="Y577" s="8"/>
    </row>
    <row r="578" spans="1:25" ht="16.5" customHeight="1" x14ac:dyDescent="0.2">
      <c r="A578" s="8"/>
      <c r="B578" s="8"/>
      <c r="C578" s="8"/>
      <c r="D578" s="8"/>
      <c r="E578" s="8"/>
      <c r="F578" s="8"/>
      <c r="G578" s="8"/>
      <c r="H578" s="8"/>
      <c r="I578" s="8"/>
      <c r="J578" s="8"/>
      <c r="K578" s="8"/>
      <c r="L578" s="8"/>
      <c r="M578" s="8"/>
      <c r="N578" s="8"/>
      <c r="O578" s="8"/>
      <c r="P578" s="8"/>
      <c r="Q578" s="8"/>
      <c r="R578" s="8"/>
      <c r="S578" s="8"/>
      <c r="T578" s="8"/>
      <c r="U578" s="8"/>
      <c r="V578" s="8"/>
      <c r="W578" s="8"/>
      <c r="X578" s="8"/>
      <c r="Y578" s="8"/>
    </row>
    <row r="579" spans="1:25" ht="16.5" customHeight="1" x14ac:dyDescent="0.2">
      <c r="A579" s="8"/>
      <c r="B579" s="8"/>
      <c r="C579" s="8"/>
      <c r="D579" s="8"/>
      <c r="E579" s="8"/>
      <c r="F579" s="8"/>
      <c r="G579" s="8"/>
      <c r="H579" s="8"/>
      <c r="I579" s="8"/>
      <c r="J579" s="8"/>
      <c r="K579" s="8"/>
      <c r="L579" s="8"/>
      <c r="M579" s="8"/>
      <c r="N579" s="8"/>
      <c r="O579" s="8"/>
      <c r="P579" s="8"/>
      <c r="Q579" s="8"/>
      <c r="R579" s="8"/>
      <c r="S579" s="8"/>
      <c r="T579" s="8"/>
      <c r="U579" s="8"/>
      <c r="V579" s="8"/>
      <c r="W579" s="8"/>
      <c r="X579" s="8"/>
      <c r="Y579" s="8"/>
    </row>
    <row r="580" spans="1:25" ht="16.5" customHeight="1" x14ac:dyDescent="0.2">
      <c r="A580" s="8"/>
      <c r="B580" s="8"/>
      <c r="C580" s="8"/>
      <c r="D580" s="8"/>
      <c r="E580" s="8"/>
      <c r="F580" s="8"/>
      <c r="G580" s="8"/>
      <c r="H580" s="8"/>
      <c r="I580" s="8"/>
      <c r="J580" s="8"/>
      <c r="K580" s="8"/>
      <c r="L580" s="8"/>
      <c r="M580" s="8"/>
      <c r="N580" s="8"/>
      <c r="O580" s="8"/>
      <c r="P580" s="8"/>
      <c r="Q580" s="8"/>
      <c r="R580" s="8"/>
      <c r="S580" s="8"/>
      <c r="T580" s="8"/>
      <c r="U580" s="8"/>
      <c r="V580" s="8"/>
      <c r="W580" s="8"/>
      <c r="X580" s="8"/>
      <c r="Y580" s="8"/>
    </row>
    <row r="581" spans="1:25" ht="16.5" customHeight="1" x14ac:dyDescent="0.2">
      <c r="A581" s="8"/>
      <c r="B581" s="8"/>
      <c r="C581" s="8"/>
      <c r="D581" s="8"/>
      <c r="E581" s="8"/>
      <c r="F581" s="8"/>
      <c r="G581" s="8"/>
      <c r="H581" s="8"/>
      <c r="I581" s="8"/>
      <c r="J581" s="8"/>
      <c r="K581" s="8"/>
      <c r="L581" s="8"/>
      <c r="M581" s="8"/>
      <c r="N581" s="8"/>
      <c r="O581" s="8"/>
      <c r="P581" s="8"/>
      <c r="Q581" s="8"/>
      <c r="R581" s="8"/>
      <c r="S581" s="8"/>
      <c r="T581" s="8"/>
      <c r="U581" s="8"/>
      <c r="V581" s="8"/>
      <c r="W581" s="8"/>
      <c r="X581" s="8"/>
      <c r="Y581" s="8"/>
    </row>
    <row r="582" spans="1:25" ht="16.5" customHeight="1" x14ac:dyDescent="0.2">
      <c r="A582" s="8"/>
      <c r="B582" s="8"/>
      <c r="C582" s="8"/>
      <c r="D582" s="8"/>
      <c r="E582" s="8"/>
      <c r="F582" s="8"/>
      <c r="G582" s="8"/>
      <c r="H582" s="8"/>
      <c r="I582" s="8"/>
      <c r="J582" s="8"/>
      <c r="K582" s="8"/>
      <c r="L582" s="8"/>
      <c r="M582" s="8"/>
      <c r="N582" s="8"/>
      <c r="O582" s="8"/>
      <c r="P582" s="8"/>
      <c r="Q582" s="8"/>
      <c r="R582" s="8"/>
      <c r="S582" s="8"/>
      <c r="T582" s="8"/>
      <c r="U582" s="8"/>
      <c r="V582" s="8"/>
      <c r="W582" s="8"/>
      <c r="X582" s="8"/>
      <c r="Y582" s="8"/>
    </row>
    <row r="583" spans="1:25" ht="16.5" customHeight="1" x14ac:dyDescent="0.2">
      <c r="A583" s="8"/>
      <c r="B583" s="8"/>
      <c r="C583" s="8"/>
      <c r="D583" s="8"/>
      <c r="E583" s="8"/>
      <c r="F583" s="8"/>
      <c r="G583" s="8"/>
      <c r="H583" s="8"/>
      <c r="I583" s="8"/>
      <c r="J583" s="8"/>
      <c r="K583" s="8"/>
      <c r="L583" s="8"/>
      <c r="M583" s="8"/>
      <c r="N583" s="8"/>
      <c r="O583" s="8"/>
      <c r="P583" s="8"/>
      <c r="Q583" s="8"/>
      <c r="R583" s="8"/>
      <c r="S583" s="8"/>
      <c r="T583" s="8"/>
      <c r="U583" s="8"/>
      <c r="V583" s="8"/>
      <c r="W583" s="8"/>
      <c r="X583" s="8"/>
      <c r="Y583" s="8"/>
    </row>
    <row r="584" spans="1:25" ht="16.5" customHeight="1" x14ac:dyDescent="0.2">
      <c r="A584" s="8"/>
      <c r="B584" s="8"/>
      <c r="C584" s="8"/>
      <c r="D584" s="8"/>
      <c r="E584" s="8"/>
      <c r="F584" s="8"/>
      <c r="G584" s="8"/>
      <c r="H584" s="8"/>
      <c r="I584" s="8"/>
      <c r="J584" s="8"/>
      <c r="K584" s="8"/>
      <c r="L584" s="8"/>
      <c r="M584" s="8"/>
      <c r="N584" s="8"/>
      <c r="O584" s="8"/>
      <c r="P584" s="8"/>
      <c r="Q584" s="8"/>
      <c r="R584" s="8"/>
      <c r="S584" s="8"/>
      <c r="T584" s="8"/>
      <c r="U584" s="8"/>
      <c r="V584" s="8"/>
      <c r="W584" s="8"/>
      <c r="X584" s="8"/>
      <c r="Y584" s="8"/>
    </row>
    <row r="585" spans="1:25" ht="16.5" customHeight="1" x14ac:dyDescent="0.2">
      <c r="A585" s="8"/>
      <c r="B585" s="8"/>
      <c r="C585" s="8"/>
      <c r="D585" s="8"/>
      <c r="E585" s="8"/>
      <c r="F585" s="8"/>
      <c r="G585" s="8"/>
      <c r="H585" s="8"/>
      <c r="I585" s="8"/>
      <c r="J585" s="8"/>
      <c r="K585" s="8"/>
      <c r="L585" s="8"/>
      <c r="M585" s="8"/>
      <c r="N585" s="8"/>
      <c r="O585" s="8"/>
      <c r="P585" s="8"/>
      <c r="Q585" s="8"/>
      <c r="R585" s="8"/>
      <c r="S585" s="8"/>
      <c r="T585" s="8"/>
      <c r="U585" s="8"/>
      <c r="V585" s="8"/>
      <c r="W585" s="8"/>
      <c r="X585" s="8"/>
      <c r="Y585" s="8"/>
    </row>
    <row r="586" spans="1:25" ht="16.5" customHeight="1" x14ac:dyDescent="0.2">
      <c r="A586" s="8"/>
      <c r="B586" s="8"/>
      <c r="C586" s="8"/>
      <c r="D586" s="8"/>
      <c r="E586" s="8"/>
      <c r="F586" s="8"/>
      <c r="G586" s="8"/>
      <c r="H586" s="8"/>
      <c r="I586" s="8"/>
      <c r="J586" s="8"/>
      <c r="K586" s="8"/>
      <c r="L586" s="8"/>
      <c r="M586" s="8"/>
      <c r="N586" s="8"/>
      <c r="O586" s="8"/>
      <c r="P586" s="8"/>
      <c r="Q586" s="8"/>
      <c r="R586" s="8"/>
      <c r="S586" s="8"/>
      <c r="T586" s="8"/>
      <c r="U586" s="8"/>
      <c r="V586" s="8"/>
      <c r="W586" s="8"/>
      <c r="X586" s="8"/>
      <c r="Y586" s="8"/>
    </row>
    <row r="587" spans="1:25" ht="16.5" customHeight="1" x14ac:dyDescent="0.2">
      <c r="A587" s="8"/>
      <c r="B587" s="8"/>
      <c r="C587" s="8"/>
      <c r="D587" s="8"/>
      <c r="E587" s="8"/>
      <c r="F587" s="8"/>
      <c r="G587" s="8"/>
      <c r="H587" s="8"/>
      <c r="I587" s="8"/>
      <c r="J587" s="8"/>
      <c r="K587" s="8"/>
      <c r="L587" s="8"/>
      <c r="M587" s="8"/>
      <c r="N587" s="8"/>
      <c r="O587" s="8"/>
      <c r="P587" s="8"/>
      <c r="Q587" s="8"/>
      <c r="R587" s="8"/>
      <c r="S587" s="8"/>
      <c r="T587" s="8"/>
      <c r="U587" s="8"/>
      <c r="V587" s="8"/>
      <c r="W587" s="8"/>
      <c r="X587" s="8"/>
      <c r="Y587" s="8"/>
    </row>
    <row r="588" spans="1:25" ht="16.5" customHeight="1" x14ac:dyDescent="0.2">
      <c r="A588" s="8"/>
      <c r="B588" s="8"/>
      <c r="C588" s="8"/>
      <c r="D588" s="8"/>
      <c r="E588" s="8"/>
      <c r="F588" s="8"/>
      <c r="G588" s="8"/>
      <c r="H588" s="8"/>
      <c r="I588" s="8"/>
      <c r="J588" s="8"/>
      <c r="K588" s="8"/>
      <c r="L588" s="8"/>
      <c r="M588" s="8"/>
      <c r="N588" s="8"/>
      <c r="O588" s="8"/>
      <c r="P588" s="8"/>
      <c r="Q588" s="8"/>
      <c r="R588" s="8"/>
      <c r="S588" s="8"/>
      <c r="T588" s="8"/>
      <c r="U588" s="8"/>
      <c r="V588" s="8"/>
      <c r="W588" s="8"/>
      <c r="X588" s="8"/>
      <c r="Y588" s="8"/>
    </row>
    <row r="589" spans="1:25" ht="16.5" customHeight="1" x14ac:dyDescent="0.2">
      <c r="A589" s="8"/>
      <c r="B589" s="8"/>
      <c r="C589" s="8"/>
      <c r="D589" s="8"/>
      <c r="E589" s="8"/>
      <c r="F589" s="8"/>
      <c r="G589" s="8"/>
      <c r="H589" s="8"/>
      <c r="I589" s="8"/>
      <c r="J589" s="8"/>
      <c r="K589" s="8"/>
      <c r="L589" s="8"/>
      <c r="M589" s="8"/>
      <c r="N589" s="8"/>
      <c r="O589" s="8"/>
      <c r="P589" s="8"/>
      <c r="Q589" s="8"/>
      <c r="R589" s="8"/>
      <c r="S589" s="8"/>
      <c r="T589" s="8"/>
      <c r="U589" s="8"/>
      <c r="V589" s="8"/>
      <c r="W589" s="8"/>
      <c r="X589" s="8"/>
      <c r="Y589" s="8"/>
    </row>
    <row r="590" spans="1:25" ht="16.5" customHeight="1" x14ac:dyDescent="0.2">
      <c r="A590" s="8"/>
      <c r="B590" s="8"/>
      <c r="C590" s="8"/>
      <c r="D590" s="8"/>
      <c r="E590" s="8"/>
      <c r="F590" s="8"/>
      <c r="G590" s="8"/>
      <c r="H590" s="8"/>
      <c r="I590" s="8"/>
      <c r="J590" s="8"/>
      <c r="K590" s="8"/>
      <c r="L590" s="8"/>
      <c r="M590" s="8"/>
      <c r="N590" s="8"/>
      <c r="O590" s="8"/>
      <c r="P590" s="8"/>
      <c r="Q590" s="8"/>
      <c r="R590" s="8"/>
      <c r="S590" s="8"/>
      <c r="T590" s="8"/>
      <c r="U590" s="8"/>
      <c r="V590" s="8"/>
      <c r="W590" s="8"/>
      <c r="X590" s="8"/>
      <c r="Y590" s="8"/>
    </row>
    <row r="591" spans="1:25" ht="16.5" customHeight="1" x14ac:dyDescent="0.2">
      <c r="A591" s="8"/>
      <c r="B591" s="8"/>
      <c r="C591" s="8"/>
      <c r="D591" s="8"/>
      <c r="E591" s="8"/>
      <c r="F591" s="8"/>
      <c r="G591" s="8"/>
      <c r="H591" s="8"/>
      <c r="I591" s="8"/>
      <c r="J591" s="8"/>
      <c r="K591" s="8"/>
      <c r="L591" s="8"/>
      <c r="M591" s="8"/>
      <c r="N591" s="8"/>
      <c r="O591" s="8"/>
      <c r="P591" s="8"/>
      <c r="Q591" s="8"/>
      <c r="R591" s="8"/>
      <c r="S591" s="8"/>
      <c r="T591" s="8"/>
      <c r="U591" s="8"/>
      <c r="V591" s="8"/>
      <c r="W591" s="8"/>
      <c r="X591" s="8"/>
      <c r="Y591" s="8"/>
    </row>
    <row r="592" spans="1:25" ht="16.5" customHeight="1" x14ac:dyDescent="0.2">
      <c r="A592" s="8"/>
      <c r="B592" s="8"/>
      <c r="C592" s="8"/>
      <c r="D592" s="8"/>
      <c r="E592" s="8"/>
      <c r="F592" s="8"/>
      <c r="G592" s="8"/>
      <c r="H592" s="8"/>
      <c r="I592" s="8"/>
      <c r="J592" s="8"/>
      <c r="K592" s="8"/>
      <c r="L592" s="8"/>
      <c r="M592" s="8"/>
      <c r="N592" s="8"/>
      <c r="O592" s="8"/>
      <c r="P592" s="8"/>
      <c r="Q592" s="8"/>
      <c r="R592" s="8"/>
      <c r="S592" s="8"/>
      <c r="T592" s="8"/>
      <c r="U592" s="8"/>
      <c r="V592" s="8"/>
      <c r="W592" s="8"/>
      <c r="X592" s="8"/>
      <c r="Y592" s="8"/>
    </row>
    <row r="593" spans="1:25" ht="16.5" customHeight="1" x14ac:dyDescent="0.2">
      <c r="A593" s="8"/>
      <c r="B593" s="8"/>
      <c r="C593" s="8"/>
      <c r="D593" s="8"/>
      <c r="E593" s="8"/>
      <c r="F593" s="8"/>
      <c r="G593" s="8"/>
      <c r="H593" s="8"/>
      <c r="I593" s="8"/>
      <c r="J593" s="8"/>
      <c r="K593" s="8"/>
      <c r="L593" s="8"/>
      <c r="M593" s="8"/>
      <c r="N593" s="8"/>
      <c r="O593" s="8"/>
      <c r="P593" s="8"/>
      <c r="Q593" s="8"/>
      <c r="R593" s="8"/>
      <c r="S593" s="8"/>
      <c r="T593" s="8"/>
      <c r="U593" s="8"/>
      <c r="V593" s="8"/>
      <c r="W593" s="8"/>
      <c r="X593" s="8"/>
      <c r="Y593" s="8"/>
    </row>
    <row r="594" spans="1:25" ht="16.5" customHeight="1" x14ac:dyDescent="0.2">
      <c r="A594" s="8"/>
      <c r="B594" s="8"/>
      <c r="C594" s="8"/>
      <c r="D594" s="8"/>
      <c r="E594" s="8"/>
      <c r="F594" s="8"/>
      <c r="G594" s="8"/>
      <c r="H594" s="8"/>
      <c r="I594" s="8"/>
      <c r="J594" s="8"/>
      <c r="K594" s="8"/>
      <c r="L594" s="8"/>
      <c r="M594" s="8"/>
      <c r="N594" s="8"/>
      <c r="O594" s="8"/>
      <c r="P594" s="8"/>
      <c r="Q594" s="8"/>
      <c r="R594" s="8"/>
      <c r="S594" s="8"/>
      <c r="T594" s="8"/>
      <c r="U594" s="8"/>
      <c r="V594" s="8"/>
      <c r="W594" s="8"/>
      <c r="X594" s="8"/>
      <c r="Y594" s="8"/>
    </row>
    <row r="595" spans="1:25" ht="16.5" customHeight="1" x14ac:dyDescent="0.2">
      <c r="A595" s="8"/>
      <c r="B595" s="8"/>
      <c r="C595" s="8"/>
      <c r="D595" s="8"/>
      <c r="E595" s="8"/>
      <c r="F595" s="8"/>
      <c r="G595" s="8"/>
      <c r="H595" s="8"/>
      <c r="I595" s="8"/>
      <c r="J595" s="8"/>
      <c r="K595" s="8"/>
      <c r="L595" s="8"/>
      <c r="M595" s="8"/>
      <c r="N595" s="8"/>
      <c r="O595" s="8"/>
      <c r="P595" s="8"/>
      <c r="Q595" s="8"/>
      <c r="R595" s="8"/>
      <c r="S595" s="8"/>
      <c r="T595" s="8"/>
      <c r="U595" s="8"/>
      <c r="V595" s="8"/>
      <c r="W595" s="8"/>
      <c r="X595" s="8"/>
      <c r="Y595" s="8"/>
    </row>
    <row r="596" spans="1:25" ht="16.5" customHeight="1" x14ac:dyDescent="0.2">
      <c r="A596" s="8"/>
      <c r="B596" s="8"/>
      <c r="C596" s="8"/>
      <c r="D596" s="8"/>
      <c r="E596" s="8"/>
      <c r="F596" s="8"/>
      <c r="G596" s="8"/>
      <c r="H596" s="8"/>
      <c r="I596" s="8"/>
      <c r="J596" s="8"/>
      <c r="K596" s="8"/>
      <c r="L596" s="8"/>
      <c r="M596" s="8"/>
      <c r="N596" s="8"/>
      <c r="O596" s="8"/>
      <c r="P596" s="8"/>
      <c r="Q596" s="8"/>
      <c r="R596" s="8"/>
      <c r="S596" s="8"/>
      <c r="T596" s="8"/>
      <c r="U596" s="8"/>
      <c r="V596" s="8"/>
      <c r="W596" s="8"/>
      <c r="X596" s="8"/>
      <c r="Y596" s="8"/>
    </row>
    <row r="597" spans="1:25" ht="16.5" customHeight="1" x14ac:dyDescent="0.2">
      <c r="A597" s="8"/>
      <c r="B597" s="8"/>
      <c r="C597" s="8"/>
      <c r="D597" s="8"/>
      <c r="E597" s="8"/>
      <c r="F597" s="8"/>
      <c r="G597" s="8"/>
      <c r="H597" s="8"/>
      <c r="I597" s="8"/>
      <c r="J597" s="8"/>
      <c r="K597" s="8"/>
      <c r="L597" s="8"/>
      <c r="M597" s="8"/>
      <c r="N597" s="8"/>
      <c r="O597" s="8"/>
      <c r="P597" s="8"/>
      <c r="Q597" s="8"/>
      <c r="R597" s="8"/>
      <c r="S597" s="8"/>
      <c r="T597" s="8"/>
      <c r="U597" s="8"/>
      <c r="V597" s="8"/>
      <c r="W597" s="8"/>
      <c r="X597" s="8"/>
      <c r="Y597" s="8"/>
    </row>
    <row r="598" spans="1:25" ht="16.5" customHeight="1" x14ac:dyDescent="0.2">
      <c r="A598" s="8"/>
      <c r="B598" s="8"/>
      <c r="C598" s="8"/>
      <c r="D598" s="8"/>
      <c r="E598" s="8"/>
      <c r="F598" s="8"/>
      <c r="G598" s="8"/>
      <c r="H598" s="8"/>
      <c r="I598" s="8"/>
      <c r="J598" s="8"/>
      <c r="K598" s="8"/>
      <c r="L598" s="8"/>
      <c r="M598" s="8"/>
      <c r="N598" s="8"/>
      <c r="O598" s="8"/>
      <c r="P598" s="8"/>
      <c r="Q598" s="8"/>
      <c r="R598" s="8"/>
      <c r="S598" s="8"/>
      <c r="T598" s="8"/>
      <c r="U598" s="8"/>
      <c r="V598" s="8"/>
      <c r="W598" s="8"/>
      <c r="X598" s="8"/>
      <c r="Y598" s="8"/>
    </row>
    <row r="599" spans="1:25" ht="16.5" customHeight="1" x14ac:dyDescent="0.2">
      <c r="A599" s="8"/>
      <c r="B599" s="8"/>
      <c r="C599" s="8"/>
      <c r="D599" s="8"/>
      <c r="E599" s="8"/>
      <c r="F599" s="8"/>
      <c r="G599" s="8"/>
      <c r="H599" s="8"/>
      <c r="I599" s="8"/>
      <c r="J599" s="8"/>
      <c r="K599" s="8"/>
      <c r="L599" s="8"/>
      <c r="M599" s="8"/>
      <c r="N599" s="8"/>
      <c r="O599" s="8"/>
      <c r="P599" s="8"/>
      <c r="Q599" s="8"/>
      <c r="R599" s="8"/>
      <c r="S599" s="8"/>
      <c r="T599" s="8"/>
      <c r="U599" s="8"/>
      <c r="V599" s="8"/>
      <c r="W599" s="8"/>
      <c r="X599" s="8"/>
      <c r="Y599" s="8"/>
    </row>
    <row r="600" spans="1:25" ht="16.5" customHeight="1" x14ac:dyDescent="0.2">
      <c r="A600" s="8"/>
      <c r="B600" s="8"/>
      <c r="C600" s="8"/>
      <c r="D600" s="8"/>
      <c r="E600" s="8"/>
      <c r="F600" s="8"/>
      <c r="G600" s="8"/>
      <c r="H600" s="8"/>
      <c r="I600" s="8"/>
      <c r="J600" s="8"/>
      <c r="K600" s="8"/>
      <c r="L600" s="8"/>
      <c r="M600" s="8"/>
      <c r="N600" s="8"/>
      <c r="O600" s="8"/>
      <c r="P600" s="8"/>
      <c r="Q600" s="8"/>
      <c r="R600" s="8"/>
      <c r="S600" s="8"/>
      <c r="T600" s="8"/>
      <c r="U600" s="8"/>
      <c r="V600" s="8"/>
      <c r="W600" s="8"/>
      <c r="X600" s="8"/>
      <c r="Y600" s="8"/>
    </row>
    <row r="601" spans="1:25" ht="16.5" customHeight="1" x14ac:dyDescent="0.2">
      <c r="A601" s="8"/>
      <c r="B601" s="8"/>
      <c r="C601" s="8"/>
      <c r="D601" s="8"/>
      <c r="E601" s="8"/>
      <c r="F601" s="8"/>
      <c r="G601" s="8"/>
      <c r="H601" s="8"/>
      <c r="I601" s="8"/>
      <c r="J601" s="8"/>
      <c r="K601" s="8"/>
      <c r="L601" s="8"/>
      <c r="M601" s="8"/>
      <c r="N601" s="8"/>
      <c r="O601" s="8"/>
      <c r="P601" s="8"/>
      <c r="Q601" s="8"/>
      <c r="R601" s="8"/>
      <c r="S601" s="8"/>
      <c r="T601" s="8"/>
      <c r="U601" s="8"/>
      <c r="V601" s="8"/>
      <c r="W601" s="8"/>
      <c r="X601" s="8"/>
      <c r="Y601" s="8"/>
    </row>
    <row r="602" spans="1:25" ht="16.5" customHeight="1" x14ac:dyDescent="0.2">
      <c r="A602" s="8"/>
      <c r="B602" s="8"/>
      <c r="C602" s="8"/>
      <c r="D602" s="8"/>
      <c r="E602" s="8"/>
      <c r="F602" s="8"/>
      <c r="G602" s="8"/>
      <c r="H602" s="8"/>
      <c r="I602" s="8"/>
      <c r="J602" s="8"/>
      <c r="K602" s="8"/>
      <c r="L602" s="8"/>
      <c r="M602" s="8"/>
      <c r="N602" s="8"/>
      <c r="O602" s="8"/>
      <c r="P602" s="8"/>
      <c r="Q602" s="8"/>
      <c r="R602" s="8"/>
      <c r="S602" s="8"/>
      <c r="T602" s="8"/>
      <c r="U602" s="8"/>
      <c r="V602" s="8"/>
      <c r="W602" s="8"/>
      <c r="X602" s="8"/>
      <c r="Y602" s="8"/>
    </row>
    <row r="603" spans="1:25" ht="16.5" customHeight="1" x14ac:dyDescent="0.2">
      <c r="A603" s="8"/>
      <c r="B603" s="8"/>
      <c r="C603" s="8"/>
      <c r="D603" s="8"/>
      <c r="E603" s="8"/>
      <c r="F603" s="8"/>
      <c r="G603" s="8"/>
      <c r="H603" s="8"/>
      <c r="I603" s="8"/>
      <c r="J603" s="8"/>
      <c r="K603" s="8"/>
      <c r="L603" s="8"/>
      <c r="M603" s="8"/>
      <c r="N603" s="8"/>
      <c r="O603" s="8"/>
      <c r="P603" s="8"/>
      <c r="Q603" s="8"/>
      <c r="R603" s="8"/>
      <c r="S603" s="8"/>
      <c r="T603" s="8"/>
      <c r="U603" s="8"/>
      <c r="V603" s="8"/>
      <c r="W603" s="8"/>
      <c r="X603" s="8"/>
      <c r="Y603" s="8"/>
    </row>
    <row r="604" spans="1:25" ht="16.5" customHeight="1" x14ac:dyDescent="0.2">
      <c r="A604" s="8"/>
      <c r="B604" s="8"/>
      <c r="C604" s="8"/>
      <c r="D604" s="8"/>
      <c r="E604" s="8"/>
      <c r="F604" s="8"/>
      <c r="G604" s="8"/>
      <c r="H604" s="8"/>
      <c r="I604" s="8"/>
      <c r="J604" s="8"/>
      <c r="K604" s="8"/>
      <c r="L604" s="8"/>
      <c r="M604" s="8"/>
      <c r="N604" s="8"/>
      <c r="O604" s="8"/>
      <c r="P604" s="8"/>
      <c r="Q604" s="8"/>
      <c r="R604" s="8"/>
      <c r="S604" s="8"/>
      <c r="T604" s="8"/>
      <c r="U604" s="8"/>
      <c r="V604" s="8"/>
      <c r="W604" s="8"/>
      <c r="X604" s="8"/>
      <c r="Y604" s="8"/>
    </row>
    <row r="605" spans="1:25" ht="16.5" customHeight="1" x14ac:dyDescent="0.2">
      <c r="A605" s="8"/>
      <c r="B605" s="8"/>
      <c r="C605" s="8"/>
      <c r="D605" s="8"/>
      <c r="E605" s="8"/>
      <c r="F605" s="8"/>
      <c r="G605" s="8"/>
      <c r="H605" s="8"/>
      <c r="I605" s="8"/>
      <c r="J605" s="8"/>
      <c r="K605" s="8"/>
      <c r="L605" s="8"/>
      <c r="M605" s="8"/>
      <c r="N605" s="8"/>
      <c r="O605" s="8"/>
      <c r="P605" s="8"/>
      <c r="Q605" s="8"/>
      <c r="R605" s="8"/>
      <c r="S605" s="8"/>
      <c r="T605" s="8"/>
      <c r="U605" s="8"/>
      <c r="V605" s="8"/>
      <c r="W605" s="8"/>
      <c r="X605" s="8"/>
      <c r="Y605" s="8"/>
    </row>
    <row r="606" spans="1:25" ht="16.5" customHeight="1" x14ac:dyDescent="0.2">
      <c r="A606" s="8"/>
      <c r="B606" s="8"/>
      <c r="C606" s="8"/>
      <c r="D606" s="8"/>
      <c r="E606" s="8"/>
      <c r="F606" s="8"/>
      <c r="G606" s="8"/>
      <c r="H606" s="8"/>
      <c r="I606" s="8"/>
      <c r="J606" s="8"/>
      <c r="K606" s="8"/>
      <c r="L606" s="8"/>
      <c r="M606" s="8"/>
      <c r="N606" s="8"/>
      <c r="O606" s="8"/>
      <c r="P606" s="8"/>
      <c r="Q606" s="8"/>
      <c r="R606" s="8"/>
      <c r="S606" s="8"/>
      <c r="T606" s="8"/>
      <c r="U606" s="8"/>
      <c r="V606" s="8"/>
      <c r="W606" s="8"/>
      <c r="X606" s="8"/>
      <c r="Y606" s="8"/>
    </row>
    <row r="607" spans="1:25" ht="16.5" customHeight="1" x14ac:dyDescent="0.2">
      <c r="A607" s="8"/>
      <c r="B607" s="8"/>
      <c r="C607" s="8"/>
      <c r="D607" s="8"/>
      <c r="E607" s="8"/>
      <c r="F607" s="8"/>
      <c r="G607" s="8"/>
      <c r="H607" s="8"/>
      <c r="I607" s="8"/>
      <c r="J607" s="8"/>
      <c r="K607" s="8"/>
      <c r="L607" s="8"/>
      <c r="M607" s="8"/>
      <c r="N607" s="8"/>
      <c r="O607" s="8"/>
      <c r="P607" s="8"/>
      <c r="Q607" s="8"/>
      <c r="R607" s="8"/>
      <c r="S607" s="8"/>
      <c r="T607" s="8"/>
      <c r="U607" s="8"/>
      <c r="V607" s="8"/>
      <c r="W607" s="8"/>
      <c r="X607" s="8"/>
      <c r="Y607" s="8"/>
    </row>
    <row r="608" spans="1:25" ht="16.5" customHeight="1" x14ac:dyDescent="0.2">
      <c r="A608" s="8"/>
      <c r="B608" s="8"/>
      <c r="C608" s="8"/>
      <c r="D608" s="8"/>
      <c r="E608" s="8"/>
      <c r="F608" s="8"/>
      <c r="G608" s="8"/>
      <c r="H608" s="8"/>
      <c r="I608" s="8"/>
      <c r="J608" s="8"/>
      <c r="K608" s="8"/>
      <c r="L608" s="8"/>
      <c r="M608" s="8"/>
      <c r="N608" s="8"/>
      <c r="O608" s="8"/>
      <c r="P608" s="8"/>
      <c r="Q608" s="8"/>
      <c r="R608" s="8"/>
      <c r="S608" s="8"/>
      <c r="T608" s="8"/>
      <c r="U608" s="8"/>
      <c r="V608" s="8"/>
      <c r="W608" s="8"/>
      <c r="X608" s="8"/>
      <c r="Y608" s="8"/>
    </row>
    <row r="609" spans="1:25" ht="16.5" customHeight="1" x14ac:dyDescent="0.2">
      <c r="A609" s="8"/>
      <c r="B609" s="8"/>
      <c r="C609" s="8"/>
      <c r="D609" s="8"/>
      <c r="E609" s="8"/>
      <c r="F609" s="8"/>
      <c r="G609" s="8"/>
      <c r="H609" s="8"/>
      <c r="I609" s="8"/>
      <c r="J609" s="8"/>
      <c r="K609" s="8"/>
      <c r="L609" s="8"/>
      <c r="M609" s="8"/>
      <c r="N609" s="8"/>
      <c r="O609" s="8"/>
      <c r="P609" s="8"/>
      <c r="Q609" s="8"/>
      <c r="R609" s="8"/>
      <c r="S609" s="8"/>
      <c r="T609" s="8"/>
      <c r="U609" s="8"/>
      <c r="V609" s="8"/>
      <c r="W609" s="8"/>
      <c r="X609" s="8"/>
      <c r="Y609" s="8"/>
    </row>
    <row r="610" spans="1:25" ht="16.5" customHeight="1" x14ac:dyDescent="0.2">
      <c r="A610" s="8"/>
      <c r="B610" s="8"/>
      <c r="C610" s="8"/>
      <c r="D610" s="8"/>
      <c r="E610" s="8"/>
      <c r="F610" s="8"/>
      <c r="G610" s="8"/>
      <c r="H610" s="8"/>
      <c r="I610" s="8"/>
      <c r="J610" s="8"/>
      <c r="K610" s="8"/>
      <c r="L610" s="8"/>
      <c r="M610" s="8"/>
      <c r="N610" s="8"/>
      <c r="O610" s="8"/>
      <c r="P610" s="8"/>
      <c r="Q610" s="8"/>
      <c r="R610" s="8"/>
      <c r="S610" s="8"/>
      <c r="T610" s="8"/>
      <c r="U610" s="8"/>
      <c r="V610" s="8"/>
      <c r="W610" s="8"/>
      <c r="X610" s="8"/>
      <c r="Y610" s="8"/>
    </row>
    <row r="611" spans="1:25" ht="16.5" customHeight="1" x14ac:dyDescent="0.2">
      <c r="A611" s="8"/>
      <c r="B611" s="8"/>
      <c r="C611" s="8"/>
      <c r="D611" s="8"/>
      <c r="E611" s="8"/>
      <c r="F611" s="8"/>
      <c r="G611" s="8"/>
      <c r="H611" s="8"/>
      <c r="I611" s="8"/>
      <c r="J611" s="8"/>
      <c r="K611" s="8"/>
      <c r="L611" s="8"/>
      <c r="M611" s="8"/>
      <c r="N611" s="8"/>
      <c r="O611" s="8"/>
      <c r="P611" s="8"/>
      <c r="Q611" s="8"/>
      <c r="R611" s="8"/>
      <c r="S611" s="8"/>
      <c r="T611" s="8"/>
      <c r="U611" s="8"/>
      <c r="V611" s="8"/>
      <c r="W611" s="8"/>
      <c r="X611" s="8"/>
      <c r="Y611" s="8"/>
    </row>
    <row r="612" spans="1:25" ht="16.5" customHeight="1" x14ac:dyDescent="0.2">
      <c r="A612" s="8"/>
      <c r="B612" s="8"/>
      <c r="C612" s="8"/>
      <c r="D612" s="8"/>
      <c r="E612" s="8"/>
      <c r="F612" s="8"/>
      <c r="G612" s="8"/>
      <c r="H612" s="8"/>
      <c r="I612" s="8"/>
      <c r="J612" s="8"/>
      <c r="K612" s="8"/>
      <c r="L612" s="8"/>
      <c r="M612" s="8"/>
      <c r="N612" s="8"/>
      <c r="O612" s="8"/>
      <c r="P612" s="8"/>
      <c r="Q612" s="8"/>
      <c r="R612" s="8"/>
      <c r="S612" s="8"/>
      <c r="T612" s="8"/>
      <c r="U612" s="8"/>
      <c r="V612" s="8"/>
      <c r="W612" s="8"/>
      <c r="X612" s="8"/>
      <c r="Y612" s="8"/>
    </row>
    <row r="613" spans="1:25" ht="16.5" customHeight="1" x14ac:dyDescent="0.2">
      <c r="A613" s="8"/>
      <c r="B613" s="8"/>
      <c r="C613" s="8"/>
      <c r="D613" s="8"/>
      <c r="E613" s="8"/>
      <c r="F613" s="8"/>
      <c r="G613" s="8"/>
      <c r="H613" s="8"/>
      <c r="I613" s="8"/>
      <c r="J613" s="8"/>
      <c r="K613" s="8"/>
      <c r="L613" s="8"/>
      <c r="M613" s="8"/>
      <c r="N613" s="8"/>
      <c r="O613" s="8"/>
      <c r="P613" s="8"/>
      <c r="Q613" s="8"/>
      <c r="R613" s="8"/>
      <c r="S613" s="8"/>
      <c r="T613" s="8"/>
      <c r="U613" s="8"/>
      <c r="V613" s="8"/>
      <c r="W613" s="8"/>
      <c r="X613" s="8"/>
      <c r="Y613" s="8"/>
    </row>
    <row r="614" spans="1:25" ht="16.5" customHeight="1" x14ac:dyDescent="0.2">
      <c r="A614" s="8"/>
      <c r="B614" s="8"/>
      <c r="C614" s="8"/>
      <c r="D614" s="8"/>
      <c r="E614" s="8"/>
      <c r="F614" s="8"/>
      <c r="G614" s="8"/>
      <c r="H614" s="8"/>
      <c r="I614" s="8"/>
      <c r="J614" s="8"/>
      <c r="K614" s="8"/>
      <c r="L614" s="8"/>
      <c r="M614" s="8"/>
      <c r="N614" s="8"/>
      <c r="O614" s="8"/>
      <c r="P614" s="8"/>
      <c r="Q614" s="8"/>
      <c r="R614" s="8"/>
      <c r="S614" s="8"/>
      <c r="T614" s="8"/>
      <c r="U614" s="8"/>
      <c r="V614" s="8"/>
      <c r="W614" s="8"/>
      <c r="X614" s="8"/>
      <c r="Y614" s="8"/>
    </row>
    <row r="615" spans="1:25" ht="16.5" customHeight="1" x14ac:dyDescent="0.2">
      <c r="A615" s="8"/>
      <c r="B615" s="8"/>
      <c r="C615" s="8"/>
      <c r="D615" s="8"/>
      <c r="E615" s="8"/>
      <c r="F615" s="8"/>
      <c r="G615" s="8"/>
      <c r="H615" s="8"/>
      <c r="I615" s="8"/>
      <c r="J615" s="8"/>
      <c r="K615" s="8"/>
      <c r="L615" s="8"/>
      <c r="M615" s="8"/>
      <c r="N615" s="8"/>
      <c r="O615" s="8"/>
      <c r="P615" s="8"/>
      <c r="Q615" s="8"/>
      <c r="R615" s="8"/>
      <c r="S615" s="8"/>
      <c r="T615" s="8"/>
      <c r="U615" s="8"/>
      <c r="V615" s="8"/>
      <c r="W615" s="8"/>
      <c r="X615" s="8"/>
      <c r="Y615" s="8"/>
    </row>
    <row r="616" spans="1:25" ht="16.5" customHeight="1" x14ac:dyDescent="0.2">
      <c r="A616" s="8"/>
      <c r="B616" s="8"/>
      <c r="C616" s="8"/>
      <c r="D616" s="8"/>
      <c r="E616" s="8"/>
      <c r="F616" s="8"/>
      <c r="G616" s="8"/>
      <c r="H616" s="8"/>
      <c r="I616" s="8"/>
      <c r="J616" s="8"/>
      <c r="K616" s="8"/>
      <c r="L616" s="8"/>
      <c r="M616" s="8"/>
      <c r="N616" s="8"/>
      <c r="O616" s="8"/>
      <c r="P616" s="8"/>
      <c r="Q616" s="8"/>
      <c r="R616" s="8"/>
      <c r="S616" s="8"/>
      <c r="T616" s="8"/>
      <c r="U616" s="8"/>
      <c r="V616" s="8"/>
      <c r="W616" s="8"/>
      <c r="X616" s="8"/>
      <c r="Y616" s="8"/>
    </row>
    <row r="617" spans="1:25" ht="16.5" customHeight="1" x14ac:dyDescent="0.2">
      <c r="A617" s="8"/>
      <c r="B617" s="8"/>
      <c r="C617" s="8"/>
      <c r="D617" s="8"/>
      <c r="E617" s="8"/>
      <c r="F617" s="8"/>
      <c r="G617" s="8"/>
      <c r="H617" s="8"/>
      <c r="I617" s="8"/>
      <c r="J617" s="8"/>
      <c r="K617" s="8"/>
      <c r="L617" s="8"/>
      <c r="M617" s="8"/>
      <c r="N617" s="8"/>
      <c r="O617" s="8"/>
      <c r="P617" s="8"/>
      <c r="Q617" s="8"/>
      <c r="R617" s="8"/>
      <c r="S617" s="8"/>
      <c r="T617" s="8"/>
      <c r="U617" s="8"/>
      <c r="V617" s="8"/>
      <c r="W617" s="8"/>
      <c r="X617" s="8"/>
      <c r="Y617" s="8"/>
    </row>
    <row r="618" spans="1:25" ht="16.5" customHeight="1" x14ac:dyDescent="0.2">
      <c r="A618" s="8"/>
      <c r="B618" s="8"/>
      <c r="C618" s="8"/>
      <c r="D618" s="8"/>
      <c r="E618" s="8"/>
      <c r="F618" s="8"/>
      <c r="G618" s="8"/>
      <c r="H618" s="8"/>
      <c r="I618" s="8"/>
      <c r="J618" s="8"/>
      <c r="K618" s="8"/>
      <c r="L618" s="8"/>
      <c r="M618" s="8"/>
      <c r="N618" s="8"/>
      <c r="O618" s="8"/>
      <c r="P618" s="8"/>
      <c r="Q618" s="8"/>
      <c r="R618" s="8"/>
      <c r="S618" s="8"/>
      <c r="T618" s="8"/>
      <c r="U618" s="8"/>
      <c r="V618" s="8"/>
      <c r="W618" s="8"/>
      <c r="X618" s="8"/>
      <c r="Y618" s="8"/>
    </row>
    <row r="619" spans="1:25" ht="16.5" customHeight="1" x14ac:dyDescent="0.2">
      <c r="A619" s="8"/>
      <c r="B619" s="8"/>
      <c r="C619" s="8"/>
      <c r="D619" s="8"/>
      <c r="E619" s="8"/>
      <c r="F619" s="8"/>
      <c r="G619" s="8"/>
      <c r="H619" s="8"/>
      <c r="I619" s="8"/>
      <c r="J619" s="8"/>
      <c r="K619" s="8"/>
      <c r="L619" s="8"/>
      <c r="M619" s="8"/>
      <c r="N619" s="8"/>
      <c r="O619" s="8"/>
      <c r="P619" s="8"/>
      <c r="Q619" s="8"/>
      <c r="R619" s="8"/>
      <c r="S619" s="8"/>
      <c r="T619" s="8"/>
      <c r="U619" s="8"/>
      <c r="V619" s="8"/>
      <c r="W619" s="8"/>
      <c r="X619" s="8"/>
      <c r="Y619" s="8"/>
    </row>
    <row r="620" spans="1:25" ht="16.5" customHeight="1" x14ac:dyDescent="0.2">
      <c r="A620" s="8"/>
      <c r="B620" s="8"/>
      <c r="C620" s="8"/>
      <c r="D620" s="8"/>
      <c r="E620" s="8"/>
      <c r="F620" s="8"/>
      <c r="G620" s="8"/>
      <c r="H620" s="8"/>
      <c r="I620" s="8"/>
      <c r="J620" s="8"/>
      <c r="K620" s="8"/>
      <c r="L620" s="8"/>
      <c r="M620" s="8"/>
      <c r="N620" s="8"/>
      <c r="O620" s="8"/>
      <c r="P620" s="8"/>
      <c r="Q620" s="8"/>
      <c r="R620" s="8"/>
      <c r="S620" s="8"/>
      <c r="T620" s="8"/>
      <c r="U620" s="8"/>
      <c r="V620" s="8"/>
      <c r="W620" s="8"/>
      <c r="X620" s="8"/>
      <c r="Y620" s="8"/>
    </row>
    <row r="621" spans="1:25" ht="16.5" customHeight="1" x14ac:dyDescent="0.2">
      <c r="A621" s="8"/>
      <c r="B621" s="8"/>
      <c r="C621" s="8"/>
      <c r="D621" s="8"/>
      <c r="E621" s="8"/>
      <c r="F621" s="8"/>
      <c r="G621" s="8"/>
      <c r="H621" s="8"/>
      <c r="I621" s="8"/>
      <c r="J621" s="8"/>
      <c r="K621" s="8"/>
      <c r="L621" s="8"/>
      <c r="M621" s="8"/>
      <c r="N621" s="8"/>
      <c r="O621" s="8"/>
      <c r="P621" s="8"/>
      <c r="Q621" s="8"/>
      <c r="R621" s="8"/>
      <c r="S621" s="8"/>
      <c r="T621" s="8"/>
      <c r="U621" s="8"/>
      <c r="V621" s="8"/>
      <c r="W621" s="8"/>
      <c r="X621" s="8"/>
      <c r="Y621" s="8"/>
    </row>
    <row r="622" spans="1:25" ht="16.5" customHeight="1" x14ac:dyDescent="0.2">
      <c r="A622" s="8"/>
      <c r="B622" s="8"/>
      <c r="C622" s="8"/>
      <c r="D622" s="8"/>
      <c r="E622" s="8"/>
      <c r="F622" s="8"/>
      <c r="G622" s="8"/>
      <c r="H622" s="8"/>
      <c r="I622" s="8"/>
      <c r="J622" s="8"/>
      <c r="K622" s="8"/>
      <c r="L622" s="8"/>
      <c r="M622" s="8"/>
      <c r="N622" s="8"/>
      <c r="O622" s="8"/>
      <c r="P622" s="8"/>
      <c r="Q622" s="8"/>
      <c r="R622" s="8"/>
      <c r="S622" s="8"/>
      <c r="T622" s="8"/>
      <c r="U622" s="8"/>
      <c r="V622" s="8"/>
      <c r="W622" s="8"/>
      <c r="X622" s="8"/>
      <c r="Y622" s="8"/>
    </row>
    <row r="623" spans="1:25" ht="16.5" customHeight="1" x14ac:dyDescent="0.2">
      <c r="A623" s="8"/>
      <c r="B623" s="8"/>
      <c r="C623" s="8"/>
      <c r="D623" s="8"/>
      <c r="E623" s="8"/>
      <c r="F623" s="8"/>
      <c r="G623" s="8"/>
      <c r="H623" s="8"/>
      <c r="I623" s="8"/>
      <c r="J623" s="8"/>
      <c r="K623" s="8"/>
      <c r="L623" s="8"/>
      <c r="M623" s="8"/>
      <c r="N623" s="8"/>
      <c r="O623" s="8"/>
      <c r="P623" s="8"/>
      <c r="Q623" s="8"/>
      <c r="R623" s="8"/>
      <c r="S623" s="8"/>
      <c r="T623" s="8"/>
      <c r="U623" s="8"/>
      <c r="V623" s="8"/>
      <c r="W623" s="8"/>
      <c r="X623" s="8"/>
      <c r="Y623" s="8"/>
    </row>
    <row r="624" spans="1:25" ht="16.5" customHeight="1" x14ac:dyDescent="0.2">
      <c r="A624" s="8"/>
      <c r="B624" s="8"/>
      <c r="C624" s="8"/>
      <c r="D624" s="8"/>
      <c r="E624" s="8"/>
      <c r="F624" s="8"/>
      <c r="G624" s="8"/>
      <c r="H624" s="8"/>
      <c r="I624" s="8"/>
      <c r="J624" s="8"/>
      <c r="K624" s="8"/>
      <c r="L624" s="8"/>
      <c r="M624" s="8"/>
      <c r="N624" s="8"/>
      <c r="O624" s="8"/>
      <c r="P624" s="8"/>
      <c r="Q624" s="8"/>
      <c r="R624" s="8"/>
      <c r="S624" s="8"/>
      <c r="T624" s="8"/>
      <c r="U624" s="8"/>
      <c r="V624" s="8"/>
      <c r="W624" s="8"/>
      <c r="X624" s="8"/>
      <c r="Y624" s="8"/>
    </row>
    <row r="625" spans="1:25" ht="16.5" customHeight="1" x14ac:dyDescent="0.2">
      <c r="A625" s="8"/>
      <c r="B625" s="8"/>
      <c r="C625" s="8"/>
      <c r="D625" s="8"/>
      <c r="E625" s="8"/>
      <c r="F625" s="8"/>
      <c r="G625" s="8"/>
      <c r="H625" s="8"/>
      <c r="I625" s="8"/>
      <c r="J625" s="8"/>
      <c r="K625" s="8"/>
      <c r="L625" s="8"/>
      <c r="M625" s="8"/>
      <c r="N625" s="8"/>
      <c r="O625" s="8"/>
      <c r="P625" s="8"/>
      <c r="Q625" s="8"/>
      <c r="R625" s="8"/>
      <c r="S625" s="8"/>
      <c r="T625" s="8"/>
      <c r="U625" s="8"/>
      <c r="V625" s="8"/>
      <c r="W625" s="8"/>
      <c r="X625" s="8"/>
      <c r="Y625" s="8"/>
    </row>
    <row r="626" spans="1:25" ht="16.5" customHeight="1" x14ac:dyDescent="0.2">
      <c r="A626" s="8"/>
      <c r="B626" s="8"/>
      <c r="C626" s="8"/>
      <c r="D626" s="8"/>
      <c r="E626" s="8"/>
      <c r="F626" s="8"/>
      <c r="G626" s="8"/>
      <c r="H626" s="8"/>
      <c r="I626" s="8"/>
      <c r="J626" s="8"/>
      <c r="K626" s="8"/>
      <c r="L626" s="8"/>
      <c r="M626" s="8"/>
      <c r="N626" s="8"/>
      <c r="O626" s="8"/>
      <c r="P626" s="8"/>
      <c r="Q626" s="8"/>
      <c r="R626" s="8"/>
      <c r="S626" s="8"/>
      <c r="T626" s="8"/>
      <c r="U626" s="8"/>
      <c r="V626" s="8"/>
      <c r="W626" s="8"/>
      <c r="X626" s="8"/>
      <c r="Y626" s="8"/>
    </row>
    <row r="627" spans="1:25" ht="16.5" customHeight="1" x14ac:dyDescent="0.2">
      <c r="A627" s="8"/>
      <c r="B627" s="8"/>
      <c r="C627" s="8"/>
      <c r="D627" s="8"/>
      <c r="E627" s="8"/>
      <c r="F627" s="8"/>
      <c r="G627" s="8"/>
      <c r="H627" s="8"/>
      <c r="I627" s="8"/>
      <c r="J627" s="8"/>
      <c r="K627" s="8"/>
      <c r="L627" s="8"/>
      <c r="M627" s="8"/>
      <c r="N627" s="8"/>
      <c r="O627" s="8"/>
      <c r="P627" s="8"/>
      <c r="Q627" s="8"/>
      <c r="R627" s="8"/>
      <c r="S627" s="8"/>
      <c r="T627" s="8"/>
      <c r="U627" s="8"/>
      <c r="V627" s="8"/>
      <c r="W627" s="8"/>
      <c r="X627" s="8"/>
      <c r="Y627" s="8"/>
    </row>
    <row r="628" spans="1:25" ht="16.5" customHeight="1" x14ac:dyDescent="0.2">
      <c r="A628" s="8"/>
      <c r="B628" s="8"/>
      <c r="C628" s="8"/>
      <c r="D628" s="8"/>
      <c r="E628" s="8"/>
      <c r="F628" s="8"/>
      <c r="G628" s="8"/>
      <c r="H628" s="8"/>
      <c r="I628" s="8"/>
      <c r="J628" s="8"/>
      <c r="K628" s="8"/>
      <c r="L628" s="8"/>
      <c r="M628" s="8"/>
      <c r="N628" s="8"/>
      <c r="O628" s="8"/>
      <c r="P628" s="8"/>
      <c r="Q628" s="8"/>
      <c r="R628" s="8"/>
      <c r="S628" s="8"/>
      <c r="T628" s="8"/>
      <c r="U628" s="8"/>
      <c r="V628" s="8"/>
      <c r="W628" s="8"/>
      <c r="X628" s="8"/>
      <c r="Y628" s="8"/>
    </row>
    <row r="629" spans="1:25" ht="16.5" customHeight="1" x14ac:dyDescent="0.2">
      <c r="A629" s="8"/>
      <c r="B629" s="8"/>
      <c r="C629" s="8"/>
      <c r="D629" s="8"/>
      <c r="E629" s="8"/>
      <c r="F629" s="8"/>
      <c r="G629" s="8"/>
      <c r="H629" s="8"/>
      <c r="I629" s="8"/>
      <c r="J629" s="8"/>
      <c r="K629" s="8"/>
      <c r="L629" s="8"/>
      <c r="M629" s="8"/>
      <c r="N629" s="8"/>
      <c r="O629" s="8"/>
      <c r="P629" s="8"/>
      <c r="Q629" s="8"/>
      <c r="R629" s="8"/>
      <c r="S629" s="8"/>
      <c r="T629" s="8"/>
      <c r="U629" s="8"/>
      <c r="V629" s="8"/>
      <c r="W629" s="8"/>
      <c r="X629" s="8"/>
      <c r="Y629" s="8"/>
    </row>
    <row r="630" spans="1:25" ht="16.5" customHeight="1" x14ac:dyDescent="0.2">
      <c r="A630" s="8"/>
      <c r="B630" s="8"/>
      <c r="C630" s="8"/>
      <c r="D630" s="8"/>
      <c r="E630" s="8"/>
      <c r="F630" s="8"/>
      <c r="G630" s="8"/>
      <c r="H630" s="8"/>
      <c r="I630" s="8"/>
      <c r="J630" s="8"/>
      <c r="K630" s="8"/>
      <c r="L630" s="8"/>
      <c r="M630" s="8"/>
      <c r="N630" s="8"/>
      <c r="O630" s="8"/>
      <c r="P630" s="8"/>
      <c r="Q630" s="8"/>
      <c r="R630" s="8"/>
      <c r="S630" s="8"/>
      <c r="T630" s="8"/>
      <c r="U630" s="8"/>
      <c r="V630" s="8"/>
      <c r="W630" s="8"/>
      <c r="X630" s="8"/>
      <c r="Y630" s="8"/>
    </row>
    <row r="631" spans="1:25" ht="16.5" customHeight="1" x14ac:dyDescent="0.2">
      <c r="A631" s="8"/>
      <c r="B631" s="8"/>
      <c r="C631" s="8"/>
      <c r="D631" s="8"/>
      <c r="E631" s="8"/>
      <c r="F631" s="8"/>
      <c r="G631" s="8"/>
      <c r="H631" s="8"/>
      <c r="I631" s="8"/>
      <c r="J631" s="8"/>
      <c r="K631" s="8"/>
      <c r="L631" s="8"/>
      <c r="M631" s="8"/>
      <c r="N631" s="8"/>
      <c r="O631" s="8"/>
      <c r="P631" s="8"/>
      <c r="Q631" s="8"/>
      <c r="R631" s="8"/>
      <c r="S631" s="8"/>
      <c r="T631" s="8"/>
      <c r="U631" s="8"/>
      <c r="V631" s="8"/>
      <c r="W631" s="8"/>
      <c r="X631" s="8"/>
      <c r="Y631" s="8"/>
    </row>
    <row r="632" spans="1:25" ht="16.5" customHeight="1" x14ac:dyDescent="0.2">
      <c r="A632" s="8"/>
      <c r="B632" s="8"/>
      <c r="C632" s="8"/>
      <c r="D632" s="8"/>
      <c r="E632" s="8"/>
      <c r="F632" s="8"/>
      <c r="G632" s="8"/>
      <c r="H632" s="8"/>
      <c r="I632" s="8"/>
      <c r="J632" s="8"/>
      <c r="K632" s="8"/>
      <c r="L632" s="8"/>
      <c r="M632" s="8"/>
      <c r="N632" s="8"/>
      <c r="O632" s="8"/>
      <c r="P632" s="8"/>
      <c r="Q632" s="8"/>
      <c r="R632" s="8"/>
      <c r="S632" s="8"/>
      <c r="T632" s="8"/>
      <c r="U632" s="8"/>
      <c r="V632" s="8"/>
      <c r="W632" s="8"/>
      <c r="X632" s="8"/>
      <c r="Y632" s="8"/>
    </row>
    <row r="633" spans="1:25" ht="16.5" customHeight="1" x14ac:dyDescent="0.2">
      <c r="A633" s="8"/>
      <c r="B633" s="8"/>
      <c r="C633" s="8"/>
      <c r="D633" s="8"/>
      <c r="E633" s="8"/>
      <c r="F633" s="8"/>
      <c r="G633" s="8"/>
      <c r="H633" s="8"/>
      <c r="I633" s="8"/>
      <c r="J633" s="8"/>
      <c r="K633" s="8"/>
      <c r="L633" s="8"/>
      <c r="M633" s="8"/>
      <c r="N633" s="8"/>
      <c r="O633" s="8"/>
      <c r="P633" s="8"/>
      <c r="Q633" s="8"/>
      <c r="R633" s="8"/>
      <c r="S633" s="8"/>
      <c r="T633" s="8"/>
      <c r="U633" s="8"/>
      <c r="V633" s="8"/>
      <c r="W633" s="8"/>
      <c r="X633" s="8"/>
      <c r="Y633" s="8"/>
    </row>
    <row r="634" spans="1:25" ht="16.5" customHeight="1" x14ac:dyDescent="0.2">
      <c r="A634" s="8"/>
      <c r="B634" s="8"/>
      <c r="C634" s="8"/>
      <c r="D634" s="8"/>
      <c r="E634" s="8"/>
      <c r="F634" s="8"/>
      <c r="G634" s="8"/>
      <c r="H634" s="8"/>
      <c r="I634" s="8"/>
      <c r="J634" s="8"/>
      <c r="K634" s="8"/>
      <c r="L634" s="8"/>
      <c r="M634" s="8"/>
      <c r="N634" s="8"/>
      <c r="O634" s="8"/>
      <c r="P634" s="8"/>
      <c r="Q634" s="8"/>
      <c r="R634" s="8"/>
      <c r="S634" s="8"/>
      <c r="T634" s="8"/>
      <c r="U634" s="8"/>
      <c r="V634" s="8"/>
      <c r="W634" s="8"/>
      <c r="X634" s="8"/>
      <c r="Y634" s="8"/>
    </row>
    <row r="635" spans="1:25" ht="16.5" customHeight="1" x14ac:dyDescent="0.2">
      <c r="A635" s="8"/>
      <c r="B635" s="8"/>
      <c r="C635" s="8"/>
      <c r="D635" s="8"/>
      <c r="E635" s="8"/>
      <c r="F635" s="8"/>
      <c r="G635" s="8"/>
      <c r="H635" s="8"/>
      <c r="I635" s="8"/>
      <c r="J635" s="8"/>
      <c r="K635" s="8"/>
      <c r="L635" s="8"/>
      <c r="M635" s="8"/>
      <c r="N635" s="8"/>
      <c r="O635" s="8"/>
      <c r="P635" s="8"/>
      <c r="Q635" s="8"/>
      <c r="R635" s="8"/>
      <c r="S635" s="8"/>
      <c r="T635" s="8"/>
      <c r="U635" s="8"/>
      <c r="V635" s="8"/>
      <c r="W635" s="8"/>
      <c r="X635" s="8"/>
      <c r="Y635" s="8"/>
    </row>
    <row r="636" spans="1:25" ht="16.5" customHeight="1" x14ac:dyDescent="0.2">
      <c r="A636" s="8"/>
      <c r="B636" s="8"/>
      <c r="C636" s="8"/>
      <c r="D636" s="8"/>
      <c r="E636" s="8"/>
      <c r="F636" s="8"/>
      <c r="G636" s="8"/>
      <c r="H636" s="8"/>
      <c r="I636" s="8"/>
      <c r="J636" s="8"/>
      <c r="K636" s="8"/>
      <c r="L636" s="8"/>
      <c r="M636" s="8"/>
      <c r="N636" s="8"/>
      <c r="O636" s="8"/>
      <c r="P636" s="8"/>
      <c r="Q636" s="8"/>
      <c r="R636" s="8"/>
      <c r="S636" s="8"/>
      <c r="T636" s="8"/>
      <c r="U636" s="8"/>
      <c r="V636" s="8"/>
      <c r="W636" s="8"/>
      <c r="X636" s="8"/>
      <c r="Y636" s="8"/>
    </row>
    <row r="637" spans="1:25" ht="16.5" customHeight="1" x14ac:dyDescent="0.2">
      <c r="A637" s="8"/>
      <c r="B637" s="8"/>
      <c r="C637" s="8"/>
      <c r="D637" s="8"/>
      <c r="E637" s="8"/>
      <c r="F637" s="8"/>
      <c r="G637" s="8"/>
      <c r="H637" s="8"/>
      <c r="I637" s="8"/>
      <c r="J637" s="8"/>
      <c r="K637" s="8"/>
      <c r="L637" s="8"/>
      <c r="M637" s="8"/>
      <c r="N637" s="8"/>
      <c r="O637" s="8"/>
      <c r="P637" s="8"/>
      <c r="Q637" s="8"/>
      <c r="R637" s="8"/>
      <c r="S637" s="8"/>
      <c r="T637" s="8"/>
      <c r="U637" s="8"/>
      <c r="V637" s="8"/>
      <c r="W637" s="8"/>
      <c r="X637" s="8"/>
      <c r="Y637" s="8"/>
    </row>
    <row r="638" spans="1:25" ht="16.5" customHeight="1" x14ac:dyDescent="0.2">
      <c r="A638" s="8"/>
      <c r="B638" s="8"/>
      <c r="C638" s="8"/>
      <c r="D638" s="8"/>
      <c r="E638" s="8"/>
      <c r="F638" s="8"/>
      <c r="G638" s="8"/>
      <c r="H638" s="8"/>
      <c r="I638" s="8"/>
      <c r="J638" s="8"/>
      <c r="K638" s="8"/>
      <c r="L638" s="8"/>
      <c r="M638" s="8"/>
      <c r="N638" s="8"/>
      <c r="O638" s="8"/>
      <c r="P638" s="8"/>
      <c r="Q638" s="8"/>
      <c r="R638" s="8"/>
      <c r="S638" s="8"/>
      <c r="T638" s="8"/>
      <c r="U638" s="8"/>
      <c r="V638" s="8"/>
      <c r="W638" s="8"/>
      <c r="X638" s="8"/>
      <c r="Y638" s="8"/>
    </row>
    <row r="639" spans="1:25" ht="16.5" customHeight="1" x14ac:dyDescent="0.2">
      <c r="A639" s="8"/>
      <c r="B639" s="8"/>
      <c r="C639" s="8"/>
      <c r="D639" s="8"/>
      <c r="E639" s="8"/>
      <c r="F639" s="8"/>
      <c r="G639" s="8"/>
      <c r="H639" s="8"/>
      <c r="I639" s="8"/>
      <c r="J639" s="8"/>
      <c r="K639" s="8"/>
      <c r="L639" s="8"/>
      <c r="M639" s="8"/>
      <c r="N639" s="8"/>
      <c r="O639" s="8"/>
      <c r="P639" s="8"/>
      <c r="Q639" s="8"/>
      <c r="R639" s="8"/>
      <c r="S639" s="8"/>
      <c r="T639" s="8"/>
      <c r="U639" s="8"/>
      <c r="V639" s="8"/>
      <c r="W639" s="8"/>
      <c r="X639" s="8"/>
      <c r="Y639" s="8"/>
    </row>
    <row r="640" spans="1:25" ht="16.5" customHeight="1" x14ac:dyDescent="0.2">
      <c r="A640" s="8"/>
      <c r="B640" s="8"/>
      <c r="C640" s="8"/>
      <c r="D640" s="8"/>
      <c r="E640" s="8"/>
      <c r="F640" s="8"/>
      <c r="G640" s="8"/>
      <c r="H640" s="8"/>
      <c r="I640" s="8"/>
      <c r="J640" s="8"/>
      <c r="K640" s="8"/>
      <c r="L640" s="8"/>
      <c r="M640" s="8"/>
      <c r="N640" s="8"/>
      <c r="O640" s="8"/>
      <c r="P640" s="8"/>
      <c r="Q640" s="8"/>
      <c r="R640" s="8"/>
      <c r="S640" s="8"/>
      <c r="T640" s="8"/>
      <c r="U640" s="8"/>
      <c r="V640" s="8"/>
      <c r="W640" s="8"/>
      <c r="X640" s="8"/>
      <c r="Y640" s="8"/>
    </row>
    <row r="641" spans="1:25" ht="16.5" customHeight="1" x14ac:dyDescent="0.2">
      <c r="A641" s="8"/>
      <c r="B641" s="8"/>
      <c r="C641" s="8"/>
      <c r="D641" s="8"/>
      <c r="E641" s="8"/>
      <c r="F641" s="8"/>
      <c r="G641" s="8"/>
      <c r="H641" s="8"/>
      <c r="I641" s="8"/>
      <c r="J641" s="8"/>
      <c r="K641" s="8"/>
      <c r="L641" s="8"/>
      <c r="M641" s="8"/>
      <c r="N641" s="8"/>
      <c r="O641" s="8"/>
      <c r="P641" s="8"/>
      <c r="Q641" s="8"/>
      <c r="R641" s="8"/>
      <c r="S641" s="8"/>
      <c r="T641" s="8"/>
      <c r="U641" s="8"/>
      <c r="V641" s="8"/>
      <c r="W641" s="8"/>
      <c r="X641" s="8"/>
      <c r="Y641" s="8"/>
    </row>
    <row r="642" spans="1:25" ht="16.5" customHeight="1" x14ac:dyDescent="0.2">
      <c r="A642" s="8"/>
      <c r="B642" s="8"/>
      <c r="C642" s="8"/>
      <c r="D642" s="8"/>
      <c r="E642" s="8"/>
      <c r="F642" s="8"/>
      <c r="G642" s="8"/>
      <c r="H642" s="8"/>
      <c r="I642" s="8"/>
      <c r="J642" s="8"/>
      <c r="K642" s="8"/>
      <c r="L642" s="8"/>
      <c r="M642" s="8"/>
      <c r="N642" s="8"/>
      <c r="O642" s="8"/>
      <c r="P642" s="8"/>
      <c r="Q642" s="8"/>
      <c r="R642" s="8"/>
      <c r="S642" s="8"/>
      <c r="T642" s="8"/>
      <c r="U642" s="8"/>
      <c r="V642" s="8"/>
      <c r="W642" s="8"/>
      <c r="X642" s="8"/>
      <c r="Y642" s="8"/>
    </row>
    <row r="643" spans="1:25" ht="16.5" customHeight="1" x14ac:dyDescent="0.2">
      <c r="A643" s="8"/>
      <c r="B643" s="8"/>
      <c r="C643" s="8"/>
      <c r="D643" s="8"/>
      <c r="E643" s="8"/>
      <c r="F643" s="8"/>
      <c r="G643" s="8"/>
      <c r="H643" s="8"/>
      <c r="I643" s="8"/>
      <c r="J643" s="8"/>
      <c r="K643" s="8"/>
      <c r="L643" s="8"/>
      <c r="M643" s="8"/>
      <c r="N643" s="8"/>
      <c r="O643" s="8"/>
      <c r="P643" s="8"/>
      <c r="Q643" s="8"/>
      <c r="R643" s="8"/>
      <c r="S643" s="8"/>
      <c r="T643" s="8"/>
      <c r="U643" s="8"/>
      <c r="V643" s="8"/>
      <c r="W643" s="8"/>
      <c r="X643" s="8"/>
      <c r="Y643" s="8"/>
    </row>
    <row r="644" spans="1:25" ht="16.5" customHeight="1" x14ac:dyDescent="0.2">
      <c r="A644" s="8"/>
      <c r="B644" s="8"/>
      <c r="C644" s="8"/>
      <c r="D644" s="8"/>
      <c r="E644" s="8"/>
      <c r="F644" s="8"/>
      <c r="G644" s="8"/>
      <c r="H644" s="8"/>
      <c r="I644" s="8"/>
      <c r="J644" s="8"/>
      <c r="K644" s="8"/>
      <c r="L644" s="8"/>
      <c r="M644" s="8"/>
      <c r="N644" s="8"/>
      <c r="O644" s="8"/>
      <c r="P644" s="8"/>
      <c r="Q644" s="8"/>
      <c r="R644" s="8"/>
      <c r="S644" s="8"/>
      <c r="T644" s="8"/>
      <c r="U644" s="8"/>
      <c r="V644" s="8"/>
      <c r="W644" s="8"/>
      <c r="X644" s="8"/>
      <c r="Y644" s="8"/>
    </row>
    <row r="645" spans="1:25" ht="16.5" customHeight="1" x14ac:dyDescent="0.2">
      <c r="A645" s="8"/>
      <c r="B645" s="8"/>
      <c r="C645" s="8"/>
      <c r="D645" s="8"/>
      <c r="E645" s="8"/>
      <c r="F645" s="8"/>
      <c r="G645" s="8"/>
      <c r="H645" s="8"/>
      <c r="I645" s="8"/>
      <c r="J645" s="8"/>
      <c r="K645" s="8"/>
      <c r="L645" s="8"/>
      <c r="M645" s="8"/>
      <c r="N645" s="8"/>
      <c r="O645" s="8"/>
      <c r="P645" s="8"/>
      <c r="Q645" s="8"/>
      <c r="R645" s="8"/>
      <c r="S645" s="8"/>
      <c r="T645" s="8"/>
      <c r="U645" s="8"/>
      <c r="V645" s="8"/>
      <c r="W645" s="8"/>
      <c r="X645" s="8"/>
      <c r="Y645" s="8"/>
    </row>
    <row r="646" spans="1:25" ht="16.5" customHeight="1" x14ac:dyDescent="0.2">
      <c r="A646" s="8"/>
      <c r="B646" s="8"/>
      <c r="C646" s="8"/>
      <c r="D646" s="8"/>
      <c r="E646" s="8"/>
      <c r="F646" s="8"/>
      <c r="G646" s="8"/>
      <c r="H646" s="8"/>
      <c r="I646" s="8"/>
      <c r="J646" s="8"/>
      <c r="K646" s="8"/>
      <c r="L646" s="8"/>
      <c r="M646" s="8"/>
      <c r="N646" s="8"/>
      <c r="O646" s="8"/>
      <c r="P646" s="8"/>
      <c r="Q646" s="8"/>
      <c r="R646" s="8"/>
      <c r="S646" s="8"/>
      <c r="T646" s="8"/>
      <c r="U646" s="8"/>
      <c r="V646" s="8"/>
      <c r="W646" s="8"/>
      <c r="X646" s="8"/>
      <c r="Y646" s="8"/>
    </row>
    <row r="647" spans="1:25" ht="16.5" customHeight="1" x14ac:dyDescent="0.2">
      <c r="A647" s="8"/>
      <c r="B647" s="8"/>
      <c r="C647" s="8"/>
      <c r="D647" s="8"/>
      <c r="E647" s="8"/>
      <c r="F647" s="8"/>
      <c r="G647" s="8"/>
      <c r="H647" s="8"/>
      <c r="I647" s="8"/>
      <c r="J647" s="8"/>
      <c r="K647" s="8"/>
      <c r="L647" s="8"/>
      <c r="M647" s="8"/>
      <c r="N647" s="8"/>
      <c r="O647" s="8"/>
      <c r="P647" s="8"/>
      <c r="Q647" s="8"/>
      <c r="R647" s="8"/>
      <c r="S647" s="8"/>
      <c r="T647" s="8"/>
      <c r="U647" s="8"/>
      <c r="V647" s="8"/>
      <c r="W647" s="8"/>
      <c r="X647" s="8"/>
      <c r="Y647" s="8"/>
    </row>
    <row r="648" spans="1:25" ht="16.5" customHeight="1" x14ac:dyDescent="0.2">
      <c r="A648" s="8"/>
      <c r="B648" s="8"/>
      <c r="C648" s="8"/>
      <c r="D648" s="8"/>
      <c r="E648" s="8"/>
      <c r="F648" s="8"/>
      <c r="G648" s="8"/>
      <c r="H648" s="8"/>
      <c r="I648" s="8"/>
      <c r="J648" s="8"/>
      <c r="K648" s="8"/>
      <c r="L648" s="8"/>
      <c r="M648" s="8"/>
      <c r="N648" s="8"/>
      <c r="O648" s="8"/>
      <c r="P648" s="8"/>
      <c r="Q648" s="8"/>
      <c r="R648" s="8"/>
      <c r="S648" s="8"/>
      <c r="T648" s="8"/>
      <c r="U648" s="8"/>
      <c r="V648" s="8"/>
      <c r="W648" s="8"/>
      <c r="X648" s="8"/>
      <c r="Y648" s="8"/>
    </row>
    <row r="649" spans="1:25" ht="16.5" customHeight="1" x14ac:dyDescent="0.2">
      <c r="A649" s="8"/>
      <c r="B649" s="8"/>
      <c r="C649" s="8"/>
      <c r="D649" s="8"/>
      <c r="E649" s="8"/>
      <c r="F649" s="8"/>
      <c r="G649" s="8"/>
      <c r="H649" s="8"/>
      <c r="I649" s="8"/>
      <c r="J649" s="8"/>
      <c r="K649" s="8"/>
      <c r="L649" s="8"/>
      <c r="M649" s="8"/>
      <c r="N649" s="8"/>
      <c r="O649" s="8"/>
      <c r="P649" s="8"/>
      <c r="Q649" s="8"/>
      <c r="R649" s="8"/>
      <c r="S649" s="8"/>
      <c r="T649" s="8"/>
      <c r="U649" s="8"/>
      <c r="V649" s="8"/>
      <c r="W649" s="8"/>
      <c r="X649" s="8"/>
      <c r="Y649" s="8"/>
    </row>
    <row r="650" spans="1:25" ht="16.5" customHeight="1" x14ac:dyDescent="0.2">
      <c r="A650" s="8"/>
      <c r="B650" s="8"/>
      <c r="C650" s="8"/>
      <c r="D650" s="8"/>
      <c r="E650" s="8"/>
      <c r="F650" s="8"/>
      <c r="G650" s="8"/>
      <c r="H650" s="8"/>
      <c r="I650" s="8"/>
      <c r="J650" s="8"/>
      <c r="K650" s="8"/>
      <c r="L650" s="8"/>
      <c r="M650" s="8"/>
      <c r="N650" s="8"/>
      <c r="O650" s="8"/>
      <c r="P650" s="8"/>
      <c r="Q650" s="8"/>
      <c r="R650" s="8"/>
      <c r="S650" s="8"/>
      <c r="T650" s="8"/>
      <c r="U650" s="8"/>
      <c r="V650" s="8"/>
      <c r="W650" s="8"/>
      <c r="X650" s="8"/>
      <c r="Y650" s="8"/>
    </row>
    <row r="651" spans="1:25" ht="16.5" customHeight="1" x14ac:dyDescent="0.2">
      <c r="A651" s="8"/>
      <c r="B651" s="8"/>
      <c r="C651" s="8"/>
      <c r="D651" s="8"/>
      <c r="E651" s="8"/>
      <c r="F651" s="8"/>
      <c r="G651" s="8"/>
      <c r="H651" s="8"/>
      <c r="I651" s="8"/>
      <c r="J651" s="8"/>
      <c r="K651" s="8"/>
      <c r="L651" s="8"/>
      <c r="M651" s="8"/>
      <c r="N651" s="8"/>
      <c r="O651" s="8"/>
      <c r="P651" s="8"/>
      <c r="Q651" s="8"/>
      <c r="R651" s="8"/>
      <c r="S651" s="8"/>
      <c r="T651" s="8"/>
      <c r="U651" s="8"/>
      <c r="V651" s="8"/>
      <c r="W651" s="8"/>
      <c r="X651" s="8"/>
      <c r="Y651" s="8"/>
    </row>
    <row r="652" spans="1:25" ht="16.5" customHeight="1" x14ac:dyDescent="0.2">
      <c r="A652" s="8"/>
      <c r="B652" s="8"/>
      <c r="C652" s="8"/>
      <c r="D652" s="8"/>
      <c r="E652" s="8"/>
      <c r="F652" s="8"/>
      <c r="G652" s="8"/>
      <c r="H652" s="8"/>
      <c r="I652" s="8"/>
      <c r="J652" s="8"/>
      <c r="K652" s="8"/>
      <c r="L652" s="8"/>
      <c r="M652" s="8"/>
      <c r="N652" s="8"/>
      <c r="O652" s="8"/>
      <c r="P652" s="8"/>
      <c r="Q652" s="8"/>
      <c r="R652" s="8"/>
      <c r="S652" s="8"/>
      <c r="T652" s="8"/>
      <c r="U652" s="8"/>
      <c r="V652" s="8"/>
      <c r="W652" s="8"/>
      <c r="X652" s="8"/>
      <c r="Y652" s="8"/>
    </row>
    <row r="653" spans="1:25" ht="16.5" customHeight="1" x14ac:dyDescent="0.2">
      <c r="A653" s="8"/>
      <c r="B653" s="8"/>
      <c r="C653" s="8"/>
      <c r="D653" s="8"/>
      <c r="E653" s="8"/>
      <c r="F653" s="8"/>
      <c r="G653" s="8"/>
      <c r="H653" s="8"/>
      <c r="I653" s="8"/>
      <c r="J653" s="8"/>
      <c r="K653" s="8"/>
      <c r="L653" s="8"/>
      <c r="M653" s="8"/>
      <c r="N653" s="8"/>
      <c r="O653" s="8"/>
      <c r="P653" s="8"/>
      <c r="Q653" s="8"/>
      <c r="R653" s="8"/>
      <c r="S653" s="8"/>
      <c r="T653" s="8"/>
      <c r="U653" s="8"/>
      <c r="V653" s="8"/>
      <c r="W653" s="8"/>
      <c r="X653" s="8"/>
      <c r="Y653" s="8"/>
    </row>
    <row r="654" spans="1:25" ht="16.5" customHeight="1" x14ac:dyDescent="0.2">
      <c r="A654" s="8"/>
      <c r="B654" s="8"/>
      <c r="C654" s="8"/>
      <c r="D654" s="8"/>
      <c r="E654" s="8"/>
      <c r="F654" s="8"/>
      <c r="G654" s="8"/>
      <c r="H654" s="8"/>
      <c r="I654" s="8"/>
      <c r="J654" s="8"/>
      <c r="K654" s="8"/>
      <c r="L654" s="8"/>
      <c r="M654" s="8"/>
      <c r="N654" s="8"/>
      <c r="O654" s="8"/>
      <c r="P654" s="8"/>
      <c r="Q654" s="8"/>
      <c r="R654" s="8"/>
      <c r="S654" s="8"/>
      <c r="T654" s="8"/>
      <c r="U654" s="8"/>
      <c r="V654" s="8"/>
      <c r="W654" s="8"/>
      <c r="X654" s="8"/>
      <c r="Y654" s="8"/>
    </row>
    <row r="655" spans="1:25" ht="16.5" customHeight="1" x14ac:dyDescent="0.2">
      <c r="A655" s="8"/>
      <c r="B655" s="8"/>
      <c r="C655" s="8"/>
      <c r="D655" s="8"/>
      <c r="E655" s="8"/>
      <c r="F655" s="8"/>
      <c r="G655" s="8"/>
      <c r="H655" s="8"/>
      <c r="I655" s="8"/>
      <c r="J655" s="8"/>
      <c r="K655" s="8"/>
      <c r="L655" s="8"/>
      <c r="M655" s="8"/>
      <c r="N655" s="8"/>
      <c r="O655" s="8"/>
      <c r="P655" s="8"/>
      <c r="Q655" s="8"/>
      <c r="R655" s="8"/>
      <c r="S655" s="8"/>
      <c r="T655" s="8"/>
      <c r="U655" s="8"/>
      <c r="V655" s="8"/>
      <c r="W655" s="8"/>
      <c r="X655" s="8"/>
      <c r="Y655" s="8"/>
    </row>
    <row r="656" spans="1:25" ht="16.5" customHeight="1" x14ac:dyDescent="0.2">
      <c r="A656" s="8"/>
      <c r="B656" s="8"/>
      <c r="C656" s="8"/>
      <c r="D656" s="8"/>
      <c r="E656" s="8"/>
      <c r="F656" s="8"/>
      <c r="G656" s="8"/>
      <c r="H656" s="8"/>
      <c r="I656" s="8"/>
      <c r="J656" s="8"/>
      <c r="K656" s="8"/>
      <c r="L656" s="8"/>
      <c r="M656" s="8"/>
      <c r="N656" s="8"/>
      <c r="O656" s="8"/>
      <c r="P656" s="8"/>
      <c r="Q656" s="8"/>
      <c r="R656" s="8"/>
      <c r="S656" s="8"/>
      <c r="T656" s="8"/>
      <c r="U656" s="8"/>
      <c r="V656" s="8"/>
      <c r="W656" s="8"/>
      <c r="X656" s="8"/>
      <c r="Y656" s="8"/>
    </row>
    <row r="657" spans="1:25" ht="16.5" customHeight="1" x14ac:dyDescent="0.2">
      <c r="A657" s="8"/>
      <c r="B657" s="8"/>
      <c r="C657" s="8"/>
      <c r="D657" s="8"/>
      <c r="E657" s="8"/>
      <c r="F657" s="8"/>
      <c r="G657" s="8"/>
      <c r="H657" s="8"/>
      <c r="I657" s="8"/>
      <c r="J657" s="8"/>
      <c r="K657" s="8"/>
      <c r="L657" s="8"/>
      <c r="M657" s="8"/>
      <c r="N657" s="8"/>
      <c r="O657" s="8"/>
      <c r="P657" s="8"/>
      <c r="Q657" s="8"/>
      <c r="R657" s="8"/>
      <c r="S657" s="8"/>
      <c r="T657" s="8"/>
      <c r="U657" s="8"/>
      <c r="V657" s="8"/>
      <c r="W657" s="8"/>
      <c r="X657" s="8"/>
      <c r="Y657" s="8"/>
    </row>
    <row r="658" spans="1:25" ht="16.5" customHeight="1" x14ac:dyDescent="0.2">
      <c r="A658" s="8"/>
      <c r="B658" s="8"/>
      <c r="C658" s="8"/>
      <c r="D658" s="8"/>
      <c r="E658" s="8"/>
      <c r="F658" s="8"/>
      <c r="G658" s="8"/>
      <c r="H658" s="8"/>
      <c r="I658" s="8"/>
      <c r="J658" s="8"/>
      <c r="K658" s="8"/>
      <c r="L658" s="8"/>
      <c r="M658" s="8"/>
      <c r="N658" s="8"/>
      <c r="O658" s="8"/>
      <c r="P658" s="8"/>
      <c r="Q658" s="8"/>
      <c r="R658" s="8"/>
      <c r="S658" s="8"/>
      <c r="T658" s="8"/>
      <c r="U658" s="8"/>
      <c r="V658" s="8"/>
      <c r="W658" s="8"/>
      <c r="X658" s="8"/>
      <c r="Y658" s="8"/>
    </row>
    <row r="659" spans="1:25" ht="16.5" customHeight="1" x14ac:dyDescent="0.2">
      <c r="A659" s="8"/>
      <c r="B659" s="8"/>
      <c r="C659" s="8"/>
      <c r="D659" s="8"/>
      <c r="E659" s="8"/>
      <c r="F659" s="8"/>
      <c r="G659" s="8"/>
      <c r="H659" s="8"/>
      <c r="I659" s="8"/>
      <c r="J659" s="8"/>
      <c r="K659" s="8"/>
      <c r="L659" s="8"/>
      <c r="M659" s="8"/>
      <c r="N659" s="8"/>
      <c r="O659" s="8"/>
      <c r="P659" s="8"/>
      <c r="Q659" s="8"/>
      <c r="R659" s="8"/>
      <c r="S659" s="8"/>
      <c r="T659" s="8"/>
      <c r="U659" s="8"/>
      <c r="V659" s="8"/>
      <c r="W659" s="8"/>
      <c r="X659" s="8"/>
      <c r="Y659" s="8"/>
    </row>
    <row r="660" spans="1:25" ht="16.5" customHeight="1" x14ac:dyDescent="0.2">
      <c r="A660" s="8"/>
      <c r="B660" s="8"/>
      <c r="C660" s="8"/>
      <c r="D660" s="8"/>
      <c r="E660" s="8"/>
      <c r="F660" s="8"/>
      <c r="G660" s="8"/>
      <c r="H660" s="8"/>
      <c r="I660" s="8"/>
      <c r="J660" s="8"/>
      <c r="K660" s="8"/>
      <c r="L660" s="8"/>
      <c r="M660" s="8"/>
      <c r="N660" s="8"/>
      <c r="O660" s="8"/>
      <c r="P660" s="8"/>
      <c r="Q660" s="8"/>
      <c r="R660" s="8"/>
      <c r="S660" s="8"/>
      <c r="T660" s="8"/>
      <c r="U660" s="8"/>
      <c r="V660" s="8"/>
      <c r="W660" s="8"/>
      <c r="X660" s="8"/>
      <c r="Y660" s="8"/>
    </row>
    <row r="661" spans="1:25" ht="16.5" customHeight="1" x14ac:dyDescent="0.2">
      <c r="A661" s="8"/>
      <c r="B661" s="8"/>
      <c r="C661" s="8"/>
      <c r="D661" s="8"/>
      <c r="E661" s="8"/>
      <c r="F661" s="8"/>
      <c r="G661" s="8"/>
      <c r="H661" s="8"/>
      <c r="I661" s="8"/>
      <c r="J661" s="8"/>
      <c r="K661" s="8"/>
      <c r="L661" s="8"/>
      <c r="M661" s="8"/>
      <c r="N661" s="8"/>
      <c r="O661" s="8"/>
      <c r="P661" s="8"/>
      <c r="Q661" s="8"/>
      <c r="R661" s="8"/>
      <c r="S661" s="8"/>
      <c r="T661" s="8"/>
      <c r="U661" s="8"/>
      <c r="V661" s="8"/>
      <c r="W661" s="8"/>
      <c r="X661" s="8"/>
      <c r="Y661" s="8"/>
    </row>
    <row r="662" spans="1:25" ht="16.5" customHeight="1" x14ac:dyDescent="0.2">
      <c r="A662" s="8"/>
      <c r="B662" s="8"/>
      <c r="C662" s="8"/>
      <c r="D662" s="8"/>
      <c r="E662" s="8"/>
      <c r="F662" s="8"/>
      <c r="G662" s="8"/>
      <c r="H662" s="8"/>
      <c r="I662" s="8"/>
      <c r="J662" s="8"/>
      <c r="K662" s="8"/>
      <c r="L662" s="8"/>
      <c r="M662" s="8"/>
      <c r="N662" s="8"/>
      <c r="O662" s="8"/>
      <c r="P662" s="8"/>
      <c r="Q662" s="8"/>
      <c r="R662" s="8"/>
      <c r="S662" s="8"/>
      <c r="T662" s="8"/>
      <c r="U662" s="8"/>
      <c r="V662" s="8"/>
      <c r="W662" s="8"/>
      <c r="X662" s="8"/>
      <c r="Y662" s="8"/>
    </row>
    <row r="663" spans="1:25" ht="16.5" customHeight="1" x14ac:dyDescent="0.2">
      <c r="A663" s="8"/>
      <c r="B663" s="8"/>
      <c r="C663" s="8"/>
      <c r="D663" s="8"/>
      <c r="E663" s="8"/>
      <c r="F663" s="8"/>
      <c r="G663" s="8"/>
      <c r="H663" s="8"/>
      <c r="I663" s="8"/>
      <c r="J663" s="8"/>
      <c r="K663" s="8"/>
      <c r="L663" s="8"/>
      <c r="M663" s="8"/>
      <c r="N663" s="8"/>
      <c r="O663" s="8"/>
      <c r="P663" s="8"/>
      <c r="Q663" s="8"/>
      <c r="R663" s="8"/>
      <c r="S663" s="8"/>
      <c r="T663" s="8"/>
      <c r="U663" s="8"/>
      <c r="V663" s="8"/>
      <c r="W663" s="8"/>
      <c r="X663" s="8"/>
      <c r="Y663" s="8"/>
    </row>
    <row r="664" spans="1:25" ht="16.5" customHeight="1" x14ac:dyDescent="0.2">
      <c r="A664" s="8"/>
      <c r="B664" s="8"/>
      <c r="C664" s="8"/>
      <c r="D664" s="8"/>
      <c r="E664" s="8"/>
      <c r="F664" s="8"/>
      <c r="G664" s="8"/>
      <c r="H664" s="8"/>
      <c r="I664" s="8"/>
      <c r="J664" s="8"/>
      <c r="K664" s="8"/>
      <c r="L664" s="8"/>
      <c r="M664" s="8"/>
      <c r="N664" s="8"/>
      <c r="O664" s="8"/>
      <c r="P664" s="8"/>
      <c r="Q664" s="8"/>
      <c r="R664" s="8"/>
      <c r="S664" s="8"/>
      <c r="T664" s="8"/>
      <c r="U664" s="8"/>
      <c r="V664" s="8"/>
      <c r="W664" s="8"/>
      <c r="X664" s="8"/>
      <c r="Y664" s="8"/>
    </row>
    <row r="665" spans="1:25" ht="16.5" customHeight="1" x14ac:dyDescent="0.2">
      <c r="A665" s="8"/>
      <c r="B665" s="8"/>
      <c r="C665" s="8"/>
      <c r="D665" s="8"/>
      <c r="E665" s="8"/>
      <c r="F665" s="8"/>
      <c r="G665" s="8"/>
      <c r="H665" s="8"/>
      <c r="I665" s="8"/>
      <c r="J665" s="8"/>
      <c r="K665" s="8"/>
      <c r="L665" s="8"/>
      <c r="M665" s="8"/>
      <c r="N665" s="8"/>
      <c r="O665" s="8"/>
      <c r="P665" s="8"/>
      <c r="Q665" s="8"/>
      <c r="R665" s="8"/>
      <c r="S665" s="8"/>
      <c r="T665" s="8"/>
      <c r="U665" s="8"/>
      <c r="V665" s="8"/>
      <c r="W665" s="8"/>
      <c r="X665" s="8"/>
      <c r="Y665" s="8"/>
    </row>
    <row r="666" spans="1:25" ht="16.5" customHeight="1" x14ac:dyDescent="0.2">
      <c r="A666" s="8"/>
      <c r="B666" s="8"/>
      <c r="C666" s="8"/>
      <c r="D666" s="8"/>
      <c r="E666" s="8"/>
      <c r="F666" s="8"/>
      <c r="G666" s="8"/>
      <c r="H666" s="8"/>
      <c r="I666" s="8"/>
      <c r="J666" s="8"/>
      <c r="K666" s="8"/>
      <c r="L666" s="8"/>
      <c r="M666" s="8"/>
      <c r="N666" s="8"/>
      <c r="O666" s="8"/>
      <c r="P666" s="8"/>
      <c r="Q666" s="8"/>
      <c r="R666" s="8"/>
      <c r="S666" s="8"/>
      <c r="T666" s="8"/>
      <c r="U666" s="8"/>
      <c r="V666" s="8"/>
      <c r="W666" s="8"/>
      <c r="X666" s="8"/>
      <c r="Y666" s="8"/>
    </row>
    <row r="667" spans="1:25" ht="16.5" customHeight="1" x14ac:dyDescent="0.2">
      <c r="A667" s="8"/>
      <c r="B667" s="8"/>
      <c r="C667" s="8"/>
      <c r="D667" s="8"/>
      <c r="E667" s="8"/>
      <c r="F667" s="8"/>
      <c r="G667" s="8"/>
      <c r="H667" s="8"/>
      <c r="I667" s="8"/>
      <c r="J667" s="8"/>
      <c r="K667" s="8"/>
      <c r="L667" s="8"/>
      <c r="M667" s="8"/>
      <c r="N667" s="8"/>
      <c r="O667" s="8"/>
      <c r="P667" s="8"/>
      <c r="Q667" s="8"/>
      <c r="R667" s="8"/>
      <c r="S667" s="8"/>
      <c r="T667" s="8"/>
      <c r="U667" s="8"/>
      <c r="V667" s="8"/>
      <c r="W667" s="8"/>
      <c r="X667" s="8"/>
      <c r="Y667" s="8"/>
    </row>
    <row r="668" spans="1:25" ht="16.5" customHeight="1" x14ac:dyDescent="0.2">
      <c r="A668" s="8"/>
      <c r="B668" s="8"/>
      <c r="C668" s="8"/>
      <c r="D668" s="8"/>
      <c r="E668" s="8"/>
      <c r="F668" s="8"/>
      <c r="G668" s="8"/>
      <c r="H668" s="8"/>
      <c r="I668" s="8"/>
      <c r="J668" s="8"/>
      <c r="K668" s="8"/>
      <c r="L668" s="8"/>
      <c r="M668" s="8"/>
      <c r="N668" s="8"/>
      <c r="O668" s="8"/>
      <c r="P668" s="8"/>
      <c r="Q668" s="8"/>
      <c r="R668" s="8"/>
      <c r="S668" s="8"/>
      <c r="T668" s="8"/>
      <c r="U668" s="8"/>
      <c r="V668" s="8"/>
      <c r="W668" s="8"/>
      <c r="X668" s="8"/>
      <c r="Y668" s="8"/>
    </row>
    <row r="669" spans="1:25" ht="16.5" customHeight="1" x14ac:dyDescent="0.2">
      <c r="A669" s="8"/>
      <c r="B669" s="8"/>
      <c r="C669" s="8"/>
      <c r="D669" s="8"/>
      <c r="E669" s="8"/>
      <c r="F669" s="8"/>
      <c r="G669" s="8"/>
      <c r="H669" s="8"/>
      <c r="I669" s="8"/>
      <c r="J669" s="8"/>
      <c r="K669" s="8"/>
      <c r="L669" s="8"/>
      <c r="M669" s="8"/>
      <c r="N669" s="8"/>
      <c r="O669" s="8"/>
      <c r="P669" s="8"/>
      <c r="Q669" s="8"/>
      <c r="R669" s="8"/>
      <c r="S669" s="8"/>
      <c r="T669" s="8"/>
      <c r="U669" s="8"/>
      <c r="V669" s="8"/>
      <c r="W669" s="8"/>
      <c r="X669" s="8"/>
      <c r="Y669" s="8"/>
    </row>
    <row r="670" spans="1:25" ht="16.5" customHeight="1" x14ac:dyDescent="0.2">
      <c r="A670" s="8"/>
      <c r="B670" s="8"/>
      <c r="C670" s="8"/>
      <c r="D670" s="8"/>
      <c r="E670" s="8"/>
      <c r="F670" s="8"/>
      <c r="G670" s="8"/>
      <c r="H670" s="8"/>
      <c r="I670" s="8"/>
      <c r="J670" s="8"/>
      <c r="K670" s="8"/>
      <c r="L670" s="8"/>
      <c r="M670" s="8"/>
      <c r="N670" s="8"/>
      <c r="O670" s="8"/>
      <c r="P670" s="8"/>
      <c r="Q670" s="8"/>
      <c r="R670" s="8"/>
      <c r="S670" s="8"/>
      <c r="T670" s="8"/>
      <c r="U670" s="8"/>
      <c r="V670" s="8"/>
      <c r="W670" s="8"/>
      <c r="X670" s="8"/>
      <c r="Y670" s="8"/>
    </row>
    <row r="671" spans="1:25" ht="16.5" customHeight="1" x14ac:dyDescent="0.2">
      <c r="A671" s="8"/>
      <c r="B671" s="8"/>
      <c r="C671" s="8"/>
      <c r="D671" s="8"/>
      <c r="E671" s="8"/>
      <c r="F671" s="8"/>
      <c r="G671" s="8"/>
      <c r="H671" s="8"/>
      <c r="I671" s="8"/>
      <c r="J671" s="8"/>
      <c r="K671" s="8"/>
      <c r="L671" s="8"/>
      <c r="M671" s="8"/>
      <c r="N671" s="8"/>
      <c r="O671" s="8"/>
      <c r="P671" s="8"/>
      <c r="Q671" s="8"/>
      <c r="R671" s="8"/>
      <c r="S671" s="8"/>
      <c r="T671" s="8"/>
      <c r="U671" s="8"/>
      <c r="V671" s="8"/>
      <c r="W671" s="8"/>
      <c r="X671" s="8"/>
      <c r="Y671" s="8"/>
    </row>
    <row r="672" spans="1:25" ht="16.5" customHeight="1" x14ac:dyDescent="0.2">
      <c r="A672" s="8"/>
      <c r="B672" s="8"/>
      <c r="C672" s="8"/>
      <c r="D672" s="8"/>
      <c r="E672" s="8"/>
      <c r="F672" s="8"/>
      <c r="G672" s="8"/>
      <c r="H672" s="8"/>
      <c r="I672" s="8"/>
      <c r="J672" s="8"/>
      <c r="K672" s="8"/>
      <c r="L672" s="8"/>
      <c r="M672" s="8"/>
      <c r="N672" s="8"/>
      <c r="O672" s="8"/>
      <c r="P672" s="8"/>
      <c r="Q672" s="8"/>
      <c r="R672" s="8"/>
      <c r="S672" s="8"/>
      <c r="T672" s="8"/>
      <c r="U672" s="8"/>
      <c r="V672" s="8"/>
      <c r="W672" s="8"/>
      <c r="X672" s="8"/>
      <c r="Y672" s="8"/>
    </row>
    <row r="673" spans="1:25" ht="16.5" customHeight="1" x14ac:dyDescent="0.2">
      <c r="A673" s="8"/>
      <c r="B673" s="8"/>
      <c r="C673" s="8"/>
      <c r="D673" s="8"/>
      <c r="E673" s="8"/>
      <c r="F673" s="8"/>
      <c r="G673" s="8"/>
      <c r="H673" s="8"/>
      <c r="I673" s="8"/>
      <c r="J673" s="8"/>
      <c r="K673" s="8"/>
      <c r="L673" s="8"/>
      <c r="M673" s="8"/>
      <c r="N673" s="8"/>
      <c r="O673" s="8"/>
      <c r="P673" s="8"/>
      <c r="Q673" s="8"/>
      <c r="R673" s="8"/>
      <c r="S673" s="8"/>
      <c r="T673" s="8"/>
      <c r="U673" s="8"/>
      <c r="V673" s="8"/>
      <c r="W673" s="8"/>
      <c r="X673" s="8"/>
      <c r="Y673" s="8"/>
    </row>
    <row r="674" spans="1:25" ht="16.5" customHeight="1" x14ac:dyDescent="0.2">
      <c r="A674" s="8"/>
      <c r="B674" s="8"/>
      <c r="C674" s="8"/>
      <c r="D674" s="8"/>
      <c r="E674" s="8"/>
      <c r="F674" s="8"/>
      <c r="G674" s="8"/>
      <c r="H674" s="8"/>
      <c r="I674" s="8"/>
      <c r="J674" s="8"/>
      <c r="K674" s="8"/>
      <c r="L674" s="8"/>
      <c r="M674" s="8"/>
      <c r="N674" s="8"/>
      <c r="O674" s="8"/>
      <c r="P674" s="8"/>
      <c r="Q674" s="8"/>
      <c r="R674" s="8"/>
      <c r="S674" s="8"/>
      <c r="T674" s="8"/>
      <c r="U674" s="8"/>
      <c r="V674" s="8"/>
      <c r="W674" s="8"/>
      <c r="X674" s="8"/>
      <c r="Y674" s="8"/>
    </row>
    <row r="675" spans="1:25" ht="16.5" customHeight="1" x14ac:dyDescent="0.2">
      <c r="A675" s="8"/>
      <c r="B675" s="8"/>
      <c r="C675" s="8"/>
      <c r="D675" s="8"/>
      <c r="E675" s="8"/>
      <c r="F675" s="8"/>
      <c r="G675" s="8"/>
      <c r="H675" s="8"/>
      <c r="I675" s="8"/>
      <c r="J675" s="8"/>
      <c r="K675" s="8"/>
      <c r="L675" s="8"/>
      <c r="M675" s="8"/>
      <c r="N675" s="8"/>
      <c r="O675" s="8"/>
      <c r="P675" s="8"/>
      <c r="Q675" s="8"/>
      <c r="R675" s="8"/>
      <c r="S675" s="8"/>
      <c r="T675" s="8"/>
      <c r="U675" s="8"/>
      <c r="V675" s="8"/>
      <c r="W675" s="8"/>
      <c r="X675" s="8"/>
      <c r="Y675" s="8"/>
    </row>
    <row r="676" spans="1:25" ht="16.5" customHeight="1" x14ac:dyDescent="0.2">
      <c r="A676" s="8"/>
      <c r="B676" s="8"/>
      <c r="C676" s="8"/>
      <c r="D676" s="8"/>
      <c r="E676" s="8"/>
      <c r="F676" s="8"/>
      <c r="G676" s="8"/>
      <c r="H676" s="8"/>
      <c r="I676" s="8"/>
      <c r="J676" s="8"/>
      <c r="K676" s="8"/>
      <c r="L676" s="8"/>
      <c r="M676" s="8"/>
      <c r="N676" s="8"/>
      <c r="O676" s="8"/>
      <c r="P676" s="8"/>
      <c r="Q676" s="8"/>
      <c r="R676" s="8"/>
      <c r="S676" s="8"/>
      <c r="T676" s="8"/>
      <c r="U676" s="8"/>
      <c r="V676" s="8"/>
      <c r="W676" s="8"/>
      <c r="X676" s="8"/>
      <c r="Y676" s="8"/>
    </row>
    <row r="677" spans="1:25" ht="16.5" customHeight="1" x14ac:dyDescent="0.2">
      <c r="A677" s="8"/>
      <c r="B677" s="8"/>
      <c r="C677" s="8"/>
      <c r="D677" s="8"/>
      <c r="E677" s="8"/>
      <c r="F677" s="8"/>
      <c r="G677" s="8"/>
      <c r="H677" s="8"/>
      <c r="I677" s="8"/>
      <c r="J677" s="8"/>
      <c r="K677" s="8"/>
      <c r="L677" s="8"/>
      <c r="M677" s="8"/>
      <c r="N677" s="8"/>
      <c r="O677" s="8"/>
      <c r="P677" s="8"/>
      <c r="Q677" s="8"/>
      <c r="R677" s="8"/>
      <c r="S677" s="8"/>
      <c r="T677" s="8"/>
      <c r="U677" s="8"/>
      <c r="V677" s="8"/>
      <c r="W677" s="8"/>
      <c r="X677" s="8"/>
      <c r="Y677" s="8"/>
    </row>
    <row r="678" spans="1:25" ht="16.5" customHeight="1" x14ac:dyDescent="0.2">
      <c r="A678" s="8"/>
      <c r="B678" s="8"/>
      <c r="C678" s="8"/>
      <c r="D678" s="8"/>
      <c r="E678" s="8"/>
      <c r="F678" s="8"/>
      <c r="G678" s="8"/>
      <c r="H678" s="8"/>
      <c r="I678" s="8"/>
      <c r="J678" s="8"/>
      <c r="K678" s="8"/>
      <c r="L678" s="8"/>
      <c r="M678" s="8"/>
      <c r="N678" s="8"/>
      <c r="O678" s="8"/>
      <c r="P678" s="8"/>
      <c r="Q678" s="8"/>
      <c r="R678" s="8"/>
      <c r="S678" s="8"/>
      <c r="T678" s="8"/>
      <c r="U678" s="8"/>
      <c r="V678" s="8"/>
      <c r="W678" s="8"/>
      <c r="X678" s="8"/>
      <c r="Y678" s="8"/>
    </row>
    <row r="679" spans="1:25" ht="16.5" customHeight="1" x14ac:dyDescent="0.2">
      <c r="A679" s="8"/>
      <c r="B679" s="8"/>
      <c r="C679" s="8"/>
      <c r="D679" s="8"/>
      <c r="E679" s="8"/>
      <c r="F679" s="8"/>
      <c r="G679" s="8"/>
      <c r="H679" s="8"/>
      <c r="I679" s="8"/>
      <c r="J679" s="8"/>
      <c r="K679" s="8"/>
      <c r="L679" s="8"/>
      <c r="M679" s="8"/>
      <c r="N679" s="8"/>
      <c r="O679" s="8"/>
      <c r="P679" s="8"/>
      <c r="Q679" s="8"/>
      <c r="R679" s="8"/>
      <c r="S679" s="8"/>
      <c r="T679" s="8"/>
      <c r="U679" s="8"/>
      <c r="V679" s="8"/>
      <c r="W679" s="8"/>
      <c r="X679" s="8"/>
      <c r="Y679" s="8"/>
    </row>
    <row r="680" spans="1:25" ht="16.5" customHeight="1" x14ac:dyDescent="0.2">
      <c r="A680" s="8"/>
      <c r="B680" s="8"/>
      <c r="C680" s="8"/>
      <c r="D680" s="8"/>
      <c r="E680" s="8"/>
      <c r="F680" s="8"/>
      <c r="G680" s="8"/>
      <c r="H680" s="8"/>
      <c r="I680" s="8"/>
      <c r="J680" s="8"/>
      <c r="K680" s="8"/>
      <c r="L680" s="8"/>
      <c r="M680" s="8"/>
      <c r="N680" s="8"/>
      <c r="O680" s="8"/>
      <c r="P680" s="8"/>
      <c r="Q680" s="8"/>
      <c r="R680" s="8"/>
      <c r="S680" s="8"/>
      <c r="T680" s="8"/>
      <c r="U680" s="8"/>
      <c r="V680" s="8"/>
      <c r="W680" s="8"/>
      <c r="X680" s="8"/>
      <c r="Y680" s="8"/>
    </row>
    <row r="681" spans="1:25" ht="16.5" customHeight="1" x14ac:dyDescent="0.2">
      <c r="A681" s="8"/>
      <c r="B681" s="8"/>
      <c r="C681" s="8"/>
      <c r="D681" s="8"/>
      <c r="E681" s="8"/>
      <c r="F681" s="8"/>
      <c r="G681" s="8"/>
      <c r="H681" s="8"/>
      <c r="I681" s="8"/>
      <c r="J681" s="8"/>
      <c r="K681" s="8"/>
      <c r="L681" s="8"/>
      <c r="M681" s="8"/>
      <c r="N681" s="8"/>
      <c r="O681" s="8"/>
      <c r="P681" s="8"/>
      <c r="Q681" s="8"/>
      <c r="R681" s="8"/>
      <c r="S681" s="8"/>
      <c r="T681" s="8"/>
      <c r="U681" s="8"/>
      <c r="V681" s="8"/>
      <c r="W681" s="8"/>
      <c r="X681" s="8"/>
      <c r="Y681" s="8"/>
    </row>
    <row r="682" spans="1:25" ht="16.5" customHeight="1" x14ac:dyDescent="0.2">
      <c r="A682" s="8"/>
      <c r="B682" s="8"/>
      <c r="C682" s="8"/>
      <c r="D682" s="8"/>
      <c r="E682" s="8"/>
      <c r="F682" s="8"/>
      <c r="G682" s="8"/>
      <c r="H682" s="8"/>
      <c r="I682" s="8"/>
      <c r="J682" s="8"/>
      <c r="K682" s="8"/>
      <c r="L682" s="8"/>
      <c r="M682" s="8"/>
      <c r="N682" s="8"/>
      <c r="O682" s="8"/>
      <c r="P682" s="8"/>
      <c r="Q682" s="8"/>
      <c r="R682" s="8"/>
      <c r="S682" s="8"/>
      <c r="T682" s="8"/>
      <c r="U682" s="8"/>
      <c r="V682" s="8"/>
      <c r="W682" s="8"/>
      <c r="X682" s="8"/>
      <c r="Y682" s="8"/>
    </row>
    <row r="683" spans="1:25" ht="16.5" customHeight="1" x14ac:dyDescent="0.2">
      <c r="A683" s="8"/>
      <c r="B683" s="8"/>
      <c r="C683" s="8"/>
      <c r="D683" s="8"/>
      <c r="E683" s="8"/>
      <c r="F683" s="8"/>
      <c r="G683" s="8"/>
      <c r="H683" s="8"/>
      <c r="I683" s="8"/>
      <c r="J683" s="8"/>
      <c r="K683" s="8"/>
      <c r="L683" s="8"/>
      <c r="M683" s="8"/>
      <c r="N683" s="8"/>
      <c r="O683" s="8"/>
      <c r="P683" s="8"/>
      <c r="Q683" s="8"/>
      <c r="R683" s="8"/>
      <c r="S683" s="8"/>
      <c r="T683" s="8"/>
      <c r="U683" s="8"/>
      <c r="V683" s="8"/>
      <c r="W683" s="8"/>
      <c r="X683" s="8"/>
      <c r="Y683" s="8"/>
    </row>
    <row r="684" spans="1:25" ht="16.5" customHeight="1" x14ac:dyDescent="0.2">
      <c r="A684" s="8"/>
      <c r="B684" s="8"/>
      <c r="C684" s="8"/>
      <c r="D684" s="8"/>
      <c r="E684" s="8"/>
      <c r="F684" s="8"/>
      <c r="G684" s="8"/>
      <c r="H684" s="8"/>
      <c r="I684" s="8"/>
      <c r="J684" s="8"/>
      <c r="K684" s="8"/>
      <c r="L684" s="8"/>
      <c r="M684" s="8"/>
      <c r="N684" s="8"/>
      <c r="O684" s="8"/>
      <c r="P684" s="8"/>
      <c r="Q684" s="8"/>
      <c r="R684" s="8"/>
      <c r="S684" s="8"/>
      <c r="T684" s="8"/>
      <c r="U684" s="8"/>
      <c r="V684" s="8"/>
      <c r="W684" s="8"/>
      <c r="X684" s="8"/>
      <c r="Y684" s="8"/>
    </row>
    <row r="685" spans="1:25" ht="16.5" customHeight="1" x14ac:dyDescent="0.2">
      <c r="A685" s="8"/>
      <c r="B685" s="8"/>
      <c r="C685" s="8"/>
      <c r="D685" s="8"/>
      <c r="E685" s="8"/>
      <c r="F685" s="8"/>
      <c r="G685" s="8"/>
      <c r="H685" s="8"/>
      <c r="I685" s="8"/>
      <c r="J685" s="8"/>
      <c r="K685" s="8"/>
      <c r="L685" s="8"/>
      <c r="M685" s="8"/>
      <c r="N685" s="8"/>
      <c r="O685" s="8"/>
      <c r="P685" s="8"/>
      <c r="Q685" s="8"/>
      <c r="R685" s="8"/>
      <c r="S685" s="8"/>
      <c r="T685" s="8"/>
      <c r="U685" s="8"/>
      <c r="V685" s="8"/>
      <c r="W685" s="8"/>
      <c r="X685" s="8"/>
      <c r="Y685" s="8"/>
    </row>
    <row r="686" spans="1:25" ht="16.5" customHeight="1" x14ac:dyDescent="0.2">
      <c r="A686" s="8"/>
      <c r="B686" s="8"/>
      <c r="C686" s="8"/>
      <c r="D686" s="8"/>
      <c r="E686" s="8"/>
      <c r="F686" s="8"/>
      <c r="G686" s="8"/>
      <c r="H686" s="8"/>
      <c r="I686" s="8"/>
      <c r="J686" s="8"/>
      <c r="K686" s="8"/>
      <c r="L686" s="8"/>
      <c r="M686" s="8"/>
      <c r="N686" s="8"/>
      <c r="O686" s="8"/>
      <c r="P686" s="8"/>
      <c r="Q686" s="8"/>
      <c r="R686" s="8"/>
      <c r="S686" s="8"/>
      <c r="T686" s="8"/>
      <c r="U686" s="8"/>
      <c r="V686" s="8"/>
      <c r="W686" s="8"/>
      <c r="X686" s="8"/>
      <c r="Y686" s="8"/>
    </row>
    <row r="687" spans="1:25" ht="16.5" customHeight="1" x14ac:dyDescent="0.2">
      <c r="A687" s="8"/>
      <c r="B687" s="8"/>
      <c r="C687" s="8"/>
      <c r="D687" s="8"/>
      <c r="E687" s="8"/>
      <c r="F687" s="8"/>
      <c r="G687" s="8"/>
      <c r="H687" s="8"/>
      <c r="I687" s="8"/>
      <c r="J687" s="8"/>
      <c r="K687" s="8"/>
      <c r="L687" s="8"/>
      <c r="M687" s="8"/>
      <c r="N687" s="8"/>
      <c r="O687" s="8"/>
      <c r="P687" s="8"/>
      <c r="Q687" s="8"/>
      <c r="R687" s="8"/>
      <c r="S687" s="8"/>
      <c r="T687" s="8"/>
      <c r="U687" s="8"/>
      <c r="V687" s="8"/>
      <c r="W687" s="8"/>
      <c r="X687" s="8"/>
      <c r="Y687" s="8"/>
    </row>
    <row r="688" spans="1:25" ht="16.5" customHeight="1" x14ac:dyDescent="0.2">
      <c r="A688" s="8"/>
      <c r="B688" s="8"/>
      <c r="C688" s="8"/>
      <c r="D688" s="8"/>
      <c r="E688" s="8"/>
      <c r="F688" s="8"/>
      <c r="G688" s="8"/>
      <c r="H688" s="8"/>
      <c r="I688" s="8"/>
      <c r="J688" s="8"/>
      <c r="K688" s="8"/>
      <c r="L688" s="8"/>
      <c r="M688" s="8"/>
      <c r="N688" s="8"/>
      <c r="O688" s="8"/>
      <c r="P688" s="8"/>
      <c r="Q688" s="8"/>
      <c r="R688" s="8"/>
      <c r="S688" s="8"/>
      <c r="T688" s="8"/>
      <c r="U688" s="8"/>
      <c r="V688" s="8"/>
      <c r="W688" s="8"/>
      <c r="X688" s="8"/>
      <c r="Y688" s="8"/>
    </row>
    <row r="689" spans="1:25" ht="16.5" customHeight="1" x14ac:dyDescent="0.2">
      <c r="A689" s="8"/>
      <c r="B689" s="8"/>
      <c r="C689" s="8"/>
      <c r="D689" s="8"/>
      <c r="E689" s="8"/>
      <c r="F689" s="8"/>
      <c r="G689" s="8"/>
      <c r="H689" s="8"/>
      <c r="I689" s="8"/>
      <c r="J689" s="8"/>
      <c r="K689" s="8"/>
      <c r="L689" s="8"/>
      <c r="M689" s="8"/>
      <c r="N689" s="8"/>
      <c r="O689" s="8"/>
      <c r="P689" s="8"/>
      <c r="Q689" s="8"/>
      <c r="R689" s="8"/>
      <c r="S689" s="8"/>
      <c r="T689" s="8"/>
      <c r="U689" s="8"/>
      <c r="V689" s="8"/>
      <c r="W689" s="8"/>
      <c r="X689" s="8"/>
      <c r="Y689" s="8"/>
    </row>
    <row r="690" spans="1:25" ht="16.5" customHeight="1" x14ac:dyDescent="0.2">
      <c r="A690" s="8"/>
      <c r="B690" s="8"/>
      <c r="C690" s="8"/>
      <c r="D690" s="8"/>
      <c r="E690" s="8"/>
      <c r="F690" s="8"/>
      <c r="G690" s="8"/>
      <c r="H690" s="8"/>
      <c r="I690" s="8"/>
      <c r="J690" s="8"/>
      <c r="K690" s="8"/>
      <c r="L690" s="8"/>
      <c r="M690" s="8"/>
      <c r="N690" s="8"/>
      <c r="O690" s="8"/>
      <c r="P690" s="8"/>
      <c r="Q690" s="8"/>
      <c r="R690" s="8"/>
      <c r="S690" s="8"/>
      <c r="T690" s="8"/>
      <c r="U690" s="8"/>
      <c r="V690" s="8"/>
      <c r="W690" s="8"/>
      <c r="X690" s="8"/>
      <c r="Y690" s="8"/>
    </row>
    <row r="691" spans="1:25" ht="16.5" customHeight="1" x14ac:dyDescent="0.2">
      <c r="A691" s="8"/>
      <c r="B691" s="8"/>
      <c r="C691" s="8"/>
      <c r="D691" s="8"/>
      <c r="E691" s="8"/>
      <c r="F691" s="8"/>
      <c r="G691" s="8"/>
      <c r="H691" s="8"/>
      <c r="I691" s="8"/>
      <c r="J691" s="8"/>
      <c r="K691" s="8"/>
      <c r="L691" s="8"/>
      <c r="M691" s="8"/>
      <c r="N691" s="8"/>
      <c r="O691" s="8"/>
      <c r="P691" s="8"/>
      <c r="Q691" s="8"/>
      <c r="R691" s="8"/>
      <c r="S691" s="8"/>
      <c r="T691" s="8"/>
      <c r="U691" s="8"/>
      <c r="V691" s="8"/>
      <c r="W691" s="8"/>
      <c r="X691" s="8"/>
      <c r="Y691" s="8"/>
    </row>
    <row r="692" spans="1:25" ht="16.5" customHeight="1" x14ac:dyDescent="0.2">
      <c r="A692" s="8"/>
      <c r="B692" s="8"/>
      <c r="C692" s="8"/>
      <c r="D692" s="8"/>
      <c r="E692" s="8"/>
      <c r="F692" s="8"/>
      <c r="G692" s="8"/>
      <c r="H692" s="8"/>
      <c r="I692" s="8"/>
      <c r="J692" s="8"/>
      <c r="K692" s="8"/>
      <c r="L692" s="8"/>
      <c r="M692" s="8"/>
      <c r="N692" s="8"/>
      <c r="O692" s="8"/>
      <c r="P692" s="8"/>
      <c r="Q692" s="8"/>
      <c r="R692" s="8"/>
      <c r="S692" s="8"/>
      <c r="T692" s="8"/>
      <c r="U692" s="8"/>
      <c r="V692" s="8"/>
      <c r="W692" s="8"/>
      <c r="X692" s="8"/>
      <c r="Y692" s="8"/>
    </row>
    <row r="693" spans="1:25" ht="16.5" customHeight="1" x14ac:dyDescent="0.2">
      <c r="A693" s="8"/>
      <c r="B693" s="8"/>
      <c r="C693" s="8"/>
      <c r="D693" s="8"/>
      <c r="E693" s="8"/>
      <c r="F693" s="8"/>
      <c r="G693" s="8"/>
      <c r="H693" s="8"/>
      <c r="I693" s="8"/>
      <c r="J693" s="8"/>
      <c r="K693" s="8"/>
      <c r="L693" s="8"/>
      <c r="M693" s="8"/>
      <c r="N693" s="8"/>
      <c r="O693" s="8"/>
      <c r="P693" s="8"/>
      <c r="Q693" s="8"/>
      <c r="R693" s="8"/>
      <c r="S693" s="8"/>
      <c r="T693" s="8"/>
      <c r="U693" s="8"/>
      <c r="V693" s="8"/>
      <c r="W693" s="8"/>
      <c r="X693" s="8"/>
      <c r="Y693" s="8"/>
    </row>
    <row r="694" spans="1:25" ht="16.5" customHeight="1" x14ac:dyDescent="0.2">
      <c r="A694" s="8"/>
      <c r="B694" s="8"/>
      <c r="C694" s="8"/>
      <c r="D694" s="8"/>
      <c r="E694" s="8"/>
      <c r="F694" s="8"/>
      <c r="G694" s="8"/>
      <c r="H694" s="8"/>
      <c r="I694" s="8"/>
      <c r="J694" s="8"/>
      <c r="K694" s="8"/>
      <c r="L694" s="8"/>
      <c r="M694" s="8"/>
      <c r="N694" s="8"/>
      <c r="O694" s="8"/>
      <c r="P694" s="8"/>
      <c r="Q694" s="8"/>
      <c r="R694" s="8"/>
      <c r="S694" s="8"/>
      <c r="T694" s="8"/>
      <c r="U694" s="8"/>
      <c r="V694" s="8"/>
      <c r="W694" s="8"/>
      <c r="X694" s="8"/>
      <c r="Y694" s="8"/>
    </row>
    <row r="695" spans="1:25" ht="16.5" customHeight="1" x14ac:dyDescent="0.2">
      <c r="A695" s="8"/>
      <c r="B695" s="8"/>
      <c r="C695" s="8"/>
      <c r="D695" s="8"/>
      <c r="E695" s="8"/>
      <c r="F695" s="8"/>
      <c r="G695" s="8"/>
      <c r="H695" s="8"/>
      <c r="I695" s="8"/>
      <c r="J695" s="8"/>
      <c r="K695" s="8"/>
      <c r="L695" s="8"/>
      <c r="M695" s="8"/>
      <c r="N695" s="8"/>
      <c r="O695" s="8"/>
      <c r="P695" s="8"/>
      <c r="Q695" s="8"/>
      <c r="R695" s="8"/>
      <c r="S695" s="8"/>
      <c r="T695" s="8"/>
      <c r="U695" s="8"/>
      <c r="V695" s="8"/>
      <c r="W695" s="8"/>
      <c r="X695" s="8"/>
      <c r="Y695" s="8"/>
    </row>
    <row r="696" spans="1:25" ht="16.5" customHeight="1" x14ac:dyDescent="0.2">
      <c r="A696" s="8"/>
      <c r="B696" s="8"/>
      <c r="C696" s="8"/>
      <c r="D696" s="8"/>
      <c r="E696" s="8"/>
      <c r="F696" s="8"/>
      <c r="G696" s="8"/>
      <c r="H696" s="8"/>
      <c r="I696" s="8"/>
      <c r="J696" s="8"/>
      <c r="K696" s="8"/>
      <c r="L696" s="8"/>
      <c r="M696" s="8"/>
      <c r="N696" s="8"/>
      <c r="O696" s="8"/>
      <c r="P696" s="8"/>
      <c r="Q696" s="8"/>
      <c r="R696" s="8"/>
      <c r="S696" s="8"/>
      <c r="T696" s="8"/>
      <c r="U696" s="8"/>
      <c r="V696" s="8"/>
      <c r="W696" s="8"/>
      <c r="X696" s="8"/>
      <c r="Y696" s="8"/>
    </row>
    <row r="697" spans="1:25" ht="16.5" customHeight="1" x14ac:dyDescent="0.2">
      <c r="A697" s="8"/>
      <c r="B697" s="8"/>
      <c r="C697" s="8"/>
      <c r="D697" s="8"/>
      <c r="E697" s="8"/>
      <c r="F697" s="8"/>
      <c r="G697" s="8"/>
      <c r="H697" s="8"/>
      <c r="I697" s="8"/>
      <c r="J697" s="8"/>
      <c r="K697" s="8"/>
      <c r="L697" s="8"/>
      <c r="M697" s="8"/>
      <c r="N697" s="8"/>
      <c r="O697" s="8"/>
      <c r="P697" s="8"/>
      <c r="Q697" s="8"/>
      <c r="R697" s="8"/>
      <c r="S697" s="8"/>
      <c r="T697" s="8"/>
      <c r="U697" s="8"/>
      <c r="V697" s="8"/>
      <c r="W697" s="8"/>
      <c r="X697" s="8"/>
      <c r="Y697" s="8"/>
    </row>
    <row r="698" spans="1:25" ht="16.5" customHeight="1" x14ac:dyDescent="0.2">
      <c r="A698" s="8"/>
      <c r="B698" s="8"/>
      <c r="C698" s="8"/>
      <c r="D698" s="8"/>
      <c r="E698" s="8"/>
      <c r="F698" s="8"/>
      <c r="G698" s="8"/>
      <c r="H698" s="8"/>
      <c r="I698" s="8"/>
      <c r="J698" s="8"/>
      <c r="K698" s="8"/>
      <c r="L698" s="8"/>
      <c r="M698" s="8"/>
      <c r="N698" s="8"/>
      <c r="O698" s="8"/>
      <c r="P698" s="8"/>
      <c r="Q698" s="8"/>
      <c r="R698" s="8"/>
      <c r="S698" s="8"/>
      <c r="T698" s="8"/>
      <c r="U698" s="8"/>
      <c r="V698" s="8"/>
      <c r="W698" s="8"/>
      <c r="X698" s="8"/>
      <c r="Y698" s="8"/>
    </row>
    <row r="699" spans="1:25" ht="16.5" customHeight="1" x14ac:dyDescent="0.2">
      <c r="A699" s="8"/>
      <c r="B699" s="8"/>
      <c r="C699" s="8"/>
      <c r="D699" s="8"/>
      <c r="E699" s="8"/>
      <c r="F699" s="8"/>
      <c r="G699" s="8"/>
      <c r="H699" s="8"/>
      <c r="I699" s="8"/>
      <c r="J699" s="8"/>
      <c r="K699" s="8"/>
      <c r="L699" s="8"/>
      <c r="M699" s="8"/>
      <c r="N699" s="8"/>
      <c r="O699" s="8"/>
      <c r="P699" s="8"/>
      <c r="Q699" s="8"/>
      <c r="R699" s="8"/>
      <c r="S699" s="8"/>
      <c r="T699" s="8"/>
      <c r="U699" s="8"/>
      <c r="V699" s="8"/>
      <c r="W699" s="8"/>
      <c r="X699" s="8"/>
      <c r="Y699" s="8"/>
    </row>
    <row r="700" spans="1:25" ht="16.5" customHeight="1" x14ac:dyDescent="0.2">
      <c r="A700" s="8"/>
      <c r="B700" s="8"/>
      <c r="C700" s="8"/>
      <c r="D700" s="8"/>
      <c r="E700" s="8"/>
      <c r="F700" s="8"/>
      <c r="G700" s="8"/>
      <c r="H700" s="8"/>
      <c r="I700" s="8"/>
      <c r="J700" s="8"/>
      <c r="K700" s="8"/>
      <c r="L700" s="8"/>
      <c r="M700" s="8"/>
      <c r="N700" s="8"/>
      <c r="O700" s="8"/>
      <c r="P700" s="8"/>
      <c r="Q700" s="8"/>
      <c r="R700" s="8"/>
      <c r="S700" s="8"/>
      <c r="T700" s="8"/>
      <c r="U700" s="8"/>
      <c r="V700" s="8"/>
      <c r="W700" s="8"/>
      <c r="X700" s="8"/>
      <c r="Y700" s="8"/>
    </row>
    <row r="701" spans="1:25" ht="16.5" customHeight="1" x14ac:dyDescent="0.2">
      <c r="A701" s="8"/>
      <c r="B701" s="8"/>
      <c r="C701" s="8"/>
      <c r="D701" s="8"/>
      <c r="E701" s="8"/>
      <c r="F701" s="8"/>
      <c r="G701" s="8"/>
      <c r="H701" s="8"/>
      <c r="I701" s="8"/>
      <c r="J701" s="8"/>
      <c r="K701" s="8"/>
      <c r="L701" s="8"/>
      <c r="M701" s="8"/>
      <c r="N701" s="8"/>
      <c r="O701" s="8"/>
      <c r="P701" s="8"/>
      <c r="Q701" s="8"/>
      <c r="R701" s="8"/>
      <c r="S701" s="8"/>
      <c r="T701" s="8"/>
      <c r="U701" s="8"/>
      <c r="V701" s="8"/>
      <c r="W701" s="8"/>
      <c r="X701" s="8"/>
      <c r="Y701" s="8"/>
    </row>
    <row r="702" spans="1:25" ht="16.5" customHeight="1" x14ac:dyDescent="0.2">
      <c r="A702" s="8"/>
      <c r="B702" s="8"/>
      <c r="C702" s="8"/>
      <c r="D702" s="8"/>
      <c r="E702" s="8"/>
      <c r="F702" s="8"/>
      <c r="G702" s="8"/>
      <c r="H702" s="8"/>
      <c r="I702" s="8"/>
      <c r="J702" s="8"/>
      <c r="K702" s="8"/>
      <c r="L702" s="8"/>
      <c r="M702" s="8"/>
      <c r="N702" s="8"/>
      <c r="O702" s="8"/>
      <c r="P702" s="8"/>
      <c r="Q702" s="8"/>
      <c r="R702" s="8"/>
      <c r="S702" s="8"/>
      <c r="T702" s="8"/>
      <c r="U702" s="8"/>
      <c r="V702" s="8"/>
      <c r="W702" s="8"/>
      <c r="X702" s="8"/>
      <c r="Y702" s="8"/>
    </row>
    <row r="703" spans="1:25" ht="16.5" customHeight="1" x14ac:dyDescent="0.2">
      <c r="A703" s="8"/>
      <c r="B703" s="8"/>
      <c r="C703" s="8"/>
      <c r="D703" s="8"/>
      <c r="E703" s="8"/>
      <c r="F703" s="8"/>
      <c r="G703" s="8"/>
      <c r="H703" s="8"/>
      <c r="I703" s="8"/>
      <c r="J703" s="8"/>
      <c r="K703" s="8"/>
      <c r="L703" s="8"/>
      <c r="M703" s="8"/>
      <c r="N703" s="8"/>
      <c r="O703" s="8"/>
      <c r="P703" s="8"/>
      <c r="Q703" s="8"/>
      <c r="R703" s="8"/>
      <c r="S703" s="8"/>
      <c r="T703" s="8"/>
      <c r="U703" s="8"/>
      <c r="V703" s="8"/>
      <c r="W703" s="8"/>
      <c r="X703" s="8"/>
      <c r="Y703" s="8"/>
    </row>
    <row r="704" spans="1:25" ht="16.5" customHeight="1" x14ac:dyDescent="0.2">
      <c r="A704" s="8"/>
      <c r="B704" s="8"/>
      <c r="C704" s="8"/>
      <c r="D704" s="8"/>
      <c r="E704" s="8"/>
      <c r="F704" s="8"/>
      <c r="G704" s="8"/>
      <c r="H704" s="8"/>
      <c r="I704" s="8"/>
      <c r="J704" s="8"/>
      <c r="K704" s="8"/>
      <c r="L704" s="8"/>
      <c r="M704" s="8"/>
      <c r="N704" s="8"/>
      <c r="O704" s="8"/>
      <c r="P704" s="8"/>
      <c r="Q704" s="8"/>
      <c r="R704" s="8"/>
      <c r="S704" s="8"/>
      <c r="T704" s="8"/>
      <c r="U704" s="8"/>
      <c r="V704" s="8"/>
      <c r="W704" s="8"/>
      <c r="X704" s="8"/>
      <c r="Y704" s="8"/>
    </row>
    <row r="705" spans="1:25" ht="16.5" customHeight="1" x14ac:dyDescent="0.2">
      <c r="A705" s="8"/>
      <c r="B705" s="8"/>
      <c r="C705" s="8"/>
      <c r="D705" s="8"/>
      <c r="E705" s="8"/>
      <c r="F705" s="8"/>
      <c r="G705" s="8"/>
      <c r="H705" s="8"/>
      <c r="I705" s="8"/>
      <c r="J705" s="8"/>
      <c r="K705" s="8"/>
      <c r="L705" s="8"/>
      <c r="M705" s="8"/>
      <c r="N705" s="8"/>
      <c r="O705" s="8"/>
      <c r="P705" s="8"/>
      <c r="Q705" s="8"/>
      <c r="R705" s="8"/>
      <c r="S705" s="8"/>
      <c r="T705" s="8"/>
      <c r="U705" s="8"/>
      <c r="V705" s="8"/>
      <c r="W705" s="8"/>
      <c r="X705" s="8"/>
      <c r="Y705" s="8"/>
    </row>
    <row r="706" spans="1:25" ht="16.5" customHeight="1" x14ac:dyDescent="0.2">
      <c r="A706" s="8"/>
      <c r="B706" s="8"/>
      <c r="C706" s="8"/>
      <c r="D706" s="8"/>
      <c r="E706" s="8"/>
      <c r="F706" s="8"/>
      <c r="G706" s="8"/>
      <c r="H706" s="8"/>
      <c r="I706" s="8"/>
      <c r="J706" s="8"/>
      <c r="K706" s="8"/>
      <c r="L706" s="8"/>
      <c r="M706" s="8"/>
      <c r="N706" s="8"/>
      <c r="O706" s="8"/>
      <c r="P706" s="8"/>
      <c r="Q706" s="8"/>
      <c r="R706" s="8"/>
      <c r="S706" s="8"/>
      <c r="T706" s="8"/>
      <c r="U706" s="8"/>
      <c r="V706" s="8"/>
      <c r="W706" s="8"/>
      <c r="X706" s="8"/>
      <c r="Y706" s="8"/>
    </row>
    <row r="707" spans="1:25" ht="16.5" customHeight="1" x14ac:dyDescent="0.2">
      <c r="A707" s="8"/>
      <c r="B707" s="8"/>
      <c r="C707" s="8"/>
      <c r="D707" s="8"/>
      <c r="E707" s="8"/>
      <c r="F707" s="8"/>
      <c r="G707" s="8"/>
      <c r="H707" s="8"/>
      <c r="I707" s="8"/>
      <c r="J707" s="8"/>
      <c r="K707" s="8"/>
      <c r="L707" s="8"/>
      <c r="M707" s="8"/>
      <c r="N707" s="8"/>
      <c r="O707" s="8"/>
      <c r="P707" s="8"/>
      <c r="Q707" s="8"/>
      <c r="R707" s="8"/>
      <c r="S707" s="8"/>
      <c r="T707" s="8"/>
      <c r="U707" s="8"/>
      <c r="V707" s="8"/>
      <c r="W707" s="8"/>
      <c r="X707" s="8"/>
      <c r="Y707" s="8"/>
    </row>
    <row r="708" spans="1:25" ht="16.5" customHeight="1" x14ac:dyDescent="0.2">
      <c r="A708" s="8"/>
      <c r="B708" s="8"/>
      <c r="C708" s="8"/>
      <c r="D708" s="8"/>
      <c r="E708" s="8"/>
      <c r="F708" s="8"/>
      <c r="G708" s="8"/>
      <c r="H708" s="8"/>
      <c r="I708" s="8"/>
      <c r="J708" s="8"/>
      <c r="K708" s="8"/>
      <c r="L708" s="8"/>
      <c r="M708" s="8"/>
      <c r="N708" s="8"/>
      <c r="O708" s="8"/>
      <c r="P708" s="8"/>
      <c r="Q708" s="8"/>
      <c r="R708" s="8"/>
      <c r="S708" s="8"/>
      <c r="T708" s="8"/>
      <c r="U708" s="8"/>
      <c r="V708" s="8"/>
      <c r="W708" s="8"/>
      <c r="X708" s="8"/>
      <c r="Y708" s="8"/>
    </row>
    <row r="709" spans="1:25" ht="16.5" customHeight="1" x14ac:dyDescent="0.2">
      <c r="A709" s="8"/>
      <c r="B709" s="8"/>
      <c r="C709" s="8"/>
      <c r="D709" s="8"/>
      <c r="E709" s="8"/>
      <c r="F709" s="8"/>
      <c r="G709" s="8"/>
      <c r="H709" s="8"/>
      <c r="I709" s="8"/>
      <c r="J709" s="8"/>
      <c r="K709" s="8"/>
      <c r="L709" s="8"/>
      <c r="M709" s="8"/>
      <c r="N709" s="8"/>
      <c r="O709" s="8"/>
      <c r="P709" s="8"/>
      <c r="Q709" s="8"/>
      <c r="R709" s="8"/>
      <c r="S709" s="8"/>
      <c r="T709" s="8"/>
      <c r="U709" s="8"/>
      <c r="V709" s="8"/>
      <c r="W709" s="8"/>
      <c r="X709" s="8"/>
      <c r="Y709" s="8"/>
    </row>
    <row r="710" spans="1:25" ht="16.5" customHeight="1" x14ac:dyDescent="0.2">
      <c r="A710" s="8"/>
      <c r="B710" s="8"/>
      <c r="C710" s="8"/>
      <c r="D710" s="8"/>
      <c r="E710" s="8"/>
      <c r="F710" s="8"/>
      <c r="G710" s="8"/>
      <c r="H710" s="8"/>
      <c r="I710" s="8"/>
      <c r="J710" s="8"/>
      <c r="K710" s="8"/>
      <c r="L710" s="8"/>
      <c r="M710" s="8"/>
      <c r="N710" s="8"/>
      <c r="O710" s="8"/>
      <c r="P710" s="8"/>
      <c r="Q710" s="8"/>
      <c r="R710" s="8"/>
      <c r="S710" s="8"/>
      <c r="T710" s="8"/>
      <c r="U710" s="8"/>
      <c r="V710" s="8"/>
      <c r="W710" s="8"/>
      <c r="X710" s="8"/>
      <c r="Y710" s="8"/>
    </row>
    <row r="711" spans="1:25" ht="16.5" customHeight="1" x14ac:dyDescent="0.2">
      <c r="A711" s="8"/>
      <c r="B711" s="8"/>
      <c r="C711" s="8"/>
      <c r="D711" s="8"/>
      <c r="E711" s="8"/>
      <c r="F711" s="8"/>
      <c r="G711" s="8"/>
      <c r="H711" s="8"/>
      <c r="I711" s="8"/>
      <c r="J711" s="8"/>
      <c r="K711" s="8"/>
      <c r="L711" s="8"/>
      <c r="M711" s="8"/>
      <c r="N711" s="8"/>
      <c r="O711" s="8"/>
      <c r="P711" s="8"/>
      <c r="Q711" s="8"/>
      <c r="R711" s="8"/>
      <c r="S711" s="8"/>
      <c r="T711" s="8"/>
      <c r="U711" s="8"/>
      <c r="V711" s="8"/>
      <c r="W711" s="8"/>
      <c r="X711" s="8"/>
      <c r="Y711" s="8"/>
    </row>
    <row r="712" spans="1:25" ht="16.5" customHeight="1" x14ac:dyDescent="0.2">
      <c r="A712" s="8"/>
      <c r="B712" s="8"/>
      <c r="C712" s="8"/>
      <c r="D712" s="8"/>
      <c r="E712" s="8"/>
      <c r="F712" s="8"/>
      <c r="G712" s="8"/>
      <c r="H712" s="8"/>
      <c r="I712" s="8"/>
      <c r="J712" s="8"/>
      <c r="K712" s="8"/>
      <c r="L712" s="8"/>
      <c r="M712" s="8"/>
      <c r="N712" s="8"/>
      <c r="O712" s="8"/>
      <c r="P712" s="8"/>
      <c r="Q712" s="8"/>
      <c r="R712" s="8"/>
      <c r="S712" s="8"/>
      <c r="T712" s="8"/>
      <c r="U712" s="8"/>
      <c r="V712" s="8"/>
      <c r="W712" s="8"/>
      <c r="X712" s="8"/>
      <c r="Y712" s="8"/>
    </row>
    <row r="713" spans="1:25" ht="16.5" customHeight="1" x14ac:dyDescent="0.2">
      <c r="A713" s="8"/>
      <c r="B713" s="8"/>
      <c r="C713" s="8"/>
      <c r="D713" s="8"/>
      <c r="E713" s="8"/>
      <c r="F713" s="8"/>
      <c r="G713" s="8"/>
      <c r="H713" s="8"/>
      <c r="I713" s="8"/>
      <c r="J713" s="8"/>
      <c r="K713" s="8"/>
      <c r="L713" s="8"/>
      <c r="M713" s="8"/>
      <c r="N713" s="8"/>
      <c r="O713" s="8"/>
      <c r="P713" s="8"/>
      <c r="Q713" s="8"/>
      <c r="R713" s="8"/>
      <c r="S713" s="8"/>
      <c r="T713" s="8"/>
      <c r="U713" s="8"/>
      <c r="V713" s="8"/>
      <c r="W713" s="8"/>
      <c r="X713" s="8"/>
      <c r="Y713" s="8"/>
    </row>
    <row r="714" spans="1:25" ht="16.5" customHeight="1" x14ac:dyDescent="0.2">
      <c r="A714" s="8"/>
      <c r="B714" s="8"/>
      <c r="C714" s="8"/>
      <c r="D714" s="8"/>
      <c r="E714" s="8"/>
      <c r="F714" s="8"/>
      <c r="G714" s="8"/>
      <c r="H714" s="8"/>
      <c r="I714" s="8"/>
      <c r="J714" s="8"/>
      <c r="K714" s="8"/>
      <c r="L714" s="8"/>
      <c r="M714" s="8"/>
      <c r="N714" s="8"/>
      <c r="O714" s="8"/>
      <c r="P714" s="8"/>
      <c r="Q714" s="8"/>
      <c r="R714" s="8"/>
      <c r="S714" s="8"/>
      <c r="T714" s="8"/>
      <c r="U714" s="8"/>
      <c r="V714" s="8"/>
      <c r="W714" s="8"/>
      <c r="X714" s="8"/>
      <c r="Y714" s="8"/>
    </row>
    <row r="715" spans="1:25" ht="16.5" customHeight="1" x14ac:dyDescent="0.2">
      <c r="A715" s="8"/>
      <c r="B715" s="8"/>
      <c r="C715" s="8"/>
      <c r="D715" s="8"/>
      <c r="E715" s="8"/>
      <c r="F715" s="8"/>
      <c r="G715" s="8"/>
      <c r="H715" s="8"/>
      <c r="I715" s="8"/>
      <c r="J715" s="8"/>
      <c r="K715" s="8"/>
      <c r="L715" s="8"/>
      <c r="M715" s="8"/>
      <c r="N715" s="8"/>
      <c r="O715" s="8"/>
      <c r="P715" s="8"/>
      <c r="Q715" s="8"/>
      <c r="R715" s="8"/>
      <c r="S715" s="8"/>
      <c r="T715" s="8"/>
      <c r="U715" s="8"/>
      <c r="V715" s="8"/>
      <c r="W715" s="8"/>
      <c r="X715" s="8"/>
      <c r="Y715" s="8"/>
    </row>
    <row r="716" spans="1:25" ht="16.5" customHeight="1" x14ac:dyDescent="0.2">
      <c r="A716" s="8"/>
      <c r="B716" s="8"/>
      <c r="C716" s="8"/>
      <c r="D716" s="8"/>
      <c r="E716" s="8"/>
      <c r="F716" s="8"/>
      <c r="G716" s="8"/>
      <c r="H716" s="8"/>
      <c r="I716" s="8"/>
      <c r="J716" s="8"/>
      <c r="K716" s="8"/>
      <c r="L716" s="8"/>
      <c r="M716" s="8"/>
      <c r="N716" s="8"/>
      <c r="O716" s="8"/>
      <c r="P716" s="8"/>
      <c r="Q716" s="8"/>
      <c r="R716" s="8"/>
      <c r="S716" s="8"/>
      <c r="T716" s="8"/>
      <c r="U716" s="8"/>
      <c r="V716" s="8"/>
      <c r="W716" s="8"/>
      <c r="X716" s="8"/>
      <c r="Y716" s="8"/>
    </row>
    <row r="717" spans="1:25" ht="16.5" customHeight="1" x14ac:dyDescent="0.2">
      <c r="A717" s="8"/>
      <c r="B717" s="8"/>
      <c r="C717" s="8"/>
      <c r="D717" s="8"/>
      <c r="E717" s="8"/>
      <c r="F717" s="8"/>
      <c r="G717" s="8"/>
      <c r="H717" s="8"/>
      <c r="I717" s="8"/>
      <c r="J717" s="8"/>
      <c r="K717" s="8"/>
      <c r="L717" s="8"/>
      <c r="M717" s="8"/>
      <c r="N717" s="8"/>
      <c r="O717" s="8"/>
      <c r="P717" s="8"/>
      <c r="Q717" s="8"/>
      <c r="R717" s="8"/>
      <c r="S717" s="8"/>
      <c r="T717" s="8"/>
      <c r="U717" s="8"/>
      <c r="V717" s="8"/>
      <c r="W717" s="8"/>
      <c r="X717" s="8"/>
      <c r="Y717" s="8"/>
    </row>
    <row r="718" spans="1:25" ht="16.5" customHeight="1" x14ac:dyDescent="0.2">
      <c r="A718" s="8"/>
      <c r="B718" s="8"/>
      <c r="C718" s="8"/>
      <c r="D718" s="8"/>
      <c r="E718" s="8"/>
      <c r="F718" s="8"/>
      <c r="G718" s="8"/>
      <c r="H718" s="8"/>
      <c r="I718" s="8"/>
      <c r="J718" s="8"/>
      <c r="K718" s="8"/>
      <c r="L718" s="8"/>
      <c r="M718" s="8"/>
      <c r="N718" s="8"/>
      <c r="O718" s="8"/>
      <c r="P718" s="8"/>
      <c r="Q718" s="8"/>
      <c r="R718" s="8"/>
      <c r="S718" s="8"/>
      <c r="T718" s="8"/>
      <c r="U718" s="8"/>
      <c r="V718" s="8"/>
      <c r="W718" s="8"/>
      <c r="X718" s="8"/>
      <c r="Y718" s="8"/>
    </row>
    <row r="719" spans="1:25" ht="16.5" customHeight="1" x14ac:dyDescent="0.2">
      <c r="A719" s="8"/>
      <c r="B719" s="8"/>
      <c r="C719" s="8"/>
      <c r="D719" s="8"/>
      <c r="E719" s="8"/>
      <c r="F719" s="8"/>
      <c r="G719" s="8"/>
      <c r="H719" s="8"/>
      <c r="I719" s="8"/>
      <c r="J719" s="8"/>
      <c r="K719" s="8"/>
      <c r="L719" s="8"/>
      <c r="M719" s="8"/>
      <c r="N719" s="8"/>
      <c r="O719" s="8"/>
      <c r="P719" s="8"/>
      <c r="Q719" s="8"/>
      <c r="R719" s="8"/>
      <c r="S719" s="8"/>
      <c r="T719" s="8"/>
      <c r="U719" s="8"/>
      <c r="V719" s="8"/>
      <c r="W719" s="8"/>
      <c r="X719" s="8"/>
      <c r="Y719" s="8"/>
    </row>
    <row r="720" spans="1:25" ht="16.5" customHeight="1" x14ac:dyDescent="0.2">
      <c r="A720" s="8"/>
      <c r="B720" s="8"/>
      <c r="C720" s="8"/>
      <c r="D720" s="8"/>
      <c r="E720" s="8"/>
      <c r="F720" s="8"/>
      <c r="G720" s="8"/>
      <c r="H720" s="8"/>
      <c r="I720" s="8"/>
      <c r="J720" s="8"/>
      <c r="K720" s="8"/>
      <c r="L720" s="8"/>
      <c r="M720" s="8"/>
      <c r="N720" s="8"/>
      <c r="O720" s="8"/>
      <c r="P720" s="8"/>
      <c r="Q720" s="8"/>
      <c r="R720" s="8"/>
      <c r="S720" s="8"/>
      <c r="T720" s="8"/>
      <c r="U720" s="8"/>
      <c r="V720" s="8"/>
      <c r="W720" s="8"/>
      <c r="X720" s="8"/>
      <c r="Y720" s="8"/>
    </row>
    <row r="721" spans="1:25" ht="16.5" customHeight="1" x14ac:dyDescent="0.2">
      <c r="A721" s="8"/>
      <c r="B721" s="8"/>
      <c r="C721" s="8"/>
      <c r="D721" s="8"/>
      <c r="E721" s="8"/>
      <c r="F721" s="8"/>
      <c r="G721" s="8"/>
      <c r="H721" s="8"/>
      <c r="I721" s="8"/>
      <c r="J721" s="8"/>
      <c r="K721" s="8"/>
      <c r="L721" s="8"/>
      <c r="M721" s="8"/>
      <c r="N721" s="8"/>
      <c r="O721" s="8"/>
      <c r="P721" s="8"/>
      <c r="Q721" s="8"/>
      <c r="R721" s="8"/>
      <c r="S721" s="8"/>
      <c r="T721" s="8"/>
      <c r="U721" s="8"/>
      <c r="V721" s="8"/>
      <c r="W721" s="8"/>
      <c r="X721" s="8"/>
      <c r="Y721" s="8"/>
    </row>
    <row r="722" spans="1:25" ht="16.5" customHeight="1" x14ac:dyDescent="0.2">
      <c r="A722" s="8"/>
      <c r="B722" s="8"/>
      <c r="C722" s="8"/>
      <c r="D722" s="8"/>
      <c r="E722" s="8"/>
      <c r="F722" s="8"/>
      <c r="G722" s="8"/>
      <c r="H722" s="8"/>
      <c r="I722" s="8"/>
      <c r="J722" s="8"/>
      <c r="K722" s="8"/>
      <c r="L722" s="8"/>
      <c r="M722" s="8"/>
      <c r="N722" s="8"/>
      <c r="O722" s="8"/>
      <c r="P722" s="8"/>
      <c r="Q722" s="8"/>
      <c r="R722" s="8"/>
      <c r="S722" s="8"/>
      <c r="T722" s="8"/>
      <c r="U722" s="8"/>
      <c r="V722" s="8"/>
      <c r="W722" s="8"/>
      <c r="X722" s="8"/>
      <c r="Y722" s="8"/>
    </row>
    <row r="723" spans="1:25" ht="16.5" customHeight="1" x14ac:dyDescent="0.2">
      <c r="A723" s="8"/>
      <c r="B723" s="8"/>
      <c r="C723" s="8"/>
      <c r="D723" s="8"/>
      <c r="E723" s="8"/>
      <c r="F723" s="8"/>
      <c r="G723" s="8"/>
      <c r="H723" s="8"/>
      <c r="I723" s="8"/>
      <c r="J723" s="8"/>
      <c r="K723" s="8"/>
      <c r="L723" s="8"/>
      <c r="M723" s="8"/>
      <c r="N723" s="8"/>
      <c r="O723" s="8"/>
      <c r="P723" s="8"/>
      <c r="Q723" s="8"/>
      <c r="R723" s="8"/>
      <c r="S723" s="8"/>
      <c r="T723" s="8"/>
      <c r="U723" s="8"/>
      <c r="V723" s="8"/>
      <c r="W723" s="8"/>
      <c r="X723" s="8"/>
      <c r="Y723" s="8"/>
    </row>
    <row r="724" spans="1:25" ht="16.5" customHeight="1" x14ac:dyDescent="0.2">
      <c r="A724" s="8"/>
      <c r="B724" s="8"/>
      <c r="C724" s="8"/>
      <c r="D724" s="8"/>
      <c r="E724" s="8"/>
      <c r="F724" s="8"/>
      <c r="G724" s="8"/>
      <c r="H724" s="8"/>
      <c r="I724" s="8"/>
      <c r="J724" s="8"/>
      <c r="K724" s="8"/>
      <c r="L724" s="8"/>
      <c r="M724" s="8"/>
      <c r="N724" s="8"/>
      <c r="O724" s="8"/>
      <c r="P724" s="8"/>
      <c r="Q724" s="8"/>
      <c r="R724" s="8"/>
      <c r="S724" s="8"/>
      <c r="T724" s="8"/>
      <c r="U724" s="8"/>
      <c r="V724" s="8"/>
      <c r="W724" s="8"/>
      <c r="X724" s="8"/>
      <c r="Y724" s="8"/>
    </row>
    <row r="725" spans="1:25" ht="16.5" customHeight="1" x14ac:dyDescent="0.2">
      <c r="A725" s="8"/>
      <c r="B725" s="8"/>
      <c r="C725" s="8"/>
      <c r="D725" s="8"/>
      <c r="E725" s="8"/>
      <c r="F725" s="8"/>
      <c r="G725" s="8"/>
      <c r="H725" s="8"/>
      <c r="I725" s="8"/>
      <c r="J725" s="8"/>
      <c r="K725" s="8"/>
      <c r="L725" s="8"/>
      <c r="M725" s="8"/>
      <c r="N725" s="8"/>
      <c r="O725" s="8"/>
      <c r="P725" s="8"/>
      <c r="Q725" s="8"/>
      <c r="R725" s="8"/>
      <c r="S725" s="8"/>
      <c r="T725" s="8"/>
      <c r="U725" s="8"/>
      <c r="V725" s="8"/>
      <c r="W725" s="8"/>
      <c r="X725" s="8"/>
      <c r="Y725" s="8"/>
    </row>
    <row r="726" spans="1:25" ht="16.5" customHeight="1" x14ac:dyDescent="0.2">
      <c r="A726" s="8"/>
      <c r="B726" s="8"/>
      <c r="C726" s="8"/>
      <c r="D726" s="8"/>
      <c r="E726" s="8"/>
      <c r="F726" s="8"/>
      <c r="G726" s="8"/>
      <c r="H726" s="8"/>
      <c r="I726" s="8"/>
      <c r="J726" s="8"/>
      <c r="K726" s="8"/>
      <c r="L726" s="8"/>
      <c r="M726" s="8"/>
      <c r="N726" s="8"/>
      <c r="O726" s="8"/>
      <c r="P726" s="8"/>
      <c r="Q726" s="8"/>
      <c r="R726" s="8"/>
      <c r="S726" s="8"/>
      <c r="T726" s="8"/>
      <c r="U726" s="8"/>
      <c r="V726" s="8"/>
      <c r="W726" s="8"/>
      <c r="X726" s="8"/>
      <c r="Y726" s="8"/>
    </row>
    <row r="727" spans="1:25" ht="16.5" customHeight="1" x14ac:dyDescent="0.2">
      <c r="A727" s="8"/>
      <c r="B727" s="8"/>
      <c r="C727" s="8"/>
      <c r="D727" s="8"/>
      <c r="E727" s="8"/>
      <c r="F727" s="8"/>
      <c r="G727" s="8"/>
      <c r="H727" s="8"/>
      <c r="I727" s="8"/>
      <c r="J727" s="8"/>
      <c r="K727" s="8"/>
      <c r="L727" s="8"/>
      <c r="M727" s="8"/>
      <c r="N727" s="8"/>
      <c r="O727" s="8"/>
      <c r="P727" s="8"/>
      <c r="Q727" s="8"/>
      <c r="R727" s="8"/>
      <c r="S727" s="8"/>
      <c r="T727" s="8"/>
      <c r="U727" s="8"/>
      <c r="V727" s="8"/>
      <c r="W727" s="8"/>
      <c r="X727" s="8"/>
      <c r="Y727" s="8"/>
    </row>
    <row r="728" spans="1:25" ht="16.5" customHeight="1" x14ac:dyDescent="0.2">
      <c r="A728" s="8"/>
      <c r="B728" s="8"/>
      <c r="C728" s="8"/>
      <c r="D728" s="8"/>
      <c r="E728" s="8"/>
      <c r="F728" s="8"/>
      <c r="G728" s="8"/>
      <c r="H728" s="8"/>
      <c r="I728" s="8"/>
      <c r="J728" s="8"/>
      <c r="K728" s="8"/>
      <c r="L728" s="8"/>
      <c r="M728" s="8"/>
      <c r="N728" s="8"/>
      <c r="O728" s="8"/>
      <c r="P728" s="8"/>
      <c r="Q728" s="8"/>
      <c r="R728" s="8"/>
      <c r="S728" s="8"/>
      <c r="T728" s="8"/>
      <c r="U728" s="8"/>
      <c r="V728" s="8"/>
      <c r="W728" s="8"/>
      <c r="X728" s="8"/>
      <c r="Y728" s="8"/>
    </row>
    <row r="729" spans="1:25" ht="16.5" customHeight="1" x14ac:dyDescent="0.2">
      <c r="A729" s="8"/>
      <c r="B729" s="8"/>
      <c r="C729" s="8"/>
      <c r="D729" s="8"/>
      <c r="E729" s="8"/>
      <c r="F729" s="8"/>
      <c r="G729" s="8"/>
      <c r="H729" s="8"/>
      <c r="I729" s="8"/>
      <c r="J729" s="8"/>
      <c r="K729" s="8"/>
      <c r="L729" s="8"/>
      <c r="M729" s="8"/>
      <c r="N729" s="8"/>
      <c r="O729" s="8"/>
      <c r="P729" s="8"/>
      <c r="Q729" s="8"/>
      <c r="R729" s="8"/>
      <c r="S729" s="8"/>
      <c r="T729" s="8"/>
      <c r="U729" s="8"/>
      <c r="V729" s="8"/>
      <c r="W729" s="8"/>
      <c r="X729" s="8"/>
      <c r="Y729" s="8"/>
    </row>
    <row r="730" spans="1:25" ht="16.5" customHeight="1" x14ac:dyDescent="0.2">
      <c r="A730" s="8"/>
      <c r="B730" s="8"/>
      <c r="C730" s="8"/>
      <c r="D730" s="8"/>
      <c r="E730" s="8"/>
      <c r="F730" s="8"/>
      <c r="G730" s="8"/>
      <c r="H730" s="8"/>
      <c r="I730" s="8"/>
      <c r="J730" s="8"/>
      <c r="K730" s="8"/>
      <c r="L730" s="8"/>
      <c r="M730" s="8"/>
      <c r="N730" s="8"/>
      <c r="O730" s="8"/>
      <c r="P730" s="8"/>
      <c r="Q730" s="8"/>
      <c r="R730" s="8"/>
      <c r="S730" s="8"/>
      <c r="T730" s="8"/>
      <c r="U730" s="8"/>
      <c r="V730" s="8"/>
      <c r="W730" s="8"/>
      <c r="X730" s="8"/>
      <c r="Y730" s="8"/>
    </row>
    <row r="731" spans="1:25" ht="16.5" customHeight="1" x14ac:dyDescent="0.2">
      <c r="A731" s="8"/>
      <c r="B731" s="8"/>
      <c r="C731" s="8"/>
      <c r="D731" s="8"/>
      <c r="E731" s="8"/>
      <c r="F731" s="8"/>
      <c r="G731" s="8"/>
      <c r="H731" s="8"/>
      <c r="I731" s="8"/>
      <c r="J731" s="8"/>
      <c r="K731" s="8"/>
      <c r="L731" s="8"/>
      <c r="M731" s="8"/>
      <c r="N731" s="8"/>
      <c r="O731" s="8"/>
      <c r="P731" s="8"/>
      <c r="Q731" s="8"/>
      <c r="R731" s="8"/>
      <c r="S731" s="8"/>
      <c r="T731" s="8"/>
      <c r="U731" s="8"/>
      <c r="V731" s="8"/>
      <c r="W731" s="8"/>
      <c r="X731" s="8"/>
      <c r="Y731" s="8"/>
    </row>
    <row r="732" spans="1:25" ht="16.5" customHeight="1" x14ac:dyDescent="0.2">
      <c r="A732" s="8"/>
      <c r="B732" s="8"/>
      <c r="C732" s="8"/>
      <c r="D732" s="8"/>
      <c r="E732" s="8"/>
      <c r="F732" s="8"/>
      <c r="G732" s="8"/>
      <c r="H732" s="8"/>
      <c r="I732" s="8"/>
      <c r="J732" s="8"/>
      <c r="K732" s="8"/>
      <c r="L732" s="8"/>
      <c r="M732" s="8"/>
      <c r="N732" s="8"/>
      <c r="O732" s="8"/>
      <c r="P732" s="8"/>
      <c r="Q732" s="8"/>
      <c r="R732" s="8"/>
      <c r="S732" s="8"/>
      <c r="T732" s="8"/>
      <c r="U732" s="8"/>
      <c r="V732" s="8"/>
      <c r="W732" s="8"/>
      <c r="X732" s="8"/>
      <c r="Y732" s="8"/>
    </row>
    <row r="733" spans="1:25" ht="16.5" customHeight="1" x14ac:dyDescent="0.2">
      <c r="A733" s="8"/>
      <c r="B733" s="8"/>
      <c r="C733" s="8"/>
      <c r="D733" s="8"/>
      <c r="E733" s="8"/>
      <c r="F733" s="8"/>
      <c r="G733" s="8"/>
      <c r="H733" s="8"/>
      <c r="I733" s="8"/>
      <c r="J733" s="8"/>
      <c r="K733" s="8"/>
      <c r="L733" s="8"/>
      <c r="M733" s="8"/>
      <c r="N733" s="8"/>
      <c r="O733" s="8"/>
      <c r="P733" s="8"/>
      <c r="Q733" s="8"/>
      <c r="R733" s="8"/>
      <c r="S733" s="8"/>
      <c r="T733" s="8"/>
      <c r="U733" s="8"/>
      <c r="V733" s="8"/>
      <c r="W733" s="8"/>
      <c r="X733" s="8"/>
      <c r="Y733" s="8"/>
    </row>
    <row r="734" spans="1:25" ht="16.5" customHeight="1" x14ac:dyDescent="0.2">
      <c r="A734" s="8"/>
      <c r="B734" s="8"/>
      <c r="C734" s="8"/>
      <c r="D734" s="8"/>
      <c r="E734" s="8"/>
      <c r="F734" s="8"/>
      <c r="G734" s="8"/>
      <c r="H734" s="8"/>
      <c r="I734" s="8"/>
      <c r="J734" s="8"/>
      <c r="K734" s="8"/>
      <c r="L734" s="8"/>
      <c r="M734" s="8"/>
      <c r="N734" s="8"/>
      <c r="O734" s="8"/>
      <c r="P734" s="8"/>
      <c r="Q734" s="8"/>
      <c r="R734" s="8"/>
      <c r="S734" s="8"/>
      <c r="T734" s="8"/>
      <c r="U734" s="8"/>
      <c r="V734" s="8"/>
      <c r="W734" s="8"/>
      <c r="X734" s="8"/>
      <c r="Y734" s="8"/>
    </row>
    <row r="735" spans="1:25" ht="16.5" customHeight="1" x14ac:dyDescent="0.2">
      <c r="A735" s="8"/>
      <c r="B735" s="8"/>
      <c r="C735" s="8"/>
      <c r="D735" s="8"/>
      <c r="E735" s="8"/>
      <c r="F735" s="8"/>
      <c r="G735" s="8"/>
      <c r="H735" s="8"/>
      <c r="I735" s="8"/>
      <c r="J735" s="8"/>
      <c r="K735" s="8"/>
      <c r="L735" s="8"/>
      <c r="M735" s="8"/>
      <c r="N735" s="8"/>
      <c r="O735" s="8"/>
      <c r="P735" s="8"/>
      <c r="Q735" s="8"/>
      <c r="R735" s="8"/>
      <c r="S735" s="8"/>
      <c r="T735" s="8"/>
      <c r="U735" s="8"/>
      <c r="V735" s="8"/>
      <c r="W735" s="8"/>
      <c r="X735" s="8"/>
      <c r="Y735" s="8"/>
    </row>
    <row r="736" spans="1:25" ht="16.5" customHeight="1" x14ac:dyDescent="0.2">
      <c r="A736" s="8"/>
      <c r="B736" s="8"/>
      <c r="C736" s="8"/>
      <c r="D736" s="8"/>
      <c r="E736" s="8"/>
      <c r="F736" s="8"/>
      <c r="G736" s="8"/>
      <c r="H736" s="8"/>
      <c r="I736" s="8"/>
      <c r="J736" s="8"/>
      <c r="K736" s="8"/>
      <c r="L736" s="8"/>
      <c r="M736" s="8"/>
      <c r="N736" s="8"/>
      <c r="O736" s="8"/>
      <c r="P736" s="8"/>
      <c r="Q736" s="8"/>
      <c r="R736" s="8"/>
      <c r="S736" s="8"/>
      <c r="T736" s="8"/>
      <c r="U736" s="8"/>
      <c r="V736" s="8"/>
      <c r="W736" s="8"/>
      <c r="X736" s="8"/>
      <c r="Y736" s="8"/>
    </row>
    <row r="737" spans="1:25" ht="16.5" customHeight="1" x14ac:dyDescent="0.2">
      <c r="A737" s="8"/>
      <c r="B737" s="8"/>
      <c r="C737" s="8"/>
      <c r="D737" s="8"/>
      <c r="E737" s="8"/>
      <c r="F737" s="8"/>
      <c r="G737" s="8"/>
      <c r="H737" s="8"/>
      <c r="I737" s="8"/>
      <c r="J737" s="8"/>
      <c r="K737" s="8"/>
      <c r="L737" s="8"/>
      <c r="M737" s="8"/>
      <c r="N737" s="8"/>
      <c r="O737" s="8"/>
      <c r="P737" s="8"/>
      <c r="Q737" s="8"/>
      <c r="R737" s="8"/>
      <c r="S737" s="8"/>
      <c r="T737" s="8"/>
      <c r="U737" s="8"/>
      <c r="V737" s="8"/>
      <c r="W737" s="8"/>
      <c r="X737" s="8"/>
      <c r="Y737" s="8"/>
    </row>
    <row r="738" spans="1:25" ht="16.5" customHeight="1" x14ac:dyDescent="0.2">
      <c r="A738" s="8"/>
      <c r="B738" s="8"/>
      <c r="C738" s="8"/>
      <c r="D738" s="8"/>
      <c r="E738" s="8"/>
      <c r="F738" s="8"/>
      <c r="G738" s="8"/>
      <c r="H738" s="8"/>
      <c r="I738" s="8"/>
      <c r="J738" s="8"/>
      <c r="K738" s="8"/>
      <c r="L738" s="8"/>
      <c r="M738" s="8"/>
      <c r="N738" s="8"/>
      <c r="O738" s="8"/>
      <c r="P738" s="8"/>
      <c r="Q738" s="8"/>
      <c r="R738" s="8"/>
      <c r="S738" s="8"/>
      <c r="T738" s="8"/>
      <c r="U738" s="8"/>
      <c r="V738" s="8"/>
      <c r="W738" s="8"/>
      <c r="X738" s="8"/>
      <c r="Y738" s="8"/>
    </row>
    <row r="739" spans="1:25" ht="16.5" customHeight="1" x14ac:dyDescent="0.2">
      <c r="A739" s="8"/>
      <c r="B739" s="8"/>
      <c r="C739" s="8"/>
      <c r="D739" s="8"/>
      <c r="E739" s="8"/>
      <c r="F739" s="8"/>
      <c r="G739" s="8"/>
      <c r="H739" s="8"/>
      <c r="I739" s="8"/>
      <c r="J739" s="8"/>
      <c r="K739" s="8"/>
      <c r="L739" s="8"/>
      <c r="M739" s="8"/>
      <c r="N739" s="8"/>
      <c r="O739" s="8"/>
      <c r="P739" s="8"/>
      <c r="Q739" s="8"/>
      <c r="R739" s="8"/>
      <c r="S739" s="8"/>
      <c r="T739" s="8"/>
      <c r="U739" s="8"/>
      <c r="V739" s="8"/>
      <c r="W739" s="8"/>
      <c r="X739" s="8"/>
      <c r="Y739" s="8"/>
    </row>
    <row r="740" spans="1:25" ht="16.5" customHeight="1" x14ac:dyDescent="0.2">
      <c r="A740" s="8"/>
      <c r="B740" s="8"/>
      <c r="C740" s="8"/>
      <c r="D740" s="8"/>
      <c r="E740" s="8"/>
      <c r="F740" s="8"/>
      <c r="G740" s="8"/>
      <c r="H740" s="8"/>
      <c r="I740" s="8"/>
      <c r="J740" s="8"/>
      <c r="K740" s="8"/>
      <c r="L740" s="8"/>
      <c r="M740" s="8"/>
      <c r="N740" s="8"/>
      <c r="O740" s="8"/>
      <c r="P740" s="8"/>
      <c r="Q740" s="8"/>
      <c r="R740" s="8"/>
      <c r="S740" s="8"/>
      <c r="T740" s="8"/>
      <c r="U740" s="8"/>
      <c r="V740" s="8"/>
      <c r="W740" s="8"/>
      <c r="X740" s="8"/>
      <c r="Y740" s="8"/>
    </row>
    <row r="741" spans="1:25" ht="16.5" customHeight="1" x14ac:dyDescent="0.2">
      <c r="A741" s="8"/>
      <c r="B741" s="8"/>
      <c r="C741" s="8"/>
      <c r="D741" s="8"/>
      <c r="E741" s="8"/>
      <c r="F741" s="8"/>
      <c r="G741" s="8"/>
      <c r="H741" s="8"/>
      <c r="I741" s="8"/>
      <c r="J741" s="8"/>
      <c r="K741" s="8"/>
      <c r="L741" s="8"/>
      <c r="M741" s="8"/>
      <c r="N741" s="8"/>
      <c r="O741" s="8"/>
      <c r="P741" s="8"/>
      <c r="Q741" s="8"/>
      <c r="R741" s="8"/>
      <c r="S741" s="8"/>
      <c r="T741" s="8"/>
      <c r="U741" s="8"/>
      <c r="V741" s="8"/>
      <c r="W741" s="8"/>
      <c r="X741" s="8"/>
      <c r="Y741" s="8"/>
    </row>
    <row r="742" spans="1:25" ht="16.5" customHeight="1" x14ac:dyDescent="0.2">
      <c r="A742" s="8"/>
      <c r="B742" s="8"/>
      <c r="C742" s="8"/>
      <c r="D742" s="8"/>
      <c r="E742" s="8"/>
      <c r="F742" s="8"/>
      <c r="G742" s="8"/>
      <c r="H742" s="8"/>
      <c r="I742" s="8"/>
      <c r="J742" s="8"/>
      <c r="K742" s="8"/>
      <c r="L742" s="8"/>
      <c r="M742" s="8"/>
      <c r="N742" s="8"/>
      <c r="O742" s="8"/>
      <c r="P742" s="8"/>
      <c r="Q742" s="8"/>
      <c r="R742" s="8"/>
      <c r="S742" s="8"/>
      <c r="T742" s="8"/>
      <c r="U742" s="8"/>
      <c r="V742" s="8"/>
      <c r="W742" s="8"/>
      <c r="X742" s="8"/>
      <c r="Y742" s="8"/>
    </row>
    <row r="743" spans="1:25" ht="16.5" customHeight="1" x14ac:dyDescent="0.2">
      <c r="A743" s="8"/>
      <c r="B743" s="8"/>
      <c r="C743" s="8"/>
      <c r="D743" s="8"/>
      <c r="E743" s="8"/>
      <c r="F743" s="8"/>
      <c r="G743" s="8"/>
      <c r="H743" s="8"/>
      <c r="I743" s="8"/>
      <c r="J743" s="8"/>
      <c r="K743" s="8"/>
      <c r="L743" s="8"/>
      <c r="M743" s="8"/>
      <c r="N743" s="8"/>
      <c r="O743" s="8"/>
      <c r="P743" s="8"/>
      <c r="Q743" s="8"/>
      <c r="R743" s="8"/>
      <c r="S743" s="8"/>
      <c r="T743" s="8"/>
      <c r="U743" s="8"/>
      <c r="V743" s="8"/>
      <c r="W743" s="8"/>
      <c r="X743" s="8"/>
      <c r="Y743" s="8"/>
    </row>
    <row r="744" spans="1:25" ht="16.5" customHeight="1" x14ac:dyDescent="0.2">
      <c r="A744" s="8"/>
      <c r="B744" s="8"/>
      <c r="C744" s="8"/>
      <c r="D744" s="8"/>
      <c r="E744" s="8"/>
      <c r="F744" s="8"/>
      <c r="G744" s="8"/>
      <c r="H744" s="8"/>
      <c r="I744" s="8"/>
      <c r="J744" s="8"/>
      <c r="K744" s="8"/>
      <c r="L744" s="8"/>
      <c r="M744" s="8"/>
      <c r="N744" s="8"/>
      <c r="O744" s="8"/>
      <c r="P744" s="8"/>
      <c r="Q744" s="8"/>
      <c r="R744" s="8"/>
      <c r="S744" s="8"/>
      <c r="T744" s="8"/>
      <c r="U744" s="8"/>
      <c r="V744" s="8"/>
      <c r="W744" s="8"/>
      <c r="X744" s="8"/>
      <c r="Y744" s="8"/>
    </row>
    <row r="745" spans="1:25" ht="16.5" customHeight="1" x14ac:dyDescent="0.2">
      <c r="A745" s="8"/>
      <c r="B745" s="8"/>
      <c r="C745" s="8"/>
      <c r="D745" s="8"/>
      <c r="E745" s="8"/>
      <c r="F745" s="8"/>
      <c r="G745" s="8"/>
      <c r="H745" s="8"/>
      <c r="I745" s="8"/>
      <c r="J745" s="8"/>
      <c r="K745" s="8"/>
      <c r="L745" s="8"/>
      <c r="M745" s="8"/>
      <c r="N745" s="8"/>
      <c r="O745" s="8"/>
      <c r="P745" s="8"/>
      <c r="Q745" s="8"/>
      <c r="R745" s="8"/>
      <c r="S745" s="8"/>
      <c r="T745" s="8"/>
      <c r="U745" s="8"/>
      <c r="V745" s="8"/>
      <c r="W745" s="8"/>
      <c r="X745" s="8"/>
      <c r="Y745" s="8"/>
    </row>
    <row r="746" spans="1:25" ht="16.5" customHeight="1" x14ac:dyDescent="0.2">
      <c r="A746" s="8"/>
      <c r="B746" s="8"/>
      <c r="C746" s="8"/>
      <c r="D746" s="8"/>
      <c r="E746" s="8"/>
      <c r="F746" s="8"/>
      <c r="G746" s="8"/>
      <c r="H746" s="8"/>
      <c r="I746" s="8"/>
      <c r="J746" s="8"/>
      <c r="K746" s="8"/>
      <c r="L746" s="8"/>
      <c r="M746" s="8"/>
      <c r="N746" s="8"/>
      <c r="O746" s="8"/>
      <c r="P746" s="8"/>
      <c r="Q746" s="8"/>
      <c r="R746" s="8"/>
      <c r="S746" s="8"/>
      <c r="T746" s="8"/>
      <c r="U746" s="8"/>
      <c r="V746" s="8"/>
      <c r="W746" s="8"/>
      <c r="X746" s="8"/>
      <c r="Y746" s="8"/>
    </row>
    <row r="747" spans="1:25" ht="16.5" customHeight="1" x14ac:dyDescent="0.2">
      <c r="A747" s="8"/>
      <c r="B747" s="8"/>
      <c r="C747" s="8"/>
      <c r="D747" s="8"/>
      <c r="E747" s="8"/>
      <c r="F747" s="8"/>
      <c r="G747" s="8"/>
      <c r="H747" s="8"/>
      <c r="I747" s="8"/>
      <c r="J747" s="8"/>
      <c r="K747" s="8"/>
      <c r="L747" s="8"/>
      <c r="M747" s="8"/>
      <c r="N747" s="8"/>
      <c r="O747" s="8"/>
      <c r="P747" s="8"/>
      <c r="Q747" s="8"/>
      <c r="R747" s="8"/>
      <c r="S747" s="8"/>
      <c r="T747" s="8"/>
      <c r="U747" s="8"/>
      <c r="V747" s="8"/>
      <c r="W747" s="8"/>
      <c r="X747" s="8"/>
      <c r="Y747" s="8"/>
    </row>
    <row r="748" spans="1:25" ht="16.5" customHeight="1" x14ac:dyDescent="0.2">
      <c r="A748" s="8"/>
      <c r="B748" s="8"/>
      <c r="C748" s="8"/>
      <c r="D748" s="8"/>
      <c r="E748" s="8"/>
      <c r="F748" s="8"/>
      <c r="G748" s="8"/>
      <c r="H748" s="8"/>
      <c r="I748" s="8"/>
      <c r="J748" s="8"/>
      <c r="K748" s="8"/>
      <c r="L748" s="8"/>
      <c r="M748" s="8"/>
      <c r="N748" s="8"/>
      <c r="O748" s="8"/>
      <c r="P748" s="8"/>
      <c r="Q748" s="8"/>
      <c r="R748" s="8"/>
      <c r="S748" s="8"/>
      <c r="T748" s="8"/>
      <c r="U748" s="8"/>
      <c r="V748" s="8"/>
      <c r="W748" s="8"/>
      <c r="X748" s="8"/>
      <c r="Y748" s="8"/>
    </row>
    <row r="749" spans="1:25" ht="16.5" customHeight="1" x14ac:dyDescent="0.2">
      <c r="A749" s="8"/>
      <c r="B749" s="8"/>
      <c r="C749" s="8"/>
      <c r="D749" s="8"/>
      <c r="E749" s="8"/>
      <c r="F749" s="8"/>
      <c r="G749" s="8"/>
      <c r="H749" s="8"/>
      <c r="I749" s="8"/>
      <c r="J749" s="8"/>
      <c r="K749" s="8"/>
      <c r="L749" s="8"/>
      <c r="M749" s="8"/>
      <c r="N749" s="8"/>
      <c r="O749" s="8"/>
      <c r="P749" s="8"/>
      <c r="Q749" s="8"/>
      <c r="R749" s="8"/>
      <c r="S749" s="8"/>
      <c r="T749" s="8"/>
      <c r="U749" s="8"/>
      <c r="V749" s="8"/>
      <c r="W749" s="8"/>
      <c r="X749" s="8"/>
      <c r="Y749" s="8"/>
    </row>
    <row r="750" spans="1:25" ht="16.5" customHeight="1" x14ac:dyDescent="0.2">
      <c r="A750" s="8"/>
      <c r="B750" s="8"/>
      <c r="C750" s="8"/>
      <c r="D750" s="8"/>
      <c r="E750" s="8"/>
      <c r="F750" s="8"/>
      <c r="G750" s="8"/>
      <c r="H750" s="8"/>
      <c r="I750" s="8"/>
      <c r="J750" s="8"/>
      <c r="K750" s="8"/>
      <c r="L750" s="8"/>
      <c r="M750" s="8"/>
      <c r="N750" s="8"/>
      <c r="O750" s="8"/>
      <c r="P750" s="8"/>
      <c r="Q750" s="8"/>
      <c r="R750" s="8"/>
      <c r="S750" s="8"/>
      <c r="T750" s="8"/>
      <c r="U750" s="8"/>
      <c r="V750" s="8"/>
      <c r="W750" s="8"/>
      <c r="X750" s="8"/>
      <c r="Y750" s="8"/>
    </row>
    <row r="751" spans="1:25" ht="16.5" customHeight="1" x14ac:dyDescent="0.2">
      <c r="A751" s="8"/>
      <c r="B751" s="8"/>
      <c r="C751" s="8"/>
      <c r="D751" s="8"/>
      <c r="E751" s="8"/>
      <c r="F751" s="8"/>
      <c r="G751" s="8"/>
      <c r="H751" s="8"/>
      <c r="I751" s="8"/>
      <c r="J751" s="8"/>
      <c r="K751" s="8"/>
      <c r="L751" s="8"/>
      <c r="M751" s="8"/>
      <c r="N751" s="8"/>
      <c r="O751" s="8"/>
      <c r="P751" s="8"/>
      <c r="Q751" s="8"/>
      <c r="R751" s="8"/>
      <c r="S751" s="8"/>
      <c r="T751" s="8"/>
      <c r="U751" s="8"/>
      <c r="V751" s="8"/>
      <c r="W751" s="8"/>
      <c r="X751" s="8"/>
      <c r="Y751" s="8"/>
    </row>
    <row r="752" spans="1:25" ht="16.5" customHeight="1" x14ac:dyDescent="0.2">
      <c r="A752" s="8"/>
      <c r="B752" s="8"/>
      <c r="C752" s="8"/>
      <c r="D752" s="8"/>
      <c r="E752" s="8"/>
      <c r="F752" s="8"/>
      <c r="G752" s="8"/>
      <c r="H752" s="8"/>
      <c r="I752" s="8"/>
      <c r="J752" s="8"/>
      <c r="K752" s="8"/>
      <c r="L752" s="8"/>
      <c r="M752" s="8"/>
      <c r="N752" s="8"/>
      <c r="O752" s="8"/>
      <c r="P752" s="8"/>
      <c r="Q752" s="8"/>
      <c r="R752" s="8"/>
      <c r="S752" s="8"/>
      <c r="T752" s="8"/>
      <c r="U752" s="8"/>
      <c r="V752" s="8"/>
      <c r="W752" s="8"/>
      <c r="X752" s="8"/>
      <c r="Y752" s="8"/>
    </row>
    <row r="753" spans="1:25" ht="16.5" customHeight="1" x14ac:dyDescent="0.2">
      <c r="A753" s="8"/>
      <c r="B753" s="8"/>
      <c r="C753" s="8"/>
      <c r="D753" s="8"/>
      <c r="E753" s="8"/>
      <c r="F753" s="8"/>
      <c r="G753" s="8"/>
      <c r="H753" s="8"/>
      <c r="I753" s="8"/>
      <c r="J753" s="8"/>
      <c r="K753" s="8"/>
      <c r="L753" s="8"/>
      <c r="M753" s="8"/>
      <c r="N753" s="8"/>
      <c r="O753" s="8"/>
      <c r="P753" s="8"/>
      <c r="Q753" s="8"/>
      <c r="R753" s="8"/>
      <c r="S753" s="8"/>
      <c r="T753" s="8"/>
      <c r="U753" s="8"/>
      <c r="V753" s="8"/>
      <c r="W753" s="8"/>
      <c r="X753" s="8"/>
      <c r="Y753" s="8"/>
    </row>
    <row r="754" spans="1:25" ht="16.5" customHeight="1" x14ac:dyDescent="0.2">
      <c r="A754" s="8"/>
      <c r="B754" s="8"/>
      <c r="C754" s="8"/>
      <c r="D754" s="8"/>
      <c r="E754" s="8"/>
      <c r="F754" s="8"/>
      <c r="G754" s="8"/>
      <c r="H754" s="8"/>
      <c r="I754" s="8"/>
      <c r="J754" s="8"/>
      <c r="K754" s="8"/>
      <c r="L754" s="8"/>
      <c r="M754" s="8"/>
      <c r="N754" s="8"/>
      <c r="O754" s="8"/>
      <c r="P754" s="8"/>
      <c r="Q754" s="8"/>
      <c r="R754" s="8"/>
      <c r="S754" s="8"/>
      <c r="T754" s="8"/>
      <c r="U754" s="8"/>
      <c r="V754" s="8"/>
      <c r="W754" s="8"/>
      <c r="X754" s="8"/>
      <c r="Y754" s="8"/>
    </row>
    <row r="755" spans="1:25" ht="16.5" customHeight="1" x14ac:dyDescent="0.2">
      <c r="A755" s="8"/>
      <c r="B755" s="8"/>
      <c r="C755" s="8"/>
      <c r="D755" s="8"/>
      <c r="E755" s="8"/>
      <c r="F755" s="8"/>
      <c r="G755" s="8"/>
      <c r="H755" s="8"/>
      <c r="I755" s="8"/>
      <c r="J755" s="8"/>
      <c r="K755" s="8"/>
      <c r="L755" s="8"/>
      <c r="M755" s="8"/>
      <c r="N755" s="8"/>
      <c r="O755" s="8"/>
      <c r="P755" s="8"/>
      <c r="Q755" s="8"/>
      <c r="R755" s="8"/>
      <c r="S755" s="8"/>
      <c r="T755" s="8"/>
      <c r="U755" s="8"/>
      <c r="V755" s="8"/>
      <c r="W755" s="8"/>
      <c r="X755" s="8"/>
      <c r="Y755" s="8"/>
    </row>
    <row r="756" spans="1:25" ht="16.5" customHeight="1" x14ac:dyDescent="0.2">
      <c r="A756" s="8"/>
      <c r="B756" s="8"/>
      <c r="C756" s="8"/>
      <c r="D756" s="8"/>
      <c r="E756" s="8"/>
      <c r="F756" s="8"/>
      <c r="G756" s="8"/>
      <c r="H756" s="8"/>
      <c r="I756" s="8"/>
      <c r="J756" s="8"/>
      <c r="K756" s="8"/>
      <c r="L756" s="8"/>
      <c r="M756" s="8"/>
      <c r="N756" s="8"/>
      <c r="O756" s="8"/>
      <c r="P756" s="8"/>
      <c r="Q756" s="8"/>
      <c r="R756" s="8"/>
      <c r="S756" s="8"/>
      <c r="T756" s="8"/>
      <c r="U756" s="8"/>
      <c r="V756" s="8"/>
      <c r="W756" s="8"/>
      <c r="X756" s="8"/>
      <c r="Y756" s="8"/>
    </row>
    <row r="757" spans="1:25" ht="16.5" customHeight="1" x14ac:dyDescent="0.2">
      <c r="A757" s="8"/>
      <c r="B757" s="8"/>
      <c r="C757" s="8"/>
      <c r="D757" s="8"/>
      <c r="E757" s="8"/>
      <c r="F757" s="8"/>
      <c r="G757" s="8"/>
      <c r="H757" s="8"/>
      <c r="I757" s="8"/>
      <c r="J757" s="8"/>
      <c r="K757" s="8"/>
      <c r="L757" s="8"/>
      <c r="M757" s="8"/>
      <c r="N757" s="8"/>
      <c r="O757" s="8"/>
      <c r="P757" s="8"/>
      <c r="Q757" s="8"/>
      <c r="R757" s="8"/>
      <c r="S757" s="8"/>
      <c r="T757" s="8"/>
      <c r="U757" s="8"/>
      <c r="V757" s="8"/>
      <c r="W757" s="8"/>
      <c r="X757" s="8"/>
      <c r="Y757" s="8"/>
    </row>
    <row r="758" spans="1:25" ht="16.5" customHeight="1" x14ac:dyDescent="0.2">
      <c r="A758" s="8"/>
      <c r="B758" s="8"/>
      <c r="C758" s="8"/>
      <c r="D758" s="8"/>
      <c r="E758" s="8"/>
      <c r="F758" s="8"/>
      <c r="G758" s="8"/>
      <c r="H758" s="8"/>
      <c r="I758" s="8"/>
      <c r="J758" s="8"/>
      <c r="K758" s="8"/>
      <c r="L758" s="8"/>
      <c r="M758" s="8"/>
      <c r="N758" s="8"/>
      <c r="O758" s="8"/>
      <c r="P758" s="8"/>
      <c r="Q758" s="8"/>
      <c r="R758" s="8"/>
      <c r="S758" s="8"/>
      <c r="T758" s="8"/>
      <c r="U758" s="8"/>
      <c r="V758" s="8"/>
      <c r="W758" s="8"/>
      <c r="X758" s="8"/>
      <c r="Y758" s="8"/>
    </row>
    <row r="759" spans="1:25" ht="16.5" customHeight="1" x14ac:dyDescent="0.2">
      <c r="A759" s="8"/>
      <c r="B759" s="8"/>
      <c r="C759" s="8"/>
      <c r="D759" s="8"/>
      <c r="E759" s="8"/>
      <c r="F759" s="8"/>
      <c r="G759" s="8"/>
      <c r="H759" s="8"/>
      <c r="I759" s="8"/>
      <c r="J759" s="8"/>
      <c r="K759" s="8"/>
      <c r="L759" s="8"/>
      <c r="M759" s="8"/>
      <c r="N759" s="8"/>
      <c r="O759" s="8"/>
      <c r="P759" s="8"/>
      <c r="Q759" s="8"/>
      <c r="R759" s="8"/>
      <c r="S759" s="8"/>
      <c r="T759" s="8"/>
      <c r="U759" s="8"/>
      <c r="V759" s="8"/>
      <c r="W759" s="8"/>
      <c r="X759" s="8"/>
      <c r="Y759" s="8"/>
    </row>
    <row r="760" spans="1:25" ht="16.5" customHeight="1" x14ac:dyDescent="0.2">
      <c r="A760" s="8"/>
      <c r="B760" s="8"/>
      <c r="C760" s="8"/>
      <c r="D760" s="8"/>
      <c r="E760" s="8"/>
      <c r="F760" s="8"/>
      <c r="G760" s="8"/>
      <c r="H760" s="8"/>
      <c r="I760" s="8"/>
      <c r="J760" s="8"/>
      <c r="K760" s="8"/>
      <c r="L760" s="8"/>
      <c r="M760" s="8"/>
      <c r="N760" s="8"/>
      <c r="O760" s="8"/>
      <c r="P760" s="8"/>
      <c r="Q760" s="8"/>
      <c r="R760" s="8"/>
      <c r="S760" s="8"/>
      <c r="T760" s="8"/>
      <c r="U760" s="8"/>
      <c r="V760" s="8"/>
      <c r="W760" s="8"/>
      <c r="X760" s="8"/>
      <c r="Y760" s="8"/>
    </row>
    <row r="761" spans="1:25" ht="16.5" customHeight="1" x14ac:dyDescent="0.2">
      <c r="A761" s="8"/>
      <c r="B761" s="8"/>
      <c r="C761" s="8"/>
      <c r="D761" s="8"/>
      <c r="E761" s="8"/>
      <c r="F761" s="8"/>
      <c r="G761" s="8"/>
      <c r="H761" s="8"/>
      <c r="I761" s="8"/>
      <c r="J761" s="8"/>
      <c r="K761" s="8"/>
      <c r="L761" s="8"/>
      <c r="M761" s="8"/>
      <c r="N761" s="8"/>
      <c r="O761" s="8"/>
      <c r="P761" s="8"/>
      <c r="Q761" s="8"/>
      <c r="R761" s="8"/>
      <c r="S761" s="8"/>
      <c r="T761" s="8"/>
      <c r="U761" s="8"/>
      <c r="V761" s="8"/>
      <c r="W761" s="8"/>
      <c r="X761" s="8"/>
      <c r="Y761" s="8"/>
    </row>
    <row r="762" spans="1:25" ht="16.5" customHeight="1" x14ac:dyDescent="0.2">
      <c r="A762" s="8"/>
      <c r="B762" s="8"/>
      <c r="C762" s="8"/>
      <c r="D762" s="8"/>
      <c r="E762" s="8"/>
      <c r="F762" s="8"/>
      <c r="G762" s="8"/>
      <c r="H762" s="8"/>
      <c r="I762" s="8"/>
      <c r="J762" s="8"/>
      <c r="K762" s="8"/>
      <c r="L762" s="8"/>
      <c r="M762" s="8"/>
      <c r="N762" s="8"/>
      <c r="O762" s="8"/>
      <c r="P762" s="8"/>
      <c r="Q762" s="8"/>
      <c r="R762" s="8"/>
      <c r="S762" s="8"/>
      <c r="T762" s="8"/>
      <c r="U762" s="8"/>
      <c r="V762" s="8"/>
      <c r="W762" s="8"/>
      <c r="X762" s="8"/>
      <c r="Y762" s="8"/>
    </row>
    <row r="763" spans="1:25" ht="16.5" customHeight="1" x14ac:dyDescent="0.2">
      <c r="A763" s="8"/>
      <c r="B763" s="8"/>
      <c r="C763" s="8"/>
      <c r="D763" s="8"/>
      <c r="E763" s="8"/>
      <c r="F763" s="8"/>
      <c r="G763" s="8"/>
      <c r="H763" s="8"/>
      <c r="I763" s="8"/>
      <c r="J763" s="8"/>
      <c r="K763" s="8"/>
      <c r="L763" s="8"/>
      <c r="M763" s="8"/>
      <c r="N763" s="8"/>
      <c r="O763" s="8"/>
      <c r="P763" s="8"/>
      <c r="Q763" s="8"/>
      <c r="R763" s="8"/>
      <c r="S763" s="8"/>
      <c r="T763" s="8"/>
      <c r="U763" s="8"/>
      <c r="V763" s="8"/>
      <c r="W763" s="8"/>
      <c r="X763" s="8"/>
      <c r="Y763" s="8"/>
    </row>
    <row r="764" spans="1:25" ht="16.5" customHeight="1" x14ac:dyDescent="0.2">
      <c r="A764" s="8"/>
      <c r="B764" s="8"/>
      <c r="C764" s="8"/>
      <c r="D764" s="8"/>
      <c r="E764" s="8"/>
      <c r="F764" s="8"/>
      <c r="G764" s="8"/>
      <c r="H764" s="8"/>
      <c r="I764" s="8"/>
      <c r="J764" s="8"/>
      <c r="K764" s="8"/>
      <c r="L764" s="8"/>
      <c r="M764" s="8"/>
      <c r="N764" s="8"/>
      <c r="O764" s="8"/>
      <c r="P764" s="8"/>
      <c r="Q764" s="8"/>
      <c r="R764" s="8"/>
      <c r="S764" s="8"/>
      <c r="T764" s="8"/>
      <c r="U764" s="8"/>
      <c r="V764" s="8"/>
      <c r="W764" s="8"/>
      <c r="X764" s="8"/>
      <c r="Y764" s="8"/>
    </row>
    <row r="765" spans="1:25" ht="16.5" customHeight="1" x14ac:dyDescent="0.2">
      <c r="A765" s="8"/>
      <c r="B765" s="8"/>
      <c r="C765" s="8"/>
      <c r="D765" s="8"/>
      <c r="E765" s="8"/>
      <c r="F765" s="8"/>
      <c r="G765" s="8"/>
      <c r="H765" s="8"/>
      <c r="I765" s="8"/>
      <c r="J765" s="8"/>
      <c r="K765" s="8"/>
      <c r="L765" s="8"/>
      <c r="M765" s="8"/>
      <c r="N765" s="8"/>
      <c r="O765" s="8"/>
      <c r="P765" s="8"/>
      <c r="Q765" s="8"/>
      <c r="R765" s="8"/>
      <c r="S765" s="8"/>
      <c r="T765" s="8"/>
      <c r="U765" s="8"/>
      <c r="V765" s="8"/>
      <c r="W765" s="8"/>
      <c r="X765" s="8"/>
      <c r="Y765" s="8"/>
    </row>
    <row r="766" spans="1:25" ht="16.5" customHeight="1" x14ac:dyDescent="0.2">
      <c r="A766" s="8"/>
      <c r="B766" s="8"/>
      <c r="C766" s="8"/>
      <c r="D766" s="8"/>
      <c r="E766" s="8"/>
      <c r="F766" s="8"/>
      <c r="G766" s="8"/>
      <c r="H766" s="8"/>
      <c r="I766" s="8"/>
      <c r="J766" s="8"/>
      <c r="K766" s="8"/>
      <c r="L766" s="8"/>
      <c r="M766" s="8"/>
      <c r="N766" s="8"/>
      <c r="O766" s="8"/>
      <c r="P766" s="8"/>
      <c r="Q766" s="8"/>
      <c r="R766" s="8"/>
      <c r="S766" s="8"/>
      <c r="T766" s="8"/>
      <c r="U766" s="8"/>
      <c r="V766" s="8"/>
      <c r="W766" s="8"/>
      <c r="X766" s="8"/>
      <c r="Y766" s="8"/>
    </row>
    <row r="767" spans="1:25" ht="16.5" customHeight="1" x14ac:dyDescent="0.2">
      <c r="A767" s="8"/>
      <c r="B767" s="8"/>
      <c r="C767" s="8"/>
      <c r="D767" s="8"/>
      <c r="E767" s="8"/>
      <c r="F767" s="8"/>
      <c r="G767" s="8"/>
      <c r="H767" s="8"/>
      <c r="I767" s="8"/>
      <c r="J767" s="8"/>
      <c r="K767" s="8"/>
      <c r="L767" s="8"/>
      <c r="M767" s="8"/>
      <c r="N767" s="8"/>
      <c r="O767" s="8"/>
      <c r="P767" s="8"/>
      <c r="Q767" s="8"/>
      <c r="R767" s="8"/>
      <c r="S767" s="8"/>
      <c r="T767" s="8"/>
      <c r="U767" s="8"/>
      <c r="V767" s="8"/>
      <c r="W767" s="8"/>
      <c r="X767" s="8"/>
      <c r="Y767" s="8"/>
    </row>
    <row r="768" spans="1:25" ht="16.5" customHeight="1" x14ac:dyDescent="0.2">
      <c r="A768" s="8"/>
      <c r="B768" s="8"/>
      <c r="C768" s="8"/>
      <c r="D768" s="8"/>
      <c r="E768" s="8"/>
      <c r="F768" s="8"/>
      <c r="G768" s="8"/>
      <c r="H768" s="8"/>
      <c r="I768" s="8"/>
      <c r="J768" s="8"/>
      <c r="K768" s="8"/>
      <c r="L768" s="8"/>
      <c r="M768" s="8"/>
      <c r="N768" s="8"/>
      <c r="O768" s="8"/>
      <c r="P768" s="8"/>
      <c r="Q768" s="8"/>
      <c r="R768" s="8"/>
      <c r="S768" s="8"/>
      <c r="T768" s="8"/>
      <c r="U768" s="8"/>
      <c r="V768" s="8"/>
      <c r="W768" s="8"/>
      <c r="X768" s="8"/>
      <c r="Y768" s="8"/>
    </row>
    <row r="769" spans="1:25" ht="16.5" customHeight="1" x14ac:dyDescent="0.2">
      <c r="A769" s="8"/>
      <c r="B769" s="8"/>
      <c r="C769" s="8"/>
      <c r="D769" s="8"/>
      <c r="E769" s="8"/>
      <c r="F769" s="8"/>
      <c r="G769" s="8"/>
      <c r="H769" s="8"/>
      <c r="I769" s="8"/>
      <c r="J769" s="8"/>
      <c r="K769" s="8"/>
      <c r="L769" s="8"/>
      <c r="M769" s="8"/>
      <c r="N769" s="8"/>
      <c r="O769" s="8"/>
      <c r="P769" s="8"/>
      <c r="Q769" s="8"/>
      <c r="R769" s="8"/>
      <c r="S769" s="8"/>
      <c r="T769" s="8"/>
      <c r="U769" s="8"/>
      <c r="V769" s="8"/>
      <c r="W769" s="8"/>
      <c r="X769" s="8"/>
      <c r="Y769" s="8"/>
    </row>
    <row r="770" spans="1:25" ht="16.5" customHeight="1" x14ac:dyDescent="0.2">
      <c r="A770" s="8"/>
      <c r="B770" s="8"/>
      <c r="C770" s="8"/>
      <c r="D770" s="8"/>
      <c r="E770" s="8"/>
      <c r="F770" s="8"/>
      <c r="G770" s="8"/>
      <c r="H770" s="8"/>
      <c r="I770" s="8"/>
      <c r="J770" s="8"/>
      <c r="K770" s="8"/>
      <c r="L770" s="8"/>
      <c r="M770" s="8"/>
      <c r="N770" s="8"/>
      <c r="O770" s="8"/>
      <c r="P770" s="8"/>
      <c r="Q770" s="8"/>
      <c r="R770" s="8"/>
      <c r="S770" s="8"/>
      <c r="T770" s="8"/>
      <c r="U770" s="8"/>
      <c r="V770" s="8"/>
      <c r="W770" s="8"/>
      <c r="X770" s="8"/>
      <c r="Y770" s="8"/>
    </row>
    <row r="771" spans="1:25" ht="16.5" customHeight="1" x14ac:dyDescent="0.2">
      <c r="A771" s="8"/>
      <c r="B771" s="8"/>
      <c r="C771" s="8"/>
      <c r="D771" s="8"/>
      <c r="E771" s="8"/>
      <c r="F771" s="8"/>
      <c r="G771" s="8"/>
      <c r="H771" s="8"/>
      <c r="I771" s="8"/>
      <c r="J771" s="8"/>
      <c r="K771" s="8"/>
      <c r="L771" s="8"/>
      <c r="M771" s="8"/>
      <c r="N771" s="8"/>
      <c r="O771" s="8"/>
      <c r="P771" s="8"/>
      <c r="Q771" s="8"/>
      <c r="R771" s="8"/>
      <c r="S771" s="8"/>
      <c r="T771" s="8"/>
      <c r="U771" s="8"/>
      <c r="V771" s="8"/>
      <c r="W771" s="8"/>
      <c r="X771" s="8"/>
      <c r="Y771" s="8"/>
    </row>
    <row r="772" spans="1:25" ht="16.5" customHeight="1" x14ac:dyDescent="0.2">
      <c r="A772" s="8"/>
      <c r="B772" s="8"/>
      <c r="C772" s="8"/>
      <c r="D772" s="8"/>
      <c r="E772" s="8"/>
      <c r="F772" s="8"/>
      <c r="G772" s="8"/>
      <c r="H772" s="8"/>
      <c r="I772" s="8"/>
      <c r="J772" s="8"/>
      <c r="K772" s="8"/>
      <c r="L772" s="8"/>
      <c r="M772" s="8"/>
      <c r="N772" s="8"/>
      <c r="O772" s="8"/>
      <c r="P772" s="8"/>
      <c r="Q772" s="8"/>
      <c r="R772" s="8"/>
      <c r="S772" s="8"/>
      <c r="T772" s="8"/>
      <c r="U772" s="8"/>
      <c r="V772" s="8"/>
      <c r="W772" s="8"/>
      <c r="X772" s="8"/>
      <c r="Y772" s="8"/>
    </row>
    <row r="773" spans="1:25" ht="16.5" customHeight="1" x14ac:dyDescent="0.2">
      <c r="A773" s="8"/>
      <c r="B773" s="8"/>
      <c r="C773" s="8"/>
      <c r="D773" s="8"/>
      <c r="E773" s="8"/>
      <c r="F773" s="8"/>
      <c r="G773" s="8"/>
      <c r="H773" s="8"/>
      <c r="I773" s="8"/>
      <c r="J773" s="8"/>
      <c r="K773" s="8"/>
      <c r="L773" s="8"/>
      <c r="M773" s="8"/>
      <c r="N773" s="8"/>
      <c r="O773" s="8"/>
      <c r="P773" s="8"/>
      <c r="Q773" s="8"/>
      <c r="R773" s="8"/>
      <c r="S773" s="8"/>
      <c r="T773" s="8"/>
      <c r="U773" s="8"/>
      <c r="V773" s="8"/>
      <c r="W773" s="8"/>
      <c r="X773" s="8"/>
      <c r="Y773" s="8"/>
    </row>
    <row r="774" spans="1:25" ht="16.5" customHeight="1" x14ac:dyDescent="0.2">
      <c r="A774" s="8"/>
      <c r="B774" s="8"/>
      <c r="C774" s="8"/>
      <c r="D774" s="8"/>
      <c r="E774" s="8"/>
      <c r="F774" s="8"/>
      <c r="G774" s="8"/>
      <c r="H774" s="8"/>
      <c r="I774" s="8"/>
      <c r="J774" s="8"/>
      <c r="K774" s="8"/>
      <c r="L774" s="8"/>
      <c r="M774" s="8"/>
      <c r="N774" s="8"/>
      <c r="O774" s="8"/>
      <c r="P774" s="8"/>
      <c r="Q774" s="8"/>
      <c r="R774" s="8"/>
      <c r="S774" s="8"/>
      <c r="T774" s="8"/>
      <c r="U774" s="8"/>
      <c r="V774" s="8"/>
      <c r="W774" s="8"/>
      <c r="X774" s="8"/>
      <c r="Y774" s="8"/>
    </row>
    <row r="775" spans="1:25" ht="16.5" customHeight="1" x14ac:dyDescent="0.2">
      <c r="A775" s="8"/>
      <c r="B775" s="8"/>
      <c r="C775" s="8"/>
      <c r="D775" s="8"/>
      <c r="E775" s="8"/>
      <c r="F775" s="8"/>
      <c r="G775" s="8"/>
      <c r="H775" s="8"/>
      <c r="I775" s="8"/>
      <c r="J775" s="8"/>
      <c r="K775" s="8"/>
      <c r="L775" s="8"/>
      <c r="M775" s="8"/>
      <c r="N775" s="8"/>
      <c r="O775" s="8"/>
      <c r="P775" s="8"/>
      <c r="Q775" s="8"/>
      <c r="R775" s="8"/>
      <c r="S775" s="8"/>
      <c r="T775" s="8"/>
      <c r="U775" s="8"/>
      <c r="V775" s="8"/>
      <c r="W775" s="8"/>
      <c r="X775" s="8"/>
      <c r="Y775" s="8"/>
    </row>
    <row r="776" spans="1:25" ht="16.5" customHeight="1" x14ac:dyDescent="0.2">
      <c r="A776" s="8"/>
      <c r="B776" s="8"/>
      <c r="C776" s="8"/>
      <c r="D776" s="8"/>
      <c r="E776" s="8"/>
      <c r="F776" s="8"/>
      <c r="G776" s="8"/>
      <c r="H776" s="8"/>
      <c r="I776" s="8"/>
      <c r="J776" s="8"/>
      <c r="K776" s="8"/>
      <c r="L776" s="8"/>
      <c r="M776" s="8"/>
      <c r="N776" s="8"/>
      <c r="O776" s="8"/>
      <c r="P776" s="8"/>
      <c r="Q776" s="8"/>
      <c r="R776" s="8"/>
      <c r="S776" s="8"/>
      <c r="T776" s="8"/>
      <c r="U776" s="8"/>
      <c r="V776" s="8"/>
      <c r="W776" s="8"/>
      <c r="X776" s="8"/>
      <c r="Y776" s="8"/>
    </row>
    <row r="777" spans="1:25" ht="16.5" customHeight="1" x14ac:dyDescent="0.2">
      <c r="A777" s="8"/>
      <c r="B777" s="8"/>
      <c r="C777" s="8"/>
      <c r="D777" s="8"/>
      <c r="E777" s="8"/>
      <c r="F777" s="8"/>
      <c r="G777" s="8"/>
      <c r="H777" s="8"/>
      <c r="I777" s="8"/>
      <c r="J777" s="8"/>
      <c r="K777" s="8"/>
      <c r="L777" s="8"/>
      <c r="M777" s="8"/>
      <c r="N777" s="8"/>
      <c r="O777" s="8"/>
      <c r="P777" s="8"/>
      <c r="Q777" s="8"/>
      <c r="R777" s="8"/>
      <c r="S777" s="8"/>
      <c r="T777" s="8"/>
      <c r="U777" s="8"/>
      <c r="V777" s="8"/>
      <c r="W777" s="8"/>
      <c r="X777" s="8"/>
      <c r="Y777" s="8"/>
    </row>
    <row r="778" spans="1:25" ht="16.5" customHeight="1" x14ac:dyDescent="0.2">
      <c r="A778" s="8"/>
      <c r="B778" s="8"/>
      <c r="C778" s="8"/>
      <c r="D778" s="8"/>
      <c r="E778" s="8"/>
      <c r="F778" s="8"/>
      <c r="G778" s="8"/>
      <c r="H778" s="8"/>
      <c r="I778" s="8"/>
      <c r="J778" s="8"/>
      <c r="K778" s="8"/>
      <c r="L778" s="8"/>
      <c r="M778" s="8"/>
      <c r="N778" s="8"/>
      <c r="O778" s="8"/>
      <c r="P778" s="8"/>
      <c r="Q778" s="8"/>
      <c r="R778" s="8"/>
      <c r="S778" s="8"/>
      <c r="T778" s="8"/>
      <c r="U778" s="8"/>
      <c r="V778" s="8"/>
      <c r="W778" s="8"/>
      <c r="X778" s="8"/>
      <c r="Y778" s="8"/>
    </row>
    <row r="779" spans="1:25" ht="16.5" customHeight="1" x14ac:dyDescent="0.2">
      <c r="A779" s="8"/>
      <c r="B779" s="8"/>
      <c r="C779" s="8"/>
      <c r="D779" s="8"/>
      <c r="E779" s="8"/>
      <c r="F779" s="8"/>
      <c r="G779" s="8"/>
      <c r="H779" s="8"/>
      <c r="I779" s="8"/>
      <c r="J779" s="8"/>
      <c r="K779" s="8"/>
      <c r="L779" s="8"/>
      <c r="M779" s="8"/>
      <c r="N779" s="8"/>
      <c r="O779" s="8"/>
      <c r="P779" s="8"/>
      <c r="Q779" s="8"/>
      <c r="R779" s="8"/>
      <c r="S779" s="8"/>
      <c r="T779" s="8"/>
      <c r="U779" s="8"/>
      <c r="V779" s="8"/>
      <c r="W779" s="8"/>
      <c r="X779" s="8"/>
      <c r="Y779" s="8"/>
    </row>
    <row r="780" spans="1:25" ht="16.5" customHeight="1" x14ac:dyDescent="0.2">
      <c r="A780" s="8"/>
      <c r="B780" s="8"/>
      <c r="C780" s="8"/>
      <c r="D780" s="8"/>
      <c r="E780" s="8"/>
      <c r="F780" s="8"/>
      <c r="G780" s="8"/>
      <c r="H780" s="8"/>
      <c r="I780" s="8"/>
      <c r="J780" s="8"/>
      <c r="K780" s="8"/>
      <c r="L780" s="8"/>
      <c r="M780" s="8"/>
      <c r="N780" s="8"/>
      <c r="O780" s="8"/>
      <c r="P780" s="8"/>
      <c r="Q780" s="8"/>
      <c r="R780" s="8"/>
      <c r="S780" s="8"/>
      <c r="T780" s="8"/>
      <c r="U780" s="8"/>
      <c r="V780" s="8"/>
      <c r="W780" s="8"/>
      <c r="X780" s="8"/>
      <c r="Y780" s="8"/>
    </row>
    <row r="781" spans="1:25" ht="16.5" customHeight="1" x14ac:dyDescent="0.2">
      <c r="A781" s="8"/>
      <c r="B781" s="8"/>
      <c r="C781" s="8"/>
      <c r="D781" s="8"/>
      <c r="E781" s="8"/>
      <c r="F781" s="8"/>
      <c r="G781" s="8"/>
      <c r="H781" s="8"/>
      <c r="I781" s="8"/>
      <c r="J781" s="8"/>
      <c r="K781" s="8"/>
      <c r="L781" s="8"/>
      <c r="M781" s="8"/>
      <c r="N781" s="8"/>
      <c r="O781" s="8"/>
      <c r="P781" s="8"/>
      <c r="Q781" s="8"/>
      <c r="R781" s="8"/>
      <c r="S781" s="8"/>
      <c r="T781" s="8"/>
      <c r="U781" s="8"/>
      <c r="V781" s="8"/>
      <c r="W781" s="8"/>
      <c r="X781" s="8"/>
      <c r="Y781" s="8"/>
    </row>
    <row r="782" spans="1:25" ht="16.5" customHeight="1" x14ac:dyDescent="0.2">
      <c r="A782" s="8"/>
      <c r="B782" s="8"/>
      <c r="C782" s="8"/>
      <c r="D782" s="8"/>
      <c r="E782" s="8"/>
      <c r="F782" s="8"/>
      <c r="G782" s="8"/>
      <c r="H782" s="8"/>
      <c r="I782" s="8"/>
      <c r="J782" s="8"/>
      <c r="K782" s="8"/>
      <c r="L782" s="8"/>
      <c r="M782" s="8"/>
      <c r="N782" s="8"/>
      <c r="O782" s="8"/>
      <c r="P782" s="8"/>
      <c r="Q782" s="8"/>
      <c r="R782" s="8"/>
      <c r="S782" s="8"/>
      <c r="T782" s="8"/>
      <c r="U782" s="8"/>
      <c r="V782" s="8"/>
      <c r="W782" s="8"/>
      <c r="X782" s="8"/>
      <c r="Y782" s="8"/>
    </row>
    <row r="783" spans="1:25" ht="16.5" customHeight="1" x14ac:dyDescent="0.2">
      <c r="A783" s="8"/>
      <c r="B783" s="8"/>
      <c r="C783" s="8"/>
      <c r="D783" s="8"/>
      <c r="E783" s="8"/>
      <c r="F783" s="8"/>
      <c r="G783" s="8"/>
      <c r="H783" s="8"/>
      <c r="I783" s="8"/>
      <c r="J783" s="8"/>
      <c r="K783" s="8"/>
      <c r="L783" s="8"/>
      <c r="M783" s="8"/>
      <c r="N783" s="8"/>
      <c r="O783" s="8"/>
      <c r="P783" s="8"/>
      <c r="Q783" s="8"/>
      <c r="R783" s="8"/>
      <c r="S783" s="8"/>
      <c r="T783" s="8"/>
      <c r="U783" s="8"/>
      <c r="V783" s="8"/>
      <c r="W783" s="8"/>
      <c r="X783" s="8"/>
      <c r="Y783" s="8"/>
    </row>
    <row r="784" spans="1:25" ht="16.5" customHeight="1" x14ac:dyDescent="0.2">
      <c r="A784" s="8"/>
      <c r="B784" s="8"/>
      <c r="C784" s="8"/>
      <c r="D784" s="8"/>
      <c r="E784" s="8"/>
      <c r="F784" s="8"/>
      <c r="G784" s="8"/>
      <c r="H784" s="8"/>
      <c r="I784" s="8"/>
      <c r="J784" s="8"/>
      <c r="K784" s="8"/>
      <c r="L784" s="8"/>
      <c r="M784" s="8"/>
      <c r="N784" s="8"/>
      <c r="O784" s="8"/>
      <c r="P784" s="8"/>
      <c r="Q784" s="8"/>
      <c r="R784" s="8"/>
      <c r="S784" s="8"/>
      <c r="T784" s="8"/>
      <c r="U784" s="8"/>
      <c r="V784" s="8"/>
      <c r="W784" s="8"/>
      <c r="X784" s="8"/>
      <c r="Y784" s="8"/>
    </row>
    <row r="785" spans="1:25" ht="16.5" customHeight="1" x14ac:dyDescent="0.2">
      <c r="A785" s="8"/>
      <c r="B785" s="8"/>
      <c r="C785" s="8"/>
      <c r="D785" s="8"/>
      <c r="E785" s="8"/>
      <c r="F785" s="8"/>
      <c r="G785" s="8"/>
      <c r="H785" s="8"/>
      <c r="I785" s="8"/>
      <c r="J785" s="8"/>
      <c r="K785" s="8"/>
      <c r="L785" s="8"/>
      <c r="M785" s="8"/>
      <c r="N785" s="8"/>
      <c r="O785" s="8"/>
      <c r="P785" s="8"/>
      <c r="Q785" s="8"/>
      <c r="R785" s="8"/>
      <c r="S785" s="8"/>
      <c r="T785" s="8"/>
      <c r="U785" s="8"/>
      <c r="V785" s="8"/>
      <c r="W785" s="8"/>
      <c r="X785" s="8"/>
      <c r="Y785" s="8"/>
    </row>
    <row r="786" spans="1:25" ht="16.5" customHeight="1" x14ac:dyDescent="0.2">
      <c r="A786" s="8"/>
      <c r="B786" s="8"/>
      <c r="C786" s="8"/>
      <c r="D786" s="8"/>
      <c r="E786" s="8"/>
      <c r="F786" s="8"/>
      <c r="G786" s="8"/>
      <c r="H786" s="8"/>
      <c r="I786" s="8"/>
      <c r="J786" s="8"/>
      <c r="K786" s="8"/>
      <c r="L786" s="8"/>
      <c r="M786" s="8"/>
      <c r="N786" s="8"/>
      <c r="O786" s="8"/>
      <c r="P786" s="8"/>
      <c r="Q786" s="8"/>
      <c r="R786" s="8"/>
      <c r="S786" s="8"/>
      <c r="T786" s="8"/>
      <c r="U786" s="8"/>
      <c r="V786" s="8"/>
      <c r="W786" s="8"/>
      <c r="X786" s="8"/>
      <c r="Y786" s="8"/>
    </row>
    <row r="787" spans="1:25" ht="16.5" customHeight="1" x14ac:dyDescent="0.2">
      <c r="A787" s="8"/>
      <c r="B787" s="8"/>
      <c r="C787" s="8"/>
      <c r="D787" s="8"/>
      <c r="E787" s="8"/>
      <c r="F787" s="8"/>
      <c r="G787" s="8"/>
      <c r="H787" s="8"/>
      <c r="I787" s="8"/>
      <c r="J787" s="8"/>
      <c r="K787" s="8"/>
      <c r="L787" s="8"/>
      <c r="M787" s="8"/>
      <c r="N787" s="8"/>
      <c r="O787" s="8"/>
      <c r="P787" s="8"/>
      <c r="Q787" s="8"/>
      <c r="R787" s="8"/>
      <c r="S787" s="8"/>
      <c r="T787" s="8"/>
      <c r="U787" s="8"/>
      <c r="V787" s="8"/>
      <c r="W787" s="8"/>
      <c r="X787" s="8"/>
      <c r="Y787" s="8"/>
    </row>
    <row r="788" spans="1:25" ht="16.5" customHeight="1" x14ac:dyDescent="0.2">
      <c r="A788" s="8"/>
      <c r="B788" s="8"/>
      <c r="C788" s="8"/>
      <c r="D788" s="8"/>
      <c r="E788" s="8"/>
      <c r="F788" s="8"/>
      <c r="G788" s="8"/>
      <c r="H788" s="8"/>
      <c r="I788" s="8"/>
      <c r="J788" s="8"/>
      <c r="K788" s="8"/>
      <c r="L788" s="8"/>
      <c r="M788" s="8"/>
      <c r="N788" s="8"/>
      <c r="O788" s="8"/>
      <c r="P788" s="8"/>
      <c r="Q788" s="8"/>
      <c r="R788" s="8"/>
      <c r="S788" s="8"/>
      <c r="T788" s="8"/>
      <c r="U788" s="8"/>
      <c r="V788" s="8"/>
      <c r="W788" s="8"/>
      <c r="X788" s="8"/>
      <c r="Y788" s="8"/>
    </row>
    <row r="789" spans="1:25" ht="16.5" customHeight="1" x14ac:dyDescent="0.2">
      <c r="A789" s="8"/>
      <c r="B789" s="8"/>
      <c r="C789" s="8"/>
      <c r="D789" s="8"/>
      <c r="E789" s="8"/>
      <c r="F789" s="8"/>
      <c r="G789" s="8"/>
      <c r="H789" s="8"/>
      <c r="I789" s="8"/>
      <c r="J789" s="8"/>
      <c r="K789" s="8"/>
      <c r="L789" s="8"/>
      <c r="M789" s="8"/>
      <c r="N789" s="8"/>
      <c r="O789" s="8"/>
      <c r="P789" s="8"/>
      <c r="Q789" s="8"/>
      <c r="R789" s="8"/>
      <c r="S789" s="8"/>
      <c r="T789" s="8"/>
      <c r="U789" s="8"/>
      <c r="V789" s="8"/>
      <c r="W789" s="8"/>
      <c r="X789" s="8"/>
      <c r="Y789" s="8"/>
    </row>
    <row r="790" spans="1:25" ht="16.5" customHeight="1" x14ac:dyDescent="0.2">
      <c r="A790" s="8"/>
      <c r="B790" s="8"/>
      <c r="C790" s="8"/>
      <c r="D790" s="8"/>
      <c r="E790" s="8"/>
      <c r="F790" s="8"/>
      <c r="G790" s="8"/>
      <c r="H790" s="8"/>
      <c r="I790" s="8"/>
      <c r="J790" s="8"/>
      <c r="K790" s="8"/>
      <c r="L790" s="8"/>
      <c r="M790" s="8"/>
      <c r="N790" s="8"/>
      <c r="O790" s="8"/>
      <c r="P790" s="8"/>
      <c r="Q790" s="8"/>
      <c r="R790" s="8"/>
      <c r="S790" s="8"/>
      <c r="T790" s="8"/>
      <c r="U790" s="8"/>
      <c r="V790" s="8"/>
      <c r="W790" s="8"/>
      <c r="X790" s="8"/>
      <c r="Y790" s="8"/>
    </row>
    <row r="791" spans="1:25" ht="16.5" customHeight="1" x14ac:dyDescent="0.2">
      <c r="A791" s="8"/>
      <c r="B791" s="8"/>
      <c r="C791" s="8"/>
      <c r="D791" s="8"/>
      <c r="E791" s="8"/>
      <c r="F791" s="8"/>
      <c r="G791" s="8"/>
      <c r="H791" s="8"/>
      <c r="I791" s="8"/>
      <c r="J791" s="8"/>
      <c r="K791" s="8"/>
      <c r="L791" s="8"/>
      <c r="M791" s="8"/>
      <c r="N791" s="8"/>
      <c r="O791" s="8"/>
      <c r="P791" s="8"/>
      <c r="Q791" s="8"/>
      <c r="R791" s="8"/>
      <c r="S791" s="8"/>
      <c r="T791" s="8"/>
      <c r="U791" s="8"/>
      <c r="V791" s="8"/>
      <c r="W791" s="8"/>
      <c r="X791" s="8"/>
      <c r="Y791" s="8"/>
    </row>
    <row r="792" spans="1:25" ht="16.5" customHeight="1" x14ac:dyDescent="0.2">
      <c r="A792" s="8"/>
      <c r="B792" s="8"/>
      <c r="C792" s="8"/>
      <c r="D792" s="8"/>
      <c r="E792" s="8"/>
      <c r="F792" s="8"/>
      <c r="G792" s="8"/>
      <c r="H792" s="8"/>
      <c r="I792" s="8"/>
      <c r="J792" s="8"/>
      <c r="K792" s="8"/>
      <c r="L792" s="8"/>
      <c r="M792" s="8"/>
      <c r="N792" s="8"/>
      <c r="O792" s="8"/>
      <c r="P792" s="8"/>
      <c r="Q792" s="8"/>
      <c r="R792" s="8"/>
      <c r="S792" s="8"/>
      <c r="T792" s="8"/>
      <c r="U792" s="8"/>
      <c r="V792" s="8"/>
      <c r="W792" s="8"/>
      <c r="X792" s="8"/>
      <c r="Y792" s="8"/>
    </row>
    <row r="793" spans="1:25" ht="16.5" customHeight="1" x14ac:dyDescent="0.2">
      <c r="A793" s="8"/>
      <c r="B793" s="8"/>
      <c r="C793" s="8"/>
      <c r="D793" s="8"/>
      <c r="E793" s="8"/>
      <c r="F793" s="8"/>
      <c r="G793" s="8"/>
      <c r="H793" s="8"/>
      <c r="I793" s="8"/>
      <c r="J793" s="8"/>
      <c r="K793" s="8"/>
      <c r="L793" s="8"/>
      <c r="M793" s="8"/>
      <c r="N793" s="8"/>
      <c r="O793" s="8"/>
      <c r="P793" s="8"/>
      <c r="Q793" s="8"/>
      <c r="R793" s="8"/>
      <c r="S793" s="8"/>
      <c r="T793" s="8"/>
      <c r="U793" s="8"/>
      <c r="V793" s="8"/>
      <c r="W793" s="8"/>
      <c r="X793" s="8"/>
      <c r="Y793" s="8"/>
    </row>
    <row r="794" spans="1:25" ht="16.5" customHeight="1" x14ac:dyDescent="0.2">
      <c r="A794" s="8"/>
      <c r="B794" s="8"/>
      <c r="C794" s="8"/>
      <c r="D794" s="8"/>
      <c r="E794" s="8"/>
      <c r="F794" s="8"/>
      <c r="G794" s="8"/>
      <c r="H794" s="8"/>
      <c r="I794" s="8"/>
      <c r="J794" s="8"/>
      <c r="K794" s="8"/>
      <c r="L794" s="8"/>
      <c r="M794" s="8"/>
      <c r="N794" s="8"/>
      <c r="O794" s="8"/>
      <c r="P794" s="8"/>
      <c r="Q794" s="8"/>
      <c r="R794" s="8"/>
      <c r="S794" s="8"/>
      <c r="T794" s="8"/>
      <c r="U794" s="8"/>
      <c r="V794" s="8"/>
      <c r="W794" s="8"/>
      <c r="X794" s="8"/>
      <c r="Y794" s="8"/>
    </row>
    <row r="795" spans="1:25" ht="16.5" customHeight="1" x14ac:dyDescent="0.2">
      <c r="A795" s="8"/>
      <c r="B795" s="8"/>
      <c r="C795" s="8"/>
      <c r="D795" s="8"/>
      <c r="E795" s="8"/>
      <c r="F795" s="8"/>
      <c r="G795" s="8"/>
      <c r="H795" s="8"/>
      <c r="I795" s="8"/>
      <c r="J795" s="8"/>
      <c r="K795" s="8"/>
      <c r="L795" s="8"/>
      <c r="M795" s="8"/>
      <c r="N795" s="8"/>
      <c r="O795" s="8"/>
      <c r="P795" s="8"/>
      <c r="Q795" s="8"/>
      <c r="R795" s="8"/>
      <c r="S795" s="8"/>
      <c r="T795" s="8"/>
      <c r="U795" s="8"/>
      <c r="V795" s="8"/>
      <c r="W795" s="8"/>
      <c r="X795" s="8"/>
      <c r="Y795" s="8"/>
    </row>
    <row r="796" spans="1:25" ht="16.5" customHeight="1" x14ac:dyDescent="0.2">
      <c r="A796" s="8"/>
      <c r="B796" s="8"/>
      <c r="C796" s="8"/>
      <c r="D796" s="8"/>
      <c r="E796" s="8"/>
      <c r="F796" s="8"/>
      <c r="G796" s="8"/>
      <c r="H796" s="8"/>
      <c r="I796" s="8"/>
      <c r="J796" s="8"/>
      <c r="K796" s="8"/>
      <c r="L796" s="8"/>
      <c r="M796" s="8"/>
      <c r="N796" s="8"/>
      <c r="O796" s="8"/>
      <c r="P796" s="8"/>
      <c r="Q796" s="8"/>
      <c r="R796" s="8"/>
      <c r="S796" s="8"/>
      <c r="T796" s="8"/>
      <c r="U796" s="8"/>
      <c r="V796" s="8"/>
      <c r="W796" s="8"/>
      <c r="X796" s="8"/>
      <c r="Y796" s="8"/>
    </row>
    <row r="797" spans="1:25" ht="16.5" customHeight="1" x14ac:dyDescent="0.2">
      <c r="A797" s="8"/>
      <c r="B797" s="8"/>
      <c r="C797" s="8"/>
      <c r="D797" s="8"/>
      <c r="E797" s="8"/>
      <c r="F797" s="8"/>
      <c r="G797" s="8"/>
      <c r="H797" s="8"/>
      <c r="I797" s="8"/>
      <c r="J797" s="8"/>
      <c r="K797" s="8"/>
      <c r="L797" s="8"/>
      <c r="M797" s="8"/>
      <c r="N797" s="8"/>
      <c r="O797" s="8"/>
      <c r="P797" s="8"/>
      <c r="Q797" s="8"/>
      <c r="R797" s="8"/>
      <c r="S797" s="8"/>
      <c r="T797" s="8"/>
      <c r="U797" s="8"/>
      <c r="V797" s="8"/>
      <c r="W797" s="8"/>
      <c r="X797" s="8"/>
      <c r="Y797" s="8"/>
    </row>
    <row r="798" spans="1:25" ht="16.5" customHeight="1" x14ac:dyDescent="0.2">
      <c r="A798" s="8"/>
      <c r="B798" s="8"/>
      <c r="C798" s="8"/>
      <c r="D798" s="8"/>
      <c r="E798" s="8"/>
      <c r="F798" s="8"/>
      <c r="G798" s="8"/>
      <c r="H798" s="8"/>
      <c r="I798" s="8"/>
      <c r="J798" s="8"/>
      <c r="K798" s="8"/>
      <c r="L798" s="8"/>
      <c r="M798" s="8"/>
      <c r="N798" s="8"/>
      <c r="O798" s="8"/>
      <c r="P798" s="8"/>
      <c r="Q798" s="8"/>
      <c r="R798" s="8"/>
      <c r="S798" s="8"/>
      <c r="T798" s="8"/>
      <c r="U798" s="8"/>
      <c r="V798" s="8"/>
      <c r="W798" s="8"/>
      <c r="X798" s="8"/>
      <c r="Y798" s="8"/>
    </row>
    <row r="799" spans="1:25" ht="16.5" customHeight="1" x14ac:dyDescent="0.2">
      <c r="A799" s="8"/>
      <c r="B799" s="8"/>
      <c r="C799" s="8"/>
      <c r="D799" s="8"/>
      <c r="E799" s="8"/>
      <c r="F799" s="8"/>
      <c r="G799" s="8"/>
      <c r="H799" s="8"/>
      <c r="I799" s="8"/>
      <c r="J799" s="8"/>
      <c r="K799" s="8"/>
      <c r="L799" s="8"/>
      <c r="M799" s="8"/>
      <c r="N799" s="8"/>
      <c r="O799" s="8"/>
      <c r="P799" s="8"/>
      <c r="Q799" s="8"/>
      <c r="R799" s="8"/>
      <c r="S799" s="8"/>
      <c r="T799" s="8"/>
      <c r="U799" s="8"/>
      <c r="V799" s="8"/>
      <c r="W799" s="8"/>
      <c r="X799" s="8"/>
      <c r="Y799" s="8"/>
    </row>
    <row r="800" spans="1:25" ht="16.5" customHeight="1" x14ac:dyDescent="0.2">
      <c r="A800" s="8"/>
      <c r="B800" s="8"/>
      <c r="C800" s="8"/>
      <c r="D800" s="8"/>
      <c r="E800" s="8"/>
      <c r="F800" s="8"/>
      <c r="G800" s="8"/>
      <c r="H800" s="8"/>
      <c r="I800" s="8"/>
      <c r="J800" s="8"/>
      <c r="K800" s="8"/>
      <c r="L800" s="8"/>
      <c r="M800" s="8"/>
      <c r="N800" s="8"/>
      <c r="O800" s="8"/>
      <c r="P800" s="8"/>
      <c r="Q800" s="8"/>
      <c r="R800" s="8"/>
      <c r="S800" s="8"/>
      <c r="T800" s="8"/>
      <c r="U800" s="8"/>
      <c r="V800" s="8"/>
      <c r="W800" s="8"/>
      <c r="X800" s="8"/>
      <c r="Y800" s="8"/>
    </row>
    <row r="801" spans="1:25" ht="16.5" customHeight="1" x14ac:dyDescent="0.2">
      <c r="A801" s="8"/>
      <c r="B801" s="8"/>
      <c r="C801" s="8"/>
      <c r="D801" s="8"/>
      <c r="E801" s="8"/>
      <c r="F801" s="8"/>
      <c r="G801" s="8"/>
      <c r="H801" s="8"/>
      <c r="I801" s="8"/>
      <c r="J801" s="8"/>
      <c r="K801" s="8"/>
      <c r="L801" s="8"/>
      <c r="M801" s="8"/>
      <c r="N801" s="8"/>
      <c r="O801" s="8"/>
      <c r="P801" s="8"/>
      <c r="Q801" s="8"/>
      <c r="R801" s="8"/>
      <c r="S801" s="8"/>
      <c r="T801" s="8"/>
      <c r="U801" s="8"/>
      <c r="V801" s="8"/>
      <c r="W801" s="8"/>
      <c r="X801" s="8"/>
      <c r="Y801" s="8"/>
    </row>
    <row r="802" spans="1:25" ht="16.5" customHeight="1" x14ac:dyDescent="0.2">
      <c r="A802" s="8"/>
      <c r="B802" s="8"/>
      <c r="C802" s="8"/>
      <c r="D802" s="8"/>
      <c r="E802" s="8"/>
      <c r="F802" s="8"/>
      <c r="G802" s="8"/>
      <c r="H802" s="8"/>
      <c r="I802" s="8"/>
      <c r="J802" s="8"/>
      <c r="K802" s="8"/>
      <c r="L802" s="8"/>
      <c r="M802" s="8"/>
      <c r="N802" s="8"/>
      <c r="O802" s="8"/>
      <c r="P802" s="8"/>
      <c r="Q802" s="8"/>
      <c r="R802" s="8"/>
      <c r="S802" s="8"/>
      <c r="T802" s="8"/>
      <c r="U802" s="8"/>
      <c r="V802" s="8"/>
      <c r="W802" s="8"/>
      <c r="X802" s="8"/>
      <c r="Y802" s="8"/>
    </row>
    <row r="803" spans="1:25" ht="16.5" customHeight="1" x14ac:dyDescent="0.2">
      <c r="A803" s="8"/>
      <c r="B803" s="8"/>
      <c r="C803" s="8"/>
      <c r="D803" s="8"/>
      <c r="E803" s="8"/>
      <c r="F803" s="8"/>
      <c r="G803" s="8"/>
      <c r="H803" s="8"/>
      <c r="I803" s="8"/>
      <c r="J803" s="8"/>
      <c r="K803" s="8"/>
      <c r="L803" s="8"/>
      <c r="M803" s="8"/>
      <c r="N803" s="8"/>
      <c r="O803" s="8"/>
      <c r="P803" s="8"/>
      <c r="Q803" s="8"/>
      <c r="R803" s="8"/>
      <c r="S803" s="8"/>
      <c r="T803" s="8"/>
      <c r="U803" s="8"/>
      <c r="V803" s="8"/>
      <c r="W803" s="8"/>
      <c r="X803" s="8"/>
      <c r="Y803" s="8"/>
    </row>
    <row r="804" spans="1:25" ht="16.5" customHeight="1" x14ac:dyDescent="0.2">
      <c r="A804" s="8"/>
      <c r="B804" s="8"/>
      <c r="C804" s="8"/>
      <c r="D804" s="8"/>
      <c r="E804" s="8"/>
      <c r="F804" s="8"/>
      <c r="G804" s="8"/>
      <c r="H804" s="8"/>
      <c r="I804" s="8"/>
      <c r="J804" s="8"/>
      <c r="K804" s="8"/>
      <c r="L804" s="8"/>
      <c r="M804" s="8"/>
      <c r="N804" s="8"/>
      <c r="O804" s="8"/>
      <c r="P804" s="8"/>
      <c r="Q804" s="8"/>
      <c r="R804" s="8"/>
      <c r="S804" s="8"/>
      <c r="T804" s="8"/>
      <c r="U804" s="8"/>
      <c r="V804" s="8"/>
      <c r="W804" s="8"/>
      <c r="X804" s="8"/>
      <c r="Y804" s="8"/>
    </row>
    <row r="805" spans="1:25" ht="16.5" customHeight="1" x14ac:dyDescent="0.2">
      <c r="A805" s="8"/>
      <c r="B805" s="8"/>
      <c r="C805" s="8"/>
      <c r="D805" s="8"/>
      <c r="E805" s="8"/>
      <c r="F805" s="8"/>
      <c r="G805" s="8"/>
      <c r="H805" s="8"/>
      <c r="I805" s="8"/>
      <c r="J805" s="8"/>
      <c r="K805" s="8"/>
      <c r="L805" s="8"/>
      <c r="M805" s="8"/>
      <c r="N805" s="8"/>
      <c r="O805" s="8"/>
      <c r="P805" s="8"/>
      <c r="Q805" s="8"/>
      <c r="R805" s="8"/>
      <c r="S805" s="8"/>
      <c r="T805" s="8"/>
      <c r="U805" s="8"/>
      <c r="V805" s="8"/>
      <c r="W805" s="8"/>
      <c r="X805" s="8"/>
      <c r="Y805" s="8"/>
    </row>
    <row r="806" spans="1:25" ht="16.5" customHeight="1" x14ac:dyDescent="0.2">
      <c r="A806" s="8"/>
      <c r="B806" s="8"/>
      <c r="C806" s="8"/>
      <c r="D806" s="8"/>
      <c r="E806" s="8"/>
      <c r="F806" s="8"/>
      <c r="G806" s="8"/>
      <c r="H806" s="8"/>
      <c r="I806" s="8"/>
      <c r="J806" s="8"/>
      <c r="K806" s="8"/>
      <c r="L806" s="8"/>
      <c r="M806" s="8"/>
      <c r="N806" s="8"/>
      <c r="O806" s="8"/>
      <c r="P806" s="8"/>
      <c r="Q806" s="8"/>
      <c r="R806" s="8"/>
      <c r="S806" s="8"/>
      <c r="T806" s="8"/>
      <c r="U806" s="8"/>
      <c r="V806" s="8"/>
      <c r="W806" s="8"/>
      <c r="X806" s="8"/>
      <c r="Y806" s="8"/>
    </row>
    <row r="807" spans="1:25" ht="16.5" customHeight="1" x14ac:dyDescent="0.2">
      <c r="A807" s="8"/>
      <c r="B807" s="8"/>
      <c r="C807" s="8"/>
      <c r="D807" s="8"/>
      <c r="E807" s="8"/>
      <c r="F807" s="8"/>
      <c r="G807" s="8"/>
      <c r="H807" s="8"/>
      <c r="I807" s="8"/>
      <c r="J807" s="8"/>
      <c r="K807" s="8"/>
      <c r="L807" s="8"/>
      <c r="M807" s="8"/>
      <c r="N807" s="8"/>
      <c r="O807" s="8"/>
      <c r="P807" s="8"/>
      <c r="Q807" s="8"/>
      <c r="R807" s="8"/>
      <c r="S807" s="8"/>
      <c r="T807" s="8"/>
      <c r="U807" s="8"/>
      <c r="V807" s="8"/>
      <c r="W807" s="8"/>
      <c r="X807" s="8"/>
      <c r="Y807" s="8"/>
    </row>
    <row r="808" spans="1:25" ht="16.5" customHeight="1" x14ac:dyDescent="0.2">
      <c r="A808" s="8"/>
      <c r="B808" s="8"/>
      <c r="C808" s="8"/>
      <c r="D808" s="8"/>
      <c r="E808" s="8"/>
      <c r="F808" s="8"/>
      <c r="G808" s="8"/>
      <c r="H808" s="8"/>
      <c r="I808" s="8"/>
      <c r="J808" s="8"/>
      <c r="K808" s="8"/>
      <c r="L808" s="8"/>
      <c r="M808" s="8"/>
      <c r="N808" s="8"/>
      <c r="O808" s="8"/>
      <c r="P808" s="8"/>
      <c r="Q808" s="8"/>
      <c r="R808" s="8"/>
      <c r="S808" s="8"/>
      <c r="T808" s="8"/>
      <c r="U808" s="8"/>
      <c r="V808" s="8"/>
      <c r="W808" s="8"/>
      <c r="X808" s="8"/>
      <c r="Y808" s="8"/>
    </row>
    <row r="809" spans="1:25" ht="16.5" customHeight="1" x14ac:dyDescent="0.2">
      <c r="A809" s="8"/>
      <c r="B809" s="8"/>
      <c r="C809" s="8"/>
      <c r="D809" s="8"/>
      <c r="E809" s="8"/>
      <c r="F809" s="8"/>
      <c r="G809" s="8"/>
      <c r="H809" s="8"/>
      <c r="I809" s="8"/>
      <c r="J809" s="8"/>
      <c r="K809" s="8"/>
      <c r="L809" s="8"/>
      <c r="M809" s="8"/>
      <c r="N809" s="8"/>
      <c r="O809" s="8"/>
      <c r="P809" s="8"/>
      <c r="Q809" s="8"/>
      <c r="R809" s="8"/>
      <c r="S809" s="8"/>
      <c r="T809" s="8"/>
      <c r="U809" s="8"/>
      <c r="V809" s="8"/>
      <c r="W809" s="8"/>
      <c r="X809" s="8"/>
      <c r="Y809" s="8"/>
    </row>
    <row r="810" spans="1:25" ht="16.5" customHeight="1" x14ac:dyDescent="0.2">
      <c r="A810" s="8"/>
      <c r="B810" s="8"/>
      <c r="C810" s="8"/>
      <c r="D810" s="8"/>
      <c r="E810" s="8"/>
      <c r="F810" s="8"/>
      <c r="G810" s="8"/>
      <c r="H810" s="8"/>
      <c r="I810" s="8"/>
      <c r="J810" s="8"/>
      <c r="K810" s="8"/>
      <c r="L810" s="8"/>
      <c r="M810" s="8"/>
      <c r="N810" s="8"/>
      <c r="O810" s="8"/>
      <c r="P810" s="8"/>
      <c r="Q810" s="8"/>
      <c r="R810" s="8"/>
      <c r="S810" s="8"/>
      <c r="T810" s="8"/>
      <c r="U810" s="8"/>
      <c r="V810" s="8"/>
      <c r="W810" s="8"/>
      <c r="X810" s="8"/>
      <c r="Y810" s="8"/>
    </row>
    <row r="811" spans="1:25" ht="16.5" customHeight="1" x14ac:dyDescent="0.2">
      <c r="A811" s="8"/>
      <c r="B811" s="8"/>
      <c r="C811" s="8"/>
      <c r="D811" s="8"/>
      <c r="E811" s="8"/>
      <c r="F811" s="8"/>
      <c r="G811" s="8"/>
      <c r="H811" s="8"/>
      <c r="I811" s="8"/>
      <c r="J811" s="8"/>
      <c r="K811" s="8"/>
      <c r="L811" s="8"/>
      <c r="M811" s="8"/>
      <c r="N811" s="8"/>
      <c r="O811" s="8"/>
      <c r="P811" s="8"/>
      <c r="Q811" s="8"/>
      <c r="R811" s="8"/>
      <c r="S811" s="8"/>
      <c r="T811" s="8"/>
      <c r="U811" s="8"/>
      <c r="V811" s="8"/>
      <c r="W811" s="8"/>
      <c r="X811" s="8"/>
      <c r="Y811" s="8"/>
    </row>
    <row r="812" spans="1:25" ht="16.5" customHeight="1" x14ac:dyDescent="0.2">
      <c r="A812" s="8"/>
      <c r="B812" s="8"/>
      <c r="C812" s="8"/>
      <c r="D812" s="8"/>
      <c r="E812" s="8"/>
      <c r="F812" s="8"/>
      <c r="G812" s="8"/>
      <c r="H812" s="8"/>
      <c r="I812" s="8"/>
      <c r="J812" s="8"/>
      <c r="K812" s="8"/>
      <c r="L812" s="8"/>
      <c r="M812" s="8"/>
      <c r="N812" s="8"/>
      <c r="O812" s="8"/>
      <c r="P812" s="8"/>
      <c r="Q812" s="8"/>
      <c r="R812" s="8"/>
      <c r="S812" s="8"/>
      <c r="T812" s="8"/>
      <c r="U812" s="8"/>
      <c r="V812" s="8"/>
      <c r="W812" s="8"/>
      <c r="X812" s="8"/>
      <c r="Y812" s="8"/>
    </row>
    <row r="813" spans="1:25" ht="16.5" customHeight="1" x14ac:dyDescent="0.2">
      <c r="A813" s="8"/>
      <c r="B813" s="8"/>
      <c r="C813" s="8"/>
      <c r="D813" s="8"/>
      <c r="E813" s="8"/>
      <c r="F813" s="8"/>
      <c r="G813" s="8"/>
      <c r="H813" s="8"/>
      <c r="I813" s="8"/>
      <c r="J813" s="8"/>
      <c r="K813" s="8"/>
      <c r="L813" s="8"/>
      <c r="M813" s="8"/>
      <c r="N813" s="8"/>
      <c r="O813" s="8"/>
      <c r="P813" s="8"/>
      <c r="Q813" s="8"/>
      <c r="R813" s="8"/>
      <c r="S813" s="8"/>
      <c r="T813" s="8"/>
      <c r="U813" s="8"/>
      <c r="V813" s="8"/>
      <c r="W813" s="8"/>
      <c r="X813" s="8"/>
      <c r="Y813" s="8"/>
    </row>
    <row r="814" spans="1:25" ht="16.5" customHeight="1" x14ac:dyDescent="0.2">
      <c r="A814" s="8"/>
      <c r="B814" s="8"/>
      <c r="C814" s="8"/>
      <c r="D814" s="8"/>
      <c r="E814" s="8"/>
      <c r="F814" s="8"/>
      <c r="G814" s="8"/>
      <c r="H814" s="8"/>
      <c r="I814" s="8"/>
      <c r="J814" s="8"/>
      <c r="K814" s="8"/>
      <c r="L814" s="8"/>
      <c r="M814" s="8"/>
      <c r="N814" s="8"/>
      <c r="O814" s="8"/>
      <c r="P814" s="8"/>
      <c r="Q814" s="8"/>
      <c r="R814" s="8"/>
      <c r="S814" s="8"/>
      <c r="T814" s="8"/>
      <c r="U814" s="8"/>
      <c r="V814" s="8"/>
      <c r="W814" s="8"/>
      <c r="X814" s="8"/>
      <c r="Y814" s="8"/>
    </row>
    <row r="815" spans="1:25" ht="16.5" customHeight="1" x14ac:dyDescent="0.2">
      <c r="A815" s="8"/>
      <c r="B815" s="8"/>
      <c r="C815" s="8"/>
      <c r="D815" s="8"/>
      <c r="E815" s="8"/>
      <c r="F815" s="8"/>
      <c r="G815" s="8"/>
      <c r="H815" s="8"/>
      <c r="I815" s="8"/>
      <c r="J815" s="8"/>
      <c r="K815" s="8"/>
      <c r="L815" s="8"/>
      <c r="M815" s="8"/>
      <c r="N815" s="8"/>
      <c r="O815" s="8"/>
      <c r="P815" s="8"/>
      <c r="Q815" s="8"/>
      <c r="R815" s="8"/>
      <c r="S815" s="8"/>
      <c r="T815" s="8"/>
      <c r="U815" s="8"/>
      <c r="V815" s="8"/>
      <c r="W815" s="8"/>
      <c r="X815" s="8"/>
      <c r="Y815" s="8"/>
    </row>
    <row r="816" spans="1:25" ht="16.5" customHeight="1" x14ac:dyDescent="0.2">
      <c r="A816" s="8"/>
      <c r="B816" s="8"/>
      <c r="C816" s="8"/>
      <c r="D816" s="8"/>
      <c r="E816" s="8"/>
      <c r="F816" s="8"/>
      <c r="G816" s="8"/>
      <c r="H816" s="8"/>
      <c r="I816" s="8"/>
      <c r="J816" s="8"/>
      <c r="K816" s="8"/>
      <c r="L816" s="8"/>
      <c r="M816" s="8"/>
      <c r="N816" s="8"/>
      <c r="O816" s="8"/>
      <c r="P816" s="8"/>
      <c r="Q816" s="8"/>
      <c r="R816" s="8"/>
      <c r="S816" s="8"/>
      <c r="T816" s="8"/>
      <c r="U816" s="8"/>
      <c r="V816" s="8"/>
      <c r="W816" s="8"/>
      <c r="X816" s="8"/>
      <c r="Y816" s="8"/>
    </row>
    <row r="817" spans="1:25" ht="16.5" customHeight="1" x14ac:dyDescent="0.2">
      <c r="A817" s="8"/>
      <c r="B817" s="8"/>
      <c r="C817" s="8"/>
      <c r="D817" s="8"/>
      <c r="E817" s="8"/>
      <c r="F817" s="8"/>
      <c r="G817" s="8"/>
      <c r="H817" s="8"/>
      <c r="I817" s="8"/>
      <c r="J817" s="8"/>
      <c r="K817" s="8"/>
      <c r="L817" s="8"/>
      <c r="M817" s="8"/>
      <c r="N817" s="8"/>
      <c r="O817" s="8"/>
      <c r="P817" s="8"/>
      <c r="Q817" s="8"/>
      <c r="R817" s="8"/>
      <c r="S817" s="8"/>
      <c r="T817" s="8"/>
      <c r="U817" s="8"/>
      <c r="V817" s="8"/>
      <c r="W817" s="8"/>
      <c r="X817" s="8"/>
      <c r="Y817" s="8"/>
    </row>
    <row r="818" spans="1:25" ht="16.5" customHeight="1" x14ac:dyDescent="0.2">
      <c r="A818" s="8"/>
      <c r="B818" s="8"/>
      <c r="C818" s="8"/>
      <c r="D818" s="8"/>
      <c r="E818" s="8"/>
      <c r="F818" s="8"/>
      <c r="G818" s="8"/>
      <c r="H818" s="8"/>
      <c r="I818" s="8"/>
      <c r="J818" s="8"/>
      <c r="K818" s="8"/>
      <c r="L818" s="8"/>
      <c r="M818" s="8"/>
      <c r="N818" s="8"/>
      <c r="O818" s="8"/>
      <c r="P818" s="8"/>
      <c r="Q818" s="8"/>
      <c r="R818" s="8"/>
      <c r="S818" s="8"/>
      <c r="T818" s="8"/>
      <c r="U818" s="8"/>
      <c r="V818" s="8"/>
      <c r="W818" s="8"/>
      <c r="X818" s="8"/>
      <c r="Y818" s="8"/>
    </row>
    <row r="819" spans="1:25" ht="16.5" customHeight="1" x14ac:dyDescent="0.2">
      <c r="A819" s="8"/>
      <c r="B819" s="8"/>
      <c r="C819" s="8"/>
      <c r="D819" s="8"/>
      <c r="E819" s="8"/>
      <c r="F819" s="8"/>
      <c r="G819" s="8"/>
      <c r="H819" s="8"/>
      <c r="I819" s="8"/>
      <c r="J819" s="8"/>
      <c r="K819" s="8"/>
      <c r="L819" s="8"/>
      <c r="M819" s="8"/>
      <c r="N819" s="8"/>
      <c r="O819" s="8"/>
      <c r="P819" s="8"/>
      <c r="Q819" s="8"/>
      <c r="R819" s="8"/>
      <c r="S819" s="8"/>
      <c r="T819" s="8"/>
      <c r="U819" s="8"/>
      <c r="V819" s="8"/>
      <c r="W819" s="8"/>
      <c r="X819" s="8"/>
      <c r="Y819" s="8"/>
    </row>
    <row r="820" spans="1:25" ht="16.5" customHeight="1" x14ac:dyDescent="0.2">
      <c r="A820" s="8"/>
      <c r="B820" s="8"/>
      <c r="C820" s="8"/>
      <c r="D820" s="8"/>
      <c r="E820" s="8"/>
      <c r="F820" s="8"/>
      <c r="G820" s="8"/>
      <c r="H820" s="8"/>
      <c r="I820" s="8"/>
      <c r="J820" s="8"/>
      <c r="K820" s="8"/>
      <c r="L820" s="8"/>
      <c r="M820" s="8"/>
      <c r="N820" s="8"/>
      <c r="O820" s="8"/>
      <c r="P820" s="8"/>
      <c r="Q820" s="8"/>
      <c r="R820" s="8"/>
      <c r="S820" s="8"/>
      <c r="T820" s="8"/>
      <c r="U820" s="8"/>
      <c r="V820" s="8"/>
      <c r="W820" s="8"/>
      <c r="X820" s="8"/>
      <c r="Y820" s="8"/>
    </row>
    <row r="821" spans="1:25" ht="16.5" customHeight="1" x14ac:dyDescent="0.2">
      <c r="A821" s="8"/>
      <c r="B821" s="8"/>
      <c r="C821" s="8"/>
      <c r="D821" s="8"/>
      <c r="E821" s="8"/>
      <c r="F821" s="8"/>
      <c r="G821" s="8"/>
      <c r="H821" s="8"/>
      <c r="I821" s="8"/>
      <c r="J821" s="8"/>
      <c r="K821" s="8"/>
      <c r="L821" s="8"/>
      <c r="M821" s="8"/>
      <c r="N821" s="8"/>
      <c r="O821" s="8"/>
      <c r="P821" s="8"/>
      <c r="Q821" s="8"/>
      <c r="R821" s="8"/>
      <c r="S821" s="8"/>
      <c r="T821" s="8"/>
      <c r="U821" s="8"/>
      <c r="V821" s="8"/>
      <c r="W821" s="8"/>
      <c r="X821" s="8"/>
      <c r="Y821" s="8"/>
    </row>
    <row r="822" spans="1:25" ht="16.5" customHeight="1" x14ac:dyDescent="0.2">
      <c r="A822" s="8"/>
      <c r="B822" s="8"/>
      <c r="C822" s="8"/>
      <c r="D822" s="8"/>
      <c r="E822" s="8"/>
      <c r="F822" s="8"/>
      <c r="G822" s="8"/>
      <c r="H822" s="8"/>
      <c r="I822" s="8"/>
      <c r="J822" s="8"/>
      <c r="K822" s="8"/>
      <c r="L822" s="8"/>
      <c r="M822" s="8"/>
      <c r="N822" s="8"/>
      <c r="O822" s="8"/>
      <c r="P822" s="8"/>
      <c r="Q822" s="8"/>
      <c r="R822" s="8"/>
      <c r="S822" s="8"/>
      <c r="T822" s="8"/>
      <c r="U822" s="8"/>
      <c r="V822" s="8"/>
      <c r="W822" s="8"/>
      <c r="X822" s="8"/>
      <c r="Y822" s="8"/>
    </row>
    <row r="823" spans="1:25" ht="16.5" customHeight="1" x14ac:dyDescent="0.2">
      <c r="A823" s="8"/>
      <c r="B823" s="8"/>
      <c r="C823" s="8"/>
      <c r="D823" s="8"/>
      <c r="E823" s="8"/>
      <c r="F823" s="8"/>
      <c r="G823" s="8"/>
      <c r="H823" s="8"/>
      <c r="I823" s="8"/>
      <c r="J823" s="8"/>
      <c r="K823" s="8"/>
      <c r="L823" s="8"/>
      <c r="M823" s="8"/>
      <c r="N823" s="8"/>
      <c r="O823" s="8"/>
      <c r="P823" s="8"/>
      <c r="Q823" s="8"/>
      <c r="R823" s="8"/>
      <c r="S823" s="8"/>
      <c r="T823" s="8"/>
      <c r="U823" s="8"/>
      <c r="V823" s="8"/>
      <c r="W823" s="8"/>
      <c r="X823" s="8"/>
      <c r="Y823" s="8"/>
    </row>
    <row r="824" spans="1:25" ht="16.5" customHeight="1" x14ac:dyDescent="0.2">
      <c r="A824" s="8"/>
      <c r="B824" s="8"/>
      <c r="C824" s="8"/>
      <c r="D824" s="8"/>
      <c r="E824" s="8"/>
      <c r="F824" s="8"/>
      <c r="G824" s="8"/>
      <c r="H824" s="8"/>
      <c r="I824" s="8"/>
      <c r="J824" s="8"/>
      <c r="K824" s="8"/>
      <c r="L824" s="8"/>
      <c r="M824" s="8"/>
      <c r="N824" s="8"/>
      <c r="O824" s="8"/>
      <c r="P824" s="8"/>
      <c r="Q824" s="8"/>
      <c r="R824" s="8"/>
      <c r="S824" s="8"/>
      <c r="T824" s="8"/>
      <c r="U824" s="8"/>
      <c r="V824" s="8"/>
      <c r="W824" s="8"/>
      <c r="X824" s="8"/>
      <c r="Y824" s="8"/>
    </row>
    <row r="825" spans="1:25" ht="16.5" customHeight="1" x14ac:dyDescent="0.2">
      <c r="A825" s="8"/>
      <c r="B825" s="8"/>
      <c r="C825" s="8"/>
      <c r="D825" s="8"/>
      <c r="E825" s="8"/>
      <c r="F825" s="8"/>
      <c r="G825" s="8"/>
      <c r="H825" s="8"/>
      <c r="I825" s="8"/>
      <c r="J825" s="8"/>
      <c r="K825" s="8"/>
      <c r="L825" s="8"/>
      <c r="M825" s="8"/>
      <c r="N825" s="8"/>
      <c r="O825" s="8"/>
      <c r="P825" s="8"/>
      <c r="Q825" s="8"/>
      <c r="R825" s="8"/>
      <c r="S825" s="8"/>
      <c r="T825" s="8"/>
      <c r="U825" s="8"/>
      <c r="V825" s="8"/>
      <c r="W825" s="8"/>
      <c r="X825" s="8"/>
      <c r="Y825" s="8"/>
    </row>
    <row r="826" spans="1:25" ht="16.5" customHeight="1" x14ac:dyDescent="0.2">
      <c r="A826" s="8"/>
      <c r="B826" s="8"/>
      <c r="C826" s="8"/>
      <c r="D826" s="8"/>
      <c r="E826" s="8"/>
      <c r="F826" s="8"/>
      <c r="G826" s="8"/>
      <c r="H826" s="8"/>
      <c r="I826" s="8"/>
      <c r="J826" s="8"/>
      <c r="K826" s="8"/>
      <c r="L826" s="8"/>
      <c r="M826" s="8"/>
      <c r="N826" s="8"/>
      <c r="O826" s="8"/>
      <c r="P826" s="8"/>
      <c r="Q826" s="8"/>
      <c r="R826" s="8"/>
      <c r="S826" s="8"/>
      <c r="T826" s="8"/>
      <c r="U826" s="8"/>
      <c r="V826" s="8"/>
      <c r="W826" s="8"/>
      <c r="X826" s="8"/>
      <c r="Y826" s="8"/>
    </row>
    <row r="827" spans="1:25" ht="16.5" customHeight="1" x14ac:dyDescent="0.2">
      <c r="A827" s="8"/>
      <c r="B827" s="8"/>
      <c r="C827" s="8"/>
      <c r="D827" s="8"/>
      <c r="E827" s="8"/>
      <c r="F827" s="8"/>
      <c r="G827" s="8"/>
      <c r="H827" s="8"/>
      <c r="I827" s="8"/>
      <c r="J827" s="8"/>
      <c r="K827" s="8"/>
      <c r="L827" s="8"/>
      <c r="M827" s="8"/>
      <c r="N827" s="8"/>
      <c r="O827" s="8"/>
      <c r="P827" s="8"/>
      <c r="Q827" s="8"/>
      <c r="R827" s="8"/>
      <c r="S827" s="8"/>
      <c r="T827" s="8"/>
      <c r="U827" s="8"/>
      <c r="V827" s="8"/>
      <c r="W827" s="8"/>
      <c r="X827" s="8"/>
      <c r="Y827" s="8"/>
    </row>
    <row r="828" spans="1:25" ht="16.5" customHeight="1" x14ac:dyDescent="0.2">
      <c r="A828" s="8"/>
      <c r="B828" s="8"/>
      <c r="C828" s="8"/>
      <c r="D828" s="8"/>
      <c r="E828" s="8"/>
      <c r="F828" s="8"/>
      <c r="G828" s="8"/>
      <c r="H828" s="8"/>
      <c r="I828" s="8"/>
      <c r="J828" s="8"/>
      <c r="K828" s="8"/>
      <c r="L828" s="8"/>
      <c r="M828" s="8"/>
      <c r="N828" s="8"/>
      <c r="O828" s="8"/>
      <c r="P828" s="8"/>
      <c r="Q828" s="8"/>
      <c r="R828" s="8"/>
      <c r="S828" s="8"/>
      <c r="T828" s="8"/>
      <c r="U828" s="8"/>
      <c r="V828" s="8"/>
      <c r="W828" s="8"/>
      <c r="X828" s="8"/>
      <c r="Y828" s="8"/>
    </row>
    <row r="829" spans="1:25" ht="16.5" customHeight="1" x14ac:dyDescent="0.2">
      <c r="A829" s="8"/>
      <c r="B829" s="8"/>
      <c r="C829" s="8"/>
      <c r="D829" s="8"/>
      <c r="E829" s="8"/>
      <c r="F829" s="8"/>
      <c r="G829" s="8"/>
      <c r="H829" s="8"/>
      <c r="I829" s="8"/>
      <c r="J829" s="8"/>
      <c r="K829" s="8"/>
      <c r="L829" s="8"/>
      <c r="M829" s="8"/>
      <c r="N829" s="8"/>
      <c r="O829" s="8"/>
      <c r="P829" s="8"/>
      <c r="Q829" s="8"/>
      <c r="R829" s="8"/>
      <c r="S829" s="8"/>
      <c r="T829" s="8"/>
      <c r="U829" s="8"/>
      <c r="V829" s="8"/>
      <c r="W829" s="8"/>
      <c r="X829" s="8"/>
      <c r="Y829" s="8"/>
    </row>
    <row r="830" spans="1:25" ht="16.5" customHeight="1" x14ac:dyDescent="0.2">
      <c r="A830" s="8"/>
      <c r="B830" s="8"/>
      <c r="C830" s="8"/>
      <c r="D830" s="8"/>
      <c r="E830" s="8"/>
      <c r="F830" s="8"/>
      <c r="G830" s="8"/>
      <c r="H830" s="8"/>
      <c r="I830" s="8"/>
      <c r="J830" s="8"/>
      <c r="K830" s="8"/>
      <c r="L830" s="8"/>
      <c r="M830" s="8"/>
      <c r="N830" s="8"/>
      <c r="O830" s="8"/>
      <c r="P830" s="8"/>
      <c r="Q830" s="8"/>
      <c r="R830" s="8"/>
      <c r="S830" s="8"/>
      <c r="T830" s="8"/>
      <c r="U830" s="8"/>
      <c r="V830" s="8"/>
      <c r="W830" s="8"/>
      <c r="X830" s="8"/>
      <c r="Y830" s="8"/>
    </row>
    <row r="831" spans="1:25" ht="16.5" customHeight="1" x14ac:dyDescent="0.2">
      <c r="A831" s="8"/>
      <c r="B831" s="8"/>
      <c r="C831" s="8"/>
      <c r="D831" s="8"/>
      <c r="E831" s="8"/>
      <c r="F831" s="8"/>
      <c r="G831" s="8"/>
      <c r="H831" s="8"/>
      <c r="I831" s="8"/>
      <c r="J831" s="8"/>
      <c r="K831" s="8"/>
      <c r="L831" s="8"/>
      <c r="M831" s="8"/>
      <c r="N831" s="8"/>
      <c r="O831" s="8"/>
      <c r="P831" s="8"/>
      <c r="Q831" s="8"/>
      <c r="R831" s="8"/>
      <c r="S831" s="8"/>
      <c r="T831" s="8"/>
      <c r="U831" s="8"/>
      <c r="V831" s="8"/>
      <c r="W831" s="8"/>
      <c r="X831" s="8"/>
      <c r="Y831" s="8"/>
    </row>
    <row r="832" spans="1:25" ht="16.5" customHeight="1" x14ac:dyDescent="0.2">
      <c r="A832" s="8"/>
      <c r="B832" s="8"/>
      <c r="C832" s="8"/>
      <c r="D832" s="8"/>
      <c r="E832" s="8"/>
      <c r="F832" s="8"/>
      <c r="G832" s="8"/>
      <c r="H832" s="8"/>
      <c r="I832" s="8"/>
      <c r="J832" s="8"/>
      <c r="K832" s="8"/>
      <c r="L832" s="8"/>
      <c r="M832" s="8"/>
      <c r="N832" s="8"/>
      <c r="O832" s="8"/>
      <c r="P832" s="8"/>
      <c r="Q832" s="8"/>
      <c r="R832" s="8"/>
      <c r="S832" s="8"/>
      <c r="T832" s="8"/>
      <c r="U832" s="8"/>
      <c r="V832" s="8"/>
      <c r="W832" s="8"/>
      <c r="X832" s="8"/>
      <c r="Y832" s="8"/>
    </row>
    <row r="833" spans="1:25" ht="16.5" customHeight="1" x14ac:dyDescent="0.2">
      <c r="A833" s="8"/>
      <c r="B833" s="8"/>
      <c r="C833" s="8"/>
      <c r="D833" s="8"/>
      <c r="E833" s="8"/>
      <c r="F833" s="8"/>
      <c r="G833" s="8"/>
      <c r="H833" s="8"/>
      <c r="I833" s="8"/>
      <c r="J833" s="8"/>
      <c r="K833" s="8"/>
      <c r="L833" s="8"/>
      <c r="M833" s="8"/>
      <c r="N833" s="8"/>
      <c r="O833" s="8"/>
      <c r="P833" s="8"/>
      <c r="Q833" s="8"/>
      <c r="R833" s="8"/>
      <c r="S833" s="8"/>
      <c r="T833" s="8"/>
      <c r="U833" s="8"/>
      <c r="V833" s="8"/>
      <c r="W833" s="8"/>
      <c r="X833" s="8"/>
      <c r="Y833" s="8"/>
    </row>
    <row r="834" spans="1:25" ht="16.5" customHeight="1" x14ac:dyDescent="0.2">
      <c r="A834" s="8"/>
      <c r="B834" s="8"/>
      <c r="C834" s="8"/>
      <c r="D834" s="8"/>
      <c r="E834" s="8"/>
      <c r="F834" s="8"/>
      <c r="G834" s="8"/>
      <c r="H834" s="8"/>
      <c r="I834" s="8"/>
      <c r="J834" s="8"/>
      <c r="K834" s="8"/>
      <c r="L834" s="8"/>
      <c r="M834" s="8"/>
      <c r="N834" s="8"/>
      <c r="O834" s="8"/>
      <c r="P834" s="8"/>
      <c r="Q834" s="8"/>
      <c r="R834" s="8"/>
      <c r="S834" s="8"/>
      <c r="T834" s="8"/>
      <c r="U834" s="8"/>
      <c r="V834" s="8"/>
      <c r="W834" s="8"/>
      <c r="X834" s="8"/>
      <c r="Y834" s="8"/>
    </row>
    <row r="835" spans="1:25" ht="16.5" customHeight="1" x14ac:dyDescent="0.2">
      <c r="A835" s="8"/>
      <c r="B835" s="8"/>
      <c r="C835" s="8"/>
      <c r="D835" s="8"/>
      <c r="E835" s="8"/>
      <c r="F835" s="8"/>
      <c r="G835" s="8"/>
      <c r="H835" s="8"/>
      <c r="I835" s="8"/>
      <c r="J835" s="8"/>
      <c r="K835" s="8"/>
      <c r="L835" s="8"/>
      <c r="M835" s="8"/>
      <c r="N835" s="8"/>
      <c r="O835" s="8"/>
      <c r="P835" s="8"/>
      <c r="Q835" s="8"/>
      <c r="R835" s="8"/>
      <c r="S835" s="8"/>
      <c r="T835" s="8"/>
      <c r="U835" s="8"/>
      <c r="V835" s="8"/>
      <c r="W835" s="8"/>
      <c r="X835" s="8"/>
      <c r="Y835" s="8"/>
    </row>
    <row r="836" spans="1:25" ht="16.5" customHeight="1" x14ac:dyDescent="0.2">
      <c r="A836" s="8"/>
      <c r="B836" s="8"/>
      <c r="C836" s="8"/>
      <c r="D836" s="8"/>
      <c r="E836" s="8"/>
      <c r="F836" s="8"/>
      <c r="G836" s="8"/>
      <c r="H836" s="8"/>
      <c r="I836" s="8"/>
      <c r="J836" s="8"/>
      <c r="K836" s="8"/>
      <c r="L836" s="8"/>
      <c r="M836" s="8"/>
      <c r="N836" s="8"/>
      <c r="O836" s="8"/>
      <c r="P836" s="8"/>
      <c r="Q836" s="8"/>
      <c r="R836" s="8"/>
      <c r="S836" s="8"/>
      <c r="T836" s="8"/>
      <c r="U836" s="8"/>
      <c r="V836" s="8"/>
      <c r="W836" s="8"/>
      <c r="X836" s="8"/>
      <c r="Y836" s="8"/>
    </row>
    <row r="837" spans="1:25" ht="16.5" customHeight="1" x14ac:dyDescent="0.2">
      <c r="A837" s="8"/>
      <c r="B837" s="8"/>
      <c r="C837" s="8"/>
      <c r="D837" s="8"/>
      <c r="E837" s="8"/>
      <c r="F837" s="8"/>
      <c r="G837" s="8"/>
      <c r="H837" s="8"/>
      <c r="I837" s="8"/>
      <c r="J837" s="8"/>
      <c r="K837" s="8"/>
      <c r="L837" s="8"/>
      <c r="M837" s="8"/>
      <c r="N837" s="8"/>
      <c r="O837" s="8"/>
      <c r="P837" s="8"/>
      <c r="Q837" s="8"/>
      <c r="R837" s="8"/>
      <c r="S837" s="8"/>
      <c r="T837" s="8"/>
      <c r="U837" s="8"/>
      <c r="V837" s="8"/>
      <c r="W837" s="8"/>
      <c r="X837" s="8"/>
      <c r="Y837" s="8"/>
    </row>
    <row r="838" spans="1:25" ht="16.5" customHeight="1" x14ac:dyDescent="0.2">
      <c r="A838" s="8"/>
      <c r="B838" s="8"/>
      <c r="C838" s="8"/>
      <c r="D838" s="8"/>
      <c r="E838" s="8"/>
      <c r="F838" s="8"/>
      <c r="G838" s="8"/>
      <c r="H838" s="8"/>
      <c r="I838" s="8"/>
      <c r="J838" s="8"/>
      <c r="K838" s="8"/>
      <c r="L838" s="8"/>
      <c r="M838" s="8"/>
      <c r="N838" s="8"/>
      <c r="O838" s="8"/>
      <c r="P838" s="8"/>
      <c r="Q838" s="8"/>
      <c r="R838" s="8"/>
      <c r="S838" s="8"/>
      <c r="T838" s="8"/>
      <c r="U838" s="8"/>
      <c r="V838" s="8"/>
      <c r="W838" s="8"/>
      <c r="X838" s="8"/>
      <c r="Y838" s="8"/>
    </row>
    <row r="839" spans="1:25" ht="16.5" customHeight="1" x14ac:dyDescent="0.2">
      <c r="A839" s="8"/>
      <c r="B839" s="8"/>
      <c r="C839" s="8"/>
      <c r="D839" s="8"/>
      <c r="E839" s="8"/>
      <c r="F839" s="8"/>
      <c r="G839" s="8"/>
      <c r="H839" s="8"/>
      <c r="I839" s="8"/>
      <c r="J839" s="8"/>
      <c r="K839" s="8"/>
      <c r="L839" s="8"/>
      <c r="M839" s="8"/>
      <c r="N839" s="8"/>
      <c r="O839" s="8"/>
      <c r="P839" s="8"/>
      <c r="Q839" s="8"/>
      <c r="R839" s="8"/>
      <c r="S839" s="8"/>
      <c r="T839" s="8"/>
      <c r="U839" s="8"/>
      <c r="V839" s="8"/>
      <c r="W839" s="8"/>
      <c r="X839" s="8"/>
      <c r="Y839" s="8"/>
    </row>
    <row r="840" spans="1:25" ht="16.5" customHeight="1" x14ac:dyDescent="0.2">
      <c r="A840" s="8"/>
      <c r="B840" s="8"/>
      <c r="C840" s="8"/>
      <c r="D840" s="8"/>
      <c r="E840" s="8"/>
      <c r="F840" s="8"/>
      <c r="G840" s="8"/>
      <c r="H840" s="8"/>
      <c r="I840" s="8"/>
      <c r="J840" s="8"/>
      <c r="K840" s="8"/>
      <c r="L840" s="8"/>
      <c r="M840" s="8"/>
      <c r="N840" s="8"/>
      <c r="O840" s="8"/>
      <c r="P840" s="8"/>
      <c r="Q840" s="8"/>
      <c r="R840" s="8"/>
      <c r="S840" s="8"/>
      <c r="T840" s="8"/>
      <c r="U840" s="8"/>
      <c r="V840" s="8"/>
      <c r="W840" s="8"/>
      <c r="X840" s="8"/>
      <c r="Y840" s="8"/>
    </row>
    <row r="841" spans="1:25" ht="16.5" customHeight="1" x14ac:dyDescent="0.2">
      <c r="A841" s="8"/>
      <c r="B841" s="8"/>
      <c r="C841" s="8"/>
      <c r="D841" s="8"/>
      <c r="E841" s="8"/>
      <c r="F841" s="8"/>
      <c r="G841" s="8"/>
      <c r="H841" s="8"/>
      <c r="I841" s="8"/>
      <c r="J841" s="8"/>
      <c r="K841" s="8"/>
      <c r="L841" s="8"/>
      <c r="M841" s="8"/>
      <c r="N841" s="8"/>
      <c r="O841" s="8"/>
      <c r="P841" s="8"/>
      <c r="Q841" s="8"/>
      <c r="R841" s="8"/>
      <c r="S841" s="8"/>
      <c r="T841" s="8"/>
      <c r="U841" s="8"/>
      <c r="V841" s="8"/>
      <c r="W841" s="8"/>
      <c r="X841" s="8"/>
      <c r="Y841" s="8"/>
    </row>
    <row r="842" spans="1:25" ht="16.5" customHeight="1" x14ac:dyDescent="0.2">
      <c r="A842" s="8"/>
      <c r="B842" s="8"/>
      <c r="C842" s="8"/>
      <c r="D842" s="8"/>
      <c r="E842" s="8"/>
      <c r="F842" s="8"/>
      <c r="G842" s="8"/>
      <c r="H842" s="8"/>
      <c r="I842" s="8"/>
      <c r="J842" s="8"/>
      <c r="K842" s="8"/>
      <c r="L842" s="8"/>
      <c r="M842" s="8"/>
      <c r="N842" s="8"/>
      <c r="O842" s="8"/>
      <c r="P842" s="8"/>
      <c r="Q842" s="8"/>
      <c r="R842" s="8"/>
      <c r="S842" s="8"/>
      <c r="T842" s="8"/>
      <c r="U842" s="8"/>
      <c r="V842" s="8"/>
      <c r="W842" s="8"/>
      <c r="X842" s="8"/>
      <c r="Y842" s="8"/>
    </row>
    <row r="843" spans="1:25" ht="16.5" customHeight="1" x14ac:dyDescent="0.2">
      <c r="A843" s="8"/>
      <c r="B843" s="8"/>
      <c r="C843" s="8"/>
      <c r="D843" s="8"/>
      <c r="E843" s="8"/>
      <c r="F843" s="8"/>
      <c r="G843" s="8"/>
      <c r="H843" s="8"/>
      <c r="I843" s="8"/>
      <c r="J843" s="8"/>
      <c r="K843" s="8"/>
      <c r="L843" s="8"/>
      <c r="M843" s="8"/>
      <c r="N843" s="8"/>
      <c r="O843" s="8"/>
      <c r="P843" s="8"/>
      <c r="Q843" s="8"/>
      <c r="R843" s="8"/>
      <c r="S843" s="8"/>
      <c r="T843" s="8"/>
      <c r="U843" s="8"/>
      <c r="V843" s="8"/>
      <c r="W843" s="8"/>
      <c r="X843" s="8"/>
      <c r="Y843" s="8"/>
    </row>
    <row r="844" spans="1:25" ht="16.5" customHeight="1" x14ac:dyDescent="0.2">
      <c r="A844" s="8"/>
      <c r="B844" s="8"/>
      <c r="C844" s="8"/>
      <c r="D844" s="8"/>
      <c r="E844" s="8"/>
      <c r="F844" s="8"/>
      <c r="G844" s="8"/>
      <c r="H844" s="8"/>
      <c r="I844" s="8"/>
      <c r="J844" s="8"/>
      <c r="K844" s="8"/>
      <c r="L844" s="8"/>
      <c r="M844" s="8"/>
      <c r="N844" s="8"/>
      <c r="O844" s="8"/>
      <c r="P844" s="8"/>
      <c r="Q844" s="8"/>
      <c r="R844" s="8"/>
      <c r="S844" s="8"/>
      <c r="T844" s="8"/>
      <c r="U844" s="8"/>
      <c r="V844" s="8"/>
      <c r="W844" s="8"/>
      <c r="X844" s="8"/>
      <c r="Y844" s="8"/>
    </row>
    <row r="845" spans="1:25" ht="16.5" customHeight="1" x14ac:dyDescent="0.2">
      <c r="A845" s="8"/>
      <c r="B845" s="8"/>
      <c r="C845" s="8"/>
      <c r="D845" s="8"/>
      <c r="E845" s="8"/>
      <c r="F845" s="8"/>
      <c r="G845" s="8"/>
      <c r="H845" s="8"/>
      <c r="I845" s="8"/>
      <c r="J845" s="8"/>
      <c r="K845" s="8"/>
      <c r="L845" s="8"/>
      <c r="M845" s="8"/>
      <c r="N845" s="8"/>
      <c r="O845" s="8"/>
      <c r="P845" s="8"/>
      <c r="Q845" s="8"/>
      <c r="R845" s="8"/>
      <c r="S845" s="8"/>
      <c r="T845" s="8"/>
      <c r="U845" s="8"/>
      <c r="V845" s="8"/>
      <c r="W845" s="8"/>
      <c r="X845" s="8"/>
      <c r="Y845" s="8"/>
    </row>
    <row r="846" spans="1:25" ht="16.5" customHeight="1" x14ac:dyDescent="0.2">
      <c r="A846" s="8"/>
      <c r="B846" s="8"/>
      <c r="C846" s="8"/>
      <c r="D846" s="8"/>
      <c r="E846" s="8"/>
      <c r="F846" s="8"/>
      <c r="G846" s="8"/>
      <c r="H846" s="8"/>
      <c r="I846" s="8"/>
      <c r="J846" s="8"/>
      <c r="K846" s="8"/>
      <c r="L846" s="8"/>
      <c r="M846" s="8"/>
      <c r="N846" s="8"/>
      <c r="O846" s="8"/>
      <c r="P846" s="8"/>
      <c r="Q846" s="8"/>
      <c r="R846" s="8"/>
      <c r="S846" s="8"/>
      <c r="T846" s="8"/>
      <c r="U846" s="8"/>
      <c r="V846" s="8"/>
      <c r="W846" s="8"/>
      <c r="X846" s="8"/>
      <c r="Y846" s="8"/>
    </row>
    <row r="847" spans="1:25" ht="16.5" customHeight="1" x14ac:dyDescent="0.2">
      <c r="A847" s="8"/>
      <c r="B847" s="8"/>
      <c r="C847" s="8"/>
      <c r="D847" s="8"/>
      <c r="E847" s="8"/>
      <c r="F847" s="8"/>
      <c r="G847" s="8"/>
      <c r="H847" s="8"/>
      <c r="I847" s="8"/>
      <c r="J847" s="8"/>
      <c r="K847" s="8"/>
      <c r="L847" s="8"/>
      <c r="M847" s="8"/>
      <c r="N847" s="8"/>
      <c r="O847" s="8"/>
      <c r="P847" s="8"/>
      <c r="Q847" s="8"/>
      <c r="R847" s="8"/>
      <c r="S847" s="8"/>
      <c r="T847" s="8"/>
      <c r="U847" s="8"/>
      <c r="V847" s="8"/>
      <c r="W847" s="8"/>
      <c r="X847" s="8"/>
      <c r="Y847" s="8"/>
    </row>
    <row r="848" spans="1:25" ht="16.5" customHeight="1" x14ac:dyDescent="0.2">
      <c r="A848" s="8"/>
      <c r="B848" s="8"/>
      <c r="C848" s="8"/>
      <c r="D848" s="8"/>
      <c r="E848" s="8"/>
      <c r="F848" s="8"/>
      <c r="G848" s="8"/>
      <c r="H848" s="8"/>
      <c r="I848" s="8"/>
      <c r="J848" s="8"/>
      <c r="K848" s="8"/>
      <c r="L848" s="8"/>
      <c r="M848" s="8"/>
      <c r="N848" s="8"/>
      <c r="O848" s="8"/>
      <c r="P848" s="8"/>
      <c r="Q848" s="8"/>
      <c r="R848" s="8"/>
      <c r="S848" s="8"/>
      <c r="T848" s="8"/>
      <c r="U848" s="8"/>
      <c r="V848" s="8"/>
      <c r="W848" s="8"/>
      <c r="X848" s="8"/>
      <c r="Y848" s="8"/>
    </row>
    <row r="849" spans="1:25" ht="16.5" customHeight="1" x14ac:dyDescent="0.2">
      <c r="A849" s="8"/>
      <c r="B849" s="8"/>
      <c r="C849" s="8"/>
      <c r="D849" s="8"/>
      <c r="E849" s="8"/>
      <c r="F849" s="8"/>
      <c r="G849" s="8"/>
      <c r="H849" s="8"/>
      <c r="I849" s="8"/>
      <c r="J849" s="8"/>
      <c r="K849" s="8"/>
      <c r="L849" s="8"/>
      <c r="M849" s="8"/>
      <c r="N849" s="8"/>
      <c r="O849" s="8"/>
      <c r="P849" s="8"/>
      <c r="Q849" s="8"/>
      <c r="R849" s="8"/>
      <c r="S849" s="8"/>
      <c r="T849" s="8"/>
      <c r="U849" s="8"/>
      <c r="V849" s="8"/>
      <c r="W849" s="8"/>
      <c r="X849" s="8"/>
      <c r="Y849" s="8"/>
    </row>
    <row r="850" spans="1:25" ht="16.5" customHeight="1" x14ac:dyDescent="0.2">
      <c r="A850" s="8"/>
      <c r="B850" s="8"/>
      <c r="C850" s="8"/>
      <c r="D850" s="8"/>
      <c r="E850" s="8"/>
      <c r="F850" s="8"/>
      <c r="G850" s="8"/>
      <c r="H850" s="8"/>
      <c r="I850" s="8"/>
      <c r="J850" s="8"/>
      <c r="K850" s="8"/>
      <c r="L850" s="8"/>
      <c r="M850" s="8"/>
      <c r="N850" s="8"/>
      <c r="O850" s="8"/>
      <c r="P850" s="8"/>
      <c r="Q850" s="8"/>
      <c r="R850" s="8"/>
      <c r="S850" s="8"/>
      <c r="T850" s="8"/>
      <c r="U850" s="8"/>
      <c r="V850" s="8"/>
      <c r="W850" s="8"/>
      <c r="X850" s="8"/>
      <c r="Y850" s="8"/>
    </row>
    <row r="851" spans="1:25" ht="16.5" customHeight="1" x14ac:dyDescent="0.2">
      <c r="A851" s="8"/>
      <c r="B851" s="8"/>
      <c r="C851" s="8"/>
      <c r="D851" s="8"/>
      <c r="E851" s="8"/>
      <c r="F851" s="8"/>
      <c r="G851" s="8"/>
      <c r="H851" s="8"/>
      <c r="I851" s="8"/>
      <c r="J851" s="8"/>
      <c r="K851" s="8"/>
      <c r="L851" s="8"/>
      <c r="M851" s="8"/>
      <c r="N851" s="8"/>
      <c r="O851" s="8"/>
      <c r="P851" s="8"/>
      <c r="Q851" s="8"/>
      <c r="R851" s="8"/>
      <c r="S851" s="8"/>
      <c r="T851" s="8"/>
      <c r="U851" s="8"/>
      <c r="V851" s="8"/>
      <c r="W851" s="8"/>
      <c r="X851" s="8"/>
      <c r="Y851" s="8"/>
    </row>
    <row r="852" spans="1:25" ht="16.5" customHeight="1" x14ac:dyDescent="0.2">
      <c r="A852" s="8"/>
      <c r="B852" s="8"/>
      <c r="C852" s="8"/>
      <c r="D852" s="8"/>
      <c r="E852" s="8"/>
      <c r="F852" s="8"/>
      <c r="G852" s="8"/>
      <c r="H852" s="8"/>
      <c r="I852" s="8"/>
      <c r="J852" s="8"/>
      <c r="K852" s="8"/>
      <c r="L852" s="8"/>
      <c r="M852" s="8"/>
      <c r="N852" s="8"/>
      <c r="O852" s="8"/>
      <c r="P852" s="8"/>
      <c r="Q852" s="8"/>
      <c r="R852" s="8"/>
      <c r="S852" s="8"/>
      <c r="T852" s="8"/>
      <c r="U852" s="8"/>
      <c r="V852" s="8"/>
      <c r="W852" s="8"/>
      <c r="X852" s="8"/>
      <c r="Y852" s="8"/>
    </row>
    <row r="853" spans="1:25" ht="16.5" customHeight="1" x14ac:dyDescent="0.2">
      <c r="A853" s="8"/>
      <c r="B853" s="8"/>
      <c r="C853" s="8"/>
      <c r="D853" s="8"/>
      <c r="E853" s="8"/>
      <c r="F853" s="8"/>
      <c r="G853" s="8"/>
      <c r="H853" s="8"/>
      <c r="I853" s="8"/>
      <c r="J853" s="8"/>
      <c r="K853" s="8"/>
      <c r="L853" s="8"/>
      <c r="M853" s="8"/>
      <c r="N853" s="8"/>
      <c r="O853" s="8"/>
      <c r="P853" s="8"/>
      <c r="Q853" s="8"/>
      <c r="R853" s="8"/>
      <c r="S853" s="8"/>
      <c r="T853" s="8"/>
      <c r="U853" s="8"/>
      <c r="V853" s="8"/>
      <c r="W853" s="8"/>
      <c r="X853" s="8"/>
      <c r="Y853" s="8"/>
    </row>
    <row r="854" spans="1:25" ht="16.5" customHeight="1" x14ac:dyDescent="0.2">
      <c r="A854" s="8"/>
      <c r="B854" s="8"/>
      <c r="C854" s="8"/>
      <c r="D854" s="8"/>
      <c r="E854" s="8"/>
      <c r="F854" s="8"/>
      <c r="G854" s="8"/>
      <c r="H854" s="8"/>
      <c r="I854" s="8"/>
      <c r="J854" s="8"/>
      <c r="K854" s="8"/>
      <c r="L854" s="8"/>
      <c r="M854" s="8"/>
      <c r="N854" s="8"/>
      <c r="O854" s="8"/>
      <c r="P854" s="8"/>
      <c r="Q854" s="8"/>
      <c r="R854" s="8"/>
      <c r="S854" s="8"/>
      <c r="T854" s="8"/>
      <c r="U854" s="8"/>
      <c r="V854" s="8"/>
      <c r="W854" s="8"/>
      <c r="X854" s="8"/>
      <c r="Y854" s="8"/>
    </row>
    <row r="855" spans="1:25" ht="16.5" customHeight="1" x14ac:dyDescent="0.2">
      <c r="A855" s="8"/>
      <c r="B855" s="8"/>
      <c r="C855" s="8"/>
      <c r="D855" s="8"/>
      <c r="E855" s="8"/>
      <c r="F855" s="8"/>
      <c r="G855" s="8"/>
      <c r="H855" s="8"/>
      <c r="I855" s="8"/>
      <c r="J855" s="8"/>
      <c r="K855" s="8"/>
      <c r="L855" s="8"/>
      <c r="M855" s="8"/>
      <c r="N855" s="8"/>
      <c r="O855" s="8"/>
      <c r="P855" s="8"/>
      <c r="Q855" s="8"/>
      <c r="R855" s="8"/>
      <c r="S855" s="8"/>
      <c r="T855" s="8"/>
      <c r="U855" s="8"/>
      <c r="V855" s="8"/>
      <c r="W855" s="8"/>
      <c r="X855" s="8"/>
      <c r="Y855" s="8"/>
    </row>
    <row r="856" spans="1:25" ht="16.5" customHeight="1" x14ac:dyDescent="0.2">
      <c r="A856" s="8"/>
      <c r="B856" s="8"/>
      <c r="C856" s="8"/>
      <c r="D856" s="8"/>
      <c r="E856" s="8"/>
      <c r="F856" s="8"/>
      <c r="G856" s="8"/>
      <c r="H856" s="8"/>
      <c r="I856" s="8"/>
      <c r="J856" s="8"/>
      <c r="K856" s="8"/>
      <c r="L856" s="8"/>
      <c r="M856" s="8"/>
      <c r="N856" s="8"/>
      <c r="O856" s="8"/>
      <c r="P856" s="8"/>
      <c r="Q856" s="8"/>
      <c r="R856" s="8"/>
      <c r="S856" s="8"/>
      <c r="T856" s="8"/>
      <c r="U856" s="8"/>
      <c r="V856" s="8"/>
      <c r="W856" s="8"/>
      <c r="X856" s="8"/>
      <c r="Y856" s="8"/>
    </row>
    <row r="857" spans="1:25" ht="16.5" customHeight="1" x14ac:dyDescent="0.2">
      <c r="A857" s="8"/>
      <c r="B857" s="8"/>
      <c r="C857" s="8"/>
      <c r="D857" s="8"/>
      <c r="E857" s="8"/>
      <c r="F857" s="8"/>
      <c r="G857" s="8"/>
      <c r="H857" s="8"/>
      <c r="I857" s="8"/>
      <c r="J857" s="8"/>
      <c r="K857" s="8"/>
      <c r="L857" s="8"/>
      <c r="M857" s="8"/>
      <c r="N857" s="8"/>
      <c r="O857" s="8"/>
      <c r="P857" s="8"/>
      <c r="Q857" s="8"/>
      <c r="R857" s="8"/>
      <c r="S857" s="8"/>
      <c r="T857" s="8"/>
      <c r="U857" s="8"/>
      <c r="V857" s="8"/>
      <c r="W857" s="8"/>
      <c r="X857" s="8"/>
      <c r="Y857" s="8"/>
    </row>
    <row r="858" spans="1:25" ht="16.5" customHeight="1" x14ac:dyDescent="0.2">
      <c r="A858" s="8"/>
      <c r="B858" s="8"/>
      <c r="C858" s="8"/>
      <c r="D858" s="8"/>
      <c r="E858" s="8"/>
      <c r="F858" s="8"/>
      <c r="G858" s="8"/>
      <c r="H858" s="8"/>
      <c r="I858" s="8"/>
      <c r="J858" s="8"/>
      <c r="K858" s="8"/>
      <c r="L858" s="8"/>
      <c r="M858" s="8"/>
      <c r="N858" s="8"/>
      <c r="O858" s="8"/>
      <c r="P858" s="8"/>
      <c r="Q858" s="8"/>
      <c r="R858" s="8"/>
      <c r="S858" s="8"/>
      <c r="T858" s="8"/>
      <c r="U858" s="8"/>
      <c r="V858" s="8"/>
      <c r="W858" s="8"/>
      <c r="X858" s="8"/>
      <c r="Y858" s="8"/>
    </row>
    <row r="859" spans="1:25" ht="16.5" customHeight="1" x14ac:dyDescent="0.2">
      <c r="A859" s="8"/>
      <c r="B859" s="8"/>
      <c r="C859" s="8"/>
      <c r="D859" s="8"/>
      <c r="E859" s="8"/>
      <c r="F859" s="8"/>
      <c r="G859" s="8"/>
      <c r="H859" s="8"/>
      <c r="I859" s="8"/>
      <c r="J859" s="8"/>
      <c r="K859" s="8"/>
      <c r="L859" s="8"/>
      <c r="M859" s="8"/>
      <c r="N859" s="8"/>
      <c r="O859" s="8"/>
      <c r="P859" s="8"/>
      <c r="Q859" s="8"/>
      <c r="R859" s="8"/>
      <c r="S859" s="8"/>
      <c r="T859" s="8"/>
      <c r="U859" s="8"/>
      <c r="V859" s="8"/>
      <c r="W859" s="8"/>
      <c r="X859" s="8"/>
      <c r="Y859" s="8"/>
    </row>
    <row r="860" spans="1:25" ht="16.5" customHeight="1" x14ac:dyDescent="0.2">
      <c r="A860" s="8"/>
      <c r="B860" s="8"/>
      <c r="C860" s="8"/>
      <c r="D860" s="8"/>
      <c r="E860" s="8"/>
      <c r="F860" s="8"/>
      <c r="G860" s="8"/>
      <c r="H860" s="8"/>
      <c r="I860" s="8"/>
      <c r="J860" s="8"/>
      <c r="K860" s="8"/>
      <c r="L860" s="8"/>
      <c r="M860" s="8"/>
      <c r="N860" s="8"/>
      <c r="O860" s="8"/>
      <c r="P860" s="8"/>
      <c r="Q860" s="8"/>
      <c r="R860" s="8"/>
      <c r="S860" s="8"/>
      <c r="T860" s="8"/>
      <c r="U860" s="8"/>
      <c r="V860" s="8"/>
      <c r="W860" s="8"/>
      <c r="X860" s="8"/>
      <c r="Y860" s="8"/>
    </row>
    <row r="861" spans="1:25" ht="16.5" customHeight="1" x14ac:dyDescent="0.2">
      <c r="A861" s="8"/>
      <c r="B861" s="8"/>
      <c r="C861" s="8"/>
      <c r="D861" s="8"/>
      <c r="E861" s="8"/>
      <c r="F861" s="8"/>
      <c r="G861" s="8"/>
      <c r="H861" s="8"/>
      <c r="I861" s="8"/>
      <c r="J861" s="8"/>
      <c r="K861" s="8"/>
      <c r="L861" s="8"/>
      <c r="M861" s="8"/>
      <c r="N861" s="8"/>
      <c r="O861" s="8"/>
      <c r="P861" s="8"/>
      <c r="Q861" s="8"/>
      <c r="R861" s="8"/>
      <c r="S861" s="8"/>
      <c r="T861" s="8"/>
      <c r="U861" s="8"/>
      <c r="V861" s="8"/>
      <c r="W861" s="8"/>
      <c r="X861" s="8"/>
      <c r="Y861" s="8"/>
    </row>
    <row r="862" spans="1:25" ht="16.5" customHeight="1" x14ac:dyDescent="0.2">
      <c r="A862" s="8"/>
      <c r="B862" s="8"/>
      <c r="C862" s="8"/>
      <c r="D862" s="8"/>
      <c r="E862" s="8"/>
      <c r="F862" s="8"/>
      <c r="G862" s="8"/>
      <c r="H862" s="8"/>
      <c r="I862" s="8"/>
      <c r="J862" s="8"/>
      <c r="K862" s="8"/>
      <c r="L862" s="8"/>
      <c r="M862" s="8"/>
      <c r="N862" s="8"/>
      <c r="O862" s="8"/>
      <c r="P862" s="8"/>
      <c r="Q862" s="8"/>
      <c r="R862" s="8"/>
      <c r="S862" s="8"/>
      <c r="T862" s="8"/>
      <c r="U862" s="8"/>
      <c r="V862" s="8"/>
      <c r="W862" s="8"/>
      <c r="X862" s="8"/>
      <c r="Y862" s="8"/>
    </row>
    <row r="863" spans="1:25" ht="16.5" customHeight="1" x14ac:dyDescent="0.2">
      <c r="A863" s="8"/>
      <c r="B863" s="8"/>
      <c r="C863" s="8"/>
      <c r="D863" s="8"/>
      <c r="E863" s="8"/>
      <c r="F863" s="8"/>
      <c r="G863" s="8"/>
      <c r="H863" s="8"/>
      <c r="I863" s="8"/>
      <c r="J863" s="8"/>
      <c r="K863" s="8"/>
      <c r="L863" s="8"/>
      <c r="M863" s="8"/>
      <c r="N863" s="8"/>
      <c r="O863" s="8"/>
      <c r="P863" s="8"/>
      <c r="Q863" s="8"/>
      <c r="R863" s="8"/>
      <c r="S863" s="8"/>
      <c r="T863" s="8"/>
      <c r="U863" s="8"/>
      <c r="V863" s="8"/>
      <c r="W863" s="8"/>
      <c r="X863" s="8"/>
      <c r="Y863" s="8"/>
    </row>
    <row r="864" spans="1:25" ht="16.5" customHeight="1" x14ac:dyDescent="0.2">
      <c r="A864" s="8"/>
      <c r="B864" s="8"/>
      <c r="C864" s="8"/>
      <c r="D864" s="8"/>
      <c r="E864" s="8"/>
      <c r="F864" s="8"/>
      <c r="G864" s="8"/>
      <c r="H864" s="8"/>
      <c r="I864" s="8"/>
      <c r="J864" s="8"/>
      <c r="K864" s="8"/>
      <c r="L864" s="8"/>
      <c r="M864" s="8"/>
      <c r="N864" s="8"/>
      <c r="O864" s="8"/>
      <c r="P864" s="8"/>
      <c r="Q864" s="8"/>
      <c r="R864" s="8"/>
      <c r="S864" s="8"/>
      <c r="T864" s="8"/>
      <c r="U864" s="8"/>
      <c r="V864" s="8"/>
      <c r="W864" s="8"/>
      <c r="X864" s="8"/>
      <c r="Y864" s="8"/>
    </row>
    <row r="865" spans="1:25" ht="16.5" customHeight="1" x14ac:dyDescent="0.2">
      <c r="A865" s="8"/>
      <c r="B865" s="8"/>
      <c r="C865" s="8"/>
      <c r="D865" s="8"/>
      <c r="E865" s="8"/>
      <c r="F865" s="8"/>
      <c r="G865" s="8"/>
      <c r="H865" s="8"/>
      <c r="I865" s="8"/>
      <c r="J865" s="8"/>
      <c r="K865" s="8"/>
      <c r="L865" s="8"/>
      <c r="M865" s="8"/>
      <c r="N865" s="8"/>
      <c r="O865" s="8"/>
      <c r="P865" s="8"/>
      <c r="Q865" s="8"/>
      <c r="R865" s="8"/>
      <c r="S865" s="8"/>
      <c r="T865" s="8"/>
      <c r="U865" s="8"/>
      <c r="V865" s="8"/>
      <c r="W865" s="8"/>
      <c r="X865" s="8"/>
      <c r="Y865" s="8"/>
    </row>
    <row r="866" spans="1:25" ht="16.5" customHeight="1" x14ac:dyDescent="0.2">
      <c r="A866" s="8"/>
      <c r="B866" s="8"/>
      <c r="C866" s="8"/>
      <c r="D866" s="8"/>
      <c r="E866" s="8"/>
      <c r="F866" s="8"/>
      <c r="G866" s="8"/>
      <c r="H866" s="8"/>
      <c r="I866" s="8"/>
      <c r="J866" s="8"/>
      <c r="K866" s="8"/>
      <c r="L866" s="8"/>
      <c r="M866" s="8"/>
      <c r="N866" s="8"/>
      <c r="O866" s="8"/>
      <c r="P866" s="8"/>
      <c r="Q866" s="8"/>
      <c r="R866" s="8"/>
      <c r="S866" s="8"/>
      <c r="T866" s="8"/>
      <c r="U866" s="8"/>
      <c r="V866" s="8"/>
      <c r="W866" s="8"/>
      <c r="X866" s="8"/>
      <c r="Y866" s="8"/>
    </row>
    <row r="867" spans="1:25" ht="16.5" customHeight="1" x14ac:dyDescent="0.2">
      <c r="A867" s="8"/>
      <c r="B867" s="8"/>
      <c r="C867" s="8"/>
      <c r="D867" s="8"/>
      <c r="E867" s="8"/>
      <c r="F867" s="8"/>
      <c r="G867" s="8"/>
      <c r="H867" s="8"/>
      <c r="I867" s="8"/>
      <c r="J867" s="8"/>
      <c r="K867" s="8"/>
      <c r="L867" s="8"/>
      <c r="M867" s="8"/>
      <c r="N867" s="8"/>
      <c r="O867" s="8"/>
      <c r="P867" s="8"/>
      <c r="Q867" s="8"/>
      <c r="R867" s="8"/>
      <c r="S867" s="8"/>
      <c r="T867" s="8"/>
      <c r="U867" s="8"/>
      <c r="V867" s="8"/>
      <c r="W867" s="8"/>
      <c r="X867" s="8"/>
      <c r="Y867" s="8"/>
    </row>
    <row r="868" spans="1:25" ht="16.5" customHeight="1" x14ac:dyDescent="0.2">
      <c r="A868" s="8"/>
      <c r="B868" s="8"/>
      <c r="C868" s="8"/>
      <c r="D868" s="8"/>
      <c r="E868" s="8"/>
      <c r="F868" s="8"/>
      <c r="G868" s="8"/>
      <c r="H868" s="8"/>
      <c r="I868" s="8"/>
      <c r="J868" s="8"/>
      <c r="K868" s="8"/>
      <c r="L868" s="8"/>
      <c r="M868" s="8"/>
      <c r="N868" s="8"/>
      <c r="O868" s="8"/>
      <c r="P868" s="8"/>
      <c r="Q868" s="8"/>
      <c r="R868" s="8"/>
      <c r="S868" s="8"/>
      <c r="T868" s="8"/>
      <c r="U868" s="8"/>
      <c r="V868" s="8"/>
      <c r="W868" s="8"/>
      <c r="X868" s="8"/>
      <c r="Y868" s="8"/>
    </row>
    <row r="869" spans="1:25" ht="16.5" customHeight="1" x14ac:dyDescent="0.2">
      <c r="A869" s="8"/>
      <c r="B869" s="8"/>
      <c r="C869" s="8"/>
      <c r="D869" s="8"/>
      <c r="E869" s="8"/>
      <c r="F869" s="8"/>
      <c r="G869" s="8"/>
      <c r="H869" s="8"/>
      <c r="I869" s="8"/>
      <c r="J869" s="8"/>
      <c r="K869" s="8"/>
      <c r="L869" s="8"/>
      <c r="M869" s="8"/>
      <c r="N869" s="8"/>
      <c r="O869" s="8"/>
      <c r="P869" s="8"/>
      <c r="Q869" s="8"/>
      <c r="R869" s="8"/>
      <c r="S869" s="8"/>
      <c r="T869" s="8"/>
      <c r="U869" s="8"/>
      <c r="V869" s="8"/>
      <c r="W869" s="8"/>
      <c r="X869" s="8"/>
      <c r="Y869" s="8"/>
    </row>
    <row r="870" spans="1:25" ht="16.5" customHeight="1" x14ac:dyDescent="0.2">
      <c r="A870" s="8"/>
      <c r="B870" s="8"/>
      <c r="C870" s="8"/>
      <c r="D870" s="8"/>
      <c r="E870" s="8"/>
      <c r="F870" s="8"/>
      <c r="G870" s="8"/>
      <c r="H870" s="8"/>
      <c r="I870" s="8"/>
      <c r="J870" s="8"/>
      <c r="K870" s="8"/>
      <c r="L870" s="8"/>
      <c r="M870" s="8"/>
      <c r="N870" s="8"/>
      <c r="O870" s="8"/>
      <c r="P870" s="8"/>
      <c r="Q870" s="8"/>
      <c r="R870" s="8"/>
      <c r="S870" s="8"/>
      <c r="T870" s="8"/>
      <c r="U870" s="8"/>
      <c r="V870" s="8"/>
      <c r="W870" s="8"/>
      <c r="X870" s="8"/>
      <c r="Y870" s="8"/>
    </row>
    <row r="871" spans="1:25" ht="16.5" customHeight="1" x14ac:dyDescent="0.2">
      <c r="A871" s="8"/>
      <c r="B871" s="8"/>
      <c r="C871" s="8"/>
      <c r="D871" s="8"/>
      <c r="E871" s="8"/>
      <c r="F871" s="8"/>
      <c r="G871" s="8"/>
      <c r="H871" s="8"/>
      <c r="I871" s="8"/>
      <c r="J871" s="8"/>
      <c r="K871" s="8"/>
      <c r="L871" s="8"/>
      <c r="M871" s="8"/>
      <c r="N871" s="8"/>
      <c r="O871" s="8"/>
      <c r="P871" s="8"/>
      <c r="Q871" s="8"/>
      <c r="R871" s="8"/>
      <c r="S871" s="8"/>
      <c r="T871" s="8"/>
      <c r="U871" s="8"/>
      <c r="V871" s="8"/>
      <c r="W871" s="8"/>
      <c r="X871" s="8"/>
      <c r="Y871" s="8"/>
    </row>
    <row r="872" spans="1:25" ht="16.5" customHeight="1" x14ac:dyDescent="0.2">
      <c r="A872" s="8"/>
      <c r="B872" s="8"/>
      <c r="C872" s="8"/>
      <c r="D872" s="8"/>
      <c r="E872" s="8"/>
      <c r="F872" s="8"/>
      <c r="G872" s="8"/>
      <c r="H872" s="8"/>
      <c r="I872" s="8"/>
      <c r="J872" s="8"/>
      <c r="K872" s="8"/>
      <c r="L872" s="8"/>
      <c r="M872" s="8"/>
      <c r="N872" s="8"/>
      <c r="O872" s="8"/>
      <c r="P872" s="8"/>
      <c r="Q872" s="8"/>
      <c r="R872" s="8"/>
      <c r="S872" s="8"/>
      <c r="T872" s="8"/>
      <c r="U872" s="8"/>
      <c r="V872" s="8"/>
      <c r="W872" s="8"/>
      <c r="X872" s="8"/>
      <c r="Y872" s="8"/>
    </row>
    <row r="873" spans="1:25" ht="16.5" customHeight="1" x14ac:dyDescent="0.2">
      <c r="A873" s="8"/>
      <c r="B873" s="8"/>
      <c r="C873" s="8"/>
      <c r="D873" s="8"/>
      <c r="E873" s="8"/>
      <c r="F873" s="8"/>
      <c r="G873" s="8"/>
      <c r="H873" s="8"/>
      <c r="I873" s="8"/>
      <c r="J873" s="8"/>
      <c r="K873" s="8"/>
      <c r="L873" s="8"/>
      <c r="M873" s="8"/>
      <c r="N873" s="8"/>
      <c r="O873" s="8"/>
      <c r="P873" s="8"/>
      <c r="Q873" s="8"/>
      <c r="R873" s="8"/>
      <c r="S873" s="8"/>
      <c r="T873" s="8"/>
      <c r="U873" s="8"/>
      <c r="V873" s="8"/>
      <c r="W873" s="8"/>
      <c r="X873" s="8"/>
      <c r="Y873" s="8"/>
    </row>
    <row r="874" spans="1:25" ht="16.5" customHeight="1" x14ac:dyDescent="0.2">
      <c r="A874" s="8"/>
      <c r="B874" s="8"/>
      <c r="C874" s="8"/>
      <c r="D874" s="8"/>
      <c r="E874" s="8"/>
      <c r="F874" s="8"/>
      <c r="G874" s="8"/>
      <c r="H874" s="8"/>
      <c r="I874" s="8"/>
      <c r="J874" s="8"/>
      <c r="K874" s="8"/>
      <c r="L874" s="8"/>
      <c r="M874" s="8"/>
      <c r="N874" s="8"/>
      <c r="O874" s="8"/>
      <c r="P874" s="8"/>
      <c r="Q874" s="8"/>
      <c r="R874" s="8"/>
      <c r="S874" s="8"/>
      <c r="T874" s="8"/>
      <c r="U874" s="8"/>
      <c r="V874" s="8"/>
      <c r="W874" s="8"/>
      <c r="X874" s="8"/>
      <c r="Y874" s="8"/>
    </row>
    <row r="875" spans="1:25" ht="16.5" customHeight="1" x14ac:dyDescent="0.2">
      <c r="A875" s="8"/>
      <c r="B875" s="8"/>
      <c r="C875" s="8"/>
      <c r="D875" s="8"/>
      <c r="E875" s="8"/>
      <c r="F875" s="8"/>
      <c r="G875" s="8"/>
      <c r="H875" s="8"/>
      <c r="I875" s="8"/>
      <c r="J875" s="8"/>
      <c r="K875" s="8"/>
      <c r="L875" s="8"/>
      <c r="M875" s="8"/>
      <c r="N875" s="8"/>
      <c r="O875" s="8"/>
      <c r="P875" s="8"/>
      <c r="Q875" s="8"/>
      <c r="R875" s="8"/>
      <c r="S875" s="8"/>
      <c r="T875" s="8"/>
      <c r="U875" s="8"/>
      <c r="V875" s="8"/>
      <c r="W875" s="8"/>
      <c r="X875" s="8"/>
      <c r="Y875" s="8"/>
    </row>
    <row r="876" spans="1:25" ht="16.5" customHeight="1" x14ac:dyDescent="0.2">
      <c r="A876" s="8"/>
      <c r="B876" s="8"/>
      <c r="C876" s="8"/>
      <c r="D876" s="8"/>
      <c r="E876" s="8"/>
      <c r="F876" s="8"/>
      <c r="G876" s="8"/>
      <c r="H876" s="8"/>
      <c r="I876" s="8"/>
      <c r="J876" s="8"/>
      <c r="K876" s="8"/>
      <c r="L876" s="8"/>
      <c r="M876" s="8"/>
      <c r="N876" s="8"/>
      <c r="O876" s="8"/>
      <c r="P876" s="8"/>
      <c r="Q876" s="8"/>
      <c r="R876" s="8"/>
      <c r="S876" s="8"/>
      <c r="T876" s="8"/>
      <c r="U876" s="8"/>
      <c r="V876" s="8"/>
      <c r="W876" s="8"/>
      <c r="X876" s="8"/>
      <c r="Y876" s="8"/>
    </row>
    <row r="877" spans="1:25" ht="16.5" customHeight="1" x14ac:dyDescent="0.2">
      <c r="A877" s="8"/>
      <c r="B877" s="8"/>
      <c r="C877" s="8"/>
      <c r="D877" s="8"/>
      <c r="E877" s="8"/>
      <c r="F877" s="8"/>
      <c r="G877" s="8"/>
      <c r="H877" s="8"/>
      <c r="I877" s="8"/>
      <c r="J877" s="8"/>
      <c r="K877" s="8"/>
      <c r="L877" s="8"/>
      <c r="M877" s="8"/>
      <c r="N877" s="8"/>
      <c r="O877" s="8"/>
      <c r="P877" s="8"/>
      <c r="Q877" s="8"/>
      <c r="R877" s="8"/>
      <c r="S877" s="8"/>
      <c r="T877" s="8"/>
      <c r="U877" s="8"/>
      <c r="V877" s="8"/>
      <c r="W877" s="8"/>
      <c r="X877" s="8"/>
      <c r="Y877" s="8"/>
    </row>
    <row r="878" spans="1:25" ht="16.5" customHeight="1" x14ac:dyDescent="0.2">
      <c r="A878" s="8"/>
      <c r="B878" s="8"/>
      <c r="C878" s="8"/>
      <c r="D878" s="8"/>
      <c r="E878" s="8"/>
      <c r="F878" s="8"/>
      <c r="G878" s="8"/>
      <c r="H878" s="8"/>
      <c r="I878" s="8"/>
      <c r="J878" s="8"/>
      <c r="K878" s="8"/>
      <c r="L878" s="8"/>
      <c r="M878" s="8"/>
      <c r="N878" s="8"/>
      <c r="O878" s="8"/>
      <c r="P878" s="8"/>
      <c r="Q878" s="8"/>
      <c r="R878" s="8"/>
      <c r="S878" s="8"/>
      <c r="T878" s="8"/>
      <c r="U878" s="8"/>
      <c r="V878" s="8"/>
      <c r="W878" s="8"/>
      <c r="X878" s="8"/>
      <c r="Y878" s="8"/>
    </row>
    <row r="879" spans="1:25" ht="16.5" customHeight="1" x14ac:dyDescent="0.2">
      <c r="A879" s="8"/>
      <c r="B879" s="8"/>
      <c r="C879" s="8"/>
      <c r="D879" s="8"/>
      <c r="E879" s="8"/>
      <c r="F879" s="8"/>
      <c r="G879" s="8"/>
      <c r="H879" s="8"/>
      <c r="I879" s="8"/>
      <c r="J879" s="8"/>
      <c r="K879" s="8"/>
      <c r="L879" s="8"/>
      <c r="M879" s="8"/>
      <c r="N879" s="8"/>
      <c r="O879" s="8"/>
      <c r="P879" s="8"/>
      <c r="Q879" s="8"/>
      <c r="R879" s="8"/>
      <c r="S879" s="8"/>
      <c r="T879" s="8"/>
      <c r="U879" s="8"/>
      <c r="V879" s="8"/>
      <c r="W879" s="8"/>
      <c r="X879" s="8"/>
      <c r="Y879" s="8"/>
    </row>
    <row r="880" spans="1:25" ht="16.5" customHeight="1" x14ac:dyDescent="0.2">
      <c r="A880" s="8"/>
      <c r="B880" s="8"/>
      <c r="C880" s="8"/>
      <c r="D880" s="8"/>
      <c r="E880" s="8"/>
      <c r="F880" s="8"/>
      <c r="G880" s="8"/>
      <c r="H880" s="8"/>
      <c r="I880" s="8"/>
      <c r="J880" s="8"/>
      <c r="K880" s="8"/>
      <c r="L880" s="8"/>
      <c r="M880" s="8"/>
      <c r="N880" s="8"/>
      <c r="O880" s="8"/>
      <c r="P880" s="8"/>
      <c r="Q880" s="8"/>
      <c r="R880" s="8"/>
      <c r="S880" s="8"/>
      <c r="T880" s="8"/>
      <c r="U880" s="8"/>
      <c r="V880" s="8"/>
      <c r="W880" s="8"/>
      <c r="X880" s="8"/>
      <c r="Y880" s="8"/>
    </row>
    <row r="881" spans="1:25" ht="16.5" customHeight="1" x14ac:dyDescent="0.2">
      <c r="A881" s="8"/>
      <c r="B881" s="8"/>
      <c r="C881" s="8"/>
      <c r="D881" s="8"/>
      <c r="E881" s="8"/>
      <c r="F881" s="8"/>
      <c r="G881" s="8"/>
      <c r="H881" s="8"/>
      <c r="I881" s="8"/>
      <c r="J881" s="8"/>
      <c r="K881" s="8"/>
      <c r="L881" s="8"/>
      <c r="M881" s="8"/>
      <c r="N881" s="8"/>
      <c r="O881" s="8"/>
      <c r="P881" s="8"/>
      <c r="Q881" s="8"/>
      <c r="R881" s="8"/>
      <c r="S881" s="8"/>
      <c r="T881" s="8"/>
      <c r="U881" s="8"/>
      <c r="V881" s="8"/>
      <c r="W881" s="8"/>
      <c r="X881" s="8"/>
      <c r="Y881" s="8"/>
    </row>
    <row r="882" spans="1:25" ht="16.5" customHeight="1" x14ac:dyDescent="0.2">
      <c r="A882" s="8"/>
      <c r="B882" s="8"/>
      <c r="C882" s="8"/>
      <c r="D882" s="8"/>
      <c r="E882" s="8"/>
      <c r="F882" s="8"/>
      <c r="G882" s="8"/>
      <c r="H882" s="8"/>
      <c r="I882" s="8"/>
      <c r="J882" s="8"/>
      <c r="K882" s="8"/>
      <c r="L882" s="8"/>
      <c r="M882" s="8"/>
      <c r="N882" s="8"/>
      <c r="O882" s="8"/>
      <c r="P882" s="8"/>
      <c r="Q882" s="8"/>
      <c r="R882" s="8"/>
      <c r="S882" s="8"/>
      <c r="T882" s="8"/>
      <c r="U882" s="8"/>
      <c r="V882" s="8"/>
      <c r="W882" s="8"/>
      <c r="X882" s="8"/>
      <c r="Y882" s="8"/>
    </row>
    <row r="883" spans="1:25" ht="16.5" customHeight="1" x14ac:dyDescent="0.2">
      <c r="A883" s="8"/>
      <c r="B883" s="8"/>
      <c r="C883" s="8"/>
      <c r="D883" s="8"/>
      <c r="E883" s="8"/>
      <c r="F883" s="8"/>
      <c r="G883" s="8"/>
      <c r="H883" s="8"/>
      <c r="I883" s="8"/>
      <c r="J883" s="8"/>
      <c r="K883" s="8"/>
      <c r="L883" s="8"/>
      <c r="M883" s="8"/>
      <c r="N883" s="8"/>
      <c r="O883" s="8"/>
      <c r="P883" s="8"/>
      <c r="Q883" s="8"/>
      <c r="R883" s="8"/>
      <c r="S883" s="8"/>
      <c r="T883" s="8"/>
      <c r="U883" s="8"/>
      <c r="V883" s="8"/>
      <c r="W883" s="8"/>
      <c r="X883" s="8"/>
      <c r="Y883" s="8"/>
    </row>
    <row r="884" spans="1:25" ht="16.5" customHeight="1" x14ac:dyDescent="0.2">
      <c r="A884" s="8"/>
      <c r="B884" s="8"/>
      <c r="C884" s="8"/>
      <c r="D884" s="8"/>
      <c r="E884" s="8"/>
      <c r="F884" s="8"/>
      <c r="G884" s="8"/>
      <c r="H884" s="8"/>
      <c r="I884" s="8"/>
      <c r="J884" s="8"/>
      <c r="K884" s="8"/>
      <c r="L884" s="8"/>
      <c r="M884" s="8"/>
      <c r="N884" s="8"/>
      <c r="O884" s="8"/>
      <c r="P884" s="8"/>
      <c r="Q884" s="8"/>
      <c r="R884" s="8"/>
      <c r="S884" s="8"/>
      <c r="T884" s="8"/>
      <c r="U884" s="8"/>
      <c r="V884" s="8"/>
      <c r="W884" s="8"/>
      <c r="X884" s="8"/>
      <c r="Y884" s="8"/>
    </row>
    <row r="885" spans="1:25" ht="16.5" customHeight="1" x14ac:dyDescent="0.2">
      <c r="A885" s="8"/>
      <c r="B885" s="8"/>
      <c r="C885" s="8"/>
      <c r="D885" s="8"/>
      <c r="E885" s="8"/>
      <c r="F885" s="8"/>
      <c r="G885" s="8"/>
      <c r="H885" s="8"/>
      <c r="I885" s="8"/>
      <c r="J885" s="8"/>
      <c r="K885" s="8"/>
      <c r="L885" s="8"/>
      <c r="M885" s="8"/>
      <c r="N885" s="8"/>
      <c r="O885" s="8"/>
      <c r="P885" s="8"/>
      <c r="Q885" s="8"/>
      <c r="R885" s="8"/>
      <c r="S885" s="8"/>
      <c r="T885" s="8"/>
      <c r="U885" s="8"/>
      <c r="V885" s="8"/>
      <c r="W885" s="8"/>
      <c r="X885" s="8"/>
      <c r="Y885" s="8"/>
    </row>
    <row r="886" spans="1:25" ht="16.5" customHeight="1" x14ac:dyDescent="0.2">
      <c r="A886" s="8"/>
      <c r="B886" s="8"/>
      <c r="C886" s="8"/>
      <c r="D886" s="8"/>
      <c r="E886" s="8"/>
      <c r="F886" s="8"/>
      <c r="G886" s="8"/>
      <c r="H886" s="8"/>
      <c r="I886" s="8"/>
      <c r="J886" s="8"/>
      <c r="K886" s="8"/>
      <c r="L886" s="8"/>
      <c r="M886" s="8"/>
      <c r="N886" s="8"/>
      <c r="O886" s="8"/>
      <c r="P886" s="8"/>
      <c r="Q886" s="8"/>
      <c r="R886" s="8"/>
      <c r="S886" s="8"/>
      <c r="T886" s="8"/>
      <c r="U886" s="8"/>
      <c r="V886" s="8"/>
      <c r="W886" s="8"/>
      <c r="X886" s="8"/>
      <c r="Y886" s="8"/>
    </row>
    <row r="887" spans="1:25" ht="16.5" customHeight="1" x14ac:dyDescent="0.2">
      <c r="A887" s="8"/>
      <c r="B887" s="8"/>
      <c r="C887" s="8"/>
      <c r="D887" s="8"/>
      <c r="E887" s="8"/>
      <c r="F887" s="8"/>
      <c r="G887" s="8"/>
      <c r="H887" s="8"/>
      <c r="I887" s="8"/>
      <c r="J887" s="8"/>
      <c r="K887" s="8"/>
      <c r="L887" s="8"/>
      <c r="M887" s="8"/>
      <c r="N887" s="8"/>
      <c r="O887" s="8"/>
      <c r="P887" s="8"/>
      <c r="Q887" s="8"/>
      <c r="R887" s="8"/>
      <c r="S887" s="8"/>
      <c r="T887" s="8"/>
      <c r="U887" s="8"/>
      <c r="V887" s="8"/>
      <c r="W887" s="8"/>
      <c r="X887" s="8"/>
      <c r="Y887" s="8"/>
    </row>
    <row r="888" spans="1:25" ht="16.5" customHeight="1" x14ac:dyDescent="0.2">
      <c r="A888" s="8"/>
      <c r="B888" s="8"/>
      <c r="C888" s="8"/>
      <c r="D888" s="8"/>
      <c r="E888" s="8"/>
      <c r="F888" s="8"/>
      <c r="G888" s="8"/>
      <c r="H888" s="8"/>
      <c r="I888" s="8"/>
      <c r="J888" s="8"/>
      <c r="K888" s="8"/>
      <c r="L888" s="8"/>
      <c r="M888" s="8"/>
      <c r="N888" s="8"/>
      <c r="O888" s="8"/>
      <c r="P888" s="8"/>
      <c r="Q888" s="8"/>
      <c r="R888" s="8"/>
      <c r="S888" s="8"/>
      <c r="T888" s="8"/>
      <c r="U888" s="8"/>
      <c r="V888" s="8"/>
      <c r="W888" s="8"/>
      <c r="X888" s="8"/>
      <c r="Y888" s="8"/>
    </row>
    <row r="889" spans="1:25" ht="16.5" customHeight="1" x14ac:dyDescent="0.2">
      <c r="A889" s="8"/>
      <c r="B889" s="8"/>
      <c r="C889" s="8"/>
      <c r="D889" s="8"/>
      <c r="E889" s="8"/>
      <c r="F889" s="8"/>
      <c r="G889" s="8"/>
      <c r="H889" s="8"/>
      <c r="I889" s="8"/>
      <c r="J889" s="8"/>
      <c r="K889" s="8"/>
      <c r="L889" s="8"/>
      <c r="M889" s="8"/>
      <c r="N889" s="8"/>
      <c r="O889" s="8"/>
      <c r="P889" s="8"/>
      <c r="Q889" s="8"/>
      <c r="R889" s="8"/>
      <c r="S889" s="8"/>
      <c r="T889" s="8"/>
      <c r="U889" s="8"/>
      <c r="V889" s="8"/>
      <c r="W889" s="8"/>
      <c r="X889" s="8"/>
      <c r="Y889" s="8"/>
    </row>
    <row r="890" spans="1:25" ht="16.5" customHeight="1" x14ac:dyDescent="0.2">
      <c r="A890" s="8"/>
      <c r="B890" s="8"/>
      <c r="C890" s="8"/>
      <c r="D890" s="8"/>
      <c r="E890" s="8"/>
      <c r="F890" s="8"/>
      <c r="G890" s="8"/>
      <c r="H890" s="8"/>
      <c r="I890" s="8"/>
      <c r="J890" s="8"/>
      <c r="K890" s="8"/>
      <c r="L890" s="8"/>
      <c r="M890" s="8"/>
      <c r="N890" s="8"/>
      <c r="O890" s="8"/>
      <c r="P890" s="8"/>
      <c r="Q890" s="8"/>
      <c r="R890" s="8"/>
      <c r="S890" s="8"/>
      <c r="T890" s="8"/>
      <c r="U890" s="8"/>
      <c r="V890" s="8"/>
      <c r="W890" s="8"/>
      <c r="X890" s="8"/>
      <c r="Y890" s="8"/>
    </row>
    <row r="891" spans="1:25" ht="16.5" customHeight="1" x14ac:dyDescent="0.2">
      <c r="A891" s="8"/>
      <c r="B891" s="8"/>
      <c r="C891" s="8"/>
      <c r="D891" s="8"/>
      <c r="E891" s="8"/>
      <c r="F891" s="8"/>
      <c r="G891" s="8"/>
      <c r="H891" s="8"/>
      <c r="I891" s="8"/>
      <c r="J891" s="8"/>
      <c r="K891" s="8"/>
      <c r="L891" s="8"/>
      <c r="M891" s="8"/>
      <c r="N891" s="8"/>
      <c r="O891" s="8"/>
      <c r="P891" s="8"/>
      <c r="Q891" s="8"/>
      <c r="R891" s="8"/>
      <c r="S891" s="8"/>
      <c r="T891" s="8"/>
      <c r="U891" s="8"/>
      <c r="V891" s="8"/>
      <c r="W891" s="8"/>
      <c r="X891" s="8"/>
      <c r="Y891" s="8"/>
    </row>
    <row r="892" spans="1:25" ht="16.5" customHeight="1" x14ac:dyDescent="0.2">
      <c r="A892" s="8"/>
      <c r="B892" s="8"/>
      <c r="C892" s="8"/>
      <c r="D892" s="8"/>
      <c r="E892" s="8"/>
      <c r="F892" s="8"/>
      <c r="G892" s="8"/>
      <c r="H892" s="8"/>
      <c r="I892" s="8"/>
      <c r="J892" s="8"/>
      <c r="K892" s="8"/>
      <c r="L892" s="8"/>
      <c r="M892" s="8"/>
      <c r="N892" s="8"/>
      <c r="O892" s="8"/>
      <c r="P892" s="8"/>
      <c r="Q892" s="8"/>
      <c r="R892" s="8"/>
      <c r="S892" s="8"/>
      <c r="T892" s="8"/>
      <c r="U892" s="8"/>
      <c r="V892" s="8"/>
      <c r="W892" s="8"/>
      <c r="X892" s="8"/>
      <c r="Y892" s="8"/>
    </row>
    <row r="893" spans="1:25" ht="16.5" customHeight="1" x14ac:dyDescent="0.2">
      <c r="A893" s="8"/>
      <c r="B893" s="8"/>
      <c r="C893" s="8"/>
      <c r="D893" s="8"/>
      <c r="E893" s="8"/>
      <c r="F893" s="8"/>
      <c r="G893" s="8"/>
      <c r="H893" s="8"/>
      <c r="I893" s="8"/>
      <c r="J893" s="8"/>
      <c r="K893" s="8"/>
      <c r="L893" s="8"/>
      <c r="M893" s="8"/>
      <c r="N893" s="8"/>
      <c r="O893" s="8"/>
      <c r="P893" s="8"/>
      <c r="Q893" s="8"/>
      <c r="R893" s="8"/>
      <c r="S893" s="8"/>
      <c r="T893" s="8"/>
      <c r="U893" s="8"/>
      <c r="V893" s="8"/>
      <c r="W893" s="8"/>
      <c r="X893" s="8"/>
      <c r="Y893" s="8"/>
    </row>
    <row r="894" spans="1:25" ht="16.5" customHeight="1" x14ac:dyDescent="0.2">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spans="1:25" ht="16.5" customHeight="1" x14ac:dyDescent="0.2">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spans="1:25" ht="16.5" customHeight="1" x14ac:dyDescent="0.2">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spans="1:25" ht="16.5" customHeight="1" x14ac:dyDescent="0.2">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spans="1:25" ht="16.5" customHeight="1" x14ac:dyDescent="0.2">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spans="1:25" ht="16.5" customHeight="1" x14ac:dyDescent="0.2">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spans="1:25" ht="16.5" customHeight="1" x14ac:dyDescent="0.2">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spans="1:25" ht="16.5" customHeight="1" x14ac:dyDescent="0.2">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spans="1:25" ht="16.5" customHeight="1" x14ac:dyDescent="0.2">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spans="1:25" ht="16.5" customHeight="1" x14ac:dyDescent="0.2">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spans="1:25" ht="16.5" customHeight="1" x14ac:dyDescent="0.2">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spans="1:25" ht="16.5" customHeight="1" x14ac:dyDescent="0.2">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spans="1:25" ht="16.5" customHeight="1" x14ac:dyDescent="0.2">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spans="1:25" ht="16.5" customHeight="1" x14ac:dyDescent="0.2">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spans="1:25" ht="16.5" customHeight="1" x14ac:dyDescent="0.2">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spans="1:25" ht="16.5" customHeight="1" x14ac:dyDescent="0.2">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spans="1:25" ht="16.5" customHeight="1" x14ac:dyDescent="0.2">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spans="1:25" ht="16.5" customHeight="1" x14ac:dyDescent="0.2">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spans="1:25" ht="16.5" customHeight="1" x14ac:dyDescent="0.2">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spans="1:25" ht="16.5" customHeight="1" x14ac:dyDescent="0.2">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spans="1:25" ht="16.5" customHeight="1" x14ac:dyDescent="0.2">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spans="1:25" ht="16.5" customHeight="1" x14ac:dyDescent="0.2">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spans="1:25" ht="16.5" customHeight="1" x14ac:dyDescent="0.2">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spans="1:25" ht="16.5" customHeight="1" x14ac:dyDescent="0.2">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spans="1:25" ht="16.5" customHeight="1" x14ac:dyDescent="0.2">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spans="1:25" ht="16.5" customHeight="1" x14ac:dyDescent="0.2">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spans="1:25" ht="16.5" customHeight="1" x14ac:dyDescent="0.2">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spans="1:25" ht="16.5" customHeight="1" x14ac:dyDescent="0.2">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spans="1:25" ht="16.5" customHeight="1" x14ac:dyDescent="0.2">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spans="1:25" ht="16.5" customHeight="1" x14ac:dyDescent="0.2">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spans="1:25" ht="16.5" customHeight="1" x14ac:dyDescent="0.2">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spans="1:25" ht="16.5" customHeight="1" x14ac:dyDescent="0.2">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spans="1:25" ht="16.5" customHeight="1" x14ac:dyDescent="0.2">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spans="1:25" ht="16.5" customHeight="1" x14ac:dyDescent="0.2">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spans="1:25" ht="16.5" customHeight="1" x14ac:dyDescent="0.2">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spans="1:25" ht="16.5" customHeight="1" x14ac:dyDescent="0.2">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spans="1:25" ht="16.5" customHeight="1" x14ac:dyDescent="0.2">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spans="1:25" ht="16.5" customHeight="1" x14ac:dyDescent="0.2">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spans="1:25" ht="16.5" customHeight="1" x14ac:dyDescent="0.2">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spans="1:25" ht="16.5" customHeight="1" x14ac:dyDescent="0.2">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spans="1:25" ht="16.5" customHeight="1" x14ac:dyDescent="0.2">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spans="1:25" ht="16.5" customHeight="1" x14ac:dyDescent="0.2">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spans="1:25" ht="16.5" customHeight="1" x14ac:dyDescent="0.2">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spans="1:25" ht="16.5" customHeight="1" x14ac:dyDescent="0.2">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spans="1:25" ht="16.5" customHeight="1" x14ac:dyDescent="0.2">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spans="1:25" ht="16.5" customHeight="1" x14ac:dyDescent="0.2">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spans="1:25" ht="16.5" customHeight="1" x14ac:dyDescent="0.2">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spans="1:25" ht="16.5" customHeight="1" x14ac:dyDescent="0.2">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spans="1:25" ht="16.5" customHeight="1" x14ac:dyDescent="0.2">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spans="1:25" ht="16.5" customHeight="1" x14ac:dyDescent="0.2">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spans="1:25" ht="16.5" customHeight="1" x14ac:dyDescent="0.2">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spans="1:25" ht="16.5" customHeight="1" x14ac:dyDescent="0.2">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spans="1:25" ht="16.5" customHeight="1" x14ac:dyDescent="0.2">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spans="1:25" ht="16.5" customHeight="1" x14ac:dyDescent="0.2">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spans="1:25" ht="16.5" customHeight="1" x14ac:dyDescent="0.2">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spans="1:25" ht="16.5" customHeight="1" x14ac:dyDescent="0.2">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spans="1:25" ht="16.5" customHeight="1" x14ac:dyDescent="0.2">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spans="1:25" ht="16.5" customHeight="1" x14ac:dyDescent="0.2">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spans="1:25" ht="16.5" customHeight="1" x14ac:dyDescent="0.2">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spans="1:25" ht="16.5" customHeight="1" x14ac:dyDescent="0.2">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spans="1:25" ht="16.5" customHeight="1" x14ac:dyDescent="0.2">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spans="1:25" ht="16.5" customHeight="1" x14ac:dyDescent="0.2">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spans="1:25" ht="16.5" customHeight="1" x14ac:dyDescent="0.2">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spans="1:25" ht="16.5" customHeight="1" x14ac:dyDescent="0.2">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spans="1:25" ht="16.5" customHeight="1" x14ac:dyDescent="0.2">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spans="1:25" ht="16.5" customHeight="1" x14ac:dyDescent="0.2">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spans="1:25" ht="16.5" customHeight="1" x14ac:dyDescent="0.2">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spans="1:25" ht="16.5" customHeight="1" x14ac:dyDescent="0.2">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spans="1:25" ht="16.5" customHeight="1" x14ac:dyDescent="0.2">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spans="1:25" ht="16.5" customHeight="1" x14ac:dyDescent="0.2">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spans="1:25" ht="16.5" customHeight="1" x14ac:dyDescent="0.2">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spans="1:25" ht="16.5" customHeight="1" x14ac:dyDescent="0.2">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spans="1:25" ht="16.5" customHeight="1" x14ac:dyDescent="0.2">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spans="1:25" ht="16.5" customHeight="1" x14ac:dyDescent="0.2">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spans="1:25" ht="16.5" customHeight="1" x14ac:dyDescent="0.2">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spans="1:25" ht="16.5" customHeight="1" x14ac:dyDescent="0.2">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spans="1:25" ht="16.5" customHeight="1" x14ac:dyDescent="0.2">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spans="1:25" ht="16.5" customHeight="1" x14ac:dyDescent="0.2">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spans="1:25" ht="16.5" customHeight="1" x14ac:dyDescent="0.2">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spans="1:25" ht="16.5" customHeight="1" x14ac:dyDescent="0.2">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row r="974" spans="1:25" ht="16.5" customHeight="1" x14ac:dyDescent="0.2">
      <c r="A974" s="8"/>
      <c r="B974" s="8"/>
      <c r="C974" s="8"/>
      <c r="D974" s="8"/>
      <c r="E974" s="8"/>
      <c r="F974" s="8"/>
      <c r="G974" s="8"/>
      <c r="H974" s="8"/>
      <c r="I974" s="8"/>
      <c r="J974" s="8"/>
      <c r="K974" s="8"/>
      <c r="L974" s="8"/>
      <c r="M974" s="8"/>
      <c r="N974" s="8"/>
      <c r="O974" s="8"/>
      <c r="P974" s="8"/>
      <c r="Q974" s="8"/>
      <c r="R974" s="8"/>
      <c r="S974" s="8"/>
      <c r="T974" s="8"/>
      <c r="U974" s="8"/>
      <c r="V974" s="8"/>
      <c r="W974" s="8"/>
      <c r="X974" s="8"/>
      <c r="Y974" s="8"/>
    </row>
    <row r="975" spans="1:25" ht="16.5" customHeight="1" x14ac:dyDescent="0.2">
      <c r="A975" s="8"/>
      <c r="B975" s="8"/>
      <c r="C975" s="8"/>
      <c r="D975" s="8"/>
      <c r="E975" s="8"/>
      <c r="F975" s="8"/>
      <c r="G975" s="8"/>
      <c r="H975" s="8"/>
      <c r="I975" s="8"/>
      <c r="J975" s="8"/>
      <c r="K975" s="8"/>
      <c r="L975" s="8"/>
      <c r="M975" s="8"/>
      <c r="N975" s="8"/>
      <c r="O975" s="8"/>
      <c r="P975" s="8"/>
      <c r="Q975" s="8"/>
      <c r="R975" s="8"/>
      <c r="S975" s="8"/>
      <c r="T975" s="8"/>
      <c r="U975" s="8"/>
      <c r="V975" s="8"/>
      <c r="W975" s="8"/>
      <c r="X975" s="8"/>
      <c r="Y975" s="8"/>
    </row>
    <row r="976" spans="1:25" ht="16.5" customHeight="1" x14ac:dyDescent="0.2">
      <c r="A976" s="8"/>
      <c r="B976" s="8"/>
      <c r="C976" s="8"/>
      <c r="D976" s="8"/>
      <c r="E976" s="8"/>
      <c r="F976" s="8"/>
      <c r="G976" s="8"/>
      <c r="H976" s="8"/>
      <c r="I976" s="8"/>
      <c r="J976" s="8"/>
      <c r="K976" s="8"/>
      <c r="L976" s="8"/>
      <c r="M976" s="8"/>
      <c r="N976" s="8"/>
      <c r="O976" s="8"/>
      <c r="P976" s="8"/>
      <c r="Q976" s="8"/>
      <c r="R976" s="8"/>
      <c r="S976" s="8"/>
      <c r="T976" s="8"/>
      <c r="U976" s="8"/>
      <c r="V976" s="8"/>
      <c r="W976" s="8"/>
      <c r="X976" s="8"/>
      <c r="Y976" s="8"/>
    </row>
    <row r="977" spans="1:25" ht="16.5" customHeight="1" x14ac:dyDescent="0.2">
      <c r="A977" s="8"/>
      <c r="B977" s="8"/>
      <c r="C977" s="8"/>
      <c r="D977" s="8"/>
      <c r="E977" s="8"/>
      <c r="F977" s="8"/>
      <c r="G977" s="8"/>
      <c r="H977" s="8"/>
      <c r="I977" s="8"/>
      <c r="J977" s="8"/>
      <c r="K977" s="8"/>
      <c r="L977" s="8"/>
      <c r="M977" s="8"/>
      <c r="N977" s="8"/>
      <c r="O977" s="8"/>
      <c r="P977" s="8"/>
      <c r="Q977" s="8"/>
      <c r="R977" s="8"/>
      <c r="S977" s="8"/>
      <c r="T977" s="8"/>
      <c r="U977" s="8"/>
      <c r="V977" s="8"/>
      <c r="W977" s="8"/>
      <c r="X977" s="8"/>
      <c r="Y977" s="8"/>
    </row>
    <row r="978" spans="1:25" ht="16.5" customHeight="1" x14ac:dyDescent="0.2">
      <c r="A978" s="8"/>
      <c r="B978" s="8"/>
      <c r="C978" s="8"/>
      <c r="D978" s="8"/>
      <c r="E978" s="8"/>
      <c r="F978" s="8"/>
      <c r="G978" s="8"/>
      <c r="H978" s="8"/>
      <c r="I978" s="8"/>
      <c r="J978" s="8"/>
      <c r="K978" s="8"/>
      <c r="L978" s="8"/>
      <c r="M978" s="8"/>
      <c r="N978" s="8"/>
      <c r="O978" s="8"/>
      <c r="P978" s="8"/>
      <c r="Q978" s="8"/>
      <c r="R978" s="8"/>
      <c r="S978" s="8"/>
      <c r="T978" s="8"/>
      <c r="U978" s="8"/>
      <c r="V978" s="8"/>
      <c r="W978" s="8"/>
      <c r="X978" s="8"/>
      <c r="Y978" s="8"/>
    </row>
    <row r="979" spans="1:25" ht="16.5" customHeight="1" x14ac:dyDescent="0.2">
      <c r="A979" s="8"/>
      <c r="B979" s="8"/>
      <c r="C979" s="8"/>
      <c r="D979" s="8"/>
      <c r="E979" s="8"/>
      <c r="F979" s="8"/>
      <c r="G979" s="8"/>
      <c r="H979" s="8"/>
      <c r="I979" s="8"/>
      <c r="J979" s="8"/>
      <c r="K979" s="8"/>
      <c r="L979" s="8"/>
      <c r="M979" s="8"/>
      <c r="N979" s="8"/>
      <c r="O979" s="8"/>
      <c r="P979" s="8"/>
      <c r="Q979" s="8"/>
      <c r="R979" s="8"/>
      <c r="S979" s="8"/>
      <c r="T979" s="8"/>
      <c r="U979" s="8"/>
      <c r="V979" s="8"/>
      <c r="W979" s="8"/>
      <c r="X979" s="8"/>
      <c r="Y979" s="8"/>
    </row>
    <row r="980" spans="1:25" ht="16.5" customHeight="1" x14ac:dyDescent="0.2">
      <c r="A980" s="8"/>
      <c r="B980" s="8"/>
      <c r="C980" s="8"/>
      <c r="D980" s="8"/>
      <c r="E980" s="8"/>
      <c r="F980" s="8"/>
      <c r="G980" s="8"/>
      <c r="H980" s="8"/>
      <c r="I980" s="8"/>
      <c r="J980" s="8"/>
      <c r="K980" s="8"/>
      <c r="L980" s="8"/>
      <c r="M980" s="8"/>
      <c r="N980" s="8"/>
      <c r="O980" s="8"/>
      <c r="P980" s="8"/>
      <c r="Q980" s="8"/>
      <c r="R980" s="8"/>
      <c r="S980" s="8"/>
      <c r="T980" s="8"/>
      <c r="U980" s="8"/>
      <c r="V980" s="8"/>
      <c r="W980" s="8"/>
      <c r="X980" s="8"/>
      <c r="Y980" s="8"/>
    </row>
    <row r="981" spans="1:25" ht="16.5" customHeight="1" x14ac:dyDescent="0.2">
      <c r="A981" s="8"/>
      <c r="B981" s="8"/>
      <c r="C981" s="8"/>
      <c r="D981" s="8"/>
      <c r="E981" s="8"/>
      <c r="F981" s="8"/>
      <c r="G981" s="8"/>
      <c r="H981" s="8"/>
      <c r="I981" s="8"/>
      <c r="J981" s="8"/>
      <c r="K981" s="8"/>
      <c r="L981" s="8"/>
      <c r="M981" s="8"/>
      <c r="N981" s="8"/>
      <c r="O981" s="8"/>
      <c r="P981" s="8"/>
      <c r="Q981" s="8"/>
      <c r="R981" s="8"/>
      <c r="S981" s="8"/>
      <c r="T981" s="8"/>
      <c r="U981" s="8"/>
      <c r="V981" s="8"/>
      <c r="W981" s="8"/>
      <c r="X981" s="8"/>
      <c r="Y981" s="8"/>
    </row>
    <row r="982" spans="1:25" ht="16.5" customHeight="1" x14ac:dyDescent="0.2">
      <c r="A982" s="8"/>
      <c r="B982" s="8"/>
      <c r="C982" s="8"/>
      <c r="D982" s="8"/>
      <c r="E982" s="8"/>
      <c r="F982" s="8"/>
      <c r="G982" s="8"/>
      <c r="H982" s="8"/>
      <c r="I982" s="8"/>
      <c r="J982" s="8"/>
      <c r="K982" s="8"/>
      <c r="L982" s="8"/>
      <c r="M982" s="8"/>
      <c r="N982" s="8"/>
      <c r="O982" s="8"/>
      <c r="P982" s="8"/>
      <c r="Q982" s="8"/>
      <c r="R982" s="8"/>
      <c r="S982" s="8"/>
      <c r="T982" s="8"/>
      <c r="U982" s="8"/>
      <c r="V982" s="8"/>
      <c r="W982" s="8"/>
      <c r="X982" s="8"/>
      <c r="Y982" s="8"/>
    </row>
    <row r="983" spans="1:25" ht="16.5" customHeight="1" x14ac:dyDescent="0.2">
      <c r="A983" s="8"/>
      <c r="B983" s="8"/>
      <c r="C983" s="8"/>
      <c r="D983" s="8"/>
      <c r="E983" s="8"/>
      <c r="F983" s="8"/>
      <c r="G983" s="8"/>
      <c r="H983" s="8"/>
      <c r="I983" s="8"/>
      <c r="J983" s="8"/>
      <c r="K983" s="8"/>
      <c r="L983" s="8"/>
      <c r="M983" s="8"/>
      <c r="N983" s="8"/>
      <c r="O983" s="8"/>
      <c r="P983" s="8"/>
      <c r="Q983" s="8"/>
      <c r="R983" s="8"/>
      <c r="S983" s="8"/>
      <c r="T983" s="8"/>
      <c r="U983" s="8"/>
      <c r="V983" s="8"/>
      <c r="W983" s="8"/>
      <c r="X983" s="8"/>
      <c r="Y983" s="8"/>
    </row>
    <row r="984" spans="1:25" ht="16.5" customHeight="1" x14ac:dyDescent="0.2">
      <c r="A984" s="8"/>
      <c r="B984" s="8"/>
      <c r="C984" s="8"/>
      <c r="D984" s="8"/>
      <c r="E984" s="8"/>
      <c r="F984" s="8"/>
      <c r="G984" s="8"/>
      <c r="H984" s="8"/>
      <c r="I984" s="8"/>
      <c r="J984" s="8"/>
      <c r="K984" s="8"/>
      <c r="L984" s="8"/>
      <c r="M984" s="8"/>
      <c r="N984" s="8"/>
      <c r="O984" s="8"/>
      <c r="P984" s="8"/>
      <c r="Q984" s="8"/>
      <c r="R984" s="8"/>
      <c r="S984" s="8"/>
      <c r="T984" s="8"/>
      <c r="U984" s="8"/>
      <c r="V984" s="8"/>
      <c r="W984" s="8"/>
      <c r="X984" s="8"/>
      <c r="Y984" s="8"/>
    </row>
    <row r="985" spans="1:25" ht="16.5" customHeight="1" x14ac:dyDescent="0.2">
      <c r="A985" s="8"/>
      <c r="B985" s="8"/>
      <c r="C985" s="8"/>
      <c r="D985" s="8"/>
      <c r="E985" s="8"/>
      <c r="F985" s="8"/>
      <c r="G985" s="8"/>
      <c r="H985" s="8"/>
      <c r="I985" s="8"/>
      <c r="J985" s="8"/>
      <c r="K985" s="8"/>
      <c r="L985" s="8"/>
      <c r="M985" s="8"/>
      <c r="N985" s="8"/>
      <c r="O985" s="8"/>
      <c r="P985" s="8"/>
      <c r="Q985" s="8"/>
      <c r="R985" s="8"/>
      <c r="S985" s="8"/>
      <c r="T985" s="8"/>
      <c r="U985" s="8"/>
      <c r="V985" s="8"/>
      <c r="W985" s="8"/>
      <c r="X985" s="8"/>
      <c r="Y985" s="8"/>
    </row>
    <row r="986" spans="1:25" ht="16.5" customHeight="1" x14ac:dyDescent="0.2">
      <c r="A986" s="8"/>
      <c r="B986" s="8"/>
      <c r="C986" s="8"/>
      <c r="D986" s="8"/>
      <c r="E986" s="8"/>
      <c r="F986" s="8"/>
      <c r="G986" s="8"/>
      <c r="H986" s="8"/>
      <c r="I986" s="8"/>
      <c r="J986" s="8"/>
      <c r="K986" s="8"/>
      <c r="L986" s="8"/>
      <c r="M986" s="8"/>
      <c r="N986" s="8"/>
      <c r="O986" s="8"/>
      <c r="P986" s="8"/>
      <c r="Q986" s="8"/>
      <c r="R986" s="8"/>
      <c r="S986" s="8"/>
      <c r="T986" s="8"/>
      <c r="U986" s="8"/>
      <c r="V986" s="8"/>
      <c r="W986" s="8"/>
      <c r="X986" s="8"/>
      <c r="Y986" s="8"/>
    </row>
    <row r="987" spans="1:25" ht="16.5" customHeight="1" x14ac:dyDescent="0.2">
      <c r="A987" s="8"/>
      <c r="B987" s="8"/>
      <c r="C987" s="8"/>
      <c r="D987" s="8"/>
      <c r="E987" s="8"/>
      <c r="F987" s="8"/>
      <c r="G987" s="8"/>
      <c r="H987" s="8"/>
      <c r="I987" s="8"/>
      <c r="J987" s="8"/>
      <c r="K987" s="8"/>
      <c r="L987" s="8"/>
      <c r="M987" s="8"/>
      <c r="N987" s="8"/>
      <c r="O987" s="8"/>
      <c r="P987" s="8"/>
      <c r="Q987" s="8"/>
      <c r="R987" s="8"/>
      <c r="S987" s="8"/>
      <c r="T987" s="8"/>
      <c r="U987" s="8"/>
      <c r="V987" s="8"/>
      <c r="W987" s="8"/>
      <c r="X987" s="8"/>
      <c r="Y987" s="8"/>
    </row>
    <row r="988" spans="1:25" ht="16.5" customHeight="1" x14ac:dyDescent="0.2">
      <c r="A988" s="8"/>
      <c r="B988" s="8"/>
      <c r="C988" s="8"/>
      <c r="D988" s="8"/>
      <c r="E988" s="8"/>
      <c r="F988" s="8"/>
      <c r="G988" s="8"/>
      <c r="H988" s="8"/>
      <c r="I988" s="8"/>
      <c r="J988" s="8"/>
      <c r="K988" s="8"/>
      <c r="L988" s="8"/>
      <c r="M988" s="8"/>
      <c r="N988" s="8"/>
      <c r="O988" s="8"/>
      <c r="P988" s="8"/>
      <c r="Q988" s="8"/>
      <c r="R988" s="8"/>
      <c r="S988" s="8"/>
      <c r="T988" s="8"/>
      <c r="U988" s="8"/>
      <c r="V988" s="8"/>
      <c r="W988" s="8"/>
      <c r="X988" s="8"/>
      <c r="Y988" s="8"/>
    </row>
    <row r="989" spans="1:25" ht="16.5" customHeight="1" x14ac:dyDescent="0.2">
      <c r="A989" s="8"/>
      <c r="B989" s="8"/>
      <c r="C989" s="8"/>
      <c r="D989" s="8"/>
      <c r="E989" s="8"/>
      <c r="F989" s="8"/>
      <c r="G989" s="8"/>
      <c r="H989" s="8"/>
      <c r="I989" s="8"/>
      <c r="J989" s="8"/>
      <c r="K989" s="8"/>
      <c r="L989" s="8"/>
      <c r="M989" s="8"/>
      <c r="N989" s="8"/>
      <c r="O989" s="8"/>
      <c r="P989" s="8"/>
      <c r="Q989" s="8"/>
      <c r="R989" s="8"/>
      <c r="S989" s="8"/>
      <c r="T989" s="8"/>
      <c r="U989" s="8"/>
      <c r="V989" s="8"/>
      <c r="W989" s="8"/>
      <c r="X989" s="8"/>
      <c r="Y989" s="8"/>
    </row>
    <row r="990" spans="1:25" ht="16.5" customHeight="1" x14ac:dyDescent="0.2">
      <c r="A990" s="8"/>
      <c r="B990" s="8"/>
      <c r="C990" s="8"/>
      <c r="D990" s="8"/>
      <c r="E990" s="8"/>
      <c r="F990" s="8"/>
      <c r="G990" s="8"/>
      <c r="H990" s="8"/>
      <c r="I990" s="8"/>
      <c r="J990" s="8"/>
      <c r="K990" s="8"/>
      <c r="L990" s="8"/>
      <c r="M990" s="8"/>
      <c r="N990" s="8"/>
      <c r="O990" s="8"/>
      <c r="P990" s="8"/>
      <c r="Q990" s="8"/>
      <c r="R990" s="8"/>
      <c r="S990" s="8"/>
      <c r="T990" s="8"/>
      <c r="U990" s="8"/>
      <c r="V990" s="8"/>
      <c r="W990" s="8"/>
      <c r="X990" s="8"/>
      <c r="Y990" s="8"/>
    </row>
    <row r="991" spans="1:25" ht="16.5" customHeight="1" x14ac:dyDescent="0.2">
      <c r="A991" s="8"/>
      <c r="B991" s="8"/>
      <c r="C991" s="8"/>
      <c r="D991" s="8"/>
      <c r="E991" s="8"/>
      <c r="F991" s="8"/>
      <c r="G991" s="8"/>
      <c r="H991" s="8"/>
      <c r="I991" s="8"/>
      <c r="J991" s="8"/>
      <c r="K991" s="8"/>
      <c r="L991" s="8"/>
      <c r="M991" s="8"/>
      <c r="N991" s="8"/>
      <c r="O991" s="8"/>
      <c r="P991" s="8"/>
      <c r="Q991" s="8"/>
      <c r="R991" s="8"/>
      <c r="S991" s="8"/>
      <c r="T991" s="8"/>
      <c r="U991" s="8"/>
      <c r="V991" s="8"/>
      <c r="W991" s="8"/>
      <c r="X991" s="8"/>
      <c r="Y991" s="8"/>
    </row>
    <row r="992" spans="1:25" ht="16.5" customHeight="1" x14ac:dyDescent="0.2">
      <c r="A992" s="8"/>
      <c r="B992" s="8"/>
      <c r="C992" s="8"/>
      <c r="D992" s="8"/>
      <c r="E992" s="8"/>
      <c r="F992" s="8"/>
      <c r="G992" s="8"/>
      <c r="H992" s="8"/>
      <c r="I992" s="8"/>
      <c r="J992" s="8"/>
      <c r="K992" s="8"/>
      <c r="L992" s="8"/>
      <c r="M992" s="8"/>
      <c r="N992" s="8"/>
      <c r="O992" s="8"/>
      <c r="P992" s="8"/>
      <c r="Q992" s="8"/>
      <c r="R992" s="8"/>
      <c r="S992" s="8"/>
      <c r="T992" s="8"/>
      <c r="U992" s="8"/>
      <c r="V992" s="8"/>
      <c r="W992" s="8"/>
      <c r="X992" s="8"/>
      <c r="Y992" s="8"/>
    </row>
    <row r="993" spans="1:25" ht="16.5" customHeight="1" x14ac:dyDescent="0.2">
      <c r="A993" s="8"/>
      <c r="B993" s="8"/>
      <c r="C993" s="8"/>
      <c r="D993" s="8"/>
      <c r="E993" s="8"/>
      <c r="F993" s="8"/>
      <c r="G993" s="8"/>
      <c r="H993" s="8"/>
      <c r="I993" s="8"/>
      <c r="J993" s="8"/>
      <c r="K993" s="8"/>
      <c r="L993" s="8"/>
      <c r="M993" s="8"/>
      <c r="N993" s="8"/>
      <c r="O993" s="8"/>
      <c r="P993" s="8"/>
      <c r="Q993" s="8"/>
      <c r="R993" s="8"/>
      <c r="S993" s="8"/>
      <c r="T993" s="8"/>
      <c r="U993" s="8"/>
      <c r="V993" s="8"/>
      <c r="W993" s="8"/>
      <c r="X993" s="8"/>
      <c r="Y993" s="8"/>
    </row>
    <row r="994" spans="1:25" ht="16.5" customHeight="1" x14ac:dyDescent="0.2">
      <c r="A994" s="8"/>
      <c r="B994" s="8"/>
      <c r="C994" s="8"/>
      <c r="D994" s="8"/>
      <c r="E994" s="8"/>
      <c r="F994" s="8"/>
      <c r="G994" s="8"/>
      <c r="H994" s="8"/>
      <c r="I994" s="8"/>
      <c r="J994" s="8"/>
      <c r="K994" s="8"/>
      <c r="L994" s="8"/>
      <c r="M994" s="8"/>
      <c r="N994" s="8"/>
      <c r="O994" s="8"/>
      <c r="P994" s="8"/>
      <c r="Q994" s="8"/>
      <c r="R994" s="8"/>
      <c r="S994" s="8"/>
      <c r="T994" s="8"/>
      <c r="U994" s="8"/>
      <c r="V994" s="8"/>
      <c r="W994" s="8"/>
      <c r="X994" s="8"/>
      <c r="Y994" s="8"/>
    </row>
    <row r="995" spans="1:25" ht="16.5" customHeight="1" x14ac:dyDescent="0.2">
      <c r="A995" s="8"/>
      <c r="B995" s="8"/>
      <c r="C995" s="8"/>
      <c r="D995" s="8"/>
      <c r="E995" s="8"/>
      <c r="F995" s="8"/>
      <c r="G995" s="8"/>
      <c r="H995" s="8"/>
      <c r="I995" s="8"/>
      <c r="J995" s="8"/>
      <c r="K995" s="8"/>
      <c r="L995" s="8"/>
      <c r="M995" s="8"/>
      <c r="N995" s="8"/>
      <c r="O995" s="8"/>
      <c r="P995" s="8"/>
      <c r="Q995" s="8"/>
      <c r="R995" s="8"/>
      <c r="S995" s="8"/>
      <c r="T995" s="8"/>
      <c r="U995" s="8"/>
      <c r="V995" s="8"/>
      <c r="W995" s="8"/>
      <c r="X995" s="8"/>
      <c r="Y995" s="8"/>
    </row>
    <row r="996" spans="1:25" ht="16.5" customHeight="1" x14ac:dyDescent="0.2">
      <c r="A996" s="8"/>
      <c r="B996" s="8"/>
      <c r="C996" s="8"/>
      <c r="D996" s="8"/>
      <c r="E996" s="8"/>
      <c r="F996" s="8"/>
      <c r="G996" s="8"/>
      <c r="H996" s="8"/>
      <c r="I996" s="8"/>
      <c r="J996" s="8"/>
      <c r="K996" s="8"/>
      <c r="L996" s="8"/>
      <c r="M996" s="8"/>
      <c r="N996" s="8"/>
      <c r="O996" s="8"/>
      <c r="P996" s="8"/>
      <c r="Q996" s="8"/>
      <c r="R996" s="8"/>
      <c r="S996" s="8"/>
      <c r="T996" s="8"/>
      <c r="U996" s="8"/>
      <c r="V996" s="8"/>
      <c r="W996" s="8"/>
      <c r="X996" s="8"/>
      <c r="Y996" s="8"/>
    </row>
    <row r="997" spans="1:25" ht="16.5" customHeight="1" x14ac:dyDescent="0.2">
      <c r="A997" s="8"/>
      <c r="B997" s="8"/>
      <c r="C997" s="8"/>
      <c r="D997" s="8"/>
      <c r="E997" s="8"/>
      <c r="F997" s="8"/>
      <c r="G997" s="8"/>
      <c r="H997" s="8"/>
      <c r="I997" s="8"/>
      <c r="J997" s="8"/>
      <c r="K997" s="8"/>
      <c r="L997" s="8"/>
      <c r="M997" s="8"/>
      <c r="N997" s="8"/>
      <c r="O997" s="8"/>
      <c r="P997" s="8"/>
      <c r="Q997" s="8"/>
      <c r="R997" s="8"/>
      <c r="S997" s="8"/>
      <c r="T997" s="8"/>
      <c r="U997" s="8"/>
      <c r="V997" s="8"/>
      <c r="W997" s="8"/>
      <c r="X997" s="8"/>
      <c r="Y997" s="8"/>
    </row>
    <row r="998" spans="1:25" ht="16.5" customHeight="1" x14ac:dyDescent="0.2">
      <c r="A998" s="8"/>
      <c r="B998" s="8"/>
      <c r="C998" s="8"/>
      <c r="D998" s="8"/>
      <c r="E998" s="8"/>
      <c r="F998" s="8"/>
      <c r="G998" s="8"/>
      <c r="H998" s="8"/>
      <c r="I998" s="8"/>
      <c r="J998" s="8"/>
      <c r="K998" s="8"/>
      <c r="L998" s="8"/>
      <c r="M998" s="8"/>
      <c r="N998" s="8"/>
      <c r="O998" s="8"/>
      <c r="P998" s="8"/>
      <c r="Q998" s="8"/>
      <c r="R998" s="8"/>
      <c r="S998" s="8"/>
      <c r="T998" s="8"/>
      <c r="U998" s="8"/>
      <c r="V998" s="8"/>
      <c r="W998" s="8"/>
      <c r="X998" s="8"/>
      <c r="Y998" s="8"/>
    </row>
  </sheetData>
  <mergeCells count="9">
    <mergeCell ref="H47:I47"/>
    <mergeCell ref="C12:E12"/>
    <mergeCell ref="G12:I12"/>
    <mergeCell ref="K12:M12"/>
    <mergeCell ref="O12:Q12"/>
    <mergeCell ref="C42:E42"/>
    <mergeCell ref="K42:M42"/>
    <mergeCell ref="O42:Q42"/>
    <mergeCell ref="G42:I42"/>
  </mergeCells>
  <printOptions gridLines="1"/>
  <pageMargins left="0.38" right="0.7" top="0.23" bottom="0.32" header="0" footer="0"/>
  <pageSetup paperSize="5" scale="80" orientation="landscape"/>
  <drawing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5117"/>
  <sheetViews>
    <sheetView showGridLines="0" workbookViewId="0"/>
  </sheetViews>
  <sheetFormatPr defaultColWidth="16.83203125" defaultRowHeight="15" customHeight="1" x14ac:dyDescent="0.2"/>
  <cols>
    <col min="1" max="1" width="5.83203125" customWidth="1"/>
    <col min="2" max="2" width="35.1640625" customWidth="1"/>
    <col min="3" max="8" width="23.33203125" customWidth="1"/>
    <col min="9" max="10" width="16.6640625" customWidth="1"/>
    <col min="11" max="11" width="30.6640625" customWidth="1"/>
    <col min="12" max="12" width="17" customWidth="1"/>
    <col min="13" max="13" width="16.83203125" customWidth="1"/>
    <col min="14" max="26" width="14.33203125" customWidth="1"/>
  </cols>
  <sheetData>
    <row r="1" spans="1:26" ht="15" customHeight="1" x14ac:dyDescent="0.2">
      <c r="A1" s="2"/>
      <c r="B1" s="2"/>
      <c r="C1" s="2"/>
      <c r="D1" s="2"/>
      <c r="E1" s="2"/>
      <c r="F1" s="2"/>
      <c r="G1" s="2"/>
      <c r="H1" s="2"/>
      <c r="I1" s="2"/>
      <c r="J1" s="2"/>
      <c r="K1" s="2"/>
      <c r="L1" s="2"/>
      <c r="M1" s="2"/>
      <c r="N1" s="2"/>
      <c r="O1" s="2"/>
      <c r="P1" s="2"/>
      <c r="Q1" s="2"/>
      <c r="R1" s="2"/>
      <c r="S1" s="2"/>
      <c r="T1" s="2"/>
      <c r="U1" s="2"/>
      <c r="V1" s="2"/>
      <c r="W1" s="2"/>
      <c r="X1" s="2"/>
      <c r="Y1" s="2"/>
      <c r="Z1" s="2"/>
    </row>
    <row r="2" spans="1:26" ht="15" customHeight="1" x14ac:dyDescent="0.25">
      <c r="A2" s="2"/>
      <c r="B2" s="272" t="s">
        <v>666</v>
      </c>
      <c r="C2" s="8"/>
      <c r="D2" s="23"/>
      <c r="E2" s="155"/>
      <c r="F2" s="155"/>
      <c r="G2" s="273"/>
      <c r="H2" s="155"/>
      <c r="I2" s="2"/>
      <c r="J2" s="2"/>
      <c r="K2" s="2"/>
      <c r="L2" s="2"/>
      <c r="M2" s="2"/>
      <c r="N2" s="2"/>
      <c r="O2" s="2"/>
      <c r="P2" s="2"/>
      <c r="Q2" s="2"/>
      <c r="R2" s="2"/>
      <c r="S2" s="2"/>
      <c r="T2" s="2"/>
      <c r="U2" s="2"/>
      <c r="V2" s="2"/>
      <c r="W2" s="2"/>
      <c r="X2" s="2"/>
      <c r="Y2" s="2"/>
      <c r="Z2" s="2"/>
    </row>
    <row r="3" spans="1:26" ht="15" customHeight="1" x14ac:dyDescent="0.2">
      <c r="A3" s="2"/>
      <c r="B3" s="2"/>
      <c r="C3" s="274"/>
      <c r="D3" s="274"/>
      <c r="E3" s="274"/>
      <c r="F3" s="274"/>
      <c r="G3" s="274"/>
      <c r="H3" s="274"/>
      <c r="I3" s="274"/>
      <c r="J3" s="274"/>
      <c r="K3" s="274"/>
      <c r="L3" s="274"/>
      <c r="M3" s="274"/>
      <c r="N3" s="2"/>
      <c r="O3" s="2"/>
      <c r="P3" s="2"/>
      <c r="Q3" s="2"/>
      <c r="R3" s="2"/>
      <c r="S3" s="2"/>
      <c r="T3" s="2"/>
      <c r="U3" s="2"/>
      <c r="V3" s="2"/>
      <c r="W3" s="2"/>
      <c r="X3" s="2"/>
      <c r="Y3" s="2"/>
      <c r="Z3" s="2"/>
    </row>
    <row r="4" spans="1:26" ht="15" customHeight="1" x14ac:dyDescent="0.2">
      <c r="A4" s="2"/>
      <c r="B4" s="2"/>
      <c r="C4" s="2"/>
      <c r="D4" s="2"/>
      <c r="E4" s="2"/>
      <c r="F4" s="2"/>
      <c r="G4" s="2"/>
      <c r="H4" s="2"/>
      <c r="I4" s="2"/>
      <c r="J4" s="2"/>
      <c r="K4" s="2"/>
      <c r="L4" s="2"/>
      <c r="M4" s="2"/>
      <c r="N4" s="2"/>
      <c r="O4" s="2"/>
      <c r="P4" s="2"/>
      <c r="Q4" s="2"/>
      <c r="R4" s="2"/>
      <c r="S4" s="2"/>
      <c r="T4" s="2"/>
      <c r="U4" s="2"/>
      <c r="V4" s="2"/>
      <c r="W4" s="2"/>
      <c r="X4" s="2"/>
      <c r="Y4" s="2"/>
      <c r="Z4" s="2"/>
    </row>
    <row r="5" spans="1:26" ht="15" customHeight="1" x14ac:dyDescent="0.2">
      <c r="A5" s="2"/>
      <c r="B5" s="2"/>
      <c r="C5" s="2"/>
      <c r="D5" s="2"/>
      <c r="E5" s="2"/>
      <c r="F5" s="2"/>
      <c r="G5" s="2"/>
      <c r="H5" s="2"/>
      <c r="I5" s="2"/>
      <c r="J5" s="2"/>
      <c r="K5" s="2"/>
      <c r="L5" s="2"/>
      <c r="M5" s="2"/>
      <c r="N5" s="2"/>
      <c r="O5" s="2"/>
      <c r="P5" s="2"/>
      <c r="Q5" s="2"/>
      <c r="R5" s="2"/>
      <c r="S5" s="2"/>
      <c r="T5" s="2"/>
      <c r="U5" s="2"/>
      <c r="V5" s="2"/>
      <c r="W5" s="2"/>
      <c r="X5" s="2"/>
      <c r="Y5" s="2"/>
      <c r="Z5" s="2"/>
    </row>
    <row r="6" spans="1:26" ht="15" customHeight="1" x14ac:dyDescent="0.2">
      <c r="A6" s="2"/>
      <c r="B6" s="2"/>
      <c r="C6" s="2"/>
      <c r="D6" s="2"/>
      <c r="E6" s="2"/>
      <c r="F6" s="2"/>
      <c r="G6" s="2"/>
      <c r="H6" s="2"/>
      <c r="I6" s="2"/>
      <c r="J6" s="2"/>
      <c r="K6" s="2"/>
      <c r="L6" s="2"/>
      <c r="M6" s="2"/>
      <c r="N6" s="2"/>
      <c r="O6" s="2"/>
      <c r="P6" s="2"/>
      <c r="Q6" s="2"/>
      <c r="R6" s="2"/>
      <c r="S6" s="2"/>
      <c r="T6" s="2"/>
      <c r="U6" s="2"/>
      <c r="V6" s="2"/>
      <c r="W6" s="2"/>
      <c r="X6" s="2"/>
      <c r="Y6" s="2"/>
      <c r="Z6" s="2"/>
    </row>
    <row r="7" spans="1:26" ht="15" customHeight="1" x14ac:dyDescent="0.2">
      <c r="A7" s="2"/>
      <c r="B7" s="2"/>
      <c r="C7" s="2"/>
      <c r="D7" s="2"/>
      <c r="E7" s="2"/>
      <c r="F7" s="2"/>
      <c r="G7" s="2"/>
      <c r="H7" s="2"/>
      <c r="I7" s="2"/>
      <c r="J7" s="2"/>
      <c r="K7" s="2"/>
      <c r="L7" s="2"/>
      <c r="M7" s="2"/>
      <c r="N7" s="2"/>
      <c r="O7" s="2"/>
      <c r="P7" s="2"/>
      <c r="Q7" s="2"/>
      <c r="R7" s="2"/>
      <c r="S7" s="2"/>
      <c r="T7" s="2"/>
      <c r="U7" s="2"/>
      <c r="V7" s="2"/>
      <c r="W7" s="2"/>
      <c r="X7" s="2"/>
      <c r="Y7" s="2"/>
      <c r="Z7" s="2"/>
    </row>
    <row r="8" spans="1:26" ht="15" customHeight="1" x14ac:dyDescent="0.2">
      <c r="A8" s="2"/>
      <c r="B8" s="247" t="s">
        <v>642</v>
      </c>
      <c r="C8" s="248"/>
      <c r="D8" s="247"/>
      <c r="E8" s="247"/>
      <c r="F8" s="247"/>
      <c r="G8" s="247"/>
      <c r="H8" s="247"/>
      <c r="I8" s="275"/>
      <c r="J8" s="2026" t="s">
        <v>1</v>
      </c>
      <c r="K8" s="2009"/>
      <c r="L8" s="2"/>
      <c r="M8" s="2"/>
      <c r="N8" s="2"/>
      <c r="O8" s="2"/>
      <c r="P8" s="2"/>
      <c r="Q8" s="2"/>
      <c r="R8" s="2"/>
      <c r="S8" s="2"/>
      <c r="T8" s="2"/>
      <c r="U8" s="2"/>
      <c r="V8" s="2"/>
      <c r="W8" s="2"/>
      <c r="X8" s="2"/>
      <c r="Y8" s="2"/>
      <c r="Z8" s="2"/>
    </row>
    <row r="9" spans="1:26" ht="15" customHeight="1" x14ac:dyDescent="0.2">
      <c r="A9" s="2"/>
      <c r="B9" s="2"/>
      <c r="C9" s="8"/>
      <c r="D9" s="8"/>
      <c r="E9" s="8"/>
      <c r="F9" s="8"/>
      <c r="G9" s="8"/>
      <c r="H9" s="8"/>
      <c r="I9" s="8"/>
      <c r="J9" s="276"/>
      <c r="K9" s="260" t="str">
        <f>Summary!E3</f>
        <v>AR6 100-yr GWP</v>
      </c>
      <c r="L9" s="8"/>
      <c r="M9" s="8"/>
      <c r="S9" s="2"/>
      <c r="T9" s="2"/>
      <c r="U9" s="2"/>
      <c r="V9" s="2"/>
      <c r="W9" s="2"/>
      <c r="X9" s="2"/>
      <c r="Y9" s="2"/>
      <c r="Z9" s="2"/>
    </row>
    <row r="10" spans="1:26" ht="12.75" x14ac:dyDescent="0.2">
      <c r="A10" s="2"/>
      <c r="B10" s="967" t="s">
        <v>667</v>
      </c>
      <c r="C10" s="277"/>
      <c r="D10" s="277"/>
      <c r="E10" s="277"/>
      <c r="F10" s="277"/>
      <c r="G10" s="277"/>
      <c r="H10" s="278"/>
      <c r="J10" s="260" t="str">
        <f>Summary!C4</f>
        <v>CO2</v>
      </c>
      <c r="K10" s="260">
        <f>Summary!E4</f>
        <v>1</v>
      </c>
      <c r="M10" s="279"/>
      <c r="S10" s="279"/>
      <c r="T10" s="279"/>
      <c r="U10" s="279"/>
      <c r="V10" s="279"/>
      <c r="W10" s="279"/>
      <c r="X10" s="279"/>
      <c r="Y10" s="279"/>
      <c r="Z10" s="279"/>
    </row>
    <row r="11" spans="1:26" ht="15" customHeight="1" x14ac:dyDescent="0.2">
      <c r="A11" s="2"/>
      <c r="B11" s="2030" t="s">
        <v>668</v>
      </c>
      <c r="C11" s="2032" t="s">
        <v>669</v>
      </c>
      <c r="D11" s="2033"/>
      <c r="E11" s="2033"/>
      <c r="F11" s="2015"/>
      <c r="G11" s="2028" t="s">
        <v>670</v>
      </c>
      <c r="H11" s="2028" t="s">
        <v>671</v>
      </c>
      <c r="J11" s="260" t="str">
        <f>Summary!C5</f>
        <v>CH4</v>
      </c>
      <c r="K11" s="260">
        <f>Summary!E5</f>
        <v>27.9</v>
      </c>
      <c r="M11" s="279"/>
      <c r="S11" s="279"/>
      <c r="T11" s="279"/>
      <c r="U11" s="279"/>
      <c r="V11" s="279"/>
      <c r="W11" s="279"/>
      <c r="X11" s="279"/>
      <c r="Y11" s="279"/>
      <c r="Z11" s="279"/>
    </row>
    <row r="12" spans="1:26" ht="15" customHeight="1" x14ac:dyDescent="0.2">
      <c r="A12" s="2"/>
      <c r="B12" s="2031"/>
      <c r="C12" s="239" t="s">
        <v>79</v>
      </c>
      <c r="D12" s="239" t="s">
        <v>350</v>
      </c>
      <c r="E12" s="239" t="s">
        <v>672</v>
      </c>
      <c r="F12" s="280" t="s">
        <v>601</v>
      </c>
      <c r="G12" s="2029"/>
      <c r="H12" s="2029"/>
      <c r="J12" s="260" t="str">
        <f>Summary!C6</f>
        <v>N2O</v>
      </c>
      <c r="K12" s="260">
        <f>Summary!E6</f>
        <v>273</v>
      </c>
      <c r="S12" s="279"/>
      <c r="T12" s="279"/>
      <c r="U12" s="279"/>
      <c r="V12" s="279"/>
      <c r="W12" s="279"/>
      <c r="X12" s="279"/>
      <c r="Y12" s="279"/>
      <c r="Z12" s="279"/>
    </row>
    <row r="13" spans="1:26" ht="15" customHeight="1" x14ac:dyDescent="0.2">
      <c r="A13" s="2"/>
      <c r="B13" s="281" t="s">
        <v>673</v>
      </c>
      <c r="C13" s="242">
        <f t="shared" ref="C13:F13" si="0">SUMIFS($I$48:$I$5107,$K$48:$K$5107,$B13,$L$48:$L$5107,C$12)</f>
        <v>87813.707207040599</v>
      </c>
      <c r="D13" s="242">
        <f t="shared" si="0"/>
        <v>647332.12091840047</v>
      </c>
      <c r="E13" s="242">
        <f t="shared" si="0"/>
        <v>3846.1705186654617</v>
      </c>
      <c r="F13" s="282">
        <f t="shared" si="0"/>
        <v>0</v>
      </c>
      <c r="G13" s="283">
        <f t="shared" ref="G13:G23" si="1">SUM(C13:F13)</f>
        <v>738991.99864410656</v>
      </c>
      <c r="H13" s="284">
        <f t="shared" ref="H13:H23" si="2">G13*0.907185/1000000</f>
        <v>0.67040245628995376</v>
      </c>
      <c r="I13" s="146"/>
      <c r="J13" s="260" t="str">
        <f>Summary!C7</f>
        <v>SF6</v>
      </c>
      <c r="K13" s="285">
        <f>Summary!E7</f>
        <v>24300</v>
      </c>
      <c r="M13" s="8"/>
      <c r="S13" s="279"/>
      <c r="T13" s="279"/>
      <c r="U13" s="279"/>
      <c r="V13" s="279"/>
      <c r="W13" s="279"/>
      <c r="X13" s="279"/>
      <c r="Y13" s="279"/>
      <c r="Z13" s="279"/>
    </row>
    <row r="14" spans="1:26" ht="15" customHeight="1" x14ac:dyDescent="0.2">
      <c r="A14" s="2"/>
      <c r="B14" s="281" t="s">
        <v>674</v>
      </c>
      <c r="C14" s="242">
        <f t="shared" ref="C14:F14" si="3">SUMIFS($I$48:$I$5107,$K$48:$K$5107,$B14,$L$48:$L$5107,C$12)</f>
        <v>629974.09208297101</v>
      </c>
      <c r="D14" s="242">
        <f t="shared" si="3"/>
        <v>17181.569622924424</v>
      </c>
      <c r="E14" s="242">
        <f t="shared" si="3"/>
        <v>1798.279219967229</v>
      </c>
      <c r="F14" s="282">
        <f t="shared" si="3"/>
        <v>4.3534311587841579</v>
      </c>
      <c r="G14" s="283">
        <f t="shared" si="1"/>
        <v>648958.29435702146</v>
      </c>
      <c r="H14" s="284">
        <f t="shared" si="2"/>
        <v>0.58872523026627455</v>
      </c>
      <c r="I14" s="146"/>
      <c r="M14" s="279"/>
      <c r="S14" s="279"/>
      <c r="T14" s="279"/>
      <c r="U14" s="279"/>
      <c r="V14" s="279"/>
      <c r="W14" s="279"/>
      <c r="X14" s="279"/>
      <c r="Y14" s="279"/>
      <c r="Z14" s="279"/>
    </row>
    <row r="15" spans="1:26" ht="15" customHeight="1" x14ac:dyDescent="0.2">
      <c r="A15" s="2"/>
      <c r="B15" s="281" t="s">
        <v>675</v>
      </c>
      <c r="C15" s="242">
        <f t="shared" ref="C15:F15" si="4">SUMIFS($I$48:$I$5107,$K$48:$K$5107,$B15,$L$48:$L$5107,C$12)</f>
        <v>252014.69191883761</v>
      </c>
      <c r="D15" s="242">
        <f t="shared" si="4"/>
        <v>29207.958827543807</v>
      </c>
      <c r="E15" s="242">
        <f t="shared" si="4"/>
        <v>194154.8371183321</v>
      </c>
      <c r="F15" s="282">
        <f t="shared" si="4"/>
        <v>12949.734373105286</v>
      </c>
      <c r="G15" s="283">
        <f t="shared" si="1"/>
        <v>488327.22223781882</v>
      </c>
      <c r="H15" s="284">
        <f t="shared" si="2"/>
        <v>0.44300313110581568</v>
      </c>
      <c r="I15" s="146"/>
      <c r="M15" s="279"/>
      <c r="S15" s="279"/>
      <c r="T15" s="279"/>
      <c r="U15" s="279"/>
      <c r="V15" s="279"/>
      <c r="W15" s="279"/>
      <c r="X15" s="279"/>
      <c r="Y15" s="279"/>
      <c r="Z15" s="279"/>
    </row>
    <row r="16" spans="1:26" ht="15" customHeight="1" x14ac:dyDescent="0.2">
      <c r="A16" s="2"/>
      <c r="B16" s="281" t="s">
        <v>676</v>
      </c>
      <c r="C16" s="242">
        <f t="shared" ref="C16:F16" si="5">SUMIFS($I$48:$I$5107,$K$48:$K$5107,$B16,$L$48:$L$5107,C$12)</f>
        <v>61790.91418461108</v>
      </c>
      <c r="D16" s="242">
        <f t="shared" si="5"/>
        <v>227003.03515711677</v>
      </c>
      <c r="E16" s="242">
        <f t="shared" si="5"/>
        <v>0</v>
      </c>
      <c r="F16" s="282">
        <f t="shared" si="5"/>
        <v>0</v>
      </c>
      <c r="G16" s="283">
        <f t="shared" si="1"/>
        <v>288793.94934172783</v>
      </c>
      <c r="H16" s="284">
        <f t="shared" si="2"/>
        <v>0.26198953893357535</v>
      </c>
      <c r="I16" s="146"/>
      <c r="J16" s="8"/>
      <c r="K16" s="2"/>
      <c r="M16" s="279"/>
      <c r="S16" s="279"/>
      <c r="T16" s="279"/>
      <c r="U16" s="279"/>
      <c r="V16" s="279"/>
      <c r="W16" s="279"/>
      <c r="X16" s="279"/>
      <c r="Y16" s="279"/>
      <c r="Z16" s="279"/>
    </row>
    <row r="17" spans="1:26" ht="15" customHeight="1" x14ac:dyDescent="0.2">
      <c r="A17" s="2"/>
      <c r="B17" s="281" t="s">
        <v>677</v>
      </c>
      <c r="C17" s="242">
        <f t="shared" ref="C17:F17" si="6">SUMIFS($I$48:$I$5107,$K$48:$K$5107,$B17,$L$48:$L$5107,C$12)</f>
        <v>100109.23505304797</v>
      </c>
      <c r="D17" s="242">
        <f t="shared" si="6"/>
        <v>130265.97289569295</v>
      </c>
      <c r="E17" s="242">
        <f t="shared" si="6"/>
        <v>9985.0273999681813</v>
      </c>
      <c r="F17" s="282">
        <f t="shared" si="6"/>
        <v>6187.9671351728175</v>
      </c>
      <c r="G17" s="283">
        <f t="shared" si="1"/>
        <v>246548.20248388191</v>
      </c>
      <c r="H17" s="284">
        <f t="shared" si="2"/>
        <v>0.22366483107034041</v>
      </c>
      <c r="I17" s="146"/>
      <c r="J17" s="8"/>
      <c r="S17" s="279"/>
      <c r="T17" s="279"/>
      <c r="U17" s="279"/>
      <c r="V17" s="279"/>
      <c r="W17" s="279"/>
      <c r="X17" s="279"/>
      <c r="Y17" s="279"/>
      <c r="Z17" s="279"/>
    </row>
    <row r="18" spans="1:26" ht="15" customHeight="1" x14ac:dyDescent="0.2">
      <c r="A18" s="2"/>
      <c r="B18" s="281" t="s">
        <v>678</v>
      </c>
      <c r="C18" s="242">
        <f t="shared" ref="C18:F18" si="7">SUMIFS($I$48:$I$5107,$K$48:$K$5107,$B18,$L$48:$L$5107,C$12)</f>
        <v>80357.525627081079</v>
      </c>
      <c r="D18" s="242">
        <f t="shared" si="7"/>
        <v>1164.5548774880435</v>
      </c>
      <c r="E18" s="242">
        <f t="shared" si="7"/>
        <v>2.4933465156857433</v>
      </c>
      <c r="F18" s="282">
        <f t="shared" si="7"/>
        <v>174.1180128481009</v>
      </c>
      <c r="G18" s="283">
        <f t="shared" si="1"/>
        <v>81698.691863932909</v>
      </c>
      <c r="H18" s="284">
        <f t="shared" si="2"/>
        <v>7.4115827778581986E-2</v>
      </c>
      <c r="I18" s="146"/>
      <c r="J18" s="8"/>
      <c r="S18" s="2"/>
      <c r="T18" s="2"/>
      <c r="U18" s="2"/>
      <c r="V18" s="2"/>
      <c r="W18" s="2"/>
      <c r="X18" s="2"/>
      <c r="Y18" s="2"/>
      <c r="Z18" s="2"/>
    </row>
    <row r="19" spans="1:26" ht="15" customHeight="1" x14ac:dyDescent="0.2">
      <c r="A19" s="2"/>
      <c r="B19" s="281" t="s">
        <v>679</v>
      </c>
      <c r="C19" s="242">
        <f t="shared" ref="C19:F19" si="8">SUMIFS($I$48:$I$5107,$K$48:$K$5107,$B19,$L$48:$L$5107,C$12)</f>
        <v>2738.8577286484524</v>
      </c>
      <c r="D19" s="242">
        <f t="shared" si="8"/>
        <v>46658.889285992176</v>
      </c>
      <c r="E19" s="242">
        <f t="shared" si="8"/>
        <v>167.18105998783477</v>
      </c>
      <c r="F19" s="282">
        <f t="shared" si="8"/>
        <v>0</v>
      </c>
      <c r="G19" s="283">
        <f t="shared" si="1"/>
        <v>49564.928074628464</v>
      </c>
      <c r="H19" s="284">
        <f t="shared" si="2"/>
        <v>4.496455927538183E-2</v>
      </c>
      <c r="I19" s="146"/>
      <c r="J19" s="8"/>
      <c r="S19" s="2"/>
      <c r="T19" s="2"/>
      <c r="U19" s="2"/>
      <c r="V19" s="2"/>
      <c r="W19" s="2"/>
      <c r="X19" s="2"/>
      <c r="Y19" s="2"/>
      <c r="Z19" s="2"/>
    </row>
    <row r="20" spans="1:26" ht="15" customHeight="1" x14ac:dyDescent="0.2">
      <c r="A20" s="2"/>
      <c r="B20" s="281" t="s">
        <v>680</v>
      </c>
      <c r="C20" s="242">
        <f t="shared" ref="C20:F20" si="9">SUMIFS($I$48:$I$5107,$K$48:$K$5107,$B20,$L$48:$L$5107,C$12)</f>
        <v>13254.339745375783</v>
      </c>
      <c r="D20" s="242">
        <f t="shared" si="9"/>
        <v>429.06176533428749</v>
      </c>
      <c r="E20" s="242">
        <f t="shared" si="9"/>
        <v>239.3518356239137</v>
      </c>
      <c r="F20" s="282">
        <f t="shared" si="9"/>
        <v>0</v>
      </c>
      <c r="G20" s="283">
        <f t="shared" si="1"/>
        <v>13922.753346333982</v>
      </c>
      <c r="H20" s="284">
        <f t="shared" si="2"/>
        <v>1.2630512994493994E-2</v>
      </c>
      <c r="I20" s="146"/>
      <c r="J20" s="8"/>
      <c r="S20" s="2"/>
      <c r="T20" s="2"/>
      <c r="U20" s="2"/>
      <c r="V20" s="2"/>
      <c r="W20" s="2"/>
      <c r="X20" s="2"/>
      <c r="Y20" s="2"/>
      <c r="Z20" s="2"/>
    </row>
    <row r="21" spans="1:26" ht="15" customHeight="1" x14ac:dyDescent="0.2">
      <c r="A21" s="2"/>
      <c r="B21" s="281" t="s">
        <v>681</v>
      </c>
      <c r="C21" s="242">
        <f t="shared" ref="C21:F21" si="10">SUMIFS($I$48:$I$5107,$K$48:$K$5107,$B21,$L$48:$L$5107,C$12)</f>
        <v>9529.0426143659533</v>
      </c>
      <c r="D21" s="242">
        <f t="shared" si="10"/>
        <v>570.267525646747</v>
      </c>
      <c r="E21" s="242">
        <f t="shared" si="10"/>
        <v>0</v>
      </c>
      <c r="F21" s="282">
        <f t="shared" si="10"/>
        <v>0</v>
      </c>
      <c r="G21" s="283">
        <f t="shared" si="1"/>
        <v>10099.3101400127</v>
      </c>
      <c r="H21" s="284">
        <f t="shared" si="2"/>
        <v>9.1619426693674219E-3</v>
      </c>
      <c r="I21" s="146"/>
      <c r="J21" s="8"/>
      <c r="S21" s="2"/>
      <c r="T21" s="2"/>
      <c r="U21" s="2"/>
      <c r="V21" s="2"/>
      <c r="W21" s="2"/>
      <c r="X21" s="2"/>
      <c r="Y21" s="2"/>
      <c r="Z21" s="2"/>
    </row>
    <row r="22" spans="1:26" ht="15" customHeight="1" x14ac:dyDescent="0.2">
      <c r="A22" s="2"/>
      <c r="B22" s="281" t="s">
        <v>682</v>
      </c>
      <c r="C22" s="242">
        <f t="shared" ref="C22:F22" si="11">SUMIFS($I$48:$I$5107,$K$48:$K$5107,$B22,$L$48:$L$5107,C$12)</f>
        <v>2934.9848911327713</v>
      </c>
      <c r="D22" s="242">
        <f t="shared" si="11"/>
        <v>0</v>
      </c>
      <c r="E22" s="242">
        <f t="shared" si="11"/>
        <v>0</v>
      </c>
      <c r="F22" s="282">
        <f t="shared" si="11"/>
        <v>0</v>
      </c>
      <c r="G22" s="283">
        <f t="shared" si="1"/>
        <v>2934.9848911327713</v>
      </c>
      <c r="H22" s="284">
        <f t="shared" si="2"/>
        <v>2.6625742684622832E-3</v>
      </c>
      <c r="I22" s="146"/>
      <c r="J22" s="8"/>
      <c r="S22" s="2"/>
      <c r="T22" s="2"/>
      <c r="U22" s="2"/>
      <c r="V22" s="2"/>
      <c r="W22" s="2"/>
      <c r="X22" s="2"/>
      <c r="Y22" s="2"/>
      <c r="Z22" s="2"/>
    </row>
    <row r="23" spans="1:26" ht="15" customHeight="1" x14ac:dyDescent="0.2">
      <c r="A23" s="2"/>
      <c r="B23" s="286" t="s">
        <v>683</v>
      </c>
      <c r="C23" s="287">
        <f t="shared" ref="C23:F23" si="12">SUMIFS($I$48:$I$5107,$K$48:$K$5107,$B23,$L$48:$L$5107,C$12)</f>
        <v>2123.2771248113386</v>
      </c>
      <c r="D23" s="287">
        <f t="shared" si="12"/>
        <v>125.18712536307599</v>
      </c>
      <c r="E23" s="287">
        <f t="shared" si="12"/>
        <v>3.728813848060557</v>
      </c>
      <c r="F23" s="288">
        <f t="shared" si="12"/>
        <v>0</v>
      </c>
      <c r="G23" s="289">
        <f t="shared" si="1"/>
        <v>2252.1930640224755</v>
      </c>
      <c r="H23" s="290">
        <f t="shared" si="2"/>
        <v>2.0431557647852296E-3</v>
      </c>
      <c r="I23" s="146"/>
      <c r="J23" s="8"/>
      <c r="S23" s="2"/>
      <c r="T23" s="2"/>
      <c r="U23" s="2"/>
      <c r="V23" s="2"/>
      <c r="W23" s="2"/>
      <c r="X23" s="2"/>
      <c r="Y23" s="2"/>
      <c r="Z23" s="2"/>
    </row>
    <row r="24" spans="1:26" ht="15" customHeight="1" x14ac:dyDescent="0.2">
      <c r="A24" s="2"/>
      <c r="B24" s="291" t="s">
        <v>684</v>
      </c>
      <c r="C24" s="292">
        <f t="shared" ref="C24:G24" si="13">SUM(C13:C23)</f>
        <v>1242640.6681779237</v>
      </c>
      <c r="D24" s="292">
        <f t="shared" si="13"/>
        <v>1099938.6180015029</v>
      </c>
      <c r="E24" s="292">
        <f t="shared" si="13"/>
        <v>210197.06931290845</v>
      </c>
      <c r="F24" s="293">
        <f t="shared" si="13"/>
        <v>19316.172952284986</v>
      </c>
      <c r="G24" s="294">
        <f t="shared" si="13"/>
        <v>2572092.5284446203</v>
      </c>
      <c r="H24" s="295"/>
      <c r="I24" s="8"/>
      <c r="J24" s="8"/>
      <c r="S24" s="2"/>
      <c r="T24" s="2"/>
      <c r="U24" s="2"/>
      <c r="V24" s="2"/>
      <c r="W24" s="2"/>
      <c r="X24" s="2"/>
      <c r="Y24" s="2"/>
      <c r="Z24" s="2"/>
    </row>
    <row r="25" spans="1:26" ht="15" customHeight="1" x14ac:dyDescent="0.2">
      <c r="A25" s="2"/>
      <c r="B25" s="296" t="s">
        <v>685</v>
      </c>
      <c r="C25" s="297">
        <f t="shared" ref="C25:F25" si="14">C24*0.907185/1000000</f>
        <v>1.1273049745609898</v>
      </c>
      <c r="D25" s="297">
        <f t="shared" si="14"/>
        <v>0.99784781517169341</v>
      </c>
      <c r="E25" s="297">
        <f t="shared" si="14"/>
        <v>0.19068762832463088</v>
      </c>
      <c r="F25" s="298">
        <f t="shared" si="14"/>
        <v>1.7523342359718655E-2</v>
      </c>
      <c r="G25" s="299"/>
      <c r="H25" s="299">
        <f>G24*0.907185/1000000</f>
        <v>2.3333637604170332</v>
      </c>
      <c r="I25" s="8"/>
      <c r="J25" s="8"/>
      <c r="S25" s="2"/>
      <c r="T25" s="2"/>
      <c r="U25" s="2"/>
      <c r="V25" s="2"/>
      <c r="W25" s="2"/>
      <c r="X25" s="2"/>
      <c r="Y25" s="2"/>
      <c r="Z25" s="2"/>
    </row>
    <row r="26" spans="1:26" ht="15" customHeight="1" x14ac:dyDescent="0.2">
      <c r="A26" s="2"/>
      <c r="C26" s="146"/>
      <c r="D26" s="146"/>
      <c r="E26" s="146"/>
      <c r="F26" s="146"/>
      <c r="I26" s="8"/>
      <c r="J26" s="8"/>
      <c r="S26" s="2"/>
      <c r="T26" s="2"/>
      <c r="U26" s="2"/>
      <c r="V26" s="2"/>
      <c r="W26" s="2"/>
      <c r="X26" s="2"/>
      <c r="Y26" s="2"/>
      <c r="Z26" s="2"/>
    </row>
    <row r="27" spans="1:26" ht="12.75" x14ac:dyDescent="0.2">
      <c r="A27" s="2"/>
      <c r="B27" s="967" t="s">
        <v>686</v>
      </c>
      <c r="C27" s="277"/>
      <c r="D27" s="277"/>
      <c r="E27" s="277"/>
      <c r="F27" s="277"/>
      <c r="G27" s="277"/>
      <c r="H27" s="278"/>
      <c r="I27" s="8"/>
      <c r="J27" s="8"/>
      <c r="S27" s="2"/>
      <c r="T27" s="2"/>
      <c r="U27" s="2"/>
      <c r="V27" s="2"/>
      <c r="W27" s="2"/>
      <c r="X27" s="2"/>
      <c r="Y27" s="2"/>
      <c r="Z27" s="2"/>
    </row>
    <row r="28" spans="1:26" ht="15" customHeight="1" x14ac:dyDescent="0.2">
      <c r="A28" s="2"/>
      <c r="B28" s="2030" t="s">
        <v>668</v>
      </c>
      <c r="C28" s="2032" t="s">
        <v>687</v>
      </c>
      <c r="D28" s="2033"/>
      <c r="E28" s="2033"/>
      <c r="F28" s="2015"/>
      <c r="G28" s="2028" t="s">
        <v>688</v>
      </c>
      <c r="H28" s="2028" t="s">
        <v>689</v>
      </c>
      <c r="I28" s="8"/>
      <c r="J28" s="8"/>
      <c r="S28" s="2"/>
      <c r="T28" s="2"/>
      <c r="U28" s="2"/>
      <c r="V28" s="2"/>
      <c r="W28" s="2"/>
      <c r="X28" s="2"/>
      <c r="Y28" s="2"/>
      <c r="Z28" s="2"/>
    </row>
    <row r="29" spans="1:26" ht="15" customHeight="1" x14ac:dyDescent="0.2">
      <c r="A29" s="2"/>
      <c r="B29" s="2031"/>
      <c r="C29" s="239" t="s">
        <v>79</v>
      </c>
      <c r="D29" s="239" t="s">
        <v>350</v>
      </c>
      <c r="E29" s="239" t="s">
        <v>672</v>
      </c>
      <c r="F29" s="280" t="s">
        <v>601</v>
      </c>
      <c r="G29" s="2029"/>
      <c r="H29" s="2029"/>
      <c r="I29" s="8"/>
      <c r="J29" s="8"/>
      <c r="S29" s="2"/>
      <c r="T29" s="2"/>
      <c r="U29" s="2"/>
      <c r="V29" s="2"/>
      <c r="W29" s="2"/>
      <c r="X29" s="2"/>
      <c r="Y29" s="2"/>
      <c r="Z29" s="2"/>
    </row>
    <row r="30" spans="1:26" ht="15" customHeight="1" x14ac:dyDescent="0.2">
      <c r="A30" s="2"/>
      <c r="B30" s="281" t="s">
        <v>673</v>
      </c>
      <c r="C30" s="300">
        <f t="shared" ref="C30:F30" si="15">SUMIFS($J$48:$J$5107,$K$48:$K$5107,$B30,$L$48:$L$5107,C$12)</f>
        <v>2.3805946263772166</v>
      </c>
      <c r="D30" s="300">
        <f t="shared" si="15"/>
        <v>536.5480264153598</v>
      </c>
      <c r="E30" s="300">
        <f t="shared" si="15"/>
        <v>0.17473041026004668</v>
      </c>
      <c r="F30" s="301">
        <f t="shared" si="15"/>
        <v>0</v>
      </c>
      <c r="G30" s="302">
        <f t="shared" ref="G30:G40" si="16">SUM(C30:F30)</f>
        <v>539.10335145199701</v>
      </c>
      <c r="H30" s="303">
        <f t="shared" ref="H30:H40" si="17">G30*$K$11*0.907185/1000000</f>
        <v>1.3644954621446739E-2</v>
      </c>
      <c r="I30" s="146"/>
      <c r="J30" s="8"/>
      <c r="K30" s="304"/>
      <c r="S30" s="279"/>
      <c r="T30" s="279"/>
      <c r="U30" s="279"/>
      <c r="V30" s="279"/>
      <c r="W30" s="279"/>
      <c r="X30" s="279"/>
      <c r="Y30" s="279"/>
      <c r="Z30" s="279"/>
    </row>
    <row r="31" spans="1:26" ht="15" customHeight="1" x14ac:dyDescent="0.2">
      <c r="A31" s="2"/>
      <c r="B31" s="281" t="s">
        <v>674</v>
      </c>
      <c r="C31" s="300">
        <f t="shared" ref="C31:F31" si="18">SUMIFS($J$48:$J$5107,$K$48:$K$5107,$B31,$L$48:$L$5107,C$12)</f>
        <v>6.5699325796066059</v>
      </c>
      <c r="D31" s="300">
        <f t="shared" si="18"/>
        <v>13.161906197226754</v>
      </c>
      <c r="E31" s="300">
        <f t="shared" si="18"/>
        <v>0.22937890029310026</v>
      </c>
      <c r="F31" s="301">
        <f t="shared" si="18"/>
        <v>9.3539033913018141E-2</v>
      </c>
      <c r="G31" s="302">
        <f t="shared" si="16"/>
        <v>20.054756711039477</v>
      </c>
      <c r="H31" s="303">
        <f t="shared" si="17"/>
        <v>5.0759514762663131E-4</v>
      </c>
      <c r="I31" s="146"/>
      <c r="J31" s="8"/>
      <c r="K31" s="304"/>
      <c r="S31" s="279"/>
      <c r="T31" s="279"/>
      <c r="U31" s="279"/>
      <c r="V31" s="279"/>
      <c r="W31" s="279"/>
      <c r="X31" s="279"/>
      <c r="Y31" s="279"/>
      <c r="Z31" s="279"/>
    </row>
    <row r="32" spans="1:26" ht="15" customHeight="1" x14ac:dyDescent="0.2">
      <c r="A32" s="2"/>
      <c r="B32" s="281" t="s">
        <v>675</v>
      </c>
      <c r="C32" s="300">
        <f t="shared" ref="C32:F32" si="19">SUMIFS($J$48:$J$5107,$K$48:$K$5107,$B32,$L$48:$L$5107,C$12)</f>
        <v>3.3167102087759504</v>
      </c>
      <c r="D32" s="300">
        <f t="shared" si="19"/>
        <v>8.2089550065693331</v>
      </c>
      <c r="E32" s="300">
        <f t="shared" si="19"/>
        <v>8.8906230810396156</v>
      </c>
      <c r="F32" s="301">
        <f t="shared" si="19"/>
        <v>51.55201119155133</v>
      </c>
      <c r="G32" s="302">
        <f t="shared" si="16"/>
        <v>71.968299487936235</v>
      </c>
      <c r="H32" s="303">
        <f t="shared" si="17"/>
        <v>1.8215508734098799E-3</v>
      </c>
      <c r="I32" s="146"/>
      <c r="J32" s="8"/>
      <c r="K32" s="304"/>
      <c r="L32" s="279"/>
      <c r="M32" s="279"/>
      <c r="S32" s="279"/>
      <c r="T32" s="279"/>
      <c r="U32" s="279"/>
      <c r="V32" s="279"/>
      <c r="W32" s="279"/>
      <c r="X32" s="279"/>
      <c r="Y32" s="279"/>
      <c r="Z32" s="279"/>
    </row>
    <row r="33" spans="1:26" ht="15" customHeight="1" x14ac:dyDescent="0.2">
      <c r="A33" s="2"/>
      <c r="B33" s="281" t="s">
        <v>676</v>
      </c>
      <c r="C33" s="300">
        <f t="shared" ref="C33:F33" si="20">SUMIFS($J$48:$J$5107,$K$48:$K$5107,$B33,$L$48:$L$5107,C$12)</f>
        <v>2.4310392270912491</v>
      </c>
      <c r="D33" s="300">
        <f t="shared" si="20"/>
        <v>203.03470796466044</v>
      </c>
      <c r="E33" s="300">
        <f t="shared" si="20"/>
        <v>0</v>
      </c>
      <c r="F33" s="301">
        <f t="shared" si="20"/>
        <v>0</v>
      </c>
      <c r="G33" s="302">
        <f t="shared" si="16"/>
        <v>205.46574719175169</v>
      </c>
      <c r="H33" s="303">
        <f t="shared" si="17"/>
        <v>5.2004328838655637E-3</v>
      </c>
      <c r="I33" s="146"/>
      <c r="J33" s="8"/>
      <c r="K33" s="304"/>
      <c r="L33" s="279"/>
      <c r="M33" s="279"/>
      <c r="S33" s="279"/>
      <c r="T33" s="279"/>
      <c r="U33" s="279"/>
      <c r="V33" s="279"/>
      <c r="W33" s="279"/>
      <c r="X33" s="279"/>
      <c r="Y33" s="279"/>
      <c r="Z33" s="279"/>
    </row>
    <row r="34" spans="1:26" ht="15" customHeight="1" x14ac:dyDescent="0.2">
      <c r="A34" s="2"/>
      <c r="B34" s="281" t="s">
        <v>677</v>
      </c>
      <c r="C34" s="300">
        <f t="shared" ref="C34:F34" si="21">SUMIFS($J$48:$J$5107,$K$48:$K$5107,$B34,$L$48:$L$5107,C$12)</f>
        <v>2.4025555822576909</v>
      </c>
      <c r="D34" s="300">
        <f t="shared" si="21"/>
        <v>88.315360710250758</v>
      </c>
      <c r="E34" s="300">
        <f t="shared" si="21"/>
        <v>1.5527707893040306</v>
      </c>
      <c r="F34" s="301">
        <f t="shared" si="21"/>
        <v>59.755847933707784</v>
      </c>
      <c r="G34" s="302">
        <f t="shared" si="16"/>
        <v>152.02653501552027</v>
      </c>
      <c r="H34" s="303">
        <f t="shared" si="17"/>
        <v>3.8478617614887277E-3</v>
      </c>
      <c r="I34" s="146"/>
      <c r="J34" s="8"/>
      <c r="K34" s="304"/>
      <c r="L34" s="279"/>
      <c r="M34" s="279"/>
      <c r="S34" s="279"/>
      <c r="T34" s="279"/>
      <c r="U34" s="279"/>
      <c r="V34" s="279"/>
      <c r="W34" s="279"/>
      <c r="X34" s="279"/>
      <c r="Y34" s="279"/>
      <c r="Z34" s="279"/>
    </row>
    <row r="35" spans="1:26" ht="15" customHeight="1" x14ac:dyDescent="0.2">
      <c r="A35" s="2"/>
      <c r="B35" s="281" t="s">
        <v>678</v>
      </c>
      <c r="C35" s="300">
        <f t="shared" ref="C35:F35" si="22">SUMIFS($J$48:$J$5107,$K$48:$K$5107,$B35,$L$48:$L$5107,C$12)</f>
        <v>0.86513870239629298</v>
      </c>
      <c r="D35" s="300">
        <f t="shared" si="22"/>
        <v>0.919251083621064</v>
      </c>
      <c r="E35" s="300">
        <f t="shared" si="22"/>
        <v>4.3109567006596099E-4</v>
      </c>
      <c r="F35" s="301">
        <f t="shared" si="22"/>
        <v>0.76304060942646579</v>
      </c>
      <c r="G35" s="302">
        <f t="shared" si="16"/>
        <v>2.5478614911138888</v>
      </c>
      <c r="H35" s="303">
        <f t="shared" si="17"/>
        <v>6.4487550178170662E-5</v>
      </c>
      <c r="I35" s="146"/>
      <c r="J35" s="8"/>
      <c r="K35" s="304"/>
      <c r="L35" s="279"/>
      <c r="M35" s="279"/>
      <c r="N35" s="279"/>
      <c r="O35" s="279"/>
      <c r="P35" s="279"/>
      <c r="Q35" s="279"/>
      <c r="R35" s="279"/>
      <c r="S35" s="279"/>
      <c r="T35" s="279"/>
      <c r="U35" s="279"/>
      <c r="V35" s="279"/>
      <c r="W35" s="279"/>
      <c r="X35" s="279"/>
      <c r="Y35" s="279"/>
      <c r="Z35" s="279"/>
    </row>
    <row r="36" spans="1:26" ht="15" customHeight="1" x14ac:dyDescent="0.2">
      <c r="A36" s="2"/>
      <c r="B36" s="281" t="s">
        <v>679</v>
      </c>
      <c r="C36" s="300">
        <f t="shared" ref="C36:F36" si="23">SUMIFS($J$48:$J$5107,$K$48:$K$5107,$B36,$L$48:$L$5107,C$12)</f>
        <v>9.8729375697657953E-2</v>
      </c>
      <c r="D36" s="300">
        <f t="shared" si="23"/>
        <v>52.405386801696437</v>
      </c>
      <c r="E36" s="300">
        <f t="shared" si="23"/>
        <v>5.7830050730612696E-2</v>
      </c>
      <c r="F36" s="301">
        <f t="shared" si="23"/>
        <v>0</v>
      </c>
      <c r="G36" s="302">
        <f t="shared" si="16"/>
        <v>52.561946228124711</v>
      </c>
      <c r="H36" s="303">
        <f t="shared" si="17"/>
        <v>1.3303671163720208E-3</v>
      </c>
      <c r="I36" s="146"/>
      <c r="J36" s="8"/>
      <c r="K36" s="304"/>
      <c r="L36" s="8"/>
      <c r="M36" s="8"/>
      <c r="N36" s="2"/>
      <c r="O36" s="2"/>
      <c r="P36" s="2"/>
      <c r="Q36" s="2"/>
      <c r="R36" s="2"/>
      <c r="S36" s="2"/>
      <c r="T36" s="2"/>
      <c r="U36" s="2"/>
      <c r="V36" s="2"/>
      <c r="W36" s="2"/>
      <c r="X36" s="2"/>
      <c r="Y36" s="2"/>
      <c r="Z36" s="2"/>
    </row>
    <row r="37" spans="1:26" ht="15" customHeight="1" x14ac:dyDescent="0.2">
      <c r="A37" s="2"/>
      <c r="B37" s="281" t="s">
        <v>680</v>
      </c>
      <c r="C37" s="300">
        <f t="shared" ref="C37:F37" si="24">SUMIFS($J$48:$J$5107,$K$48:$K$5107,$B37,$L$48:$L$5107,C$12)</f>
        <v>0.10702053206125077</v>
      </c>
      <c r="D37" s="300">
        <f t="shared" si="24"/>
        <v>0.12327378738688569</v>
      </c>
      <c r="E37" s="300">
        <f t="shared" si="24"/>
        <v>1.0902544743396594E-2</v>
      </c>
      <c r="F37" s="301">
        <f t="shared" si="24"/>
        <v>0</v>
      </c>
      <c r="G37" s="302">
        <f t="shared" si="16"/>
        <v>0.24119686419153302</v>
      </c>
      <c r="H37" s="303">
        <f t="shared" si="17"/>
        <v>6.1048039450405244E-6</v>
      </c>
      <c r="I37" s="146"/>
      <c r="J37" s="8"/>
      <c r="K37" s="304"/>
      <c r="L37" s="8"/>
      <c r="M37" s="8"/>
      <c r="N37" s="2"/>
      <c r="O37" s="2"/>
      <c r="P37" s="2"/>
      <c r="Q37" s="2"/>
      <c r="R37" s="2"/>
      <c r="S37" s="2"/>
      <c r="T37" s="2"/>
      <c r="U37" s="2"/>
      <c r="V37" s="2"/>
      <c r="W37" s="2"/>
      <c r="X37" s="2"/>
      <c r="Y37" s="2"/>
      <c r="Z37" s="2"/>
    </row>
    <row r="38" spans="1:26" ht="15" customHeight="1" x14ac:dyDescent="0.2">
      <c r="A38" s="2"/>
      <c r="B38" s="281" t="s">
        <v>681</v>
      </c>
      <c r="C38" s="300">
        <f t="shared" ref="C38:F38" si="25">SUMIFS($J$48:$J$5107,$K$48:$K$5107,$B38,$L$48:$L$5107,C$12)</f>
        <v>1.8686075842255685E-2</v>
      </c>
      <c r="D38" s="300">
        <f t="shared" si="25"/>
        <v>0.5718867291769254</v>
      </c>
      <c r="E38" s="300">
        <f t="shared" si="25"/>
        <v>0</v>
      </c>
      <c r="F38" s="301">
        <f t="shared" si="25"/>
        <v>0</v>
      </c>
      <c r="G38" s="302">
        <f t="shared" si="16"/>
        <v>0.59057280501918108</v>
      </c>
      <c r="H38" s="303">
        <f t="shared" si="17"/>
        <v>1.4947670244384991E-5</v>
      </c>
      <c r="I38" s="146"/>
      <c r="J38" s="8"/>
      <c r="K38" s="304"/>
      <c r="L38" s="8"/>
      <c r="M38" s="8"/>
      <c r="N38" s="2"/>
      <c r="O38" s="2"/>
      <c r="P38" s="2"/>
      <c r="Q38" s="2"/>
      <c r="R38" s="2"/>
      <c r="S38" s="2"/>
      <c r="T38" s="2"/>
      <c r="U38" s="2"/>
      <c r="V38" s="2"/>
      <c r="W38" s="2"/>
      <c r="X38" s="2"/>
      <c r="Y38" s="2"/>
      <c r="Z38" s="2"/>
    </row>
    <row r="39" spans="1:26" ht="15" customHeight="1" x14ac:dyDescent="0.2">
      <c r="A39" s="2"/>
      <c r="B39" s="281" t="s">
        <v>682</v>
      </c>
      <c r="C39" s="300">
        <f t="shared" ref="C39:F39" si="26">SUMIFS($J$48:$J$5107,$K$48:$K$5107,$B39,$L$48:$L$5107,C$12)</f>
        <v>0.32618213479515717</v>
      </c>
      <c r="D39" s="300">
        <f t="shared" si="26"/>
        <v>0</v>
      </c>
      <c r="E39" s="300">
        <f t="shared" si="26"/>
        <v>0</v>
      </c>
      <c r="F39" s="301">
        <f t="shared" si="26"/>
        <v>0</v>
      </c>
      <c r="G39" s="302">
        <f t="shared" si="16"/>
        <v>0.32618213479515717</v>
      </c>
      <c r="H39" s="303">
        <f t="shared" si="17"/>
        <v>8.2558203647206365E-6</v>
      </c>
      <c r="I39" s="146"/>
      <c r="J39" s="8"/>
      <c r="K39" s="304"/>
      <c r="L39" s="8"/>
      <c r="M39" s="8"/>
      <c r="N39" s="2"/>
      <c r="O39" s="2"/>
      <c r="P39" s="2"/>
      <c r="Q39" s="2"/>
      <c r="R39" s="2"/>
      <c r="S39" s="2"/>
      <c r="T39" s="2"/>
      <c r="U39" s="2"/>
      <c r="V39" s="2"/>
      <c r="W39" s="2"/>
      <c r="X39" s="2"/>
      <c r="Y39" s="2"/>
      <c r="Z39" s="2"/>
    </row>
    <row r="40" spans="1:26" ht="15" customHeight="1" x14ac:dyDescent="0.2">
      <c r="A40" s="2"/>
      <c r="B40" s="286" t="s">
        <v>683</v>
      </c>
      <c r="C40" s="305">
        <f t="shared" ref="C40:F40" si="27">SUMIFS($J$48:$J$5107,$K$48:$K$5107,$B40,$L$48:$L$5107,C$12)</f>
        <v>7.1366929722717354E-2</v>
      </c>
      <c r="D40" s="305">
        <f t="shared" si="27"/>
        <v>8.1196601890516973E-2</v>
      </c>
      <c r="E40" s="305">
        <f t="shared" si="27"/>
        <v>3.0022285468094608E-4</v>
      </c>
      <c r="F40" s="306">
        <f t="shared" si="27"/>
        <v>0</v>
      </c>
      <c r="G40" s="307">
        <f t="shared" si="16"/>
        <v>0.15286375446791528</v>
      </c>
      <c r="H40" s="303">
        <f t="shared" si="17"/>
        <v>3.8690521722056228E-6</v>
      </c>
      <c r="I40" s="146"/>
      <c r="J40" s="8"/>
      <c r="K40" s="304"/>
      <c r="L40" s="8"/>
      <c r="M40" s="8"/>
      <c r="N40" s="2"/>
      <c r="O40" s="2"/>
      <c r="P40" s="2"/>
      <c r="Q40" s="2"/>
      <c r="R40" s="2"/>
      <c r="S40" s="2"/>
      <c r="T40" s="2"/>
      <c r="U40" s="2"/>
      <c r="V40" s="2"/>
      <c r="W40" s="2"/>
      <c r="X40" s="2"/>
      <c r="Y40" s="2"/>
      <c r="Z40" s="2"/>
    </row>
    <row r="41" spans="1:26" ht="15" customHeight="1" x14ac:dyDescent="0.2">
      <c r="A41" s="2"/>
      <c r="B41" s="291" t="s">
        <v>690</v>
      </c>
      <c r="C41" s="308">
        <f t="shared" ref="C41:G41" si="28">SUM(C30:C40)</f>
        <v>18.587955974624048</v>
      </c>
      <c r="D41" s="308">
        <f t="shared" si="28"/>
        <v>903.36995129783884</v>
      </c>
      <c r="E41" s="308">
        <f t="shared" si="28"/>
        <v>10.916967094895552</v>
      </c>
      <c r="F41" s="309">
        <f t="shared" si="28"/>
        <v>112.1644387685986</v>
      </c>
      <c r="G41" s="310">
        <f t="shared" si="28"/>
        <v>1045.0393131359569</v>
      </c>
      <c r="H41" s="295"/>
      <c r="I41" s="8"/>
      <c r="J41" s="8"/>
      <c r="K41" s="8"/>
      <c r="L41" s="8"/>
      <c r="M41" s="8"/>
      <c r="N41" s="2"/>
      <c r="O41" s="2"/>
      <c r="P41" s="2"/>
      <c r="Q41" s="2"/>
      <c r="R41" s="2"/>
      <c r="S41" s="2"/>
      <c r="T41" s="2"/>
      <c r="U41" s="2"/>
      <c r="V41" s="2"/>
      <c r="W41" s="2"/>
      <c r="X41" s="2"/>
      <c r="Y41" s="2"/>
      <c r="Z41" s="2"/>
    </row>
    <row r="42" spans="1:26" ht="15" customHeight="1" x14ac:dyDescent="0.2">
      <c r="A42" s="2"/>
      <c r="B42" s="296" t="s">
        <v>691</v>
      </c>
      <c r="C42" s="311">
        <f t="shared" ref="C42:F42" si="29">C41*$K$11*0.907185/1000000</f>
        <v>4.7046974405941689E-4</v>
      </c>
      <c r="D42" s="311">
        <f t="shared" si="29"/>
        <v>2.2864710372580827E-2</v>
      </c>
      <c r="E42" s="311">
        <f t="shared" si="29"/>
        <v>2.7631347535212077E-4</v>
      </c>
      <c r="F42" s="311">
        <f t="shared" si="29"/>
        <v>2.8389337091217219E-3</v>
      </c>
      <c r="G42" s="299"/>
      <c r="H42" s="312">
        <f>G41*$K$11*0.907185/1000000</f>
        <v>2.6450427301114084E-2</v>
      </c>
      <c r="I42" s="8"/>
      <c r="J42" s="8" t="s">
        <v>6</v>
      </c>
      <c r="K42" s="8"/>
      <c r="L42" s="8"/>
      <c r="M42" s="8"/>
      <c r="N42" s="2"/>
      <c r="O42" s="2"/>
      <c r="P42" s="2"/>
      <c r="Q42" s="2"/>
      <c r="R42" s="2"/>
      <c r="S42" s="2"/>
      <c r="T42" s="2"/>
      <c r="U42" s="2"/>
      <c r="V42" s="2"/>
      <c r="W42" s="2"/>
      <c r="X42" s="2"/>
      <c r="Y42" s="2"/>
      <c r="Z42" s="2"/>
    </row>
    <row r="43" spans="1:26" ht="12.75" x14ac:dyDescent="0.2">
      <c r="A43" s="2"/>
      <c r="C43" s="146"/>
      <c r="D43" s="146"/>
      <c r="E43" s="146"/>
      <c r="F43" s="146"/>
      <c r="G43" s="8"/>
      <c r="H43" s="8"/>
      <c r="I43" s="8"/>
      <c r="J43" s="8"/>
      <c r="K43" s="8"/>
      <c r="L43" s="8"/>
      <c r="M43" s="8"/>
      <c r="N43" s="2"/>
      <c r="O43" s="2"/>
      <c r="P43" s="2"/>
      <c r="Q43" s="2"/>
      <c r="R43" s="2"/>
      <c r="S43" s="2"/>
      <c r="T43" s="2"/>
      <c r="U43" s="2"/>
      <c r="V43" s="2"/>
      <c r="W43" s="2"/>
      <c r="X43" s="2"/>
      <c r="Y43" s="2"/>
      <c r="Z43" s="2"/>
    </row>
    <row r="44" spans="1:26" ht="12.75" x14ac:dyDescent="0.2">
      <c r="A44" s="2"/>
      <c r="B44" s="2"/>
      <c r="C44" s="8"/>
      <c r="D44" s="8"/>
      <c r="E44" s="8"/>
      <c r="F44" s="8"/>
      <c r="G44" s="8"/>
      <c r="H44" s="8"/>
      <c r="I44" s="304"/>
      <c r="J44" s="304"/>
      <c r="K44" s="304"/>
      <c r="L44" s="304"/>
      <c r="M44" s="8"/>
      <c r="N44" s="2"/>
      <c r="O44" s="2"/>
      <c r="P44" s="2"/>
      <c r="Q44" s="2"/>
      <c r="R44" s="2"/>
      <c r="S44" s="2"/>
      <c r="T44" s="2"/>
      <c r="U44" s="2"/>
      <c r="V44" s="2"/>
      <c r="W44" s="2"/>
      <c r="X44" s="2"/>
      <c r="Y44" s="2"/>
      <c r="Z44" s="2"/>
    </row>
    <row r="45" spans="1:26" ht="12.75" x14ac:dyDescent="0.2">
      <c r="A45" s="2"/>
      <c r="B45" s="234" t="s">
        <v>597</v>
      </c>
      <c r="C45" s="235"/>
      <c r="D45" s="235"/>
      <c r="E45" s="235"/>
      <c r="F45" s="235"/>
      <c r="G45" s="235"/>
      <c r="H45" s="235"/>
      <c r="I45" s="235"/>
      <c r="J45" s="235"/>
      <c r="K45" s="235"/>
      <c r="L45" s="235"/>
      <c r="M45" s="8"/>
      <c r="N45" s="2"/>
      <c r="O45" s="2"/>
      <c r="P45" s="2"/>
      <c r="Q45" s="2"/>
      <c r="R45" s="2"/>
      <c r="S45" s="2"/>
      <c r="T45" s="2"/>
      <c r="U45" s="2"/>
      <c r="V45" s="2"/>
      <c r="W45" s="2"/>
      <c r="X45" s="2"/>
      <c r="Y45" s="2"/>
      <c r="Z45" s="2"/>
    </row>
    <row r="46" spans="1:26" ht="12.75" x14ac:dyDescent="0.2">
      <c r="A46" s="2"/>
      <c r="B46" s="2"/>
      <c r="C46" s="8"/>
      <c r="D46" s="8"/>
      <c r="E46" s="8"/>
      <c r="F46" s="8"/>
      <c r="G46" s="8"/>
      <c r="H46" s="8"/>
      <c r="I46" s="8"/>
      <c r="J46" s="8"/>
      <c r="K46" s="8"/>
      <c r="L46" s="8"/>
      <c r="M46" s="8"/>
      <c r="N46" s="2"/>
      <c r="O46" s="2"/>
      <c r="P46" s="2"/>
      <c r="Q46" s="2"/>
      <c r="R46" s="2"/>
      <c r="S46" s="2"/>
      <c r="T46" s="2"/>
      <c r="U46" s="2"/>
      <c r="V46" s="2"/>
      <c r="W46" s="2"/>
      <c r="X46" s="2"/>
      <c r="Y46" s="2"/>
      <c r="Z46" s="2"/>
    </row>
    <row r="47" spans="1:26" ht="13.5" x14ac:dyDescent="0.25">
      <c r="A47" s="230"/>
      <c r="B47" s="313" t="s">
        <v>692</v>
      </c>
      <c r="C47" s="313" t="s">
        <v>693</v>
      </c>
      <c r="D47" s="313" t="s">
        <v>694</v>
      </c>
      <c r="E47" s="313" t="s">
        <v>695</v>
      </c>
      <c r="F47" s="313" t="s">
        <v>696</v>
      </c>
      <c r="G47" s="313" t="s">
        <v>697</v>
      </c>
      <c r="H47" s="313" t="s">
        <v>698</v>
      </c>
      <c r="I47" s="313" t="s">
        <v>699</v>
      </c>
      <c r="J47" s="313" t="s">
        <v>700</v>
      </c>
      <c r="K47" s="313" t="s">
        <v>668</v>
      </c>
      <c r="L47" s="313" t="s">
        <v>49</v>
      </c>
      <c r="M47" s="8"/>
      <c r="N47" s="2"/>
      <c r="O47" s="2"/>
      <c r="P47" s="2"/>
      <c r="Q47" s="2"/>
      <c r="R47" s="2"/>
      <c r="S47" s="2"/>
      <c r="T47" s="2"/>
      <c r="U47" s="2"/>
      <c r="V47" s="2"/>
      <c r="W47" s="2"/>
      <c r="X47" s="2"/>
      <c r="Y47" s="2"/>
      <c r="Z47" s="2"/>
    </row>
    <row r="48" spans="1:26" x14ac:dyDescent="0.25">
      <c r="A48" s="314"/>
      <c r="B48" s="18">
        <v>2023</v>
      </c>
      <c r="C48" s="18" t="s">
        <v>701</v>
      </c>
      <c r="D48" s="18" t="s">
        <v>702</v>
      </c>
      <c r="E48" s="18" t="s">
        <v>703</v>
      </c>
      <c r="F48" s="18" t="s">
        <v>704</v>
      </c>
      <c r="G48" s="18" t="s">
        <v>673</v>
      </c>
      <c r="H48" s="18" t="s">
        <v>705</v>
      </c>
      <c r="I48" s="315">
        <v>58666.332222475437</v>
      </c>
      <c r="J48" s="315">
        <v>36.99095994911584</v>
      </c>
      <c r="K48" s="316" t="str">
        <f t="shared" ref="K48:K302" si="30">IF(F48="Pleasure Craft","Pleasure Craft",IF(F48="Railroad Equipment","Railroad Equipment",G48))</f>
        <v>Lawn and Garden Equipment</v>
      </c>
      <c r="L48" s="316" t="str">
        <f t="shared" ref="L48:L302" si="31">IF(E48="Non-Road Gasoline","Gasoline",IF(E48="Non-Road Diesel","Diesel",IF(RIGHT(F48,3)="LPG","LPG",IF(RIGHT(F48,3)="CNG","CNG",G48))))</f>
        <v>Gasoline</v>
      </c>
      <c r="M48" s="194"/>
      <c r="N48" s="317"/>
      <c r="O48" s="317"/>
      <c r="P48" s="317"/>
      <c r="Q48" s="317"/>
      <c r="R48" s="317"/>
      <c r="S48" s="317"/>
      <c r="T48" s="317"/>
      <c r="U48" s="317"/>
      <c r="V48" s="317"/>
      <c r="W48" s="317"/>
      <c r="X48" s="317"/>
      <c r="Y48" s="317"/>
      <c r="Z48" s="317"/>
    </row>
    <row r="49" spans="1:26" x14ac:dyDescent="0.25">
      <c r="A49" s="314"/>
      <c r="B49" s="18">
        <v>2023</v>
      </c>
      <c r="C49" s="18" t="s">
        <v>706</v>
      </c>
      <c r="D49" s="18" t="s">
        <v>707</v>
      </c>
      <c r="E49" s="18" t="s">
        <v>56</v>
      </c>
      <c r="F49" s="18" t="s">
        <v>672</v>
      </c>
      <c r="G49" s="18" t="s">
        <v>675</v>
      </c>
      <c r="H49" s="18" t="s">
        <v>708</v>
      </c>
      <c r="I49" s="315">
        <v>34346.715444089154</v>
      </c>
      <c r="J49" s="315">
        <v>1.5432796422113504</v>
      </c>
      <c r="K49" s="316" t="str">
        <f t="shared" si="30"/>
        <v>Industrial Equipment</v>
      </c>
      <c r="L49" s="316" t="str">
        <f t="shared" si="31"/>
        <v>LPG</v>
      </c>
      <c r="M49" s="194"/>
      <c r="N49" s="317"/>
      <c r="O49" s="317"/>
      <c r="P49" s="317"/>
      <c r="Q49" s="317"/>
      <c r="R49" s="317"/>
      <c r="S49" s="317"/>
      <c r="T49" s="317"/>
      <c r="U49" s="317"/>
      <c r="V49" s="317"/>
      <c r="W49" s="317"/>
      <c r="X49" s="317"/>
      <c r="Y49" s="317"/>
      <c r="Z49" s="317"/>
    </row>
    <row r="50" spans="1:26" x14ac:dyDescent="0.25">
      <c r="A50" s="314"/>
      <c r="B50" s="18">
        <v>2023</v>
      </c>
      <c r="C50" s="18" t="s">
        <v>709</v>
      </c>
      <c r="D50" s="18" t="s">
        <v>702</v>
      </c>
      <c r="E50" s="18" t="s">
        <v>703</v>
      </c>
      <c r="F50" s="18" t="s">
        <v>704</v>
      </c>
      <c r="G50" s="18" t="s">
        <v>673</v>
      </c>
      <c r="H50" s="18" t="s">
        <v>705</v>
      </c>
      <c r="I50" s="315">
        <v>28663.329892431833</v>
      </c>
      <c r="J50" s="315">
        <v>18.049649678287448</v>
      </c>
      <c r="K50" s="316" t="str">
        <f t="shared" si="30"/>
        <v>Lawn and Garden Equipment</v>
      </c>
      <c r="L50" s="316" t="str">
        <f t="shared" si="31"/>
        <v>Gasoline</v>
      </c>
      <c r="M50" s="194"/>
      <c r="N50" s="317"/>
      <c r="O50" s="317"/>
      <c r="P50" s="317"/>
      <c r="Q50" s="317"/>
      <c r="R50" s="317"/>
      <c r="S50" s="317"/>
      <c r="T50" s="317"/>
      <c r="U50" s="317"/>
      <c r="V50" s="317"/>
      <c r="W50" s="317"/>
      <c r="X50" s="317"/>
      <c r="Y50" s="317"/>
      <c r="Z50" s="317"/>
    </row>
    <row r="51" spans="1:26" x14ac:dyDescent="0.25">
      <c r="A51" s="314"/>
      <c r="B51" s="18">
        <v>2023</v>
      </c>
      <c r="C51" s="18" t="s">
        <v>706</v>
      </c>
      <c r="D51" s="18" t="s">
        <v>702</v>
      </c>
      <c r="E51" s="18" t="s">
        <v>703</v>
      </c>
      <c r="F51" s="18" t="s">
        <v>704</v>
      </c>
      <c r="G51" s="18" t="s">
        <v>673</v>
      </c>
      <c r="H51" s="18" t="s">
        <v>705</v>
      </c>
      <c r="I51" s="315">
        <v>28367.896452931964</v>
      </c>
      <c r="J51" s="315">
        <v>17.88320348478408</v>
      </c>
      <c r="K51" s="316" t="str">
        <f t="shared" si="30"/>
        <v>Lawn and Garden Equipment</v>
      </c>
      <c r="L51" s="316" t="str">
        <f t="shared" si="31"/>
        <v>Gasoline</v>
      </c>
      <c r="M51" s="194"/>
      <c r="N51" s="317"/>
      <c r="O51" s="317"/>
      <c r="P51" s="317"/>
      <c r="Q51" s="317"/>
      <c r="R51" s="317"/>
      <c r="S51" s="317"/>
      <c r="T51" s="317"/>
      <c r="U51" s="317"/>
      <c r="V51" s="317"/>
      <c r="W51" s="317"/>
      <c r="X51" s="317"/>
      <c r="Y51" s="317"/>
      <c r="Z51" s="317"/>
    </row>
    <row r="52" spans="1:26" x14ac:dyDescent="0.25">
      <c r="A52" s="314"/>
      <c r="B52" s="18">
        <v>2023</v>
      </c>
      <c r="C52" s="18" t="s">
        <v>710</v>
      </c>
      <c r="D52" s="18" t="s">
        <v>707</v>
      </c>
      <c r="E52" s="18" t="s">
        <v>56</v>
      </c>
      <c r="F52" s="18" t="s">
        <v>672</v>
      </c>
      <c r="G52" s="18" t="s">
        <v>675</v>
      </c>
      <c r="H52" s="18" t="s">
        <v>708</v>
      </c>
      <c r="I52" s="315">
        <v>26059.600252976037</v>
      </c>
      <c r="J52" s="315">
        <v>1.1709211941895408</v>
      </c>
      <c r="K52" s="316" t="str">
        <f t="shared" si="30"/>
        <v>Industrial Equipment</v>
      </c>
      <c r="L52" s="316" t="str">
        <f t="shared" si="31"/>
        <v>LPG</v>
      </c>
      <c r="M52" s="194"/>
      <c r="N52" s="317"/>
      <c r="O52" s="317"/>
      <c r="P52" s="317"/>
      <c r="Q52" s="317"/>
      <c r="R52" s="317"/>
      <c r="S52" s="317"/>
      <c r="T52" s="317"/>
      <c r="U52" s="317"/>
      <c r="V52" s="317"/>
      <c r="W52" s="317"/>
      <c r="X52" s="317"/>
      <c r="Y52" s="317"/>
      <c r="Z52" s="317"/>
    </row>
    <row r="53" spans="1:26" x14ac:dyDescent="0.25">
      <c r="A53" s="314"/>
      <c r="B53" s="18">
        <v>2023</v>
      </c>
      <c r="C53" s="18" t="s">
        <v>711</v>
      </c>
      <c r="D53" s="18" t="s">
        <v>702</v>
      </c>
      <c r="E53" s="18" t="s">
        <v>703</v>
      </c>
      <c r="F53" s="18" t="s">
        <v>704</v>
      </c>
      <c r="G53" s="18" t="s">
        <v>673</v>
      </c>
      <c r="H53" s="18" t="s">
        <v>705</v>
      </c>
      <c r="I53" s="315">
        <v>23600.459954826845</v>
      </c>
      <c r="J53" s="315">
        <v>14.861512223562162</v>
      </c>
      <c r="K53" s="316" t="str">
        <f t="shared" si="30"/>
        <v>Lawn and Garden Equipment</v>
      </c>
      <c r="L53" s="316" t="str">
        <f t="shared" si="31"/>
        <v>Gasoline</v>
      </c>
      <c r="M53" s="194"/>
      <c r="N53" s="317"/>
      <c r="O53" s="317"/>
      <c r="P53" s="317"/>
      <c r="Q53" s="317"/>
      <c r="R53" s="317"/>
      <c r="S53" s="317"/>
      <c r="T53" s="317"/>
      <c r="U53" s="317"/>
      <c r="V53" s="317"/>
      <c r="W53" s="317"/>
      <c r="X53" s="317"/>
      <c r="Y53" s="317"/>
      <c r="Z53" s="317"/>
    </row>
    <row r="54" spans="1:26" x14ac:dyDescent="0.25">
      <c r="A54" s="314"/>
      <c r="B54" s="18">
        <v>2023</v>
      </c>
      <c r="C54" s="18" t="s">
        <v>706</v>
      </c>
      <c r="D54" s="18" t="s">
        <v>712</v>
      </c>
      <c r="E54" s="18" t="s">
        <v>713</v>
      </c>
      <c r="F54" s="18" t="s">
        <v>714</v>
      </c>
      <c r="G54" s="18" t="s">
        <v>674</v>
      </c>
      <c r="H54" s="18" t="s">
        <v>715</v>
      </c>
      <c r="I54" s="315">
        <v>21269.617573152744</v>
      </c>
      <c r="J54" s="315">
        <v>0.12657926284124271</v>
      </c>
      <c r="K54" s="316" t="str">
        <f t="shared" si="30"/>
        <v>Construction and Mining Equipment</v>
      </c>
      <c r="L54" s="316" t="str">
        <f t="shared" si="31"/>
        <v>Diesel</v>
      </c>
      <c r="M54" s="194"/>
      <c r="N54" s="317"/>
      <c r="O54" s="317"/>
      <c r="P54" s="317"/>
      <c r="Q54" s="317"/>
      <c r="R54" s="317"/>
      <c r="S54" s="317"/>
      <c r="T54" s="317"/>
      <c r="U54" s="317"/>
      <c r="V54" s="317"/>
      <c r="W54" s="317"/>
      <c r="X54" s="317"/>
      <c r="Y54" s="317"/>
      <c r="Z54" s="317"/>
    </row>
    <row r="55" spans="1:26" x14ac:dyDescent="0.25">
      <c r="A55" s="314"/>
      <c r="B55" s="18">
        <v>2023</v>
      </c>
      <c r="C55" s="18" t="s">
        <v>701</v>
      </c>
      <c r="D55" s="18" t="s">
        <v>716</v>
      </c>
      <c r="E55" s="18" t="s">
        <v>713</v>
      </c>
      <c r="F55" s="18" t="s">
        <v>714</v>
      </c>
      <c r="G55" s="18" t="s">
        <v>675</v>
      </c>
      <c r="H55" s="18" t="s">
        <v>717</v>
      </c>
      <c r="I55" s="315">
        <v>20491.438822041913</v>
      </c>
      <c r="J55" s="315">
        <v>0.420495607638118</v>
      </c>
      <c r="K55" s="316" t="str">
        <f t="shared" si="30"/>
        <v>Industrial Equipment</v>
      </c>
      <c r="L55" s="316" t="str">
        <f t="shared" si="31"/>
        <v>Diesel</v>
      </c>
      <c r="M55" s="194"/>
      <c r="N55" s="317"/>
      <c r="O55" s="317"/>
      <c r="P55" s="317"/>
      <c r="Q55" s="317"/>
      <c r="R55" s="317"/>
      <c r="S55" s="317"/>
      <c r="T55" s="317"/>
      <c r="U55" s="317"/>
      <c r="V55" s="317"/>
      <c r="W55" s="317"/>
      <c r="X55" s="317"/>
      <c r="Y55" s="317"/>
      <c r="Z55" s="317"/>
    </row>
    <row r="56" spans="1:26" x14ac:dyDescent="0.25">
      <c r="A56" s="314"/>
      <c r="B56" s="18">
        <v>2023</v>
      </c>
      <c r="C56" s="18" t="s">
        <v>706</v>
      </c>
      <c r="D56" s="18" t="s">
        <v>718</v>
      </c>
      <c r="E56" s="18" t="s">
        <v>713</v>
      </c>
      <c r="F56" s="18" t="s">
        <v>714</v>
      </c>
      <c r="G56" s="18" t="s">
        <v>674</v>
      </c>
      <c r="H56" s="18" t="s">
        <v>719</v>
      </c>
      <c r="I56" s="315">
        <v>19535.847584914183</v>
      </c>
      <c r="J56" s="315">
        <v>7.3020082703806971E-2</v>
      </c>
      <c r="K56" s="316" t="str">
        <f t="shared" si="30"/>
        <v>Construction and Mining Equipment</v>
      </c>
      <c r="L56" s="316" t="str">
        <f t="shared" si="31"/>
        <v>Diesel</v>
      </c>
      <c r="M56" s="194"/>
      <c r="N56" s="317"/>
      <c r="O56" s="317"/>
      <c r="P56" s="317"/>
      <c r="Q56" s="317"/>
      <c r="R56" s="317"/>
      <c r="S56" s="317"/>
      <c r="T56" s="317"/>
      <c r="U56" s="317"/>
      <c r="V56" s="317"/>
      <c r="W56" s="317"/>
      <c r="X56" s="317"/>
      <c r="Y56" s="317"/>
      <c r="Z56" s="317"/>
    </row>
    <row r="57" spans="1:26" x14ac:dyDescent="0.25">
      <c r="A57" s="314"/>
      <c r="B57" s="18">
        <v>2023</v>
      </c>
      <c r="C57" s="18" t="s">
        <v>706</v>
      </c>
      <c r="D57" s="18" t="s">
        <v>720</v>
      </c>
      <c r="E57" s="18" t="s">
        <v>713</v>
      </c>
      <c r="F57" s="18" t="s">
        <v>714</v>
      </c>
      <c r="G57" s="18" t="s">
        <v>674</v>
      </c>
      <c r="H57" s="18" t="s">
        <v>721</v>
      </c>
      <c r="I57" s="315">
        <v>19453.171701278839</v>
      </c>
      <c r="J57" s="315">
        <v>8.7803112372821013E-2</v>
      </c>
      <c r="K57" s="316" t="str">
        <f t="shared" si="30"/>
        <v>Construction and Mining Equipment</v>
      </c>
      <c r="L57" s="316" t="str">
        <f t="shared" si="31"/>
        <v>Diesel</v>
      </c>
      <c r="M57" s="194"/>
      <c r="N57" s="317"/>
      <c r="O57" s="317"/>
      <c r="P57" s="317"/>
      <c r="Q57" s="317"/>
      <c r="R57" s="317"/>
      <c r="S57" s="317"/>
      <c r="T57" s="317"/>
      <c r="U57" s="317"/>
      <c r="V57" s="317"/>
      <c r="W57" s="317"/>
      <c r="X57" s="317"/>
      <c r="Y57" s="317"/>
      <c r="Z57" s="317"/>
    </row>
    <row r="58" spans="1:26" x14ac:dyDescent="0.25">
      <c r="A58" s="314"/>
      <c r="B58" s="18">
        <v>2023</v>
      </c>
      <c r="C58" s="18" t="s">
        <v>701</v>
      </c>
      <c r="D58" s="18" t="s">
        <v>707</v>
      </c>
      <c r="E58" s="18" t="s">
        <v>56</v>
      </c>
      <c r="F58" s="18" t="s">
        <v>672</v>
      </c>
      <c r="G58" s="18" t="s">
        <v>675</v>
      </c>
      <c r="H58" s="18" t="s">
        <v>708</v>
      </c>
      <c r="I58" s="315">
        <v>19433.200783337692</v>
      </c>
      <c r="J58" s="315">
        <v>0.87317987972130484</v>
      </c>
      <c r="K58" s="316" t="str">
        <f t="shared" si="30"/>
        <v>Industrial Equipment</v>
      </c>
      <c r="L58" s="316" t="str">
        <f t="shared" si="31"/>
        <v>LPG</v>
      </c>
      <c r="M58" s="194"/>
      <c r="N58" s="317"/>
      <c r="O58" s="317"/>
      <c r="P58" s="317"/>
      <c r="Q58" s="317"/>
      <c r="R58" s="317"/>
      <c r="S58" s="317"/>
      <c r="T58" s="317"/>
      <c r="U58" s="317"/>
      <c r="V58" s="317"/>
      <c r="W58" s="317"/>
      <c r="X58" s="317"/>
      <c r="Y58" s="317"/>
      <c r="Z58" s="317"/>
    </row>
    <row r="59" spans="1:26" x14ac:dyDescent="0.25">
      <c r="A59" s="314"/>
      <c r="B59" s="18">
        <v>2023</v>
      </c>
      <c r="C59" s="18" t="s">
        <v>722</v>
      </c>
      <c r="D59" s="18" t="s">
        <v>702</v>
      </c>
      <c r="E59" s="18" t="s">
        <v>703</v>
      </c>
      <c r="F59" s="18" t="s">
        <v>704</v>
      </c>
      <c r="G59" s="18" t="s">
        <v>673</v>
      </c>
      <c r="H59" s="18" t="s">
        <v>705</v>
      </c>
      <c r="I59" s="315">
        <v>19187.703212468059</v>
      </c>
      <c r="J59" s="315">
        <v>12.095967183308531</v>
      </c>
      <c r="K59" s="316" t="str">
        <f t="shared" si="30"/>
        <v>Lawn and Garden Equipment</v>
      </c>
      <c r="L59" s="316" t="str">
        <f t="shared" si="31"/>
        <v>Gasoline</v>
      </c>
      <c r="M59" s="194"/>
      <c r="N59" s="317"/>
      <c r="O59" s="317"/>
      <c r="P59" s="317"/>
      <c r="Q59" s="317"/>
      <c r="R59" s="317"/>
      <c r="S59" s="317"/>
      <c r="T59" s="317"/>
      <c r="U59" s="317"/>
      <c r="V59" s="317"/>
      <c r="W59" s="317"/>
      <c r="X59" s="317"/>
      <c r="Y59" s="317"/>
      <c r="Z59" s="317"/>
    </row>
    <row r="60" spans="1:26" x14ac:dyDescent="0.25">
      <c r="A60" s="314"/>
      <c r="B60" s="18">
        <v>2023</v>
      </c>
      <c r="C60" s="18" t="s">
        <v>711</v>
      </c>
      <c r="D60" s="18" t="s">
        <v>707</v>
      </c>
      <c r="E60" s="18" t="s">
        <v>56</v>
      </c>
      <c r="F60" s="18" t="s">
        <v>672</v>
      </c>
      <c r="G60" s="18" t="s">
        <v>675</v>
      </c>
      <c r="H60" s="18" t="s">
        <v>708</v>
      </c>
      <c r="I60" s="315">
        <v>18767.861880040004</v>
      </c>
      <c r="J60" s="315">
        <v>0.84328448972437586</v>
      </c>
      <c r="K60" s="316" t="str">
        <f t="shared" si="30"/>
        <v>Industrial Equipment</v>
      </c>
      <c r="L60" s="316" t="str">
        <f t="shared" si="31"/>
        <v>LPG</v>
      </c>
      <c r="M60" s="194"/>
      <c r="N60" s="317"/>
      <c r="O60" s="317"/>
      <c r="P60" s="317"/>
      <c r="Q60" s="317"/>
      <c r="R60" s="317"/>
      <c r="S60" s="317"/>
      <c r="T60" s="317"/>
      <c r="U60" s="317"/>
      <c r="V60" s="317"/>
      <c r="W60" s="317"/>
      <c r="X60" s="317"/>
      <c r="Y60" s="317"/>
      <c r="Z60" s="317"/>
    </row>
    <row r="61" spans="1:26" x14ac:dyDescent="0.25">
      <c r="A61" s="314"/>
      <c r="B61" s="18">
        <v>2023</v>
      </c>
      <c r="C61" s="18" t="s">
        <v>709</v>
      </c>
      <c r="D61" s="18" t="s">
        <v>716</v>
      </c>
      <c r="E61" s="18" t="s">
        <v>713</v>
      </c>
      <c r="F61" s="18" t="s">
        <v>714</v>
      </c>
      <c r="G61" s="18" t="s">
        <v>675</v>
      </c>
      <c r="H61" s="18" t="s">
        <v>717</v>
      </c>
      <c r="I61" s="315">
        <v>18720.669287272183</v>
      </c>
      <c r="J61" s="315">
        <v>0.38415839894756876</v>
      </c>
      <c r="K61" s="316" t="str">
        <f t="shared" si="30"/>
        <v>Industrial Equipment</v>
      </c>
      <c r="L61" s="316" t="str">
        <f t="shared" si="31"/>
        <v>Diesel</v>
      </c>
      <c r="M61" s="194"/>
      <c r="N61" s="317"/>
      <c r="O61" s="317"/>
      <c r="P61" s="317"/>
      <c r="Q61" s="317"/>
      <c r="R61" s="317"/>
      <c r="S61" s="317"/>
      <c r="T61" s="317"/>
      <c r="U61" s="317"/>
      <c r="V61" s="317"/>
      <c r="W61" s="317"/>
      <c r="X61" s="317"/>
      <c r="Y61" s="317"/>
      <c r="Z61" s="317"/>
    </row>
    <row r="62" spans="1:26" x14ac:dyDescent="0.25">
      <c r="A62" s="314"/>
      <c r="B62" s="18">
        <v>2023</v>
      </c>
      <c r="C62" s="18" t="s">
        <v>701</v>
      </c>
      <c r="D62" s="18" t="s">
        <v>723</v>
      </c>
      <c r="E62" s="18" t="s">
        <v>703</v>
      </c>
      <c r="F62" s="18" t="s">
        <v>704</v>
      </c>
      <c r="G62" s="18" t="s">
        <v>673</v>
      </c>
      <c r="H62" s="18" t="s">
        <v>724</v>
      </c>
      <c r="I62" s="315">
        <v>18174.28035661182</v>
      </c>
      <c r="J62" s="315">
        <v>11.95230057114404</v>
      </c>
      <c r="K62" s="316" t="str">
        <f t="shared" si="30"/>
        <v>Lawn and Garden Equipment</v>
      </c>
      <c r="L62" s="316" t="str">
        <f t="shared" si="31"/>
        <v>Gasoline</v>
      </c>
      <c r="M62" s="194"/>
      <c r="N62" s="317"/>
      <c r="O62" s="317"/>
      <c r="P62" s="317"/>
      <c r="Q62" s="317"/>
      <c r="R62" s="317"/>
      <c r="S62" s="317"/>
      <c r="T62" s="317"/>
      <c r="U62" s="317"/>
      <c r="V62" s="317"/>
      <c r="W62" s="317"/>
      <c r="X62" s="317"/>
      <c r="Y62" s="317"/>
      <c r="Z62" s="317"/>
    </row>
    <row r="63" spans="1:26" x14ac:dyDescent="0.25">
      <c r="A63" s="314"/>
      <c r="B63" s="18">
        <v>2023</v>
      </c>
      <c r="C63" s="18" t="s">
        <v>706</v>
      </c>
      <c r="D63" s="18" t="s">
        <v>716</v>
      </c>
      <c r="E63" s="18" t="s">
        <v>713</v>
      </c>
      <c r="F63" s="18" t="s">
        <v>714</v>
      </c>
      <c r="G63" s="18" t="s">
        <v>675</v>
      </c>
      <c r="H63" s="18" t="s">
        <v>717</v>
      </c>
      <c r="I63" s="315">
        <v>17384.408825042625</v>
      </c>
      <c r="J63" s="315">
        <v>0.35673728319860837</v>
      </c>
      <c r="K63" s="316" t="str">
        <f t="shared" si="30"/>
        <v>Industrial Equipment</v>
      </c>
      <c r="L63" s="316" t="str">
        <f t="shared" si="31"/>
        <v>Diesel</v>
      </c>
      <c r="M63" s="194"/>
      <c r="N63" s="317"/>
      <c r="O63" s="317"/>
      <c r="P63" s="317"/>
      <c r="Q63" s="317"/>
      <c r="R63" s="317"/>
      <c r="S63" s="317"/>
      <c r="T63" s="317"/>
      <c r="U63" s="317"/>
      <c r="V63" s="317"/>
      <c r="W63" s="317"/>
      <c r="X63" s="317"/>
      <c r="Y63" s="317"/>
      <c r="Z63" s="317"/>
    </row>
    <row r="64" spans="1:26" x14ac:dyDescent="0.25">
      <c r="A64" s="314"/>
      <c r="B64" s="18">
        <v>2023</v>
      </c>
      <c r="C64" s="18" t="s">
        <v>706</v>
      </c>
      <c r="D64" s="18" t="s">
        <v>725</v>
      </c>
      <c r="E64" s="18" t="s">
        <v>713</v>
      </c>
      <c r="F64" s="18" t="s">
        <v>714</v>
      </c>
      <c r="G64" s="18" t="s">
        <v>674</v>
      </c>
      <c r="H64" s="18" t="s">
        <v>726</v>
      </c>
      <c r="I64" s="315">
        <v>16719.711907852419</v>
      </c>
      <c r="J64" s="315">
        <v>9.3544231254250057E-2</v>
      </c>
      <c r="K64" s="316" t="str">
        <f t="shared" si="30"/>
        <v>Construction and Mining Equipment</v>
      </c>
      <c r="L64" s="316" t="str">
        <f t="shared" si="31"/>
        <v>Diesel</v>
      </c>
      <c r="M64" s="194"/>
      <c r="N64" s="317"/>
      <c r="O64" s="317"/>
      <c r="P64" s="317"/>
      <c r="Q64" s="317"/>
      <c r="R64" s="317"/>
      <c r="S64" s="317"/>
      <c r="T64" s="317"/>
      <c r="U64" s="317"/>
      <c r="V64" s="317"/>
      <c r="W64" s="317"/>
      <c r="X64" s="317"/>
      <c r="Y64" s="317"/>
      <c r="Z64" s="317"/>
    </row>
    <row r="65" spans="1:26" x14ac:dyDescent="0.25">
      <c r="A65" s="314"/>
      <c r="B65" s="18">
        <v>2023</v>
      </c>
      <c r="C65" s="18" t="s">
        <v>727</v>
      </c>
      <c r="D65" s="18" t="s">
        <v>728</v>
      </c>
      <c r="E65" s="18" t="s">
        <v>703</v>
      </c>
      <c r="F65" s="18" t="s">
        <v>676</v>
      </c>
      <c r="G65" s="18" t="s">
        <v>729</v>
      </c>
      <c r="H65" s="18" t="s">
        <v>730</v>
      </c>
      <c r="I65" s="315">
        <v>15942.872374594837</v>
      </c>
      <c r="J65" s="315">
        <v>18.052086520844821</v>
      </c>
      <c r="K65" s="316" t="str">
        <f t="shared" si="30"/>
        <v>Pleasure Craft</v>
      </c>
      <c r="L65" s="316" t="str">
        <f t="shared" si="31"/>
        <v>Gasoline</v>
      </c>
      <c r="M65" s="194"/>
      <c r="N65" s="317"/>
      <c r="O65" s="317"/>
      <c r="P65" s="317"/>
      <c r="Q65" s="317"/>
      <c r="R65" s="317"/>
      <c r="S65" s="317"/>
      <c r="T65" s="317"/>
      <c r="U65" s="317"/>
      <c r="V65" s="317"/>
      <c r="W65" s="317"/>
      <c r="X65" s="317"/>
      <c r="Y65" s="317"/>
      <c r="Z65" s="317"/>
    </row>
    <row r="66" spans="1:26" x14ac:dyDescent="0.25">
      <c r="A66" s="314"/>
      <c r="B66" s="18">
        <v>2023</v>
      </c>
      <c r="C66" s="18" t="s">
        <v>731</v>
      </c>
      <c r="D66" s="18" t="s">
        <v>728</v>
      </c>
      <c r="E66" s="18" t="s">
        <v>703</v>
      </c>
      <c r="F66" s="18" t="s">
        <v>676</v>
      </c>
      <c r="G66" s="18" t="s">
        <v>729</v>
      </c>
      <c r="H66" s="18" t="s">
        <v>730</v>
      </c>
      <c r="I66" s="315">
        <v>15450.804642062212</v>
      </c>
      <c r="J66" s="315">
        <v>17.494937502036862</v>
      </c>
      <c r="K66" s="316" t="str">
        <f t="shared" si="30"/>
        <v>Pleasure Craft</v>
      </c>
      <c r="L66" s="316" t="str">
        <f t="shared" si="31"/>
        <v>Gasoline</v>
      </c>
      <c r="M66" s="194"/>
      <c r="N66" s="317"/>
      <c r="O66" s="317"/>
      <c r="P66" s="317"/>
      <c r="Q66" s="317"/>
      <c r="R66" s="317"/>
      <c r="S66" s="317"/>
      <c r="T66" s="317"/>
      <c r="U66" s="317"/>
      <c r="V66" s="317"/>
      <c r="W66" s="317"/>
      <c r="X66" s="317"/>
      <c r="Y66" s="317"/>
      <c r="Z66" s="317"/>
    </row>
    <row r="67" spans="1:26" x14ac:dyDescent="0.25">
      <c r="A67" s="314"/>
      <c r="B67" s="18">
        <v>2023</v>
      </c>
      <c r="C67" s="18" t="s">
        <v>709</v>
      </c>
      <c r="D67" s="18" t="s">
        <v>712</v>
      </c>
      <c r="E67" s="18" t="s">
        <v>713</v>
      </c>
      <c r="F67" s="18" t="s">
        <v>714</v>
      </c>
      <c r="G67" s="18" t="s">
        <v>674</v>
      </c>
      <c r="H67" s="18" t="s">
        <v>715</v>
      </c>
      <c r="I67" s="315">
        <v>15171.773171581346</v>
      </c>
      <c r="J67" s="315">
        <v>9.0289970817367948E-2</v>
      </c>
      <c r="K67" s="316" t="str">
        <f t="shared" si="30"/>
        <v>Construction and Mining Equipment</v>
      </c>
      <c r="L67" s="316" t="str">
        <f t="shared" si="31"/>
        <v>Diesel</v>
      </c>
      <c r="M67" s="194"/>
      <c r="N67" s="317"/>
      <c r="O67" s="317"/>
      <c r="P67" s="317"/>
      <c r="Q67" s="317"/>
      <c r="R67" s="317"/>
      <c r="S67" s="317"/>
      <c r="T67" s="317"/>
      <c r="U67" s="317"/>
      <c r="V67" s="317"/>
      <c r="W67" s="317"/>
      <c r="X67" s="317"/>
      <c r="Y67" s="317"/>
      <c r="Z67" s="317"/>
    </row>
    <row r="68" spans="1:26" x14ac:dyDescent="0.25">
      <c r="A68" s="314"/>
      <c r="B68" s="18">
        <v>2023</v>
      </c>
      <c r="C68" s="18" t="s">
        <v>732</v>
      </c>
      <c r="D68" s="18" t="s">
        <v>702</v>
      </c>
      <c r="E68" s="18" t="s">
        <v>703</v>
      </c>
      <c r="F68" s="18" t="s">
        <v>704</v>
      </c>
      <c r="G68" s="18" t="s">
        <v>673</v>
      </c>
      <c r="H68" s="18" t="s">
        <v>705</v>
      </c>
      <c r="I68" s="315">
        <v>14853.726210165309</v>
      </c>
      <c r="J68" s="315">
        <v>9.3822886034913697</v>
      </c>
      <c r="K68" s="316" t="str">
        <f t="shared" si="30"/>
        <v>Lawn and Garden Equipment</v>
      </c>
      <c r="L68" s="316" t="str">
        <f t="shared" si="31"/>
        <v>Gasoline</v>
      </c>
      <c r="M68" s="194"/>
      <c r="N68" s="317"/>
      <c r="O68" s="317"/>
      <c r="P68" s="317"/>
      <c r="Q68" s="317"/>
      <c r="R68" s="317"/>
      <c r="S68" s="317"/>
      <c r="T68" s="317"/>
      <c r="U68" s="317"/>
      <c r="V68" s="317"/>
      <c r="W68" s="317"/>
      <c r="X68" s="317"/>
      <c r="Y68" s="317"/>
      <c r="Z68" s="317"/>
    </row>
    <row r="69" spans="1:26" x14ac:dyDescent="0.25">
      <c r="A69" s="314"/>
      <c r="B69" s="18">
        <v>2023</v>
      </c>
      <c r="C69" s="18" t="s">
        <v>701</v>
      </c>
      <c r="D69" s="18" t="s">
        <v>733</v>
      </c>
      <c r="E69" s="18" t="s">
        <v>703</v>
      </c>
      <c r="F69" s="18" t="s">
        <v>704</v>
      </c>
      <c r="G69" s="18" t="s">
        <v>673</v>
      </c>
      <c r="H69" s="18" t="s">
        <v>734</v>
      </c>
      <c r="I69" s="315">
        <v>14400.878932333013</v>
      </c>
      <c r="J69" s="315">
        <v>9.1302695194980696</v>
      </c>
      <c r="K69" s="316" t="str">
        <f t="shared" si="30"/>
        <v>Lawn and Garden Equipment</v>
      </c>
      <c r="L69" s="316" t="str">
        <f t="shared" si="31"/>
        <v>Gasoline</v>
      </c>
      <c r="M69" s="194"/>
      <c r="N69" s="317"/>
      <c r="O69" s="317"/>
      <c r="P69" s="317"/>
      <c r="Q69" s="317"/>
      <c r="R69" s="317"/>
      <c r="S69" s="317"/>
      <c r="T69" s="317"/>
      <c r="U69" s="317"/>
      <c r="V69" s="317"/>
      <c r="W69" s="317"/>
      <c r="X69" s="317"/>
      <c r="Y69" s="317"/>
      <c r="Z69" s="317"/>
    </row>
    <row r="70" spans="1:26" x14ac:dyDescent="0.25">
      <c r="A70" s="314"/>
      <c r="B70" s="18">
        <v>2023</v>
      </c>
      <c r="C70" s="18" t="s">
        <v>710</v>
      </c>
      <c r="D70" s="18" t="s">
        <v>716</v>
      </c>
      <c r="E70" s="18" t="s">
        <v>713</v>
      </c>
      <c r="F70" s="18" t="s">
        <v>714</v>
      </c>
      <c r="G70" s="18" t="s">
        <v>675</v>
      </c>
      <c r="H70" s="18" t="s">
        <v>717</v>
      </c>
      <c r="I70" s="315">
        <v>14387.976477646656</v>
      </c>
      <c r="J70" s="315">
        <v>0.29524913728246838</v>
      </c>
      <c r="K70" s="316" t="str">
        <f t="shared" si="30"/>
        <v>Industrial Equipment</v>
      </c>
      <c r="L70" s="316" t="str">
        <f t="shared" si="31"/>
        <v>Diesel</v>
      </c>
      <c r="M70" s="194"/>
      <c r="N70" s="317"/>
      <c r="O70" s="317"/>
      <c r="P70" s="317"/>
      <c r="Q70" s="317"/>
      <c r="R70" s="317"/>
      <c r="S70" s="317"/>
      <c r="T70" s="317"/>
      <c r="U70" s="317"/>
      <c r="V70" s="317"/>
      <c r="W70" s="317"/>
      <c r="X70" s="317"/>
      <c r="Y70" s="317"/>
      <c r="Z70" s="317"/>
    </row>
    <row r="71" spans="1:26" x14ac:dyDescent="0.25">
      <c r="A71" s="314"/>
      <c r="B71" s="18">
        <v>2023</v>
      </c>
      <c r="C71" s="18" t="s">
        <v>709</v>
      </c>
      <c r="D71" s="18" t="s">
        <v>707</v>
      </c>
      <c r="E71" s="18" t="s">
        <v>56</v>
      </c>
      <c r="F71" s="18" t="s">
        <v>672</v>
      </c>
      <c r="G71" s="18" t="s">
        <v>675</v>
      </c>
      <c r="H71" s="18" t="s">
        <v>708</v>
      </c>
      <c r="I71" s="315">
        <v>14268.376692491545</v>
      </c>
      <c r="J71" s="315">
        <v>0.64111243608455826</v>
      </c>
      <c r="K71" s="316" t="str">
        <f t="shared" si="30"/>
        <v>Industrial Equipment</v>
      </c>
      <c r="L71" s="316" t="str">
        <f t="shared" si="31"/>
        <v>LPG</v>
      </c>
      <c r="M71" s="194"/>
      <c r="N71" s="317"/>
      <c r="O71" s="317"/>
      <c r="P71" s="317"/>
      <c r="Q71" s="317"/>
      <c r="R71" s="317"/>
      <c r="S71" s="317"/>
      <c r="T71" s="317"/>
      <c r="U71" s="317"/>
      <c r="V71" s="317"/>
      <c r="W71" s="317"/>
      <c r="X71" s="317"/>
      <c r="Y71" s="317"/>
      <c r="Z71" s="317"/>
    </row>
    <row r="72" spans="1:26" x14ac:dyDescent="0.25">
      <c r="A72" s="314"/>
      <c r="B72" s="18">
        <v>2023</v>
      </c>
      <c r="C72" s="18" t="s">
        <v>709</v>
      </c>
      <c r="D72" s="18" t="s">
        <v>718</v>
      </c>
      <c r="E72" s="18" t="s">
        <v>713</v>
      </c>
      <c r="F72" s="18" t="s">
        <v>714</v>
      </c>
      <c r="G72" s="18" t="s">
        <v>674</v>
      </c>
      <c r="H72" s="18" t="s">
        <v>719</v>
      </c>
      <c r="I72" s="315">
        <v>13935.063215459289</v>
      </c>
      <c r="J72" s="315">
        <v>5.2085738785427667E-2</v>
      </c>
      <c r="K72" s="316" t="str">
        <f t="shared" si="30"/>
        <v>Construction and Mining Equipment</v>
      </c>
      <c r="L72" s="316" t="str">
        <f t="shared" si="31"/>
        <v>Diesel</v>
      </c>
      <c r="M72" s="194"/>
      <c r="N72" s="317"/>
      <c r="O72" s="317"/>
      <c r="P72" s="317"/>
      <c r="Q72" s="317"/>
      <c r="R72" s="317"/>
      <c r="S72" s="317"/>
      <c r="T72" s="317"/>
      <c r="U72" s="317"/>
      <c r="V72" s="317"/>
      <c r="W72" s="317"/>
      <c r="X72" s="317"/>
      <c r="Y72" s="317"/>
      <c r="Z72" s="317"/>
    </row>
    <row r="73" spans="1:26" x14ac:dyDescent="0.25">
      <c r="A73" s="314"/>
      <c r="B73" s="18">
        <v>2023</v>
      </c>
      <c r="C73" s="18" t="s">
        <v>709</v>
      </c>
      <c r="D73" s="18" t="s">
        <v>720</v>
      </c>
      <c r="E73" s="18" t="s">
        <v>713</v>
      </c>
      <c r="F73" s="18" t="s">
        <v>714</v>
      </c>
      <c r="G73" s="18" t="s">
        <v>674</v>
      </c>
      <c r="H73" s="18" t="s">
        <v>721</v>
      </c>
      <c r="I73" s="315">
        <v>13876.092977489898</v>
      </c>
      <c r="J73" s="315">
        <v>6.2630652458332645E-2</v>
      </c>
      <c r="K73" s="316" t="str">
        <f t="shared" si="30"/>
        <v>Construction and Mining Equipment</v>
      </c>
      <c r="L73" s="316" t="str">
        <f t="shared" si="31"/>
        <v>Diesel</v>
      </c>
      <c r="M73" s="194"/>
      <c r="N73" s="317"/>
      <c r="O73" s="317"/>
      <c r="P73" s="317"/>
      <c r="Q73" s="317"/>
      <c r="R73" s="317"/>
      <c r="S73" s="317"/>
      <c r="T73" s="317"/>
      <c r="U73" s="317"/>
      <c r="V73" s="317"/>
      <c r="W73" s="317"/>
      <c r="X73" s="317"/>
      <c r="Y73" s="317"/>
      <c r="Z73" s="317"/>
    </row>
    <row r="74" spans="1:26" x14ac:dyDescent="0.25">
      <c r="A74" s="314"/>
      <c r="B74" s="18">
        <v>2023</v>
      </c>
      <c r="C74" s="18" t="s">
        <v>706</v>
      </c>
      <c r="D74" s="18" t="s">
        <v>733</v>
      </c>
      <c r="E74" s="18" t="s">
        <v>703</v>
      </c>
      <c r="F74" s="18" t="s">
        <v>704</v>
      </c>
      <c r="G74" s="18" t="s">
        <v>673</v>
      </c>
      <c r="H74" s="18" t="s">
        <v>734</v>
      </c>
      <c r="I74" s="315">
        <v>13305.156707111279</v>
      </c>
      <c r="J74" s="315">
        <v>8.433818932996493</v>
      </c>
      <c r="K74" s="316" t="str">
        <f t="shared" si="30"/>
        <v>Lawn and Garden Equipment</v>
      </c>
      <c r="L74" s="316" t="str">
        <f t="shared" si="31"/>
        <v>Gasoline</v>
      </c>
      <c r="M74" s="194"/>
      <c r="N74" s="317"/>
      <c r="O74" s="317"/>
      <c r="P74" s="317"/>
      <c r="Q74" s="317"/>
      <c r="R74" s="317"/>
      <c r="S74" s="317"/>
      <c r="T74" s="317"/>
      <c r="U74" s="317"/>
      <c r="V74" s="317"/>
      <c r="W74" s="317"/>
      <c r="X74" s="317"/>
      <c r="Y74" s="317"/>
      <c r="Z74" s="317"/>
    </row>
    <row r="75" spans="1:26" x14ac:dyDescent="0.25">
      <c r="A75" s="314"/>
      <c r="B75" s="18">
        <v>2023</v>
      </c>
      <c r="C75" s="18" t="s">
        <v>701</v>
      </c>
      <c r="D75" s="18" t="s">
        <v>712</v>
      </c>
      <c r="E75" s="18" t="s">
        <v>713</v>
      </c>
      <c r="F75" s="18" t="s">
        <v>714</v>
      </c>
      <c r="G75" s="18" t="s">
        <v>674</v>
      </c>
      <c r="H75" s="18" t="s">
        <v>715</v>
      </c>
      <c r="I75" s="315">
        <v>13284.892115799918</v>
      </c>
      <c r="J75" s="315">
        <v>7.9060783967487946E-2</v>
      </c>
      <c r="K75" s="316" t="str">
        <f t="shared" si="30"/>
        <v>Construction and Mining Equipment</v>
      </c>
      <c r="L75" s="316" t="str">
        <f t="shared" si="31"/>
        <v>Diesel</v>
      </c>
      <c r="M75" s="194"/>
      <c r="N75" s="317"/>
      <c r="O75" s="317"/>
      <c r="P75" s="317"/>
      <c r="Q75" s="317"/>
      <c r="R75" s="317"/>
      <c r="S75" s="317"/>
      <c r="T75" s="317"/>
      <c r="U75" s="317"/>
      <c r="V75" s="317"/>
      <c r="W75" s="317"/>
      <c r="X75" s="317"/>
      <c r="Y75" s="317"/>
      <c r="Z75" s="317"/>
    </row>
    <row r="76" spans="1:26" x14ac:dyDescent="0.25">
      <c r="A76" s="314"/>
      <c r="B76" s="18">
        <v>2023</v>
      </c>
      <c r="C76" s="18" t="s">
        <v>706</v>
      </c>
      <c r="D76" s="18" t="s">
        <v>735</v>
      </c>
      <c r="E76" s="18" t="s">
        <v>713</v>
      </c>
      <c r="F76" s="18" t="s">
        <v>714</v>
      </c>
      <c r="G76" s="18" t="s">
        <v>674</v>
      </c>
      <c r="H76" s="18" t="s">
        <v>736</v>
      </c>
      <c r="I76" s="315">
        <v>12906.558260669155</v>
      </c>
      <c r="J76" s="315">
        <v>0.38604259385390161</v>
      </c>
      <c r="K76" s="316" t="str">
        <f t="shared" si="30"/>
        <v>Construction and Mining Equipment</v>
      </c>
      <c r="L76" s="316" t="str">
        <f t="shared" si="31"/>
        <v>Diesel</v>
      </c>
      <c r="M76" s="194"/>
      <c r="N76" s="317"/>
      <c r="O76" s="317"/>
      <c r="P76" s="317"/>
      <c r="Q76" s="317"/>
      <c r="R76" s="317"/>
      <c r="S76" s="317"/>
      <c r="T76" s="317"/>
      <c r="U76" s="317"/>
      <c r="V76" s="317"/>
      <c r="W76" s="317"/>
      <c r="X76" s="317"/>
      <c r="Y76" s="317"/>
      <c r="Z76" s="317"/>
    </row>
    <row r="77" spans="1:26" x14ac:dyDescent="0.25">
      <c r="A77" s="314"/>
      <c r="B77" s="18">
        <v>2023</v>
      </c>
      <c r="C77" s="18" t="s">
        <v>709</v>
      </c>
      <c r="D77" s="18" t="s">
        <v>733</v>
      </c>
      <c r="E77" s="18" t="s">
        <v>703</v>
      </c>
      <c r="F77" s="18" t="s">
        <v>704</v>
      </c>
      <c r="G77" s="18" t="s">
        <v>673</v>
      </c>
      <c r="H77" s="18" t="s">
        <v>734</v>
      </c>
      <c r="I77" s="315">
        <v>12891.403400370247</v>
      </c>
      <c r="J77" s="315">
        <v>8.1625957381960248</v>
      </c>
      <c r="K77" s="316" t="str">
        <f t="shared" si="30"/>
        <v>Lawn and Garden Equipment</v>
      </c>
      <c r="L77" s="316" t="str">
        <f t="shared" si="31"/>
        <v>Gasoline</v>
      </c>
      <c r="M77" s="194"/>
      <c r="N77" s="317"/>
      <c r="O77" s="317"/>
      <c r="P77" s="317"/>
      <c r="Q77" s="317"/>
      <c r="R77" s="317"/>
      <c r="S77" s="317"/>
      <c r="T77" s="317"/>
      <c r="U77" s="317"/>
      <c r="V77" s="317"/>
      <c r="W77" s="317"/>
      <c r="X77" s="317"/>
      <c r="Y77" s="317"/>
      <c r="Z77" s="317"/>
    </row>
    <row r="78" spans="1:26" x14ac:dyDescent="0.25">
      <c r="A78" s="314"/>
      <c r="B78" s="18">
        <v>2023</v>
      </c>
      <c r="C78" s="18" t="s">
        <v>711</v>
      </c>
      <c r="D78" s="18" t="s">
        <v>737</v>
      </c>
      <c r="E78" s="18" t="s">
        <v>713</v>
      </c>
      <c r="F78" s="18" t="s">
        <v>714</v>
      </c>
      <c r="G78" s="18" t="s">
        <v>680</v>
      </c>
      <c r="H78" s="18" t="s">
        <v>680</v>
      </c>
      <c r="I78" s="315">
        <v>12887.236286624488</v>
      </c>
      <c r="J78" s="315">
        <v>0.10405639955661028</v>
      </c>
      <c r="K78" s="316" t="str">
        <f t="shared" si="30"/>
        <v>Airport Ground Support Equipment</v>
      </c>
      <c r="L78" s="316" t="str">
        <f t="shared" si="31"/>
        <v>Diesel</v>
      </c>
      <c r="M78" s="194"/>
      <c r="N78" s="317"/>
      <c r="O78" s="317"/>
      <c r="P78" s="317"/>
      <c r="Q78" s="317"/>
      <c r="R78" s="317"/>
      <c r="S78" s="317"/>
      <c r="T78" s="317"/>
      <c r="U78" s="317"/>
      <c r="V78" s="317"/>
      <c r="W78" s="317"/>
      <c r="X78" s="317"/>
      <c r="Y78" s="317"/>
      <c r="Z78" s="317"/>
    </row>
    <row r="79" spans="1:26" x14ac:dyDescent="0.25">
      <c r="A79" s="314"/>
      <c r="B79" s="18">
        <v>2023</v>
      </c>
      <c r="C79" s="18" t="s">
        <v>710</v>
      </c>
      <c r="D79" s="18" t="s">
        <v>733</v>
      </c>
      <c r="E79" s="18" t="s">
        <v>703</v>
      </c>
      <c r="F79" s="18" t="s">
        <v>704</v>
      </c>
      <c r="G79" s="18" t="s">
        <v>673</v>
      </c>
      <c r="H79" s="18" t="s">
        <v>734</v>
      </c>
      <c r="I79" s="315">
        <v>12362.990365115709</v>
      </c>
      <c r="J79" s="315">
        <v>7.8322931053975067</v>
      </c>
      <c r="K79" s="316" t="str">
        <f t="shared" si="30"/>
        <v>Lawn and Garden Equipment</v>
      </c>
      <c r="L79" s="316" t="str">
        <f t="shared" si="31"/>
        <v>Gasoline</v>
      </c>
      <c r="M79" s="194"/>
      <c r="N79" s="317"/>
      <c r="O79" s="317"/>
      <c r="P79" s="317"/>
      <c r="Q79" s="317"/>
      <c r="R79" s="317"/>
      <c r="S79" s="317"/>
      <c r="T79" s="317"/>
      <c r="U79" s="317"/>
      <c r="V79" s="317"/>
      <c r="W79" s="317"/>
      <c r="X79" s="317"/>
      <c r="Y79" s="317"/>
      <c r="Z79" s="317"/>
    </row>
    <row r="80" spans="1:26" x14ac:dyDescent="0.25">
      <c r="A80" s="314"/>
      <c r="B80" s="18">
        <v>2023</v>
      </c>
      <c r="C80" s="18" t="s">
        <v>701</v>
      </c>
      <c r="D80" s="18" t="s">
        <v>718</v>
      </c>
      <c r="E80" s="18" t="s">
        <v>713</v>
      </c>
      <c r="F80" s="18" t="s">
        <v>714</v>
      </c>
      <c r="G80" s="18" t="s">
        <v>674</v>
      </c>
      <c r="H80" s="18" t="s">
        <v>719</v>
      </c>
      <c r="I80" s="315">
        <v>12201.992947985433</v>
      </c>
      <c r="J80" s="315">
        <v>4.5607973155817313E-2</v>
      </c>
      <c r="K80" s="316" t="str">
        <f t="shared" si="30"/>
        <v>Construction and Mining Equipment</v>
      </c>
      <c r="L80" s="316" t="str">
        <f t="shared" si="31"/>
        <v>Diesel</v>
      </c>
      <c r="M80" s="194"/>
      <c r="N80" s="317"/>
      <c r="O80" s="317"/>
      <c r="P80" s="317"/>
      <c r="Q80" s="317"/>
      <c r="R80" s="317"/>
      <c r="S80" s="317"/>
      <c r="T80" s="317"/>
      <c r="U80" s="317"/>
      <c r="V80" s="317"/>
      <c r="W80" s="317"/>
      <c r="X80" s="317"/>
      <c r="Y80" s="317"/>
      <c r="Z80" s="317"/>
    </row>
    <row r="81" spans="1:26" x14ac:dyDescent="0.25">
      <c r="A81" s="314"/>
      <c r="B81" s="18">
        <v>2023</v>
      </c>
      <c r="C81" s="18" t="s">
        <v>701</v>
      </c>
      <c r="D81" s="18" t="s">
        <v>720</v>
      </c>
      <c r="E81" s="18" t="s">
        <v>713</v>
      </c>
      <c r="F81" s="18" t="s">
        <v>714</v>
      </c>
      <c r="G81" s="18" t="s">
        <v>674</v>
      </c>
      <c r="H81" s="18" t="s">
        <v>721</v>
      </c>
      <c r="I81" s="315">
        <v>12150.357930403459</v>
      </c>
      <c r="J81" s="315">
        <v>5.4841429565432739E-2</v>
      </c>
      <c r="K81" s="316" t="str">
        <f t="shared" si="30"/>
        <v>Construction and Mining Equipment</v>
      </c>
      <c r="L81" s="316" t="str">
        <f t="shared" si="31"/>
        <v>Diesel</v>
      </c>
      <c r="M81" s="194"/>
      <c r="N81" s="317"/>
      <c r="O81" s="317"/>
      <c r="P81" s="317"/>
      <c r="Q81" s="317"/>
      <c r="R81" s="317"/>
      <c r="S81" s="317"/>
      <c r="T81" s="317"/>
      <c r="U81" s="317"/>
      <c r="V81" s="317"/>
      <c r="W81" s="317"/>
      <c r="X81" s="317"/>
      <c r="Y81" s="317"/>
      <c r="Z81" s="317"/>
    </row>
    <row r="82" spans="1:26" x14ac:dyDescent="0.25">
      <c r="A82" s="314"/>
      <c r="B82" s="18">
        <v>2023</v>
      </c>
      <c r="C82" s="18" t="s">
        <v>709</v>
      </c>
      <c r="D82" s="18" t="s">
        <v>725</v>
      </c>
      <c r="E82" s="18" t="s">
        <v>713</v>
      </c>
      <c r="F82" s="18" t="s">
        <v>714</v>
      </c>
      <c r="G82" s="18" t="s">
        <v>674</v>
      </c>
      <c r="H82" s="18" t="s">
        <v>726</v>
      </c>
      <c r="I82" s="315">
        <v>11926.295299014841</v>
      </c>
      <c r="J82" s="315">
        <v>6.6725716784511502E-2</v>
      </c>
      <c r="K82" s="316" t="str">
        <f t="shared" si="30"/>
        <v>Construction and Mining Equipment</v>
      </c>
      <c r="L82" s="316" t="str">
        <f t="shared" si="31"/>
        <v>Diesel</v>
      </c>
      <c r="M82" s="194"/>
      <c r="N82" s="317"/>
      <c r="O82" s="317"/>
      <c r="P82" s="317"/>
      <c r="Q82" s="317"/>
      <c r="R82" s="317"/>
      <c r="S82" s="317"/>
      <c r="T82" s="317"/>
      <c r="U82" s="317"/>
      <c r="V82" s="317"/>
      <c r="W82" s="317"/>
      <c r="X82" s="317"/>
      <c r="Y82" s="317"/>
      <c r="Z82" s="317"/>
    </row>
    <row r="83" spans="1:26" x14ac:dyDescent="0.25">
      <c r="A83" s="314"/>
      <c r="B83" s="18">
        <v>2023</v>
      </c>
      <c r="C83" s="18" t="s">
        <v>732</v>
      </c>
      <c r="D83" s="18" t="s">
        <v>707</v>
      </c>
      <c r="E83" s="18" t="s">
        <v>56</v>
      </c>
      <c r="F83" s="18" t="s">
        <v>672</v>
      </c>
      <c r="G83" s="18" t="s">
        <v>675</v>
      </c>
      <c r="H83" s="18" t="s">
        <v>708</v>
      </c>
      <c r="I83" s="315">
        <v>11583.401413917085</v>
      </c>
      <c r="J83" s="315">
        <v>0.52046929486591453</v>
      </c>
      <c r="K83" s="316" t="str">
        <f t="shared" si="30"/>
        <v>Industrial Equipment</v>
      </c>
      <c r="L83" s="316" t="str">
        <f t="shared" si="31"/>
        <v>LPG</v>
      </c>
      <c r="M83" s="194"/>
      <c r="N83" s="317"/>
      <c r="O83" s="317"/>
      <c r="P83" s="317"/>
      <c r="Q83" s="317"/>
      <c r="R83" s="317"/>
      <c r="S83" s="317"/>
      <c r="T83" s="317"/>
      <c r="U83" s="317"/>
      <c r="V83" s="317"/>
      <c r="W83" s="317"/>
      <c r="X83" s="317"/>
      <c r="Y83" s="317"/>
      <c r="Z83" s="317"/>
    </row>
    <row r="84" spans="1:26" x14ac:dyDescent="0.25">
      <c r="A84" s="314"/>
      <c r="B84" s="18">
        <v>2023</v>
      </c>
      <c r="C84" s="18" t="s">
        <v>731</v>
      </c>
      <c r="D84" s="18" t="s">
        <v>738</v>
      </c>
      <c r="E84" s="18" t="s">
        <v>703</v>
      </c>
      <c r="F84" s="18" t="s">
        <v>676</v>
      </c>
      <c r="G84" s="18" t="s">
        <v>739</v>
      </c>
      <c r="H84" s="18" t="s">
        <v>740</v>
      </c>
      <c r="I84" s="315">
        <v>11525.158102857864</v>
      </c>
      <c r="J84" s="315">
        <v>5.0033726380986643</v>
      </c>
      <c r="K84" s="316" t="str">
        <f t="shared" si="30"/>
        <v>Pleasure Craft</v>
      </c>
      <c r="L84" s="316" t="str">
        <f t="shared" si="31"/>
        <v>Gasoline</v>
      </c>
      <c r="M84" s="194"/>
      <c r="N84" s="317"/>
      <c r="O84" s="317"/>
      <c r="P84" s="317"/>
      <c r="Q84" s="317"/>
      <c r="R84" s="317"/>
      <c r="S84" s="317"/>
      <c r="T84" s="317"/>
      <c r="U84" s="317"/>
      <c r="V84" s="317"/>
      <c r="W84" s="317"/>
      <c r="X84" s="317"/>
      <c r="Y84" s="317"/>
      <c r="Z84" s="317"/>
    </row>
    <row r="85" spans="1:26" x14ac:dyDescent="0.25">
      <c r="A85" s="314"/>
      <c r="B85" s="18">
        <v>2023</v>
      </c>
      <c r="C85" s="18" t="s">
        <v>711</v>
      </c>
      <c r="D85" s="18" t="s">
        <v>716</v>
      </c>
      <c r="E85" s="18" t="s">
        <v>713</v>
      </c>
      <c r="F85" s="18" t="s">
        <v>714</v>
      </c>
      <c r="G85" s="18" t="s">
        <v>675</v>
      </c>
      <c r="H85" s="18" t="s">
        <v>717</v>
      </c>
      <c r="I85" s="315">
        <v>11355.86650189905</v>
      </c>
      <c r="J85" s="315">
        <v>0.23302842133326032</v>
      </c>
      <c r="K85" s="316" t="str">
        <f t="shared" si="30"/>
        <v>Industrial Equipment</v>
      </c>
      <c r="L85" s="316" t="str">
        <f t="shared" si="31"/>
        <v>Diesel</v>
      </c>
      <c r="M85" s="194"/>
      <c r="N85" s="317"/>
      <c r="O85" s="317"/>
      <c r="P85" s="317"/>
      <c r="Q85" s="317"/>
      <c r="R85" s="317"/>
      <c r="S85" s="317"/>
      <c r="T85" s="317"/>
      <c r="U85" s="317"/>
      <c r="V85" s="317"/>
      <c r="W85" s="317"/>
      <c r="X85" s="317"/>
      <c r="Y85" s="317"/>
      <c r="Z85" s="317"/>
    </row>
    <row r="86" spans="1:26" x14ac:dyDescent="0.25">
      <c r="A86" s="314"/>
      <c r="B86" s="18">
        <v>2023</v>
      </c>
      <c r="C86" s="18" t="s">
        <v>701</v>
      </c>
      <c r="D86" s="18" t="s">
        <v>741</v>
      </c>
      <c r="E86" s="18" t="s">
        <v>713</v>
      </c>
      <c r="F86" s="18" t="s">
        <v>714</v>
      </c>
      <c r="G86" s="18" t="s">
        <v>673</v>
      </c>
      <c r="H86" s="18" t="s">
        <v>742</v>
      </c>
      <c r="I86" s="315">
        <v>11234.039353439744</v>
      </c>
      <c r="J86" s="315">
        <v>0.18606776381346538</v>
      </c>
      <c r="K86" s="316" t="str">
        <f t="shared" si="30"/>
        <v>Lawn and Garden Equipment</v>
      </c>
      <c r="L86" s="316" t="str">
        <f t="shared" si="31"/>
        <v>Diesel</v>
      </c>
      <c r="M86" s="194"/>
      <c r="N86" s="317"/>
      <c r="O86" s="317"/>
      <c r="P86" s="317"/>
      <c r="Q86" s="317"/>
      <c r="R86" s="317"/>
      <c r="S86" s="317"/>
      <c r="T86" s="317"/>
      <c r="U86" s="317"/>
      <c r="V86" s="317"/>
      <c r="W86" s="317"/>
      <c r="X86" s="317"/>
      <c r="Y86" s="317"/>
      <c r="Z86" s="317"/>
    </row>
    <row r="87" spans="1:26" x14ac:dyDescent="0.25">
      <c r="A87" s="314"/>
      <c r="B87" s="18">
        <v>2023</v>
      </c>
      <c r="C87" s="18" t="s">
        <v>743</v>
      </c>
      <c r="D87" s="18" t="s">
        <v>707</v>
      </c>
      <c r="E87" s="18" t="s">
        <v>56</v>
      </c>
      <c r="F87" s="18" t="s">
        <v>672</v>
      </c>
      <c r="G87" s="18" t="s">
        <v>675</v>
      </c>
      <c r="H87" s="18" t="s">
        <v>708</v>
      </c>
      <c r="I87" s="315">
        <v>10810.090676789821</v>
      </c>
      <c r="J87" s="315">
        <v>0.48572346194516142</v>
      </c>
      <c r="K87" s="316" t="str">
        <f t="shared" si="30"/>
        <v>Industrial Equipment</v>
      </c>
      <c r="L87" s="316" t="str">
        <f t="shared" si="31"/>
        <v>LPG</v>
      </c>
      <c r="M87" s="194"/>
      <c r="N87" s="317"/>
      <c r="O87" s="317"/>
      <c r="P87" s="317"/>
      <c r="Q87" s="317"/>
      <c r="R87" s="317"/>
      <c r="S87" s="317"/>
      <c r="T87" s="317"/>
      <c r="U87" s="317"/>
      <c r="V87" s="317"/>
      <c r="W87" s="317"/>
      <c r="X87" s="317"/>
      <c r="Y87" s="317"/>
      <c r="Z87" s="317"/>
    </row>
    <row r="88" spans="1:26" x14ac:dyDescent="0.25">
      <c r="A88" s="314"/>
      <c r="B88" s="18">
        <v>2023</v>
      </c>
      <c r="C88" s="18" t="s">
        <v>701</v>
      </c>
      <c r="D88" s="18" t="s">
        <v>744</v>
      </c>
      <c r="E88" s="18" t="s">
        <v>703</v>
      </c>
      <c r="F88" s="18" t="s">
        <v>704</v>
      </c>
      <c r="G88" s="18" t="s">
        <v>673</v>
      </c>
      <c r="H88" s="18" t="s">
        <v>745</v>
      </c>
      <c r="I88" s="315">
        <v>10525.48476509867</v>
      </c>
      <c r="J88" s="315">
        <v>7.7680296797668378</v>
      </c>
      <c r="K88" s="316" t="str">
        <f t="shared" si="30"/>
        <v>Lawn and Garden Equipment</v>
      </c>
      <c r="L88" s="316" t="str">
        <f t="shared" si="31"/>
        <v>Gasoline</v>
      </c>
      <c r="M88" s="194"/>
      <c r="N88" s="317"/>
      <c r="O88" s="317"/>
      <c r="P88" s="317"/>
      <c r="Q88" s="317"/>
      <c r="R88" s="317"/>
      <c r="S88" s="317"/>
      <c r="T88" s="317"/>
      <c r="U88" s="317"/>
      <c r="V88" s="317"/>
      <c r="W88" s="317"/>
      <c r="X88" s="317"/>
      <c r="Y88" s="317"/>
      <c r="Z88" s="317"/>
    </row>
    <row r="89" spans="1:26" x14ac:dyDescent="0.25">
      <c r="A89" s="314"/>
      <c r="B89" s="18">
        <v>2023</v>
      </c>
      <c r="C89" s="18" t="s">
        <v>722</v>
      </c>
      <c r="D89" s="18" t="s">
        <v>707</v>
      </c>
      <c r="E89" s="18" t="s">
        <v>56</v>
      </c>
      <c r="F89" s="18" t="s">
        <v>672</v>
      </c>
      <c r="G89" s="18" t="s">
        <v>675</v>
      </c>
      <c r="H89" s="18" t="s">
        <v>708</v>
      </c>
      <c r="I89" s="315">
        <v>10499.013464446063</v>
      </c>
      <c r="J89" s="315">
        <v>0.47174657185888663</v>
      </c>
      <c r="K89" s="316" t="str">
        <f t="shared" si="30"/>
        <v>Industrial Equipment</v>
      </c>
      <c r="L89" s="316" t="str">
        <f t="shared" si="31"/>
        <v>LPG</v>
      </c>
      <c r="M89" s="194"/>
      <c r="N89" s="317"/>
      <c r="O89" s="317"/>
      <c r="P89" s="317"/>
      <c r="Q89" s="317"/>
      <c r="R89" s="317"/>
      <c r="S89" s="317"/>
      <c r="T89" s="317"/>
      <c r="U89" s="317"/>
      <c r="V89" s="317"/>
      <c r="W89" s="317"/>
      <c r="X89" s="317"/>
      <c r="Y89" s="317"/>
      <c r="Z89" s="317"/>
    </row>
    <row r="90" spans="1:26" x14ac:dyDescent="0.25">
      <c r="A90" s="314"/>
      <c r="B90" s="18">
        <v>2023</v>
      </c>
      <c r="C90" s="18" t="s">
        <v>701</v>
      </c>
      <c r="D90" s="18" t="s">
        <v>725</v>
      </c>
      <c r="E90" s="18" t="s">
        <v>713</v>
      </c>
      <c r="F90" s="18" t="s">
        <v>714</v>
      </c>
      <c r="G90" s="18" t="s">
        <v>674</v>
      </c>
      <c r="H90" s="18" t="s">
        <v>726</v>
      </c>
      <c r="I90" s="315">
        <v>10443.048127110249</v>
      </c>
      <c r="J90" s="315">
        <v>5.8427243138199331E-2</v>
      </c>
      <c r="K90" s="316" t="str">
        <f t="shared" si="30"/>
        <v>Construction and Mining Equipment</v>
      </c>
      <c r="L90" s="316" t="str">
        <f t="shared" si="31"/>
        <v>Diesel</v>
      </c>
      <c r="M90" s="194"/>
      <c r="N90" s="317"/>
      <c r="O90" s="317"/>
      <c r="P90" s="317"/>
      <c r="Q90" s="317"/>
      <c r="R90" s="317"/>
      <c r="S90" s="317"/>
      <c r="T90" s="317"/>
      <c r="U90" s="317"/>
      <c r="V90" s="317"/>
      <c r="W90" s="317"/>
      <c r="X90" s="317"/>
      <c r="Y90" s="317"/>
      <c r="Z90" s="317"/>
    </row>
    <row r="91" spans="1:26" x14ac:dyDescent="0.25">
      <c r="A91" s="314"/>
      <c r="B91" s="18">
        <v>2023</v>
      </c>
      <c r="C91" s="18" t="s">
        <v>706</v>
      </c>
      <c r="D91" s="18" t="s">
        <v>746</v>
      </c>
      <c r="E91" s="18" t="s">
        <v>703</v>
      </c>
      <c r="F91" s="18" t="s">
        <v>704</v>
      </c>
      <c r="G91" s="18" t="s">
        <v>677</v>
      </c>
      <c r="H91" s="18" t="s">
        <v>747</v>
      </c>
      <c r="I91" s="315">
        <v>10031.590809166388</v>
      </c>
      <c r="J91" s="315">
        <v>6.6058539299093724</v>
      </c>
      <c r="K91" s="316" t="str">
        <f t="shared" si="30"/>
        <v>Commercial Equipment</v>
      </c>
      <c r="L91" s="316" t="str">
        <f t="shared" si="31"/>
        <v>Gasoline</v>
      </c>
      <c r="M91" s="194"/>
      <c r="N91" s="317"/>
      <c r="O91" s="317"/>
      <c r="P91" s="317"/>
      <c r="Q91" s="317"/>
      <c r="R91" s="317"/>
      <c r="S91" s="317"/>
      <c r="T91" s="317"/>
      <c r="U91" s="317"/>
      <c r="V91" s="317"/>
      <c r="W91" s="317"/>
      <c r="X91" s="317"/>
      <c r="Y91" s="317"/>
      <c r="Z91" s="317"/>
    </row>
    <row r="92" spans="1:26" x14ac:dyDescent="0.25">
      <c r="A92" s="314"/>
      <c r="B92" s="18">
        <v>2023</v>
      </c>
      <c r="C92" s="18" t="s">
        <v>701</v>
      </c>
      <c r="D92" s="18" t="s">
        <v>748</v>
      </c>
      <c r="E92" s="18" t="s">
        <v>703</v>
      </c>
      <c r="F92" s="18" t="s">
        <v>704</v>
      </c>
      <c r="G92" s="18" t="s">
        <v>673</v>
      </c>
      <c r="H92" s="18" t="s">
        <v>749</v>
      </c>
      <c r="I92" s="315">
        <v>9980.5325429085151</v>
      </c>
      <c r="J92" s="315">
        <v>5.6743637168055798</v>
      </c>
      <c r="K92" s="316" t="str">
        <f t="shared" si="30"/>
        <v>Lawn and Garden Equipment</v>
      </c>
      <c r="L92" s="316" t="str">
        <f t="shared" si="31"/>
        <v>Gasoline</v>
      </c>
      <c r="M92" s="194"/>
      <c r="N92" s="317"/>
      <c r="O92" s="317"/>
      <c r="P92" s="317"/>
      <c r="Q92" s="317"/>
      <c r="R92" s="317"/>
      <c r="S92" s="317"/>
      <c r="T92" s="317"/>
      <c r="U92" s="317"/>
      <c r="V92" s="317"/>
      <c r="W92" s="317"/>
      <c r="X92" s="317"/>
      <c r="Y92" s="317"/>
      <c r="Z92" s="317"/>
    </row>
    <row r="93" spans="1:26" x14ac:dyDescent="0.25">
      <c r="A93" s="314"/>
      <c r="B93" s="18">
        <v>2023</v>
      </c>
      <c r="C93" s="18" t="s">
        <v>750</v>
      </c>
      <c r="D93" s="18" t="s">
        <v>728</v>
      </c>
      <c r="E93" s="18" t="s">
        <v>703</v>
      </c>
      <c r="F93" s="18" t="s">
        <v>676</v>
      </c>
      <c r="G93" s="18" t="s">
        <v>729</v>
      </c>
      <c r="H93" s="18" t="s">
        <v>730</v>
      </c>
      <c r="I93" s="315">
        <v>9792.0684865135645</v>
      </c>
      <c r="J93" s="315">
        <v>11.08756949647446</v>
      </c>
      <c r="K93" s="316" t="str">
        <f t="shared" si="30"/>
        <v>Pleasure Craft</v>
      </c>
      <c r="L93" s="316" t="str">
        <f t="shared" si="31"/>
        <v>Gasoline</v>
      </c>
      <c r="M93" s="194"/>
      <c r="N93" s="317"/>
      <c r="O93" s="317"/>
      <c r="P93" s="317"/>
      <c r="Q93" s="317"/>
      <c r="R93" s="317"/>
      <c r="S93" s="317"/>
      <c r="T93" s="317"/>
      <c r="U93" s="317"/>
      <c r="V93" s="317"/>
      <c r="W93" s="317"/>
      <c r="X93" s="317"/>
      <c r="Y93" s="317"/>
      <c r="Z93" s="317"/>
    </row>
    <row r="94" spans="1:26" x14ac:dyDescent="0.25">
      <c r="A94" s="314"/>
      <c r="B94" s="18">
        <v>2023</v>
      </c>
      <c r="C94" s="18" t="s">
        <v>750</v>
      </c>
      <c r="D94" s="18" t="s">
        <v>738</v>
      </c>
      <c r="E94" s="18" t="s">
        <v>703</v>
      </c>
      <c r="F94" s="18" t="s">
        <v>676</v>
      </c>
      <c r="G94" s="18" t="s">
        <v>739</v>
      </c>
      <c r="H94" s="18" t="s">
        <v>740</v>
      </c>
      <c r="I94" s="315">
        <v>9773.9363131262562</v>
      </c>
      <c r="J94" s="315">
        <v>4.2426934196519221</v>
      </c>
      <c r="K94" s="316" t="str">
        <f t="shared" si="30"/>
        <v>Pleasure Craft</v>
      </c>
      <c r="L94" s="316" t="str">
        <f t="shared" si="31"/>
        <v>Gasoline</v>
      </c>
      <c r="M94" s="194"/>
      <c r="N94" s="317"/>
      <c r="O94" s="317"/>
      <c r="P94" s="317"/>
      <c r="Q94" s="317"/>
      <c r="R94" s="317"/>
      <c r="S94" s="317"/>
      <c r="T94" s="317"/>
      <c r="U94" s="317"/>
      <c r="V94" s="317"/>
      <c r="W94" s="317"/>
      <c r="X94" s="317"/>
      <c r="Y94" s="317"/>
      <c r="Z94" s="317"/>
    </row>
    <row r="95" spans="1:26" x14ac:dyDescent="0.25">
      <c r="A95" s="314"/>
      <c r="B95" s="18">
        <v>2023</v>
      </c>
      <c r="C95" s="18" t="s">
        <v>731</v>
      </c>
      <c r="D95" s="18" t="s">
        <v>751</v>
      </c>
      <c r="E95" s="18" t="s">
        <v>713</v>
      </c>
      <c r="F95" s="18" t="s">
        <v>676</v>
      </c>
      <c r="G95" s="18" t="s">
        <v>79</v>
      </c>
      <c r="H95" s="18" t="s">
        <v>740</v>
      </c>
      <c r="I95" s="315">
        <v>9426.9477912514267</v>
      </c>
      <c r="J95" s="315">
        <v>0.36999904109736542</v>
      </c>
      <c r="K95" s="316" t="str">
        <f t="shared" si="30"/>
        <v>Pleasure Craft</v>
      </c>
      <c r="L95" s="316" t="str">
        <f t="shared" si="31"/>
        <v>Diesel</v>
      </c>
      <c r="M95" s="194"/>
      <c r="N95" s="317"/>
      <c r="O95" s="317"/>
      <c r="P95" s="317"/>
      <c r="Q95" s="317"/>
      <c r="R95" s="317"/>
      <c r="S95" s="317"/>
      <c r="T95" s="317"/>
      <c r="U95" s="317"/>
      <c r="V95" s="317"/>
      <c r="W95" s="317"/>
      <c r="X95" s="317"/>
      <c r="Y95" s="317"/>
      <c r="Z95" s="317"/>
    </row>
    <row r="96" spans="1:26" x14ac:dyDescent="0.25">
      <c r="A96" s="314"/>
      <c r="B96" s="18">
        <v>2023</v>
      </c>
      <c r="C96" s="18" t="s">
        <v>709</v>
      </c>
      <c r="D96" s="18" t="s">
        <v>735</v>
      </c>
      <c r="E96" s="18" t="s">
        <v>713</v>
      </c>
      <c r="F96" s="18" t="s">
        <v>714</v>
      </c>
      <c r="G96" s="18" t="s">
        <v>674</v>
      </c>
      <c r="H96" s="18" t="s">
        <v>736</v>
      </c>
      <c r="I96" s="315">
        <v>9206.3454462428472</v>
      </c>
      <c r="J96" s="315">
        <v>0.27536727876901906</v>
      </c>
      <c r="K96" s="316" t="str">
        <f t="shared" si="30"/>
        <v>Construction and Mining Equipment</v>
      </c>
      <c r="L96" s="316" t="str">
        <f t="shared" si="31"/>
        <v>Diesel</v>
      </c>
      <c r="M96" s="194"/>
      <c r="N96" s="317"/>
      <c r="O96" s="317"/>
      <c r="P96" s="317"/>
      <c r="Q96" s="317"/>
      <c r="R96" s="317"/>
      <c r="S96" s="317"/>
      <c r="T96" s="317"/>
      <c r="U96" s="317"/>
      <c r="V96" s="317"/>
      <c r="W96" s="317"/>
      <c r="X96" s="317"/>
      <c r="Y96" s="317"/>
      <c r="Z96" s="317"/>
    </row>
    <row r="97" spans="1:26" x14ac:dyDescent="0.25">
      <c r="A97" s="314"/>
      <c r="B97" s="18">
        <v>2023</v>
      </c>
      <c r="C97" s="18" t="s">
        <v>711</v>
      </c>
      <c r="D97" s="18" t="s">
        <v>712</v>
      </c>
      <c r="E97" s="18" t="s">
        <v>713</v>
      </c>
      <c r="F97" s="18" t="s">
        <v>714</v>
      </c>
      <c r="G97" s="18" t="s">
        <v>674</v>
      </c>
      <c r="H97" s="18" t="s">
        <v>715</v>
      </c>
      <c r="I97" s="315">
        <v>9182.5244988137692</v>
      </c>
      <c r="J97" s="315">
        <v>5.4646844530548022E-2</v>
      </c>
      <c r="K97" s="316" t="str">
        <f t="shared" si="30"/>
        <v>Construction and Mining Equipment</v>
      </c>
      <c r="L97" s="316" t="str">
        <f t="shared" si="31"/>
        <v>Diesel</v>
      </c>
      <c r="M97" s="194"/>
      <c r="N97" s="317"/>
      <c r="O97" s="317"/>
      <c r="P97" s="317"/>
      <c r="Q97" s="317"/>
      <c r="R97" s="317"/>
      <c r="S97" s="317"/>
      <c r="T97" s="317"/>
      <c r="U97" s="317"/>
      <c r="V97" s="317"/>
      <c r="W97" s="317"/>
      <c r="X97" s="317"/>
      <c r="Y97" s="317"/>
      <c r="Z97" s="317"/>
    </row>
    <row r="98" spans="1:26" x14ac:dyDescent="0.25">
      <c r="A98" s="314"/>
      <c r="B98" s="18">
        <v>2023</v>
      </c>
      <c r="C98" s="18" t="s">
        <v>706</v>
      </c>
      <c r="D98" s="18" t="s">
        <v>752</v>
      </c>
      <c r="E98" s="18" t="s">
        <v>713</v>
      </c>
      <c r="F98" s="18" t="s">
        <v>714</v>
      </c>
      <c r="G98" s="18" t="s">
        <v>675</v>
      </c>
      <c r="H98" s="18" t="s">
        <v>708</v>
      </c>
      <c r="I98" s="315">
        <v>8979.8037167159582</v>
      </c>
      <c r="J98" s="315">
        <v>4.5798439198680034E-2</v>
      </c>
      <c r="K98" s="316" t="str">
        <f t="shared" si="30"/>
        <v>Industrial Equipment</v>
      </c>
      <c r="L98" s="316" t="str">
        <f t="shared" si="31"/>
        <v>Diesel</v>
      </c>
      <c r="M98" s="194"/>
      <c r="N98" s="317"/>
      <c r="O98" s="317"/>
      <c r="P98" s="317"/>
      <c r="Q98" s="317"/>
      <c r="R98" s="317"/>
      <c r="S98" s="317"/>
      <c r="T98" s="317"/>
      <c r="U98" s="317"/>
      <c r="V98" s="317"/>
      <c r="W98" s="317"/>
      <c r="X98" s="317"/>
      <c r="Y98" s="317"/>
      <c r="Z98" s="317"/>
    </row>
    <row r="99" spans="1:26" x14ac:dyDescent="0.25">
      <c r="A99" s="314"/>
      <c r="B99" s="18">
        <v>2023</v>
      </c>
      <c r="C99" s="18" t="s">
        <v>753</v>
      </c>
      <c r="D99" s="18" t="s">
        <v>728</v>
      </c>
      <c r="E99" s="18" t="s">
        <v>703</v>
      </c>
      <c r="F99" s="18" t="s">
        <v>676</v>
      </c>
      <c r="G99" s="18" t="s">
        <v>729</v>
      </c>
      <c r="H99" s="18" t="s">
        <v>730</v>
      </c>
      <c r="I99" s="315">
        <v>8955.5526893011902</v>
      </c>
      <c r="J99" s="315">
        <v>10.140375626921731</v>
      </c>
      <c r="K99" s="316" t="str">
        <f t="shared" si="30"/>
        <v>Pleasure Craft</v>
      </c>
      <c r="L99" s="316" t="str">
        <f t="shared" si="31"/>
        <v>Gasoline</v>
      </c>
      <c r="M99" s="194"/>
      <c r="N99" s="317"/>
      <c r="O99" s="317"/>
      <c r="P99" s="317"/>
      <c r="Q99" s="317"/>
      <c r="R99" s="317"/>
      <c r="S99" s="317"/>
      <c r="T99" s="317"/>
      <c r="U99" s="317"/>
      <c r="V99" s="317"/>
      <c r="W99" s="317"/>
      <c r="X99" s="317"/>
      <c r="Y99" s="317"/>
      <c r="Z99" s="317"/>
    </row>
    <row r="100" spans="1:26" x14ac:dyDescent="0.25">
      <c r="A100" s="314"/>
      <c r="B100" s="18">
        <v>2023</v>
      </c>
      <c r="C100" s="18" t="s">
        <v>754</v>
      </c>
      <c r="D100" s="18" t="s">
        <v>702</v>
      </c>
      <c r="E100" s="18" t="s">
        <v>703</v>
      </c>
      <c r="F100" s="18" t="s">
        <v>704</v>
      </c>
      <c r="G100" s="18" t="s">
        <v>673</v>
      </c>
      <c r="H100" s="18" t="s">
        <v>705</v>
      </c>
      <c r="I100" s="315">
        <v>8943.7548740072507</v>
      </c>
      <c r="J100" s="315">
        <v>5.6472275226277917</v>
      </c>
      <c r="K100" s="316" t="str">
        <f t="shared" si="30"/>
        <v>Lawn and Garden Equipment</v>
      </c>
      <c r="L100" s="316" t="str">
        <f t="shared" si="31"/>
        <v>Gasoline</v>
      </c>
      <c r="M100" s="194"/>
      <c r="N100" s="317"/>
      <c r="O100" s="317"/>
      <c r="P100" s="317"/>
      <c r="Q100" s="317"/>
      <c r="R100" s="317"/>
      <c r="S100" s="317"/>
      <c r="T100" s="317"/>
      <c r="U100" s="317"/>
      <c r="V100" s="317"/>
      <c r="W100" s="317"/>
      <c r="X100" s="317"/>
      <c r="Y100" s="317"/>
      <c r="Z100" s="317"/>
    </row>
    <row r="101" spans="1:26" x14ac:dyDescent="0.25">
      <c r="A101" s="314"/>
      <c r="B101" s="18">
        <v>2023</v>
      </c>
      <c r="C101" s="18" t="s">
        <v>709</v>
      </c>
      <c r="D101" s="18" t="s">
        <v>723</v>
      </c>
      <c r="E101" s="18" t="s">
        <v>703</v>
      </c>
      <c r="F101" s="18" t="s">
        <v>704</v>
      </c>
      <c r="G101" s="18" t="s">
        <v>673</v>
      </c>
      <c r="H101" s="18" t="s">
        <v>724</v>
      </c>
      <c r="I101" s="315">
        <v>8879.6398294794944</v>
      </c>
      <c r="J101" s="315">
        <v>5.8321066710979554</v>
      </c>
      <c r="K101" s="316" t="str">
        <f t="shared" si="30"/>
        <v>Lawn and Garden Equipment</v>
      </c>
      <c r="L101" s="316" t="str">
        <f t="shared" si="31"/>
        <v>Gasoline</v>
      </c>
      <c r="M101" s="194"/>
      <c r="N101" s="317"/>
      <c r="O101" s="317"/>
      <c r="P101" s="317"/>
      <c r="Q101" s="317"/>
      <c r="R101" s="317"/>
      <c r="S101" s="317"/>
      <c r="T101" s="317"/>
      <c r="U101" s="317"/>
      <c r="V101" s="317"/>
      <c r="W101" s="317"/>
      <c r="X101" s="317"/>
      <c r="Y101" s="317"/>
      <c r="Z101" s="317"/>
    </row>
    <row r="102" spans="1:26" x14ac:dyDescent="0.25">
      <c r="A102" s="314"/>
      <c r="B102" s="18">
        <v>2023</v>
      </c>
      <c r="C102" s="18" t="s">
        <v>706</v>
      </c>
      <c r="D102" s="18" t="s">
        <v>755</v>
      </c>
      <c r="E102" s="18" t="s">
        <v>713</v>
      </c>
      <c r="F102" s="18" t="s">
        <v>714</v>
      </c>
      <c r="G102" s="18" t="s">
        <v>674</v>
      </c>
      <c r="H102" s="18" t="s">
        <v>756</v>
      </c>
      <c r="I102" s="315">
        <v>8840.662487334168</v>
      </c>
      <c r="J102" s="315">
        <v>0.34329552740893188</v>
      </c>
      <c r="K102" s="316" t="str">
        <f t="shared" si="30"/>
        <v>Construction and Mining Equipment</v>
      </c>
      <c r="L102" s="316" t="str">
        <f t="shared" si="31"/>
        <v>Diesel</v>
      </c>
      <c r="M102" s="194"/>
      <c r="N102" s="317"/>
      <c r="O102" s="317"/>
      <c r="P102" s="317"/>
      <c r="Q102" s="317"/>
      <c r="R102" s="317"/>
      <c r="S102" s="317"/>
      <c r="T102" s="317"/>
      <c r="U102" s="317"/>
      <c r="V102" s="317"/>
      <c r="W102" s="317"/>
      <c r="X102" s="317"/>
      <c r="Y102" s="317"/>
      <c r="Z102" s="317"/>
    </row>
    <row r="103" spans="1:26" x14ac:dyDescent="0.25">
      <c r="A103" s="314"/>
      <c r="B103" s="18">
        <v>2023</v>
      </c>
      <c r="C103" s="18" t="s">
        <v>706</v>
      </c>
      <c r="D103" s="18" t="s">
        <v>723</v>
      </c>
      <c r="E103" s="18" t="s">
        <v>703</v>
      </c>
      <c r="F103" s="18" t="s">
        <v>704</v>
      </c>
      <c r="G103" s="18" t="s">
        <v>673</v>
      </c>
      <c r="H103" s="18" t="s">
        <v>724</v>
      </c>
      <c r="I103" s="315">
        <v>8788.1034683189228</v>
      </c>
      <c r="J103" s="315">
        <v>5.7783221251992796</v>
      </c>
      <c r="K103" s="316" t="str">
        <f t="shared" si="30"/>
        <v>Lawn and Garden Equipment</v>
      </c>
      <c r="L103" s="316" t="str">
        <f t="shared" si="31"/>
        <v>Gasoline</v>
      </c>
      <c r="M103" s="194"/>
      <c r="N103" s="317"/>
      <c r="O103" s="317"/>
      <c r="P103" s="317"/>
      <c r="Q103" s="317"/>
      <c r="R103" s="317"/>
      <c r="S103" s="317"/>
      <c r="T103" s="317"/>
      <c r="U103" s="317"/>
      <c r="V103" s="317"/>
      <c r="W103" s="317"/>
      <c r="X103" s="317"/>
      <c r="Y103" s="317"/>
      <c r="Z103" s="317"/>
    </row>
    <row r="104" spans="1:26" x14ac:dyDescent="0.25">
      <c r="A104" s="314"/>
      <c r="B104" s="18">
        <v>2023</v>
      </c>
      <c r="C104" s="18" t="s">
        <v>701</v>
      </c>
      <c r="D104" s="18" t="s">
        <v>746</v>
      </c>
      <c r="E104" s="18" t="s">
        <v>703</v>
      </c>
      <c r="F104" s="18" t="s">
        <v>704</v>
      </c>
      <c r="G104" s="18" t="s">
        <v>677</v>
      </c>
      <c r="H104" s="18" t="s">
        <v>747</v>
      </c>
      <c r="I104" s="315">
        <v>8767.6923445603825</v>
      </c>
      <c r="J104" s="315">
        <v>5.7757091855842342</v>
      </c>
      <c r="K104" s="316" t="str">
        <f t="shared" si="30"/>
        <v>Commercial Equipment</v>
      </c>
      <c r="L104" s="316" t="str">
        <f t="shared" si="31"/>
        <v>Gasoline</v>
      </c>
      <c r="M104" s="194"/>
      <c r="N104" s="317"/>
      <c r="O104" s="317"/>
      <c r="P104" s="317"/>
      <c r="Q104" s="317"/>
      <c r="R104" s="317"/>
      <c r="S104" s="317"/>
      <c r="T104" s="317"/>
      <c r="U104" s="317"/>
      <c r="V104" s="317"/>
      <c r="W104" s="317"/>
      <c r="X104" s="317"/>
      <c r="Y104" s="317"/>
      <c r="Z104" s="317"/>
    </row>
    <row r="105" spans="1:26" x14ac:dyDescent="0.25">
      <c r="A105" s="314"/>
      <c r="B105" s="18">
        <v>2023</v>
      </c>
      <c r="C105" s="18" t="s">
        <v>727</v>
      </c>
      <c r="D105" s="18" t="s">
        <v>738</v>
      </c>
      <c r="E105" s="18" t="s">
        <v>703</v>
      </c>
      <c r="F105" s="18" t="s">
        <v>676</v>
      </c>
      <c r="G105" s="18" t="s">
        <v>739</v>
      </c>
      <c r="H105" s="18" t="s">
        <v>740</v>
      </c>
      <c r="I105" s="315">
        <v>8576.5032963407193</v>
      </c>
      <c r="J105" s="315">
        <v>3.7218312045938182</v>
      </c>
      <c r="K105" s="316" t="str">
        <f t="shared" si="30"/>
        <v>Pleasure Craft</v>
      </c>
      <c r="L105" s="316" t="str">
        <f t="shared" si="31"/>
        <v>Gasoline</v>
      </c>
      <c r="M105" s="194"/>
      <c r="N105" s="317"/>
      <c r="O105" s="317"/>
      <c r="P105" s="317"/>
      <c r="Q105" s="317"/>
      <c r="R105" s="317"/>
      <c r="S105" s="317"/>
      <c r="T105" s="317"/>
      <c r="U105" s="317"/>
      <c r="V105" s="317"/>
      <c r="W105" s="317"/>
      <c r="X105" s="317"/>
      <c r="Y105" s="317"/>
      <c r="Z105" s="317"/>
    </row>
    <row r="106" spans="1:26" x14ac:dyDescent="0.25">
      <c r="A106" s="314"/>
      <c r="B106" s="18">
        <v>2023</v>
      </c>
      <c r="C106" s="18" t="s">
        <v>711</v>
      </c>
      <c r="D106" s="18" t="s">
        <v>718</v>
      </c>
      <c r="E106" s="18" t="s">
        <v>713</v>
      </c>
      <c r="F106" s="18" t="s">
        <v>714</v>
      </c>
      <c r="G106" s="18" t="s">
        <v>674</v>
      </c>
      <c r="H106" s="18" t="s">
        <v>719</v>
      </c>
      <c r="I106" s="315">
        <v>8434.0192935785035</v>
      </c>
      <c r="J106" s="315">
        <v>3.1524235995993355E-2</v>
      </c>
      <c r="K106" s="316" t="str">
        <f t="shared" si="30"/>
        <v>Construction and Mining Equipment</v>
      </c>
      <c r="L106" s="316" t="str">
        <f t="shared" si="31"/>
        <v>Diesel</v>
      </c>
      <c r="M106" s="194"/>
      <c r="N106" s="317"/>
      <c r="O106" s="317"/>
      <c r="P106" s="317"/>
      <c r="Q106" s="317"/>
      <c r="R106" s="317"/>
      <c r="S106" s="317"/>
      <c r="T106" s="317"/>
      <c r="U106" s="317"/>
      <c r="V106" s="317"/>
      <c r="W106" s="317"/>
      <c r="X106" s="317"/>
      <c r="Y106" s="317"/>
      <c r="Z106" s="317"/>
    </row>
    <row r="107" spans="1:26" x14ac:dyDescent="0.25">
      <c r="A107" s="314"/>
      <c r="B107" s="18">
        <v>2023</v>
      </c>
      <c r="C107" s="18" t="s">
        <v>711</v>
      </c>
      <c r="D107" s="18" t="s">
        <v>720</v>
      </c>
      <c r="E107" s="18" t="s">
        <v>713</v>
      </c>
      <c r="F107" s="18" t="s">
        <v>714</v>
      </c>
      <c r="G107" s="18" t="s">
        <v>674</v>
      </c>
      <c r="H107" s="18" t="s">
        <v>721</v>
      </c>
      <c r="I107" s="315">
        <v>8398.3264533307738</v>
      </c>
      <c r="J107" s="315">
        <v>3.7906384991897149E-2</v>
      </c>
      <c r="K107" s="316" t="str">
        <f t="shared" si="30"/>
        <v>Construction and Mining Equipment</v>
      </c>
      <c r="L107" s="316" t="str">
        <f t="shared" si="31"/>
        <v>Diesel</v>
      </c>
      <c r="M107" s="194"/>
      <c r="N107" s="317"/>
      <c r="O107" s="317"/>
      <c r="P107" s="317"/>
      <c r="Q107" s="317"/>
      <c r="R107" s="317"/>
      <c r="S107" s="317"/>
      <c r="T107" s="317"/>
      <c r="U107" s="317"/>
      <c r="V107" s="317"/>
      <c r="W107" s="317"/>
      <c r="X107" s="317"/>
      <c r="Y107" s="317"/>
      <c r="Z107" s="317"/>
    </row>
    <row r="108" spans="1:26" x14ac:dyDescent="0.25">
      <c r="A108" s="314"/>
      <c r="B108" s="18">
        <v>2023</v>
      </c>
      <c r="C108" s="18" t="s">
        <v>701</v>
      </c>
      <c r="D108" s="18" t="s">
        <v>757</v>
      </c>
      <c r="E108" s="18" t="s">
        <v>713</v>
      </c>
      <c r="F108" s="18" t="s">
        <v>714</v>
      </c>
      <c r="G108" s="18" t="s">
        <v>673</v>
      </c>
      <c r="H108" s="18" t="s">
        <v>758</v>
      </c>
      <c r="I108" s="315">
        <v>8240.2356768038226</v>
      </c>
      <c r="J108" s="315">
        <v>0.3174780156408154</v>
      </c>
      <c r="K108" s="316" t="str">
        <f t="shared" si="30"/>
        <v>Lawn and Garden Equipment</v>
      </c>
      <c r="L108" s="316" t="str">
        <f t="shared" si="31"/>
        <v>Diesel</v>
      </c>
      <c r="M108" s="194"/>
      <c r="N108" s="317"/>
      <c r="O108" s="317"/>
      <c r="P108" s="317"/>
      <c r="Q108" s="317"/>
      <c r="R108" s="317"/>
      <c r="S108" s="317"/>
      <c r="T108" s="317"/>
      <c r="U108" s="317"/>
      <c r="V108" s="317"/>
      <c r="W108" s="317"/>
      <c r="X108" s="317"/>
      <c r="Y108" s="317"/>
      <c r="Z108" s="317"/>
    </row>
    <row r="109" spans="1:26" x14ac:dyDescent="0.25">
      <c r="A109" s="314"/>
      <c r="B109" s="18">
        <v>2023</v>
      </c>
      <c r="C109" s="18" t="s">
        <v>701</v>
      </c>
      <c r="D109" s="18" t="s">
        <v>735</v>
      </c>
      <c r="E109" s="18" t="s">
        <v>713</v>
      </c>
      <c r="F109" s="18" t="s">
        <v>714</v>
      </c>
      <c r="G109" s="18" t="s">
        <v>674</v>
      </c>
      <c r="H109" s="18" t="s">
        <v>736</v>
      </c>
      <c r="I109" s="315">
        <v>8061.3701681093089</v>
      </c>
      <c r="J109" s="315">
        <v>0.24112055934412638</v>
      </c>
      <c r="K109" s="316" t="str">
        <f t="shared" si="30"/>
        <v>Construction and Mining Equipment</v>
      </c>
      <c r="L109" s="316" t="str">
        <f t="shared" si="31"/>
        <v>Diesel</v>
      </c>
      <c r="M109" s="194"/>
      <c r="N109" s="317"/>
      <c r="O109" s="317"/>
      <c r="P109" s="317"/>
      <c r="Q109" s="317"/>
      <c r="R109" s="317"/>
      <c r="S109" s="317"/>
      <c r="T109" s="317"/>
      <c r="U109" s="317"/>
      <c r="V109" s="317"/>
      <c r="W109" s="317"/>
      <c r="X109" s="317"/>
      <c r="Y109" s="317"/>
      <c r="Z109" s="317"/>
    </row>
    <row r="110" spans="1:26" x14ac:dyDescent="0.25">
      <c r="A110" s="314"/>
      <c r="B110" s="18">
        <v>2023</v>
      </c>
      <c r="C110" s="18" t="s">
        <v>711</v>
      </c>
      <c r="D110" s="18" t="s">
        <v>733</v>
      </c>
      <c r="E110" s="18" t="s">
        <v>703</v>
      </c>
      <c r="F110" s="18" t="s">
        <v>704</v>
      </c>
      <c r="G110" s="18" t="s">
        <v>673</v>
      </c>
      <c r="H110" s="18" t="s">
        <v>734</v>
      </c>
      <c r="I110" s="315">
        <v>8030.1840174251611</v>
      </c>
      <c r="J110" s="315">
        <v>5.0845700710636805</v>
      </c>
      <c r="K110" s="316" t="str">
        <f t="shared" si="30"/>
        <v>Lawn and Garden Equipment</v>
      </c>
      <c r="L110" s="316" t="str">
        <f t="shared" si="31"/>
        <v>Gasoline</v>
      </c>
      <c r="M110" s="194"/>
      <c r="N110" s="317"/>
      <c r="O110" s="317"/>
      <c r="P110" s="317"/>
      <c r="Q110" s="317"/>
      <c r="R110" s="317"/>
      <c r="S110" s="317"/>
      <c r="T110" s="317"/>
      <c r="U110" s="317"/>
      <c r="V110" s="317"/>
      <c r="W110" s="317"/>
      <c r="X110" s="317"/>
      <c r="Y110" s="317"/>
      <c r="Z110" s="317"/>
    </row>
    <row r="111" spans="1:26" x14ac:dyDescent="0.25">
      <c r="A111" s="314"/>
      <c r="B111" s="18">
        <v>2023</v>
      </c>
      <c r="C111" s="18" t="s">
        <v>750</v>
      </c>
      <c r="D111" s="18" t="s">
        <v>751</v>
      </c>
      <c r="E111" s="18" t="s">
        <v>713</v>
      </c>
      <c r="F111" s="18" t="s">
        <v>676</v>
      </c>
      <c r="G111" s="18" t="s">
        <v>79</v>
      </c>
      <c r="H111" s="18" t="s">
        <v>740</v>
      </c>
      <c r="I111" s="315">
        <v>7994.5350954646801</v>
      </c>
      <c r="J111" s="315">
        <v>0.31377848402340341</v>
      </c>
      <c r="K111" s="316" t="str">
        <f t="shared" si="30"/>
        <v>Pleasure Craft</v>
      </c>
      <c r="L111" s="316" t="str">
        <f t="shared" si="31"/>
        <v>Diesel</v>
      </c>
      <c r="M111" s="194"/>
      <c r="N111" s="317"/>
      <c r="O111" s="317"/>
      <c r="P111" s="317"/>
      <c r="Q111" s="317"/>
      <c r="R111" s="317"/>
      <c r="S111" s="317"/>
      <c r="T111" s="317"/>
      <c r="U111" s="317"/>
      <c r="V111" s="317"/>
      <c r="W111" s="317"/>
      <c r="X111" s="317"/>
      <c r="Y111" s="317"/>
      <c r="Z111" s="317"/>
    </row>
    <row r="112" spans="1:26" x14ac:dyDescent="0.25">
      <c r="A112" s="314"/>
      <c r="B112" s="18">
        <v>2023</v>
      </c>
      <c r="C112" s="18" t="s">
        <v>759</v>
      </c>
      <c r="D112" s="18" t="s">
        <v>728</v>
      </c>
      <c r="E112" s="18" t="s">
        <v>703</v>
      </c>
      <c r="F112" s="18" t="s">
        <v>676</v>
      </c>
      <c r="G112" s="18" t="s">
        <v>729</v>
      </c>
      <c r="H112" s="18" t="s">
        <v>730</v>
      </c>
      <c r="I112" s="315">
        <v>7922.2329368106421</v>
      </c>
      <c r="J112" s="315">
        <v>8.9703467828705126</v>
      </c>
      <c r="K112" s="316" t="str">
        <f t="shared" si="30"/>
        <v>Pleasure Craft</v>
      </c>
      <c r="L112" s="316" t="str">
        <f t="shared" si="31"/>
        <v>Gasoline</v>
      </c>
      <c r="M112" s="194"/>
      <c r="N112" s="317"/>
      <c r="O112" s="317"/>
      <c r="P112" s="317"/>
      <c r="Q112" s="317"/>
      <c r="R112" s="317"/>
      <c r="S112" s="317"/>
      <c r="T112" s="317"/>
      <c r="U112" s="317"/>
      <c r="V112" s="317"/>
      <c r="W112" s="317"/>
      <c r="X112" s="317"/>
      <c r="Y112" s="317"/>
      <c r="Z112" s="317"/>
    </row>
    <row r="113" spans="1:26" x14ac:dyDescent="0.25">
      <c r="A113" s="314"/>
      <c r="B113" s="18">
        <v>2023</v>
      </c>
      <c r="C113" s="18" t="s">
        <v>760</v>
      </c>
      <c r="D113" s="18" t="s">
        <v>707</v>
      </c>
      <c r="E113" s="18" t="s">
        <v>56</v>
      </c>
      <c r="F113" s="18" t="s">
        <v>672</v>
      </c>
      <c r="G113" s="18" t="s">
        <v>675</v>
      </c>
      <c r="H113" s="18" t="s">
        <v>708</v>
      </c>
      <c r="I113" s="315">
        <v>7730.3695606696383</v>
      </c>
      <c r="J113" s="315">
        <v>0.34734403347167925</v>
      </c>
      <c r="K113" s="316" t="str">
        <f t="shared" si="30"/>
        <v>Industrial Equipment</v>
      </c>
      <c r="L113" s="316" t="str">
        <f t="shared" si="31"/>
        <v>LPG</v>
      </c>
      <c r="M113" s="194"/>
      <c r="N113" s="317"/>
      <c r="O113" s="317"/>
      <c r="P113" s="317"/>
      <c r="Q113" s="317"/>
      <c r="R113" s="317"/>
      <c r="S113" s="317"/>
      <c r="T113" s="317"/>
      <c r="U113" s="317"/>
      <c r="V113" s="317"/>
      <c r="W113" s="317"/>
      <c r="X113" s="317"/>
      <c r="Y113" s="317"/>
      <c r="Z113" s="317"/>
    </row>
    <row r="114" spans="1:26" x14ac:dyDescent="0.25">
      <c r="A114" s="314"/>
      <c r="B114" s="18">
        <v>2023</v>
      </c>
      <c r="C114" s="18" t="s">
        <v>706</v>
      </c>
      <c r="D114" s="18" t="s">
        <v>761</v>
      </c>
      <c r="E114" s="18" t="s">
        <v>713</v>
      </c>
      <c r="F114" s="18" t="s">
        <v>714</v>
      </c>
      <c r="G114" s="18" t="s">
        <v>677</v>
      </c>
      <c r="H114" s="18" t="s">
        <v>747</v>
      </c>
      <c r="I114" s="315">
        <v>7337.1811787751203</v>
      </c>
      <c r="J114" s="315">
        <v>0.18743599958730139</v>
      </c>
      <c r="K114" s="316" t="str">
        <f t="shared" si="30"/>
        <v>Commercial Equipment</v>
      </c>
      <c r="L114" s="316" t="str">
        <f t="shared" si="31"/>
        <v>Diesel</v>
      </c>
      <c r="M114" s="194"/>
      <c r="N114" s="317"/>
      <c r="O114" s="317"/>
      <c r="P114" s="317"/>
      <c r="Q114" s="317"/>
      <c r="R114" s="317"/>
      <c r="S114" s="317"/>
      <c r="T114" s="317"/>
      <c r="U114" s="317"/>
      <c r="V114" s="317"/>
      <c r="W114" s="317"/>
      <c r="X114" s="317"/>
      <c r="Y114" s="317"/>
      <c r="Z114" s="317"/>
    </row>
    <row r="115" spans="1:26" x14ac:dyDescent="0.25">
      <c r="A115" s="314"/>
      <c r="B115" s="18">
        <v>2023</v>
      </c>
      <c r="C115" s="18" t="s">
        <v>759</v>
      </c>
      <c r="D115" s="18" t="s">
        <v>738</v>
      </c>
      <c r="E115" s="18" t="s">
        <v>703</v>
      </c>
      <c r="F115" s="18" t="s">
        <v>676</v>
      </c>
      <c r="G115" s="18" t="s">
        <v>739</v>
      </c>
      <c r="H115" s="18" t="s">
        <v>740</v>
      </c>
      <c r="I115" s="315">
        <v>7319.2233943441333</v>
      </c>
      <c r="J115" s="315">
        <v>3.175506967328853</v>
      </c>
      <c r="K115" s="316" t="str">
        <f t="shared" si="30"/>
        <v>Pleasure Craft</v>
      </c>
      <c r="L115" s="316" t="str">
        <f t="shared" si="31"/>
        <v>Gasoline</v>
      </c>
      <c r="M115" s="194"/>
      <c r="N115" s="317"/>
      <c r="O115" s="317"/>
      <c r="P115" s="317"/>
      <c r="Q115" s="317"/>
      <c r="R115" s="317"/>
      <c r="S115" s="317"/>
      <c r="T115" s="317"/>
      <c r="U115" s="317"/>
      <c r="V115" s="317"/>
      <c r="W115" s="317"/>
      <c r="X115" s="317"/>
      <c r="Y115" s="317"/>
      <c r="Z115" s="317"/>
    </row>
    <row r="116" spans="1:26" x14ac:dyDescent="0.25">
      <c r="A116" s="314"/>
      <c r="B116" s="18">
        <v>2023</v>
      </c>
      <c r="C116" s="18" t="s">
        <v>711</v>
      </c>
      <c r="D116" s="18" t="s">
        <v>723</v>
      </c>
      <c r="E116" s="18" t="s">
        <v>703</v>
      </c>
      <c r="F116" s="18" t="s">
        <v>704</v>
      </c>
      <c r="G116" s="18" t="s">
        <v>673</v>
      </c>
      <c r="H116" s="18" t="s">
        <v>724</v>
      </c>
      <c r="I116" s="315">
        <v>7311.2097211864475</v>
      </c>
      <c r="J116" s="315">
        <v>4.8019669603762303</v>
      </c>
      <c r="K116" s="316" t="str">
        <f t="shared" si="30"/>
        <v>Lawn and Garden Equipment</v>
      </c>
      <c r="L116" s="316" t="str">
        <f t="shared" si="31"/>
        <v>Gasoline</v>
      </c>
      <c r="M116" s="194"/>
      <c r="N116" s="317"/>
      <c r="O116" s="317"/>
      <c r="P116" s="317"/>
      <c r="Q116" s="317"/>
      <c r="R116" s="317"/>
      <c r="S116" s="317"/>
      <c r="T116" s="317"/>
      <c r="U116" s="317"/>
      <c r="V116" s="317"/>
      <c r="W116" s="317"/>
      <c r="X116" s="317"/>
      <c r="Y116" s="317"/>
      <c r="Z116" s="317"/>
    </row>
    <row r="117" spans="1:26" x14ac:dyDescent="0.25">
      <c r="A117" s="314"/>
      <c r="B117" s="18">
        <v>2023</v>
      </c>
      <c r="C117" s="18" t="s">
        <v>711</v>
      </c>
      <c r="D117" s="18" t="s">
        <v>725</v>
      </c>
      <c r="E117" s="18" t="s">
        <v>713</v>
      </c>
      <c r="F117" s="18" t="s">
        <v>714</v>
      </c>
      <c r="G117" s="18" t="s">
        <v>674</v>
      </c>
      <c r="H117" s="18" t="s">
        <v>726</v>
      </c>
      <c r="I117" s="315">
        <v>7218.2392309641355</v>
      </c>
      <c r="J117" s="315">
        <v>4.0384972169952148E-2</v>
      </c>
      <c r="K117" s="316" t="str">
        <f t="shared" si="30"/>
        <v>Construction and Mining Equipment</v>
      </c>
      <c r="L117" s="316" t="str">
        <f t="shared" si="31"/>
        <v>Diesel</v>
      </c>
      <c r="M117" s="194"/>
      <c r="N117" s="317"/>
      <c r="O117" s="317"/>
      <c r="P117" s="317"/>
      <c r="Q117" s="317"/>
      <c r="R117" s="317"/>
      <c r="S117" s="317"/>
      <c r="T117" s="317"/>
      <c r="U117" s="317"/>
      <c r="V117" s="317"/>
      <c r="W117" s="317"/>
      <c r="X117" s="317"/>
      <c r="Y117" s="317"/>
      <c r="Z117" s="317"/>
    </row>
    <row r="118" spans="1:26" x14ac:dyDescent="0.25">
      <c r="A118" s="314"/>
      <c r="B118" s="18">
        <v>2023</v>
      </c>
      <c r="C118" s="18" t="s">
        <v>727</v>
      </c>
      <c r="D118" s="18" t="s">
        <v>751</v>
      </c>
      <c r="E118" s="18" t="s">
        <v>713</v>
      </c>
      <c r="F118" s="18" t="s">
        <v>676</v>
      </c>
      <c r="G118" s="18" t="s">
        <v>79</v>
      </c>
      <c r="H118" s="18" t="s">
        <v>740</v>
      </c>
      <c r="I118" s="315">
        <v>7015.1181577414982</v>
      </c>
      <c r="J118" s="315">
        <v>0.27533731685816093</v>
      </c>
      <c r="K118" s="316" t="str">
        <f t="shared" si="30"/>
        <v>Pleasure Craft</v>
      </c>
      <c r="L118" s="316" t="str">
        <f t="shared" si="31"/>
        <v>Diesel</v>
      </c>
      <c r="M118" s="194"/>
      <c r="N118" s="317"/>
      <c r="O118" s="317"/>
      <c r="P118" s="317"/>
      <c r="Q118" s="317"/>
      <c r="R118" s="317"/>
      <c r="S118" s="317"/>
      <c r="T118" s="317"/>
      <c r="U118" s="317"/>
      <c r="V118" s="317"/>
      <c r="W118" s="317"/>
      <c r="X118" s="317"/>
      <c r="Y118" s="317"/>
      <c r="Z118" s="317"/>
    </row>
    <row r="119" spans="1:26" x14ac:dyDescent="0.25">
      <c r="A119" s="314"/>
      <c r="B119" s="18">
        <v>2023</v>
      </c>
      <c r="C119" s="18" t="s">
        <v>762</v>
      </c>
      <c r="D119" s="18" t="s">
        <v>763</v>
      </c>
      <c r="E119" s="18" t="s">
        <v>713</v>
      </c>
      <c r="F119" s="18" t="s">
        <v>714</v>
      </c>
      <c r="G119" s="18" t="s">
        <v>678</v>
      </c>
      <c r="H119" s="18" t="s">
        <v>764</v>
      </c>
      <c r="I119" s="315">
        <v>6849.5226451891149</v>
      </c>
      <c r="J119" s="315">
        <v>7.7542604050440042E-2</v>
      </c>
      <c r="K119" s="316" t="str">
        <f t="shared" si="30"/>
        <v>Agricultural Equipment</v>
      </c>
      <c r="L119" s="316" t="str">
        <f t="shared" si="31"/>
        <v>Diesel</v>
      </c>
      <c r="M119" s="194"/>
      <c r="N119" s="317"/>
      <c r="O119" s="317"/>
      <c r="P119" s="317"/>
      <c r="Q119" s="317"/>
      <c r="R119" s="317"/>
      <c r="S119" s="317"/>
      <c r="T119" s="317"/>
      <c r="U119" s="317"/>
      <c r="V119" s="317"/>
      <c r="W119" s="317"/>
      <c r="X119" s="317"/>
      <c r="Y119" s="317"/>
      <c r="Z119" s="317"/>
    </row>
    <row r="120" spans="1:26" x14ac:dyDescent="0.25">
      <c r="A120" s="314"/>
      <c r="B120" s="18">
        <v>2023</v>
      </c>
      <c r="C120" s="18" t="s">
        <v>710</v>
      </c>
      <c r="D120" s="18" t="s">
        <v>752</v>
      </c>
      <c r="E120" s="18" t="s">
        <v>713</v>
      </c>
      <c r="F120" s="18" t="s">
        <v>714</v>
      </c>
      <c r="G120" s="18" t="s">
        <v>675</v>
      </c>
      <c r="H120" s="18" t="s">
        <v>708</v>
      </c>
      <c r="I120" s="315">
        <v>6813.1683299699253</v>
      </c>
      <c r="J120" s="315">
        <v>3.4748357349223838E-2</v>
      </c>
      <c r="K120" s="316" t="str">
        <f t="shared" si="30"/>
        <v>Industrial Equipment</v>
      </c>
      <c r="L120" s="316" t="str">
        <f t="shared" si="31"/>
        <v>Diesel</v>
      </c>
      <c r="M120" s="194"/>
      <c r="N120" s="317"/>
      <c r="O120" s="317"/>
      <c r="P120" s="317"/>
      <c r="Q120" s="317"/>
      <c r="R120" s="317"/>
      <c r="S120" s="317"/>
      <c r="T120" s="317"/>
      <c r="U120" s="317"/>
      <c r="V120" s="317"/>
      <c r="W120" s="317"/>
      <c r="X120" s="317"/>
      <c r="Y120" s="317"/>
      <c r="Z120" s="317"/>
    </row>
    <row r="121" spans="1:26" x14ac:dyDescent="0.25">
      <c r="A121" s="314"/>
      <c r="B121" s="18">
        <v>2023</v>
      </c>
      <c r="C121" s="18" t="s">
        <v>727</v>
      </c>
      <c r="D121" s="18" t="s">
        <v>765</v>
      </c>
      <c r="E121" s="18" t="s">
        <v>703</v>
      </c>
      <c r="F121" s="18" t="s">
        <v>676</v>
      </c>
      <c r="G121" s="18" t="s">
        <v>729</v>
      </c>
      <c r="H121" s="18" t="s">
        <v>766</v>
      </c>
      <c r="I121" s="315">
        <v>6732.6898113387597</v>
      </c>
      <c r="J121" s="315">
        <v>7.4053568579414248</v>
      </c>
      <c r="K121" s="316" t="str">
        <f t="shared" si="30"/>
        <v>Pleasure Craft</v>
      </c>
      <c r="L121" s="316" t="str">
        <f t="shared" si="31"/>
        <v>Gasoline</v>
      </c>
      <c r="M121" s="194"/>
      <c r="N121" s="317"/>
      <c r="O121" s="317"/>
      <c r="P121" s="317"/>
      <c r="Q121" s="317"/>
      <c r="R121" s="317"/>
      <c r="S121" s="317"/>
      <c r="T121" s="317"/>
      <c r="U121" s="317"/>
      <c r="V121" s="317"/>
      <c r="W121" s="317"/>
      <c r="X121" s="317"/>
      <c r="Y121" s="317"/>
      <c r="Z121" s="317"/>
    </row>
    <row r="122" spans="1:26" x14ac:dyDescent="0.25">
      <c r="A122" s="314"/>
      <c r="B122" s="18">
        <v>2023</v>
      </c>
      <c r="C122" s="18" t="s">
        <v>709</v>
      </c>
      <c r="D122" s="18" t="s">
        <v>746</v>
      </c>
      <c r="E122" s="18" t="s">
        <v>703</v>
      </c>
      <c r="F122" s="18" t="s">
        <v>704</v>
      </c>
      <c r="G122" s="18" t="s">
        <v>677</v>
      </c>
      <c r="H122" s="18" t="s">
        <v>747</v>
      </c>
      <c r="I122" s="315">
        <v>6697.6880475304297</v>
      </c>
      <c r="J122" s="315">
        <v>4.4029814549413393</v>
      </c>
      <c r="K122" s="316" t="str">
        <f t="shared" si="30"/>
        <v>Commercial Equipment</v>
      </c>
      <c r="L122" s="316" t="str">
        <f t="shared" si="31"/>
        <v>Gasoline</v>
      </c>
      <c r="M122" s="194"/>
      <c r="N122" s="317"/>
      <c r="O122" s="317"/>
      <c r="P122" s="317"/>
      <c r="Q122" s="317"/>
      <c r="R122" s="317"/>
      <c r="S122" s="317"/>
      <c r="T122" s="317"/>
      <c r="U122" s="317"/>
      <c r="V122" s="317"/>
      <c r="W122" s="317"/>
      <c r="X122" s="317"/>
      <c r="Y122" s="317"/>
      <c r="Z122" s="317"/>
    </row>
    <row r="123" spans="1:26" x14ac:dyDescent="0.25">
      <c r="A123" s="314"/>
      <c r="B123" s="18">
        <v>2023</v>
      </c>
      <c r="C123" s="18" t="s">
        <v>732</v>
      </c>
      <c r="D123" s="18" t="s">
        <v>763</v>
      </c>
      <c r="E123" s="18" t="s">
        <v>713</v>
      </c>
      <c r="F123" s="18" t="s">
        <v>714</v>
      </c>
      <c r="G123" s="18" t="s">
        <v>678</v>
      </c>
      <c r="H123" s="18" t="s">
        <v>764</v>
      </c>
      <c r="I123" s="315">
        <v>6681.4600739426023</v>
      </c>
      <c r="J123" s="315">
        <v>7.5640003775903839E-2</v>
      </c>
      <c r="K123" s="316" t="str">
        <f t="shared" si="30"/>
        <v>Agricultural Equipment</v>
      </c>
      <c r="L123" s="316" t="str">
        <f t="shared" si="31"/>
        <v>Diesel</v>
      </c>
      <c r="M123" s="194"/>
      <c r="N123" s="317"/>
      <c r="O123" s="317"/>
      <c r="P123" s="317"/>
      <c r="Q123" s="317"/>
      <c r="R123" s="317"/>
      <c r="S123" s="317"/>
      <c r="T123" s="317"/>
      <c r="U123" s="317"/>
      <c r="V123" s="317"/>
      <c r="W123" s="317"/>
      <c r="X123" s="317"/>
      <c r="Y123" s="317"/>
      <c r="Z123" s="317"/>
    </row>
    <row r="124" spans="1:26" x14ac:dyDescent="0.25">
      <c r="A124" s="314"/>
      <c r="B124" s="18">
        <v>2023</v>
      </c>
      <c r="C124" s="18" t="s">
        <v>711</v>
      </c>
      <c r="D124" s="18" t="s">
        <v>746</v>
      </c>
      <c r="E124" s="18" t="s">
        <v>703</v>
      </c>
      <c r="F124" s="18" t="s">
        <v>704</v>
      </c>
      <c r="G124" s="18" t="s">
        <v>677</v>
      </c>
      <c r="H124" s="18" t="s">
        <v>747</v>
      </c>
      <c r="I124" s="315">
        <v>6558.3534617215901</v>
      </c>
      <c r="J124" s="315">
        <v>4.3117636298428801</v>
      </c>
      <c r="K124" s="316" t="str">
        <f t="shared" si="30"/>
        <v>Commercial Equipment</v>
      </c>
      <c r="L124" s="316" t="str">
        <f t="shared" si="31"/>
        <v>Gasoline</v>
      </c>
      <c r="M124" s="194"/>
      <c r="N124" s="317"/>
      <c r="O124" s="317"/>
      <c r="P124" s="317"/>
      <c r="Q124" s="317"/>
      <c r="R124" s="317"/>
      <c r="S124" s="317"/>
      <c r="T124" s="317"/>
      <c r="U124" s="317"/>
      <c r="V124" s="317"/>
      <c r="W124" s="317"/>
      <c r="X124" s="317"/>
      <c r="Y124" s="317"/>
      <c r="Z124" s="317"/>
    </row>
    <row r="125" spans="1:26" x14ac:dyDescent="0.25">
      <c r="A125" s="314"/>
      <c r="B125" s="18">
        <v>2023</v>
      </c>
      <c r="C125" s="18" t="s">
        <v>731</v>
      </c>
      <c r="D125" s="18" t="s">
        <v>765</v>
      </c>
      <c r="E125" s="18" t="s">
        <v>703</v>
      </c>
      <c r="F125" s="18" t="s">
        <v>676</v>
      </c>
      <c r="G125" s="18" t="s">
        <v>729</v>
      </c>
      <c r="H125" s="18" t="s">
        <v>766</v>
      </c>
      <c r="I125" s="315">
        <v>6524.8881027253619</v>
      </c>
      <c r="J125" s="315">
        <v>7.1767948867225515</v>
      </c>
      <c r="K125" s="316" t="str">
        <f t="shared" si="30"/>
        <v>Pleasure Craft</v>
      </c>
      <c r="L125" s="316" t="str">
        <f t="shared" si="31"/>
        <v>Gasoline</v>
      </c>
      <c r="M125" s="194"/>
      <c r="N125" s="317"/>
      <c r="O125" s="317"/>
      <c r="P125" s="317"/>
      <c r="Q125" s="317"/>
      <c r="R125" s="317"/>
      <c r="S125" s="317"/>
      <c r="T125" s="317"/>
      <c r="U125" s="317"/>
      <c r="V125" s="317"/>
      <c r="W125" s="317"/>
      <c r="X125" s="317"/>
      <c r="Y125" s="317"/>
      <c r="Z125" s="317"/>
    </row>
    <row r="126" spans="1:26" x14ac:dyDescent="0.25">
      <c r="A126" s="314"/>
      <c r="B126" s="18">
        <v>2023</v>
      </c>
      <c r="C126" s="18" t="s">
        <v>760</v>
      </c>
      <c r="D126" s="18" t="s">
        <v>702</v>
      </c>
      <c r="E126" s="18" t="s">
        <v>703</v>
      </c>
      <c r="F126" s="18" t="s">
        <v>704</v>
      </c>
      <c r="G126" s="18" t="s">
        <v>673</v>
      </c>
      <c r="H126" s="18" t="s">
        <v>705</v>
      </c>
      <c r="I126" s="315">
        <v>6520.666187572775</v>
      </c>
      <c r="J126" s="315">
        <v>4.1121848322546288</v>
      </c>
      <c r="K126" s="316" t="str">
        <f t="shared" si="30"/>
        <v>Lawn and Garden Equipment</v>
      </c>
      <c r="L126" s="316" t="str">
        <f t="shared" si="31"/>
        <v>Gasoline</v>
      </c>
      <c r="M126" s="194"/>
      <c r="N126" s="317"/>
      <c r="O126" s="317"/>
      <c r="P126" s="317"/>
      <c r="Q126" s="317"/>
      <c r="R126" s="317"/>
      <c r="S126" s="317"/>
      <c r="T126" s="317"/>
      <c r="U126" s="317"/>
      <c r="V126" s="317"/>
      <c r="W126" s="317"/>
      <c r="X126" s="317"/>
      <c r="Y126" s="317"/>
      <c r="Z126" s="317"/>
    </row>
    <row r="127" spans="1:26" x14ac:dyDescent="0.25">
      <c r="A127" s="314"/>
      <c r="B127" s="18">
        <v>2023</v>
      </c>
      <c r="C127" s="18" t="s">
        <v>701</v>
      </c>
      <c r="D127" s="18" t="s">
        <v>761</v>
      </c>
      <c r="E127" s="18" t="s">
        <v>713</v>
      </c>
      <c r="F127" s="18" t="s">
        <v>714</v>
      </c>
      <c r="G127" s="18" t="s">
        <v>677</v>
      </c>
      <c r="H127" s="18" t="s">
        <v>747</v>
      </c>
      <c r="I127" s="315">
        <v>6412.7661362557765</v>
      </c>
      <c r="J127" s="315">
        <v>0.16382065131596363</v>
      </c>
      <c r="K127" s="316" t="str">
        <f t="shared" si="30"/>
        <v>Commercial Equipment</v>
      </c>
      <c r="L127" s="316" t="str">
        <f t="shared" si="31"/>
        <v>Diesel</v>
      </c>
      <c r="M127" s="194"/>
      <c r="N127" s="317"/>
      <c r="O127" s="317"/>
      <c r="P127" s="317"/>
      <c r="Q127" s="317"/>
      <c r="R127" s="317"/>
      <c r="S127" s="317"/>
      <c r="T127" s="317"/>
      <c r="U127" s="317"/>
      <c r="V127" s="317"/>
      <c r="W127" s="317"/>
      <c r="X127" s="317"/>
      <c r="Y127" s="317"/>
      <c r="Z127" s="317"/>
    </row>
    <row r="128" spans="1:26" x14ac:dyDescent="0.25">
      <c r="A128" s="314"/>
      <c r="B128" s="18">
        <v>2023</v>
      </c>
      <c r="C128" s="18" t="s">
        <v>710</v>
      </c>
      <c r="D128" s="18" t="s">
        <v>746</v>
      </c>
      <c r="E128" s="18" t="s">
        <v>703</v>
      </c>
      <c r="F128" s="18" t="s">
        <v>704</v>
      </c>
      <c r="G128" s="18" t="s">
        <v>677</v>
      </c>
      <c r="H128" s="18" t="s">
        <v>747</v>
      </c>
      <c r="I128" s="315">
        <v>6329.4588046090821</v>
      </c>
      <c r="J128" s="315">
        <v>4.1636304420200023</v>
      </c>
      <c r="K128" s="316" t="str">
        <f t="shared" si="30"/>
        <v>Commercial Equipment</v>
      </c>
      <c r="L128" s="316" t="str">
        <f t="shared" si="31"/>
        <v>Gasoline</v>
      </c>
      <c r="M128" s="194"/>
      <c r="N128" s="317"/>
      <c r="O128" s="317"/>
      <c r="P128" s="317"/>
      <c r="Q128" s="317"/>
      <c r="R128" s="317"/>
      <c r="S128" s="317"/>
      <c r="T128" s="317"/>
      <c r="U128" s="317"/>
      <c r="V128" s="317"/>
      <c r="W128" s="317"/>
      <c r="X128" s="317"/>
      <c r="Y128" s="317"/>
      <c r="Z128" s="317"/>
    </row>
    <row r="129" spans="1:26" x14ac:dyDescent="0.25">
      <c r="A129" s="314"/>
      <c r="B129" s="18">
        <v>2023</v>
      </c>
      <c r="C129" s="18" t="s">
        <v>709</v>
      </c>
      <c r="D129" s="18" t="s">
        <v>755</v>
      </c>
      <c r="E129" s="18" t="s">
        <v>713</v>
      </c>
      <c r="F129" s="18" t="s">
        <v>714</v>
      </c>
      <c r="G129" s="18" t="s">
        <v>674</v>
      </c>
      <c r="H129" s="18" t="s">
        <v>756</v>
      </c>
      <c r="I129" s="315">
        <v>6306.099846873527</v>
      </c>
      <c r="J129" s="315">
        <v>0.2448753473120496</v>
      </c>
      <c r="K129" s="316" t="str">
        <f t="shared" si="30"/>
        <v>Construction and Mining Equipment</v>
      </c>
      <c r="L129" s="316" t="str">
        <f t="shared" si="31"/>
        <v>Diesel</v>
      </c>
      <c r="M129" s="194"/>
      <c r="N129" s="317"/>
      <c r="O129" s="317"/>
      <c r="P129" s="317"/>
      <c r="Q129" s="317"/>
      <c r="R129" s="317"/>
      <c r="S129" s="317"/>
      <c r="T129" s="317"/>
      <c r="U129" s="317"/>
      <c r="V129" s="317"/>
      <c r="W129" s="317"/>
      <c r="X129" s="317"/>
      <c r="Y129" s="317"/>
      <c r="Z129" s="317"/>
    </row>
    <row r="130" spans="1:26" x14ac:dyDescent="0.25">
      <c r="A130" s="314"/>
      <c r="B130" s="18">
        <v>2023</v>
      </c>
      <c r="C130" s="18" t="s">
        <v>753</v>
      </c>
      <c r="D130" s="18" t="s">
        <v>738</v>
      </c>
      <c r="E130" s="18" t="s">
        <v>703</v>
      </c>
      <c r="F130" s="18" t="s">
        <v>676</v>
      </c>
      <c r="G130" s="18" t="s">
        <v>739</v>
      </c>
      <c r="H130" s="18" t="s">
        <v>740</v>
      </c>
      <c r="I130" s="315">
        <v>6301.4216575115661</v>
      </c>
      <c r="J130" s="315">
        <v>2.7360297086308658</v>
      </c>
      <c r="K130" s="316" t="str">
        <f t="shared" si="30"/>
        <v>Pleasure Craft</v>
      </c>
      <c r="L130" s="316" t="str">
        <f t="shared" si="31"/>
        <v>Gasoline</v>
      </c>
      <c r="M130" s="194"/>
      <c r="N130" s="317"/>
      <c r="O130" s="317"/>
      <c r="P130" s="317"/>
      <c r="Q130" s="317"/>
      <c r="R130" s="317"/>
      <c r="S130" s="317"/>
      <c r="T130" s="317"/>
      <c r="U130" s="317"/>
      <c r="V130" s="317"/>
      <c r="W130" s="317"/>
      <c r="X130" s="317"/>
      <c r="Y130" s="317"/>
      <c r="Z130" s="317"/>
    </row>
    <row r="131" spans="1:26" x14ac:dyDescent="0.25">
      <c r="A131" s="314"/>
      <c r="B131" s="18">
        <v>2023</v>
      </c>
      <c r="C131" s="18" t="s">
        <v>701</v>
      </c>
      <c r="D131" s="18" t="s">
        <v>767</v>
      </c>
      <c r="E131" s="18" t="s">
        <v>703</v>
      </c>
      <c r="F131" s="18" t="s">
        <v>704</v>
      </c>
      <c r="G131" s="18" t="s">
        <v>673</v>
      </c>
      <c r="H131" s="18" t="s">
        <v>768</v>
      </c>
      <c r="I131" s="315">
        <v>6258.1333984960984</v>
      </c>
      <c r="J131" s="315">
        <v>4.3551507623592949</v>
      </c>
      <c r="K131" s="316" t="str">
        <f t="shared" si="30"/>
        <v>Lawn and Garden Equipment</v>
      </c>
      <c r="L131" s="316" t="str">
        <f t="shared" si="31"/>
        <v>Gasoline</v>
      </c>
      <c r="M131" s="194"/>
      <c r="N131" s="317"/>
      <c r="O131" s="317"/>
      <c r="P131" s="317"/>
      <c r="Q131" s="317"/>
      <c r="R131" s="317"/>
      <c r="S131" s="317"/>
      <c r="T131" s="317"/>
      <c r="U131" s="317"/>
      <c r="V131" s="317"/>
      <c r="W131" s="317"/>
      <c r="X131" s="317"/>
      <c r="Y131" s="317"/>
      <c r="Z131" s="317"/>
    </row>
    <row r="132" spans="1:26" x14ac:dyDescent="0.25">
      <c r="A132" s="314"/>
      <c r="B132" s="18">
        <v>2023</v>
      </c>
      <c r="C132" s="18" t="s">
        <v>706</v>
      </c>
      <c r="D132" s="18" t="s">
        <v>769</v>
      </c>
      <c r="E132" s="18" t="s">
        <v>713</v>
      </c>
      <c r="F132" s="18" t="s">
        <v>714</v>
      </c>
      <c r="G132" s="18" t="s">
        <v>674</v>
      </c>
      <c r="H132" s="18" t="s">
        <v>770</v>
      </c>
      <c r="I132" s="315">
        <v>6255.791207422646</v>
      </c>
      <c r="J132" s="315">
        <v>5.0161020339500213E-2</v>
      </c>
      <c r="K132" s="316" t="str">
        <f t="shared" si="30"/>
        <v>Construction and Mining Equipment</v>
      </c>
      <c r="L132" s="316" t="str">
        <f t="shared" si="31"/>
        <v>Diesel</v>
      </c>
      <c r="M132" s="194"/>
      <c r="N132" s="317"/>
      <c r="O132" s="317"/>
      <c r="P132" s="317"/>
      <c r="Q132" s="317"/>
      <c r="R132" s="317"/>
      <c r="S132" s="317"/>
      <c r="T132" s="317"/>
      <c r="U132" s="317"/>
      <c r="V132" s="317"/>
      <c r="W132" s="317"/>
      <c r="X132" s="317"/>
      <c r="Y132" s="317"/>
      <c r="Z132" s="317"/>
    </row>
    <row r="133" spans="1:26" x14ac:dyDescent="0.25">
      <c r="A133" s="314"/>
      <c r="B133" s="18">
        <v>2023</v>
      </c>
      <c r="C133" s="18" t="s">
        <v>711</v>
      </c>
      <c r="D133" s="18" t="s">
        <v>728</v>
      </c>
      <c r="E133" s="18" t="s">
        <v>703</v>
      </c>
      <c r="F133" s="18" t="s">
        <v>676</v>
      </c>
      <c r="G133" s="18" t="s">
        <v>729</v>
      </c>
      <c r="H133" s="18" t="s">
        <v>730</v>
      </c>
      <c r="I133" s="315">
        <v>6200.0065488314985</v>
      </c>
      <c r="J133" s="315">
        <v>7.0202641257576026</v>
      </c>
      <c r="K133" s="316" t="str">
        <f t="shared" si="30"/>
        <v>Pleasure Craft</v>
      </c>
      <c r="L133" s="316" t="str">
        <f t="shared" si="31"/>
        <v>Gasoline</v>
      </c>
      <c r="M133" s="194"/>
      <c r="N133" s="317"/>
      <c r="O133" s="317"/>
      <c r="P133" s="317"/>
      <c r="Q133" s="317"/>
      <c r="R133" s="317"/>
      <c r="S133" s="317"/>
      <c r="T133" s="317"/>
      <c r="U133" s="317"/>
      <c r="V133" s="317"/>
      <c r="W133" s="317"/>
      <c r="X133" s="317"/>
      <c r="Y133" s="317"/>
      <c r="Z133" s="317"/>
    </row>
    <row r="134" spans="1:26" x14ac:dyDescent="0.25">
      <c r="A134" s="314"/>
      <c r="B134" s="18">
        <v>2023</v>
      </c>
      <c r="C134" s="18" t="s">
        <v>759</v>
      </c>
      <c r="D134" s="18" t="s">
        <v>751</v>
      </c>
      <c r="E134" s="18" t="s">
        <v>713</v>
      </c>
      <c r="F134" s="18" t="s">
        <v>676</v>
      </c>
      <c r="G134" s="18" t="s">
        <v>79</v>
      </c>
      <c r="H134" s="18" t="s">
        <v>740</v>
      </c>
      <c r="I134" s="315">
        <v>5986.7243809678721</v>
      </c>
      <c r="J134" s="315">
        <v>0.23497339085571084</v>
      </c>
      <c r="K134" s="316" t="str">
        <f t="shared" si="30"/>
        <v>Pleasure Craft</v>
      </c>
      <c r="L134" s="316" t="str">
        <f t="shared" si="31"/>
        <v>Diesel</v>
      </c>
      <c r="M134" s="194"/>
      <c r="N134" s="317"/>
      <c r="O134" s="317"/>
      <c r="P134" s="317"/>
      <c r="Q134" s="317"/>
      <c r="R134" s="317"/>
      <c r="S134" s="317"/>
      <c r="T134" s="317"/>
      <c r="U134" s="317"/>
      <c r="V134" s="317"/>
      <c r="W134" s="317"/>
      <c r="X134" s="317"/>
      <c r="Y134" s="317"/>
      <c r="Z134" s="317"/>
    </row>
    <row r="135" spans="1:26" x14ac:dyDescent="0.25">
      <c r="A135" s="314"/>
      <c r="B135" s="18">
        <v>2023</v>
      </c>
      <c r="C135" s="18" t="s">
        <v>722</v>
      </c>
      <c r="D135" s="18" t="s">
        <v>746</v>
      </c>
      <c r="E135" s="18" t="s">
        <v>703</v>
      </c>
      <c r="F135" s="18" t="s">
        <v>704</v>
      </c>
      <c r="G135" s="18" t="s">
        <v>677</v>
      </c>
      <c r="H135" s="18" t="s">
        <v>747</v>
      </c>
      <c r="I135" s="315">
        <v>5951.2847515490612</v>
      </c>
      <c r="J135" s="315">
        <v>3.9191516986342756</v>
      </c>
      <c r="K135" s="316" t="str">
        <f t="shared" si="30"/>
        <v>Commercial Equipment</v>
      </c>
      <c r="L135" s="316" t="str">
        <f t="shared" si="31"/>
        <v>Gasoline</v>
      </c>
      <c r="M135" s="194"/>
      <c r="N135" s="317"/>
      <c r="O135" s="317"/>
      <c r="P135" s="317"/>
      <c r="Q135" s="317"/>
      <c r="R135" s="317"/>
      <c r="S135" s="317"/>
      <c r="T135" s="317"/>
      <c r="U135" s="317"/>
      <c r="V135" s="317"/>
      <c r="W135" s="317"/>
      <c r="X135" s="317"/>
      <c r="Y135" s="317"/>
      <c r="Z135" s="317"/>
    </row>
    <row r="136" spans="1:26" x14ac:dyDescent="0.25">
      <c r="A136" s="314"/>
      <c r="B136" s="18">
        <v>2023</v>
      </c>
      <c r="C136" s="18" t="s">
        <v>722</v>
      </c>
      <c r="D136" s="18" t="s">
        <v>723</v>
      </c>
      <c r="E136" s="18" t="s">
        <v>703</v>
      </c>
      <c r="F136" s="18" t="s">
        <v>704</v>
      </c>
      <c r="G136" s="18" t="s">
        <v>673</v>
      </c>
      <c r="H136" s="18" t="s">
        <v>724</v>
      </c>
      <c r="I136" s="315">
        <v>5944.1723413469244</v>
      </c>
      <c r="J136" s="315">
        <v>3.9083801537690817</v>
      </c>
      <c r="K136" s="316" t="str">
        <f t="shared" si="30"/>
        <v>Lawn and Garden Equipment</v>
      </c>
      <c r="L136" s="316" t="str">
        <f t="shared" si="31"/>
        <v>Gasoline</v>
      </c>
      <c r="M136" s="194"/>
      <c r="N136" s="317"/>
      <c r="O136" s="317"/>
      <c r="P136" s="317"/>
      <c r="Q136" s="317"/>
      <c r="R136" s="317"/>
      <c r="S136" s="317"/>
      <c r="T136" s="317"/>
      <c r="U136" s="317"/>
      <c r="V136" s="317"/>
      <c r="W136" s="317"/>
      <c r="X136" s="317"/>
      <c r="Y136" s="317"/>
      <c r="Z136" s="317"/>
    </row>
    <row r="137" spans="1:26" x14ac:dyDescent="0.25">
      <c r="A137" s="314"/>
      <c r="B137" s="18">
        <v>2023</v>
      </c>
      <c r="C137" s="18" t="s">
        <v>722</v>
      </c>
      <c r="D137" s="18" t="s">
        <v>716</v>
      </c>
      <c r="E137" s="18" t="s">
        <v>713</v>
      </c>
      <c r="F137" s="18" t="s">
        <v>714</v>
      </c>
      <c r="G137" s="18" t="s">
        <v>675</v>
      </c>
      <c r="H137" s="18" t="s">
        <v>717</v>
      </c>
      <c r="I137" s="315">
        <v>5878.3370849029052</v>
      </c>
      <c r="J137" s="315">
        <v>0.12062652625060666</v>
      </c>
      <c r="K137" s="316" t="str">
        <f t="shared" si="30"/>
        <v>Industrial Equipment</v>
      </c>
      <c r="L137" s="316" t="str">
        <f t="shared" si="31"/>
        <v>Diesel</v>
      </c>
      <c r="M137" s="194"/>
      <c r="N137" s="317"/>
      <c r="O137" s="317"/>
      <c r="P137" s="317"/>
      <c r="Q137" s="317"/>
      <c r="R137" s="317"/>
      <c r="S137" s="317"/>
      <c r="T137" s="317"/>
      <c r="U137" s="317"/>
      <c r="V137" s="317"/>
      <c r="W137" s="317"/>
      <c r="X137" s="317"/>
      <c r="Y137" s="317"/>
      <c r="Z137" s="317"/>
    </row>
    <row r="138" spans="1:26" x14ac:dyDescent="0.25">
      <c r="A138" s="314"/>
      <c r="B138" s="18">
        <v>2023</v>
      </c>
      <c r="C138" s="18" t="s">
        <v>760</v>
      </c>
      <c r="D138" s="18" t="s">
        <v>712</v>
      </c>
      <c r="E138" s="18" t="s">
        <v>713</v>
      </c>
      <c r="F138" s="18" t="s">
        <v>714</v>
      </c>
      <c r="G138" s="18" t="s">
        <v>674</v>
      </c>
      <c r="H138" s="18" t="s">
        <v>715</v>
      </c>
      <c r="I138" s="315">
        <v>5685.8473060294218</v>
      </c>
      <c r="J138" s="315">
        <v>3.3837457988095301E-2</v>
      </c>
      <c r="K138" s="316" t="str">
        <f t="shared" si="30"/>
        <v>Construction and Mining Equipment</v>
      </c>
      <c r="L138" s="316" t="str">
        <f t="shared" si="31"/>
        <v>Diesel</v>
      </c>
      <c r="M138" s="194"/>
      <c r="N138" s="317"/>
      <c r="O138" s="317"/>
      <c r="P138" s="317"/>
      <c r="Q138" s="317"/>
      <c r="R138" s="317"/>
      <c r="S138" s="317"/>
      <c r="T138" s="317"/>
      <c r="U138" s="317"/>
      <c r="V138" s="317"/>
      <c r="W138" s="317"/>
      <c r="X138" s="317"/>
      <c r="Y138" s="317"/>
      <c r="Z138" s="317"/>
    </row>
    <row r="139" spans="1:26" x14ac:dyDescent="0.25">
      <c r="A139" s="314"/>
      <c r="B139" s="18">
        <v>2023</v>
      </c>
      <c r="C139" s="18" t="s">
        <v>706</v>
      </c>
      <c r="D139" s="18" t="s">
        <v>771</v>
      </c>
      <c r="E139" s="18" t="s">
        <v>713</v>
      </c>
      <c r="F139" s="18" t="s">
        <v>714</v>
      </c>
      <c r="G139" s="18" t="s">
        <v>675</v>
      </c>
      <c r="H139" s="18" t="s">
        <v>772</v>
      </c>
      <c r="I139" s="315">
        <v>5659.6826573603967</v>
      </c>
      <c r="J139" s="315">
        <v>1.2592235729766685E-2</v>
      </c>
      <c r="K139" s="316" t="str">
        <f t="shared" si="30"/>
        <v>Industrial Equipment</v>
      </c>
      <c r="L139" s="316" t="str">
        <f t="shared" si="31"/>
        <v>Diesel</v>
      </c>
      <c r="M139" s="194"/>
      <c r="N139" s="317"/>
      <c r="O139" s="317"/>
      <c r="P139" s="317"/>
      <c r="Q139" s="317"/>
      <c r="R139" s="317"/>
      <c r="S139" s="317"/>
      <c r="T139" s="317"/>
      <c r="U139" s="317"/>
      <c r="V139" s="317"/>
      <c r="W139" s="317"/>
      <c r="X139" s="317"/>
      <c r="Y139" s="317"/>
      <c r="Z139" s="317"/>
    </row>
    <row r="140" spans="1:26" x14ac:dyDescent="0.25">
      <c r="A140" s="314"/>
      <c r="B140" s="18">
        <v>2023</v>
      </c>
      <c r="C140" s="18" t="s">
        <v>711</v>
      </c>
      <c r="D140" s="18" t="s">
        <v>735</v>
      </c>
      <c r="E140" s="18" t="s">
        <v>713</v>
      </c>
      <c r="F140" s="18" t="s">
        <v>714</v>
      </c>
      <c r="G140" s="18" t="s">
        <v>674</v>
      </c>
      <c r="H140" s="18" t="s">
        <v>736</v>
      </c>
      <c r="I140" s="315">
        <v>5572.0269941930464</v>
      </c>
      <c r="J140" s="315">
        <v>0.1666625684202413</v>
      </c>
      <c r="K140" s="316" t="str">
        <f t="shared" si="30"/>
        <v>Construction and Mining Equipment</v>
      </c>
      <c r="L140" s="316" t="str">
        <f t="shared" si="31"/>
        <v>Diesel</v>
      </c>
      <c r="M140" s="194"/>
      <c r="N140" s="317"/>
      <c r="O140" s="317"/>
      <c r="P140" s="317"/>
      <c r="Q140" s="317"/>
      <c r="R140" s="317"/>
      <c r="S140" s="317"/>
      <c r="T140" s="317"/>
      <c r="U140" s="317"/>
      <c r="V140" s="317"/>
      <c r="W140" s="317"/>
      <c r="X140" s="317"/>
      <c r="Y140" s="317"/>
      <c r="Z140" s="317"/>
    </row>
    <row r="141" spans="1:26" x14ac:dyDescent="0.25">
      <c r="A141" s="314"/>
      <c r="B141" s="18">
        <v>2023</v>
      </c>
      <c r="C141" s="18" t="s">
        <v>701</v>
      </c>
      <c r="D141" s="18" t="s">
        <v>755</v>
      </c>
      <c r="E141" s="18" t="s">
        <v>713</v>
      </c>
      <c r="F141" s="18" t="s">
        <v>714</v>
      </c>
      <c r="G141" s="18" t="s">
        <v>674</v>
      </c>
      <c r="H141" s="18" t="s">
        <v>756</v>
      </c>
      <c r="I141" s="315">
        <v>5521.8252899624395</v>
      </c>
      <c r="J141" s="315">
        <v>0.21442084831938762</v>
      </c>
      <c r="K141" s="316" t="str">
        <f t="shared" si="30"/>
        <v>Construction and Mining Equipment</v>
      </c>
      <c r="L141" s="316" t="str">
        <f t="shared" si="31"/>
        <v>Diesel</v>
      </c>
      <c r="M141" s="194"/>
      <c r="N141" s="317"/>
      <c r="O141" s="317"/>
      <c r="P141" s="317"/>
      <c r="Q141" s="317"/>
      <c r="R141" s="317"/>
      <c r="S141" s="317"/>
      <c r="T141" s="317"/>
      <c r="U141" s="317"/>
      <c r="V141" s="317"/>
      <c r="W141" s="317"/>
      <c r="X141" s="317"/>
      <c r="Y141" s="317"/>
      <c r="Z141" s="317"/>
    </row>
    <row r="142" spans="1:26" x14ac:dyDescent="0.25">
      <c r="A142" s="314"/>
      <c r="B142" s="18">
        <v>2023</v>
      </c>
      <c r="C142" s="18" t="s">
        <v>754</v>
      </c>
      <c r="D142" s="18" t="s">
        <v>763</v>
      </c>
      <c r="E142" s="18" t="s">
        <v>713</v>
      </c>
      <c r="F142" s="18" t="s">
        <v>714</v>
      </c>
      <c r="G142" s="18" t="s">
        <v>678</v>
      </c>
      <c r="H142" s="18" t="s">
        <v>764</v>
      </c>
      <c r="I142" s="315">
        <v>5491.6207034082163</v>
      </c>
      <c r="J142" s="315">
        <v>6.2169897450446293E-2</v>
      </c>
      <c r="K142" s="316" t="str">
        <f t="shared" si="30"/>
        <v>Agricultural Equipment</v>
      </c>
      <c r="L142" s="316" t="str">
        <f t="shared" si="31"/>
        <v>Diesel</v>
      </c>
      <c r="M142" s="194"/>
      <c r="N142" s="317"/>
      <c r="O142" s="317"/>
      <c r="P142" s="317"/>
      <c r="Q142" s="317"/>
      <c r="R142" s="317"/>
      <c r="S142" s="317"/>
      <c r="T142" s="317"/>
      <c r="U142" s="317"/>
      <c r="V142" s="317"/>
      <c r="W142" s="317"/>
      <c r="X142" s="317"/>
      <c r="Y142" s="317"/>
      <c r="Z142" s="317"/>
    </row>
    <row r="143" spans="1:26" x14ac:dyDescent="0.25">
      <c r="A143" s="314"/>
      <c r="B143" s="18">
        <v>2023</v>
      </c>
      <c r="C143" s="18" t="s">
        <v>709</v>
      </c>
      <c r="D143" s="18" t="s">
        <v>741</v>
      </c>
      <c r="E143" s="18" t="s">
        <v>713</v>
      </c>
      <c r="F143" s="18" t="s">
        <v>714</v>
      </c>
      <c r="G143" s="18" t="s">
        <v>673</v>
      </c>
      <c r="H143" s="18" t="s">
        <v>742</v>
      </c>
      <c r="I143" s="315">
        <v>5488.7573726163009</v>
      </c>
      <c r="J143" s="315">
        <v>9.090953322311017E-2</v>
      </c>
      <c r="K143" s="316" t="str">
        <f t="shared" si="30"/>
        <v>Lawn and Garden Equipment</v>
      </c>
      <c r="L143" s="316" t="str">
        <f t="shared" si="31"/>
        <v>Diesel</v>
      </c>
      <c r="M143" s="194"/>
      <c r="N143" s="317"/>
      <c r="O143" s="317"/>
      <c r="P143" s="317"/>
      <c r="Q143" s="317"/>
      <c r="R143" s="317"/>
      <c r="S143" s="317"/>
      <c r="T143" s="317"/>
      <c r="U143" s="317"/>
      <c r="V143" s="317"/>
      <c r="W143" s="317"/>
      <c r="X143" s="317"/>
      <c r="Y143" s="317"/>
      <c r="Z143" s="317"/>
    </row>
    <row r="144" spans="1:26" x14ac:dyDescent="0.25">
      <c r="A144" s="314"/>
      <c r="B144" s="18">
        <v>2023</v>
      </c>
      <c r="C144" s="18" t="s">
        <v>773</v>
      </c>
      <c r="D144" s="18" t="s">
        <v>707</v>
      </c>
      <c r="E144" s="18" t="s">
        <v>56</v>
      </c>
      <c r="F144" s="18" t="s">
        <v>672</v>
      </c>
      <c r="G144" s="18" t="s">
        <v>675</v>
      </c>
      <c r="H144" s="18" t="s">
        <v>708</v>
      </c>
      <c r="I144" s="315">
        <v>5463.0782920797355</v>
      </c>
      <c r="J144" s="315">
        <v>0.24546935175389756</v>
      </c>
      <c r="K144" s="316" t="str">
        <f t="shared" si="30"/>
        <v>Industrial Equipment</v>
      </c>
      <c r="L144" s="316" t="str">
        <f t="shared" si="31"/>
        <v>LPG</v>
      </c>
      <c r="M144" s="194"/>
      <c r="N144" s="317"/>
      <c r="O144" s="317"/>
      <c r="P144" s="317"/>
      <c r="Q144" s="317"/>
      <c r="R144" s="317"/>
      <c r="S144" s="317"/>
      <c r="T144" s="317"/>
      <c r="U144" s="317"/>
      <c r="V144" s="317"/>
      <c r="W144" s="317"/>
      <c r="X144" s="317"/>
      <c r="Y144" s="317"/>
      <c r="Z144" s="317"/>
    </row>
    <row r="145" spans="1:26" x14ac:dyDescent="0.25">
      <c r="A145" s="314"/>
      <c r="B145" s="18">
        <v>2023</v>
      </c>
      <c r="C145" s="18" t="s">
        <v>706</v>
      </c>
      <c r="D145" s="18" t="s">
        <v>741</v>
      </c>
      <c r="E145" s="18" t="s">
        <v>713</v>
      </c>
      <c r="F145" s="18" t="s">
        <v>714</v>
      </c>
      <c r="G145" s="18" t="s">
        <v>673</v>
      </c>
      <c r="H145" s="18" t="s">
        <v>742</v>
      </c>
      <c r="I145" s="315">
        <v>5432.18083672792</v>
      </c>
      <c r="J145" s="315">
        <v>8.9972251540420142E-2</v>
      </c>
      <c r="K145" s="316" t="str">
        <f t="shared" si="30"/>
        <v>Lawn and Garden Equipment</v>
      </c>
      <c r="L145" s="316" t="str">
        <f t="shared" si="31"/>
        <v>Diesel</v>
      </c>
      <c r="M145" s="194"/>
      <c r="N145" s="317"/>
      <c r="O145" s="317"/>
      <c r="P145" s="317"/>
      <c r="Q145" s="317"/>
      <c r="R145" s="317"/>
      <c r="S145" s="317"/>
      <c r="T145" s="317"/>
      <c r="U145" s="317"/>
      <c r="V145" s="317"/>
      <c r="W145" s="317"/>
      <c r="X145" s="317"/>
      <c r="Y145" s="317"/>
      <c r="Z145" s="317"/>
    </row>
    <row r="146" spans="1:26" x14ac:dyDescent="0.25">
      <c r="A146" s="314"/>
      <c r="B146" s="18">
        <v>2023</v>
      </c>
      <c r="C146" s="18" t="s">
        <v>701</v>
      </c>
      <c r="D146" s="18" t="s">
        <v>774</v>
      </c>
      <c r="E146" s="18" t="s">
        <v>703</v>
      </c>
      <c r="F146" s="18" t="s">
        <v>704</v>
      </c>
      <c r="G146" s="18" t="s">
        <v>673</v>
      </c>
      <c r="H146" s="18" t="s">
        <v>775</v>
      </c>
      <c r="I146" s="315">
        <v>5318.1888399048685</v>
      </c>
      <c r="J146" s="315">
        <v>3.6447107417997402</v>
      </c>
      <c r="K146" s="316" t="str">
        <f t="shared" si="30"/>
        <v>Lawn and Garden Equipment</v>
      </c>
      <c r="L146" s="316" t="str">
        <f t="shared" si="31"/>
        <v>Gasoline</v>
      </c>
      <c r="M146" s="194"/>
      <c r="N146" s="317"/>
      <c r="O146" s="317"/>
      <c r="P146" s="317"/>
      <c r="Q146" s="317"/>
      <c r="R146" s="317"/>
      <c r="S146" s="317"/>
      <c r="T146" s="317"/>
      <c r="U146" s="317"/>
      <c r="V146" s="317"/>
      <c r="W146" s="317"/>
      <c r="X146" s="317"/>
      <c r="Y146" s="317"/>
      <c r="Z146" s="317"/>
    </row>
    <row r="147" spans="1:26" ht="12.75" x14ac:dyDescent="0.2">
      <c r="A147" s="230"/>
      <c r="B147" s="18">
        <v>2023</v>
      </c>
      <c r="C147" s="18" t="s">
        <v>706</v>
      </c>
      <c r="D147" s="18" t="s">
        <v>776</v>
      </c>
      <c r="E147" s="18" t="s">
        <v>713</v>
      </c>
      <c r="F147" s="18" t="s">
        <v>714</v>
      </c>
      <c r="G147" s="18" t="s">
        <v>674</v>
      </c>
      <c r="H147" s="18" t="s">
        <v>777</v>
      </c>
      <c r="I147" s="315">
        <v>5245.2897521181849</v>
      </c>
      <c r="J147" s="315">
        <v>2.0862222788042312E-2</v>
      </c>
      <c r="K147" s="316" t="str">
        <f t="shared" si="30"/>
        <v>Construction and Mining Equipment</v>
      </c>
      <c r="L147" s="316" t="str">
        <f t="shared" si="31"/>
        <v>Diesel</v>
      </c>
      <c r="M147" s="8"/>
      <c r="N147" s="2"/>
      <c r="O147" s="2"/>
      <c r="P147" s="2"/>
      <c r="Q147" s="2"/>
      <c r="R147" s="2"/>
      <c r="S147" s="2"/>
      <c r="T147" s="2"/>
      <c r="U147" s="2"/>
      <c r="V147" s="2"/>
      <c r="W147" s="2"/>
      <c r="X147" s="2"/>
      <c r="Y147" s="2"/>
      <c r="Z147" s="2"/>
    </row>
    <row r="148" spans="1:26" ht="12.75" x14ac:dyDescent="0.2">
      <c r="A148" s="230"/>
      <c r="B148" s="18">
        <v>2023</v>
      </c>
      <c r="C148" s="18" t="s">
        <v>760</v>
      </c>
      <c r="D148" s="18" t="s">
        <v>718</v>
      </c>
      <c r="E148" s="18" t="s">
        <v>713</v>
      </c>
      <c r="F148" s="18" t="s">
        <v>714</v>
      </c>
      <c r="G148" s="18" t="s">
        <v>674</v>
      </c>
      <c r="H148" s="18" t="s">
        <v>719</v>
      </c>
      <c r="I148" s="315">
        <v>5222.3710685433252</v>
      </c>
      <c r="J148" s="315">
        <v>1.9519888283502183E-2</v>
      </c>
      <c r="K148" s="316" t="str">
        <f t="shared" si="30"/>
        <v>Construction and Mining Equipment</v>
      </c>
      <c r="L148" s="316" t="str">
        <f t="shared" si="31"/>
        <v>Diesel</v>
      </c>
      <c r="M148" s="8"/>
      <c r="N148" s="2"/>
      <c r="O148" s="2"/>
      <c r="P148" s="2"/>
      <c r="Q148" s="2"/>
      <c r="R148" s="2"/>
      <c r="S148" s="2"/>
      <c r="T148" s="2"/>
      <c r="U148" s="2"/>
      <c r="V148" s="2"/>
      <c r="W148" s="2"/>
      <c r="X148" s="2"/>
      <c r="Y148" s="2"/>
      <c r="Z148" s="2"/>
    </row>
    <row r="149" spans="1:26" ht="12.75" x14ac:dyDescent="0.2">
      <c r="A149" s="230"/>
      <c r="B149" s="18">
        <v>2023</v>
      </c>
      <c r="C149" s="18" t="s">
        <v>760</v>
      </c>
      <c r="D149" s="18" t="s">
        <v>720</v>
      </c>
      <c r="E149" s="18" t="s">
        <v>713</v>
      </c>
      <c r="F149" s="18" t="s">
        <v>714</v>
      </c>
      <c r="G149" s="18" t="s">
        <v>674</v>
      </c>
      <c r="H149" s="18" t="s">
        <v>721</v>
      </c>
      <c r="I149" s="315">
        <v>5200.2681835234571</v>
      </c>
      <c r="J149" s="315">
        <v>2.3471740385053907E-2</v>
      </c>
      <c r="K149" s="316" t="str">
        <f t="shared" si="30"/>
        <v>Construction and Mining Equipment</v>
      </c>
      <c r="L149" s="316" t="str">
        <f t="shared" si="31"/>
        <v>Diesel</v>
      </c>
      <c r="M149" s="8"/>
      <c r="N149" s="2"/>
      <c r="O149" s="2"/>
      <c r="P149" s="2"/>
      <c r="Q149" s="2"/>
      <c r="R149" s="2"/>
      <c r="S149" s="2"/>
      <c r="T149" s="2"/>
      <c r="U149" s="2"/>
      <c r="V149" s="2"/>
      <c r="W149" s="2"/>
      <c r="X149" s="2"/>
      <c r="Y149" s="2"/>
      <c r="Z149" s="2"/>
    </row>
    <row r="150" spans="1:26" ht="12.75" x14ac:dyDescent="0.2">
      <c r="A150" s="230"/>
      <c r="B150" s="18">
        <v>2023</v>
      </c>
      <c r="C150" s="18" t="s">
        <v>753</v>
      </c>
      <c r="D150" s="18" t="s">
        <v>751</v>
      </c>
      <c r="E150" s="18" t="s">
        <v>713</v>
      </c>
      <c r="F150" s="18" t="s">
        <v>676</v>
      </c>
      <c r="G150" s="18" t="s">
        <v>79</v>
      </c>
      <c r="H150" s="18" t="s">
        <v>740</v>
      </c>
      <c r="I150" s="315">
        <v>5154.2124959024341</v>
      </c>
      <c r="J150" s="315">
        <v>0.20229825941029977</v>
      </c>
      <c r="K150" s="316" t="str">
        <f t="shared" si="30"/>
        <v>Pleasure Craft</v>
      </c>
      <c r="L150" s="316" t="str">
        <f t="shared" si="31"/>
        <v>Diesel</v>
      </c>
      <c r="M150" s="8"/>
      <c r="N150" s="2"/>
      <c r="O150" s="2"/>
      <c r="P150" s="2"/>
      <c r="Q150" s="2"/>
      <c r="R150" s="2"/>
      <c r="S150" s="2"/>
      <c r="T150" s="2"/>
      <c r="U150" s="2"/>
      <c r="V150" s="2"/>
      <c r="W150" s="2"/>
      <c r="X150" s="2"/>
      <c r="Y150" s="2"/>
      <c r="Z150" s="2"/>
    </row>
    <row r="151" spans="1:26" ht="12.75" x14ac:dyDescent="0.2">
      <c r="A151" s="230"/>
      <c r="B151" s="18">
        <v>2023</v>
      </c>
      <c r="C151" s="18" t="s">
        <v>709</v>
      </c>
      <c r="D151" s="18" t="s">
        <v>744</v>
      </c>
      <c r="E151" s="18" t="s">
        <v>703</v>
      </c>
      <c r="F151" s="18" t="s">
        <v>704</v>
      </c>
      <c r="G151" s="18" t="s">
        <v>673</v>
      </c>
      <c r="H151" s="18" t="s">
        <v>745</v>
      </c>
      <c r="I151" s="315">
        <v>5142.5776848935975</v>
      </c>
      <c r="J151" s="315">
        <v>3.7903993916082253</v>
      </c>
      <c r="K151" s="316" t="str">
        <f t="shared" si="30"/>
        <v>Lawn and Garden Equipment</v>
      </c>
      <c r="L151" s="316" t="str">
        <f t="shared" si="31"/>
        <v>Gasoline</v>
      </c>
      <c r="M151" s="8"/>
      <c r="N151" s="2"/>
      <c r="O151" s="2"/>
      <c r="P151" s="2"/>
      <c r="Q151" s="2"/>
      <c r="R151" s="2"/>
      <c r="S151" s="2"/>
      <c r="T151" s="2"/>
      <c r="U151" s="2"/>
      <c r="V151" s="2"/>
      <c r="W151" s="2"/>
      <c r="X151" s="2"/>
      <c r="Y151" s="2"/>
      <c r="Z151" s="2"/>
    </row>
    <row r="152" spans="1:26" ht="12.75" x14ac:dyDescent="0.2">
      <c r="A152" s="230"/>
      <c r="B152" s="18">
        <v>2023</v>
      </c>
      <c r="C152" s="18" t="s">
        <v>760</v>
      </c>
      <c r="D152" s="18" t="s">
        <v>716</v>
      </c>
      <c r="E152" s="18" t="s">
        <v>713</v>
      </c>
      <c r="F152" s="18" t="s">
        <v>714</v>
      </c>
      <c r="G152" s="18" t="s">
        <v>675</v>
      </c>
      <c r="H152" s="18" t="s">
        <v>717</v>
      </c>
      <c r="I152" s="315">
        <v>5142.3520417682503</v>
      </c>
      <c r="J152" s="315">
        <v>0.10552398298753625</v>
      </c>
      <c r="K152" s="316" t="str">
        <f t="shared" si="30"/>
        <v>Industrial Equipment</v>
      </c>
      <c r="L152" s="316" t="str">
        <f t="shared" si="31"/>
        <v>Diesel</v>
      </c>
      <c r="M152" s="8"/>
      <c r="N152" s="2"/>
      <c r="O152" s="2"/>
      <c r="P152" s="2"/>
      <c r="Q152" s="2"/>
      <c r="R152" s="2"/>
      <c r="S152" s="2"/>
      <c r="T152" s="2"/>
      <c r="U152" s="2"/>
      <c r="V152" s="2"/>
      <c r="W152" s="2"/>
      <c r="X152" s="2"/>
      <c r="Y152" s="2"/>
      <c r="Z152" s="2"/>
    </row>
    <row r="153" spans="1:26" ht="12.75" x14ac:dyDescent="0.2">
      <c r="A153" s="230"/>
      <c r="B153" s="18">
        <v>2023</v>
      </c>
      <c r="C153" s="18" t="s">
        <v>706</v>
      </c>
      <c r="D153" s="18" t="s">
        <v>744</v>
      </c>
      <c r="E153" s="18" t="s">
        <v>703</v>
      </c>
      <c r="F153" s="18" t="s">
        <v>704</v>
      </c>
      <c r="G153" s="18" t="s">
        <v>673</v>
      </c>
      <c r="H153" s="18" t="s">
        <v>745</v>
      </c>
      <c r="I153" s="315">
        <v>5089.5565879999258</v>
      </c>
      <c r="J153" s="315">
        <v>3.7554399525002267</v>
      </c>
      <c r="K153" s="316" t="str">
        <f t="shared" si="30"/>
        <v>Lawn and Garden Equipment</v>
      </c>
      <c r="L153" s="316" t="str">
        <f t="shared" si="31"/>
        <v>Gasoline</v>
      </c>
      <c r="M153" s="8"/>
      <c r="N153" s="2"/>
      <c r="O153" s="2"/>
      <c r="P153" s="2"/>
      <c r="Q153" s="2"/>
      <c r="R153" s="2"/>
      <c r="S153" s="2"/>
      <c r="T153" s="2"/>
      <c r="U153" s="2"/>
      <c r="V153" s="2"/>
      <c r="W153" s="2"/>
      <c r="X153" s="2"/>
      <c r="Y153" s="2"/>
      <c r="Z153" s="2"/>
    </row>
    <row r="154" spans="1:26" ht="12.75" x14ac:dyDescent="0.2">
      <c r="A154" s="230"/>
      <c r="B154" s="18">
        <v>2023</v>
      </c>
      <c r="C154" s="18" t="s">
        <v>701</v>
      </c>
      <c r="D154" s="18" t="s">
        <v>752</v>
      </c>
      <c r="E154" s="18" t="s">
        <v>713</v>
      </c>
      <c r="F154" s="18" t="s">
        <v>714</v>
      </c>
      <c r="G154" s="18" t="s">
        <v>675</v>
      </c>
      <c r="H154" s="18" t="s">
        <v>708</v>
      </c>
      <c r="I154" s="315">
        <v>5080.7259941343373</v>
      </c>
      <c r="J154" s="315">
        <v>2.5912574693742307E-2</v>
      </c>
      <c r="K154" s="316" t="str">
        <f t="shared" si="30"/>
        <v>Industrial Equipment</v>
      </c>
      <c r="L154" s="316" t="str">
        <f t="shared" si="31"/>
        <v>Diesel</v>
      </c>
      <c r="M154" s="8"/>
      <c r="N154" s="2"/>
      <c r="O154" s="2"/>
      <c r="P154" s="2"/>
      <c r="Q154" s="2"/>
      <c r="R154" s="2"/>
      <c r="S154" s="2"/>
      <c r="T154" s="2"/>
      <c r="U154" s="2"/>
      <c r="V154" s="2"/>
      <c r="W154" s="2"/>
      <c r="X154" s="2"/>
      <c r="Y154" s="2"/>
      <c r="Z154" s="2"/>
    </row>
    <row r="155" spans="1:26" ht="12.75" x14ac:dyDescent="0.2">
      <c r="A155" s="230"/>
      <c r="B155" s="18">
        <v>2023</v>
      </c>
      <c r="C155" s="18" t="s">
        <v>778</v>
      </c>
      <c r="D155" s="18" t="s">
        <v>728</v>
      </c>
      <c r="E155" s="18" t="s">
        <v>703</v>
      </c>
      <c r="F155" s="18" t="s">
        <v>676</v>
      </c>
      <c r="G155" s="18" t="s">
        <v>729</v>
      </c>
      <c r="H155" s="18" t="s">
        <v>730</v>
      </c>
      <c r="I155" s="315">
        <v>4920.6397982399931</v>
      </c>
      <c r="J155" s="315">
        <v>5.5716361355369575</v>
      </c>
      <c r="K155" s="316" t="str">
        <f t="shared" si="30"/>
        <v>Pleasure Craft</v>
      </c>
      <c r="L155" s="316" t="str">
        <f t="shared" si="31"/>
        <v>Gasoline</v>
      </c>
      <c r="M155" s="8"/>
      <c r="N155" s="2"/>
      <c r="O155" s="2"/>
      <c r="P155" s="2"/>
      <c r="Q155" s="2"/>
      <c r="R155" s="2"/>
      <c r="S155" s="2"/>
      <c r="T155" s="2"/>
      <c r="U155" s="2"/>
      <c r="V155" s="2"/>
      <c r="W155" s="2"/>
      <c r="X155" s="2"/>
      <c r="Y155" s="2"/>
      <c r="Z155" s="2"/>
    </row>
    <row r="156" spans="1:26" ht="12.75" x14ac:dyDescent="0.2">
      <c r="A156" s="230"/>
      <c r="B156" s="18">
        <v>2023</v>
      </c>
      <c r="C156" s="18" t="s">
        <v>706</v>
      </c>
      <c r="D156" s="18" t="s">
        <v>774</v>
      </c>
      <c r="E156" s="18" t="s">
        <v>703</v>
      </c>
      <c r="F156" s="18" t="s">
        <v>704</v>
      </c>
      <c r="G156" s="18" t="s">
        <v>673</v>
      </c>
      <c r="H156" s="18" t="s">
        <v>775</v>
      </c>
      <c r="I156" s="315">
        <v>4913.5426043431899</v>
      </c>
      <c r="J156" s="315">
        <v>3.3666893065330972</v>
      </c>
      <c r="K156" s="316" t="str">
        <f t="shared" si="30"/>
        <v>Lawn and Garden Equipment</v>
      </c>
      <c r="L156" s="316" t="str">
        <f t="shared" si="31"/>
        <v>Gasoline</v>
      </c>
      <c r="M156" s="8"/>
      <c r="N156" s="2"/>
      <c r="O156" s="2"/>
      <c r="P156" s="2"/>
      <c r="Q156" s="2"/>
      <c r="R156" s="2"/>
      <c r="S156" s="2"/>
      <c r="T156" s="2"/>
      <c r="U156" s="2"/>
      <c r="V156" s="2"/>
      <c r="W156" s="2"/>
      <c r="X156" s="2"/>
      <c r="Y156" s="2"/>
      <c r="Z156" s="2"/>
    </row>
    <row r="157" spans="1:26" ht="12.75" x14ac:dyDescent="0.2">
      <c r="A157" s="230"/>
      <c r="B157" s="18">
        <v>2023</v>
      </c>
      <c r="C157" s="18" t="s">
        <v>711</v>
      </c>
      <c r="D157" s="18" t="s">
        <v>752</v>
      </c>
      <c r="E157" s="18" t="s">
        <v>713</v>
      </c>
      <c r="F157" s="18" t="s">
        <v>714</v>
      </c>
      <c r="G157" s="18" t="s">
        <v>675</v>
      </c>
      <c r="H157" s="18" t="s">
        <v>708</v>
      </c>
      <c r="I157" s="315">
        <v>4906.7717673469688</v>
      </c>
      <c r="J157" s="315">
        <v>2.5025406596818098E-2</v>
      </c>
      <c r="K157" s="316" t="str">
        <f t="shared" si="30"/>
        <v>Industrial Equipment</v>
      </c>
      <c r="L157" s="316" t="str">
        <f t="shared" si="31"/>
        <v>Diesel</v>
      </c>
      <c r="M157" s="8"/>
      <c r="N157" s="2"/>
      <c r="O157" s="2"/>
      <c r="P157" s="2"/>
      <c r="Q157" s="2"/>
      <c r="R157" s="2"/>
      <c r="S157" s="2"/>
      <c r="T157" s="2"/>
      <c r="U157" s="2"/>
      <c r="V157" s="2"/>
      <c r="W157" s="2"/>
      <c r="X157" s="2"/>
      <c r="Y157" s="2"/>
      <c r="Z157" s="2"/>
    </row>
    <row r="158" spans="1:26" ht="12.75" x14ac:dyDescent="0.2">
      <c r="A158" s="230"/>
      <c r="B158" s="18">
        <v>2023</v>
      </c>
      <c r="C158" s="18" t="s">
        <v>709</v>
      </c>
      <c r="D158" s="18" t="s">
        <v>761</v>
      </c>
      <c r="E158" s="18" t="s">
        <v>713</v>
      </c>
      <c r="F158" s="18" t="s">
        <v>714</v>
      </c>
      <c r="G158" s="18" t="s">
        <v>677</v>
      </c>
      <c r="H158" s="18" t="s">
        <v>747</v>
      </c>
      <c r="I158" s="315">
        <v>4898.7288190054878</v>
      </c>
      <c r="J158" s="315">
        <v>0.12514337254249938</v>
      </c>
      <c r="K158" s="316" t="str">
        <f t="shared" si="30"/>
        <v>Commercial Equipment</v>
      </c>
      <c r="L158" s="316" t="str">
        <f t="shared" si="31"/>
        <v>Diesel</v>
      </c>
      <c r="M158" s="8"/>
      <c r="N158" s="2"/>
      <c r="O158" s="2"/>
      <c r="P158" s="2"/>
      <c r="Q158" s="2"/>
      <c r="R158" s="2"/>
      <c r="S158" s="2"/>
      <c r="T158" s="2"/>
      <c r="U158" s="2"/>
      <c r="V158" s="2"/>
      <c r="W158" s="2"/>
      <c r="X158" s="2"/>
      <c r="Y158" s="2"/>
      <c r="Z158" s="2"/>
    </row>
    <row r="159" spans="1:26" ht="12.75" x14ac:dyDescent="0.2">
      <c r="A159" s="230"/>
      <c r="B159" s="18">
        <v>2023</v>
      </c>
      <c r="C159" s="18" t="s">
        <v>709</v>
      </c>
      <c r="D159" s="18" t="s">
        <v>748</v>
      </c>
      <c r="E159" s="18" t="s">
        <v>703</v>
      </c>
      <c r="F159" s="18" t="s">
        <v>704</v>
      </c>
      <c r="G159" s="18" t="s">
        <v>673</v>
      </c>
      <c r="H159" s="18" t="s">
        <v>749</v>
      </c>
      <c r="I159" s="315">
        <v>4876.3210236539044</v>
      </c>
      <c r="J159" s="315">
        <v>2.7688004461113209</v>
      </c>
      <c r="K159" s="316" t="str">
        <f t="shared" si="30"/>
        <v>Lawn and Garden Equipment</v>
      </c>
      <c r="L159" s="316" t="str">
        <f t="shared" si="31"/>
        <v>Gasoline</v>
      </c>
      <c r="M159" s="8"/>
      <c r="N159" s="2"/>
      <c r="O159" s="2"/>
      <c r="P159" s="2"/>
      <c r="Q159" s="2"/>
      <c r="R159" s="2"/>
      <c r="S159" s="2"/>
      <c r="T159" s="2"/>
      <c r="U159" s="2"/>
      <c r="V159" s="2"/>
      <c r="W159" s="2"/>
      <c r="X159" s="2"/>
      <c r="Y159" s="2"/>
      <c r="Z159" s="2"/>
    </row>
    <row r="160" spans="1:26" ht="12.75" x14ac:dyDescent="0.2">
      <c r="A160" s="230"/>
      <c r="B160" s="18">
        <v>2023</v>
      </c>
      <c r="C160" s="18" t="s">
        <v>706</v>
      </c>
      <c r="D160" s="18" t="s">
        <v>779</v>
      </c>
      <c r="E160" s="18" t="s">
        <v>713</v>
      </c>
      <c r="F160" s="18" t="s">
        <v>714</v>
      </c>
      <c r="G160" s="18" t="s">
        <v>674</v>
      </c>
      <c r="H160" s="18" t="s">
        <v>780</v>
      </c>
      <c r="I160" s="315">
        <v>4860.8153395525587</v>
      </c>
      <c r="J160" s="315">
        <v>1.5831407498453517E-2</v>
      </c>
      <c r="K160" s="316" t="str">
        <f t="shared" si="30"/>
        <v>Construction and Mining Equipment</v>
      </c>
      <c r="L160" s="316" t="str">
        <f t="shared" si="31"/>
        <v>Diesel</v>
      </c>
      <c r="M160" s="8"/>
      <c r="N160" s="2"/>
      <c r="O160" s="2"/>
      <c r="P160" s="2"/>
      <c r="Q160" s="2"/>
      <c r="R160" s="2"/>
      <c r="S160" s="2"/>
      <c r="T160" s="2"/>
      <c r="U160" s="2"/>
      <c r="V160" s="2"/>
      <c r="W160" s="2"/>
      <c r="X160" s="2"/>
      <c r="Y160" s="2"/>
      <c r="Z160" s="2"/>
    </row>
    <row r="161" spans="1:26" ht="12.75" x14ac:dyDescent="0.2">
      <c r="A161" s="230"/>
      <c r="B161" s="18">
        <v>2023</v>
      </c>
      <c r="C161" s="18" t="s">
        <v>781</v>
      </c>
      <c r="D161" s="18" t="s">
        <v>763</v>
      </c>
      <c r="E161" s="18" t="s">
        <v>713</v>
      </c>
      <c r="F161" s="18" t="s">
        <v>714</v>
      </c>
      <c r="G161" s="18" t="s">
        <v>678</v>
      </c>
      <c r="H161" s="18" t="s">
        <v>764</v>
      </c>
      <c r="I161" s="315">
        <v>4852.3705325995679</v>
      </c>
      <c r="J161" s="315">
        <v>5.4933050764263011E-2</v>
      </c>
      <c r="K161" s="316" t="str">
        <f t="shared" si="30"/>
        <v>Agricultural Equipment</v>
      </c>
      <c r="L161" s="316" t="str">
        <f t="shared" si="31"/>
        <v>Diesel</v>
      </c>
      <c r="M161" s="8"/>
      <c r="N161" s="2"/>
      <c r="O161" s="2"/>
      <c r="P161" s="2"/>
      <c r="Q161" s="2"/>
      <c r="R161" s="2"/>
      <c r="S161" s="2"/>
      <c r="T161" s="2"/>
      <c r="U161" s="2"/>
      <c r="V161" s="2"/>
      <c r="W161" s="2"/>
      <c r="X161" s="2"/>
      <c r="Y161" s="2"/>
      <c r="Z161" s="2"/>
    </row>
    <row r="162" spans="1:26" ht="12.75" x14ac:dyDescent="0.2">
      <c r="A162" s="230"/>
      <c r="B162" s="18">
        <v>2023</v>
      </c>
      <c r="C162" s="18" t="s">
        <v>711</v>
      </c>
      <c r="D162" s="18" t="s">
        <v>738</v>
      </c>
      <c r="E162" s="18" t="s">
        <v>703</v>
      </c>
      <c r="F162" s="18" t="s">
        <v>676</v>
      </c>
      <c r="G162" s="18" t="s">
        <v>739</v>
      </c>
      <c r="H162" s="18" t="s">
        <v>740</v>
      </c>
      <c r="I162" s="315">
        <v>4834.5812309408993</v>
      </c>
      <c r="J162" s="315">
        <v>2.1008774789881595</v>
      </c>
      <c r="K162" s="316" t="str">
        <f t="shared" si="30"/>
        <v>Pleasure Craft</v>
      </c>
      <c r="L162" s="316" t="str">
        <f t="shared" si="31"/>
        <v>Gasoline</v>
      </c>
      <c r="M162" s="8"/>
      <c r="N162" s="2"/>
      <c r="O162" s="2"/>
      <c r="P162" s="2"/>
      <c r="Q162" s="2"/>
      <c r="R162" s="2"/>
      <c r="S162" s="2"/>
      <c r="T162" s="2"/>
      <c r="U162" s="2"/>
      <c r="V162" s="2"/>
      <c r="W162" s="2"/>
      <c r="X162" s="2"/>
      <c r="Y162" s="2"/>
      <c r="Z162" s="2"/>
    </row>
    <row r="163" spans="1:26" ht="12.75" x14ac:dyDescent="0.2">
      <c r="A163" s="230"/>
      <c r="B163" s="18">
        <v>2023</v>
      </c>
      <c r="C163" s="18" t="s">
        <v>706</v>
      </c>
      <c r="D163" s="18" t="s">
        <v>748</v>
      </c>
      <c r="E163" s="18" t="s">
        <v>703</v>
      </c>
      <c r="F163" s="18" t="s">
        <v>704</v>
      </c>
      <c r="G163" s="18" t="s">
        <v>673</v>
      </c>
      <c r="H163" s="18" t="s">
        <v>749</v>
      </c>
      <c r="I163" s="315">
        <v>4826.0476140725204</v>
      </c>
      <c r="J163" s="315">
        <v>2.7432661865189321</v>
      </c>
      <c r="K163" s="316" t="str">
        <f t="shared" si="30"/>
        <v>Lawn and Garden Equipment</v>
      </c>
      <c r="L163" s="316" t="str">
        <f t="shared" si="31"/>
        <v>Gasoline</v>
      </c>
      <c r="M163" s="8"/>
      <c r="N163" s="2"/>
      <c r="O163" s="2"/>
      <c r="P163" s="2"/>
      <c r="Q163" s="2"/>
      <c r="R163" s="2"/>
      <c r="S163" s="2"/>
      <c r="T163" s="2"/>
      <c r="U163" s="2"/>
      <c r="V163" s="2"/>
      <c r="W163" s="2"/>
      <c r="X163" s="2"/>
      <c r="Y163" s="2"/>
      <c r="Z163" s="2"/>
    </row>
    <row r="164" spans="1:26" ht="12.75" x14ac:dyDescent="0.2">
      <c r="A164" s="230"/>
      <c r="B164" s="18">
        <v>2023</v>
      </c>
      <c r="C164" s="18" t="s">
        <v>706</v>
      </c>
      <c r="D164" s="18" t="s">
        <v>782</v>
      </c>
      <c r="E164" s="18" t="s">
        <v>713</v>
      </c>
      <c r="F164" s="18" t="s">
        <v>714</v>
      </c>
      <c r="G164" s="18" t="s">
        <v>674</v>
      </c>
      <c r="H164" s="18" t="s">
        <v>783</v>
      </c>
      <c r="I164" s="315">
        <v>4821.102612462375</v>
      </c>
      <c r="J164" s="315">
        <v>4.5769399045532219E-2</v>
      </c>
      <c r="K164" s="316" t="str">
        <f t="shared" si="30"/>
        <v>Construction and Mining Equipment</v>
      </c>
      <c r="L164" s="316" t="str">
        <f t="shared" si="31"/>
        <v>Diesel</v>
      </c>
      <c r="M164" s="8"/>
      <c r="N164" s="2"/>
      <c r="O164" s="2"/>
      <c r="P164" s="2"/>
      <c r="Q164" s="2"/>
      <c r="R164" s="2"/>
      <c r="S164" s="2"/>
      <c r="T164" s="2"/>
      <c r="U164" s="2"/>
      <c r="V164" s="2"/>
      <c r="W164" s="2"/>
      <c r="X164" s="2"/>
      <c r="Y164" s="2"/>
      <c r="Z164" s="2"/>
    </row>
    <row r="165" spans="1:26" ht="12.75" x14ac:dyDescent="0.2">
      <c r="A165" s="230"/>
      <c r="B165" s="18">
        <v>2023</v>
      </c>
      <c r="C165" s="18" t="s">
        <v>706</v>
      </c>
      <c r="D165" s="18" t="s">
        <v>784</v>
      </c>
      <c r="E165" s="18" t="s">
        <v>713</v>
      </c>
      <c r="F165" s="18" t="s">
        <v>714</v>
      </c>
      <c r="G165" s="18" t="s">
        <v>677</v>
      </c>
      <c r="H165" s="18" t="s">
        <v>785</v>
      </c>
      <c r="I165" s="315">
        <v>4802.9526488728197</v>
      </c>
      <c r="J165" s="315">
        <v>6.8067707512691811E-2</v>
      </c>
      <c r="K165" s="316" t="str">
        <f t="shared" si="30"/>
        <v>Commercial Equipment</v>
      </c>
      <c r="L165" s="316" t="str">
        <f t="shared" si="31"/>
        <v>Diesel</v>
      </c>
      <c r="M165" s="8"/>
      <c r="N165" s="2"/>
      <c r="O165" s="2"/>
      <c r="P165" s="2"/>
      <c r="Q165" s="2"/>
      <c r="R165" s="2"/>
      <c r="S165" s="2"/>
      <c r="T165" s="2"/>
      <c r="U165" s="2"/>
      <c r="V165" s="2"/>
      <c r="W165" s="2"/>
      <c r="X165" s="2"/>
      <c r="Y165" s="2"/>
      <c r="Z165" s="2"/>
    </row>
    <row r="166" spans="1:26" ht="12.75" x14ac:dyDescent="0.2">
      <c r="A166" s="230"/>
      <c r="B166" s="18">
        <v>2023</v>
      </c>
      <c r="C166" s="18" t="s">
        <v>786</v>
      </c>
      <c r="D166" s="18" t="s">
        <v>763</v>
      </c>
      <c r="E166" s="18" t="s">
        <v>713</v>
      </c>
      <c r="F166" s="18" t="s">
        <v>714</v>
      </c>
      <c r="G166" s="18" t="s">
        <v>678</v>
      </c>
      <c r="H166" s="18" t="s">
        <v>764</v>
      </c>
      <c r="I166" s="315">
        <v>4802.1294427858211</v>
      </c>
      <c r="J166" s="315">
        <v>5.4364214065901771E-2</v>
      </c>
      <c r="K166" s="316" t="str">
        <f t="shared" si="30"/>
        <v>Agricultural Equipment</v>
      </c>
      <c r="L166" s="316" t="str">
        <f t="shared" si="31"/>
        <v>Diesel</v>
      </c>
      <c r="M166" s="8"/>
      <c r="N166" s="2"/>
      <c r="O166" s="2"/>
      <c r="P166" s="2"/>
      <c r="Q166" s="2"/>
      <c r="R166" s="2"/>
      <c r="S166" s="2"/>
      <c r="T166" s="2"/>
      <c r="U166" s="2"/>
      <c r="V166" s="2"/>
      <c r="W166" s="2"/>
      <c r="X166" s="2"/>
      <c r="Y166" s="2"/>
      <c r="Z166" s="2"/>
    </row>
    <row r="167" spans="1:26" ht="12.75" x14ac:dyDescent="0.2">
      <c r="A167" s="230"/>
      <c r="B167" s="18">
        <v>2023</v>
      </c>
      <c r="C167" s="18" t="s">
        <v>711</v>
      </c>
      <c r="D167" s="18" t="s">
        <v>761</v>
      </c>
      <c r="E167" s="18" t="s">
        <v>713</v>
      </c>
      <c r="F167" s="18" t="s">
        <v>714</v>
      </c>
      <c r="G167" s="18" t="s">
        <v>677</v>
      </c>
      <c r="H167" s="18" t="s">
        <v>747</v>
      </c>
      <c r="I167" s="315">
        <v>4796.8389327183786</v>
      </c>
      <c r="J167" s="315">
        <v>0.12253987143441185</v>
      </c>
      <c r="K167" s="316" t="str">
        <f t="shared" si="30"/>
        <v>Commercial Equipment</v>
      </c>
      <c r="L167" s="316" t="str">
        <f t="shared" si="31"/>
        <v>Diesel</v>
      </c>
      <c r="M167" s="8"/>
      <c r="N167" s="2"/>
      <c r="O167" s="2"/>
      <c r="P167" s="2"/>
      <c r="Q167" s="2"/>
      <c r="R167" s="2"/>
      <c r="S167" s="2"/>
      <c r="T167" s="2"/>
      <c r="U167" s="2"/>
      <c r="V167" s="2"/>
      <c r="W167" s="2"/>
      <c r="X167" s="2"/>
      <c r="Y167" s="2"/>
      <c r="Z167" s="2"/>
    </row>
    <row r="168" spans="1:26" ht="12.75" x14ac:dyDescent="0.2">
      <c r="A168" s="230"/>
      <c r="B168" s="18">
        <v>2023</v>
      </c>
      <c r="C168" s="18" t="s">
        <v>754</v>
      </c>
      <c r="D168" s="18" t="s">
        <v>707</v>
      </c>
      <c r="E168" s="18" t="s">
        <v>56</v>
      </c>
      <c r="F168" s="18" t="s">
        <v>672</v>
      </c>
      <c r="G168" s="18" t="s">
        <v>675</v>
      </c>
      <c r="H168" s="18" t="s">
        <v>708</v>
      </c>
      <c r="I168" s="315">
        <v>4786.9441454669968</v>
      </c>
      <c r="J168" s="315">
        <v>0.21508885378430953</v>
      </c>
      <c r="K168" s="316" t="str">
        <f t="shared" si="30"/>
        <v>Industrial Equipment</v>
      </c>
      <c r="L168" s="316" t="str">
        <f t="shared" si="31"/>
        <v>LPG</v>
      </c>
      <c r="M168" s="8"/>
      <c r="N168" s="2"/>
      <c r="O168" s="2"/>
      <c r="P168" s="2"/>
      <c r="Q168" s="2"/>
      <c r="R168" s="2"/>
      <c r="S168" s="2"/>
      <c r="T168" s="2"/>
      <c r="U168" s="2"/>
      <c r="V168" s="2"/>
      <c r="W168" s="2"/>
      <c r="X168" s="2"/>
      <c r="Y168" s="2"/>
      <c r="Z168" s="2"/>
    </row>
    <row r="169" spans="1:26" ht="12.75" x14ac:dyDescent="0.2">
      <c r="A169" s="230"/>
      <c r="B169" s="18">
        <v>2023</v>
      </c>
      <c r="C169" s="18" t="s">
        <v>706</v>
      </c>
      <c r="D169" s="18" t="s">
        <v>728</v>
      </c>
      <c r="E169" s="18" t="s">
        <v>703</v>
      </c>
      <c r="F169" s="18" t="s">
        <v>676</v>
      </c>
      <c r="G169" s="18" t="s">
        <v>729</v>
      </c>
      <c r="H169" s="18" t="s">
        <v>730</v>
      </c>
      <c r="I169" s="315">
        <v>4773.0188583198615</v>
      </c>
      <c r="J169" s="315">
        <v>5.4044880903501467</v>
      </c>
      <c r="K169" s="316" t="str">
        <f t="shared" si="30"/>
        <v>Pleasure Craft</v>
      </c>
      <c r="L169" s="316" t="str">
        <f t="shared" si="31"/>
        <v>Gasoline</v>
      </c>
      <c r="M169" s="8"/>
      <c r="N169" s="2"/>
      <c r="O169" s="2"/>
      <c r="P169" s="2"/>
      <c r="Q169" s="2"/>
      <c r="R169" s="2"/>
      <c r="S169" s="2"/>
      <c r="T169" s="2"/>
      <c r="U169" s="2"/>
      <c r="V169" s="2"/>
      <c r="W169" s="2"/>
      <c r="X169" s="2"/>
      <c r="Y169" s="2"/>
      <c r="Z169" s="2"/>
    </row>
    <row r="170" spans="1:26" ht="12.75" x14ac:dyDescent="0.2">
      <c r="A170" s="230"/>
      <c r="B170" s="18">
        <v>2023</v>
      </c>
      <c r="C170" s="18" t="s">
        <v>709</v>
      </c>
      <c r="D170" s="18" t="s">
        <v>774</v>
      </c>
      <c r="E170" s="18" t="s">
        <v>703</v>
      </c>
      <c r="F170" s="18" t="s">
        <v>704</v>
      </c>
      <c r="G170" s="18" t="s">
        <v>673</v>
      </c>
      <c r="H170" s="18" t="s">
        <v>775</v>
      </c>
      <c r="I170" s="315">
        <v>4760.7490399364524</v>
      </c>
      <c r="J170" s="315">
        <v>3.2584204794375387</v>
      </c>
      <c r="K170" s="316" t="str">
        <f t="shared" si="30"/>
        <v>Lawn and Garden Equipment</v>
      </c>
      <c r="L170" s="316" t="str">
        <f t="shared" si="31"/>
        <v>Gasoline</v>
      </c>
      <c r="M170" s="8"/>
      <c r="N170" s="2"/>
      <c r="O170" s="2"/>
      <c r="P170" s="2"/>
      <c r="Q170" s="2"/>
      <c r="R170" s="2"/>
      <c r="S170" s="2"/>
      <c r="T170" s="2"/>
      <c r="U170" s="2"/>
      <c r="V170" s="2"/>
      <c r="W170" s="2"/>
      <c r="X170" s="2"/>
      <c r="Y170" s="2"/>
      <c r="Z170" s="2"/>
    </row>
    <row r="171" spans="1:26" ht="12.75" x14ac:dyDescent="0.2">
      <c r="A171" s="230"/>
      <c r="B171" s="18">
        <v>2023</v>
      </c>
      <c r="C171" s="18" t="s">
        <v>732</v>
      </c>
      <c r="D171" s="18" t="s">
        <v>716</v>
      </c>
      <c r="E171" s="18" t="s">
        <v>713</v>
      </c>
      <c r="F171" s="18" t="s">
        <v>714</v>
      </c>
      <c r="G171" s="18" t="s">
        <v>675</v>
      </c>
      <c r="H171" s="18" t="s">
        <v>717</v>
      </c>
      <c r="I171" s="315">
        <v>4729.4171857432266</v>
      </c>
      <c r="J171" s="315">
        <v>9.705007784841331E-2</v>
      </c>
      <c r="K171" s="316" t="str">
        <f t="shared" si="30"/>
        <v>Industrial Equipment</v>
      </c>
      <c r="L171" s="316" t="str">
        <f t="shared" si="31"/>
        <v>Diesel</v>
      </c>
      <c r="M171" s="8"/>
      <c r="N171" s="2"/>
      <c r="O171" s="2"/>
      <c r="P171" s="2"/>
      <c r="Q171" s="2"/>
      <c r="R171" s="2"/>
      <c r="S171" s="2"/>
      <c r="T171" s="2"/>
      <c r="U171" s="2"/>
      <c r="V171" s="2"/>
      <c r="W171" s="2"/>
      <c r="X171" s="2"/>
      <c r="Y171" s="2"/>
      <c r="Z171" s="2"/>
    </row>
    <row r="172" spans="1:26" ht="12.75" x14ac:dyDescent="0.2">
      <c r="A172" s="230"/>
      <c r="B172" s="18">
        <v>2023</v>
      </c>
      <c r="C172" s="18" t="s">
        <v>787</v>
      </c>
      <c r="D172" s="18" t="s">
        <v>728</v>
      </c>
      <c r="E172" s="18" t="s">
        <v>703</v>
      </c>
      <c r="F172" s="18" t="s">
        <v>676</v>
      </c>
      <c r="G172" s="18" t="s">
        <v>729</v>
      </c>
      <c r="H172" s="18" t="s">
        <v>730</v>
      </c>
      <c r="I172" s="315">
        <v>4723.8138551581023</v>
      </c>
      <c r="J172" s="315">
        <v>5.3487700673015146</v>
      </c>
      <c r="K172" s="316" t="str">
        <f t="shared" si="30"/>
        <v>Pleasure Craft</v>
      </c>
      <c r="L172" s="316" t="str">
        <f t="shared" si="31"/>
        <v>Gasoline</v>
      </c>
      <c r="M172" s="8"/>
      <c r="N172" s="2"/>
      <c r="O172" s="2"/>
      <c r="P172" s="2"/>
      <c r="Q172" s="2"/>
      <c r="R172" s="2"/>
      <c r="S172" s="2"/>
      <c r="T172" s="2"/>
      <c r="U172" s="2"/>
      <c r="V172" s="2"/>
      <c r="W172" s="2"/>
      <c r="X172" s="2"/>
      <c r="Y172" s="2"/>
      <c r="Z172" s="2"/>
    </row>
    <row r="173" spans="1:26" ht="12.75" x14ac:dyDescent="0.2">
      <c r="A173" s="230"/>
      <c r="B173" s="18">
        <v>2023</v>
      </c>
      <c r="C173" s="18" t="s">
        <v>732</v>
      </c>
      <c r="D173" s="18" t="s">
        <v>712</v>
      </c>
      <c r="E173" s="18" t="s">
        <v>713</v>
      </c>
      <c r="F173" s="18" t="s">
        <v>714</v>
      </c>
      <c r="G173" s="18" t="s">
        <v>674</v>
      </c>
      <c r="H173" s="18" t="s">
        <v>715</v>
      </c>
      <c r="I173" s="315">
        <v>4721.227034749284</v>
      </c>
      <c r="J173" s="315">
        <v>2.8096903049677897E-2</v>
      </c>
      <c r="K173" s="316" t="str">
        <f t="shared" si="30"/>
        <v>Construction and Mining Equipment</v>
      </c>
      <c r="L173" s="316" t="str">
        <f t="shared" si="31"/>
        <v>Diesel</v>
      </c>
      <c r="M173" s="8"/>
      <c r="N173" s="2"/>
      <c r="O173" s="2"/>
      <c r="P173" s="2"/>
      <c r="Q173" s="2"/>
      <c r="R173" s="2"/>
      <c r="S173" s="2"/>
      <c r="T173" s="2"/>
      <c r="U173" s="2"/>
      <c r="V173" s="2"/>
      <c r="W173" s="2"/>
      <c r="X173" s="2"/>
      <c r="Y173" s="2"/>
      <c r="Z173" s="2"/>
    </row>
    <row r="174" spans="1:26" ht="12.75" x14ac:dyDescent="0.2">
      <c r="A174" s="230"/>
      <c r="B174" s="18">
        <v>2023</v>
      </c>
      <c r="C174" s="18" t="s">
        <v>727</v>
      </c>
      <c r="D174" s="18" t="s">
        <v>763</v>
      </c>
      <c r="E174" s="18" t="s">
        <v>713</v>
      </c>
      <c r="F174" s="18" t="s">
        <v>714</v>
      </c>
      <c r="G174" s="18" t="s">
        <v>678</v>
      </c>
      <c r="H174" s="18" t="s">
        <v>764</v>
      </c>
      <c r="I174" s="315">
        <v>4711.210938138136</v>
      </c>
      <c r="J174" s="315">
        <v>5.3335022583718458E-2</v>
      </c>
      <c r="K174" s="316" t="str">
        <f t="shared" si="30"/>
        <v>Agricultural Equipment</v>
      </c>
      <c r="L174" s="316" t="str">
        <f t="shared" si="31"/>
        <v>Diesel</v>
      </c>
      <c r="M174" s="8"/>
      <c r="N174" s="2"/>
      <c r="O174" s="2"/>
      <c r="P174" s="2"/>
      <c r="Q174" s="2"/>
      <c r="R174" s="2"/>
      <c r="S174" s="2"/>
      <c r="T174" s="2"/>
      <c r="U174" s="2"/>
      <c r="V174" s="2"/>
      <c r="W174" s="2"/>
      <c r="X174" s="2"/>
      <c r="Y174" s="2"/>
      <c r="Z174" s="2"/>
    </row>
    <row r="175" spans="1:26" ht="12.75" x14ac:dyDescent="0.2">
      <c r="A175" s="230"/>
      <c r="B175" s="18">
        <v>2023</v>
      </c>
      <c r="C175" s="18" t="s">
        <v>710</v>
      </c>
      <c r="D175" s="18" t="s">
        <v>761</v>
      </c>
      <c r="E175" s="18" t="s">
        <v>713</v>
      </c>
      <c r="F175" s="18" t="s">
        <v>714</v>
      </c>
      <c r="G175" s="18" t="s">
        <v>677</v>
      </c>
      <c r="H175" s="18" t="s">
        <v>747</v>
      </c>
      <c r="I175" s="315">
        <v>4629.4133651322227</v>
      </c>
      <c r="J175" s="315">
        <v>0.11826310858304236</v>
      </c>
      <c r="K175" s="316" t="str">
        <f t="shared" si="30"/>
        <v>Commercial Equipment</v>
      </c>
      <c r="L175" s="316" t="str">
        <f t="shared" si="31"/>
        <v>Diesel</v>
      </c>
      <c r="M175" s="8"/>
      <c r="N175" s="2"/>
      <c r="O175" s="2"/>
      <c r="P175" s="2"/>
      <c r="Q175" s="2"/>
      <c r="R175" s="2"/>
      <c r="S175" s="2"/>
      <c r="T175" s="2"/>
      <c r="U175" s="2"/>
      <c r="V175" s="2"/>
      <c r="W175" s="2"/>
      <c r="X175" s="2"/>
      <c r="Y175" s="2"/>
      <c r="Z175" s="2"/>
    </row>
    <row r="176" spans="1:26" ht="12.75" x14ac:dyDescent="0.2">
      <c r="A176" s="230"/>
      <c r="B176" s="18">
        <v>2023</v>
      </c>
      <c r="C176" s="18" t="s">
        <v>762</v>
      </c>
      <c r="D176" s="18" t="s">
        <v>728</v>
      </c>
      <c r="E176" s="18" t="s">
        <v>703</v>
      </c>
      <c r="F176" s="18" t="s">
        <v>676</v>
      </c>
      <c r="G176" s="18" t="s">
        <v>729</v>
      </c>
      <c r="H176" s="18" t="s">
        <v>730</v>
      </c>
      <c r="I176" s="315">
        <v>4625.3994506124527</v>
      </c>
      <c r="J176" s="315">
        <v>5.2373387075411202</v>
      </c>
      <c r="K176" s="316" t="str">
        <f t="shared" si="30"/>
        <v>Pleasure Craft</v>
      </c>
      <c r="L176" s="316" t="str">
        <f t="shared" si="31"/>
        <v>Gasoline</v>
      </c>
      <c r="M176" s="8"/>
      <c r="N176" s="2"/>
      <c r="O176" s="2"/>
      <c r="P176" s="2"/>
      <c r="Q176" s="2"/>
      <c r="R176" s="2"/>
      <c r="S176" s="2"/>
      <c r="T176" s="2"/>
      <c r="U176" s="2"/>
      <c r="V176" s="2"/>
      <c r="W176" s="2"/>
      <c r="X176" s="2"/>
      <c r="Y176" s="2"/>
      <c r="Z176" s="2"/>
    </row>
    <row r="177" spans="1:26" ht="12.75" x14ac:dyDescent="0.2">
      <c r="A177" s="230"/>
      <c r="B177" s="18">
        <v>2023</v>
      </c>
      <c r="C177" s="18" t="s">
        <v>732</v>
      </c>
      <c r="D177" s="18" t="s">
        <v>723</v>
      </c>
      <c r="E177" s="18" t="s">
        <v>703</v>
      </c>
      <c r="F177" s="18" t="s">
        <v>704</v>
      </c>
      <c r="G177" s="18" t="s">
        <v>673</v>
      </c>
      <c r="H177" s="18" t="s">
        <v>724</v>
      </c>
      <c r="I177" s="315">
        <v>4601.541103965219</v>
      </c>
      <c r="J177" s="315">
        <v>3.0315524014970063</v>
      </c>
      <c r="K177" s="316" t="str">
        <f t="shared" si="30"/>
        <v>Lawn and Garden Equipment</v>
      </c>
      <c r="L177" s="316" t="str">
        <f t="shared" si="31"/>
        <v>Gasoline</v>
      </c>
      <c r="M177" s="8"/>
      <c r="N177" s="2"/>
      <c r="O177" s="2"/>
      <c r="P177" s="2"/>
      <c r="Q177" s="2"/>
      <c r="R177" s="2"/>
      <c r="S177" s="2"/>
      <c r="T177" s="2"/>
      <c r="U177" s="2"/>
      <c r="V177" s="2"/>
      <c r="W177" s="2"/>
      <c r="X177" s="2"/>
      <c r="Y177" s="2"/>
      <c r="Z177" s="2"/>
    </row>
    <row r="178" spans="1:26" ht="12.75" x14ac:dyDescent="0.2">
      <c r="A178" s="230"/>
      <c r="B178" s="18">
        <v>2023</v>
      </c>
      <c r="C178" s="18" t="s">
        <v>710</v>
      </c>
      <c r="D178" s="18" t="s">
        <v>774</v>
      </c>
      <c r="E178" s="18" t="s">
        <v>703</v>
      </c>
      <c r="F178" s="18" t="s">
        <v>704</v>
      </c>
      <c r="G178" s="18" t="s">
        <v>673</v>
      </c>
      <c r="H178" s="18" t="s">
        <v>775</v>
      </c>
      <c r="I178" s="315">
        <v>4565.6047190564514</v>
      </c>
      <c r="J178" s="315">
        <v>3.1265697731189239</v>
      </c>
      <c r="K178" s="316" t="str">
        <f t="shared" si="30"/>
        <v>Lawn and Garden Equipment</v>
      </c>
      <c r="L178" s="316" t="str">
        <f t="shared" si="31"/>
        <v>Gasoline</v>
      </c>
      <c r="M178" s="8"/>
      <c r="N178" s="2"/>
      <c r="O178" s="2"/>
      <c r="P178" s="2"/>
      <c r="Q178" s="2"/>
      <c r="R178" s="2"/>
      <c r="S178" s="2"/>
      <c r="T178" s="2"/>
      <c r="U178" s="2"/>
      <c r="V178" s="2"/>
      <c r="W178" s="2"/>
      <c r="X178" s="2"/>
      <c r="Y178" s="2"/>
      <c r="Z178" s="2"/>
    </row>
    <row r="179" spans="1:26" ht="12.75" x14ac:dyDescent="0.2">
      <c r="A179" s="230"/>
      <c r="B179" s="18">
        <v>2023</v>
      </c>
      <c r="C179" s="18" t="s">
        <v>711</v>
      </c>
      <c r="D179" s="18" t="s">
        <v>741</v>
      </c>
      <c r="E179" s="18" t="s">
        <v>713</v>
      </c>
      <c r="F179" s="18" t="s">
        <v>714</v>
      </c>
      <c r="G179" s="18" t="s">
        <v>673</v>
      </c>
      <c r="H179" s="18" t="s">
        <v>742</v>
      </c>
      <c r="I179" s="315">
        <v>4519.267993859773</v>
      </c>
      <c r="J179" s="315">
        <v>7.4851909253113691E-2</v>
      </c>
      <c r="K179" s="316" t="str">
        <f t="shared" si="30"/>
        <v>Lawn and Garden Equipment</v>
      </c>
      <c r="L179" s="316" t="str">
        <f t="shared" si="31"/>
        <v>Diesel</v>
      </c>
      <c r="M179" s="8"/>
      <c r="N179" s="2"/>
      <c r="O179" s="2"/>
      <c r="P179" s="2"/>
      <c r="Q179" s="2"/>
      <c r="R179" s="2"/>
      <c r="S179" s="2"/>
      <c r="T179" s="2"/>
      <c r="U179" s="2"/>
      <c r="V179" s="2"/>
      <c r="W179" s="2"/>
      <c r="X179" s="2"/>
      <c r="Y179" s="2"/>
      <c r="Z179" s="2"/>
    </row>
    <row r="180" spans="1:26" ht="12.75" x14ac:dyDescent="0.2">
      <c r="A180" s="230"/>
      <c r="B180" s="18">
        <v>2023</v>
      </c>
      <c r="C180" s="18" t="s">
        <v>706</v>
      </c>
      <c r="D180" s="18" t="s">
        <v>788</v>
      </c>
      <c r="E180" s="18" t="s">
        <v>703</v>
      </c>
      <c r="F180" s="18" t="s">
        <v>704</v>
      </c>
      <c r="G180" s="18" t="s">
        <v>677</v>
      </c>
      <c r="H180" s="18" t="s">
        <v>789</v>
      </c>
      <c r="I180" s="315">
        <v>4509.704131487043</v>
      </c>
      <c r="J180" s="315">
        <v>3.1182487689668021</v>
      </c>
      <c r="K180" s="316" t="str">
        <f t="shared" si="30"/>
        <v>Commercial Equipment</v>
      </c>
      <c r="L180" s="316" t="str">
        <f t="shared" si="31"/>
        <v>Gasoline</v>
      </c>
      <c r="M180" s="8"/>
      <c r="N180" s="2"/>
      <c r="O180" s="2"/>
      <c r="P180" s="2"/>
      <c r="Q180" s="2"/>
      <c r="R180" s="2"/>
      <c r="S180" s="2"/>
      <c r="T180" s="2"/>
      <c r="U180" s="2"/>
      <c r="V180" s="2"/>
      <c r="W180" s="2"/>
      <c r="X180" s="2"/>
      <c r="Y180" s="2"/>
      <c r="Z180" s="2"/>
    </row>
    <row r="181" spans="1:26" ht="12.75" x14ac:dyDescent="0.2">
      <c r="A181" s="230"/>
      <c r="B181" s="18">
        <v>2023</v>
      </c>
      <c r="C181" s="18" t="s">
        <v>778</v>
      </c>
      <c r="D181" s="18" t="s">
        <v>738</v>
      </c>
      <c r="E181" s="18" t="s">
        <v>703</v>
      </c>
      <c r="F181" s="18" t="s">
        <v>676</v>
      </c>
      <c r="G181" s="18" t="s">
        <v>739</v>
      </c>
      <c r="H181" s="18" t="s">
        <v>740</v>
      </c>
      <c r="I181" s="315">
        <v>4475.3573169672136</v>
      </c>
      <c r="J181" s="315">
        <v>1.9439095962844823</v>
      </c>
      <c r="K181" s="316" t="str">
        <f t="shared" si="30"/>
        <v>Pleasure Craft</v>
      </c>
      <c r="L181" s="316" t="str">
        <f t="shared" si="31"/>
        <v>Gasoline</v>
      </c>
      <c r="M181" s="8"/>
      <c r="N181" s="2"/>
      <c r="O181" s="2"/>
      <c r="P181" s="2"/>
      <c r="Q181" s="2"/>
      <c r="R181" s="2"/>
      <c r="S181" s="2"/>
      <c r="T181" s="2"/>
      <c r="U181" s="2"/>
      <c r="V181" s="2"/>
      <c r="W181" s="2"/>
      <c r="X181" s="2"/>
      <c r="Y181" s="2"/>
      <c r="Z181" s="2"/>
    </row>
    <row r="182" spans="1:26" ht="12.75" x14ac:dyDescent="0.2">
      <c r="A182" s="230"/>
      <c r="B182" s="18">
        <v>2023</v>
      </c>
      <c r="C182" s="18" t="s">
        <v>760</v>
      </c>
      <c r="D182" s="18" t="s">
        <v>725</v>
      </c>
      <c r="E182" s="18" t="s">
        <v>713</v>
      </c>
      <c r="F182" s="18" t="s">
        <v>714</v>
      </c>
      <c r="G182" s="18" t="s">
        <v>674</v>
      </c>
      <c r="H182" s="18" t="s">
        <v>726</v>
      </c>
      <c r="I182" s="315">
        <v>4469.5516042300269</v>
      </c>
      <c r="J182" s="315">
        <v>2.5006469960430926E-2</v>
      </c>
      <c r="K182" s="316" t="str">
        <f t="shared" si="30"/>
        <v>Construction and Mining Equipment</v>
      </c>
      <c r="L182" s="316" t="str">
        <f t="shared" si="31"/>
        <v>Diesel</v>
      </c>
      <c r="M182" s="8"/>
      <c r="N182" s="2"/>
      <c r="O182" s="2"/>
      <c r="P182" s="2"/>
      <c r="Q182" s="2"/>
      <c r="R182" s="2"/>
      <c r="S182" s="2"/>
      <c r="T182" s="2"/>
      <c r="U182" s="2"/>
      <c r="V182" s="2"/>
      <c r="W182" s="2"/>
      <c r="X182" s="2"/>
      <c r="Y182" s="2"/>
      <c r="Z182" s="2"/>
    </row>
    <row r="183" spans="1:26" ht="12.75" x14ac:dyDescent="0.2">
      <c r="A183" s="230"/>
      <c r="B183" s="18">
        <v>2023</v>
      </c>
      <c r="C183" s="18" t="s">
        <v>706</v>
      </c>
      <c r="D183" s="18" t="s">
        <v>790</v>
      </c>
      <c r="E183" s="18" t="s">
        <v>713</v>
      </c>
      <c r="F183" s="18" t="s">
        <v>714</v>
      </c>
      <c r="G183" s="18" t="s">
        <v>674</v>
      </c>
      <c r="H183" s="18" t="s">
        <v>791</v>
      </c>
      <c r="I183" s="315">
        <v>4467.0738950040095</v>
      </c>
      <c r="J183" s="315">
        <v>2.5679563687198675E-2</v>
      </c>
      <c r="K183" s="316" t="str">
        <f t="shared" si="30"/>
        <v>Construction and Mining Equipment</v>
      </c>
      <c r="L183" s="316" t="str">
        <f t="shared" si="31"/>
        <v>Diesel</v>
      </c>
      <c r="M183" s="8"/>
      <c r="N183" s="2"/>
      <c r="O183" s="2"/>
      <c r="P183" s="2"/>
      <c r="Q183" s="2"/>
      <c r="R183" s="2"/>
      <c r="S183" s="2"/>
      <c r="T183" s="2"/>
      <c r="U183" s="2"/>
      <c r="V183" s="2"/>
      <c r="W183" s="2"/>
      <c r="X183" s="2"/>
      <c r="Y183" s="2"/>
      <c r="Z183" s="2"/>
    </row>
    <row r="184" spans="1:26" ht="12.75" x14ac:dyDescent="0.2">
      <c r="A184" s="230"/>
      <c r="B184" s="18">
        <v>2023</v>
      </c>
      <c r="C184" s="18" t="s">
        <v>709</v>
      </c>
      <c r="D184" s="18" t="s">
        <v>769</v>
      </c>
      <c r="E184" s="18" t="s">
        <v>713</v>
      </c>
      <c r="F184" s="18" t="s">
        <v>714</v>
      </c>
      <c r="G184" s="18" t="s">
        <v>674</v>
      </c>
      <c r="H184" s="18" t="s">
        <v>770</v>
      </c>
      <c r="I184" s="315">
        <v>4462.3017137611905</v>
      </c>
      <c r="J184" s="315">
        <v>3.5780187658568524E-2</v>
      </c>
      <c r="K184" s="316" t="str">
        <f t="shared" si="30"/>
        <v>Construction and Mining Equipment</v>
      </c>
      <c r="L184" s="316" t="str">
        <f t="shared" si="31"/>
        <v>Diesel</v>
      </c>
      <c r="M184" s="8"/>
      <c r="N184" s="2"/>
      <c r="O184" s="2"/>
      <c r="P184" s="2"/>
      <c r="Q184" s="2"/>
      <c r="R184" s="2"/>
      <c r="S184" s="2"/>
      <c r="T184" s="2"/>
      <c r="U184" s="2"/>
      <c r="V184" s="2"/>
      <c r="W184" s="2"/>
      <c r="X184" s="2"/>
      <c r="Y184" s="2"/>
      <c r="Z184" s="2"/>
    </row>
    <row r="185" spans="1:26" ht="12.75" x14ac:dyDescent="0.2">
      <c r="A185" s="230"/>
      <c r="B185" s="18">
        <v>2023</v>
      </c>
      <c r="C185" s="18" t="s">
        <v>743</v>
      </c>
      <c r="D185" s="18" t="s">
        <v>702</v>
      </c>
      <c r="E185" s="18" t="s">
        <v>703</v>
      </c>
      <c r="F185" s="18" t="s">
        <v>704</v>
      </c>
      <c r="G185" s="18" t="s">
        <v>673</v>
      </c>
      <c r="H185" s="18" t="s">
        <v>705</v>
      </c>
      <c r="I185" s="315">
        <v>4452.1792441085372</v>
      </c>
      <c r="J185" s="315">
        <v>2.814309213435747</v>
      </c>
      <c r="K185" s="316" t="str">
        <f t="shared" si="30"/>
        <v>Lawn and Garden Equipment</v>
      </c>
      <c r="L185" s="316" t="str">
        <f t="shared" si="31"/>
        <v>Gasoline</v>
      </c>
      <c r="M185" s="8"/>
      <c r="N185" s="2"/>
      <c r="O185" s="2"/>
      <c r="P185" s="2"/>
      <c r="Q185" s="2"/>
      <c r="R185" s="2"/>
      <c r="S185" s="2"/>
      <c r="T185" s="2"/>
      <c r="U185" s="2"/>
      <c r="V185" s="2"/>
      <c r="W185" s="2"/>
      <c r="X185" s="2"/>
      <c r="Y185" s="2"/>
      <c r="Z185" s="2"/>
    </row>
    <row r="186" spans="1:26" ht="12.75" x14ac:dyDescent="0.2">
      <c r="A186" s="230"/>
      <c r="B186" s="18">
        <v>2023</v>
      </c>
      <c r="C186" s="18" t="s">
        <v>792</v>
      </c>
      <c r="D186" s="18" t="s">
        <v>707</v>
      </c>
      <c r="E186" s="18" t="s">
        <v>56</v>
      </c>
      <c r="F186" s="18" t="s">
        <v>672</v>
      </c>
      <c r="G186" s="18" t="s">
        <v>675</v>
      </c>
      <c r="H186" s="18" t="s">
        <v>708</v>
      </c>
      <c r="I186" s="315">
        <v>4429.3040467148949</v>
      </c>
      <c r="J186" s="315">
        <v>0.19901922160382032</v>
      </c>
      <c r="K186" s="316" t="str">
        <f t="shared" si="30"/>
        <v>Industrial Equipment</v>
      </c>
      <c r="L186" s="316" t="str">
        <f t="shared" si="31"/>
        <v>LPG</v>
      </c>
      <c r="M186" s="8"/>
      <c r="N186" s="2"/>
      <c r="O186" s="2"/>
      <c r="P186" s="2"/>
      <c r="Q186" s="2"/>
      <c r="R186" s="2"/>
      <c r="S186" s="2"/>
      <c r="T186" s="2"/>
      <c r="U186" s="2"/>
      <c r="V186" s="2"/>
      <c r="W186" s="2"/>
      <c r="X186" s="2"/>
      <c r="Y186" s="2"/>
      <c r="Z186" s="2"/>
    </row>
    <row r="187" spans="1:26" ht="12.75" x14ac:dyDescent="0.2">
      <c r="A187" s="230"/>
      <c r="B187" s="18">
        <v>2023</v>
      </c>
      <c r="C187" s="18" t="s">
        <v>753</v>
      </c>
      <c r="D187" s="18" t="s">
        <v>763</v>
      </c>
      <c r="E187" s="18" t="s">
        <v>713</v>
      </c>
      <c r="F187" s="18" t="s">
        <v>714</v>
      </c>
      <c r="G187" s="18" t="s">
        <v>678</v>
      </c>
      <c r="H187" s="18" t="s">
        <v>764</v>
      </c>
      <c r="I187" s="315">
        <v>4414.5844759249367</v>
      </c>
      <c r="J187" s="315">
        <v>4.9976996037690298E-2</v>
      </c>
      <c r="K187" s="316" t="str">
        <f t="shared" si="30"/>
        <v>Agricultural Equipment</v>
      </c>
      <c r="L187" s="316" t="str">
        <f t="shared" si="31"/>
        <v>Diesel</v>
      </c>
      <c r="M187" s="8"/>
      <c r="N187" s="2"/>
      <c r="O187" s="2"/>
      <c r="P187" s="2"/>
      <c r="Q187" s="2"/>
      <c r="R187" s="2"/>
      <c r="S187" s="2"/>
      <c r="T187" s="2"/>
      <c r="U187" s="2"/>
      <c r="V187" s="2"/>
      <c r="W187" s="2"/>
      <c r="X187" s="2"/>
      <c r="Y187" s="2"/>
      <c r="Z187" s="2"/>
    </row>
    <row r="188" spans="1:26" ht="12.75" x14ac:dyDescent="0.2">
      <c r="A188" s="230"/>
      <c r="B188" s="18">
        <v>2023</v>
      </c>
      <c r="C188" s="18" t="s">
        <v>731</v>
      </c>
      <c r="D188" s="18" t="s">
        <v>763</v>
      </c>
      <c r="E188" s="18" t="s">
        <v>713</v>
      </c>
      <c r="F188" s="18" t="s">
        <v>714</v>
      </c>
      <c r="G188" s="18" t="s">
        <v>678</v>
      </c>
      <c r="H188" s="18" t="s">
        <v>764</v>
      </c>
      <c r="I188" s="315">
        <v>4378.9288937995143</v>
      </c>
      <c r="J188" s="315">
        <v>4.9573217401664836E-2</v>
      </c>
      <c r="K188" s="316" t="str">
        <f t="shared" si="30"/>
        <v>Agricultural Equipment</v>
      </c>
      <c r="L188" s="316" t="str">
        <f t="shared" si="31"/>
        <v>Diesel</v>
      </c>
      <c r="M188" s="8"/>
      <c r="N188" s="2"/>
      <c r="O188" s="2"/>
      <c r="P188" s="2"/>
      <c r="Q188" s="2"/>
      <c r="R188" s="2"/>
      <c r="S188" s="2"/>
      <c r="T188" s="2"/>
      <c r="U188" s="2"/>
      <c r="V188" s="2"/>
      <c r="W188" s="2"/>
      <c r="X188" s="2"/>
      <c r="Y188" s="2"/>
      <c r="Z188" s="2"/>
    </row>
    <row r="189" spans="1:26" ht="12.75" x14ac:dyDescent="0.2">
      <c r="A189" s="230"/>
      <c r="B189" s="18">
        <v>2023</v>
      </c>
      <c r="C189" s="18" t="s">
        <v>787</v>
      </c>
      <c r="D189" s="18" t="s">
        <v>707</v>
      </c>
      <c r="E189" s="18" t="s">
        <v>56</v>
      </c>
      <c r="F189" s="18" t="s">
        <v>672</v>
      </c>
      <c r="G189" s="18" t="s">
        <v>675</v>
      </c>
      <c r="H189" s="18" t="s">
        <v>708</v>
      </c>
      <c r="I189" s="315">
        <v>4365.8676952612768</v>
      </c>
      <c r="J189" s="315">
        <v>0.19616929861379237</v>
      </c>
      <c r="K189" s="316" t="str">
        <f t="shared" si="30"/>
        <v>Industrial Equipment</v>
      </c>
      <c r="L189" s="316" t="str">
        <f t="shared" si="31"/>
        <v>LPG</v>
      </c>
      <c r="M189" s="8"/>
      <c r="N189" s="2"/>
      <c r="O189" s="2"/>
      <c r="P189" s="2"/>
      <c r="Q189" s="2"/>
      <c r="R189" s="2"/>
      <c r="S189" s="2"/>
      <c r="T189" s="2"/>
      <c r="U189" s="2"/>
      <c r="V189" s="2"/>
      <c r="W189" s="2"/>
      <c r="X189" s="2"/>
      <c r="Y189" s="2"/>
      <c r="Z189" s="2"/>
    </row>
    <row r="190" spans="1:26" ht="12.75" x14ac:dyDescent="0.2">
      <c r="A190" s="230"/>
      <c r="B190" s="18">
        <v>2023</v>
      </c>
      <c r="C190" s="18" t="s">
        <v>722</v>
      </c>
      <c r="D190" s="18" t="s">
        <v>761</v>
      </c>
      <c r="E190" s="18" t="s">
        <v>713</v>
      </c>
      <c r="F190" s="18" t="s">
        <v>714</v>
      </c>
      <c r="G190" s="18" t="s">
        <v>677</v>
      </c>
      <c r="H190" s="18" t="s">
        <v>747</v>
      </c>
      <c r="I190" s="315">
        <v>4352.8112366616751</v>
      </c>
      <c r="J190" s="315">
        <v>0.11119707729706095</v>
      </c>
      <c r="K190" s="316" t="str">
        <f t="shared" si="30"/>
        <v>Commercial Equipment</v>
      </c>
      <c r="L190" s="316" t="str">
        <f t="shared" si="31"/>
        <v>Diesel</v>
      </c>
      <c r="M190" s="8"/>
      <c r="N190" s="2"/>
      <c r="O190" s="2"/>
      <c r="P190" s="2"/>
      <c r="Q190" s="2"/>
      <c r="R190" s="2"/>
      <c r="S190" s="2"/>
      <c r="T190" s="2"/>
      <c r="U190" s="2"/>
      <c r="V190" s="2"/>
      <c r="W190" s="2"/>
      <c r="X190" s="2"/>
      <c r="Y190" s="2"/>
      <c r="Z190" s="2"/>
    </row>
    <row r="191" spans="1:26" x14ac:dyDescent="0.25">
      <c r="A191" s="314"/>
      <c r="B191" s="18">
        <v>2023</v>
      </c>
      <c r="C191" s="18" t="s">
        <v>732</v>
      </c>
      <c r="D191" s="18" t="s">
        <v>718</v>
      </c>
      <c r="E191" s="18" t="s">
        <v>713</v>
      </c>
      <c r="F191" s="18" t="s">
        <v>714</v>
      </c>
      <c r="G191" s="18" t="s">
        <v>674</v>
      </c>
      <c r="H191" s="18" t="s">
        <v>719</v>
      </c>
      <c r="I191" s="315">
        <v>4336.3874044001232</v>
      </c>
      <c r="J191" s="315">
        <v>1.6208327827657475E-2</v>
      </c>
      <c r="K191" s="316" t="str">
        <f t="shared" si="30"/>
        <v>Construction and Mining Equipment</v>
      </c>
      <c r="L191" s="316" t="str">
        <f t="shared" si="31"/>
        <v>Diesel</v>
      </c>
      <c r="M191" s="194"/>
      <c r="N191" s="317"/>
      <c r="O191" s="317"/>
      <c r="P191" s="317"/>
      <c r="Q191" s="317"/>
      <c r="R191" s="317"/>
      <c r="S191" s="317"/>
      <c r="T191" s="317"/>
      <c r="U191" s="317"/>
      <c r="V191" s="317"/>
      <c r="W191" s="317"/>
      <c r="X191" s="317"/>
      <c r="Y191" s="317"/>
      <c r="Z191" s="317"/>
    </row>
    <row r="192" spans="1:26" x14ac:dyDescent="0.25">
      <c r="A192" s="314"/>
      <c r="B192" s="18">
        <v>2023</v>
      </c>
      <c r="C192" s="18" t="s">
        <v>732</v>
      </c>
      <c r="D192" s="18" t="s">
        <v>720</v>
      </c>
      <c r="E192" s="18" t="s">
        <v>713</v>
      </c>
      <c r="F192" s="18" t="s">
        <v>714</v>
      </c>
      <c r="G192" s="18" t="s">
        <v>674</v>
      </c>
      <c r="H192" s="18" t="s">
        <v>721</v>
      </c>
      <c r="I192" s="315">
        <v>4318.0337667496478</v>
      </c>
      <c r="J192" s="315">
        <v>1.9489731152059452E-2</v>
      </c>
      <c r="K192" s="316" t="str">
        <f t="shared" si="30"/>
        <v>Construction and Mining Equipment</v>
      </c>
      <c r="L192" s="316" t="str">
        <f t="shared" si="31"/>
        <v>Diesel</v>
      </c>
      <c r="M192" s="194"/>
      <c r="N192" s="317"/>
      <c r="O192" s="317"/>
      <c r="P192" s="317"/>
      <c r="Q192" s="317"/>
      <c r="R192" s="317"/>
      <c r="S192" s="317"/>
      <c r="T192" s="317"/>
      <c r="U192" s="317"/>
      <c r="V192" s="317"/>
      <c r="W192" s="317"/>
      <c r="X192" s="317"/>
      <c r="Y192" s="317"/>
      <c r="Z192" s="317"/>
    </row>
    <row r="193" spans="1:26" x14ac:dyDescent="0.25">
      <c r="A193" s="314"/>
      <c r="B193" s="18">
        <v>2023</v>
      </c>
      <c r="C193" s="18" t="s">
        <v>710</v>
      </c>
      <c r="D193" s="18" t="s">
        <v>771</v>
      </c>
      <c r="E193" s="18" t="s">
        <v>713</v>
      </c>
      <c r="F193" s="18" t="s">
        <v>714</v>
      </c>
      <c r="G193" s="18" t="s">
        <v>675</v>
      </c>
      <c r="H193" s="18" t="s">
        <v>772</v>
      </c>
      <c r="I193" s="315">
        <v>4294.141621032999</v>
      </c>
      <c r="J193" s="315">
        <v>9.5540195214093016E-3</v>
      </c>
      <c r="K193" s="316" t="str">
        <f t="shared" si="30"/>
        <v>Industrial Equipment</v>
      </c>
      <c r="L193" s="316" t="str">
        <f t="shared" si="31"/>
        <v>Diesel</v>
      </c>
      <c r="M193" s="194"/>
      <c r="N193" s="317"/>
      <c r="O193" s="317"/>
      <c r="P193" s="317"/>
      <c r="Q193" s="317"/>
      <c r="R193" s="317"/>
      <c r="S193" s="317"/>
      <c r="T193" s="317"/>
      <c r="U193" s="317"/>
      <c r="V193" s="317"/>
      <c r="W193" s="317"/>
      <c r="X193" s="317"/>
      <c r="Y193" s="317"/>
      <c r="Z193" s="317"/>
    </row>
    <row r="194" spans="1:26" x14ac:dyDescent="0.25">
      <c r="A194" s="314"/>
      <c r="B194" s="18">
        <v>2023</v>
      </c>
      <c r="C194" s="18" t="s">
        <v>711</v>
      </c>
      <c r="D194" s="18" t="s">
        <v>744</v>
      </c>
      <c r="E194" s="18" t="s">
        <v>703</v>
      </c>
      <c r="F194" s="18" t="s">
        <v>704</v>
      </c>
      <c r="G194" s="18" t="s">
        <v>673</v>
      </c>
      <c r="H194" s="18" t="s">
        <v>745</v>
      </c>
      <c r="I194" s="315">
        <v>4234.2294249790839</v>
      </c>
      <c r="J194" s="315">
        <v>3.1208934015121934</v>
      </c>
      <c r="K194" s="316" t="str">
        <f t="shared" si="30"/>
        <v>Lawn and Garden Equipment</v>
      </c>
      <c r="L194" s="316" t="str">
        <f t="shared" si="31"/>
        <v>Gasoline</v>
      </c>
      <c r="M194" s="194"/>
      <c r="N194" s="317"/>
      <c r="O194" s="317"/>
      <c r="P194" s="317"/>
      <c r="Q194" s="317"/>
      <c r="R194" s="317"/>
      <c r="S194" s="317"/>
      <c r="T194" s="317"/>
      <c r="U194" s="317"/>
      <c r="V194" s="317"/>
      <c r="W194" s="317"/>
      <c r="X194" s="317"/>
      <c r="Y194" s="317"/>
      <c r="Z194" s="317"/>
    </row>
    <row r="195" spans="1:26" x14ac:dyDescent="0.25">
      <c r="A195" s="314"/>
      <c r="B195" s="18">
        <v>2023</v>
      </c>
      <c r="C195" s="18" t="s">
        <v>701</v>
      </c>
      <c r="D195" s="18" t="s">
        <v>784</v>
      </c>
      <c r="E195" s="18" t="s">
        <v>713</v>
      </c>
      <c r="F195" s="18" t="s">
        <v>714</v>
      </c>
      <c r="G195" s="18" t="s">
        <v>677</v>
      </c>
      <c r="H195" s="18" t="s">
        <v>785</v>
      </c>
      <c r="I195" s="315">
        <v>4197.8152432325978</v>
      </c>
      <c r="J195" s="315">
        <v>5.9491657401370142E-2</v>
      </c>
      <c r="K195" s="316" t="str">
        <f t="shared" si="30"/>
        <v>Commercial Equipment</v>
      </c>
      <c r="L195" s="316" t="str">
        <f t="shared" si="31"/>
        <v>Diesel</v>
      </c>
      <c r="M195" s="194"/>
      <c r="N195" s="317"/>
      <c r="O195" s="317"/>
      <c r="P195" s="317"/>
      <c r="Q195" s="317"/>
      <c r="R195" s="317"/>
      <c r="S195" s="317"/>
      <c r="T195" s="317"/>
      <c r="U195" s="317"/>
      <c r="V195" s="317"/>
      <c r="W195" s="317"/>
      <c r="X195" s="317"/>
      <c r="Y195" s="317"/>
      <c r="Z195" s="317"/>
    </row>
    <row r="196" spans="1:26" x14ac:dyDescent="0.25">
      <c r="A196" s="314"/>
      <c r="B196" s="18">
        <v>2023</v>
      </c>
      <c r="C196" s="18" t="s">
        <v>793</v>
      </c>
      <c r="D196" s="18" t="s">
        <v>728</v>
      </c>
      <c r="E196" s="18" t="s">
        <v>703</v>
      </c>
      <c r="F196" s="18" t="s">
        <v>676</v>
      </c>
      <c r="G196" s="18" t="s">
        <v>729</v>
      </c>
      <c r="H196" s="18" t="s">
        <v>730</v>
      </c>
      <c r="I196" s="315">
        <v>4182.5437297368999</v>
      </c>
      <c r="J196" s="315">
        <v>4.7358873030772379</v>
      </c>
      <c r="K196" s="316" t="str">
        <f t="shared" si="30"/>
        <v>Pleasure Craft</v>
      </c>
      <c r="L196" s="316" t="str">
        <f t="shared" si="31"/>
        <v>Gasoline</v>
      </c>
      <c r="M196" s="194"/>
      <c r="N196" s="317"/>
      <c r="O196" s="317"/>
      <c r="P196" s="317"/>
      <c r="Q196" s="317"/>
      <c r="R196" s="317"/>
      <c r="S196" s="317"/>
      <c r="T196" s="317"/>
      <c r="U196" s="317"/>
      <c r="V196" s="317"/>
      <c r="W196" s="317"/>
      <c r="X196" s="317"/>
      <c r="Y196" s="317"/>
      <c r="Z196" s="317"/>
    </row>
    <row r="197" spans="1:26" x14ac:dyDescent="0.25">
      <c r="A197" s="314"/>
      <c r="B197" s="18">
        <v>2023</v>
      </c>
      <c r="C197" s="18" t="s">
        <v>750</v>
      </c>
      <c r="D197" s="18" t="s">
        <v>765</v>
      </c>
      <c r="E197" s="18" t="s">
        <v>703</v>
      </c>
      <c r="F197" s="18" t="s">
        <v>676</v>
      </c>
      <c r="G197" s="18" t="s">
        <v>729</v>
      </c>
      <c r="H197" s="18" t="s">
        <v>766</v>
      </c>
      <c r="I197" s="315">
        <v>4135.2014265583875</v>
      </c>
      <c r="J197" s="315">
        <v>4.5483446158483538</v>
      </c>
      <c r="K197" s="316" t="str">
        <f t="shared" si="30"/>
        <v>Pleasure Craft</v>
      </c>
      <c r="L197" s="316" t="str">
        <f t="shared" si="31"/>
        <v>Gasoline</v>
      </c>
      <c r="M197" s="194"/>
      <c r="N197" s="317"/>
      <c r="O197" s="317"/>
      <c r="P197" s="317"/>
      <c r="Q197" s="317"/>
      <c r="R197" s="317"/>
      <c r="S197" s="317"/>
      <c r="T197" s="317"/>
      <c r="U197" s="317"/>
      <c r="V197" s="317"/>
      <c r="W197" s="317"/>
      <c r="X197" s="317"/>
      <c r="Y197" s="317"/>
      <c r="Z197" s="317"/>
    </row>
    <row r="198" spans="1:26" x14ac:dyDescent="0.25">
      <c r="A198" s="314"/>
      <c r="B198" s="18">
        <v>2023</v>
      </c>
      <c r="C198" s="18" t="s">
        <v>701</v>
      </c>
      <c r="D198" s="18" t="s">
        <v>794</v>
      </c>
      <c r="E198" s="18" t="s">
        <v>703</v>
      </c>
      <c r="F198" s="18" t="s">
        <v>795</v>
      </c>
      <c r="G198" s="18" t="s">
        <v>673</v>
      </c>
      <c r="H198" s="18" t="s">
        <v>796</v>
      </c>
      <c r="I198" s="315">
        <v>4115.059287703627</v>
      </c>
      <c r="J198" s="315">
        <v>7.5173992033826256</v>
      </c>
      <c r="K198" s="316" t="str">
        <f t="shared" si="30"/>
        <v>Lawn and Garden Equipment</v>
      </c>
      <c r="L198" s="316" t="str">
        <f t="shared" si="31"/>
        <v>Gasoline</v>
      </c>
      <c r="M198" s="194"/>
      <c r="N198" s="317"/>
      <c r="O198" s="317"/>
      <c r="P198" s="317"/>
      <c r="Q198" s="317"/>
      <c r="R198" s="317"/>
      <c r="S198" s="317"/>
      <c r="T198" s="317"/>
      <c r="U198" s="317"/>
      <c r="V198" s="317"/>
      <c r="W198" s="317"/>
      <c r="X198" s="317"/>
      <c r="Y198" s="317"/>
      <c r="Z198" s="317"/>
    </row>
    <row r="199" spans="1:26" x14ac:dyDescent="0.25">
      <c r="A199" s="314"/>
      <c r="B199" s="18">
        <v>2023</v>
      </c>
      <c r="C199" s="18" t="s">
        <v>722</v>
      </c>
      <c r="D199" s="18" t="s">
        <v>712</v>
      </c>
      <c r="E199" s="18" t="s">
        <v>713</v>
      </c>
      <c r="F199" s="18" t="s">
        <v>714</v>
      </c>
      <c r="G199" s="18" t="s">
        <v>674</v>
      </c>
      <c r="H199" s="18" t="s">
        <v>715</v>
      </c>
      <c r="I199" s="315">
        <v>4081.2079246394724</v>
      </c>
      <c r="J199" s="315">
        <v>2.4288012303411228E-2</v>
      </c>
      <c r="K199" s="316" t="str">
        <f t="shared" si="30"/>
        <v>Construction and Mining Equipment</v>
      </c>
      <c r="L199" s="316" t="str">
        <f t="shared" si="31"/>
        <v>Diesel</v>
      </c>
      <c r="M199" s="194"/>
      <c r="N199" s="317"/>
      <c r="O199" s="317"/>
      <c r="P199" s="317"/>
      <c r="Q199" s="317"/>
      <c r="R199" s="317"/>
      <c r="S199" s="317"/>
      <c r="T199" s="317"/>
      <c r="U199" s="317"/>
      <c r="V199" s="317"/>
      <c r="W199" s="317"/>
      <c r="X199" s="317"/>
      <c r="Y199" s="317"/>
      <c r="Z199" s="317"/>
    </row>
    <row r="200" spans="1:26" x14ac:dyDescent="0.25">
      <c r="A200" s="314"/>
      <c r="B200" s="18">
        <v>2023</v>
      </c>
      <c r="C200" s="18" t="s">
        <v>786</v>
      </c>
      <c r="D200" s="18" t="s">
        <v>728</v>
      </c>
      <c r="E200" s="18" t="s">
        <v>703</v>
      </c>
      <c r="F200" s="18" t="s">
        <v>676</v>
      </c>
      <c r="G200" s="18" t="s">
        <v>729</v>
      </c>
      <c r="H200" s="18" t="s">
        <v>730</v>
      </c>
      <c r="I200" s="315">
        <v>4034.9227126549772</v>
      </c>
      <c r="J200" s="315">
        <v>4.5687380818405163</v>
      </c>
      <c r="K200" s="316" t="str">
        <f t="shared" si="30"/>
        <v>Pleasure Craft</v>
      </c>
      <c r="L200" s="316" t="str">
        <f t="shared" si="31"/>
        <v>Gasoline</v>
      </c>
      <c r="M200" s="194"/>
      <c r="N200" s="317"/>
      <c r="O200" s="317"/>
      <c r="P200" s="317"/>
      <c r="Q200" s="317"/>
      <c r="R200" s="317"/>
      <c r="S200" s="317"/>
      <c r="T200" s="317"/>
      <c r="U200" s="317"/>
      <c r="V200" s="317"/>
      <c r="W200" s="317"/>
      <c r="X200" s="317"/>
      <c r="Y200" s="317"/>
      <c r="Z200" s="317"/>
    </row>
    <row r="201" spans="1:26" x14ac:dyDescent="0.25">
      <c r="A201" s="314"/>
      <c r="B201" s="18">
        <v>2023</v>
      </c>
      <c r="C201" s="18" t="s">
        <v>743</v>
      </c>
      <c r="D201" s="18" t="s">
        <v>763</v>
      </c>
      <c r="E201" s="18" t="s">
        <v>713</v>
      </c>
      <c r="F201" s="18" t="s">
        <v>714</v>
      </c>
      <c r="G201" s="18" t="s">
        <v>678</v>
      </c>
      <c r="H201" s="18" t="s">
        <v>764</v>
      </c>
      <c r="I201" s="315">
        <v>4034.3766364500361</v>
      </c>
      <c r="J201" s="315">
        <v>4.5672618650981864E-2</v>
      </c>
      <c r="K201" s="316" t="str">
        <f t="shared" si="30"/>
        <v>Agricultural Equipment</v>
      </c>
      <c r="L201" s="316" t="str">
        <f t="shared" si="31"/>
        <v>Diesel</v>
      </c>
      <c r="M201" s="194"/>
      <c r="N201" s="317"/>
      <c r="O201" s="317"/>
      <c r="P201" s="317"/>
      <c r="Q201" s="317"/>
      <c r="R201" s="317"/>
      <c r="S201" s="317"/>
      <c r="T201" s="317"/>
      <c r="U201" s="317"/>
      <c r="V201" s="317"/>
      <c r="W201" s="317"/>
      <c r="X201" s="317"/>
      <c r="Y201" s="317"/>
      <c r="Z201" s="317"/>
    </row>
    <row r="202" spans="1:26" x14ac:dyDescent="0.25">
      <c r="A202" s="314"/>
      <c r="B202" s="18">
        <v>2023</v>
      </c>
      <c r="C202" s="18" t="s">
        <v>722</v>
      </c>
      <c r="D202" s="18" t="s">
        <v>733</v>
      </c>
      <c r="E202" s="18" t="s">
        <v>703</v>
      </c>
      <c r="F202" s="18" t="s">
        <v>704</v>
      </c>
      <c r="G202" s="18" t="s">
        <v>673</v>
      </c>
      <c r="H202" s="18" t="s">
        <v>734</v>
      </c>
      <c r="I202" s="315">
        <v>4032.5148436689974</v>
      </c>
      <c r="J202" s="315">
        <v>2.5561213661917095</v>
      </c>
      <c r="K202" s="316" t="str">
        <f t="shared" si="30"/>
        <v>Lawn and Garden Equipment</v>
      </c>
      <c r="L202" s="316" t="str">
        <f t="shared" si="31"/>
        <v>Gasoline</v>
      </c>
      <c r="M202" s="194"/>
      <c r="N202" s="317"/>
      <c r="O202" s="317"/>
      <c r="P202" s="317"/>
      <c r="Q202" s="317"/>
      <c r="R202" s="317"/>
      <c r="S202" s="317"/>
      <c r="T202" s="317"/>
      <c r="U202" s="317"/>
      <c r="V202" s="317"/>
      <c r="W202" s="317"/>
      <c r="X202" s="317"/>
      <c r="Y202" s="317"/>
      <c r="Z202" s="317"/>
    </row>
    <row r="203" spans="1:26" x14ac:dyDescent="0.25">
      <c r="A203" s="314"/>
      <c r="B203" s="18">
        <v>2023</v>
      </c>
      <c r="C203" s="18" t="s">
        <v>709</v>
      </c>
      <c r="D203" s="18" t="s">
        <v>757</v>
      </c>
      <c r="E203" s="18" t="s">
        <v>713</v>
      </c>
      <c r="F203" s="18" t="s">
        <v>714</v>
      </c>
      <c r="G203" s="18" t="s">
        <v>673</v>
      </c>
      <c r="H203" s="18" t="s">
        <v>758</v>
      </c>
      <c r="I203" s="315">
        <v>4026.0336169234952</v>
      </c>
      <c r="J203" s="315">
        <v>0.15511430350751687</v>
      </c>
      <c r="K203" s="316" t="str">
        <f t="shared" si="30"/>
        <v>Lawn and Garden Equipment</v>
      </c>
      <c r="L203" s="316" t="str">
        <f t="shared" si="31"/>
        <v>Diesel</v>
      </c>
      <c r="M203" s="194"/>
      <c r="N203" s="317"/>
      <c r="O203" s="317"/>
      <c r="P203" s="317"/>
      <c r="Q203" s="317"/>
      <c r="R203" s="317"/>
      <c r="S203" s="317"/>
      <c r="T203" s="317"/>
      <c r="U203" s="317"/>
      <c r="V203" s="317"/>
      <c r="W203" s="317"/>
      <c r="X203" s="317"/>
      <c r="Y203" s="317"/>
      <c r="Z203" s="317"/>
    </row>
    <row r="204" spans="1:26" x14ac:dyDescent="0.25">
      <c r="A204" s="314"/>
      <c r="B204" s="18">
        <v>2023</v>
      </c>
      <c r="C204" s="18" t="s">
        <v>711</v>
      </c>
      <c r="D204" s="18" t="s">
        <v>748</v>
      </c>
      <c r="E204" s="18" t="s">
        <v>703</v>
      </c>
      <c r="F204" s="18" t="s">
        <v>704</v>
      </c>
      <c r="G204" s="18" t="s">
        <v>673</v>
      </c>
      <c r="H204" s="18" t="s">
        <v>749</v>
      </c>
      <c r="I204" s="315">
        <v>4015.0093133180349</v>
      </c>
      <c r="J204" s="315">
        <v>2.2797425073867168</v>
      </c>
      <c r="K204" s="316" t="str">
        <f t="shared" si="30"/>
        <v>Lawn and Garden Equipment</v>
      </c>
      <c r="L204" s="316" t="str">
        <f t="shared" si="31"/>
        <v>Gasoline</v>
      </c>
      <c r="M204" s="194"/>
      <c r="N204" s="317"/>
      <c r="O204" s="317"/>
      <c r="P204" s="317"/>
      <c r="Q204" s="317"/>
      <c r="R204" s="317"/>
      <c r="S204" s="317"/>
      <c r="T204" s="317"/>
      <c r="U204" s="317"/>
      <c r="V204" s="317"/>
      <c r="W204" s="317"/>
      <c r="X204" s="317"/>
      <c r="Y204" s="317"/>
      <c r="Z204" s="317"/>
    </row>
    <row r="205" spans="1:26" x14ac:dyDescent="0.25">
      <c r="A205" s="314"/>
      <c r="B205" s="18">
        <v>2023</v>
      </c>
      <c r="C205" s="18" t="s">
        <v>706</v>
      </c>
      <c r="D205" s="18" t="s">
        <v>757</v>
      </c>
      <c r="E205" s="18" t="s">
        <v>713</v>
      </c>
      <c r="F205" s="18" t="s">
        <v>714</v>
      </c>
      <c r="G205" s="18" t="s">
        <v>673</v>
      </c>
      <c r="H205" s="18" t="s">
        <v>758</v>
      </c>
      <c r="I205" s="315">
        <v>3984.5271757988353</v>
      </c>
      <c r="J205" s="315">
        <v>0.15351507678460388</v>
      </c>
      <c r="K205" s="316" t="str">
        <f t="shared" si="30"/>
        <v>Lawn and Garden Equipment</v>
      </c>
      <c r="L205" s="316" t="str">
        <f t="shared" si="31"/>
        <v>Diesel</v>
      </c>
      <c r="M205" s="194"/>
      <c r="N205" s="317"/>
      <c r="O205" s="317"/>
      <c r="P205" s="317"/>
      <c r="Q205" s="317"/>
      <c r="R205" s="317"/>
      <c r="S205" s="317"/>
      <c r="T205" s="317"/>
      <c r="U205" s="317"/>
      <c r="V205" s="317"/>
      <c r="W205" s="317"/>
      <c r="X205" s="317"/>
      <c r="Y205" s="317"/>
      <c r="Z205" s="317"/>
    </row>
    <row r="206" spans="1:26" x14ac:dyDescent="0.25">
      <c r="A206" s="314"/>
      <c r="B206" s="18">
        <v>2023</v>
      </c>
      <c r="C206" s="18" t="s">
        <v>706</v>
      </c>
      <c r="D206" s="18" t="s">
        <v>797</v>
      </c>
      <c r="E206" s="18" t="s">
        <v>713</v>
      </c>
      <c r="F206" s="18" t="s">
        <v>714</v>
      </c>
      <c r="G206" s="18" t="s">
        <v>675</v>
      </c>
      <c r="H206" s="18" t="s">
        <v>798</v>
      </c>
      <c r="I206" s="315">
        <v>3978.6283552344585</v>
      </c>
      <c r="J206" s="315">
        <v>3.3563751104895179E-2</v>
      </c>
      <c r="K206" s="316" t="str">
        <f t="shared" si="30"/>
        <v>Industrial Equipment</v>
      </c>
      <c r="L206" s="316" t="str">
        <f t="shared" si="31"/>
        <v>Diesel</v>
      </c>
      <c r="M206" s="194"/>
      <c r="N206" s="317"/>
      <c r="O206" s="317"/>
      <c r="P206" s="317"/>
      <c r="Q206" s="317"/>
      <c r="R206" s="317"/>
      <c r="S206" s="317"/>
      <c r="T206" s="317"/>
      <c r="U206" s="317"/>
      <c r="V206" s="317"/>
      <c r="W206" s="317"/>
      <c r="X206" s="317"/>
      <c r="Y206" s="317"/>
      <c r="Z206" s="317"/>
    </row>
    <row r="207" spans="1:26" x14ac:dyDescent="0.25">
      <c r="A207" s="314"/>
      <c r="B207" s="18">
        <v>2023</v>
      </c>
      <c r="C207" s="18" t="s">
        <v>711</v>
      </c>
      <c r="D207" s="18" t="s">
        <v>751</v>
      </c>
      <c r="E207" s="18" t="s">
        <v>713</v>
      </c>
      <c r="F207" s="18" t="s">
        <v>676</v>
      </c>
      <c r="G207" s="18" t="s">
        <v>79</v>
      </c>
      <c r="H207" s="18" t="s">
        <v>740</v>
      </c>
      <c r="I207" s="315">
        <v>3954.4202573336938</v>
      </c>
      <c r="J207" s="315">
        <v>0.15520741757866927</v>
      </c>
      <c r="K207" s="316" t="str">
        <f t="shared" si="30"/>
        <v>Pleasure Craft</v>
      </c>
      <c r="L207" s="316" t="str">
        <f t="shared" si="31"/>
        <v>Diesel</v>
      </c>
      <c r="M207" s="194"/>
      <c r="N207" s="317"/>
      <c r="O207" s="317"/>
      <c r="P207" s="317"/>
      <c r="Q207" s="317"/>
      <c r="R207" s="317"/>
      <c r="S207" s="317"/>
      <c r="T207" s="317"/>
      <c r="U207" s="317"/>
      <c r="V207" s="317"/>
      <c r="W207" s="317"/>
      <c r="X207" s="317"/>
      <c r="Y207" s="317"/>
      <c r="Z207" s="317"/>
    </row>
    <row r="208" spans="1:26" x14ac:dyDescent="0.25">
      <c r="A208" s="314"/>
      <c r="B208" s="18">
        <v>2023</v>
      </c>
      <c r="C208" s="18" t="s">
        <v>701</v>
      </c>
      <c r="D208" s="18" t="s">
        <v>788</v>
      </c>
      <c r="E208" s="18" t="s">
        <v>703</v>
      </c>
      <c r="F208" s="18" t="s">
        <v>704</v>
      </c>
      <c r="G208" s="18" t="s">
        <v>677</v>
      </c>
      <c r="H208" s="18" t="s">
        <v>789</v>
      </c>
      <c r="I208" s="315">
        <v>3941.5022236815835</v>
      </c>
      <c r="J208" s="315">
        <v>2.7263859783210336</v>
      </c>
      <c r="K208" s="316" t="str">
        <f t="shared" si="30"/>
        <v>Commercial Equipment</v>
      </c>
      <c r="L208" s="316" t="str">
        <f t="shared" si="31"/>
        <v>Gasoline</v>
      </c>
      <c r="M208" s="194"/>
      <c r="N208" s="317"/>
      <c r="O208" s="317"/>
      <c r="P208" s="317"/>
      <c r="Q208" s="317"/>
      <c r="R208" s="317"/>
      <c r="S208" s="317"/>
      <c r="T208" s="317"/>
      <c r="U208" s="317"/>
      <c r="V208" s="317"/>
      <c r="W208" s="317"/>
      <c r="X208" s="317"/>
      <c r="Y208" s="317"/>
      <c r="Z208" s="317"/>
    </row>
    <row r="209" spans="1:26" x14ac:dyDescent="0.25">
      <c r="A209" s="314"/>
      <c r="B209" s="18">
        <v>2023</v>
      </c>
      <c r="C209" s="18" t="s">
        <v>778</v>
      </c>
      <c r="D209" s="18" t="s">
        <v>712</v>
      </c>
      <c r="E209" s="18" t="s">
        <v>713</v>
      </c>
      <c r="F209" s="18" t="s">
        <v>714</v>
      </c>
      <c r="G209" s="18" t="s">
        <v>674</v>
      </c>
      <c r="H209" s="18" t="s">
        <v>715</v>
      </c>
      <c r="I209" s="315">
        <v>3934.0570367177911</v>
      </c>
      <c r="J209" s="315">
        <v>2.3412284744147357E-2</v>
      </c>
      <c r="K209" s="316" t="str">
        <f t="shared" si="30"/>
        <v>Construction and Mining Equipment</v>
      </c>
      <c r="L209" s="316" t="str">
        <f t="shared" si="31"/>
        <v>Diesel</v>
      </c>
      <c r="M209" s="194"/>
      <c r="N209" s="317"/>
      <c r="O209" s="317"/>
      <c r="P209" s="317"/>
      <c r="Q209" s="317"/>
      <c r="R209" s="317"/>
      <c r="S209" s="317"/>
      <c r="T209" s="317"/>
      <c r="U209" s="317"/>
      <c r="V209" s="317"/>
      <c r="W209" s="317"/>
      <c r="X209" s="317"/>
      <c r="Y209" s="317"/>
      <c r="Z209" s="317"/>
    </row>
    <row r="210" spans="1:26" x14ac:dyDescent="0.25">
      <c r="A210" s="314"/>
      <c r="B210" s="18">
        <v>2023</v>
      </c>
      <c r="C210" s="18" t="s">
        <v>701</v>
      </c>
      <c r="D210" s="18" t="s">
        <v>799</v>
      </c>
      <c r="E210" s="18" t="s">
        <v>703</v>
      </c>
      <c r="F210" s="18" t="s">
        <v>795</v>
      </c>
      <c r="G210" s="18" t="s">
        <v>673</v>
      </c>
      <c r="H210" s="18" t="s">
        <v>800</v>
      </c>
      <c r="I210" s="315">
        <v>3932.7786752673992</v>
      </c>
      <c r="J210" s="315">
        <v>7.4103800976496803</v>
      </c>
      <c r="K210" s="316" t="str">
        <f t="shared" si="30"/>
        <v>Lawn and Garden Equipment</v>
      </c>
      <c r="L210" s="316" t="str">
        <f t="shared" si="31"/>
        <v>Gasoline</v>
      </c>
      <c r="M210" s="194"/>
      <c r="N210" s="317"/>
      <c r="O210" s="317"/>
      <c r="P210" s="317"/>
      <c r="Q210" s="317"/>
      <c r="R210" s="317"/>
      <c r="S210" s="317"/>
      <c r="T210" s="317"/>
      <c r="U210" s="317"/>
      <c r="V210" s="317"/>
      <c r="W210" s="317"/>
      <c r="X210" s="317"/>
      <c r="Y210" s="317"/>
      <c r="Z210" s="317"/>
    </row>
    <row r="211" spans="1:26" x14ac:dyDescent="0.25">
      <c r="A211" s="314"/>
      <c r="B211" s="18">
        <v>2023</v>
      </c>
      <c r="C211" s="18" t="s">
        <v>706</v>
      </c>
      <c r="D211" s="18" t="s">
        <v>801</v>
      </c>
      <c r="E211" s="18" t="s">
        <v>713</v>
      </c>
      <c r="F211" s="18" t="s">
        <v>714</v>
      </c>
      <c r="G211" s="18" t="s">
        <v>675</v>
      </c>
      <c r="H211" s="18" t="s">
        <v>802</v>
      </c>
      <c r="I211" s="315">
        <v>3922.8092835864945</v>
      </c>
      <c r="J211" s="315">
        <v>2.6131037835075647E-2</v>
      </c>
      <c r="K211" s="316" t="str">
        <f t="shared" si="30"/>
        <v>Industrial Equipment</v>
      </c>
      <c r="L211" s="316" t="str">
        <f t="shared" si="31"/>
        <v>Diesel</v>
      </c>
      <c r="M211" s="194"/>
      <c r="N211" s="317"/>
      <c r="O211" s="317"/>
      <c r="P211" s="317"/>
      <c r="Q211" s="317"/>
      <c r="R211" s="317"/>
      <c r="S211" s="317"/>
      <c r="T211" s="317"/>
      <c r="U211" s="317"/>
      <c r="V211" s="317"/>
      <c r="W211" s="317"/>
      <c r="X211" s="317"/>
      <c r="Y211" s="317"/>
      <c r="Z211" s="317"/>
    </row>
    <row r="212" spans="1:26" x14ac:dyDescent="0.25">
      <c r="A212" s="314"/>
      <c r="B212" s="18">
        <v>2023</v>
      </c>
      <c r="C212" s="18" t="s">
        <v>701</v>
      </c>
      <c r="D212" s="18" t="s">
        <v>769</v>
      </c>
      <c r="E212" s="18" t="s">
        <v>713</v>
      </c>
      <c r="F212" s="18" t="s">
        <v>714</v>
      </c>
      <c r="G212" s="18" t="s">
        <v>674</v>
      </c>
      <c r="H212" s="18" t="s">
        <v>770</v>
      </c>
      <c r="I212" s="315">
        <v>3907.3378262513547</v>
      </c>
      <c r="J212" s="315">
        <v>3.1330325436328223E-2</v>
      </c>
      <c r="K212" s="316" t="str">
        <f t="shared" si="30"/>
        <v>Construction and Mining Equipment</v>
      </c>
      <c r="L212" s="316" t="str">
        <f t="shared" si="31"/>
        <v>Diesel</v>
      </c>
      <c r="M212" s="194"/>
      <c r="N212" s="317"/>
      <c r="O212" s="317"/>
      <c r="P212" s="317"/>
      <c r="Q212" s="317"/>
      <c r="R212" s="317"/>
      <c r="S212" s="317"/>
      <c r="T212" s="317"/>
      <c r="U212" s="317"/>
      <c r="V212" s="317"/>
      <c r="W212" s="317"/>
      <c r="X212" s="317"/>
      <c r="Y212" s="317"/>
      <c r="Z212" s="317"/>
    </row>
    <row r="213" spans="1:26" x14ac:dyDescent="0.25">
      <c r="A213" s="314"/>
      <c r="B213" s="18">
        <v>2023</v>
      </c>
      <c r="C213" s="18" t="s">
        <v>711</v>
      </c>
      <c r="D213" s="18" t="s">
        <v>755</v>
      </c>
      <c r="E213" s="18" t="s">
        <v>713</v>
      </c>
      <c r="F213" s="18" t="s">
        <v>714</v>
      </c>
      <c r="G213" s="18" t="s">
        <v>674</v>
      </c>
      <c r="H213" s="18" t="s">
        <v>756</v>
      </c>
      <c r="I213" s="315">
        <v>3816.6891122970169</v>
      </c>
      <c r="J213" s="315">
        <v>0.14820782082139866</v>
      </c>
      <c r="K213" s="316" t="str">
        <f t="shared" si="30"/>
        <v>Construction and Mining Equipment</v>
      </c>
      <c r="L213" s="316" t="str">
        <f t="shared" si="31"/>
        <v>Diesel</v>
      </c>
      <c r="M213" s="194"/>
      <c r="N213" s="317"/>
      <c r="O213" s="317"/>
      <c r="P213" s="317"/>
      <c r="Q213" s="317"/>
      <c r="R213" s="317"/>
      <c r="S213" s="317"/>
      <c r="T213" s="317"/>
      <c r="U213" s="317"/>
      <c r="V213" s="317"/>
      <c r="W213" s="317"/>
      <c r="X213" s="317"/>
      <c r="Y213" s="317"/>
      <c r="Z213" s="317"/>
    </row>
    <row r="214" spans="1:26" x14ac:dyDescent="0.25">
      <c r="A214" s="314"/>
      <c r="B214" s="18">
        <v>2023</v>
      </c>
      <c r="C214" s="18" t="s">
        <v>753</v>
      </c>
      <c r="D214" s="18" t="s">
        <v>765</v>
      </c>
      <c r="E214" s="18" t="s">
        <v>703</v>
      </c>
      <c r="F214" s="18" t="s">
        <v>676</v>
      </c>
      <c r="G214" s="18" t="s">
        <v>729</v>
      </c>
      <c r="H214" s="18" t="s">
        <v>766</v>
      </c>
      <c r="I214" s="315">
        <v>3781.9440679745121</v>
      </c>
      <c r="J214" s="315">
        <v>4.159792424333923</v>
      </c>
      <c r="K214" s="316" t="str">
        <f t="shared" si="30"/>
        <v>Pleasure Craft</v>
      </c>
      <c r="L214" s="316" t="str">
        <f t="shared" si="31"/>
        <v>Gasoline</v>
      </c>
      <c r="M214" s="194"/>
      <c r="N214" s="317"/>
      <c r="O214" s="317"/>
      <c r="P214" s="317"/>
      <c r="Q214" s="317"/>
      <c r="R214" s="317"/>
      <c r="S214" s="317"/>
      <c r="T214" s="317"/>
      <c r="U214" s="317"/>
      <c r="V214" s="317"/>
      <c r="W214" s="317"/>
      <c r="X214" s="317"/>
      <c r="Y214" s="317"/>
      <c r="Z214" s="317"/>
    </row>
    <row r="215" spans="1:26" x14ac:dyDescent="0.25">
      <c r="A215" s="314"/>
      <c r="B215" s="18">
        <v>2023</v>
      </c>
      <c r="C215" s="18" t="s">
        <v>762</v>
      </c>
      <c r="D215" s="18" t="s">
        <v>738</v>
      </c>
      <c r="E215" s="18" t="s">
        <v>703</v>
      </c>
      <c r="F215" s="18" t="s">
        <v>676</v>
      </c>
      <c r="G215" s="18" t="s">
        <v>739</v>
      </c>
      <c r="H215" s="18" t="s">
        <v>740</v>
      </c>
      <c r="I215" s="315">
        <v>3756.9007069056297</v>
      </c>
      <c r="J215" s="315">
        <v>1.6322264116267906</v>
      </c>
      <c r="K215" s="316" t="str">
        <f t="shared" si="30"/>
        <v>Pleasure Craft</v>
      </c>
      <c r="L215" s="316" t="str">
        <f t="shared" si="31"/>
        <v>Gasoline</v>
      </c>
      <c r="M215" s="194"/>
      <c r="N215" s="317"/>
      <c r="O215" s="317"/>
      <c r="P215" s="317"/>
      <c r="Q215" s="317"/>
      <c r="R215" s="317"/>
      <c r="S215" s="317"/>
      <c r="T215" s="317"/>
      <c r="U215" s="317"/>
      <c r="V215" s="317"/>
      <c r="W215" s="317"/>
      <c r="X215" s="317"/>
      <c r="Y215" s="317"/>
      <c r="Z215" s="317"/>
    </row>
    <row r="216" spans="1:26" x14ac:dyDescent="0.25">
      <c r="A216" s="314"/>
      <c r="B216" s="18">
        <v>2023</v>
      </c>
      <c r="C216" s="18" t="s">
        <v>722</v>
      </c>
      <c r="D216" s="18" t="s">
        <v>718</v>
      </c>
      <c r="E216" s="18" t="s">
        <v>713</v>
      </c>
      <c r="F216" s="18" t="s">
        <v>714</v>
      </c>
      <c r="G216" s="18" t="s">
        <v>674</v>
      </c>
      <c r="H216" s="18" t="s">
        <v>719</v>
      </c>
      <c r="I216" s="315">
        <v>3748.5379879736515</v>
      </c>
      <c r="J216" s="315">
        <v>1.4011087055121782E-2</v>
      </c>
      <c r="K216" s="316" t="str">
        <f t="shared" si="30"/>
        <v>Construction and Mining Equipment</v>
      </c>
      <c r="L216" s="316" t="str">
        <f t="shared" si="31"/>
        <v>Diesel</v>
      </c>
      <c r="M216" s="194"/>
      <c r="N216" s="317"/>
      <c r="O216" s="317"/>
      <c r="P216" s="317"/>
      <c r="Q216" s="317"/>
      <c r="R216" s="317"/>
      <c r="S216" s="317"/>
      <c r="T216" s="317"/>
      <c r="U216" s="317"/>
      <c r="V216" s="317"/>
      <c r="W216" s="317"/>
      <c r="X216" s="317"/>
      <c r="Y216" s="317"/>
      <c r="Z216" s="317"/>
    </row>
    <row r="217" spans="1:26" x14ac:dyDescent="0.25">
      <c r="A217" s="314"/>
      <c r="B217" s="18">
        <v>2023</v>
      </c>
      <c r="C217" s="18" t="s">
        <v>709</v>
      </c>
      <c r="D217" s="18" t="s">
        <v>776</v>
      </c>
      <c r="E217" s="18" t="s">
        <v>713</v>
      </c>
      <c r="F217" s="18" t="s">
        <v>714</v>
      </c>
      <c r="G217" s="18" t="s">
        <v>674</v>
      </c>
      <c r="H217" s="18" t="s">
        <v>777</v>
      </c>
      <c r="I217" s="315">
        <v>3741.504547353828</v>
      </c>
      <c r="J217" s="315">
        <v>1.488117273696864E-2</v>
      </c>
      <c r="K217" s="316" t="str">
        <f t="shared" si="30"/>
        <v>Construction and Mining Equipment</v>
      </c>
      <c r="L217" s="316" t="str">
        <f t="shared" si="31"/>
        <v>Diesel</v>
      </c>
      <c r="M217" s="194"/>
      <c r="N217" s="317"/>
      <c r="O217" s="317"/>
      <c r="P217" s="317"/>
      <c r="Q217" s="317"/>
      <c r="R217" s="317"/>
      <c r="S217" s="317"/>
      <c r="T217" s="317"/>
      <c r="U217" s="317"/>
      <c r="V217" s="317"/>
      <c r="W217" s="317"/>
      <c r="X217" s="317"/>
      <c r="Y217" s="317"/>
      <c r="Z217" s="317"/>
    </row>
    <row r="218" spans="1:26" x14ac:dyDescent="0.25">
      <c r="A218" s="314"/>
      <c r="B218" s="18">
        <v>2023</v>
      </c>
      <c r="C218" s="18" t="s">
        <v>722</v>
      </c>
      <c r="D218" s="18" t="s">
        <v>720</v>
      </c>
      <c r="E218" s="18" t="s">
        <v>713</v>
      </c>
      <c r="F218" s="18" t="s">
        <v>714</v>
      </c>
      <c r="G218" s="18" t="s">
        <v>674</v>
      </c>
      <c r="H218" s="18" t="s">
        <v>721</v>
      </c>
      <c r="I218" s="315">
        <v>3732.6761250415207</v>
      </c>
      <c r="J218" s="315">
        <v>1.684765416043045E-2</v>
      </c>
      <c r="K218" s="316" t="str">
        <f t="shared" si="30"/>
        <v>Construction and Mining Equipment</v>
      </c>
      <c r="L218" s="316" t="str">
        <f t="shared" si="31"/>
        <v>Diesel</v>
      </c>
      <c r="M218" s="194"/>
      <c r="N218" s="317"/>
      <c r="O218" s="317"/>
      <c r="P218" s="317"/>
      <c r="Q218" s="317"/>
      <c r="R218" s="317"/>
      <c r="S218" s="317"/>
      <c r="T218" s="317"/>
      <c r="U218" s="317"/>
      <c r="V218" s="317"/>
      <c r="W218" s="317"/>
      <c r="X218" s="317"/>
      <c r="Y218" s="317"/>
      <c r="Z218" s="317"/>
    </row>
    <row r="219" spans="1:26" x14ac:dyDescent="0.25">
      <c r="A219" s="314"/>
      <c r="B219" s="18">
        <v>2023</v>
      </c>
      <c r="C219" s="18" t="s">
        <v>709</v>
      </c>
      <c r="D219" s="18" t="s">
        <v>752</v>
      </c>
      <c r="E219" s="18" t="s">
        <v>713</v>
      </c>
      <c r="F219" s="18" t="s">
        <v>714</v>
      </c>
      <c r="G219" s="18" t="s">
        <v>675</v>
      </c>
      <c r="H219" s="18" t="s">
        <v>708</v>
      </c>
      <c r="I219" s="315">
        <v>3730.3974270995782</v>
      </c>
      <c r="J219" s="315">
        <v>1.9025714165723667E-2</v>
      </c>
      <c r="K219" s="316" t="str">
        <f t="shared" si="30"/>
        <v>Industrial Equipment</v>
      </c>
      <c r="L219" s="316" t="str">
        <f t="shared" si="31"/>
        <v>Diesel</v>
      </c>
      <c r="M219" s="194"/>
      <c r="N219" s="317"/>
      <c r="O219" s="317"/>
      <c r="P219" s="317"/>
      <c r="Q219" s="317"/>
      <c r="R219" s="317"/>
      <c r="S219" s="317"/>
      <c r="T219" s="317"/>
      <c r="U219" s="317"/>
      <c r="V219" s="317"/>
      <c r="W219" s="317"/>
      <c r="X219" s="317"/>
      <c r="Y219" s="317"/>
      <c r="Z219" s="317"/>
    </row>
    <row r="220" spans="1:26" x14ac:dyDescent="0.25">
      <c r="A220" s="314"/>
      <c r="B220" s="18">
        <v>2023</v>
      </c>
      <c r="C220" s="18" t="s">
        <v>732</v>
      </c>
      <c r="D220" s="18" t="s">
        <v>725</v>
      </c>
      <c r="E220" s="18" t="s">
        <v>713</v>
      </c>
      <c r="F220" s="18" t="s">
        <v>714</v>
      </c>
      <c r="G220" s="18" t="s">
        <v>674</v>
      </c>
      <c r="H220" s="18" t="s">
        <v>726</v>
      </c>
      <c r="I220" s="315">
        <v>3711.2887943860255</v>
      </c>
      <c r="J220" s="315">
        <v>2.0764093577612285E-2</v>
      </c>
      <c r="K220" s="316" t="str">
        <f t="shared" si="30"/>
        <v>Construction and Mining Equipment</v>
      </c>
      <c r="L220" s="316" t="str">
        <f t="shared" si="31"/>
        <v>Diesel</v>
      </c>
      <c r="M220" s="194"/>
      <c r="N220" s="317"/>
      <c r="O220" s="317"/>
      <c r="P220" s="317"/>
      <c r="Q220" s="317"/>
      <c r="R220" s="317"/>
      <c r="S220" s="317"/>
      <c r="T220" s="317"/>
      <c r="U220" s="317"/>
      <c r="V220" s="317"/>
      <c r="W220" s="317"/>
      <c r="X220" s="317"/>
      <c r="Y220" s="317"/>
      <c r="Z220" s="317"/>
    </row>
    <row r="221" spans="1:26" x14ac:dyDescent="0.25">
      <c r="A221" s="314"/>
      <c r="B221" s="18">
        <v>2023</v>
      </c>
      <c r="C221" s="18" t="s">
        <v>722</v>
      </c>
      <c r="D221" s="18" t="s">
        <v>741</v>
      </c>
      <c r="E221" s="18" t="s">
        <v>713</v>
      </c>
      <c r="F221" s="18" t="s">
        <v>714</v>
      </c>
      <c r="G221" s="18" t="s">
        <v>673</v>
      </c>
      <c r="H221" s="18" t="s">
        <v>742</v>
      </c>
      <c r="I221" s="315">
        <v>3674.2569986351396</v>
      </c>
      <c r="J221" s="315">
        <v>6.0856271395203075E-2</v>
      </c>
      <c r="K221" s="316" t="str">
        <f t="shared" si="30"/>
        <v>Lawn and Garden Equipment</v>
      </c>
      <c r="L221" s="316" t="str">
        <f t="shared" si="31"/>
        <v>Diesel</v>
      </c>
      <c r="M221" s="194"/>
      <c r="N221" s="317"/>
      <c r="O221" s="317"/>
      <c r="P221" s="317"/>
      <c r="Q221" s="317"/>
      <c r="R221" s="317"/>
      <c r="S221" s="317"/>
      <c r="T221" s="317"/>
      <c r="U221" s="317"/>
      <c r="V221" s="317"/>
      <c r="W221" s="317"/>
      <c r="X221" s="317"/>
      <c r="Y221" s="317"/>
      <c r="Z221" s="317"/>
    </row>
    <row r="222" spans="1:26" x14ac:dyDescent="0.25">
      <c r="A222" s="314"/>
      <c r="B222" s="18">
        <v>2023</v>
      </c>
      <c r="C222" s="18" t="s">
        <v>778</v>
      </c>
      <c r="D222" s="18" t="s">
        <v>751</v>
      </c>
      <c r="E222" s="18" t="s">
        <v>713</v>
      </c>
      <c r="F222" s="18" t="s">
        <v>676</v>
      </c>
      <c r="G222" s="18" t="s">
        <v>79</v>
      </c>
      <c r="H222" s="18" t="s">
        <v>740</v>
      </c>
      <c r="I222" s="315">
        <v>3660.5948100493833</v>
      </c>
      <c r="J222" s="315">
        <v>0.1436751153305916</v>
      </c>
      <c r="K222" s="316" t="str">
        <f t="shared" si="30"/>
        <v>Pleasure Craft</v>
      </c>
      <c r="L222" s="316" t="str">
        <f t="shared" si="31"/>
        <v>Diesel</v>
      </c>
      <c r="M222" s="194"/>
      <c r="N222" s="317"/>
      <c r="O222" s="317"/>
      <c r="P222" s="317"/>
      <c r="Q222" s="317"/>
      <c r="R222" s="317"/>
      <c r="S222" s="317"/>
      <c r="T222" s="317"/>
      <c r="U222" s="317"/>
      <c r="V222" s="317"/>
      <c r="W222" s="317"/>
      <c r="X222" s="317"/>
      <c r="Y222" s="317"/>
      <c r="Z222" s="317"/>
    </row>
    <row r="223" spans="1:26" x14ac:dyDescent="0.25">
      <c r="A223" s="314"/>
      <c r="B223" s="18">
        <v>2023</v>
      </c>
      <c r="C223" s="18" t="s">
        <v>760</v>
      </c>
      <c r="D223" s="18" t="s">
        <v>728</v>
      </c>
      <c r="E223" s="18" t="s">
        <v>703</v>
      </c>
      <c r="F223" s="18" t="s">
        <v>676</v>
      </c>
      <c r="G223" s="18" t="s">
        <v>729</v>
      </c>
      <c r="H223" s="18" t="s">
        <v>730</v>
      </c>
      <c r="I223" s="315">
        <v>3641.272325634578</v>
      </c>
      <c r="J223" s="315">
        <v>4.1230108768402411</v>
      </c>
      <c r="K223" s="316" t="str">
        <f t="shared" si="30"/>
        <v>Pleasure Craft</v>
      </c>
      <c r="L223" s="316" t="str">
        <f t="shared" si="31"/>
        <v>Gasoline</v>
      </c>
      <c r="M223" s="194"/>
      <c r="N223" s="317"/>
      <c r="O223" s="317"/>
      <c r="P223" s="317"/>
      <c r="Q223" s="317"/>
      <c r="R223" s="317"/>
      <c r="S223" s="317"/>
      <c r="T223" s="317"/>
      <c r="U223" s="317"/>
      <c r="V223" s="317"/>
      <c r="W223" s="317"/>
      <c r="X223" s="317"/>
      <c r="Y223" s="317"/>
      <c r="Z223" s="317"/>
    </row>
    <row r="224" spans="1:26" x14ac:dyDescent="0.25">
      <c r="A224" s="314"/>
      <c r="B224" s="18">
        <v>2023</v>
      </c>
      <c r="C224" s="18" t="s">
        <v>760</v>
      </c>
      <c r="D224" s="18" t="s">
        <v>733</v>
      </c>
      <c r="E224" s="18" t="s">
        <v>703</v>
      </c>
      <c r="F224" s="18" t="s">
        <v>704</v>
      </c>
      <c r="G224" s="18" t="s">
        <v>673</v>
      </c>
      <c r="H224" s="18" t="s">
        <v>734</v>
      </c>
      <c r="I224" s="315">
        <v>3617.8083639281672</v>
      </c>
      <c r="J224" s="315">
        <v>2.2941021266342947</v>
      </c>
      <c r="K224" s="316" t="str">
        <f t="shared" si="30"/>
        <v>Lawn and Garden Equipment</v>
      </c>
      <c r="L224" s="316" t="str">
        <f t="shared" si="31"/>
        <v>Gasoline</v>
      </c>
      <c r="M224" s="194"/>
      <c r="N224" s="317"/>
      <c r="O224" s="317"/>
      <c r="P224" s="317"/>
      <c r="Q224" s="317"/>
      <c r="R224" s="317"/>
      <c r="S224" s="317"/>
      <c r="T224" s="317"/>
      <c r="U224" s="317"/>
      <c r="V224" s="317"/>
      <c r="W224" s="317"/>
      <c r="X224" s="317"/>
      <c r="Y224" s="317"/>
      <c r="Z224" s="317"/>
    </row>
    <row r="225" spans="1:26" x14ac:dyDescent="0.25">
      <c r="A225" s="314"/>
      <c r="B225" s="18">
        <v>2023</v>
      </c>
      <c r="C225" s="18" t="s">
        <v>778</v>
      </c>
      <c r="D225" s="18" t="s">
        <v>718</v>
      </c>
      <c r="E225" s="18" t="s">
        <v>713</v>
      </c>
      <c r="F225" s="18" t="s">
        <v>714</v>
      </c>
      <c r="G225" s="18" t="s">
        <v>674</v>
      </c>
      <c r="H225" s="18" t="s">
        <v>719</v>
      </c>
      <c r="I225" s="315">
        <v>3613.3782298851279</v>
      </c>
      <c r="J225" s="315">
        <v>1.3505894153264985E-2</v>
      </c>
      <c r="K225" s="316" t="str">
        <f t="shared" si="30"/>
        <v>Construction and Mining Equipment</v>
      </c>
      <c r="L225" s="316" t="str">
        <f t="shared" si="31"/>
        <v>Diesel</v>
      </c>
      <c r="M225" s="194"/>
      <c r="N225" s="317"/>
      <c r="O225" s="317"/>
      <c r="P225" s="317"/>
      <c r="Q225" s="317"/>
      <c r="R225" s="317"/>
      <c r="S225" s="317"/>
      <c r="T225" s="317"/>
      <c r="U225" s="317"/>
      <c r="V225" s="317"/>
      <c r="W225" s="317"/>
      <c r="X225" s="317"/>
      <c r="Y225" s="317"/>
      <c r="Z225" s="317"/>
    </row>
    <row r="226" spans="1:26" x14ac:dyDescent="0.25">
      <c r="A226" s="314"/>
      <c r="B226" s="18">
        <v>2023</v>
      </c>
      <c r="C226" s="18" t="s">
        <v>754</v>
      </c>
      <c r="D226" s="18" t="s">
        <v>716</v>
      </c>
      <c r="E226" s="18" t="s">
        <v>713</v>
      </c>
      <c r="F226" s="18" t="s">
        <v>714</v>
      </c>
      <c r="G226" s="18" t="s">
        <v>675</v>
      </c>
      <c r="H226" s="18" t="s">
        <v>717</v>
      </c>
      <c r="I226" s="315">
        <v>3603.5039015316765</v>
      </c>
      <c r="J226" s="315">
        <v>7.394567863940299E-2</v>
      </c>
      <c r="K226" s="316" t="str">
        <f t="shared" si="30"/>
        <v>Industrial Equipment</v>
      </c>
      <c r="L226" s="316" t="str">
        <f t="shared" si="31"/>
        <v>Diesel</v>
      </c>
      <c r="M226" s="194"/>
      <c r="N226" s="317"/>
      <c r="O226" s="317"/>
      <c r="P226" s="317"/>
      <c r="Q226" s="317"/>
      <c r="R226" s="317"/>
      <c r="S226" s="317"/>
      <c r="T226" s="317"/>
      <c r="U226" s="317"/>
      <c r="V226" s="317"/>
      <c r="W226" s="317"/>
      <c r="X226" s="317"/>
      <c r="Y226" s="317"/>
      <c r="Z226" s="317"/>
    </row>
    <row r="227" spans="1:26" x14ac:dyDescent="0.25">
      <c r="A227" s="314"/>
      <c r="B227" s="18">
        <v>2023</v>
      </c>
      <c r="C227" s="18" t="s">
        <v>701</v>
      </c>
      <c r="D227" s="18" t="s">
        <v>803</v>
      </c>
      <c r="E227" s="18" t="s">
        <v>703</v>
      </c>
      <c r="F227" s="18" t="s">
        <v>805</v>
      </c>
      <c r="G227" s="18" t="s">
        <v>673</v>
      </c>
      <c r="H227" s="18" t="s">
        <v>806</v>
      </c>
      <c r="I227" s="315">
        <v>3600.5116554319466</v>
      </c>
      <c r="J227" s="315">
        <v>7.1262138204449563</v>
      </c>
      <c r="K227" s="316" t="str">
        <f t="shared" si="30"/>
        <v>Lawn and Garden Equipment</v>
      </c>
      <c r="L227" s="316" t="str">
        <f t="shared" si="31"/>
        <v>Gasoline</v>
      </c>
      <c r="M227" s="194"/>
      <c r="N227" s="317"/>
      <c r="O227" s="317"/>
      <c r="P227" s="317"/>
      <c r="Q227" s="317"/>
      <c r="R227" s="317"/>
      <c r="S227" s="317"/>
      <c r="T227" s="317"/>
      <c r="U227" s="317"/>
      <c r="V227" s="317"/>
      <c r="W227" s="317"/>
      <c r="X227" s="317"/>
      <c r="Y227" s="317"/>
      <c r="Z227" s="317"/>
    </row>
    <row r="228" spans="1:26" x14ac:dyDescent="0.25">
      <c r="A228" s="314"/>
      <c r="B228" s="18">
        <v>2023</v>
      </c>
      <c r="C228" s="18" t="s">
        <v>778</v>
      </c>
      <c r="D228" s="18" t="s">
        <v>720</v>
      </c>
      <c r="E228" s="18" t="s">
        <v>713</v>
      </c>
      <c r="F228" s="18" t="s">
        <v>714</v>
      </c>
      <c r="G228" s="18" t="s">
        <v>674</v>
      </c>
      <c r="H228" s="18" t="s">
        <v>721</v>
      </c>
      <c r="I228" s="315">
        <v>3598.0867469177224</v>
      </c>
      <c r="J228" s="315">
        <v>1.6240187622276244E-2</v>
      </c>
      <c r="K228" s="316" t="str">
        <f t="shared" si="30"/>
        <v>Construction and Mining Equipment</v>
      </c>
      <c r="L228" s="316" t="str">
        <f t="shared" si="31"/>
        <v>Diesel</v>
      </c>
      <c r="M228" s="194"/>
      <c r="N228" s="317"/>
      <c r="O228" s="317"/>
      <c r="P228" s="317"/>
      <c r="Q228" s="317"/>
      <c r="R228" s="317"/>
      <c r="S228" s="317"/>
      <c r="T228" s="317"/>
      <c r="U228" s="317"/>
      <c r="V228" s="317"/>
      <c r="W228" s="317"/>
      <c r="X228" s="317"/>
      <c r="Y228" s="317"/>
      <c r="Z228" s="317"/>
    </row>
    <row r="229" spans="1:26" x14ac:dyDescent="0.25">
      <c r="A229" s="314"/>
      <c r="B229" s="18">
        <v>2023</v>
      </c>
      <c r="C229" s="18" t="s">
        <v>710</v>
      </c>
      <c r="D229" s="18" t="s">
        <v>702</v>
      </c>
      <c r="E229" s="18" t="s">
        <v>703</v>
      </c>
      <c r="F229" s="18" t="s">
        <v>704</v>
      </c>
      <c r="G229" s="18" t="s">
        <v>673</v>
      </c>
      <c r="H229" s="18" t="s">
        <v>705</v>
      </c>
      <c r="I229" s="315">
        <v>3565.6826965585869</v>
      </c>
      <c r="J229" s="315">
        <v>2.2465862736468631</v>
      </c>
      <c r="K229" s="316" t="str">
        <f t="shared" si="30"/>
        <v>Lawn and Garden Equipment</v>
      </c>
      <c r="L229" s="316" t="str">
        <f t="shared" si="31"/>
        <v>Gasoline</v>
      </c>
      <c r="M229" s="194"/>
      <c r="N229" s="317"/>
      <c r="O229" s="317"/>
      <c r="P229" s="317"/>
      <c r="Q229" s="317"/>
      <c r="R229" s="317"/>
      <c r="S229" s="317"/>
      <c r="T229" s="317"/>
      <c r="U229" s="317"/>
      <c r="V229" s="317"/>
      <c r="W229" s="317"/>
      <c r="X229" s="317"/>
      <c r="Y229" s="317"/>
      <c r="Z229" s="317"/>
    </row>
    <row r="230" spans="1:26" x14ac:dyDescent="0.25">
      <c r="A230" s="314"/>
      <c r="B230" s="18">
        <v>2023</v>
      </c>
      <c r="C230" s="18" t="s">
        <v>709</v>
      </c>
      <c r="D230" s="18" t="s">
        <v>779</v>
      </c>
      <c r="E230" s="18" t="s">
        <v>713</v>
      </c>
      <c r="F230" s="18" t="s">
        <v>714</v>
      </c>
      <c r="G230" s="18" t="s">
        <v>674</v>
      </c>
      <c r="H230" s="18" t="s">
        <v>780</v>
      </c>
      <c r="I230" s="315">
        <v>3467.2532631005238</v>
      </c>
      <c r="J230" s="315">
        <v>1.1292653398952517E-2</v>
      </c>
      <c r="K230" s="316" t="str">
        <f t="shared" si="30"/>
        <v>Construction and Mining Equipment</v>
      </c>
      <c r="L230" s="316" t="str">
        <f t="shared" si="31"/>
        <v>Diesel</v>
      </c>
      <c r="M230" s="194"/>
      <c r="N230" s="317"/>
      <c r="O230" s="317"/>
      <c r="P230" s="317"/>
      <c r="Q230" s="317"/>
      <c r="R230" s="317"/>
      <c r="S230" s="317"/>
      <c r="T230" s="317"/>
      <c r="U230" s="317"/>
      <c r="V230" s="317"/>
      <c r="W230" s="317"/>
      <c r="X230" s="317"/>
      <c r="Y230" s="317"/>
      <c r="Z230" s="317"/>
    </row>
    <row r="231" spans="1:26" x14ac:dyDescent="0.25">
      <c r="A231" s="314"/>
      <c r="B231" s="18">
        <v>2023</v>
      </c>
      <c r="C231" s="18" t="s">
        <v>786</v>
      </c>
      <c r="D231" s="18" t="s">
        <v>738</v>
      </c>
      <c r="E231" s="18" t="s">
        <v>703</v>
      </c>
      <c r="F231" s="18" t="s">
        <v>676</v>
      </c>
      <c r="G231" s="18" t="s">
        <v>739</v>
      </c>
      <c r="H231" s="18" t="s">
        <v>740</v>
      </c>
      <c r="I231" s="315">
        <v>3457.5477702590101</v>
      </c>
      <c r="J231" s="315">
        <v>1.5028185508838121</v>
      </c>
      <c r="K231" s="316" t="str">
        <f t="shared" si="30"/>
        <v>Pleasure Craft</v>
      </c>
      <c r="L231" s="316" t="str">
        <f t="shared" si="31"/>
        <v>Gasoline</v>
      </c>
      <c r="M231" s="194"/>
      <c r="N231" s="317"/>
      <c r="O231" s="317"/>
      <c r="P231" s="317"/>
      <c r="Q231" s="317"/>
      <c r="R231" s="317"/>
      <c r="S231" s="317"/>
      <c r="T231" s="317"/>
      <c r="U231" s="317"/>
      <c r="V231" s="317"/>
      <c r="W231" s="317"/>
      <c r="X231" s="317"/>
      <c r="Y231" s="317"/>
      <c r="Z231" s="317"/>
    </row>
    <row r="232" spans="1:26" x14ac:dyDescent="0.25">
      <c r="A232" s="314"/>
      <c r="B232" s="18">
        <v>2023</v>
      </c>
      <c r="C232" s="18" t="s">
        <v>760</v>
      </c>
      <c r="D232" s="18" t="s">
        <v>735</v>
      </c>
      <c r="E232" s="18" t="s">
        <v>713</v>
      </c>
      <c r="F232" s="18" t="s">
        <v>714</v>
      </c>
      <c r="G232" s="18" t="s">
        <v>674</v>
      </c>
      <c r="H232" s="18" t="s">
        <v>736</v>
      </c>
      <c r="I232" s="315">
        <v>3450.2123679902288</v>
      </c>
      <c r="J232" s="315">
        <v>0.10319797232730668</v>
      </c>
      <c r="K232" s="316" t="str">
        <f t="shared" si="30"/>
        <v>Construction and Mining Equipment</v>
      </c>
      <c r="L232" s="316" t="str">
        <f t="shared" si="31"/>
        <v>Diesel</v>
      </c>
      <c r="M232" s="194"/>
      <c r="N232" s="317"/>
      <c r="O232" s="317"/>
      <c r="P232" s="317"/>
      <c r="Q232" s="317"/>
      <c r="R232" s="317"/>
      <c r="S232" s="317"/>
      <c r="T232" s="317"/>
      <c r="U232" s="317"/>
      <c r="V232" s="317"/>
      <c r="W232" s="317"/>
      <c r="X232" s="317"/>
      <c r="Y232" s="317"/>
      <c r="Z232" s="317"/>
    </row>
    <row r="233" spans="1:26" x14ac:dyDescent="0.25">
      <c r="A233" s="314"/>
      <c r="B233" s="18">
        <v>2023</v>
      </c>
      <c r="C233" s="18" t="s">
        <v>722</v>
      </c>
      <c r="D233" s="18" t="s">
        <v>744</v>
      </c>
      <c r="E233" s="18" t="s">
        <v>703</v>
      </c>
      <c r="F233" s="18" t="s">
        <v>704</v>
      </c>
      <c r="G233" s="18" t="s">
        <v>673</v>
      </c>
      <c r="H233" s="18" t="s">
        <v>745</v>
      </c>
      <c r="I233" s="315">
        <v>3442.5218836904155</v>
      </c>
      <c r="J233" s="315">
        <v>2.5401324305124873</v>
      </c>
      <c r="K233" s="316" t="str">
        <f t="shared" si="30"/>
        <v>Lawn and Garden Equipment</v>
      </c>
      <c r="L233" s="316" t="str">
        <f t="shared" si="31"/>
        <v>Gasoline</v>
      </c>
      <c r="M233" s="194"/>
      <c r="N233" s="317"/>
      <c r="O233" s="317"/>
      <c r="P233" s="317"/>
      <c r="Q233" s="317"/>
      <c r="R233" s="317"/>
      <c r="S233" s="317"/>
      <c r="T233" s="317"/>
      <c r="U233" s="317"/>
      <c r="V233" s="317"/>
      <c r="W233" s="317"/>
      <c r="X233" s="317"/>
      <c r="Y233" s="317"/>
      <c r="Z233" s="317"/>
    </row>
    <row r="234" spans="1:26" x14ac:dyDescent="0.25">
      <c r="A234" s="314"/>
      <c r="B234" s="18">
        <v>2023</v>
      </c>
      <c r="C234" s="18" t="s">
        <v>709</v>
      </c>
      <c r="D234" s="18" t="s">
        <v>782</v>
      </c>
      <c r="E234" s="18" t="s">
        <v>713</v>
      </c>
      <c r="F234" s="18" t="s">
        <v>714</v>
      </c>
      <c r="G234" s="18" t="s">
        <v>674</v>
      </c>
      <c r="H234" s="18" t="s">
        <v>783</v>
      </c>
      <c r="I234" s="315">
        <v>3438.9280181234085</v>
      </c>
      <c r="J234" s="315">
        <v>3.2647603658890981E-2</v>
      </c>
      <c r="K234" s="316" t="str">
        <f t="shared" si="30"/>
        <v>Construction and Mining Equipment</v>
      </c>
      <c r="L234" s="316" t="str">
        <f t="shared" si="31"/>
        <v>Diesel</v>
      </c>
      <c r="M234" s="194"/>
      <c r="N234" s="317"/>
      <c r="O234" s="317"/>
      <c r="P234" s="317"/>
      <c r="Q234" s="317"/>
      <c r="R234" s="317"/>
      <c r="S234" s="317"/>
      <c r="T234" s="317"/>
      <c r="U234" s="317"/>
      <c r="V234" s="317"/>
      <c r="W234" s="317"/>
      <c r="X234" s="317"/>
      <c r="Y234" s="317"/>
      <c r="Z234" s="317"/>
    </row>
    <row r="235" spans="1:26" x14ac:dyDescent="0.25">
      <c r="A235" s="314"/>
      <c r="B235" s="18">
        <v>2023</v>
      </c>
      <c r="C235" s="18" t="s">
        <v>793</v>
      </c>
      <c r="D235" s="18" t="s">
        <v>738</v>
      </c>
      <c r="E235" s="18" t="s">
        <v>703</v>
      </c>
      <c r="F235" s="18" t="s">
        <v>676</v>
      </c>
      <c r="G235" s="18" t="s">
        <v>739</v>
      </c>
      <c r="H235" s="18" t="s">
        <v>740</v>
      </c>
      <c r="I235" s="315">
        <v>3382.7096738862692</v>
      </c>
      <c r="J235" s="315">
        <v>1.4687893089394017</v>
      </c>
      <c r="K235" s="316" t="str">
        <f t="shared" si="30"/>
        <v>Pleasure Craft</v>
      </c>
      <c r="L235" s="316" t="str">
        <f t="shared" si="31"/>
        <v>Gasoline</v>
      </c>
      <c r="M235" s="194"/>
      <c r="N235" s="317"/>
      <c r="O235" s="317"/>
      <c r="P235" s="317"/>
      <c r="Q235" s="317"/>
      <c r="R235" s="317"/>
      <c r="S235" s="317"/>
      <c r="T235" s="317"/>
      <c r="U235" s="317"/>
      <c r="V235" s="317"/>
      <c r="W235" s="317"/>
      <c r="X235" s="317"/>
      <c r="Y235" s="317"/>
      <c r="Z235" s="317"/>
    </row>
    <row r="236" spans="1:26" x14ac:dyDescent="0.25">
      <c r="A236" s="314"/>
      <c r="B236" s="18">
        <v>2023</v>
      </c>
      <c r="C236" s="18" t="s">
        <v>701</v>
      </c>
      <c r="D236" s="18" t="s">
        <v>807</v>
      </c>
      <c r="E236" s="18" t="s">
        <v>703</v>
      </c>
      <c r="F236" s="18" t="s">
        <v>805</v>
      </c>
      <c r="G236" s="18" t="s">
        <v>673</v>
      </c>
      <c r="H236" s="18" t="s">
        <v>749</v>
      </c>
      <c r="I236" s="315">
        <v>3362.0201878616258</v>
      </c>
      <c r="J236" s="315">
        <v>6.2892081548846619</v>
      </c>
      <c r="K236" s="316" t="str">
        <f t="shared" si="30"/>
        <v>Lawn and Garden Equipment</v>
      </c>
      <c r="L236" s="316" t="str">
        <f t="shared" si="31"/>
        <v>Gasoline</v>
      </c>
      <c r="M236" s="194"/>
      <c r="N236" s="317"/>
      <c r="O236" s="317"/>
      <c r="P236" s="317"/>
      <c r="Q236" s="317"/>
      <c r="R236" s="317"/>
      <c r="S236" s="317"/>
      <c r="T236" s="317"/>
      <c r="U236" s="317"/>
      <c r="V236" s="317"/>
      <c r="W236" s="317"/>
      <c r="X236" s="317"/>
      <c r="Y236" s="317"/>
      <c r="Z236" s="317"/>
    </row>
    <row r="237" spans="1:26" x14ac:dyDescent="0.25">
      <c r="A237" s="314"/>
      <c r="B237" s="18">
        <v>2023</v>
      </c>
      <c r="C237" s="18" t="s">
        <v>759</v>
      </c>
      <c r="D237" s="18" t="s">
        <v>765</v>
      </c>
      <c r="E237" s="18" t="s">
        <v>703</v>
      </c>
      <c r="F237" s="18" t="s">
        <v>676</v>
      </c>
      <c r="G237" s="18" t="s">
        <v>729</v>
      </c>
      <c r="H237" s="18" t="s">
        <v>766</v>
      </c>
      <c r="I237" s="315">
        <v>3345.565796223601</v>
      </c>
      <c r="J237" s="315">
        <v>3.6798179341533945</v>
      </c>
      <c r="K237" s="316" t="str">
        <f t="shared" si="30"/>
        <v>Pleasure Craft</v>
      </c>
      <c r="L237" s="316" t="str">
        <f t="shared" si="31"/>
        <v>Gasoline</v>
      </c>
      <c r="M237" s="194"/>
      <c r="N237" s="317"/>
      <c r="O237" s="317"/>
      <c r="P237" s="317"/>
      <c r="Q237" s="317"/>
      <c r="R237" s="317"/>
      <c r="S237" s="317"/>
      <c r="T237" s="317"/>
      <c r="U237" s="317"/>
      <c r="V237" s="317"/>
      <c r="W237" s="317"/>
      <c r="X237" s="317"/>
      <c r="Y237" s="317"/>
      <c r="Z237" s="317"/>
    </row>
    <row r="238" spans="1:26" x14ac:dyDescent="0.25">
      <c r="A238" s="314"/>
      <c r="B238" s="18">
        <v>2023</v>
      </c>
      <c r="C238" s="18" t="s">
        <v>711</v>
      </c>
      <c r="D238" s="18" t="s">
        <v>757</v>
      </c>
      <c r="E238" s="18" t="s">
        <v>713</v>
      </c>
      <c r="F238" s="18" t="s">
        <v>714</v>
      </c>
      <c r="G238" s="18" t="s">
        <v>673</v>
      </c>
      <c r="H238" s="18" t="s">
        <v>758</v>
      </c>
      <c r="I238" s="315">
        <v>3314.9072922015857</v>
      </c>
      <c r="J238" s="315">
        <v>0.12771600168028369</v>
      </c>
      <c r="K238" s="316" t="str">
        <f t="shared" si="30"/>
        <v>Lawn and Garden Equipment</v>
      </c>
      <c r="L238" s="316" t="str">
        <f t="shared" si="31"/>
        <v>Diesel</v>
      </c>
      <c r="M238" s="194"/>
      <c r="N238" s="317"/>
      <c r="O238" s="317"/>
      <c r="P238" s="317"/>
      <c r="Q238" s="317"/>
      <c r="R238" s="317"/>
      <c r="S238" s="317"/>
      <c r="T238" s="317"/>
      <c r="U238" s="317"/>
      <c r="V238" s="317"/>
      <c r="W238" s="317"/>
      <c r="X238" s="317"/>
      <c r="Y238" s="317"/>
      <c r="Z238" s="317"/>
    </row>
    <row r="239" spans="1:26" x14ac:dyDescent="0.25">
      <c r="A239" s="314"/>
      <c r="B239" s="18">
        <v>2023</v>
      </c>
      <c r="C239" s="18" t="s">
        <v>701</v>
      </c>
      <c r="D239" s="18" t="s">
        <v>776</v>
      </c>
      <c r="E239" s="18" t="s">
        <v>713</v>
      </c>
      <c r="F239" s="18" t="s">
        <v>714</v>
      </c>
      <c r="G239" s="18" t="s">
        <v>674</v>
      </c>
      <c r="H239" s="18" t="s">
        <v>777</v>
      </c>
      <c r="I239" s="315">
        <v>3276.1826218549486</v>
      </c>
      <c r="J239" s="315">
        <v>1.3030431496034707E-2</v>
      </c>
      <c r="K239" s="316" t="str">
        <f t="shared" si="30"/>
        <v>Construction and Mining Equipment</v>
      </c>
      <c r="L239" s="316" t="str">
        <f t="shared" si="31"/>
        <v>Diesel</v>
      </c>
      <c r="M239" s="194"/>
      <c r="N239" s="317"/>
      <c r="O239" s="317"/>
      <c r="P239" s="317"/>
      <c r="Q239" s="317"/>
      <c r="R239" s="317"/>
      <c r="S239" s="317"/>
      <c r="T239" s="317"/>
      <c r="U239" s="317"/>
      <c r="V239" s="317"/>
      <c r="W239" s="317"/>
      <c r="X239" s="317"/>
      <c r="Y239" s="317"/>
      <c r="Z239" s="317"/>
    </row>
    <row r="240" spans="1:26" x14ac:dyDescent="0.25">
      <c r="A240" s="314"/>
      <c r="B240" s="18">
        <v>2023</v>
      </c>
      <c r="C240" s="18" t="s">
        <v>722</v>
      </c>
      <c r="D240" s="18" t="s">
        <v>748</v>
      </c>
      <c r="E240" s="18" t="s">
        <v>703</v>
      </c>
      <c r="F240" s="18" t="s">
        <v>704</v>
      </c>
      <c r="G240" s="18" t="s">
        <v>673</v>
      </c>
      <c r="H240" s="18" t="s">
        <v>749</v>
      </c>
      <c r="I240" s="315">
        <v>3264.2837224091754</v>
      </c>
      <c r="J240" s="315">
        <v>1.8555092311449468</v>
      </c>
      <c r="K240" s="316" t="str">
        <f t="shared" si="30"/>
        <v>Lawn and Garden Equipment</v>
      </c>
      <c r="L240" s="316" t="str">
        <f t="shared" si="31"/>
        <v>Gasoline</v>
      </c>
      <c r="M240" s="194"/>
      <c r="N240" s="317"/>
      <c r="O240" s="317"/>
      <c r="P240" s="317"/>
      <c r="Q240" s="317"/>
      <c r="R240" s="317"/>
      <c r="S240" s="317"/>
      <c r="T240" s="317"/>
      <c r="U240" s="317"/>
      <c r="V240" s="317"/>
      <c r="W240" s="317"/>
      <c r="X240" s="317"/>
      <c r="Y240" s="317"/>
      <c r="Z240" s="317"/>
    </row>
    <row r="241" spans="1:26" x14ac:dyDescent="0.25">
      <c r="A241" s="314"/>
      <c r="B241" s="18">
        <v>2023</v>
      </c>
      <c r="C241" s="18" t="s">
        <v>732</v>
      </c>
      <c r="D241" s="18" t="s">
        <v>733</v>
      </c>
      <c r="E241" s="18" t="s">
        <v>703</v>
      </c>
      <c r="F241" s="18" t="s">
        <v>704</v>
      </c>
      <c r="G241" s="18" t="s">
        <v>673</v>
      </c>
      <c r="H241" s="18" t="s">
        <v>734</v>
      </c>
      <c r="I241" s="315">
        <v>3251.2137935653554</v>
      </c>
      <c r="J241" s="315">
        <v>2.0649417845182452</v>
      </c>
      <c r="K241" s="316" t="str">
        <f t="shared" si="30"/>
        <v>Lawn and Garden Equipment</v>
      </c>
      <c r="L241" s="316" t="str">
        <f t="shared" si="31"/>
        <v>Gasoline</v>
      </c>
      <c r="M241" s="194"/>
      <c r="N241" s="317"/>
      <c r="O241" s="317"/>
      <c r="P241" s="317"/>
      <c r="Q241" s="317"/>
      <c r="R241" s="317"/>
      <c r="S241" s="317"/>
      <c r="T241" s="317"/>
      <c r="U241" s="317"/>
      <c r="V241" s="317"/>
      <c r="W241" s="317"/>
      <c r="X241" s="317"/>
      <c r="Y241" s="317"/>
      <c r="Z241" s="317"/>
    </row>
    <row r="242" spans="1:26" x14ac:dyDescent="0.25">
      <c r="A242" s="314"/>
      <c r="B242" s="18">
        <v>2023</v>
      </c>
      <c r="C242" s="18" t="s">
        <v>722</v>
      </c>
      <c r="D242" s="18" t="s">
        <v>725</v>
      </c>
      <c r="E242" s="18" t="s">
        <v>713</v>
      </c>
      <c r="F242" s="18" t="s">
        <v>714</v>
      </c>
      <c r="G242" s="18" t="s">
        <v>674</v>
      </c>
      <c r="H242" s="18" t="s">
        <v>726</v>
      </c>
      <c r="I242" s="315">
        <v>3208.1748751637952</v>
      </c>
      <c r="J242" s="315">
        <v>1.7949263981215914E-2</v>
      </c>
      <c r="K242" s="316" t="str">
        <f t="shared" si="30"/>
        <v>Construction and Mining Equipment</v>
      </c>
      <c r="L242" s="316" t="str">
        <f t="shared" si="31"/>
        <v>Diesel</v>
      </c>
      <c r="M242" s="194"/>
      <c r="N242" s="317"/>
      <c r="O242" s="317"/>
      <c r="P242" s="317"/>
      <c r="Q242" s="317"/>
      <c r="R242" s="317"/>
      <c r="S242" s="317"/>
      <c r="T242" s="317"/>
      <c r="U242" s="317"/>
      <c r="V242" s="317"/>
      <c r="W242" s="317"/>
      <c r="X242" s="317"/>
      <c r="Y242" s="317"/>
      <c r="Z242" s="317"/>
    </row>
    <row r="243" spans="1:26" x14ac:dyDescent="0.25">
      <c r="A243" s="314"/>
      <c r="B243" s="18">
        <v>2023</v>
      </c>
      <c r="C243" s="18" t="s">
        <v>709</v>
      </c>
      <c r="D243" s="18" t="s">
        <v>784</v>
      </c>
      <c r="E243" s="18" t="s">
        <v>713</v>
      </c>
      <c r="F243" s="18" t="s">
        <v>714</v>
      </c>
      <c r="G243" s="18" t="s">
        <v>677</v>
      </c>
      <c r="H243" s="18" t="s">
        <v>785</v>
      </c>
      <c r="I243" s="315">
        <v>3206.7355542157816</v>
      </c>
      <c r="J243" s="315">
        <v>4.544598748602488E-2</v>
      </c>
      <c r="K243" s="316" t="str">
        <f t="shared" si="30"/>
        <v>Commercial Equipment</v>
      </c>
      <c r="L243" s="316" t="str">
        <f t="shared" si="31"/>
        <v>Diesel</v>
      </c>
      <c r="M243" s="194"/>
      <c r="N243" s="317"/>
      <c r="O243" s="317"/>
      <c r="P243" s="317"/>
      <c r="Q243" s="317"/>
      <c r="R243" s="317"/>
      <c r="S243" s="317"/>
      <c r="T243" s="317"/>
      <c r="U243" s="317"/>
      <c r="V243" s="317"/>
      <c r="W243" s="317"/>
      <c r="X243" s="317"/>
      <c r="Y243" s="317"/>
      <c r="Z243" s="317"/>
    </row>
    <row r="244" spans="1:26" x14ac:dyDescent="0.25">
      <c r="A244" s="314"/>
      <c r="B244" s="18">
        <v>2023</v>
      </c>
      <c r="C244" s="18" t="s">
        <v>701</v>
      </c>
      <c r="D244" s="18" t="s">
        <v>771</v>
      </c>
      <c r="E244" s="18" t="s">
        <v>713</v>
      </c>
      <c r="F244" s="18" t="s">
        <v>714</v>
      </c>
      <c r="G244" s="18" t="s">
        <v>675</v>
      </c>
      <c r="H244" s="18" t="s">
        <v>772</v>
      </c>
      <c r="I244" s="315">
        <v>3202.2238601588474</v>
      </c>
      <c r="J244" s="315">
        <v>7.1246365277550872E-3</v>
      </c>
      <c r="K244" s="316" t="str">
        <f t="shared" si="30"/>
        <v>Industrial Equipment</v>
      </c>
      <c r="L244" s="316" t="str">
        <f t="shared" si="31"/>
        <v>Diesel</v>
      </c>
      <c r="M244" s="194"/>
      <c r="N244" s="317"/>
      <c r="O244" s="317"/>
      <c r="P244" s="317"/>
      <c r="Q244" s="317"/>
      <c r="R244" s="317"/>
      <c r="S244" s="317"/>
      <c r="T244" s="317"/>
      <c r="U244" s="317"/>
      <c r="V244" s="317"/>
      <c r="W244" s="317"/>
      <c r="X244" s="317"/>
      <c r="Y244" s="317"/>
      <c r="Z244" s="317"/>
    </row>
    <row r="245" spans="1:26" x14ac:dyDescent="0.25">
      <c r="A245" s="314"/>
      <c r="B245" s="18">
        <v>2023</v>
      </c>
      <c r="C245" s="18" t="s">
        <v>709</v>
      </c>
      <c r="D245" s="18" t="s">
        <v>790</v>
      </c>
      <c r="E245" s="18" t="s">
        <v>713</v>
      </c>
      <c r="F245" s="18" t="s">
        <v>714</v>
      </c>
      <c r="G245" s="18" t="s">
        <v>674</v>
      </c>
      <c r="H245" s="18" t="s">
        <v>791</v>
      </c>
      <c r="I245" s="315">
        <v>3186.395143727837</v>
      </c>
      <c r="J245" s="315">
        <v>1.8317415596429909E-2</v>
      </c>
      <c r="K245" s="316" t="str">
        <f t="shared" si="30"/>
        <v>Construction and Mining Equipment</v>
      </c>
      <c r="L245" s="316" t="str">
        <f t="shared" si="31"/>
        <v>Diesel</v>
      </c>
      <c r="M245" s="194"/>
      <c r="N245" s="317"/>
      <c r="O245" s="317"/>
      <c r="P245" s="317"/>
      <c r="Q245" s="317"/>
      <c r="R245" s="317"/>
      <c r="S245" s="317"/>
      <c r="T245" s="317"/>
      <c r="U245" s="317"/>
      <c r="V245" s="317"/>
      <c r="W245" s="317"/>
      <c r="X245" s="317"/>
      <c r="Y245" s="317"/>
      <c r="Z245" s="317"/>
    </row>
    <row r="246" spans="1:26" x14ac:dyDescent="0.25">
      <c r="A246" s="314"/>
      <c r="B246" s="18">
        <v>2023</v>
      </c>
      <c r="C246" s="18" t="s">
        <v>810</v>
      </c>
      <c r="D246" s="18" t="s">
        <v>702</v>
      </c>
      <c r="E246" s="18" t="s">
        <v>703</v>
      </c>
      <c r="F246" s="18" t="s">
        <v>704</v>
      </c>
      <c r="G246" s="18" t="s">
        <v>673</v>
      </c>
      <c r="H246" s="18" t="s">
        <v>705</v>
      </c>
      <c r="I246" s="315">
        <v>3171.6873566457916</v>
      </c>
      <c r="J246" s="315">
        <v>2.0197877904781101</v>
      </c>
      <c r="K246" s="316" t="str">
        <f t="shared" si="30"/>
        <v>Lawn and Garden Equipment</v>
      </c>
      <c r="L246" s="316" t="str">
        <f t="shared" si="31"/>
        <v>Gasoline</v>
      </c>
      <c r="M246" s="194"/>
      <c r="N246" s="317"/>
      <c r="O246" s="317"/>
      <c r="P246" s="317"/>
      <c r="Q246" s="317"/>
      <c r="R246" s="317"/>
      <c r="S246" s="317"/>
      <c r="T246" s="317"/>
      <c r="U246" s="317"/>
      <c r="V246" s="317"/>
      <c r="W246" s="317"/>
      <c r="X246" s="317"/>
      <c r="Y246" s="317"/>
      <c r="Z246" s="317"/>
    </row>
    <row r="247" spans="1:26" x14ac:dyDescent="0.25">
      <c r="A247" s="314"/>
      <c r="B247" s="18">
        <v>2023</v>
      </c>
      <c r="C247" s="18" t="s">
        <v>759</v>
      </c>
      <c r="D247" s="18" t="s">
        <v>702</v>
      </c>
      <c r="E247" s="18" t="s">
        <v>703</v>
      </c>
      <c r="F247" s="18" t="s">
        <v>704</v>
      </c>
      <c r="G247" s="18" t="s">
        <v>673</v>
      </c>
      <c r="H247" s="18" t="s">
        <v>705</v>
      </c>
      <c r="I247" s="315">
        <v>3171.6873566457916</v>
      </c>
      <c r="J247" s="315">
        <v>1.9918425163489208</v>
      </c>
      <c r="K247" s="316" t="str">
        <f t="shared" si="30"/>
        <v>Lawn and Garden Equipment</v>
      </c>
      <c r="L247" s="316" t="str">
        <f t="shared" si="31"/>
        <v>Gasoline</v>
      </c>
      <c r="M247" s="194"/>
      <c r="N247" s="317"/>
      <c r="O247" s="317"/>
      <c r="P247" s="317"/>
      <c r="Q247" s="317"/>
      <c r="R247" s="317"/>
      <c r="S247" s="317"/>
      <c r="T247" s="317"/>
      <c r="U247" s="317"/>
      <c r="V247" s="317"/>
      <c r="W247" s="317"/>
      <c r="X247" s="317"/>
      <c r="Y247" s="317"/>
      <c r="Z247" s="317"/>
    </row>
    <row r="248" spans="1:26" x14ac:dyDescent="0.25">
      <c r="A248" s="314"/>
      <c r="B248" s="18">
        <v>2023</v>
      </c>
      <c r="C248" s="18" t="s">
        <v>727</v>
      </c>
      <c r="D248" s="18" t="s">
        <v>702</v>
      </c>
      <c r="E248" s="18" t="s">
        <v>703</v>
      </c>
      <c r="F248" s="18" t="s">
        <v>704</v>
      </c>
      <c r="G248" s="18" t="s">
        <v>673</v>
      </c>
      <c r="H248" s="18" t="s">
        <v>705</v>
      </c>
      <c r="I248" s="315">
        <v>3171.6873566457916</v>
      </c>
      <c r="J248" s="315">
        <v>1.9929323273526962</v>
      </c>
      <c r="K248" s="316" t="str">
        <f t="shared" si="30"/>
        <v>Lawn and Garden Equipment</v>
      </c>
      <c r="L248" s="316" t="str">
        <f t="shared" si="31"/>
        <v>Gasoline</v>
      </c>
      <c r="M248" s="194"/>
      <c r="N248" s="317"/>
      <c r="O248" s="317"/>
      <c r="P248" s="317"/>
      <c r="Q248" s="317"/>
      <c r="R248" s="317"/>
      <c r="S248" s="317"/>
      <c r="T248" s="317"/>
      <c r="U248" s="317"/>
      <c r="V248" s="317"/>
      <c r="W248" s="317"/>
      <c r="X248" s="317"/>
      <c r="Y248" s="317"/>
      <c r="Z248" s="317"/>
    </row>
    <row r="249" spans="1:26" x14ac:dyDescent="0.25">
      <c r="A249" s="314"/>
      <c r="B249" s="18">
        <v>2023</v>
      </c>
      <c r="C249" s="18" t="s">
        <v>731</v>
      </c>
      <c r="D249" s="18" t="s">
        <v>702</v>
      </c>
      <c r="E249" s="18" t="s">
        <v>703</v>
      </c>
      <c r="F249" s="18" t="s">
        <v>704</v>
      </c>
      <c r="G249" s="18" t="s">
        <v>673</v>
      </c>
      <c r="H249" s="18" t="s">
        <v>705</v>
      </c>
      <c r="I249" s="315">
        <v>3151.9830569460419</v>
      </c>
      <c r="J249" s="315">
        <v>1.9814177836905753</v>
      </c>
      <c r="K249" s="316" t="str">
        <f t="shared" si="30"/>
        <v>Lawn and Garden Equipment</v>
      </c>
      <c r="L249" s="316" t="str">
        <f t="shared" si="31"/>
        <v>Gasoline</v>
      </c>
      <c r="M249" s="194"/>
      <c r="N249" s="317"/>
      <c r="O249" s="317"/>
      <c r="P249" s="317"/>
      <c r="Q249" s="317"/>
      <c r="R249" s="317"/>
      <c r="S249" s="317"/>
      <c r="T249" s="317"/>
      <c r="U249" s="317"/>
      <c r="V249" s="317"/>
      <c r="W249" s="317"/>
      <c r="X249" s="317"/>
      <c r="Y249" s="317"/>
      <c r="Z249" s="317"/>
    </row>
    <row r="250" spans="1:26" x14ac:dyDescent="0.25">
      <c r="A250" s="314"/>
      <c r="B250" s="18">
        <v>2023</v>
      </c>
      <c r="C250" s="18" t="s">
        <v>711</v>
      </c>
      <c r="D250" s="18" t="s">
        <v>784</v>
      </c>
      <c r="E250" s="18" t="s">
        <v>713</v>
      </c>
      <c r="F250" s="18" t="s">
        <v>714</v>
      </c>
      <c r="G250" s="18" t="s">
        <v>677</v>
      </c>
      <c r="H250" s="18" t="s">
        <v>785</v>
      </c>
      <c r="I250" s="315">
        <v>3140.0264184338021</v>
      </c>
      <c r="J250" s="315">
        <v>4.4500547701370824E-2</v>
      </c>
      <c r="K250" s="316" t="str">
        <f t="shared" si="30"/>
        <v>Commercial Equipment</v>
      </c>
      <c r="L250" s="316" t="str">
        <f t="shared" si="31"/>
        <v>Diesel</v>
      </c>
      <c r="M250" s="194"/>
      <c r="N250" s="317"/>
      <c r="O250" s="317"/>
      <c r="P250" s="317"/>
      <c r="Q250" s="317"/>
      <c r="R250" s="317"/>
      <c r="S250" s="317"/>
      <c r="T250" s="317"/>
      <c r="U250" s="317"/>
      <c r="V250" s="317"/>
      <c r="W250" s="317"/>
      <c r="X250" s="317"/>
      <c r="Y250" s="317"/>
      <c r="Z250" s="317"/>
    </row>
    <row r="251" spans="1:26" x14ac:dyDescent="0.25">
      <c r="A251" s="314"/>
      <c r="B251" s="18">
        <v>2023</v>
      </c>
      <c r="C251" s="18" t="s">
        <v>753</v>
      </c>
      <c r="D251" s="18" t="s">
        <v>702</v>
      </c>
      <c r="E251" s="18" t="s">
        <v>703</v>
      </c>
      <c r="F251" s="18" t="s">
        <v>704</v>
      </c>
      <c r="G251" s="18" t="s">
        <v>673</v>
      </c>
      <c r="H251" s="18" t="s">
        <v>705</v>
      </c>
      <c r="I251" s="315">
        <v>3112.5829784129746</v>
      </c>
      <c r="J251" s="315">
        <v>1.9570138235131207</v>
      </c>
      <c r="K251" s="316" t="str">
        <f t="shared" si="30"/>
        <v>Lawn and Garden Equipment</v>
      </c>
      <c r="L251" s="316" t="str">
        <f t="shared" si="31"/>
        <v>Gasoline</v>
      </c>
      <c r="M251" s="194"/>
      <c r="N251" s="317"/>
      <c r="O251" s="317"/>
      <c r="P251" s="317"/>
      <c r="Q251" s="317"/>
      <c r="R251" s="317"/>
      <c r="S251" s="317"/>
      <c r="T251" s="317"/>
      <c r="U251" s="317"/>
      <c r="V251" s="317"/>
      <c r="W251" s="317"/>
      <c r="X251" s="317"/>
      <c r="Y251" s="317"/>
      <c r="Z251" s="317"/>
    </row>
    <row r="252" spans="1:26" x14ac:dyDescent="0.25">
      <c r="A252" s="314"/>
      <c r="B252" s="18">
        <v>2023</v>
      </c>
      <c r="C252" s="18" t="s">
        <v>731</v>
      </c>
      <c r="D252" s="18" t="s">
        <v>707</v>
      </c>
      <c r="E252" s="18" t="s">
        <v>56</v>
      </c>
      <c r="F252" s="18" t="s">
        <v>672</v>
      </c>
      <c r="G252" s="18" t="s">
        <v>675</v>
      </c>
      <c r="H252" s="18" t="s">
        <v>708</v>
      </c>
      <c r="I252" s="315">
        <v>3111.4441144589805</v>
      </c>
      <c r="J252" s="315">
        <v>0.13980469430841397</v>
      </c>
      <c r="K252" s="316" t="str">
        <f t="shared" si="30"/>
        <v>Industrial Equipment</v>
      </c>
      <c r="L252" s="316" t="str">
        <f t="shared" si="31"/>
        <v>LPG</v>
      </c>
      <c r="M252" s="194"/>
      <c r="N252" s="317"/>
      <c r="O252" s="317"/>
      <c r="P252" s="317"/>
      <c r="Q252" s="317"/>
      <c r="R252" s="317"/>
      <c r="S252" s="317"/>
      <c r="T252" s="317"/>
      <c r="U252" s="317"/>
      <c r="V252" s="317"/>
      <c r="W252" s="317"/>
      <c r="X252" s="317"/>
      <c r="Y252" s="317"/>
      <c r="Z252" s="317"/>
    </row>
    <row r="253" spans="1:26" x14ac:dyDescent="0.25">
      <c r="A253" s="314"/>
      <c r="B253" s="18">
        <v>2023</v>
      </c>
      <c r="C253" s="18" t="s">
        <v>773</v>
      </c>
      <c r="D253" s="18" t="s">
        <v>763</v>
      </c>
      <c r="E253" s="18" t="s">
        <v>713</v>
      </c>
      <c r="F253" s="18" t="s">
        <v>714</v>
      </c>
      <c r="G253" s="18" t="s">
        <v>678</v>
      </c>
      <c r="H253" s="18" t="s">
        <v>764</v>
      </c>
      <c r="I253" s="315">
        <v>3098.8910263195116</v>
      </c>
      <c r="J253" s="315">
        <v>3.5082174851090775E-2</v>
      </c>
      <c r="K253" s="316" t="str">
        <f t="shared" si="30"/>
        <v>Agricultural Equipment</v>
      </c>
      <c r="L253" s="316" t="str">
        <f t="shared" si="31"/>
        <v>Diesel</v>
      </c>
      <c r="M253" s="194"/>
      <c r="N253" s="317"/>
      <c r="O253" s="317"/>
      <c r="P253" s="317"/>
      <c r="Q253" s="317"/>
      <c r="R253" s="317"/>
      <c r="S253" s="317"/>
      <c r="T253" s="317"/>
      <c r="U253" s="317"/>
      <c r="V253" s="317"/>
      <c r="W253" s="317"/>
      <c r="X253" s="317"/>
      <c r="Y253" s="317"/>
      <c r="Z253" s="317"/>
    </row>
    <row r="254" spans="1:26" x14ac:dyDescent="0.25">
      <c r="A254" s="314"/>
      <c r="B254" s="18">
        <v>2023</v>
      </c>
      <c r="C254" s="18" t="s">
        <v>711</v>
      </c>
      <c r="D254" s="18" t="s">
        <v>771</v>
      </c>
      <c r="E254" s="18" t="s">
        <v>713</v>
      </c>
      <c r="F254" s="18" t="s">
        <v>714</v>
      </c>
      <c r="G254" s="18" t="s">
        <v>675</v>
      </c>
      <c r="H254" s="18" t="s">
        <v>772</v>
      </c>
      <c r="I254" s="315">
        <v>3092.5888700464698</v>
      </c>
      <c r="J254" s="315">
        <v>6.8807060388802518E-3</v>
      </c>
      <c r="K254" s="316" t="str">
        <f t="shared" si="30"/>
        <v>Industrial Equipment</v>
      </c>
      <c r="L254" s="316" t="str">
        <f t="shared" si="31"/>
        <v>Diesel</v>
      </c>
      <c r="M254" s="194"/>
      <c r="N254" s="317"/>
      <c r="O254" s="317"/>
      <c r="P254" s="317"/>
      <c r="Q254" s="317"/>
      <c r="R254" s="317"/>
      <c r="S254" s="317"/>
      <c r="T254" s="317"/>
      <c r="U254" s="317"/>
      <c r="V254" s="317"/>
      <c r="W254" s="317"/>
      <c r="X254" s="317"/>
      <c r="Y254" s="317"/>
      <c r="Z254" s="317"/>
    </row>
    <row r="255" spans="1:26" x14ac:dyDescent="0.25">
      <c r="A255" s="314"/>
      <c r="B255" s="18">
        <v>2023</v>
      </c>
      <c r="C255" s="18" t="s">
        <v>778</v>
      </c>
      <c r="D255" s="18" t="s">
        <v>725</v>
      </c>
      <c r="E255" s="18" t="s">
        <v>713</v>
      </c>
      <c r="F255" s="18" t="s">
        <v>714</v>
      </c>
      <c r="G255" s="18" t="s">
        <v>674</v>
      </c>
      <c r="H255" s="18" t="s">
        <v>726</v>
      </c>
      <c r="I255" s="315">
        <v>3092.5055573575905</v>
      </c>
      <c r="J255" s="315">
        <v>1.7302072135569189E-2</v>
      </c>
      <c r="K255" s="316" t="str">
        <f t="shared" si="30"/>
        <v>Construction and Mining Equipment</v>
      </c>
      <c r="L255" s="316" t="str">
        <f t="shared" si="31"/>
        <v>Diesel</v>
      </c>
      <c r="M255" s="194"/>
      <c r="N255" s="317"/>
      <c r="O255" s="317"/>
      <c r="P255" s="317"/>
      <c r="Q255" s="317"/>
      <c r="R255" s="317"/>
      <c r="S255" s="317"/>
      <c r="T255" s="317"/>
      <c r="U255" s="317"/>
      <c r="V255" s="317"/>
      <c r="W255" s="317"/>
      <c r="X255" s="317"/>
      <c r="Y255" s="317"/>
      <c r="Z255" s="317"/>
    </row>
    <row r="256" spans="1:26" x14ac:dyDescent="0.25">
      <c r="A256" s="314"/>
      <c r="B256" s="18">
        <v>2023</v>
      </c>
      <c r="C256" s="18" t="s">
        <v>762</v>
      </c>
      <c r="D256" s="18" t="s">
        <v>751</v>
      </c>
      <c r="E256" s="18" t="s">
        <v>713</v>
      </c>
      <c r="F256" s="18" t="s">
        <v>676</v>
      </c>
      <c r="G256" s="18" t="s">
        <v>79</v>
      </c>
      <c r="H256" s="18" t="s">
        <v>740</v>
      </c>
      <c r="I256" s="315">
        <v>3072.9420382446028</v>
      </c>
      <c r="J256" s="315">
        <v>0.12061019241833465</v>
      </c>
      <c r="K256" s="316" t="str">
        <f t="shared" si="30"/>
        <v>Pleasure Craft</v>
      </c>
      <c r="L256" s="316" t="str">
        <f t="shared" si="31"/>
        <v>Diesel</v>
      </c>
      <c r="M256" s="194"/>
      <c r="N256" s="317"/>
      <c r="O256" s="317"/>
      <c r="P256" s="317"/>
      <c r="Q256" s="317"/>
      <c r="R256" s="317"/>
      <c r="S256" s="317"/>
      <c r="T256" s="317"/>
      <c r="U256" s="317"/>
      <c r="V256" s="317"/>
      <c r="W256" s="317"/>
      <c r="X256" s="317"/>
      <c r="Y256" s="317"/>
      <c r="Z256" s="317"/>
    </row>
    <row r="257" spans="1:26" x14ac:dyDescent="0.25">
      <c r="A257" s="314"/>
      <c r="B257" s="18">
        <v>2023</v>
      </c>
      <c r="C257" s="18" t="s">
        <v>709</v>
      </c>
      <c r="D257" s="18" t="s">
        <v>767</v>
      </c>
      <c r="E257" s="18" t="s">
        <v>703</v>
      </c>
      <c r="F257" s="18" t="s">
        <v>704</v>
      </c>
      <c r="G257" s="18" t="s">
        <v>673</v>
      </c>
      <c r="H257" s="18" t="s">
        <v>768</v>
      </c>
      <c r="I257" s="315">
        <v>3057.6173161819279</v>
      </c>
      <c r="J257" s="315">
        <v>2.1250864857657268</v>
      </c>
      <c r="K257" s="316" t="str">
        <f t="shared" si="30"/>
        <v>Lawn and Garden Equipment</v>
      </c>
      <c r="L257" s="316" t="str">
        <f t="shared" si="31"/>
        <v>Gasoline</v>
      </c>
      <c r="M257" s="194"/>
      <c r="N257" s="317"/>
      <c r="O257" s="317"/>
      <c r="P257" s="317"/>
      <c r="Q257" s="317"/>
      <c r="R257" s="317"/>
      <c r="S257" s="317"/>
      <c r="T257" s="317"/>
      <c r="U257" s="317"/>
      <c r="V257" s="317"/>
      <c r="W257" s="317"/>
      <c r="X257" s="317"/>
      <c r="Y257" s="317"/>
      <c r="Z257" s="317"/>
    </row>
    <row r="258" spans="1:26" ht="12.75" x14ac:dyDescent="0.2">
      <c r="A258" s="230"/>
      <c r="B258" s="18">
        <v>2023</v>
      </c>
      <c r="C258" s="18" t="s">
        <v>743</v>
      </c>
      <c r="D258" s="18" t="s">
        <v>716</v>
      </c>
      <c r="E258" s="18" t="s">
        <v>713</v>
      </c>
      <c r="F258" s="18" t="s">
        <v>714</v>
      </c>
      <c r="G258" s="18" t="s">
        <v>675</v>
      </c>
      <c r="H258" s="18" t="s">
        <v>717</v>
      </c>
      <c r="I258" s="315">
        <v>3048.5601752957177</v>
      </c>
      <c r="J258" s="315">
        <v>6.2558016095518018E-2</v>
      </c>
      <c r="K258" s="316" t="str">
        <f t="shared" si="30"/>
        <v>Industrial Equipment</v>
      </c>
      <c r="L258" s="316" t="str">
        <f t="shared" si="31"/>
        <v>Diesel</v>
      </c>
      <c r="M258" s="8"/>
      <c r="N258" s="2"/>
      <c r="O258" s="2"/>
      <c r="P258" s="2"/>
      <c r="Q258" s="2"/>
      <c r="R258" s="2"/>
      <c r="S258" s="2"/>
      <c r="T258" s="2"/>
      <c r="U258" s="2"/>
      <c r="V258" s="2"/>
      <c r="W258" s="2"/>
      <c r="X258" s="2"/>
      <c r="Y258" s="2"/>
      <c r="Z258" s="2"/>
    </row>
    <row r="259" spans="1:26" x14ac:dyDescent="0.25">
      <c r="A259" s="314"/>
      <c r="B259" s="18">
        <v>2023</v>
      </c>
      <c r="C259" s="18" t="s">
        <v>701</v>
      </c>
      <c r="D259" s="18" t="s">
        <v>779</v>
      </c>
      <c r="E259" s="18" t="s">
        <v>713</v>
      </c>
      <c r="F259" s="18" t="s">
        <v>714</v>
      </c>
      <c r="G259" s="18" t="s">
        <v>674</v>
      </c>
      <c r="H259" s="18" t="s">
        <v>780</v>
      </c>
      <c r="I259" s="315">
        <v>3036.0408509517029</v>
      </c>
      <c r="J259" s="315">
        <v>9.8882144300463989E-3</v>
      </c>
      <c r="K259" s="316" t="str">
        <f t="shared" si="30"/>
        <v>Construction and Mining Equipment</v>
      </c>
      <c r="L259" s="316" t="str">
        <f t="shared" si="31"/>
        <v>Diesel</v>
      </c>
      <c r="M259" s="194"/>
      <c r="N259" s="317"/>
      <c r="O259" s="317"/>
      <c r="P259" s="317"/>
      <c r="Q259" s="317"/>
      <c r="R259" s="317"/>
      <c r="S259" s="317"/>
      <c r="T259" s="317"/>
      <c r="U259" s="317"/>
      <c r="V259" s="317"/>
      <c r="W259" s="317"/>
      <c r="X259" s="317"/>
      <c r="Y259" s="317"/>
      <c r="Z259" s="317"/>
    </row>
    <row r="260" spans="1:26" x14ac:dyDescent="0.25">
      <c r="A260" s="314"/>
      <c r="B260" s="18">
        <v>2023</v>
      </c>
      <c r="C260" s="18" t="s">
        <v>701</v>
      </c>
      <c r="D260" s="18" t="s">
        <v>830</v>
      </c>
      <c r="E260" s="18" t="s">
        <v>703</v>
      </c>
      <c r="F260" s="18" t="s">
        <v>704</v>
      </c>
      <c r="G260" s="18" t="s">
        <v>673</v>
      </c>
      <c r="H260" s="18" t="s">
        <v>742</v>
      </c>
      <c r="I260" s="315">
        <v>3032.696030579174</v>
      </c>
      <c r="J260" s="315">
        <v>1.3220141790463027</v>
      </c>
      <c r="K260" s="316" t="str">
        <f t="shared" si="30"/>
        <v>Lawn and Garden Equipment</v>
      </c>
      <c r="L260" s="316" t="str">
        <f t="shared" si="31"/>
        <v>Gasoline</v>
      </c>
      <c r="M260" s="194"/>
      <c r="N260" s="317"/>
      <c r="O260" s="317"/>
      <c r="P260" s="317"/>
      <c r="Q260" s="317"/>
      <c r="R260" s="317"/>
      <c r="S260" s="317"/>
      <c r="T260" s="317"/>
      <c r="U260" s="317"/>
      <c r="V260" s="317"/>
      <c r="W260" s="317"/>
      <c r="X260" s="317"/>
      <c r="Y260" s="317"/>
      <c r="Z260" s="317"/>
    </row>
    <row r="261" spans="1:26" x14ac:dyDescent="0.25">
      <c r="A261" s="314"/>
      <c r="B261" s="18">
        <v>2023</v>
      </c>
      <c r="C261" s="18" t="s">
        <v>710</v>
      </c>
      <c r="D261" s="18" t="s">
        <v>784</v>
      </c>
      <c r="E261" s="18" t="s">
        <v>713</v>
      </c>
      <c r="F261" s="18" t="s">
        <v>714</v>
      </c>
      <c r="G261" s="18" t="s">
        <v>677</v>
      </c>
      <c r="H261" s="18" t="s">
        <v>785</v>
      </c>
      <c r="I261" s="315">
        <v>3030.4349696182053</v>
      </c>
      <c r="J261" s="315">
        <v>4.2947452928002151E-2</v>
      </c>
      <c r="K261" s="316" t="str">
        <f t="shared" si="30"/>
        <v>Commercial Equipment</v>
      </c>
      <c r="L261" s="316" t="str">
        <f t="shared" si="31"/>
        <v>Diesel</v>
      </c>
      <c r="M261" s="194"/>
      <c r="N261" s="317"/>
      <c r="O261" s="317"/>
      <c r="P261" s="317"/>
      <c r="Q261" s="317"/>
      <c r="R261" s="317"/>
      <c r="S261" s="317"/>
      <c r="T261" s="317"/>
      <c r="U261" s="317"/>
      <c r="V261" s="317"/>
      <c r="W261" s="317"/>
      <c r="X261" s="317"/>
      <c r="Y261" s="317"/>
      <c r="Z261" s="317"/>
    </row>
    <row r="262" spans="1:26" x14ac:dyDescent="0.25">
      <c r="A262" s="314"/>
      <c r="B262" s="18">
        <v>2023</v>
      </c>
      <c r="C262" s="18" t="s">
        <v>732</v>
      </c>
      <c r="D262" s="18" t="s">
        <v>752</v>
      </c>
      <c r="E262" s="18" t="s">
        <v>713</v>
      </c>
      <c r="F262" s="18" t="s">
        <v>714</v>
      </c>
      <c r="G262" s="18" t="s">
        <v>675</v>
      </c>
      <c r="H262" s="18" t="s">
        <v>708</v>
      </c>
      <c r="I262" s="315">
        <v>3028.4336352483174</v>
      </c>
      <c r="J262" s="315">
        <v>1.5445513941660504E-2</v>
      </c>
      <c r="K262" s="316" t="str">
        <f t="shared" si="30"/>
        <v>Industrial Equipment</v>
      </c>
      <c r="L262" s="316" t="str">
        <f t="shared" si="31"/>
        <v>Diesel</v>
      </c>
      <c r="M262" s="194"/>
      <c r="N262" s="317"/>
      <c r="O262" s="317"/>
      <c r="P262" s="317"/>
      <c r="Q262" s="317"/>
      <c r="R262" s="317"/>
      <c r="S262" s="317"/>
      <c r="T262" s="317"/>
      <c r="U262" s="317"/>
      <c r="V262" s="317"/>
      <c r="W262" s="317"/>
      <c r="X262" s="317"/>
      <c r="Y262" s="317"/>
      <c r="Z262" s="317"/>
    </row>
    <row r="263" spans="1:26" x14ac:dyDescent="0.25">
      <c r="A263" s="314"/>
      <c r="B263" s="18">
        <v>2023</v>
      </c>
      <c r="C263" s="18" t="s">
        <v>706</v>
      </c>
      <c r="D263" s="18" t="s">
        <v>767</v>
      </c>
      <c r="E263" s="18" t="s">
        <v>703</v>
      </c>
      <c r="F263" s="18" t="s">
        <v>704</v>
      </c>
      <c r="G263" s="18" t="s">
        <v>673</v>
      </c>
      <c r="H263" s="18" t="s">
        <v>768</v>
      </c>
      <c r="I263" s="315">
        <v>3026.0924472781585</v>
      </c>
      <c r="J263" s="315">
        <v>2.1054894585676753</v>
      </c>
      <c r="K263" s="316" t="str">
        <f t="shared" si="30"/>
        <v>Lawn and Garden Equipment</v>
      </c>
      <c r="L263" s="316" t="str">
        <f t="shared" si="31"/>
        <v>Gasoline</v>
      </c>
      <c r="M263" s="194"/>
      <c r="N263" s="317"/>
      <c r="O263" s="317"/>
      <c r="P263" s="317"/>
      <c r="Q263" s="317"/>
      <c r="R263" s="317"/>
      <c r="S263" s="317"/>
      <c r="T263" s="317"/>
      <c r="U263" s="317"/>
      <c r="V263" s="317"/>
      <c r="W263" s="317"/>
      <c r="X263" s="317"/>
      <c r="Y263" s="317"/>
      <c r="Z263" s="317"/>
    </row>
    <row r="264" spans="1:26" x14ac:dyDescent="0.25">
      <c r="A264" s="314"/>
      <c r="B264" s="18">
        <v>2023</v>
      </c>
      <c r="C264" s="18" t="s">
        <v>710</v>
      </c>
      <c r="D264" s="18" t="s">
        <v>797</v>
      </c>
      <c r="E264" s="18" t="s">
        <v>713</v>
      </c>
      <c r="F264" s="18" t="s">
        <v>714</v>
      </c>
      <c r="G264" s="18" t="s">
        <v>675</v>
      </c>
      <c r="H264" s="18" t="s">
        <v>798</v>
      </c>
      <c r="I264" s="315">
        <v>3018.6736716933751</v>
      </c>
      <c r="J264" s="315">
        <v>2.5465584370704255E-2</v>
      </c>
      <c r="K264" s="316" t="str">
        <f t="shared" si="30"/>
        <v>Industrial Equipment</v>
      </c>
      <c r="L264" s="316" t="str">
        <f t="shared" si="31"/>
        <v>Diesel</v>
      </c>
      <c r="M264" s="194"/>
      <c r="N264" s="317"/>
      <c r="O264" s="317"/>
      <c r="P264" s="317"/>
      <c r="Q264" s="317"/>
      <c r="R264" s="317"/>
      <c r="S264" s="317"/>
      <c r="T264" s="317"/>
      <c r="U264" s="317"/>
      <c r="V264" s="317"/>
      <c r="W264" s="317"/>
      <c r="X264" s="317"/>
      <c r="Y264" s="317"/>
      <c r="Z264" s="317"/>
    </row>
    <row r="265" spans="1:26" x14ac:dyDescent="0.25">
      <c r="A265" s="314"/>
      <c r="B265" s="18">
        <v>2023</v>
      </c>
      <c r="C265" s="18" t="s">
        <v>701</v>
      </c>
      <c r="D265" s="18" t="s">
        <v>782</v>
      </c>
      <c r="E265" s="18" t="s">
        <v>713</v>
      </c>
      <c r="F265" s="18" t="s">
        <v>714</v>
      </c>
      <c r="G265" s="18" t="s">
        <v>674</v>
      </c>
      <c r="H265" s="18" t="s">
        <v>783</v>
      </c>
      <c r="I265" s="315">
        <v>3011.2377000521406</v>
      </c>
      <c r="J265" s="315">
        <v>2.8587323363572472E-2</v>
      </c>
      <c r="K265" s="316" t="str">
        <f t="shared" si="30"/>
        <v>Construction and Mining Equipment</v>
      </c>
      <c r="L265" s="316" t="str">
        <f t="shared" si="31"/>
        <v>Diesel</v>
      </c>
      <c r="M265" s="194"/>
      <c r="N265" s="317"/>
      <c r="O265" s="317"/>
      <c r="P265" s="317"/>
      <c r="Q265" s="317"/>
      <c r="R265" s="317"/>
      <c r="S265" s="317"/>
      <c r="T265" s="317"/>
      <c r="U265" s="317"/>
      <c r="V265" s="317"/>
      <c r="W265" s="317"/>
      <c r="X265" s="317"/>
      <c r="Y265" s="317"/>
      <c r="Z265" s="317"/>
    </row>
    <row r="266" spans="1:26" x14ac:dyDescent="0.25">
      <c r="A266" s="314"/>
      <c r="B266" s="18">
        <v>2023</v>
      </c>
      <c r="C266" s="18" t="s">
        <v>709</v>
      </c>
      <c r="D266" s="18" t="s">
        <v>788</v>
      </c>
      <c r="E266" s="18" t="s">
        <v>703</v>
      </c>
      <c r="F266" s="18" t="s">
        <v>704</v>
      </c>
      <c r="G266" s="18" t="s">
        <v>677</v>
      </c>
      <c r="H266" s="18" t="s">
        <v>789</v>
      </c>
      <c r="I266" s="315">
        <v>3010.9363942784139</v>
      </c>
      <c r="J266" s="315">
        <v>2.0783999037169996</v>
      </c>
      <c r="K266" s="316" t="str">
        <f t="shared" si="30"/>
        <v>Commercial Equipment</v>
      </c>
      <c r="L266" s="316" t="str">
        <f t="shared" si="31"/>
        <v>Gasoline</v>
      </c>
      <c r="M266" s="194"/>
      <c r="N266" s="317"/>
      <c r="O266" s="317"/>
      <c r="P266" s="317"/>
      <c r="Q266" s="317"/>
      <c r="R266" s="317"/>
      <c r="S266" s="317"/>
      <c r="T266" s="317"/>
      <c r="U266" s="317"/>
      <c r="V266" s="317"/>
      <c r="W266" s="317"/>
      <c r="X266" s="317"/>
      <c r="Y266" s="317"/>
      <c r="Z266" s="317"/>
    </row>
    <row r="267" spans="1:26" x14ac:dyDescent="0.25">
      <c r="A267" s="314"/>
      <c r="B267" s="18">
        <v>2023</v>
      </c>
      <c r="C267" s="18" t="s">
        <v>753</v>
      </c>
      <c r="D267" s="18" t="s">
        <v>707</v>
      </c>
      <c r="E267" s="18" t="s">
        <v>56</v>
      </c>
      <c r="F267" s="18" t="s">
        <v>672</v>
      </c>
      <c r="G267" s="18" t="s">
        <v>675</v>
      </c>
      <c r="H267" s="18" t="s">
        <v>708</v>
      </c>
      <c r="I267" s="315">
        <v>3010.90163840278</v>
      </c>
      <c r="J267" s="315">
        <v>0.13528695169896374</v>
      </c>
      <c r="K267" s="316" t="str">
        <f t="shared" si="30"/>
        <v>Industrial Equipment</v>
      </c>
      <c r="L267" s="316" t="str">
        <f t="shared" si="31"/>
        <v>LPG</v>
      </c>
      <c r="M267" s="194"/>
      <c r="N267" s="317"/>
      <c r="O267" s="317"/>
      <c r="P267" s="317"/>
      <c r="Q267" s="317"/>
      <c r="R267" s="317"/>
      <c r="S267" s="317"/>
      <c r="T267" s="317"/>
      <c r="U267" s="317"/>
      <c r="V267" s="317"/>
      <c r="W267" s="317"/>
      <c r="X267" s="317"/>
      <c r="Y267" s="317"/>
      <c r="Z267" s="317"/>
    </row>
    <row r="268" spans="1:26" x14ac:dyDescent="0.25">
      <c r="A268" s="314"/>
      <c r="B268" s="18">
        <v>2023</v>
      </c>
      <c r="C268" s="18" t="s">
        <v>710</v>
      </c>
      <c r="D268" s="18" t="s">
        <v>801</v>
      </c>
      <c r="E268" s="18" t="s">
        <v>713</v>
      </c>
      <c r="F268" s="18" t="s">
        <v>714</v>
      </c>
      <c r="G268" s="18" t="s">
        <v>675</v>
      </c>
      <c r="H268" s="18" t="s">
        <v>802</v>
      </c>
      <c r="I268" s="315">
        <v>2976.3250096116035</v>
      </c>
      <c r="J268" s="315">
        <v>1.9826229801097422E-2</v>
      </c>
      <c r="K268" s="316" t="str">
        <f t="shared" si="30"/>
        <v>Industrial Equipment</v>
      </c>
      <c r="L268" s="316" t="str">
        <f t="shared" si="31"/>
        <v>Diesel</v>
      </c>
      <c r="M268" s="194"/>
      <c r="N268" s="317"/>
      <c r="O268" s="317"/>
      <c r="P268" s="317"/>
      <c r="Q268" s="317"/>
      <c r="R268" s="317"/>
      <c r="S268" s="317"/>
      <c r="T268" s="317"/>
      <c r="U268" s="317"/>
      <c r="V268" s="317"/>
      <c r="W268" s="317"/>
      <c r="X268" s="317"/>
      <c r="Y268" s="317"/>
      <c r="Z268" s="317"/>
    </row>
    <row r="269" spans="1:26" x14ac:dyDescent="0.25">
      <c r="A269" s="314"/>
      <c r="B269" s="18">
        <v>2023</v>
      </c>
      <c r="C269" s="18" t="s">
        <v>711</v>
      </c>
      <c r="D269" s="18" t="s">
        <v>774</v>
      </c>
      <c r="E269" s="18" t="s">
        <v>703</v>
      </c>
      <c r="F269" s="18" t="s">
        <v>704</v>
      </c>
      <c r="G269" s="18" t="s">
        <v>673</v>
      </c>
      <c r="H269" s="18" t="s">
        <v>775</v>
      </c>
      <c r="I269" s="315">
        <v>2965.518401466938</v>
      </c>
      <c r="J269" s="315">
        <v>2.0297072673364487</v>
      </c>
      <c r="K269" s="316" t="str">
        <f t="shared" si="30"/>
        <v>Lawn and Garden Equipment</v>
      </c>
      <c r="L269" s="316" t="str">
        <f t="shared" si="31"/>
        <v>Gasoline</v>
      </c>
      <c r="M269" s="194"/>
      <c r="N269" s="317"/>
      <c r="O269" s="317"/>
      <c r="P269" s="317"/>
      <c r="Q269" s="317"/>
      <c r="R269" s="317"/>
      <c r="S269" s="317"/>
      <c r="T269" s="317"/>
      <c r="U269" s="317"/>
      <c r="V269" s="317"/>
      <c r="W269" s="317"/>
      <c r="X269" s="317"/>
      <c r="Y269" s="317"/>
      <c r="Z269" s="317"/>
    </row>
    <row r="270" spans="1:26" x14ac:dyDescent="0.25">
      <c r="A270" s="314"/>
      <c r="B270" s="18">
        <v>2023</v>
      </c>
      <c r="C270" s="18" t="s">
        <v>711</v>
      </c>
      <c r="D270" s="18" t="s">
        <v>788</v>
      </c>
      <c r="E270" s="18" t="s">
        <v>703</v>
      </c>
      <c r="F270" s="18" t="s">
        <v>704</v>
      </c>
      <c r="G270" s="18" t="s">
        <v>677</v>
      </c>
      <c r="H270" s="18" t="s">
        <v>789</v>
      </c>
      <c r="I270" s="315">
        <v>2948.3013790553841</v>
      </c>
      <c r="J270" s="315">
        <v>2.0353405583780781</v>
      </c>
      <c r="K270" s="316" t="str">
        <f t="shared" si="30"/>
        <v>Commercial Equipment</v>
      </c>
      <c r="L270" s="316" t="str">
        <f t="shared" si="31"/>
        <v>Gasoline</v>
      </c>
      <c r="M270" s="194"/>
      <c r="N270" s="317"/>
      <c r="O270" s="317"/>
      <c r="P270" s="317"/>
      <c r="Q270" s="317"/>
      <c r="R270" s="317"/>
      <c r="S270" s="317"/>
      <c r="T270" s="317"/>
      <c r="U270" s="317"/>
      <c r="V270" s="317"/>
      <c r="W270" s="317"/>
      <c r="X270" s="317"/>
      <c r="Y270" s="317"/>
      <c r="Z270" s="317"/>
    </row>
    <row r="271" spans="1:26" x14ac:dyDescent="0.25">
      <c r="A271" s="314"/>
      <c r="B271" s="18">
        <v>2023</v>
      </c>
      <c r="C271" s="18" t="s">
        <v>743</v>
      </c>
      <c r="D271" s="18" t="s">
        <v>712</v>
      </c>
      <c r="E271" s="18" t="s">
        <v>713</v>
      </c>
      <c r="F271" s="18" t="s">
        <v>714</v>
      </c>
      <c r="G271" s="18" t="s">
        <v>674</v>
      </c>
      <c r="H271" s="18" t="s">
        <v>715</v>
      </c>
      <c r="I271" s="315">
        <v>2942.5415489242032</v>
      </c>
      <c r="J271" s="315">
        <v>1.7511585399589323E-2</v>
      </c>
      <c r="K271" s="316" t="str">
        <f t="shared" si="30"/>
        <v>Construction and Mining Equipment</v>
      </c>
      <c r="L271" s="316" t="str">
        <f t="shared" si="31"/>
        <v>Diesel</v>
      </c>
      <c r="M271" s="194"/>
      <c r="N271" s="317"/>
      <c r="O271" s="317"/>
      <c r="P271" s="317"/>
      <c r="Q271" s="317"/>
      <c r="R271" s="317"/>
      <c r="S271" s="317"/>
      <c r="T271" s="317"/>
      <c r="U271" s="317"/>
      <c r="V271" s="317"/>
      <c r="W271" s="317"/>
      <c r="X271" s="317"/>
      <c r="Y271" s="317"/>
      <c r="Z271" s="317"/>
    </row>
    <row r="272" spans="1:26" x14ac:dyDescent="0.25">
      <c r="A272" s="314"/>
      <c r="B272" s="18">
        <v>2023</v>
      </c>
      <c r="C272" s="18" t="s">
        <v>810</v>
      </c>
      <c r="D272" s="18" t="s">
        <v>832</v>
      </c>
      <c r="E272" s="18" t="s">
        <v>713</v>
      </c>
      <c r="F272" s="18" t="s">
        <v>714</v>
      </c>
      <c r="G272" s="18" t="s">
        <v>682</v>
      </c>
      <c r="H272" s="18" t="s">
        <v>833</v>
      </c>
      <c r="I272" s="315">
        <v>2928.8115450442879</v>
      </c>
      <c r="J272" s="315">
        <v>0.3254960549552407</v>
      </c>
      <c r="K272" s="316" t="str">
        <f t="shared" si="30"/>
        <v>Underground Mining Equipment</v>
      </c>
      <c r="L272" s="316" t="str">
        <f t="shared" si="31"/>
        <v>Diesel</v>
      </c>
      <c r="M272" s="194"/>
      <c r="N272" s="317"/>
      <c r="O272" s="317"/>
      <c r="P272" s="317"/>
      <c r="Q272" s="317"/>
      <c r="R272" s="317"/>
      <c r="S272" s="317"/>
      <c r="T272" s="317"/>
      <c r="U272" s="317"/>
      <c r="V272" s="317"/>
      <c r="W272" s="317"/>
      <c r="X272" s="317"/>
      <c r="Y272" s="317"/>
      <c r="Z272" s="317"/>
    </row>
    <row r="273" spans="1:26" x14ac:dyDescent="0.25">
      <c r="A273" s="314"/>
      <c r="B273" s="18">
        <v>2023</v>
      </c>
      <c r="C273" s="18" t="s">
        <v>778</v>
      </c>
      <c r="D273" s="18" t="s">
        <v>716</v>
      </c>
      <c r="E273" s="18" t="s">
        <v>713</v>
      </c>
      <c r="F273" s="18" t="s">
        <v>714</v>
      </c>
      <c r="G273" s="18" t="s">
        <v>675</v>
      </c>
      <c r="H273" s="18" t="s">
        <v>717</v>
      </c>
      <c r="I273" s="315">
        <v>2899.9155453166018</v>
      </c>
      <c r="J273" s="315">
        <v>5.9507816465048241E-2</v>
      </c>
      <c r="K273" s="316" t="str">
        <f t="shared" si="30"/>
        <v>Industrial Equipment</v>
      </c>
      <c r="L273" s="316" t="str">
        <f t="shared" si="31"/>
        <v>Diesel</v>
      </c>
      <c r="M273" s="194"/>
      <c r="N273" s="317"/>
      <c r="O273" s="317"/>
      <c r="P273" s="317"/>
      <c r="Q273" s="317"/>
      <c r="R273" s="317"/>
      <c r="S273" s="317"/>
      <c r="T273" s="317"/>
      <c r="U273" s="317"/>
      <c r="V273" s="317"/>
      <c r="W273" s="317"/>
      <c r="X273" s="317"/>
      <c r="Y273" s="317"/>
      <c r="Z273" s="317"/>
    </row>
    <row r="274" spans="1:26" x14ac:dyDescent="0.25">
      <c r="A274" s="314"/>
      <c r="B274" s="18">
        <v>2023</v>
      </c>
      <c r="C274" s="18" t="s">
        <v>732</v>
      </c>
      <c r="D274" s="18" t="s">
        <v>735</v>
      </c>
      <c r="E274" s="18" t="s">
        <v>713</v>
      </c>
      <c r="F274" s="18" t="s">
        <v>714</v>
      </c>
      <c r="G274" s="18" t="s">
        <v>674</v>
      </c>
      <c r="H274" s="18" t="s">
        <v>736</v>
      </c>
      <c r="I274" s="315">
        <v>2864.8806967365877</v>
      </c>
      <c r="J274" s="315">
        <v>8.5690334413161748E-2</v>
      </c>
      <c r="K274" s="316" t="str">
        <f t="shared" si="30"/>
        <v>Construction and Mining Equipment</v>
      </c>
      <c r="L274" s="316" t="str">
        <f t="shared" si="31"/>
        <v>Diesel</v>
      </c>
      <c r="M274" s="194"/>
      <c r="N274" s="317"/>
      <c r="O274" s="317"/>
      <c r="P274" s="317"/>
      <c r="Q274" s="317"/>
      <c r="R274" s="317"/>
      <c r="S274" s="317"/>
      <c r="T274" s="317"/>
      <c r="U274" s="317"/>
      <c r="V274" s="317"/>
      <c r="W274" s="317"/>
      <c r="X274" s="317"/>
      <c r="Y274" s="317"/>
      <c r="Z274" s="317"/>
    </row>
    <row r="275" spans="1:26" x14ac:dyDescent="0.25">
      <c r="A275" s="314"/>
      <c r="B275" s="18">
        <v>2023</v>
      </c>
      <c r="C275" s="18" t="s">
        <v>706</v>
      </c>
      <c r="D275" s="18" t="s">
        <v>835</v>
      </c>
      <c r="E275" s="18" t="s">
        <v>703</v>
      </c>
      <c r="F275" s="18" t="s">
        <v>704</v>
      </c>
      <c r="G275" s="18" t="s">
        <v>677</v>
      </c>
      <c r="H275" s="18" t="s">
        <v>836</v>
      </c>
      <c r="I275" s="315">
        <v>2849.9630295809429</v>
      </c>
      <c r="J275" s="315">
        <v>1.7737630797668005</v>
      </c>
      <c r="K275" s="316" t="str">
        <f t="shared" si="30"/>
        <v>Commercial Equipment</v>
      </c>
      <c r="L275" s="316" t="str">
        <f t="shared" si="31"/>
        <v>Gasoline</v>
      </c>
      <c r="M275" s="194"/>
      <c r="N275" s="317"/>
      <c r="O275" s="317"/>
      <c r="P275" s="317"/>
      <c r="Q275" s="317"/>
      <c r="R275" s="317"/>
      <c r="S275" s="317"/>
      <c r="T275" s="317"/>
      <c r="U275" s="317"/>
      <c r="V275" s="317"/>
      <c r="W275" s="317"/>
      <c r="X275" s="317"/>
      <c r="Y275" s="317"/>
      <c r="Z275" s="317"/>
    </row>
    <row r="276" spans="1:26" x14ac:dyDescent="0.25">
      <c r="A276" s="314"/>
      <c r="B276" s="18">
        <v>2023</v>
      </c>
      <c r="C276" s="18" t="s">
        <v>722</v>
      </c>
      <c r="D276" s="18" t="s">
        <v>784</v>
      </c>
      <c r="E276" s="18" t="s">
        <v>713</v>
      </c>
      <c r="F276" s="18" t="s">
        <v>714</v>
      </c>
      <c r="G276" s="18" t="s">
        <v>677</v>
      </c>
      <c r="H276" s="18" t="s">
        <v>785</v>
      </c>
      <c r="I276" s="315">
        <v>2849.3724662961158</v>
      </c>
      <c r="J276" s="315">
        <v>4.0381418201622644E-2</v>
      </c>
      <c r="K276" s="316" t="str">
        <f t="shared" si="30"/>
        <v>Commercial Equipment</v>
      </c>
      <c r="L276" s="316" t="str">
        <f t="shared" si="31"/>
        <v>Diesel</v>
      </c>
      <c r="M276" s="194"/>
      <c r="N276" s="317"/>
      <c r="O276" s="317"/>
      <c r="P276" s="317"/>
      <c r="Q276" s="317"/>
      <c r="R276" s="317"/>
      <c r="S276" s="317"/>
      <c r="T276" s="317"/>
      <c r="U276" s="317"/>
      <c r="V276" s="317"/>
      <c r="W276" s="317"/>
      <c r="X276" s="317"/>
      <c r="Y276" s="317"/>
      <c r="Z276" s="317"/>
    </row>
    <row r="277" spans="1:26" x14ac:dyDescent="0.25">
      <c r="A277" s="314"/>
      <c r="B277" s="18">
        <v>2023</v>
      </c>
      <c r="C277" s="18" t="s">
        <v>710</v>
      </c>
      <c r="D277" s="18" t="s">
        <v>788</v>
      </c>
      <c r="E277" s="18" t="s">
        <v>703</v>
      </c>
      <c r="F277" s="18" t="s">
        <v>704</v>
      </c>
      <c r="G277" s="18" t="s">
        <v>677</v>
      </c>
      <c r="H277" s="18" t="s">
        <v>789</v>
      </c>
      <c r="I277" s="315">
        <v>2845.402073231523</v>
      </c>
      <c r="J277" s="315">
        <v>1.9654127637122907</v>
      </c>
      <c r="K277" s="316" t="str">
        <f t="shared" si="30"/>
        <v>Commercial Equipment</v>
      </c>
      <c r="L277" s="316" t="str">
        <f t="shared" si="31"/>
        <v>Gasoline</v>
      </c>
      <c r="M277" s="194"/>
      <c r="N277" s="317"/>
      <c r="O277" s="317"/>
      <c r="P277" s="317"/>
      <c r="Q277" s="317"/>
      <c r="R277" s="317"/>
      <c r="S277" s="317"/>
      <c r="T277" s="317"/>
      <c r="U277" s="317"/>
      <c r="V277" s="317"/>
      <c r="W277" s="317"/>
      <c r="X277" s="317"/>
      <c r="Y277" s="317"/>
      <c r="Z277" s="317"/>
    </row>
    <row r="278" spans="1:26" x14ac:dyDescent="0.25">
      <c r="A278" s="314"/>
      <c r="B278" s="18">
        <v>2023</v>
      </c>
      <c r="C278" s="18" t="s">
        <v>732</v>
      </c>
      <c r="D278" s="18" t="s">
        <v>741</v>
      </c>
      <c r="E278" s="18" t="s">
        <v>713</v>
      </c>
      <c r="F278" s="18" t="s">
        <v>714</v>
      </c>
      <c r="G278" s="18" t="s">
        <v>673</v>
      </c>
      <c r="H278" s="18" t="s">
        <v>742</v>
      </c>
      <c r="I278" s="315">
        <v>2844.3436008414337</v>
      </c>
      <c r="J278" s="315">
        <v>4.7110507027740708E-2</v>
      </c>
      <c r="K278" s="316" t="str">
        <f t="shared" si="30"/>
        <v>Lawn and Garden Equipment</v>
      </c>
      <c r="L278" s="316" t="str">
        <f t="shared" si="31"/>
        <v>Diesel</v>
      </c>
      <c r="M278" s="194"/>
      <c r="N278" s="317"/>
      <c r="O278" s="317"/>
      <c r="P278" s="317"/>
      <c r="Q278" s="317"/>
      <c r="R278" s="317"/>
      <c r="S278" s="317"/>
      <c r="T278" s="317"/>
      <c r="U278" s="317"/>
      <c r="V278" s="317"/>
      <c r="W278" s="317"/>
      <c r="X278" s="317"/>
      <c r="Y278" s="317"/>
      <c r="Z278" s="317"/>
    </row>
    <row r="279" spans="1:26" x14ac:dyDescent="0.25">
      <c r="A279" s="314"/>
      <c r="B279" s="18">
        <v>2023</v>
      </c>
      <c r="C279" s="18" t="s">
        <v>786</v>
      </c>
      <c r="D279" s="18" t="s">
        <v>751</v>
      </c>
      <c r="E279" s="18" t="s">
        <v>713</v>
      </c>
      <c r="F279" s="18" t="s">
        <v>676</v>
      </c>
      <c r="G279" s="18" t="s">
        <v>79</v>
      </c>
      <c r="H279" s="18" t="s">
        <v>740</v>
      </c>
      <c r="I279" s="315">
        <v>2828.0815658340994</v>
      </c>
      <c r="J279" s="315">
        <v>0.11099986109544434</v>
      </c>
      <c r="K279" s="316" t="str">
        <f t="shared" si="30"/>
        <v>Pleasure Craft</v>
      </c>
      <c r="L279" s="316" t="str">
        <f t="shared" si="31"/>
        <v>Diesel</v>
      </c>
      <c r="M279" s="194"/>
      <c r="N279" s="317"/>
      <c r="O279" s="317"/>
      <c r="P279" s="317"/>
      <c r="Q279" s="317"/>
      <c r="R279" s="317"/>
      <c r="S279" s="317"/>
      <c r="T279" s="317"/>
      <c r="U279" s="317"/>
      <c r="V279" s="317"/>
      <c r="W279" s="317"/>
      <c r="X279" s="317"/>
      <c r="Y279" s="317"/>
      <c r="Z279" s="317"/>
    </row>
    <row r="280" spans="1:26" x14ac:dyDescent="0.25">
      <c r="A280" s="314"/>
      <c r="B280" s="18">
        <v>2023</v>
      </c>
      <c r="C280" s="18" t="s">
        <v>743</v>
      </c>
      <c r="D280" s="18" t="s">
        <v>752</v>
      </c>
      <c r="E280" s="18" t="s">
        <v>713</v>
      </c>
      <c r="F280" s="18" t="s">
        <v>714</v>
      </c>
      <c r="G280" s="18" t="s">
        <v>675</v>
      </c>
      <c r="H280" s="18" t="s">
        <v>708</v>
      </c>
      <c r="I280" s="315">
        <v>2826.2553556621779</v>
      </c>
      <c r="J280" s="315">
        <v>1.4414375055723183E-2</v>
      </c>
      <c r="K280" s="316" t="str">
        <f t="shared" si="30"/>
        <v>Industrial Equipment</v>
      </c>
      <c r="L280" s="316" t="str">
        <f t="shared" si="31"/>
        <v>Diesel</v>
      </c>
      <c r="M280" s="194"/>
      <c r="N280" s="317"/>
      <c r="O280" s="317"/>
      <c r="P280" s="317"/>
      <c r="Q280" s="317"/>
      <c r="R280" s="317"/>
      <c r="S280" s="317"/>
      <c r="T280" s="317"/>
      <c r="U280" s="317"/>
      <c r="V280" s="317"/>
      <c r="W280" s="317"/>
      <c r="X280" s="317"/>
      <c r="Y280" s="317"/>
      <c r="Z280" s="317"/>
    </row>
    <row r="281" spans="1:26" x14ac:dyDescent="0.25">
      <c r="A281" s="314"/>
      <c r="B281" s="18">
        <v>2023</v>
      </c>
      <c r="C281" s="18" t="s">
        <v>701</v>
      </c>
      <c r="D281" s="18" t="s">
        <v>790</v>
      </c>
      <c r="E281" s="18" t="s">
        <v>713</v>
      </c>
      <c r="F281" s="18" t="s">
        <v>714</v>
      </c>
      <c r="G281" s="18" t="s">
        <v>674</v>
      </c>
      <c r="H281" s="18" t="s">
        <v>791</v>
      </c>
      <c r="I281" s="315">
        <v>2790.1130149080773</v>
      </c>
      <c r="J281" s="315">
        <v>1.6039322086448052E-2</v>
      </c>
      <c r="K281" s="316" t="str">
        <f t="shared" si="30"/>
        <v>Construction and Mining Equipment</v>
      </c>
      <c r="L281" s="316" t="str">
        <f t="shared" si="31"/>
        <v>Diesel</v>
      </c>
      <c r="M281" s="194"/>
      <c r="N281" s="317"/>
      <c r="O281" s="317"/>
      <c r="P281" s="317"/>
      <c r="Q281" s="317"/>
      <c r="R281" s="317"/>
      <c r="S281" s="317"/>
      <c r="T281" s="317"/>
      <c r="U281" s="317"/>
      <c r="V281" s="317"/>
      <c r="W281" s="317"/>
      <c r="X281" s="317"/>
      <c r="Y281" s="317"/>
      <c r="Z281" s="317"/>
    </row>
    <row r="282" spans="1:26" x14ac:dyDescent="0.25">
      <c r="A282" s="314"/>
      <c r="B282" s="18">
        <v>2023</v>
      </c>
      <c r="C282" s="18" t="s">
        <v>754</v>
      </c>
      <c r="D282" s="18" t="s">
        <v>723</v>
      </c>
      <c r="E282" s="18" t="s">
        <v>703</v>
      </c>
      <c r="F282" s="18" t="s">
        <v>704</v>
      </c>
      <c r="G282" s="18" t="s">
        <v>673</v>
      </c>
      <c r="H282" s="18" t="s">
        <v>724</v>
      </c>
      <c r="I282" s="315">
        <v>2770.692549347777</v>
      </c>
      <c r="J282" s="315">
        <v>1.8247008092839472</v>
      </c>
      <c r="K282" s="316" t="str">
        <f t="shared" si="30"/>
        <v>Lawn and Garden Equipment</v>
      </c>
      <c r="L282" s="316" t="str">
        <f t="shared" si="31"/>
        <v>Gasoline</v>
      </c>
      <c r="M282" s="194"/>
      <c r="N282" s="317"/>
      <c r="O282" s="317"/>
      <c r="P282" s="317"/>
      <c r="Q282" s="317"/>
      <c r="R282" s="317"/>
      <c r="S282" s="317"/>
      <c r="T282" s="317"/>
      <c r="U282" s="317"/>
      <c r="V282" s="317"/>
      <c r="W282" s="317"/>
      <c r="X282" s="317"/>
      <c r="Y282" s="317"/>
      <c r="Z282" s="317"/>
    </row>
    <row r="283" spans="1:26" x14ac:dyDescent="0.25">
      <c r="A283" s="314"/>
      <c r="B283" s="18">
        <v>2023</v>
      </c>
      <c r="C283" s="18" t="s">
        <v>706</v>
      </c>
      <c r="D283" s="18" t="s">
        <v>738</v>
      </c>
      <c r="E283" s="18" t="s">
        <v>703</v>
      </c>
      <c r="F283" s="18" t="s">
        <v>676</v>
      </c>
      <c r="G283" s="18" t="s">
        <v>739</v>
      </c>
      <c r="H283" s="18" t="s">
        <v>740</v>
      </c>
      <c r="I283" s="315">
        <v>2769.0309903140569</v>
      </c>
      <c r="J283" s="315">
        <v>1.2038407708275276</v>
      </c>
      <c r="K283" s="316" t="str">
        <f t="shared" si="30"/>
        <v>Pleasure Craft</v>
      </c>
      <c r="L283" s="316" t="str">
        <f t="shared" si="31"/>
        <v>Gasoline</v>
      </c>
      <c r="M283" s="194"/>
      <c r="N283" s="317"/>
      <c r="O283" s="317"/>
      <c r="P283" s="317"/>
      <c r="Q283" s="317"/>
      <c r="R283" s="317"/>
      <c r="S283" s="317"/>
      <c r="T283" s="317"/>
      <c r="U283" s="317"/>
      <c r="V283" s="317"/>
      <c r="W283" s="317"/>
      <c r="X283" s="317"/>
      <c r="Y283" s="317"/>
      <c r="Z283" s="317"/>
    </row>
    <row r="284" spans="1:26" x14ac:dyDescent="0.25">
      <c r="A284" s="314"/>
      <c r="B284" s="18">
        <v>2023</v>
      </c>
      <c r="C284" s="18" t="s">
        <v>793</v>
      </c>
      <c r="D284" s="18" t="s">
        <v>751</v>
      </c>
      <c r="E284" s="18" t="s">
        <v>713</v>
      </c>
      <c r="F284" s="18" t="s">
        <v>676</v>
      </c>
      <c r="G284" s="18" t="s">
        <v>79</v>
      </c>
      <c r="H284" s="18" t="s">
        <v>740</v>
      </c>
      <c r="I284" s="315">
        <v>2766.8701614182801</v>
      </c>
      <c r="J284" s="315">
        <v>0.1085971403775164</v>
      </c>
      <c r="K284" s="316" t="str">
        <f t="shared" si="30"/>
        <v>Pleasure Craft</v>
      </c>
      <c r="L284" s="316" t="str">
        <f t="shared" si="31"/>
        <v>Diesel</v>
      </c>
      <c r="M284" s="194"/>
      <c r="N284" s="317"/>
      <c r="O284" s="317"/>
      <c r="P284" s="317"/>
      <c r="Q284" s="317"/>
      <c r="R284" s="317"/>
      <c r="S284" s="317"/>
      <c r="T284" s="317"/>
      <c r="U284" s="317"/>
      <c r="V284" s="317"/>
      <c r="W284" s="317"/>
      <c r="X284" s="317"/>
      <c r="Y284" s="317"/>
      <c r="Z284" s="317"/>
    </row>
    <row r="285" spans="1:26" x14ac:dyDescent="0.25">
      <c r="A285" s="314"/>
      <c r="B285" s="18">
        <v>2023</v>
      </c>
      <c r="C285" s="18" t="s">
        <v>722</v>
      </c>
      <c r="D285" s="18" t="s">
        <v>752</v>
      </c>
      <c r="E285" s="18" t="s">
        <v>713</v>
      </c>
      <c r="F285" s="18" t="s">
        <v>714</v>
      </c>
      <c r="G285" s="18" t="s">
        <v>675</v>
      </c>
      <c r="H285" s="18" t="s">
        <v>708</v>
      </c>
      <c r="I285" s="315">
        <v>2744.9250854903048</v>
      </c>
      <c r="J285" s="315">
        <v>1.3999584369901237E-2</v>
      </c>
      <c r="K285" s="316" t="str">
        <f t="shared" si="30"/>
        <v>Industrial Equipment</v>
      </c>
      <c r="L285" s="316" t="str">
        <f t="shared" si="31"/>
        <v>Diesel</v>
      </c>
      <c r="M285" s="194"/>
      <c r="N285" s="317"/>
      <c r="O285" s="317"/>
      <c r="P285" s="317"/>
      <c r="Q285" s="317"/>
      <c r="R285" s="317"/>
      <c r="S285" s="317"/>
      <c r="T285" s="317"/>
      <c r="U285" s="317"/>
      <c r="V285" s="317"/>
      <c r="W285" s="317"/>
      <c r="X285" s="317"/>
      <c r="Y285" s="317"/>
      <c r="Z285" s="317"/>
    </row>
    <row r="286" spans="1:26" x14ac:dyDescent="0.25">
      <c r="A286" s="314"/>
      <c r="B286" s="18">
        <v>2023</v>
      </c>
      <c r="C286" s="18" t="s">
        <v>743</v>
      </c>
      <c r="D286" s="18" t="s">
        <v>718</v>
      </c>
      <c r="E286" s="18" t="s">
        <v>713</v>
      </c>
      <c r="F286" s="18" t="s">
        <v>714</v>
      </c>
      <c r="G286" s="18" t="s">
        <v>674</v>
      </c>
      <c r="H286" s="18" t="s">
        <v>719</v>
      </c>
      <c r="I286" s="315">
        <v>2702.6842845703072</v>
      </c>
      <c r="J286" s="315">
        <v>1.0101951313447774E-2</v>
      </c>
      <c r="K286" s="316" t="str">
        <f t="shared" si="30"/>
        <v>Construction and Mining Equipment</v>
      </c>
      <c r="L286" s="316" t="str">
        <f t="shared" si="31"/>
        <v>Diesel</v>
      </c>
      <c r="M286" s="194"/>
      <c r="N286" s="317"/>
      <c r="O286" s="317"/>
      <c r="P286" s="317"/>
      <c r="Q286" s="317"/>
      <c r="R286" s="317"/>
      <c r="S286" s="317"/>
      <c r="T286" s="317"/>
      <c r="U286" s="317"/>
      <c r="V286" s="317"/>
      <c r="W286" s="317"/>
      <c r="X286" s="317"/>
      <c r="Y286" s="317"/>
      <c r="Z286" s="317"/>
    </row>
    <row r="287" spans="1:26" x14ac:dyDescent="0.25">
      <c r="A287" s="314"/>
      <c r="B287" s="18">
        <v>2023</v>
      </c>
      <c r="C287" s="18" t="s">
        <v>711</v>
      </c>
      <c r="D287" s="18" t="s">
        <v>769</v>
      </c>
      <c r="E287" s="18" t="s">
        <v>713</v>
      </c>
      <c r="F287" s="18" t="s">
        <v>714</v>
      </c>
      <c r="G287" s="18" t="s">
        <v>674</v>
      </c>
      <c r="H287" s="18" t="s">
        <v>770</v>
      </c>
      <c r="I287" s="315">
        <v>2700.7520540965015</v>
      </c>
      <c r="J287" s="315">
        <v>2.1655532760827746E-2</v>
      </c>
      <c r="K287" s="316" t="str">
        <f t="shared" si="30"/>
        <v>Construction and Mining Equipment</v>
      </c>
      <c r="L287" s="316" t="str">
        <f t="shared" si="31"/>
        <v>Diesel</v>
      </c>
      <c r="M287" s="194"/>
      <c r="N287" s="317"/>
      <c r="O287" s="317"/>
      <c r="P287" s="317"/>
      <c r="Q287" s="317"/>
      <c r="R287" s="317"/>
      <c r="S287" s="317"/>
      <c r="T287" s="317"/>
      <c r="U287" s="317"/>
      <c r="V287" s="317"/>
      <c r="W287" s="317"/>
      <c r="X287" s="317"/>
      <c r="Y287" s="317"/>
      <c r="Z287" s="317"/>
    </row>
    <row r="288" spans="1:26" x14ac:dyDescent="0.25">
      <c r="A288" s="314"/>
      <c r="B288" s="18">
        <v>2023</v>
      </c>
      <c r="C288" s="18" t="s">
        <v>754</v>
      </c>
      <c r="D288" s="18" t="s">
        <v>712</v>
      </c>
      <c r="E288" s="18" t="s">
        <v>713</v>
      </c>
      <c r="F288" s="18" t="s">
        <v>714</v>
      </c>
      <c r="G288" s="18" t="s">
        <v>674</v>
      </c>
      <c r="H288" s="18" t="s">
        <v>715</v>
      </c>
      <c r="I288" s="315">
        <v>2698.449843854296</v>
      </c>
      <c r="J288" s="315">
        <v>1.6058946603543615E-2</v>
      </c>
      <c r="K288" s="316" t="str">
        <f t="shared" si="30"/>
        <v>Construction and Mining Equipment</v>
      </c>
      <c r="L288" s="316" t="str">
        <f t="shared" si="31"/>
        <v>Diesel</v>
      </c>
      <c r="M288" s="194"/>
      <c r="N288" s="317"/>
      <c r="O288" s="317"/>
      <c r="P288" s="317"/>
      <c r="Q288" s="317"/>
      <c r="R288" s="317"/>
      <c r="S288" s="317"/>
      <c r="T288" s="317"/>
      <c r="U288" s="317"/>
      <c r="V288" s="317"/>
      <c r="W288" s="317"/>
      <c r="X288" s="317"/>
      <c r="Y288" s="317"/>
      <c r="Z288" s="317"/>
    </row>
    <row r="289" spans="1:26" x14ac:dyDescent="0.25">
      <c r="A289" s="314"/>
      <c r="B289" s="18">
        <v>2023</v>
      </c>
      <c r="C289" s="18" t="s">
        <v>722</v>
      </c>
      <c r="D289" s="18" t="s">
        <v>757</v>
      </c>
      <c r="E289" s="18" t="s">
        <v>713</v>
      </c>
      <c r="F289" s="18" t="s">
        <v>714</v>
      </c>
      <c r="G289" s="18" t="s">
        <v>673</v>
      </c>
      <c r="H289" s="18" t="s">
        <v>758</v>
      </c>
      <c r="I289" s="315">
        <v>2695.0938791144131</v>
      </c>
      <c r="J289" s="315">
        <v>0.10383594316458297</v>
      </c>
      <c r="K289" s="316" t="str">
        <f t="shared" si="30"/>
        <v>Lawn and Garden Equipment</v>
      </c>
      <c r="L289" s="316" t="str">
        <f t="shared" si="31"/>
        <v>Diesel</v>
      </c>
      <c r="M289" s="194"/>
      <c r="N289" s="317"/>
      <c r="O289" s="317"/>
      <c r="P289" s="317"/>
      <c r="Q289" s="317"/>
      <c r="R289" s="317"/>
      <c r="S289" s="317"/>
      <c r="T289" s="317"/>
      <c r="U289" s="317"/>
      <c r="V289" s="317"/>
      <c r="W289" s="317"/>
      <c r="X289" s="317"/>
      <c r="Y289" s="317"/>
      <c r="Z289" s="317"/>
    </row>
    <row r="290" spans="1:26" x14ac:dyDescent="0.25">
      <c r="A290" s="314"/>
      <c r="B290" s="18">
        <v>2023</v>
      </c>
      <c r="C290" s="18" t="s">
        <v>743</v>
      </c>
      <c r="D290" s="18" t="s">
        <v>720</v>
      </c>
      <c r="E290" s="18" t="s">
        <v>713</v>
      </c>
      <c r="F290" s="18" t="s">
        <v>714</v>
      </c>
      <c r="G290" s="18" t="s">
        <v>674</v>
      </c>
      <c r="H290" s="18" t="s">
        <v>721</v>
      </c>
      <c r="I290" s="315">
        <v>2691.2467575237215</v>
      </c>
      <c r="J290" s="315">
        <v>1.2147104979931767E-2</v>
      </c>
      <c r="K290" s="316" t="str">
        <f t="shared" si="30"/>
        <v>Construction and Mining Equipment</v>
      </c>
      <c r="L290" s="316" t="str">
        <f t="shared" si="31"/>
        <v>Diesel</v>
      </c>
      <c r="M290" s="194"/>
      <c r="N290" s="317"/>
      <c r="O290" s="317"/>
      <c r="P290" s="317"/>
      <c r="Q290" s="317"/>
      <c r="R290" s="317"/>
      <c r="S290" s="317"/>
      <c r="T290" s="317"/>
      <c r="U290" s="317"/>
      <c r="V290" s="317"/>
      <c r="W290" s="317"/>
      <c r="X290" s="317"/>
      <c r="Y290" s="317"/>
      <c r="Z290" s="317"/>
    </row>
    <row r="291" spans="1:26" x14ac:dyDescent="0.25">
      <c r="A291" s="314"/>
      <c r="B291" s="18">
        <v>2023</v>
      </c>
      <c r="C291" s="18" t="s">
        <v>722</v>
      </c>
      <c r="D291" s="18" t="s">
        <v>788</v>
      </c>
      <c r="E291" s="18" t="s">
        <v>703</v>
      </c>
      <c r="F291" s="18" t="s">
        <v>704</v>
      </c>
      <c r="G291" s="18" t="s">
        <v>677</v>
      </c>
      <c r="H291" s="18" t="s">
        <v>789</v>
      </c>
      <c r="I291" s="315">
        <v>2675.3945398155615</v>
      </c>
      <c r="J291" s="315">
        <v>1.8500111431875361</v>
      </c>
      <c r="K291" s="316" t="str">
        <f t="shared" si="30"/>
        <v>Commercial Equipment</v>
      </c>
      <c r="L291" s="316" t="str">
        <f t="shared" si="31"/>
        <v>Gasoline</v>
      </c>
      <c r="M291" s="194"/>
      <c r="N291" s="317"/>
      <c r="O291" s="317"/>
      <c r="P291" s="317"/>
      <c r="Q291" s="317"/>
      <c r="R291" s="317"/>
      <c r="S291" s="317"/>
      <c r="T291" s="317"/>
      <c r="U291" s="317"/>
      <c r="V291" s="317"/>
      <c r="W291" s="317"/>
      <c r="X291" s="317"/>
      <c r="Y291" s="317"/>
      <c r="Z291" s="317"/>
    </row>
    <row r="292" spans="1:26" x14ac:dyDescent="0.25">
      <c r="A292" s="314"/>
      <c r="B292" s="18">
        <v>2023</v>
      </c>
      <c r="C292" s="18" t="s">
        <v>787</v>
      </c>
      <c r="D292" s="18" t="s">
        <v>763</v>
      </c>
      <c r="E292" s="18" t="s">
        <v>713</v>
      </c>
      <c r="F292" s="18" t="s">
        <v>714</v>
      </c>
      <c r="G292" s="18" t="s">
        <v>678</v>
      </c>
      <c r="H292" s="18" t="s">
        <v>764</v>
      </c>
      <c r="I292" s="315">
        <v>2670.4155605615679</v>
      </c>
      <c r="J292" s="315">
        <v>3.0231459596737613E-2</v>
      </c>
      <c r="K292" s="316" t="str">
        <f t="shared" si="30"/>
        <v>Agricultural Equipment</v>
      </c>
      <c r="L292" s="316" t="str">
        <f t="shared" si="31"/>
        <v>Diesel</v>
      </c>
      <c r="M292" s="194"/>
      <c r="N292" s="317"/>
      <c r="O292" s="317"/>
      <c r="P292" s="317"/>
      <c r="Q292" s="317"/>
      <c r="R292" s="317"/>
      <c r="S292" s="317"/>
      <c r="T292" s="317"/>
      <c r="U292" s="317"/>
      <c r="V292" s="317"/>
      <c r="W292" s="317"/>
      <c r="X292" s="317"/>
      <c r="Y292" s="317"/>
      <c r="Z292" s="317"/>
    </row>
    <row r="293" spans="1:26" x14ac:dyDescent="0.25">
      <c r="A293" s="314"/>
      <c r="B293" s="18">
        <v>2023</v>
      </c>
      <c r="C293" s="18" t="s">
        <v>732</v>
      </c>
      <c r="D293" s="18" t="s">
        <v>744</v>
      </c>
      <c r="E293" s="18" t="s">
        <v>703</v>
      </c>
      <c r="F293" s="18" t="s">
        <v>704</v>
      </c>
      <c r="G293" s="18" t="s">
        <v>673</v>
      </c>
      <c r="H293" s="18" t="s">
        <v>745</v>
      </c>
      <c r="I293" s="315">
        <v>2664.9474835742935</v>
      </c>
      <c r="J293" s="315">
        <v>1.970263656737596</v>
      </c>
      <c r="K293" s="316" t="str">
        <f t="shared" si="30"/>
        <v>Lawn and Garden Equipment</v>
      </c>
      <c r="L293" s="316" t="str">
        <f t="shared" si="31"/>
        <v>Gasoline</v>
      </c>
      <c r="M293" s="194"/>
      <c r="N293" s="317"/>
      <c r="O293" s="317"/>
      <c r="P293" s="317"/>
      <c r="Q293" s="317"/>
      <c r="R293" s="317"/>
      <c r="S293" s="317"/>
      <c r="T293" s="317"/>
      <c r="U293" s="317"/>
      <c r="V293" s="317"/>
      <c r="W293" s="317"/>
      <c r="X293" s="317"/>
      <c r="Y293" s="317"/>
      <c r="Z293" s="317"/>
    </row>
    <row r="294" spans="1:26" x14ac:dyDescent="0.25">
      <c r="A294" s="314"/>
      <c r="B294" s="18">
        <v>2023</v>
      </c>
      <c r="C294" s="18" t="s">
        <v>706</v>
      </c>
      <c r="D294" s="18" t="s">
        <v>839</v>
      </c>
      <c r="E294" s="18" t="s">
        <v>703</v>
      </c>
      <c r="F294" s="18" t="s">
        <v>704</v>
      </c>
      <c r="G294" s="18" t="s">
        <v>675</v>
      </c>
      <c r="H294" s="18" t="s">
        <v>708</v>
      </c>
      <c r="I294" s="315">
        <v>2639.7461557829993</v>
      </c>
      <c r="J294" s="315">
        <v>0.18182859943916946</v>
      </c>
      <c r="K294" s="316" t="str">
        <f t="shared" si="30"/>
        <v>Industrial Equipment</v>
      </c>
      <c r="L294" s="316" t="str">
        <f t="shared" si="31"/>
        <v>Gasoline</v>
      </c>
      <c r="M294" s="194"/>
      <c r="N294" s="317"/>
      <c r="O294" s="317"/>
      <c r="P294" s="317"/>
      <c r="Q294" s="317"/>
      <c r="R294" s="317"/>
      <c r="S294" s="317"/>
      <c r="T294" s="317"/>
      <c r="U294" s="317"/>
      <c r="V294" s="317"/>
      <c r="W294" s="317"/>
      <c r="X294" s="317"/>
      <c r="Y294" s="317"/>
      <c r="Z294" s="317"/>
    </row>
    <row r="295" spans="1:26" x14ac:dyDescent="0.25">
      <c r="A295" s="314"/>
      <c r="B295" s="18">
        <v>2023</v>
      </c>
      <c r="C295" s="18" t="s">
        <v>711</v>
      </c>
      <c r="D295" s="18" t="s">
        <v>765</v>
      </c>
      <c r="E295" s="18" t="s">
        <v>703</v>
      </c>
      <c r="F295" s="18" t="s">
        <v>676</v>
      </c>
      <c r="G295" s="18" t="s">
        <v>729</v>
      </c>
      <c r="H295" s="18" t="s">
        <v>766</v>
      </c>
      <c r="I295" s="315">
        <v>2618.2679682200119</v>
      </c>
      <c r="J295" s="315">
        <v>2.8798584429084682</v>
      </c>
      <c r="K295" s="316" t="str">
        <f t="shared" si="30"/>
        <v>Pleasure Craft</v>
      </c>
      <c r="L295" s="316" t="str">
        <f t="shared" si="31"/>
        <v>Gasoline</v>
      </c>
      <c r="M295" s="194"/>
      <c r="N295" s="317"/>
      <c r="O295" s="317"/>
      <c r="P295" s="317"/>
      <c r="Q295" s="317"/>
      <c r="R295" s="317"/>
      <c r="S295" s="317"/>
      <c r="T295" s="317"/>
      <c r="U295" s="317"/>
      <c r="V295" s="317"/>
      <c r="W295" s="317"/>
      <c r="X295" s="317"/>
      <c r="Y295" s="317"/>
      <c r="Z295" s="317"/>
    </row>
    <row r="296" spans="1:26" x14ac:dyDescent="0.25">
      <c r="A296" s="314"/>
      <c r="B296" s="18">
        <v>2023</v>
      </c>
      <c r="C296" s="18" t="s">
        <v>787</v>
      </c>
      <c r="D296" s="18" t="s">
        <v>738</v>
      </c>
      <c r="E296" s="18" t="s">
        <v>703</v>
      </c>
      <c r="F296" s="18" t="s">
        <v>676</v>
      </c>
      <c r="G296" s="18" t="s">
        <v>739</v>
      </c>
      <c r="H296" s="18" t="s">
        <v>740</v>
      </c>
      <c r="I296" s="315">
        <v>2604.385999702773</v>
      </c>
      <c r="J296" s="315">
        <v>1.1326991866055849</v>
      </c>
      <c r="K296" s="316" t="str">
        <f t="shared" si="30"/>
        <v>Pleasure Craft</v>
      </c>
      <c r="L296" s="316" t="str">
        <f t="shared" si="31"/>
        <v>Gasoline</v>
      </c>
      <c r="M296" s="194"/>
      <c r="N296" s="317"/>
      <c r="O296" s="317"/>
      <c r="P296" s="317"/>
      <c r="Q296" s="317"/>
      <c r="R296" s="317"/>
      <c r="S296" s="317"/>
      <c r="T296" s="317"/>
      <c r="U296" s="317"/>
      <c r="V296" s="317"/>
      <c r="W296" s="317"/>
      <c r="X296" s="317"/>
      <c r="Y296" s="317"/>
      <c r="Z296" s="317"/>
    </row>
    <row r="297" spans="1:26" x14ac:dyDescent="0.25">
      <c r="A297" s="314"/>
      <c r="B297" s="18">
        <v>2023</v>
      </c>
      <c r="C297" s="18" t="s">
        <v>732</v>
      </c>
      <c r="D297" s="18" t="s">
        <v>748</v>
      </c>
      <c r="E297" s="18" t="s">
        <v>703</v>
      </c>
      <c r="F297" s="18" t="s">
        <v>704</v>
      </c>
      <c r="G297" s="18" t="s">
        <v>673</v>
      </c>
      <c r="H297" s="18" t="s">
        <v>749</v>
      </c>
      <c r="I297" s="315">
        <v>2526.9697768505234</v>
      </c>
      <c r="J297" s="315">
        <v>1.4392305865414579</v>
      </c>
      <c r="K297" s="316" t="str">
        <f t="shared" si="30"/>
        <v>Lawn and Garden Equipment</v>
      </c>
      <c r="L297" s="316" t="str">
        <f t="shared" si="31"/>
        <v>Gasoline</v>
      </c>
      <c r="M297" s="194"/>
      <c r="N297" s="317"/>
      <c r="O297" s="317"/>
      <c r="P297" s="317"/>
      <c r="Q297" s="317"/>
      <c r="R297" s="317"/>
      <c r="S297" s="317"/>
      <c r="T297" s="317"/>
      <c r="U297" s="317"/>
      <c r="V297" s="317"/>
      <c r="W297" s="317"/>
      <c r="X297" s="317"/>
      <c r="Y297" s="317"/>
      <c r="Z297" s="317"/>
    </row>
    <row r="298" spans="1:26" x14ac:dyDescent="0.25">
      <c r="A298" s="314"/>
      <c r="B298" s="18">
        <v>2023</v>
      </c>
      <c r="C298" s="18" t="s">
        <v>711</v>
      </c>
      <c r="D298" s="18" t="s">
        <v>767</v>
      </c>
      <c r="E298" s="18" t="s">
        <v>703</v>
      </c>
      <c r="F298" s="18" t="s">
        <v>704</v>
      </c>
      <c r="G298" s="18" t="s">
        <v>673</v>
      </c>
      <c r="H298" s="18" t="s">
        <v>768</v>
      </c>
      <c r="I298" s="315">
        <v>2517.5403082728221</v>
      </c>
      <c r="J298" s="315">
        <v>1.7497293426574421</v>
      </c>
      <c r="K298" s="316" t="str">
        <f t="shared" si="30"/>
        <v>Lawn and Garden Equipment</v>
      </c>
      <c r="L298" s="316" t="str">
        <f t="shared" si="31"/>
        <v>Gasoline</v>
      </c>
      <c r="M298" s="194"/>
      <c r="N298" s="317"/>
      <c r="O298" s="317"/>
      <c r="P298" s="317"/>
      <c r="Q298" s="317"/>
      <c r="R298" s="317"/>
      <c r="S298" s="317"/>
      <c r="T298" s="317"/>
      <c r="U298" s="317"/>
      <c r="V298" s="317"/>
      <c r="W298" s="317"/>
      <c r="X298" s="317"/>
      <c r="Y298" s="317"/>
      <c r="Z298" s="317"/>
    </row>
    <row r="299" spans="1:26" x14ac:dyDescent="0.25">
      <c r="A299" s="314"/>
      <c r="B299" s="18">
        <v>2023</v>
      </c>
      <c r="C299" s="18" t="s">
        <v>706</v>
      </c>
      <c r="D299" s="18" t="s">
        <v>840</v>
      </c>
      <c r="E299" s="18" t="s">
        <v>703</v>
      </c>
      <c r="F299" s="18" t="s">
        <v>704</v>
      </c>
      <c r="G299" s="18" t="s">
        <v>677</v>
      </c>
      <c r="H299" s="18" t="s">
        <v>841</v>
      </c>
      <c r="I299" s="315">
        <v>2501.9055214707423</v>
      </c>
      <c r="J299" s="315">
        <v>1.6497536240523623</v>
      </c>
      <c r="K299" s="316" t="str">
        <f t="shared" si="30"/>
        <v>Commercial Equipment</v>
      </c>
      <c r="L299" s="316" t="str">
        <f t="shared" si="31"/>
        <v>Gasoline</v>
      </c>
      <c r="M299" s="194"/>
      <c r="N299" s="317"/>
      <c r="O299" s="317"/>
      <c r="P299" s="317"/>
      <c r="Q299" s="317"/>
      <c r="R299" s="317"/>
      <c r="S299" s="317"/>
      <c r="T299" s="317"/>
      <c r="U299" s="317"/>
      <c r="V299" s="317"/>
      <c r="W299" s="317"/>
      <c r="X299" s="317"/>
      <c r="Y299" s="317"/>
      <c r="Z299" s="317"/>
    </row>
    <row r="300" spans="1:26" x14ac:dyDescent="0.25">
      <c r="A300" s="314"/>
      <c r="B300" s="18">
        <v>2023</v>
      </c>
      <c r="C300" s="18" t="s">
        <v>760</v>
      </c>
      <c r="D300" s="18" t="s">
        <v>763</v>
      </c>
      <c r="E300" s="18" t="s">
        <v>713</v>
      </c>
      <c r="F300" s="18" t="s">
        <v>714</v>
      </c>
      <c r="G300" s="18" t="s">
        <v>678</v>
      </c>
      <c r="H300" s="18" t="s">
        <v>764</v>
      </c>
      <c r="I300" s="315">
        <v>2501.5799747689757</v>
      </c>
      <c r="J300" s="315">
        <v>2.83200434755977E-2</v>
      </c>
      <c r="K300" s="316" t="str">
        <f t="shared" si="30"/>
        <v>Agricultural Equipment</v>
      </c>
      <c r="L300" s="316" t="str">
        <f t="shared" si="31"/>
        <v>Diesel</v>
      </c>
      <c r="M300" s="194"/>
      <c r="N300" s="317"/>
      <c r="O300" s="317"/>
      <c r="P300" s="317"/>
      <c r="Q300" s="317"/>
      <c r="R300" s="317"/>
      <c r="S300" s="317"/>
      <c r="T300" s="317"/>
      <c r="U300" s="317"/>
      <c r="V300" s="317"/>
      <c r="W300" s="317"/>
      <c r="X300" s="317"/>
      <c r="Y300" s="317"/>
      <c r="Z300" s="317"/>
    </row>
    <row r="301" spans="1:26" x14ac:dyDescent="0.25">
      <c r="A301" s="314"/>
      <c r="B301" s="18">
        <v>2023</v>
      </c>
      <c r="C301" s="18" t="s">
        <v>760</v>
      </c>
      <c r="D301" s="18" t="s">
        <v>738</v>
      </c>
      <c r="E301" s="18" t="s">
        <v>703</v>
      </c>
      <c r="F301" s="18" t="s">
        <v>676</v>
      </c>
      <c r="G301" s="18" t="s">
        <v>739</v>
      </c>
      <c r="H301" s="18" t="s">
        <v>740</v>
      </c>
      <c r="I301" s="315">
        <v>2499.6125816666622</v>
      </c>
      <c r="J301" s="315">
        <v>1.087051208216494</v>
      </c>
      <c r="K301" s="316" t="str">
        <f t="shared" si="30"/>
        <v>Pleasure Craft</v>
      </c>
      <c r="L301" s="316" t="str">
        <f t="shared" si="31"/>
        <v>Gasoline</v>
      </c>
      <c r="M301" s="194"/>
      <c r="N301" s="317"/>
      <c r="O301" s="317"/>
      <c r="P301" s="317"/>
      <c r="Q301" s="317"/>
      <c r="R301" s="317"/>
      <c r="S301" s="317"/>
      <c r="T301" s="317"/>
      <c r="U301" s="317"/>
      <c r="V301" s="317"/>
      <c r="W301" s="317"/>
      <c r="X301" s="317"/>
      <c r="Y301" s="317"/>
      <c r="Z301" s="317"/>
    </row>
    <row r="302" spans="1:26" x14ac:dyDescent="0.25">
      <c r="A302" s="314"/>
      <c r="B302" s="18">
        <v>2023</v>
      </c>
      <c r="C302" s="18" t="s">
        <v>701</v>
      </c>
      <c r="D302" s="18" t="s">
        <v>835</v>
      </c>
      <c r="E302" s="18" t="s">
        <v>703</v>
      </c>
      <c r="F302" s="18" t="s">
        <v>704</v>
      </c>
      <c r="G302" s="18" t="s">
        <v>677</v>
      </c>
      <c r="H302" s="18" t="s">
        <v>836</v>
      </c>
      <c r="I302" s="315">
        <v>2490.891513452927</v>
      </c>
      <c r="J302" s="315">
        <v>1.5508585376102668</v>
      </c>
      <c r="K302" s="316" t="str">
        <f t="shared" si="30"/>
        <v>Commercial Equipment</v>
      </c>
      <c r="L302" s="316" t="str">
        <f t="shared" si="31"/>
        <v>Gasoline</v>
      </c>
      <c r="M302" s="194"/>
      <c r="N302" s="317"/>
      <c r="O302" s="317"/>
      <c r="P302" s="317"/>
      <c r="Q302" s="317"/>
      <c r="R302" s="317"/>
      <c r="S302" s="317"/>
      <c r="T302" s="317"/>
      <c r="U302" s="317"/>
      <c r="V302" s="317"/>
      <c r="W302" s="317"/>
      <c r="X302" s="317"/>
      <c r="Y302" s="317"/>
      <c r="Z302" s="317"/>
    </row>
    <row r="303" spans="1:26" x14ac:dyDescent="0.25">
      <c r="A303" s="314"/>
      <c r="B303" s="18">
        <v>2023</v>
      </c>
      <c r="C303" s="18" t="s">
        <v>754</v>
      </c>
      <c r="D303" s="18" t="s">
        <v>718</v>
      </c>
      <c r="E303" s="18" t="s">
        <v>713</v>
      </c>
      <c r="F303" s="18" t="s">
        <v>714</v>
      </c>
      <c r="G303" s="18" t="s">
        <v>674</v>
      </c>
      <c r="H303" s="18" t="s">
        <v>719</v>
      </c>
      <c r="I303" s="315">
        <v>2478.4886593220244</v>
      </c>
      <c r="J303" s="315">
        <v>9.2639587292413332E-3</v>
      </c>
      <c r="K303" s="316" t="str">
        <f t="shared" ref="K303:K557" si="32">IF(F303="Pleasure Craft","Pleasure Craft",IF(F303="Railroad Equipment","Railroad Equipment",G303))</f>
        <v>Construction and Mining Equipment</v>
      </c>
      <c r="L303" s="316" t="str">
        <f t="shared" ref="L303:L557" si="33">IF(E303="Non-Road Gasoline","Gasoline",IF(E303="Non-Road Diesel","Diesel",IF(RIGHT(F303,3)="LPG","LPG",IF(RIGHT(F303,3)="CNG","CNG",G303))))</f>
        <v>Diesel</v>
      </c>
      <c r="M303" s="194"/>
      <c r="N303" s="317"/>
      <c r="O303" s="317"/>
      <c r="P303" s="317"/>
      <c r="Q303" s="317"/>
      <c r="R303" s="317"/>
      <c r="S303" s="317"/>
      <c r="T303" s="317"/>
      <c r="U303" s="317"/>
      <c r="V303" s="317"/>
      <c r="W303" s="317"/>
      <c r="X303" s="317"/>
      <c r="Y303" s="317"/>
      <c r="Z303" s="317"/>
    </row>
    <row r="304" spans="1:26" x14ac:dyDescent="0.25">
      <c r="A304" s="314"/>
      <c r="B304" s="18">
        <v>2023</v>
      </c>
      <c r="C304" s="18" t="s">
        <v>722</v>
      </c>
      <c r="D304" s="18" t="s">
        <v>735</v>
      </c>
      <c r="E304" s="18" t="s">
        <v>713</v>
      </c>
      <c r="F304" s="18" t="s">
        <v>714</v>
      </c>
      <c r="G304" s="18" t="s">
        <v>674</v>
      </c>
      <c r="H304" s="18" t="s">
        <v>736</v>
      </c>
      <c r="I304" s="315">
        <v>2476.5105286052326</v>
      </c>
      <c r="J304" s="315">
        <v>7.4073859366796516E-2</v>
      </c>
      <c r="K304" s="316" t="str">
        <f t="shared" si="32"/>
        <v>Construction and Mining Equipment</v>
      </c>
      <c r="L304" s="316" t="str">
        <f t="shared" si="33"/>
        <v>Diesel</v>
      </c>
      <c r="M304" s="194"/>
      <c r="N304" s="317"/>
      <c r="O304" s="317"/>
      <c r="P304" s="317"/>
      <c r="Q304" s="317"/>
      <c r="R304" s="317"/>
      <c r="S304" s="317"/>
      <c r="T304" s="317"/>
      <c r="U304" s="317"/>
      <c r="V304" s="317"/>
      <c r="W304" s="317"/>
      <c r="X304" s="317"/>
      <c r="Y304" s="317"/>
      <c r="Z304" s="317"/>
    </row>
    <row r="305" spans="1:26" x14ac:dyDescent="0.25">
      <c r="A305" s="314"/>
      <c r="B305" s="18">
        <v>2023</v>
      </c>
      <c r="C305" s="18" t="s">
        <v>754</v>
      </c>
      <c r="D305" s="18" t="s">
        <v>720</v>
      </c>
      <c r="E305" s="18" t="s">
        <v>713</v>
      </c>
      <c r="F305" s="18" t="s">
        <v>714</v>
      </c>
      <c r="G305" s="18" t="s">
        <v>674</v>
      </c>
      <c r="H305" s="18" t="s">
        <v>721</v>
      </c>
      <c r="I305" s="315">
        <v>2468.0001892448063</v>
      </c>
      <c r="J305" s="315">
        <v>1.1139471386566617E-2</v>
      </c>
      <c r="K305" s="316" t="str">
        <f t="shared" si="32"/>
        <v>Construction and Mining Equipment</v>
      </c>
      <c r="L305" s="316" t="str">
        <f t="shared" si="33"/>
        <v>Diesel</v>
      </c>
      <c r="M305" s="194"/>
      <c r="N305" s="317"/>
      <c r="O305" s="317"/>
      <c r="P305" s="317"/>
      <c r="Q305" s="317"/>
      <c r="R305" s="317"/>
      <c r="S305" s="317"/>
      <c r="T305" s="317"/>
      <c r="U305" s="317"/>
      <c r="V305" s="317"/>
      <c r="W305" s="317"/>
      <c r="X305" s="317"/>
      <c r="Y305" s="317"/>
      <c r="Z305" s="317"/>
    </row>
    <row r="306" spans="1:26" x14ac:dyDescent="0.25">
      <c r="A306" s="314"/>
      <c r="B306" s="18">
        <v>2023</v>
      </c>
      <c r="C306" s="18" t="s">
        <v>706</v>
      </c>
      <c r="D306" s="18" t="s">
        <v>846</v>
      </c>
      <c r="E306" s="18" t="s">
        <v>713</v>
      </c>
      <c r="F306" s="18" t="s">
        <v>714</v>
      </c>
      <c r="G306" s="18" t="s">
        <v>677</v>
      </c>
      <c r="H306" s="18" t="s">
        <v>836</v>
      </c>
      <c r="I306" s="315">
        <v>2442.882449720219</v>
      </c>
      <c r="J306" s="315">
        <v>9.4463121888809606E-2</v>
      </c>
      <c r="K306" s="316" t="str">
        <f t="shared" si="32"/>
        <v>Commercial Equipment</v>
      </c>
      <c r="L306" s="316" t="str">
        <f t="shared" si="33"/>
        <v>Diesel</v>
      </c>
      <c r="M306" s="194"/>
      <c r="N306" s="317"/>
      <c r="O306" s="317"/>
      <c r="P306" s="317"/>
      <c r="Q306" s="317"/>
      <c r="R306" s="317"/>
      <c r="S306" s="317"/>
      <c r="T306" s="317"/>
      <c r="U306" s="317"/>
      <c r="V306" s="317"/>
      <c r="W306" s="317"/>
      <c r="X306" s="317"/>
      <c r="Y306" s="317"/>
      <c r="Z306" s="317"/>
    </row>
    <row r="307" spans="1:26" x14ac:dyDescent="0.25">
      <c r="A307" s="314"/>
      <c r="B307" s="18">
        <v>2023</v>
      </c>
      <c r="C307" s="18" t="s">
        <v>778</v>
      </c>
      <c r="D307" s="18" t="s">
        <v>702</v>
      </c>
      <c r="E307" s="18" t="s">
        <v>703</v>
      </c>
      <c r="F307" s="18" t="s">
        <v>704</v>
      </c>
      <c r="G307" s="18" t="s">
        <v>673</v>
      </c>
      <c r="H307" s="18" t="s">
        <v>705</v>
      </c>
      <c r="I307" s="315">
        <v>2442.7885989352076</v>
      </c>
      <c r="J307" s="315">
        <v>1.537200633569173</v>
      </c>
      <c r="K307" s="316" t="str">
        <f t="shared" si="32"/>
        <v>Lawn and Garden Equipment</v>
      </c>
      <c r="L307" s="316" t="str">
        <f t="shared" si="33"/>
        <v>Gasoline</v>
      </c>
      <c r="M307" s="194"/>
      <c r="N307" s="317"/>
      <c r="O307" s="317"/>
      <c r="P307" s="317"/>
      <c r="Q307" s="317"/>
      <c r="R307" s="317"/>
      <c r="S307" s="317"/>
      <c r="T307" s="317"/>
      <c r="U307" s="317"/>
      <c r="V307" s="317"/>
      <c r="W307" s="317"/>
      <c r="X307" s="317"/>
      <c r="Y307" s="317"/>
      <c r="Z307" s="317"/>
    </row>
    <row r="308" spans="1:26" x14ac:dyDescent="0.25">
      <c r="A308" s="314"/>
      <c r="B308" s="18">
        <v>2023</v>
      </c>
      <c r="C308" s="18" t="s">
        <v>701</v>
      </c>
      <c r="D308" s="18" t="s">
        <v>763</v>
      </c>
      <c r="E308" s="18" t="s">
        <v>713</v>
      </c>
      <c r="F308" s="18" t="s">
        <v>714</v>
      </c>
      <c r="G308" s="18" t="s">
        <v>678</v>
      </c>
      <c r="H308" s="18" t="s">
        <v>764</v>
      </c>
      <c r="I308" s="315">
        <v>2430.2547240818885</v>
      </c>
      <c r="J308" s="315">
        <v>2.7512616158575566E-2</v>
      </c>
      <c r="K308" s="316" t="str">
        <f t="shared" si="32"/>
        <v>Agricultural Equipment</v>
      </c>
      <c r="L308" s="316" t="str">
        <f t="shared" si="33"/>
        <v>Diesel</v>
      </c>
      <c r="M308" s="194"/>
      <c r="N308" s="317"/>
      <c r="O308" s="317"/>
      <c r="P308" s="317"/>
      <c r="Q308" s="317"/>
      <c r="R308" s="317"/>
      <c r="S308" s="317"/>
      <c r="T308" s="317"/>
      <c r="U308" s="317"/>
      <c r="V308" s="317"/>
      <c r="W308" s="317"/>
      <c r="X308" s="317"/>
      <c r="Y308" s="317"/>
      <c r="Z308" s="317"/>
    </row>
    <row r="309" spans="1:26" x14ac:dyDescent="0.25">
      <c r="A309" s="314"/>
      <c r="B309" s="18">
        <v>2023</v>
      </c>
      <c r="C309" s="18" t="s">
        <v>778</v>
      </c>
      <c r="D309" s="18" t="s">
        <v>735</v>
      </c>
      <c r="E309" s="18" t="s">
        <v>713</v>
      </c>
      <c r="F309" s="18" t="s">
        <v>714</v>
      </c>
      <c r="G309" s="18" t="s">
        <v>674</v>
      </c>
      <c r="H309" s="18" t="s">
        <v>736</v>
      </c>
      <c r="I309" s="315">
        <v>2387.2163127435324</v>
      </c>
      <c r="J309" s="315">
        <v>7.1403066800525342E-2</v>
      </c>
      <c r="K309" s="316" t="str">
        <f t="shared" si="32"/>
        <v>Construction and Mining Equipment</v>
      </c>
      <c r="L309" s="316" t="str">
        <f t="shared" si="33"/>
        <v>Diesel</v>
      </c>
      <c r="M309" s="194"/>
      <c r="N309" s="317"/>
      <c r="O309" s="317"/>
      <c r="P309" s="317"/>
      <c r="Q309" s="317"/>
      <c r="R309" s="317"/>
      <c r="S309" s="317"/>
      <c r="T309" s="317"/>
      <c r="U309" s="317"/>
      <c r="V309" s="317"/>
      <c r="W309" s="317"/>
      <c r="X309" s="317"/>
      <c r="Y309" s="317"/>
      <c r="Z309" s="317"/>
    </row>
    <row r="310" spans="1:26" x14ac:dyDescent="0.25">
      <c r="A310" s="314"/>
      <c r="B310" s="18">
        <v>2023</v>
      </c>
      <c r="C310" s="18" t="s">
        <v>754</v>
      </c>
      <c r="D310" s="18" t="s">
        <v>733</v>
      </c>
      <c r="E310" s="18" t="s">
        <v>703</v>
      </c>
      <c r="F310" s="18" t="s">
        <v>704</v>
      </c>
      <c r="G310" s="18" t="s">
        <v>673</v>
      </c>
      <c r="H310" s="18" t="s">
        <v>734</v>
      </c>
      <c r="I310" s="315">
        <v>2372.437382489481</v>
      </c>
      <c r="J310" s="315">
        <v>1.5062595001274002</v>
      </c>
      <c r="K310" s="316" t="str">
        <f t="shared" si="32"/>
        <v>Lawn and Garden Equipment</v>
      </c>
      <c r="L310" s="316" t="str">
        <f t="shared" si="33"/>
        <v>Gasoline</v>
      </c>
      <c r="M310" s="194"/>
      <c r="N310" s="317"/>
      <c r="O310" s="317"/>
      <c r="P310" s="317"/>
      <c r="Q310" s="317"/>
      <c r="R310" s="317"/>
      <c r="S310" s="317"/>
      <c r="T310" s="317"/>
      <c r="U310" s="317"/>
      <c r="V310" s="317"/>
      <c r="W310" s="317"/>
      <c r="X310" s="317"/>
      <c r="Y310" s="317"/>
      <c r="Z310" s="317"/>
    </row>
    <row r="311" spans="1:26" x14ac:dyDescent="0.25">
      <c r="A311" s="314"/>
      <c r="B311" s="18">
        <v>2023</v>
      </c>
      <c r="C311" s="18" t="s">
        <v>787</v>
      </c>
      <c r="D311" s="18" t="s">
        <v>712</v>
      </c>
      <c r="E311" s="18" t="s">
        <v>713</v>
      </c>
      <c r="F311" s="18" t="s">
        <v>714</v>
      </c>
      <c r="G311" s="18" t="s">
        <v>674</v>
      </c>
      <c r="H311" s="18" t="s">
        <v>715</v>
      </c>
      <c r="I311" s="315">
        <v>2368.8245902372655</v>
      </c>
      <c r="J311" s="315">
        <v>1.4097297421480326E-2</v>
      </c>
      <c r="K311" s="316" t="str">
        <f t="shared" si="32"/>
        <v>Construction and Mining Equipment</v>
      </c>
      <c r="L311" s="316" t="str">
        <f t="shared" si="33"/>
        <v>Diesel</v>
      </c>
      <c r="M311" s="194"/>
      <c r="N311" s="317"/>
      <c r="O311" s="317"/>
      <c r="P311" s="317"/>
      <c r="Q311" s="317"/>
      <c r="R311" s="317"/>
      <c r="S311" s="317"/>
      <c r="T311" s="317"/>
      <c r="U311" s="317"/>
      <c r="V311" s="317"/>
      <c r="W311" s="317"/>
      <c r="X311" s="317"/>
      <c r="Y311" s="317"/>
      <c r="Z311" s="317"/>
    </row>
    <row r="312" spans="1:26" x14ac:dyDescent="0.25">
      <c r="A312" s="314"/>
      <c r="B312" s="18">
        <v>2023</v>
      </c>
      <c r="C312" s="18" t="s">
        <v>760</v>
      </c>
      <c r="D312" s="18" t="s">
        <v>755</v>
      </c>
      <c r="E312" s="18" t="s">
        <v>713</v>
      </c>
      <c r="F312" s="18" t="s">
        <v>714</v>
      </c>
      <c r="G312" s="18" t="s">
        <v>674</v>
      </c>
      <c r="H312" s="18" t="s">
        <v>756</v>
      </c>
      <c r="I312" s="315">
        <v>2363.3047773709245</v>
      </c>
      <c r="J312" s="315">
        <v>9.1770688927730354E-2</v>
      </c>
      <c r="K312" s="316" t="str">
        <f t="shared" si="32"/>
        <v>Construction and Mining Equipment</v>
      </c>
      <c r="L312" s="316" t="str">
        <f t="shared" si="33"/>
        <v>Diesel</v>
      </c>
      <c r="M312" s="194"/>
      <c r="N312" s="317"/>
      <c r="O312" s="317"/>
      <c r="P312" s="317"/>
      <c r="Q312" s="317"/>
      <c r="R312" s="317"/>
      <c r="S312" s="317"/>
      <c r="T312" s="317"/>
      <c r="U312" s="317"/>
      <c r="V312" s="317"/>
      <c r="W312" s="317"/>
      <c r="X312" s="317"/>
      <c r="Y312" s="317"/>
      <c r="Z312" s="317"/>
    </row>
    <row r="313" spans="1:26" x14ac:dyDescent="0.25">
      <c r="A313" s="314"/>
      <c r="B313" s="18">
        <v>2023</v>
      </c>
      <c r="C313" s="18" t="s">
        <v>709</v>
      </c>
      <c r="D313" s="18" t="s">
        <v>771</v>
      </c>
      <c r="E313" s="18" t="s">
        <v>713</v>
      </c>
      <c r="F313" s="18" t="s">
        <v>714</v>
      </c>
      <c r="G313" s="18" t="s">
        <v>675</v>
      </c>
      <c r="H313" s="18" t="s">
        <v>772</v>
      </c>
      <c r="I313" s="315">
        <v>2351.1591586075401</v>
      </c>
      <c r="J313" s="315">
        <v>5.2310926532878697E-3</v>
      </c>
      <c r="K313" s="316" t="str">
        <f t="shared" si="32"/>
        <v>Industrial Equipment</v>
      </c>
      <c r="L313" s="316" t="str">
        <f t="shared" si="33"/>
        <v>Diesel</v>
      </c>
      <c r="M313" s="194"/>
      <c r="N313" s="317"/>
      <c r="O313" s="317"/>
      <c r="P313" s="317"/>
      <c r="Q313" s="317"/>
      <c r="R313" s="317"/>
      <c r="S313" s="317"/>
      <c r="T313" s="317"/>
      <c r="U313" s="317"/>
      <c r="V313" s="317"/>
      <c r="W313" s="317"/>
      <c r="X313" s="317"/>
      <c r="Y313" s="317"/>
      <c r="Z313" s="317"/>
    </row>
    <row r="314" spans="1:26" x14ac:dyDescent="0.25">
      <c r="A314" s="314"/>
      <c r="B314" s="18">
        <v>2023</v>
      </c>
      <c r="C314" s="18" t="s">
        <v>732</v>
      </c>
      <c r="D314" s="18" t="s">
        <v>746</v>
      </c>
      <c r="E314" s="18" t="s">
        <v>703</v>
      </c>
      <c r="F314" s="18" t="s">
        <v>704</v>
      </c>
      <c r="G314" s="18" t="s">
        <v>677</v>
      </c>
      <c r="H314" s="18" t="s">
        <v>747</v>
      </c>
      <c r="I314" s="315">
        <v>2328.7632682181143</v>
      </c>
      <c r="J314" s="315">
        <v>1.5381477121453988</v>
      </c>
      <c r="K314" s="316" t="str">
        <f t="shared" si="32"/>
        <v>Commercial Equipment</v>
      </c>
      <c r="L314" s="316" t="str">
        <f t="shared" si="33"/>
        <v>Gasoline</v>
      </c>
      <c r="M314" s="194"/>
      <c r="N314" s="317"/>
      <c r="O314" s="317"/>
      <c r="P314" s="317"/>
      <c r="Q314" s="317"/>
      <c r="R314" s="317"/>
      <c r="S314" s="317"/>
      <c r="T314" s="317"/>
      <c r="U314" s="317"/>
      <c r="V314" s="317"/>
      <c r="W314" s="317"/>
      <c r="X314" s="317"/>
      <c r="Y314" s="317"/>
      <c r="Z314" s="317"/>
    </row>
    <row r="315" spans="1:26" x14ac:dyDescent="0.25">
      <c r="A315" s="314"/>
      <c r="B315" s="18">
        <v>2023</v>
      </c>
      <c r="C315" s="18" t="s">
        <v>706</v>
      </c>
      <c r="D315" s="18" t="s">
        <v>848</v>
      </c>
      <c r="E315" s="18" t="s">
        <v>56</v>
      </c>
      <c r="F315" s="18" t="s">
        <v>601</v>
      </c>
      <c r="G315" s="18" t="s">
        <v>675</v>
      </c>
      <c r="H315" s="18" t="s">
        <v>708</v>
      </c>
      <c r="I315" s="315">
        <v>2317.1385025722543</v>
      </c>
      <c r="J315" s="315">
        <v>9.2181413114447359</v>
      </c>
      <c r="K315" s="316" t="str">
        <f t="shared" si="32"/>
        <v>Industrial Equipment</v>
      </c>
      <c r="L315" s="316" t="str">
        <f t="shared" si="33"/>
        <v>CNG</v>
      </c>
      <c r="M315" s="194"/>
      <c r="N315" s="317"/>
      <c r="O315" s="317"/>
      <c r="P315" s="317"/>
      <c r="Q315" s="317"/>
      <c r="R315" s="317"/>
      <c r="S315" s="317"/>
      <c r="T315" s="317"/>
      <c r="U315" s="317"/>
      <c r="V315" s="317"/>
      <c r="W315" s="317"/>
      <c r="X315" s="317"/>
      <c r="Y315" s="317"/>
      <c r="Z315" s="317"/>
    </row>
    <row r="316" spans="1:26" x14ac:dyDescent="0.25">
      <c r="A316" s="314"/>
      <c r="B316" s="18">
        <v>2023</v>
      </c>
      <c r="C316" s="18" t="s">
        <v>743</v>
      </c>
      <c r="D316" s="18" t="s">
        <v>725</v>
      </c>
      <c r="E316" s="18" t="s">
        <v>713</v>
      </c>
      <c r="F316" s="18" t="s">
        <v>714</v>
      </c>
      <c r="G316" s="18" t="s">
        <v>674</v>
      </c>
      <c r="H316" s="18" t="s">
        <v>726</v>
      </c>
      <c r="I316" s="315">
        <v>2313.0860865230161</v>
      </c>
      <c r="J316" s="315">
        <v>1.2941359804199368E-2</v>
      </c>
      <c r="K316" s="316" t="str">
        <f t="shared" si="32"/>
        <v>Construction and Mining Equipment</v>
      </c>
      <c r="L316" s="316" t="str">
        <f t="shared" si="33"/>
        <v>Diesel</v>
      </c>
      <c r="M316" s="194"/>
      <c r="N316" s="317"/>
      <c r="O316" s="317"/>
      <c r="P316" s="317"/>
      <c r="Q316" s="317"/>
      <c r="R316" s="317"/>
      <c r="S316" s="317"/>
      <c r="T316" s="317"/>
      <c r="U316" s="317"/>
      <c r="V316" s="317"/>
      <c r="W316" s="317"/>
      <c r="X316" s="317"/>
      <c r="Y316" s="317"/>
      <c r="Z316" s="317"/>
    </row>
    <row r="317" spans="1:26" x14ac:dyDescent="0.25">
      <c r="A317" s="314"/>
      <c r="B317" s="18">
        <v>2023</v>
      </c>
      <c r="C317" s="18" t="s">
        <v>706</v>
      </c>
      <c r="D317" s="18" t="s">
        <v>849</v>
      </c>
      <c r="E317" s="18" t="s">
        <v>713</v>
      </c>
      <c r="F317" s="18" t="s">
        <v>714</v>
      </c>
      <c r="G317" s="18" t="s">
        <v>674</v>
      </c>
      <c r="H317" s="18" t="s">
        <v>850</v>
      </c>
      <c r="I317" s="315">
        <v>2286.7148536912118</v>
      </c>
      <c r="J317" s="315">
        <v>3.1946717221102178E-2</v>
      </c>
      <c r="K317" s="316" t="str">
        <f t="shared" si="32"/>
        <v>Construction and Mining Equipment</v>
      </c>
      <c r="L317" s="316" t="str">
        <f t="shared" si="33"/>
        <v>Diesel</v>
      </c>
      <c r="M317" s="194"/>
      <c r="N317" s="317"/>
      <c r="O317" s="317"/>
      <c r="P317" s="317"/>
      <c r="Q317" s="317"/>
      <c r="R317" s="317"/>
      <c r="S317" s="317"/>
      <c r="T317" s="317"/>
      <c r="U317" s="317"/>
      <c r="V317" s="317"/>
      <c r="W317" s="317"/>
      <c r="X317" s="317"/>
      <c r="Y317" s="317"/>
      <c r="Z317" s="317"/>
    </row>
    <row r="318" spans="1:26" x14ac:dyDescent="0.25">
      <c r="A318" s="314"/>
      <c r="B318" s="18">
        <v>2023</v>
      </c>
      <c r="C318" s="18" t="s">
        <v>706</v>
      </c>
      <c r="D318" s="18" t="s">
        <v>751</v>
      </c>
      <c r="E318" s="18" t="s">
        <v>713</v>
      </c>
      <c r="F318" s="18" t="s">
        <v>676</v>
      </c>
      <c r="G318" s="18" t="s">
        <v>79</v>
      </c>
      <c r="H318" s="18" t="s">
        <v>740</v>
      </c>
      <c r="I318" s="315">
        <v>2264.9151373511854</v>
      </c>
      <c r="J318" s="315">
        <v>8.8895970164992816E-2</v>
      </c>
      <c r="K318" s="316" t="str">
        <f t="shared" si="32"/>
        <v>Pleasure Craft</v>
      </c>
      <c r="L318" s="316" t="str">
        <f t="shared" si="33"/>
        <v>Diesel</v>
      </c>
      <c r="M318" s="194"/>
      <c r="N318" s="317"/>
      <c r="O318" s="317"/>
      <c r="P318" s="317"/>
      <c r="Q318" s="317"/>
      <c r="R318" s="317"/>
      <c r="S318" s="317"/>
      <c r="T318" s="317"/>
      <c r="U318" s="317"/>
      <c r="V318" s="317"/>
      <c r="W318" s="317"/>
      <c r="X318" s="317"/>
      <c r="Y318" s="317"/>
      <c r="Z318" s="317"/>
    </row>
    <row r="319" spans="1:26" x14ac:dyDescent="0.25">
      <c r="A319" s="314"/>
      <c r="B319" s="18">
        <v>2023</v>
      </c>
      <c r="C319" s="18" t="s">
        <v>711</v>
      </c>
      <c r="D319" s="18" t="s">
        <v>776</v>
      </c>
      <c r="E319" s="18" t="s">
        <v>713</v>
      </c>
      <c r="F319" s="18" t="s">
        <v>714</v>
      </c>
      <c r="G319" s="18" t="s">
        <v>674</v>
      </c>
      <c r="H319" s="18" t="s">
        <v>777</v>
      </c>
      <c r="I319" s="315">
        <v>2264.4967440700111</v>
      </c>
      <c r="J319" s="315">
        <v>9.0066429701681893E-3</v>
      </c>
      <c r="K319" s="316" t="str">
        <f t="shared" si="32"/>
        <v>Construction and Mining Equipment</v>
      </c>
      <c r="L319" s="316" t="str">
        <f t="shared" si="33"/>
        <v>Diesel</v>
      </c>
      <c r="M319" s="194"/>
      <c r="N319" s="317"/>
      <c r="O319" s="317"/>
      <c r="P319" s="317"/>
      <c r="Q319" s="317"/>
      <c r="R319" s="317"/>
      <c r="S319" s="317"/>
      <c r="T319" s="317"/>
      <c r="U319" s="317"/>
      <c r="V319" s="317"/>
      <c r="W319" s="317"/>
      <c r="X319" s="317"/>
      <c r="Y319" s="317"/>
      <c r="Z319" s="317"/>
    </row>
    <row r="320" spans="1:26" x14ac:dyDescent="0.25">
      <c r="A320" s="314"/>
      <c r="B320" s="18">
        <v>2023</v>
      </c>
      <c r="C320" s="18" t="s">
        <v>743</v>
      </c>
      <c r="D320" s="18" t="s">
        <v>733</v>
      </c>
      <c r="E320" s="18" t="s">
        <v>703</v>
      </c>
      <c r="F320" s="18" t="s">
        <v>704</v>
      </c>
      <c r="G320" s="18" t="s">
        <v>673</v>
      </c>
      <c r="H320" s="18" t="s">
        <v>734</v>
      </c>
      <c r="I320" s="315">
        <v>2264.4017579043493</v>
      </c>
      <c r="J320" s="315">
        <v>1.4392578013321009</v>
      </c>
      <c r="K320" s="316" t="str">
        <f t="shared" si="32"/>
        <v>Lawn and Garden Equipment</v>
      </c>
      <c r="L320" s="316" t="str">
        <f t="shared" si="33"/>
        <v>Gasoline</v>
      </c>
      <c r="M320" s="194"/>
      <c r="N320" s="317"/>
      <c r="O320" s="317"/>
      <c r="P320" s="317"/>
      <c r="Q320" s="317"/>
      <c r="R320" s="317"/>
      <c r="S320" s="317"/>
      <c r="T320" s="317"/>
      <c r="U320" s="317"/>
      <c r="V320" s="317"/>
      <c r="W320" s="317"/>
      <c r="X320" s="317"/>
      <c r="Y320" s="317"/>
      <c r="Z320" s="317"/>
    </row>
    <row r="321" spans="1:26" x14ac:dyDescent="0.25">
      <c r="A321" s="314"/>
      <c r="B321" s="18">
        <v>2023</v>
      </c>
      <c r="C321" s="18" t="s">
        <v>701</v>
      </c>
      <c r="D321" s="18" t="s">
        <v>797</v>
      </c>
      <c r="E321" s="18" t="s">
        <v>713</v>
      </c>
      <c r="F321" s="18" t="s">
        <v>714</v>
      </c>
      <c r="G321" s="18" t="s">
        <v>675</v>
      </c>
      <c r="H321" s="18" t="s">
        <v>798</v>
      </c>
      <c r="I321" s="315">
        <v>2251.0882954226063</v>
      </c>
      <c r="J321" s="315">
        <v>1.8990225345914498E-2</v>
      </c>
      <c r="K321" s="316" t="str">
        <f t="shared" si="32"/>
        <v>Industrial Equipment</v>
      </c>
      <c r="L321" s="316" t="str">
        <f t="shared" si="33"/>
        <v>Diesel</v>
      </c>
      <c r="M321" s="194"/>
      <c r="N321" s="317"/>
      <c r="O321" s="317"/>
      <c r="P321" s="317"/>
      <c r="Q321" s="317"/>
      <c r="R321" s="317"/>
      <c r="S321" s="317"/>
      <c r="T321" s="317"/>
      <c r="U321" s="317"/>
      <c r="V321" s="317"/>
      <c r="W321" s="317"/>
      <c r="X321" s="317"/>
      <c r="Y321" s="317"/>
      <c r="Z321" s="317"/>
    </row>
    <row r="322" spans="1:26" x14ac:dyDescent="0.25">
      <c r="A322" s="314"/>
      <c r="B322" s="18">
        <v>2023</v>
      </c>
      <c r="C322" s="18" t="s">
        <v>760</v>
      </c>
      <c r="D322" s="18" t="s">
        <v>746</v>
      </c>
      <c r="E322" s="18" t="s">
        <v>703</v>
      </c>
      <c r="F322" s="18" t="s">
        <v>704</v>
      </c>
      <c r="G322" s="18" t="s">
        <v>677</v>
      </c>
      <c r="H322" s="18" t="s">
        <v>747</v>
      </c>
      <c r="I322" s="315">
        <v>2239.195172088102</v>
      </c>
      <c r="J322" s="315">
        <v>1.4753955289483505</v>
      </c>
      <c r="K322" s="316" t="str">
        <f t="shared" si="32"/>
        <v>Commercial Equipment</v>
      </c>
      <c r="L322" s="316" t="str">
        <f t="shared" si="33"/>
        <v>Gasoline</v>
      </c>
      <c r="M322" s="194"/>
      <c r="N322" s="317"/>
      <c r="O322" s="317"/>
      <c r="P322" s="317"/>
      <c r="Q322" s="317"/>
      <c r="R322" s="317"/>
      <c r="S322" s="317"/>
      <c r="T322" s="317"/>
      <c r="U322" s="317"/>
      <c r="V322" s="317"/>
      <c r="W322" s="317"/>
      <c r="X322" s="317"/>
      <c r="Y322" s="317"/>
      <c r="Z322" s="317"/>
    </row>
    <row r="323" spans="1:26" x14ac:dyDescent="0.25">
      <c r="A323" s="314"/>
      <c r="B323" s="18">
        <v>2023</v>
      </c>
      <c r="C323" s="18" t="s">
        <v>787</v>
      </c>
      <c r="D323" s="18" t="s">
        <v>851</v>
      </c>
      <c r="E323" s="18" t="s">
        <v>703</v>
      </c>
      <c r="F323" s="18" t="s">
        <v>704</v>
      </c>
      <c r="G323" s="18" t="s">
        <v>679</v>
      </c>
      <c r="H323" s="18" t="s">
        <v>852</v>
      </c>
      <c r="I323" s="315">
        <v>2230.9424869734912</v>
      </c>
      <c r="J323" s="315">
        <v>2.2120335240350792</v>
      </c>
      <c r="K323" s="316" t="str">
        <f t="shared" si="32"/>
        <v>Recreational Equipment</v>
      </c>
      <c r="L323" s="316" t="str">
        <f t="shared" si="33"/>
        <v>Gasoline</v>
      </c>
      <c r="M323" s="194"/>
      <c r="N323" s="317"/>
      <c r="O323" s="317"/>
      <c r="P323" s="317"/>
      <c r="Q323" s="317"/>
      <c r="R323" s="317"/>
      <c r="S323" s="317"/>
      <c r="T323" s="317"/>
      <c r="U323" s="317"/>
      <c r="V323" s="317"/>
      <c r="W323" s="317"/>
      <c r="X323" s="317"/>
      <c r="Y323" s="317"/>
      <c r="Z323" s="317"/>
    </row>
    <row r="324" spans="1:26" x14ac:dyDescent="0.25">
      <c r="A324" s="314"/>
      <c r="B324" s="18">
        <v>2023</v>
      </c>
      <c r="C324" s="18" t="s">
        <v>781</v>
      </c>
      <c r="D324" s="18" t="s">
        <v>707</v>
      </c>
      <c r="E324" s="18" t="s">
        <v>56</v>
      </c>
      <c r="F324" s="18" t="s">
        <v>672</v>
      </c>
      <c r="G324" s="18" t="s">
        <v>675</v>
      </c>
      <c r="H324" s="18" t="s">
        <v>708</v>
      </c>
      <c r="I324" s="315">
        <v>2226.7982042996009</v>
      </c>
      <c r="J324" s="315">
        <v>0.10005540739035543</v>
      </c>
      <c r="K324" s="316" t="str">
        <f t="shared" si="32"/>
        <v>Industrial Equipment</v>
      </c>
      <c r="L324" s="316" t="str">
        <f t="shared" si="33"/>
        <v>LPG</v>
      </c>
      <c r="M324" s="194"/>
      <c r="N324" s="317"/>
      <c r="O324" s="317"/>
      <c r="P324" s="317"/>
      <c r="Q324" s="317"/>
      <c r="R324" s="317"/>
      <c r="S324" s="317"/>
      <c r="T324" s="317"/>
      <c r="U324" s="317"/>
      <c r="V324" s="317"/>
      <c r="W324" s="317"/>
      <c r="X324" s="317"/>
      <c r="Y324" s="317"/>
      <c r="Z324" s="317"/>
    </row>
    <row r="325" spans="1:26" x14ac:dyDescent="0.25">
      <c r="A325" s="314"/>
      <c r="B325" s="18">
        <v>2023</v>
      </c>
      <c r="C325" s="18" t="s">
        <v>701</v>
      </c>
      <c r="D325" s="18" t="s">
        <v>801</v>
      </c>
      <c r="E325" s="18" t="s">
        <v>713</v>
      </c>
      <c r="F325" s="18" t="s">
        <v>714</v>
      </c>
      <c r="G325" s="18" t="s">
        <v>675</v>
      </c>
      <c r="H325" s="18" t="s">
        <v>802</v>
      </c>
      <c r="I325" s="315">
        <v>2219.5088290396066</v>
      </c>
      <c r="J325" s="315">
        <v>1.47848286452448E-2</v>
      </c>
      <c r="K325" s="316" t="str">
        <f t="shared" si="32"/>
        <v>Industrial Equipment</v>
      </c>
      <c r="L325" s="316" t="str">
        <f t="shared" si="33"/>
        <v>Diesel</v>
      </c>
      <c r="M325" s="194"/>
      <c r="N325" s="317"/>
      <c r="O325" s="317"/>
      <c r="P325" s="317"/>
      <c r="Q325" s="317"/>
      <c r="R325" s="317"/>
      <c r="S325" s="317"/>
      <c r="T325" s="317"/>
      <c r="U325" s="317"/>
      <c r="V325" s="317"/>
      <c r="W325" s="317"/>
      <c r="X325" s="317"/>
      <c r="Y325" s="317"/>
      <c r="Z325" s="317"/>
    </row>
    <row r="326" spans="1:26" x14ac:dyDescent="0.25">
      <c r="A326" s="314"/>
      <c r="B326" s="18">
        <v>2023</v>
      </c>
      <c r="C326" s="18" t="s">
        <v>750</v>
      </c>
      <c r="D326" s="18" t="s">
        <v>712</v>
      </c>
      <c r="E326" s="18" t="s">
        <v>713</v>
      </c>
      <c r="F326" s="18" t="s">
        <v>714</v>
      </c>
      <c r="G326" s="18" t="s">
        <v>674</v>
      </c>
      <c r="H326" s="18" t="s">
        <v>715</v>
      </c>
      <c r="I326" s="315">
        <v>2214.646015760803</v>
      </c>
      <c r="J326" s="315">
        <v>1.317975212948368E-2</v>
      </c>
      <c r="K326" s="316" t="str">
        <f t="shared" si="32"/>
        <v>Construction and Mining Equipment</v>
      </c>
      <c r="L326" s="316" t="str">
        <f t="shared" si="33"/>
        <v>Diesel</v>
      </c>
      <c r="M326" s="194"/>
      <c r="N326" s="317"/>
      <c r="O326" s="317"/>
      <c r="P326" s="317"/>
      <c r="Q326" s="317"/>
      <c r="R326" s="317"/>
      <c r="S326" s="317"/>
      <c r="T326" s="317"/>
      <c r="U326" s="317"/>
      <c r="V326" s="317"/>
      <c r="W326" s="317"/>
      <c r="X326" s="317"/>
      <c r="Y326" s="317"/>
      <c r="Z326" s="317"/>
    </row>
    <row r="327" spans="1:26" x14ac:dyDescent="0.25">
      <c r="A327" s="314"/>
      <c r="B327" s="18">
        <v>2023</v>
      </c>
      <c r="C327" s="18" t="s">
        <v>701</v>
      </c>
      <c r="D327" s="18" t="s">
        <v>853</v>
      </c>
      <c r="E327" s="18" t="s">
        <v>703</v>
      </c>
      <c r="F327" s="18" t="s">
        <v>795</v>
      </c>
      <c r="G327" s="18" t="s">
        <v>679</v>
      </c>
      <c r="H327" s="18" t="s">
        <v>854</v>
      </c>
      <c r="I327" s="315">
        <v>2189.7464787602139</v>
      </c>
      <c r="J327" s="315">
        <v>1.6481339254618339</v>
      </c>
      <c r="K327" s="316" t="str">
        <f t="shared" si="32"/>
        <v>Recreational Equipment</v>
      </c>
      <c r="L327" s="316" t="str">
        <f t="shared" si="33"/>
        <v>Gasoline</v>
      </c>
      <c r="M327" s="194"/>
      <c r="N327" s="317"/>
      <c r="O327" s="317"/>
      <c r="P327" s="317"/>
      <c r="Q327" s="317"/>
      <c r="R327" s="317"/>
      <c r="S327" s="317"/>
      <c r="T327" s="317"/>
      <c r="U327" s="317"/>
      <c r="V327" s="317"/>
      <c r="W327" s="317"/>
      <c r="X327" s="317"/>
      <c r="Y327" s="317"/>
      <c r="Z327" s="317"/>
    </row>
    <row r="328" spans="1:26" x14ac:dyDescent="0.25">
      <c r="A328" s="314"/>
      <c r="B328" s="18">
        <v>2023</v>
      </c>
      <c r="C328" s="18" t="s">
        <v>701</v>
      </c>
      <c r="D328" s="18" t="s">
        <v>840</v>
      </c>
      <c r="E328" s="18" t="s">
        <v>703</v>
      </c>
      <c r="F328" s="18" t="s">
        <v>704</v>
      </c>
      <c r="G328" s="18" t="s">
        <v>677</v>
      </c>
      <c r="H328" s="18" t="s">
        <v>841</v>
      </c>
      <c r="I328" s="315">
        <v>2186.6869586011776</v>
      </c>
      <c r="J328" s="315">
        <v>1.442432017427085</v>
      </c>
      <c r="K328" s="316" t="str">
        <f t="shared" si="32"/>
        <v>Commercial Equipment</v>
      </c>
      <c r="L328" s="316" t="str">
        <f t="shared" si="33"/>
        <v>Gasoline</v>
      </c>
      <c r="M328" s="194"/>
      <c r="N328" s="317"/>
      <c r="O328" s="317"/>
      <c r="P328" s="317"/>
      <c r="Q328" s="317"/>
      <c r="R328" s="317"/>
      <c r="S328" s="317"/>
      <c r="T328" s="317"/>
      <c r="U328" s="317"/>
      <c r="V328" s="317"/>
      <c r="W328" s="317"/>
      <c r="X328" s="317"/>
      <c r="Y328" s="317"/>
      <c r="Z328" s="317"/>
    </row>
    <row r="329" spans="1:26" x14ac:dyDescent="0.25">
      <c r="A329" s="314"/>
      <c r="B329" s="18">
        <v>2023</v>
      </c>
      <c r="C329" s="18" t="s">
        <v>787</v>
      </c>
      <c r="D329" s="18" t="s">
        <v>718</v>
      </c>
      <c r="E329" s="18" t="s">
        <v>713</v>
      </c>
      <c r="F329" s="18" t="s">
        <v>714</v>
      </c>
      <c r="G329" s="18" t="s">
        <v>674</v>
      </c>
      <c r="H329" s="18" t="s">
        <v>719</v>
      </c>
      <c r="I329" s="315">
        <v>2175.7330045035815</v>
      </c>
      <c r="J329" s="315">
        <v>8.1323394718179291E-3</v>
      </c>
      <c r="K329" s="316" t="str">
        <f t="shared" si="32"/>
        <v>Construction and Mining Equipment</v>
      </c>
      <c r="L329" s="316" t="str">
        <f t="shared" si="33"/>
        <v>Diesel</v>
      </c>
      <c r="M329" s="194"/>
      <c r="N329" s="317"/>
      <c r="O329" s="317"/>
      <c r="P329" s="317"/>
      <c r="Q329" s="317"/>
      <c r="R329" s="317"/>
      <c r="S329" s="317"/>
      <c r="T329" s="317"/>
      <c r="U329" s="317"/>
      <c r="V329" s="317"/>
      <c r="W329" s="317"/>
      <c r="X329" s="317"/>
      <c r="Y329" s="317"/>
      <c r="Z329" s="317"/>
    </row>
    <row r="330" spans="1:26" x14ac:dyDescent="0.25">
      <c r="A330" s="314"/>
      <c r="B330" s="18">
        <v>2023</v>
      </c>
      <c r="C330" s="18" t="s">
        <v>711</v>
      </c>
      <c r="D330" s="18" t="s">
        <v>797</v>
      </c>
      <c r="E330" s="18" t="s">
        <v>713</v>
      </c>
      <c r="F330" s="18" t="s">
        <v>714</v>
      </c>
      <c r="G330" s="18" t="s">
        <v>675</v>
      </c>
      <c r="H330" s="18" t="s">
        <v>798</v>
      </c>
      <c r="I330" s="315">
        <v>2174.0177419651036</v>
      </c>
      <c r="J330" s="315">
        <v>1.8340048014230077E-2</v>
      </c>
      <c r="K330" s="316" t="str">
        <f t="shared" si="32"/>
        <v>Industrial Equipment</v>
      </c>
      <c r="L330" s="316" t="str">
        <f t="shared" si="33"/>
        <v>Diesel</v>
      </c>
      <c r="M330" s="194"/>
      <c r="N330" s="317"/>
      <c r="O330" s="317"/>
      <c r="P330" s="317"/>
      <c r="Q330" s="317"/>
      <c r="R330" s="317"/>
      <c r="S330" s="317"/>
      <c r="T330" s="317"/>
      <c r="U330" s="317"/>
      <c r="V330" s="317"/>
      <c r="W330" s="317"/>
      <c r="X330" s="317"/>
      <c r="Y330" s="317"/>
      <c r="Z330" s="317"/>
    </row>
    <row r="331" spans="1:26" x14ac:dyDescent="0.25">
      <c r="A331" s="314"/>
      <c r="B331" s="18">
        <v>2023</v>
      </c>
      <c r="C331" s="18" t="s">
        <v>787</v>
      </c>
      <c r="D331" s="18" t="s">
        <v>720</v>
      </c>
      <c r="E331" s="18" t="s">
        <v>713</v>
      </c>
      <c r="F331" s="18" t="s">
        <v>714</v>
      </c>
      <c r="G331" s="18" t="s">
        <v>674</v>
      </c>
      <c r="H331" s="18" t="s">
        <v>721</v>
      </c>
      <c r="I331" s="315">
        <v>2166.5251445918284</v>
      </c>
      <c r="J331" s="315">
        <v>9.7787399174836306E-3</v>
      </c>
      <c r="K331" s="316" t="str">
        <f t="shared" si="32"/>
        <v>Construction and Mining Equipment</v>
      </c>
      <c r="L331" s="316" t="str">
        <f t="shared" si="33"/>
        <v>Diesel</v>
      </c>
      <c r="M331" s="194"/>
      <c r="N331" s="317"/>
      <c r="O331" s="317"/>
      <c r="P331" s="317"/>
      <c r="Q331" s="317"/>
      <c r="R331" s="317"/>
      <c r="S331" s="317"/>
      <c r="T331" s="317"/>
      <c r="U331" s="317"/>
      <c r="V331" s="317"/>
      <c r="W331" s="317"/>
      <c r="X331" s="317"/>
      <c r="Y331" s="317"/>
      <c r="Z331" s="317"/>
    </row>
    <row r="332" spans="1:26" x14ac:dyDescent="0.25">
      <c r="A332" s="314"/>
      <c r="B332" s="18">
        <v>2023</v>
      </c>
      <c r="C332" s="18" t="s">
        <v>773</v>
      </c>
      <c r="D332" s="18" t="s">
        <v>728</v>
      </c>
      <c r="E332" s="18" t="s">
        <v>703</v>
      </c>
      <c r="F332" s="18" t="s">
        <v>676</v>
      </c>
      <c r="G332" s="18" t="s">
        <v>729</v>
      </c>
      <c r="H332" s="18" t="s">
        <v>730</v>
      </c>
      <c r="I332" s="315">
        <v>2165.0813868407886</v>
      </c>
      <c r="J332" s="315">
        <v>2.4515202276673955</v>
      </c>
      <c r="K332" s="316" t="str">
        <f t="shared" si="32"/>
        <v>Pleasure Craft</v>
      </c>
      <c r="L332" s="316" t="str">
        <f t="shared" si="33"/>
        <v>Gasoline</v>
      </c>
      <c r="M332" s="194"/>
      <c r="N332" s="317"/>
      <c r="O332" s="317"/>
      <c r="P332" s="317"/>
      <c r="Q332" s="317"/>
      <c r="R332" s="317"/>
      <c r="S332" s="317"/>
      <c r="T332" s="317"/>
      <c r="U332" s="317"/>
      <c r="V332" s="317"/>
      <c r="W332" s="317"/>
      <c r="X332" s="317"/>
      <c r="Y332" s="317"/>
      <c r="Z332" s="317"/>
    </row>
    <row r="333" spans="1:26" x14ac:dyDescent="0.25">
      <c r="A333" s="314"/>
      <c r="B333" s="18">
        <v>2023</v>
      </c>
      <c r="C333" s="18" t="s">
        <v>711</v>
      </c>
      <c r="D333" s="18" t="s">
        <v>801</v>
      </c>
      <c r="E333" s="18" t="s">
        <v>713</v>
      </c>
      <c r="F333" s="18" t="s">
        <v>714</v>
      </c>
      <c r="G333" s="18" t="s">
        <v>675</v>
      </c>
      <c r="H333" s="18" t="s">
        <v>802</v>
      </c>
      <c r="I333" s="315">
        <v>2143.5172289163502</v>
      </c>
      <c r="J333" s="315">
        <v>1.4278647866510123E-2</v>
      </c>
      <c r="K333" s="316" t="str">
        <f t="shared" si="32"/>
        <v>Industrial Equipment</v>
      </c>
      <c r="L333" s="316" t="str">
        <f t="shared" si="33"/>
        <v>Diesel</v>
      </c>
      <c r="M333" s="194"/>
      <c r="N333" s="317"/>
      <c r="O333" s="317"/>
      <c r="P333" s="317"/>
      <c r="Q333" s="317"/>
      <c r="R333" s="317"/>
      <c r="S333" s="317"/>
      <c r="T333" s="317"/>
      <c r="U333" s="317"/>
      <c r="V333" s="317"/>
      <c r="W333" s="317"/>
      <c r="X333" s="317"/>
      <c r="Y333" s="317"/>
      <c r="Z333" s="317"/>
    </row>
    <row r="334" spans="1:26" x14ac:dyDescent="0.25">
      <c r="A334" s="314"/>
      <c r="B334" s="18">
        <v>2023</v>
      </c>
      <c r="C334" s="18" t="s">
        <v>701</v>
      </c>
      <c r="D334" s="18" t="s">
        <v>846</v>
      </c>
      <c r="E334" s="18" t="s">
        <v>713</v>
      </c>
      <c r="F334" s="18" t="s">
        <v>714</v>
      </c>
      <c r="G334" s="18" t="s">
        <v>677</v>
      </c>
      <c r="H334" s="18" t="s">
        <v>836</v>
      </c>
      <c r="I334" s="315">
        <v>2135.0974223838903</v>
      </c>
      <c r="J334" s="315">
        <v>8.2561424623329549E-2</v>
      </c>
      <c r="K334" s="316" t="str">
        <f t="shared" si="32"/>
        <v>Commercial Equipment</v>
      </c>
      <c r="L334" s="316" t="str">
        <f t="shared" si="33"/>
        <v>Diesel</v>
      </c>
      <c r="M334" s="194"/>
      <c r="N334" s="317"/>
      <c r="O334" s="317"/>
      <c r="P334" s="317"/>
      <c r="Q334" s="317"/>
      <c r="R334" s="317"/>
      <c r="S334" s="317"/>
      <c r="T334" s="317"/>
      <c r="U334" s="317"/>
      <c r="V334" s="317"/>
      <c r="W334" s="317"/>
      <c r="X334" s="317"/>
      <c r="Y334" s="317"/>
      <c r="Z334" s="317"/>
    </row>
    <row r="335" spans="1:26" x14ac:dyDescent="0.25">
      <c r="A335" s="314"/>
      <c r="B335" s="18">
        <v>2023</v>
      </c>
      <c r="C335" s="18" t="s">
        <v>787</v>
      </c>
      <c r="D335" s="18" t="s">
        <v>751</v>
      </c>
      <c r="E335" s="18" t="s">
        <v>713</v>
      </c>
      <c r="F335" s="18" t="s">
        <v>676</v>
      </c>
      <c r="G335" s="18" t="s">
        <v>79</v>
      </c>
      <c r="H335" s="18" t="s">
        <v>740</v>
      </c>
      <c r="I335" s="315">
        <v>2130.2441396886811</v>
      </c>
      <c r="J335" s="315">
        <v>8.3610134814699949E-2</v>
      </c>
      <c r="K335" s="316" t="str">
        <f t="shared" si="32"/>
        <v>Pleasure Craft</v>
      </c>
      <c r="L335" s="316" t="str">
        <f t="shared" si="33"/>
        <v>Diesel</v>
      </c>
      <c r="M335" s="194"/>
      <c r="N335" s="317"/>
      <c r="O335" s="317"/>
      <c r="P335" s="317"/>
      <c r="Q335" s="317"/>
      <c r="R335" s="317"/>
      <c r="S335" s="317"/>
      <c r="T335" s="317"/>
      <c r="U335" s="317"/>
      <c r="V335" s="317"/>
      <c r="W335" s="317"/>
      <c r="X335" s="317"/>
      <c r="Y335" s="317"/>
      <c r="Z335" s="317"/>
    </row>
    <row r="336" spans="1:26" x14ac:dyDescent="0.25">
      <c r="A336" s="314"/>
      <c r="B336" s="18">
        <v>2023</v>
      </c>
      <c r="C336" s="18" t="s">
        <v>754</v>
      </c>
      <c r="D336" s="18" t="s">
        <v>725</v>
      </c>
      <c r="E336" s="18" t="s">
        <v>713</v>
      </c>
      <c r="F336" s="18" t="s">
        <v>714</v>
      </c>
      <c r="G336" s="18" t="s">
        <v>674</v>
      </c>
      <c r="H336" s="18" t="s">
        <v>726</v>
      </c>
      <c r="I336" s="315">
        <v>2121.2084431667136</v>
      </c>
      <c r="J336" s="315">
        <v>1.1867836756320863E-2</v>
      </c>
      <c r="K336" s="316" t="str">
        <f t="shared" si="32"/>
        <v>Construction and Mining Equipment</v>
      </c>
      <c r="L336" s="316" t="str">
        <f t="shared" si="33"/>
        <v>Diesel</v>
      </c>
      <c r="M336" s="194"/>
      <c r="N336" s="317"/>
      <c r="O336" s="317"/>
      <c r="P336" s="317"/>
      <c r="Q336" s="317"/>
      <c r="R336" s="317"/>
      <c r="S336" s="317"/>
      <c r="T336" s="317"/>
      <c r="U336" s="317"/>
      <c r="V336" s="317"/>
      <c r="W336" s="317"/>
      <c r="X336" s="317"/>
      <c r="Y336" s="317"/>
      <c r="Z336" s="317"/>
    </row>
    <row r="337" spans="1:26" x14ac:dyDescent="0.25">
      <c r="A337" s="314"/>
      <c r="B337" s="18">
        <v>2023</v>
      </c>
      <c r="C337" s="18" t="s">
        <v>706</v>
      </c>
      <c r="D337" s="18" t="s">
        <v>763</v>
      </c>
      <c r="E337" s="18" t="s">
        <v>713</v>
      </c>
      <c r="F337" s="18" t="s">
        <v>714</v>
      </c>
      <c r="G337" s="18" t="s">
        <v>678</v>
      </c>
      <c r="H337" s="18" t="s">
        <v>764</v>
      </c>
      <c r="I337" s="315">
        <v>2118.4468171278986</v>
      </c>
      <c r="J337" s="315">
        <v>2.3982653772297542E-2</v>
      </c>
      <c r="K337" s="316" t="str">
        <f t="shared" si="32"/>
        <v>Agricultural Equipment</v>
      </c>
      <c r="L337" s="316" t="str">
        <f t="shared" si="33"/>
        <v>Diesel</v>
      </c>
      <c r="M337" s="194"/>
      <c r="N337" s="317"/>
      <c r="O337" s="317"/>
      <c r="P337" s="317"/>
      <c r="Q337" s="317"/>
      <c r="R337" s="317"/>
      <c r="S337" s="317"/>
      <c r="T337" s="317"/>
      <c r="U337" s="317"/>
      <c r="V337" s="317"/>
      <c r="W337" s="317"/>
      <c r="X337" s="317"/>
      <c r="Y337" s="317"/>
      <c r="Z337" s="317"/>
    </row>
    <row r="338" spans="1:26" x14ac:dyDescent="0.25">
      <c r="A338" s="314"/>
      <c r="B338" s="18">
        <v>2023</v>
      </c>
      <c r="C338" s="18" t="s">
        <v>711</v>
      </c>
      <c r="D338" s="18" t="s">
        <v>779</v>
      </c>
      <c r="E338" s="18" t="s">
        <v>713</v>
      </c>
      <c r="F338" s="18" t="s">
        <v>714</v>
      </c>
      <c r="G338" s="18" t="s">
        <v>674</v>
      </c>
      <c r="H338" s="18" t="s">
        <v>780</v>
      </c>
      <c r="I338" s="315">
        <v>2098.5097478601765</v>
      </c>
      <c r="J338" s="315">
        <v>6.8347391990817028E-3</v>
      </c>
      <c r="K338" s="316" t="str">
        <f t="shared" si="32"/>
        <v>Construction and Mining Equipment</v>
      </c>
      <c r="L338" s="316" t="str">
        <f t="shared" si="33"/>
        <v>Diesel</v>
      </c>
      <c r="M338" s="194"/>
      <c r="N338" s="317"/>
      <c r="O338" s="317"/>
      <c r="P338" s="317"/>
      <c r="Q338" s="317"/>
      <c r="R338" s="317"/>
      <c r="S338" s="317"/>
      <c r="T338" s="317"/>
      <c r="U338" s="317"/>
      <c r="V338" s="317"/>
      <c r="W338" s="317"/>
      <c r="X338" s="317"/>
      <c r="Y338" s="317"/>
      <c r="Z338" s="317"/>
    </row>
    <row r="339" spans="1:26" x14ac:dyDescent="0.25">
      <c r="A339" s="314"/>
      <c r="B339" s="18">
        <v>2023</v>
      </c>
      <c r="C339" s="18" t="s">
        <v>706</v>
      </c>
      <c r="D339" s="18" t="s">
        <v>855</v>
      </c>
      <c r="E339" s="18" t="s">
        <v>713</v>
      </c>
      <c r="F339" s="18" t="s">
        <v>714</v>
      </c>
      <c r="G339" s="18" t="s">
        <v>674</v>
      </c>
      <c r="H339" s="18" t="s">
        <v>856</v>
      </c>
      <c r="I339" s="315">
        <v>2087.9574870273946</v>
      </c>
      <c r="J339" s="315">
        <v>1.3193560377965636E-2</v>
      </c>
      <c r="K339" s="316" t="str">
        <f t="shared" si="32"/>
        <v>Construction and Mining Equipment</v>
      </c>
      <c r="L339" s="316" t="str">
        <f t="shared" si="33"/>
        <v>Diesel</v>
      </c>
      <c r="M339" s="194"/>
      <c r="N339" s="317"/>
      <c r="O339" s="317"/>
      <c r="P339" s="317"/>
      <c r="Q339" s="317"/>
      <c r="R339" s="317"/>
      <c r="S339" s="317"/>
      <c r="T339" s="317"/>
      <c r="U339" s="317"/>
      <c r="V339" s="317"/>
      <c r="W339" s="317"/>
      <c r="X339" s="317"/>
      <c r="Y339" s="317"/>
      <c r="Z339" s="317"/>
    </row>
    <row r="340" spans="1:26" x14ac:dyDescent="0.25">
      <c r="A340" s="314"/>
      <c r="B340" s="18">
        <v>2023</v>
      </c>
      <c r="C340" s="18" t="s">
        <v>732</v>
      </c>
      <c r="D340" s="18" t="s">
        <v>757</v>
      </c>
      <c r="E340" s="18" t="s">
        <v>713</v>
      </c>
      <c r="F340" s="18" t="s">
        <v>714</v>
      </c>
      <c r="G340" s="18" t="s">
        <v>673</v>
      </c>
      <c r="H340" s="18" t="s">
        <v>758</v>
      </c>
      <c r="I340" s="315">
        <v>2086.3458505706344</v>
      </c>
      <c r="J340" s="315">
        <v>8.0382244668920272E-2</v>
      </c>
      <c r="K340" s="316" t="str">
        <f t="shared" si="32"/>
        <v>Lawn and Garden Equipment</v>
      </c>
      <c r="L340" s="316" t="str">
        <f t="shared" si="33"/>
        <v>Diesel</v>
      </c>
      <c r="M340" s="194"/>
      <c r="N340" s="317"/>
      <c r="O340" s="317"/>
      <c r="P340" s="317"/>
      <c r="Q340" s="317"/>
      <c r="R340" s="317"/>
      <c r="S340" s="317"/>
      <c r="T340" s="317"/>
      <c r="U340" s="317"/>
      <c r="V340" s="317"/>
      <c r="W340" s="317"/>
      <c r="X340" s="317"/>
      <c r="Y340" s="317"/>
      <c r="Z340" s="317"/>
    </row>
    <row r="341" spans="1:26" x14ac:dyDescent="0.25">
      <c r="A341" s="314"/>
      <c r="B341" s="18">
        <v>2023</v>
      </c>
      <c r="C341" s="18" t="s">
        <v>711</v>
      </c>
      <c r="D341" s="18" t="s">
        <v>782</v>
      </c>
      <c r="E341" s="18" t="s">
        <v>713</v>
      </c>
      <c r="F341" s="18" t="s">
        <v>714</v>
      </c>
      <c r="G341" s="18" t="s">
        <v>674</v>
      </c>
      <c r="H341" s="18" t="s">
        <v>783</v>
      </c>
      <c r="I341" s="315">
        <v>2081.3676605715395</v>
      </c>
      <c r="J341" s="315">
        <v>1.9759561662401157E-2</v>
      </c>
      <c r="K341" s="316" t="str">
        <f t="shared" si="32"/>
        <v>Construction and Mining Equipment</v>
      </c>
      <c r="L341" s="316" t="str">
        <f t="shared" si="33"/>
        <v>Diesel</v>
      </c>
      <c r="M341" s="194"/>
      <c r="N341" s="317"/>
      <c r="O341" s="317"/>
      <c r="P341" s="317"/>
      <c r="Q341" s="317"/>
      <c r="R341" s="317"/>
      <c r="S341" s="317"/>
      <c r="T341" s="317"/>
      <c r="U341" s="317"/>
      <c r="V341" s="317"/>
      <c r="W341" s="317"/>
      <c r="X341" s="317"/>
      <c r="Y341" s="317"/>
      <c r="Z341" s="317"/>
    </row>
    <row r="342" spans="1:26" x14ac:dyDescent="0.25">
      <c r="A342" s="314"/>
      <c r="B342" s="18">
        <v>2023</v>
      </c>
      <c r="C342" s="18" t="s">
        <v>778</v>
      </c>
      <c r="D342" s="18" t="s">
        <v>765</v>
      </c>
      <c r="E342" s="18" t="s">
        <v>703</v>
      </c>
      <c r="F342" s="18" t="s">
        <v>676</v>
      </c>
      <c r="G342" s="18" t="s">
        <v>729</v>
      </c>
      <c r="H342" s="18" t="s">
        <v>766</v>
      </c>
      <c r="I342" s="315">
        <v>2077.9897884966636</v>
      </c>
      <c r="J342" s="315">
        <v>2.2856025328109419</v>
      </c>
      <c r="K342" s="316" t="str">
        <f t="shared" si="32"/>
        <v>Pleasure Craft</v>
      </c>
      <c r="L342" s="316" t="str">
        <f t="shared" si="33"/>
        <v>Gasoline</v>
      </c>
      <c r="M342" s="194"/>
      <c r="N342" s="317"/>
      <c r="O342" s="317"/>
      <c r="P342" s="317"/>
      <c r="Q342" s="317"/>
      <c r="R342" s="317"/>
      <c r="S342" s="317"/>
      <c r="T342" s="317"/>
      <c r="U342" s="317"/>
      <c r="V342" s="317"/>
      <c r="W342" s="317"/>
      <c r="X342" s="317"/>
      <c r="Y342" s="317"/>
      <c r="Z342" s="317"/>
    </row>
    <row r="343" spans="1:26" x14ac:dyDescent="0.25">
      <c r="A343" s="314"/>
      <c r="B343" s="18">
        <v>2023</v>
      </c>
      <c r="C343" s="18" t="s">
        <v>722</v>
      </c>
      <c r="D343" s="18" t="s">
        <v>767</v>
      </c>
      <c r="E343" s="18" t="s">
        <v>703</v>
      </c>
      <c r="F343" s="18" t="s">
        <v>704</v>
      </c>
      <c r="G343" s="18" t="s">
        <v>673</v>
      </c>
      <c r="H343" s="18" t="s">
        <v>768</v>
      </c>
      <c r="I343" s="315">
        <v>2046.8154931706631</v>
      </c>
      <c r="J343" s="315">
        <v>1.4241261510692536</v>
      </c>
      <c r="K343" s="316" t="str">
        <f t="shared" si="32"/>
        <v>Lawn and Garden Equipment</v>
      </c>
      <c r="L343" s="316" t="str">
        <f t="shared" si="33"/>
        <v>Gasoline</v>
      </c>
      <c r="M343" s="194"/>
      <c r="N343" s="317"/>
      <c r="O343" s="317"/>
      <c r="P343" s="317"/>
      <c r="Q343" s="317"/>
      <c r="R343" s="317"/>
      <c r="S343" s="317"/>
      <c r="T343" s="317"/>
      <c r="U343" s="317"/>
      <c r="V343" s="317"/>
      <c r="W343" s="317"/>
      <c r="X343" s="317"/>
      <c r="Y343" s="317"/>
      <c r="Z343" s="317"/>
    </row>
    <row r="344" spans="1:26" x14ac:dyDescent="0.25">
      <c r="A344" s="314"/>
      <c r="B344" s="18">
        <v>2023</v>
      </c>
      <c r="C344" s="18" t="s">
        <v>760</v>
      </c>
      <c r="D344" s="18" t="s">
        <v>751</v>
      </c>
      <c r="E344" s="18" t="s">
        <v>713</v>
      </c>
      <c r="F344" s="18" t="s">
        <v>676</v>
      </c>
      <c r="G344" s="18" t="s">
        <v>79</v>
      </c>
      <c r="H344" s="18" t="s">
        <v>740</v>
      </c>
      <c r="I344" s="315">
        <v>2044.5454880557188</v>
      </c>
      <c r="J344" s="315">
        <v>8.0246640042899831E-2</v>
      </c>
      <c r="K344" s="316" t="str">
        <f t="shared" si="32"/>
        <v>Pleasure Craft</v>
      </c>
      <c r="L344" s="316" t="str">
        <f t="shared" si="33"/>
        <v>Diesel</v>
      </c>
      <c r="M344" s="194"/>
      <c r="N344" s="317"/>
      <c r="O344" s="317"/>
      <c r="P344" s="317"/>
      <c r="Q344" s="317"/>
      <c r="R344" s="317"/>
      <c r="S344" s="317"/>
      <c r="T344" s="317"/>
      <c r="U344" s="317"/>
      <c r="V344" s="317"/>
      <c r="W344" s="317"/>
      <c r="X344" s="317"/>
      <c r="Y344" s="317"/>
      <c r="Z344" s="317"/>
    </row>
    <row r="345" spans="1:26" x14ac:dyDescent="0.25">
      <c r="A345" s="314"/>
      <c r="B345" s="18">
        <v>2023</v>
      </c>
      <c r="C345" s="18" t="s">
        <v>787</v>
      </c>
      <c r="D345" s="18" t="s">
        <v>716</v>
      </c>
      <c r="E345" s="18" t="s">
        <v>713</v>
      </c>
      <c r="F345" s="18" t="s">
        <v>714</v>
      </c>
      <c r="G345" s="18" t="s">
        <v>675</v>
      </c>
      <c r="H345" s="18" t="s">
        <v>717</v>
      </c>
      <c r="I345" s="315">
        <v>2043.8622236965762</v>
      </c>
      <c r="J345" s="315">
        <v>4.1941257592627623E-2</v>
      </c>
      <c r="K345" s="316" t="str">
        <f t="shared" si="32"/>
        <v>Industrial Equipment</v>
      </c>
      <c r="L345" s="316" t="str">
        <f t="shared" si="33"/>
        <v>Diesel</v>
      </c>
      <c r="M345" s="194"/>
      <c r="N345" s="317"/>
      <c r="O345" s="317"/>
      <c r="P345" s="317"/>
      <c r="Q345" s="317"/>
      <c r="R345" s="317"/>
      <c r="S345" s="317"/>
      <c r="T345" s="317"/>
      <c r="U345" s="317"/>
      <c r="V345" s="317"/>
      <c r="W345" s="317"/>
      <c r="X345" s="317"/>
      <c r="Y345" s="317"/>
      <c r="Z345" s="317"/>
    </row>
    <row r="346" spans="1:26" x14ac:dyDescent="0.25">
      <c r="A346" s="314"/>
      <c r="B346" s="18">
        <v>2023</v>
      </c>
      <c r="C346" s="18" t="s">
        <v>810</v>
      </c>
      <c r="D346" s="18" t="s">
        <v>763</v>
      </c>
      <c r="E346" s="18" t="s">
        <v>713</v>
      </c>
      <c r="F346" s="18" t="s">
        <v>714</v>
      </c>
      <c r="G346" s="18" t="s">
        <v>678</v>
      </c>
      <c r="H346" s="18" t="s">
        <v>764</v>
      </c>
      <c r="I346" s="315">
        <v>2043.659874613852</v>
      </c>
      <c r="J346" s="315">
        <v>2.3136022896934387E-2</v>
      </c>
      <c r="K346" s="316" t="str">
        <f t="shared" si="32"/>
        <v>Agricultural Equipment</v>
      </c>
      <c r="L346" s="316" t="str">
        <f t="shared" si="33"/>
        <v>Diesel</v>
      </c>
      <c r="M346" s="194"/>
      <c r="N346" s="317"/>
      <c r="O346" s="317"/>
      <c r="P346" s="317"/>
      <c r="Q346" s="317"/>
      <c r="R346" s="317"/>
      <c r="S346" s="317"/>
      <c r="T346" s="317"/>
      <c r="U346" s="317"/>
      <c r="V346" s="317"/>
      <c r="W346" s="317"/>
      <c r="X346" s="317"/>
      <c r="Y346" s="317"/>
      <c r="Z346" s="317"/>
    </row>
    <row r="347" spans="1:26" x14ac:dyDescent="0.25">
      <c r="A347" s="314"/>
      <c r="B347" s="18">
        <v>2023</v>
      </c>
      <c r="C347" s="18" t="s">
        <v>750</v>
      </c>
      <c r="D347" s="18" t="s">
        <v>716</v>
      </c>
      <c r="E347" s="18" t="s">
        <v>713</v>
      </c>
      <c r="F347" s="18" t="s">
        <v>714</v>
      </c>
      <c r="G347" s="18" t="s">
        <v>675</v>
      </c>
      <c r="H347" s="18" t="s">
        <v>717</v>
      </c>
      <c r="I347" s="315">
        <v>2034.4747972722735</v>
      </c>
      <c r="J347" s="315">
        <v>4.1748628421924616E-2</v>
      </c>
      <c r="K347" s="316" t="str">
        <f t="shared" si="32"/>
        <v>Industrial Equipment</v>
      </c>
      <c r="L347" s="316" t="str">
        <f t="shared" si="33"/>
        <v>Diesel</v>
      </c>
      <c r="M347" s="194"/>
      <c r="N347" s="317"/>
      <c r="O347" s="317"/>
      <c r="P347" s="317"/>
      <c r="Q347" s="317"/>
      <c r="R347" s="317"/>
      <c r="S347" s="317"/>
      <c r="T347" s="317"/>
      <c r="U347" s="317"/>
      <c r="V347" s="317"/>
      <c r="W347" s="317"/>
      <c r="X347" s="317"/>
      <c r="Y347" s="317"/>
      <c r="Z347" s="317"/>
    </row>
    <row r="348" spans="1:26" x14ac:dyDescent="0.25">
      <c r="A348" s="314"/>
      <c r="B348" s="18">
        <v>2023</v>
      </c>
      <c r="C348" s="18" t="s">
        <v>750</v>
      </c>
      <c r="D348" s="18" t="s">
        <v>718</v>
      </c>
      <c r="E348" s="18" t="s">
        <v>713</v>
      </c>
      <c r="F348" s="18" t="s">
        <v>714</v>
      </c>
      <c r="G348" s="18" t="s">
        <v>674</v>
      </c>
      <c r="H348" s="18" t="s">
        <v>719</v>
      </c>
      <c r="I348" s="315">
        <v>2034.1219033291941</v>
      </c>
      <c r="J348" s="315">
        <v>7.6030340177864761E-3</v>
      </c>
      <c r="K348" s="316" t="str">
        <f t="shared" si="32"/>
        <v>Construction and Mining Equipment</v>
      </c>
      <c r="L348" s="316" t="str">
        <f t="shared" si="33"/>
        <v>Diesel</v>
      </c>
      <c r="M348" s="194"/>
      <c r="N348" s="317"/>
      <c r="O348" s="317"/>
      <c r="P348" s="317"/>
      <c r="Q348" s="317"/>
      <c r="R348" s="317"/>
      <c r="S348" s="317"/>
      <c r="T348" s="317"/>
      <c r="U348" s="317"/>
      <c r="V348" s="317"/>
      <c r="W348" s="317"/>
      <c r="X348" s="317"/>
      <c r="Y348" s="317"/>
      <c r="Z348" s="317"/>
    </row>
    <row r="349" spans="1:26" x14ac:dyDescent="0.25">
      <c r="A349" s="314"/>
      <c r="B349" s="18">
        <v>2023</v>
      </c>
      <c r="C349" s="18" t="s">
        <v>750</v>
      </c>
      <c r="D349" s="18" t="s">
        <v>720</v>
      </c>
      <c r="E349" s="18" t="s">
        <v>713</v>
      </c>
      <c r="F349" s="18" t="s">
        <v>714</v>
      </c>
      <c r="G349" s="18" t="s">
        <v>674</v>
      </c>
      <c r="H349" s="18" t="s">
        <v>721</v>
      </c>
      <c r="I349" s="315">
        <v>2025.5135464470009</v>
      </c>
      <c r="J349" s="315">
        <v>9.1422854236985519E-3</v>
      </c>
      <c r="K349" s="316" t="str">
        <f t="shared" si="32"/>
        <v>Construction and Mining Equipment</v>
      </c>
      <c r="L349" s="316" t="str">
        <f t="shared" si="33"/>
        <v>Diesel</v>
      </c>
      <c r="M349" s="194"/>
      <c r="N349" s="317"/>
      <c r="O349" s="317"/>
      <c r="P349" s="317"/>
      <c r="Q349" s="317"/>
      <c r="R349" s="317"/>
      <c r="S349" s="317"/>
      <c r="T349" s="317"/>
      <c r="U349" s="317"/>
      <c r="V349" s="317"/>
      <c r="W349" s="317"/>
      <c r="X349" s="317"/>
      <c r="Y349" s="317"/>
      <c r="Z349" s="317"/>
    </row>
    <row r="350" spans="1:26" x14ac:dyDescent="0.25">
      <c r="A350" s="314"/>
      <c r="B350" s="18">
        <v>2023</v>
      </c>
      <c r="C350" s="18" t="s">
        <v>760</v>
      </c>
      <c r="D350" s="18" t="s">
        <v>752</v>
      </c>
      <c r="E350" s="18" t="s">
        <v>713</v>
      </c>
      <c r="F350" s="18" t="s">
        <v>714</v>
      </c>
      <c r="G350" s="18" t="s">
        <v>675</v>
      </c>
      <c r="H350" s="18" t="s">
        <v>708</v>
      </c>
      <c r="I350" s="315">
        <v>2021.0721357592504</v>
      </c>
      <c r="J350" s="315">
        <v>1.0307812557322816E-2</v>
      </c>
      <c r="K350" s="316" t="str">
        <f t="shared" si="32"/>
        <v>Industrial Equipment</v>
      </c>
      <c r="L350" s="316" t="str">
        <f t="shared" si="33"/>
        <v>Diesel</v>
      </c>
      <c r="M350" s="194"/>
      <c r="N350" s="317"/>
      <c r="O350" s="317"/>
      <c r="P350" s="317"/>
      <c r="Q350" s="317"/>
      <c r="R350" s="317"/>
      <c r="S350" s="317"/>
      <c r="T350" s="317"/>
      <c r="U350" s="317"/>
      <c r="V350" s="317"/>
      <c r="W350" s="317"/>
      <c r="X350" s="317"/>
      <c r="Y350" s="317"/>
      <c r="Z350" s="317"/>
    </row>
    <row r="351" spans="1:26" x14ac:dyDescent="0.25">
      <c r="A351" s="314"/>
      <c r="B351" s="18">
        <v>2023</v>
      </c>
      <c r="C351" s="18" t="s">
        <v>760</v>
      </c>
      <c r="D351" s="18" t="s">
        <v>723</v>
      </c>
      <c r="E351" s="18" t="s">
        <v>703</v>
      </c>
      <c r="F351" s="18" t="s">
        <v>704</v>
      </c>
      <c r="G351" s="18" t="s">
        <v>673</v>
      </c>
      <c r="H351" s="18" t="s">
        <v>724</v>
      </c>
      <c r="I351" s="315">
        <v>2020.042429285131</v>
      </c>
      <c r="J351" s="315">
        <v>1.3287054377911389</v>
      </c>
      <c r="K351" s="316" t="str">
        <f t="shared" si="32"/>
        <v>Lawn and Garden Equipment</v>
      </c>
      <c r="L351" s="316" t="str">
        <f t="shared" si="33"/>
        <v>Gasoline</v>
      </c>
      <c r="M351" s="194"/>
      <c r="N351" s="317"/>
      <c r="O351" s="317"/>
      <c r="P351" s="317"/>
      <c r="Q351" s="317"/>
      <c r="R351" s="317"/>
      <c r="S351" s="317"/>
      <c r="T351" s="317"/>
      <c r="U351" s="317"/>
      <c r="V351" s="317"/>
      <c r="W351" s="317"/>
      <c r="X351" s="317"/>
      <c r="Y351" s="317"/>
      <c r="Z351" s="317"/>
    </row>
    <row r="352" spans="1:26" x14ac:dyDescent="0.25">
      <c r="A352" s="314"/>
      <c r="B352" s="18">
        <v>2023</v>
      </c>
      <c r="C352" s="18" t="s">
        <v>706</v>
      </c>
      <c r="D352" s="18" t="s">
        <v>765</v>
      </c>
      <c r="E352" s="18" t="s">
        <v>703</v>
      </c>
      <c r="F352" s="18" t="s">
        <v>676</v>
      </c>
      <c r="G352" s="18" t="s">
        <v>729</v>
      </c>
      <c r="H352" s="18" t="s">
        <v>766</v>
      </c>
      <c r="I352" s="315">
        <v>2015.651718303815</v>
      </c>
      <c r="J352" s="315">
        <v>2.2170336773050083</v>
      </c>
      <c r="K352" s="316" t="str">
        <f t="shared" si="32"/>
        <v>Pleasure Craft</v>
      </c>
      <c r="L352" s="316" t="str">
        <f t="shared" si="33"/>
        <v>Gasoline</v>
      </c>
      <c r="M352" s="194"/>
      <c r="N352" s="317"/>
      <c r="O352" s="317"/>
      <c r="P352" s="317"/>
      <c r="Q352" s="317"/>
      <c r="R352" s="317"/>
      <c r="S352" s="317"/>
      <c r="T352" s="317"/>
      <c r="U352" s="317"/>
      <c r="V352" s="317"/>
      <c r="W352" s="317"/>
      <c r="X352" s="317"/>
      <c r="Y352" s="317"/>
      <c r="Z352" s="317"/>
    </row>
    <row r="353" spans="1:26" x14ac:dyDescent="0.25">
      <c r="A353" s="314"/>
      <c r="B353" s="18">
        <v>2023</v>
      </c>
      <c r="C353" s="18" t="s">
        <v>709</v>
      </c>
      <c r="D353" s="18" t="s">
        <v>794</v>
      </c>
      <c r="E353" s="18" t="s">
        <v>703</v>
      </c>
      <c r="F353" s="18" t="s">
        <v>795</v>
      </c>
      <c r="G353" s="18" t="s">
        <v>673</v>
      </c>
      <c r="H353" s="18" t="s">
        <v>796</v>
      </c>
      <c r="I353" s="315">
        <v>2010.5453052484108</v>
      </c>
      <c r="J353" s="315">
        <v>3.6728724836582072</v>
      </c>
      <c r="K353" s="316" t="str">
        <f t="shared" si="32"/>
        <v>Lawn and Garden Equipment</v>
      </c>
      <c r="L353" s="316" t="str">
        <f t="shared" si="33"/>
        <v>Gasoline</v>
      </c>
      <c r="M353" s="194"/>
      <c r="N353" s="317"/>
      <c r="O353" s="317"/>
      <c r="P353" s="317"/>
      <c r="Q353" s="317"/>
      <c r="R353" s="317"/>
      <c r="S353" s="317"/>
      <c r="T353" s="317"/>
      <c r="U353" s="317"/>
      <c r="V353" s="317"/>
      <c r="W353" s="317"/>
      <c r="X353" s="317"/>
      <c r="Y353" s="317"/>
      <c r="Z353" s="317"/>
    </row>
    <row r="354" spans="1:26" x14ac:dyDescent="0.25">
      <c r="A354" s="314"/>
      <c r="B354" s="18">
        <v>2023</v>
      </c>
      <c r="C354" s="18" t="s">
        <v>773</v>
      </c>
      <c r="D354" s="18" t="s">
        <v>702</v>
      </c>
      <c r="E354" s="18" t="s">
        <v>703</v>
      </c>
      <c r="F354" s="18" t="s">
        <v>704</v>
      </c>
      <c r="G354" s="18" t="s">
        <v>673</v>
      </c>
      <c r="H354" s="18" t="s">
        <v>705</v>
      </c>
      <c r="I354" s="315">
        <v>2009.3902152719193</v>
      </c>
      <c r="J354" s="315">
        <v>1.2618079388343624</v>
      </c>
      <c r="K354" s="316" t="str">
        <f t="shared" si="32"/>
        <v>Lawn and Garden Equipment</v>
      </c>
      <c r="L354" s="316" t="str">
        <f t="shared" si="33"/>
        <v>Gasoline</v>
      </c>
      <c r="M354" s="194"/>
      <c r="N354" s="317"/>
      <c r="O354" s="317"/>
      <c r="P354" s="317"/>
      <c r="Q354" s="317"/>
      <c r="R354" s="317"/>
      <c r="S354" s="317"/>
      <c r="T354" s="317"/>
      <c r="U354" s="317"/>
      <c r="V354" s="317"/>
      <c r="W354" s="317"/>
      <c r="X354" s="317"/>
      <c r="Y354" s="317"/>
      <c r="Z354" s="317"/>
    </row>
    <row r="355" spans="1:26" x14ac:dyDescent="0.25">
      <c r="A355" s="314"/>
      <c r="B355" s="18">
        <v>2023</v>
      </c>
      <c r="C355" s="18" t="s">
        <v>727</v>
      </c>
      <c r="D355" s="18" t="s">
        <v>733</v>
      </c>
      <c r="E355" s="18" t="s">
        <v>703</v>
      </c>
      <c r="F355" s="18" t="s">
        <v>704</v>
      </c>
      <c r="G355" s="18" t="s">
        <v>673</v>
      </c>
      <c r="H355" s="18" t="s">
        <v>734</v>
      </c>
      <c r="I355" s="315">
        <v>2009.1435003635531</v>
      </c>
      <c r="J355" s="315">
        <v>1.2694015331751518</v>
      </c>
      <c r="K355" s="316" t="str">
        <f t="shared" si="32"/>
        <v>Lawn and Garden Equipment</v>
      </c>
      <c r="L355" s="316" t="str">
        <f t="shared" si="33"/>
        <v>Gasoline</v>
      </c>
      <c r="M355" s="194"/>
      <c r="N355" s="317"/>
      <c r="O355" s="317"/>
      <c r="P355" s="317"/>
      <c r="Q355" s="317"/>
      <c r="R355" s="317"/>
      <c r="S355" s="317"/>
      <c r="T355" s="317"/>
      <c r="U355" s="317"/>
      <c r="V355" s="317"/>
      <c r="W355" s="317"/>
      <c r="X355" s="317"/>
      <c r="Y355" s="317"/>
      <c r="Z355" s="317"/>
    </row>
    <row r="356" spans="1:26" x14ac:dyDescent="0.25">
      <c r="A356" s="314"/>
      <c r="B356" s="18">
        <v>2023</v>
      </c>
      <c r="C356" s="18" t="s">
        <v>706</v>
      </c>
      <c r="D356" s="18" t="s">
        <v>858</v>
      </c>
      <c r="E356" s="18" t="s">
        <v>713</v>
      </c>
      <c r="F356" s="18" t="s">
        <v>714</v>
      </c>
      <c r="G356" s="18" t="s">
        <v>674</v>
      </c>
      <c r="H356" s="18" t="s">
        <v>859</v>
      </c>
      <c r="I356" s="315">
        <v>2008.5949527766527</v>
      </c>
      <c r="J356" s="315">
        <v>1.7829106449389037E-2</v>
      </c>
      <c r="K356" s="316" t="str">
        <f t="shared" si="32"/>
        <v>Construction and Mining Equipment</v>
      </c>
      <c r="L356" s="316" t="str">
        <f t="shared" si="33"/>
        <v>Diesel</v>
      </c>
      <c r="M356" s="194"/>
      <c r="N356" s="317"/>
      <c r="O356" s="317"/>
      <c r="P356" s="317"/>
      <c r="Q356" s="317"/>
      <c r="R356" s="317"/>
      <c r="S356" s="317"/>
      <c r="T356" s="317"/>
      <c r="U356" s="317"/>
      <c r="V356" s="317"/>
      <c r="W356" s="317"/>
      <c r="X356" s="317"/>
      <c r="Y356" s="317"/>
      <c r="Z356" s="317"/>
    </row>
    <row r="357" spans="1:26" x14ac:dyDescent="0.25">
      <c r="A357" s="314"/>
      <c r="B357" s="18">
        <v>2023</v>
      </c>
      <c r="C357" s="18" t="s">
        <v>710</v>
      </c>
      <c r="D357" s="18" t="s">
        <v>839</v>
      </c>
      <c r="E357" s="18" t="s">
        <v>703</v>
      </c>
      <c r="F357" s="18" t="s">
        <v>704</v>
      </c>
      <c r="G357" s="18" t="s">
        <v>675</v>
      </c>
      <c r="H357" s="18" t="s">
        <v>708</v>
      </c>
      <c r="I357" s="315">
        <v>2002.8360816563118</v>
      </c>
      <c r="J357" s="315">
        <v>0.1378135609584358</v>
      </c>
      <c r="K357" s="316" t="str">
        <f t="shared" si="32"/>
        <v>Industrial Equipment</v>
      </c>
      <c r="L357" s="316" t="str">
        <f t="shared" si="33"/>
        <v>Gasoline</v>
      </c>
      <c r="M357" s="194"/>
      <c r="N357" s="317"/>
      <c r="O357" s="317"/>
      <c r="P357" s="317"/>
      <c r="Q357" s="317"/>
      <c r="R357" s="317"/>
      <c r="S357" s="317"/>
      <c r="T357" s="317"/>
      <c r="U357" s="317"/>
      <c r="V357" s="317"/>
      <c r="W357" s="317"/>
      <c r="X357" s="317"/>
      <c r="Y357" s="317"/>
      <c r="Z357" s="317"/>
    </row>
    <row r="358" spans="1:26" ht="12.75" x14ac:dyDescent="0.2">
      <c r="A358" s="230"/>
      <c r="B358" s="18">
        <v>2023</v>
      </c>
      <c r="C358" s="18" t="s">
        <v>787</v>
      </c>
      <c r="D358" s="18" t="s">
        <v>765</v>
      </c>
      <c r="E358" s="18" t="s">
        <v>703</v>
      </c>
      <c r="F358" s="18" t="s">
        <v>676</v>
      </c>
      <c r="G358" s="18" t="s">
        <v>729</v>
      </c>
      <c r="H358" s="18" t="s">
        <v>766</v>
      </c>
      <c r="I358" s="315">
        <v>1994.8696877330626</v>
      </c>
      <c r="J358" s="315">
        <v>2.1941802495182667</v>
      </c>
      <c r="K358" s="316" t="str">
        <f t="shared" si="32"/>
        <v>Pleasure Craft</v>
      </c>
      <c r="L358" s="316" t="str">
        <f t="shared" si="33"/>
        <v>Gasoline</v>
      </c>
      <c r="M358" s="8"/>
      <c r="N358" s="2"/>
      <c r="O358" s="2"/>
      <c r="P358" s="2"/>
      <c r="Q358" s="2"/>
      <c r="R358" s="2"/>
      <c r="S358" s="2"/>
      <c r="T358" s="2"/>
      <c r="U358" s="2"/>
      <c r="V358" s="2"/>
      <c r="W358" s="2"/>
      <c r="X358" s="2"/>
      <c r="Y358" s="2"/>
      <c r="Z358" s="2"/>
    </row>
    <row r="359" spans="1:26" ht="12.75" x14ac:dyDescent="0.2">
      <c r="A359" s="230"/>
      <c r="B359" s="18">
        <v>2023</v>
      </c>
      <c r="C359" s="18" t="s">
        <v>706</v>
      </c>
      <c r="D359" s="18" t="s">
        <v>794</v>
      </c>
      <c r="E359" s="18" t="s">
        <v>703</v>
      </c>
      <c r="F359" s="18" t="s">
        <v>795</v>
      </c>
      <c r="G359" s="18" t="s">
        <v>673</v>
      </c>
      <c r="H359" s="18" t="s">
        <v>796</v>
      </c>
      <c r="I359" s="315">
        <v>1989.8181047445744</v>
      </c>
      <c r="J359" s="315">
        <v>3.6350071401379824</v>
      </c>
      <c r="K359" s="316" t="str">
        <f t="shared" si="32"/>
        <v>Lawn and Garden Equipment</v>
      </c>
      <c r="L359" s="316" t="str">
        <f t="shared" si="33"/>
        <v>Gasoline</v>
      </c>
      <c r="M359" s="8"/>
      <c r="N359" s="2"/>
      <c r="O359" s="2"/>
      <c r="P359" s="2"/>
      <c r="Q359" s="2"/>
      <c r="R359" s="2"/>
      <c r="S359" s="2"/>
      <c r="T359" s="2"/>
      <c r="U359" s="2"/>
      <c r="V359" s="2"/>
      <c r="W359" s="2"/>
      <c r="X359" s="2"/>
      <c r="Y359" s="2"/>
      <c r="Z359" s="2"/>
    </row>
    <row r="360" spans="1:26" ht="12.75" x14ac:dyDescent="0.2">
      <c r="A360" s="230"/>
      <c r="B360" s="18">
        <v>2023</v>
      </c>
      <c r="C360" s="18" t="s">
        <v>706</v>
      </c>
      <c r="D360" s="18" t="s">
        <v>860</v>
      </c>
      <c r="E360" s="18" t="s">
        <v>713</v>
      </c>
      <c r="F360" s="18" t="s">
        <v>714</v>
      </c>
      <c r="G360" s="18" t="s">
        <v>674</v>
      </c>
      <c r="H360" s="18" t="s">
        <v>861</v>
      </c>
      <c r="I360" s="315">
        <v>1964.9465774743965</v>
      </c>
      <c r="J360" s="315">
        <v>3.2565426599596617E-2</v>
      </c>
      <c r="K360" s="316" t="str">
        <f t="shared" si="32"/>
        <v>Construction and Mining Equipment</v>
      </c>
      <c r="L360" s="316" t="str">
        <f t="shared" si="33"/>
        <v>Diesel</v>
      </c>
      <c r="M360" s="8"/>
      <c r="N360" s="2"/>
      <c r="O360" s="2"/>
      <c r="P360" s="2"/>
      <c r="Q360" s="2"/>
      <c r="R360" s="2"/>
      <c r="S360" s="2"/>
      <c r="T360" s="2"/>
      <c r="U360" s="2"/>
      <c r="V360" s="2"/>
      <c r="W360" s="2"/>
      <c r="X360" s="2"/>
      <c r="Y360" s="2"/>
      <c r="Z360" s="2"/>
    </row>
    <row r="361" spans="1:26" ht="12.75" x14ac:dyDescent="0.2">
      <c r="A361" s="230"/>
      <c r="B361" s="18">
        <v>2023</v>
      </c>
      <c r="C361" s="18" t="s">
        <v>732</v>
      </c>
      <c r="D361" s="18" t="s">
        <v>755</v>
      </c>
      <c r="E361" s="18" t="s">
        <v>713</v>
      </c>
      <c r="F361" s="18" t="s">
        <v>714</v>
      </c>
      <c r="G361" s="18" t="s">
        <v>674</v>
      </c>
      <c r="H361" s="18" t="s">
        <v>756</v>
      </c>
      <c r="I361" s="315">
        <v>1962.3678193705066</v>
      </c>
      <c r="J361" s="315">
        <v>7.6201638219816251E-2</v>
      </c>
      <c r="K361" s="316" t="str">
        <f t="shared" si="32"/>
        <v>Construction and Mining Equipment</v>
      </c>
      <c r="L361" s="316" t="str">
        <f t="shared" si="33"/>
        <v>Diesel</v>
      </c>
      <c r="M361" s="8"/>
      <c r="N361" s="2"/>
      <c r="O361" s="2"/>
      <c r="P361" s="2"/>
      <c r="Q361" s="2"/>
      <c r="R361" s="2"/>
      <c r="S361" s="2"/>
      <c r="T361" s="2"/>
      <c r="U361" s="2"/>
      <c r="V361" s="2"/>
      <c r="W361" s="2"/>
      <c r="X361" s="2"/>
      <c r="Y361" s="2"/>
      <c r="Z361" s="2"/>
    </row>
    <row r="362" spans="1:26" ht="12.75" x14ac:dyDescent="0.2">
      <c r="A362" s="230"/>
      <c r="B362" s="18">
        <v>2023</v>
      </c>
      <c r="C362" s="18" t="s">
        <v>762</v>
      </c>
      <c r="D362" s="18" t="s">
        <v>765</v>
      </c>
      <c r="E362" s="18" t="s">
        <v>703</v>
      </c>
      <c r="F362" s="18" t="s">
        <v>676</v>
      </c>
      <c r="G362" s="18" t="s">
        <v>729</v>
      </c>
      <c r="H362" s="18" t="s">
        <v>766</v>
      </c>
      <c r="I362" s="315">
        <v>1953.3105054214207</v>
      </c>
      <c r="J362" s="315">
        <v>2.1484627862840862</v>
      </c>
      <c r="K362" s="316" t="str">
        <f t="shared" si="32"/>
        <v>Pleasure Craft</v>
      </c>
      <c r="L362" s="316" t="str">
        <f t="shared" si="33"/>
        <v>Gasoline</v>
      </c>
      <c r="M362" s="8"/>
      <c r="N362" s="2"/>
      <c r="O362" s="2"/>
      <c r="P362" s="2"/>
      <c r="Q362" s="2"/>
      <c r="R362" s="2"/>
      <c r="S362" s="2"/>
      <c r="T362" s="2"/>
      <c r="U362" s="2"/>
      <c r="V362" s="2"/>
      <c r="W362" s="2"/>
      <c r="X362" s="2"/>
      <c r="Y362" s="2"/>
      <c r="Z362" s="2"/>
    </row>
    <row r="363" spans="1:26" ht="12.75" x14ac:dyDescent="0.2">
      <c r="A363" s="230"/>
      <c r="B363" s="18">
        <v>2023</v>
      </c>
      <c r="C363" s="18" t="s">
        <v>773</v>
      </c>
      <c r="D363" s="18" t="s">
        <v>716</v>
      </c>
      <c r="E363" s="18" t="s">
        <v>713</v>
      </c>
      <c r="F363" s="18" t="s">
        <v>714</v>
      </c>
      <c r="G363" s="18" t="s">
        <v>675</v>
      </c>
      <c r="H363" s="18" t="s">
        <v>717</v>
      </c>
      <c r="I363" s="315">
        <v>1948.7772909407627</v>
      </c>
      <c r="J363" s="315">
        <v>3.9989966751454463E-2</v>
      </c>
      <c r="K363" s="316" t="str">
        <f t="shared" si="32"/>
        <v>Industrial Equipment</v>
      </c>
      <c r="L363" s="316" t="str">
        <f t="shared" si="33"/>
        <v>Diesel</v>
      </c>
      <c r="M363" s="8"/>
      <c r="N363" s="2"/>
      <c r="O363" s="2"/>
      <c r="P363" s="2"/>
      <c r="Q363" s="2"/>
      <c r="R363" s="2"/>
      <c r="S363" s="2"/>
      <c r="T363" s="2"/>
      <c r="U363" s="2"/>
      <c r="V363" s="2"/>
      <c r="W363" s="2"/>
      <c r="X363" s="2"/>
      <c r="Y363" s="2"/>
      <c r="Z363" s="2"/>
    </row>
    <row r="364" spans="1:26" ht="12.75" x14ac:dyDescent="0.2">
      <c r="A364" s="230"/>
      <c r="B364" s="18">
        <v>2023</v>
      </c>
      <c r="C364" s="18" t="s">
        <v>778</v>
      </c>
      <c r="D364" s="18" t="s">
        <v>733</v>
      </c>
      <c r="E364" s="18" t="s">
        <v>703</v>
      </c>
      <c r="F364" s="18" t="s">
        <v>704</v>
      </c>
      <c r="G364" s="18" t="s">
        <v>673</v>
      </c>
      <c r="H364" s="18" t="s">
        <v>734</v>
      </c>
      <c r="I364" s="315">
        <v>1945.088493221348</v>
      </c>
      <c r="J364" s="315">
        <v>1.2307507191745741</v>
      </c>
      <c r="K364" s="316" t="str">
        <f t="shared" si="32"/>
        <v>Lawn and Garden Equipment</v>
      </c>
      <c r="L364" s="316" t="str">
        <f t="shared" si="33"/>
        <v>Gasoline</v>
      </c>
      <c r="M364" s="8"/>
      <c r="N364" s="2"/>
      <c r="O364" s="2"/>
      <c r="P364" s="2"/>
      <c r="Q364" s="2"/>
      <c r="R364" s="2"/>
      <c r="S364" s="2"/>
      <c r="T364" s="2"/>
      <c r="U364" s="2"/>
      <c r="V364" s="2"/>
      <c r="W364" s="2"/>
      <c r="X364" s="2"/>
      <c r="Y364" s="2"/>
      <c r="Z364" s="2"/>
    </row>
    <row r="365" spans="1:26" ht="12.75" x14ac:dyDescent="0.2">
      <c r="A365" s="230"/>
      <c r="B365" s="18">
        <v>2023</v>
      </c>
      <c r="C365" s="18" t="s">
        <v>711</v>
      </c>
      <c r="D365" s="18" t="s">
        <v>790</v>
      </c>
      <c r="E365" s="18" t="s">
        <v>713</v>
      </c>
      <c r="F365" s="18" t="s">
        <v>714</v>
      </c>
      <c r="G365" s="18" t="s">
        <v>674</v>
      </c>
      <c r="H365" s="18" t="s">
        <v>791</v>
      </c>
      <c r="I365" s="315">
        <v>1928.5273140727652</v>
      </c>
      <c r="J365" s="315">
        <v>1.1086387362298143E-2</v>
      </c>
      <c r="K365" s="316" t="str">
        <f t="shared" si="32"/>
        <v>Construction and Mining Equipment</v>
      </c>
      <c r="L365" s="316" t="str">
        <f t="shared" si="33"/>
        <v>Diesel</v>
      </c>
      <c r="M365" s="8"/>
      <c r="N365" s="2"/>
      <c r="O365" s="2"/>
      <c r="P365" s="2"/>
      <c r="Q365" s="2"/>
      <c r="R365" s="2"/>
      <c r="S365" s="2"/>
      <c r="T365" s="2"/>
      <c r="U365" s="2"/>
      <c r="V365" s="2"/>
      <c r="W365" s="2"/>
      <c r="X365" s="2"/>
      <c r="Y365" s="2"/>
      <c r="Z365" s="2"/>
    </row>
    <row r="366" spans="1:26" ht="12.75" x14ac:dyDescent="0.2">
      <c r="A366" s="230"/>
      <c r="B366" s="18">
        <v>2023</v>
      </c>
      <c r="C366" s="18" t="s">
        <v>706</v>
      </c>
      <c r="D366" s="18" t="s">
        <v>862</v>
      </c>
      <c r="E366" s="18" t="s">
        <v>713</v>
      </c>
      <c r="F366" s="18" t="s">
        <v>714</v>
      </c>
      <c r="G366" s="18" t="s">
        <v>674</v>
      </c>
      <c r="H366" s="18" t="s">
        <v>863</v>
      </c>
      <c r="I366" s="315">
        <v>1925.8595994460841</v>
      </c>
      <c r="J366" s="315">
        <v>1.389362992193368E-2</v>
      </c>
      <c r="K366" s="316" t="str">
        <f t="shared" si="32"/>
        <v>Construction and Mining Equipment</v>
      </c>
      <c r="L366" s="316" t="str">
        <f t="shared" si="33"/>
        <v>Diesel</v>
      </c>
      <c r="M366" s="8"/>
      <c r="N366" s="2"/>
      <c r="O366" s="2"/>
      <c r="P366" s="2"/>
      <c r="Q366" s="2"/>
      <c r="R366" s="2"/>
      <c r="S366" s="2"/>
      <c r="T366" s="2"/>
      <c r="U366" s="2"/>
      <c r="V366" s="2"/>
      <c r="W366" s="2"/>
      <c r="X366" s="2"/>
      <c r="Y366" s="2"/>
      <c r="Z366" s="2"/>
    </row>
    <row r="367" spans="1:26" ht="12.75" x14ac:dyDescent="0.2">
      <c r="A367" s="230"/>
      <c r="B367" s="18">
        <v>2023</v>
      </c>
      <c r="C367" s="18" t="s">
        <v>709</v>
      </c>
      <c r="D367" s="18" t="s">
        <v>799</v>
      </c>
      <c r="E367" s="18" t="s">
        <v>703</v>
      </c>
      <c r="F367" s="18" t="s">
        <v>795</v>
      </c>
      <c r="G367" s="18" t="s">
        <v>673</v>
      </c>
      <c r="H367" s="18" t="s">
        <v>800</v>
      </c>
      <c r="I367" s="315">
        <v>1921.4882296190299</v>
      </c>
      <c r="J367" s="315">
        <v>3.6090634215460349</v>
      </c>
      <c r="K367" s="316" t="str">
        <f t="shared" si="32"/>
        <v>Lawn and Garden Equipment</v>
      </c>
      <c r="L367" s="316" t="str">
        <f t="shared" si="33"/>
        <v>Gasoline</v>
      </c>
      <c r="M367" s="8"/>
      <c r="N367" s="2"/>
      <c r="O367" s="2"/>
      <c r="P367" s="2"/>
      <c r="Q367" s="2"/>
      <c r="R367" s="2"/>
      <c r="S367" s="2"/>
      <c r="T367" s="2"/>
      <c r="U367" s="2"/>
      <c r="V367" s="2"/>
      <c r="W367" s="2"/>
      <c r="X367" s="2"/>
      <c r="Y367" s="2"/>
      <c r="Z367" s="2"/>
    </row>
    <row r="368" spans="1:26" ht="12.75" x14ac:dyDescent="0.2">
      <c r="A368" s="230"/>
      <c r="B368" s="18">
        <v>2023</v>
      </c>
      <c r="C368" s="18" t="s">
        <v>759</v>
      </c>
      <c r="D368" s="18" t="s">
        <v>763</v>
      </c>
      <c r="E368" s="18" t="s">
        <v>713</v>
      </c>
      <c r="F368" s="18" t="s">
        <v>714</v>
      </c>
      <c r="G368" s="18" t="s">
        <v>678</v>
      </c>
      <c r="H368" s="18" t="s">
        <v>764</v>
      </c>
      <c r="I368" s="315">
        <v>1914.6645191584682</v>
      </c>
      <c r="J368" s="315">
        <v>2.1675652318593652E-2</v>
      </c>
      <c r="K368" s="316" t="str">
        <f t="shared" si="32"/>
        <v>Agricultural Equipment</v>
      </c>
      <c r="L368" s="316" t="str">
        <f t="shared" si="33"/>
        <v>Diesel</v>
      </c>
      <c r="M368" s="8"/>
      <c r="N368" s="2"/>
      <c r="O368" s="2"/>
      <c r="P368" s="2"/>
      <c r="Q368" s="2"/>
      <c r="R368" s="2"/>
      <c r="S368" s="2"/>
      <c r="T368" s="2"/>
      <c r="U368" s="2"/>
      <c r="V368" s="2"/>
      <c r="W368" s="2"/>
      <c r="X368" s="2"/>
      <c r="Y368" s="2"/>
      <c r="Z368" s="2"/>
    </row>
    <row r="369" spans="1:26" ht="12.75" x14ac:dyDescent="0.2">
      <c r="A369" s="230"/>
      <c r="B369" s="18">
        <v>2023</v>
      </c>
      <c r="C369" s="18" t="s">
        <v>732</v>
      </c>
      <c r="D369" s="18" t="s">
        <v>771</v>
      </c>
      <c r="E369" s="18" t="s">
        <v>713</v>
      </c>
      <c r="F369" s="18" t="s">
        <v>714</v>
      </c>
      <c r="G369" s="18" t="s">
        <v>675</v>
      </c>
      <c r="H369" s="18" t="s">
        <v>772</v>
      </c>
      <c r="I369" s="315">
        <v>1908.7260330238798</v>
      </c>
      <c r="J369" s="315">
        <v>4.2467173175725495E-3</v>
      </c>
      <c r="K369" s="316" t="str">
        <f t="shared" si="32"/>
        <v>Industrial Equipment</v>
      </c>
      <c r="L369" s="316" t="str">
        <f t="shared" si="33"/>
        <v>Diesel</v>
      </c>
      <c r="M369" s="8"/>
      <c r="N369" s="2"/>
      <c r="O369" s="2"/>
      <c r="P369" s="2"/>
      <c r="Q369" s="2"/>
      <c r="R369" s="2"/>
      <c r="S369" s="2"/>
      <c r="T369" s="2"/>
      <c r="U369" s="2"/>
      <c r="V369" s="2"/>
      <c r="W369" s="2"/>
      <c r="X369" s="2"/>
      <c r="Y369" s="2"/>
      <c r="Z369" s="2"/>
    </row>
    <row r="370" spans="1:26" ht="12.75" x14ac:dyDescent="0.2">
      <c r="A370" s="230"/>
      <c r="B370" s="18">
        <v>2023</v>
      </c>
      <c r="C370" s="18" t="s">
        <v>709</v>
      </c>
      <c r="D370" s="18" t="s">
        <v>835</v>
      </c>
      <c r="E370" s="18" t="s">
        <v>703</v>
      </c>
      <c r="F370" s="18" t="s">
        <v>704</v>
      </c>
      <c r="G370" s="18" t="s">
        <v>677</v>
      </c>
      <c r="H370" s="18" t="s">
        <v>836</v>
      </c>
      <c r="I370" s="315">
        <v>1902.803777321034</v>
      </c>
      <c r="J370" s="315">
        <v>1.1822629122715007</v>
      </c>
      <c r="K370" s="316" t="str">
        <f t="shared" si="32"/>
        <v>Commercial Equipment</v>
      </c>
      <c r="L370" s="316" t="str">
        <f t="shared" si="33"/>
        <v>Gasoline</v>
      </c>
      <c r="M370" s="8"/>
      <c r="N370" s="2"/>
      <c r="O370" s="2"/>
      <c r="P370" s="2"/>
      <c r="Q370" s="2"/>
      <c r="R370" s="2"/>
      <c r="S370" s="2"/>
      <c r="T370" s="2"/>
      <c r="U370" s="2"/>
      <c r="V370" s="2"/>
      <c r="W370" s="2"/>
      <c r="X370" s="2"/>
      <c r="Y370" s="2"/>
      <c r="Z370" s="2"/>
    </row>
    <row r="371" spans="1:26" ht="12.75" x14ac:dyDescent="0.2">
      <c r="A371" s="230"/>
      <c r="B371" s="18">
        <v>2023</v>
      </c>
      <c r="C371" s="18" t="s">
        <v>706</v>
      </c>
      <c r="D371" s="18" t="s">
        <v>799</v>
      </c>
      <c r="E371" s="18" t="s">
        <v>703</v>
      </c>
      <c r="F371" s="18" t="s">
        <v>795</v>
      </c>
      <c r="G371" s="18" t="s">
        <v>673</v>
      </c>
      <c r="H371" s="18" t="s">
        <v>800</v>
      </c>
      <c r="I371" s="315">
        <v>1901.677711201359</v>
      </c>
      <c r="J371" s="315">
        <v>3.5803158702548283</v>
      </c>
      <c r="K371" s="316" t="str">
        <f t="shared" si="32"/>
        <v>Lawn and Garden Equipment</v>
      </c>
      <c r="L371" s="316" t="str">
        <f t="shared" si="33"/>
        <v>Gasoline</v>
      </c>
      <c r="M371" s="8"/>
      <c r="N371" s="2"/>
      <c r="O371" s="2"/>
      <c r="P371" s="2"/>
      <c r="Q371" s="2"/>
      <c r="R371" s="2"/>
      <c r="S371" s="2"/>
      <c r="T371" s="2"/>
      <c r="U371" s="2"/>
      <c r="V371" s="2"/>
      <c r="W371" s="2"/>
      <c r="X371" s="2"/>
      <c r="Y371" s="2"/>
      <c r="Z371" s="2"/>
    </row>
    <row r="372" spans="1:26" ht="12.75" x14ac:dyDescent="0.2">
      <c r="A372" s="230"/>
      <c r="B372" s="18">
        <v>2023</v>
      </c>
      <c r="C372" s="18" t="s">
        <v>750</v>
      </c>
      <c r="D372" s="18" t="s">
        <v>763</v>
      </c>
      <c r="E372" s="18" t="s">
        <v>713</v>
      </c>
      <c r="F372" s="18" t="s">
        <v>714</v>
      </c>
      <c r="G372" s="18" t="s">
        <v>678</v>
      </c>
      <c r="H372" s="18" t="s">
        <v>764</v>
      </c>
      <c r="I372" s="315">
        <v>1878.4536488124791</v>
      </c>
      <c r="J372" s="315">
        <v>2.126572523231238E-2</v>
      </c>
      <c r="K372" s="316" t="str">
        <f t="shared" si="32"/>
        <v>Agricultural Equipment</v>
      </c>
      <c r="L372" s="316" t="str">
        <f t="shared" si="33"/>
        <v>Diesel</v>
      </c>
      <c r="M372" s="8"/>
      <c r="N372" s="2"/>
      <c r="O372" s="2"/>
      <c r="P372" s="2"/>
      <c r="Q372" s="2"/>
      <c r="R372" s="2"/>
      <c r="S372" s="2"/>
      <c r="T372" s="2"/>
      <c r="U372" s="2"/>
      <c r="V372" s="2"/>
      <c r="W372" s="2"/>
      <c r="X372" s="2"/>
      <c r="Y372" s="2"/>
      <c r="Z372" s="2"/>
    </row>
    <row r="373" spans="1:26" ht="12.75" x14ac:dyDescent="0.2">
      <c r="A373" s="230"/>
      <c r="B373" s="18">
        <v>2023</v>
      </c>
      <c r="C373" s="18" t="s">
        <v>762</v>
      </c>
      <c r="D373" s="18" t="s">
        <v>702</v>
      </c>
      <c r="E373" s="18" t="s">
        <v>703</v>
      </c>
      <c r="F373" s="18" t="s">
        <v>704</v>
      </c>
      <c r="G373" s="18" t="s">
        <v>673</v>
      </c>
      <c r="H373" s="18" t="s">
        <v>705</v>
      </c>
      <c r="I373" s="315">
        <v>1871.4912455427766</v>
      </c>
      <c r="J373" s="315">
        <v>1.1780117695126633</v>
      </c>
      <c r="K373" s="316" t="str">
        <f t="shared" si="32"/>
        <v>Lawn and Garden Equipment</v>
      </c>
      <c r="L373" s="316" t="str">
        <f t="shared" si="33"/>
        <v>Gasoline</v>
      </c>
      <c r="M373" s="8"/>
      <c r="N373" s="2"/>
      <c r="O373" s="2"/>
      <c r="P373" s="2"/>
      <c r="Q373" s="2"/>
      <c r="R373" s="2"/>
      <c r="S373" s="2"/>
      <c r="T373" s="2"/>
      <c r="U373" s="2"/>
      <c r="V373" s="2"/>
      <c r="W373" s="2"/>
      <c r="X373" s="2"/>
      <c r="Y373" s="2"/>
      <c r="Z373" s="2"/>
    </row>
    <row r="374" spans="1:26" ht="12.75" x14ac:dyDescent="0.2">
      <c r="A374" s="230"/>
      <c r="B374" s="18">
        <v>2023</v>
      </c>
      <c r="C374" s="18" t="s">
        <v>711</v>
      </c>
      <c r="D374" s="18" t="s">
        <v>835</v>
      </c>
      <c r="E374" s="18" t="s">
        <v>703</v>
      </c>
      <c r="F374" s="18" t="s">
        <v>704</v>
      </c>
      <c r="G374" s="18" t="s">
        <v>677</v>
      </c>
      <c r="H374" s="18" t="s">
        <v>836</v>
      </c>
      <c r="I374" s="315">
        <v>1863.2206930641273</v>
      </c>
      <c r="J374" s="315">
        <v>1.1577689474066806</v>
      </c>
      <c r="K374" s="316" t="str">
        <f t="shared" si="32"/>
        <v>Commercial Equipment</v>
      </c>
      <c r="L374" s="316" t="str">
        <f t="shared" si="33"/>
        <v>Gasoline</v>
      </c>
      <c r="M374" s="8"/>
      <c r="N374" s="2"/>
      <c r="O374" s="2"/>
      <c r="P374" s="2"/>
      <c r="Q374" s="2"/>
      <c r="R374" s="2"/>
      <c r="S374" s="2"/>
      <c r="T374" s="2"/>
      <c r="U374" s="2"/>
      <c r="V374" s="2"/>
      <c r="W374" s="2"/>
      <c r="X374" s="2"/>
      <c r="Y374" s="2"/>
      <c r="Z374" s="2"/>
    </row>
    <row r="375" spans="1:26" ht="12.75" x14ac:dyDescent="0.2">
      <c r="A375" s="230"/>
      <c r="B375" s="18">
        <v>2023</v>
      </c>
      <c r="C375" s="18" t="s">
        <v>787</v>
      </c>
      <c r="D375" s="18" t="s">
        <v>725</v>
      </c>
      <c r="E375" s="18" t="s">
        <v>713</v>
      </c>
      <c r="F375" s="18" t="s">
        <v>714</v>
      </c>
      <c r="G375" s="18" t="s">
        <v>674</v>
      </c>
      <c r="H375" s="18" t="s">
        <v>726</v>
      </c>
      <c r="I375" s="315">
        <v>1862.0964457581154</v>
      </c>
      <c r="J375" s="315">
        <v>1.0418143938386207E-2</v>
      </c>
      <c r="K375" s="316" t="str">
        <f t="shared" si="32"/>
        <v>Construction and Mining Equipment</v>
      </c>
      <c r="L375" s="316" t="str">
        <f t="shared" si="33"/>
        <v>Diesel</v>
      </c>
      <c r="M375" s="8"/>
      <c r="N375" s="2"/>
      <c r="O375" s="2"/>
      <c r="P375" s="2"/>
      <c r="Q375" s="2"/>
      <c r="R375" s="2"/>
      <c r="S375" s="2"/>
      <c r="T375" s="2"/>
      <c r="U375" s="2"/>
      <c r="V375" s="2"/>
      <c r="W375" s="2"/>
      <c r="X375" s="2"/>
      <c r="Y375" s="2"/>
      <c r="Z375" s="2"/>
    </row>
    <row r="376" spans="1:26" ht="12.75" x14ac:dyDescent="0.2">
      <c r="A376" s="230"/>
      <c r="B376" s="18">
        <v>2023</v>
      </c>
      <c r="C376" s="18" t="s">
        <v>793</v>
      </c>
      <c r="D376" s="18" t="s">
        <v>716</v>
      </c>
      <c r="E376" s="18" t="s">
        <v>713</v>
      </c>
      <c r="F376" s="18" t="s">
        <v>714</v>
      </c>
      <c r="G376" s="18" t="s">
        <v>675</v>
      </c>
      <c r="H376" s="18" t="s">
        <v>717</v>
      </c>
      <c r="I376" s="315">
        <v>1829.8759522784744</v>
      </c>
      <c r="J376" s="315">
        <v>3.7550024136943708E-2</v>
      </c>
      <c r="K376" s="316" t="str">
        <f t="shared" si="32"/>
        <v>Industrial Equipment</v>
      </c>
      <c r="L376" s="316" t="str">
        <f t="shared" si="33"/>
        <v>Diesel</v>
      </c>
      <c r="M376" s="8"/>
      <c r="N376" s="2"/>
      <c r="O376" s="2"/>
      <c r="P376" s="2"/>
      <c r="Q376" s="2"/>
      <c r="R376" s="2"/>
      <c r="S376" s="2"/>
      <c r="T376" s="2"/>
      <c r="U376" s="2"/>
      <c r="V376" s="2"/>
      <c r="W376" s="2"/>
      <c r="X376" s="2"/>
      <c r="Y376" s="2"/>
      <c r="Z376" s="2"/>
    </row>
    <row r="377" spans="1:26" ht="12.75" x14ac:dyDescent="0.2">
      <c r="A377" s="230"/>
      <c r="B377" s="18">
        <v>2023</v>
      </c>
      <c r="C377" s="18" t="s">
        <v>706</v>
      </c>
      <c r="D377" s="18" t="s">
        <v>853</v>
      </c>
      <c r="E377" s="18" t="s">
        <v>703</v>
      </c>
      <c r="F377" s="18" t="s">
        <v>795</v>
      </c>
      <c r="G377" s="18" t="s">
        <v>679</v>
      </c>
      <c r="H377" s="18" t="s">
        <v>854</v>
      </c>
      <c r="I377" s="315">
        <v>1808.9194269295135</v>
      </c>
      <c r="J377" s="315">
        <v>1.3611756971604831</v>
      </c>
      <c r="K377" s="316" t="str">
        <f t="shared" si="32"/>
        <v>Recreational Equipment</v>
      </c>
      <c r="L377" s="316" t="str">
        <f t="shared" si="33"/>
        <v>Gasoline</v>
      </c>
      <c r="M377" s="8"/>
      <c r="N377" s="2"/>
      <c r="O377" s="2"/>
      <c r="P377" s="2"/>
      <c r="Q377" s="2"/>
      <c r="R377" s="2"/>
      <c r="S377" s="2"/>
      <c r="T377" s="2"/>
      <c r="U377" s="2"/>
      <c r="V377" s="2"/>
      <c r="W377" s="2"/>
      <c r="X377" s="2"/>
      <c r="Y377" s="2"/>
      <c r="Z377" s="2"/>
    </row>
    <row r="378" spans="1:26" ht="12.75" x14ac:dyDescent="0.2">
      <c r="A378" s="230"/>
      <c r="B378" s="18">
        <v>2023</v>
      </c>
      <c r="C378" s="18" t="s">
        <v>701</v>
      </c>
      <c r="D378" s="18" t="s">
        <v>864</v>
      </c>
      <c r="E378" s="18" t="s">
        <v>703</v>
      </c>
      <c r="F378" s="18" t="s">
        <v>704</v>
      </c>
      <c r="G378" s="18" t="s">
        <v>673</v>
      </c>
      <c r="H378" s="18" t="s">
        <v>865</v>
      </c>
      <c r="I378" s="315">
        <v>1802.5380111662814</v>
      </c>
      <c r="J378" s="315">
        <v>1.2261899900234643</v>
      </c>
      <c r="K378" s="316" t="str">
        <f t="shared" si="32"/>
        <v>Lawn and Garden Equipment</v>
      </c>
      <c r="L378" s="316" t="str">
        <f t="shared" si="33"/>
        <v>Gasoline</v>
      </c>
      <c r="M378" s="8"/>
      <c r="N378" s="2"/>
      <c r="O378" s="2"/>
      <c r="P378" s="2"/>
      <c r="Q378" s="2"/>
      <c r="R378" s="2"/>
      <c r="S378" s="2"/>
      <c r="T378" s="2"/>
      <c r="U378" s="2"/>
      <c r="V378" s="2"/>
      <c r="W378" s="2"/>
      <c r="X378" s="2"/>
      <c r="Y378" s="2"/>
      <c r="Z378" s="2"/>
    </row>
    <row r="379" spans="1:26" ht="12.75" x14ac:dyDescent="0.2">
      <c r="A379" s="230"/>
      <c r="B379" s="18">
        <v>2023</v>
      </c>
      <c r="C379" s="18" t="s">
        <v>710</v>
      </c>
      <c r="D379" s="18" t="s">
        <v>835</v>
      </c>
      <c r="E379" s="18" t="s">
        <v>703</v>
      </c>
      <c r="F379" s="18" t="s">
        <v>704</v>
      </c>
      <c r="G379" s="18" t="s">
        <v>677</v>
      </c>
      <c r="H379" s="18" t="s">
        <v>836</v>
      </c>
      <c r="I379" s="315">
        <v>1798.1917001822583</v>
      </c>
      <c r="J379" s="315">
        <v>1.1179922758670875</v>
      </c>
      <c r="K379" s="316" t="str">
        <f t="shared" si="32"/>
        <v>Commercial Equipment</v>
      </c>
      <c r="L379" s="316" t="str">
        <f t="shared" si="33"/>
        <v>Gasoline</v>
      </c>
      <c r="M379" s="8"/>
      <c r="N379" s="2"/>
      <c r="O379" s="2"/>
      <c r="P379" s="2"/>
      <c r="Q379" s="2"/>
      <c r="R379" s="2"/>
      <c r="S379" s="2"/>
      <c r="T379" s="2"/>
      <c r="U379" s="2"/>
      <c r="V379" s="2"/>
      <c r="W379" s="2"/>
      <c r="X379" s="2"/>
      <c r="Y379" s="2"/>
      <c r="Z379" s="2"/>
    </row>
    <row r="380" spans="1:26" ht="12.75" x14ac:dyDescent="0.2">
      <c r="A380" s="230"/>
      <c r="B380" s="18">
        <v>2023</v>
      </c>
      <c r="C380" s="18" t="s">
        <v>743</v>
      </c>
      <c r="D380" s="18" t="s">
        <v>735</v>
      </c>
      <c r="E380" s="18" t="s">
        <v>713</v>
      </c>
      <c r="F380" s="18" t="s">
        <v>714</v>
      </c>
      <c r="G380" s="18" t="s">
        <v>674</v>
      </c>
      <c r="H380" s="18" t="s">
        <v>736</v>
      </c>
      <c r="I380" s="315">
        <v>1785.5569417977645</v>
      </c>
      <c r="J380" s="315">
        <v>5.3407051076156703E-2</v>
      </c>
      <c r="K380" s="316" t="str">
        <f t="shared" si="32"/>
        <v>Construction and Mining Equipment</v>
      </c>
      <c r="L380" s="316" t="str">
        <f t="shared" si="33"/>
        <v>Diesel</v>
      </c>
      <c r="M380" s="8"/>
      <c r="N380" s="2"/>
      <c r="O380" s="2"/>
      <c r="P380" s="2"/>
      <c r="Q380" s="2"/>
      <c r="R380" s="2"/>
      <c r="S380" s="2"/>
      <c r="T380" s="2"/>
      <c r="U380" s="2"/>
      <c r="V380" s="2"/>
      <c r="W380" s="2"/>
      <c r="X380" s="2"/>
      <c r="Y380" s="2"/>
      <c r="Z380" s="2"/>
    </row>
    <row r="381" spans="1:26" ht="12.75" x14ac:dyDescent="0.2">
      <c r="A381" s="230"/>
      <c r="B381" s="18">
        <v>2023</v>
      </c>
      <c r="C381" s="18" t="s">
        <v>743</v>
      </c>
      <c r="D381" s="18" t="s">
        <v>771</v>
      </c>
      <c r="E381" s="18" t="s">
        <v>713</v>
      </c>
      <c r="F381" s="18" t="s">
        <v>714</v>
      </c>
      <c r="G381" s="18" t="s">
        <v>675</v>
      </c>
      <c r="H381" s="18" t="s">
        <v>772</v>
      </c>
      <c r="I381" s="315">
        <v>1781.3004217861956</v>
      </c>
      <c r="J381" s="315">
        <v>3.9632224306976483E-3</v>
      </c>
      <c r="K381" s="316" t="str">
        <f t="shared" si="32"/>
        <v>Industrial Equipment</v>
      </c>
      <c r="L381" s="316" t="str">
        <f t="shared" si="33"/>
        <v>Diesel</v>
      </c>
      <c r="M381" s="8"/>
      <c r="N381" s="2"/>
      <c r="O381" s="2"/>
      <c r="P381" s="2"/>
      <c r="Q381" s="2"/>
      <c r="R381" s="2"/>
      <c r="S381" s="2"/>
      <c r="T381" s="2"/>
      <c r="U381" s="2"/>
      <c r="V381" s="2"/>
      <c r="W381" s="2"/>
      <c r="X381" s="2"/>
      <c r="Y381" s="2"/>
      <c r="Z381" s="2"/>
    </row>
    <row r="382" spans="1:26" ht="12.75" x14ac:dyDescent="0.2">
      <c r="A382" s="230"/>
      <c r="B382" s="18">
        <v>2023</v>
      </c>
      <c r="C382" s="18" t="s">
        <v>727</v>
      </c>
      <c r="D382" s="18" t="s">
        <v>712</v>
      </c>
      <c r="E382" s="18" t="s">
        <v>713</v>
      </c>
      <c r="F382" s="18" t="s">
        <v>714</v>
      </c>
      <c r="G382" s="18" t="s">
        <v>674</v>
      </c>
      <c r="H382" s="18" t="s">
        <v>715</v>
      </c>
      <c r="I382" s="315">
        <v>1767.8670168107105</v>
      </c>
      <c r="J382" s="315">
        <v>1.0520884322645134E-2</v>
      </c>
      <c r="K382" s="316" t="str">
        <f t="shared" si="32"/>
        <v>Construction and Mining Equipment</v>
      </c>
      <c r="L382" s="316" t="str">
        <f t="shared" si="33"/>
        <v>Diesel</v>
      </c>
      <c r="M382" s="8"/>
      <c r="N382" s="2"/>
      <c r="O382" s="2"/>
      <c r="P382" s="2"/>
      <c r="Q382" s="2"/>
      <c r="R382" s="2"/>
      <c r="S382" s="2"/>
      <c r="T382" s="2"/>
      <c r="U382" s="2"/>
      <c r="V382" s="2"/>
      <c r="W382" s="2"/>
      <c r="X382" s="2"/>
      <c r="Y382" s="2"/>
      <c r="Z382" s="2"/>
    </row>
    <row r="383" spans="1:26" ht="12.75" x14ac:dyDescent="0.2">
      <c r="A383" s="230"/>
      <c r="B383" s="18">
        <v>2023</v>
      </c>
      <c r="C383" s="18" t="s">
        <v>793</v>
      </c>
      <c r="D383" s="18" t="s">
        <v>765</v>
      </c>
      <c r="E383" s="18" t="s">
        <v>703</v>
      </c>
      <c r="F383" s="18" t="s">
        <v>676</v>
      </c>
      <c r="G383" s="18" t="s">
        <v>729</v>
      </c>
      <c r="H383" s="18" t="s">
        <v>766</v>
      </c>
      <c r="I383" s="315">
        <v>1766.2929537372947</v>
      </c>
      <c r="J383" s="315">
        <v>1.9427621845696492</v>
      </c>
      <c r="K383" s="316" t="str">
        <f t="shared" si="32"/>
        <v>Pleasure Craft</v>
      </c>
      <c r="L383" s="316" t="str">
        <f t="shared" si="33"/>
        <v>Gasoline</v>
      </c>
      <c r="M383" s="8"/>
      <c r="N383" s="2"/>
      <c r="O383" s="2"/>
      <c r="P383" s="2"/>
      <c r="Q383" s="2"/>
      <c r="R383" s="2"/>
      <c r="S383" s="2"/>
      <c r="T383" s="2"/>
      <c r="U383" s="2"/>
      <c r="V383" s="2"/>
      <c r="W383" s="2"/>
      <c r="X383" s="2"/>
      <c r="Y383" s="2"/>
      <c r="Z383" s="2"/>
    </row>
    <row r="384" spans="1:26" ht="12.75" x14ac:dyDescent="0.2">
      <c r="A384" s="230"/>
      <c r="B384" s="18">
        <v>2023</v>
      </c>
      <c r="C384" s="18" t="s">
        <v>709</v>
      </c>
      <c r="D384" s="18" t="s">
        <v>803</v>
      </c>
      <c r="E384" s="18" t="s">
        <v>703</v>
      </c>
      <c r="F384" s="18" t="s">
        <v>805</v>
      </c>
      <c r="G384" s="18" t="s">
        <v>673</v>
      </c>
      <c r="H384" s="18" t="s">
        <v>806</v>
      </c>
      <c r="I384" s="315">
        <v>1759.1487539792611</v>
      </c>
      <c r="J384" s="315">
        <v>3.4817503949440627</v>
      </c>
      <c r="K384" s="316" t="str">
        <f t="shared" si="32"/>
        <v>Lawn and Garden Equipment</v>
      </c>
      <c r="L384" s="316" t="str">
        <f t="shared" si="33"/>
        <v>Gasoline</v>
      </c>
      <c r="M384" s="8"/>
      <c r="N384" s="2"/>
      <c r="O384" s="2"/>
      <c r="P384" s="2"/>
      <c r="Q384" s="2"/>
      <c r="R384" s="2"/>
      <c r="S384" s="2"/>
      <c r="T384" s="2"/>
      <c r="U384" s="2"/>
      <c r="V384" s="2"/>
      <c r="W384" s="2"/>
      <c r="X384" s="2"/>
      <c r="Y384" s="2"/>
      <c r="Z384" s="2"/>
    </row>
    <row r="385" spans="1:26" ht="12.75" x14ac:dyDescent="0.2">
      <c r="A385" s="230"/>
      <c r="B385" s="18">
        <v>2023</v>
      </c>
      <c r="C385" s="18" t="s">
        <v>710</v>
      </c>
      <c r="D385" s="18" t="s">
        <v>848</v>
      </c>
      <c r="E385" s="18" t="s">
        <v>56</v>
      </c>
      <c r="F385" s="18" t="s">
        <v>601</v>
      </c>
      <c r="G385" s="18" t="s">
        <v>675</v>
      </c>
      <c r="H385" s="18" t="s">
        <v>708</v>
      </c>
      <c r="I385" s="315">
        <v>1758.0661244367932</v>
      </c>
      <c r="J385" s="315">
        <v>6.9940068902235115</v>
      </c>
      <c r="K385" s="316" t="str">
        <f t="shared" si="32"/>
        <v>Industrial Equipment</v>
      </c>
      <c r="L385" s="316" t="str">
        <f t="shared" si="33"/>
        <v>CNG</v>
      </c>
      <c r="M385" s="8"/>
      <c r="N385" s="2"/>
      <c r="O385" s="2"/>
      <c r="P385" s="2"/>
      <c r="Q385" s="2"/>
      <c r="R385" s="2"/>
      <c r="S385" s="2"/>
      <c r="T385" s="2"/>
      <c r="U385" s="2"/>
      <c r="V385" s="2"/>
      <c r="W385" s="2"/>
      <c r="X385" s="2"/>
      <c r="Y385" s="2"/>
      <c r="Z385" s="2"/>
    </row>
    <row r="386" spans="1:26" ht="12.75" x14ac:dyDescent="0.2">
      <c r="A386" s="230"/>
      <c r="B386" s="18">
        <v>2023</v>
      </c>
      <c r="C386" s="18" t="s">
        <v>706</v>
      </c>
      <c r="D386" s="18" t="s">
        <v>803</v>
      </c>
      <c r="E386" s="18" t="s">
        <v>703</v>
      </c>
      <c r="F386" s="18" t="s">
        <v>805</v>
      </c>
      <c r="G386" s="18" t="s">
        <v>673</v>
      </c>
      <c r="H386" s="18" t="s">
        <v>806</v>
      </c>
      <c r="I386" s="315">
        <v>1741.0124623568959</v>
      </c>
      <c r="J386" s="315">
        <v>3.445847947482457</v>
      </c>
      <c r="K386" s="316" t="str">
        <f t="shared" si="32"/>
        <v>Lawn and Garden Equipment</v>
      </c>
      <c r="L386" s="316" t="str">
        <f t="shared" si="33"/>
        <v>Gasoline</v>
      </c>
      <c r="M386" s="8"/>
      <c r="N386" s="2"/>
      <c r="O386" s="2"/>
      <c r="P386" s="2"/>
      <c r="Q386" s="2"/>
      <c r="R386" s="2"/>
      <c r="S386" s="2"/>
      <c r="T386" s="2"/>
      <c r="U386" s="2"/>
      <c r="V386" s="2"/>
      <c r="W386" s="2"/>
      <c r="X386" s="2"/>
      <c r="Y386" s="2"/>
      <c r="Z386" s="2"/>
    </row>
    <row r="387" spans="1:26" ht="12.75" x14ac:dyDescent="0.2">
      <c r="A387" s="230"/>
      <c r="B387" s="18">
        <v>2023</v>
      </c>
      <c r="C387" s="18" t="s">
        <v>750</v>
      </c>
      <c r="D387" s="18" t="s">
        <v>725</v>
      </c>
      <c r="E387" s="18" t="s">
        <v>713</v>
      </c>
      <c r="F387" s="18" t="s">
        <v>714</v>
      </c>
      <c r="G387" s="18" t="s">
        <v>674</v>
      </c>
      <c r="H387" s="18" t="s">
        <v>726</v>
      </c>
      <c r="I387" s="315">
        <v>1740.8980887398966</v>
      </c>
      <c r="J387" s="315">
        <v>9.7400649256243216E-3</v>
      </c>
      <c r="K387" s="316" t="str">
        <f t="shared" si="32"/>
        <v>Construction and Mining Equipment</v>
      </c>
      <c r="L387" s="316" t="str">
        <f t="shared" si="33"/>
        <v>Diesel</v>
      </c>
      <c r="M387" s="8"/>
      <c r="N387" s="2"/>
      <c r="O387" s="2"/>
      <c r="P387" s="2"/>
      <c r="Q387" s="2"/>
      <c r="R387" s="2"/>
      <c r="S387" s="2"/>
      <c r="T387" s="2"/>
      <c r="U387" s="2"/>
      <c r="V387" s="2"/>
      <c r="W387" s="2"/>
      <c r="X387" s="2"/>
      <c r="Y387" s="2"/>
      <c r="Z387" s="2"/>
    </row>
    <row r="388" spans="1:26" ht="12.75" x14ac:dyDescent="0.2">
      <c r="A388" s="230"/>
      <c r="B388" s="18">
        <v>2023</v>
      </c>
      <c r="C388" s="18" t="s">
        <v>706</v>
      </c>
      <c r="D388" s="18" t="s">
        <v>866</v>
      </c>
      <c r="E388" s="18" t="s">
        <v>713</v>
      </c>
      <c r="F388" s="18" t="s">
        <v>714</v>
      </c>
      <c r="G388" s="18" t="s">
        <v>677</v>
      </c>
      <c r="H388" s="18" t="s">
        <v>841</v>
      </c>
      <c r="I388" s="315">
        <v>1731.6716769287805</v>
      </c>
      <c r="J388" s="315">
        <v>4.3180930107475736E-2</v>
      </c>
      <c r="K388" s="316" t="str">
        <f t="shared" si="32"/>
        <v>Commercial Equipment</v>
      </c>
      <c r="L388" s="316" t="str">
        <f t="shared" si="33"/>
        <v>Diesel</v>
      </c>
      <c r="M388" s="8"/>
      <c r="N388" s="2"/>
      <c r="O388" s="2"/>
      <c r="P388" s="2"/>
      <c r="Q388" s="2"/>
      <c r="R388" s="2"/>
      <c r="S388" s="2"/>
      <c r="T388" s="2"/>
      <c r="U388" s="2"/>
      <c r="V388" s="2"/>
      <c r="W388" s="2"/>
      <c r="X388" s="2"/>
      <c r="Y388" s="2"/>
      <c r="Z388" s="2"/>
    </row>
    <row r="389" spans="1:26" ht="12.75" x14ac:dyDescent="0.2">
      <c r="A389" s="230"/>
      <c r="B389" s="18">
        <v>2023</v>
      </c>
      <c r="C389" s="18" t="s">
        <v>722</v>
      </c>
      <c r="D389" s="18" t="s">
        <v>771</v>
      </c>
      <c r="E389" s="18" t="s">
        <v>713</v>
      </c>
      <c r="F389" s="18" t="s">
        <v>714</v>
      </c>
      <c r="G389" s="18" t="s">
        <v>675</v>
      </c>
      <c r="H389" s="18" t="s">
        <v>772</v>
      </c>
      <c r="I389" s="315">
        <v>1730.0400908419163</v>
      </c>
      <c r="J389" s="315">
        <v>3.8491649586969955E-3</v>
      </c>
      <c r="K389" s="316" t="str">
        <f t="shared" si="32"/>
        <v>Industrial Equipment</v>
      </c>
      <c r="L389" s="316" t="str">
        <f t="shared" si="33"/>
        <v>Diesel</v>
      </c>
      <c r="M389" s="8"/>
      <c r="N389" s="2"/>
      <c r="O389" s="2"/>
      <c r="P389" s="2"/>
      <c r="Q389" s="2"/>
      <c r="R389" s="2"/>
      <c r="S389" s="2"/>
      <c r="T389" s="2"/>
      <c r="U389" s="2"/>
      <c r="V389" s="2"/>
      <c r="W389" s="2"/>
      <c r="X389" s="2"/>
      <c r="Y389" s="2"/>
      <c r="Z389" s="2"/>
    </row>
    <row r="390" spans="1:26" ht="12.75" x14ac:dyDescent="0.2">
      <c r="A390" s="230"/>
      <c r="B390" s="18">
        <v>2023</v>
      </c>
      <c r="C390" s="18" t="s">
        <v>793</v>
      </c>
      <c r="D390" s="18" t="s">
        <v>712</v>
      </c>
      <c r="E390" s="18" t="s">
        <v>713</v>
      </c>
      <c r="F390" s="18" t="s">
        <v>714</v>
      </c>
      <c r="G390" s="18" t="s">
        <v>674</v>
      </c>
      <c r="H390" s="18" t="s">
        <v>715</v>
      </c>
      <c r="I390" s="315">
        <v>1726.0745038546397</v>
      </c>
      <c r="J390" s="315">
        <v>1.0272183122850572E-2</v>
      </c>
      <c r="K390" s="316" t="str">
        <f t="shared" si="32"/>
        <v>Construction and Mining Equipment</v>
      </c>
      <c r="L390" s="316" t="str">
        <f t="shared" si="33"/>
        <v>Diesel</v>
      </c>
      <c r="M390" s="8"/>
      <c r="N390" s="2"/>
      <c r="O390" s="2"/>
      <c r="P390" s="2"/>
      <c r="Q390" s="2"/>
      <c r="R390" s="2"/>
      <c r="S390" s="2"/>
      <c r="T390" s="2"/>
      <c r="U390" s="2"/>
      <c r="V390" s="2"/>
      <c r="W390" s="2"/>
      <c r="X390" s="2"/>
      <c r="Y390" s="2"/>
      <c r="Z390" s="2"/>
    </row>
    <row r="391" spans="1:26" ht="12.75" x14ac:dyDescent="0.2">
      <c r="A391" s="230"/>
      <c r="B391" s="18">
        <v>2023</v>
      </c>
      <c r="C391" s="18" t="s">
        <v>754</v>
      </c>
      <c r="D391" s="18" t="s">
        <v>741</v>
      </c>
      <c r="E391" s="18" t="s">
        <v>713</v>
      </c>
      <c r="F391" s="18" t="s">
        <v>714</v>
      </c>
      <c r="G391" s="18" t="s">
        <v>673</v>
      </c>
      <c r="H391" s="18" t="s">
        <v>742</v>
      </c>
      <c r="I391" s="315">
        <v>1712.6429584783359</v>
      </c>
      <c r="J391" s="315">
        <v>2.8366296082951319E-2</v>
      </c>
      <c r="K391" s="316" t="str">
        <f t="shared" si="32"/>
        <v>Lawn and Garden Equipment</v>
      </c>
      <c r="L391" s="316" t="str">
        <f t="shared" si="33"/>
        <v>Diesel</v>
      </c>
      <c r="M391" s="8"/>
      <c r="N391" s="2"/>
      <c r="O391" s="2"/>
      <c r="P391" s="2"/>
      <c r="Q391" s="2"/>
      <c r="R391" s="2"/>
      <c r="S391" s="2"/>
      <c r="T391" s="2"/>
      <c r="U391" s="2"/>
      <c r="V391" s="2"/>
      <c r="W391" s="2"/>
      <c r="X391" s="2"/>
      <c r="Y391" s="2"/>
      <c r="Z391" s="2"/>
    </row>
    <row r="392" spans="1:26" ht="12.75" x14ac:dyDescent="0.2">
      <c r="A392" s="230"/>
      <c r="B392" s="18">
        <v>2023</v>
      </c>
      <c r="C392" s="18" t="s">
        <v>786</v>
      </c>
      <c r="D392" s="18" t="s">
        <v>765</v>
      </c>
      <c r="E392" s="18" t="s">
        <v>703</v>
      </c>
      <c r="F392" s="18" t="s">
        <v>676</v>
      </c>
      <c r="G392" s="18" t="s">
        <v>729</v>
      </c>
      <c r="H392" s="18" t="s">
        <v>766</v>
      </c>
      <c r="I392" s="315">
        <v>1703.9515093695245</v>
      </c>
      <c r="J392" s="315">
        <v>1.8741925872372682</v>
      </c>
      <c r="K392" s="316" t="str">
        <f t="shared" si="32"/>
        <v>Pleasure Craft</v>
      </c>
      <c r="L392" s="316" t="str">
        <f t="shared" si="33"/>
        <v>Gasoline</v>
      </c>
      <c r="M392" s="8"/>
      <c r="N392" s="2"/>
      <c r="O392" s="2"/>
      <c r="P392" s="2"/>
      <c r="Q392" s="2"/>
      <c r="R392" s="2"/>
      <c r="S392" s="2"/>
      <c r="T392" s="2"/>
      <c r="U392" s="2"/>
      <c r="V392" s="2"/>
      <c r="W392" s="2"/>
      <c r="X392" s="2"/>
      <c r="Y392" s="2"/>
      <c r="Z392" s="2"/>
    </row>
    <row r="393" spans="1:26" ht="12.75" x14ac:dyDescent="0.2">
      <c r="A393" s="230"/>
      <c r="B393" s="18">
        <v>2023</v>
      </c>
      <c r="C393" s="18" t="s">
        <v>732</v>
      </c>
      <c r="D393" s="18" t="s">
        <v>761</v>
      </c>
      <c r="E393" s="18" t="s">
        <v>713</v>
      </c>
      <c r="F393" s="18" t="s">
        <v>714</v>
      </c>
      <c r="G393" s="18" t="s">
        <v>677</v>
      </c>
      <c r="H393" s="18" t="s">
        <v>747</v>
      </c>
      <c r="I393" s="315">
        <v>1703.2746604622118</v>
      </c>
      <c r="J393" s="315">
        <v>4.3511904860433701E-2</v>
      </c>
      <c r="K393" s="316" t="str">
        <f t="shared" si="32"/>
        <v>Commercial Equipment</v>
      </c>
      <c r="L393" s="316" t="str">
        <f t="shared" si="33"/>
        <v>Diesel</v>
      </c>
      <c r="M393" s="8"/>
      <c r="N393" s="2"/>
      <c r="O393" s="2"/>
      <c r="P393" s="2"/>
      <c r="Q393" s="2"/>
      <c r="R393" s="2"/>
      <c r="S393" s="2"/>
      <c r="T393" s="2"/>
      <c r="U393" s="2"/>
      <c r="V393" s="2"/>
      <c r="W393" s="2"/>
      <c r="X393" s="2"/>
      <c r="Y393" s="2"/>
      <c r="Z393" s="2"/>
    </row>
    <row r="394" spans="1:26" ht="12.75" x14ac:dyDescent="0.2">
      <c r="A394" s="230"/>
      <c r="B394" s="18">
        <v>2023</v>
      </c>
      <c r="C394" s="18" t="s">
        <v>701</v>
      </c>
      <c r="D394" s="18" t="s">
        <v>867</v>
      </c>
      <c r="E394" s="18" t="s">
        <v>713</v>
      </c>
      <c r="F394" s="18" t="s">
        <v>714</v>
      </c>
      <c r="G394" s="18" t="s">
        <v>673</v>
      </c>
      <c r="H394" s="18" t="s">
        <v>724</v>
      </c>
      <c r="I394" s="315">
        <v>1700.5287026763701</v>
      </c>
      <c r="J394" s="315">
        <v>8.7515300417629838E-2</v>
      </c>
      <c r="K394" s="316" t="str">
        <f t="shared" si="32"/>
        <v>Lawn and Garden Equipment</v>
      </c>
      <c r="L394" s="316" t="str">
        <f t="shared" si="33"/>
        <v>Diesel</v>
      </c>
      <c r="M394" s="8"/>
      <c r="N394" s="2"/>
      <c r="O394" s="2"/>
      <c r="P394" s="2"/>
      <c r="Q394" s="2"/>
      <c r="R394" s="2"/>
      <c r="S394" s="2"/>
      <c r="T394" s="2"/>
      <c r="U394" s="2"/>
      <c r="V394" s="2"/>
      <c r="W394" s="2"/>
      <c r="X394" s="2"/>
      <c r="Y394" s="2"/>
      <c r="Z394" s="2"/>
    </row>
    <row r="395" spans="1:26" ht="12.75" x14ac:dyDescent="0.2">
      <c r="A395" s="230"/>
      <c r="B395" s="18">
        <v>2023</v>
      </c>
      <c r="C395" s="18" t="s">
        <v>722</v>
      </c>
      <c r="D395" s="18" t="s">
        <v>755</v>
      </c>
      <c r="E395" s="18" t="s">
        <v>713</v>
      </c>
      <c r="F395" s="18" t="s">
        <v>714</v>
      </c>
      <c r="G395" s="18" t="s">
        <v>674</v>
      </c>
      <c r="H395" s="18" t="s">
        <v>756</v>
      </c>
      <c r="I395" s="315">
        <v>1696.3443961810906</v>
      </c>
      <c r="J395" s="315">
        <v>6.5871573483520116E-2</v>
      </c>
      <c r="K395" s="316" t="str">
        <f t="shared" si="32"/>
        <v>Construction and Mining Equipment</v>
      </c>
      <c r="L395" s="316" t="str">
        <f t="shared" si="33"/>
        <v>Diesel</v>
      </c>
      <c r="M395" s="8"/>
      <c r="N395" s="2"/>
      <c r="O395" s="2"/>
      <c r="P395" s="2"/>
      <c r="Q395" s="2"/>
      <c r="R395" s="2"/>
      <c r="S395" s="2"/>
      <c r="T395" s="2"/>
      <c r="U395" s="2"/>
      <c r="V395" s="2"/>
      <c r="W395" s="2"/>
      <c r="X395" s="2"/>
      <c r="Y395" s="2"/>
      <c r="Z395" s="2"/>
    </row>
    <row r="396" spans="1:26" ht="12.75" x14ac:dyDescent="0.2">
      <c r="A396" s="230"/>
      <c r="B396" s="18">
        <v>2023</v>
      </c>
      <c r="C396" s="18" t="s">
        <v>793</v>
      </c>
      <c r="D396" s="18" t="s">
        <v>702</v>
      </c>
      <c r="E396" s="18" t="s">
        <v>703</v>
      </c>
      <c r="F396" s="18" t="s">
        <v>704</v>
      </c>
      <c r="G396" s="18" t="s">
        <v>673</v>
      </c>
      <c r="H396" s="18" t="s">
        <v>705</v>
      </c>
      <c r="I396" s="315">
        <v>1694.1908094706266</v>
      </c>
      <c r="J396" s="315">
        <v>1.0655103015539797</v>
      </c>
      <c r="K396" s="316" t="str">
        <f t="shared" si="32"/>
        <v>Lawn and Garden Equipment</v>
      </c>
      <c r="L396" s="316" t="str">
        <f t="shared" si="33"/>
        <v>Gasoline</v>
      </c>
      <c r="M396" s="8"/>
      <c r="N396" s="2"/>
      <c r="O396" s="2"/>
      <c r="P396" s="2"/>
      <c r="Q396" s="2"/>
      <c r="R396" s="2"/>
      <c r="S396" s="2"/>
      <c r="T396" s="2"/>
      <c r="U396" s="2"/>
      <c r="V396" s="2"/>
      <c r="W396" s="2"/>
      <c r="X396" s="2"/>
      <c r="Y396" s="2"/>
      <c r="Z396" s="2"/>
    </row>
    <row r="397" spans="1:26" ht="12.75" x14ac:dyDescent="0.2">
      <c r="A397" s="230"/>
      <c r="B397" s="18">
        <v>2023</v>
      </c>
      <c r="C397" s="18" t="s">
        <v>722</v>
      </c>
      <c r="D397" s="18" t="s">
        <v>835</v>
      </c>
      <c r="E397" s="18" t="s">
        <v>703</v>
      </c>
      <c r="F397" s="18" t="s">
        <v>704</v>
      </c>
      <c r="G397" s="18" t="s">
        <v>677</v>
      </c>
      <c r="H397" s="18" t="s">
        <v>836</v>
      </c>
      <c r="I397" s="315">
        <v>1690.75211736917</v>
      </c>
      <c r="J397" s="315">
        <v>1.0523470946654891</v>
      </c>
      <c r="K397" s="316" t="str">
        <f t="shared" si="32"/>
        <v>Commercial Equipment</v>
      </c>
      <c r="L397" s="316" t="str">
        <f t="shared" si="33"/>
        <v>Gasoline</v>
      </c>
      <c r="M397" s="8"/>
      <c r="N397" s="2"/>
      <c r="O397" s="2"/>
      <c r="P397" s="2"/>
      <c r="Q397" s="2"/>
      <c r="R397" s="2"/>
      <c r="S397" s="2"/>
      <c r="T397" s="2"/>
      <c r="U397" s="2"/>
      <c r="V397" s="2"/>
      <c r="W397" s="2"/>
      <c r="X397" s="2"/>
      <c r="Y397" s="2"/>
      <c r="Z397" s="2"/>
    </row>
    <row r="398" spans="1:26" ht="12.75" x14ac:dyDescent="0.2">
      <c r="A398" s="230"/>
      <c r="B398" s="18">
        <v>2023</v>
      </c>
      <c r="C398" s="18" t="s">
        <v>792</v>
      </c>
      <c r="D398" s="18" t="s">
        <v>716</v>
      </c>
      <c r="E398" s="18" t="s">
        <v>713</v>
      </c>
      <c r="F398" s="18" t="s">
        <v>714</v>
      </c>
      <c r="G398" s="18" t="s">
        <v>675</v>
      </c>
      <c r="H398" s="18" t="s">
        <v>717</v>
      </c>
      <c r="I398" s="315">
        <v>1673.6794205775548</v>
      </c>
      <c r="J398" s="315">
        <v>3.4344797933728799E-2</v>
      </c>
      <c r="K398" s="316" t="str">
        <f t="shared" si="32"/>
        <v>Industrial Equipment</v>
      </c>
      <c r="L398" s="316" t="str">
        <f t="shared" si="33"/>
        <v>Diesel</v>
      </c>
      <c r="M398" s="8"/>
      <c r="N398" s="2"/>
      <c r="O398" s="2"/>
      <c r="P398" s="2"/>
      <c r="Q398" s="2"/>
      <c r="R398" s="2"/>
      <c r="S398" s="2"/>
      <c r="T398" s="2"/>
      <c r="U398" s="2"/>
      <c r="V398" s="2"/>
      <c r="W398" s="2"/>
      <c r="X398" s="2"/>
      <c r="Y398" s="2"/>
      <c r="Z398" s="2"/>
    </row>
    <row r="399" spans="1:26" ht="12.75" x14ac:dyDescent="0.2">
      <c r="A399" s="230"/>
      <c r="B399" s="18">
        <v>2023</v>
      </c>
      <c r="C399" s="18" t="s">
        <v>711</v>
      </c>
      <c r="D399" s="18" t="s">
        <v>851</v>
      </c>
      <c r="E399" s="18" t="s">
        <v>703</v>
      </c>
      <c r="F399" s="18" t="s">
        <v>704</v>
      </c>
      <c r="G399" s="18" t="s">
        <v>679</v>
      </c>
      <c r="H399" s="18" t="s">
        <v>852</v>
      </c>
      <c r="I399" s="315">
        <v>1673.207432920444</v>
      </c>
      <c r="J399" s="315">
        <v>1.6560523459313448</v>
      </c>
      <c r="K399" s="316" t="str">
        <f t="shared" si="32"/>
        <v>Recreational Equipment</v>
      </c>
      <c r="L399" s="316" t="str">
        <f t="shared" si="33"/>
        <v>Gasoline</v>
      </c>
      <c r="M399" s="8"/>
      <c r="N399" s="2"/>
      <c r="O399" s="2"/>
      <c r="P399" s="2"/>
      <c r="Q399" s="2"/>
      <c r="R399" s="2"/>
      <c r="S399" s="2"/>
      <c r="T399" s="2"/>
      <c r="U399" s="2"/>
      <c r="V399" s="2"/>
      <c r="W399" s="2"/>
      <c r="X399" s="2"/>
      <c r="Y399" s="2"/>
      <c r="Z399" s="2"/>
    </row>
    <row r="400" spans="1:26" ht="12.75" x14ac:dyDescent="0.2">
      <c r="A400" s="230"/>
      <c r="B400" s="18">
        <v>2023</v>
      </c>
      <c r="C400" s="18" t="s">
        <v>701</v>
      </c>
      <c r="D400" s="18" t="s">
        <v>851</v>
      </c>
      <c r="E400" s="18" t="s">
        <v>703</v>
      </c>
      <c r="F400" s="18" t="s">
        <v>704</v>
      </c>
      <c r="G400" s="18" t="s">
        <v>679</v>
      </c>
      <c r="H400" s="18" t="s">
        <v>852</v>
      </c>
      <c r="I400" s="315">
        <v>1673.207432920444</v>
      </c>
      <c r="J400" s="315">
        <v>1.6581663380296578</v>
      </c>
      <c r="K400" s="316" t="str">
        <f t="shared" si="32"/>
        <v>Recreational Equipment</v>
      </c>
      <c r="L400" s="316" t="str">
        <f t="shared" si="33"/>
        <v>Gasoline</v>
      </c>
      <c r="M400" s="8"/>
      <c r="N400" s="2"/>
      <c r="O400" s="2"/>
      <c r="P400" s="2"/>
      <c r="Q400" s="2"/>
      <c r="R400" s="2"/>
      <c r="S400" s="2"/>
      <c r="T400" s="2"/>
      <c r="U400" s="2"/>
      <c r="V400" s="2"/>
      <c r="W400" s="2"/>
      <c r="X400" s="2"/>
      <c r="Y400" s="2"/>
      <c r="Z400" s="2"/>
    </row>
    <row r="401" spans="1:26" ht="12.75" x14ac:dyDescent="0.2">
      <c r="A401" s="230"/>
      <c r="B401" s="18">
        <v>2023</v>
      </c>
      <c r="C401" s="18" t="s">
        <v>709</v>
      </c>
      <c r="D401" s="18" t="s">
        <v>728</v>
      </c>
      <c r="E401" s="18" t="s">
        <v>703</v>
      </c>
      <c r="F401" s="18" t="s">
        <v>676</v>
      </c>
      <c r="G401" s="18" t="s">
        <v>729</v>
      </c>
      <c r="H401" s="18" t="s">
        <v>730</v>
      </c>
      <c r="I401" s="315">
        <v>1673.017341539497</v>
      </c>
      <c r="J401" s="315">
        <v>1.8943569935411746</v>
      </c>
      <c r="K401" s="316" t="str">
        <f t="shared" si="32"/>
        <v>Pleasure Craft</v>
      </c>
      <c r="L401" s="316" t="str">
        <f t="shared" si="33"/>
        <v>Gasoline</v>
      </c>
      <c r="M401" s="8"/>
      <c r="N401" s="2"/>
      <c r="O401" s="2"/>
      <c r="P401" s="2"/>
      <c r="Q401" s="2"/>
      <c r="R401" s="2"/>
      <c r="S401" s="2"/>
      <c r="T401" s="2"/>
      <c r="U401" s="2"/>
      <c r="V401" s="2"/>
      <c r="W401" s="2"/>
      <c r="X401" s="2"/>
      <c r="Y401" s="2"/>
      <c r="Z401" s="2"/>
    </row>
    <row r="402" spans="1:26" x14ac:dyDescent="0.25">
      <c r="A402" s="314"/>
      <c r="B402" s="18">
        <v>2023</v>
      </c>
      <c r="C402" s="18" t="s">
        <v>760</v>
      </c>
      <c r="D402" s="18" t="s">
        <v>769</v>
      </c>
      <c r="E402" s="18" t="s">
        <v>713</v>
      </c>
      <c r="F402" s="18" t="s">
        <v>714</v>
      </c>
      <c r="G402" s="18" t="s">
        <v>674</v>
      </c>
      <c r="H402" s="18" t="s">
        <v>770</v>
      </c>
      <c r="I402" s="315">
        <v>1672.3138442562426</v>
      </c>
      <c r="J402" s="315">
        <v>1.3409158972804485E-2</v>
      </c>
      <c r="K402" s="316" t="str">
        <f t="shared" si="32"/>
        <v>Construction and Mining Equipment</v>
      </c>
      <c r="L402" s="316" t="str">
        <f t="shared" si="33"/>
        <v>Diesel</v>
      </c>
      <c r="M402" s="194"/>
      <c r="N402" s="317"/>
      <c r="O402" s="317"/>
      <c r="P402" s="317"/>
      <c r="Q402" s="317"/>
      <c r="R402" s="317"/>
      <c r="S402" s="317"/>
      <c r="T402" s="317"/>
      <c r="U402" s="317"/>
      <c r="V402" s="317"/>
      <c r="W402" s="317"/>
      <c r="X402" s="317"/>
      <c r="Y402" s="317"/>
      <c r="Z402" s="317"/>
    </row>
    <row r="403" spans="1:26" x14ac:dyDescent="0.25">
      <c r="A403" s="314"/>
      <c r="B403" s="18">
        <v>2023</v>
      </c>
      <c r="C403" s="18" t="s">
        <v>709</v>
      </c>
      <c r="D403" s="18" t="s">
        <v>840</v>
      </c>
      <c r="E403" s="18" t="s">
        <v>703</v>
      </c>
      <c r="F403" s="18" t="s">
        <v>704</v>
      </c>
      <c r="G403" s="18" t="s">
        <v>677</v>
      </c>
      <c r="H403" s="18" t="s">
        <v>841</v>
      </c>
      <c r="I403" s="315">
        <v>1670.4210324349153</v>
      </c>
      <c r="J403" s="315">
        <v>1.0996134338631061</v>
      </c>
      <c r="K403" s="316" t="str">
        <f t="shared" si="32"/>
        <v>Commercial Equipment</v>
      </c>
      <c r="L403" s="316" t="str">
        <f t="shared" si="33"/>
        <v>Gasoline</v>
      </c>
      <c r="M403" s="194"/>
      <c r="N403" s="317"/>
      <c r="O403" s="317"/>
      <c r="P403" s="317"/>
      <c r="Q403" s="317"/>
      <c r="R403" s="317"/>
      <c r="S403" s="317"/>
      <c r="T403" s="317"/>
      <c r="U403" s="317"/>
      <c r="V403" s="317"/>
      <c r="W403" s="317"/>
      <c r="X403" s="317"/>
      <c r="Y403" s="317"/>
      <c r="Z403" s="317"/>
    </row>
    <row r="404" spans="1:26" x14ac:dyDescent="0.25">
      <c r="A404" s="314"/>
      <c r="B404" s="18">
        <v>2023</v>
      </c>
      <c r="C404" s="18" t="s">
        <v>711</v>
      </c>
      <c r="D404" s="18" t="s">
        <v>794</v>
      </c>
      <c r="E404" s="18" t="s">
        <v>703</v>
      </c>
      <c r="F404" s="18" t="s">
        <v>795</v>
      </c>
      <c r="G404" s="18" t="s">
        <v>673</v>
      </c>
      <c r="H404" s="18" t="s">
        <v>796</v>
      </c>
      <c r="I404" s="315">
        <v>1655.4181014993703</v>
      </c>
      <c r="J404" s="315">
        <v>3.0241297024805487</v>
      </c>
      <c r="K404" s="316" t="str">
        <f t="shared" si="32"/>
        <v>Lawn and Garden Equipment</v>
      </c>
      <c r="L404" s="316" t="str">
        <f t="shared" si="33"/>
        <v>Gasoline</v>
      </c>
      <c r="M404" s="194"/>
      <c r="N404" s="317"/>
      <c r="O404" s="317"/>
      <c r="P404" s="317"/>
      <c r="Q404" s="317"/>
      <c r="R404" s="317"/>
      <c r="S404" s="317"/>
      <c r="T404" s="317"/>
      <c r="U404" s="317"/>
      <c r="V404" s="317"/>
      <c r="W404" s="317"/>
      <c r="X404" s="317"/>
      <c r="Y404" s="317"/>
      <c r="Z404" s="317"/>
    </row>
    <row r="405" spans="1:26" x14ac:dyDescent="0.25">
      <c r="A405" s="314"/>
      <c r="B405" s="18">
        <v>2023</v>
      </c>
      <c r="C405" s="18" t="s">
        <v>709</v>
      </c>
      <c r="D405" s="18" t="s">
        <v>797</v>
      </c>
      <c r="E405" s="18" t="s">
        <v>713</v>
      </c>
      <c r="F405" s="18" t="s">
        <v>714</v>
      </c>
      <c r="G405" s="18" t="s">
        <v>675</v>
      </c>
      <c r="H405" s="18" t="s">
        <v>798</v>
      </c>
      <c r="I405" s="315">
        <v>1652.8085337943405</v>
      </c>
      <c r="J405" s="315">
        <v>1.394313784914465E-2</v>
      </c>
      <c r="K405" s="316" t="str">
        <f t="shared" si="32"/>
        <v>Industrial Equipment</v>
      </c>
      <c r="L405" s="316" t="str">
        <f t="shared" si="33"/>
        <v>Diesel</v>
      </c>
      <c r="M405" s="194"/>
      <c r="N405" s="317"/>
      <c r="O405" s="317"/>
      <c r="P405" s="317"/>
      <c r="Q405" s="317"/>
      <c r="R405" s="317"/>
      <c r="S405" s="317"/>
      <c r="T405" s="317"/>
      <c r="U405" s="317"/>
      <c r="V405" s="317"/>
      <c r="W405" s="317"/>
      <c r="X405" s="317"/>
      <c r="Y405" s="317"/>
      <c r="Z405" s="317"/>
    </row>
    <row r="406" spans="1:26" x14ac:dyDescent="0.25">
      <c r="A406" s="314"/>
      <c r="B406" s="18">
        <v>2023</v>
      </c>
      <c r="C406" s="18" t="s">
        <v>754</v>
      </c>
      <c r="D406" s="18" t="s">
        <v>746</v>
      </c>
      <c r="E406" s="18" t="s">
        <v>703</v>
      </c>
      <c r="F406" s="18" t="s">
        <v>704</v>
      </c>
      <c r="G406" s="18" t="s">
        <v>677</v>
      </c>
      <c r="H406" s="18" t="s">
        <v>747</v>
      </c>
      <c r="I406" s="315">
        <v>1652.0283288715816</v>
      </c>
      <c r="J406" s="315">
        <v>1.0906326264204638</v>
      </c>
      <c r="K406" s="316" t="str">
        <f t="shared" si="32"/>
        <v>Commercial Equipment</v>
      </c>
      <c r="L406" s="316" t="str">
        <f t="shared" si="33"/>
        <v>Gasoline</v>
      </c>
      <c r="M406" s="194"/>
      <c r="N406" s="317"/>
      <c r="O406" s="317"/>
      <c r="P406" s="317"/>
      <c r="Q406" s="317"/>
      <c r="R406" s="317"/>
      <c r="S406" s="317"/>
      <c r="T406" s="317"/>
      <c r="U406" s="317"/>
      <c r="V406" s="317"/>
      <c r="W406" s="317"/>
      <c r="X406" s="317"/>
      <c r="Y406" s="317"/>
      <c r="Z406" s="317"/>
    </row>
    <row r="407" spans="1:26" x14ac:dyDescent="0.25">
      <c r="A407" s="314"/>
      <c r="B407" s="18">
        <v>2023</v>
      </c>
      <c r="C407" s="18" t="s">
        <v>709</v>
      </c>
      <c r="D407" s="18" t="s">
        <v>807</v>
      </c>
      <c r="E407" s="18" t="s">
        <v>703</v>
      </c>
      <c r="F407" s="18" t="s">
        <v>805</v>
      </c>
      <c r="G407" s="18" t="s">
        <v>673</v>
      </c>
      <c r="H407" s="18" t="s">
        <v>749</v>
      </c>
      <c r="I407" s="315">
        <v>1642.6249409794971</v>
      </c>
      <c r="J407" s="315">
        <v>3.0728005430500849</v>
      </c>
      <c r="K407" s="316" t="str">
        <f t="shared" si="32"/>
        <v>Lawn and Garden Equipment</v>
      </c>
      <c r="L407" s="316" t="str">
        <f t="shared" si="33"/>
        <v>Gasoline</v>
      </c>
      <c r="M407" s="194"/>
      <c r="N407" s="317"/>
      <c r="O407" s="317"/>
      <c r="P407" s="317"/>
      <c r="Q407" s="317"/>
      <c r="R407" s="317"/>
      <c r="S407" s="317"/>
      <c r="T407" s="317"/>
      <c r="U407" s="317"/>
      <c r="V407" s="317"/>
      <c r="W407" s="317"/>
      <c r="X407" s="317"/>
      <c r="Y407" s="317"/>
      <c r="Z407" s="317"/>
    </row>
    <row r="408" spans="1:26" x14ac:dyDescent="0.25">
      <c r="A408" s="314"/>
      <c r="B408" s="18">
        <v>2023</v>
      </c>
      <c r="C408" s="18" t="s">
        <v>760</v>
      </c>
      <c r="D408" s="18" t="s">
        <v>761</v>
      </c>
      <c r="E408" s="18" t="s">
        <v>713</v>
      </c>
      <c r="F408" s="18" t="s">
        <v>714</v>
      </c>
      <c r="G408" s="18" t="s">
        <v>677</v>
      </c>
      <c r="H408" s="18" t="s">
        <v>747</v>
      </c>
      <c r="I408" s="315">
        <v>1637.7644646006722</v>
      </c>
      <c r="J408" s="315">
        <v>4.1838358965361699E-2</v>
      </c>
      <c r="K408" s="316" t="str">
        <f t="shared" si="32"/>
        <v>Commercial Equipment</v>
      </c>
      <c r="L408" s="316" t="str">
        <f t="shared" si="33"/>
        <v>Diesel</v>
      </c>
      <c r="M408" s="194"/>
      <c r="N408" s="317"/>
      <c r="O408" s="317"/>
      <c r="P408" s="317"/>
      <c r="Q408" s="317"/>
      <c r="R408" s="317"/>
      <c r="S408" s="317"/>
      <c r="T408" s="317"/>
      <c r="U408" s="317"/>
      <c r="V408" s="317"/>
      <c r="W408" s="317"/>
      <c r="X408" s="317"/>
      <c r="Y408" s="317"/>
      <c r="Z408" s="317"/>
    </row>
    <row r="409" spans="1:26" x14ac:dyDescent="0.25">
      <c r="A409" s="314"/>
      <c r="B409" s="18">
        <v>2023</v>
      </c>
      <c r="C409" s="18" t="s">
        <v>754</v>
      </c>
      <c r="D409" s="18" t="s">
        <v>735</v>
      </c>
      <c r="E409" s="18" t="s">
        <v>713</v>
      </c>
      <c r="F409" s="18" t="s">
        <v>714</v>
      </c>
      <c r="G409" s="18" t="s">
        <v>674</v>
      </c>
      <c r="H409" s="18" t="s">
        <v>736</v>
      </c>
      <c r="I409" s="315">
        <v>1637.439216625271</v>
      </c>
      <c r="J409" s="315">
        <v>4.8976834202502414E-2</v>
      </c>
      <c r="K409" s="316" t="str">
        <f t="shared" si="32"/>
        <v>Construction and Mining Equipment</v>
      </c>
      <c r="L409" s="316" t="str">
        <f t="shared" si="33"/>
        <v>Diesel</v>
      </c>
      <c r="M409" s="194"/>
      <c r="N409" s="317"/>
      <c r="O409" s="317"/>
      <c r="P409" s="317"/>
      <c r="Q409" s="317"/>
      <c r="R409" s="317"/>
      <c r="S409" s="317"/>
      <c r="T409" s="317"/>
      <c r="U409" s="317"/>
      <c r="V409" s="317"/>
      <c r="W409" s="317"/>
      <c r="X409" s="317"/>
      <c r="Y409" s="317"/>
      <c r="Z409" s="317"/>
    </row>
    <row r="410" spans="1:26" x14ac:dyDescent="0.25">
      <c r="A410" s="314"/>
      <c r="B410" s="18">
        <v>2023</v>
      </c>
      <c r="C410" s="18" t="s">
        <v>711</v>
      </c>
      <c r="D410" s="18" t="s">
        <v>840</v>
      </c>
      <c r="E410" s="18" t="s">
        <v>703</v>
      </c>
      <c r="F410" s="18" t="s">
        <v>704</v>
      </c>
      <c r="G410" s="18" t="s">
        <v>677</v>
      </c>
      <c r="H410" s="18" t="s">
        <v>841</v>
      </c>
      <c r="I410" s="315">
        <v>1635.6716604382036</v>
      </c>
      <c r="J410" s="315">
        <v>1.0768314105386732</v>
      </c>
      <c r="K410" s="316" t="str">
        <f t="shared" si="32"/>
        <v>Commercial Equipment</v>
      </c>
      <c r="L410" s="316" t="str">
        <f t="shared" si="33"/>
        <v>Gasoline</v>
      </c>
      <c r="M410" s="194"/>
      <c r="N410" s="317"/>
      <c r="O410" s="317"/>
      <c r="P410" s="317"/>
      <c r="Q410" s="317"/>
      <c r="R410" s="317"/>
      <c r="S410" s="317"/>
      <c r="T410" s="317"/>
      <c r="U410" s="317"/>
      <c r="V410" s="317"/>
      <c r="W410" s="317"/>
      <c r="X410" s="317"/>
      <c r="Y410" s="317"/>
      <c r="Z410" s="317"/>
    </row>
    <row r="411" spans="1:26" x14ac:dyDescent="0.25">
      <c r="A411" s="314"/>
      <c r="B411" s="18">
        <v>2023</v>
      </c>
      <c r="C411" s="18" t="s">
        <v>778</v>
      </c>
      <c r="D411" s="18" t="s">
        <v>755</v>
      </c>
      <c r="E411" s="18" t="s">
        <v>713</v>
      </c>
      <c r="F411" s="18" t="s">
        <v>714</v>
      </c>
      <c r="G411" s="18" t="s">
        <v>674</v>
      </c>
      <c r="H411" s="18" t="s">
        <v>756</v>
      </c>
      <c r="I411" s="315">
        <v>1635.1794674147627</v>
      </c>
      <c r="J411" s="315">
        <v>6.3496517934193988E-2</v>
      </c>
      <c r="K411" s="316" t="str">
        <f t="shared" si="32"/>
        <v>Construction and Mining Equipment</v>
      </c>
      <c r="L411" s="316" t="str">
        <f t="shared" si="33"/>
        <v>Diesel</v>
      </c>
      <c r="M411" s="194"/>
      <c r="N411" s="317"/>
      <c r="O411" s="317"/>
      <c r="P411" s="317"/>
      <c r="Q411" s="317"/>
      <c r="R411" s="317"/>
      <c r="S411" s="317"/>
      <c r="T411" s="317"/>
      <c r="U411" s="317"/>
      <c r="V411" s="317"/>
      <c r="W411" s="317"/>
      <c r="X411" s="317"/>
      <c r="Y411" s="317"/>
      <c r="Z411" s="317"/>
    </row>
    <row r="412" spans="1:26" x14ac:dyDescent="0.25">
      <c r="A412" s="314"/>
      <c r="B412" s="18">
        <v>2023</v>
      </c>
      <c r="C412" s="18" t="s">
        <v>709</v>
      </c>
      <c r="D412" s="18" t="s">
        <v>849</v>
      </c>
      <c r="E412" s="18" t="s">
        <v>713</v>
      </c>
      <c r="F412" s="18" t="s">
        <v>714</v>
      </c>
      <c r="G412" s="18" t="s">
        <v>674</v>
      </c>
      <c r="H412" s="18" t="s">
        <v>850</v>
      </c>
      <c r="I412" s="315">
        <v>1631.1303582994572</v>
      </c>
      <c r="J412" s="315">
        <v>2.2787820813588659E-2</v>
      </c>
      <c r="K412" s="316" t="str">
        <f t="shared" si="32"/>
        <v>Construction and Mining Equipment</v>
      </c>
      <c r="L412" s="316" t="str">
        <f t="shared" si="33"/>
        <v>Diesel</v>
      </c>
      <c r="M412" s="194"/>
      <c r="N412" s="317"/>
      <c r="O412" s="317"/>
      <c r="P412" s="317"/>
      <c r="Q412" s="317"/>
      <c r="R412" s="317"/>
      <c r="S412" s="317"/>
      <c r="T412" s="317"/>
      <c r="U412" s="317"/>
      <c r="V412" s="317"/>
      <c r="W412" s="317"/>
      <c r="X412" s="317"/>
      <c r="Y412" s="317"/>
      <c r="Z412" s="317"/>
    </row>
    <row r="413" spans="1:26" x14ac:dyDescent="0.25">
      <c r="A413" s="314"/>
      <c r="B413" s="18">
        <v>2023</v>
      </c>
      <c r="C413" s="18" t="s">
        <v>709</v>
      </c>
      <c r="D413" s="18" t="s">
        <v>846</v>
      </c>
      <c r="E413" s="18" t="s">
        <v>713</v>
      </c>
      <c r="F413" s="18" t="s">
        <v>714</v>
      </c>
      <c r="G413" s="18" t="s">
        <v>677</v>
      </c>
      <c r="H413" s="18" t="s">
        <v>836</v>
      </c>
      <c r="I413" s="315">
        <v>1631.0100079505305</v>
      </c>
      <c r="J413" s="315">
        <v>6.3069115200082515E-2</v>
      </c>
      <c r="K413" s="316" t="str">
        <f t="shared" si="32"/>
        <v>Commercial Equipment</v>
      </c>
      <c r="L413" s="316" t="str">
        <f t="shared" si="33"/>
        <v>Diesel</v>
      </c>
      <c r="M413" s="194"/>
      <c r="N413" s="317"/>
      <c r="O413" s="317"/>
      <c r="P413" s="317"/>
      <c r="Q413" s="317"/>
      <c r="R413" s="317"/>
      <c r="S413" s="317"/>
      <c r="T413" s="317"/>
      <c r="U413" s="317"/>
      <c r="V413" s="317"/>
      <c r="W413" s="317"/>
      <c r="X413" s="317"/>
      <c r="Y413" s="317"/>
      <c r="Z413" s="317"/>
    </row>
    <row r="414" spans="1:26" x14ac:dyDescent="0.25">
      <c r="A414" s="314"/>
      <c r="B414" s="18">
        <v>2023</v>
      </c>
      <c r="C414" s="18" t="s">
        <v>709</v>
      </c>
      <c r="D414" s="18" t="s">
        <v>801</v>
      </c>
      <c r="E414" s="18" t="s">
        <v>713</v>
      </c>
      <c r="F414" s="18" t="s">
        <v>714</v>
      </c>
      <c r="G414" s="18" t="s">
        <v>675</v>
      </c>
      <c r="H414" s="18" t="s">
        <v>802</v>
      </c>
      <c r="I414" s="315">
        <v>1629.6236199916682</v>
      </c>
      <c r="J414" s="315">
        <v>1.0855416084135988E-2</v>
      </c>
      <c r="K414" s="316" t="str">
        <f t="shared" si="32"/>
        <v>Industrial Equipment</v>
      </c>
      <c r="L414" s="316" t="str">
        <f t="shared" si="33"/>
        <v>Diesel</v>
      </c>
      <c r="M414" s="194"/>
      <c r="N414" s="317"/>
      <c r="O414" s="317"/>
      <c r="P414" s="317"/>
      <c r="Q414" s="317"/>
      <c r="R414" s="317"/>
      <c r="S414" s="317"/>
      <c r="T414" s="317"/>
      <c r="U414" s="317"/>
      <c r="V414" s="317"/>
      <c r="W414" s="317"/>
      <c r="X414" s="317"/>
      <c r="Y414" s="317"/>
      <c r="Z414" s="317"/>
    </row>
    <row r="415" spans="1:26" x14ac:dyDescent="0.25">
      <c r="A415" s="314"/>
      <c r="B415" s="18">
        <v>2023</v>
      </c>
      <c r="C415" s="18" t="s">
        <v>706</v>
      </c>
      <c r="D415" s="18" t="s">
        <v>807</v>
      </c>
      <c r="E415" s="18" t="s">
        <v>703</v>
      </c>
      <c r="F415" s="18" t="s">
        <v>805</v>
      </c>
      <c r="G415" s="18" t="s">
        <v>673</v>
      </c>
      <c r="H415" s="18" t="s">
        <v>749</v>
      </c>
      <c r="I415" s="315">
        <v>1625.6901455375014</v>
      </c>
      <c r="J415" s="315">
        <v>3.0411218404884934</v>
      </c>
      <c r="K415" s="316" t="str">
        <f t="shared" si="32"/>
        <v>Lawn and Garden Equipment</v>
      </c>
      <c r="L415" s="316" t="str">
        <f t="shared" si="33"/>
        <v>Gasoline</v>
      </c>
      <c r="M415" s="194"/>
      <c r="N415" s="317"/>
      <c r="O415" s="317"/>
      <c r="P415" s="317"/>
      <c r="Q415" s="317"/>
      <c r="R415" s="317"/>
      <c r="S415" s="317"/>
      <c r="T415" s="317"/>
      <c r="U415" s="317"/>
      <c r="V415" s="317"/>
      <c r="W415" s="317"/>
      <c r="X415" s="317"/>
      <c r="Y415" s="317"/>
      <c r="Z415" s="317"/>
    </row>
    <row r="416" spans="1:26" x14ac:dyDescent="0.25">
      <c r="A416" s="314"/>
      <c r="B416" s="18">
        <v>2023</v>
      </c>
      <c r="C416" s="18" t="s">
        <v>727</v>
      </c>
      <c r="D416" s="18" t="s">
        <v>718</v>
      </c>
      <c r="E416" s="18" t="s">
        <v>713</v>
      </c>
      <c r="F416" s="18" t="s">
        <v>714</v>
      </c>
      <c r="G416" s="18" t="s">
        <v>674</v>
      </c>
      <c r="H416" s="18" t="s">
        <v>719</v>
      </c>
      <c r="I416" s="315">
        <v>1623.7614623014931</v>
      </c>
      <c r="J416" s="315">
        <v>6.0692105743994709E-3</v>
      </c>
      <c r="K416" s="316" t="str">
        <f t="shared" si="32"/>
        <v>Construction and Mining Equipment</v>
      </c>
      <c r="L416" s="316" t="str">
        <f t="shared" si="33"/>
        <v>Diesel</v>
      </c>
      <c r="M416" s="194"/>
      <c r="N416" s="317"/>
      <c r="O416" s="317"/>
      <c r="P416" s="317"/>
      <c r="Q416" s="317"/>
      <c r="R416" s="317"/>
      <c r="S416" s="317"/>
      <c r="T416" s="317"/>
      <c r="U416" s="317"/>
      <c r="V416" s="317"/>
      <c r="W416" s="317"/>
      <c r="X416" s="317"/>
      <c r="Y416" s="317"/>
      <c r="Z416" s="317"/>
    </row>
    <row r="417" spans="1:26" x14ac:dyDescent="0.25">
      <c r="A417" s="314"/>
      <c r="B417" s="18">
        <v>2023</v>
      </c>
      <c r="C417" s="18" t="s">
        <v>727</v>
      </c>
      <c r="D417" s="18" t="s">
        <v>720</v>
      </c>
      <c r="E417" s="18" t="s">
        <v>713</v>
      </c>
      <c r="F417" s="18" t="s">
        <v>714</v>
      </c>
      <c r="G417" s="18" t="s">
        <v>674</v>
      </c>
      <c r="H417" s="18" t="s">
        <v>721</v>
      </c>
      <c r="I417" s="315">
        <v>1616.8902157679595</v>
      </c>
      <c r="J417" s="315">
        <v>7.2979330966041304E-3</v>
      </c>
      <c r="K417" s="316" t="str">
        <f t="shared" si="32"/>
        <v>Construction and Mining Equipment</v>
      </c>
      <c r="L417" s="316" t="str">
        <f t="shared" si="33"/>
        <v>Diesel</v>
      </c>
      <c r="M417" s="194"/>
      <c r="N417" s="317"/>
      <c r="O417" s="317"/>
      <c r="P417" s="317"/>
      <c r="Q417" s="317"/>
      <c r="R417" s="317"/>
      <c r="S417" s="317"/>
      <c r="T417" s="317"/>
      <c r="U417" s="317"/>
      <c r="V417" s="317"/>
      <c r="W417" s="317"/>
      <c r="X417" s="317"/>
      <c r="Y417" s="317"/>
      <c r="Z417" s="317"/>
    </row>
    <row r="418" spans="1:26" x14ac:dyDescent="0.25">
      <c r="A418" s="314"/>
      <c r="B418" s="18">
        <v>2023</v>
      </c>
      <c r="C418" s="18" t="s">
        <v>773</v>
      </c>
      <c r="D418" s="18" t="s">
        <v>712</v>
      </c>
      <c r="E418" s="18" t="s">
        <v>713</v>
      </c>
      <c r="F418" s="18" t="s">
        <v>714</v>
      </c>
      <c r="G418" s="18" t="s">
        <v>674</v>
      </c>
      <c r="H418" s="18" t="s">
        <v>715</v>
      </c>
      <c r="I418" s="315">
        <v>1609.951419597292</v>
      </c>
      <c r="J418" s="315">
        <v>9.5811032668812277E-3</v>
      </c>
      <c r="K418" s="316" t="str">
        <f t="shared" si="32"/>
        <v>Construction and Mining Equipment</v>
      </c>
      <c r="L418" s="316" t="str">
        <f t="shared" si="33"/>
        <v>Diesel</v>
      </c>
      <c r="M418" s="194"/>
      <c r="N418" s="317"/>
      <c r="O418" s="317"/>
      <c r="P418" s="317"/>
      <c r="Q418" s="317"/>
      <c r="R418" s="317"/>
      <c r="S418" s="317"/>
      <c r="T418" s="317"/>
      <c r="U418" s="317"/>
      <c r="V418" s="317"/>
      <c r="W418" s="317"/>
      <c r="X418" s="317"/>
      <c r="Y418" s="317"/>
      <c r="Z418" s="317"/>
    </row>
    <row r="419" spans="1:26" x14ac:dyDescent="0.25">
      <c r="A419" s="314"/>
      <c r="B419" s="18">
        <v>2023</v>
      </c>
      <c r="C419" s="18" t="s">
        <v>754</v>
      </c>
      <c r="D419" s="18" t="s">
        <v>744</v>
      </c>
      <c r="E419" s="18" t="s">
        <v>703</v>
      </c>
      <c r="F419" s="18" t="s">
        <v>704</v>
      </c>
      <c r="G419" s="18" t="s">
        <v>673</v>
      </c>
      <c r="H419" s="18" t="s">
        <v>745</v>
      </c>
      <c r="I419" s="315">
        <v>1604.6238134473028</v>
      </c>
      <c r="J419" s="315">
        <v>1.1859084058778342</v>
      </c>
      <c r="K419" s="316" t="str">
        <f t="shared" si="32"/>
        <v>Lawn and Garden Equipment</v>
      </c>
      <c r="L419" s="316" t="str">
        <f t="shared" si="33"/>
        <v>Gasoline</v>
      </c>
      <c r="M419" s="194"/>
      <c r="N419" s="317"/>
      <c r="O419" s="317"/>
      <c r="P419" s="317"/>
      <c r="Q419" s="317"/>
      <c r="R419" s="317"/>
      <c r="S419" s="317"/>
      <c r="T419" s="317"/>
      <c r="U419" s="317"/>
      <c r="V419" s="317"/>
      <c r="W419" s="317"/>
      <c r="X419" s="317"/>
      <c r="Y419" s="317"/>
      <c r="Z419" s="317"/>
    </row>
    <row r="420" spans="1:26" x14ac:dyDescent="0.25">
      <c r="A420" s="314"/>
      <c r="B420" s="18">
        <v>2023</v>
      </c>
      <c r="C420" s="18" t="s">
        <v>711</v>
      </c>
      <c r="D420" s="18" t="s">
        <v>846</v>
      </c>
      <c r="E420" s="18" t="s">
        <v>713</v>
      </c>
      <c r="F420" s="18" t="s">
        <v>714</v>
      </c>
      <c r="G420" s="18" t="s">
        <v>677</v>
      </c>
      <c r="H420" s="18" t="s">
        <v>836</v>
      </c>
      <c r="I420" s="315">
        <v>1597.0823098280955</v>
      </c>
      <c r="J420" s="315">
        <v>6.1757100683910764E-2</v>
      </c>
      <c r="K420" s="316" t="str">
        <f t="shared" si="32"/>
        <v>Commercial Equipment</v>
      </c>
      <c r="L420" s="316" t="str">
        <f t="shared" si="33"/>
        <v>Diesel</v>
      </c>
      <c r="M420" s="194"/>
      <c r="N420" s="317"/>
      <c r="O420" s="317"/>
      <c r="P420" s="317"/>
      <c r="Q420" s="317"/>
      <c r="R420" s="317"/>
      <c r="S420" s="317"/>
      <c r="T420" s="317"/>
      <c r="U420" s="317"/>
      <c r="V420" s="317"/>
      <c r="W420" s="317"/>
      <c r="X420" s="317"/>
      <c r="Y420" s="317"/>
      <c r="Z420" s="317"/>
    </row>
    <row r="421" spans="1:26" x14ac:dyDescent="0.25">
      <c r="A421" s="314"/>
      <c r="B421" s="18">
        <v>2023</v>
      </c>
      <c r="C421" s="18" t="s">
        <v>793</v>
      </c>
      <c r="D421" s="18" t="s">
        <v>718</v>
      </c>
      <c r="E421" s="18" t="s">
        <v>713</v>
      </c>
      <c r="F421" s="18" t="s">
        <v>714</v>
      </c>
      <c r="G421" s="18" t="s">
        <v>674</v>
      </c>
      <c r="H421" s="18" t="s">
        <v>719</v>
      </c>
      <c r="I421" s="315">
        <v>1585.3761274688109</v>
      </c>
      <c r="J421" s="315">
        <v>5.9257319619370179E-3</v>
      </c>
      <c r="K421" s="316" t="str">
        <f t="shared" si="32"/>
        <v>Construction and Mining Equipment</v>
      </c>
      <c r="L421" s="316" t="str">
        <f t="shared" si="33"/>
        <v>Diesel</v>
      </c>
      <c r="M421" s="194"/>
      <c r="N421" s="317"/>
      <c r="O421" s="317"/>
      <c r="P421" s="317"/>
      <c r="Q421" s="317"/>
      <c r="R421" s="317"/>
      <c r="S421" s="317"/>
      <c r="T421" s="317"/>
      <c r="U421" s="317"/>
      <c r="V421" s="317"/>
      <c r="W421" s="317"/>
      <c r="X421" s="317"/>
      <c r="Y421" s="317"/>
      <c r="Z421" s="317"/>
    </row>
    <row r="422" spans="1:26" x14ac:dyDescent="0.25">
      <c r="A422" s="314"/>
      <c r="B422" s="18">
        <v>2023</v>
      </c>
      <c r="C422" s="18" t="s">
        <v>732</v>
      </c>
      <c r="D422" s="18" t="s">
        <v>767</v>
      </c>
      <c r="E422" s="18" t="s">
        <v>703</v>
      </c>
      <c r="F422" s="18" t="s">
        <v>704</v>
      </c>
      <c r="G422" s="18" t="s">
        <v>673</v>
      </c>
      <c r="H422" s="18" t="s">
        <v>768</v>
      </c>
      <c r="I422" s="315">
        <v>1584.49577425652</v>
      </c>
      <c r="J422" s="315">
        <v>1.1046291524698004</v>
      </c>
      <c r="K422" s="316" t="str">
        <f t="shared" si="32"/>
        <v>Lawn and Garden Equipment</v>
      </c>
      <c r="L422" s="316" t="str">
        <f t="shared" si="33"/>
        <v>Gasoline</v>
      </c>
      <c r="M422" s="194"/>
      <c r="N422" s="317"/>
      <c r="O422" s="317"/>
      <c r="P422" s="317"/>
      <c r="Q422" s="317"/>
      <c r="R422" s="317"/>
      <c r="S422" s="317"/>
      <c r="T422" s="317"/>
      <c r="U422" s="317"/>
      <c r="V422" s="317"/>
      <c r="W422" s="317"/>
      <c r="X422" s="317"/>
      <c r="Y422" s="317"/>
      <c r="Z422" s="317"/>
    </row>
    <row r="423" spans="1:26" x14ac:dyDescent="0.25">
      <c r="A423" s="314"/>
      <c r="B423" s="18">
        <v>2023</v>
      </c>
      <c r="C423" s="18" t="s">
        <v>711</v>
      </c>
      <c r="D423" s="18" t="s">
        <v>799</v>
      </c>
      <c r="E423" s="18" t="s">
        <v>703</v>
      </c>
      <c r="F423" s="18" t="s">
        <v>795</v>
      </c>
      <c r="G423" s="18" t="s">
        <v>673</v>
      </c>
      <c r="H423" s="18" t="s">
        <v>800</v>
      </c>
      <c r="I423" s="315">
        <v>1582.0917578485723</v>
      </c>
      <c r="J423" s="315">
        <v>2.9722035266970543</v>
      </c>
      <c r="K423" s="316" t="str">
        <f t="shared" si="32"/>
        <v>Lawn and Garden Equipment</v>
      </c>
      <c r="L423" s="316" t="str">
        <f t="shared" si="33"/>
        <v>Gasoline</v>
      </c>
      <c r="M423" s="194"/>
      <c r="N423" s="317"/>
      <c r="O423" s="317"/>
      <c r="P423" s="317"/>
      <c r="Q423" s="317"/>
      <c r="R423" s="317"/>
      <c r="S423" s="317"/>
      <c r="T423" s="317"/>
      <c r="U423" s="317"/>
      <c r="V423" s="317"/>
      <c r="W423" s="317"/>
      <c r="X423" s="317"/>
      <c r="Y423" s="317"/>
      <c r="Z423" s="317"/>
    </row>
    <row r="424" spans="1:26" x14ac:dyDescent="0.25">
      <c r="A424" s="314"/>
      <c r="B424" s="18">
        <v>2023</v>
      </c>
      <c r="C424" s="18" t="s">
        <v>793</v>
      </c>
      <c r="D424" s="18" t="s">
        <v>720</v>
      </c>
      <c r="E424" s="18" t="s">
        <v>713</v>
      </c>
      <c r="F424" s="18" t="s">
        <v>714</v>
      </c>
      <c r="G424" s="18" t="s">
        <v>674</v>
      </c>
      <c r="H424" s="18" t="s">
        <v>721</v>
      </c>
      <c r="I424" s="315">
        <v>1578.6666561432678</v>
      </c>
      <c r="J424" s="315">
        <v>7.1254144308622357E-3</v>
      </c>
      <c r="K424" s="316" t="str">
        <f t="shared" si="32"/>
        <v>Construction and Mining Equipment</v>
      </c>
      <c r="L424" s="316" t="str">
        <f t="shared" si="33"/>
        <v>Diesel</v>
      </c>
      <c r="M424" s="194"/>
      <c r="N424" s="317"/>
      <c r="O424" s="317"/>
      <c r="P424" s="317"/>
      <c r="Q424" s="317"/>
      <c r="R424" s="317"/>
      <c r="S424" s="317"/>
      <c r="T424" s="317"/>
      <c r="U424" s="317"/>
      <c r="V424" s="317"/>
      <c r="W424" s="317"/>
      <c r="X424" s="317"/>
      <c r="Y424" s="317"/>
      <c r="Z424" s="317"/>
    </row>
    <row r="425" spans="1:26" x14ac:dyDescent="0.25">
      <c r="A425" s="314"/>
      <c r="B425" s="18">
        <v>2023</v>
      </c>
      <c r="C425" s="18" t="s">
        <v>710</v>
      </c>
      <c r="D425" s="18" t="s">
        <v>840</v>
      </c>
      <c r="E425" s="18" t="s">
        <v>703</v>
      </c>
      <c r="F425" s="18" t="s">
        <v>704</v>
      </c>
      <c r="G425" s="18" t="s">
        <v>677</v>
      </c>
      <c r="H425" s="18" t="s">
        <v>841</v>
      </c>
      <c r="I425" s="315">
        <v>1578.5843575807944</v>
      </c>
      <c r="J425" s="315">
        <v>1.0398327331821218</v>
      </c>
      <c r="K425" s="316" t="str">
        <f t="shared" si="32"/>
        <v>Commercial Equipment</v>
      </c>
      <c r="L425" s="316" t="str">
        <f t="shared" si="33"/>
        <v>Gasoline</v>
      </c>
      <c r="M425" s="194"/>
      <c r="N425" s="317"/>
      <c r="O425" s="317"/>
      <c r="P425" s="317"/>
      <c r="Q425" s="317"/>
      <c r="R425" s="317"/>
      <c r="S425" s="317"/>
      <c r="T425" s="317"/>
      <c r="U425" s="317"/>
      <c r="V425" s="317"/>
      <c r="W425" s="317"/>
      <c r="X425" s="317"/>
      <c r="Y425" s="317"/>
      <c r="Z425" s="317"/>
    </row>
    <row r="426" spans="1:26" x14ac:dyDescent="0.25">
      <c r="A426" s="314"/>
      <c r="B426" s="18">
        <v>2023</v>
      </c>
      <c r="C426" s="18" t="s">
        <v>786</v>
      </c>
      <c r="D426" s="18" t="s">
        <v>702</v>
      </c>
      <c r="E426" s="18" t="s">
        <v>703</v>
      </c>
      <c r="F426" s="18" t="s">
        <v>704</v>
      </c>
      <c r="G426" s="18" t="s">
        <v>673</v>
      </c>
      <c r="H426" s="18" t="s">
        <v>705</v>
      </c>
      <c r="I426" s="315">
        <v>1556.2924438080827</v>
      </c>
      <c r="J426" s="315">
        <v>0.9803452926900299</v>
      </c>
      <c r="K426" s="316" t="str">
        <f t="shared" si="32"/>
        <v>Lawn and Garden Equipment</v>
      </c>
      <c r="L426" s="316" t="str">
        <f t="shared" si="33"/>
        <v>Gasoline</v>
      </c>
      <c r="M426" s="194"/>
      <c r="N426" s="317"/>
      <c r="O426" s="317"/>
      <c r="P426" s="317"/>
      <c r="Q426" s="317"/>
      <c r="R426" s="317"/>
      <c r="S426" s="317"/>
      <c r="T426" s="317"/>
      <c r="U426" s="317"/>
      <c r="V426" s="317"/>
      <c r="W426" s="317"/>
      <c r="X426" s="317"/>
      <c r="Y426" s="317"/>
      <c r="Z426" s="317"/>
    </row>
    <row r="427" spans="1:26" x14ac:dyDescent="0.25">
      <c r="A427" s="314"/>
      <c r="B427" s="18">
        <v>2023</v>
      </c>
      <c r="C427" s="18" t="s">
        <v>710</v>
      </c>
      <c r="D427" s="18" t="s">
        <v>846</v>
      </c>
      <c r="E427" s="18" t="s">
        <v>713</v>
      </c>
      <c r="F427" s="18" t="s">
        <v>714</v>
      </c>
      <c r="G427" s="18" t="s">
        <v>677</v>
      </c>
      <c r="H427" s="18" t="s">
        <v>836</v>
      </c>
      <c r="I427" s="315">
        <v>1541.3421416237672</v>
      </c>
      <c r="J427" s="315">
        <v>5.9601630607157452E-2</v>
      </c>
      <c r="K427" s="316" t="str">
        <f t="shared" si="32"/>
        <v>Commercial Equipment</v>
      </c>
      <c r="L427" s="316" t="str">
        <f t="shared" si="33"/>
        <v>Diesel</v>
      </c>
      <c r="M427" s="194"/>
      <c r="N427" s="317"/>
      <c r="O427" s="317"/>
      <c r="P427" s="317"/>
      <c r="Q427" s="317"/>
      <c r="R427" s="317"/>
      <c r="S427" s="317"/>
      <c r="T427" s="317"/>
      <c r="U427" s="317"/>
      <c r="V427" s="317"/>
      <c r="W427" s="317"/>
      <c r="X427" s="317"/>
      <c r="Y427" s="317"/>
      <c r="Z427" s="317"/>
    </row>
    <row r="428" spans="1:26" x14ac:dyDescent="0.25">
      <c r="A428" s="314"/>
      <c r="B428" s="18">
        <v>2023</v>
      </c>
      <c r="C428" s="18" t="s">
        <v>760</v>
      </c>
      <c r="D428" s="18" t="s">
        <v>765</v>
      </c>
      <c r="E428" s="18" t="s">
        <v>703</v>
      </c>
      <c r="F428" s="18" t="s">
        <v>676</v>
      </c>
      <c r="G428" s="18" t="s">
        <v>729</v>
      </c>
      <c r="H428" s="18" t="s">
        <v>766</v>
      </c>
      <c r="I428" s="315">
        <v>1537.7126625829264</v>
      </c>
      <c r="J428" s="315">
        <v>1.6913456428512368</v>
      </c>
      <c r="K428" s="316" t="str">
        <f t="shared" si="32"/>
        <v>Pleasure Craft</v>
      </c>
      <c r="L428" s="316" t="str">
        <f t="shared" si="33"/>
        <v>Gasoline</v>
      </c>
      <c r="M428" s="194"/>
      <c r="N428" s="317"/>
      <c r="O428" s="317"/>
      <c r="P428" s="317"/>
      <c r="Q428" s="317"/>
      <c r="R428" s="317"/>
      <c r="S428" s="317"/>
      <c r="T428" s="317"/>
      <c r="U428" s="317"/>
      <c r="V428" s="317"/>
      <c r="W428" s="317"/>
      <c r="X428" s="317"/>
      <c r="Y428" s="317"/>
      <c r="Z428" s="317"/>
    </row>
    <row r="429" spans="1:26" x14ac:dyDescent="0.25">
      <c r="A429" s="314"/>
      <c r="B429" s="18">
        <v>2023</v>
      </c>
      <c r="C429" s="18" t="s">
        <v>710</v>
      </c>
      <c r="D429" s="18" t="s">
        <v>728</v>
      </c>
      <c r="E429" s="18" t="s">
        <v>703</v>
      </c>
      <c r="F429" s="18" t="s">
        <v>676</v>
      </c>
      <c r="G429" s="18" t="s">
        <v>729</v>
      </c>
      <c r="H429" s="18" t="s">
        <v>730</v>
      </c>
      <c r="I429" s="315">
        <v>1525.3986183674122</v>
      </c>
      <c r="J429" s="315">
        <v>1.7272073554391647</v>
      </c>
      <c r="K429" s="316" t="str">
        <f t="shared" si="32"/>
        <v>Pleasure Craft</v>
      </c>
      <c r="L429" s="316" t="str">
        <f t="shared" si="33"/>
        <v>Gasoline</v>
      </c>
      <c r="M429" s="194"/>
      <c r="N429" s="317"/>
      <c r="O429" s="317"/>
      <c r="P429" s="317"/>
      <c r="Q429" s="317"/>
      <c r="R429" s="317"/>
      <c r="S429" s="317"/>
      <c r="T429" s="317"/>
      <c r="U429" s="317"/>
      <c r="V429" s="317"/>
      <c r="W429" s="317"/>
      <c r="X429" s="317"/>
      <c r="Y429" s="317"/>
      <c r="Z429" s="317"/>
    </row>
    <row r="430" spans="1:26" x14ac:dyDescent="0.25">
      <c r="A430" s="314"/>
      <c r="B430" s="18">
        <v>2023</v>
      </c>
      <c r="C430" s="18" t="s">
        <v>754</v>
      </c>
      <c r="D430" s="18" t="s">
        <v>748</v>
      </c>
      <c r="E430" s="18" t="s">
        <v>703</v>
      </c>
      <c r="F430" s="18" t="s">
        <v>704</v>
      </c>
      <c r="G430" s="18" t="s">
        <v>673</v>
      </c>
      <c r="H430" s="18" t="s">
        <v>749</v>
      </c>
      <c r="I430" s="315">
        <v>1521.5449005458358</v>
      </c>
      <c r="J430" s="315">
        <v>0.86627736756184059</v>
      </c>
      <c r="K430" s="316" t="str">
        <f t="shared" si="32"/>
        <v>Lawn and Garden Equipment</v>
      </c>
      <c r="L430" s="316" t="str">
        <f t="shared" si="33"/>
        <v>Gasoline</v>
      </c>
      <c r="M430" s="194"/>
      <c r="N430" s="317"/>
      <c r="O430" s="317"/>
      <c r="P430" s="317"/>
      <c r="Q430" s="317"/>
      <c r="R430" s="317"/>
      <c r="S430" s="317"/>
      <c r="T430" s="317"/>
      <c r="U430" s="317"/>
      <c r="V430" s="317"/>
      <c r="W430" s="317"/>
      <c r="X430" s="317"/>
      <c r="Y430" s="317"/>
      <c r="Z430" s="317"/>
    </row>
    <row r="431" spans="1:26" x14ac:dyDescent="0.25">
      <c r="A431" s="314"/>
      <c r="B431" s="18">
        <v>2023</v>
      </c>
      <c r="C431" s="18" t="s">
        <v>778</v>
      </c>
      <c r="D431" s="18" t="s">
        <v>707</v>
      </c>
      <c r="E431" s="18" t="s">
        <v>56</v>
      </c>
      <c r="F431" s="18" t="s">
        <v>672</v>
      </c>
      <c r="G431" s="18" t="s">
        <v>675</v>
      </c>
      <c r="H431" s="18" t="s">
        <v>708</v>
      </c>
      <c r="I431" s="315">
        <v>1517.5958647628927</v>
      </c>
      <c r="J431" s="315">
        <v>6.8189269578538089E-2</v>
      </c>
      <c r="K431" s="316" t="str">
        <f t="shared" si="32"/>
        <v>Industrial Equipment</v>
      </c>
      <c r="L431" s="316" t="str">
        <f t="shared" si="33"/>
        <v>LPG</v>
      </c>
      <c r="M431" s="194"/>
      <c r="N431" s="317"/>
      <c r="O431" s="317"/>
      <c r="P431" s="317"/>
      <c r="Q431" s="317"/>
      <c r="R431" s="317"/>
      <c r="S431" s="317"/>
      <c r="T431" s="317"/>
      <c r="U431" s="317"/>
      <c r="V431" s="317"/>
      <c r="W431" s="317"/>
      <c r="X431" s="317"/>
      <c r="Y431" s="317"/>
      <c r="Z431" s="317"/>
    </row>
    <row r="432" spans="1:26" x14ac:dyDescent="0.25">
      <c r="A432" s="314"/>
      <c r="B432" s="18">
        <v>2023</v>
      </c>
      <c r="C432" s="18" t="s">
        <v>701</v>
      </c>
      <c r="D432" s="18" t="s">
        <v>866</v>
      </c>
      <c r="E432" s="18" t="s">
        <v>713</v>
      </c>
      <c r="F432" s="18" t="s">
        <v>714</v>
      </c>
      <c r="G432" s="18" t="s">
        <v>677</v>
      </c>
      <c r="H432" s="18" t="s">
        <v>841</v>
      </c>
      <c r="I432" s="315">
        <v>1513.4955312409686</v>
      </c>
      <c r="J432" s="315">
        <v>3.7740610875460545E-2</v>
      </c>
      <c r="K432" s="316" t="str">
        <f t="shared" si="32"/>
        <v>Commercial Equipment</v>
      </c>
      <c r="L432" s="316" t="str">
        <f t="shared" si="33"/>
        <v>Diesel</v>
      </c>
      <c r="M432" s="194"/>
      <c r="N432" s="317"/>
      <c r="O432" s="317"/>
      <c r="P432" s="317"/>
      <c r="Q432" s="317"/>
      <c r="R432" s="317"/>
      <c r="S432" s="317"/>
      <c r="T432" s="317"/>
      <c r="U432" s="317"/>
      <c r="V432" s="317"/>
      <c r="W432" s="317"/>
      <c r="X432" s="317"/>
      <c r="Y432" s="317"/>
      <c r="Z432" s="317"/>
    </row>
    <row r="433" spans="1:26" x14ac:dyDescent="0.25">
      <c r="A433" s="314"/>
      <c r="B433" s="18">
        <v>2023</v>
      </c>
      <c r="C433" s="18" t="s">
        <v>701</v>
      </c>
      <c r="D433" s="18" t="s">
        <v>868</v>
      </c>
      <c r="E433" s="18" t="s">
        <v>703</v>
      </c>
      <c r="F433" s="18" t="s">
        <v>704</v>
      </c>
      <c r="G433" s="18" t="s">
        <v>673</v>
      </c>
      <c r="H433" s="18" t="s">
        <v>758</v>
      </c>
      <c r="I433" s="315">
        <v>1509.0447961018392</v>
      </c>
      <c r="J433" s="315">
        <v>0.98899274199061016</v>
      </c>
      <c r="K433" s="316" t="str">
        <f t="shared" si="32"/>
        <v>Lawn and Garden Equipment</v>
      </c>
      <c r="L433" s="316" t="str">
        <f t="shared" si="33"/>
        <v>Gasoline</v>
      </c>
      <c r="M433" s="194"/>
      <c r="N433" s="317"/>
      <c r="O433" s="317"/>
      <c r="P433" s="317"/>
      <c r="Q433" s="317"/>
      <c r="R433" s="317"/>
      <c r="S433" s="317"/>
      <c r="T433" s="317"/>
      <c r="U433" s="317"/>
      <c r="V433" s="317"/>
      <c r="W433" s="317"/>
      <c r="X433" s="317"/>
      <c r="Y433" s="317"/>
      <c r="Z433" s="317"/>
    </row>
    <row r="434" spans="1:26" x14ac:dyDescent="0.25">
      <c r="A434" s="314"/>
      <c r="B434" s="18">
        <v>2023</v>
      </c>
      <c r="C434" s="18" t="s">
        <v>787</v>
      </c>
      <c r="D434" s="18" t="s">
        <v>733</v>
      </c>
      <c r="E434" s="18" t="s">
        <v>703</v>
      </c>
      <c r="F434" s="18" t="s">
        <v>704</v>
      </c>
      <c r="G434" s="18" t="s">
        <v>673</v>
      </c>
      <c r="H434" s="18" t="s">
        <v>734</v>
      </c>
      <c r="I434" s="315">
        <v>1505.3029408320954</v>
      </c>
      <c r="J434" s="315">
        <v>0.95483834359371789</v>
      </c>
      <c r="K434" s="316" t="str">
        <f t="shared" si="32"/>
        <v>Lawn and Garden Equipment</v>
      </c>
      <c r="L434" s="316" t="str">
        <f t="shared" si="33"/>
        <v>Gasoline</v>
      </c>
      <c r="M434" s="194"/>
      <c r="N434" s="317"/>
      <c r="O434" s="317"/>
      <c r="P434" s="317"/>
      <c r="Q434" s="317"/>
      <c r="R434" s="317"/>
      <c r="S434" s="317"/>
      <c r="T434" s="317"/>
      <c r="U434" s="317"/>
      <c r="V434" s="317"/>
      <c r="W434" s="317"/>
      <c r="X434" s="317"/>
      <c r="Y434" s="317"/>
      <c r="Z434" s="317"/>
    </row>
    <row r="435" spans="1:26" x14ac:dyDescent="0.25">
      <c r="A435" s="314"/>
      <c r="B435" s="18">
        <v>2023</v>
      </c>
      <c r="C435" s="18" t="s">
        <v>743</v>
      </c>
      <c r="D435" s="18" t="s">
        <v>746</v>
      </c>
      <c r="E435" s="18" t="s">
        <v>703</v>
      </c>
      <c r="F435" s="18" t="s">
        <v>704</v>
      </c>
      <c r="G435" s="18" t="s">
        <v>677</v>
      </c>
      <c r="H435" s="18" t="s">
        <v>747</v>
      </c>
      <c r="I435" s="315">
        <v>1502.7486353000161</v>
      </c>
      <c r="J435" s="315">
        <v>0.99353850890057194</v>
      </c>
      <c r="K435" s="316" t="str">
        <f t="shared" si="32"/>
        <v>Commercial Equipment</v>
      </c>
      <c r="L435" s="316" t="str">
        <f t="shared" si="33"/>
        <v>Gasoline</v>
      </c>
      <c r="M435" s="194"/>
      <c r="N435" s="317"/>
      <c r="O435" s="317"/>
      <c r="P435" s="317"/>
      <c r="Q435" s="317"/>
      <c r="R435" s="317"/>
      <c r="S435" s="317"/>
      <c r="T435" s="317"/>
      <c r="U435" s="317"/>
      <c r="V435" s="317"/>
      <c r="W435" s="317"/>
      <c r="X435" s="317"/>
      <c r="Y435" s="317"/>
      <c r="Z435" s="317"/>
    </row>
    <row r="436" spans="1:26" x14ac:dyDescent="0.25">
      <c r="A436" s="314"/>
      <c r="B436" s="18">
        <v>2023</v>
      </c>
      <c r="C436" s="18" t="s">
        <v>750</v>
      </c>
      <c r="D436" s="18" t="s">
        <v>733</v>
      </c>
      <c r="E436" s="18" t="s">
        <v>703</v>
      </c>
      <c r="F436" s="18" t="s">
        <v>704</v>
      </c>
      <c r="G436" s="18" t="s">
        <v>673</v>
      </c>
      <c r="H436" s="18" t="s">
        <v>734</v>
      </c>
      <c r="I436" s="315">
        <v>1495.5795718080533</v>
      </c>
      <c r="J436" s="315">
        <v>0.94541704702756313</v>
      </c>
      <c r="K436" s="316" t="str">
        <f t="shared" si="32"/>
        <v>Lawn and Garden Equipment</v>
      </c>
      <c r="L436" s="316" t="str">
        <f t="shared" si="33"/>
        <v>Gasoline</v>
      </c>
      <c r="M436" s="194"/>
      <c r="N436" s="317"/>
      <c r="O436" s="317"/>
      <c r="P436" s="317"/>
      <c r="Q436" s="317"/>
      <c r="R436" s="317"/>
      <c r="S436" s="317"/>
      <c r="T436" s="317"/>
      <c r="U436" s="317"/>
      <c r="V436" s="317"/>
      <c r="W436" s="317"/>
      <c r="X436" s="317"/>
      <c r="Y436" s="317"/>
      <c r="Z436" s="317"/>
    </row>
    <row r="437" spans="1:26" x14ac:dyDescent="0.25">
      <c r="A437" s="314"/>
      <c r="B437" s="18">
        <v>2023</v>
      </c>
      <c r="C437" s="18" t="s">
        <v>701</v>
      </c>
      <c r="D437" s="18" t="s">
        <v>839</v>
      </c>
      <c r="E437" s="18" t="s">
        <v>703</v>
      </c>
      <c r="F437" s="18" t="s">
        <v>704</v>
      </c>
      <c r="G437" s="18" t="s">
        <v>675</v>
      </c>
      <c r="H437" s="18" t="s">
        <v>708</v>
      </c>
      <c r="I437" s="315">
        <v>1493.5579493984878</v>
      </c>
      <c r="J437" s="315">
        <v>0.10291606249178378</v>
      </c>
      <c r="K437" s="316" t="str">
        <f t="shared" si="32"/>
        <v>Industrial Equipment</v>
      </c>
      <c r="L437" s="316" t="str">
        <f t="shared" si="33"/>
        <v>Gasoline</v>
      </c>
      <c r="M437" s="194"/>
      <c r="N437" s="317"/>
      <c r="O437" s="317"/>
      <c r="P437" s="317"/>
      <c r="Q437" s="317"/>
      <c r="R437" s="317"/>
      <c r="S437" s="317"/>
      <c r="T437" s="317"/>
      <c r="U437" s="317"/>
      <c r="V437" s="317"/>
      <c r="W437" s="317"/>
      <c r="X437" s="317"/>
      <c r="Y437" s="317"/>
      <c r="Z437" s="317"/>
    </row>
    <row r="438" spans="1:26" x14ac:dyDescent="0.25">
      <c r="A438" s="314"/>
      <c r="B438" s="18">
        <v>2023</v>
      </c>
      <c r="C438" s="18" t="s">
        <v>709</v>
      </c>
      <c r="D438" s="18" t="s">
        <v>855</v>
      </c>
      <c r="E438" s="18" t="s">
        <v>713</v>
      </c>
      <c r="F438" s="18" t="s">
        <v>714</v>
      </c>
      <c r="G438" s="18" t="s">
        <v>674</v>
      </c>
      <c r="H438" s="18" t="s">
        <v>856</v>
      </c>
      <c r="I438" s="315">
        <v>1489.3549796704028</v>
      </c>
      <c r="J438" s="315">
        <v>9.4110622575736269E-3</v>
      </c>
      <c r="K438" s="316" t="str">
        <f t="shared" si="32"/>
        <v>Construction and Mining Equipment</v>
      </c>
      <c r="L438" s="316" t="str">
        <f t="shared" si="33"/>
        <v>Diesel</v>
      </c>
      <c r="M438" s="194"/>
      <c r="N438" s="317"/>
      <c r="O438" s="317"/>
      <c r="P438" s="317"/>
      <c r="Q438" s="317"/>
      <c r="R438" s="317"/>
      <c r="S438" s="317"/>
      <c r="T438" s="317"/>
      <c r="U438" s="317"/>
      <c r="V438" s="317"/>
      <c r="W438" s="317"/>
      <c r="X438" s="317"/>
      <c r="Y438" s="317"/>
      <c r="Z438" s="317"/>
    </row>
    <row r="439" spans="1:26" x14ac:dyDescent="0.25">
      <c r="A439" s="314"/>
      <c r="B439" s="18">
        <v>2023</v>
      </c>
      <c r="C439" s="18" t="s">
        <v>722</v>
      </c>
      <c r="D439" s="18" t="s">
        <v>774</v>
      </c>
      <c r="E439" s="18" t="s">
        <v>703</v>
      </c>
      <c r="F439" s="18" t="s">
        <v>704</v>
      </c>
      <c r="G439" s="18" t="s">
        <v>673</v>
      </c>
      <c r="H439" s="18" t="s">
        <v>775</v>
      </c>
      <c r="I439" s="315">
        <v>1489.1919070419992</v>
      </c>
      <c r="J439" s="315">
        <v>1.0203770024600622</v>
      </c>
      <c r="K439" s="316" t="str">
        <f t="shared" si="32"/>
        <v>Lawn and Garden Equipment</v>
      </c>
      <c r="L439" s="316" t="str">
        <f t="shared" si="33"/>
        <v>Gasoline</v>
      </c>
      <c r="M439" s="194"/>
      <c r="N439" s="317"/>
      <c r="O439" s="317"/>
      <c r="P439" s="317"/>
      <c r="Q439" s="317"/>
      <c r="R439" s="317"/>
      <c r="S439" s="317"/>
      <c r="T439" s="317"/>
      <c r="U439" s="317"/>
      <c r="V439" s="317"/>
      <c r="W439" s="317"/>
      <c r="X439" s="317"/>
      <c r="Y439" s="317"/>
      <c r="Z439" s="317"/>
    </row>
    <row r="440" spans="1:26" x14ac:dyDescent="0.25">
      <c r="A440" s="314"/>
      <c r="B440" s="18">
        <v>2023</v>
      </c>
      <c r="C440" s="18" t="s">
        <v>773</v>
      </c>
      <c r="D440" s="18" t="s">
        <v>733</v>
      </c>
      <c r="E440" s="18" t="s">
        <v>703</v>
      </c>
      <c r="F440" s="18" t="s">
        <v>704</v>
      </c>
      <c r="G440" s="18" t="s">
        <v>673</v>
      </c>
      <c r="H440" s="18" t="s">
        <v>734</v>
      </c>
      <c r="I440" s="315">
        <v>1486.0651040051662</v>
      </c>
      <c r="J440" s="315">
        <v>0.93832182062216074</v>
      </c>
      <c r="K440" s="316" t="str">
        <f t="shared" si="32"/>
        <v>Lawn and Garden Equipment</v>
      </c>
      <c r="L440" s="316" t="str">
        <f t="shared" si="33"/>
        <v>Gasoline</v>
      </c>
      <c r="M440" s="194"/>
      <c r="N440" s="317"/>
      <c r="O440" s="317"/>
      <c r="P440" s="317"/>
      <c r="Q440" s="317"/>
      <c r="R440" s="317"/>
      <c r="S440" s="317"/>
      <c r="T440" s="317"/>
      <c r="U440" s="317"/>
      <c r="V440" s="317"/>
      <c r="W440" s="317"/>
      <c r="X440" s="317"/>
      <c r="Y440" s="317"/>
      <c r="Z440" s="317"/>
    </row>
    <row r="441" spans="1:26" x14ac:dyDescent="0.25">
      <c r="A441" s="314"/>
      <c r="B441" s="18">
        <v>2023</v>
      </c>
      <c r="C441" s="18" t="s">
        <v>722</v>
      </c>
      <c r="D441" s="18" t="s">
        <v>840</v>
      </c>
      <c r="E441" s="18" t="s">
        <v>703</v>
      </c>
      <c r="F441" s="18" t="s">
        <v>704</v>
      </c>
      <c r="G441" s="18" t="s">
        <v>677</v>
      </c>
      <c r="H441" s="18" t="s">
        <v>841</v>
      </c>
      <c r="I441" s="315">
        <v>1484.2656193709786</v>
      </c>
      <c r="J441" s="315">
        <v>0.97877497336051134</v>
      </c>
      <c r="K441" s="316" t="str">
        <f t="shared" si="32"/>
        <v>Commercial Equipment</v>
      </c>
      <c r="L441" s="316" t="str">
        <f t="shared" si="33"/>
        <v>Gasoline</v>
      </c>
      <c r="M441" s="194"/>
      <c r="N441" s="317"/>
      <c r="O441" s="317"/>
      <c r="P441" s="317"/>
      <c r="Q441" s="317"/>
      <c r="R441" s="317"/>
      <c r="S441" s="317"/>
      <c r="T441" s="317"/>
      <c r="U441" s="317"/>
      <c r="V441" s="317"/>
      <c r="W441" s="317"/>
      <c r="X441" s="317"/>
      <c r="Y441" s="317"/>
      <c r="Z441" s="317"/>
    </row>
    <row r="442" spans="1:26" x14ac:dyDescent="0.25">
      <c r="A442" s="314"/>
      <c r="B442" s="18">
        <v>2023</v>
      </c>
      <c r="C442" s="18" t="s">
        <v>709</v>
      </c>
      <c r="D442" s="18" t="s">
        <v>830</v>
      </c>
      <c r="E442" s="18" t="s">
        <v>703</v>
      </c>
      <c r="F442" s="18" t="s">
        <v>704</v>
      </c>
      <c r="G442" s="18" t="s">
        <v>673</v>
      </c>
      <c r="H442" s="18" t="s">
        <v>742</v>
      </c>
      <c r="I442" s="315">
        <v>1481.7227999227589</v>
      </c>
      <c r="J442" s="315">
        <v>0.64507465432934818</v>
      </c>
      <c r="K442" s="316" t="str">
        <f t="shared" si="32"/>
        <v>Lawn and Garden Equipment</v>
      </c>
      <c r="L442" s="316" t="str">
        <f t="shared" si="33"/>
        <v>Gasoline</v>
      </c>
      <c r="M442" s="194"/>
      <c r="N442" s="317"/>
      <c r="O442" s="317"/>
      <c r="P442" s="317"/>
      <c r="Q442" s="317"/>
      <c r="R442" s="317"/>
      <c r="S442" s="317"/>
      <c r="T442" s="317"/>
      <c r="U442" s="317"/>
      <c r="V442" s="317"/>
      <c r="W442" s="317"/>
      <c r="X442" s="317"/>
      <c r="Y442" s="317"/>
      <c r="Z442" s="317"/>
    </row>
    <row r="443" spans="1:26" x14ac:dyDescent="0.25">
      <c r="A443" s="314"/>
      <c r="B443" s="18">
        <v>2023</v>
      </c>
      <c r="C443" s="18" t="s">
        <v>773</v>
      </c>
      <c r="D443" s="18" t="s">
        <v>718</v>
      </c>
      <c r="E443" s="18" t="s">
        <v>713</v>
      </c>
      <c r="F443" s="18" t="s">
        <v>714</v>
      </c>
      <c r="G443" s="18" t="s">
        <v>674</v>
      </c>
      <c r="H443" s="18" t="s">
        <v>719</v>
      </c>
      <c r="I443" s="315">
        <v>1478.7186786232755</v>
      </c>
      <c r="J443" s="315">
        <v>5.5270781684896922E-3</v>
      </c>
      <c r="K443" s="316" t="str">
        <f t="shared" si="32"/>
        <v>Construction and Mining Equipment</v>
      </c>
      <c r="L443" s="316" t="str">
        <f t="shared" si="33"/>
        <v>Diesel</v>
      </c>
      <c r="M443" s="194"/>
      <c r="N443" s="317"/>
      <c r="O443" s="317"/>
      <c r="P443" s="317"/>
      <c r="Q443" s="317"/>
      <c r="R443" s="317"/>
      <c r="S443" s="317"/>
      <c r="T443" s="317"/>
      <c r="U443" s="317"/>
      <c r="V443" s="317"/>
      <c r="W443" s="317"/>
      <c r="X443" s="317"/>
      <c r="Y443" s="317"/>
      <c r="Z443" s="317"/>
    </row>
    <row r="444" spans="1:26" x14ac:dyDescent="0.25">
      <c r="A444" s="314"/>
      <c r="B444" s="18">
        <v>2023</v>
      </c>
      <c r="C444" s="18" t="s">
        <v>701</v>
      </c>
      <c r="D444" s="18" t="s">
        <v>728</v>
      </c>
      <c r="E444" s="18" t="s">
        <v>703</v>
      </c>
      <c r="F444" s="18" t="s">
        <v>676</v>
      </c>
      <c r="G444" s="18" t="s">
        <v>729</v>
      </c>
      <c r="H444" s="18" t="s">
        <v>730</v>
      </c>
      <c r="I444" s="315">
        <v>1476.1927002872644</v>
      </c>
      <c r="J444" s="315">
        <v>1.6714911569498878</v>
      </c>
      <c r="K444" s="316" t="str">
        <f t="shared" si="32"/>
        <v>Pleasure Craft</v>
      </c>
      <c r="L444" s="316" t="str">
        <f t="shared" si="33"/>
        <v>Gasoline</v>
      </c>
      <c r="M444" s="194"/>
      <c r="N444" s="317"/>
      <c r="O444" s="317"/>
      <c r="P444" s="317"/>
      <c r="Q444" s="317"/>
      <c r="R444" s="317"/>
      <c r="S444" s="317"/>
      <c r="T444" s="317"/>
      <c r="U444" s="317"/>
      <c r="V444" s="317"/>
      <c r="W444" s="317"/>
      <c r="X444" s="317"/>
      <c r="Y444" s="317"/>
      <c r="Z444" s="317"/>
    </row>
    <row r="445" spans="1:26" x14ac:dyDescent="0.25">
      <c r="A445" s="314"/>
      <c r="B445" s="18">
        <v>2023</v>
      </c>
      <c r="C445" s="18" t="s">
        <v>773</v>
      </c>
      <c r="D445" s="18" t="s">
        <v>720</v>
      </c>
      <c r="E445" s="18" t="s">
        <v>713</v>
      </c>
      <c r="F445" s="18" t="s">
        <v>714</v>
      </c>
      <c r="G445" s="18" t="s">
        <v>674</v>
      </c>
      <c r="H445" s="18" t="s">
        <v>721</v>
      </c>
      <c r="I445" s="315">
        <v>1472.4599313696567</v>
      </c>
      <c r="J445" s="315">
        <v>6.646037021885075E-3</v>
      </c>
      <c r="K445" s="316" t="str">
        <f t="shared" si="32"/>
        <v>Construction and Mining Equipment</v>
      </c>
      <c r="L445" s="316" t="str">
        <f t="shared" si="33"/>
        <v>Diesel</v>
      </c>
      <c r="M445" s="194"/>
      <c r="N445" s="317"/>
      <c r="O445" s="317"/>
      <c r="P445" s="317"/>
      <c r="Q445" s="317"/>
      <c r="R445" s="317"/>
      <c r="S445" s="317"/>
      <c r="T445" s="317"/>
      <c r="U445" s="317"/>
      <c r="V445" s="317"/>
      <c r="W445" s="317"/>
      <c r="X445" s="317"/>
      <c r="Y445" s="317"/>
      <c r="Z445" s="317"/>
    </row>
    <row r="446" spans="1:26" x14ac:dyDescent="0.25">
      <c r="A446" s="314"/>
      <c r="B446" s="18">
        <v>2023</v>
      </c>
      <c r="C446" s="18" t="s">
        <v>706</v>
      </c>
      <c r="D446" s="18" t="s">
        <v>830</v>
      </c>
      <c r="E446" s="18" t="s">
        <v>703</v>
      </c>
      <c r="F446" s="18" t="s">
        <v>704</v>
      </c>
      <c r="G446" s="18" t="s">
        <v>673</v>
      </c>
      <c r="H446" s="18" t="s">
        <v>742</v>
      </c>
      <c r="I446" s="315">
        <v>1466.4473467664372</v>
      </c>
      <c r="J446" s="315">
        <v>0.63912579693731952</v>
      </c>
      <c r="K446" s="316" t="str">
        <f t="shared" si="32"/>
        <v>Lawn and Garden Equipment</v>
      </c>
      <c r="L446" s="316" t="str">
        <f t="shared" si="33"/>
        <v>Gasoline</v>
      </c>
      <c r="M446" s="194"/>
      <c r="N446" s="317"/>
      <c r="O446" s="317"/>
      <c r="P446" s="317"/>
      <c r="Q446" s="317"/>
      <c r="R446" s="317"/>
      <c r="S446" s="317"/>
      <c r="T446" s="317"/>
      <c r="U446" s="317"/>
      <c r="V446" s="317"/>
      <c r="W446" s="317"/>
      <c r="X446" s="317"/>
      <c r="Y446" s="317"/>
      <c r="Z446" s="317"/>
    </row>
    <row r="447" spans="1:26" x14ac:dyDescent="0.25">
      <c r="A447" s="314"/>
      <c r="B447" s="18">
        <v>2023</v>
      </c>
      <c r="C447" s="18" t="s">
        <v>722</v>
      </c>
      <c r="D447" s="18" t="s">
        <v>846</v>
      </c>
      <c r="E447" s="18" t="s">
        <v>713</v>
      </c>
      <c r="F447" s="18" t="s">
        <v>714</v>
      </c>
      <c r="G447" s="18" t="s">
        <v>677</v>
      </c>
      <c r="H447" s="18" t="s">
        <v>836</v>
      </c>
      <c r="I447" s="315">
        <v>1449.2490471124991</v>
      </c>
      <c r="J447" s="315">
        <v>5.6040673703677928E-2</v>
      </c>
      <c r="K447" s="316" t="str">
        <f t="shared" si="32"/>
        <v>Commercial Equipment</v>
      </c>
      <c r="L447" s="316" t="str">
        <f t="shared" si="33"/>
        <v>Diesel</v>
      </c>
      <c r="M447" s="194"/>
      <c r="N447" s="317"/>
      <c r="O447" s="317"/>
      <c r="P447" s="317"/>
      <c r="Q447" s="317"/>
      <c r="R447" s="317"/>
      <c r="S447" s="317"/>
      <c r="T447" s="317"/>
      <c r="U447" s="317"/>
      <c r="V447" s="317"/>
      <c r="W447" s="317"/>
      <c r="X447" s="317"/>
      <c r="Y447" s="317"/>
      <c r="Z447" s="317"/>
    </row>
    <row r="448" spans="1:26" x14ac:dyDescent="0.25">
      <c r="A448" s="314"/>
      <c r="B448" s="18">
        <v>2023</v>
      </c>
      <c r="C448" s="18" t="s">
        <v>711</v>
      </c>
      <c r="D448" s="18" t="s">
        <v>803</v>
      </c>
      <c r="E448" s="18" t="s">
        <v>703</v>
      </c>
      <c r="F448" s="18" t="s">
        <v>805</v>
      </c>
      <c r="G448" s="18" t="s">
        <v>673</v>
      </c>
      <c r="H448" s="18" t="s">
        <v>806</v>
      </c>
      <c r="I448" s="315">
        <v>1448.4260736131873</v>
      </c>
      <c r="J448" s="315">
        <v>2.8667600573780843</v>
      </c>
      <c r="K448" s="316" t="str">
        <f t="shared" si="32"/>
        <v>Lawn and Garden Equipment</v>
      </c>
      <c r="L448" s="316" t="str">
        <f t="shared" si="33"/>
        <v>Gasoline</v>
      </c>
      <c r="M448" s="194"/>
      <c r="N448" s="317"/>
      <c r="O448" s="317"/>
      <c r="P448" s="317"/>
      <c r="Q448" s="317"/>
      <c r="R448" s="317"/>
      <c r="S448" s="317"/>
      <c r="T448" s="317"/>
      <c r="U448" s="317"/>
      <c r="V448" s="317"/>
      <c r="W448" s="317"/>
      <c r="X448" s="317"/>
      <c r="Y448" s="317"/>
      <c r="Z448" s="317"/>
    </row>
    <row r="449" spans="1:26" x14ac:dyDescent="0.25">
      <c r="A449" s="314"/>
      <c r="B449" s="18">
        <v>2023</v>
      </c>
      <c r="C449" s="18" t="s">
        <v>711</v>
      </c>
      <c r="D449" s="18" t="s">
        <v>839</v>
      </c>
      <c r="E449" s="18" t="s">
        <v>703</v>
      </c>
      <c r="F449" s="18" t="s">
        <v>704</v>
      </c>
      <c r="G449" s="18" t="s">
        <v>675</v>
      </c>
      <c r="H449" s="18" t="s">
        <v>708</v>
      </c>
      <c r="I449" s="315">
        <v>1442.4212316446153</v>
      </c>
      <c r="J449" s="315">
        <v>9.9195868304427379E-2</v>
      </c>
      <c r="K449" s="316" t="str">
        <f t="shared" si="32"/>
        <v>Industrial Equipment</v>
      </c>
      <c r="L449" s="316" t="str">
        <f t="shared" si="33"/>
        <v>Gasoline</v>
      </c>
      <c r="M449" s="194"/>
      <c r="N449" s="317"/>
      <c r="O449" s="317"/>
      <c r="P449" s="317"/>
      <c r="Q449" s="317"/>
      <c r="R449" s="317"/>
      <c r="S449" s="317"/>
      <c r="T449" s="317"/>
      <c r="U449" s="317"/>
      <c r="V449" s="317"/>
      <c r="W449" s="317"/>
      <c r="X449" s="317"/>
      <c r="Y449" s="317"/>
      <c r="Z449" s="317"/>
    </row>
    <row r="450" spans="1:26" x14ac:dyDescent="0.25">
      <c r="A450" s="314"/>
      <c r="B450" s="18">
        <v>2023</v>
      </c>
      <c r="C450" s="18" t="s">
        <v>750</v>
      </c>
      <c r="D450" s="18" t="s">
        <v>702</v>
      </c>
      <c r="E450" s="18" t="s">
        <v>703</v>
      </c>
      <c r="F450" s="18" t="s">
        <v>704</v>
      </c>
      <c r="G450" s="18" t="s">
        <v>673</v>
      </c>
      <c r="H450" s="18" t="s">
        <v>705</v>
      </c>
      <c r="I450" s="315">
        <v>1438.0927582622253</v>
      </c>
      <c r="J450" s="315">
        <v>0.90409732325909509</v>
      </c>
      <c r="K450" s="316" t="str">
        <f t="shared" si="32"/>
        <v>Lawn and Garden Equipment</v>
      </c>
      <c r="L450" s="316" t="str">
        <f t="shared" si="33"/>
        <v>Gasoline</v>
      </c>
      <c r="M450" s="194"/>
      <c r="N450" s="317"/>
      <c r="O450" s="317"/>
      <c r="P450" s="317"/>
      <c r="Q450" s="317"/>
      <c r="R450" s="317"/>
      <c r="S450" s="317"/>
      <c r="T450" s="317"/>
      <c r="U450" s="317"/>
      <c r="V450" s="317"/>
      <c r="W450" s="317"/>
      <c r="X450" s="317"/>
      <c r="Y450" s="317"/>
      <c r="Z450" s="317"/>
    </row>
    <row r="451" spans="1:26" x14ac:dyDescent="0.25">
      <c r="A451" s="314"/>
      <c r="B451" s="18">
        <v>2023</v>
      </c>
      <c r="C451" s="18" t="s">
        <v>787</v>
      </c>
      <c r="D451" s="18" t="s">
        <v>735</v>
      </c>
      <c r="E451" s="18" t="s">
        <v>713</v>
      </c>
      <c r="F451" s="18" t="s">
        <v>714</v>
      </c>
      <c r="G451" s="18" t="s">
        <v>674</v>
      </c>
      <c r="H451" s="18" t="s">
        <v>736</v>
      </c>
      <c r="I451" s="315">
        <v>1437.4205522901548</v>
      </c>
      <c r="J451" s="315">
        <v>4.2994151213193971E-2</v>
      </c>
      <c r="K451" s="316" t="str">
        <f t="shared" si="32"/>
        <v>Construction and Mining Equipment</v>
      </c>
      <c r="L451" s="316" t="str">
        <f t="shared" si="33"/>
        <v>Diesel</v>
      </c>
      <c r="M451" s="194"/>
      <c r="N451" s="317"/>
      <c r="O451" s="317"/>
      <c r="P451" s="317"/>
      <c r="Q451" s="317"/>
      <c r="R451" s="317"/>
      <c r="S451" s="317"/>
      <c r="T451" s="317"/>
      <c r="U451" s="317"/>
      <c r="V451" s="317"/>
      <c r="W451" s="317"/>
      <c r="X451" s="317"/>
      <c r="Y451" s="317"/>
      <c r="Z451" s="317"/>
    </row>
    <row r="452" spans="1:26" x14ac:dyDescent="0.25">
      <c r="A452" s="314"/>
      <c r="B452" s="18">
        <v>2023</v>
      </c>
      <c r="C452" s="18" t="s">
        <v>709</v>
      </c>
      <c r="D452" s="18" t="s">
        <v>858</v>
      </c>
      <c r="E452" s="18" t="s">
        <v>713</v>
      </c>
      <c r="F452" s="18" t="s">
        <v>714</v>
      </c>
      <c r="G452" s="18" t="s">
        <v>674</v>
      </c>
      <c r="H452" s="18" t="s">
        <v>859</v>
      </c>
      <c r="I452" s="315">
        <v>1432.7452311422257</v>
      </c>
      <c r="J452" s="315">
        <v>1.2717635158835356E-2</v>
      </c>
      <c r="K452" s="316" t="str">
        <f t="shared" si="32"/>
        <v>Construction and Mining Equipment</v>
      </c>
      <c r="L452" s="316" t="str">
        <f t="shared" si="33"/>
        <v>Diesel</v>
      </c>
      <c r="M452" s="194"/>
      <c r="N452" s="317"/>
      <c r="O452" s="317"/>
      <c r="P452" s="317"/>
      <c r="Q452" s="317"/>
      <c r="R452" s="317"/>
      <c r="S452" s="317"/>
      <c r="T452" s="317"/>
      <c r="U452" s="317"/>
      <c r="V452" s="317"/>
      <c r="W452" s="317"/>
      <c r="X452" s="317"/>
      <c r="Y452" s="317"/>
      <c r="Z452" s="317"/>
    </row>
    <row r="453" spans="1:26" x14ac:dyDescent="0.25">
      <c r="A453" s="314"/>
      <c r="B453" s="18">
        <v>2023</v>
      </c>
      <c r="C453" s="18" t="s">
        <v>727</v>
      </c>
      <c r="D453" s="18" t="s">
        <v>707</v>
      </c>
      <c r="E453" s="18" t="s">
        <v>56</v>
      </c>
      <c r="F453" s="18" t="s">
        <v>672</v>
      </c>
      <c r="G453" s="18" t="s">
        <v>675</v>
      </c>
      <c r="H453" s="18" t="s">
        <v>708</v>
      </c>
      <c r="I453" s="315">
        <v>1429.1991617936606</v>
      </c>
      <c r="J453" s="315">
        <v>6.4217456796654415E-2</v>
      </c>
      <c r="K453" s="316" t="str">
        <f t="shared" si="32"/>
        <v>Industrial Equipment</v>
      </c>
      <c r="L453" s="316" t="str">
        <f t="shared" si="33"/>
        <v>LPG</v>
      </c>
      <c r="M453" s="194"/>
      <c r="N453" s="317"/>
      <c r="O453" s="317"/>
      <c r="P453" s="317"/>
      <c r="Q453" s="317"/>
      <c r="R453" s="317"/>
      <c r="S453" s="317"/>
      <c r="T453" s="317"/>
      <c r="U453" s="317"/>
      <c r="V453" s="317"/>
      <c r="W453" s="317"/>
      <c r="X453" s="317"/>
      <c r="Y453" s="317"/>
      <c r="Z453" s="317"/>
    </row>
    <row r="454" spans="1:26" x14ac:dyDescent="0.25">
      <c r="A454" s="314"/>
      <c r="B454" s="18">
        <v>2023</v>
      </c>
      <c r="C454" s="18" t="s">
        <v>773</v>
      </c>
      <c r="D454" s="18" t="s">
        <v>752</v>
      </c>
      <c r="E454" s="18" t="s">
        <v>713</v>
      </c>
      <c r="F454" s="18" t="s">
        <v>714</v>
      </c>
      <c r="G454" s="18" t="s">
        <v>675</v>
      </c>
      <c r="H454" s="18" t="s">
        <v>708</v>
      </c>
      <c r="I454" s="315">
        <v>1428.3001497578102</v>
      </c>
      <c r="J454" s="315">
        <v>7.2845763120182984E-3</v>
      </c>
      <c r="K454" s="316" t="str">
        <f t="shared" si="32"/>
        <v>Industrial Equipment</v>
      </c>
      <c r="L454" s="316" t="str">
        <f t="shared" si="33"/>
        <v>Diesel</v>
      </c>
      <c r="M454" s="194"/>
      <c r="N454" s="317"/>
      <c r="O454" s="317"/>
      <c r="P454" s="317"/>
      <c r="Q454" s="317"/>
      <c r="R454" s="317"/>
      <c r="S454" s="317"/>
      <c r="T454" s="317"/>
      <c r="U454" s="317"/>
      <c r="V454" s="317"/>
      <c r="W454" s="317"/>
      <c r="X454" s="317"/>
      <c r="Y454" s="317"/>
      <c r="Z454" s="317"/>
    </row>
    <row r="455" spans="1:26" x14ac:dyDescent="0.25">
      <c r="A455" s="314"/>
      <c r="B455" s="18">
        <v>2023</v>
      </c>
      <c r="C455" s="18" t="s">
        <v>701</v>
      </c>
      <c r="D455" s="18" t="s">
        <v>849</v>
      </c>
      <c r="E455" s="18" t="s">
        <v>713</v>
      </c>
      <c r="F455" s="18" t="s">
        <v>714</v>
      </c>
      <c r="G455" s="18" t="s">
        <v>674</v>
      </c>
      <c r="H455" s="18" t="s">
        <v>850</v>
      </c>
      <c r="I455" s="315">
        <v>1428.2709936236363</v>
      </c>
      <c r="J455" s="315">
        <v>1.9953760929956391E-2</v>
      </c>
      <c r="K455" s="316" t="str">
        <f t="shared" si="32"/>
        <v>Construction and Mining Equipment</v>
      </c>
      <c r="L455" s="316" t="str">
        <f t="shared" si="33"/>
        <v>Diesel</v>
      </c>
      <c r="M455" s="194"/>
      <c r="N455" s="317"/>
      <c r="O455" s="317"/>
      <c r="P455" s="317"/>
      <c r="Q455" s="317"/>
      <c r="R455" s="317"/>
      <c r="S455" s="317"/>
      <c r="T455" s="317"/>
      <c r="U455" s="317"/>
      <c r="V455" s="317"/>
      <c r="W455" s="317"/>
      <c r="X455" s="317"/>
      <c r="Y455" s="317"/>
      <c r="Z455" s="317"/>
    </row>
    <row r="456" spans="1:26" x14ac:dyDescent="0.25">
      <c r="A456" s="314"/>
      <c r="B456" s="18">
        <v>2023</v>
      </c>
      <c r="C456" s="18" t="s">
        <v>760</v>
      </c>
      <c r="D456" s="18" t="s">
        <v>776</v>
      </c>
      <c r="E456" s="18" t="s">
        <v>713</v>
      </c>
      <c r="F456" s="18" t="s">
        <v>714</v>
      </c>
      <c r="G456" s="18" t="s">
        <v>674</v>
      </c>
      <c r="H456" s="18" t="s">
        <v>777</v>
      </c>
      <c r="I456" s="315">
        <v>1402.182746151572</v>
      </c>
      <c r="J456" s="315">
        <v>5.5769350100252461E-3</v>
      </c>
      <c r="K456" s="316" t="str">
        <f t="shared" si="32"/>
        <v>Construction and Mining Equipment</v>
      </c>
      <c r="L456" s="316" t="str">
        <f t="shared" si="33"/>
        <v>Diesel</v>
      </c>
      <c r="M456" s="194"/>
      <c r="N456" s="317"/>
      <c r="O456" s="317"/>
      <c r="P456" s="317"/>
      <c r="Q456" s="317"/>
      <c r="R456" s="317"/>
      <c r="S456" s="317"/>
      <c r="T456" s="317"/>
      <c r="U456" s="317"/>
      <c r="V456" s="317"/>
      <c r="W456" s="317"/>
      <c r="X456" s="317"/>
      <c r="Y456" s="317"/>
      <c r="Z456" s="317"/>
    </row>
    <row r="457" spans="1:26" x14ac:dyDescent="0.25">
      <c r="A457" s="314"/>
      <c r="B457" s="18">
        <v>2023</v>
      </c>
      <c r="C457" s="18" t="s">
        <v>709</v>
      </c>
      <c r="D457" s="18" t="s">
        <v>860</v>
      </c>
      <c r="E457" s="18" t="s">
        <v>713</v>
      </c>
      <c r="F457" s="18" t="s">
        <v>714</v>
      </c>
      <c r="G457" s="18" t="s">
        <v>674</v>
      </c>
      <c r="H457" s="18" t="s">
        <v>861</v>
      </c>
      <c r="I457" s="315">
        <v>1401.6103710033751</v>
      </c>
      <c r="J457" s="315">
        <v>2.3229145183574142E-2</v>
      </c>
      <c r="K457" s="316" t="str">
        <f t="shared" si="32"/>
        <v>Construction and Mining Equipment</v>
      </c>
      <c r="L457" s="316" t="str">
        <f t="shared" si="33"/>
        <v>Diesel</v>
      </c>
      <c r="M457" s="194"/>
      <c r="N457" s="317"/>
      <c r="O457" s="317"/>
      <c r="P457" s="317"/>
      <c r="Q457" s="317"/>
      <c r="R457" s="317"/>
      <c r="S457" s="317"/>
      <c r="T457" s="317"/>
      <c r="U457" s="317"/>
      <c r="V457" s="317"/>
      <c r="W457" s="317"/>
      <c r="X457" s="317"/>
      <c r="Y457" s="317"/>
      <c r="Z457" s="317"/>
    </row>
    <row r="458" spans="1:26" x14ac:dyDescent="0.25">
      <c r="A458" s="314"/>
      <c r="B458" s="18">
        <v>2023</v>
      </c>
      <c r="C458" s="18" t="s">
        <v>760</v>
      </c>
      <c r="D458" s="18" t="s">
        <v>851</v>
      </c>
      <c r="E458" s="18" t="s">
        <v>703</v>
      </c>
      <c r="F458" s="18" t="s">
        <v>704</v>
      </c>
      <c r="G458" s="18" t="s">
        <v>679</v>
      </c>
      <c r="H458" s="18" t="s">
        <v>852</v>
      </c>
      <c r="I458" s="315">
        <v>1394.3385445394506</v>
      </c>
      <c r="J458" s="315">
        <v>1.3820806866998796</v>
      </c>
      <c r="K458" s="316" t="str">
        <f t="shared" si="32"/>
        <v>Recreational Equipment</v>
      </c>
      <c r="L458" s="316" t="str">
        <f t="shared" si="33"/>
        <v>Gasoline</v>
      </c>
      <c r="M458" s="194"/>
      <c r="N458" s="317"/>
      <c r="O458" s="317"/>
      <c r="P458" s="317"/>
      <c r="Q458" s="317"/>
      <c r="R458" s="317"/>
      <c r="S458" s="317"/>
      <c r="T458" s="317"/>
      <c r="U458" s="317"/>
      <c r="V458" s="317"/>
      <c r="W458" s="317"/>
      <c r="X458" s="317"/>
      <c r="Y458" s="317"/>
      <c r="Z458" s="317"/>
    </row>
    <row r="459" spans="1:26" x14ac:dyDescent="0.25">
      <c r="A459" s="314"/>
      <c r="B459" s="18">
        <v>2023</v>
      </c>
      <c r="C459" s="18" t="s">
        <v>727</v>
      </c>
      <c r="D459" s="18" t="s">
        <v>725</v>
      </c>
      <c r="E459" s="18" t="s">
        <v>713</v>
      </c>
      <c r="F459" s="18" t="s">
        <v>714</v>
      </c>
      <c r="G459" s="18" t="s">
        <v>674</v>
      </c>
      <c r="H459" s="18" t="s">
        <v>726</v>
      </c>
      <c r="I459" s="315">
        <v>1389.692125994095</v>
      </c>
      <c r="J459" s="315">
        <v>7.7751221099924784E-3</v>
      </c>
      <c r="K459" s="316" t="str">
        <f t="shared" si="32"/>
        <v>Construction and Mining Equipment</v>
      </c>
      <c r="L459" s="316" t="str">
        <f t="shared" si="33"/>
        <v>Diesel</v>
      </c>
      <c r="M459" s="194"/>
      <c r="N459" s="317"/>
      <c r="O459" s="317"/>
      <c r="P459" s="317"/>
      <c r="Q459" s="317"/>
      <c r="R459" s="317"/>
      <c r="S459" s="317"/>
      <c r="T459" s="317"/>
      <c r="U459" s="317"/>
      <c r="V459" s="317"/>
      <c r="W459" s="317"/>
      <c r="X459" s="317"/>
      <c r="Y459" s="317"/>
      <c r="Z459" s="317"/>
    </row>
    <row r="460" spans="1:26" x14ac:dyDescent="0.25">
      <c r="A460" s="314"/>
      <c r="B460" s="18">
        <v>2023</v>
      </c>
      <c r="C460" s="18" t="s">
        <v>732</v>
      </c>
      <c r="D460" s="18" t="s">
        <v>769</v>
      </c>
      <c r="E460" s="18" t="s">
        <v>713</v>
      </c>
      <c r="F460" s="18" t="s">
        <v>714</v>
      </c>
      <c r="G460" s="18" t="s">
        <v>674</v>
      </c>
      <c r="H460" s="18" t="s">
        <v>770</v>
      </c>
      <c r="I460" s="315">
        <v>1388.6032298118243</v>
      </c>
      <c r="J460" s="315">
        <v>1.1134290401670986E-2</v>
      </c>
      <c r="K460" s="316" t="str">
        <f t="shared" si="32"/>
        <v>Construction and Mining Equipment</v>
      </c>
      <c r="L460" s="316" t="str">
        <f t="shared" si="33"/>
        <v>Diesel</v>
      </c>
      <c r="M460" s="194"/>
      <c r="N460" s="317"/>
      <c r="O460" s="317"/>
      <c r="P460" s="317"/>
      <c r="Q460" s="317"/>
      <c r="R460" s="317"/>
      <c r="S460" s="317"/>
      <c r="T460" s="317"/>
      <c r="U460" s="317"/>
      <c r="V460" s="317"/>
      <c r="W460" s="317"/>
      <c r="X460" s="317"/>
      <c r="Y460" s="317"/>
      <c r="Z460" s="317"/>
    </row>
    <row r="461" spans="1:26" x14ac:dyDescent="0.25">
      <c r="A461" s="314"/>
      <c r="B461" s="18">
        <v>2023</v>
      </c>
      <c r="C461" s="18" t="s">
        <v>743</v>
      </c>
      <c r="D461" s="18" t="s">
        <v>723</v>
      </c>
      <c r="E461" s="18" t="s">
        <v>703</v>
      </c>
      <c r="F461" s="18" t="s">
        <v>704</v>
      </c>
      <c r="G461" s="18" t="s">
        <v>673</v>
      </c>
      <c r="H461" s="18" t="s">
        <v>724</v>
      </c>
      <c r="I461" s="315">
        <v>1379.2431528334571</v>
      </c>
      <c r="J461" s="315">
        <v>0.90934389915104163</v>
      </c>
      <c r="K461" s="316" t="str">
        <f t="shared" si="32"/>
        <v>Lawn and Garden Equipment</v>
      </c>
      <c r="L461" s="316" t="str">
        <f t="shared" si="33"/>
        <v>Gasoline</v>
      </c>
      <c r="M461" s="194"/>
      <c r="N461" s="317"/>
      <c r="O461" s="317"/>
      <c r="P461" s="317"/>
      <c r="Q461" s="317"/>
      <c r="R461" s="317"/>
      <c r="S461" s="317"/>
      <c r="T461" s="317"/>
      <c r="U461" s="317"/>
      <c r="V461" s="317"/>
      <c r="W461" s="317"/>
      <c r="X461" s="317"/>
      <c r="Y461" s="317"/>
      <c r="Z461" s="317"/>
    </row>
    <row r="462" spans="1:26" x14ac:dyDescent="0.25">
      <c r="A462" s="314"/>
      <c r="B462" s="18">
        <v>2023</v>
      </c>
      <c r="C462" s="18" t="s">
        <v>709</v>
      </c>
      <c r="D462" s="18" t="s">
        <v>862</v>
      </c>
      <c r="E462" s="18" t="s">
        <v>713</v>
      </c>
      <c r="F462" s="18" t="s">
        <v>714</v>
      </c>
      <c r="G462" s="18" t="s">
        <v>674</v>
      </c>
      <c r="H462" s="18" t="s">
        <v>863</v>
      </c>
      <c r="I462" s="315">
        <v>1373.7295448774853</v>
      </c>
      <c r="J462" s="315">
        <v>9.9104288661350914E-3</v>
      </c>
      <c r="K462" s="316" t="str">
        <f t="shared" si="32"/>
        <v>Construction and Mining Equipment</v>
      </c>
      <c r="L462" s="316" t="str">
        <f t="shared" si="33"/>
        <v>Diesel</v>
      </c>
      <c r="M462" s="194"/>
      <c r="N462" s="317"/>
      <c r="O462" s="317"/>
      <c r="P462" s="317"/>
      <c r="Q462" s="317"/>
      <c r="R462" s="317"/>
      <c r="S462" s="317"/>
      <c r="T462" s="317"/>
      <c r="U462" s="317"/>
      <c r="V462" s="317"/>
      <c r="W462" s="317"/>
      <c r="X462" s="317"/>
      <c r="Y462" s="317"/>
      <c r="Z462" s="317"/>
    </row>
    <row r="463" spans="1:26" x14ac:dyDescent="0.25">
      <c r="A463" s="314"/>
      <c r="B463" s="18">
        <v>2023</v>
      </c>
      <c r="C463" s="18" t="s">
        <v>792</v>
      </c>
      <c r="D463" s="18" t="s">
        <v>733</v>
      </c>
      <c r="E463" s="18" t="s">
        <v>703</v>
      </c>
      <c r="F463" s="18" t="s">
        <v>704</v>
      </c>
      <c r="G463" s="18" t="s">
        <v>673</v>
      </c>
      <c r="H463" s="18" t="s">
        <v>734</v>
      </c>
      <c r="I463" s="315">
        <v>1362.8806333316413</v>
      </c>
      <c r="J463" s="315">
        <v>0.86775927871865699</v>
      </c>
      <c r="K463" s="316" t="str">
        <f t="shared" si="32"/>
        <v>Lawn and Garden Equipment</v>
      </c>
      <c r="L463" s="316" t="str">
        <f t="shared" si="33"/>
        <v>Gasoline</v>
      </c>
      <c r="M463" s="194"/>
      <c r="N463" s="317"/>
      <c r="O463" s="317"/>
      <c r="P463" s="317"/>
      <c r="Q463" s="317"/>
      <c r="R463" s="317"/>
      <c r="S463" s="317"/>
      <c r="T463" s="317"/>
      <c r="U463" s="317"/>
      <c r="V463" s="317"/>
      <c r="W463" s="317"/>
      <c r="X463" s="317"/>
      <c r="Y463" s="317"/>
      <c r="Z463" s="317"/>
    </row>
    <row r="464" spans="1:26" x14ac:dyDescent="0.25">
      <c r="A464" s="314"/>
      <c r="B464" s="18">
        <v>2023</v>
      </c>
      <c r="C464" s="18" t="s">
        <v>793</v>
      </c>
      <c r="D464" s="18" t="s">
        <v>725</v>
      </c>
      <c r="E464" s="18" t="s">
        <v>713</v>
      </c>
      <c r="F464" s="18" t="s">
        <v>714</v>
      </c>
      <c r="G464" s="18" t="s">
        <v>674</v>
      </c>
      <c r="H464" s="18" t="s">
        <v>726</v>
      </c>
      <c r="I464" s="315">
        <v>1356.8403718960267</v>
      </c>
      <c r="J464" s="315">
        <v>7.591313413478038E-3</v>
      </c>
      <c r="K464" s="316" t="str">
        <f t="shared" si="32"/>
        <v>Construction and Mining Equipment</v>
      </c>
      <c r="L464" s="316" t="str">
        <f t="shared" si="33"/>
        <v>Diesel</v>
      </c>
      <c r="M464" s="194"/>
      <c r="N464" s="317"/>
      <c r="O464" s="317"/>
      <c r="P464" s="317"/>
      <c r="Q464" s="317"/>
      <c r="R464" s="317"/>
      <c r="S464" s="317"/>
      <c r="T464" s="317"/>
      <c r="U464" s="317"/>
      <c r="V464" s="317"/>
      <c r="W464" s="317"/>
      <c r="X464" s="317"/>
      <c r="Y464" s="317"/>
      <c r="Z464" s="317"/>
    </row>
    <row r="465" spans="1:26" x14ac:dyDescent="0.25">
      <c r="A465" s="314"/>
      <c r="B465" s="18">
        <v>2023</v>
      </c>
      <c r="C465" s="18" t="s">
        <v>711</v>
      </c>
      <c r="D465" s="18" t="s">
        <v>807</v>
      </c>
      <c r="E465" s="18" t="s">
        <v>703</v>
      </c>
      <c r="F465" s="18" t="s">
        <v>805</v>
      </c>
      <c r="G465" s="18" t="s">
        <v>673</v>
      </c>
      <c r="H465" s="18" t="s">
        <v>749</v>
      </c>
      <c r="I465" s="315">
        <v>1352.4838259514815</v>
      </c>
      <c r="J465" s="315">
        <v>2.5300489578674723</v>
      </c>
      <c r="K465" s="316" t="str">
        <f t="shared" si="32"/>
        <v>Lawn and Garden Equipment</v>
      </c>
      <c r="L465" s="316" t="str">
        <f t="shared" si="33"/>
        <v>Gasoline</v>
      </c>
      <c r="M465" s="194"/>
      <c r="N465" s="317"/>
      <c r="O465" s="317"/>
      <c r="P465" s="317"/>
      <c r="Q465" s="317"/>
      <c r="R465" s="317"/>
      <c r="S465" s="317"/>
      <c r="T465" s="317"/>
      <c r="U465" s="317"/>
      <c r="V465" s="317"/>
      <c r="W465" s="317"/>
      <c r="X465" s="317"/>
      <c r="Y465" s="317"/>
      <c r="Z465" s="317"/>
    </row>
    <row r="466" spans="1:26" x14ac:dyDescent="0.25">
      <c r="A466" s="314"/>
      <c r="B466" s="18">
        <v>2023</v>
      </c>
      <c r="C466" s="18" t="s">
        <v>722</v>
      </c>
      <c r="D466" s="18" t="s">
        <v>794</v>
      </c>
      <c r="E466" s="18" t="s">
        <v>703</v>
      </c>
      <c r="F466" s="18" t="s">
        <v>795</v>
      </c>
      <c r="G466" s="18" t="s">
        <v>673</v>
      </c>
      <c r="H466" s="18" t="s">
        <v>796</v>
      </c>
      <c r="I466" s="315">
        <v>1345.8909262516916</v>
      </c>
      <c r="J466" s="315">
        <v>2.4586817632887819</v>
      </c>
      <c r="K466" s="316" t="str">
        <f t="shared" si="32"/>
        <v>Lawn and Garden Equipment</v>
      </c>
      <c r="L466" s="316" t="str">
        <f t="shared" si="33"/>
        <v>Gasoline</v>
      </c>
      <c r="M466" s="194"/>
      <c r="N466" s="317"/>
      <c r="O466" s="317"/>
      <c r="P466" s="317"/>
      <c r="Q466" s="317"/>
      <c r="R466" s="317"/>
      <c r="S466" s="317"/>
      <c r="T466" s="317"/>
      <c r="U466" s="317"/>
      <c r="V466" s="317"/>
      <c r="W466" s="317"/>
      <c r="X466" s="317"/>
      <c r="Y466" s="317"/>
      <c r="Z466" s="317"/>
    </row>
    <row r="467" spans="1:26" x14ac:dyDescent="0.25">
      <c r="A467" s="314"/>
      <c r="B467" s="18">
        <v>2023</v>
      </c>
      <c r="C467" s="18" t="s">
        <v>750</v>
      </c>
      <c r="D467" s="18" t="s">
        <v>735</v>
      </c>
      <c r="E467" s="18" t="s">
        <v>713</v>
      </c>
      <c r="F467" s="18" t="s">
        <v>714</v>
      </c>
      <c r="G467" s="18" t="s">
        <v>674</v>
      </c>
      <c r="H467" s="18" t="s">
        <v>736</v>
      </c>
      <c r="I467" s="315">
        <v>1343.8634230112821</v>
      </c>
      <c r="J467" s="315">
        <v>4.0195779131313579E-2</v>
      </c>
      <c r="K467" s="316" t="str">
        <f t="shared" si="32"/>
        <v>Construction and Mining Equipment</v>
      </c>
      <c r="L467" s="316" t="str">
        <f t="shared" si="33"/>
        <v>Diesel</v>
      </c>
      <c r="M467" s="194"/>
      <c r="N467" s="317"/>
      <c r="O467" s="317"/>
      <c r="P467" s="317"/>
      <c r="Q467" s="317"/>
      <c r="R467" s="317"/>
      <c r="S467" s="317"/>
      <c r="T467" s="317"/>
      <c r="U467" s="317"/>
      <c r="V467" s="317"/>
      <c r="W467" s="317"/>
      <c r="X467" s="317"/>
      <c r="Y467" s="317"/>
      <c r="Z467" s="317"/>
    </row>
    <row r="468" spans="1:26" x14ac:dyDescent="0.25">
      <c r="A468" s="314"/>
      <c r="B468" s="18">
        <v>2023</v>
      </c>
      <c r="C468" s="18" t="s">
        <v>732</v>
      </c>
      <c r="D468" s="18" t="s">
        <v>797</v>
      </c>
      <c r="E468" s="18" t="s">
        <v>713</v>
      </c>
      <c r="F468" s="18" t="s">
        <v>714</v>
      </c>
      <c r="G468" s="18" t="s">
        <v>675</v>
      </c>
      <c r="H468" s="18" t="s">
        <v>798</v>
      </c>
      <c r="I468" s="315">
        <v>1341.789049493932</v>
      </c>
      <c r="J468" s="315">
        <v>1.1319352249629131E-2</v>
      </c>
      <c r="K468" s="316" t="str">
        <f t="shared" si="32"/>
        <v>Industrial Equipment</v>
      </c>
      <c r="L468" s="316" t="str">
        <f t="shared" si="33"/>
        <v>Diesel</v>
      </c>
      <c r="M468" s="194"/>
      <c r="N468" s="317"/>
      <c r="O468" s="317"/>
      <c r="P468" s="317"/>
      <c r="Q468" s="317"/>
      <c r="R468" s="317"/>
      <c r="S468" s="317"/>
      <c r="T468" s="317"/>
      <c r="U468" s="317"/>
      <c r="V468" s="317"/>
      <c r="W468" s="317"/>
      <c r="X468" s="317"/>
      <c r="Y468" s="317"/>
      <c r="Z468" s="317"/>
    </row>
    <row r="469" spans="1:26" ht="12.75" x14ac:dyDescent="0.2">
      <c r="A469" s="230"/>
      <c r="B469" s="18">
        <v>2023</v>
      </c>
      <c r="C469" s="18" t="s">
        <v>701</v>
      </c>
      <c r="D469" s="18" t="s">
        <v>878</v>
      </c>
      <c r="E469" s="18" t="s">
        <v>703</v>
      </c>
      <c r="F469" s="18" t="s">
        <v>704</v>
      </c>
      <c r="G469" s="18" t="s">
        <v>673</v>
      </c>
      <c r="H469" s="18" t="s">
        <v>879</v>
      </c>
      <c r="I469" s="315">
        <v>1337.3227629468283</v>
      </c>
      <c r="J469" s="315">
        <v>0.87966971361278357</v>
      </c>
      <c r="K469" s="316" t="str">
        <f t="shared" si="32"/>
        <v>Lawn and Garden Equipment</v>
      </c>
      <c r="L469" s="316" t="str">
        <f t="shared" si="33"/>
        <v>Gasoline</v>
      </c>
      <c r="M469" s="8"/>
      <c r="N469" s="2"/>
      <c r="O469" s="2"/>
      <c r="P469" s="2"/>
      <c r="Q469" s="2"/>
      <c r="R469" s="2"/>
      <c r="S469" s="2"/>
      <c r="T469" s="2"/>
      <c r="U469" s="2"/>
      <c r="V469" s="2"/>
      <c r="W469" s="2"/>
      <c r="X469" s="2"/>
      <c r="Y469" s="2"/>
      <c r="Z469" s="2"/>
    </row>
    <row r="470" spans="1:26" x14ac:dyDescent="0.25">
      <c r="A470" s="314"/>
      <c r="B470" s="18">
        <v>2023</v>
      </c>
      <c r="C470" s="18" t="s">
        <v>760</v>
      </c>
      <c r="D470" s="18" t="s">
        <v>774</v>
      </c>
      <c r="E470" s="18" t="s">
        <v>703</v>
      </c>
      <c r="F470" s="18" t="s">
        <v>704</v>
      </c>
      <c r="G470" s="18" t="s">
        <v>673</v>
      </c>
      <c r="H470" s="18" t="s">
        <v>775</v>
      </c>
      <c r="I470" s="315">
        <v>1336.0426267752252</v>
      </c>
      <c r="J470" s="315">
        <v>0.91578164382073823</v>
      </c>
      <c r="K470" s="316" t="str">
        <f t="shared" si="32"/>
        <v>Lawn and Garden Equipment</v>
      </c>
      <c r="L470" s="316" t="str">
        <f t="shared" si="33"/>
        <v>Gasoline</v>
      </c>
      <c r="M470" s="194"/>
      <c r="N470" s="317"/>
      <c r="O470" s="317"/>
      <c r="P470" s="317"/>
      <c r="Q470" s="317"/>
      <c r="R470" s="317"/>
      <c r="S470" s="317"/>
      <c r="T470" s="317"/>
      <c r="U470" s="317"/>
      <c r="V470" s="317"/>
      <c r="W470" s="317"/>
      <c r="X470" s="317"/>
      <c r="Y470" s="317"/>
      <c r="Z470" s="317"/>
    </row>
    <row r="471" spans="1:26" x14ac:dyDescent="0.25">
      <c r="A471" s="314"/>
      <c r="B471" s="18">
        <v>2023</v>
      </c>
      <c r="C471" s="18" t="s">
        <v>706</v>
      </c>
      <c r="D471" s="18" t="s">
        <v>880</v>
      </c>
      <c r="E471" s="18" t="s">
        <v>703</v>
      </c>
      <c r="F471" s="18" t="s">
        <v>704</v>
      </c>
      <c r="G471" s="18" t="s">
        <v>677</v>
      </c>
      <c r="H471" s="18" t="s">
        <v>785</v>
      </c>
      <c r="I471" s="315">
        <v>1323.8590521264721</v>
      </c>
      <c r="J471" s="315">
        <v>0.76304668156115807</v>
      </c>
      <c r="K471" s="316" t="str">
        <f t="shared" si="32"/>
        <v>Commercial Equipment</v>
      </c>
      <c r="L471" s="316" t="str">
        <f t="shared" si="33"/>
        <v>Gasoline</v>
      </c>
      <c r="M471" s="194"/>
      <c r="N471" s="317"/>
      <c r="O471" s="317"/>
      <c r="P471" s="317"/>
      <c r="Q471" s="317"/>
      <c r="R471" s="317"/>
      <c r="S471" s="317"/>
      <c r="T471" s="317"/>
      <c r="U471" s="317"/>
      <c r="V471" s="317"/>
      <c r="W471" s="317"/>
      <c r="X471" s="317"/>
      <c r="Y471" s="317"/>
      <c r="Z471" s="317"/>
    </row>
    <row r="472" spans="1:26" x14ac:dyDescent="0.25">
      <c r="A472" s="314"/>
      <c r="B472" s="18">
        <v>2023</v>
      </c>
      <c r="C472" s="18" t="s">
        <v>701</v>
      </c>
      <c r="D472" s="18" t="s">
        <v>882</v>
      </c>
      <c r="E472" s="18" t="s">
        <v>713</v>
      </c>
      <c r="F472" s="18" t="s">
        <v>714</v>
      </c>
      <c r="G472" s="18" t="s">
        <v>673</v>
      </c>
      <c r="H472" s="18" t="s">
        <v>705</v>
      </c>
      <c r="I472" s="315">
        <v>1323.1256127610791</v>
      </c>
      <c r="J472" s="315">
        <v>2.2206790288333444E-2</v>
      </c>
      <c r="K472" s="316" t="str">
        <f t="shared" si="32"/>
        <v>Lawn and Garden Equipment</v>
      </c>
      <c r="L472" s="316" t="str">
        <f t="shared" si="33"/>
        <v>Diesel</v>
      </c>
      <c r="M472" s="194"/>
      <c r="N472" s="317"/>
      <c r="O472" s="317"/>
      <c r="P472" s="317"/>
      <c r="Q472" s="317"/>
      <c r="R472" s="317"/>
      <c r="S472" s="317"/>
      <c r="T472" s="317"/>
      <c r="U472" s="317"/>
      <c r="V472" s="317"/>
      <c r="W472" s="317"/>
      <c r="X472" s="317"/>
      <c r="Y472" s="317"/>
      <c r="Z472" s="317"/>
    </row>
    <row r="473" spans="1:26" x14ac:dyDescent="0.25">
      <c r="A473" s="314"/>
      <c r="B473" s="18">
        <v>2023</v>
      </c>
      <c r="C473" s="18" t="s">
        <v>732</v>
      </c>
      <c r="D473" s="18" t="s">
        <v>801</v>
      </c>
      <c r="E473" s="18" t="s">
        <v>713</v>
      </c>
      <c r="F473" s="18" t="s">
        <v>714</v>
      </c>
      <c r="G473" s="18" t="s">
        <v>675</v>
      </c>
      <c r="H473" s="18" t="s">
        <v>802</v>
      </c>
      <c r="I473" s="315">
        <v>1322.964317058508</v>
      </c>
      <c r="J473" s="315">
        <v>8.8126910366147782E-3</v>
      </c>
      <c r="K473" s="316" t="str">
        <f t="shared" si="32"/>
        <v>Industrial Equipment</v>
      </c>
      <c r="L473" s="316" t="str">
        <f t="shared" si="33"/>
        <v>Diesel</v>
      </c>
      <c r="M473" s="194"/>
      <c r="N473" s="317"/>
      <c r="O473" s="317"/>
      <c r="P473" s="317"/>
      <c r="Q473" s="317"/>
      <c r="R473" s="317"/>
      <c r="S473" s="317"/>
      <c r="T473" s="317"/>
      <c r="U473" s="317"/>
      <c r="V473" s="317"/>
      <c r="W473" s="317"/>
      <c r="X473" s="317"/>
      <c r="Y473" s="317"/>
      <c r="Z473" s="317"/>
    </row>
    <row r="474" spans="1:26" x14ac:dyDescent="0.25">
      <c r="A474" s="314"/>
      <c r="B474" s="18">
        <v>2023</v>
      </c>
      <c r="C474" s="18" t="s">
        <v>701</v>
      </c>
      <c r="D474" s="18" t="s">
        <v>848</v>
      </c>
      <c r="E474" s="18" t="s">
        <v>56</v>
      </c>
      <c r="F474" s="18" t="s">
        <v>601</v>
      </c>
      <c r="G474" s="18" t="s">
        <v>675</v>
      </c>
      <c r="H474" s="18" t="s">
        <v>708</v>
      </c>
      <c r="I474" s="315">
        <v>1311.0251391574332</v>
      </c>
      <c r="J474" s="315">
        <v>5.2155737485609173</v>
      </c>
      <c r="K474" s="316" t="str">
        <f t="shared" si="32"/>
        <v>Industrial Equipment</v>
      </c>
      <c r="L474" s="316" t="str">
        <f t="shared" si="33"/>
        <v>CNG</v>
      </c>
      <c r="M474" s="194"/>
      <c r="N474" s="317"/>
      <c r="O474" s="317"/>
      <c r="P474" s="317"/>
      <c r="Q474" s="317"/>
      <c r="R474" s="317"/>
      <c r="S474" s="317"/>
      <c r="T474" s="317"/>
      <c r="U474" s="317"/>
      <c r="V474" s="317"/>
      <c r="W474" s="317"/>
      <c r="X474" s="317"/>
      <c r="Y474" s="317"/>
      <c r="Z474" s="317"/>
    </row>
    <row r="475" spans="1:26" x14ac:dyDescent="0.25">
      <c r="A475" s="314"/>
      <c r="B475" s="18">
        <v>2023</v>
      </c>
      <c r="C475" s="18" t="s">
        <v>701</v>
      </c>
      <c r="D475" s="18" t="s">
        <v>855</v>
      </c>
      <c r="E475" s="18" t="s">
        <v>713</v>
      </c>
      <c r="F475" s="18" t="s">
        <v>714</v>
      </c>
      <c r="G475" s="18" t="s">
        <v>674</v>
      </c>
      <c r="H475" s="18" t="s">
        <v>856</v>
      </c>
      <c r="I475" s="315">
        <v>1304.1274151062107</v>
      </c>
      <c r="J475" s="315">
        <v>8.2406384390694108E-3</v>
      </c>
      <c r="K475" s="316" t="str">
        <f t="shared" si="32"/>
        <v>Construction and Mining Equipment</v>
      </c>
      <c r="L475" s="316" t="str">
        <f t="shared" si="33"/>
        <v>Diesel</v>
      </c>
      <c r="M475" s="194"/>
      <c r="N475" s="317"/>
      <c r="O475" s="317"/>
      <c r="P475" s="317"/>
      <c r="Q475" s="317"/>
      <c r="R475" s="317"/>
      <c r="S475" s="317"/>
      <c r="T475" s="317"/>
      <c r="U475" s="317"/>
      <c r="V475" s="317"/>
      <c r="W475" s="317"/>
      <c r="X475" s="317"/>
      <c r="Y475" s="317"/>
      <c r="Z475" s="317"/>
    </row>
    <row r="476" spans="1:26" x14ac:dyDescent="0.25">
      <c r="A476" s="314"/>
      <c r="B476" s="18">
        <v>2023</v>
      </c>
      <c r="C476" s="18" t="s">
        <v>773</v>
      </c>
      <c r="D476" s="18" t="s">
        <v>746</v>
      </c>
      <c r="E476" s="18" t="s">
        <v>703</v>
      </c>
      <c r="F476" s="18" t="s">
        <v>704</v>
      </c>
      <c r="G476" s="18" t="s">
        <v>677</v>
      </c>
      <c r="H476" s="18" t="s">
        <v>747</v>
      </c>
      <c r="I476" s="315">
        <v>1303.7092312641853</v>
      </c>
      <c r="J476" s="315">
        <v>0.85349246043912685</v>
      </c>
      <c r="K476" s="316" t="str">
        <f t="shared" si="32"/>
        <v>Commercial Equipment</v>
      </c>
      <c r="L476" s="316" t="str">
        <f t="shared" si="33"/>
        <v>Gasoline</v>
      </c>
      <c r="M476" s="194"/>
      <c r="N476" s="317"/>
      <c r="O476" s="317"/>
      <c r="P476" s="317"/>
      <c r="Q476" s="317"/>
      <c r="R476" s="317"/>
      <c r="S476" s="317"/>
      <c r="T476" s="317"/>
      <c r="U476" s="317"/>
      <c r="V476" s="317"/>
      <c r="W476" s="317"/>
      <c r="X476" s="317"/>
      <c r="Y476" s="317"/>
      <c r="Z476" s="317"/>
    </row>
    <row r="477" spans="1:26" x14ac:dyDescent="0.25">
      <c r="A477" s="314"/>
      <c r="B477" s="18">
        <v>2023</v>
      </c>
      <c r="C477" s="18" t="s">
        <v>760</v>
      </c>
      <c r="D477" s="18" t="s">
        <v>779</v>
      </c>
      <c r="E477" s="18" t="s">
        <v>713</v>
      </c>
      <c r="F477" s="18" t="s">
        <v>714</v>
      </c>
      <c r="G477" s="18" t="s">
        <v>674</v>
      </c>
      <c r="H477" s="18" t="s">
        <v>780</v>
      </c>
      <c r="I477" s="315">
        <v>1299.4028647351365</v>
      </c>
      <c r="J477" s="315">
        <v>4.2320932270414361E-3</v>
      </c>
      <c r="K477" s="316" t="str">
        <f t="shared" si="32"/>
        <v>Construction and Mining Equipment</v>
      </c>
      <c r="L477" s="316" t="str">
        <f t="shared" si="33"/>
        <v>Diesel</v>
      </c>
      <c r="M477" s="194"/>
      <c r="N477" s="317"/>
      <c r="O477" s="317"/>
      <c r="P477" s="317"/>
      <c r="Q477" s="317"/>
      <c r="R477" s="317"/>
      <c r="S477" s="317"/>
      <c r="T477" s="317"/>
      <c r="U477" s="317"/>
      <c r="V477" s="317"/>
      <c r="W477" s="317"/>
      <c r="X477" s="317"/>
      <c r="Y477" s="317"/>
      <c r="Z477" s="317"/>
    </row>
    <row r="478" spans="1:26" x14ac:dyDescent="0.25">
      <c r="A478" s="314"/>
      <c r="B478" s="18">
        <v>2023</v>
      </c>
      <c r="C478" s="18" t="s">
        <v>760</v>
      </c>
      <c r="D478" s="18" t="s">
        <v>782</v>
      </c>
      <c r="E478" s="18" t="s">
        <v>713</v>
      </c>
      <c r="F478" s="18" t="s">
        <v>714</v>
      </c>
      <c r="G478" s="18" t="s">
        <v>674</v>
      </c>
      <c r="H478" s="18" t="s">
        <v>783</v>
      </c>
      <c r="I478" s="315">
        <v>1288.7888303764898</v>
      </c>
      <c r="J478" s="315">
        <v>1.2235177879802151E-2</v>
      </c>
      <c r="K478" s="316" t="str">
        <f t="shared" si="32"/>
        <v>Construction and Mining Equipment</v>
      </c>
      <c r="L478" s="316" t="str">
        <f t="shared" si="33"/>
        <v>Diesel</v>
      </c>
      <c r="M478" s="194"/>
      <c r="N478" s="317"/>
      <c r="O478" s="317"/>
      <c r="P478" s="317"/>
      <c r="Q478" s="317"/>
      <c r="R478" s="317"/>
      <c r="S478" s="317"/>
      <c r="T478" s="317"/>
      <c r="U478" s="317"/>
      <c r="V478" s="317"/>
      <c r="W478" s="317"/>
      <c r="X478" s="317"/>
      <c r="Y478" s="317"/>
      <c r="Z478" s="317"/>
    </row>
    <row r="479" spans="1:26" x14ac:dyDescent="0.25">
      <c r="A479" s="314"/>
      <c r="B479" s="18">
        <v>2023</v>
      </c>
      <c r="C479" s="18" t="s">
        <v>722</v>
      </c>
      <c r="D479" s="18" t="s">
        <v>799</v>
      </c>
      <c r="E479" s="18" t="s">
        <v>703</v>
      </c>
      <c r="F479" s="18" t="s">
        <v>795</v>
      </c>
      <c r="G479" s="18" t="s">
        <v>673</v>
      </c>
      <c r="H479" s="18" t="s">
        <v>800</v>
      </c>
      <c r="I479" s="315">
        <v>1286.2736756352404</v>
      </c>
      <c r="J479" s="315">
        <v>2.4225436926131216</v>
      </c>
      <c r="K479" s="316" t="str">
        <f t="shared" si="32"/>
        <v>Lawn and Garden Equipment</v>
      </c>
      <c r="L479" s="316" t="str">
        <f t="shared" si="33"/>
        <v>Gasoline</v>
      </c>
      <c r="M479" s="194"/>
      <c r="N479" s="317"/>
      <c r="O479" s="317"/>
      <c r="P479" s="317"/>
      <c r="Q479" s="317"/>
      <c r="R479" s="317"/>
      <c r="S479" s="317"/>
      <c r="T479" s="317"/>
      <c r="U479" s="317"/>
      <c r="V479" s="317"/>
      <c r="W479" s="317"/>
      <c r="X479" s="317"/>
      <c r="Y479" s="317"/>
      <c r="Z479" s="317"/>
    </row>
    <row r="480" spans="1:26" x14ac:dyDescent="0.25">
      <c r="A480" s="314"/>
      <c r="B480" s="18">
        <v>2023</v>
      </c>
      <c r="C480" s="18" t="s">
        <v>760</v>
      </c>
      <c r="D480" s="18" t="s">
        <v>771</v>
      </c>
      <c r="E480" s="18" t="s">
        <v>713</v>
      </c>
      <c r="F480" s="18" t="s">
        <v>714</v>
      </c>
      <c r="G480" s="18" t="s">
        <v>675</v>
      </c>
      <c r="H480" s="18" t="s">
        <v>772</v>
      </c>
      <c r="I480" s="315">
        <v>1273.8183955783911</v>
      </c>
      <c r="J480" s="315">
        <v>2.8341179271281331E-3</v>
      </c>
      <c r="K480" s="316" t="str">
        <f t="shared" si="32"/>
        <v>Industrial Equipment</v>
      </c>
      <c r="L480" s="316" t="str">
        <f t="shared" si="33"/>
        <v>Diesel</v>
      </c>
      <c r="M480" s="194"/>
      <c r="N480" s="317"/>
      <c r="O480" s="317"/>
      <c r="P480" s="317"/>
      <c r="Q480" s="317"/>
      <c r="R480" s="317"/>
      <c r="S480" s="317"/>
      <c r="T480" s="317"/>
      <c r="U480" s="317"/>
      <c r="V480" s="317"/>
      <c r="W480" s="317"/>
      <c r="X480" s="317"/>
      <c r="Y480" s="317"/>
      <c r="Z480" s="317"/>
    </row>
    <row r="481" spans="1:26" x14ac:dyDescent="0.25">
      <c r="A481" s="314"/>
      <c r="B481" s="18">
        <v>2023</v>
      </c>
      <c r="C481" s="18" t="s">
        <v>711</v>
      </c>
      <c r="D481" s="18" t="s">
        <v>848</v>
      </c>
      <c r="E481" s="18" t="s">
        <v>56</v>
      </c>
      <c r="F481" s="18" t="s">
        <v>601</v>
      </c>
      <c r="G481" s="18" t="s">
        <v>675</v>
      </c>
      <c r="H481" s="18" t="s">
        <v>708</v>
      </c>
      <c r="I481" s="315">
        <v>1266.1407862746901</v>
      </c>
      <c r="J481" s="315">
        <v>5.0370093790877837</v>
      </c>
      <c r="K481" s="316" t="str">
        <f t="shared" si="32"/>
        <v>Industrial Equipment</v>
      </c>
      <c r="L481" s="316" t="str">
        <f t="shared" si="33"/>
        <v>CNG</v>
      </c>
      <c r="M481" s="194"/>
      <c r="N481" s="317"/>
      <c r="O481" s="317"/>
      <c r="P481" s="317"/>
      <c r="Q481" s="317"/>
      <c r="R481" s="317"/>
      <c r="S481" s="317"/>
      <c r="T481" s="317"/>
      <c r="U481" s="317"/>
      <c r="V481" s="317"/>
      <c r="W481" s="317"/>
      <c r="X481" s="317"/>
      <c r="Y481" s="317"/>
      <c r="Z481" s="317"/>
    </row>
    <row r="482" spans="1:26" x14ac:dyDescent="0.25">
      <c r="A482" s="314"/>
      <c r="B482" s="18">
        <v>2023</v>
      </c>
      <c r="C482" s="18" t="s">
        <v>773</v>
      </c>
      <c r="D482" s="18" t="s">
        <v>725</v>
      </c>
      <c r="E482" s="18" t="s">
        <v>713</v>
      </c>
      <c r="F482" s="18" t="s">
        <v>714</v>
      </c>
      <c r="G482" s="18" t="s">
        <v>674</v>
      </c>
      <c r="H482" s="18" t="s">
        <v>726</v>
      </c>
      <c r="I482" s="315">
        <v>1265.5576084756453</v>
      </c>
      <c r="J482" s="315">
        <v>7.0805961719154339E-3</v>
      </c>
      <c r="K482" s="316" t="str">
        <f t="shared" si="32"/>
        <v>Construction and Mining Equipment</v>
      </c>
      <c r="L482" s="316" t="str">
        <f t="shared" si="33"/>
        <v>Diesel</v>
      </c>
      <c r="M482" s="194"/>
      <c r="N482" s="317"/>
      <c r="O482" s="317"/>
      <c r="P482" s="317"/>
      <c r="Q482" s="317"/>
      <c r="R482" s="317"/>
      <c r="S482" s="317"/>
      <c r="T482" s="317"/>
      <c r="U482" s="317"/>
      <c r="V482" s="317"/>
      <c r="W482" s="317"/>
      <c r="X482" s="317"/>
      <c r="Y482" s="317"/>
      <c r="Z482" s="317"/>
    </row>
    <row r="483" spans="1:26" x14ac:dyDescent="0.25">
      <c r="A483" s="314"/>
      <c r="B483" s="18">
        <v>2023</v>
      </c>
      <c r="C483" s="18" t="s">
        <v>754</v>
      </c>
      <c r="D483" s="18" t="s">
        <v>757</v>
      </c>
      <c r="E483" s="18" t="s">
        <v>713</v>
      </c>
      <c r="F483" s="18" t="s">
        <v>714</v>
      </c>
      <c r="G483" s="18" t="s">
        <v>673</v>
      </c>
      <c r="H483" s="18" t="s">
        <v>758</v>
      </c>
      <c r="I483" s="315">
        <v>1256.2340257178494</v>
      </c>
      <c r="J483" s="315">
        <v>4.8399966859445469E-2</v>
      </c>
      <c r="K483" s="316" t="str">
        <f t="shared" si="32"/>
        <v>Lawn and Garden Equipment</v>
      </c>
      <c r="L483" s="316" t="str">
        <f t="shared" si="33"/>
        <v>Diesel</v>
      </c>
      <c r="M483" s="194"/>
      <c r="N483" s="317"/>
      <c r="O483" s="317"/>
      <c r="P483" s="317"/>
      <c r="Q483" s="317"/>
      <c r="R483" s="317"/>
      <c r="S483" s="317"/>
      <c r="T483" s="317"/>
      <c r="U483" s="317"/>
      <c r="V483" s="317"/>
      <c r="W483" s="317"/>
      <c r="X483" s="317"/>
      <c r="Y483" s="317"/>
      <c r="Z483" s="317"/>
    </row>
    <row r="484" spans="1:26" x14ac:dyDescent="0.25">
      <c r="A484" s="314"/>
      <c r="B484" s="18">
        <v>2023</v>
      </c>
      <c r="C484" s="18" t="s">
        <v>778</v>
      </c>
      <c r="D484" s="18" t="s">
        <v>763</v>
      </c>
      <c r="E484" s="18" t="s">
        <v>713</v>
      </c>
      <c r="F484" s="18" t="s">
        <v>714</v>
      </c>
      <c r="G484" s="18" t="s">
        <v>678</v>
      </c>
      <c r="H484" s="18" t="s">
        <v>764</v>
      </c>
      <c r="I484" s="315">
        <v>1255.2741109820695</v>
      </c>
      <c r="J484" s="315">
        <v>1.4210793586994279E-2</v>
      </c>
      <c r="K484" s="316" t="str">
        <f t="shared" si="32"/>
        <v>Agricultural Equipment</v>
      </c>
      <c r="L484" s="316" t="str">
        <f t="shared" si="33"/>
        <v>Diesel</v>
      </c>
      <c r="M484" s="194"/>
      <c r="N484" s="317"/>
      <c r="O484" s="317"/>
      <c r="P484" s="317"/>
      <c r="Q484" s="317"/>
      <c r="R484" s="317"/>
      <c r="S484" s="317"/>
      <c r="T484" s="317"/>
      <c r="U484" s="317"/>
      <c r="V484" s="317"/>
      <c r="W484" s="317"/>
      <c r="X484" s="317"/>
      <c r="Y484" s="317"/>
      <c r="Z484" s="317"/>
    </row>
    <row r="485" spans="1:26" x14ac:dyDescent="0.25">
      <c r="A485" s="314"/>
      <c r="B485" s="18">
        <v>2023</v>
      </c>
      <c r="C485" s="18" t="s">
        <v>701</v>
      </c>
      <c r="D485" s="18" t="s">
        <v>858</v>
      </c>
      <c r="E485" s="18" t="s">
        <v>713</v>
      </c>
      <c r="F485" s="18" t="s">
        <v>714</v>
      </c>
      <c r="G485" s="18" t="s">
        <v>674</v>
      </c>
      <c r="H485" s="18" t="s">
        <v>859</v>
      </c>
      <c r="I485" s="315">
        <v>1254.5579415279847</v>
      </c>
      <c r="J485" s="315">
        <v>1.1135976009432145E-2</v>
      </c>
      <c r="K485" s="316" t="str">
        <f t="shared" si="32"/>
        <v>Construction and Mining Equipment</v>
      </c>
      <c r="L485" s="316" t="str">
        <f t="shared" si="33"/>
        <v>Diesel</v>
      </c>
      <c r="M485" s="194"/>
      <c r="N485" s="317"/>
      <c r="O485" s="317"/>
      <c r="P485" s="317"/>
      <c r="Q485" s="317"/>
      <c r="R485" s="317"/>
      <c r="S485" s="317"/>
      <c r="T485" s="317"/>
      <c r="U485" s="317"/>
      <c r="V485" s="317"/>
      <c r="W485" s="317"/>
      <c r="X485" s="317"/>
      <c r="Y485" s="317"/>
      <c r="Z485" s="317"/>
    </row>
    <row r="486" spans="1:26" x14ac:dyDescent="0.25">
      <c r="A486" s="314"/>
      <c r="B486" s="18">
        <v>2023</v>
      </c>
      <c r="C486" s="18" t="s">
        <v>743</v>
      </c>
      <c r="D486" s="18" t="s">
        <v>797</v>
      </c>
      <c r="E486" s="18" t="s">
        <v>713</v>
      </c>
      <c r="F486" s="18" t="s">
        <v>714</v>
      </c>
      <c r="G486" s="18" t="s">
        <v>675</v>
      </c>
      <c r="H486" s="18" t="s">
        <v>798</v>
      </c>
      <c r="I486" s="315">
        <v>1252.2123002201295</v>
      </c>
      <c r="J486" s="315">
        <v>1.0563677125977198E-2</v>
      </c>
      <c r="K486" s="316" t="str">
        <f t="shared" si="32"/>
        <v>Industrial Equipment</v>
      </c>
      <c r="L486" s="316" t="str">
        <f t="shared" si="33"/>
        <v>Diesel</v>
      </c>
      <c r="M486" s="194"/>
      <c r="N486" s="317"/>
      <c r="O486" s="317"/>
      <c r="P486" s="317"/>
      <c r="Q486" s="317"/>
      <c r="R486" s="317"/>
      <c r="S486" s="317"/>
      <c r="T486" s="317"/>
      <c r="U486" s="317"/>
      <c r="V486" s="317"/>
      <c r="W486" s="317"/>
      <c r="X486" s="317"/>
      <c r="Y486" s="317"/>
      <c r="Z486" s="317"/>
    </row>
    <row r="487" spans="1:26" x14ac:dyDescent="0.25">
      <c r="A487" s="314"/>
      <c r="B487" s="18">
        <v>2023</v>
      </c>
      <c r="C487" s="18" t="s">
        <v>754</v>
      </c>
      <c r="D487" s="18" t="s">
        <v>752</v>
      </c>
      <c r="E487" s="18" t="s">
        <v>713</v>
      </c>
      <c r="F487" s="18" t="s">
        <v>714</v>
      </c>
      <c r="G487" s="18" t="s">
        <v>675</v>
      </c>
      <c r="H487" s="18" t="s">
        <v>708</v>
      </c>
      <c r="I487" s="315">
        <v>1251.5254500422923</v>
      </c>
      <c r="J487" s="315">
        <v>6.38299770358182E-3</v>
      </c>
      <c r="K487" s="316" t="str">
        <f t="shared" si="32"/>
        <v>Industrial Equipment</v>
      </c>
      <c r="L487" s="316" t="str">
        <f t="shared" si="33"/>
        <v>Diesel</v>
      </c>
      <c r="M487" s="194"/>
      <c r="N487" s="317"/>
      <c r="O487" s="317"/>
      <c r="P487" s="317"/>
      <c r="Q487" s="317"/>
      <c r="R487" s="317"/>
      <c r="S487" s="317"/>
      <c r="T487" s="317"/>
      <c r="U487" s="317"/>
      <c r="V487" s="317"/>
      <c r="W487" s="317"/>
      <c r="X487" s="317"/>
      <c r="Y487" s="317"/>
      <c r="Z487" s="317"/>
    </row>
    <row r="488" spans="1:26" x14ac:dyDescent="0.25">
      <c r="A488" s="314"/>
      <c r="B488" s="18">
        <v>2023</v>
      </c>
      <c r="C488" s="18" t="s">
        <v>760</v>
      </c>
      <c r="D488" s="18" t="s">
        <v>741</v>
      </c>
      <c r="E488" s="18" t="s">
        <v>713</v>
      </c>
      <c r="F488" s="18" t="s">
        <v>714</v>
      </c>
      <c r="G488" s="18" t="s">
        <v>673</v>
      </c>
      <c r="H488" s="18" t="s">
        <v>742</v>
      </c>
      <c r="I488" s="315">
        <v>1248.6444084145419</v>
      </c>
      <c r="J488" s="315">
        <v>2.068113600181325E-2</v>
      </c>
      <c r="K488" s="316" t="str">
        <f t="shared" si="32"/>
        <v>Lawn and Garden Equipment</v>
      </c>
      <c r="L488" s="316" t="str">
        <f t="shared" si="33"/>
        <v>Diesel</v>
      </c>
      <c r="M488" s="194"/>
      <c r="N488" s="317"/>
      <c r="O488" s="317"/>
      <c r="P488" s="317"/>
      <c r="Q488" s="317"/>
      <c r="R488" s="317"/>
      <c r="S488" s="317"/>
      <c r="T488" s="317"/>
      <c r="U488" s="317"/>
      <c r="V488" s="317"/>
      <c r="W488" s="317"/>
      <c r="X488" s="317"/>
      <c r="Y488" s="317"/>
      <c r="Z488" s="317"/>
    </row>
    <row r="489" spans="1:26" x14ac:dyDescent="0.25">
      <c r="A489" s="314"/>
      <c r="B489" s="18">
        <v>2023</v>
      </c>
      <c r="C489" s="18" t="s">
        <v>732</v>
      </c>
      <c r="D489" s="18" t="s">
        <v>853</v>
      </c>
      <c r="E489" s="18" t="s">
        <v>703</v>
      </c>
      <c r="F489" s="18" t="s">
        <v>795</v>
      </c>
      <c r="G489" s="18" t="s">
        <v>679</v>
      </c>
      <c r="H489" s="18" t="s">
        <v>854</v>
      </c>
      <c r="I489" s="315">
        <v>1237.6821285596141</v>
      </c>
      <c r="J489" s="315">
        <v>0.93320601010985837</v>
      </c>
      <c r="K489" s="316" t="str">
        <f t="shared" si="32"/>
        <v>Recreational Equipment</v>
      </c>
      <c r="L489" s="316" t="str">
        <f t="shared" si="33"/>
        <v>Gasoline</v>
      </c>
      <c r="M489" s="194"/>
      <c r="N489" s="317"/>
      <c r="O489" s="317"/>
      <c r="P489" s="317"/>
      <c r="Q489" s="317"/>
      <c r="R489" s="317"/>
      <c r="S489" s="317"/>
      <c r="T489" s="317"/>
      <c r="U489" s="317"/>
      <c r="V489" s="317"/>
      <c r="W489" s="317"/>
      <c r="X489" s="317"/>
      <c r="Y489" s="317"/>
      <c r="Z489" s="317"/>
    </row>
    <row r="490" spans="1:26" x14ac:dyDescent="0.25">
      <c r="A490" s="314"/>
      <c r="B490" s="18">
        <v>2023</v>
      </c>
      <c r="C490" s="18" t="s">
        <v>743</v>
      </c>
      <c r="D490" s="18" t="s">
        <v>801</v>
      </c>
      <c r="E490" s="18" t="s">
        <v>713</v>
      </c>
      <c r="F490" s="18" t="s">
        <v>714</v>
      </c>
      <c r="G490" s="18" t="s">
        <v>675</v>
      </c>
      <c r="H490" s="18" t="s">
        <v>802</v>
      </c>
      <c r="I490" s="315">
        <v>1234.6446105343437</v>
      </c>
      <c r="J490" s="315">
        <v>8.2243380469322266E-3</v>
      </c>
      <c r="K490" s="316" t="str">
        <f t="shared" si="32"/>
        <v>Industrial Equipment</v>
      </c>
      <c r="L490" s="316" t="str">
        <f t="shared" si="33"/>
        <v>Diesel</v>
      </c>
      <c r="M490" s="194"/>
      <c r="N490" s="317"/>
      <c r="O490" s="317"/>
      <c r="P490" s="317"/>
      <c r="Q490" s="317"/>
      <c r="R490" s="317"/>
      <c r="S490" s="317"/>
      <c r="T490" s="317"/>
      <c r="U490" s="317"/>
      <c r="V490" s="317"/>
      <c r="W490" s="317"/>
      <c r="X490" s="317"/>
      <c r="Y490" s="317"/>
      <c r="Z490" s="317"/>
    </row>
    <row r="491" spans="1:26" x14ac:dyDescent="0.25">
      <c r="A491" s="314"/>
      <c r="B491" s="18">
        <v>2023</v>
      </c>
      <c r="C491" s="18" t="s">
        <v>793</v>
      </c>
      <c r="D491" s="18" t="s">
        <v>733</v>
      </c>
      <c r="E491" s="18" t="s">
        <v>703</v>
      </c>
      <c r="F491" s="18" t="s">
        <v>704</v>
      </c>
      <c r="G491" s="18" t="s">
        <v>673</v>
      </c>
      <c r="H491" s="18" t="s">
        <v>734</v>
      </c>
      <c r="I491" s="315">
        <v>1228.0523160034636</v>
      </c>
      <c r="J491" s="315">
        <v>0.77660182218624452</v>
      </c>
      <c r="K491" s="316" t="str">
        <f t="shared" si="32"/>
        <v>Lawn and Garden Equipment</v>
      </c>
      <c r="L491" s="316" t="str">
        <f t="shared" si="33"/>
        <v>Gasoline</v>
      </c>
      <c r="M491" s="194"/>
      <c r="N491" s="317"/>
      <c r="O491" s="317"/>
      <c r="P491" s="317"/>
      <c r="Q491" s="317"/>
      <c r="R491" s="317"/>
      <c r="S491" s="317"/>
      <c r="T491" s="317"/>
      <c r="U491" s="317"/>
      <c r="V491" s="317"/>
      <c r="W491" s="317"/>
      <c r="X491" s="317"/>
      <c r="Y491" s="317"/>
      <c r="Z491" s="317"/>
    </row>
    <row r="492" spans="1:26" x14ac:dyDescent="0.25">
      <c r="A492" s="314"/>
      <c r="B492" s="18">
        <v>2023</v>
      </c>
      <c r="C492" s="18" t="s">
        <v>701</v>
      </c>
      <c r="D492" s="18" t="s">
        <v>860</v>
      </c>
      <c r="E492" s="18" t="s">
        <v>713</v>
      </c>
      <c r="F492" s="18" t="s">
        <v>714</v>
      </c>
      <c r="G492" s="18" t="s">
        <v>674</v>
      </c>
      <c r="H492" s="18" t="s">
        <v>861</v>
      </c>
      <c r="I492" s="315">
        <v>1227.2957766022387</v>
      </c>
      <c r="J492" s="315">
        <v>2.0340199639790276E-2</v>
      </c>
      <c r="K492" s="316" t="str">
        <f t="shared" si="32"/>
        <v>Construction and Mining Equipment</v>
      </c>
      <c r="L492" s="316" t="str">
        <f t="shared" si="33"/>
        <v>Diesel</v>
      </c>
      <c r="M492" s="194"/>
      <c r="N492" s="317"/>
      <c r="O492" s="317"/>
      <c r="P492" s="317"/>
      <c r="Q492" s="317"/>
      <c r="R492" s="317"/>
      <c r="S492" s="317"/>
      <c r="T492" s="317"/>
      <c r="U492" s="317"/>
      <c r="V492" s="317"/>
      <c r="W492" s="317"/>
      <c r="X492" s="317"/>
      <c r="Y492" s="317"/>
      <c r="Z492" s="317"/>
    </row>
    <row r="493" spans="1:26" x14ac:dyDescent="0.25">
      <c r="A493" s="314"/>
      <c r="B493" s="18">
        <v>2023</v>
      </c>
      <c r="C493" s="18" t="s">
        <v>743</v>
      </c>
      <c r="D493" s="18" t="s">
        <v>755</v>
      </c>
      <c r="E493" s="18" t="s">
        <v>713</v>
      </c>
      <c r="F493" s="18" t="s">
        <v>714</v>
      </c>
      <c r="G493" s="18" t="s">
        <v>674</v>
      </c>
      <c r="H493" s="18" t="s">
        <v>756</v>
      </c>
      <c r="I493" s="315">
        <v>1223.0594178645465</v>
      </c>
      <c r="J493" s="315">
        <v>4.7493169268827205E-2</v>
      </c>
      <c r="K493" s="316" t="str">
        <f t="shared" si="32"/>
        <v>Construction and Mining Equipment</v>
      </c>
      <c r="L493" s="316" t="str">
        <f t="shared" si="33"/>
        <v>Diesel</v>
      </c>
      <c r="M493" s="194"/>
      <c r="N493" s="317"/>
      <c r="O493" s="317"/>
      <c r="P493" s="317"/>
      <c r="Q493" s="317"/>
      <c r="R493" s="317"/>
      <c r="S493" s="317"/>
      <c r="T493" s="317"/>
      <c r="U493" s="317"/>
      <c r="V493" s="317"/>
      <c r="W493" s="317"/>
      <c r="X493" s="317"/>
      <c r="Y493" s="317"/>
      <c r="Z493" s="317"/>
    </row>
    <row r="494" spans="1:26" x14ac:dyDescent="0.25">
      <c r="A494" s="314"/>
      <c r="B494" s="18">
        <v>2023</v>
      </c>
      <c r="C494" s="18" t="s">
        <v>810</v>
      </c>
      <c r="D494" s="18" t="s">
        <v>894</v>
      </c>
      <c r="E494" s="18" t="s">
        <v>713</v>
      </c>
      <c r="F494" s="18" t="s">
        <v>714</v>
      </c>
      <c r="G494" s="18" t="s">
        <v>681</v>
      </c>
      <c r="H494" s="18" t="s">
        <v>895</v>
      </c>
      <c r="I494" s="315">
        <v>1222.1055878872039</v>
      </c>
      <c r="J494" s="315">
        <v>2.3965004977945983E-3</v>
      </c>
      <c r="K494" s="316" t="str">
        <f t="shared" si="32"/>
        <v>Logging Equipment</v>
      </c>
      <c r="L494" s="316" t="str">
        <f t="shared" si="33"/>
        <v>Diesel</v>
      </c>
      <c r="M494" s="194"/>
      <c r="N494" s="317"/>
      <c r="O494" s="317"/>
      <c r="P494" s="317"/>
      <c r="Q494" s="317"/>
      <c r="R494" s="317"/>
      <c r="S494" s="317"/>
      <c r="T494" s="317"/>
      <c r="U494" s="317"/>
      <c r="V494" s="317"/>
      <c r="W494" s="317"/>
      <c r="X494" s="317"/>
      <c r="Y494" s="317"/>
      <c r="Z494" s="317"/>
    </row>
    <row r="495" spans="1:26" x14ac:dyDescent="0.25">
      <c r="A495" s="314"/>
      <c r="B495" s="18">
        <v>2023</v>
      </c>
      <c r="C495" s="18" t="s">
        <v>711</v>
      </c>
      <c r="D495" s="18" t="s">
        <v>830</v>
      </c>
      <c r="E495" s="18" t="s">
        <v>703</v>
      </c>
      <c r="F495" s="18" t="s">
        <v>704</v>
      </c>
      <c r="G495" s="18" t="s">
        <v>673</v>
      </c>
      <c r="H495" s="18" t="s">
        <v>742</v>
      </c>
      <c r="I495" s="315">
        <v>1220.0022312985557</v>
      </c>
      <c r="J495" s="315">
        <v>0.53113358117044585</v>
      </c>
      <c r="K495" s="316" t="str">
        <f t="shared" si="32"/>
        <v>Lawn and Garden Equipment</v>
      </c>
      <c r="L495" s="316" t="str">
        <f t="shared" si="33"/>
        <v>Gasoline</v>
      </c>
      <c r="M495" s="194"/>
      <c r="N495" s="317"/>
      <c r="O495" s="317"/>
      <c r="P495" s="317"/>
      <c r="Q495" s="317"/>
      <c r="R495" s="317"/>
      <c r="S495" s="317"/>
      <c r="T495" s="317"/>
      <c r="U495" s="317"/>
      <c r="V495" s="317"/>
      <c r="W495" s="317"/>
      <c r="X495" s="317"/>
      <c r="Y495" s="317"/>
      <c r="Z495" s="317"/>
    </row>
    <row r="496" spans="1:26" x14ac:dyDescent="0.25">
      <c r="A496" s="314"/>
      <c r="B496" s="18">
        <v>2023</v>
      </c>
      <c r="C496" s="18" t="s">
        <v>722</v>
      </c>
      <c r="D496" s="18" t="s">
        <v>797</v>
      </c>
      <c r="E496" s="18" t="s">
        <v>713</v>
      </c>
      <c r="F496" s="18" t="s">
        <v>714</v>
      </c>
      <c r="G496" s="18" t="s">
        <v>675</v>
      </c>
      <c r="H496" s="18" t="s">
        <v>798</v>
      </c>
      <c r="I496" s="315">
        <v>1216.1767513858313</v>
      </c>
      <c r="J496" s="315">
        <v>1.0259686908202482E-2</v>
      </c>
      <c r="K496" s="316" t="str">
        <f t="shared" si="32"/>
        <v>Industrial Equipment</v>
      </c>
      <c r="L496" s="316" t="str">
        <f t="shared" si="33"/>
        <v>Diesel</v>
      </c>
      <c r="M496" s="194"/>
      <c r="N496" s="317"/>
      <c r="O496" s="317"/>
      <c r="P496" s="317"/>
      <c r="Q496" s="317"/>
      <c r="R496" s="317"/>
      <c r="S496" s="317"/>
      <c r="T496" s="317"/>
      <c r="U496" s="317"/>
      <c r="V496" s="317"/>
      <c r="W496" s="317"/>
      <c r="X496" s="317"/>
      <c r="Y496" s="317"/>
      <c r="Z496" s="317"/>
    </row>
    <row r="497" spans="1:26" x14ac:dyDescent="0.25">
      <c r="A497" s="314"/>
      <c r="B497" s="18">
        <v>2023</v>
      </c>
      <c r="C497" s="18" t="s">
        <v>701</v>
      </c>
      <c r="D497" s="18" t="s">
        <v>898</v>
      </c>
      <c r="E497" s="18" t="s">
        <v>703</v>
      </c>
      <c r="F497" s="18" t="s">
        <v>795</v>
      </c>
      <c r="G497" s="18" t="s">
        <v>673</v>
      </c>
      <c r="H497" s="18" t="s">
        <v>899</v>
      </c>
      <c r="I497" s="315">
        <v>1216.1562043029958</v>
      </c>
      <c r="J497" s="315">
        <v>8.3147680110337845</v>
      </c>
      <c r="K497" s="316" t="str">
        <f t="shared" si="32"/>
        <v>Lawn and Garden Equipment</v>
      </c>
      <c r="L497" s="316" t="str">
        <f t="shared" si="33"/>
        <v>Gasoline</v>
      </c>
      <c r="M497" s="194"/>
      <c r="N497" s="317"/>
      <c r="O497" s="317"/>
      <c r="P497" s="317"/>
      <c r="Q497" s="317"/>
      <c r="R497" s="317"/>
      <c r="S497" s="317"/>
      <c r="T497" s="317"/>
      <c r="U497" s="317"/>
      <c r="V497" s="317"/>
      <c r="W497" s="317"/>
      <c r="X497" s="317"/>
      <c r="Y497" s="317"/>
      <c r="Z497" s="317"/>
    </row>
    <row r="498" spans="1:26" x14ac:dyDescent="0.25">
      <c r="A498" s="314"/>
      <c r="B498" s="18">
        <v>2023</v>
      </c>
      <c r="C498" s="18" t="s">
        <v>754</v>
      </c>
      <c r="D498" s="18" t="s">
        <v>761</v>
      </c>
      <c r="E498" s="18" t="s">
        <v>713</v>
      </c>
      <c r="F498" s="18" t="s">
        <v>714</v>
      </c>
      <c r="G498" s="18" t="s">
        <v>677</v>
      </c>
      <c r="H498" s="18" t="s">
        <v>747</v>
      </c>
      <c r="I498" s="315">
        <v>1208.3073509371422</v>
      </c>
      <c r="J498" s="315">
        <v>3.0867434063221871E-2</v>
      </c>
      <c r="K498" s="316" t="str">
        <f t="shared" si="32"/>
        <v>Commercial Equipment</v>
      </c>
      <c r="L498" s="316" t="str">
        <f t="shared" si="33"/>
        <v>Diesel</v>
      </c>
      <c r="M498" s="194"/>
      <c r="N498" s="317"/>
      <c r="O498" s="317"/>
      <c r="P498" s="317"/>
      <c r="Q498" s="317"/>
      <c r="R498" s="317"/>
      <c r="S498" s="317"/>
      <c r="T498" s="317"/>
      <c r="U498" s="317"/>
      <c r="V498" s="317"/>
      <c r="W498" s="317"/>
      <c r="X498" s="317"/>
      <c r="Y498" s="317"/>
      <c r="Z498" s="317"/>
    </row>
    <row r="499" spans="1:26" x14ac:dyDescent="0.25">
      <c r="A499" s="314"/>
      <c r="B499" s="18">
        <v>2023</v>
      </c>
      <c r="C499" s="18" t="s">
        <v>701</v>
      </c>
      <c r="D499" s="18" t="s">
        <v>862</v>
      </c>
      <c r="E499" s="18" t="s">
        <v>713</v>
      </c>
      <c r="F499" s="18" t="s">
        <v>714</v>
      </c>
      <c r="G499" s="18" t="s">
        <v>674</v>
      </c>
      <c r="H499" s="18" t="s">
        <v>863</v>
      </c>
      <c r="I499" s="315">
        <v>1202.8824801440112</v>
      </c>
      <c r="J499" s="315">
        <v>8.6778878190361206E-3</v>
      </c>
      <c r="K499" s="316" t="str">
        <f t="shared" si="32"/>
        <v>Construction and Mining Equipment</v>
      </c>
      <c r="L499" s="316" t="str">
        <f t="shared" si="33"/>
        <v>Diesel</v>
      </c>
      <c r="M499" s="194"/>
      <c r="N499" s="317"/>
      <c r="O499" s="317"/>
      <c r="P499" s="317"/>
      <c r="Q499" s="317"/>
      <c r="R499" s="317"/>
      <c r="S499" s="317"/>
      <c r="T499" s="317"/>
      <c r="U499" s="317"/>
      <c r="V499" s="317"/>
      <c r="W499" s="317"/>
      <c r="X499" s="317"/>
      <c r="Y499" s="317"/>
      <c r="Z499" s="317"/>
    </row>
    <row r="500" spans="1:26" x14ac:dyDescent="0.25">
      <c r="A500" s="314"/>
      <c r="B500" s="18">
        <v>2023</v>
      </c>
      <c r="C500" s="18" t="s">
        <v>732</v>
      </c>
      <c r="D500" s="18" t="s">
        <v>774</v>
      </c>
      <c r="E500" s="18" t="s">
        <v>703</v>
      </c>
      <c r="F500" s="18" t="s">
        <v>704</v>
      </c>
      <c r="G500" s="18" t="s">
        <v>673</v>
      </c>
      <c r="H500" s="18" t="s">
        <v>775</v>
      </c>
      <c r="I500" s="315">
        <v>1200.662405322206</v>
      </c>
      <c r="J500" s="315">
        <v>0.82430307490050425</v>
      </c>
      <c r="K500" s="316" t="str">
        <f t="shared" si="32"/>
        <v>Lawn and Garden Equipment</v>
      </c>
      <c r="L500" s="316" t="str">
        <f t="shared" si="33"/>
        <v>Gasoline</v>
      </c>
      <c r="M500" s="194"/>
      <c r="N500" s="317"/>
      <c r="O500" s="317"/>
      <c r="P500" s="317"/>
      <c r="Q500" s="317"/>
      <c r="R500" s="317"/>
      <c r="S500" s="317"/>
      <c r="T500" s="317"/>
      <c r="U500" s="317"/>
      <c r="V500" s="317"/>
      <c r="W500" s="317"/>
      <c r="X500" s="317"/>
      <c r="Y500" s="317"/>
      <c r="Z500" s="317"/>
    </row>
    <row r="501" spans="1:26" x14ac:dyDescent="0.25">
      <c r="A501" s="314"/>
      <c r="B501" s="18">
        <v>2023</v>
      </c>
      <c r="C501" s="18" t="s">
        <v>722</v>
      </c>
      <c r="D501" s="18" t="s">
        <v>769</v>
      </c>
      <c r="E501" s="18" t="s">
        <v>713</v>
      </c>
      <c r="F501" s="18" t="s">
        <v>714</v>
      </c>
      <c r="G501" s="18" t="s">
        <v>674</v>
      </c>
      <c r="H501" s="18" t="s">
        <v>770</v>
      </c>
      <c r="I501" s="315">
        <v>1200.3615823608322</v>
      </c>
      <c r="J501" s="315">
        <v>9.6248885631123014E-3</v>
      </c>
      <c r="K501" s="316" t="str">
        <f t="shared" si="32"/>
        <v>Construction and Mining Equipment</v>
      </c>
      <c r="L501" s="316" t="str">
        <f t="shared" si="33"/>
        <v>Diesel</v>
      </c>
      <c r="M501" s="194"/>
      <c r="N501" s="317"/>
      <c r="O501" s="317"/>
      <c r="P501" s="317"/>
      <c r="Q501" s="317"/>
      <c r="R501" s="317"/>
      <c r="S501" s="317"/>
      <c r="T501" s="317"/>
      <c r="U501" s="317"/>
      <c r="V501" s="317"/>
      <c r="W501" s="317"/>
      <c r="X501" s="317"/>
      <c r="Y501" s="317"/>
      <c r="Z501" s="317"/>
    </row>
    <row r="502" spans="1:26" x14ac:dyDescent="0.25">
      <c r="A502" s="314"/>
      <c r="B502" s="18">
        <v>2023</v>
      </c>
      <c r="C502" s="18" t="s">
        <v>722</v>
      </c>
      <c r="D502" s="18" t="s">
        <v>801</v>
      </c>
      <c r="E502" s="18" t="s">
        <v>713</v>
      </c>
      <c r="F502" s="18" t="s">
        <v>714</v>
      </c>
      <c r="G502" s="18" t="s">
        <v>675</v>
      </c>
      <c r="H502" s="18" t="s">
        <v>802</v>
      </c>
      <c r="I502" s="315">
        <v>1199.1161910417497</v>
      </c>
      <c r="J502" s="315">
        <v>7.9876729944924826E-3</v>
      </c>
      <c r="K502" s="316" t="str">
        <f t="shared" si="32"/>
        <v>Industrial Equipment</v>
      </c>
      <c r="L502" s="316" t="str">
        <f t="shared" si="33"/>
        <v>Diesel</v>
      </c>
      <c r="M502" s="194"/>
      <c r="N502" s="317"/>
      <c r="O502" s="317"/>
      <c r="P502" s="317"/>
      <c r="Q502" s="317"/>
      <c r="R502" s="317"/>
      <c r="S502" s="317"/>
      <c r="T502" s="317"/>
      <c r="U502" s="317"/>
      <c r="V502" s="317"/>
      <c r="W502" s="317"/>
      <c r="X502" s="317"/>
      <c r="Y502" s="317"/>
      <c r="Z502" s="317"/>
    </row>
    <row r="503" spans="1:26" x14ac:dyDescent="0.25">
      <c r="A503" s="314"/>
      <c r="B503" s="18">
        <v>2023</v>
      </c>
      <c r="C503" s="18" t="s">
        <v>760</v>
      </c>
      <c r="D503" s="18" t="s">
        <v>790</v>
      </c>
      <c r="E503" s="18" t="s">
        <v>713</v>
      </c>
      <c r="F503" s="18" t="s">
        <v>714</v>
      </c>
      <c r="G503" s="18" t="s">
        <v>674</v>
      </c>
      <c r="H503" s="18" t="s">
        <v>791</v>
      </c>
      <c r="I503" s="315">
        <v>1194.1495069681173</v>
      </c>
      <c r="J503" s="315">
        <v>6.8647242100191627E-3</v>
      </c>
      <c r="K503" s="316" t="str">
        <f t="shared" si="32"/>
        <v>Construction and Mining Equipment</v>
      </c>
      <c r="L503" s="316" t="str">
        <f t="shared" si="33"/>
        <v>Diesel</v>
      </c>
      <c r="M503" s="194"/>
      <c r="N503" s="317"/>
      <c r="O503" s="317"/>
      <c r="P503" s="317"/>
      <c r="Q503" s="317"/>
      <c r="R503" s="317"/>
      <c r="S503" s="317"/>
      <c r="T503" s="317"/>
      <c r="U503" s="317"/>
      <c r="V503" s="317"/>
      <c r="W503" s="317"/>
      <c r="X503" s="317"/>
      <c r="Y503" s="317"/>
      <c r="Z503" s="317"/>
    </row>
    <row r="504" spans="1:26" x14ac:dyDescent="0.25">
      <c r="A504" s="314"/>
      <c r="B504" s="18">
        <v>2023</v>
      </c>
      <c r="C504" s="18" t="s">
        <v>786</v>
      </c>
      <c r="D504" s="18" t="s">
        <v>707</v>
      </c>
      <c r="E504" s="18" t="s">
        <v>56</v>
      </c>
      <c r="F504" s="18" t="s">
        <v>672</v>
      </c>
      <c r="G504" s="18" t="s">
        <v>675</v>
      </c>
      <c r="H504" s="18" t="s">
        <v>708</v>
      </c>
      <c r="I504" s="315">
        <v>1182.9018420217255</v>
      </c>
      <c r="J504" s="315">
        <v>5.3150601400806498E-2</v>
      </c>
      <c r="K504" s="316" t="str">
        <f t="shared" si="32"/>
        <v>Industrial Equipment</v>
      </c>
      <c r="L504" s="316" t="str">
        <f t="shared" si="33"/>
        <v>LPG</v>
      </c>
      <c r="M504" s="194"/>
      <c r="N504" s="317"/>
      <c r="O504" s="317"/>
      <c r="P504" s="317"/>
      <c r="Q504" s="317"/>
      <c r="R504" s="317"/>
      <c r="S504" s="317"/>
      <c r="T504" s="317"/>
      <c r="U504" s="317"/>
      <c r="V504" s="317"/>
      <c r="W504" s="317"/>
      <c r="X504" s="317"/>
      <c r="Y504" s="317"/>
      <c r="Z504" s="317"/>
    </row>
    <row r="505" spans="1:26" x14ac:dyDescent="0.25">
      <c r="A505" s="314"/>
      <c r="B505" s="18">
        <v>2023</v>
      </c>
      <c r="C505" s="18" t="s">
        <v>743</v>
      </c>
      <c r="D505" s="18" t="s">
        <v>728</v>
      </c>
      <c r="E505" s="18" t="s">
        <v>703</v>
      </c>
      <c r="F505" s="18" t="s">
        <v>676</v>
      </c>
      <c r="G505" s="18" t="s">
        <v>729</v>
      </c>
      <c r="H505" s="18" t="s">
        <v>730</v>
      </c>
      <c r="I505" s="315">
        <v>1180.9542354074429</v>
      </c>
      <c r="J505" s="315">
        <v>1.3371927750870825</v>
      </c>
      <c r="K505" s="316" t="str">
        <f t="shared" si="32"/>
        <v>Pleasure Craft</v>
      </c>
      <c r="L505" s="316" t="str">
        <f t="shared" si="33"/>
        <v>Gasoline</v>
      </c>
      <c r="M505" s="194"/>
      <c r="N505" s="317"/>
      <c r="O505" s="317"/>
      <c r="P505" s="317"/>
      <c r="Q505" s="317"/>
      <c r="R505" s="317"/>
      <c r="S505" s="317"/>
      <c r="T505" s="317"/>
      <c r="U505" s="317"/>
      <c r="V505" s="317"/>
      <c r="W505" s="317"/>
      <c r="X505" s="317"/>
      <c r="Y505" s="317"/>
      <c r="Z505" s="317"/>
    </row>
    <row r="506" spans="1:26" x14ac:dyDescent="0.25">
      <c r="A506" s="314"/>
      <c r="B506" s="18">
        <v>2023</v>
      </c>
      <c r="C506" s="18" t="s">
        <v>753</v>
      </c>
      <c r="D506" s="18" t="s">
        <v>712</v>
      </c>
      <c r="E506" s="18" t="s">
        <v>713</v>
      </c>
      <c r="F506" s="18" t="s">
        <v>714</v>
      </c>
      <c r="G506" s="18" t="s">
        <v>674</v>
      </c>
      <c r="H506" s="18" t="s">
        <v>715</v>
      </c>
      <c r="I506" s="315">
        <v>1177.7037056421386</v>
      </c>
      <c r="J506" s="315">
        <v>7.0087228128985785E-3</v>
      </c>
      <c r="K506" s="316" t="str">
        <f t="shared" si="32"/>
        <v>Construction and Mining Equipment</v>
      </c>
      <c r="L506" s="316" t="str">
        <f t="shared" si="33"/>
        <v>Diesel</v>
      </c>
      <c r="M506" s="194"/>
      <c r="N506" s="317"/>
      <c r="O506" s="317"/>
      <c r="P506" s="317"/>
      <c r="Q506" s="317"/>
      <c r="R506" s="317"/>
      <c r="S506" s="317"/>
      <c r="T506" s="317"/>
      <c r="U506" s="317"/>
      <c r="V506" s="317"/>
      <c r="W506" s="317"/>
      <c r="X506" s="317"/>
      <c r="Y506" s="317"/>
      <c r="Z506" s="317"/>
    </row>
    <row r="507" spans="1:26" x14ac:dyDescent="0.25">
      <c r="A507" s="314"/>
      <c r="B507" s="18">
        <v>2023</v>
      </c>
      <c r="C507" s="18" t="s">
        <v>722</v>
      </c>
      <c r="D507" s="18" t="s">
        <v>803</v>
      </c>
      <c r="E507" s="18" t="s">
        <v>703</v>
      </c>
      <c r="F507" s="18" t="s">
        <v>805</v>
      </c>
      <c r="G507" s="18" t="s">
        <v>673</v>
      </c>
      <c r="H507" s="18" t="s">
        <v>806</v>
      </c>
      <c r="I507" s="315">
        <v>1177.6013417068721</v>
      </c>
      <c r="J507" s="315">
        <v>2.3307371322204538</v>
      </c>
      <c r="K507" s="316" t="str">
        <f t="shared" si="32"/>
        <v>Lawn and Garden Equipment</v>
      </c>
      <c r="L507" s="316" t="str">
        <f t="shared" si="33"/>
        <v>Gasoline</v>
      </c>
      <c r="M507" s="194"/>
      <c r="N507" s="317"/>
      <c r="O507" s="317"/>
      <c r="P507" s="317"/>
      <c r="Q507" s="317"/>
      <c r="R507" s="317"/>
      <c r="S507" s="317"/>
      <c r="T507" s="317"/>
      <c r="U507" s="317"/>
      <c r="V507" s="317"/>
      <c r="W507" s="317"/>
      <c r="X507" s="317"/>
      <c r="Y507" s="317"/>
      <c r="Z507" s="317"/>
    </row>
    <row r="508" spans="1:26" x14ac:dyDescent="0.25">
      <c r="A508" s="314"/>
      <c r="B508" s="18">
        <v>2023</v>
      </c>
      <c r="C508" s="18" t="s">
        <v>760</v>
      </c>
      <c r="D508" s="18" t="s">
        <v>744</v>
      </c>
      <c r="E508" s="18" t="s">
        <v>703</v>
      </c>
      <c r="F508" s="18" t="s">
        <v>704</v>
      </c>
      <c r="G508" s="18" t="s">
        <v>673</v>
      </c>
      <c r="H508" s="18" t="s">
        <v>745</v>
      </c>
      <c r="I508" s="315">
        <v>1169.8916860087397</v>
      </c>
      <c r="J508" s="315">
        <v>0.86355167019222823</v>
      </c>
      <c r="K508" s="316" t="str">
        <f t="shared" si="32"/>
        <v>Lawn and Garden Equipment</v>
      </c>
      <c r="L508" s="316" t="str">
        <f t="shared" si="33"/>
        <v>Gasoline</v>
      </c>
      <c r="M508" s="194"/>
      <c r="N508" s="317"/>
      <c r="O508" s="317"/>
      <c r="P508" s="317"/>
      <c r="Q508" s="317"/>
      <c r="R508" s="317"/>
      <c r="S508" s="317"/>
      <c r="T508" s="317"/>
      <c r="U508" s="317"/>
      <c r="V508" s="317"/>
      <c r="W508" s="317"/>
      <c r="X508" s="317"/>
      <c r="Y508" s="317"/>
      <c r="Z508" s="317"/>
    </row>
    <row r="509" spans="1:26" x14ac:dyDescent="0.25">
      <c r="A509" s="314"/>
      <c r="B509" s="18">
        <v>2023</v>
      </c>
      <c r="C509" s="18" t="s">
        <v>762</v>
      </c>
      <c r="D509" s="18" t="s">
        <v>707</v>
      </c>
      <c r="E509" s="18" t="s">
        <v>56</v>
      </c>
      <c r="F509" s="18" t="s">
        <v>672</v>
      </c>
      <c r="G509" s="18" t="s">
        <v>675</v>
      </c>
      <c r="H509" s="18" t="s">
        <v>708</v>
      </c>
      <c r="I509" s="315">
        <v>1168.732093090543</v>
      </c>
      <c r="J509" s="315">
        <v>5.251382985018082E-2</v>
      </c>
      <c r="K509" s="316" t="str">
        <f t="shared" si="32"/>
        <v>Industrial Equipment</v>
      </c>
      <c r="L509" s="316" t="str">
        <f t="shared" si="33"/>
        <v>LPG</v>
      </c>
      <c r="M509" s="194"/>
      <c r="N509" s="317"/>
      <c r="O509" s="317"/>
      <c r="P509" s="317"/>
      <c r="Q509" s="317"/>
      <c r="R509" s="317"/>
      <c r="S509" s="317"/>
      <c r="T509" s="317"/>
      <c r="U509" s="317"/>
      <c r="V509" s="317"/>
      <c r="W509" s="317"/>
      <c r="X509" s="317"/>
      <c r="Y509" s="317"/>
      <c r="Z509" s="317"/>
    </row>
    <row r="510" spans="1:26" x14ac:dyDescent="0.25">
      <c r="A510" s="314"/>
      <c r="B510" s="18">
        <v>2023</v>
      </c>
      <c r="C510" s="18" t="s">
        <v>732</v>
      </c>
      <c r="D510" s="18" t="s">
        <v>776</v>
      </c>
      <c r="E510" s="18" t="s">
        <v>713</v>
      </c>
      <c r="F510" s="18" t="s">
        <v>714</v>
      </c>
      <c r="G510" s="18" t="s">
        <v>674</v>
      </c>
      <c r="H510" s="18" t="s">
        <v>777</v>
      </c>
      <c r="I510" s="315">
        <v>1164.3010441291153</v>
      </c>
      <c r="J510" s="315">
        <v>4.630799021422701E-3</v>
      </c>
      <c r="K510" s="316" t="str">
        <f t="shared" si="32"/>
        <v>Construction and Mining Equipment</v>
      </c>
      <c r="L510" s="316" t="str">
        <f t="shared" si="33"/>
        <v>Diesel</v>
      </c>
      <c r="M510" s="194"/>
      <c r="N510" s="317"/>
      <c r="O510" s="317"/>
      <c r="P510" s="317"/>
      <c r="Q510" s="317"/>
      <c r="R510" s="317"/>
      <c r="S510" s="317"/>
      <c r="T510" s="317"/>
      <c r="U510" s="317"/>
      <c r="V510" s="317"/>
      <c r="W510" s="317"/>
      <c r="X510" s="317"/>
      <c r="Y510" s="317"/>
      <c r="Z510" s="317"/>
    </row>
    <row r="511" spans="1:26" x14ac:dyDescent="0.25">
      <c r="A511" s="314"/>
      <c r="B511" s="18">
        <v>2023</v>
      </c>
      <c r="C511" s="18" t="s">
        <v>787</v>
      </c>
      <c r="D511" s="18" t="s">
        <v>702</v>
      </c>
      <c r="E511" s="18" t="s">
        <v>703</v>
      </c>
      <c r="F511" s="18" t="s">
        <v>704</v>
      </c>
      <c r="G511" s="18" t="s">
        <v>673</v>
      </c>
      <c r="H511" s="18" t="s">
        <v>705</v>
      </c>
      <c r="I511" s="315">
        <v>1162.2945498399808</v>
      </c>
      <c r="J511" s="315">
        <v>0.73321967970745516</v>
      </c>
      <c r="K511" s="316" t="str">
        <f t="shared" si="32"/>
        <v>Lawn and Garden Equipment</v>
      </c>
      <c r="L511" s="316" t="str">
        <f t="shared" si="33"/>
        <v>Gasoline</v>
      </c>
      <c r="M511" s="194"/>
      <c r="N511" s="317"/>
      <c r="O511" s="317"/>
      <c r="P511" s="317"/>
      <c r="Q511" s="317"/>
      <c r="R511" s="317"/>
      <c r="S511" s="317"/>
      <c r="T511" s="317"/>
      <c r="U511" s="317"/>
      <c r="V511" s="317"/>
      <c r="W511" s="317"/>
      <c r="X511" s="317"/>
      <c r="Y511" s="317"/>
      <c r="Z511" s="317"/>
    </row>
    <row r="512" spans="1:26" x14ac:dyDescent="0.25">
      <c r="A512" s="314"/>
      <c r="B512" s="18">
        <v>2023</v>
      </c>
      <c r="C512" s="18" t="s">
        <v>792</v>
      </c>
      <c r="D512" s="18" t="s">
        <v>752</v>
      </c>
      <c r="E512" s="18" t="s">
        <v>713</v>
      </c>
      <c r="F512" s="18" t="s">
        <v>714</v>
      </c>
      <c r="G512" s="18" t="s">
        <v>675</v>
      </c>
      <c r="H512" s="18" t="s">
        <v>708</v>
      </c>
      <c r="I512" s="315">
        <v>1158.0232048435912</v>
      </c>
      <c r="J512" s="315">
        <v>5.9061200103847251E-3</v>
      </c>
      <c r="K512" s="316" t="str">
        <f t="shared" si="32"/>
        <v>Industrial Equipment</v>
      </c>
      <c r="L512" s="316" t="str">
        <f t="shared" si="33"/>
        <v>Diesel</v>
      </c>
      <c r="M512" s="194"/>
      <c r="N512" s="317"/>
      <c r="O512" s="317"/>
      <c r="P512" s="317"/>
      <c r="Q512" s="317"/>
      <c r="R512" s="317"/>
      <c r="S512" s="317"/>
      <c r="T512" s="317"/>
      <c r="U512" s="317"/>
      <c r="V512" s="317"/>
      <c r="W512" s="317"/>
      <c r="X512" s="317"/>
      <c r="Y512" s="317"/>
      <c r="Z512" s="317"/>
    </row>
    <row r="513" spans="1:26" x14ac:dyDescent="0.25">
      <c r="A513" s="314"/>
      <c r="B513" s="18">
        <v>2023</v>
      </c>
      <c r="C513" s="18" t="s">
        <v>778</v>
      </c>
      <c r="D513" s="18" t="s">
        <v>769</v>
      </c>
      <c r="E513" s="18" t="s">
        <v>713</v>
      </c>
      <c r="F513" s="18" t="s">
        <v>714</v>
      </c>
      <c r="G513" s="18" t="s">
        <v>674</v>
      </c>
      <c r="H513" s="18" t="s">
        <v>770</v>
      </c>
      <c r="I513" s="315">
        <v>1157.0805412798279</v>
      </c>
      <c r="J513" s="315">
        <v>9.2778486868687945E-3</v>
      </c>
      <c r="K513" s="316" t="str">
        <f t="shared" si="32"/>
        <v>Construction and Mining Equipment</v>
      </c>
      <c r="L513" s="316" t="str">
        <f t="shared" si="33"/>
        <v>Diesel</v>
      </c>
      <c r="M513" s="194"/>
      <c r="N513" s="317"/>
      <c r="O513" s="317"/>
      <c r="P513" s="317"/>
      <c r="Q513" s="317"/>
      <c r="R513" s="317"/>
      <c r="S513" s="317"/>
      <c r="T513" s="317"/>
      <c r="U513" s="317"/>
      <c r="V513" s="317"/>
      <c r="W513" s="317"/>
      <c r="X513" s="317"/>
      <c r="Y513" s="317"/>
      <c r="Z513" s="317"/>
    </row>
    <row r="514" spans="1:26" x14ac:dyDescent="0.25">
      <c r="A514" s="314"/>
      <c r="B514" s="18">
        <v>2023</v>
      </c>
      <c r="C514" s="18" t="s">
        <v>701</v>
      </c>
      <c r="D514" s="18" t="s">
        <v>880</v>
      </c>
      <c r="E514" s="18" t="s">
        <v>703</v>
      </c>
      <c r="F514" s="18" t="s">
        <v>704</v>
      </c>
      <c r="G514" s="18" t="s">
        <v>677</v>
      </c>
      <c r="H514" s="18" t="s">
        <v>785</v>
      </c>
      <c r="I514" s="315">
        <v>1157.0624303049894</v>
      </c>
      <c r="J514" s="315">
        <v>0.66715599054905128</v>
      </c>
      <c r="K514" s="316" t="str">
        <f t="shared" si="32"/>
        <v>Commercial Equipment</v>
      </c>
      <c r="L514" s="316" t="str">
        <f t="shared" si="33"/>
        <v>Gasoline</v>
      </c>
      <c r="M514" s="194"/>
      <c r="N514" s="317"/>
      <c r="O514" s="317"/>
      <c r="P514" s="317"/>
      <c r="Q514" s="317"/>
      <c r="R514" s="317"/>
      <c r="S514" s="317"/>
      <c r="T514" s="317"/>
      <c r="U514" s="317"/>
      <c r="V514" s="317"/>
      <c r="W514" s="317"/>
      <c r="X514" s="317"/>
      <c r="Y514" s="317"/>
      <c r="Z514" s="317"/>
    </row>
    <row r="515" spans="1:26" x14ac:dyDescent="0.25">
      <c r="A515" s="314"/>
      <c r="B515" s="18">
        <v>2023</v>
      </c>
      <c r="C515" s="18" t="s">
        <v>709</v>
      </c>
      <c r="D515" s="18" t="s">
        <v>866</v>
      </c>
      <c r="E515" s="18" t="s">
        <v>713</v>
      </c>
      <c r="F515" s="18" t="s">
        <v>714</v>
      </c>
      <c r="G515" s="18" t="s">
        <v>677</v>
      </c>
      <c r="H515" s="18" t="s">
        <v>841</v>
      </c>
      <c r="I515" s="315">
        <v>1156.1662842785472</v>
      </c>
      <c r="J515" s="315">
        <v>2.8830171105875428E-2</v>
      </c>
      <c r="K515" s="316" t="str">
        <f t="shared" si="32"/>
        <v>Commercial Equipment</v>
      </c>
      <c r="L515" s="316" t="str">
        <f t="shared" si="33"/>
        <v>Diesel</v>
      </c>
      <c r="M515" s="194"/>
      <c r="N515" s="317"/>
      <c r="O515" s="317"/>
      <c r="P515" s="317"/>
      <c r="Q515" s="317"/>
      <c r="R515" s="317"/>
      <c r="S515" s="317"/>
      <c r="T515" s="317"/>
      <c r="U515" s="317"/>
      <c r="V515" s="317"/>
      <c r="W515" s="317"/>
      <c r="X515" s="317"/>
      <c r="Y515" s="317"/>
      <c r="Z515" s="317"/>
    </row>
    <row r="516" spans="1:26" x14ac:dyDescent="0.25">
      <c r="A516" s="314"/>
      <c r="B516" s="18">
        <v>2023</v>
      </c>
      <c r="C516" s="18" t="s">
        <v>787</v>
      </c>
      <c r="D516" s="18" t="s">
        <v>752</v>
      </c>
      <c r="E516" s="18" t="s">
        <v>713</v>
      </c>
      <c r="F516" s="18" t="s">
        <v>714</v>
      </c>
      <c r="G516" s="18" t="s">
        <v>675</v>
      </c>
      <c r="H516" s="18" t="s">
        <v>708</v>
      </c>
      <c r="I516" s="315">
        <v>1141.4397909735565</v>
      </c>
      <c r="J516" s="315">
        <v>5.8215316324827611E-3</v>
      </c>
      <c r="K516" s="316" t="str">
        <f t="shared" si="32"/>
        <v>Industrial Equipment</v>
      </c>
      <c r="L516" s="316" t="str">
        <f t="shared" si="33"/>
        <v>Diesel</v>
      </c>
      <c r="M516" s="194"/>
      <c r="N516" s="317"/>
      <c r="O516" s="317"/>
      <c r="P516" s="317"/>
      <c r="Q516" s="317"/>
      <c r="R516" s="317"/>
      <c r="S516" s="317"/>
      <c r="T516" s="317"/>
      <c r="U516" s="317"/>
      <c r="V516" s="317"/>
      <c r="W516" s="317"/>
      <c r="X516" s="317"/>
      <c r="Y516" s="317"/>
      <c r="Z516" s="317"/>
    </row>
    <row r="517" spans="1:26" x14ac:dyDescent="0.25">
      <c r="A517" s="314"/>
      <c r="B517" s="18">
        <v>2023</v>
      </c>
      <c r="C517" s="18" t="s">
        <v>810</v>
      </c>
      <c r="D517" s="18" t="s">
        <v>707</v>
      </c>
      <c r="E517" s="18" t="s">
        <v>56</v>
      </c>
      <c r="F517" s="18" t="s">
        <v>672</v>
      </c>
      <c r="G517" s="18" t="s">
        <v>675</v>
      </c>
      <c r="H517" s="18" t="s">
        <v>708</v>
      </c>
      <c r="I517" s="315">
        <v>1138.3665690849252</v>
      </c>
      <c r="J517" s="315">
        <v>5.1149580157234344E-2</v>
      </c>
      <c r="K517" s="316" t="str">
        <f t="shared" si="32"/>
        <v>Industrial Equipment</v>
      </c>
      <c r="L517" s="316" t="str">
        <f t="shared" si="33"/>
        <v>LPG</v>
      </c>
      <c r="M517" s="194"/>
      <c r="N517" s="317"/>
      <c r="O517" s="317"/>
      <c r="P517" s="317"/>
      <c r="Q517" s="317"/>
      <c r="R517" s="317"/>
      <c r="S517" s="317"/>
      <c r="T517" s="317"/>
      <c r="U517" s="317"/>
      <c r="V517" s="317"/>
      <c r="W517" s="317"/>
      <c r="X517" s="317"/>
      <c r="Y517" s="317"/>
      <c r="Z517" s="317"/>
    </row>
    <row r="518" spans="1:26" x14ac:dyDescent="0.25">
      <c r="A518" s="314"/>
      <c r="B518" s="18">
        <v>2023</v>
      </c>
      <c r="C518" s="18" t="s">
        <v>722</v>
      </c>
      <c r="D518" s="18" t="s">
        <v>763</v>
      </c>
      <c r="E518" s="18" t="s">
        <v>713</v>
      </c>
      <c r="F518" s="18" t="s">
        <v>714</v>
      </c>
      <c r="G518" s="18" t="s">
        <v>678</v>
      </c>
      <c r="H518" s="18" t="s">
        <v>764</v>
      </c>
      <c r="I518" s="315">
        <v>1134.810135805415</v>
      </c>
      <c r="J518" s="315">
        <v>1.2847031386771986E-2</v>
      </c>
      <c r="K518" s="316" t="str">
        <f t="shared" si="32"/>
        <v>Agricultural Equipment</v>
      </c>
      <c r="L518" s="316" t="str">
        <f t="shared" si="33"/>
        <v>Diesel</v>
      </c>
      <c r="M518" s="194"/>
      <c r="N518" s="317"/>
      <c r="O518" s="317"/>
      <c r="P518" s="317"/>
      <c r="Q518" s="317"/>
      <c r="R518" s="317"/>
      <c r="S518" s="317"/>
      <c r="T518" s="317"/>
      <c r="U518" s="317"/>
      <c r="V518" s="317"/>
      <c r="W518" s="317"/>
      <c r="X518" s="317"/>
      <c r="Y518" s="317"/>
      <c r="Z518" s="317"/>
    </row>
    <row r="519" spans="1:26" x14ac:dyDescent="0.25">
      <c r="A519" s="314"/>
      <c r="B519" s="18">
        <v>2023</v>
      </c>
      <c r="C519" s="18" t="s">
        <v>711</v>
      </c>
      <c r="D519" s="18" t="s">
        <v>866</v>
      </c>
      <c r="E519" s="18" t="s">
        <v>713</v>
      </c>
      <c r="F519" s="18" t="s">
        <v>714</v>
      </c>
      <c r="G519" s="18" t="s">
        <v>677</v>
      </c>
      <c r="H519" s="18" t="s">
        <v>841</v>
      </c>
      <c r="I519" s="315">
        <v>1132.1148876468094</v>
      </c>
      <c r="J519" s="315">
        <v>2.8230448554456517E-2</v>
      </c>
      <c r="K519" s="316" t="str">
        <f t="shared" si="32"/>
        <v>Commercial Equipment</v>
      </c>
      <c r="L519" s="316" t="str">
        <f t="shared" si="33"/>
        <v>Diesel</v>
      </c>
      <c r="M519" s="194"/>
      <c r="N519" s="317"/>
      <c r="O519" s="317"/>
      <c r="P519" s="317"/>
      <c r="Q519" s="317"/>
      <c r="R519" s="317"/>
      <c r="S519" s="317"/>
      <c r="T519" s="317"/>
      <c r="U519" s="317"/>
      <c r="V519" s="317"/>
      <c r="W519" s="317"/>
      <c r="X519" s="317"/>
      <c r="Y519" s="317"/>
      <c r="Z519" s="317"/>
    </row>
    <row r="520" spans="1:26" x14ac:dyDescent="0.25">
      <c r="A520" s="314"/>
      <c r="B520" s="18">
        <v>2023</v>
      </c>
      <c r="C520" s="18" t="s">
        <v>754</v>
      </c>
      <c r="D520" s="18" t="s">
        <v>755</v>
      </c>
      <c r="E520" s="18" t="s">
        <v>713</v>
      </c>
      <c r="F520" s="18" t="s">
        <v>714</v>
      </c>
      <c r="G520" s="18" t="s">
        <v>674</v>
      </c>
      <c r="H520" s="18" t="s">
        <v>756</v>
      </c>
      <c r="I520" s="315">
        <v>1121.6026958301788</v>
      </c>
      <c r="J520" s="315">
        <v>4.3553472362981967E-2</v>
      </c>
      <c r="K520" s="316" t="str">
        <f t="shared" si="32"/>
        <v>Construction and Mining Equipment</v>
      </c>
      <c r="L520" s="316" t="str">
        <f t="shared" si="33"/>
        <v>Diesel</v>
      </c>
      <c r="M520" s="194"/>
      <c r="N520" s="317"/>
      <c r="O520" s="317"/>
      <c r="P520" s="317"/>
      <c r="Q520" s="317"/>
      <c r="R520" s="317"/>
      <c r="S520" s="317"/>
      <c r="T520" s="317"/>
      <c r="U520" s="317"/>
      <c r="V520" s="317"/>
      <c r="W520" s="317"/>
      <c r="X520" s="317"/>
      <c r="Y520" s="317"/>
      <c r="Z520" s="317"/>
    </row>
    <row r="521" spans="1:26" x14ac:dyDescent="0.25">
      <c r="A521" s="314"/>
      <c r="B521" s="18">
        <v>2023</v>
      </c>
      <c r="C521" s="18" t="s">
        <v>727</v>
      </c>
      <c r="D521" s="18" t="s">
        <v>851</v>
      </c>
      <c r="E521" s="18" t="s">
        <v>703</v>
      </c>
      <c r="F521" s="18" t="s">
        <v>704</v>
      </c>
      <c r="G521" s="18" t="s">
        <v>679</v>
      </c>
      <c r="H521" s="18" t="s">
        <v>852</v>
      </c>
      <c r="I521" s="315">
        <v>1115.4712986023112</v>
      </c>
      <c r="J521" s="315">
        <v>1.1014580089397641</v>
      </c>
      <c r="K521" s="316" t="str">
        <f t="shared" si="32"/>
        <v>Recreational Equipment</v>
      </c>
      <c r="L521" s="316" t="str">
        <f t="shared" si="33"/>
        <v>Gasoline</v>
      </c>
      <c r="M521" s="194"/>
      <c r="N521" s="317"/>
      <c r="O521" s="317"/>
      <c r="P521" s="317"/>
      <c r="Q521" s="317"/>
      <c r="R521" s="317"/>
      <c r="S521" s="317"/>
      <c r="T521" s="317"/>
      <c r="U521" s="317"/>
      <c r="V521" s="317"/>
      <c r="W521" s="317"/>
      <c r="X521" s="317"/>
      <c r="Y521" s="317"/>
      <c r="Z521" s="317"/>
    </row>
    <row r="522" spans="1:26" x14ac:dyDescent="0.25">
      <c r="A522" s="314"/>
      <c r="B522" s="18">
        <v>2023</v>
      </c>
      <c r="C522" s="18" t="s">
        <v>732</v>
      </c>
      <c r="D522" s="18" t="s">
        <v>784</v>
      </c>
      <c r="E522" s="18" t="s">
        <v>713</v>
      </c>
      <c r="F522" s="18" t="s">
        <v>714</v>
      </c>
      <c r="G522" s="18" t="s">
        <v>677</v>
      </c>
      <c r="H522" s="18" t="s">
        <v>785</v>
      </c>
      <c r="I522" s="315">
        <v>1114.9714334921459</v>
      </c>
      <c r="J522" s="315">
        <v>1.5801422491721041E-2</v>
      </c>
      <c r="K522" s="316" t="str">
        <f t="shared" si="32"/>
        <v>Commercial Equipment</v>
      </c>
      <c r="L522" s="316" t="str">
        <f t="shared" si="33"/>
        <v>Diesel</v>
      </c>
      <c r="M522" s="194"/>
      <c r="N522" s="317"/>
      <c r="O522" s="317"/>
      <c r="P522" s="317"/>
      <c r="Q522" s="317"/>
      <c r="R522" s="317"/>
      <c r="S522" s="317"/>
      <c r="T522" s="317"/>
      <c r="U522" s="317"/>
      <c r="V522" s="317"/>
      <c r="W522" s="317"/>
      <c r="X522" s="317"/>
      <c r="Y522" s="317"/>
      <c r="Z522" s="317"/>
    </row>
    <row r="523" spans="1:26" x14ac:dyDescent="0.25">
      <c r="A523" s="314"/>
      <c r="B523" s="18">
        <v>2023</v>
      </c>
      <c r="C523" s="18" t="s">
        <v>810</v>
      </c>
      <c r="D523" s="18" t="s">
        <v>712</v>
      </c>
      <c r="E523" s="18" t="s">
        <v>713</v>
      </c>
      <c r="F523" s="18" t="s">
        <v>714</v>
      </c>
      <c r="G523" s="18" t="s">
        <v>674</v>
      </c>
      <c r="H523" s="18" t="s">
        <v>715</v>
      </c>
      <c r="I523" s="315">
        <v>1110.0034597142808</v>
      </c>
      <c r="J523" s="315">
        <v>6.6058215951302806E-3</v>
      </c>
      <c r="K523" s="316" t="str">
        <f t="shared" si="32"/>
        <v>Construction and Mining Equipment</v>
      </c>
      <c r="L523" s="316" t="str">
        <f t="shared" si="33"/>
        <v>Diesel</v>
      </c>
      <c r="M523" s="194"/>
      <c r="N523" s="317"/>
      <c r="O523" s="317"/>
      <c r="P523" s="317"/>
      <c r="Q523" s="317"/>
      <c r="R523" s="317"/>
      <c r="S523" s="317"/>
      <c r="T523" s="317"/>
      <c r="U523" s="317"/>
      <c r="V523" s="317"/>
      <c r="W523" s="317"/>
      <c r="X523" s="317"/>
      <c r="Y523" s="317"/>
      <c r="Z523" s="317"/>
    </row>
    <row r="524" spans="1:26" x14ac:dyDescent="0.25">
      <c r="A524" s="314"/>
      <c r="B524" s="18">
        <v>2023</v>
      </c>
      <c r="C524" s="18" t="s">
        <v>760</v>
      </c>
      <c r="D524" s="18" t="s">
        <v>748</v>
      </c>
      <c r="E524" s="18" t="s">
        <v>703</v>
      </c>
      <c r="F524" s="18" t="s">
        <v>704</v>
      </c>
      <c r="G524" s="18" t="s">
        <v>673</v>
      </c>
      <c r="H524" s="18" t="s">
        <v>749</v>
      </c>
      <c r="I524" s="315">
        <v>1109.3210342140455</v>
      </c>
      <c r="J524" s="315">
        <v>0.63080437023477154</v>
      </c>
      <c r="K524" s="316" t="str">
        <f t="shared" si="32"/>
        <v>Lawn and Garden Equipment</v>
      </c>
      <c r="L524" s="316" t="str">
        <f t="shared" si="33"/>
        <v>Gasoline</v>
      </c>
      <c r="M524" s="194"/>
      <c r="N524" s="317"/>
      <c r="O524" s="317"/>
      <c r="P524" s="317"/>
      <c r="Q524" s="317"/>
      <c r="R524" s="317"/>
      <c r="S524" s="317"/>
      <c r="T524" s="317"/>
      <c r="U524" s="317"/>
      <c r="V524" s="317"/>
      <c r="W524" s="317"/>
      <c r="X524" s="317"/>
      <c r="Y524" s="317"/>
      <c r="Z524" s="317"/>
    </row>
    <row r="525" spans="1:26" x14ac:dyDescent="0.25">
      <c r="A525" s="314"/>
      <c r="B525" s="18">
        <v>2023</v>
      </c>
      <c r="C525" s="18" t="s">
        <v>710</v>
      </c>
      <c r="D525" s="18" t="s">
        <v>723</v>
      </c>
      <c r="E525" s="18" t="s">
        <v>703</v>
      </c>
      <c r="F525" s="18" t="s">
        <v>704</v>
      </c>
      <c r="G525" s="18" t="s">
        <v>673</v>
      </c>
      <c r="H525" s="18" t="s">
        <v>724</v>
      </c>
      <c r="I525" s="315">
        <v>1104.6157764955349</v>
      </c>
      <c r="J525" s="315">
        <v>0.72590456651715041</v>
      </c>
      <c r="K525" s="316" t="str">
        <f t="shared" si="32"/>
        <v>Lawn and Garden Equipment</v>
      </c>
      <c r="L525" s="316" t="str">
        <f t="shared" si="33"/>
        <v>Gasoline</v>
      </c>
      <c r="M525" s="194"/>
      <c r="N525" s="317"/>
      <c r="O525" s="317"/>
      <c r="P525" s="317"/>
      <c r="Q525" s="317"/>
      <c r="R525" s="317"/>
      <c r="S525" s="317"/>
      <c r="T525" s="317"/>
      <c r="U525" s="317"/>
      <c r="V525" s="317"/>
      <c r="W525" s="317"/>
      <c r="X525" s="317"/>
      <c r="Y525" s="317"/>
      <c r="Z525" s="317"/>
    </row>
    <row r="526" spans="1:26" x14ac:dyDescent="0.25">
      <c r="A526" s="314"/>
      <c r="B526" s="18">
        <v>2023</v>
      </c>
      <c r="C526" s="18" t="s">
        <v>722</v>
      </c>
      <c r="D526" s="18" t="s">
        <v>807</v>
      </c>
      <c r="E526" s="18" t="s">
        <v>703</v>
      </c>
      <c r="F526" s="18" t="s">
        <v>805</v>
      </c>
      <c r="G526" s="18" t="s">
        <v>673</v>
      </c>
      <c r="H526" s="18" t="s">
        <v>749</v>
      </c>
      <c r="I526" s="315">
        <v>1099.5986385308906</v>
      </c>
      <c r="J526" s="315">
        <v>2.0569819140754877</v>
      </c>
      <c r="K526" s="316" t="str">
        <f t="shared" si="32"/>
        <v>Lawn and Garden Equipment</v>
      </c>
      <c r="L526" s="316" t="str">
        <f t="shared" si="33"/>
        <v>Gasoline</v>
      </c>
      <c r="M526" s="194"/>
      <c r="N526" s="317"/>
      <c r="O526" s="317"/>
      <c r="P526" s="317"/>
      <c r="Q526" s="317"/>
      <c r="R526" s="317"/>
      <c r="S526" s="317"/>
      <c r="T526" s="317"/>
      <c r="U526" s="317"/>
      <c r="V526" s="317"/>
      <c r="W526" s="317"/>
      <c r="X526" s="317"/>
      <c r="Y526" s="317"/>
      <c r="Z526" s="317"/>
    </row>
    <row r="527" spans="1:26" x14ac:dyDescent="0.25">
      <c r="A527" s="314"/>
      <c r="B527" s="18">
        <v>2023</v>
      </c>
      <c r="C527" s="18" t="s">
        <v>743</v>
      </c>
      <c r="D527" s="18" t="s">
        <v>761</v>
      </c>
      <c r="E527" s="18" t="s">
        <v>713</v>
      </c>
      <c r="F527" s="18" t="s">
        <v>714</v>
      </c>
      <c r="G527" s="18" t="s">
        <v>677</v>
      </c>
      <c r="H527" s="18" t="s">
        <v>747</v>
      </c>
      <c r="I527" s="315">
        <v>1099.1215637070793</v>
      </c>
      <c r="J527" s="315">
        <v>2.8078202418014557E-2</v>
      </c>
      <c r="K527" s="316" t="str">
        <f t="shared" si="32"/>
        <v>Commercial Equipment</v>
      </c>
      <c r="L527" s="316" t="str">
        <f t="shared" si="33"/>
        <v>Diesel</v>
      </c>
      <c r="M527" s="194"/>
      <c r="N527" s="317"/>
      <c r="O527" s="317"/>
      <c r="P527" s="317"/>
      <c r="Q527" s="317"/>
      <c r="R527" s="317"/>
      <c r="S527" s="317"/>
      <c r="T527" s="317"/>
      <c r="U527" s="317"/>
      <c r="V527" s="317"/>
      <c r="W527" s="317"/>
      <c r="X527" s="317"/>
      <c r="Y527" s="317"/>
      <c r="Z527" s="317"/>
    </row>
    <row r="528" spans="1:26" x14ac:dyDescent="0.25">
      <c r="A528" s="314"/>
      <c r="B528" s="18">
        <v>2023</v>
      </c>
      <c r="C528" s="18" t="s">
        <v>709</v>
      </c>
      <c r="D528" s="18" t="s">
        <v>839</v>
      </c>
      <c r="E528" s="18" t="s">
        <v>703</v>
      </c>
      <c r="F528" s="18" t="s">
        <v>704</v>
      </c>
      <c r="G528" s="18" t="s">
        <v>675</v>
      </c>
      <c r="H528" s="18" t="s">
        <v>708</v>
      </c>
      <c r="I528" s="315">
        <v>1096.6104764945671</v>
      </c>
      <c r="J528" s="315">
        <v>7.540777668559441E-2</v>
      </c>
      <c r="K528" s="316" t="str">
        <f t="shared" si="32"/>
        <v>Industrial Equipment</v>
      </c>
      <c r="L528" s="316" t="str">
        <f t="shared" si="33"/>
        <v>Gasoline</v>
      </c>
      <c r="M528" s="194"/>
      <c r="N528" s="317"/>
      <c r="O528" s="317"/>
      <c r="P528" s="317"/>
      <c r="Q528" s="317"/>
      <c r="R528" s="317"/>
      <c r="S528" s="317"/>
      <c r="T528" s="317"/>
      <c r="U528" s="317"/>
      <c r="V528" s="317"/>
      <c r="W528" s="317"/>
      <c r="X528" s="317"/>
      <c r="Y528" s="317"/>
      <c r="Z528" s="317"/>
    </row>
    <row r="529" spans="1:26" x14ac:dyDescent="0.25">
      <c r="A529" s="314"/>
      <c r="B529" s="18">
        <v>2023</v>
      </c>
      <c r="C529" s="18" t="s">
        <v>710</v>
      </c>
      <c r="D529" s="18" t="s">
        <v>866</v>
      </c>
      <c r="E529" s="18" t="s">
        <v>713</v>
      </c>
      <c r="F529" s="18" t="s">
        <v>714</v>
      </c>
      <c r="G529" s="18" t="s">
        <v>677</v>
      </c>
      <c r="H529" s="18" t="s">
        <v>841</v>
      </c>
      <c r="I529" s="315">
        <v>1092.6014804878664</v>
      </c>
      <c r="J529" s="315">
        <v>2.7245170751920303E-2</v>
      </c>
      <c r="K529" s="316" t="str">
        <f t="shared" si="32"/>
        <v>Commercial Equipment</v>
      </c>
      <c r="L529" s="316" t="str">
        <f t="shared" si="33"/>
        <v>Diesel</v>
      </c>
      <c r="M529" s="194"/>
      <c r="N529" s="317"/>
      <c r="O529" s="317"/>
      <c r="P529" s="317"/>
      <c r="Q529" s="317"/>
      <c r="R529" s="317"/>
      <c r="S529" s="317"/>
      <c r="T529" s="317"/>
      <c r="U529" s="317"/>
      <c r="V529" s="317"/>
      <c r="W529" s="317"/>
      <c r="X529" s="317"/>
      <c r="Y529" s="317"/>
      <c r="Z529" s="317"/>
    </row>
    <row r="530" spans="1:26" x14ac:dyDescent="0.25">
      <c r="A530" s="314"/>
      <c r="B530" s="18">
        <v>2023</v>
      </c>
      <c r="C530" s="18" t="s">
        <v>727</v>
      </c>
      <c r="D530" s="18" t="s">
        <v>716</v>
      </c>
      <c r="E530" s="18" t="s">
        <v>713</v>
      </c>
      <c r="F530" s="18" t="s">
        <v>714</v>
      </c>
      <c r="G530" s="18" t="s">
        <v>675</v>
      </c>
      <c r="H530" s="18" t="s">
        <v>717</v>
      </c>
      <c r="I530" s="315">
        <v>1086.1877262177049</v>
      </c>
      <c r="J530" s="315">
        <v>2.228913651413186E-2</v>
      </c>
      <c r="K530" s="316" t="str">
        <f t="shared" si="32"/>
        <v>Industrial Equipment</v>
      </c>
      <c r="L530" s="316" t="str">
        <f t="shared" si="33"/>
        <v>Diesel</v>
      </c>
      <c r="M530" s="194"/>
      <c r="N530" s="317"/>
      <c r="O530" s="317"/>
      <c r="P530" s="317"/>
      <c r="Q530" s="317"/>
      <c r="R530" s="317"/>
      <c r="S530" s="317"/>
      <c r="T530" s="317"/>
      <c r="U530" s="317"/>
      <c r="V530" s="317"/>
      <c r="W530" s="317"/>
      <c r="X530" s="317"/>
      <c r="Y530" s="317"/>
      <c r="Z530" s="317"/>
    </row>
    <row r="531" spans="1:26" x14ac:dyDescent="0.25">
      <c r="A531" s="314"/>
      <c r="B531" s="18">
        <v>2023</v>
      </c>
      <c r="C531" s="18" t="s">
        <v>753</v>
      </c>
      <c r="D531" s="18" t="s">
        <v>718</v>
      </c>
      <c r="E531" s="18" t="s">
        <v>713</v>
      </c>
      <c r="F531" s="18" t="s">
        <v>714</v>
      </c>
      <c r="G531" s="18" t="s">
        <v>674</v>
      </c>
      <c r="H531" s="18" t="s">
        <v>719</v>
      </c>
      <c r="I531" s="315">
        <v>1081.7055961501294</v>
      </c>
      <c r="J531" s="315">
        <v>4.0431404627622779E-3</v>
      </c>
      <c r="K531" s="316" t="str">
        <f t="shared" si="32"/>
        <v>Construction and Mining Equipment</v>
      </c>
      <c r="L531" s="316" t="str">
        <f t="shared" si="33"/>
        <v>Diesel</v>
      </c>
      <c r="M531" s="194"/>
      <c r="N531" s="317"/>
      <c r="O531" s="317"/>
      <c r="P531" s="317"/>
      <c r="Q531" s="317"/>
      <c r="R531" s="317"/>
      <c r="S531" s="317"/>
      <c r="T531" s="317"/>
      <c r="U531" s="317"/>
      <c r="V531" s="317"/>
      <c r="W531" s="317"/>
      <c r="X531" s="317"/>
      <c r="Y531" s="317"/>
      <c r="Z531" s="317"/>
    </row>
    <row r="532" spans="1:26" x14ac:dyDescent="0.25">
      <c r="A532" s="314"/>
      <c r="B532" s="18">
        <v>2023</v>
      </c>
      <c r="C532" s="18" t="s">
        <v>732</v>
      </c>
      <c r="D532" s="18" t="s">
        <v>779</v>
      </c>
      <c r="E532" s="18" t="s">
        <v>713</v>
      </c>
      <c r="F532" s="18" t="s">
        <v>714</v>
      </c>
      <c r="G532" s="18" t="s">
        <v>674</v>
      </c>
      <c r="H532" s="18" t="s">
        <v>780</v>
      </c>
      <c r="I532" s="315">
        <v>1078.9580521383109</v>
      </c>
      <c r="J532" s="315">
        <v>3.514109447007906E-3</v>
      </c>
      <c r="K532" s="316" t="str">
        <f t="shared" si="32"/>
        <v>Construction and Mining Equipment</v>
      </c>
      <c r="L532" s="316" t="str">
        <f t="shared" si="33"/>
        <v>Diesel</v>
      </c>
      <c r="M532" s="194"/>
      <c r="N532" s="317"/>
      <c r="O532" s="317"/>
      <c r="P532" s="317"/>
      <c r="Q532" s="317"/>
      <c r="R532" s="317"/>
      <c r="S532" s="317"/>
      <c r="T532" s="317"/>
      <c r="U532" s="317"/>
      <c r="V532" s="317"/>
      <c r="W532" s="317"/>
      <c r="X532" s="317"/>
      <c r="Y532" s="317"/>
      <c r="Z532" s="317"/>
    </row>
    <row r="533" spans="1:26" x14ac:dyDescent="0.25">
      <c r="A533" s="314"/>
      <c r="B533" s="18">
        <v>2023</v>
      </c>
      <c r="C533" s="18" t="s">
        <v>753</v>
      </c>
      <c r="D533" s="18" t="s">
        <v>720</v>
      </c>
      <c r="E533" s="18" t="s">
        <v>713</v>
      </c>
      <c r="F533" s="18" t="s">
        <v>714</v>
      </c>
      <c r="G533" s="18" t="s">
        <v>674</v>
      </c>
      <c r="H533" s="18" t="s">
        <v>721</v>
      </c>
      <c r="I533" s="315">
        <v>1077.127454767372</v>
      </c>
      <c r="J533" s="315">
        <v>4.8616826367077126E-3</v>
      </c>
      <c r="K533" s="316" t="str">
        <f t="shared" si="32"/>
        <v>Construction and Mining Equipment</v>
      </c>
      <c r="L533" s="316" t="str">
        <f t="shared" si="33"/>
        <v>Diesel</v>
      </c>
      <c r="M533" s="194"/>
      <c r="N533" s="317"/>
      <c r="O533" s="317"/>
      <c r="P533" s="317"/>
      <c r="Q533" s="317"/>
      <c r="R533" s="317"/>
      <c r="S533" s="317"/>
      <c r="T533" s="317"/>
      <c r="U533" s="317"/>
      <c r="V533" s="317"/>
      <c r="W533" s="317"/>
      <c r="X533" s="317"/>
      <c r="Y533" s="317"/>
      <c r="Z533" s="317"/>
    </row>
    <row r="534" spans="1:26" x14ac:dyDescent="0.25">
      <c r="A534" s="314"/>
      <c r="B534" s="18">
        <v>2023</v>
      </c>
      <c r="C534" s="18" t="s">
        <v>701</v>
      </c>
      <c r="D534" s="18" t="s">
        <v>920</v>
      </c>
      <c r="E534" s="18" t="s">
        <v>703</v>
      </c>
      <c r="F534" s="18" t="s">
        <v>704</v>
      </c>
      <c r="G534" s="18" t="s">
        <v>673</v>
      </c>
      <c r="H534" s="18" t="s">
        <v>921</v>
      </c>
      <c r="I534" s="315">
        <v>1074.2133867904347</v>
      </c>
      <c r="J534" s="315">
        <v>0.68190116911396625</v>
      </c>
      <c r="K534" s="316" t="str">
        <f t="shared" si="32"/>
        <v>Lawn and Garden Equipment</v>
      </c>
      <c r="L534" s="316" t="str">
        <f t="shared" si="33"/>
        <v>Gasoline</v>
      </c>
      <c r="M534" s="194"/>
      <c r="N534" s="317"/>
      <c r="O534" s="317"/>
      <c r="P534" s="317"/>
      <c r="Q534" s="317"/>
      <c r="R534" s="317"/>
      <c r="S534" s="317"/>
      <c r="T534" s="317"/>
      <c r="U534" s="317"/>
      <c r="V534" s="317"/>
      <c r="W534" s="317"/>
      <c r="X534" s="317"/>
      <c r="Y534" s="317"/>
      <c r="Z534" s="317"/>
    </row>
    <row r="535" spans="1:26" x14ac:dyDescent="0.25">
      <c r="A535" s="314"/>
      <c r="B535" s="18">
        <v>2023</v>
      </c>
      <c r="C535" s="18" t="s">
        <v>727</v>
      </c>
      <c r="D535" s="18" t="s">
        <v>735</v>
      </c>
      <c r="E535" s="18" t="s">
        <v>713</v>
      </c>
      <c r="F535" s="18" t="s">
        <v>714</v>
      </c>
      <c r="G535" s="18" t="s">
        <v>674</v>
      </c>
      <c r="H535" s="18" t="s">
        <v>736</v>
      </c>
      <c r="I535" s="315">
        <v>1072.755103883251</v>
      </c>
      <c r="J535" s="315">
        <v>3.2086745431887165E-2</v>
      </c>
      <c r="K535" s="316" t="str">
        <f t="shared" si="32"/>
        <v>Construction and Mining Equipment</v>
      </c>
      <c r="L535" s="316" t="str">
        <f t="shared" si="33"/>
        <v>Diesel</v>
      </c>
      <c r="M535" s="194"/>
      <c r="N535" s="317"/>
      <c r="O535" s="317"/>
      <c r="P535" s="317"/>
      <c r="Q535" s="317"/>
      <c r="R535" s="317"/>
      <c r="S535" s="317"/>
      <c r="T535" s="317"/>
      <c r="U535" s="317"/>
      <c r="V535" s="317"/>
      <c r="W535" s="317"/>
      <c r="X535" s="317"/>
      <c r="Y535" s="317"/>
      <c r="Z535" s="317"/>
    </row>
    <row r="536" spans="1:26" x14ac:dyDescent="0.25">
      <c r="A536" s="314"/>
      <c r="B536" s="18">
        <v>2023</v>
      </c>
      <c r="C536" s="18" t="s">
        <v>760</v>
      </c>
      <c r="D536" s="18" t="s">
        <v>784</v>
      </c>
      <c r="E536" s="18" t="s">
        <v>713</v>
      </c>
      <c r="F536" s="18" t="s">
        <v>714</v>
      </c>
      <c r="G536" s="18" t="s">
        <v>677</v>
      </c>
      <c r="H536" s="18" t="s">
        <v>785</v>
      </c>
      <c r="I536" s="315">
        <v>1072.0883267943859</v>
      </c>
      <c r="J536" s="315">
        <v>1.5193659479071397E-2</v>
      </c>
      <c r="K536" s="316" t="str">
        <f t="shared" si="32"/>
        <v>Commercial Equipment</v>
      </c>
      <c r="L536" s="316" t="str">
        <f t="shared" si="33"/>
        <v>Diesel</v>
      </c>
      <c r="M536" s="194"/>
      <c r="N536" s="317"/>
      <c r="O536" s="317"/>
      <c r="P536" s="317"/>
      <c r="Q536" s="317"/>
      <c r="R536" s="317"/>
      <c r="S536" s="317"/>
      <c r="T536" s="317"/>
      <c r="U536" s="317"/>
      <c r="V536" s="317"/>
      <c r="W536" s="317"/>
      <c r="X536" s="317"/>
      <c r="Y536" s="317"/>
      <c r="Z536" s="317"/>
    </row>
    <row r="537" spans="1:26" x14ac:dyDescent="0.25">
      <c r="A537" s="314"/>
      <c r="B537" s="18">
        <v>2023</v>
      </c>
      <c r="C537" s="18" t="s">
        <v>732</v>
      </c>
      <c r="D537" s="18" t="s">
        <v>782</v>
      </c>
      <c r="E537" s="18" t="s">
        <v>713</v>
      </c>
      <c r="F537" s="18" t="s">
        <v>714</v>
      </c>
      <c r="G537" s="18" t="s">
        <v>674</v>
      </c>
      <c r="H537" s="18" t="s">
        <v>783</v>
      </c>
      <c r="I537" s="315">
        <v>1070.143496902296</v>
      </c>
      <c r="J537" s="315">
        <v>1.0159469279881891E-2</v>
      </c>
      <c r="K537" s="316" t="str">
        <f t="shared" si="32"/>
        <v>Construction and Mining Equipment</v>
      </c>
      <c r="L537" s="316" t="str">
        <f t="shared" si="33"/>
        <v>Diesel</v>
      </c>
      <c r="M537" s="194"/>
      <c r="N537" s="317"/>
      <c r="O537" s="317"/>
      <c r="P537" s="317"/>
      <c r="Q537" s="317"/>
      <c r="R537" s="317"/>
      <c r="S537" s="317"/>
      <c r="T537" s="317"/>
      <c r="U537" s="317"/>
      <c r="V537" s="317"/>
      <c r="W537" s="317"/>
      <c r="X537" s="317"/>
      <c r="Y537" s="317"/>
      <c r="Z537" s="317"/>
    </row>
    <row r="538" spans="1:26" x14ac:dyDescent="0.25">
      <c r="A538" s="314"/>
      <c r="B538" s="18">
        <v>2023</v>
      </c>
      <c r="C538" s="18" t="s">
        <v>706</v>
      </c>
      <c r="D538" s="18" t="s">
        <v>925</v>
      </c>
      <c r="E538" s="18" t="s">
        <v>703</v>
      </c>
      <c r="F538" s="18" t="s">
        <v>704</v>
      </c>
      <c r="G538" s="18" t="s">
        <v>675</v>
      </c>
      <c r="H538" s="18" t="s">
        <v>798</v>
      </c>
      <c r="I538" s="315">
        <v>1067.83018638519</v>
      </c>
      <c r="J538" s="315">
        <v>0.79952333781307949</v>
      </c>
      <c r="K538" s="316" t="str">
        <f t="shared" si="32"/>
        <v>Industrial Equipment</v>
      </c>
      <c r="L538" s="316" t="str">
        <f t="shared" si="33"/>
        <v>Gasoline</v>
      </c>
      <c r="M538" s="194"/>
      <c r="N538" s="317"/>
      <c r="O538" s="317"/>
      <c r="P538" s="317"/>
      <c r="Q538" s="317"/>
      <c r="R538" s="317"/>
      <c r="S538" s="317"/>
      <c r="T538" s="317"/>
      <c r="U538" s="317"/>
      <c r="V538" s="317"/>
      <c r="W538" s="317"/>
      <c r="X538" s="317"/>
      <c r="Y538" s="317"/>
      <c r="Z538" s="317"/>
    </row>
    <row r="539" spans="1:26" x14ac:dyDescent="0.25">
      <c r="A539" s="314"/>
      <c r="B539" s="18">
        <v>2023</v>
      </c>
      <c r="C539" s="18" t="s">
        <v>793</v>
      </c>
      <c r="D539" s="18" t="s">
        <v>735</v>
      </c>
      <c r="E539" s="18" t="s">
        <v>713</v>
      </c>
      <c r="F539" s="18" t="s">
        <v>714</v>
      </c>
      <c r="G539" s="18" t="s">
        <v>674</v>
      </c>
      <c r="H539" s="18" t="s">
        <v>736</v>
      </c>
      <c r="I539" s="315">
        <v>1047.3952637254458</v>
      </c>
      <c r="J539" s="315">
        <v>3.1328221018473747E-2</v>
      </c>
      <c r="K539" s="316" t="str">
        <f t="shared" si="32"/>
        <v>Construction and Mining Equipment</v>
      </c>
      <c r="L539" s="316" t="str">
        <f t="shared" si="33"/>
        <v>Diesel</v>
      </c>
      <c r="M539" s="194"/>
      <c r="N539" s="317"/>
      <c r="O539" s="317"/>
      <c r="P539" s="317"/>
      <c r="Q539" s="317"/>
      <c r="R539" s="317"/>
      <c r="S539" s="317"/>
      <c r="T539" s="317"/>
      <c r="U539" s="317"/>
      <c r="V539" s="317"/>
      <c r="W539" s="317"/>
      <c r="X539" s="317"/>
      <c r="Y539" s="317"/>
      <c r="Z539" s="317"/>
    </row>
    <row r="540" spans="1:26" x14ac:dyDescent="0.25">
      <c r="A540" s="314"/>
      <c r="B540" s="18">
        <v>2023</v>
      </c>
      <c r="C540" s="18" t="s">
        <v>732</v>
      </c>
      <c r="D540" s="18" t="s">
        <v>788</v>
      </c>
      <c r="E540" s="18" t="s">
        <v>703</v>
      </c>
      <c r="F540" s="18" t="s">
        <v>704</v>
      </c>
      <c r="G540" s="18" t="s">
        <v>677</v>
      </c>
      <c r="H540" s="18" t="s">
        <v>789</v>
      </c>
      <c r="I540" s="315">
        <v>1046.8917279186155</v>
      </c>
      <c r="J540" s="315">
        <v>0.72607237548418724</v>
      </c>
      <c r="K540" s="316" t="str">
        <f t="shared" si="32"/>
        <v>Commercial Equipment</v>
      </c>
      <c r="L540" s="316" t="str">
        <f t="shared" si="33"/>
        <v>Gasoline</v>
      </c>
      <c r="M540" s="194"/>
      <c r="N540" s="317"/>
      <c r="O540" s="317"/>
      <c r="P540" s="317"/>
      <c r="Q540" s="317"/>
      <c r="R540" s="317"/>
      <c r="S540" s="317"/>
      <c r="T540" s="317"/>
      <c r="U540" s="317"/>
      <c r="V540" s="317"/>
      <c r="W540" s="317"/>
      <c r="X540" s="317"/>
      <c r="Y540" s="317"/>
      <c r="Z540" s="317"/>
    </row>
    <row r="541" spans="1:26" x14ac:dyDescent="0.25">
      <c r="A541" s="314"/>
      <c r="B541" s="18">
        <v>2023</v>
      </c>
      <c r="C541" s="18" t="s">
        <v>732</v>
      </c>
      <c r="D541" s="18" t="s">
        <v>794</v>
      </c>
      <c r="E541" s="18" t="s">
        <v>703</v>
      </c>
      <c r="F541" s="18" t="s">
        <v>795</v>
      </c>
      <c r="G541" s="18" t="s">
        <v>673</v>
      </c>
      <c r="H541" s="18" t="s">
        <v>796</v>
      </c>
      <c r="I541" s="315">
        <v>1041.8912690264169</v>
      </c>
      <c r="J541" s="315">
        <v>1.9033321235826954</v>
      </c>
      <c r="K541" s="316" t="str">
        <f t="shared" si="32"/>
        <v>Lawn and Garden Equipment</v>
      </c>
      <c r="L541" s="316" t="str">
        <f t="shared" si="33"/>
        <v>Gasoline</v>
      </c>
      <c r="M541" s="194"/>
      <c r="N541" s="317"/>
      <c r="O541" s="317"/>
      <c r="P541" s="317"/>
      <c r="Q541" s="317"/>
      <c r="R541" s="317"/>
      <c r="S541" s="317"/>
      <c r="T541" s="317"/>
      <c r="U541" s="317"/>
      <c r="V541" s="317"/>
      <c r="W541" s="317"/>
      <c r="X541" s="317"/>
      <c r="Y541" s="317"/>
      <c r="Z541" s="317"/>
    </row>
    <row r="542" spans="1:26" x14ac:dyDescent="0.25">
      <c r="A542" s="314"/>
      <c r="B542" s="18">
        <v>2023</v>
      </c>
      <c r="C542" s="18" t="s">
        <v>711</v>
      </c>
      <c r="D542" s="18" t="s">
        <v>763</v>
      </c>
      <c r="E542" s="18" t="s">
        <v>713</v>
      </c>
      <c r="F542" s="18" t="s">
        <v>714</v>
      </c>
      <c r="G542" s="18" t="s">
        <v>678</v>
      </c>
      <c r="H542" s="18" t="s">
        <v>764</v>
      </c>
      <c r="I542" s="315">
        <v>1035.5325961501512</v>
      </c>
      <c r="J542" s="315">
        <v>1.1723120731143984E-2</v>
      </c>
      <c r="K542" s="316" t="str">
        <f t="shared" si="32"/>
        <v>Agricultural Equipment</v>
      </c>
      <c r="L542" s="316" t="str">
        <f t="shared" si="33"/>
        <v>Diesel</v>
      </c>
      <c r="M542" s="194"/>
      <c r="N542" s="317"/>
      <c r="O542" s="317"/>
      <c r="P542" s="317"/>
      <c r="Q542" s="317"/>
      <c r="R542" s="317"/>
      <c r="S542" s="317"/>
      <c r="T542" s="317"/>
      <c r="U542" s="317"/>
      <c r="V542" s="317"/>
      <c r="W542" s="317"/>
      <c r="X542" s="317"/>
      <c r="Y542" s="317"/>
      <c r="Z542" s="317"/>
    </row>
    <row r="543" spans="1:26" x14ac:dyDescent="0.25">
      <c r="A543" s="314"/>
      <c r="B543" s="18">
        <v>2023</v>
      </c>
      <c r="C543" s="18" t="s">
        <v>810</v>
      </c>
      <c r="D543" s="18" t="s">
        <v>728</v>
      </c>
      <c r="E543" s="18" t="s">
        <v>703</v>
      </c>
      <c r="F543" s="18" t="s">
        <v>676</v>
      </c>
      <c r="G543" s="18" t="s">
        <v>729</v>
      </c>
      <c r="H543" s="18" t="s">
        <v>730</v>
      </c>
      <c r="I543" s="315">
        <v>1033.3349502029898</v>
      </c>
      <c r="J543" s="315">
        <v>1.1700438398229087</v>
      </c>
      <c r="K543" s="316" t="str">
        <f t="shared" si="32"/>
        <v>Pleasure Craft</v>
      </c>
      <c r="L543" s="316" t="str">
        <f t="shared" si="33"/>
        <v>Gasoline</v>
      </c>
      <c r="M543" s="194"/>
      <c r="N543" s="317"/>
      <c r="O543" s="317"/>
      <c r="P543" s="317"/>
      <c r="Q543" s="317"/>
      <c r="R543" s="317"/>
      <c r="S543" s="317"/>
      <c r="T543" s="317"/>
      <c r="U543" s="317"/>
      <c r="V543" s="317"/>
      <c r="W543" s="317"/>
      <c r="X543" s="317"/>
      <c r="Y543" s="317"/>
      <c r="Z543" s="317"/>
    </row>
    <row r="544" spans="1:26" x14ac:dyDescent="0.25">
      <c r="A544" s="314"/>
      <c r="B544" s="18">
        <v>2023</v>
      </c>
      <c r="C544" s="18" t="s">
        <v>722</v>
      </c>
      <c r="D544" s="18" t="s">
        <v>866</v>
      </c>
      <c r="E544" s="18" t="s">
        <v>713</v>
      </c>
      <c r="F544" s="18" t="s">
        <v>714</v>
      </c>
      <c r="G544" s="18" t="s">
        <v>677</v>
      </c>
      <c r="H544" s="18" t="s">
        <v>841</v>
      </c>
      <c r="I544" s="315">
        <v>1027.3224834006796</v>
      </c>
      <c r="J544" s="315">
        <v>2.5617316330119544E-2</v>
      </c>
      <c r="K544" s="316" t="str">
        <f t="shared" si="32"/>
        <v>Commercial Equipment</v>
      </c>
      <c r="L544" s="316" t="str">
        <f t="shared" si="33"/>
        <v>Diesel</v>
      </c>
      <c r="M544" s="194"/>
      <c r="N544" s="317"/>
      <c r="O544" s="317"/>
      <c r="P544" s="317"/>
      <c r="Q544" s="317"/>
      <c r="R544" s="317"/>
      <c r="S544" s="317"/>
      <c r="T544" s="317"/>
      <c r="U544" s="317"/>
      <c r="V544" s="317"/>
      <c r="W544" s="317"/>
      <c r="X544" s="317"/>
      <c r="Y544" s="317"/>
      <c r="Z544" s="317"/>
    </row>
    <row r="545" spans="1:26" x14ac:dyDescent="0.25">
      <c r="A545" s="314"/>
      <c r="B545" s="18">
        <v>2023</v>
      </c>
      <c r="C545" s="18" t="s">
        <v>773</v>
      </c>
      <c r="D545" s="18" t="s">
        <v>894</v>
      </c>
      <c r="E545" s="18" t="s">
        <v>713</v>
      </c>
      <c r="F545" s="18" t="s">
        <v>714</v>
      </c>
      <c r="G545" s="18" t="s">
        <v>681</v>
      </c>
      <c r="H545" s="18" t="s">
        <v>895</v>
      </c>
      <c r="I545" s="315">
        <v>1022.8217573412886</v>
      </c>
      <c r="J545" s="315">
        <v>2.0057134508581894E-3</v>
      </c>
      <c r="K545" s="316" t="str">
        <f t="shared" si="32"/>
        <v>Logging Equipment</v>
      </c>
      <c r="L545" s="316" t="str">
        <f t="shared" si="33"/>
        <v>Diesel</v>
      </c>
      <c r="M545" s="194"/>
      <c r="N545" s="317"/>
      <c r="O545" s="317"/>
      <c r="P545" s="317"/>
      <c r="Q545" s="317"/>
      <c r="R545" s="317"/>
      <c r="S545" s="317"/>
      <c r="T545" s="317"/>
      <c r="U545" s="317"/>
      <c r="V545" s="317"/>
      <c r="W545" s="317"/>
      <c r="X545" s="317"/>
      <c r="Y545" s="317"/>
      <c r="Z545" s="317"/>
    </row>
    <row r="546" spans="1:26" x14ac:dyDescent="0.25">
      <c r="A546" s="314"/>
      <c r="B546" s="18">
        <v>2023</v>
      </c>
      <c r="C546" s="18" t="s">
        <v>810</v>
      </c>
      <c r="D546" s="18" t="s">
        <v>718</v>
      </c>
      <c r="E546" s="18" t="s">
        <v>713</v>
      </c>
      <c r="F546" s="18" t="s">
        <v>714</v>
      </c>
      <c r="G546" s="18" t="s">
        <v>674</v>
      </c>
      <c r="H546" s="18" t="s">
        <v>719</v>
      </c>
      <c r="I546" s="315">
        <v>1019.5222750329772</v>
      </c>
      <c r="J546" s="315">
        <v>3.8107157587067729E-3</v>
      </c>
      <c r="K546" s="316" t="str">
        <f t="shared" si="32"/>
        <v>Construction and Mining Equipment</v>
      </c>
      <c r="L546" s="316" t="str">
        <f t="shared" si="33"/>
        <v>Diesel</v>
      </c>
      <c r="M546" s="194"/>
      <c r="N546" s="317"/>
      <c r="O546" s="317"/>
      <c r="P546" s="317"/>
      <c r="Q546" s="317"/>
      <c r="R546" s="317"/>
      <c r="S546" s="317"/>
      <c r="T546" s="317"/>
      <c r="U546" s="317"/>
      <c r="V546" s="317"/>
      <c r="W546" s="317"/>
      <c r="X546" s="317"/>
      <c r="Y546" s="317"/>
      <c r="Z546" s="317"/>
    </row>
    <row r="547" spans="1:26" x14ac:dyDescent="0.25">
      <c r="A547" s="314"/>
      <c r="B547" s="18">
        <v>2023</v>
      </c>
      <c r="C547" s="18" t="s">
        <v>810</v>
      </c>
      <c r="D547" s="18" t="s">
        <v>720</v>
      </c>
      <c r="E547" s="18" t="s">
        <v>713</v>
      </c>
      <c r="F547" s="18" t="s">
        <v>714</v>
      </c>
      <c r="G547" s="18" t="s">
        <v>674</v>
      </c>
      <c r="H547" s="18" t="s">
        <v>721</v>
      </c>
      <c r="I547" s="315">
        <v>1015.207905723811</v>
      </c>
      <c r="J547" s="315">
        <v>4.5822035010890331E-3</v>
      </c>
      <c r="K547" s="316" t="str">
        <f t="shared" si="32"/>
        <v>Construction and Mining Equipment</v>
      </c>
      <c r="L547" s="316" t="str">
        <f t="shared" si="33"/>
        <v>Diesel</v>
      </c>
      <c r="M547" s="194"/>
      <c r="N547" s="317"/>
      <c r="O547" s="317"/>
      <c r="P547" s="317"/>
      <c r="Q547" s="317"/>
      <c r="R547" s="317"/>
      <c r="S547" s="317"/>
      <c r="T547" s="317"/>
      <c r="U547" s="317"/>
      <c r="V547" s="317"/>
      <c r="W547" s="317"/>
      <c r="X547" s="317"/>
      <c r="Y547" s="317"/>
      <c r="Z547" s="317"/>
    </row>
    <row r="548" spans="1:26" x14ac:dyDescent="0.25">
      <c r="A548" s="314"/>
      <c r="B548" s="18">
        <v>2023</v>
      </c>
      <c r="C548" s="18" t="s">
        <v>760</v>
      </c>
      <c r="D548" s="18" t="s">
        <v>788</v>
      </c>
      <c r="E548" s="18" t="s">
        <v>703</v>
      </c>
      <c r="F548" s="18" t="s">
        <v>704</v>
      </c>
      <c r="G548" s="18" t="s">
        <v>677</v>
      </c>
      <c r="H548" s="18" t="s">
        <v>789</v>
      </c>
      <c r="I548" s="315">
        <v>1006.6279884734394</v>
      </c>
      <c r="J548" s="315">
        <v>0.69645070592312175</v>
      </c>
      <c r="K548" s="316" t="str">
        <f t="shared" si="32"/>
        <v>Commercial Equipment</v>
      </c>
      <c r="L548" s="316" t="str">
        <f t="shared" si="33"/>
        <v>Gasoline</v>
      </c>
      <c r="M548" s="194"/>
      <c r="N548" s="317"/>
      <c r="O548" s="317"/>
      <c r="P548" s="317"/>
      <c r="Q548" s="317"/>
      <c r="R548" s="317"/>
      <c r="S548" s="317"/>
      <c r="T548" s="317"/>
      <c r="U548" s="317"/>
      <c r="V548" s="317"/>
      <c r="W548" s="317"/>
      <c r="X548" s="317"/>
      <c r="Y548" s="317"/>
      <c r="Z548" s="317"/>
    </row>
    <row r="549" spans="1:26" x14ac:dyDescent="0.25">
      <c r="A549" s="314"/>
      <c r="B549" s="18">
        <v>2023</v>
      </c>
      <c r="C549" s="18" t="s">
        <v>722</v>
      </c>
      <c r="D549" s="18" t="s">
        <v>776</v>
      </c>
      <c r="E549" s="18" t="s">
        <v>713</v>
      </c>
      <c r="F549" s="18" t="s">
        <v>714</v>
      </c>
      <c r="G549" s="18" t="s">
        <v>674</v>
      </c>
      <c r="H549" s="18" t="s">
        <v>777</v>
      </c>
      <c r="I549" s="315">
        <v>1006.4645708215947</v>
      </c>
      <c r="J549" s="315">
        <v>4.0030393074973972E-3</v>
      </c>
      <c r="K549" s="316" t="str">
        <f t="shared" si="32"/>
        <v>Construction and Mining Equipment</v>
      </c>
      <c r="L549" s="316" t="str">
        <f t="shared" si="33"/>
        <v>Diesel</v>
      </c>
      <c r="M549" s="194"/>
      <c r="N549" s="317"/>
      <c r="O549" s="317"/>
      <c r="P549" s="317"/>
      <c r="Q549" s="317"/>
      <c r="R549" s="317"/>
      <c r="S549" s="317"/>
      <c r="T549" s="317"/>
      <c r="U549" s="317"/>
      <c r="V549" s="317"/>
      <c r="W549" s="317"/>
      <c r="X549" s="317"/>
      <c r="Y549" s="317"/>
      <c r="Z549" s="317"/>
    </row>
    <row r="550" spans="1:26" x14ac:dyDescent="0.25">
      <c r="A550" s="314"/>
      <c r="B550" s="18">
        <v>2023</v>
      </c>
      <c r="C550" s="18" t="s">
        <v>701</v>
      </c>
      <c r="D550" s="18" t="s">
        <v>927</v>
      </c>
      <c r="E550" s="18" t="s">
        <v>56</v>
      </c>
      <c r="F550" s="18" t="s">
        <v>672</v>
      </c>
      <c r="G550" s="18" t="s">
        <v>673</v>
      </c>
      <c r="H550" s="18" t="s">
        <v>742</v>
      </c>
      <c r="I550" s="315">
        <v>999.29278682531628</v>
      </c>
      <c r="J550" s="315">
        <v>4.5397579559486145E-2</v>
      </c>
      <c r="K550" s="316" t="str">
        <f t="shared" si="32"/>
        <v>Lawn and Garden Equipment</v>
      </c>
      <c r="L550" s="316" t="str">
        <f t="shared" si="33"/>
        <v>LPG</v>
      </c>
      <c r="M550" s="194"/>
      <c r="N550" s="317"/>
      <c r="O550" s="317"/>
      <c r="P550" s="317"/>
      <c r="Q550" s="317"/>
      <c r="R550" s="317"/>
      <c r="S550" s="317"/>
      <c r="T550" s="317"/>
      <c r="U550" s="317"/>
      <c r="V550" s="317"/>
      <c r="W550" s="317"/>
      <c r="X550" s="317"/>
      <c r="Y550" s="317"/>
      <c r="Z550" s="317"/>
    </row>
    <row r="551" spans="1:26" x14ac:dyDescent="0.25">
      <c r="A551" s="314"/>
      <c r="B551" s="18">
        <v>2023</v>
      </c>
      <c r="C551" s="18" t="s">
        <v>732</v>
      </c>
      <c r="D551" s="18" t="s">
        <v>799</v>
      </c>
      <c r="E551" s="18" t="s">
        <v>703</v>
      </c>
      <c r="F551" s="18" t="s">
        <v>795</v>
      </c>
      <c r="G551" s="18" t="s">
        <v>673</v>
      </c>
      <c r="H551" s="18" t="s">
        <v>800</v>
      </c>
      <c r="I551" s="315">
        <v>995.73855265687121</v>
      </c>
      <c r="J551" s="315">
        <v>1.8840029975936876</v>
      </c>
      <c r="K551" s="316" t="str">
        <f t="shared" si="32"/>
        <v>Lawn and Garden Equipment</v>
      </c>
      <c r="L551" s="316" t="str">
        <f t="shared" si="33"/>
        <v>Gasoline</v>
      </c>
      <c r="M551" s="194"/>
      <c r="N551" s="317"/>
      <c r="O551" s="317"/>
      <c r="P551" s="317"/>
      <c r="Q551" s="317"/>
      <c r="R551" s="317"/>
      <c r="S551" s="317"/>
      <c r="T551" s="317"/>
      <c r="U551" s="317"/>
      <c r="V551" s="317"/>
      <c r="W551" s="317"/>
      <c r="X551" s="317"/>
      <c r="Y551" s="317"/>
      <c r="Z551" s="317"/>
    </row>
    <row r="552" spans="1:26" x14ac:dyDescent="0.25">
      <c r="A552" s="314"/>
      <c r="B552" s="18">
        <v>2023</v>
      </c>
      <c r="C552" s="18" t="s">
        <v>706</v>
      </c>
      <c r="D552" s="18" t="s">
        <v>920</v>
      </c>
      <c r="E552" s="18" t="s">
        <v>703</v>
      </c>
      <c r="F552" s="18" t="s">
        <v>704</v>
      </c>
      <c r="G552" s="18" t="s">
        <v>673</v>
      </c>
      <c r="H552" s="18" t="s">
        <v>921</v>
      </c>
      <c r="I552" s="315">
        <v>992.47927715362607</v>
      </c>
      <c r="J552" s="315">
        <v>0.62988549038179076</v>
      </c>
      <c r="K552" s="316" t="str">
        <f t="shared" si="32"/>
        <v>Lawn and Garden Equipment</v>
      </c>
      <c r="L552" s="316" t="str">
        <f t="shared" si="33"/>
        <v>Gasoline</v>
      </c>
      <c r="M552" s="194"/>
      <c r="N552" s="317"/>
      <c r="O552" s="317"/>
      <c r="P552" s="317"/>
      <c r="Q552" s="317"/>
      <c r="R552" s="317"/>
      <c r="S552" s="317"/>
      <c r="T552" s="317"/>
      <c r="U552" s="317"/>
      <c r="V552" s="317"/>
      <c r="W552" s="317"/>
      <c r="X552" s="317"/>
      <c r="Y552" s="317"/>
      <c r="Z552" s="317"/>
    </row>
    <row r="553" spans="1:26" x14ac:dyDescent="0.25">
      <c r="A553" s="314"/>
      <c r="B553" s="18">
        <v>2023</v>
      </c>
      <c r="C553" s="18" t="s">
        <v>722</v>
      </c>
      <c r="D553" s="18" t="s">
        <v>830</v>
      </c>
      <c r="E553" s="18" t="s">
        <v>703</v>
      </c>
      <c r="F553" s="18" t="s">
        <v>704</v>
      </c>
      <c r="G553" s="18" t="s">
        <v>673</v>
      </c>
      <c r="H553" s="18" t="s">
        <v>742</v>
      </c>
      <c r="I553" s="315">
        <v>991.88919778346349</v>
      </c>
      <c r="J553" s="315">
        <v>0.43229618852093188</v>
      </c>
      <c r="K553" s="316" t="str">
        <f t="shared" si="32"/>
        <v>Lawn and Garden Equipment</v>
      </c>
      <c r="L553" s="316" t="str">
        <f t="shared" si="33"/>
        <v>Gasoline</v>
      </c>
      <c r="M553" s="194"/>
      <c r="N553" s="317"/>
      <c r="O553" s="317"/>
      <c r="P553" s="317"/>
      <c r="Q553" s="317"/>
      <c r="R553" s="317"/>
      <c r="S553" s="317"/>
      <c r="T553" s="317"/>
      <c r="U553" s="317"/>
      <c r="V553" s="317"/>
      <c r="W553" s="317"/>
      <c r="X553" s="317"/>
      <c r="Y553" s="317"/>
      <c r="Z553" s="317"/>
    </row>
    <row r="554" spans="1:26" x14ac:dyDescent="0.25">
      <c r="A554" s="314"/>
      <c r="B554" s="18">
        <v>2023</v>
      </c>
      <c r="C554" s="18" t="s">
        <v>732</v>
      </c>
      <c r="D554" s="18" t="s">
        <v>790</v>
      </c>
      <c r="E554" s="18" t="s">
        <v>713</v>
      </c>
      <c r="F554" s="18" t="s">
        <v>714</v>
      </c>
      <c r="G554" s="18" t="s">
        <v>674</v>
      </c>
      <c r="H554" s="18" t="s">
        <v>791</v>
      </c>
      <c r="I554" s="315">
        <v>991.56042902573483</v>
      </c>
      <c r="J554" s="315">
        <v>5.7001121402964388E-3</v>
      </c>
      <c r="K554" s="316" t="str">
        <f t="shared" si="32"/>
        <v>Construction and Mining Equipment</v>
      </c>
      <c r="L554" s="316" t="str">
        <f t="shared" si="33"/>
        <v>Diesel</v>
      </c>
      <c r="M554" s="194"/>
      <c r="N554" s="317"/>
      <c r="O554" s="317"/>
      <c r="P554" s="317"/>
      <c r="Q554" s="317"/>
      <c r="R554" s="317"/>
      <c r="S554" s="317"/>
      <c r="T554" s="317"/>
      <c r="U554" s="317"/>
      <c r="V554" s="317"/>
      <c r="W554" s="317"/>
      <c r="X554" s="317"/>
      <c r="Y554" s="317"/>
      <c r="Z554" s="317"/>
    </row>
    <row r="555" spans="1:26" x14ac:dyDescent="0.25">
      <c r="A555" s="314"/>
      <c r="B555" s="18">
        <v>2023</v>
      </c>
      <c r="C555" s="18" t="s">
        <v>711</v>
      </c>
      <c r="D555" s="18" t="s">
        <v>849</v>
      </c>
      <c r="E555" s="18" t="s">
        <v>713</v>
      </c>
      <c r="F555" s="18" t="s">
        <v>714</v>
      </c>
      <c r="G555" s="18" t="s">
        <v>674</v>
      </c>
      <c r="H555" s="18" t="s">
        <v>850</v>
      </c>
      <c r="I555" s="315">
        <v>987.22089394934062</v>
      </c>
      <c r="J555" s="315">
        <v>1.3792038369774287E-2</v>
      </c>
      <c r="K555" s="316" t="str">
        <f t="shared" si="32"/>
        <v>Construction and Mining Equipment</v>
      </c>
      <c r="L555" s="316" t="str">
        <f t="shared" si="33"/>
        <v>Diesel</v>
      </c>
      <c r="M555" s="194"/>
      <c r="N555" s="317"/>
      <c r="O555" s="317"/>
      <c r="P555" s="317"/>
      <c r="Q555" s="317"/>
      <c r="R555" s="317"/>
      <c r="S555" s="317"/>
      <c r="T555" s="317"/>
      <c r="U555" s="317"/>
      <c r="V555" s="317"/>
      <c r="W555" s="317"/>
      <c r="X555" s="317"/>
      <c r="Y555" s="317"/>
      <c r="Z555" s="317"/>
    </row>
    <row r="556" spans="1:26" x14ac:dyDescent="0.25">
      <c r="A556" s="314"/>
      <c r="B556" s="18">
        <v>2023</v>
      </c>
      <c r="C556" s="18" t="s">
        <v>787</v>
      </c>
      <c r="D556" s="18" t="s">
        <v>755</v>
      </c>
      <c r="E556" s="18" t="s">
        <v>713</v>
      </c>
      <c r="F556" s="18" t="s">
        <v>714</v>
      </c>
      <c r="G556" s="18" t="s">
        <v>674</v>
      </c>
      <c r="H556" s="18" t="s">
        <v>756</v>
      </c>
      <c r="I556" s="315">
        <v>984.59557421567752</v>
      </c>
      <c r="J556" s="315">
        <v>3.823327903500693E-2</v>
      </c>
      <c r="K556" s="316" t="str">
        <f t="shared" si="32"/>
        <v>Construction and Mining Equipment</v>
      </c>
      <c r="L556" s="316" t="str">
        <f t="shared" si="33"/>
        <v>Diesel</v>
      </c>
      <c r="M556" s="194"/>
      <c r="N556" s="317"/>
      <c r="O556" s="317"/>
      <c r="P556" s="317"/>
      <c r="Q556" s="317"/>
      <c r="R556" s="317"/>
      <c r="S556" s="317"/>
      <c r="T556" s="317"/>
      <c r="U556" s="317"/>
      <c r="V556" s="317"/>
      <c r="W556" s="317"/>
      <c r="X556" s="317"/>
      <c r="Y556" s="317"/>
      <c r="Z556" s="317"/>
    </row>
    <row r="557" spans="1:26" x14ac:dyDescent="0.25">
      <c r="A557" s="314"/>
      <c r="B557" s="18">
        <v>2023</v>
      </c>
      <c r="C557" s="18" t="s">
        <v>810</v>
      </c>
      <c r="D557" s="18" t="s">
        <v>723</v>
      </c>
      <c r="E557" s="18" t="s">
        <v>703</v>
      </c>
      <c r="F557" s="18" t="s">
        <v>704</v>
      </c>
      <c r="G557" s="18" t="s">
        <v>673</v>
      </c>
      <c r="H557" s="18" t="s">
        <v>724</v>
      </c>
      <c r="I557" s="315">
        <v>982.55776656913349</v>
      </c>
      <c r="J557" s="315">
        <v>0.65262271000598304</v>
      </c>
      <c r="K557" s="316" t="str">
        <f t="shared" si="32"/>
        <v>Lawn and Garden Equipment</v>
      </c>
      <c r="L557" s="316" t="str">
        <f t="shared" si="33"/>
        <v>Gasoline</v>
      </c>
      <c r="M557" s="194"/>
      <c r="N557" s="317"/>
      <c r="O557" s="317"/>
      <c r="P557" s="317"/>
      <c r="Q557" s="317"/>
      <c r="R557" s="317"/>
      <c r="S557" s="317"/>
      <c r="T557" s="317"/>
      <c r="U557" s="317"/>
      <c r="V557" s="317"/>
      <c r="W557" s="317"/>
      <c r="X557" s="317"/>
      <c r="Y557" s="317"/>
      <c r="Z557" s="317"/>
    </row>
    <row r="558" spans="1:26" x14ac:dyDescent="0.25">
      <c r="A558" s="314"/>
      <c r="B558" s="18">
        <v>2023</v>
      </c>
      <c r="C558" s="18" t="s">
        <v>759</v>
      </c>
      <c r="D558" s="18" t="s">
        <v>723</v>
      </c>
      <c r="E558" s="18" t="s">
        <v>703</v>
      </c>
      <c r="F558" s="18" t="s">
        <v>704</v>
      </c>
      <c r="G558" s="18" t="s">
        <v>673</v>
      </c>
      <c r="H558" s="18" t="s">
        <v>724</v>
      </c>
      <c r="I558" s="315">
        <v>982.55776656913349</v>
      </c>
      <c r="J558" s="315">
        <v>0.64359273661275618</v>
      </c>
      <c r="K558" s="316" t="str">
        <f t="shared" ref="K558:K812" si="34">IF(F558="Pleasure Craft","Pleasure Craft",IF(F558="Railroad Equipment","Railroad Equipment",G558))</f>
        <v>Lawn and Garden Equipment</v>
      </c>
      <c r="L558" s="316" t="str">
        <f t="shared" ref="L558:L812" si="35">IF(E558="Non-Road Gasoline","Gasoline",IF(E558="Non-Road Diesel","Diesel",IF(RIGHT(F558,3)="LPG","LPG",IF(RIGHT(F558,3)="CNG","CNG",G558))))</f>
        <v>Gasoline</v>
      </c>
      <c r="M558" s="194"/>
      <c r="N558" s="317"/>
      <c r="O558" s="317"/>
      <c r="P558" s="317"/>
      <c r="Q558" s="317"/>
      <c r="R558" s="317"/>
      <c r="S558" s="317"/>
      <c r="T558" s="317"/>
      <c r="U558" s="317"/>
      <c r="V558" s="317"/>
      <c r="W558" s="317"/>
      <c r="X558" s="317"/>
      <c r="Y558" s="317"/>
      <c r="Z558" s="317"/>
    </row>
    <row r="559" spans="1:26" x14ac:dyDescent="0.25">
      <c r="A559" s="314"/>
      <c r="B559" s="18">
        <v>2023</v>
      </c>
      <c r="C559" s="18" t="s">
        <v>727</v>
      </c>
      <c r="D559" s="18" t="s">
        <v>723</v>
      </c>
      <c r="E559" s="18" t="s">
        <v>703</v>
      </c>
      <c r="F559" s="18" t="s">
        <v>704</v>
      </c>
      <c r="G559" s="18" t="s">
        <v>673</v>
      </c>
      <c r="H559" s="18" t="s">
        <v>724</v>
      </c>
      <c r="I559" s="315">
        <v>982.55776656913349</v>
      </c>
      <c r="J559" s="315">
        <v>0.64394505869416629</v>
      </c>
      <c r="K559" s="316" t="str">
        <f t="shared" si="34"/>
        <v>Lawn and Garden Equipment</v>
      </c>
      <c r="L559" s="316" t="str">
        <f t="shared" si="35"/>
        <v>Gasoline</v>
      </c>
      <c r="M559" s="194"/>
      <c r="N559" s="317"/>
      <c r="O559" s="317"/>
      <c r="P559" s="317"/>
      <c r="Q559" s="317"/>
      <c r="R559" s="317"/>
      <c r="S559" s="317"/>
      <c r="T559" s="317"/>
      <c r="U559" s="317"/>
      <c r="V559" s="317"/>
      <c r="W559" s="317"/>
      <c r="X559" s="317"/>
      <c r="Y559" s="317"/>
      <c r="Z559" s="317"/>
    </row>
    <row r="560" spans="1:26" x14ac:dyDescent="0.25">
      <c r="A560" s="314"/>
      <c r="B560" s="18">
        <v>2023</v>
      </c>
      <c r="C560" s="18" t="s">
        <v>773</v>
      </c>
      <c r="D560" s="18" t="s">
        <v>735</v>
      </c>
      <c r="E560" s="18" t="s">
        <v>713</v>
      </c>
      <c r="F560" s="18" t="s">
        <v>714</v>
      </c>
      <c r="G560" s="18" t="s">
        <v>674</v>
      </c>
      <c r="H560" s="18" t="s">
        <v>736</v>
      </c>
      <c r="I560" s="315">
        <v>976.9307737694088</v>
      </c>
      <c r="J560" s="315">
        <v>2.9220580729221745E-2</v>
      </c>
      <c r="K560" s="316" t="str">
        <f t="shared" si="34"/>
        <v>Construction and Mining Equipment</v>
      </c>
      <c r="L560" s="316" t="str">
        <f t="shared" si="35"/>
        <v>Diesel</v>
      </c>
      <c r="M560" s="194"/>
      <c r="N560" s="317"/>
      <c r="O560" s="317"/>
      <c r="P560" s="317"/>
      <c r="Q560" s="317"/>
      <c r="R560" s="317"/>
      <c r="S560" s="317"/>
      <c r="T560" s="317"/>
      <c r="U560" s="317"/>
      <c r="V560" s="317"/>
      <c r="W560" s="317"/>
      <c r="X560" s="317"/>
      <c r="Y560" s="317"/>
      <c r="Z560" s="317"/>
    </row>
    <row r="561" spans="1:26" x14ac:dyDescent="0.25">
      <c r="A561" s="314"/>
      <c r="B561" s="18">
        <v>2023</v>
      </c>
      <c r="C561" s="18" t="s">
        <v>731</v>
      </c>
      <c r="D561" s="18" t="s">
        <v>723</v>
      </c>
      <c r="E561" s="18" t="s">
        <v>703</v>
      </c>
      <c r="F561" s="18" t="s">
        <v>704</v>
      </c>
      <c r="G561" s="18" t="s">
        <v>673</v>
      </c>
      <c r="H561" s="18" t="s">
        <v>724</v>
      </c>
      <c r="I561" s="315">
        <v>976.45521682827234</v>
      </c>
      <c r="J561" s="315">
        <v>0.64022482247379042</v>
      </c>
      <c r="K561" s="316" t="str">
        <f t="shared" si="34"/>
        <v>Lawn and Garden Equipment</v>
      </c>
      <c r="L561" s="316" t="str">
        <f t="shared" si="35"/>
        <v>Gasoline</v>
      </c>
      <c r="M561" s="194"/>
      <c r="N561" s="317"/>
      <c r="O561" s="317"/>
      <c r="P561" s="317"/>
      <c r="Q561" s="317"/>
      <c r="R561" s="317"/>
      <c r="S561" s="317"/>
      <c r="T561" s="317"/>
      <c r="U561" s="317"/>
      <c r="V561" s="317"/>
      <c r="W561" s="317"/>
      <c r="X561" s="317"/>
      <c r="Y561" s="317"/>
      <c r="Z561" s="317"/>
    </row>
    <row r="562" spans="1:26" x14ac:dyDescent="0.25">
      <c r="A562" s="314"/>
      <c r="B562" s="18">
        <v>2023</v>
      </c>
      <c r="C562" s="18" t="s">
        <v>778</v>
      </c>
      <c r="D562" s="18" t="s">
        <v>776</v>
      </c>
      <c r="E562" s="18" t="s">
        <v>713</v>
      </c>
      <c r="F562" s="18" t="s">
        <v>714</v>
      </c>
      <c r="G562" s="18" t="s">
        <v>674</v>
      </c>
      <c r="H562" s="18" t="s">
        <v>777</v>
      </c>
      <c r="I562" s="315">
        <v>970.17540220087926</v>
      </c>
      <c r="J562" s="315">
        <v>3.8587011726638277E-3</v>
      </c>
      <c r="K562" s="316" t="str">
        <f t="shared" si="34"/>
        <v>Construction and Mining Equipment</v>
      </c>
      <c r="L562" s="316" t="str">
        <f t="shared" si="35"/>
        <v>Diesel</v>
      </c>
      <c r="M562" s="194"/>
      <c r="N562" s="317"/>
      <c r="O562" s="317"/>
      <c r="P562" s="317"/>
      <c r="Q562" s="317"/>
      <c r="R562" s="317"/>
      <c r="S562" s="317"/>
      <c r="T562" s="317"/>
      <c r="U562" s="317"/>
      <c r="V562" s="317"/>
      <c r="W562" s="317"/>
      <c r="X562" s="317"/>
      <c r="Y562" s="317"/>
      <c r="Z562" s="317"/>
    </row>
    <row r="563" spans="1:26" x14ac:dyDescent="0.25">
      <c r="A563" s="314"/>
      <c r="B563" s="18">
        <v>2023</v>
      </c>
      <c r="C563" s="18" t="s">
        <v>762</v>
      </c>
      <c r="D563" s="18" t="s">
        <v>716</v>
      </c>
      <c r="E563" s="18" t="s">
        <v>713</v>
      </c>
      <c r="F563" s="18" t="s">
        <v>714</v>
      </c>
      <c r="G563" s="18" t="s">
        <v>675</v>
      </c>
      <c r="H563" s="18" t="s">
        <v>717</v>
      </c>
      <c r="I563" s="315">
        <v>969.7520044263531</v>
      </c>
      <c r="J563" s="315">
        <v>1.9899826998538209E-2</v>
      </c>
      <c r="K563" s="316" t="str">
        <f t="shared" si="34"/>
        <v>Industrial Equipment</v>
      </c>
      <c r="L563" s="316" t="str">
        <f t="shared" si="35"/>
        <v>Diesel</v>
      </c>
      <c r="M563" s="194"/>
      <c r="N563" s="317"/>
      <c r="O563" s="317"/>
      <c r="P563" s="317"/>
      <c r="Q563" s="317"/>
      <c r="R563" s="317"/>
      <c r="S563" s="317"/>
      <c r="T563" s="317"/>
      <c r="U563" s="317"/>
      <c r="V563" s="317"/>
      <c r="W563" s="317"/>
      <c r="X563" s="317"/>
      <c r="Y563" s="317"/>
      <c r="Z563" s="317"/>
    </row>
    <row r="564" spans="1:26" x14ac:dyDescent="0.25">
      <c r="A564" s="314"/>
      <c r="B564" s="18">
        <v>2023</v>
      </c>
      <c r="C564" s="18" t="s">
        <v>753</v>
      </c>
      <c r="D564" s="18" t="s">
        <v>723</v>
      </c>
      <c r="E564" s="18" t="s">
        <v>703</v>
      </c>
      <c r="F564" s="18" t="s">
        <v>704</v>
      </c>
      <c r="G564" s="18" t="s">
        <v>673</v>
      </c>
      <c r="H564" s="18" t="s">
        <v>724</v>
      </c>
      <c r="I564" s="315">
        <v>964.25011955117327</v>
      </c>
      <c r="J564" s="315">
        <v>0.63233944729109925</v>
      </c>
      <c r="K564" s="316" t="str">
        <f t="shared" si="34"/>
        <v>Lawn and Garden Equipment</v>
      </c>
      <c r="L564" s="316" t="str">
        <f t="shared" si="35"/>
        <v>Gasoline</v>
      </c>
      <c r="M564" s="194"/>
      <c r="N564" s="317"/>
      <c r="O564" s="317"/>
      <c r="P564" s="317"/>
      <c r="Q564" s="317"/>
      <c r="R564" s="317"/>
      <c r="S564" s="317"/>
      <c r="T564" s="317"/>
      <c r="U564" s="317"/>
      <c r="V564" s="317"/>
      <c r="W564" s="317"/>
      <c r="X564" s="317"/>
      <c r="Y564" s="317"/>
      <c r="Z564" s="317"/>
    </row>
    <row r="565" spans="1:26" x14ac:dyDescent="0.25">
      <c r="A565" s="314"/>
      <c r="B565" s="18">
        <v>2023</v>
      </c>
      <c r="C565" s="18" t="s">
        <v>709</v>
      </c>
      <c r="D565" s="18" t="s">
        <v>848</v>
      </c>
      <c r="E565" s="18" t="s">
        <v>56</v>
      </c>
      <c r="F565" s="18" t="s">
        <v>601</v>
      </c>
      <c r="G565" s="18" t="s">
        <v>675</v>
      </c>
      <c r="H565" s="18" t="s">
        <v>708</v>
      </c>
      <c r="I565" s="315">
        <v>962.59146731238013</v>
      </c>
      <c r="J565" s="315">
        <v>3.829427270690374</v>
      </c>
      <c r="K565" s="316" t="str">
        <f t="shared" si="34"/>
        <v>Industrial Equipment</v>
      </c>
      <c r="L565" s="316" t="str">
        <f t="shared" si="35"/>
        <v>CNG</v>
      </c>
      <c r="M565" s="194"/>
      <c r="N565" s="317"/>
      <c r="O565" s="317"/>
      <c r="P565" s="317"/>
      <c r="Q565" s="317"/>
      <c r="R565" s="317"/>
      <c r="S565" s="317"/>
      <c r="T565" s="317"/>
      <c r="U565" s="317"/>
      <c r="V565" s="317"/>
      <c r="W565" s="317"/>
      <c r="X565" s="317"/>
      <c r="Y565" s="317"/>
      <c r="Z565" s="317"/>
    </row>
    <row r="566" spans="1:26" x14ac:dyDescent="0.25">
      <c r="A566" s="314"/>
      <c r="B566" s="18">
        <v>2023</v>
      </c>
      <c r="C566" s="18" t="s">
        <v>709</v>
      </c>
      <c r="D566" s="18" t="s">
        <v>920</v>
      </c>
      <c r="E566" s="18" t="s">
        <v>703</v>
      </c>
      <c r="F566" s="18" t="s">
        <v>704</v>
      </c>
      <c r="G566" s="18" t="s">
        <v>673</v>
      </c>
      <c r="H566" s="18" t="s">
        <v>921</v>
      </c>
      <c r="I566" s="315">
        <v>961.61623044937903</v>
      </c>
      <c r="J566" s="315">
        <v>0.60962935973710586</v>
      </c>
      <c r="K566" s="316" t="str">
        <f t="shared" si="34"/>
        <v>Lawn and Garden Equipment</v>
      </c>
      <c r="L566" s="316" t="str">
        <f t="shared" si="35"/>
        <v>Gasoline</v>
      </c>
      <c r="M566" s="194"/>
      <c r="N566" s="317"/>
      <c r="O566" s="317"/>
      <c r="P566" s="317"/>
      <c r="Q566" s="317"/>
      <c r="R566" s="317"/>
      <c r="S566" s="317"/>
      <c r="T566" s="317"/>
      <c r="U566" s="317"/>
      <c r="V566" s="317"/>
      <c r="W566" s="317"/>
      <c r="X566" s="317"/>
      <c r="Y566" s="317"/>
      <c r="Z566" s="317"/>
    </row>
    <row r="567" spans="1:26" x14ac:dyDescent="0.25">
      <c r="A567" s="314"/>
      <c r="B567" s="18">
        <v>2023</v>
      </c>
      <c r="C567" s="18" t="s">
        <v>754</v>
      </c>
      <c r="D567" s="18" t="s">
        <v>767</v>
      </c>
      <c r="E567" s="18" t="s">
        <v>703</v>
      </c>
      <c r="F567" s="18" t="s">
        <v>704</v>
      </c>
      <c r="G567" s="18" t="s">
        <v>673</v>
      </c>
      <c r="H567" s="18" t="s">
        <v>768</v>
      </c>
      <c r="I567" s="315">
        <v>954.05980484195527</v>
      </c>
      <c r="J567" s="315">
        <v>0.66487971913850685</v>
      </c>
      <c r="K567" s="316" t="str">
        <f t="shared" si="34"/>
        <v>Lawn and Garden Equipment</v>
      </c>
      <c r="L567" s="316" t="str">
        <f t="shared" si="35"/>
        <v>Gasoline</v>
      </c>
      <c r="M567" s="194"/>
      <c r="N567" s="317"/>
      <c r="O567" s="317"/>
      <c r="P567" s="317"/>
      <c r="Q567" s="317"/>
      <c r="R567" s="317"/>
      <c r="S567" s="317"/>
      <c r="T567" s="317"/>
      <c r="U567" s="317"/>
      <c r="V567" s="317"/>
      <c r="W567" s="317"/>
      <c r="X567" s="317"/>
      <c r="Y567" s="317"/>
      <c r="Z567" s="317"/>
    </row>
    <row r="568" spans="1:26" x14ac:dyDescent="0.25">
      <c r="A568" s="314"/>
      <c r="B568" s="18">
        <v>2023</v>
      </c>
      <c r="C568" s="18" t="s">
        <v>773</v>
      </c>
      <c r="D568" s="18" t="s">
        <v>761</v>
      </c>
      <c r="E568" s="18" t="s">
        <v>713</v>
      </c>
      <c r="F568" s="18" t="s">
        <v>714</v>
      </c>
      <c r="G568" s="18" t="s">
        <v>677</v>
      </c>
      <c r="H568" s="18" t="s">
        <v>747</v>
      </c>
      <c r="I568" s="315">
        <v>953.54181111997104</v>
      </c>
      <c r="J568" s="315">
        <v>2.4359243537201238E-2</v>
      </c>
      <c r="K568" s="316" t="str">
        <f t="shared" si="34"/>
        <v>Commercial Equipment</v>
      </c>
      <c r="L568" s="316" t="str">
        <f t="shared" si="35"/>
        <v>Diesel</v>
      </c>
      <c r="M568" s="194"/>
      <c r="N568" s="317"/>
      <c r="O568" s="317"/>
      <c r="P568" s="317"/>
      <c r="Q568" s="317"/>
      <c r="R568" s="317"/>
      <c r="S568" s="317"/>
      <c r="T568" s="317"/>
      <c r="U568" s="317"/>
      <c r="V568" s="317"/>
      <c r="W568" s="317"/>
      <c r="X568" s="317"/>
      <c r="Y568" s="317"/>
      <c r="Z568" s="317"/>
    </row>
    <row r="569" spans="1:26" ht="12.75" x14ac:dyDescent="0.2">
      <c r="A569" s="230"/>
      <c r="B569" s="18">
        <v>2023</v>
      </c>
      <c r="C569" s="18" t="s">
        <v>709</v>
      </c>
      <c r="D569" s="18" t="s">
        <v>853</v>
      </c>
      <c r="E569" s="18" t="s">
        <v>703</v>
      </c>
      <c r="F569" s="18" t="s">
        <v>795</v>
      </c>
      <c r="G569" s="18" t="s">
        <v>679</v>
      </c>
      <c r="H569" s="18" t="s">
        <v>854</v>
      </c>
      <c r="I569" s="315">
        <v>952.0630924633939</v>
      </c>
      <c r="J569" s="315">
        <v>0.71566694343302417</v>
      </c>
      <c r="K569" s="316" t="str">
        <f t="shared" si="34"/>
        <v>Recreational Equipment</v>
      </c>
      <c r="L569" s="316" t="str">
        <f t="shared" si="35"/>
        <v>Gasoline</v>
      </c>
      <c r="M569" s="8"/>
      <c r="N569" s="2"/>
      <c r="O569" s="2"/>
      <c r="P569" s="2"/>
      <c r="Q569" s="2"/>
      <c r="R569" s="2"/>
      <c r="S569" s="2"/>
      <c r="T569" s="2"/>
      <c r="U569" s="2"/>
      <c r="V569" s="2"/>
      <c r="W569" s="2"/>
      <c r="X569" s="2"/>
      <c r="Y569" s="2"/>
      <c r="Z569" s="2"/>
    </row>
    <row r="570" spans="1:26" ht="12.75" x14ac:dyDescent="0.2">
      <c r="A570" s="230"/>
      <c r="B570" s="18">
        <v>2023</v>
      </c>
      <c r="C570" s="18" t="s">
        <v>727</v>
      </c>
      <c r="D570" s="18" t="s">
        <v>853</v>
      </c>
      <c r="E570" s="18" t="s">
        <v>703</v>
      </c>
      <c r="F570" s="18" t="s">
        <v>795</v>
      </c>
      <c r="G570" s="18" t="s">
        <v>679</v>
      </c>
      <c r="H570" s="18" t="s">
        <v>854</v>
      </c>
      <c r="I570" s="315">
        <v>952.0630924633939</v>
      </c>
      <c r="J570" s="315">
        <v>0.71398697753246143</v>
      </c>
      <c r="K570" s="316" t="str">
        <f t="shared" si="34"/>
        <v>Recreational Equipment</v>
      </c>
      <c r="L570" s="316" t="str">
        <f t="shared" si="35"/>
        <v>Gasoline</v>
      </c>
      <c r="M570" s="8"/>
      <c r="N570" s="2"/>
      <c r="O570" s="2"/>
      <c r="P570" s="2"/>
      <c r="Q570" s="2"/>
      <c r="R570" s="2"/>
      <c r="S570" s="2"/>
      <c r="T570" s="2"/>
      <c r="U570" s="2"/>
      <c r="V570" s="2"/>
      <c r="W570" s="2"/>
      <c r="X570" s="2"/>
      <c r="Y570" s="2"/>
      <c r="Z570" s="2"/>
    </row>
    <row r="571" spans="1:26" ht="12.75" x14ac:dyDescent="0.2">
      <c r="A571" s="230"/>
      <c r="B571" s="18">
        <v>2023</v>
      </c>
      <c r="C571" s="18" t="s">
        <v>709</v>
      </c>
      <c r="D571" s="18" t="s">
        <v>763</v>
      </c>
      <c r="E571" s="18" t="s">
        <v>713</v>
      </c>
      <c r="F571" s="18" t="s">
        <v>714</v>
      </c>
      <c r="G571" s="18" t="s">
        <v>678</v>
      </c>
      <c r="H571" s="18" t="s">
        <v>764</v>
      </c>
      <c r="I571" s="315">
        <v>950.17777966591461</v>
      </c>
      <c r="J571" s="315">
        <v>1.0756846863923288E-2</v>
      </c>
      <c r="K571" s="316" t="str">
        <f t="shared" si="34"/>
        <v>Agricultural Equipment</v>
      </c>
      <c r="L571" s="316" t="str">
        <f t="shared" si="35"/>
        <v>Diesel</v>
      </c>
      <c r="M571" s="8"/>
      <c r="N571" s="2"/>
      <c r="O571" s="2"/>
      <c r="P571" s="2"/>
      <c r="Q571" s="2"/>
      <c r="R571" s="2"/>
      <c r="S571" s="2"/>
      <c r="T571" s="2"/>
      <c r="U571" s="2"/>
      <c r="V571" s="2"/>
      <c r="W571" s="2"/>
      <c r="X571" s="2"/>
      <c r="Y571" s="2"/>
      <c r="Z571" s="2"/>
    </row>
    <row r="572" spans="1:26" ht="12.75" x14ac:dyDescent="0.2">
      <c r="A572" s="230"/>
      <c r="B572" s="18">
        <v>2023</v>
      </c>
      <c r="C572" s="18" t="s">
        <v>722</v>
      </c>
      <c r="D572" s="18" t="s">
        <v>779</v>
      </c>
      <c r="E572" s="18" t="s">
        <v>713</v>
      </c>
      <c r="F572" s="18" t="s">
        <v>714</v>
      </c>
      <c r="G572" s="18" t="s">
        <v>674</v>
      </c>
      <c r="H572" s="18" t="s">
        <v>780</v>
      </c>
      <c r="I572" s="315">
        <v>932.69169188185435</v>
      </c>
      <c r="J572" s="315">
        <v>3.0377283130059948E-3</v>
      </c>
      <c r="K572" s="316" t="str">
        <f t="shared" si="34"/>
        <v>Construction and Mining Equipment</v>
      </c>
      <c r="L572" s="316" t="str">
        <f t="shared" si="35"/>
        <v>Diesel</v>
      </c>
      <c r="M572" s="8"/>
      <c r="N572" s="2"/>
      <c r="O572" s="2"/>
      <c r="P572" s="2"/>
      <c r="Q572" s="2"/>
      <c r="R572" s="2"/>
      <c r="S572" s="2"/>
      <c r="T572" s="2"/>
      <c r="U572" s="2"/>
      <c r="V572" s="2"/>
      <c r="W572" s="2"/>
      <c r="X572" s="2"/>
      <c r="Y572" s="2"/>
      <c r="Z572" s="2"/>
    </row>
    <row r="573" spans="1:26" ht="12.75" x14ac:dyDescent="0.2">
      <c r="A573" s="230"/>
      <c r="B573" s="18">
        <v>2023</v>
      </c>
      <c r="C573" s="18" t="s">
        <v>773</v>
      </c>
      <c r="D573" s="18" t="s">
        <v>738</v>
      </c>
      <c r="E573" s="18" t="s">
        <v>703</v>
      </c>
      <c r="F573" s="18" t="s">
        <v>676</v>
      </c>
      <c r="G573" s="18" t="s">
        <v>739</v>
      </c>
      <c r="H573" s="18" t="s">
        <v>740</v>
      </c>
      <c r="I573" s="315">
        <v>927.99910993390927</v>
      </c>
      <c r="J573" s="315">
        <v>0.40263989029895775</v>
      </c>
      <c r="K573" s="316" t="str">
        <f t="shared" si="34"/>
        <v>Pleasure Craft</v>
      </c>
      <c r="L573" s="316" t="str">
        <f t="shared" si="35"/>
        <v>Gasoline</v>
      </c>
      <c r="M573" s="8"/>
      <c r="N573" s="2"/>
      <c r="O573" s="2"/>
      <c r="P573" s="2"/>
      <c r="Q573" s="2"/>
      <c r="R573" s="2"/>
      <c r="S573" s="2"/>
      <c r="T573" s="2"/>
      <c r="U573" s="2"/>
      <c r="V573" s="2"/>
      <c r="W573" s="2"/>
      <c r="X573" s="2"/>
      <c r="Y573" s="2"/>
      <c r="Z573" s="2"/>
    </row>
    <row r="574" spans="1:26" ht="12.75" x14ac:dyDescent="0.2">
      <c r="A574" s="230"/>
      <c r="B574" s="18">
        <v>2023</v>
      </c>
      <c r="C574" s="18" t="s">
        <v>753</v>
      </c>
      <c r="D574" s="18" t="s">
        <v>725</v>
      </c>
      <c r="E574" s="18" t="s">
        <v>713</v>
      </c>
      <c r="F574" s="18" t="s">
        <v>714</v>
      </c>
      <c r="G574" s="18" t="s">
        <v>674</v>
      </c>
      <c r="H574" s="18" t="s">
        <v>726</v>
      </c>
      <c r="I574" s="315">
        <v>925.77353097892728</v>
      </c>
      <c r="J574" s="315">
        <v>5.1795655574387815E-3</v>
      </c>
      <c r="K574" s="316" t="str">
        <f t="shared" si="34"/>
        <v>Construction and Mining Equipment</v>
      </c>
      <c r="L574" s="316" t="str">
        <f t="shared" si="35"/>
        <v>Diesel</v>
      </c>
      <c r="M574" s="8"/>
      <c r="N574" s="2"/>
      <c r="O574" s="2"/>
      <c r="P574" s="2"/>
      <c r="Q574" s="2"/>
      <c r="R574" s="2"/>
      <c r="S574" s="2"/>
      <c r="T574" s="2"/>
      <c r="U574" s="2"/>
      <c r="V574" s="2"/>
      <c r="W574" s="2"/>
      <c r="X574" s="2"/>
      <c r="Y574" s="2"/>
      <c r="Z574" s="2"/>
    </row>
    <row r="575" spans="1:26" ht="12.75" x14ac:dyDescent="0.2">
      <c r="A575" s="230"/>
      <c r="B575" s="18">
        <v>2023</v>
      </c>
      <c r="C575" s="18" t="s">
        <v>722</v>
      </c>
      <c r="D575" s="18" t="s">
        <v>782</v>
      </c>
      <c r="E575" s="18" t="s">
        <v>713</v>
      </c>
      <c r="F575" s="18" t="s">
        <v>714</v>
      </c>
      <c r="G575" s="18" t="s">
        <v>674</v>
      </c>
      <c r="H575" s="18" t="s">
        <v>783</v>
      </c>
      <c r="I575" s="315">
        <v>925.07257121631028</v>
      </c>
      <c r="J575" s="315">
        <v>8.7822198790736272E-3</v>
      </c>
      <c r="K575" s="316" t="str">
        <f t="shared" si="34"/>
        <v>Construction and Mining Equipment</v>
      </c>
      <c r="L575" s="316" t="str">
        <f t="shared" si="35"/>
        <v>Diesel</v>
      </c>
      <c r="M575" s="8"/>
      <c r="N575" s="2"/>
      <c r="O575" s="2"/>
      <c r="P575" s="2"/>
      <c r="Q575" s="2"/>
      <c r="R575" s="2"/>
      <c r="S575" s="2"/>
      <c r="T575" s="2"/>
      <c r="U575" s="2"/>
      <c r="V575" s="2"/>
      <c r="W575" s="2"/>
      <c r="X575" s="2"/>
      <c r="Y575" s="2"/>
      <c r="Z575" s="2"/>
    </row>
    <row r="576" spans="1:26" ht="12.75" x14ac:dyDescent="0.2">
      <c r="A576" s="230"/>
      <c r="B576" s="18">
        <v>2023</v>
      </c>
      <c r="C576" s="18" t="s">
        <v>710</v>
      </c>
      <c r="D576" s="18" t="s">
        <v>920</v>
      </c>
      <c r="E576" s="18" t="s">
        <v>703</v>
      </c>
      <c r="F576" s="18" t="s">
        <v>704</v>
      </c>
      <c r="G576" s="18" t="s">
        <v>673</v>
      </c>
      <c r="H576" s="18" t="s">
        <v>921</v>
      </c>
      <c r="I576" s="315">
        <v>922.19967346452506</v>
      </c>
      <c r="J576" s="315">
        <v>0.58496085227944061</v>
      </c>
      <c r="K576" s="316" t="str">
        <f t="shared" si="34"/>
        <v>Lawn and Garden Equipment</v>
      </c>
      <c r="L576" s="316" t="str">
        <f t="shared" si="35"/>
        <v>Gasoline</v>
      </c>
      <c r="M576" s="8"/>
      <c r="N576" s="2"/>
      <c r="O576" s="2"/>
      <c r="P576" s="2"/>
      <c r="Q576" s="2"/>
      <c r="R576" s="2"/>
      <c r="S576" s="2"/>
      <c r="T576" s="2"/>
      <c r="U576" s="2"/>
      <c r="V576" s="2"/>
      <c r="W576" s="2"/>
      <c r="X576" s="2"/>
      <c r="Y576" s="2"/>
      <c r="Z576" s="2"/>
    </row>
    <row r="577" spans="1:26" ht="12.75" x14ac:dyDescent="0.2">
      <c r="A577" s="230"/>
      <c r="B577" s="18">
        <v>2023</v>
      </c>
      <c r="C577" s="18" t="s">
        <v>750</v>
      </c>
      <c r="D577" s="18" t="s">
        <v>755</v>
      </c>
      <c r="E577" s="18" t="s">
        <v>713</v>
      </c>
      <c r="F577" s="18" t="s">
        <v>714</v>
      </c>
      <c r="G577" s="18" t="s">
        <v>674</v>
      </c>
      <c r="H577" s="18" t="s">
        <v>756</v>
      </c>
      <c r="I577" s="315">
        <v>920.51182430603933</v>
      </c>
      <c r="J577" s="315">
        <v>3.5744820383820257E-2</v>
      </c>
      <c r="K577" s="316" t="str">
        <f t="shared" si="34"/>
        <v>Construction and Mining Equipment</v>
      </c>
      <c r="L577" s="316" t="str">
        <f t="shared" si="35"/>
        <v>Diesel</v>
      </c>
      <c r="M577" s="8"/>
      <c r="N577" s="2"/>
      <c r="O577" s="2"/>
      <c r="P577" s="2"/>
      <c r="Q577" s="2"/>
      <c r="R577" s="2"/>
      <c r="S577" s="2"/>
      <c r="T577" s="2"/>
      <c r="U577" s="2"/>
      <c r="V577" s="2"/>
      <c r="W577" s="2"/>
      <c r="X577" s="2"/>
      <c r="Y577" s="2"/>
      <c r="Z577" s="2"/>
    </row>
    <row r="578" spans="1:26" ht="12.75" x14ac:dyDescent="0.2">
      <c r="A578" s="230"/>
      <c r="B578" s="18">
        <v>2023</v>
      </c>
      <c r="C578" s="18" t="s">
        <v>793</v>
      </c>
      <c r="D578" s="18" t="s">
        <v>707</v>
      </c>
      <c r="E578" s="18" t="s">
        <v>56</v>
      </c>
      <c r="F578" s="18" t="s">
        <v>672</v>
      </c>
      <c r="G578" s="18" t="s">
        <v>675</v>
      </c>
      <c r="H578" s="18" t="s">
        <v>708</v>
      </c>
      <c r="I578" s="315">
        <v>919.06015747134381</v>
      </c>
      <c r="J578" s="315">
        <v>4.1295629647789295E-2</v>
      </c>
      <c r="K578" s="316" t="str">
        <f t="shared" si="34"/>
        <v>Industrial Equipment</v>
      </c>
      <c r="L578" s="316" t="str">
        <f t="shared" si="35"/>
        <v>LPG</v>
      </c>
      <c r="M578" s="8"/>
      <c r="N578" s="2"/>
      <c r="O578" s="2"/>
      <c r="P578" s="2"/>
      <c r="Q578" s="2"/>
      <c r="R578" s="2"/>
      <c r="S578" s="2"/>
      <c r="T578" s="2"/>
      <c r="U578" s="2"/>
      <c r="V578" s="2"/>
      <c r="W578" s="2"/>
      <c r="X578" s="2"/>
      <c r="Y578" s="2"/>
      <c r="Z578" s="2"/>
    </row>
    <row r="579" spans="1:26" ht="12.75" x14ac:dyDescent="0.2">
      <c r="A579" s="230"/>
      <c r="B579" s="18">
        <v>2023</v>
      </c>
      <c r="C579" s="18" t="s">
        <v>760</v>
      </c>
      <c r="D579" s="18" t="s">
        <v>757</v>
      </c>
      <c r="E579" s="18" t="s">
        <v>713</v>
      </c>
      <c r="F579" s="18" t="s">
        <v>714</v>
      </c>
      <c r="G579" s="18" t="s">
        <v>673</v>
      </c>
      <c r="H579" s="18" t="s">
        <v>758</v>
      </c>
      <c r="I579" s="315">
        <v>915.88851792193941</v>
      </c>
      <c r="J579" s="315">
        <v>3.5287130891226003E-2</v>
      </c>
      <c r="K579" s="316" t="str">
        <f t="shared" si="34"/>
        <v>Lawn and Garden Equipment</v>
      </c>
      <c r="L579" s="316" t="str">
        <f t="shared" si="35"/>
        <v>Diesel</v>
      </c>
      <c r="M579" s="8"/>
      <c r="N579" s="2"/>
      <c r="O579" s="2"/>
      <c r="P579" s="2"/>
      <c r="Q579" s="2"/>
      <c r="R579" s="2"/>
      <c r="S579" s="2"/>
      <c r="T579" s="2"/>
      <c r="U579" s="2"/>
      <c r="V579" s="2"/>
      <c r="W579" s="2"/>
      <c r="X579" s="2"/>
      <c r="Y579" s="2"/>
      <c r="Z579" s="2"/>
    </row>
    <row r="580" spans="1:26" ht="12.75" x14ac:dyDescent="0.2">
      <c r="A580" s="230"/>
      <c r="B580" s="18">
        <v>2023</v>
      </c>
      <c r="C580" s="18" t="s">
        <v>773</v>
      </c>
      <c r="D580" s="18" t="s">
        <v>765</v>
      </c>
      <c r="E580" s="18" t="s">
        <v>703</v>
      </c>
      <c r="F580" s="18" t="s">
        <v>676</v>
      </c>
      <c r="G580" s="18" t="s">
        <v>729</v>
      </c>
      <c r="H580" s="18" t="s">
        <v>766</v>
      </c>
      <c r="I580" s="315">
        <v>914.31509796966759</v>
      </c>
      <c r="J580" s="315">
        <v>1.0056635860395262</v>
      </c>
      <c r="K580" s="316" t="str">
        <f t="shared" si="34"/>
        <v>Pleasure Craft</v>
      </c>
      <c r="L580" s="316" t="str">
        <f t="shared" si="35"/>
        <v>Gasoline</v>
      </c>
      <c r="M580" s="8"/>
      <c r="N580" s="2"/>
      <c r="O580" s="2"/>
      <c r="P580" s="2"/>
      <c r="Q580" s="2"/>
      <c r="R580" s="2"/>
      <c r="S580" s="2"/>
      <c r="T580" s="2"/>
      <c r="U580" s="2"/>
      <c r="V580" s="2"/>
      <c r="W580" s="2"/>
      <c r="X580" s="2"/>
      <c r="Y580" s="2"/>
      <c r="Z580" s="2"/>
    </row>
    <row r="581" spans="1:26" ht="12.75" x14ac:dyDescent="0.2">
      <c r="A581" s="230"/>
      <c r="B581" s="18">
        <v>2023</v>
      </c>
      <c r="C581" s="18" t="s">
        <v>706</v>
      </c>
      <c r="D581" s="18" t="s">
        <v>936</v>
      </c>
      <c r="E581" s="18" t="s">
        <v>56</v>
      </c>
      <c r="F581" s="18" t="s">
        <v>672</v>
      </c>
      <c r="G581" s="18" t="s">
        <v>677</v>
      </c>
      <c r="H581" s="18" t="s">
        <v>747</v>
      </c>
      <c r="I581" s="315">
        <v>912.80684461248779</v>
      </c>
      <c r="J581" s="315">
        <v>0.2104347438483255</v>
      </c>
      <c r="K581" s="316" t="str">
        <f t="shared" si="34"/>
        <v>Commercial Equipment</v>
      </c>
      <c r="L581" s="316" t="str">
        <f t="shared" si="35"/>
        <v>LPG</v>
      </c>
      <c r="M581" s="8"/>
      <c r="N581" s="2"/>
      <c r="O581" s="2"/>
      <c r="P581" s="2"/>
      <c r="Q581" s="2"/>
      <c r="R581" s="2"/>
      <c r="S581" s="2"/>
      <c r="T581" s="2"/>
      <c r="U581" s="2"/>
      <c r="V581" s="2"/>
      <c r="W581" s="2"/>
      <c r="X581" s="2"/>
      <c r="Y581" s="2"/>
      <c r="Z581" s="2"/>
    </row>
    <row r="582" spans="1:26" ht="12.75" x14ac:dyDescent="0.2">
      <c r="A582" s="230"/>
      <c r="B582" s="18">
        <v>2023</v>
      </c>
      <c r="C582" s="18" t="s">
        <v>732</v>
      </c>
      <c r="D582" s="18" t="s">
        <v>803</v>
      </c>
      <c r="E582" s="18" t="s">
        <v>703</v>
      </c>
      <c r="F582" s="18" t="s">
        <v>805</v>
      </c>
      <c r="G582" s="18" t="s">
        <v>673</v>
      </c>
      <c r="H582" s="18" t="s">
        <v>806</v>
      </c>
      <c r="I582" s="315">
        <v>911.61382079685336</v>
      </c>
      <c r="J582" s="315">
        <v>1.8042867322434055</v>
      </c>
      <c r="K582" s="316" t="str">
        <f t="shared" si="34"/>
        <v>Lawn and Garden Equipment</v>
      </c>
      <c r="L582" s="316" t="str">
        <f t="shared" si="35"/>
        <v>Gasoline</v>
      </c>
      <c r="M582" s="8"/>
      <c r="N582" s="2"/>
      <c r="O582" s="2"/>
      <c r="P582" s="2"/>
      <c r="Q582" s="2"/>
      <c r="R582" s="2"/>
      <c r="S582" s="2"/>
      <c r="T582" s="2"/>
      <c r="U582" s="2"/>
      <c r="V582" s="2"/>
      <c r="W582" s="2"/>
      <c r="X582" s="2"/>
      <c r="Y582" s="2"/>
      <c r="Z582" s="2"/>
    </row>
    <row r="583" spans="1:26" ht="12.75" x14ac:dyDescent="0.2">
      <c r="A583" s="230"/>
      <c r="B583" s="18">
        <v>2023</v>
      </c>
      <c r="C583" s="18" t="s">
        <v>711</v>
      </c>
      <c r="D583" s="18" t="s">
        <v>855</v>
      </c>
      <c r="E583" s="18" t="s">
        <v>713</v>
      </c>
      <c r="F583" s="18" t="s">
        <v>714</v>
      </c>
      <c r="G583" s="18" t="s">
        <v>674</v>
      </c>
      <c r="H583" s="18" t="s">
        <v>856</v>
      </c>
      <c r="I583" s="315">
        <v>901.41278170089129</v>
      </c>
      <c r="J583" s="315">
        <v>5.6959259652459683E-3</v>
      </c>
      <c r="K583" s="316" t="str">
        <f t="shared" si="34"/>
        <v>Construction and Mining Equipment</v>
      </c>
      <c r="L583" s="316" t="str">
        <f t="shared" si="35"/>
        <v>Diesel</v>
      </c>
      <c r="M583" s="8"/>
      <c r="N583" s="2"/>
      <c r="O583" s="2"/>
      <c r="P583" s="2"/>
      <c r="Q583" s="2"/>
      <c r="R583" s="2"/>
      <c r="S583" s="2"/>
      <c r="T583" s="2"/>
      <c r="U583" s="2"/>
      <c r="V583" s="2"/>
      <c r="W583" s="2"/>
      <c r="X583" s="2"/>
      <c r="Y583" s="2"/>
      <c r="Z583" s="2"/>
    </row>
    <row r="584" spans="1:26" ht="12.75" x14ac:dyDescent="0.2">
      <c r="A584" s="230"/>
      <c r="B584" s="18">
        <v>2023</v>
      </c>
      <c r="C584" s="18" t="s">
        <v>773</v>
      </c>
      <c r="D584" s="18" t="s">
        <v>771</v>
      </c>
      <c r="E584" s="18" t="s">
        <v>713</v>
      </c>
      <c r="F584" s="18" t="s">
        <v>714</v>
      </c>
      <c r="G584" s="18" t="s">
        <v>675</v>
      </c>
      <c r="H584" s="18" t="s">
        <v>772</v>
      </c>
      <c r="I584" s="315">
        <v>900.21312527809937</v>
      </c>
      <c r="J584" s="315">
        <v>2.0028827497538394E-3</v>
      </c>
      <c r="K584" s="316" t="str">
        <f t="shared" si="34"/>
        <v>Industrial Equipment</v>
      </c>
      <c r="L584" s="316" t="str">
        <f t="shared" si="35"/>
        <v>Diesel</v>
      </c>
      <c r="M584" s="8"/>
      <c r="N584" s="2"/>
      <c r="O584" s="2"/>
      <c r="P584" s="2"/>
      <c r="Q584" s="2"/>
      <c r="R584" s="2"/>
      <c r="S584" s="2"/>
      <c r="T584" s="2"/>
      <c r="U584" s="2"/>
      <c r="V584" s="2"/>
      <c r="W584" s="2"/>
      <c r="X584" s="2"/>
      <c r="Y584" s="2"/>
      <c r="Z584" s="2"/>
    </row>
    <row r="585" spans="1:26" ht="12.75" x14ac:dyDescent="0.2">
      <c r="A585" s="230"/>
      <c r="B585" s="18">
        <v>2023</v>
      </c>
      <c r="C585" s="18" t="s">
        <v>778</v>
      </c>
      <c r="D585" s="18" t="s">
        <v>779</v>
      </c>
      <c r="E585" s="18" t="s">
        <v>713</v>
      </c>
      <c r="F585" s="18" t="s">
        <v>714</v>
      </c>
      <c r="G585" s="18" t="s">
        <v>674</v>
      </c>
      <c r="H585" s="18" t="s">
        <v>780</v>
      </c>
      <c r="I585" s="315">
        <v>899.06194850676172</v>
      </c>
      <c r="J585" s="315">
        <v>2.928200411864586E-3</v>
      </c>
      <c r="K585" s="316" t="str">
        <f t="shared" si="34"/>
        <v>Construction and Mining Equipment</v>
      </c>
      <c r="L585" s="316" t="str">
        <f t="shared" si="35"/>
        <v>Diesel</v>
      </c>
      <c r="M585" s="8"/>
      <c r="N585" s="2"/>
      <c r="O585" s="2"/>
      <c r="P585" s="2"/>
      <c r="Q585" s="2"/>
      <c r="R585" s="2"/>
      <c r="S585" s="2"/>
      <c r="T585" s="2"/>
      <c r="U585" s="2"/>
      <c r="V585" s="2"/>
      <c r="W585" s="2"/>
      <c r="X585" s="2"/>
      <c r="Y585" s="2"/>
      <c r="Z585" s="2"/>
    </row>
    <row r="586" spans="1:26" ht="12.75" x14ac:dyDescent="0.2">
      <c r="A586" s="230"/>
      <c r="B586" s="18">
        <v>2023</v>
      </c>
      <c r="C586" s="18" t="s">
        <v>760</v>
      </c>
      <c r="D586" s="18" t="s">
        <v>797</v>
      </c>
      <c r="E586" s="18" t="s">
        <v>713</v>
      </c>
      <c r="F586" s="18" t="s">
        <v>714</v>
      </c>
      <c r="G586" s="18" t="s">
        <v>675</v>
      </c>
      <c r="H586" s="18" t="s">
        <v>798</v>
      </c>
      <c r="I586" s="315">
        <v>895.4637729025294</v>
      </c>
      <c r="J586" s="315">
        <v>7.554143882611517E-3</v>
      </c>
      <c r="K586" s="316" t="str">
        <f t="shared" si="34"/>
        <v>Industrial Equipment</v>
      </c>
      <c r="L586" s="316" t="str">
        <f t="shared" si="35"/>
        <v>Diesel</v>
      </c>
      <c r="M586" s="8"/>
      <c r="N586" s="2"/>
      <c r="O586" s="2"/>
      <c r="P586" s="2"/>
      <c r="Q586" s="2"/>
      <c r="R586" s="2"/>
      <c r="S586" s="2"/>
      <c r="T586" s="2"/>
      <c r="U586" s="2"/>
      <c r="V586" s="2"/>
      <c r="W586" s="2"/>
      <c r="X586" s="2"/>
      <c r="Y586" s="2"/>
      <c r="Z586" s="2"/>
    </row>
    <row r="587" spans="1:26" ht="12.75" x14ac:dyDescent="0.2">
      <c r="A587" s="230"/>
      <c r="B587" s="18">
        <v>2023</v>
      </c>
      <c r="C587" s="18" t="s">
        <v>778</v>
      </c>
      <c r="D587" s="18" t="s">
        <v>782</v>
      </c>
      <c r="E587" s="18" t="s">
        <v>713</v>
      </c>
      <c r="F587" s="18" t="s">
        <v>714</v>
      </c>
      <c r="G587" s="18" t="s">
        <v>674</v>
      </c>
      <c r="H587" s="18" t="s">
        <v>783</v>
      </c>
      <c r="I587" s="315">
        <v>891.71841669206208</v>
      </c>
      <c r="J587" s="315">
        <v>8.4655655784355612E-3</v>
      </c>
      <c r="K587" s="316" t="str">
        <f t="shared" si="34"/>
        <v>Construction and Mining Equipment</v>
      </c>
      <c r="L587" s="316" t="str">
        <f t="shared" si="35"/>
        <v>Diesel</v>
      </c>
      <c r="M587" s="8"/>
      <c r="N587" s="2"/>
      <c r="O587" s="2"/>
      <c r="P587" s="2"/>
      <c r="Q587" s="2"/>
      <c r="R587" s="2"/>
      <c r="S587" s="2"/>
      <c r="T587" s="2"/>
      <c r="U587" s="2"/>
      <c r="V587" s="2"/>
      <c r="W587" s="2"/>
      <c r="X587" s="2"/>
      <c r="Y587" s="2"/>
      <c r="Z587" s="2"/>
    </row>
    <row r="588" spans="1:26" ht="12.75" x14ac:dyDescent="0.2">
      <c r="A588" s="230"/>
      <c r="B588" s="18">
        <v>2023</v>
      </c>
      <c r="C588" s="18" t="s">
        <v>732</v>
      </c>
      <c r="D588" s="18" t="s">
        <v>839</v>
      </c>
      <c r="E588" s="18" t="s">
        <v>703</v>
      </c>
      <c r="F588" s="18" t="s">
        <v>704</v>
      </c>
      <c r="G588" s="18" t="s">
        <v>675</v>
      </c>
      <c r="H588" s="18" t="s">
        <v>708</v>
      </c>
      <c r="I588" s="315">
        <v>890.25391895370728</v>
      </c>
      <c r="J588" s="315">
        <v>6.1507406163886599E-2</v>
      </c>
      <c r="K588" s="316" t="str">
        <f t="shared" si="34"/>
        <v>Industrial Equipment</v>
      </c>
      <c r="L588" s="316" t="str">
        <f t="shared" si="35"/>
        <v>Gasoline</v>
      </c>
      <c r="M588" s="8"/>
      <c r="N588" s="2"/>
      <c r="O588" s="2"/>
      <c r="P588" s="2"/>
      <c r="Q588" s="2"/>
      <c r="R588" s="2"/>
      <c r="S588" s="2"/>
      <c r="T588" s="2"/>
      <c r="U588" s="2"/>
      <c r="V588" s="2"/>
      <c r="W588" s="2"/>
      <c r="X588" s="2"/>
      <c r="Y588" s="2"/>
      <c r="Z588" s="2"/>
    </row>
    <row r="589" spans="1:26" ht="12.75" x14ac:dyDescent="0.2">
      <c r="A589" s="230"/>
      <c r="B589" s="18">
        <v>2023</v>
      </c>
      <c r="C589" s="18" t="s">
        <v>762</v>
      </c>
      <c r="D589" s="18" t="s">
        <v>712</v>
      </c>
      <c r="E589" s="18" t="s">
        <v>713</v>
      </c>
      <c r="F589" s="18" t="s">
        <v>714</v>
      </c>
      <c r="G589" s="18" t="s">
        <v>674</v>
      </c>
      <c r="H589" s="18" t="s">
        <v>715</v>
      </c>
      <c r="I589" s="315">
        <v>887.20707537474686</v>
      </c>
      <c r="J589" s="315">
        <v>5.2799298366768971E-3</v>
      </c>
      <c r="K589" s="316" t="str">
        <f t="shared" si="34"/>
        <v>Construction and Mining Equipment</v>
      </c>
      <c r="L589" s="316" t="str">
        <f t="shared" si="35"/>
        <v>Diesel</v>
      </c>
      <c r="M589" s="8"/>
      <c r="N589" s="2"/>
      <c r="O589" s="2"/>
      <c r="P589" s="2"/>
      <c r="Q589" s="2"/>
      <c r="R589" s="2"/>
      <c r="S589" s="2"/>
      <c r="T589" s="2"/>
      <c r="U589" s="2"/>
      <c r="V589" s="2"/>
      <c r="W589" s="2"/>
      <c r="X589" s="2"/>
      <c r="Y589" s="2"/>
      <c r="Z589" s="2"/>
    </row>
    <row r="590" spans="1:26" ht="12.75" x14ac:dyDescent="0.2">
      <c r="A590" s="230"/>
      <c r="B590" s="18">
        <v>2023</v>
      </c>
      <c r="C590" s="18" t="s">
        <v>709</v>
      </c>
      <c r="D590" s="18" t="s">
        <v>880</v>
      </c>
      <c r="E590" s="18" t="s">
        <v>703</v>
      </c>
      <c r="F590" s="18" t="s">
        <v>704</v>
      </c>
      <c r="G590" s="18" t="s">
        <v>677</v>
      </c>
      <c r="H590" s="18" t="s">
        <v>785</v>
      </c>
      <c r="I590" s="315">
        <v>883.88513898503186</v>
      </c>
      <c r="J590" s="315">
        <v>0.50859233958298933</v>
      </c>
      <c r="K590" s="316" t="str">
        <f t="shared" si="34"/>
        <v>Commercial Equipment</v>
      </c>
      <c r="L590" s="316" t="str">
        <f t="shared" si="35"/>
        <v>Gasoline</v>
      </c>
      <c r="M590" s="8"/>
      <c r="N590" s="2"/>
      <c r="O590" s="2"/>
      <c r="P590" s="2"/>
      <c r="Q590" s="2"/>
      <c r="R590" s="2"/>
      <c r="S590" s="2"/>
      <c r="T590" s="2"/>
      <c r="U590" s="2"/>
      <c r="V590" s="2"/>
      <c r="W590" s="2"/>
      <c r="X590" s="2"/>
      <c r="Y590" s="2"/>
      <c r="Z590" s="2"/>
    </row>
    <row r="591" spans="1:26" ht="12.75" x14ac:dyDescent="0.2">
      <c r="A591" s="230"/>
      <c r="B591" s="18">
        <v>2023</v>
      </c>
      <c r="C591" s="18" t="s">
        <v>760</v>
      </c>
      <c r="D591" s="18" t="s">
        <v>801</v>
      </c>
      <c r="E591" s="18" t="s">
        <v>713</v>
      </c>
      <c r="F591" s="18" t="s">
        <v>714</v>
      </c>
      <c r="G591" s="18" t="s">
        <v>675</v>
      </c>
      <c r="H591" s="18" t="s">
        <v>802</v>
      </c>
      <c r="I591" s="315">
        <v>882.90231822021167</v>
      </c>
      <c r="J591" s="315">
        <v>5.8812755281923718E-3</v>
      </c>
      <c r="K591" s="316" t="str">
        <f t="shared" si="34"/>
        <v>Industrial Equipment</v>
      </c>
      <c r="L591" s="316" t="str">
        <f t="shared" si="35"/>
        <v>Diesel</v>
      </c>
      <c r="M591" s="8"/>
      <c r="N591" s="2"/>
      <c r="O591" s="2"/>
      <c r="P591" s="2"/>
      <c r="Q591" s="2"/>
      <c r="R591" s="2"/>
      <c r="S591" s="2"/>
      <c r="T591" s="2"/>
      <c r="U591" s="2"/>
      <c r="V591" s="2"/>
      <c r="W591" s="2"/>
      <c r="X591" s="2"/>
      <c r="Y591" s="2"/>
      <c r="Z591" s="2"/>
    </row>
    <row r="592" spans="1:26" ht="12.75" x14ac:dyDescent="0.2">
      <c r="A592" s="230"/>
      <c r="B592" s="18">
        <v>2023</v>
      </c>
      <c r="C592" s="18" t="s">
        <v>709</v>
      </c>
      <c r="D592" s="18" t="s">
        <v>864</v>
      </c>
      <c r="E592" s="18" t="s">
        <v>703</v>
      </c>
      <c r="F592" s="18" t="s">
        <v>704</v>
      </c>
      <c r="G592" s="18" t="s">
        <v>673</v>
      </c>
      <c r="H592" s="18" t="s">
        <v>865</v>
      </c>
      <c r="I592" s="315">
        <v>880.69031893107001</v>
      </c>
      <c r="J592" s="315">
        <v>0.59831776774119216</v>
      </c>
      <c r="K592" s="316" t="str">
        <f t="shared" si="34"/>
        <v>Lawn and Garden Equipment</v>
      </c>
      <c r="L592" s="316" t="str">
        <f t="shared" si="35"/>
        <v>Gasoline</v>
      </c>
      <c r="M592" s="8"/>
      <c r="N592" s="2"/>
      <c r="O592" s="2"/>
      <c r="P592" s="2"/>
      <c r="Q592" s="2"/>
      <c r="R592" s="2"/>
      <c r="S592" s="2"/>
      <c r="T592" s="2"/>
      <c r="U592" s="2"/>
      <c r="V592" s="2"/>
      <c r="W592" s="2"/>
      <c r="X592" s="2"/>
      <c r="Y592" s="2"/>
      <c r="Z592" s="2"/>
    </row>
    <row r="593" spans="1:26" ht="12.75" x14ac:dyDescent="0.2">
      <c r="A593" s="230"/>
      <c r="B593" s="18">
        <v>2023</v>
      </c>
      <c r="C593" s="18" t="s">
        <v>754</v>
      </c>
      <c r="D593" s="18" t="s">
        <v>774</v>
      </c>
      <c r="E593" s="18" t="s">
        <v>703</v>
      </c>
      <c r="F593" s="18" t="s">
        <v>704</v>
      </c>
      <c r="G593" s="18" t="s">
        <v>673</v>
      </c>
      <c r="H593" s="18" t="s">
        <v>775</v>
      </c>
      <c r="I593" s="315">
        <v>876.13190892077853</v>
      </c>
      <c r="J593" s="315">
        <v>0.6012829014379385</v>
      </c>
      <c r="K593" s="316" t="str">
        <f t="shared" si="34"/>
        <v>Lawn and Garden Equipment</v>
      </c>
      <c r="L593" s="316" t="str">
        <f t="shared" si="35"/>
        <v>Gasoline</v>
      </c>
      <c r="M593" s="8"/>
      <c r="N593" s="2"/>
      <c r="O593" s="2"/>
      <c r="P593" s="2"/>
      <c r="Q593" s="2"/>
      <c r="R593" s="2"/>
      <c r="S593" s="2"/>
      <c r="T593" s="2"/>
      <c r="U593" s="2"/>
      <c r="V593" s="2"/>
      <c r="W593" s="2"/>
      <c r="X593" s="2"/>
      <c r="Y593" s="2"/>
      <c r="Z593" s="2"/>
    </row>
    <row r="594" spans="1:26" ht="12.75" x14ac:dyDescent="0.2">
      <c r="A594" s="230"/>
      <c r="B594" s="18">
        <v>2023</v>
      </c>
      <c r="C594" s="18" t="s">
        <v>810</v>
      </c>
      <c r="D594" s="18" t="s">
        <v>725</v>
      </c>
      <c r="E594" s="18" t="s">
        <v>713</v>
      </c>
      <c r="F594" s="18" t="s">
        <v>714</v>
      </c>
      <c r="G594" s="18" t="s">
        <v>674</v>
      </c>
      <c r="H594" s="18" t="s">
        <v>726</v>
      </c>
      <c r="I594" s="315">
        <v>872.55593607097069</v>
      </c>
      <c r="J594" s="315">
        <v>4.8818201418707298E-3</v>
      </c>
      <c r="K594" s="316" t="str">
        <f t="shared" si="34"/>
        <v>Construction and Mining Equipment</v>
      </c>
      <c r="L594" s="316" t="str">
        <f t="shared" si="35"/>
        <v>Diesel</v>
      </c>
      <c r="M594" s="8"/>
      <c r="N594" s="2"/>
      <c r="O594" s="2"/>
      <c r="P594" s="2"/>
      <c r="Q594" s="2"/>
      <c r="R594" s="2"/>
      <c r="S594" s="2"/>
      <c r="T594" s="2"/>
      <c r="U594" s="2"/>
      <c r="V594" s="2"/>
      <c r="W594" s="2"/>
      <c r="X594" s="2"/>
      <c r="Y594" s="2"/>
      <c r="Z594" s="2"/>
    </row>
    <row r="595" spans="1:26" ht="12.75" x14ac:dyDescent="0.2">
      <c r="A595" s="230"/>
      <c r="B595" s="18">
        <v>2023</v>
      </c>
      <c r="C595" s="18" t="s">
        <v>706</v>
      </c>
      <c r="D595" s="18" t="s">
        <v>864</v>
      </c>
      <c r="E595" s="18" t="s">
        <v>703</v>
      </c>
      <c r="F595" s="18" t="s">
        <v>704</v>
      </c>
      <c r="G595" s="18" t="s">
        <v>673</v>
      </c>
      <c r="H595" s="18" t="s">
        <v>865</v>
      </c>
      <c r="I595" s="315">
        <v>871.6102576857719</v>
      </c>
      <c r="J595" s="315">
        <v>0.59279971566377276</v>
      </c>
      <c r="K595" s="316" t="str">
        <f t="shared" si="34"/>
        <v>Lawn and Garden Equipment</v>
      </c>
      <c r="L595" s="316" t="str">
        <f t="shared" si="35"/>
        <v>Gasoline</v>
      </c>
      <c r="M595" s="8"/>
      <c r="N595" s="2"/>
      <c r="O595" s="2"/>
      <c r="P595" s="2"/>
      <c r="Q595" s="2"/>
      <c r="R595" s="2"/>
      <c r="S595" s="2"/>
      <c r="T595" s="2"/>
      <c r="U595" s="2"/>
      <c r="V595" s="2"/>
      <c r="W595" s="2"/>
      <c r="X595" s="2"/>
      <c r="Y595" s="2"/>
      <c r="Z595" s="2"/>
    </row>
    <row r="596" spans="1:26" ht="12.75" x14ac:dyDescent="0.2">
      <c r="A596" s="230"/>
      <c r="B596" s="18">
        <v>2023</v>
      </c>
      <c r="C596" s="18" t="s">
        <v>711</v>
      </c>
      <c r="D596" s="18" t="s">
        <v>858</v>
      </c>
      <c r="E596" s="18" t="s">
        <v>713</v>
      </c>
      <c r="F596" s="18" t="s">
        <v>714</v>
      </c>
      <c r="G596" s="18" t="s">
        <v>674</v>
      </c>
      <c r="H596" s="18" t="s">
        <v>859</v>
      </c>
      <c r="I596" s="315">
        <v>867.15062028049545</v>
      </c>
      <c r="J596" s="315">
        <v>7.6971819977759651E-3</v>
      </c>
      <c r="K596" s="316" t="str">
        <f t="shared" si="34"/>
        <v>Construction and Mining Equipment</v>
      </c>
      <c r="L596" s="316" t="str">
        <f t="shared" si="35"/>
        <v>Diesel</v>
      </c>
      <c r="M596" s="8"/>
      <c r="N596" s="2"/>
      <c r="O596" s="2"/>
      <c r="P596" s="2"/>
      <c r="Q596" s="2"/>
      <c r="R596" s="2"/>
      <c r="S596" s="2"/>
      <c r="T596" s="2"/>
      <c r="U596" s="2"/>
      <c r="V596" s="2"/>
      <c r="W596" s="2"/>
      <c r="X596" s="2"/>
      <c r="Y596" s="2"/>
      <c r="Z596" s="2"/>
    </row>
    <row r="597" spans="1:26" ht="12.75" x14ac:dyDescent="0.2">
      <c r="A597" s="230"/>
      <c r="B597" s="18">
        <v>2023</v>
      </c>
      <c r="C597" s="18" t="s">
        <v>711</v>
      </c>
      <c r="D597" s="18" t="s">
        <v>880</v>
      </c>
      <c r="E597" s="18" t="s">
        <v>703</v>
      </c>
      <c r="F597" s="18" t="s">
        <v>704</v>
      </c>
      <c r="G597" s="18" t="s">
        <v>677</v>
      </c>
      <c r="H597" s="18" t="s">
        <v>785</v>
      </c>
      <c r="I597" s="315">
        <v>865.49864143437856</v>
      </c>
      <c r="J597" s="315">
        <v>0.49805532019556081</v>
      </c>
      <c r="K597" s="316" t="str">
        <f t="shared" si="34"/>
        <v>Commercial Equipment</v>
      </c>
      <c r="L597" s="316" t="str">
        <f t="shared" si="35"/>
        <v>Gasoline</v>
      </c>
      <c r="M597" s="8"/>
      <c r="N597" s="2"/>
      <c r="O597" s="2"/>
      <c r="P597" s="2"/>
      <c r="Q597" s="2"/>
      <c r="R597" s="2"/>
      <c r="S597" s="2"/>
      <c r="T597" s="2"/>
      <c r="U597" s="2"/>
      <c r="V597" s="2"/>
      <c r="W597" s="2"/>
      <c r="X597" s="2"/>
      <c r="Y597" s="2"/>
      <c r="Z597" s="2"/>
    </row>
    <row r="598" spans="1:26" ht="12.75" x14ac:dyDescent="0.2">
      <c r="A598" s="230"/>
      <c r="B598" s="18">
        <v>2023</v>
      </c>
      <c r="C598" s="18" t="s">
        <v>743</v>
      </c>
      <c r="D598" s="18" t="s">
        <v>769</v>
      </c>
      <c r="E598" s="18" t="s">
        <v>713</v>
      </c>
      <c r="F598" s="18" t="s">
        <v>714</v>
      </c>
      <c r="G598" s="18" t="s">
        <v>674</v>
      </c>
      <c r="H598" s="18" t="s">
        <v>770</v>
      </c>
      <c r="I598" s="315">
        <v>865.45752522248119</v>
      </c>
      <c r="J598" s="315">
        <v>6.9395194883314359E-3</v>
      </c>
      <c r="K598" s="316" t="str">
        <f t="shared" si="34"/>
        <v>Construction and Mining Equipment</v>
      </c>
      <c r="L598" s="316" t="str">
        <f t="shared" si="35"/>
        <v>Diesel</v>
      </c>
      <c r="M598" s="8"/>
      <c r="N598" s="2"/>
      <c r="O598" s="2"/>
      <c r="P598" s="2"/>
      <c r="Q598" s="2"/>
      <c r="R598" s="2"/>
      <c r="S598" s="2"/>
      <c r="T598" s="2"/>
      <c r="U598" s="2"/>
      <c r="V598" s="2"/>
      <c r="W598" s="2"/>
      <c r="X598" s="2"/>
      <c r="Y598" s="2"/>
      <c r="Z598" s="2"/>
    </row>
    <row r="599" spans="1:26" ht="12.75" x14ac:dyDescent="0.2">
      <c r="A599" s="230"/>
      <c r="B599" s="18">
        <v>2023</v>
      </c>
      <c r="C599" s="18" t="s">
        <v>727</v>
      </c>
      <c r="D599" s="18" t="s">
        <v>894</v>
      </c>
      <c r="E599" s="18" t="s">
        <v>713</v>
      </c>
      <c r="F599" s="18" t="s">
        <v>714</v>
      </c>
      <c r="G599" s="18" t="s">
        <v>681</v>
      </c>
      <c r="H599" s="18" t="s">
        <v>895</v>
      </c>
      <c r="I599" s="315">
        <v>861.34026019882128</v>
      </c>
      <c r="J599" s="315">
        <v>1.6890540595614365E-3</v>
      </c>
      <c r="K599" s="316" t="str">
        <f t="shared" si="34"/>
        <v>Logging Equipment</v>
      </c>
      <c r="L599" s="316" t="str">
        <f t="shared" si="35"/>
        <v>Diesel</v>
      </c>
      <c r="M599" s="8"/>
      <c r="N599" s="2"/>
      <c r="O599" s="2"/>
      <c r="P599" s="2"/>
      <c r="Q599" s="2"/>
      <c r="R599" s="2"/>
      <c r="S599" s="2"/>
      <c r="T599" s="2"/>
      <c r="U599" s="2"/>
      <c r="V599" s="2"/>
      <c r="W599" s="2"/>
      <c r="X599" s="2"/>
      <c r="Y599" s="2"/>
      <c r="Z599" s="2"/>
    </row>
    <row r="600" spans="1:26" ht="12.75" x14ac:dyDescent="0.2">
      <c r="A600" s="230"/>
      <c r="B600" s="18">
        <v>2023</v>
      </c>
      <c r="C600" s="18" t="s">
        <v>722</v>
      </c>
      <c r="D600" s="18" t="s">
        <v>790</v>
      </c>
      <c r="E600" s="18" t="s">
        <v>713</v>
      </c>
      <c r="F600" s="18" t="s">
        <v>714</v>
      </c>
      <c r="G600" s="18" t="s">
        <v>674</v>
      </c>
      <c r="H600" s="18" t="s">
        <v>791</v>
      </c>
      <c r="I600" s="315">
        <v>857.14204143248708</v>
      </c>
      <c r="J600" s="315">
        <v>4.9273889862464868E-3</v>
      </c>
      <c r="K600" s="316" t="str">
        <f t="shared" si="34"/>
        <v>Construction and Mining Equipment</v>
      </c>
      <c r="L600" s="316" t="str">
        <f t="shared" si="35"/>
        <v>Diesel</v>
      </c>
      <c r="M600" s="8"/>
      <c r="N600" s="2"/>
      <c r="O600" s="2"/>
      <c r="P600" s="2"/>
      <c r="Q600" s="2"/>
      <c r="R600" s="2"/>
      <c r="S600" s="2"/>
      <c r="T600" s="2"/>
      <c r="U600" s="2"/>
      <c r="V600" s="2"/>
      <c r="W600" s="2"/>
      <c r="X600" s="2"/>
      <c r="Y600" s="2"/>
      <c r="Z600" s="2"/>
    </row>
    <row r="601" spans="1:26" ht="12.75" x14ac:dyDescent="0.2">
      <c r="A601" s="230"/>
      <c r="B601" s="18">
        <v>2023</v>
      </c>
      <c r="C601" s="18" t="s">
        <v>711</v>
      </c>
      <c r="D601" s="18" t="s">
        <v>853</v>
      </c>
      <c r="E601" s="18" t="s">
        <v>703</v>
      </c>
      <c r="F601" s="18" t="s">
        <v>795</v>
      </c>
      <c r="G601" s="18" t="s">
        <v>679</v>
      </c>
      <c r="H601" s="18" t="s">
        <v>854</v>
      </c>
      <c r="I601" s="315">
        <v>856.8573452855918</v>
      </c>
      <c r="J601" s="315">
        <v>0.64409726602701634</v>
      </c>
      <c r="K601" s="316" t="str">
        <f t="shared" si="34"/>
        <v>Recreational Equipment</v>
      </c>
      <c r="L601" s="316" t="str">
        <f t="shared" si="35"/>
        <v>Gasoline</v>
      </c>
      <c r="M601" s="8"/>
      <c r="N601" s="2"/>
      <c r="O601" s="2"/>
      <c r="P601" s="2"/>
      <c r="Q601" s="2"/>
      <c r="R601" s="2"/>
      <c r="S601" s="2"/>
      <c r="T601" s="2"/>
      <c r="U601" s="2"/>
      <c r="V601" s="2"/>
      <c r="W601" s="2"/>
      <c r="X601" s="2"/>
      <c r="Y601" s="2"/>
      <c r="Z601" s="2"/>
    </row>
    <row r="602" spans="1:26" ht="12.75" x14ac:dyDescent="0.2">
      <c r="A602" s="230"/>
      <c r="B602" s="18">
        <v>2023</v>
      </c>
      <c r="C602" s="18" t="s">
        <v>760</v>
      </c>
      <c r="D602" s="18" t="s">
        <v>853</v>
      </c>
      <c r="E602" s="18" t="s">
        <v>703</v>
      </c>
      <c r="F602" s="18" t="s">
        <v>795</v>
      </c>
      <c r="G602" s="18" t="s">
        <v>679</v>
      </c>
      <c r="H602" s="18" t="s">
        <v>854</v>
      </c>
      <c r="I602" s="315">
        <v>856.8573452855918</v>
      </c>
      <c r="J602" s="315">
        <v>0.64505212072867046</v>
      </c>
      <c r="K602" s="316" t="str">
        <f t="shared" si="34"/>
        <v>Recreational Equipment</v>
      </c>
      <c r="L602" s="316" t="str">
        <f t="shared" si="35"/>
        <v>Gasoline</v>
      </c>
      <c r="M602" s="8"/>
      <c r="N602" s="2"/>
      <c r="O602" s="2"/>
      <c r="P602" s="2"/>
      <c r="Q602" s="2"/>
      <c r="R602" s="2"/>
      <c r="S602" s="2"/>
      <c r="T602" s="2"/>
      <c r="U602" s="2"/>
      <c r="V602" s="2"/>
      <c r="W602" s="2"/>
      <c r="X602" s="2"/>
      <c r="Y602" s="2"/>
      <c r="Z602" s="2"/>
    </row>
    <row r="603" spans="1:26" ht="12.75" x14ac:dyDescent="0.2">
      <c r="A603" s="230"/>
      <c r="B603" s="18">
        <v>2023</v>
      </c>
      <c r="C603" s="18" t="s">
        <v>778</v>
      </c>
      <c r="D603" s="18" t="s">
        <v>894</v>
      </c>
      <c r="E603" s="18" t="s">
        <v>713</v>
      </c>
      <c r="F603" s="18" t="s">
        <v>714</v>
      </c>
      <c r="G603" s="18" t="s">
        <v>681</v>
      </c>
      <c r="H603" s="18" t="s">
        <v>895</v>
      </c>
      <c r="I603" s="315">
        <v>855.9917024177455</v>
      </c>
      <c r="J603" s="315">
        <v>1.6785652847999954E-3</v>
      </c>
      <c r="K603" s="316" t="str">
        <f t="shared" si="34"/>
        <v>Logging Equipment</v>
      </c>
      <c r="L603" s="316" t="str">
        <f t="shared" si="35"/>
        <v>Diesel</v>
      </c>
      <c r="M603" s="8"/>
      <c r="N603" s="2"/>
      <c r="O603" s="2"/>
      <c r="P603" s="2"/>
      <c r="Q603" s="2"/>
      <c r="R603" s="2"/>
      <c r="S603" s="2"/>
      <c r="T603" s="2"/>
      <c r="U603" s="2"/>
      <c r="V603" s="2"/>
      <c r="W603" s="2"/>
      <c r="X603" s="2"/>
      <c r="Y603" s="2"/>
      <c r="Z603" s="2"/>
    </row>
    <row r="604" spans="1:26" ht="12.75" x14ac:dyDescent="0.2">
      <c r="A604" s="230"/>
      <c r="B604" s="18">
        <v>2023</v>
      </c>
      <c r="C604" s="18" t="s">
        <v>743</v>
      </c>
      <c r="D604" s="18" t="s">
        <v>741</v>
      </c>
      <c r="E604" s="18" t="s">
        <v>713</v>
      </c>
      <c r="F604" s="18" t="s">
        <v>714</v>
      </c>
      <c r="G604" s="18" t="s">
        <v>673</v>
      </c>
      <c r="H604" s="18" t="s">
        <v>742</v>
      </c>
      <c r="I604" s="315">
        <v>852.54973204245027</v>
      </c>
      <c r="J604" s="315">
        <v>1.4120653812942944E-2</v>
      </c>
      <c r="K604" s="316" t="str">
        <f t="shared" si="34"/>
        <v>Lawn and Garden Equipment</v>
      </c>
      <c r="L604" s="316" t="str">
        <f t="shared" si="35"/>
        <v>Diesel</v>
      </c>
      <c r="M604" s="8"/>
      <c r="N604" s="2"/>
      <c r="O604" s="2"/>
      <c r="P604" s="2"/>
      <c r="Q604" s="2"/>
      <c r="R604" s="2"/>
      <c r="S604" s="2"/>
      <c r="T604" s="2"/>
      <c r="U604" s="2"/>
      <c r="V604" s="2"/>
      <c r="W604" s="2"/>
      <c r="X604" s="2"/>
      <c r="Y604" s="2"/>
      <c r="Z604" s="2"/>
    </row>
    <row r="605" spans="1:26" ht="12.75" x14ac:dyDescent="0.2">
      <c r="A605" s="230"/>
      <c r="B605" s="18">
        <v>2023</v>
      </c>
      <c r="C605" s="18" t="s">
        <v>732</v>
      </c>
      <c r="D605" s="18" t="s">
        <v>807</v>
      </c>
      <c r="E605" s="18" t="s">
        <v>703</v>
      </c>
      <c r="F605" s="18" t="s">
        <v>805</v>
      </c>
      <c r="G605" s="18" t="s">
        <v>673</v>
      </c>
      <c r="H605" s="18" t="s">
        <v>749</v>
      </c>
      <c r="I605" s="315">
        <v>851.22886767253169</v>
      </c>
      <c r="J605" s="315">
        <v>1.5923659004108923</v>
      </c>
      <c r="K605" s="316" t="str">
        <f t="shared" si="34"/>
        <v>Lawn and Garden Equipment</v>
      </c>
      <c r="L605" s="316" t="str">
        <f t="shared" si="35"/>
        <v>Gasoline</v>
      </c>
      <c r="M605" s="8"/>
      <c r="N605" s="2"/>
      <c r="O605" s="2"/>
      <c r="P605" s="2"/>
      <c r="Q605" s="2"/>
      <c r="R605" s="2"/>
      <c r="S605" s="2"/>
      <c r="T605" s="2"/>
      <c r="U605" s="2"/>
      <c r="V605" s="2"/>
      <c r="W605" s="2"/>
      <c r="X605" s="2"/>
      <c r="Y605" s="2"/>
      <c r="Z605" s="2"/>
    </row>
    <row r="606" spans="1:26" ht="12.75" x14ac:dyDescent="0.2">
      <c r="A606" s="230"/>
      <c r="B606" s="18">
        <v>2023</v>
      </c>
      <c r="C606" s="18" t="s">
        <v>711</v>
      </c>
      <c r="D606" s="18" t="s">
        <v>860</v>
      </c>
      <c r="E606" s="18" t="s">
        <v>713</v>
      </c>
      <c r="F606" s="18" t="s">
        <v>714</v>
      </c>
      <c r="G606" s="18" t="s">
        <v>674</v>
      </c>
      <c r="H606" s="18" t="s">
        <v>861</v>
      </c>
      <c r="I606" s="315">
        <v>848.30692809052312</v>
      </c>
      <c r="J606" s="315">
        <v>1.4059145478112559E-2</v>
      </c>
      <c r="K606" s="316" t="str">
        <f t="shared" si="34"/>
        <v>Construction and Mining Equipment</v>
      </c>
      <c r="L606" s="316" t="str">
        <f t="shared" si="35"/>
        <v>Diesel</v>
      </c>
      <c r="M606" s="8"/>
      <c r="N606" s="2"/>
      <c r="O606" s="2"/>
      <c r="P606" s="2"/>
      <c r="Q606" s="2"/>
      <c r="R606" s="2"/>
      <c r="S606" s="2"/>
      <c r="T606" s="2"/>
      <c r="U606" s="2"/>
      <c r="V606" s="2"/>
      <c r="W606" s="2"/>
      <c r="X606" s="2"/>
      <c r="Y606" s="2"/>
      <c r="Z606" s="2"/>
    </row>
    <row r="607" spans="1:26" ht="12.75" x14ac:dyDescent="0.2">
      <c r="A607" s="230"/>
      <c r="B607" s="18">
        <v>2023</v>
      </c>
      <c r="C607" s="18" t="s">
        <v>792</v>
      </c>
      <c r="D607" s="18" t="s">
        <v>851</v>
      </c>
      <c r="E607" s="18" t="s">
        <v>703</v>
      </c>
      <c r="F607" s="18" t="s">
        <v>704</v>
      </c>
      <c r="G607" s="18" t="s">
        <v>679</v>
      </c>
      <c r="H607" s="18" t="s">
        <v>852</v>
      </c>
      <c r="I607" s="315">
        <v>836.60392259243679</v>
      </c>
      <c r="J607" s="315">
        <v>0.83262903450846359</v>
      </c>
      <c r="K607" s="316" t="str">
        <f t="shared" si="34"/>
        <v>Recreational Equipment</v>
      </c>
      <c r="L607" s="316" t="str">
        <f t="shared" si="35"/>
        <v>Gasoline</v>
      </c>
      <c r="M607" s="8"/>
      <c r="N607" s="2"/>
      <c r="O607" s="2"/>
      <c r="P607" s="2"/>
      <c r="Q607" s="2"/>
      <c r="R607" s="2"/>
      <c r="S607" s="2"/>
      <c r="T607" s="2"/>
      <c r="U607" s="2"/>
      <c r="V607" s="2"/>
      <c r="W607" s="2"/>
      <c r="X607" s="2"/>
      <c r="Y607" s="2"/>
      <c r="Z607" s="2"/>
    </row>
    <row r="608" spans="1:26" ht="12.75" x14ac:dyDescent="0.2">
      <c r="A608" s="230"/>
      <c r="B608" s="18">
        <v>2023</v>
      </c>
      <c r="C608" s="18" t="s">
        <v>706</v>
      </c>
      <c r="D608" s="18" t="s">
        <v>851</v>
      </c>
      <c r="E608" s="18" t="s">
        <v>703</v>
      </c>
      <c r="F608" s="18" t="s">
        <v>704</v>
      </c>
      <c r="G608" s="18" t="s">
        <v>679</v>
      </c>
      <c r="H608" s="18" t="s">
        <v>852</v>
      </c>
      <c r="I608" s="315">
        <v>836.60392259243679</v>
      </c>
      <c r="J608" s="315">
        <v>0.82888477228814894</v>
      </c>
      <c r="K608" s="316" t="str">
        <f t="shared" si="34"/>
        <v>Recreational Equipment</v>
      </c>
      <c r="L608" s="316" t="str">
        <f t="shared" si="35"/>
        <v>Gasoline</v>
      </c>
      <c r="M608" s="8"/>
      <c r="N608" s="2"/>
      <c r="O608" s="2"/>
      <c r="P608" s="2"/>
      <c r="Q608" s="2"/>
      <c r="R608" s="2"/>
      <c r="S608" s="2"/>
      <c r="T608" s="2"/>
      <c r="U608" s="2"/>
      <c r="V608" s="2"/>
      <c r="W608" s="2"/>
      <c r="X608" s="2"/>
      <c r="Y608" s="2"/>
      <c r="Z608" s="2"/>
    </row>
    <row r="609" spans="1:26" ht="12.75" x14ac:dyDescent="0.2">
      <c r="A609" s="230"/>
      <c r="B609" s="18">
        <v>2023</v>
      </c>
      <c r="C609" s="18" t="s">
        <v>781</v>
      </c>
      <c r="D609" s="18" t="s">
        <v>851</v>
      </c>
      <c r="E609" s="18" t="s">
        <v>703</v>
      </c>
      <c r="F609" s="18" t="s">
        <v>704</v>
      </c>
      <c r="G609" s="18" t="s">
        <v>679</v>
      </c>
      <c r="H609" s="18" t="s">
        <v>852</v>
      </c>
      <c r="I609" s="315">
        <v>836.60392259243679</v>
      </c>
      <c r="J609" s="315">
        <v>0.82727435009403971</v>
      </c>
      <c r="K609" s="316" t="str">
        <f t="shared" si="34"/>
        <v>Recreational Equipment</v>
      </c>
      <c r="L609" s="316" t="str">
        <f t="shared" si="35"/>
        <v>Gasoline</v>
      </c>
      <c r="M609" s="8"/>
      <c r="N609" s="2"/>
      <c r="O609" s="2"/>
      <c r="P609" s="2"/>
      <c r="Q609" s="2"/>
      <c r="R609" s="2"/>
      <c r="S609" s="2"/>
      <c r="T609" s="2"/>
      <c r="U609" s="2"/>
      <c r="V609" s="2"/>
      <c r="W609" s="2"/>
      <c r="X609" s="2"/>
      <c r="Y609" s="2"/>
      <c r="Z609" s="2"/>
    </row>
    <row r="610" spans="1:26" ht="12.75" x14ac:dyDescent="0.2">
      <c r="A610" s="230"/>
      <c r="B610" s="18">
        <v>2023</v>
      </c>
      <c r="C610" s="18" t="s">
        <v>754</v>
      </c>
      <c r="D610" s="18" t="s">
        <v>851</v>
      </c>
      <c r="E610" s="18" t="s">
        <v>703</v>
      </c>
      <c r="F610" s="18" t="s">
        <v>704</v>
      </c>
      <c r="G610" s="18" t="s">
        <v>679</v>
      </c>
      <c r="H610" s="18" t="s">
        <v>852</v>
      </c>
      <c r="I610" s="315">
        <v>836.60392259243679</v>
      </c>
      <c r="J610" s="315">
        <v>0.83024467499484389</v>
      </c>
      <c r="K610" s="316" t="str">
        <f t="shared" si="34"/>
        <v>Recreational Equipment</v>
      </c>
      <c r="L610" s="316" t="str">
        <f t="shared" si="35"/>
        <v>Gasoline</v>
      </c>
      <c r="M610" s="8"/>
      <c r="N610" s="2"/>
      <c r="O610" s="2"/>
      <c r="P610" s="2"/>
      <c r="Q610" s="2"/>
      <c r="R610" s="2"/>
      <c r="S610" s="2"/>
      <c r="T610" s="2"/>
      <c r="U610" s="2"/>
      <c r="V610" s="2"/>
      <c r="W610" s="2"/>
      <c r="X610" s="2"/>
      <c r="Y610" s="2"/>
      <c r="Z610" s="2"/>
    </row>
    <row r="611" spans="1:26" ht="12.75" x14ac:dyDescent="0.2">
      <c r="A611" s="230"/>
      <c r="B611" s="18">
        <v>2023</v>
      </c>
      <c r="C611" s="18" t="s">
        <v>778</v>
      </c>
      <c r="D611" s="18" t="s">
        <v>851</v>
      </c>
      <c r="E611" s="18" t="s">
        <v>703</v>
      </c>
      <c r="F611" s="18" t="s">
        <v>704</v>
      </c>
      <c r="G611" s="18" t="s">
        <v>679</v>
      </c>
      <c r="H611" s="18" t="s">
        <v>852</v>
      </c>
      <c r="I611" s="315">
        <v>836.60392259243679</v>
      </c>
      <c r="J611" s="315">
        <v>0.82742952543911685</v>
      </c>
      <c r="K611" s="316" t="str">
        <f t="shared" si="34"/>
        <v>Recreational Equipment</v>
      </c>
      <c r="L611" s="316" t="str">
        <f t="shared" si="35"/>
        <v>Gasoline</v>
      </c>
      <c r="M611" s="8"/>
      <c r="N611" s="2"/>
      <c r="O611" s="2"/>
      <c r="P611" s="2"/>
      <c r="Q611" s="2"/>
      <c r="R611" s="2"/>
      <c r="S611" s="2"/>
      <c r="T611" s="2"/>
      <c r="U611" s="2"/>
      <c r="V611" s="2"/>
      <c r="W611" s="2"/>
      <c r="X611" s="2"/>
      <c r="Y611" s="2"/>
      <c r="Z611" s="2"/>
    </row>
    <row r="612" spans="1:26" ht="12.75" x14ac:dyDescent="0.2">
      <c r="A612" s="230"/>
      <c r="B612" s="18">
        <v>2023</v>
      </c>
      <c r="C612" s="18" t="s">
        <v>732</v>
      </c>
      <c r="D612" s="18" t="s">
        <v>851</v>
      </c>
      <c r="E612" s="18" t="s">
        <v>703</v>
      </c>
      <c r="F612" s="18" t="s">
        <v>704</v>
      </c>
      <c r="G612" s="18" t="s">
        <v>679</v>
      </c>
      <c r="H612" s="18" t="s">
        <v>852</v>
      </c>
      <c r="I612" s="315">
        <v>836.60392259243679</v>
      </c>
      <c r="J612" s="315">
        <v>0.83054868066698595</v>
      </c>
      <c r="K612" s="316" t="str">
        <f t="shared" si="34"/>
        <v>Recreational Equipment</v>
      </c>
      <c r="L612" s="316" t="str">
        <f t="shared" si="35"/>
        <v>Gasoline</v>
      </c>
      <c r="M612" s="8"/>
      <c r="N612" s="2"/>
      <c r="O612" s="2"/>
      <c r="P612" s="2"/>
      <c r="Q612" s="2"/>
      <c r="R612" s="2"/>
      <c r="S612" s="2"/>
      <c r="T612" s="2"/>
      <c r="U612" s="2"/>
      <c r="V612" s="2"/>
      <c r="W612" s="2"/>
      <c r="X612" s="2"/>
      <c r="Y612" s="2"/>
      <c r="Z612" s="2"/>
    </row>
    <row r="613" spans="1:26" x14ac:dyDescent="0.25">
      <c r="A613" s="314"/>
      <c r="B613" s="18">
        <v>2023</v>
      </c>
      <c r="C613" s="18" t="s">
        <v>810</v>
      </c>
      <c r="D613" s="18" t="s">
        <v>851</v>
      </c>
      <c r="E613" s="18" t="s">
        <v>703</v>
      </c>
      <c r="F613" s="18" t="s">
        <v>704</v>
      </c>
      <c r="G613" s="18" t="s">
        <v>679</v>
      </c>
      <c r="H613" s="18" t="s">
        <v>852</v>
      </c>
      <c r="I613" s="315">
        <v>836.60392259243679</v>
      </c>
      <c r="J613" s="315">
        <v>0.83730924595718159</v>
      </c>
      <c r="K613" s="316" t="str">
        <f t="shared" si="34"/>
        <v>Recreational Equipment</v>
      </c>
      <c r="L613" s="316" t="str">
        <f t="shared" si="35"/>
        <v>Gasoline</v>
      </c>
      <c r="M613" s="194"/>
      <c r="N613" s="317"/>
      <c r="O613" s="317"/>
      <c r="P613" s="317"/>
      <c r="Q613" s="317"/>
      <c r="R613" s="317"/>
      <c r="S613" s="317"/>
      <c r="T613" s="317"/>
      <c r="U613" s="317"/>
      <c r="V613" s="317"/>
      <c r="W613" s="317"/>
      <c r="X613" s="317"/>
      <c r="Y613" s="317"/>
      <c r="Z613" s="317"/>
    </row>
    <row r="614" spans="1:26" x14ac:dyDescent="0.25">
      <c r="A614" s="314"/>
      <c r="B614" s="18">
        <v>2023</v>
      </c>
      <c r="C614" s="18" t="s">
        <v>786</v>
      </c>
      <c r="D614" s="18" t="s">
        <v>851</v>
      </c>
      <c r="E614" s="18" t="s">
        <v>703</v>
      </c>
      <c r="F614" s="18" t="s">
        <v>704</v>
      </c>
      <c r="G614" s="18" t="s">
        <v>679</v>
      </c>
      <c r="H614" s="18" t="s">
        <v>852</v>
      </c>
      <c r="I614" s="315">
        <v>836.60392259243679</v>
      </c>
      <c r="J614" s="315">
        <v>0.82831510831175914</v>
      </c>
      <c r="K614" s="316" t="str">
        <f t="shared" si="34"/>
        <v>Recreational Equipment</v>
      </c>
      <c r="L614" s="316" t="str">
        <f t="shared" si="35"/>
        <v>Gasoline</v>
      </c>
      <c r="M614" s="194"/>
      <c r="N614" s="317"/>
      <c r="O614" s="317"/>
      <c r="P614" s="317"/>
      <c r="Q614" s="317"/>
      <c r="R614" s="317"/>
      <c r="S614" s="317"/>
      <c r="T614" s="317"/>
      <c r="U614" s="317"/>
      <c r="V614" s="317"/>
      <c r="W614" s="317"/>
      <c r="X614" s="317"/>
      <c r="Y614" s="317"/>
      <c r="Z614" s="317"/>
    </row>
    <row r="615" spans="1:26" x14ac:dyDescent="0.25">
      <c r="A615" s="314"/>
      <c r="B615" s="18">
        <v>2023</v>
      </c>
      <c r="C615" s="18" t="s">
        <v>709</v>
      </c>
      <c r="D615" s="18" t="s">
        <v>851</v>
      </c>
      <c r="E615" s="18" t="s">
        <v>703</v>
      </c>
      <c r="F615" s="18" t="s">
        <v>704</v>
      </c>
      <c r="G615" s="18" t="s">
        <v>679</v>
      </c>
      <c r="H615" s="18" t="s">
        <v>852</v>
      </c>
      <c r="I615" s="315">
        <v>836.60392259243679</v>
      </c>
      <c r="J615" s="315">
        <v>0.82803006213850194</v>
      </c>
      <c r="K615" s="316" t="str">
        <f t="shared" si="34"/>
        <v>Recreational Equipment</v>
      </c>
      <c r="L615" s="316" t="str">
        <f t="shared" si="35"/>
        <v>Gasoline</v>
      </c>
      <c r="M615" s="194"/>
      <c r="N615" s="317"/>
      <c r="O615" s="317"/>
      <c r="P615" s="317"/>
      <c r="Q615" s="317"/>
      <c r="R615" s="317"/>
      <c r="S615" s="317"/>
      <c r="T615" s="317"/>
      <c r="U615" s="317"/>
      <c r="V615" s="317"/>
      <c r="W615" s="317"/>
      <c r="X615" s="317"/>
      <c r="Y615" s="317"/>
      <c r="Z615" s="317"/>
    </row>
    <row r="616" spans="1:26" x14ac:dyDescent="0.25">
      <c r="A616" s="314"/>
      <c r="B616" s="18">
        <v>2023</v>
      </c>
      <c r="C616" s="18" t="s">
        <v>743</v>
      </c>
      <c r="D616" s="18" t="s">
        <v>851</v>
      </c>
      <c r="E616" s="18" t="s">
        <v>703</v>
      </c>
      <c r="F616" s="18" t="s">
        <v>704</v>
      </c>
      <c r="G616" s="18" t="s">
        <v>679</v>
      </c>
      <c r="H616" s="18" t="s">
        <v>852</v>
      </c>
      <c r="I616" s="315">
        <v>836.60392259243679</v>
      </c>
      <c r="J616" s="315">
        <v>0.83115216354632149</v>
      </c>
      <c r="K616" s="316" t="str">
        <f t="shared" si="34"/>
        <v>Recreational Equipment</v>
      </c>
      <c r="L616" s="316" t="str">
        <f t="shared" si="35"/>
        <v>Gasoline</v>
      </c>
      <c r="M616" s="194"/>
      <c r="N616" s="317"/>
      <c r="O616" s="317"/>
      <c r="P616" s="317"/>
      <c r="Q616" s="317"/>
      <c r="R616" s="317"/>
      <c r="S616" s="317"/>
      <c r="T616" s="317"/>
      <c r="U616" s="317"/>
      <c r="V616" s="317"/>
      <c r="W616" s="317"/>
      <c r="X616" s="317"/>
      <c r="Y616" s="317"/>
      <c r="Z616" s="317"/>
    </row>
    <row r="617" spans="1:26" x14ac:dyDescent="0.25">
      <c r="A617" s="314"/>
      <c r="B617" s="18">
        <v>2023</v>
      </c>
      <c r="C617" s="18" t="s">
        <v>773</v>
      </c>
      <c r="D617" s="18" t="s">
        <v>851</v>
      </c>
      <c r="E617" s="18" t="s">
        <v>703</v>
      </c>
      <c r="F617" s="18" t="s">
        <v>704</v>
      </c>
      <c r="G617" s="18" t="s">
        <v>679</v>
      </c>
      <c r="H617" s="18" t="s">
        <v>852</v>
      </c>
      <c r="I617" s="315">
        <v>836.60392259243679</v>
      </c>
      <c r="J617" s="315">
        <v>0.82565966889035347</v>
      </c>
      <c r="K617" s="316" t="str">
        <f t="shared" si="34"/>
        <v>Recreational Equipment</v>
      </c>
      <c r="L617" s="316" t="str">
        <f t="shared" si="35"/>
        <v>Gasoline</v>
      </c>
      <c r="M617" s="194"/>
      <c r="N617" s="317"/>
      <c r="O617" s="317"/>
      <c r="P617" s="317"/>
      <c r="Q617" s="317"/>
      <c r="R617" s="317"/>
      <c r="S617" s="317"/>
      <c r="T617" s="317"/>
      <c r="U617" s="317"/>
      <c r="V617" s="317"/>
      <c r="W617" s="317"/>
      <c r="X617" s="317"/>
      <c r="Y617" s="317"/>
      <c r="Z617" s="317"/>
    </row>
    <row r="618" spans="1:26" x14ac:dyDescent="0.25">
      <c r="A618" s="314"/>
      <c r="B618" s="18">
        <v>2023</v>
      </c>
      <c r="C618" s="18" t="s">
        <v>743</v>
      </c>
      <c r="D618" s="18" t="s">
        <v>774</v>
      </c>
      <c r="E618" s="18" t="s">
        <v>703</v>
      </c>
      <c r="F618" s="18" t="s">
        <v>704</v>
      </c>
      <c r="G618" s="18" t="s">
        <v>673</v>
      </c>
      <c r="H618" s="18" t="s">
        <v>775</v>
      </c>
      <c r="I618" s="315">
        <v>836.23467475874861</v>
      </c>
      <c r="J618" s="315">
        <v>0.57453678895361937</v>
      </c>
      <c r="K618" s="316" t="str">
        <f t="shared" si="34"/>
        <v>Lawn and Garden Equipment</v>
      </c>
      <c r="L618" s="316" t="str">
        <f t="shared" si="35"/>
        <v>Gasoline</v>
      </c>
      <c r="M618" s="194"/>
      <c r="N618" s="317"/>
      <c r="O618" s="317"/>
      <c r="P618" s="317"/>
      <c r="Q618" s="317"/>
      <c r="R618" s="317"/>
      <c r="S618" s="317"/>
      <c r="T618" s="317"/>
      <c r="U618" s="317"/>
      <c r="V618" s="317"/>
      <c r="W618" s="317"/>
      <c r="X618" s="317"/>
      <c r="Y618" s="317"/>
      <c r="Z618" s="317"/>
    </row>
    <row r="619" spans="1:26" x14ac:dyDescent="0.25">
      <c r="A619" s="314"/>
      <c r="B619" s="18">
        <v>2023</v>
      </c>
      <c r="C619" s="18" t="s">
        <v>710</v>
      </c>
      <c r="D619" s="18" t="s">
        <v>880</v>
      </c>
      <c r="E619" s="18" t="s">
        <v>703</v>
      </c>
      <c r="F619" s="18" t="s">
        <v>704</v>
      </c>
      <c r="G619" s="18" t="s">
        <v>677</v>
      </c>
      <c r="H619" s="18" t="s">
        <v>785</v>
      </c>
      <c r="I619" s="315">
        <v>835.29224708960601</v>
      </c>
      <c r="J619" s="315">
        <v>0.48094420428624263</v>
      </c>
      <c r="K619" s="316" t="str">
        <f t="shared" si="34"/>
        <v>Commercial Equipment</v>
      </c>
      <c r="L619" s="316" t="str">
        <f t="shared" si="35"/>
        <v>Gasoline</v>
      </c>
      <c r="M619" s="194"/>
      <c r="N619" s="317"/>
      <c r="O619" s="317"/>
      <c r="P619" s="317"/>
      <c r="Q619" s="317"/>
      <c r="R619" s="317"/>
      <c r="S619" s="317"/>
      <c r="T619" s="317"/>
      <c r="U619" s="317"/>
      <c r="V619" s="317"/>
      <c r="W619" s="317"/>
      <c r="X619" s="317"/>
      <c r="Y619" s="317"/>
      <c r="Z619" s="317"/>
    </row>
    <row r="620" spans="1:26" x14ac:dyDescent="0.25">
      <c r="A620" s="314"/>
      <c r="B620" s="18">
        <v>2023</v>
      </c>
      <c r="C620" s="18" t="s">
        <v>711</v>
      </c>
      <c r="D620" s="18" t="s">
        <v>862</v>
      </c>
      <c r="E620" s="18" t="s">
        <v>713</v>
      </c>
      <c r="F620" s="18" t="s">
        <v>714</v>
      </c>
      <c r="G620" s="18" t="s">
        <v>674</v>
      </c>
      <c r="H620" s="18" t="s">
        <v>863</v>
      </c>
      <c r="I620" s="315">
        <v>831.432889843363</v>
      </c>
      <c r="J620" s="315">
        <v>5.9981663888077387E-3</v>
      </c>
      <c r="K620" s="316" t="str">
        <f t="shared" si="34"/>
        <v>Construction and Mining Equipment</v>
      </c>
      <c r="L620" s="316" t="str">
        <f t="shared" si="35"/>
        <v>Diesel</v>
      </c>
      <c r="M620" s="194"/>
      <c r="N620" s="317"/>
      <c r="O620" s="317"/>
      <c r="P620" s="317"/>
      <c r="Q620" s="317"/>
      <c r="R620" s="317"/>
      <c r="S620" s="317"/>
      <c r="T620" s="317"/>
      <c r="U620" s="317"/>
      <c r="V620" s="317"/>
      <c r="W620" s="317"/>
      <c r="X620" s="317"/>
      <c r="Y620" s="317"/>
      <c r="Z620" s="317"/>
    </row>
    <row r="621" spans="1:26" x14ac:dyDescent="0.25">
      <c r="A621" s="314"/>
      <c r="B621" s="18">
        <v>2023</v>
      </c>
      <c r="C621" s="18" t="s">
        <v>709</v>
      </c>
      <c r="D621" s="18" t="s">
        <v>867</v>
      </c>
      <c r="E621" s="18" t="s">
        <v>713</v>
      </c>
      <c r="F621" s="18" t="s">
        <v>714</v>
      </c>
      <c r="G621" s="18" t="s">
        <v>673</v>
      </c>
      <c r="H621" s="18" t="s">
        <v>724</v>
      </c>
      <c r="I621" s="315">
        <v>830.84900987201343</v>
      </c>
      <c r="J621" s="315">
        <v>4.27584485985305E-2</v>
      </c>
      <c r="K621" s="316" t="str">
        <f t="shared" si="34"/>
        <v>Lawn and Garden Equipment</v>
      </c>
      <c r="L621" s="316" t="str">
        <f t="shared" si="35"/>
        <v>Diesel</v>
      </c>
      <c r="M621" s="194"/>
      <c r="N621" s="317"/>
      <c r="O621" s="317"/>
      <c r="P621" s="317"/>
      <c r="Q621" s="317"/>
      <c r="R621" s="317"/>
      <c r="S621" s="317"/>
      <c r="T621" s="317"/>
      <c r="U621" s="317"/>
      <c r="V621" s="317"/>
      <c r="W621" s="317"/>
      <c r="X621" s="317"/>
      <c r="Y621" s="317"/>
      <c r="Z621" s="317"/>
    </row>
    <row r="622" spans="1:26" x14ac:dyDescent="0.25">
      <c r="A622" s="314"/>
      <c r="B622" s="18">
        <v>2023</v>
      </c>
      <c r="C622" s="18" t="s">
        <v>743</v>
      </c>
      <c r="D622" s="18" t="s">
        <v>839</v>
      </c>
      <c r="E622" s="18" t="s">
        <v>703</v>
      </c>
      <c r="F622" s="18" t="s">
        <v>704</v>
      </c>
      <c r="G622" s="18" t="s">
        <v>675</v>
      </c>
      <c r="H622" s="18" t="s">
        <v>708</v>
      </c>
      <c r="I622" s="315">
        <v>830.81962996864343</v>
      </c>
      <c r="J622" s="315">
        <v>5.7457496948457067E-2</v>
      </c>
      <c r="K622" s="316" t="str">
        <f t="shared" si="34"/>
        <v>Industrial Equipment</v>
      </c>
      <c r="L622" s="316" t="str">
        <f t="shared" si="35"/>
        <v>Gasoline</v>
      </c>
      <c r="M622" s="194"/>
      <c r="N622" s="317"/>
      <c r="O622" s="317"/>
      <c r="P622" s="317"/>
      <c r="Q622" s="317"/>
      <c r="R622" s="317"/>
      <c r="S622" s="317"/>
      <c r="T622" s="317"/>
      <c r="U622" s="317"/>
      <c r="V622" s="317"/>
      <c r="W622" s="317"/>
      <c r="X622" s="317"/>
      <c r="Y622" s="317"/>
      <c r="Z622" s="317"/>
    </row>
    <row r="623" spans="1:26" x14ac:dyDescent="0.25">
      <c r="A623" s="314"/>
      <c r="B623" s="18">
        <v>2023</v>
      </c>
      <c r="C623" s="18" t="s">
        <v>778</v>
      </c>
      <c r="D623" s="18" t="s">
        <v>790</v>
      </c>
      <c r="E623" s="18" t="s">
        <v>713</v>
      </c>
      <c r="F623" s="18" t="s">
        <v>714</v>
      </c>
      <c r="G623" s="18" t="s">
        <v>674</v>
      </c>
      <c r="H623" s="18" t="s">
        <v>791</v>
      </c>
      <c r="I623" s="315">
        <v>826.23720059488687</v>
      </c>
      <c r="J623" s="315">
        <v>4.7497267420948761E-3</v>
      </c>
      <c r="K623" s="316" t="str">
        <f t="shared" si="34"/>
        <v>Construction and Mining Equipment</v>
      </c>
      <c r="L623" s="316" t="str">
        <f t="shared" si="35"/>
        <v>Diesel</v>
      </c>
      <c r="M623" s="194"/>
      <c r="N623" s="317"/>
      <c r="O623" s="317"/>
      <c r="P623" s="317"/>
      <c r="Q623" s="317"/>
      <c r="R623" s="317"/>
      <c r="S623" s="317"/>
      <c r="T623" s="317"/>
      <c r="U623" s="317"/>
      <c r="V623" s="317"/>
      <c r="W623" s="317"/>
      <c r="X623" s="317"/>
      <c r="Y623" s="317"/>
      <c r="Z623" s="317"/>
    </row>
    <row r="624" spans="1:26" x14ac:dyDescent="0.25">
      <c r="A624" s="314"/>
      <c r="B624" s="18">
        <v>2023</v>
      </c>
      <c r="C624" s="18" t="s">
        <v>706</v>
      </c>
      <c r="D624" s="18" t="s">
        <v>867</v>
      </c>
      <c r="E624" s="18" t="s">
        <v>713</v>
      </c>
      <c r="F624" s="18" t="s">
        <v>714</v>
      </c>
      <c r="G624" s="18" t="s">
        <v>673</v>
      </c>
      <c r="H624" s="18" t="s">
        <v>724</v>
      </c>
      <c r="I624" s="315">
        <v>822.28341495250459</v>
      </c>
      <c r="J624" s="315">
        <v>4.2317682574723021E-2</v>
      </c>
      <c r="K624" s="316" t="str">
        <f t="shared" si="34"/>
        <v>Lawn and Garden Equipment</v>
      </c>
      <c r="L624" s="316" t="str">
        <f t="shared" si="35"/>
        <v>Diesel</v>
      </c>
      <c r="M624" s="194"/>
      <c r="N624" s="317"/>
      <c r="O624" s="317"/>
      <c r="P624" s="317"/>
      <c r="Q624" s="317"/>
      <c r="R624" s="317"/>
      <c r="S624" s="317"/>
      <c r="T624" s="317"/>
      <c r="U624" s="317"/>
      <c r="V624" s="317"/>
      <c r="W624" s="317"/>
      <c r="X624" s="317"/>
      <c r="Y624" s="317"/>
      <c r="Z624" s="317"/>
    </row>
    <row r="625" spans="1:26" x14ac:dyDescent="0.25">
      <c r="A625" s="314"/>
      <c r="B625" s="18">
        <v>2023</v>
      </c>
      <c r="C625" s="18" t="s">
        <v>727</v>
      </c>
      <c r="D625" s="18" t="s">
        <v>746</v>
      </c>
      <c r="E625" s="18" t="s">
        <v>703</v>
      </c>
      <c r="F625" s="18" t="s">
        <v>704</v>
      </c>
      <c r="G625" s="18" t="s">
        <v>677</v>
      </c>
      <c r="H625" s="18" t="s">
        <v>747</v>
      </c>
      <c r="I625" s="315">
        <v>816.06210660024999</v>
      </c>
      <c r="J625" s="315">
        <v>0.53469643653166643</v>
      </c>
      <c r="K625" s="316" t="str">
        <f t="shared" si="34"/>
        <v>Commercial Equipment</v>
      </c>
      <c r="L625" s="316" t="str">
        <f t="shared" si="35"/>
        <v>Gasoline</v>
      </c>
      <c r="M625" s="194"/>
      <c r="N625" s="317"/>
      <c r="O625" s="317"/>
      <c r="P625" s="317"/>
      <c r="Q625" s="317"/>
      <c r="R625" s="317"/>
      <c r="S625" s="317"/>
      <c r="T625" s="317"/>
      <c r="U625" s="317"/>
      <c r="V625" s="317"/>
      <c r="W625" s="317"/>
      <c r="X625" s="317"/>
      <c r="Y625" s="317"/>
      <c r="Z625" s="317"/>
    </row>
    <row r="626" spans="1:26" x14ac:dyDescent="0.25">
      <c r="A626" s="314"/>
      <c r="B626" s="18">
        <v>2023</v>
      </c>
      <c r="C626" s="18" t="s">
        <v>762</v>
      </c>
      <c r="D626" s="18" t="s">
        <v>718</v>
      </c>
      <c r="E626" s="18" t="s">
        <v>713</v>
      </c>
      <c r="F626" s="18" t="s">
        <v>714</v>
      </c>
      <c r="G626" s="18" t="s">
        <v>674</v>
      </c>
      <c r="H626" s="18" t="s">
        <v>719</v>
      </c>
      <c r="I626" s="315">
        <v>814.88795766119244</v>
      </c>
      <c r="J626" s="315">
        <v>3.0458413501570991E-3</v>
      </c>
      <c r="K626" s="316" t="str">
        <f t="shared" si="34"/>
        <v>Construction and Mining Equipment</v>
      </c>
      <c r="L626" s="316" t="str">
        <f t="shared" si="35"/>
        <v>Diesel</v>
      </c>
      <c r="M626" s="194"/>
      <c r="N626" s="317"/>
      <c r="O626" s="317"/>
      <c r="P626" s="317"/>
      <c r="Q626" s="317"/>
      <c r="R626" s="317"/>
      <c r="S626" s="317"/>
      <c r="T626" s="317"/>
      <c r="U626" s="317"/>
      <c r="V626" s="317"/>
      <c r="W626" s="317"/>
      <c r="X626" s="317"/>
      <c r="Y626" s="317"/>
      <c r="Z626" s="317"/>
    </row>
    <row r="627" spans="1:26" x14ac:dyDescent="0.25">
      <c r="A627" s="314"/>
      <c r="B627" s="18">
        <v>2023</v>
      </c>
      <c r="C627" s="18" t="s">
        <v>731</v>
      </c>
      <c r="D627" s="18" t="s">
        <v>752</v>
      </c>
      <c r="E627" s="18" t="s">
        <v>713</v>
      </c>
      <c r="F627" s="18" t="s">
        <v>714</v>
      </c>
      <c r="G627" s="18" t="s">
        <v>675</v>
      </c>
      <c r="H627" s="18" t="s">
        <v>708</v>
      </c>
      <c r="I627" s="315">
        <v>813.47454102898598</v>
      </c>
      <c r="J627" s="315">
        <v>4.1488655262276004E-3</v>
      </c>
      <c r="K627" s="316" t="str">
        <f t="shared" si="34"/>
        <v>Industrial Equipment</v>
      </c>
      <c r="L627" s="316" t="str">
        <f t="shared" si="35"/>
        <v>Diesel</v>
      </c>
      <c r="M627" s="194"/>
      <c r="N627" s="317"/>
      <c r="O627" s="317"/>
      <c r="P627" s="317"/>
      <c r="Q627" s="317"/>
      <c r="R627" s="317"/>
      <c r="S627" s="317"/>
      <c r="T627" s="317"/>
      <c r="U627" s="317"/>
      <c r="V627" s="317"/>
      <c r="W627" s="317"/>
      <c r="X627" s="317"/>
      <c r="Y627" s="317"/>
      <c r="Z627" s="317"/>
    </row>
    <row r="628" spans="1:26" x14ac:dyDescent="0.25">
      <c r="A628" s="314"/>
      <c r="B628" s="18">
        <v>2023</v>
      </c>
      <c r="C628" s="18" t="s">
        <v>762</v>
      </c>
      <c r="D628" s="18" t="s">
        <v>720</v>
      </c>
      <c r="E628" s="18" t="s">
        <v>713</v>
      </c>
      <c r="F628" s="18" t="s">
        <v>714</v>
      </c>
      <c r="G628" s="18" t="s">
        <v>674</v>
      </c>
      <c r="H628" s="18" t="s">
        <v>721</v>
      </c>
      <c r="I628" s="315">
        <v>811.43892587963956</v>
      </c>
      <c r="J628" s="315">
        <v>3.6624820936335583E-3</v>
      </c>
      <c r="K628" s="316" t="str">
        <f t="shared" si="34"/>
        <v>Construction and Mining Equipment</v>
      </c>
      <c r="L628" s="316" t="str">
        <f t="shared" si="35"/>
        <v>Diesel</v>
      </c>
      <c r="M628" s="194"/>
      <c r="N628" s="317"/>
      <c r="O628" s="317"/>
      <c r="P628" s="317"/>
      <c r="Q628" s="317"/>
      <c r="R628" s="317"/>
      <c r="S628" s="317"/>
      <c r="T628" s="317"/>
      <c r="U628" s="317"/>
      <c r="V628" s="317"/>
      <c r="W628" s="317"/>
      <c r="X628" s="317"/>
      <c r="Y628" s="317"/>
      <c r="Z628" s="317"/>
    </row>
    <row r="629" spans="1:26" x14ac:dyDescent="0.25">
      <c r="A629" s="314"/>
      <c r="B629" s="18">
        <v>2023</v>
      </c>
      <c r="C629" s="18" t="s">
        <v>710</v>
      </c>
      <c r="D629" s="18" t="s">
        <v>925</v>
      </c>
      <c r="E629" s="18" t="s">
        <v>703</v>
      </c>
      <c r="F629" s="18" t="s">
        <v>704</v>
      </c>
      <c r="G629" s="18" t="s">
        <v>675</v>
      </c>
      <c r="H629" s="18" t="s">
        <v>798</v>
      </c>
      <c r="I629" s="315">
        <v>810.18766916207176</v>
      </c>
      <c r="J629" s="315">
        <v>0.60598371596238521</v>
      </c>
      <c r="K629" s="316" t="str">
        <f t="shared" si="34"/>
        <v>Industrial Equipment</v>
      </c>
      <c r="L629" s="316" t="str">
        <f t="shared" si="35"/>
        <v>Gasoline</v>
      </c>
      <c r="M629" s="194"/>
      <c r="N629" s="317"/>
      <c r="O629" s="317"/>
      <c r="P629" s="317"/>
      <c r="Q629" s="317"/>
      <c r="R629" s="317"/>
      <c r="S629" s="317"/>
      <c r="T629" s="317"/>
      <c r="U629" s="317"/>
      <c r="V629" s="317"/>
      <c r="W629" s="317"/>
      <c r="X629" s="317"/>
      <c r="Y629" s="317"/>
      <c r="Z629" s="317"/>
    </row>
    <row r="630" spans="1:26" x14ac:dyDescent="0.25">
      <c r="A630" s="314"/>
      <c r="B630" s="18">
        <v>2023</v>
      </c>
      <c r="C630" s="18" t="s">
        <v>722</v>
      </c>
      <c r="D630" s="18" t="s">
        <v>839</v>
      </c>
      <c r="E630" s="18" t="s">
        <v>703</v>
      </c>
      <c r="F630" s="18" t="s">
        <v>704</v>
      </c>
      <c r="G630" s="18" t="s">
        <v>675</v>
      </c>
      <c r="H630" s="18" t="s">
        <v>708</v>
      </c>
      <c r="I630" s="315">
        <v>806.91187552383201</v>
      </c>
      <c r="J630" s="315">
        <v>5.558387472576333E-2</v>
      </c>
      <c r="K630" s="316" t="str">
        <f t="shared" si="34"/>
        <v>Industrial Equipment</v>
      </c>
      <c r="L630" s="316" t="str">
        <f t="shared" si="35"/>
        <v>Gasoline</v>
      </c>
      <c r="M630" s="194"/>
      <c r="N630" s="317"/>
      <c r="O630" s="317"/>
      <c r="P630" s="317"/>
      <c r="Q630" s="317"/>
      <c r="R630" s="317"/>
      <c r="S630" s="317"/>
      <c r="T630" s="317"/>
      <c r="U630" s="317"/>
      <c r="V630" s="317"/>
      <c r="W630" s="317"/>
      <c r="X630" s="317"/>
      <c r="Y630" s="317"/>
      <c r="Z630" s="317"/>
    </row>
    <row r="631" spans="1:26" x14ac:dyDescent="0.25">
      <c r="A631" s="314"/>
      <c r="B631" s="18">
        <v>2023</v>
      </c>
      <c r="C631" s="18" t="s">
        <v>743</v>
      </c>
      <c r="D631" s="18" t="s">
        <v>744</v>
      </c>
      <c r="E631" s="18" t="s">
        <v>703</v>
      </c>
      <c r="F631" s="18" t="s">
        <v>704</v>
      </c>
      <c r="G631" s="18" t="s">
        <v>673</v>
      </c>
      <c r="H631" s="18" t="s">
        <v>745</v>
      </c>
      <c r="I631" s="315">
        <v>798.77731078236627</v>
      </c>
      <c r="J631" s="315">
        <v>0.59099961528941258</v>
      </c>
      <c r="K631" s="316" t="str">
        <f t="shared" si="34"/>
        <v>Lawn and Garden Equipment</v>
      </c>
      <c r="L631" s="316" t="str">
        <f t="shared" si="35"/>
        <v>Gasoline</v>
      </c>
      <c r="M631" s="194"/>
      <c r="N631" s="317"/>
      <c r="O631" s="317"/>
      <c r="P631" s="317"/>
      <c r="Q631" s="317"/>
      <c r="R631" s="317"/>
      <c r="S631" s="317"/>
      <c r="T631" s="317"/>
      <c r="U631" s="317"/>
      <c r="V631" s="317"/>
      <c r="W631" s="317"/>
      <c r="X631" s="317"/>
      <c r="Y631" s="317"/>
      <c r="Z631" s="317"/>
    </row>
    <row r="632" spans="1:26" x14ac:dyDescent="0.25">
      <c r="A632" s="314"/>
      <c r="B632" s="18">
        <v>2023</v>
      </c>
      <c r="C632" s="18" t="s">
        <v>701</v>
      </c>
      <c r="D632" s="18" t="s">
        <v>936</v>
      </c>
      <c r="E632" s="18" t="s">
        <v>56</v>
      </c>
      <c r="F632" s="18" t="s">
        <v>672</v>
      </c>
      <c r="G632" s="18" t="s">
        <v>677</v>
      </c>
      <c r="H632" s="18" t="s">
        <v>747</v>
      </c>
      <c r="I632" s="315">
        <v>797.7986600612353</v>
      </c>
      <c r="J632" s="315">
        <v>0.18392171069733426</v>
      </c>
      <c r="K632" s="316" t="str">
        <f t="shared" si="34"/>
        <v>Commercial Equipment</v>
      </c>
      <c r="L632" s="316" t="str">
        <f t="shared" si="35"/>
        <v>LPG</v>
      </c>
      <c r="M632" s="194"/>
      <c r="N632" s="317"/>
      <c r="O632" s="317"/>
      <c r="P632" s="317"/>
      <c r="Q632" s="317"/>
      <c r="R632" s="317"/>
      <c r="S632" s="317"/>
      <c r="T632" s="317"/>
      <c r="U632" s="317"/>
      <c r="V632" s="317"/>
      <c r="W632" s="317"/>
      <c r="X632" s="317"/>
      <c r="Y632" s="317"/>
      <c r="Z632" s="317"/>
    </row>
    <row r="633" spans="1:26" x14ac:dyDescent="0.25">
      <c r="A633" s="314"/>
      <c r="B633" s="18">
        <v>2023</v>
      </c>
      <c r="C633" s="18" t="s">
        <v>754</v>
      </c>
      <c r="D633" s="18" t="s">
        <v>769</v>
      </c>
      <c r="E633" s="18" t="s">
        <v>713</v>
      </c>
      <c r="F633" s="18" t="s">
        <v>714</v>
      </c>
      <c r="G633" s="18" t="s">
        <v>674</v>
      </c>
      <c r="H633" s="18" t="s">
        <v>770</v>
      </c>
      <c r="I633" s="315">
        <v>793.66398072348522</v>
      </c>
      <c r="J633" s="315">
        <v>6.3638713009998762E-3</v>
      </c>
      <c r="K633" s="316" t="str">
        <f t="shared" si="34"/>
        <v>Construction and Mining Equipment</v>
      </c>
      <c r="L633" s="316" t="str">
        <f t="shared" si="35"/>
        <v>Diesel</v>
      </c>
      <c r="M633" s="194"/>
      <c r="N633" s="317"/>
      <c r="O633" s="317"/>
      <c r="P633" s="317"/>
      <c r="Q633" s="317"/>
      <c r="R633" s="317"/>
      <c r="S633" s="317"/>
      <c r="T633" s="317"/>
      <c r="U633" s="317"/>
      <c r="V633" s="317"/>
      <c r="W633" s="317"/>
      <c r="X633" s="317"/>
      <c r="Y633" s="317"/>
      <c r="Z633" s="317"/>
    </row>
    <row r="634" spans="1:26" x14ac:dyDescent="0.25">
      <c r="A634" s="314"/>
      <c r="B634" s="18">
        <v>2023</v>
      </c>
      <c r="C634" s="18" t="s">
        <v>754</v>
      </c>
      <c r="D634" s="18" t="s">
        <v>784</v>
      </c>
      <c r="E634" s="18" t="s">
        <v>713</v>
      </c>
      <c r="F634" s="18" t="s">
        <v>714</v>
      </c>
      <c r="G634" s="18" t="s">
        <v>677</v>
      </c>
      <c r="H634" s="18" t="s">
        <v>785</v>
      </c>
      <c r="I634" s="315">
        <v>790.96339296888959</v>
      </c>
      <c r="J634" s="315">
        <v>1.1209539527054039E-2</v>
      </c>
      <c r="K634" s="316" t="str">
        <f t="shared" si="34"/>
        <v>Commercial Equipment</v>
      </c>
      <c r="L634" s="316" t="str">
        <f t="shared" si="35"/>
        <v>Diesel</v>
      </c>
      <c r="M634" s="194"/>
      <c r="N634" s="317"/>
      <c r="O634" s="317"/>
      <c r="P634" s="317"/>
      <c r="Q634" s="317"/>
      <c r="R634" s="317"/>
      <c r="S634" s="317"/>
      <c r="T634" s="317"/>
      <c r="U634" s="317"/>
      <c r="V634" s="317"/>
      <c r="W634" s="317"/>
      <c r="X634" s="317"/>
      <c r="Y634" s="317"/>
      <c r="Z634" s="317"/>
    </row>
    <row r="635" spans="1:26" x14ac:dyDescent="0.25">
      <c r="A635" s="314"/>
      <c r="B635" s="18">
        <v>2023</v>
      </c>
      <c r="C635" s="18" t="s">
        <v>754</v>
      </c>
      <c r="D635" s="18" t="s">
        <v>771</v>
      </c>
      <c r="E635" s="18" t="s">
        <v>713</v>
      </c>
      <c r="F635" s="18" t="s">
        <v>714</v>
      </c>
      <c r="G635" s="18" t="s">
        <v>675</v>
      </c>
      <c r="H635" s="18" t="s">
        <v>772</v>
      </c>
      <c r="I635" s="315">
        <v>788.79745045094114</v>
      </c>
      <c r="J635" s="315">
        <v>1.7549975941104775E-3</v>
      </c>
      <c r="K635" s="316" t="str">
        <f t="shared" si="34"/>
        <v>Industrial Equipment</v>
      </c>
      <c r="L635" s="316" t="str">
        <f t="shared" si="35"/>
        <v>Diesel</v>
      </c>
      <c r="M635" s="194"/>
      <c r="N635" s="317"/>
      <c r="O635" s="317"/>
      <c r="P635" s="317"/>
      <c r="Q635" s="317"/>
      <c r="R635" s="317"/>
      <c r="S635" s="317"/>
      <c r="T635" s="317"/>
      <c r="U635" s="317"/>
      <c r="V635" s="317"/>
      <c r="W635" s="317"/>
      <c r="X635" s="317"/>
      <c r="Y635" s="317"/>
      <c r="Z635" s="317"/>
    </row>
    <row r="636" spans="1:26" x14ac:dyDescent="0.25">
      <c r="A636" s="314"/>
      <c r="B636" s="18">
        <v>2023</v>
      </c>
      <c r="C636" s="18" t="s">
        <v>753</v>
      </c>
      <c r="D636" s="18" t="s">
        <v>752</v>
      </c>
      <c r="E636" s="18" t="s">
        <v>713</v>
      </c>
      <c r="F636" s="18" t="s">
        <v>714</v>
      </c>
      <c r="G636" s="18" t="s">
        <v>675</v>
      </c>
      <c r="H636" s="18" t="s">
        <v>708</v>
      </c>
      <c r="I636" s="315">
        <v>787.18868220821264</v>
      </c>
      <c r="J636" s="315">
        <v>4.0147973692771805E-3</v>
      </c>
      <c r="K636" s="316" t="str">
        <f t="shared" si="34"/>
        <v>Industrial Equipment</v>
      </c>
      <c r="L636" s="316" t="str">
        <f t="shared" si="35"/>
        <v>Diesel</v>
      </c>
      <c r="M636" s="194"/>
      <c r="N636" s="317"/>
      <c r="O636" s="317"/>
      <c r="P636" s="317"/>
      <c r="Q636" s="317"/>
      <c r="R636" s="317"/>
      <c r="S636" s="317"/>
      <c r="T636" s="317"/>
      <c r="U636" s="317"/>
      <c r="V636" s="317"/>
      <c r="W636" s="317"/>
      <c r="X636" s="317"/>
      <c r="Y636" s="317"/>
      <c r="Z636" s="317"/>
    </row>
    <row r="637" spans="1:26" x14ac:dyDescent="0.25">
      <c r="A637" s="314"/>
      <c r="B637" s="18">
        <v>2023</v>
      </c>
      <c r="C637" s="18" t="s">
        <v>706</v>
      </c>
      <c r="D637" s="18" t="s">
        <v>958</v>
      </c>
      <c r="E637" s="18" t="s">
        <v>713</v>
      </c>
      <c r="F637" s="18" t="s">
        <v>714</v>
      </c>
      <c r="G637" s="18" t="s">
        <v>674</v>
      </c>
      <c r="H637" s="18" t="s">
        <v>959</v>
      </c>
      <c r="I637" s="315">
        <v>786.62248771953534</v>
      </c>
      <c r="J637" s="315">
        <v>6.9974099784981094E-3</v>
      </c>
      <c r="K637" s="316" t="str">
        <f t="shared" si="34"/>
        <v>Construction and Mining Equipment</v>
      </c>
      <c r="L637" s="316" t="str">
        <f t="shared" si="35"/>
        <v>Diesel</v>
      </c>
      <c r="M637" s="194"/>
      <c r="N637" s="317"/>
      <c r="O637" s="317"/>
      <c r="P637" s="317"/>
      <c r="Q637" s="317"/>
      <c r="R637" s="317"/>
      <c r="S637" s="317"/>
      <c r="T637" s="317"/>
      <c r="U637" s="317"/>
      <c r="V637" s="317"/>
      <c r="W637" s="317"/>
      <c r="X637" s="317"/>
      <c r="Y637" s="317"/>
      <c r="Z637" s="317"/>
    </row>
    <row r="638" spans="1:26" x14ac:dyDescent="0.25">
      <c r="A638" s="314"/>
      <c r="B638" s="18">
        <v>2023</v>
      </c>
      <c r="C638" s="18" t="s">
        <v>762</v>
      </c>
      <c r="D638" s="18" t="s">
        <v>746</v>
      </c>
      <c r="E638" s="18" t="s">
        <v>703</v>
      </c>
      <c r="F638" s="18" t="s">
        <v>704</v>
      </c>
      <c r="G638" s="18" t="s">
        <v>677</v>
      </c>
      <c r="H638" s="18" t="s">
        <v>747</v>
      </c>
      <c r="I638" s="315">
        <v>786.2062472523512</v>
      </c>
      <c r="J638" s="315">
        <v>0.51655828753950062</v>
      </c>
      <c r="K638" s="316" t="str">
        <f t="shared" si="34"/>
        <v>Commercial Equipment</v>
      </c>
      <c r="L638" s="316" t="str">
        <f t="shared" si="35"/>
        <v>Gasoline</v>
      </c>
      <c r="M638" s="194"/>
      <c r="N638" s="317"/>
      <c r="O638" s="317"/>
      <c r="P638" s="317"/>
      <c r="Q638" s="317"/>
      <c r="R638" s="317"/>
      <c r="S638" s="317"/>
      <c r="T638" s="317"/>
      <c r="U638" s="317"/>
      <c r="V638" s="317"/>
      <c r="W638" s="317"/>
      <c r="X638" s="317"/>
      <c r="Y638" s="317"/>
      <c r="Z638" s="317"/>
    </row>
    <row r="639" spans="1:26" x14ac:dyDescent="0.25">
      <c r="A639" s="314"/>
      <c r="B639" s="18">
        <v>2023</v>
      </c>
      <c r="C639" s="18" t="s">
        <v>722</v>
      </c>
      <c r="D639" s="18" t="s">
        <v>880</v>
      </c>
      <c r="E639" s="18" t="s">
        <v>703</v>
      </c>
      <c r="F639" s="18" t="s">
        <v>704</v>
      </c>
      <c r="G639" s="18" t="s">
        <v>677</v>
      </c>
      <c r="H639" s="18" t="s">
        <v>785</v>
      </c>
      <c r="I639" s="315">
        <v>785.38457337807506</v>
      </c>
      <c r="J639" s="315">
        <v>0.45270428794131795</v>
      </c>
      <c r="K639" s="316" t="str">
        <f t="shared" si="34"/>
        <v>Commercial Equipment</v>
      </c>
      <c r="L639" s="316" t="str">
        <f t="shared" si="35"/>
        <v>Gasoline</v>
      </c>
      <c r="M639" s="194"/>
      <c r="N639" s="317"/>
      <c r="O639" s="317"/>
      <c r="P639" s="317"/>
      <c r="Q639" s="317"/>
      <c r="R639" s="317"/>
      <c r="S639" s="317"/>
      <c r="T639" s="317"/>
      <c r="U639" s="317"/>
      <c r="V639" s="317"/>
      <c r="W639" s="317"/>
      <c r="X639" s="317"/>
      <c r="Y639" s="317"/>
      <c r="Z639" s="317"/>
    </row>
    <row r="640" spans="1:26" x14ac:dyDescent="0.25">
      <c r="A640" s="314"/>
      <c r="B640" s="18">
        <v>2023</v>
      </c>
      <c r="C640" s="18" t="s">
        <v>732</v>
      </c>
      <c r="D640" s="18" t="s">
        <v>848</v>
      </c>
      <c r="E640" s="18" t="s">
        <v>56</v>
      </c>
      <c r="F640" s="18" t="s">
        <v>601</v>
      </c>
      <c r="G640" s="18" t="s">
        <v>675</v>
      </c>
      <c r="H640" s="18" t="s">
        <v>708</v>
      </c>
      <c r="I640" s="315">
        <v>781.45273916313909</v>
      </c>
      <c r="J640" s="315">
        <v>3.1088108236581786</v>
      </c>
      <c r="K640" s="316" t="str">
        <f t="shared" si="34"/>
        <v>Industrial Equipment</v>
      </c>
      <c r="L640" s="316" t="str">
        <f t="shared" si="35"/>
        <v>CNG</v>
      </c>
      <c r="M640" s="194"/>
      <c r="N640" s="317"/>
      <c r="O640" s="317"/>
      <c r="P640" s="317"/>
      <c r="Q640" s="317"/>
      <c r="R640" s="317"/>
      <c r="S640" s="317"/>
      <c r="T640" s="317"/>
      <c r="U640" s="317"/>
      <c r="V640" s="317"/>
      <c r="W640" s="317"/>
      <c r="X640" s="317"/>
      <c r="Y640" s="317"/>
      <c r="Z640" s="317"/>
    </row>
    <row r="641" spans="1:26" x14ac:dyDescent="0.25">
      <c r="A641" s="314"/>
      <c r="B641" s="18">
        <v>2023</v>
      </c>
      <c r="C641" s="18" t="s">
        <v>753</v>
      </c>
      <c r="D641" s="18" t="s">
        <v>716</v>
      </c>
      <c r="E641" s="18" t="s">
        <v>713</v>
      </c>
      <c r="F641" s="18" t="s">
        <v>714</v>
      </c>
      <c r="G641" s="18" t="s">
        <v>675</v>
      </c>
      <c r="H641" s="18" t="s">
        <v>717</v>
      </c>
      <c r="I641" s="315">
        <v>777.30013403885084</v>
      </c>
      <c r="J641" s="315">
        <v>1.595058900935474E-2</v>
      </c>
      <c r="K641" s="316" t="str">
        <f t="shared" si="34"/>
        <v>Industrial Equipment</v>
      </c>
      <c r="L641" s="316" t="str">
        <f t="shared" si="35"/>
        <v>Diesel</v>
      </c>
      <c r="M641" s="194"/>
      <c r="N641" s="317"/>
      <c r="O641" s="317"/>
      <c r="P641" s="317"/>
      <c r="Q641" s="317"/>
      <c r="R641" s="317"/>
      <c r="S641" s="317"/>
      <c r="T641" s="317"/>
      <c r="U641" s="317"/>
      <c r="V641" s="317"/>
      <c r="W641" s="317"/>
      <c r="X641" s="317"/>
      <c r="Y641" s="317"/>
      <c r="Z641" s="317"/>
    </row>
    <row r="642" spans="1:26" x14ac:dyDescent="0.25">
      <c r="A642" s="314"/>
      <c r="B642" s="18">
        <v>2023</v>
      </c>
      <c r="C642" s="18" t="s">
        <v>732</v>
      </c>
      <c r="D642" s="18" t="s">
        <v>830</v>
      </c>
      <c r="E642" s="18" t="s">
        <v>703</v>
      </c>
      <c r="F642" s="18" t="s">
        <v>704</v>
      </c>
      <c r="G642" s="18" t="s">
        <v>673</v>
      </c>
      <c r="H642" s="18" t="s">
        <v>742</v>
      </c>
      <c r="I642" s="315">
        <v>767.84788509559814</v>
      </c>
      <c r="J642" s="315">
        <v>0.33531238391066015</v>
      </c>
      <c r="K642" s="316" t="str">
        <f t="shared" si="34"/>
        <v>Lawn and Garden Equipment</v>
      </c>
      <c r="L642" s="316" t="str">
        <f t="shared" si="35"/>
        <v>Gasoline</v>
      </c>
      <c r="M642" s="194"/>
      <c r="N642" s="317"/>
      <c r="O642" s="317"/>
      <c r="P642" s="317"/>
      <c r="Q642" s="317"/>
      <c r="R642" s="317"/>
      <c r="S642" s="317"/>
      <c r="T642" s="317"/>
      <c r="U642" s="317"/>
      <c r="V642" s="317"/>
      <c r="W642" s="317"/>
      <c r="X642" s="317"/>
      <c r="Y642" s="317"/>
      <c r="Z642" s="317"/>
    </row>
    <row r="643" spans="1:26" x14ac:dyDescent="0.25">
      <c r="A643" s="314"/>
      <c r="B643" s="18">
        <v>2023</v>
      </c>
      <c r="C643" s="18" t="s">
        <v>773</v>
      </c>
      <c r="D643" s="18" t="s">
        <v>751</v>
      </c>
      <c r="E643" s="18" t="s">
        <v>713</v>
      </c>
      <c r="F643" s="18" t="s">
        <v>676</v>
      </c>
      <c r="G643" s="18" t="s">
        <v>79</v>
      </c>
      <c r="H643" s="18" t="s">
        <v>740</v>
      </c>
      <c r="I643" s="315">
        <v>759.05203574666893</v>
      </c>
      <c r="J643" s="315">
        <v>2.979213934049648E-2</v>
      </c>
      <c r="K643" s="316" t="str">
        <f t="shared" si="34"/>
        <v>Pleasure Craft</v>
      </c>
      <c r="L643" s="316" t="str">
        <f t="shared" si="35"/>
        <v>Diesel</v>
      </c>
      <c r="M643" s="194"/>
      <c r="N643" s="317"/>
      <c r="O643" s="317"/>
      <c r="P643" s="317"/>
      <c r="Q643" s="317"/>
      <c r="R643" s="317"/>
      <c r="S643" s="317"/>
      <c r="T643" s="317"/>
      <c r="U643" s="317"/>
      <c r="V643" s="317"/>
      <c r="W643" s="317"/>
      <c r="X643" s="317"/>
      <c r="Y643" s="317"/>
      <c r="Z643" s="317"/>
    </row>
    <row r="644" spans="1:26" x14ac:dyDescent="0.25">
      <c r="A644" s="314"/>
      <c r="B644" s="18">
        <v>2023</v>
      </c>
      <c r="C644" s="18" t="s">
        <v>743</v>
      </c>
      <c r="D644" s="18" t="s">
        <v>748</v>
      </c>
      <c r="E644" s="18" t="s">
        <v>703</v>
      </c>
      <c r="F644" s="18" t="s">
        <v>704</v>
      </c>
      <c r="G644" s="18" t="s">
        <v>673</v>
      </c>
      <c r="H644" s="18" t="s">
        <v>749</v>
      </c>
      <c r="I644" s="315">
        <v>757.42165261730486</v>
      </c>
      <c r="J644" s="315">
        <v>0.43171100901160669</v>
      </c>
      <c r="K644" s="316" t="str">
        <f t="shared" si="34"/>
        <v>Lawn and Garden Equipment</v>
      </c>
      <c r="L644" s="316" t="str">
        <f t="shared" si="35"/>
        <v>Gasoline</v>
      </c>
      <c r="M644" s="194"/>
      <c r="N644" s="317"/>
      <c r="O644" s="317"/>
      <c r="P644" s="317"/>
      <c r="Q644" s="317"/>
      <c r="R644" s="317"/>
      <c r="S644" s="317"/>
      <c r="T644" s="317"/>
      <c r="U644" s="317"/>
      <c r="V644" s="317"/>
      <c r="W644" s="317"/>
      <c r="X644" s="317"/>
      <c r="Y644" s="317"/>
      <c r="Z644" s="317"/>
    </row>
    <row r="645" spans="1:26" x14ac:dyDescent="0.25">
      <c r="A645" s="314"/>
      <c r="B645" s="18">
        <v>2023</v>
      </c>
      <c r="C645" s="18" t="s">
        <v>778</v>
      </c>
      <c r="D645" s="18" t="s">
        <v>723</v>
      </c>
      <c r="E645" s="18" t="s">
        <v>703</v>
      </c>
      <c r="F645" s="18" t="s">
        <v>704</v>
      </c>
      <c r="G645" s="18" t="s">
        <v>673</v>
      </c>
      <c r="H645" s="18" t="s">
        <v>724</v>
      </c>
      <c r="I645" s="315">
        <v>756.75316253666267</v>
      </c>
      <c r="J645" s="315">
        <v>0.49669145688176891</v>
      </c>
      <c r="K645" s="316" t="str">
        <f t="shared" si="34"/>
        <v>Lawn and Garden Equipment</v>
      </c>
      <c r="L645" s="316" t="str">
        <f t="shared" si="35"/>
        <v>Gasoline</v>
      </c>
      <c r="M645" s="194"/>
      <c r="N645" s="317"/>
      <c r="O645" s="317"/>
      <c r="P645" s="317"/>
      <c r="Q645" s="317"/>
      <c r="R645" s="317"/>
      <c r="S645" s="317"/>
      <c r="T645" s="317"/>
      <c r="U645" s="317"/>
      <c r="V645" s="317"/>
      <c r="W645" s="317"/>
      <c r="X645" s="317"/>
      <c r="Y645" s="317"/>
      <c r="Z645" s="317"/>
    </row>
    <row r="646" spans="1:26" x14ac:dyDescent="0.25">
      <c r="A646" s="314"/>
      <c r="B646" s="18">
        <v>2023</v>
      </c>
      <c r="C646" s="18" t="s">
        <v>778</v>
      </c>
      <c r="D646" s="18" t="s">
        <v>746</v>
      </c>
      <c r="E646" s="18" t="s">
        <v>703</v>
      </c>
      <c r="F646" s="18" t="s">
        <v>704</v>
      </c>
      <c r="G646" s="18" t="s">
        <v>677</v>
      </c>
      <c r="H646" s="18" t="s">
        <v>747</v>
      </c>
      <c r="I646" s="315">
        <v>756.35047608935736</v>
      </c>
      <c r="J646" s="315">
        <v>0.49675081058335224</v>
      </c>
      <c r="K646" s="316" t="str">
        <f t="shared" si="34"/>
        <v>Commercial Equipment</v>
      </c>
      <c r="L646" s="316" t="str">
        <f t="shared" si="35"/>
        <v>Gasoline</v>
      </c>
      <c r="M646" s="194"/>
      <c r="N646" s="317"/>
      <c r="O646" s="317"/>
      <c r="P646" s="317"/>
      <c r="Q646" s="317"/>
      <c r="R646" s="317"/>
      <c r="S646" s="317"/>
      <c r="T646" s="317"/>
      <c r="U646" s="317"/>
      <c r="V646" s="317"/>
      <c r="W646" s="317"/>
      <c r="X646" s="317"/>
      <c r="Y646" s="317"/>
      <c r="Z646" s="317"/>
    </row>
    <row r="647" spans="1:26" x14ac:dyDescent="0.25">
      <c r="A647" s="314"/>
      <c r="B647" s="18">
        <v>2023</v>
      </c>
      <c r="C647" s="18" t="s">
        <v>793</v>
      </c>
      <c r="D647" s="18" t="s">
        <v>763</v>
      </c>
      <c r="E647" s="18" t="s">
        <v>713</v>
      </c>
      <c r="F647" s="18" t="s">
        <v>714</v>
      </c>
      <c r="G647" s="18" t="s">
        <v>678</v>
      </c>
      <c r="H647" s="18" t="s">
        <v>764</v>
      </c>
      <c r="I647" s="315">
        <v>745.45990378982799</v>
      </c>
      <c r="J647" s="315">
        <v>8.4392555324008939E-3</v>
      </c>
      <c r="K647" s="316" t="str">
        <f t="shared" si="34"/>
        <v>Agricultural Equipment</v>
      </c>
      <c r="L647" s="316" t="str">
        <f t="shared" si="35"/>
        <v>Diesel</v>
      </c>
      <c r="M647" s="194"/>
      <c r="N647" s="317"/>
      <c r="O647" s="317"/>
      <c r="P647" s="317"/>
      <c r="Q647" s="317"/>
      <c r="R647" s="317"/>
      <c r="S647" s="317"/>
      <c r="T647" s="317"/>
      <c r="U647" s="317"/>
      <c r="V647" s="317"/>
      <c r="W647" s="317"/>
      <c r="X647" s="317"/>
      <c r="Y647" s="317"/>
      <c r="Z647" s="317"/>
    </row>
    <row r="648" spans="1:26" x14ac:dyDescent="0.25">
      <c r="A648" s="314"/>
      <c r="B648" s="18">
        <v>2023</v>
      </c>
      <c r="C648" s="18" t="s">
        <v>754</v>
      </c>
      <c r="D648" s="18" t="s">
        <v>788</v>
      </c>
      <c r="E648" s="18" t="s">
        <v>703</v>
      </c>
      <c r="F648" s="18" t="s">
        <v>704</v>
      </c>
      <c r="G648" s="18" t="s">
        <v>677</v>
      </c>
      <c r="H648" s="18" t="s">
        <v>789</v>
      </c>
      <c r="I648" s="315">
        <v>742.66732044015657</v>
      </c>
      <c r="J648" s="315">
        <v>0.51482580482074869</v>
      </c>
      <c r="K648" s="316" t="str">
        <f t="shared" si="34"/>
        <v>Commercial Equipment</v>
      </c>
      <c r="L648" s="316" t="str">
        <f t="shared" si="35"/>
        <v>Gasoline</v>
      </c>
      <c r="M648" s="194"/>
      <c r="N648" s="317"/>
      <c r="O648" s="317"/>
      <c r="P648" s="317"/>
      <c r="Q648" s="317"/>
      <c r="R648" s="317"/>
      <c r="S648" s="317"/>
      <c r="T648" s="317"/>
      <c r="U648" s="317"/>
      <c r="V648" s="317"/>
      <c r="W648" s="317"/>
      <c r="X648" s="317"/>
      <c r="Y648" s="317"/>
      <c r="Z648" s="317"/>
    </row>
    <row r="649" spans="1:26" x14ac:dyDescent="0.25">
      <c r="A649" s="314"/>
      <c r="B649" s="18">
        <v>2023</v>
      </c>
      <c r="C649" s="18" t="s">
        <v>727</v>
      </c>
      <c r="D649" s="18" t="s">
        <v>774</v>
      </c>
      <c r="E649" s="18" t="s">
        <v>703</v>
      </c>
      <c r="F649" s="18" t="s">
        <v>704</v>
      </c>
      <c r="G649" s="18" t="s">
        <v>673</v>
      </c>
      <c r="H649" s="18" t="s">
        <v>775</v>
      </c>
      <c r="I649" s="315">
        <v>741.9682390160134</v>
      </c>
      <c r="J649" s="315">
        <v>0.50673129745280965</v>
      </c>
      <c r="K649" s="316" t="str">
        <f t="shared" si="34"/>
        <v>Lawn and Garden Equipment</v>
      </c>
      <c r="L649" s="316" t="str">
        <f t="shared" si="35"/>
        <v>Gasoline</v>
      </c>
      <c r="M649" s="194"/>
      <c r="N649" s="317"/>
      <c r="O649" s="317"/>
      <c r="P649" s="317"/>
      <c r="Q649" s="317"/>
      <c r="R649" s="317"/>
      <c r="S649" s="317"/>
      <c r="T649" s="317"/>
      <c r="U649" s="317"/>
      <c r="V649" s="317"/>
      <c r="W649" s="317"/>
      <c r="X649" s="317"/>
      <c r="Y649" s="317"/>
      <c r="Z649" s="317"/>
    </row>
    <row r="650" spans="1:26" x14ac:dyDescent="0.25">
      <c r="A650" s="314"/>
      <c r="B650" s="18">
        <v>2023</v>
      </c>
      <c r="C650" s="18" t="s">
        <v>781</v>
      </c>
      <c r="D650" s="18" t="s">
        <v>728</v>
      </c>
      <c r="E650" s="18" t="s">
        <v>703</v>
      </c>
      <c r="F650" s="18" t="s">
        <v>676</v>
      </c>
      <c r="G650" s="18" t="s">
        <v>729</v>
      </c>
      <c r="H650" s="18" t="s">
        <v>730</v>
      </c>
      <c r="I650" s="315">
        <v>738.0950454161009</v>
      </c>
      <c r="J650" s="315">
        <v>0.83574544876800916</v>
      </c>
      <c r="K650" s="316" t="str">
        <f t="shared" si="34"/>
        <v>Pleasure Craft</v>
      </c>
      <c r="L650" s="316" t="str">
        <f t="shared" si="35"/>
        <v>Gasoline</v>
      </c>
      <c r="M650" s="194"/>
      <c r="N650" s="317"/>
      <c r="O650" s="317"/>
      <c r="P650" s="317"/>
      <c r="Q650" s="317"/>
      <c r="R650" s="317"/>
      <c r="S650" s="317"/>
      <c r="T650" s="317"/>
      <c r="U650" s="317"/>
      <c r="V650" s="317"/>
      <c r="W650" s="317"/>
      <c r="X650" s="317"/>
      <c r="Y650" s="317"/>
      <c r="Z650" s="317"/>
    </row>
    <row r="651" spans="1:26" x14ac:dyDescent="0.25">
      <c r="A651" s="314"/>
      <c r="B651" s="18">
        <v>2023</v>
      </c>
      <c r="C651" s="18" t="s">
        <v>709</v>
      </c>
      <c r="D651" s="18" t="s">
        <v>868</v>
      </c>
      <c r="E651" s="18" t="s">
        <v>703</v>
      </c>
      <c r="F651" s="18" t="s">
        <v>704</v>
      </c>
      <c r="G651" s="18" t="s">
        <v>673</v>
      </c>
      <c r="H651" s="18" t="s">
        <v>758</v>
      </c>
      <c r="I651" s="315">
        <v>737.29323753836513</v>
      </c>
      <c r="J651" s="315">
        <v>0.48257812007886353</v>
      </c>
      <c r="K651" s="316" t="str">
        <f t="shared" si="34"/>
        <v>Lawn and Garden Equipment</v>
      </c>
      <c r="L651" s="316" t="str">
        <f t="shared" si="35"/>
        <v>Gasoline</v>
      </c>
      <c r="M651" s="194"/>
      <c r="N651" s="317"/>
      <c r="O651" s="317"/>
      <c r="P651" s="317"/>
      <c r="Q651" s="317"/>
      <c r="R651" s="317"/>
      <c r="S651" s="317"/>
      <c r="T651" s="317"/>
      <c r="U651" s="317"/>
      <c r="V651" s="317"/>
      <c r="W651" s="317"/>
      <c r="X651" s="317"/>
      <c r="Y651" s="317"/>
      <c r="Z651" s="317"/>
    </row>
    <row r="652" spans="1:26" x14ac:dyDescent="0.25">
      <c r="A652" s="314"/>
      <c r="B652" s="18">
        <v>2023</v>
      </c>
      <c r="C652" s="18" t="s">
        <v>727</v>
      </c>
      <c r="D652" s="18" t="s">
        <v>755</v>
      </c>
      <c r="E652" s="18" t="s">
        <v>713</v>
      </c>
      <c r="F652" s="18" t="s">
        <v>714</v>
      </c>
      <c r="G652" s="18" t="s">
        <v>674</v>
      </c>
      <c r="H652" s="18" t="s">
        <v>756</v>
      </c>
      <c r="I652" s="315">
        <v>734.8087171307576</v>
      </c>
      <c r="J652" s="315">
        <v>2.8533725494471064E-2</v>
      </c>
      <c r="K652" s="316" t="str">
        <f t="shared" si="34"/>
        <v>Construction and Mining Equipment</v>
      </c>
      <c r="L652" s="316" t="str">
        <f t="shared" si="35"/>
        <v>Diesel</v>
      </c>
      <c r="M652" s="194"/>
      <c r="N652" s="317"/>
      <c r="O652" s="317"/>
      <c r="P652" s="317"/>
      <c r="Q652" s="317"/>
      <c r="R652" s="317"/>
      <c r="S652" s="317"/>
      <c r="T652" s="317"/>
      <c r="U652" s="317"/>
      <c r="V652" s="317"/>
      <c r="W652" s="317"/>
      <c r="X652" s="317"/>
      <c r="Y652" s="317"/>
      <c r="Z652" s="317"/>
    </row>
    <row r="653" spans="1:26" x14ac:dyDescent="0.25">
      <c r="A653" s="314"/>
      <c r="B653" s="18">
        <v>2023</v>
      </c>
      <c r="C653" s="18" t="s">
        <v>762</v>
      </c>
      <c r="D653" s="18" t="s">
        <v>733</v>
      </c>
      <c r="E653" s="18" t="s">
        <v>703</v>
      </c>
      <c r="F653" s="18" t="s">
        <v>704</v>
      </c>
      <c r="G653" s="18" t="s">
        <v>673</v>
      </c>
      <c r="H653" s="18" t="s">
        <v>734</v>
      </c>
      <c r="I653" s="315">
        <v>732.0578750034972</v>
      </c>
      <c r="J653" s="315">
        <v>0.46333389680292214</v>
      </c>
      <c r="K653" s="316" t="str">
        <f t="shared" si="34"/>
        <v>Lawn and Garden Equipment</v>
      </c>
      <c r="L653" s="316" t="str">
        <f t="shared" si="35"/>
        <v>Gasoline</v>
      </c>
      <c r="M653" s="194"/>
      <c r="N653" s="317"/>
      <c r="O653" s="317"/>
      <c r="P653" s="317"/>
      <c r="Q653" s="317"/>
      <c r="R653" s="317"/>
      <c r="S653" s="317"/>
      <c r="T653" s="317"/>
      <c r="U653" s="317"/>
      <c r="V653" s="317"/>
      <c r="W653" s="317"/>
      <c r="X653" s="317"/>
      <c r="Y653" s="317"/>
      <c r="Z653" s="317"/>
    </row>
    <row r="654" spans="1:26" x14ac:dyDescent="0.25">
      <c r="A654" s="314"/>
      <c r="B654" s="18">
        <v>2023</v>
      </c>
      <c r="C654" s="18" t="s">
        <v>792</v>
      </c>
      <c r="D654" s="18" t="s">
        <v>771</v>
      </c>
      <c r="E654" s="18" t="s">
        <v>713</v>
      </c>
      <c r="F654" s="18" t="s">
        <v>714</v>
      </c>
      <c r="G654" s="18" t="s">
        <v>675</v>
      </c>
      <c r="H654" s="18" t="s">
        <v>772</v>
      </c>
      <c r="I654" s="315">
        <v>729.86571621564087</v>
      </c>
      <c r="J654" s="315">
        <v>1.6238792234096907E-3</v>
      </c>
      <c r="K654" s="316" t="str">
        <f t="shared" si="34"/>
        <v>Industrial Equipment</v>
      </c>
      <c r="L654" s="316" t="str">
        <f t="shared" si="35"/>
        <v>Diesel</v>
      </c>
      <c r="M654" s="194"/>
      <c r="N654" s="317"/>
      <c r="O654" s="317"/>
      <c r="P654" s="317"/>
      <c r="Q654" s="317"/>
      <c r="R654" s="317"/>
      <c r="S654" s="317"/>
      <c r="T654" s="317"/>
      <c r="U654" s="317"/>
      <c r="V654" s="317"/>
      <c r="W654" s="317"/>
      <c r="X654" s="317"/>
      <c r="Y654" s="317"/>
      <c r="Z654" s="317"/>
    </row>
    <row r="655" spans="1:26" x14ac:dyDescent="0.25">
      <c r="A655" s="314"/>
      <c r="B655" s="18">
        <v>2023</v>
      </c>
      <c r="C655" s="18" t="s">
        <v>706</v>
      </c>
      <c r="D655" s="18" t="s">
        <v>868</v>
      </c>
      <c r="E655" s="18" t="s">
        <v>703</v>
      </c>
      <c r="F655" s="18" t="s">
        <v>704</v>
      </c>
      <c r="G655" s="18" t="s">
        <v>673</v>
      </c>
      <c r="H655" s="18" t="s">
        <v>758</v>
      </c>
      <c r="I655" s="315">
        <v>729.69188061959687</v>
      </c>
      <c r="J655" s="315">
        <v>0.47812729011741345</v>
      </c>
      <c r="K655" s="316" t="str">
        <f t="shared" si="34"/>
        <v>Lawn and Garden Equipment</v>
      </c>
      <c r="L655" s="316" t="str">
        <f t="shared" si="35"/>
        <v>Gasoline</v>
      </c>
      <c r="M655" s="194"/>
      <c r="N655" s="317"/>
      <c r="O655" s="317"/>
      <c r="P655" s="317"/>
      <c r="Q655" s="317"/>
      <c r="R655" s="317"/>
      <c r="S655" s="317"/>
      <c r="T655" s="317"/>
      <c r="U655" s="317"/>
      <c r="V655" s="317"/>
      <c r="W655" s="317"/>
      <c r="X655" s="317"/>
      <c r="Y655" s="317"/>
      <c r="Z655" s="317"/>
    </row>
    <row r="656" spans="1:26" x14ac:dyDescent="0.25">
      <c r="A656" s="314"/>
      <c r="B656" s="18">
        <v>2023</v>
      </c>
      <c r="C656" s="18" t="s">
        <v>743</v>
      </c>
      <c r="D656" s="18" t="s">
        <v>848</v>
      </c>
      <c r="E656" s="18" t="s">
        <v>56</v>
      </c>
      <c r="F656" s="18" t="s">
        <v>601</v>
      </c>
      <c r="G656" s="18" t="s">
        <v>675</v>
      </c>
      <c r="H656" s="18" t="s">
        <v>708</v>
      </c>
      <c r="I656" s="315">
        <v>729.283894259509</v>
      </c>
      <c r="J656" s="315">
        <v>2.9012668033890483</v>
      </c>
      <c r="K656" s="316" t="str">
        <f t="shared" si="34"/>
        <v>Industrial Equipment</v>
      </c>
      <c r="L656" s="316" t="str">
        <f t="shared" si="35"/>
        <v>CNG</v>
      </c>
      <c r="M656" s="194"/>
      <c r="N656" s="317"/>
      <c r="O656" s="317"/>
      <c r="P656" s="317"/>
      <c r="Q656" s="317"/>
      <c r="R656" s="317"/>
      <c r="S656" s="317"/>
      <c r="T656" s="317"/>
      <c r="U656" s="317"/>
      <c r="V656" s="317"/>
      <c r="W656" s="317"/>
      <c r="X656" s="317"/>
      <c r="Y656" s="317"/>
      <c r="Z656" s="317"/>
    </row>
    <row r="657" spans="1:26" x14ac:dyDescent="0.25">
      <c r="A657" s="314"/>
      <c r="B657" s="18">
        <v>2023</v>
      </c>
      <c r="C657" s="18" t="s">
        <v>743</v>
      </c>
      <c r="D657" s="18" t="s">
        <v>776</v>
      </c>
      <c r="E657" s="18" t="s">
        <v>713</v>
      </c>
      <c r="F657" s="18" t="s">
        <v>714</v>
      </c>
      <c r="G657" s="18" t="s">
        <v>674</v>
      </c>
      <c r="H657" s="18" t="s">
        <v>777</v>
      </c>
      <c r="I657" s="315">
        <v>725.65764499080956</v>
      </c>
      <c r="J657" s="315">
        <v>2.8861805891803368E-3</v>
      </c>
      <c r="K657" s="316" t="str">
        <f t="shared" si="34"/>
        <v>Construction and Mining Equipment</v>
      </c>
      <c r="L657" s="316" t="str">
        <f t="shared" si="35"/>
        <v>Diesel</v>
      </c>
      <c r="M657" s="194"/>
      <c r="N657" s="317"/>
      <c r="O657" s="317"/>
      <c r="P657" s="317"/>
      <c r="Q657" s="317"/>
      <c r="R657" s="317"/>
      <c r="S657" s="317"/>
      <c r="T657" s="317"/>
      <c r="U657" s="317"/>
      <c r="V657" s="317"/>
      <c r="W657" s="317"/>
      <c r="X657" s="317"/>
      <c r="Y657" s="317"/>
      <c r="Z657" s="317"/>
    </row>
    <row r="658" spans="1:26" x14ac:dyDescent="0.25">
      <c r="A658" s="314"/>
      <c r="B658" s="18">
        <v>2023</v>
      </c>
      <c r="C658" s="18" t="s">
        <v>711</v>
      </c>
      <c r="D658" s="18" t="s">
        <v>864</v>
      </c>
      <c r="E658" s="18" t="s">
        <v>703</v>
      </c>
      <c r="F658" s="18" t="s">
        <v>704</v>
      </c>
      <c r="G658" s="18" t="s">
        <v>673</v>
      </c>
      <c r="H658" s="18" t="s">
        <v>865</v>
      </c>
      <c r="I658" s="315">
        <v>725.13090112163923</v>
      </c>
      <c r="J658" s="315">
        <v>0.49263649961675487</v>
      </c>
      <c r="K658" s="316" t="str">
        <f t="shared" si="34"/>
        <v>Lawn and Garden Equipment</v>
      </c>
      <c r="L658" s="316" t="str">
        <f t="shared" si="35"/>
        <v>Gasoline</v>
      </c>
      <c r="M658" s="194"/>
      <c r="N658" s="317"/>
      <c r="O658" s="317"/>
      <c r="P658" s="317"/>
      <c r="Q658" s="317"/>
      <c r="R658" s="317"/>
      <c r="S658" s="317"/>
      <c r="T658" s="317"/>
      <c r="U658" s="317"/>
      <c r="V658" s="317"/>
      <c r="W658" s="317"/>
      <c r="X658" s="317"/>
      <c r="Y658" s="317"/>
      <c r="Z658" s="317"/>
    </row>
    <row r="659" spans="1:26" x14ac:dyDescent="0.25">
      <c r="A659" s="314"/>
      <c r="B659" s="18">
        <v>2023</v>
      </c>
      <c r="C659" s="18" t="s">
        <v>701</v>
      </c>
      <c r="D659" s="18" t="s">
        <v>962</v>
      </c>
      <c r="E659" s="18" t="s">
        <v>703</v>
      </c>
      <c r="F659" s="18" t="s">
        <v>704</v>
      </c>
      <c r="G659" s="18" t="s">
        <v>673</v>
      </c>
      <c r="H659" s="18" t="s">
        <v>963</v>
      </c>
      <c r="I659" s="315">
        <v>721.13663309636343</v>
      </c>
      <c r="J659" s="315">
        <v>0.4979618115959949</v>
      </c>
      <c r="K659" s="316" t="str">
        <f t="shared" si="34"/>
        <v>Lawn and Garden Equipment</v>
      </c>
      <c r="L659" s="316" t="str">
        <f t="shared" si="35"/>
        <v>Gasoline</v>
      </c>
      <c r="M659" s="194"/>
      <c r="N659" s="317"/>
      <c r="O659" s="317"/>
      <c r="P659" s="317"/>
      <c r="Q659" s="317"/>
      <c r="R659" s="317"/>
      <c r="S659" s="317"/>
      <c r="T659" s="317"/>
      <c r="U659" s="317"/>
      <c r="V659" s="317"/>
      <c r="W659" s="317"/>
      <c r="X659" s="317"/>
      <c r="Y659" s="317"/>
      <c r="Z659" s="317"/>
    </row>
    <row r="660" spans="1:26" x14ac:dyDescent="0.25">
      <c r="A660" s="314"/>
      <c r="B660" s="18">
        <v>2023</v>
      </c>
      <c r="C660" s="18" t="s">
        <v>743</v>
      </c>
      <c r="D660" s="18" t="s">
        <v>784</v>
      </c>
      <c r="E660" s="18" t="s">
        <v>713</v>
      </c>
      <c r="F660" s="18" t="s">
        <v>714</v>
      </c>
      <c r="G660" s="18" t="s">
        <v>677</v>
      </c>
      <c r="H660" s="18" t="s">
        <v>785</v>
      </c>
      <c r="I660" s="315">
        <v>719.49118103551871</v>
      </c>
      <c r="J660" s="315">
        <v>1.0196631655968234E-2</v>
      </c>
      <c r="K660" s="316" t="str">
        <f t="shared" si="34"/>
        <v>Commercial Equipment</v>
      </c>
      <c r="L660" s="316" t="str">
        <f t="shared" si="35"/>
        <v>Diesel</v>
      </c>
      <c r="M660" s="194"/>
      <c r="N660" s="317"/>
      <c r="O660" s="317"/>
      <c r="P660" s="317"/>
      <c r="Q660" s="317"/>
      <c r="R660" s="317"/>
      <c r="S660" s="317"/>
      <c r="T660" s="317"/>
      <c r="U660" s="317"/>
      <c r="V660" s="317"/>
      <c r="W660" s="317"/>
      <c r="X660" s="317"/>
      <c r="Y660" s="317"/>
      <c r="Z660" s="317"/>
    </row>
    <row r="661" spans="1:26" x14ac:dyDescent="0.25">
      <c r="A661" s="314"/>
      <c r="B661" s="18">
        <v>2023</v>
      </c>
      <c r="C661" s="18" t="s">
        <v>787</v>
      </c>
      <c r="D661" s="18" t="s">
        <v>771</v>
      </c>
      <c r="E661" s="18" t="s">
        <v>713</v>
      </c>
      <c r="F661" s="18" t="s">
        <v>714</v>
      </c>
      <c r="G661" s="18" t="s">
        <v>675</v>
      </c>
      <c r="H661" s="18" t="s">
        <v>772</v>
      </c>
      <c r="I661" s="315">
        <v>719.4138428739443</v>
      </c>
      <c r="J661" s="315">
        <v>1.600624231718327E-3</v>
      </c>
      <c r="K661" s="316" t="str">
        <f t="shared" si="34"/>
        <v>Industrial Equipment</v>
      </c>
      <c r="L661" s="316" t="str">
        <f t="shared" si="35"/>
        <v>Diesel</v>
      </c>
      <c r="M661" s="194"/>
      <c r="N661" s="317"/>
      <c r="O661" s="317"/>
      <c r="P661" s="317"/>
      <c r="Q661" s="317"/>
      <c r="R661" s="317"/>
      <c r="S661" s="317"/>
      <c r="T661" s="317"/>
      <c r="U661" s="317"/>
      <c r="V661" s="317"/>
      <c r="W661" s="317"/>
      <c r="X661" s="317"/>
      <c r="Y661" s="317"/>
      <c r="Z661" s="317"/>
    </row>
    <row r="662" spans="1:26" x14ac:dyDescent="0.25">
      <c r="A662" s="314"/>
      <c r="B662" s="18">
        <v>2023</v>
      </c>
      <c r="C662" s="18" t="s">
        <v>706</v>
      </c>
      <c r="D662" s="18" t="s">
        <v>964</v>
      </c>
      <c r="E662" s="18" t="s">
        <v>56</v>
      </c>
      <c r="F662" s="18" t="s">
        <v>601</v>
      </c>
      <c r="G662" s="18" t="s">
        <v>677</v>
      </c>
      <c r="H662" s="18" t="s">
        <v>965</v>
      </c>
      <c r="I662" s="315">
        <v>719.00990089405593</v>
      </c>
      <c r="J662" s="315">
        <v>3.4358732422304428</v>
      </c>
      <c r="K662" s="316" t="str">
        <f t="shared" si="34"/>
        <v>Commercial Equipment</v>
      </c>
      <c r="L662" s="316" t="str">
        <f t="shared" si="35"/>
        <v>CNG</v>
      </c>
      <c r="M662" s="194"/>
      <c r="N662" s="317"/>
      <c r="O662" s="317"/>
      <c r="P662" s="317"/>
      <c r="Q662" s="317"/>
      <c r="R662" s="317"/>
      <c r="S662" s="317"/>
      <c r="T662" s="317"/>
      <c r="U662" s="317"/>
      <c r="V662" s="317"/>
      <c r="W662" s="317"/>
      <c r="X662" s="317"/>
      <c r="Y662" s="317"/>
      <c r="Z662" s="317"/>
    </row>
    <row r="663" spans="1:26" x14ac:dyDescent="0.25">
      <c r="A663" s="314"/>
      <c r="B663" s="18">
        <v>2023</v>
      </c>
      <c r="C663" s="18" t="s">
        <v>778</v>
      </c>
      <c r="D663" s="18" t="s">
        <v>774</v>
      </c>
      <c r="E663" s="18" t="s">
        <v>703</v>
      </c>
      <c r="F663" s="18" t="s">
        <v>704</v>
      </c>
      <c r="G663" s="18" t="s">
        <v>673</v>
      </c>
      <c r="H663" s="18" t="s">
        <v>775</v>
      </c>
      <c r="I663" s="315">
        <v>718.31348816559682</v>
      </c>
      <c r="J663" s="315">
        <v>0.49130275413042096</v>
      </c>
      <c r="K663" s="316" t="str">
        <f t="shared" si="34"/>
        <v>Lawn and Garden Equipment</v>
      </c>
      <c r="L663" s="316" t="str">
        <f t="shared" si="35"/>
        <v>Gasoline</v>
      </c>
      <c r="M663" s="194"/>
      <c r="N663" s="317"/>
      <c r="O663" s="317"/>
      <c r="P663" s="317"/>
      <c r="Q663" s="317"/>
      <c r="R663" s="317"/>
      <c r="S663" s="317"/>
      <c r="T663" s="317"/>
      <c r="U663" s="317"/>
      <c r="V663" s="317"/>
      <c r="W663" s="317"/>
      <c r="X663" s="317"/>
      <c r="Y663" s="317"/>
      <c r="Z663" s="317"/>
    </row>
    <row r="664" spans="1:26" x14ac:dyDescent="0.25">
      <c r="A664" s="314"/>
      <c r="B664" s="18">
        <v>2023</v>
      </c>
      <c r="C664" s="18" t="s">
        <v>793</v>
      </c>
      <c r="D664" s="18" t="s">
        <v>755</v>
      </c>
      <c r="E664" s="18" t="s">
        <v>713</v>
      </c>
      <c r="F664" s="18" t="s">
        <v>714</v>
      </c>
      <c r="G664" s="18" t="s">
        <v>674</v>
      </c>
      <c r="H664" s="18" t="s">
        <v>756</v>
      </c>
      <c r="I664" s="315">
        <v>717.43764340656776</v>
      </c>
      <c r="J664" s="315">
        <v>2.785918209107878E-2</v>
      </c>
      <c r="K664" s="316" t="str">
        <f t="shared" si="34"/>
        <v>Construction and Mining Equipment</v>
      </c>
      <c r="L664" s="316" t="str">
        <f t="shared" si="35"/>
        <v>Diesel</v>
      </c>
      <c r="M664" s="194"/>
      <c r="N664" s="317"/>
      <c r="O664" s="317"/>
      <c r="P664" s="317"/>
      <c r="Q664" s="317"/>
      <c r="R664" s="317"/>
      <c r="S664" s="317"/>
      <c r="T664" s="317"/>
      <c r="U664" s="317"/>
      <c r="V664" s="317"/>
      <c r="W664" s="317"/>
      <c r="X664" s="317"/>
      <c r="Y664" s="317"/>
      <c r="Z664" s="317"/>
    </row>
    <row r="665" spans="1:26" x14ac:dyDescent="0.25">
      <c r="A665" s="314"/>
      <c r="B665" s="18">
        <v>2023</v>
      </c>
      <c r="C665" s="18" t="s">
        <v>753</v>
      </c>
      <c r="D665" s="18" t="s">
        <v>735</v>
      </c>
      <c r="E665" s="18" t="s">
        <v>713</v>
      </c>
      <c r="F665" s="18" t="s">
        <v>714</v>
      </c>
      <c r="G665" s="18" t="s">
        <v>674</v>
      </c>
      <c r="H665" s="18" t="s">
        <v>736</v>
      </c>
      <c r="I665" s="315">
        <v>714.63970282392552</v>
      </c>
      <c r="J665" s="315">
        <v>2.1375298674481139E-2</v>
      </c>
      <c r="K665" s="316" t="str">
        <f t="shared" si="34"/>
        <v>Construction and Mining Equipment</v>
      </c>
      <c r="L665" s="316" t="str">
        <f t="shared" si="35"/>
        <v>Diesel</v>
      </c>
      <c r="M665" s="194"/>
      <c r="N665" s="317"/>
      <c r="O665" s="317"/>
      <c r="P665" s="317"/>
      <c r="Q665" s="317"/>
      <c r="R665" s="317"/>
      <c r="S665" s="317"/>
      <c r="T665" s="317"/>
      <c r="U665" s="317"/>
      <c r="V665" s="317"/>
      <c r="W665" s="317"/>
      <c r="X665" s="317"/>
      <c r="Y665" s="317"/>
      <c r="Z665" s="317"/>
    </row>
    <row r="666" spans="1:26" x14ac:dyDescent="0.25">
      <c r="A666" s="314"/>
      <c r="B666" s="18">
        <v>2023</v>
      </c>
      <c r="C666" s="18" t="s">
        <v>810</v>
      </c>
      <c r="D666" s="18" t="s">
        <v>733</v>
      </c>
      <c r="E666" s="18" t="s">
        <v>703</v>
      </c>
      <c r="F666" s="18" t="s">
        <v>704</v>
      </c>
      <c r="G666" s="18" t="s">
        <v>673</v>
      </c>
      <c r="H666" s="18" t="s">
        <v>734</v>
      </c>
      <c r="I666" s="315">
        <v>714.4485256663379</v>
      </c>
      <c r="J666" s="315">
        <v>0.45746435470949542</v>
      </c>
      <c r="K666" s="316" t="str">
        <f t="shared" si="34"/>
        <v>Lawn and Garden Equipment</v>
      </c>
      <c r="L666" s="316" t="str">
        <f t="shared" si="35"/>
        <v>Gasoline</v>
      </c>
      <c r="M666" s="194"/>
      <c r="N666" s="317"/>
      <c r="O666" s="317"/>
      <c r="P666" s="317"/>
      <c r="Q666" s="317"/>
      <c r="R666" s="317"/>
      <c r="S666" s="317"/>
      <c r="T666" s="317"/>
      <c r="U666" s="317"/>
      <c r="V666" s="317"/>
      <c r="W666" s="317"/>
      <c r="X666" s="317"/>
      <c r="Y666" s="317"/>
      <c r="Z666" s="317"/>
    </row>
    <row r="667" spans="1:26" x14ac:dyDescent="0.25">
      <c r="A667" s="314"/>
      <c r="B667" s="18">
        <v>2023</v>
      </c>
      <c r="C667" s="18" t="s">
        <v>753</v>
      </c>
      <c r="D667" s="18" t="s">
        <v>733</v>
      </c>
      <c r="E667" s="18" t="s">
        <v>703</v>
      </c>
      <c r="F667" s="18" t="s">
        <v>704</v>
      </c>
      <c r="G667" s="18" t="s">
        <v>673</v>
      </c>
      <c r="H667" s="18" t="s">
        <v>734</v>
      </c>
      <c r="I667" s="315">
        <v>712.61179062601957</v>
      </c>
      <c r="J667" s="315">
        <v>0.45051764120532983</v>
      </c>
      <c r="K667" s="316" t="str">
        <f t="shared" si="34"/>
        <v>Lawn and Garden Equipment</v>
      </c>
      <c r="L667" s="316" t="str">
        <f t="shared" si="35"/>
        <v>Gasoline</v>
      </c>
      <c r="M667" s="194"/>
      <c r="N667" s="317"/>
      <c r="O667" s="317"/>
      <c r="P667" s="317"/>
      <c r="Q667" s="317"/>
      <c r="R667" s="317"/>
      <c r="S667" s="317"/>
      <c r="T667" s="317"/>
      <c r="U667" s="317"/>
      <c r="V667" s="317"/>
      <c r="W667" s="317"/>
      <c r="X667" s="317"/>
      <c r="Y667" s="317"/>
      <c r="Z667" s="317"/>
    </row>
    <row r="668" spans="1:26" x14ac:dyDescent="0.25">
      <c r="A668" s="314"/>
      <c r="B668" s="18">
        <v>2023</v>
      </c>
      <c r="C668" s="18" t="s">
        <v>706</v>
      </c>
      <c r="D668" s="18" t="s">
        <v>966</v>
      </c>
      <c r="E668" s="18" t="s">
        <v>703</v>
      </c>
      <c r="F668" s="18" t="s">
        <v>704</v>
      </c>
      <c r="G668" s="18" t="s">
        <v>674</v>
      </c>
      <c r="H668" s="18" t="s">
        <v>967</v>
      </c>
      <c r="I668" s="315">
        <v>711.26555435665728</v>
      </c>
      <c r="J668" s="315">
        <v>0.49268825287713991</v>
      </c>
      <c r="K668" s="316" t="str">
        <f t="shared" si="34"/>
        <v>Construction and Mining Equipment</v>
      </c>
      <c r="L668" s="316" t="str">
        <f t="shared" si="35"/>
        <v>Gasoline</v>
      </c>
      <c r="M668" s="194"/>
      <c r="N668" s="317"/>
      <c r="O668" s="317"/>
      <c r="P668" s="317"/>
      <c r="Q668" s="317"/>
      <c r="R668" s="317"/>
      <c r="S668" s="317"/>
      <c r="T668" s="317"/>
      <c r="U668" s="317"/>
      <c r="V668" s="317"/>
      <c r="W668" s="317"/>
      <c r="X668" s="317"/>
      <c r="Y668" s="317"/>
      <c r="Z668" s="317"/>
    </row>
    <row r="669" spans="1:26" x14ac:dyDescent="0.25">
      <c r="A669" s="314"/>
      <c r="B669" s="18">
        <v>2023</v>
      </c>
      <c r="C669" s="18" t="s">
        <v>722</v>
      </c>
      <c r="D669" s="18" t="s">
        <v>848</v>
      </c>
      <c r="E669" s="18" t="s">
        <v>56</v>
      </c>
      <c r="F669" s="18" t="s">
        <v>601</v>
      </c>
      <c r="G669" s="18" t="s">
        <v>675</v>
      </c>
      <c r="H669" s="18" t="s">
        <v>708</v>
      </c>
      <c r="I669" s="315">
        <v>708.29767264383224</v>
      </c>
      <c r="J669" s="315">
        <v>2.8177780692571157</v>
      </c>
      <c r="K669" s="316" t="str">
        <f t="shared" si="34"/>
        <v>Industrial Equipment</v>
      </c>
      <c r="L669" s="316" t="str">
        <f t="shared" si="35"/>
        <v>CNG</v>
      </c>
      <c r="M669" s="194"/>
      <c r="N669" s="317"/>
      <c r="O669" s="317"/>
      <c r="P669" s="317"/>
      <c r="Q669" s="317"/>
      <c r="R669" s="317"/>
      <c r="S669" s="317"/>
      <c r="T669" s="317"/>
      <c r="U669" s="317"/>
      <c r="V669" s="317"/>
      <c r="W669" s="317"/>
      <c r="X669" s="317"/>
      <c r="Y669" s="317"/>
      <c r="Z669" s="317"/>
    </row>
    <row r="670" spans="1:26" x14ac:dyDescent="0.25">
      <c r="A670" s="314"/>
      <c r="B670" s="18">
        <v>2023</v>
      </c>
      <c r="C670" s="18" t="s">
        <v>709</v>
      </c>
      <c r="D670" s="18" t="s">
        <v>765</v>
      </c>
      <c r="E670" s="18" t="s">
        <v>703</v>
      </c>
      <c r="F670" s="18" t="s">
        <v>676</v>
      </c>
      <c r="G670" s="18" t="s">
        <v>729</v>
      </c>
      <c r="H670" s="18" t="s">
        <v>766</v>
      </c>
      <c r="I670" s="315">
        <v>706.51679675554567</v>
      </c>
      <c r="J670" s="315">
        <v>0.7771052749143661</v>
      </c>
      <c r="K670" s="316" t="str">
        <f t="shared" si="34"/>
        <v>Pleasure Craft</v>
      </c>
      <c r="L670" s="316" t="str">
        <f t="shared" si="35"/>
        <v>Gasoline</v>
      </c>
      <c r="M670" s="194"/>
      <c r="N670" s="317"/>
      <c r="O670" s="317"/>
      <c r="P670" s="317"/>
      <c r="Q670" s="317"/>
      <c r="R670" s="317"/>
      <c r="S670" s="317"/>
      <c r="T670" s="317"/>
      <c r="U670" s="317"/>
      <c r="V670" s="317"/>
      <c r="W670" s="317"/>
      <c r="X670" s="317"/>
      <c r="Y670" s="317"/>
      <c r="Z670" s="317"/>
    </row>
    <row r="671" spans="1:26" x14ac:dyDescent="0.25">
      <c r="A671" s="314"/>
      <c r="B671" s="18">
        <v>2023</v>
      </c>
      <c r="C671" s="18" t="s">
        <v>731</v>
      </c>
      <c r="D671" s="18" t="s">
        <v>894</v>
      </c>
      <c r="E671" s="18" t="s">
        <v>713</v>
      </c>
      <c r="F671" s="18" t="s">
        <v>714</v>
      </c>
      <c r="G671" s="18" t="s">
        <v>681</v>
      </c>
      <c r="H671" s="18" t="s">
        <v>895</v>
      </c>
      <c r="I671" s="315">
        <v>705.50971789935534</v>
      </c>
      <c r="J671" s="315">
        <v>1.3834787415517816E-3</v>
      </c>
      <c r="K671" s="316" t="str">
        <f t="shared" si="34"/>
        <v>Logging Equipment</v>
      </c>
      <c r="L671" s="316" t="str">
        <f t="shared" si="35"/>
        <v>Diesel</v>
      </c>
      <c r="M671" s="194"/>
      <c r="N671" s="317"/>
      <c r="O671" s="317"/>
      <c r="P671" s="317"/>
      <c r="Q671" s="317"/>
      <c r="R671" s="317"/>
      <c r="S671" s="317"/>
      <c r="T671" s="317"/>
      <c r="U671" s="317"/>
      <c r="V671" s="317"/>
      <c r="W671" s="317"/>
      <c r="X671" s="317"/>
      <c r="Y671" s="317"/>
      <c r="Z671" s="317"/>
    </row>
    <row r="672" spans="1:26" x14ac:dyDescent="0.25">
      <c r="A672" s="314"/>
      <c r="B672" s="18">
        <v>2023</v>
      </c>
      <c r="C672" s="18" t="s">
        <v>762</v>
      </c>
      <c r="D672" s="18" t="s">
        <v>725</v>
      </c>
      <c r="E672" s="18" t="s">
        <v>713</v>
      </c>
      <c r="F672" s="18" t="s">
        <v>714</v>
      </c>
      <c r="G672" s="18" t="s">
        <v>674</v>
      </c>
      <c r="H672" s="18" t="s">
        <v>726</v>
      </c>
      <c r="I672" s="315">
        <v>697.41958291758749</v>
      </c>
      <c r="J672" s="315">
        <v>3.9019565541902074E-3</v>
      </c>
      <c r="K672" s="316" t="str">
        <f t="shared" si="34"/>
        <v>Construction and Mining Equipment</v>
      </c>
      <c r="L672" s="316" t="str">
        <f t="shared" si="35"/>
        <v>Diesel</v>
      </c>
      <c r="M672" s="194"/>
      <c r="N672" s="317"/>
      <c r="O672" s="317"/>
      <c r="P672" s="317"/>
      <c r="Q672" s="317"/>
      <c r="R672" s="317"/>
      <c r="S672" s="317"/>
      <c r="T672" s="317"/>
      <c r="U672" s="317"/>
      <c r="V672" s="317"/>
      <c r="W672" s="317"/>
      <c r="X672" s="317"/>
      <c r="Y672" s="317"/>
      <c r="Z672" s="317"/>
    </row>
    <row r="673" spans="1:26" x14ac:dyDescent="0.25">
      <c r="A673" s="314"/>
      <c r="B673" s="18">
        <v>2023</v>
      </c>
      <c r="C673" s="18" t="s">
        <v>787</v>
      </c>
      <c r="D673" s="18" t="s">
        <v>769</v>
      </c>
      <c r="E673" s="18" t="s">
        <v>713</v>
      </c>
      <c r="F673" s="18" t="s">
        <v>714</v>
      </c>
      <c r="G673" s="18" t="s">
        <v>674</v>
      </c>
      <c r="H673" s="18" t="s">
        <v>770</v>
      </c>
      <c r="I673" s="315">
        <v>696.71537133660354</v>
      </c>
      <c r="J673" s="315">
        <v>5.5865041442857508E-3</v>
      </c>
      <c r="K673" s="316" t="str">
        <f t="shared" si="34"/>
        <v>Construction and Mining Equipment</v>
      </c>
      <c r="L673" s="316" t="str">
        <f t="shared" si="35"/>
        <v>Diesel</v>
      </c>
      <c r="M673" s="194"/>
      <c r="N673" s="317"/>
      <c r="O673" s="317"/>
      <c r="P673" s="317"/>
      <c r="Q673" s="317"/>
      <c r="R673" s="317"/>
      <c r="S673" s="317"/>
      <c r="T673" s="317"/>
      <c r="U673" s="317"/>
      <c r="V673" s="317"/>
      <c r="W673" s="317"/>
      <c r="X673" s="317"/>
      <c r="Y673" s="317"/>
      <c r="Z673" s="317"/>
    </row>
    <row r="674" spans="1:26" x14ac:dyDescent="0.25">
      <c r="A674" s="314"/>
      <c r="B674" s="18">
        <v>2023</v>
      </c>
      <c r="C674" s="18" t="s">
        <v>760</v>
      </c>
      <c r="D674" s="18" t="s">
        <v>767</v>
      </c>
      <c r="E674" s="18" t="s">
        <v>703</v>
      </c>
      <c r="F674" s="18" t="s">
        <v>704</v>
      </c>
      <c r="G674" s="18" t="s">
        <v>673</v>
      </c>
      <c r="H674" s="18" t="s">
        <v>768</v>
      </c>
      <c r="I674" s="315">
        <v>695.5812561397363</v>
      </c>
      <c r="J674" s="315">
        <v>0.48415041601995434</v>
      </c>
      <c r="K674" s="316" t="str">
        <f t="shared" si="34"/>
        <v>Lawn and Garden Equipment</v>
      </c>
      <c r="L674" s="316" t="str">
        <f t="shared" si="35"/>
        <v>Gasoline</v>
      </c>
      <c r="M674" s="194"/>
      <c r="N674" s="317"/>
      <c r="O674" s="317"/>
      <c r="P674" s="317"/>
      <c r="Q674" s="317"/>
      <c r="R674" s="317"/>
      <c r="S674" s="317"/>
      <c r="T674" s="317"/>
      <c r="U674" s="317"/>
      <c r="V674" s="317"/>
      <c r="W674" s="317"/>
      <c r="X674" s="317"/>
      <c r="Y674" s="317"/>
      <c r="Z674" s="317"/>
    </row>
    <row r="675" spans="1:26" x14ac:dyDescent="0.25">
      <c r="A675" s="314"/>
      <c r="B675" s="18">
        <v>2023</v>
      </c>
      <c r="C675" s="18" t="s">
        <v>731</v>
      </c>
      <c r="D675" s="18" t="s">
        <v>716</v>
      </c>
      <c r="E675" s="18" t="s">
        <v>713</v>
      </c>
      <c r="F675" s="18" t="s">
        <v>714</v>
      </c>
      <c r="G675" s="18" t="s">
        <v>675</v>
      </c>
      <c r="H675" s="18" t="s">
        <v>717</v>
      </c>
      <c r="I675" s="315">
        <v>689.70078795637573</v>
      </c>
      <c r="J675" s="315">
        <v>1.4153048919363299E-2</v>
      </c>
      <c r="K675" s="316" t="str">
        <f t="shared" si="34"/>
        <v>Industrial Equipment</v>
      </c>
      <c r="L675" s="316" t="str">
        <f t="shared" si="35"/>
        <v>Diesel</v>
      </c>
      <c r="M675" s="194"/>
      <c r="N675" s="317"/>
      <c r="O675" s="317"/>
      <c r="P675" s="317"/>
      <c r="Q675" s="317"/>
      <c r="R675" s="317"/>
      <c r="S675" s="317"/>
      <c r="T675" s="317"/>
      <c r="U675" s="317"/>
      <c r="V675" s="317"/>
      <c r="W675" s="317"/>
      <c r="X675" s="317"/>
      <c r="Y675" s="317"/>
      <c r="Z675" s="317"/>
    </row>
    <row r="676" spans="1:26" x14ac:dyDescent="0.25">
      <c r="A676" s="314"/>
      <c r="B676" s="18">
        <v>2023</v>
      </c>
      <c r="C676" s="18" t="s">
        <v>710</v>
      </c>
      <c r="D676" s="18" t="s">
        <v>738</v>
      </c>
      <c r="E676" s="18" t="s">
        <v>703</v>
      </c>
      <c r="F676" s="18" t="s">
        <v>676</v>
      </c>
      <c r="G676" s="18" t="s">
        <v>739</v>
      </c>
      <c r="H676" s="18" t="s">
        <v>740</v>
      </c>
      <c r="I676" s="315">
        <v>688.51602820308699</v>
      </c>
      <c r="J676" s="315">
        <v>0.29932611813616977</v>
      </c>
      <c r="K676" s="316" t="str">
        <f t="shared" si="34"/>
        <v>Pleasure Craft</v>
      </c>
      <c r="L676" s="316" t="str">
        <f t="shared" si="35"/>
        <v>Gasoline</v>
      </c>
      <c r="M676" s="194"/>
      <c r="N676" s="317"/>
      <c r="O676" s="317"/>
      <c r="P676" s="317"/>
      <c r="Q676" s="317"/>
      <c r="R676" s="317"/>
      <c r="S676" s="317"/>
      <c r="T676" s="317"/>
      <c r="U676" s="317"/>
      <c r="V676" s="317"/>
      <c r="W676" s="317"/>
      <c r="X676" s="317"/>
      <c r="Y676" s="317"/>
      <c r="Z676" s="317"/>
    </row>
    <row r="677" spans="1:26" x14ac:dyDescent="0.25">
      <c r="A677" s="314"/>
      <c r="B677" s="18">
        <v>2023</v>
      </c>
      <c r="C677" s="18" t="s">
        <v>781</v>
      </c>
      <c r="D677" s="18" t="s">
        <v>716</v>
      </c>
      <c r="E677" s="18" t="s">
        <v>713</v>
      </c>
      <c r="F677" s="18" t="s">
        <v>714</v>
      </c>
      <c r="G677" s="18" t="s">
        <v>675</v>
      </c>
      <c r="H677" s="18" t="s">
        <v>717</v>
      </c>
      <c r="I677" s="315">
        <v>686.37552258650203</v>
      </c>
      <c r="J677" s="315">
        <v>1.4084809363449843E-2</v>
      </c>
      <c r="K677" s="316" t="str">
        <f t="shared" si="34"/>
        <v>Industrial Equipment</v>
      </c>
      <c r="L677" s="316" t="str">
        <f t="shared" si="35"/>
        <v>Diesel</v>
      </c>
      <c r="M677" s="194"/>
      <c r="N677" s="317"/>
      <c r="O677" s="317"/>
      <c r="P677" s="317"/>
      <c r="Q677" s="317"/>
      <c r="R677" s="317"/>
      <c r="S677" s="317"/>
      <c r="T677" s="317"/>
      <c r="U677" s="317"/>
      <c r="V677" s="317"/>
      <c r="W677" s="317"/>
      <c r="X677" s="317"/>
      <c r="Y677" s="317"/>
      <c r="Z677" s="317"/>
    </row>
    <row r="678" spans="1:26" x14ac:dyDescent="0.25">
      <c r="A678" s="314"/>
      <c r="B678" s="18">
        <v>2023</v>
      </c>
      <c r="C678" s="18" t="s">
        <v>711</v>
      </c>
      <c r="D678" s="18" t="s">
        <v>867</v>
      </c>
      <c r="E678" s="18" t="s">
        <v>713</v>
      </c>
      <c r="F678" s="18" t="s">
        <v>714</v>
      </c>
      <c r="G678" s="18" t="s">
        <v>673</v>
      </c>
      <c r="H678" s="18" t="s">
        <v>724</v>
      </c>
      <c r="I678" s="315">
        <v>684.0948327680203</v>
      </c>
      <c r="J678" s="315">
        <v>3.5205954676980018E-2</v>
      </c>
      <c r="K678" s="316" t="str">
        <f t="shared" si="34"/>
        <v>Lawn and Garden Equipment</v>
      </c>
      <c r="L678" s="316" t="str">
        <f t="shared" si="35"/>
        <v>Diesel</v>
      </c>
      <c r="M678" s="194"/>
      <c r="N678" s="317"/>
      <c r="O678" s="317"/>
      <c r="P678" s="317"/>
      <c r="Q678" s="317"/>
      <c r="R678" s="317"/>
      <c r="S678" s="317"/>
      <c r="T678" s="317"/>
      <c r="U678" s="317"/>
      <c r="V678" s="317"/>
      <c r="W678" s="317"/>
      <c r="X678" s="317"/>
      <c r="Y678" s="317"/>
      <c r="Z678" s="317"/>
    </row>
    <row r="679" spans="1:26" x14ac:dyDescent="0.25">
      <c r="A679" s="314"/>
      <c r="B679" s="18">
        <v>2023</v>
      </c>
      <c r="C679" s="18" t="s">
        <v>710</v>
      </c>
      <c r="D679" s="18" t="s">
        <v>741</v>
      </c>
      <c r="E679" s="18" t="s">
        <v>713</v>
      </c>
      <c r="F679" s="18" t="s">
        <v>714</v>
      </c>
      <c r="G679" s="18" t="s">
        <v>673</v>
      </c>
      <c r="H679" s="18" t="s">
        <v>742</v>
      </c>
      <c r="I679" s="315">
        <v>682.79407676103563</v>
      </c>
      <c r="J679" s="315">
        <v>1.1309015004092215E-2</v>
      </c>
      <c r="K679" s="316" t="str">
        <f t="shared" si="34"/>
        <v>Lawn and Garden Equipment</v>
      </c>
      <c r="L679" s="316" t="str">
        <f t="shared" si="35"/>
        <v>Diesel</v>
      </c>
      <c r="M679" s="194"/>
      <c r="N679" s="317"/>
      <c r="O679" s="317"/>
      <c r="P679" s="317"/>
      <c r="Q679" s="317"/>
      <c r="R679" s="317"/>
      <c r="S679" s="317"/>
      <c r="T679" s="317"/>
      <c r="U679" s="317"/>
      <c r="V679" s="317"/>
      <c r="W679" s="317"/>
      <c r="X679" s="317"/>
      <c r="Y679" s="317"/>
      <c r="Z679" s="317"/>
    </row>
    <row r="680" spans="1:26" ht="12.75" x14ac:dyDescent="0.2">
      <c r="A680" s="230"/>
      <c r="B680" s="18">
        <v>2023</v>
      </c>
      <c r="C680" s="18" t="s">
        <v>706</v>
      </c>
      <c r="D680" s="18" t="s">
        <v>968</v>
      </c>
      <c r="E680" s="18" t="s">
        <v>703</v>
      </c>
      <c r="F680" s="18" t="s">
        <v>704</v>
      </c>
      <c r="G680" s="18" t="s">
        <v>675</v>
      </c>
      <c r="H680" s="18" t="s">
        <v>969</v>
      </c>
      <c r="I680" s="315">
        <v>681.79101425361284</v>
      </c>
      <c r="J680" s="315">
        <v>0.21827102009105651</v>
      </c>
      <c r="K680" s="316" t="str">
        <f t="shared" si="34"/>
        <v>Industrial Equipment</v>
      </c>
      <c r="L680" s="316" t="str">
        <f t="shared" si="35"/>
        <v>Gasoline</v>
      </c>
      <c r="M680" s="8"/>
      <c r="N680" s="2"/>
      <c r="O680" s="2"/>
      <c r="P680" s="2"/>
      <c r="Q680" s="2"/>
      <c r="R680" s="2"/>
      <c r="S680" s="2"/>
      <c r="T680" s="2"/>
      <c r="U680" s="2"/>
      <c r="V680" s="2"/>
      <c r="W680" s="2"/>
      <c r="X680" s="2"/>
      <c r="Y680" s="2"/>
      <c r="Z680" s="2"/>
    </row>
    <row r="681" spans="1:26" x14ac:dyDescent="0.25">
      <c r="A681" s="314"/>
      <c r="B681" s="18">
        <v>2023</v>
      </c>
      <c r="C681" s="18" t="s">
        <v>810</v>
      </c>
      <c r="D681" s="18" t="s">
        <v>716</v>
      </c>
      <c r="E681" s="18" t="s">
        <v>713</v>
      </c>
      <c r="F681" s="18" t="s">
        <v>714</v>
      </c>
      <c r="G681" s="18" t="s">
        <v>675</v>
      </c>
      <c r="H681" s="18" t="s">
        <v>717</v>
      </c>
      <c r="I681" s="315">
        <v>676.60655314814937</v>
      </c>
      <c r="J681" s="315">
        <v>1.3884305700129865E-2</v>
      </c>
      <c r="K681" s="316" t="str">
        <f t="shared" si="34"/>
        <v>Industrial Equipment</v>
      </c>
      <c r="L681" s="316" t="str">
        <f t="shared" si="35"/>
        <v>Diesel</v>
      </c>
      <c r="M681" s="194"/>
      <c r="N681" s="317"/>
      <c r="O681" s="317"/>
      <c r="P681" s="317"/>
      <c r="Q681" s="317"/>
      <c r="R681" s="317"/>
      <c r="S681" s="317"/>
      <c r="T681" s="317"/>
      <c r="U681" s="317"/>
      <c r="V681" s="317"/>
      <c r="W681" s="317"/>
      <c r="X681" s="317"/>
      <c r="Y681" s="317"/>
      <c r="Z681" s="317"/>
    </row>
    <row r="682" spans="1:26" x14ac:dyDescent="0.25">
      <c r="A682" s="314"/>
      <c r="B682" s="18">
        <v>2023</v>
      </c>
      <c r="C682" s="18" t="s">
        <v>743</v>
      </c>
      <c r="D682" s="18" t="s">
        <v>788</v>
      </c>
      <c r="E682" s="18" t="s">
        <v>703</v>
      </c>
      <c r="F682" s="18" t="s">
        <v>704</v>
      </c>
      <c r="G682" s="18" t="s">
        <v>677</v>
      </c>
      <c r="H682" s="18" t="s">
        <v>789</v>
      </c>
      <c r="I682" s="315">
        <v>675.55849208839209</v>
      </c>
      <c r="J682" s="315">
        <v>0.46899328299934995</v>
      </c>
      <c r="K682" s="316" t="str">
        <f t="shared" si="34"/>
        <v>Commercial Equipment</v>
      </c>
      <c r="L682" s="316" t="str">
        <f t="shared" si="35"/>
        <v>Gasoline</v>
      </c>
      <c r="M682" s="194"/>
      <c r="N682" s="317"/>
      <c r="O682" s="317"/>
      <c r="P682" s="317"/>
      <c r="Q682" s="317"/>
      <c r="R682" s="317"/>
      <c r="S682" s="317"/>
      <c r="T682" s="317"/>
      <c r="U682" s="317"/>
      <c r="V682" s="317"/>
      <c r="W682" s="317"/>
      <c r="X682" s="317"/>
      <c r="Y682" s="317"/>
      <c r="Z682" s="317"/>
    </row>
    <row r="683" spans="1:26" x14ac:dyDescent="0.25">
      <c r="A683" s="314"/>
      <c r="B683" s="18">
        <v>2023</v>
      </c>
      <c r="C683" s="18" t="s">
        <v>810</v>
      </c>
      <c r="D683" s="18" t="s">
        <v>735</v>
      </c>
      <c r="E683" s="18" t="s">
        <v>713</v>
      </c>
      <c r="F683" s="18" t="s">
        <v>714</v>
      </c>
      <c r="G683" s="18" t="s">
        <v>674</v>
      </c>
      <c r="H683" s="18" t="s">
        <v>736</v>
      </c>
      <c r="I683" s="315">
        <v>673.55801641901508</v>
      </c>
      <c r="J683" s="315">
        <v>2.0146527244108231E-2</v>
      </c>
      <c r="K683" s="316" t="str">
        <f t="shared" si="34"/>
        <v>Construction and Mining Equipment</v>
      </c>
      <c r="L683" s="316" t="str">
        <f t="shared" si="35"/>
        <v>Diesel</v>
      </c>
      <c r="M683" s="194"/>
      <c r="N683" s="317"/>
      <c r="O683" s="317"/>
      <c r="P683" s="317"/>
      <c r="Q683" s="317"/>
      <c r="R683" s="317"/>
      <c r="S683" s="317"/>
      <c r="T683" s="317"/>
      <c r="U683" s="317"/>
      <c r="V683" s="317"/>
      <c r="W683" s="317"/>
      <c r="X683" s="317"/>
      <c r="Y683" s="317"/>
      <c r="Z683" s="317"/>
    </row>
    <row r="684" spans="1:26" x14ac:dyDescent="0.25">
      <c r="A684" s="314"/>
      <c r="B684" s="18">
        <v>2023</v>
      </c>
      <c r="C684" s="18" t="s">
        <v>743</v>
      </c>
      <c r="D684" s="18" t="s">
        <v>779</v>
      </c>
      <c r="E684" s="18" t="s">
        <v>713</v>
      </c>
      <c r="F684" s="18" t="s">
        <v>714</v>
      </c>
      <c r="G684" s="18" t="s">
        <v>674</v>
      </c>
      <c r="H684" s="18" t="s">
        <v>780</v>
      </c>
      <c r="I684" s="315">
        <v>672.46880387339854</v>
      </c>
      <c r="J684" s="315">
        <v>2.1901935579473459E-3</v>
      </c>
      <c r="K684" s="316" t="str">
        <f t="shared" si="34"/>
        <v>Construction and Mining Equipment</v>
      </c>
      <c r="L684" s="316" t="str">
        <f t="shared" si="35"/>
        <v>Diesel</v>
      </c>
      <c r="M684" s="194"/>
      <c r="N684" s="317"/>
      <c r="O684" s="317"/>
      <c r="P684" s="317"/>
      <c r="Q684" s="317"/>
      <c r="R684" s="317"/>
      <c r="S684" s="317"/>
      <c r="T684" s="317"/>
      <c r="U684" s="317"/>
      <c r="V684" s="317"/>
      <c r="W684" s="317"/>
      <c r="X684" s="317"/>
      <c r="Y684" s="317"/>
      <c r="Z684" s="317"/>
    </row>
    <row r="685" spans="1:26" x14ac:dyDescent="0.25">
      <c r="A685" s="314"/>
      <c r="B685" s="18">
        <v>2023</v>
      </c>
      <c r="C685" s="18" t="s">
        <v>773</v>
      </c>
      <c r="D685" s="18" t="s">
        <v>755</v>
      </c>
      <c r="E685" s="18" t="s">
        <v>713</v>
      </c>
      <c r="F685" s="18" t="s">
        <v>714</v>
      </c>
      <c r="G685" s="18" t="s">
        <v>674</v>
      </c>
      <c r="H685" s="18" t="s">
        <v>756</v>
      </c>
      <c r="I685" s="315">
        <v>669.17143800280417</v>
      </c>
      <c r="J685" s="315">
        <v>2.5984935215917725E-2</v>
      </c>
      <c r="K685" s="316" t="str">
        <f t="shared" si="34"/>
        <v>Construction and Mining Equipment</v>
      </c>
      <c r="L685" s="316" t="str">
        <f t="shared" si="35"/>
        <v>Diesel</v>
      </c>
      <c r="M685" s="194"/>
      <c r="N685" s="317"/>
      <c r="O685" s="317"/>
      <c r="P685" s="317"/>
      <c r="Q685" s="317"/>
      <c r="R685" s="317"/>
      <c r="S685" s="317"/>
      <c r="T685" s="317"/>
      <c r="U685" s="317"/>
      <c r="V685" s="317"/>
      <c r="W685" s="317"/>
      <c r="X685" s="317"/>
      <c r="Y685" s="317"/>
      <c r="Z685" s="317"/>
    </row>
    <row r="686" spans="1:26" x14ac:dyDescent="0.25">
      <c r="A686" s="314"/>
      <c r="B686" s="18">
        <v>2023</v>
      </c>
      <c r="C686" s="18" t="s">
        <v>743</v>
      </c>
      <c r="D686" s="18" t="s">
        <v>782</v>
      </c>
      <c r="E686" s="18" t="s">
        <v>713</v>
      </c>
      <c r="F686" s="18" t="s">
        <v>714</v>
      </c>
      <c r="G686" s="18" t="s">
        <v>674</v>
      </c>
      <c r="H686" s="18" t="s">
        <v>783</v>
      </c>
      <c r="I686" s="315">
        <v>666.97507059036298</v>
      </c>
      <c r="J686" s="315">
        <v>6.3319551606475085E-3</v>
      </c>
      <c r="K686" s="316" t="str">
        <f t="shared" si="34"/>
        <v>Construction and Mining Equipment</v>
      </c>
      <c r="L686" s="316" t="str">
        <f t="shared" si="35"/>
        <v>Diesel</v>
      </c>
      <c r="M686" s="194"/>
      <c r="N686" s="317"/>
      <c r="O686" s="317"/>
      <c r="P686" s="317"/>
      <c r="Q686" s="317"/>
      <c r="R686" s="317"/>
      <c r="S686" s="317"/>
      <c r="T686" s="317"/>
      <c r="U686" s="317"/>
      <c r="V686" s="317"/>
      <c r="W686" s="317"/>
      <c r="X686" s="317"/>
      <c r="Y686" s="317"/>
      <c r="Z686" s="317"/>
    </row>
    <row r="687" spans="1:26" x14ac:dyDescent="0.25">
      <c r="A687" s="314"/>
      <c r="B687" s="18">
        <v>2023</v>
      </c>
      <c r="C687" s="18" t="s">
        <v>753</v>
      </c>
      <c r="D687" s="18" t="s">
        <v>746</v>
      </c>
      <c r="E687" s="18" t="s">
        <v>703</v>
      </c>
      <c r="F687" s="18" t="s">
        <v>704</v>
      </c>
      <c r="G687" s="18" t="s">
        <v>677</v>
      </c>
      <c r="H687" s="18" t="s">
        <v>747</v>
      </c>
      <c r="I687" s="315">
        <v>666.78218705486597</v>
      </c>
      <c r="J687" s="315">
        <v>0.43733772682233579</v>
      </c>
      <c r="K687" s="316" t="str">
        <f t="shared" si="34"/>
        <v>Commercial Equipment</v>
      </c>
      <c r="L687" s="316" t="str">
        <f t="shared" si="35"/>
        <v>Gasoline</v>
      </c>
      <c r="M687" s="194"/>
      <c r="N687" s="317"/>
      <c r="O687" s="317"/>
      <c r="P687" s="317"/>
      <c r="Q687" s="317"/>
      <c r="R687" s="317"/>
      <c r="S687" s="317"/>
      <c r="T687" s="317"/>
      <c r="U687" s="317"/>
      <c r="V687" s="317"/>
      <c r="W687" s="317"/>
      <c r="X687" s="317"/>
      <c r="Y687" s="317"/>
      <c r="Z687" s="317"/>
    </row>
    <row r="688" spans="1:26" x14ac:dyDescent="0.25">
      <c r="A688" s="314"/>
      <c r="B688" s="18">
        <v>2023</v>
      </c>
      <c r="C688" s="18" t="s">
        <v>754</v>
      </c>
      <c r="D688" s="18" t="s">
        <v>853</v>
      </c>
      <c r="E688" s="18" t="s">
        <v>703</v>
      </c>
      <c r="F688" s="18" t="s">
        <v>795</v>
      </c>
      <c r="G688" s="18" t="s">
        <v>679</v>
      </c>
      <c r="H688" s="18" t="s">
        <v>854</v>
      </c>
      <c r="I688" s="315">
        <v>666.44438044669926</v>
      </c>
      <c r="J688" s="315">
        <v>0.50231157083249434</v>
      </c>
      <c r="K688" s="316" t="str">
        <f t="shared" si="34"/>
        <v>Recreational Equipment</v>
      </c>
      <c r="L688" s="316" t="str">
        <f t="shared" si="35"/>
        <v>Gasoline</v>
      </c>
      <c r="M688" s="194"/>
      <c r="N688" s="317"/>
      <c r="O688" s="317"/>
      <c r="P688" s="317"/>
      <c r="Q688" s="317"/>
      <c r="R688" s="317"/>
      <c r="S688" s="317"/>
      <c r="T688" s="317"/>
      <c r="U688" s="317"/>
      <c r="V688" s="317"/>
      <c r="W688" s="317"/>
      <c r="X688" s="317"/>
      <c r="Y688" s="317"/>
      <c r="Z688" s="317"/>
    </row>
    <row r="689" spans="1:26" x14ac:dyDescent="0.25">
      <c r="A689" s="314"/>
      <c r="B689" s="18">
        <v>2023</v>
      </c>
      <c r="C689" s="18" t="s">
        <v>722</v>
      </c>
      <c r="D689" s="18" t="s">
        <v>853</v>
      </c>
      <c r="E689" s="18" t="s">
        <v>703</v>
      </c>
      <c r="F689" s="18" t="s">
        <v>795</v>
      </c>
      <c r="G689" s="18" t="s">
        <v>679</v>
      </c>
      <c r="H689" s="18" t="s">
        <v>854</v>
      </c>
      <c r="I689" s="315">
        <v>666.44438044669926</v>
      </c>
      <c r="J689" s="315">
        <v>0.50150669946450255</v>
      </c>
      <c r="K689" s="316" t="str">
        <f t="shared" si="34"/>
        <v>Recreational Equipment</v>
      </c>
      <c r="L689" s="316" t="str">
        <f t="shared" si="35"/>
        <v>Gasoline</v>
      </c>
      <c r="M689" s="194"/>
      <c r="N689" s="317"/>
      <c r="O689" s="317"/>
      <c r="P689" s="317"/>
      <c r="Q689" s="317"/>
      <c r="R689" s="317"/>
      <c r="S689" s="317"/>
      <c r="T689" s="317"/>
      <c r="U689" s="317"/>
      <c r="V689" s="317"/>
      <c r="W689" s="317"/>
      <c r="X689" s="317"/>
      <c r="Y689" s="317"/>
      <c r="Z689" s="317"/>
    </row>
    <row r="690" spans="1:26" x14ac:dyDescent="0.25">
      <c r="A690" s="314"/>
      <c r="B690" s="18">
        <v>2023</v>
      </c>
      <c r="C690" s="18" t="s">
        <v>754</v>
      </c>
      <c r="D690" s="18" t="s">
        <v>776</v>
      </c>
      <c r="E690" s="18" t="s">
        <v>713</v>
      </c>
      <c r="F690" s="18" t="s">
        <v>714</v>
      </c>
      <c r="G690" s="18" t="s">
        <v>674</v>
      </c>
      <c r="H690" s="18" t="s">
        <v>777</v>
      </c>
      <c r="I690" s="315">
        <v>665.46350415903157</v>
      </c>
      <c r="J690" s="315">
        <v>2.6467627568796449E-3</v>
      </c>
      <c r="K690" s="316" t="str">
        <f t="shared" si="34"/>
        <v>Construction and Mining Equipment</v>
      </c>
      <c r="L690" s="316" t="str">
        <f t="shared" si="35"/>
        <v>Diesel</v>
      </c>
      <c r="M690" s="194"/>
      <c r="N690" s="317"/>
      <c r="O690" s="317"/>
      <c r="P690" s="317"/>
      <c r="Q690" s="317"/>
      <c r="R690" s="317"/>
      <c r="S690" s="317"/>
      <c r="T690" s="317"/>
      <c r="U690" s="317"/>
      <c r="V690" s="317"/>
      <c r="W690" s="317"/>
      <c r="X690" s="317"/>
      <c r="Y690" s="317"/>
      <c r="Z690" s="317"/>
    </row>
    <row r="691" spans="1:26" x14ac:dyDescent="0.25">
      <c r="A691" s="314"/>
      <c r="B691" s="18">
        <v>2023</v>
      </c>
      <c r="C691" s="18" t="s">
        <v>732</v>
      </c>
      <c r="D691" s="18" t="s">
        <v>835</v>
      </c>
      <c r="E691" s="18" t="s">
        <v>703</v>
      </c>
      <c r="F691" s="18" t="s">
        <v>704</v>
      </c>
      <c r="G691" s="18" t="s">
        <v>677</v>
      </c>
      <c r="H691" s="18" t="s">
        <v>836</v>
      </c>
      <c r="I691" s="315">
        <v>661.59907628075825</v>
      </c>
      <c r="J691" s="315">
        <v>0.4130135454840928</v>
      </c>
      <c r="K691" s="316" t="str">
        <f t="shared" si="34"/>
        <v>Commercial Equipment</v>
      </c>
      <c r="L691" s="316" t="str">
        <f t="shared" si="35"/>
        <v>Gasoline</v>
      </c>
      <c r="M691" s="194"/>
      <c r="N691" s="317"/>
      <c r="O691" s="317"/>
      <c r="P691" s="317"/>
      <c r="Q691" s="317"/>
      <c r="R691" s="317"/>
      <c r="S691" s="317"/>
      <c r="T691" s="317"/>
      <c r="U691" s="317"/>
      <c r="V691" s="317"/>
      <c r="W691" s="317"/>
      <c r="X691" s="317"/>
      <c r="Y691" s="317"/>
      <c r="Z691" s="317"/>
    </row>
    <row r="692" spans="1:26" x14ac:dyDescent="0.25">
      <c r="A692" s="314"/>
      <c r="B692" s="18">
        <v>2023</v>
      </c>
      <c r="C692" s="18" t="s">
        <v>709</v>
      </c>
      <c r="D692" s="18" t="s">
        <v>878</v>
      </c>
      <c r="E692" s="18" t="s">
        <v>703</v>
      </c>
      <c r="F692" s="18" t="s">
        <v>704</v>
      </c>
      <c r="G692" s="18" t="s">
        <v>673</v>
      </c>
      <c r="H692" s="18" t="s">
        <v>879</v>
      </c>
      <c r="I692" s="315">
        <v>653.39378173402702</v>
      </c>
      <c r="J692" s="315">
        <v>0.42923315270601586</v>
      </c>
      <c r="K692" s="316" t="str">
        <f t="shared" si="34"/>
        <v>Lawn and Garden Equipment</v>
      </c>
      <c r="L692" s="316" t="str">
        <f t="shared" si="35"/>
        <v>Gasoline</v>
      </c>
      <c r="M692" s="194"/>
      <c r="N692" s="317"/>
      <c r="O692" s="317"/>
      <c r="P692" s="317"/>
      <c r="Q692" s="317"/>
      <c r="R692" s="317"/>
      <c r="S692" s="317"/>
      <c r="T692" s="317"/>
      <c r="U692" s="317"/>
      <c r="V692" s="317"/>
      <c r="W692" s="317"/>
      <c r="X692" s="317"/>
      <c r="Y692" s="317"/>
      <c r="Z692" s="317"/>
    </row>
    <row r="693" spans="1:26" x14ac:dyDescent="0.25">
      <c r="A693" s="314"/>
      <c r="B693" s="18">
        <v>2023</v>
      </c>
      <c r="C693" s="18" t="s">
        <v>750</v>
      </c>
      <c r="D693" s="18" t="s">
        <v>769</v>
      </c>
      <c r="E693" s="18" t="s">
        <v>713</v>
      </c>
      <c r="F693" s="18" t="s">
        <v>714</v>
      </c>
      <c r="G693" s="18" t="s">
        <v>674</v>
      </c>
      <c r="H693" s="18" t="s">
        <v>770</v>
      </c>
      <c r="I693" s="315">
        <v>651.36843461454168</v>
      </c>
      <c r="J693" s="315">
        <v>5.2228910975453914E-3</v>
      </c>
      <c r="K693" s="316" t="str">
        <f t="shared" si="34"/>
        <v>Construction and Mining Equipment</v>
      </c>
      <c r="L693" s="316" t="str">
        <f t="shared" si="35"/>
        <v>Diesel</v>
      </c>
      <c r="M693" s="194"/>
      <c r="N693" s="317"/>
      <c r="O693" s="317"/>
      <c r="P693" s="317"/>
      <c r="Q693" s="317"/>
      <c r="R693" s="317"/>
      <c r="S693" s="317"/>
      <c r="T693" s="317"/>
      <c r="U693" s="317"/>
      <c r="V693" s="317"/>
      <c r="W693" s="317"/>
      <c r="X693" s="317"/>
      <c r="Y693" s="317"/>
      <c r="Z693" s="317"/>
    </row>
    <row r="694" spans="1:26" x14ac:dyDescent="0.25">
      <c r="A694" s="314"/>
      <c r="B694" s="18">
        <v>2023</v>
      </c>
      <c r="C694" s="18" t="s">
        <v>792</v>
      </c>
      <c r="D694" s="18" t="s">
        <v>746</v>
      </c>
      <c r="E694" s="18" t="s">
        <v>703</v>
      </c>
      <c r="F694" s="18" t="s">
        <v>704</v>
      </c>
      <c r="G694" s="18" t="s">
        <v>677</v>
      </c>
      <c r="H694" s="18" t="s">
        <v>747</v>
      </c>
      <c r="I694" s="315">
        <v>646.87940077122551</v>
      </c>
      <c r="J694" s="315">
        <v>0.42872830167776366</v>
      </c>
      <c r="K694" s="316" t="str">
        <f t="shared" si="34"/>
        <v>Commercial Equipment</v>
      </c>
      <c r="L694" s="316" t="str">
        <f t="shared" si="35"/>
        <v>Gasoline</v>
      </c>
      <c r="M694" s="194"/>
      <c r="N694" s="317"/>
      <c r="O694" s="317"/>
      <c r="P694" s="317"/>
      <c r="Q694" s="317"/>
      <c r="R694" s="317"/>
      <c r="S694" s="317"/>
      <c r="T694" s="317"/>
      <c r="U694" s="317"/>
      <c r="V694" s="317"/>
      <c r="W694" s="317"/>
      <c r="X694" s="317"/>
      <c r="Y694" s="317"/>
      <c r="Z694" s="317"/>
    </row>
    <row r="695" spans="1:26" x14ac:dyDescent="0.25">
      <c r="A695" s="314"/>
      <c r="B695" s="18">
        <v>2023</v>
      </c>
      <c r="C695" s="18" t="s">
        <v>706</v>
      </c>
      <c r="D695" s="18" t="s">
        <v>878</v>
      </c>
      <c r="E695" s="18" t="s">
        <v>703</v>
      </c>
      <c r="F695" s="18" t="s">
        <v>704</v>
      </c>
      <c r="G695" s="18" t="s">
        <v>673</v>
      </c>
      <c r="H695" s="18" t="s">
        <v>879</v>
      </c>
      <c r="I695" s="315">
        <v>646.65725087042358</v>
      </c>
      <c r="J695" s="315">
        <v>0.42527512987462646</v>
      </c>
      <c r="K695" s="316" t="str">
        <f t="shared" si="34"/>
        <v>Lawn and Garden Equipment</v>
      </c>
      <c r="L695" s="316" t="str">
        <f t="shared" si="35"/>
        <v>Gasoline</v>
      </c>
      <c r="M695" s="194"/>
      <c r="N695" s="317"/>
      <c r="O695" s="317"/>
      <c r="P695" s="317"/>
      <c r="Q695" s="317"/>
      <c r="R695" s="317"/>
      <c r="S695" s="317"/>
      <c r="T695" s="317"/>
      <c r="U695" s="317"/>
      <c r="V695" s="317"/>
      <c r="W695" s="317"/>
      <c r="X695" s="317"/>
      <c r="Y695" s="317"/>
      <c r="Z695" s="317"/>
    </row>
    <row r="696" spans="1:26" x14ac:dyDescent="0.25">
      <c r="A696" s="314"/>
      <c r="B696" s="18">
        <v>2023</v>
      </c>
      <c r="C696" s="18" t="s">
        <v>709</v>
      </c>
      <c r="D696" s="18" t="s">
        <v>882</v>
      </c>
      <c r="E696" s="18" t="s">
        <v>713</v>
      </c>
      <c r="F696" s="18" t="s">
        <v>714</v>
      </c>
      <c r="G696" s="18" t="s">
        <v>673</v>
      </c>
      <c r="H696" s="18" t="s">
        <v>705</v>
      </c>
      <c r="I696" s="315">
        <v>646.45674154527762</v>
      </c>
      <c r="J696" s="315">
        <v>1.0849869868526832E-2</v>
      </c>
      <c r="K696" s="316" t="str">
        <f t="shared" si="34"/>
        <v>Lawn and Garden Equipment</v>
      </c>
      <c r="L696" s="316" t="str">
        <f t="shared" si="35"/>
        <v>Diesel</v>
      </c>
      <c r="M696" s="194"/>
      <c r="N696" s="317"/>
      <c r="O696" s="317"/>
      <c r="P696" s="317"/>
      <c r="Q696" s="317"/>
      <c r="R696" s="317"/>
      <c r="S696" s="317"/>
      <c r="T696" s="317"/>
      <c r="U696" s="317"/>
      <c r="V696" s="317"/>
      <c r="W696" s="317"/>
      <c r="X696" s="317"/>
      <c r="Y696" s="317"/>
      <c r="Z696" s="317"/>
    </row>
    <row r="697" spans="1:26" x14ac:dyDescent="0.25">
      <c r="A697" s="314"/>
      <c r="B697" s="18">
        <v>2023</v>
      </c>
      <c r="C697" s="18" t="s">
        <v>710</v>
      </c>
      <c r="D697" s="18" t="s">
        <v>765</v>
      </c>
      <c r="E697" s="18" t="s">
        <v>703</v>
      </c>
      <c r="F697" s="18" t="s">
        <v>676</v>
      </c>
      <c r="G697" s="18" t="s">
        <v>729</v>
      </c>
      <c r="H697" s="18" t="s">
        <v>766</v>
      </c>
      <c r="I697" s="315">
        <v>644.17706698996062</v>
      </c>
      <c r="J697" s="315">
        <v>0.70853669761858018</v>
      </c>
      <c r="K697" s="316" t="str">
        <f t="shared" si="34"/>
        <v>Pleasure Craft</v>
      </c>
      <c r="L697" s="316" t="str">
        <f t="shared" si="35"/>
        <v>Gasoline</v>
      </c>
      <c r="M697" s="194"/>
      <c r="N697" s="317"/>
      <c r="O697" s="317"/>
      <c r="P697" s="317"/>
      <c r="Q697" s="317"/>
      <c r="R697" s="317"/>
      <c r="S697" s="317"/>
      <c r="T697" s="317"/>
      <c r="U697" s="317"/>
      <c r="V697" s="317"/>
      <c r="W697" s="317"/>
      <c r="X697" s="317"/>
      <c r="Y697" s="317"/>
      <c r="Z697" s="317"/>
    </row>
    <row r="698" spans="1:26" x14ac:dyDescent="0.25">
      <c r="A698" s="314"/>
      <c r="B698" s="18">
        <v>2023</v>
      </c>
      <c r="C698" s="18" t="s">
        <v>706</v>
      </c>
      <c r="D698" s="18" t="s">
        <v>882</v>
      </c>
      <c r="E698" s="18" t="s">
        <v>713</v>
      </c>
      <c r="F698" s="18" t="s">
        <v>714</v>
      </c>
      <c r="G698" s="18" t="s">
        <v>673</v>
      </c>
      <c r="H698" s="18" t="s">
        <v>705</v>
      </c>
      <c r="I698" s="315">
        <v>639.79270418503745</v>
      </c>
      <c r="J698" s="315">
        <v>1.07380104530656E-2</v>
      </c>
      <c r="K698" s="316" t="str">
        <f t="shared" si="34"/>
        <v>Lawn and Garden Equipment</v>
      </c>
      <c r="L698" s="316" t="str">
        <f t="shared" si="35"/>
        <v>Diesel</v>
      </c>
      <c r="M698" s="194"/>
      <c r="N698" s="317"/>
      <c r="O698" s="317"/>
      <c r="P698" s="317"/>
      <c r="Q698" s="317"/>
      <c r="R698" s="317"/>
      <c r="S698" s="317"/>
      <c r="T698" s="317"/>
      <c r="U698" s="317"/>
      <c r="V698" s="317"/>
      <c r="W698" s="317"/>
      <c r="X698" s="317"/>
      <c r="Y698" s="317"/>
      <c r="Z698" s="317"/>
    </row>
    <row r="699" spans="1:26" x14ac:dyDescent="0.25">
      <c r="A699" s="314"/>
      <c r="B699" s="18">
        <v>2023</v>
      </c>
      <c r="C699" s="18" t="s">
        <v>710</v>
      </c>
      <c r="D699" s="18" t="s">
        <v>744</v>
      </c>
      <c r="E699" s="18" t="s">
        <v>703</v>
      </c>
      <c r="F699" s="18" t="s">
        <v>704</v>
      </c>
      <c r="G699" s="18" t="s">
        <v>673</v>
      </c>
      <c r="H699" s="18" t="s">
        <v>745</v>
      </c>
      <c r="I699" s="315">
        <v>639.72903247909574</v>
      </c>
      <c r="J699" s="315">
        <v>0.47177958142016257</v>
      </c>
      <c r="K699" s="316" t="str">
        <f t="shared" si="34"/>
        <v>Lawn and Garden Equipment</v>
      </c>
      <c r="L699" s="316" t="str">
        <f t="shared" si="35"/>
        <v>Gasoline</v>
      </c>
      <c r="M699" s="194"/>
      <c r="N699" s="317"/>
      <c r="O699" s="317"/>
      <c r="P699" s="317"/>
      <c r="Q699" s="317"/>
      <c r="R699" s="317"/>
      <c r="S699" s="317"/>
      <c r="T699" s="317"/>
      <c r="U699" s="317"/>
      <c r="V699" s="317"/>
      <c r="W699" s="317"/>
      <c r="X699" s="317"/>
      <c r="Y699" s="317"/>
      <c r="Z699" s="317"/>
    </row>
    <row r="700" spans="1:26" x14ac:dyDescent="0.25">
      <c r="A700" s="314"/>
      <c r="B700" s="18">
        <v>2023</v>
      </c>
      <c r="C700" s="18" t="s">
        <v>787</v>
      </c>
      <c r="D700" s="18" t="s">
        <v>746</v>
      </c>
      <c r="E700" s="18" t="s">
        <v>703</v>
      </c>
      <c r="F700" s="18" t="s">
        <v>704</v>
      </c>
      <c r="G700" s="18" t="s">
        <v>677</v>
      </c>
      <c r="H700" s="18" t="s">
        <v>747</v>
      </c>
      <c r="I700" s="315">
        <v>636.92618440649699</v>
      </c>
      <c r="J700" s="315">
        <v>0.41990607985581624</v>
      </c>
      <c r="K700" s="316" t="str">
        <f t="shared" si="34"/>
        <v>Commercial Equipment</v>
      </c>
      <c r="L700" s="316" t="str">
        <f t="shared" si="35"/>
        <v>Gasoline</v>
      </c>
      <c r="M700" s="194"/>
      <c r="N700" s="317"/>
      <c r="O700" s="317"/>
      <c r="P700" s="317"/>
      <c r="Q700" s="317"/>
      <c r="R700" s="317"/>
      <c r="S700" s="317"/>
      <c r="T700" s="317"/>
      <c r="U700" s="317"/>
      <c r="V700" s="317"/>
      <c r="W700" s="317"/>
      <c r="X700" s="317"/>
      <c r="Y700" s="317"/>
      <c r="Z700" s="317"/>
    </row>
    <row r="701" spans="1:26" x14ac:dyDescent="0.25">
      <c r="A701" s="314"/>
      <c r="B701" s="18">
        <v>2023</v>
      </c>
      <c r="C701" s="18" t="s">
        <v>760</v>
      </c>
      <c r="D701" s="18" t="s">
        <v>835</v>
      </c>
      <c r="E701" s="18" t="s">
        <v>703</v>
      </c>
      <c r="F701" s="18" t="s">
        <v>704</v>
      </c>
      <c r="G701" s="18" t="s">
        <v>677</v>
      </c>
      <c r="H701" s="18" t="s">
        <v>836</v>
      </c>
      <c r="I701" s="315">
        <v>636.15379597324352</v>
      </c>
      <c r="J701" s="315">
        <v>0.3961643144946308</v>
      </c>
      <c r="K701" s="316" t="str">
        <f t="shared" si="34"/>
        <v>Commercial Equipment</v>
      </c>
      <c r="L701" s="316" t="str">
        <f t="shared" si="35"/>
        <v>Gasoline</v>
      </c>
      <c r="M701" s="194"/>
      <c r="N701" s="317"/>
      <c r="O701" s="317"/>
      <c r="P701" s="317"/>
      <c r="Q701" s="317"/>
      <c r="R701" s="317"/>
      <c r="S701" s="317"/>
      <c r="T701" s="317"/>
      <c r="U701" s="317"/>
      <c r="V701" s="317"/>
      <c r="W701" s="317"/>
      <c r="X701" s="317"/>
      <c r="Y701" s="317"/>
      <c r="Z701" s="317"/>
    </row>
    <row r="702" spans="1:26" x14ac:dyDescent="0.25">
      <c r="A702" s="314"/>
      <c r="B702" s="18">
        <v>2023</v>
      </c>
      <c r="C702" s="18" t="s">
        <v>773</v>
      </c>
      <c r="D702" s="18" t="s">
        <v>797</v>
      </c>
      <c r="E702" s="18" t="s">
        <v>713</v>
      </c>
      <c r="F702" s="18" t="s">
        <v>714</v>
      </c>
      <c r="G702" s="18" t="s">
        <v>675</v>
      </c>
      <c r="H702" s="18" t="s">
        <v>798</v>
      </c>
      <c r="I702" s="315">
        <v>632.82874996332066</v>
      </c>
      <c r="J702" s="315">
        <v>5.3385516198061938E-3</v>
      </c>
      <c r="K702" s="316" t="str">
        <f t="shared" si="34"/>
        <v>Industrial Equipment</v>
      </c>
      <c r="L702" s="316" t="str">
        <f t="shared" si="35"/>
        <v>Diesel</v>
      </c>
      <c r="M702" s="194"/>
      <c r="N702" s="317"/>
      <c r="O702" s="317"/>
      <c r="P702" s="317"/>
      <c r="Q702" s="317"/>
      <c r="R702" s="317"/>
      <c r="S702" s="317"/>
      <c r="T702" s="317"/>
      <c r="U702" s="317"/>
      <c r="V702" s="317"/>
      <c r="W702" s="317"/>
      <c r="X702" s="317"/>
      <c r="Y702" s="317"/>
      <c r="Z702" s="317"/>
    </row>
    <row r="703" spans="1:26" x14ac:dyDescent="0.25">
      <c r="A703" s="314"/>
      <c r="B703" s="18">
        <v>2023</v>
      </c>
      <c r="C703" s="18" t="s">
        <v>750</v>
      </c>
      <c r="D703" s="18" t="s">
        <v>707</v>
      </c>
      <c r="E703" s="18" t="s">
        <v>56</v>
      </c>
      <c r="F703" s="18" t="s">
        <v>672</v>
      </c>
      <c r="G703" s="18" t="s">
        <v>675</v>
      </c>
      <c r="H703" s="18" t="s">
        <v>708</v>
      </c>
      <c r="I703" s="315">
        <v>629.57578188539628</v>
      </c>
      <c r="J703" s="315">
        <v>2.8288385710483747E-2</v>
      </c>
      <c r="K703" s="316" t="str">
        <f t="shared" si="34"/>
        <v>Industrial Equipment</v>
      </c>
      <c r="L703" s="316" t="str">
        <f t="shared" si="35"/>
        <v>LPG</v>
      </c>
      <c r="M703" s="194"/>
      <c r="N703" s="317"/>
      <c r="O703" s="317"/>
      <c r="P703" s="317"/>
      <c r="Q703" s="317"/>
      <c r="R703" s="317"/>
      <c r="S703" s="317"/>
      <c r="T703" s="317"/>
      <c r="U703" s="317"/>
      <c r="V703" s="317"/>
      <c r="W703" s="317"/>
      <c r="X703" s="317"/>
      <c r="Y703" s="317"/>
      <c r="Z703" s="317"/>
    </row>
    <row r="704" spans="1:26" x14ac:dyDescent="0.25">
      <c r="A704" s="314"/>
      <c r="B704" s="18">
        <v>2023</v>
      </c>
      <c r="C704" s="18" t="s">
        <v>701</v>
      </c>
      <c r="D704" s="18" t="s">
        <v>964</v>
      </c>
      <c r="E704" s="18" t="s">
        <v>56</v>
      </c>
      <c r="F704" s="18" t="s">
        <v>601</v>
      </c>
      <c r="G704" s="18" t="s">
        <v>677</v>
      </c>
      <c r="H704" s="18" t="s">
        <v>965</v>
      </c>
      <c r="I704" s="315">
        <v>628.42053097145345</v>
      </c>
      <c r="J704" s="315">
        <v>3.0029786477764095</v>
      </c>
      <c r="K704" s="316" t="str">
        <f t="shared" si="34"/>
        <v>Commercial Equipment</v>
      </c>
      <c r="L704" s="316" t="str">
        <f t="shared" si="35"/>
        <v>CNG</v>
      </c>
      <c r="M704" s="194"/>
      <c r="N704" s="317"/>
      <c r="O704" s="317"/>
      <c r="P704" s="317"/>
      <c r="Q704" s="317"/>
      <c r="R704" s="317"/>
      <c r="S704" s="317"/>
      <c r="T704" s="317"/>
      <c r="U704" s="317"/>
      <c r="V704" s="317"/>
      <c r="W704" s="317"/>
      <c r="X704" s="317"/>
      <c r="Y704" s="317"/>
      <c r="Z704" s="317"/>
    </row>
    <row r="705" spans="1:26" x14ac:dyDescent="0.25">
      <c r="A705" s="314"/>
      <c r="B705" s="18">
        <v>2023</v>
      </c>
      <c r="C705" s="18" t="s">
        <v>754</v>
      </c>
      <c r="D705" s="18" t="s">
        <v>794</v>
      </c>
      <c r="E705" s="18" t="s">
        <v>703</v>
      </c>
      <c r="F705" s="18" t="s">
        <v>795</v>
      </c>
      <c r="G705" s="18" t="s">
        <v>673</v>
      </c>
      <c r="H705" s="18" t="s">
        <v>796</v>
      </c>
      <c r="I705" s="315">
        <v>627.34473465680219</v>
      </c>
      <c r="J705" s="315">
        <v>1.1460374579927068</v>
      </c>
      <c r="K705" s="316" t="str">
        <f t="shared" si="34"/>
        <v>Lawn and Garden Equipment</v>
      </c>
      <c r="L705" s="316" t="str">
        <f t="shared" si="35"/>
        <v>Gasoline</v>
      </c>
      <c r="M705" s="194"/>
      <c r="N705" s="317"/>
      <c r="O705" s="317"/>
      <c r="P705" s="317"/>
      <c r="Q705" s="317"/>
      <c r="R705" s="317"/>
      <c r="S705" s="317"/>
      <c r="T705" s="317"/>
      <c r="U705" s="317"/>
      <c r="V705" s="317"/>
      <c r="W705" s="317"/>
      <c r="X705" s="317"/>
      <c r="Y705" s="317"/>
      <c r="Z705" s="317"/>
    </row>
    <row r="706" spans="1:26" x14ac:dyDescent="0.25">
      <c r="A706" s="314"/>
      <c r="B706" s="18">
        <v>2023</v>
      </c>
      <c r="C706" s="18" t="s">
        <v>743</v>
      </c>
      <c r="D706" s="18" t="s">
        <v>757</v>
      </c>
      <c r="E706" s="18" t="s">
        <v>713</v>
      </c>
      <c r="F706" s="18" t="s">
        <v>714</v>
      </c>
      <c r="G706" s="18" t="s">
        <v>673</v>
      </c>
      <c r="H706" s="18" t="s">
        <v>758</v>
      </c>
      <c r="I706" s="315">
        <v>625.35102717887435</v>
      </c>
      <c r="J706" s="315">
        <v>2.4093340407224429E-2</v>
      </c>
      <c r="K706" s="316" t="str">
        <f t="shared" si="34"/>
        <v>Lawn and Garden Equipment</v>
      </c>
      <c r="L706" s="316" t="str">
        <f t="shared" si="35"/>
        <v>Diesel</v>
      </c>
      <c r="M706" s="194"/>
      <c r="N706" s="317"/>
      <c r="O706" s="317"/>
      <c r="P706" s="317"/>
      <c r="Q706" s="317"/>
      <c r="R706" s="317"/>
      <c r="S706" s="317"/>
      <c r="T706" s="317"/>
      <c r="U706" s="317"/>
      <c r="V706" s="317"/>
      <c r="W706" s="317"/>
      <c r="X706" s="317"/>
      <c r="Y706" s="317"/>
      <c r="Z706" s="317"/>
    </row>
    <row r="707" spans="1:26" x14ac:dyDescent="0.25">
      <c r="A707" s="314"/>
      <c r="B707" s="18">
        <v>2023</v>
      </c>
      <c r="C707" s="18" t="s">
        <v>773</v>
      </c>
      <c r="D707" s="18" t="s">
        <v>784</v>
      </c>
      <c r="E707" s="18" t="s">
        <v>713</v>
      </c>
      <c r="F707" s="18" t="s">
        <v>714</v>
      </c>
      <c r="G707" s="18" t="s">
        <v>677</v>
      </c>
      <c r="H707" s="18" t="s">
        <v>785</v>
      </c>
      <c r="I707" s="315">
        <v>624.19377116065698</v>
      </c>
      <c r="J707" s="315">
        <v>8.8460829833619144E-3</v>
      </c>
      <c r="K707" s="316" t="str">
        <f t="shared" si="34"/>
        <v>Commercial Equipment</v>
      </c>
      <c r="L707" s="316" t="str">
        <f t="shared" si="35"/>
        <v>Diesel</v>
      </c>
      <c r="M707" s="194"/>
      <c r="N707" s="317"/>
      <c r="O707" s="317"/>
      <c r="P707" s="317"/>
      <c r="Q707" s="317"/>
      <c r="R707" s="317"/>
      <c r="S707" s="317"/>
      <c r="T707" s="317"/>
      <c r="U707" s="317"/>
      <c r="V707" s="317"/>
      <c r="W707" s="317"/>
      <c r="X707" s="317"/>
      <c r="Y707" s="317"/>
      <c r="Z707" s="317"/>
    </row>
    <row r="708" spans="1:26" x14ac:dyDescent="0.25">
      <c r="A708" s="314"/>
      <c r="B708" s="18">
        <v>2023</v>
      </c>
      <c r="C708" s="18" t="s">
        <v>773</v>
      </c>
      <c r="D708" s="18" t="s">
        <v>801</v>
      </c>
      <c r="E708" s="18" t="s">
        <v>713</v>
      </c>
      <c r="F708" s="18" t="s">
        <v>714</v>
      </c>
      <c r="G708" s="18" t="s">
        <v>675</v>
      </c>
      <c r="H708" s="18" t="s">
        <v>802</v>
      </c>
      <c r="I708" s="315">
        <v>623.95052853292043</v>
      </c>
      <c r="J708" s="315">
        <v>4.1563234005991354E-3</v>
      </c>
      <c r="K708" s="316" t="str">
        <f t="shared" si="34"/>
        <v>Industrial Equipment</v>
      </c>
      <c r="L708" s="316" t="str">
        <f t="shared" si="35"/>
        <v>Diesel</v>
      </c>
      <c r="M708" s="194"/>
      <c r="N708" s="317"/>
      <c r="O708" s="317"/>
      <c r="P708" s="317"/>
      <c r="Q708" s="317"/>
      <c r="R708" s="317"/>
      <c r="S708" s="317"/>
      <c r="T708" s="317"/>
      <c r="U708" s="317"/>
      <c r="V708" s="317"/>
      <c r="W708" s="317"/>
      <c r="X708" s="317"/>
      <c r="Y708" s="317"/>
      <c r="Z708" s="317"/>
    </row>
    <row r="709" spans="1:26" x14ac:dyDescent="0.25">
      <c r="A709" s="314"/>
      <c r="B709" s="18">
        <v>2023</v>
      </c>
      <c r="C709" s="18" t="s">
        <v>701</v>
      </c>
      <c r="D709" s="18" t="s">
        <v>765</v>
      </c>
      <c r="E709" s="18" t="s">
        <v>703</v>
      </c>
      <c r="F709" s="18" t="s">
        <v>676</v>
      </c>
      <c r="G709" s="18" t="s">
        <v>729</v>
      </c>
      <c r="H709" s="18" t="s">
        <v>766</v>
      </c>
      <c r="I709" s="315">
        <v>623.39728273158846</v>
      </c>
      <c r="J709" s="315">
        <v>0.68568004716578379</v>
      </c>
      <c r="K709" s="316" t="str">
        <f t="shared" si="34"/>
        <v>Pleasure Craft</v>
      </c>
      <c r="L709" s="316" t="str">
        <f t="shared" si="35"/>
        <v>Gasoline</v>
      </c>
      <c r="M709" s="194"/>
      <c r="N709" s="317"/>
      <c r="O709" s="317"/>
      <c r="P709" s="317"/>
      <c r="Q709" s="317"/>
      <c r="R709" s="317"/>
      <c r="S709" s="317"/>
      <c r="T709" s="317"/>
      <c r="U709" s="317"/>
      <c r="V709" s="317"/>
      <c r="W709" s="317"/>
      <c r="X709" s="317"/>
      <c r="Y709" s="317"/>
      <c r="Z709" s="317"/>
    </row>
    <row r="710" spans="1:26" x14ac:dyDescent="0.25">
      <c r="A710" s="314"/>
      <c r="B710" s="18">
        <v>2023</v>
      </c>
      <c r="C710" s="18" t="s">
        <v>773</v>
      </c>
      <c r="D710" s="18" t="s">
        <v>723</v>
      </c>
      <c r="E710" s="18" t="s">
        <v>703</v>
      </c>
      <c r="F710" s="18" t="s">
        <v>704</v>
      </c>
      <c r="G710" s="18" t="s">
        <v>673</v>
      </c>
      <c r="H710" s="18" t="s">
        <v>724</v>
      </c>
      <c r="I710" s="315">
        <v>622.49077624475922</v>
      </c>
      <c r="J710" s="315">
        <v>0.40770839954819066</v>
      </c>
      <c r="K710" s="316" t="str">
        <f t="shared" si="34"/>
        <v>Lawn and Garden Equipment</v>
      </c>
      <c r="L710" s="316" t="str">
        <f t="shared" si="35"/>
        <v>Gasoline</v>
      </c>
      <c r="M710" s="194"/>
      <c r="N710" s="317"/>
      <c r="O710" s="317"/>
      <c r="P710" s="317"/>
      <c r="Q710" s="317"/>
      <c r="R710" s="317"/>
      <c r="S710" s="317"/>
      <c r="T710" s="317"/>
      <c r="U710" s="317"/>
      <c r="V710" s="317"/>
      <c r="W710" s="317"/>
      <c r="X710" s="317"/>
      <c r="Y710" s="317"/>
      <c r="Z710" s="317"/>
    </row>
    <row r="711" spans="1:26" x14ac:dyDescent="0.25">
      <c r="A711" s="314"/>
      <c r="B711" s="18">
        <v>2023</v>
      </c>
      <c r="C711" s="18" t="s">
        <v>706</v>
      </c>
      <c r="D711" s="18" t="s">
        <v>970</v>
      </c>
      <c r="E711" s="18" t="s">
        <v>713</v>
      </c>
      <c r="F711" s="18" t="s">
        <v>714</v>
      </c>
      <c r="G711" s="18" t="s">
        <v>675</v>
      </c>
      <c r="H711" s="18" t="s">
        <v>969</v>
      </c>
      <c r="I711" s="315">
        <v>620.58750128446809</v>
      </c>
      <c r="J711" s="315">
        <v>2.01634678944594E-2</v>
      </c>
      <c r="K711" s="316" t="str">
        <f t="shared" si="34"/>
        <v>Industrial Equipment</v>
      </c>
      <c r="L711" s="316" t="str">
        <f t="shared" si="35"/>
        <v>Diesel</v>
      </c>
      <c r="M711" s="194"/>
      <c r="N711" s="317"/>
      <c r="O711" s="317"/>
      <c r="P711" s="317"/>
      <c r="Q711" s="317"/>
      <c r="R711" s="317"/>
      <c r="S711" s="317"/>
      <c r="T711" s="317"/>
      <c r="U711" s="317"/>
      <c r="V711" s="317"/>
      <c r="W711" s="317"/>
      <c r="X711" s="317"/>
      <c r="Y711" s="317"/>
      <c r="Z711" s="317"/>
    </row>
    <row r="712" spans="1:26" x14ac:dyDescent="0.25">
      <c r="A712" s="314"/>
      <c r="B712" s="18">
        <v>2023</v>
      </c>
      <c r="C712" s="18" t="s">
        <v>743</v>
      </c>
      <c r="D712" s="18" t="s">
        <v>790</v>
      </c>
      <c r="E712" s="18" t="s">
        <v>713</v>
      </c>
      <c r="F712" s="18" t="s">
        <v>714</v>
      </c>
      <c r="G712" s="18" t="s">
        <v>674</v>
      </c>
      <c r="H712" s="18" t="s">
        <v>791</v>
      </c>
      <c r="I712" s="315">
        <v>617.99728465450164</v>
      </c>
      <c r="J712" s="315">
        <v>3.5526341827015768E-3</v>
      </c>
      <c r="K712" s="316" t="str">
        <f t="shared" si="34"/>
        <v>Construction and Mining Equipment</v>
      </c>
      <c r="L712" s="316" t="str">
        <f t="shared" si="35"/>
        <v>Diesel</v>
      </c>
      <c r="M712" s="194"/>
      <c r="N712" s="317"/>
      <c r="O712" s="317"/>
      <c r="P712" s="317"/>
      <c r="Q712" s="317"/>
      <c r="R712" s="317"/>
      <c r="S712" s="317"/>
      <c r="T712" s="317"/>
      <c r="U712" s="317"/>
      <c r="V712" s="317"/>
      <c r="W712" s="317"/>
      <c r="X712" s="317"/>
      <c r="Y712" s="317"/>
      <c r="Z712" s="317"/>
    </row>
    <row r="713" spans="1:26" x14ac:dyDescent="0.25">
      <c r="A713" s="314"/>
      <c r="B713" s="18">
        <v>2023</v>
      </c>
      <c r="C713" s="18" t="s">
        <v>754</v>
      </c>
      <c r="D713" s="18" t="s">
        <v>779</v>
      </c>
      <c r="E713" s="18" t="s">
        <v>713</v>
      </c>
      <c r="F713" s="18" t="s">
        <v>714</v>
      </c>
      <c r="G713" s="18" t="s">
        <v>674</v>
      </c>
      <c r="H713" s="18" t="s">
        <v>780</v>
      </c>
      <c r="I713" s="315">
        <v>616.68434149366328</v>
      </c>
      <c r="J713" s="315">
        <v>2.0085101898840961E-3</v>
      </c>
      <c r="K713" s="316" t="str">
        <f t="shared" si="34"/>
        <v>Construction and Mining Equipment</v>
      </c>
      <c r="L713" s="316" t="str">
        <f t="shared" si="35"/>
        <v>Diesel</v>
      </c>
      <c r="M713" s="194"/>
      <c r="N713" s="317"/>
      <c r="O713" s="317"/>
      <c r="P713" s="317"/>
      <c r="Q713" s="317"/>
      <c r="R713" s="317"/>
      <c r="S713" s="317"/>
      <c r="T713" s="317"/>
      <c r="U713" s="317"/>
      <c r="V713" s="317"/>
      <c r="W713" s="317"/>
      <c r="X713" s="317"/>
      <c r="Y713" s="317"/>
      <c r="Z713" s="317"/>
    </row>
    <row r="714" spans="1:26" x14ac:dyDescent="0.25">
      <c r="A714" s="314"/>
      <c r="B714" s="18">
        <v>2023</v>
      </c>
      <c r="C714" s="18" t="s">
        <v>731</v>
      </c>
      <c r="D714" s="18" t="s">
        <v>733</v>
      </c>
      <c r="E714" s="18" t="s">
        <v>703</v>
      </c>
      <c r="F714" s="18" t="s">
        <v>704</v>
      </c>
      <c r="G714" s="18" t="s">
        <v>673</v>
      </c>
      <c r="H714" s="18" t="s">
        <v>734</v>
      </c>
      <c r="I714" s="315">
        <v>615.09068263207325</v>
      </c>
      <c r="J714" s="315">
        <v>0.38879233707097682</v>
      </c>
      <c r="K714" s="316" t="str">
        <f t="shared" si="34"/>
        <v>Lawn and Garden Equipment</v>
      </c>
      <c r="L714" s="316" t="str">
        <f t="shared" si="35"/>
        <v>Gasoline</v>
      </c>
      <c r="M714" s="194"/>
      <c r="N714" s="317"/>
      <c r="O714" s="317"/>
      <c r="P714" s="317"/>
      <c r="Q714" s="317"/>
      <c r="R714" s="317"/>
      <c r="S714" s="317"/>
      <c r="T714" s="317"/>
      <c r="U714" s="317"/>
      <c r="V714" s="317"/>
      <c r="W714" s="317"/>
      <c r="X714" s="317"/>
      <c r="Y714" s="317"/>
      <c r="Z714" s="317"/>
    </row>
    <row r="715" spans="1:26" x14ac:dyDescent="0.25">
      <c r="A715" s="314"/>
      <c r="B715" s="18">
        <v>2023</v>
      </c>
      <c r="C715" s="18" t="s">
        <v>762</v>
      </c>
      <c r="D715" s="18" t="s">
        <v>971</v>
      </c>
      <c r="E715" s="18" t="s">
        <v>713</v>
      </c>
      <c r="F715" s="18" t="s">
        <v>714</v>
      </c>
      <c r="G715" s="18" t="s">
        <v>678</v>
      </c>
      <c r="H715" s="18" t="s">
        <v>972</v>
      </c>
      <c r="I715" s="315">
        <v>614.45366684629198</v>
      </c>
      <c r="J715" s="315">
        <v>3.4130877454683793E-3</v>
      </c>
      <c r="K715" s="316" t="str">
        <f t="shared" si="34"/>
        <v>Agricultural Equipment</v>
      </c>
      <c r="L715" s="316" t="str">
        <f t="shared" si="35"/>
        <v>Diesel</v>
      </c>
      <c r="M715" s="194"/>
      <c r="N715" s="317"/>
      <c r="O715" s="317"/>
      <c r="P715" s="317"/>
      <c r="Q715" s="317"/>
      <c r="R715" s="317"/>
      <c r="S715" s="317"/>
      <c r="T715" s="317"/>
      <c r="U715" s="317"/>
      <c r="V715" s="317"/>
      <c r="W715" s="317"/>
      <c r="X715" s="317"/>
      <c r="Y715" s="317"/>
      <c r="Z715" s="317"/>
    </row>
    <row r="716" spans="1:26" x14ac:dyDescent="0.25">
      <c r="A716" s="314"/>
      <c r="B716" s="18">
        <v>2023</v>
      </c>
      <c r="C716" s="18" t="s">
        <v>754</v>
      </c>
      <c r="D716" s="18" t="s">
        <v>782</v>
      </c>
      <c r="E716" s="18" t="s">
        <v>713</v>
      </c>
      <c r="F716" s="18" t="s">
        <v>714</v>
      </c>
      <c r="G716" s="18" t="s">
        <v>674</v>
      </c>
      <c r="H716" s="18" t="s">
        <v>783</v>
      </c>
      <c r="I716" s="315">
        <v>611.64708083603784</v>
      </c>
      <c r="J716" s="315">
        <v>5.8067051403057493E-3</v>
      </c>
      <c r="K716" s="316" t="str">
        <f t="shared" si="34"/>
        <v>Construction and Mining Equipment</v>
      </c>
      <c r="L716" s="316" t="str">
        <f t="shared" si="35"/>
        <v>Diesel</v>
      </c>
      <c r="M716" s="194"/>
      <c r="N716" s="317"/>
      <c r="O716" s="317"/>
      <c r="P716" s="317"/>
      <c r="Q716" s="317"/>
      <c r="R716" s="317"/>
      <c r="S716" s="317"/>
      <c r="T716" s="317"/>
      <c r="U716" s="317"/>
      <c r="V716" s="317"/>
      <c r="W716" s="317"/>
      <c r="X716" s="317"/>
      <c r="Y716" s="317"/>
      <c r="Z716" s="317"/>
    </row>
    <row r="717" spans="1:26" x14ac:dyDescent="0.25">
      <c r="A717" s="314"/>
      <c r="B717" s="18">
        <v>2023</v>
      </c>
      <c r="C717" s="18" t="s">
        <v>760</v>
      </c>
      <c r="D717" s="18" t="s">
        <v>849</v>
      </c>
      <c r="E717" s="18" t="s">
        <v>713</v>
      </c>
      <c r="F717" s="18" t="s">
        <v>714</v>
      </c>
      <c r="G717" s="18" t="s">
        <v>674</v>
      </c>
      <c r="H717" s="18" t="s">
        <v>850</v>
      </c>
      <c r="I717" s="315">
        <v>611.29031006407797</v>
      </c>
      <c r="J717" s="315">
        <v>8.5400690340158847E-3</v>
      </c>
      <c r="K717" s="316" t="str">
        <f t="shared" si="34"/>
        <v>Construction and Mining Equipment</v>
      </c>
      <c r="L717" s="316" t="str">
        <f t="shared" si="35"/>
        <v>Diesel</v>
      </c>
      <c r="M717" s="194"/>
      <c r="N717" s="317"/>
      <c r="O717" s="317"/>
      <c r="P717" s="317"/>
      <c r="Q717" s="317"/>
      <c r="R717" s="317"/>
      <c r="S717" s="317"/>
      <c r="T717" s="317"/>
      <c r="U717" s="317"/>
      <c r="V717" s="317"/>
      <c r="W717" s="317"/>
      <c r="X717" s="317"/>
      <c r="Y717" s="317"/>
      <c r="Z717" s="317"/>
    </row>
    <row r="718" spans="1:26" x14ac:dyDescent="0.25">
      <c r="A718" s="314"/>
      <c r="B718" s="18">
        <v>2023</v>
      </c>
      <c r="C718" s="18" t="s">
        <v>709</v>
      </c>
      <c r="D718" s="18" t="s">
        <v>936</v>
      </c>
      <c r="E718" s="18" t="s">
        <v>56</v>
      </c>
      <c r="F718" s="18" t="s">
        <v>672</v>
      </c>
      <c r="G718" s="18" t="s">
        <v>677</v>
      </c>
      <c r="H718" s="18" t="s">
        <v>747</v>
      </c>
      <c r="I718" s="315">
        <v>609.44381405710158</v>
      </c>
      <c r="J718" s="315">
        <v>0.14049860632619396</v>
      </c>
      <c r="K718" s="316" t="str">
        <f t="shared" si="34"/>
        <v>Commercial Equipment</v>
      </c>
      <c r="L718" s="316" t="str">
        <f t="shared" si="35"/>
        <v>LPG</v>
      </c>
      <c r="M718" s="194"/>
      <c r="N718" s="317"/>
      <c r="O718" s="317"/>
      <c r="P718" s="317"/>
      <c r="Q718" s="317"/>
      <c r="R718" s="317"/>
      <c r="S718" s="317"/>
      <c r="T718" s="317"/>
      <c r="U718" s="317"/>
      <c r="V718" s="317"/>
      <c r="W718" s="317"/>
      <c r="X718" s="317"/>
      <c r="Y718" s="317"/>
      <c r="Z718" s="317"/>
    </row>
    <row r="719" spans="1:26" x14ac:dyDescent="0.25">
      <c r="A719" s="314"/>
      <c r="B719" s="18">
        <v>2023</v>
      </c>
      <c r="C719" s="18" t="s">
        <v>810</v>
      </c>
      <c r="D719" s="18" t="s">
        <v>741</v>
      </c>
      <c r="E719" s="18" t="s">
        <v>713</v>
      </c>
      <c r="F719" s="18" t="s">
        <v>714</v>
      </c>
      <c r="G719" s="18" t="s">
        <v>673</v>
      </c>
      <c r="H719" s="18" t="s">
        <v>742</v>
      </c>
      <c r="I719" s="315">
        <v>607.34682111165148</v>
      </c>
      <c r="J719" s="315">
        <v>1.0059403463045374E-2</v>
      </c>
      <c r="K719" s="316" t="str">
        <f t="shared" si="34"/>
        <v>Lawn and Garden Equipment</v>
      </c>
      <c r="L719" s="316" t="str">
        <f t="shared" si="35"/>
        <v>Diesel</v>
      </c>
      <c r="M719" s="194"/>
      <c r="N719" s="317"/>
      <c r="O719" s="317"/>
      <c r="P719" s="317"/>
      <c r="Q719" s="317"/>
      <c r="R719" s="317"/>
      <c r="S719" s="317"/>
      <c r="T719" s="317"/>
      <c r="U719" s="317"/>
      <c r="V719" s="317"/>
      <c r="W719" s="317"/>
      <c r="X719" s="317"/>
      <c r="Y719" s="317"/>
      <c r="Z719" s="317"/>
    </row>
    <row r="720" spans="1:26" x14ac:dyDescent="0.25">
      <c r="A720" s="314"/>
      <c r="B720" s="18">
        <v>2023</v>
      </c>
      <c r="C720" s="18" t="s">
        <v>759</v>
      </c>
      <c r="D720" s="18" t="s">
        <v>741</v>
      </c>
      <c r="E720" s="18" t="s">
        <v>713</v>
      </c>
      <c r="F720" s="18" t="s">
        <v>714</v>
      </c>
      <c r="G720" s="18" t="s">
        <v>673</v>
      </c>
      <c r="H720" s="18" t="s">
        <v>742</v>
      </c>
      <c r="I720" s="315">
        <v>607.34682111165148</v>
      </c>
      <c r="J720" s="315">
        <v>1.0059403463045374E-2</v>
      </c>
      <c r="K720" s="316" t="str">
        <f t="shared" si="34"/>
        <v>Lawn and Garden Equipment</v>
      </c>
      <c r="L720" s="316" t="str">
        <f t="shared" si="35"/>
        <v>Diesel</v>
      </c>
      <c r="M720" s="194"/>
      <c r="N720" s="317"/>
      <c r="O720" s="317"/>
      <c r="P720" s="317"/>
      <c r="Q720" s="317"/>
      <c r="R720" s="317"/>
      <c r="S720" s="317"/>
      <c r="T720" s="317"/>
      <c r="U720" s="317"/>
      <c r="V720" s="317"/>
      <c r="W720" s="317"/>
      <c r="X720" s="317"/>
      <c r="Y720" s="317"/>
      <c r="Z720" s="317"/>
    </row>
    <row r="721" spans="1:26" x14ac:dyDescent="0.25">
      <c r="A721" s="314"/>
      <c r="B721" s="18">
        <v>2023</v>
      </c>
      <c r="C721" s="18" t="s">
        <v>727</v>
      </c>
      <c r="D721" s="18" t="s">
        <v>741</v>
      </c>
      <c r="E721" s="18" t="s">
        <v>713</v>
      </c>
      <c r="F721" s="18" t="s">
        <v>714</v>
      </c>
      <c r="G721" s="18" t="s">
        <v>673</v>
      </c>
      <c r="H721" s="18" t="s">
        <v>742</v>
      </c>
      <c r="I721" s="315">
        <v>607.34682111165148</v>
      </c>
      <c r="J721" s="315">
        <v>1.0059403463045374E-2</v>
      </c>
      <c r="K721" s="316" t="str">
        <f t="shared" si="34"/>
        <v>Lawn and Garden Equipment</v>
      </c>
      <c r="L721" s="316" t="str">
        <f t="shared" si="35"/>
        <v>Diesel</v>
      </c>
      <c r="M721" s="194"/>
      <c r="N721" s="317"/>
      <c r="O721" s="317"/>
      <c r="P721" s="317"/>
      <c r="Q721" s="317"/>
      <c r="R721" s="317"/>
      <c r="S721" s="317"/>
      <c r="T721" s="317"/>
      <c r="U721" s="317"/>
      <c r="V721" s="317"/>
      <c r="W721" s="317"/>
      <c r="X721" s="317"/>
      <c r="Y721" s="317"/>
      <c r="Z721" s="317"/>
    </row>
    <row r="722" spans="1:26" x14ac:dyDescent="0.25">
      <c r="A722" s="314"/>
      <c r="B722" s="18">
        <v>2023</v>
      </c>
      <c r="C722" s="18" t="s">
        <v>711</v>
      </c>
      <c r="D722" s="18" t="s">
        <v>868</v>
      </c>
      <c r="E722" s="18" t="s">
        <v>703</v>
      </c>
      <c r="F722" s="18" t="s">
        <v>704</v>
      </c>
      <c r="G722" s="18" t="s">
        <v>673</v>
      </c>
      <c r="H722" s="18" t="s">
        <v>758</v>
      </c>
      <c r="I722" s="315">
        <v>607.0640407818147</v>
      </c>
      <c r="J722" s="315">
        <v>0.39733983864643857</v>
      </c>
      <c r="K722" s="316" t="str">
        <f t="shared" si="34"/>
        <v>Lawn and Garden Equipment</v>
      </c>
      <c r="L722" s="316" t="str">
        <f t="shared" si="35"/>
        <v>Gasoline</v>
      </c>
      <c r="M722" s="194"/>
      <c r="N722" s="317"/>
      <c r="O722" s="317"/>
      <c r="P722" s="317"/>
      <c r="Q722" s="317"/>
      <c r="R722" s="317"/>
      <c r="S722" s="317"/>
      <c r="T722" s="317"/>
      <c r="U722" s="317"/>
      <c r="V722" s="317"/>
      <c r="W722" s="317"/>
      <c r="X722" s="317"/>
      <c r="Y722" s="317"/>
      <c r="Z722" s="317"/>
    </row>
    <row r="723" spans="1:26" x14ac:dyDescent="0.25">
      <c r="A723" s="314"/>
      <c r="B723" s="18">
        <v>2023</v>
      </c>
      <c r="C723" s="18" t="s">
        <v>710</v>
      </c>
      <c r="D723" s="18" t="s">
        <v>748</v>
      </c>
      <c r="E723" s="18" t="s">
        <v>703</v>
      </c>
      <c r="F723" s="18" t="s">
        <v>704</v>
      </c>
      <c r="G723" s="18" t="s">
        <v>673</v>
      </c>
      <c r="H723" s="18" t="s">
        <v>749</v>
      </c>
      <c r="I723" s="315">
        <v>606.60771035456332</v>
      </c>
      <c r="J723" s="315">
        <v>0.34462401796047143</v>
      </c>
      <c r="K723" s="316" t="str">
        <f t="shared" si="34"/>
        <v>Lawn and Garden Equipment</v>
      </c>
      <c r="L723" s="316" t="str">
        <f t="shared" si="35"/>
        <v>Gasoline</v>
      </c>
      <c r="M723" s="194"/>
      <c r="N723" s="317"/>
      <c r="O723" s="317"/>
      <c r="P723" s="317"/>
      <c r="Q723" s="317"/>
      <c r="R723" s="317"/>
      <c r="S723" s="317"/>
      <c r="T723" s="317"/>
      <c r="U723" s="317"/>
      <c r="V723" s="317"/>
      <c r="W723" s="317"/>
      <c r="X723" s="317"/>
      <c r="Y723" s="317"/>
      <c r="Z723" s="317"/>
    </row>
    <row r="724" spans="1:26" x14ac:dyDescent="0.25">
      <c r="A724" s="314"/>
      <c r="B724" s="18">
        <v>2023</v>
      </c>
      <c r="C724" s="18" t="s">
        <v>701</v>
      </c>
      <c r="D724" s="18" t="s">
        <v>973</v>
      </c>
      <c r="E724" s="18" t="s">
        <v>703</v>
      </c>
      <c r="F724" s="18" t="s">
        <v>795</v>
      </c>
      <c r="G724" s="18" t="s">
        <v>673</v>
      </c>
      <c r="H724" s="18" t="s">
        <v>974</v>
      </c>
      <c r="I724" s="315">
        <v>605.41383224766321</v>
      </c>
      <c r="J724" s="315">
        <v>1.1396572359895654</v>
      </c>
      <c r="K724" s="316" t="str">
        <f t="shared" si="34"/>
        <v>Lawn and Garden Equipment</v>
      </c>
      <c r="L724" s="316" t="str">
        <f t="shared" si="35"/>
        <v>Gasoline</v>
      </c>
      <c r="M724" s="194"/>
      <c r="N724" s="317"/>
      <c r="O724" s="317"/>
      <c r="P724" s="317"/>
      <c r="Q724" s="317"/>
      <c r="R724" s="317"/>
      <c r="S724" s="317"/>
      <c r="T724" s="317"/>
      <c r="U724" s="317"/>
      <c r="V724" s="317"/>
      <c r="W724" s="317"/>
      <c r="X724" s="317"/>
      <c r="Y724" s="317"/>
      <c r="Z724" s="317"/>
    </row>
    <row r="725" spans="1:26" x14ac:dyDescent="0.25">
      <c r="A725" s="314"/>
      <c r="B725" s="18">
        <v>2023</v>
      </c>
      <c r="C725" s="18" t="s">
        <v>701</v>
      </c>
      <c r="D725" s="18" t="s">
        <v>925</v>
      </c>
      <c r="E725" s="18" t="s">
        <v>703</v>
      </c>
      <c r="F725" s="18" t="s">
        <v>704</v>
      </c>
      <c r="G725" s="18" t="s">
        <v>675</v>
      </c>
      <c r="H725" s="18" t="s">
        <v>798</v>
      </c>
      <c r="I725" s="315">
        <v>604.17425451843474</v>
      </c>
      <c r="J725" s="315">
        <v>0.45253539667869391</v>
      </c>
      <c r="K725" s="316" t="str">
        <f t="shared" si="34"/>
        <v>Industrial Equipment</v>
      </c>
      <c r="L725" s="316" t="str">
        <f t="shared" si="35"/>
        <v>Gasoline</v>
      </c>
      <c r="M725" s="194"/>
      <c r="N725" s="317"/>
      <c r="O725" s="317"/>
      <c r="P725" s="317"/>
      <c r="Q725" s="317"/>
      <c r="R725" s="317"/>
      <c r="S725" s="317"/>
      <c r="T725" s="317"/>
      <c r="U725" s="317"/>
      <c r="V725" s="317"/>
      <c r="W725" s="317"/>
      <c r="X725" s="317"/>
      <c r="Y725" s="317"/>
      <c r="Z725" s="317"/>
    </row>
    <row r="726" spans="1:26" x14ac:dyDescent="0.25">
      <c r="A726" s="314"/>
      <c r="B726" s="18">
        <v>2023</v>
      </c>
      <c r="C726" s="18" t="s">
        <v>731</v>
      </c>
      <c r="D726" s="18" t="s">
        <v>741</v>
      </c>
      <c r="E726" s="18" t="s">
        <v>713</v>
      </c>
      <c r="F726" s="18" t="s">
        <v>714</v>
      </c>
      <c r="G726" s="18" t="s">
        <v>673</v>
      </c>
      <c r="H726" s="18" t="s">
        <v>742</v>
      </c>
      <c r="I726" s="315">
        <v>603.57523871047476</v>
      </c>
      <c r="J726" s="315">
        <v>9.9969240281717955E-3</v>
      </c>
      <c r="K726" s="316" t="str">
        <f t="shared" si="34"/>
        <v>Lawn and Garden Equipment</v>
      </c>
      <c r="L726" s="316" t="str">
        <f t="shared" si="35"/>
        <v>Diesel</v>
      </c>
      <c r="M726" s="194"/>
      <c r="N726" s="317"/>
      <c r="O726" s="317"/>
      <c r="P726" s="317"/>
      <c r="Q726" s="317"/>
      <c r="R726" s="317"/>
      <c r="S726" s="317"/>
      <c r="T726" s="317"/>
      <c r="U726" s="317"/>
      <c r="V726" s="317"/>
      <c r="W726" s="317"/>
      <c r="X726" s="317"/>
      <c r="Y726" s="317"/>
      <c r="Z726" s="317"/>
    </row>
    <row r="727" spans="1:26" x14ac:dyDescent="0.25">
      <c r="A727" s="314"/>
      <c r="B727" s="18">
        <v>2023</v>
      </c>
      <c r="C727" s="18" t="s">
        <v>810</v>
      </c>
      <c r="D727" s="18" t="s">
        <v>975</v>
      </c>
      <c r="E727" s="18" t="s">
        <v>703</v>
      </c>
      <c r="F727" s="18" t="s">
        <v>795</v>
      </c>
      <c r="G727" s="18" t="s">
        <v>679</v>
      </c>
      <c r="H727" s="18" t="s">
        <v>976</v>
      </c>
      <c r="I727" s="315">
        <v>602.97094503595815</v>
      </c>
      <c r="J727" s="315">
        <v>0.34539630196439508</v>
      </c>
      <c r="K727" s="316" t="str">
        <f t="shared" si="34"/>
        <v>Recreational Equipment</v>
      </c>
      <c r="L727" s="316" t="str">
        <f t="shared" si="35"/>
        <v>Gasoline</v>
      </c>
      <c r="M727" s="194"/>
      <c r="N727" s="317"/>
      <c r="O727" s="317"/>
      <c r="P727" s="317"/>
      <c r="Q727" s="317"/>
      <c r="R727" s="317"/>
      <c r="S727" s="317"/>
      <c r="T727" s="317"/>
      <c r="U727" s="317"/>
      <c r="V727" s="317"/>
      <c r="W727" s="317"/>
      <c r="X727" s="317"/>
      <c r="Y727" s="317"/>
      <c r="Z727" s="317"/>
    </row>
    <row r="728" spans="1:26" x14ac:dyDescent="0.25">
      <c r="A728" s="314"/>
      <c r="B728" s="18">
        <v>2023</v>
      </c>
      <c r="C728" s="18" t="s">
        <v>754</v>
      </c>
      <c r="D728" s="18" t="s">
        <v>799</v>
      </c>
      <c r="E728" s="18" t="s">
        <v>703</v>
      </c>
      <c r="F728" s="18" t="s">
        <v>795</v>
      </c>
      <c r="G728" s="18" t="s">
        <v>673</v>
      </c>
      <c r="H728" s="18" t="s">
        <v>800</v>
      </c>
      <c r="I728" s="315">
        <v>599.55729634517445</v>
      </c>
      <c r="J728" s="315">
        <v>1.1335962364526215</v>
      </c>
      <c r="K728" s="316" t="str">
        <f t="shared" si="34"/>
        <v>Lawn and Garden Equipment</v>
      </c>
      <c r="L728" s="316" t="str">
        <f t="shared" si="35"/>
        <v>Gasoline</v>
      </c>
      <c r="M728" s="194"/>
      <c r="N728" s="317"/>
      <c r="O728" s="317"/>
      <c r="P728" s="317"/>
      <c r="Q728" s="317"/>
      <c r="R728" s="317"/>
      <c r="S728" s="317"/>
      <c r="T728" s="317"/>
      <c r="U728" s="317"/>
      <c r="V728" s="317"/>
      <c r="W728" s="317"/>
      <c r="X728" s="317"/>
      <c r="Y728" s="317"/>
      <c r="Z728" s="317"/>
    </row>
    <row r="729" spans="1:26" x14ac:dyDescent="0.25">
      <c r="A729" s="314"/>
      <c r="B729" s="18">
        <v>2023</v>
      </c>
      <c r="C729" s="18" t="s">
        <v>732</v>
      </c>
      <c r="D729" s="18" t="s">
        <v>971</v>
      </c>
      <c r="E729" s="18" t="s">
        <v>713</v>
      </c>
      <c r="F729" s="18" t="s">
        <v>714</v>
      </c>
      <c r="G729" s="18" t="s">
        <v>678</v>
      </c>
      <c r="H729" s="18" t="s">
        <v>972</v>
      </c>
      <c r="I729" s="315">
        <v>599.37692073612254</v>
      </c>
      <c r="J729" s="315">
        <v>3.3293400629103593E-3</v>
      </c>
      <c r="K729" s="316" t="str">
        <f t="shared" si="34"/>
        <v>Agricultural Equipment</v>
      </c>
      <c r="L729" s="316" t="str">
        <f t="shared" si="35"/>
        <v>Diesel</v>
      </c>
      <c r="M729" s="194"/>
      <c r="N729" s="317"/>
      <c r="O729" s="317"/>
      <c r="P729" s="317"/>
      <c r="Q729" s="317"/>
      <c r="R729" s="317"/>
      <c r="S729" s="317"/>
      <c r="T729" s="317"/>
      <c r="U729" s="317"/>
      <c r="V729" s="317"/>
      <c r="W729" s="317"/>
      <c r="X729" s="317"/>
      <c r="Y729" s="317"/>
      <c r="Z729" s="317"/>
    </row>
    <row r="730" spans="1:26" x14ac:dyDescent="0.25">
      <c r="A730" s="314"/>
      <c r="B730" s="18">
        <v>2023</v>
      </c>
      <c r="C730" s="18" t="s">
        <v>711</v>
      </c>
      <c r="D730" s="18" t="s">
        <v>920</v>
      </c>
      <c r="E730" s="18" t="s">
        <v>703</v>
      </c>
      <c r="F730" s="18" t="s">
        <v>704</v>
      </c>
      <c r="G730" s="18" t="s">
        <v>673</v>
      </c>
      <c r="H730" s="18" t="s">
        <v>921</v>
      </c>
      <c r="I730" s="315">
        <v>598.99977043264641</v>
      </c>
      <c r="J730" s="315">
        <v>0.37974486795059587</v>
      </c>
      <c r="K730" s="316" t="str">
        <f t="shared" si="34"/>
        <v>Lawn and Garden Equipment</v>
      </c>
      <c r="L730" s="316" t="str">
        <f t="shared" si="35"/>
        <v>Gasoline</v>
      </c>
      <c r="M730" s="194"/>
      <c r="N730" s="317"/>
      <c r="O730" s="317"/>
      <c r="P730" s="317"/>
      <c r="Q730" s="317"/>
      <c r="R730" s="317"/>
      <c r="S730" s="317"/>
      <c r="T730" s="317"/>
      <c r="U730" s="317"/>
      <c r="V730" s="317"/>
      <c r="W730" s="317"/>
      <c r="X730" s="317"/>
      <c r="Y730" s="317"/>
      <c r="Z730" s="317"/>
    </row>
    <row r="731" spans="1:26" x14ac:dyDescent="0.25">
      <c r="A731" s="314"/>
      <c r="B731" s="18">
        <v>2023</v>
      </c>
      <c r="C731" s="18" t="s">
        <v>727</v>
      </c>
      <c r="D731" s="18" t="s">
        <v>761</v>
      </c>
      <c r="E731" s="18" t="s">
        <v>713</v>
      </c>
      <c r="F731" s="18" t="s">
        <v>714</v>
      </c>
      <c r="G731" s="18" t="s">
        <v>677</v>
      </c>
      <c r="H731" s="18" t="s">
        <v>747</v>
      </c>
      <c r="I731" s="315">
        <v>596.87382638292604</v>
      </c>
      <c r="J731" s="315">
        <v>1.5247760888692577E-2</v>
      </c>
      <c r="K731" s="316" t="str">
        <f t="shared" si="34"/>
        <v>Commercial Equipment</v>
      </c>
      <c r="L731" s="316" t="str">
        <f t="shared" si="35"/>
        <v>Diesel</v>
      </c>
      <c r="M731" s="194"/>
      <c r="N731" s="317"/>
      <c r="O731" s="317"/>
      <c r="P731" s="317"/>
      <c r="Q731" s="317"/>
      <c r="R731" s="317"/>
      <c r="S731" s="317"/>
      <c r="T731" s="317"/>
      <c r="U731" s="317"/>
      <c r="V731" s="317"/>
      <c r="W731" s="317"/>
      <c r="X731" s="317"/>
      <c r="Y731" s="317"/>
      <c r="Z731" s="317"/>
    </row>
    <row r="732" spans="1:26" x14ac:dyDescent="0.25">
      <c r="A732" s="314"/>
      <c r="B732" s="18">
        <v>2023</v>
      </c>
      <c r="C732" s="18" t="s">
        <v>711</v>
      </c>
      <c r="D732" s="18" t="s">
        <v>936</v>
      </c>
      <c r="E732" s="18" t="s">
        <v>56</v>
      </c>
      <c r="F732" s="18" t="s">
        <v>672</v>
      </c>
      <c r="G732" s="18" t="s">
        <v>677</v>
      </c>
      <c r="H732" s="18" t="s">
        <v>747</v>
      </c>
      <c r="I732" s="315">
        <v>596.76412325895149</v>
      </c>
      <c r="J732" s="315">
        <v>0.13757580588480195</v>
      </c>
      <c r="K732" s="316" t="str">
        <f t="shared" si="34"/>
        <v>Commercial Equipment</v>
      </c>
      <c r="L732" s="316" t="str">
        <f t="shared" si="35"/>
        <v>LPG</v>
      </c>
      <c r="M732" s="194"/>
      <c r="N732" s="317"/>
      <c r="O732" s="317"/>
      <c r="P732" s="317"/>
      <c r="Q732" s="317"/>
      <c r="R732" s="317"/>
      <c r="S732" s="317"/>
      <c r="T732" s="317"/>
      <c r="U732" s="317"/>
      <c r="V732" s="317"/>
      <c r="W732" s="317"/>
      <c r="X732" s="317"/>
      <c r="Y732" s="317"/>
      <c r="Z732" s="317"/>
    </row>
    <row r="733" spans="1:26" x14ac:dyDescent="0.25">
      <c r="A733" s="314"/>
      <c r="B733" s="18">
        <v>2023</v>
      </c>
      <c r="C733" s="18" t="s">
        <v>753</v>
      </c>
      <c r="D733" s="18" t="s">
        <v>741</v>
      </c>
      <c r="E733" s="18" t="s">
        <v>713</v>
      </c>
      <c r="F733" s="18" t="s">
        <v>714</v>
      </c>
      <c r="G733" s="18" t="s">
        <v>673</v>
      </c>
      <c r="H733" s="18" t="s">
        <v>742</v>
      </c>
      <c r="I733" s="315">
        <v>596.02963890243564</v>
      </c>
      <c r="J733" s="315">
        <v>9.8719611153325788E-3</v>
      </c>
      <c r="K733" s="316" t="str">
        <f t="shared" si="34"/>
        <v>Lawn and Garden Equipment</v>
      </c>
      <c r="L733" s="316" t="str">
        <f t="shared" si="35"/>
        <v>Diesel</v>
      </c>
      <c r="M733" s="194"/>
      <c r="N733" s="317"/>
      <c r="O733" s="317"/>
      <c r="P733" s="317"/>
      <c r="Q733" s="317"/>
      <c r="R733" s="317"/>
      <c r="S733" s="317"/>
      <c r="T733" s="317"/>
      <c r="U733" s="317"/>
      <c r="V733" s="317"/>
      <c r="W733" s="317"/>
      <c r="X733" s="317"/>
      <c r="Y733" s="317"/>
      <c r="Z733" s="317"/>
    </row>
    <row r="734" spans="1:26" x14ac:dyDescent="0.25">
      <c r="A734" s="314"/>
      <c r="B734" s="18">
        <v>2023</v>
      </c>
      <c r="C734" s="18" t="s">
        <v>709</v>
      </c>
      <c r="D734" s="18" t="s">
        <v>898</v>
      </c>
      <c r="E734" s="18" t="s">
        <v>703</v>
      </c>
      <c r="F734" s="18" t="s">
        <v>795</v>
      </c>
      <c r="G734" s="18" t="s">
        <v>673</v>
      </c>
      <c r="H734" s="18" t="s">
        <v>899</v>
      </c>
      <c r="I734" s="315">
        <v>594.19187320104174</v>
      </c>
      <c r="J734" s="315">
        <v>4.0624558166929976</v>
      </c>
      <c r="K734" s="316" t="str">
        <f t="shared" si="34"/>
        <v>Lawn and Garden Equipment</v>
      </c>
      <c r="L734" s="316" t="str">
        <f t="shared" si="35"/>
        <v>Gasoline</v>
      </c>
      <c r="M734" s="194"/>
      <c r="N734" s="317"/>
      <c r="O734" s="317"/>
      <c r="P734" s="317"/>
      <c r="Q734" s="317"/>
      <c r="R734" s="317"/>
      <c r="S734" s="317"/>
      <c r="T734" s="317"/>
      <c r="U734" s="317"/>
      <c r="V734" s="317"/>
      <c r="W734" s="317"/>
      <c r="X734" s="317"/>
      <c r="Y734" s="317"/>
      <c r="Z734" s="317"/>
    </row>
    <row r="735" spans="1:26" x14ac:dyDescent="0.25">
      <c r="A735" s="314"/>
      <c r="B735" s="18">
        <v>2023</v>
      </c>
      <c r="C735" s="18" t="s">
        <v>760</v>
      </c>
      <c r="D735" s="18" t="s">
        <v>839</v>
      </c>
      <c r="E735" s="18" t="s">
        <v>703</v>
      </c>
      <c r="F735" s="18" t="s">
        <v>704</v>
      </c>
      <c r="G735" s="18" t="s">
        <v>675</v>
      </c>
      <c r="H735" s="18" t="s">
        <v>708</v>
      </c>
      <c r="I735" s="315">
        <v>594.12391791334596</v>
      </c>
      <c r="J735" s="315">
        <v>4.0948209282522394E-2</v>
      </c>
      <c r="K735" s="316" t="str">
        <f t="shared" si="34"/>
        <v>Industrial Equipment</v>
      </c>
      <c r="L735" s="316" t="str">
        <f t="shared" si="35"/>
        <v>Gasoline</v>
      </c>
      <c r="M735" s="194"/>
      <c r="N735" s="317"/>
      <c r="O735" s="317"/>
      <c r="P735" s="317"/>
      <c r="Q735" s="317"/>
      <c r="R735" s="317"/>
      <c r="S735" s="317"/>
      <c r="T735" s="317"/>
      <c r="U735" s="317"/>
      <c r="V735" s="317"/>
      <c r="W735" s="317"/>
      <c r="X735" s="317"/>
      <c r="Y735" s="317"/>
      <c r="Z735" s="317"/>
    </row>
    <row r="736" spans="1:26" x14ac:dyDescent="0.25">
      <c r="A736" s="314"/>
      <c r="B736" s="18">
        <v>2023</v>
      </c>
      <c r="C736" s="18" t="s">
        <v>732</v>
      </c>
      <c r="D736" s="18" t="s">
        <v>728</v>
      </c>
      <c r="E736" s="18" t="s">
        <v>703</v>
      </c>
      <c r="F736" s="18" t="s">
        <v>676</v>
      </c>
      <c r="G736" s="18" t="s">
        <v>729</v>
      </c>
      <c r="H736" s="18" t="s">
        <v>730</v>
      </c>
      <c r="I736" s="315">
        <v>590.47673088287524</v>
      </c>
      <c r="J736" s="315">
        <v>0.6685964747759332</v>
      </c>
      <c r="K736" s="316" t="str">
        <f t="shared" si="34"/>
        <v>Pleasure Craft</v>
      </c>
      <c r="L736" s="316" t="str">
        <f t="shared" si="35"/>
        <v>Gasoline</v>
      </c>
      <c r="M736" s="194"/>
      <c r="N736" s="317"/>
      <c r="O736" s="317"/>
      <c r="P736" s="317"/>
      <c r="Q736" s="317"/>
      <c r="R736" s="317"/>
      <c r="S736" s="317"/>
      <c r="T736" s="317"/>
      <c r="U736" s="317"/>
      <c r="V736" s="317"/>
      <c r="W736" s="317"/>
      <c r="X736" s="317"/>
      <c r="Y736" s="317"/>
      <c r="Z736" s="317"/>
    </row>
    <row r="737" spans="1:26" x14ac:dyDescent="0.25">
      <c r="A737" s="314"/>
      <c r="B737" s="18">
        <v>2023</v>
      </c>
      <c r="C737" s="18" t="s">
        <v>722</v>
      </c>
      <c r="D737" s="18" t="s">
        <v>864</v>
      </c>
      <c r="E737" s="18" t="s">
        <v>703</v>
      </c>
      <c r="F737" s="18" t="s">
        <v>704</v>
      </c>
      <c r="G737" s="18" t="s">
        <v>673</v>
      </c>
      <c r="H737" s="18" t="s">
        <v>865</v>
      </c>
      <c r="I737" s="315">
        <v>589.54754684255374</v>
      </c>
      <c r="J737" s="315">
        <v>0.40096210498112361</v>
      </c>
      <c r="K737" s="316" t="str">
        <f t="shared" si="34"/>
        <v>Lawn and Garden Equipment</v>
      </c>
      <c r="L737" s="316" t="str">
        <f t="shared" si="35"/>
        <v>Gasoline</v>
      </c>
      <c r="M737" s="194"/>
      <c r="N737" s="317"/>
      <c r="O737" s="317"/>
      <c r="P737" s="317"/>
      <c r="Q737" s="317"/>
      <c r="R737" s="317"/>
      <c r="S737" s="317"/>
      <c r="T737" s="317"/>
      <c r="U737" s="317"/>
      <c r="V737" s="317"/>
      <c r="W737" s="317"/>
      <c r="X737" s="317"/>
      <c r="Y737" s="317"/>
      <c r="Z737" s="317"/>
    </row>
    <row r="738" spans="1:26" x14ac:dyDescent="0.25">
      <c r="A738" s="314"/>
      <c r="B738" s="18">
        <v>2023</v>
      </c>
      <c r="C738" s="18" t="s">
        <v>706</v>
      </c>
      <c r="D738" s="18" t="s">
        <v>898</v>
      </c>
      <c r="E738" s="18" t="s">
        <v>703</v>
      </c>
      <c r="F738" s="18" t="s">
        <v>795</v>
      </c>
      <c r="G738" s="18" t="s">
        <v>673</v>
      </c>
      <c r="H738" s="18" t="s">
        <v>899</v>
      </c>
      <c r="I738" s="315">
        <v>588.06596548350228</v>
      </c>
      <c r="J738" s="315">
        <v>4.0205710526812046</v>
      </c>
      <c r="K738" s="316" t="str">
        <f t="shared" si="34"/>
        <v>Lawn and Garden Equipment</v>
      </c>
      <c r="L738" s="316" t="str">
        <f t="shared" si="35"/>
        <v>Gasoline</v>
      </c>
      <c r="M738" s="194"/>
      <c r="N738" s="317"/>
      <c r="O738" s="317"/>
      <c r="P738" s="317"/>
      <c r="Q738" s="317"/>
      <c r="R738" s="317"/>
      <c r="S738" s="317"/>
      <c r="T738" s="317"/>
      <c r="U738" s="317"/>
      <c r="V738" s="317"/>
      <c r="W738" s="317"/>
      <c r="X738" s="317"/>
      <c r="Y738" s="317"/>
      <c r="Z738" s="317"/>
    </row>
    <row r="739" spans="1:26" x14ac:dyDescent="0.25">
      <c r="A739" s="314"/>
      <c r="B739" s="18">
        <v>2023</v>
      </c>
      <c r="C739" s="18" t="s">
        <v>773</v>
      </c>
      <c r="D739" s="18" t="s">
        <v>788</v>
      </c>
      <c r="E739" s="18" t="s">
        <v>703</v>
      </c>
      <c r="F739" s="18" t="s">
        <v>704</v>
      </c>
      <c r="G739" s="18" t="s">
        <v>677</v>
      </c>
      <c r="H739" s="18" t="s">
        <v>789</v>
      </c>
      <c r="I739" s="315">
        <v>586.08127711672046</v>
      </c>
      <c r="J739" s="315">
        <v>0.40288564338240701</v>
      </c>
      <c r="K739" s="316" t="str">
        <f t="shared" si="34"/>
        <v>Commercial Equipment</v>
      </c>
      <c r="L739" s="316" t="str">
        <f t="shared" si="35"/>
        <v>Gasoline</v>
      </c>
      <c r="M739" s="194"/>
      <c r="N739" s="317"/>
      <c r="O739" s="317"/>
      <c r="P739" s="317"/>
      <c r="Q739" s="317"/>
      <c r="R739" s="317"/>
      <c r="S739" s="317"/>
      <c r="T739" s="317"/>
      <c r="U739" s="317"/>
      <c r="V739" s="317"/>
      <c r="W739" s="317"/>
      <c r="X739" s="317"/>
      <c r="Y739" s="317"/>
      <c r="Z739" s="317"/>
    </row>
    <row r="740" spans="1:26" x14ac:dyDescent="0.25">
      <c r="A740" s="314"/>
      <c r="B740" s="18">
        <v>2023</v>
      </c>
      <c r="C740" s="18" t="s">
        <v>787</v>
      </c>
      <c r="D740" s="18" t="s">
        <v>776</v>
      </c>
      <c r="E740" s="18" t="s">
        <v>713</v>
      </c>
      <c r="F740" s="18" t="s">
        <v>714</v>
      </c>
      <c r="G740" s="18" t="s">
        <v>674</v>
      </c>
      <c r="H740" s="18" t="s">
        <v>777</v>
      </c>
      <c r="I740" s="315">
        <v>584.17472167796825</v>
      </c>
      <c r="J740" s="315">
        <v>2.3234522888656737E-3</v>
      </c>
      <c r="K740" s="316" t="str">
        <f t="shared" si="34"/>
        <v>Construction and Mining Equipment</v>
      </c>
      <c r="L740" s="316" t="str">
        <f t="shared" si="35"/>
        <v>Diesel</v>
      </c>
      <c r="M740" s="194"/>
      <c r="N740" s="317"/>
      <c r="O740" s="317"/>
      <c r="P740" s="317"/>
      <c r="Q740" s="317"/>
      <c r="R740" s="317"/>
      <c r="S740" s="317"/>
      <c r="T740" s="317"/>
      <c r="U740" s="317"/>
      <c r="V740" s="317"/>
      <c r="W740" s="317"/>
      <c r="X740" s="317"/>
      <c r="Y740" s="317"/>
      <c r="Z740" s="317"/>
    </row>
    <row r="741" spans="1:26" x14ac:dyDescent="0.25">
      <c r="A741" s="314"/>
      <c r="B741" s="18">
        <v>2023</v>
      </c>
      <c r="C741" s="18" t="s">
        <v>711</v>
      </c>
      <c r="D741" s="18" t="s">
        <v>925</v>
      </c>
      <c r="E741" s="18" t="s">
        <v>703</v>
      </c>
      <c r="F741" s="18" t="s">
        <v>704</v>
      </c>
      <c r="G741" s="18" t="s">
        <v>675</v>
      </c>
      <c r="H741" s="18" t="s">
        <v>798</v>
      </c>
      <c r="I741" s="315">
        <v>583.48954150176746</v>
      </c>
      <c r="J741" s="315">
        <v>0.43617749855192212</v>
      </c>
      <c r="K741" s="316" t="str">
        <f t="shared" si="34"/>
        <v>Industrial Equipment</v>
      </c>
      <c r="L741" s="316" t="str">
        <f t="shared" si="35"/>
        <v>Gasoline</v>
      </c>
      <c r="M741" s="194"/>
      <c r="N741" s="317"/>
      <c r="O741" s="317"/>
      <c r="P741" s="317"/>
      <c r="Q741" s="317"/>
      <c r="R741" s="317"/>
      <c r="S741" s="317"/>
      <c r="T741" s="317"/>
      <c r="U741" s="317"/>
      <c r="V741" s="317"/>
      <c r="W741" s="317"/>
      <c r="X741" s="317"/>
      <c r="Y741" s="317"/>
      <c r="Z741" s="317"/>
    </row>
    <row r="742" spans="1:26" x14ac:dyDescent="0.25">
      <c r="A742" s="314"/>
      <c r="B742" s="18">
        <v>2023</v>
      </c>
      <c r="C742" s="18" t="s">
        <v>781</v>
      </c>
      <c r="D742" s="18" t="s">
        <v>752</v>
      </c>
      <c r="E742" s="18" t="s">
        <v>713</v>
      </c>
      <c r="F742" s="18" t="s">
        <v>714</v>
      </c>
      <c r="G742" s="18" t="s">
        <v>675</v>
      </c>
      <c r="H742" s="18" t="s">
        <v>708</v>
      </c>
      <c r="I742" s="315">
        <v>582.18768538809422</v>
      </c>
      <c r="J742" s="315">
        <v>2.9692537084769267E-3</v>
      </c>
      <c r="K742" s="316" t="str">
        <f t="shared" si="34"/>
        <v>Industrial Equipment</v>
      </c>
      <c r="L742" s="316" t="str">
        <f t="shared" si="35"/>
        <v>Diesel</v>
      </c>
      <c r="M742" s="194"/>
      <c r="N742" s="317"/>
      <c r="O742" s="317"/>
      <c r="P742" s="317"/>
      <c r="Q742" s="317"/>
      <c r="R742" s="317"/>
      <c r="S742" s="317"/>
      <c r="T742" s="317"/>
      <c r="U742" s="317"/>
      <c r="V742" s="317"/>
      <c r="W742" s="317"/>
      <c r="X742" s="317"/>
      <c r="Y742" s="317"/>
      <c r="Z742" s="317"/>
    </row>
    <row r="743" spans="1:26" x14ac:dyDescent="0.25">
      <c r="A743" s="314"/>
      <c r="B743" s="18">
        <v>2023</v>
      </c>
      <c r="C743" s="18" t="s">
        <v>701</v>
      </c>
      <c r="D743" s="18" t="s">
        <v>977</v>
      </c>
      <c r="E743" s="18" t="s">
        <v>703</v>
      </c>
      <c r="F743" s="18" t="s">
        <v>805</v>
      </c>
      <c r="G743" s="18" t="s">
        <v>673</v>
      </c>
      <c r="H743" s="18" t="s">
        <v>978</v>
      </c>
      <c r="I743" s="315">
        <v>581.27199979135457</v>
      </c>
      <c r="J743" s="315">
        <v>0.98977742657628331</v>
      </c>
      <c r="K743" s="316" t="str">
        <f t="shared" si="34"/>
        <v>Lawn and Garden Equipment</v>
      </c>
      <c r="L743" s="316" t="str">
        <f t="shared" si="35"/>
        <v>Gasoline</v>
      </c>
      <c r="M743" s="194"/>
      <c r="N743" s="317"/>
      <c r="O743" s="317"/>
      <c r="P743" s="317"/>
      <c r="Q743" s="317"/>
      <c r="R743" s="317"/>
      <c r="S743" s="317"/>
      <c r="T743" s="317"/>
      <c r="U743" s="317"/>
      <c r="V743" s="317"/>
      <c r="W743" s="317"/>
      <c r="X743" s="317"/>
      <c r="Y743" s="317"/>
      <c r="Z743" s="317"/>
    </row>
    <row r="744" spans="1:26" x14ac:dyDescent="0.25">
      <c r="A744" s="314"/>
      <c r="B744" s="18">
        <v>2023</v>
      </c>
      <c r="C744" s="18" t="s">
        <v>732</v>
      </c>
      <c r="D744" s="18" t="s">
        <v>840</v>
      </c>
      <c r="E744" s="18" t="s">
        <v>703</v>
      </c>
      <c r="F744" s="18" t="s">
        <v>704</v>
      </c>
      <c r="G744" s="18" t="s">
        <v>677</v>
      </c>
      <c r="H744" s="18" t="s">
        <v>841</v>
      </c>
      <c r="I744" s="315">
        <v>580.79989087999866</v>
      </c>
      <c r="J744" s="315">
        <v>0.38413452459617076</v>
      </c>
      <c r="K744" s="316" t="str">
        <f t="shared" si="34"/>
        <v>Commercial Equipment</v>
      </c>
      <c r="L744" s="316" t="str">
        <f t="shared" si="35"/>
        <v>Gasoline</v>
      </c>
      <c r="M744" s="194"/>
      <c r="N744" s="317"/>
      <c r="O744" s="317"/>
      <c r="P744" s="317"/>
      <c r="Q744" s="317"/>
      <c r="R744" s="317"/>
      <c r="S744" s="317"/>
      <c r="T744" s="317"/>
      <c r="U744" s="317"/>
      <c r="V744" s="317"/>
      <c r="W744" s="317"/>
      <c r="X744" s="317"/>
      <c r="Y744" s="317"/>
      <c r="Z744" s="317"/>
    </row>
    <row r="745" spans="1:26" x14ac:dyDescent="0.25">
      <c r="A745" s="314"/>
      <c r="B745" s="18">
        <v>2023</v>
      </c>
      <c r="C745" s="18" t="s">
        <v>762</v>
      </c>
      <c r="D745" s="18" t="s">
        <v>723</v>
      </c>
      <c r="E745" s="18" t="s">
        <v>703</v>
      </c>
      <c r="F745" s="18" t="s">
        <v>704</v>
      </c>
      <c r="G745" s="18" t="s">
        <v>673</v>
      </c>
      <c r="H745" s="18" t="s">
        <v>724</v>
      </c>
      <c r="I745" s="315">
        <v>579.77080170021372</v>
      </c>
      <c r="J745" s="315">
        <v>0.38063247959343155</v>
      </c>
      <c r="K745" s="316" t="str">
        <f t="shared" si="34"/>
        <v>Lawn and Garden Equipment</v>
      </c>
      <c r="L745" s="316" t="str">
        <f t="shared" si="35"/>
        <v>Gasoline</v>
      </c>
      <c r="M745" s="194"/>
      <c r="N745" s="317"/>
      <c r="O745" s="317"/>
      <c r="P745" s="317"/>
      <c r="Q745" s="317"/>
      <c r="R745" s="317"/>
      <c r="S745" s="317"/>
      <c r="T745" s="317"/>
      <c r="U745" s="317"/>
      <c r="V745" s="317"/>
      <c r="W745" s="317"/>
      <c r="X745" s="317"/>
      <c r="Y745" s="317"/>
      <c r="Z745" s="317"/>
    </row>
    <row r="746" spans="1:26" x14ac:dyDescent="0.25">
      <c r="A746" s="314"/>
      <c r="B746" s="18">
        <v>2023</v>
      </c>
      <c r="C746" s="18" t="s">
        <v>759</v>
      </c>
      <c r="D746" s="18" t="s">
        <v>716</v>
      </c>
      <c r="E746" s="18" t="s">
        <v>713</v>
      </c>
      <c r="F746" s="18" t="s">
        <v>714</v>
      </c>
      <c r="G746" s="18" t="s">
        <v>675</v>
      </c>
      <c r="H746" s="18" t="s">
        <v>717</v>
      </c>
      <c r="I746" s="315">
        <v>575.95784735091559</v>
      </c>
      <c r="J746" s="315">
        <v>1.1818954776712262E-2</v>
      </c>
      <c r="K746" s="316" t="str">
        <f t="shared" si="34"/>
        <v>Industrial Equipment</v>
      </c>
      <c r="L746" s="316" t="str">
        <f t="shared" si="35"/>
        <v>Diesel</v>
      </c>
      <c r="M746" s="194"/>
      <c r="N746" s="317"/>
      <c r="O746" s="317"/>
      <c r="P746" s="317"/>
      <c r="Q746" s="317"/>
      <c r="R746" s="317"/>
      <c r="S746" s="317"/>
      <c r="T746" s="317"/>
      <c r="U746" s="317"/>
      <c r="V746" s="317"/>
      <c r="W746" s="317"/>
      <c r="X746" s="317"/>
      <c r="Y746" s="317"/>
      <c r="Z746" s="317"/>
    </row>
    <row r="747" spans="1:26" x14ac:dyDescent="0.25">
      <c r="A747" s="314"/>
      <c r="B747" s="18">
        <v>2023</v>
      </c>
      <c r="C747" s="18" t="s">
        <v>710</v>
      </c>
      <c r="D747" s="18" t="s">
        <v>936</v>
      </c>
      <c r="E747" s="18" t="s">
        <v>56</v>
      </c>
      <c r="F747" s="18" t="s">
        <v>672</v>
      </c>
      <c r="G747" s="18" t="s">
        <v>677</v>
      </c>
      <c r="H747" s="18" t="s">
        <v>747</v>
      </c>
      <c r="I747" s="315">
        <v>575.93776544345315</v>
      </c>
      <c r="J747" s="315">
        <v>0.13277433211831341</v>
      </c>
      <c r="K747" s="316" t="str">
        <f t="shared" si="34"/>
        <v>Commercial Equipment</v>
      </c>
      <c r="L747" s="316" t="str">
        <f t="shared" si="35"/>
        <v>LPG</v>
      </c>
      <c r="M747" s="194"/>
      <c r="N747" s="317"/>
      <c r="O747" s="317"/>
      <c r="P747" s="317"/>
      <c r="Q747" s="317"/>
      <c r="R747" s="317"/>
      <c r="S747" s="317"/>
      <c r="T747" s="317"/>
      <c r="U747" s="317"/>
      <c r="V747" s="317"/>
      <c r="W747" s="317"/>
      <c r="X747" s="317"/>
      <c r="Y747" s="317"/>
      <c r="Z747" s="317"/>
    </row>
    <row r="748" spans="1:26" x14ac:dyDescent="0.25">
      <c r="A748" s="314"/>
      <c r="B748" s="18">
        <v>2023</v>
      </c>
      <c r="C748" s="18" t="s">
        <v>762</v>
      </c>
      <c r="D748" s="18" t="s">
        <v>761</v>
      </c>
      <c r="E748" s="18" t="s">
        <v>713</v>
      </c>
      <c r="F748" s="18" t="s">
        <v>714</v>
      </c>
      <c r="G748" s="18" t="s">
        <v>677</v>
      </c>
      <c r="H748" s="18" t="s">
        <v>747</v>
      </c>
      <c r="I748" s="315">
        <v>575.03654217111284</v>
      </c>
      <c r="J748" s="315">
        <v>1.468992510743284E-2</v>
      </c>
      <c r="K748" s="316" t="str">
        <f t="shared" si="34"/>
        <v>Commercial Equipment</v>
      </c>
      <c r="L748" s="316" t="str">
        <f t="shared" si="35"/>
        <v>Diesel</v>
      </c>
      <c r="M748" s="194"/>
      <c r="N748" s="317"/>
      <c r="O748" s="317"/>
      <c r="P748" s="317"/>
      <c r="Q748" s="317"/>
      <c r="R748" s="317"/>
      <c r="S748" s="317"/>
      <c r="T748" s="317"/>
      <c r="U748" s="317"/>
      <c r="V748" s="317"/>
      <c r="W748" s="317"/>
      <c r="X748" s="317"/>
      <c r="Y748" s="317"/>
      <c r="Z748" s="317"/>
    </row>
    <row r="749" spans="1:26" x14ac:dyDescent="0.25">
      <c r="A749" s="314"/>
      <c r="B749" s="18">
        <v>2023</v>
      </c>
      <c r="C749" s="18" t="s">
        <v>810</v>
      </c>
      <c r="D749" s="18" t="s">
        <v>744</v>
      </c>
      <c r="E749" s="18" t="s">
        <v>703</v>
      </c>
      <c r="F749" s="18" t="s">
        <v>704</v>
      </c>
      <c r="G749" s="18" t="s">
        <v>673</v>
      </c>
      <c r="H749" s="18" t="s">
        <v>745</v>
      </c>
      <c r="I749" s="315">
        <v>569.04066860736668</v>
      </c>
      <c r="J749" s="315">
        <v>0.42415250046814496</v>
      </c>
      <c r="K749" s="316" t="str">
        <f t="shared" si="34"/>
        <v>Lawn and Garden Equipment</v>
      </c>
      <c r="L749" s="316" t="str">
        <f t="shared" si="35"/>
        <v>Gasoline</v>
      </c>
      <c r="M749" s="194"/>
      <c r="N749" s="317"/>
      <c r="O749" s="317"/>
      <c r="P749" s="317"/>
      <c r="Q749" s="317"/>
      <c r="R749" s="317"/>
      <c r="S749" s="317"/>
      <c r="T749" s="317"/>
      <c r="U749" s="317"/>
      <c r="V749" s="317"/>
      <c r="W749" s="317"/>
      <c r="X749" s="317"/>
      <c r="Y749" s="317"/>
      <c r="Z749" s="317"/>
    </row>
    <row r="750" spans="1:26" x14ac:dyDescent="0.25">
      <c r="A750" s="314"/>
      <c r="B750" s="18">
        <v>2023</v>
      </c>
      <c r="C750" s="18" t="s">
        <v>759</v>
      </c>
      <c r="D750" s="18" t="s">
        <v>744</v>
      </c>
      <c r="E750" s="18" t="s">
        <v>703</v>
      </c>
      <c r="F750" s="18" t="s">
        <v>704</v>
      </c>
      <c r="G750" s="18" t="s">
        <v>673</v>
      </c>
      <c r="H750" s="18" t="s">
        <v>745</v>
      </c>
      <c r="I750" s="315">
        <v>569.04066860736668</v>
      </c>
      <c r="J750" s="315">
        <v>0.41828362057558982</v>
      </c>
      <c r="K750" s="316" t="str">
        <f t="shared" si="34"/>
        <v>Lawn and Garden Equipment</v>
      </c>
      <c r="L750" s="316" t="str">
        <f t="shared" si="35"/>
        <v>Gasoline</v>
      </c>
      <c r="M750" s="194"/>
      <c r="N750" s="317"/>
      <c r="O750" s="317"/>
      <c r="P750" s="317"/>
      <c r="Q750" s="317"/>
      <c r="R750" s="317"/>
      <c r="S750" s="317"/>
      <c r="T750" s="317"/>
      <c r="U750" s="317"/>
      <c r="V750" s="317"/>
      <c r="W750" s="317"/>
      <c r="X750" s="317"/>
      <c r="Y750" s="317"/>
      <c r="Z750" s="317"/>
    </row>
    <row r="751" spans="1:26" x14ac:dyDescent="0.25">
      <c r="A751" s="314"/>
      <c r="B751" s="18">
        <v>2023</v>
      </c>
      <c r="C751" s="18" t="s">
        <v>727</v>
      </c>
      <c r="D751" s="18" t="s">
        <v>744</v>
      </c>
      <c r="E751" s="18" t="s">
        <v>703</v>
      </c>
      <c r="F751" s="18" t="s">
        <v>704</v>
      </c>
      <c r="G751" s="18" t="s">
        <v>673</v>
      </c>
      <c r="H751" s="18" t="s">
        <v>745</v>
      </c>
      <c r="I751" s="315">
        <v>569.04066860736668</v>
      </c>
      <c r="J751" s="315">
        <v>0.41851221317422965</v>
      </c>
      <c r="K751" s="316" t="str">
        <f t="shared" si="34"/>
        <v>Lawn and Garden Equipment</v>
      </c>
      <c r="L751" s="316" t="str">
        <f t="shared" si="35"/>
        <v>Gasoline</v>
      </c>
      <c r="M751" s="194"/>
      <c r="N751" s="317"/>
      <c r="O751" s="317"/>
      <c r="P751" s="317"/>
      <c r="Q751" s="317"/>
      <c r="R751" s="317"/>
      <c r="S751" s="317"/>
      <c r="T751" s="317"/>
      <c r="U751" s="317"/>
      <c r="V751" s="317"/>
      <c r="W751" s="317"/>
      <c r="X751" s="317"/>
      <c r="Y751" s="317"/>
      <c r="Z751" s="317"/>
    </row>
    <row r="752" spans="1:26" x14ac:dyDescent="0.25">
      <c r="A752" s="314"/>
      <c r="B752" s="18">
        <v>2023</v>
      </c>
      <c r="C752" s="18" t="s">
        <v>706</v>
      </c>
      <c r="D752" s="18" t="s">
        <v>979</v>
      </c>
      <c r="E752" s="18" t="s">
        <v>703</v>
      </c>
      <c r="F752" s="18" t="s">
        <v>704</v>
      </c>
      <c r="G752" s="18" t="s">
        <v>675</v>
      </c>
      <c r="H752" s="18" t="s">
        <v>802</v>
      </c>
      <c r="I752" s="315">
        <v>568.28157735545676</v>
      </c>
      <c r="J752" s="315">
        <v>0.20481791007101507</v>
      </c>
      <c r="K752" s="316" t="str">
        <f t="shared" si="34"/>
        <v>Industrial Equipment</v>
      </c>
      <c r="L752" s="316" t="str">
        <f t="shared" si="35"/>
        <v>Gasoline</v>
      </c>
      <c r="M752" s="194"/>
      <c r="N752" s="317"/>
      <c r="O752" s="317"/>
      <c r="P752" s="317"/>
      <c r="Q752" s="317"/>
      <c r="R752" s="317"/>
      <c r="S752" s="317"/>
      <c r="T752" s="317"/>
      <c r="U752" s="317"/>
      <c r="V752" s="317"/>
      <c r="W752" s="317"/>
      <c r="X752" s="317"/>
      <c r="Y752" s="317"/>
      <c r="Z752" s="317"/>
    </row>
    <row r="753" spans="1:26" x14ac:dyDescent="0.25">
      <c r="A753" s="314"/>
      <c r="B753" s="18">
        <v>2023</v>
      </c>
      <c r="C753" s="18" t="s">
        <v>732</v>
      </c>
      <c r="D753" s="18" t="s">
        <v>846</v>
      </c>
      <c r="E753" s="18" t="s">
        <v>713</v>
      </c>
      <c r="F753" s="18" t="s">
        <v>714</v>
      </c>
      <c r="G753" s="18" t="s">
        <v>677</v>
      </c>
      <c r="H753" s="18" t="s">
        <v>836</v>
      </c>
      <c r="I753" s="315">
        <v>567.09766193818461</v>
      </c>
      <c r="J753" s="315">
        <v>2.1928916362759784E-2</v>
      </c>
      <c r="K753" s="316" t="str">
        <f t="shared" si="34"/>
        <v>Commercial Equipment</v>
      </c>
      <c r="L753" s="316" t="str">
        <f t="shared" si="35"/>
        <v>Diesel</v>
      </c>
      <c r="M753" s="194"/>
      <c r="N753" s="317"/>
      <c r="O753" s="317"/>
      <c r="P753" s="317"/>
      <c r="Q753" s="317"/>
      <c r="R753" s="317"/>
      <c r="S753" s="317"/>
      <c r="T753" s="317"/>
      <c r="U753" s="317"/>
      <c r="V753" s="317"/>
      <c r="W753" s="317"/>
      <c r="X753" s="317"/>
      <c r="Y753" s="317"/>
      <c r="Z753" s="317"/>
    </row>
    <row r="754" spans="1:26" x14ac:dyDescent="0.25">
      <c r="A754" s="314"/>
      <c r="B754" s="18">
        <v>2023</v>
      </c>
      <c r="C754" s="18" t="s">
        <v>754</v>
      </c>
      <c r="D754" s="18" t="s">
        <v>790</v>
      </c>
      <c r="E754" s="18" t="s">
        <v>713</v>
      </c>
      <c r="F754" s="18" t="s">
        <v>714</v>
      </c>
      <c r="G754" s="18" t="s">
        <v>674</v>
      </c>
      <c r="H754" s="18" t="s">
        <v>791</v>
      </c>
      <c r="I754" s="315">
        <v>566.73243202922492</v>
      </c>
      <c r="J754" s="315">
        <v>3.2579312498888942E-3</v>
      </c>
      <c r="K754" s="316" t="str">
        <f t="shared" si="34"/>
        <v>Construction and Mining Equipment</v>
      </c>
      <c r="L754" s="316" t="str">
        <f t="shared" si="35"/>
        <v>Diesel</v>
      </c>
      <c r="M754" s="194"/>
      <c r="N754" s="317"/>
      <c r="O754" s="317"/>
      <c r="P754" s="317"/>
      <c r="Q754" s="317"/>
      <c r="R754" s="317"/>
      <c r="S754" s="317"/>
      <c r="T754" s="317"/>
      <c r="U754" s="317"/>
      <c r="V754" s="317"/>
      <c r="W754" s="317"/>
      <c r="X754" s="317"/>
      <c r="Y754" s="317"/>
      <c r="Z754" s="317"/>
    </row>
    <row r="755" spans="1:26" x14ac:dyDescent="0.25">
      <c r="A755" s="314"/>
      <c r="B755" s="18">
        <v>2023</v>
      </c>
      <c r="C755" s="18" t="s">
        <v>731</v>
      </c>
      <c r="D755" s="18" t="s">
        <v>744</v>
      </c>
      <c r="E755" s="18" t="s">
        <v>703</v>
      </c>
      <c r="F755" s="18" t="s">
        <v>704</v>
      </c>
      <c r="G755" s="18" t="s">
        <v>673</v>
      </c>
      <c r="H755" s="18" t="s">
        <v>745</v>
      </c>
      <c r="I755" s="315">
        <v>565.50648548166714</v>
      </c>
      <c r="J755" s="315">
        <v>0.41609464579229116</v>
      </c>
      <c r="K755" s="316" t="str">
        <f t="shared" si="34"/>
        <v>Lawn and Garden Equipment</v>
      </c>
      <c r="L755" s="316" t="str">
        <f t="shared" si="35"/>
        <v>Gasoline</v>
      </c>
      <c r="M755" s="194"/>
      <c r="N755" s="317"/>
      <c r="O755" s="317"/>
      <c r="P755" s="317"/>
      <c r="Q755" s="317"/>
      <c r="R755" s="317"/>
      <c r="S755" s="317"/>
      <c r="T755" s="317"/>
      <c r="U755" s="317"/>
      <c r="V755" s="317"/>
      <c r="W755" s="317"/>
      <c r="X755" s="317"/>
      <c r="Y755" s="317"/>
      <c r="Z755" s="317"/>
    </row>
    <row r="756" spans="1:26" x14ac:dyDescent="0.25">
      <c r="A756" s="314"/>
      <c r="B756" s="18">
        <v>2023</v>
      </c>
      <c r="C756" s="18" t="s">
        <v>710</v>
      </c>
      <c r="D756" s="18" t="s">
        <v>751</v>
      </c>
      <c r="E756" s="18" t="s">
        <v>713</v>
      </c>
      <c r="F756" s="18" t="s">
        <v>676</v>
      </c>
      <c r="G756" s="18" t="s">
        <v>79</v>
      </c>
      <c r="H756" s="18" t="s">
        <v>740</v>
      </c>
      <c r="I756" s="315">
        <v>563.16877591082641</v>
      </c>
      <c r="J756" s="315">
        <v>2.2103827025208057E-2</v>
      </c>
      <c r="K756" s="316" t="str">
        <f t="shared" si="34"/>
        <v>Pleasure Craft</v>
      </c>
      <c r="L756" s="316" t="str">
        <f t="shared" si="35"/>
        <v>Diesel</v>
      </c>
      <c r="M756" s="194"/>
      <c r="N756" s="317"/>
      <c r="O756" s="317"/>
      <c r="P756" s="317"/>
      <c r="Q756" s="317"/>
      <c r="R756" s="317"/>
      <c r="S756" s="317"/>
      <c r="T756" s="317"/>
      <c r="U756" s="317"/>
      <c r="V756" s="317"/>
      <c r="W756" s="317"/>
      <c r="X756" s="317"/>
      <c r="Y756" s="317"/>
      <c r="Z756" s="317"/>
    </row>
    <row r="757" spans="1:26" x14ac:dyDescent="0.25">
      <c r="A757" s="314"/>
      <c r="B757" s="18">
        <v>2023</v>
      </c>
      <c r="C757" s="18" t="s">
        <v>709</v>
      </c>
      <c r="D757" s="18" t="s">
        <v>958</v>
      </c>
      <c r="E757" s="18" t="s">
        <v>713</v>
      </c>
      <c r="F757" s="18" t="s">
        <v>714</v>
      </c>
      <c r="G757" s="18" t="s">
        <v>674</v>
      </c>
      <c r="H757" s="18" t="s">
        <v>959</v>
      </c>
      <c r="I757" s="315">
        <v>561.10369537300642</v>
      </c>
      <c r="J757" s="315">
        <v>4.9913028362810058E-3</v>
      </c>
      <c r="K757" s="316" t="str">
        <f t="shared" si="34"/>
        <v>Construction and Mining Equipment</v>
      </c>
      <c r="L757" s="316" t="str">
        <f t="shared" si="35"/>
        <v>Diesel</v>
      </c>
      <c r="M757" s="194"/>
      <c r="N757" s="317"/>
      <c r="O757" s="317"/>
      <c r="P757" s="317"/>
      <c r="Q757" s="317"/>
      <c r="R757" s="317"/>
      <c r="S757" s="317"/>
      <c r="T757" s="317"/>
      <c r="U757" s="317"/>
      <c r="V757" s="317"/>
      <c r="W757" s="317"/>
      <c r="X757" s="317"/>
      <c r="Y757" s="317"/>
      <c r="Z757" s="317"/>
    </row>
    <row r="758" spans="1:26" x14ac:dyDescent="0.25">
      <c r="A758" s="314"/>
      <c r="B758" s="18">
        <v>2023</v>
      </c>
      <c r="C758" s="18" t="s">
        <v>706</v>
      </c>
      <c r="D758" s="18" t="s">
        <v>973</v>
      </c>
      <c r="E758" s="18" t="s">
        <v>703</v>
      </c>
      <c r="F758" s="18" t="s">
        <v>795</v>
      </c>
      <c r="G758" s="18" t="s">
        <v>673</v>
      </c>
      <c r="H758" s="18" t="s">
        <v>974</v>
      </c>
      <c r="I758" s="315">
        <v>559.3490803207294</v>
      </c>
      <c r="J758" s="315">
        <v>1.0520735730412667</v>
      </c>
      <c r="K758" s="316" t="str">
        <f t="shared" si="34"/>
        <v>Lawn and Garden Equipment</v>
      </c>
      <c r="L758" s="316" t="str">
        <f t="shared" si="35"/>
        <v>Gasoline</v>
      </c>
      <c r="M758" s="194"/>
      <c r="N758" s="317"/>
      <c r="O758" s="317"/>
      <c r="P758" s="317"/>
      <c r="Q758" s="317"/>
      <c r="R758" s="317"/>
      <c r="S758" s="317"/>
      <c r="T758" s="317"/>
      <c r="U758" s="317"/>
      <c r="V758" s="317"/>
      <c r="W758" s="317"/>
      <c r="X758" s="317"/>
      <c r="Y758" s="317"/>
      <c r="Z758" s="317"/>
    </row>
    <row r="759" spans="1:26" x14ac:dyDescent="0.25">
      <c r="A759" s="314"/>
      <c r="B759" s="18">
        <v>2023</v>
      </c>
      <c r="C759" s="18" t="s">
        <v>760</v>
      </c>
      <c r="D759" s="18" t="s">
        <v>840</v>
      </c>
      <c r="E759" s="18" t="s">
        <v>703</v>
      </c>
      <c r="F759" s="18" t="s">
        <v>704</v>
      </c>
      <c r="G759" s="18" t="s">
        <v>677</v>
      </c>
      <c r="H759" s="18" t="s">
        <v>841</v>
      </c>
      <c r="I759" s="315">
        <v>558.46128540477878</v>
      </c>
      <c r="J759" s="315">
        <v>0.36846594121187309</v>
      </c>
      <c r="K759" s="316" t="str">
        <f t="shared" si="34"/>
        <v>Commercial Equipment</v>
      </c>
      <c r="L759" s="316" t="str">
        <f t="shared" si="35"/>
        <v>Gasoline</v>
      </c>
      <c r="M759" s="194"/>
      <c r="N759" s="317"/>
      <c r="O759" s="317"/>
      <c r="P759" s="317"/>
      <c r="Q759" s="317"/>
      <c r="R759" s="317"/>
      <c r="S759" s="317"/>
      <c r="T759" s="317"/>
      <c r="U759" s="317"/>
      <c r="V759" s="317"/>
      <c r="W759" s="317"/>
      <c r="X759" s="317"/>
      <c r="Y759" s="317"/>
      <c r="Z759" s="317"/>
    </row>
    <row r="760" spans="1:26" x14ac:dyDescent="0.25">
      <c r="A760" s="314"/>
      <c r="B760" s="18">
        <v>2023</v>
      </c>
      <c r="C760" s="18" t="s">
        <v>753</v>
      </c>
      <c r="D760" s="18" t="s">
        <v>744</v>
      </c>
      <c r="E760" s="18" t="s">
        <v>703</v>
      </c>
      <c r="F760" s="18" t="s">
        <v>704</v>
      </c>
      <c r="G760" s="18" t="s">
        <v>673</v>
      </c>
      <c r="H760" s="18" t="s">
        <v>745</v>
      </c>
      <c r="I760" s="315">
        <v>558.43764413409349</v>
      </c>
      <c r="J760" s="315">
        <v>0.41096973365952244</v>
      </c>
      <c r="K760" s="316" t="str">
        <f t="shared" si="34"/>
        <v>Lawn and Garden Equipment</v>
      </c>
      <c r="L760" s="316" t="str">
        <f t="shared" si="35"/>
        <v>Gasoline</v>
      </c>
      <c r="M760" s="194"/>
      <c r="N760" s="317"/>
      <c r="O760" s="317"/>
      <c r="P760" s="317"/>
      <c r="Q760" s="317"/>
      <c r="R760" s="317"/>
      <c r="S760" s="317"/>
      <c r="T760" s="317"/>
      <c r="U760" s="317"/>
      <c r="V760" s="317"/>
      <c r="W760" s="317"/>
      <c r="X760" s="317"/>
      <c r="Y760" s="317"/>
      <c r="Z760" s="317"/>
    </row>
    <row r="761" spans="1:26" x14ac:dyDescent="0.25">
      <c r="A761" s="314"/>
      <c r="B761" s="18">
        <v>2023</v>
      </c>
      <c r="C761" s="18" t="s">
        <v>760</v>
      </c>
      <c r="D761" s="18" t="s">
        <v>855</v>
      </c>
      <c r="E761" s="18" t="s">
        <v>713</v>
      </c>
      <c r="F761" s="18" t="s">
        <v>714</v>
      </c>
      <c r="G761" s="18" t="s">
        <v>674</v>
      </c>
      <c r="H761" s="18" t="s">
        <v>856</v>
      </c>
      <c r="I761" s="315">
        <v>558.15723597819772</v>
      </c>
      <c r="J761" s="315">
        <v>3.5269328493541595E-3</v>
      </c>
      <c r="K761" s="316" t="str">
        <f t="shared" si="34"/>
        <v>Construction and Mining Equipment</v>
      </c>
      <c r="L761" s="316" t="str">
        <f t="shared" si="35"/>
        <v>Diesel</v>
      </c>
      <c r="M761" s="194"/>
      <c r="N761" s="317"/>
      <c r="O761" s="317"/>
      <c r="P761" s="317"/>
      <c r="Q761" s="317"/>
      <c r="R761" s="317"/>
      <c r="S761" s="317"/>
      <c r="T761" s="317"/>
      <c r="U761" s="317"/>
      <c r="V761" s="317"/>
      <c r="W761" s="317"/>
      <c r="X761" s="317"/>
      <c r="Y761" s="317"/>
      <c r="Z761" s="317"/>
    </row>
    <row r="762" spans="1:26" x14ac:dyDescent="0.25">
      <c r="A762" s="314"/>
      <c r="B762" s="18">
        <v>2023</v>
      </c>
      <c r="C762" s="18" t="s">
        <v>792</v>
      </c>
      <c r="D762" s="18" t="s">
        <v>894</v>
      </c>
      <c r="E762" s="18" t="s">
        <v>713</v>
      </c>
      <c r="F762" s="18" t="s">
        <v>714</v>
      </c>
      <c r="G762" s="18" t="s">
        <v>681</v>
      </c>
      <c r="H762" s="18" t="s">
        <v>895</v>
      </c>
      <c r="I762" s="315">
        <v>557.88288722757841</v>
      </c>
      <c r="J762" s="315">
        <v>1.0939882699106326E-3</v>
      </c>
      <c r="K762" s="316" t="str">
        <f t="shared" si="34"/>
        <v>Logging Equipment</v>
      </c>
      <c r="L762" s="316" t="str">
        <f t="shared" si="35"/>
        <v>Diesel</v>
      </c>
      <c r="M762" s="194"/>
      <c r="N762" s="317"/>
      <c r="O762" s="317"/>
      <c r="P762" s="317"/>
      <c r="Q762" s="317"/>
      <c r="R762" s="317"/>
      <c r="S762" s="317"/>
      <c r="T762" s="317"/>
      <c r="U762" s="317"/>
      <c r="V762" s="317"/>
      <c r="W762" s="317"/>
      <c r="X762" s="317"/>
      <c r="Y762" s="317"/>
      <c r="Z762" s="317"/>
    </row>
    <row r="763" spans="1:26" x14ac:dyDescent="0.25">
      <c r="A763" s="314"/>
      <c r="B763" s="18">
        <v>2023</v>
      </c>
      <c r="C763" s="18" t="s">
        <v>762</v>
      </c>
      <c r="D763" s="18" t="s">
        <v>851</v>
      </c>
      <c r="E763" s="18" t="s">
        <v>703</v>
      </c>
      <c r="F763" s="18" t="s">
        <v>704</v>
      </c>
      <c r="G763" s="18" t="s">
        <v>679</v>
      </c>
      <c r="H763" s="18" t="s">
        <v>852</v>
      </c>
      <c r="I763" s="315">
        <v>557.73526459450807</v>
      </c>
      <c r="J763" s="315">
        <v>0.5517856966837188</v>
      </c>
      <c r="K763" s="316" t="str">
        <f t="shared" si="34"/>
        <v>Recreational Equipment</v>
      </c>
      <c r="L763" s="316" t="str">
        <f t="shared" si="35"/>
        <v>Gasoline</v>
      </c>
      <c r="M763" s="194"/>
      <c r="N763" s="317"/>
      <c r="O763" s="317"/>
      <c r="P763" s="317"/>
      <c r="Q763" s="317"/>
      <c r="R763" s="317"/>
      <c r="S763" s="317"/>
      <c r="T763" s="317"/>
      <c r="U763" s="317"/>
      <c r="V763" s="317"/>
      <c r="W763" s="317"/>
      <c r="X763" s="317"/>
      <c r="Y763" s="317"/>
      <c r="Z763" s="317"/>
    </row>
    <row r="764" spans="1:26" x14ac:dyDescent="0.25">
      <c r="A764" s="314"/>
      <c r="B764" s="18">
        <v>2023</v>
      </c>
      <c r="C764" s="18" t="s">
        <v>750</v>
      </c>
      <c r="D764" s="18" t="s">
        <v>851</v>
      </c>
      <c r="E764" s="18" t="s">
        <v>703</v>
      </c>
      <c r="F764" s="18" t="s">
        <v>704</v>
      </c>
      <c r="G764" s="18" t="s">
        <v>679</v>
      </c>
      <c r="H764" s="18" t="s">
        <v>852</v>
      </c>
      <c r="I764" s="315">
        <v>557.73526459450807</v>
      </c>
      <c r="J764" s="315">
        <v>0.55107384726409114</v>
      </c>
      <c r="K764" s="316" t="str">
        <f t="shared" si="34"/>
        <v>Recreational Equipment</v>
      </c>
      <c r="L764" s="316" t="str">
        <f t="shared" si="35"/>
        <v>Gasoline</v>
      </c>
      <c r="M764" s="194"/>
      <c r="N764" s="317"/>
      <c r="O764" s="317"/>
      <c r="P764" s="317"/>
      <c r="Q764" s="317"/>
      <c r="R764" s="317"/>
      <c r="S764" s="317"/>
      <c r="T764" s="317"/>
      <c r="U764" s="317"/>
      <c r="V764" s="317"/>
      <c r="W764" s="317"/>
      <c r="X764" s="317"/>
      <c r="Y764" s="317"/>
      <c r="Z764" s="317"/>
    </row>
    <row r="765" spans="1:26" x14ac:dyDescent="0.25">
      <c r="A765" s="314"/>
      <c r="B765" s="18">
        <v>2023</v>
      </c>
      <c r="C765" s="18" t="s">
        <v>792</v>
      </c>
      <c r="D765" s="18" t="s">
        <v>763</v>
      </c>
      <c r="E765" s="18" t="s">
        <v>713</v>
      </c>
      <c r="F765" s="18" t="s">
        <v>714</v>
      </c>
      <c r="G765" s="18" t="s">
        <v>678</v>
      </c>
      <c r="H765" s="18" t="s">
        <v>764</v>
      </c>
      <c r="I765" s="315">
        <v>557.08631408416318</v>
      </c>
      <c r="J765" s="315">
        <v>6.3067033159050082E-3</v>
      </c>
      <c r="K765" s="316" t="str">
        <f t="shared" si="34"/>
        <v>Agricultural Equipment</v>
      </c>
      <c r="L765" s="316" t="str">
        <f t="shared" si="35"/>
        <v>Diesel</v>
      </c>
      <c r="M765" s="194"/>
      <c r="N765" s="317"/>
      <c r="O765" s="317"/>
      <c r="P765" s="317"/>
      <c r="Q765" s="317"/>
      <c r="R765" s="317"/>
      <c r="S765" s="317"/>
      <c r="T765" s="317"/>
      <c r="U765" s="317"/>
      <c r="V765" s="317"/>
      <c r="W765" s="317"/>
      <c r="X765" s="317"/>
      <c r="Y765" s="317"/>
      <c r="Z765" s="317"/>
    </row>
    <row r="766" spans="1:26" x14ac:dyDescent="0.25">
      <c r="A766" s="314"/>
      <c r="B766" s="18">
        <v>2023</v>
      </c>
      <c r="C766" s="18" t="s">
        <v>722</v>
      </c>
      <c r="D766" s="18" t="s">
        <v>867</v>
      </c>
      <c r="E766" s="18" t="s">
        <v>713</v>
      </c>
      <c r="F766" s="18" t="s">
        <v>714</v>
      </c>
      <c r="G766" s="18" t="s">
        <v>673</v>
      </c>
      <c r="H766" s="18" t="s">
        <v>724</v>
      </c>
      <c r="I766" s="315">
        <v>556.18326758891487</v>
      </c>
      <c r="J766" s="315">
        <v>2.8623223325686731E-2</v>
      </c>
      <c r="K766" s="316" t="str">
        <f t="shared" si="34"/>
        <v>Lawn and Garden Equipment</v>
      </c>
      <c r="L766" s="316" t="str">
        <f t="shared" si="35"/>
        <v>Diesel</v>
      </c>
      <c r="M766" s="194"/>
      <c r="N766" s="317"/>
      <c r="O766" s="317"/>
      <c r="P766" s="317"/>
      <c r="Q766" s="317"/>
      <c r="R766" s="317"/>
      <c r="S766" s="317"/>
      <c r="T766" s="317"/>
      <c r="U766" s="317"/>
      <c r="V766" s="317"/>
      <c r="W766" s="317"/>
      <c r="X766" s="317"/>
      <c r="Y766" s="317"/>
      <c r="Z766" s="317"/>
    </row>
    <row r="767" spans="1:26" x14ac:dyDescent="0.25">
      <c r="A767" s="314"/>
      <c r="B767" s="18">
        <v>2023</v>
      </c>
      <c r="C767" s="18" t="s">
        <v>787</v>
      </c>
      <c r="D767" s="18" t="s">
        <v>774</v>
      </c>
      <c r="E767" s="18" t="s">
        <v>703</v>
      </c>
      <c r="F767" s="18" t="s">
        <v>704</v>
      </c>
      <c r="G767" s="18" t="s">
        <v>673</v>
      </c>
      <c r="H767" s="18" t="s">
        <v>775</v>
      </c>
      <c r="I767" s="315">
        <v>555.9030446213194</v>
      </c>
      <c r="J767" s="315">
        <v>0.38116164383884582</v>
      </c>
      <c r="K767" s="316" t="str">
        <f t="shared" si="34"/>
        <v>Lawn and Garden Equipment</v>
      </c>
      <c r="L767" s="316" t="str">
        <f t="shared" si="35"/>
        <v>Gasoline</v>
      </c>
      <c r="M767" s="194"/>
      <c r="N767" s="317"/>
      <c r="O767" s="317"/>
      <c r="P767" s="317"/>
      <c r="Q767" s="317"/>
      <c r="R767" s="317"/>
      <c r="S767" s="317"/>
      <c r="T767" s="317"/>
      <c r="U767" s="317"/>
      <c r="V767" s="317"/>
      <c r="W767" s="317"/>
      <c r="X767" s="317"/>
      <c r="Y767" s="317"/>
      <c r="Z767" s="317"/>
    </row>
    <row r="768" spans="1:26" x14ac:dyDescent="0.25">
      <c r="A768" s="314"/>
      <c r="B768" s="18">
        <v>2023</v>
      </c>
      <c r="C768" s="18" t="s">
        <v>754</v>
      </c>
      <c r="D768" s="18" t="s">
        <v>797</v>
      </c>
      <c r="E768" s="18" t="s">
        <v>713</v>
      </c>
      <c r="F768" s="18" t="s">
        <v>714</v>
      </c>
      <c r="G768" s="18" t="s">
        <v>675</v>
      </c>
      <c r="H768" s="18" t="s">
        <v>798</v>
      </c>
      <c r="I768" s="315">
        <v>554.50561150312114</v>
      </c>
      <c r="J768" s="315">
        <v>4.6778268275531696E-3</v>
      </c>
      <c r="K768" s="316" t="str">
        <f t="shared" si="34"/>
        <v>Industrial Equipment</v>
      </c>
      <c r="L768" s="316" t="str">
        <f t="shared" si="35"/>
        <v>Diesel</v>
      </c>
      <c r="M768" s="194"/>
      <c r="N768" s="317"/>
      <c r="O768" s="317"/>
      <c r="P768" s="317"/>
      <c r="Q768" s="317"/>
      <c r="R768" s="317"/>
      <c r="S768" s="317"/>
      <c r="T768" s="317"/>
      <c r="U768" s="317"/>
      <c r="V768" s="317"/>
      <c r="W768" s="317"/>
      <c r="X768" s="317"/>
      <c r="Y768" s="317"/>
      <c r="Z768" s="317"/>
    </row>
    <row r="769" spans="1:26" x14ac:dyDescent="0.25">
      <c r="A769" s="314"/>
      <c r="B769" s="18">
        <v>2023</v>
      </c>
      <c r="C769" s="18" t="s">
        <v>792</v>
      </c>
      <c r="D769" s="18" t="s">
        <v>712</v>
      </c>
      <c r="E769" s="18" t="s">
        <v>713</v>
      </c>
      <c r="F769" s="18" t="s">
        <v>714</v>
      </c>
      <c r="G769" s="18" t="s">
        <v>674</v>
      </c>
      <c r="H769" s="18" t="s">
        <v>715</v>
      </c>
      <c r="I769" s="315">
        <v>553.33615841024846</v>
      </c>
      <c r="J769" s="315">
        <v>3.2929997897000484E-3</v>
      </c>
      <c r="K769" s="316" t="str">
        <f t="shared" si="34"/>
        <v>Construction and Mining Equipment</v>
      </c>
      <c r="L769" s="316" t="str">
        <f t="shared" si="35"/>
        <v>Diesel</v>
      </c>
      <c r="M769" s="194"/>
      <c r="N769" s="317"/>
      <c r="O769" s="317"/>
      <c r="P769" s="317"/>
      <c r="Q769" s="317"/>
      <c r="R769" s="317"/>
      <c r="S769" s="317"/>
      <c r="T769" s="317"/>
      <c r="U769" s="317"/>
      <c r="V769" s="317"/>
      <c r="W769" s="317"/>
      <c r="X769" s="317"/>
      <c r="Y769" s="317"/>
      <c r="Z769" s="317"/>
    </row>
    <row r="770" spans="1:26" x14ac:dyDescent="0.25">
      <c r="A770" s="314"/>
      <c r="B770" s="18">
        <v>2023</v>
      </c>
      <c r="C770" s="18" t="s">
        <v>778</v>
      </c>
      <c r="D770" s="18" t="s">
        <v>761</v>
      </c>
      <c r="E770" s="18" t="s">
        <v>713</v>
      </c>
      <c r="F770" s="18" t="s">
        <v>714</v>
      </c>
      <c r="G770" s="18" t="s">
        <v>677</v>
      </c>
      <c r="H770" s="18" t="s">
        <v>747</v>
      </c>
      <c r="I770" s="315">
        <v>553.20001304254743</v>
      </c>
      <c r="J770" s="315">
        <v>1.4132081054969681E-2</v>
      </c>
      <c r="K770" s="316" t="str">
        <f t="shared" si="34"/>
        <v>Commercial Equipment</v>
      </c>
      <c r="L770" s="316" t="str">
        <f t="shared" si="35"/>
        <v>Diesel</v>
      </c>
      <c r="M770" s="194"/>
      <c r="N770" s="317"/>
      <c r="O770" s="317"/>
      <c r="P770" s="317"/>
      <c r="Q770" s="317"/>
      <c r="R770" s="317"/>
      <c r="S770" s="317"/>
      <c r="T770" s="317"/>
      <c r="U770" s="317"/>
      <c r="V770" s="317"/>
      <c r="W770" s="317"/>
      <c r="X770" s="317"/>
      <c r="Y770" s="317"/>
      <c r="Z770" s="317"/>
    </row>
    <row r="771" spans="1:26" x14ac:dyDescent="0.25">
      <c r="A771" s="314"/>
      <c r="B771" s="18">
        <v>2023</v>
      </c>
      <c r="C771" s="18" t="s">
        <v>750</v>
      </c>
      <c r="D771" s="18" t="s">
        <v>774</v>
      </c>
      <c r="E771" s="18" t="s">
        <v>703</v>
      </c>
      <c r="F771" s="18" t="s">
        <v>704</v>
      </c>
      <c r="G771" s="18" t="s">
        <v>673</v>
      </c>
      <c r="H771" s="18" t="s">
        <v>775</v>
      </c>
      <c r="I771" s="315">
        <v>552.31187200084514</v>
      </c>
      <c r="J771" s="315">
        <v>0.3774005089522578</v>
      </c>
      <c r="K771" s="316" t="str">
        <f t="shared" si="34"/>
        <v>Lawn and Garden Equipment</v>
      </c>
      <c r="L771" s="316" t="str">
        <f t="shared" si="35"/>
        <v>Gasoline</v>
      </c>
      <c r="M771" s="194"/>
      <c r="N771" s="317"/>
      <c r="O771" s="317"/>
      <c r="P771" s="317"/>
      <c r="Q771" s="317"/>
      <c r="R771" s="317"/>
      <c r="S771" s="317"/>
      <c r="T771" s="317"/>
      <c r="U771" s="317"/>
      <c r="V771" s="317"/>
      <c r="W771" s="317"/>
      <c r="X771" s="317"/>
      <c r="Y771" s="317"/>
      <c r="Z771" s="317"/>
    </row>
    <row r="772" spans="1:26" x14ac:dyDescent="0.25">
      <c r="A772" s="314"/>
      <c r="B772" s="18">
        <v>2023</v>
      </c>
      <c r="C772" s="18" t="s">
        <v>754</v>
      </c>
      <c r="D772" s="18" t="s">
        <v>803</v>
      </c>
      <c r="E772" s="18" t="s">
        <v>703</v>
      </c>
      <c r="F772" s="18" t="s">
        <v>805</v>
      </c>
      <c r="G772" s="18" t="s">
        <v>673</v>
      </c>
      <c r="H772" s="18" t="s">
        <v>806</v>
      </c>
      <c r="I772" s="315">
        <v>548.90221367700701</v>
      </c>
      <c r="J772" s="315">
        <v>1.0864007112030081</v>
      </c>
      <c r="K772" s="316" t="str">
        <f t="shared" si="34"/>
        <v>Lawn and Garden Equipment</v>
      </c>
      <c r="L772" s="316" t="str">
        <f t="shared" si="35"/>
        <v>Gasoline</v>
      </c>
      <c r="M772" s="194"/>
      <c r="N772" s="317"/>
      <c r="O772" s="317"/>
      <c r="P772" s="317"/>
      <c r="Q772" s="317"/>
      <c r="R772" s="317"/>
      <c r="S772" s="317"/>
      <c r="T772" s="317"/>
      <c r="U772" s="317"/>
      <c r="V772" s="317"/>
      <c r="W772" s="317"/>
      <c r="X772" s="317"/>
      <c r="Y772" s="317"/>
      <c r="Z772" s="317"/>
    </row>
    <row r="773" spans="1:26" x14ac:dyDescent="0.25">
      <c r="A773" s="314"/>
      <c r="B773" s="18">
        <v>2023</v>
      </c>
      <c r="C773" s="18" t="s">
        <v>773</v>
      </c>
      <c r="D773" s="18" t="s">
        <v>774</v>
      </c>
      <c r="E773" s="18" t="s">
        <v>703</v>
      </c>
      <c r="F773" s="18" t="s">
        <v>704</v>
      </c>
      <c r="G773" s="18" t="s">
        <v>673</v>
      </c>
      <c r="H773" s="18" t="s">
        <v>775</v>
      </c>
      <c r="I773" s="315">
        <v>548.79833737062188</v>
      </c>
      <c r="J773" s="315">
        <v>0.37456825604483823</v>
      </c>
      <c r="K773" s="316" t="str">
        <f t="shared" si="34"/>
        <v>Lawn and Garden Equipment</v>
      </c>
      <c r="L773" s="316" t="str">
        <f t="shared" si="35"/>
        <v>Gasoline</v>
      </c>
      <c r="M773" s="194"/>
      <c r="N773" s="317"/>
      <c r="O773" s="317"/>
      <c r="P773" s="317"/>
      <c r="Q773" s="317"/>
      <c r="R773" s="317"/>
      <c r="S773" s="317"/>
      <c r="T773" s="317"/>
      <c r="U773" s="317"/>
      <c r="V773" s="317"/>
      <c r="W773" s="317"/>
      <c r="X773" s="317"/>
      <c r="Y773" s="317"/>
      <c r="Z773" s="317"/>
    </row>
    <row r="774" spans="1:26" x14ac:dyDescent="0.25">
      <c r="A774" s="314"/>
      <c r="B774" s="18">
        <v>2023</v>
      </c>
      <c r="C774" s="18" t="s">
        <v>754</v>
      </c>
      <c r="D774" s="18" t="s">
        <v>801</v>
      </c>
      <c r="E774" s="18" t="s">
        <v>713</v>
      </c>
      <c r="F774" s="18" t="s">
        <v>714</v>
      </c>
      <c r="G774" s="18" t="s">
        <v>675</v>
      </c>
      <c r="H774" s="18" t="s">
        <v>802</v>
      </c>
      <c r="I774" s="315">
        <v>546.72589400037748</v>
      </c>
      <c r="J774" s="315">
        <v>3.6419234556492241E-3</v>
      </c>
      <c r="K774" s="316" t="str">
        <f t="shared" si="34"/>
        <v>Industrial Equipment</v>
      </c>
      <c r="L774" s="316" t="str">
        <f t="shared" si="35"/>
        <v>Diesel</v>
      </c>
      <c r="M774" s="194"/>
      <c r="N774" s="317"/>
      <c r="O774" s="317"/>
      <c r="P774" s="317"/>
      <c r="Q774" s="317"/>
      <c r="R774" s="317"/>
      <c r="S774" s="317"/>
      <c r="T774" s="317"/>
      <c r="U774" s="317"/>
      <c r="V774" s="317"/>
      <c r="W774" s="317"/>
      <c r="X774" s="317"/>
      <c r="Y774" s="317"/>
      <c r="Z774" s="317"/>
    </row>
    <row r="775" spans="1:26" x14ac:dyDescent="0.25">
      <c r="A775" s="314"/>
      <c r="B775" s="18">
        <v>2023</v>
      </c>
      <c r="C775" s="18" t="s">
        <v>750</v>
      </c>
      <c r="D775" s="18" t="s">
        <v>776</v>
      </c>
      <c r="E775" s="18" t="s">
        <v>713</v>
      </c>
      <c r="F775" s="18" t="s">
        <v>714</v>
      </c>
      <c r="G775" s="18" t="s">
        <v>674</v>
      </c>
      <c r="H775" s="18" t="s">
        <v>777</v>
      </c>
      <c r="I775" s="315">
        <v>546.15234709525657</v>
      </c>
      <c r="J775" s="315">
        <v>2.1722260008457677E-3</v>
      </c>
      <c r="K775" s="316" t="str">
        <f t="shared" si="34"/>
        <v>Construction and Mining Equipment</v>
      </c>
      <c r="L775" s="316" t="str">
        <f t="shared" si="35"/>
        <v>Diesel</v>
      </c>
      <c r="M775" s="194"/>
      <c r="N775" s="317"/>
      <c r="O775" s="317"/>
      <c r="P775" s="317"/>
      <c r="Q775" s="317"/>
      <c r="R775" s="317"/>
      <c r="S775" s="317"/>
      <c r="T775" s="317"/>
      <c r="U775" s="317"/>
      <c r="V775" s="317"/>
      <c r="W775" s="317"/>
      <c r="X775" s="317"/>
      <c r="Y775" s="317"/>
      <c r="Z775" s="317"/>
    </row>
    <row r="776" spans="1:26" x14ac:dyDescent="0.25">
      <c r="A776" s="314"/>
      <c r="B776" s="18">
        <v>2023</v>
      </c>
      <c r="C776" s="18" t="s">
        <v>760</v>
      </c>
      <c r="D776" s="18" t="s">
        <v>846</v>
      </c>
      <c r="E776" s="18" t="s">
        <v>713</v>
      </c>
      <c r="F776" s="18" t="s">
        <v>714</v>
      </c>
      <c r="G776" s="18" t="s">
        <v>677</v>
      </c>
      <c r="H776" s="18" t="s">
        <v>836</v>
      </c>
      <c r="I776" s="315">
        <v>545.28565592935354</v>
      </c>
      <c r="J776" s="315">
        <v>2.1085491687785295E-2</v>
      </c>
      <c r="K776" s="316" t="str">
        <f t="shared" si="34"/>
        <v>Commercial Equipment</v>
      </c>
      <c r="L776" s="316" t="str">
        <f t="shared" si="35"/>
        <v>Diesel</v>
      </c>
      <c r="M776" s="194"/>
      <c r="N776" s="317"/>
      <c r="O776" s="317"/>
      <c r="P776" s="317"/>
      <c r="Q776" s="317"/>
      <c r="R776" s="317"/>
      <c r="S776" s="317"/>
      <c r="T776" s="317"/>
      <c r="U776" s="317"/>
      <c r="V776" s="317"/>
      <c r="W776" s="317"/>
      <c r="X776" s="317"/>
      <c r="Y776" s="317"/>
      <c r="Z776" s="317"/>
    </row>
    <row r="777" spans="1:26" x14ac:dyDescent="0.25">
      <c r="A777" s="314"/>
      <c r="B777" s="18">
        <v>2023</v>
      </c>
      <c r="C777" s="18" t="s">
        <v>709</v>
      </c>
      <c r="D777" s="18" t="s">
        <v>973</v>
      </c>
      <c r="E777" s="18" t="s">
        <v>703</v>
      </c>
      <c r="F777" s="18" t="s">
        <v>795</v>
      </c>
      <c r="G777" s="18" t="s">
        <v>673</v>
      </c>
      <c r="H777" s="18" t="s">
        <v>974</v>
      </c>
      <c r="I777" s="315">
        <v>541.9549715970752</v>
      </c>
      <c r="J777" s="315">
        <v>1.0169545175869099</v>
      </c>
      <c r="K777" s="316" t="str">
        <f t="shared" si="34"/>
        <v>Lawn and Garden Equipment</v>
      </c>
      <c r="L777" s="316" t="str">
        <f t="shared" si="35"/>
        <v>Gasoline</v>
      </c>
      <c r="M777" s="194"/>
      <c r="N777" s="317"/>
      <c r="O777" s="317"/>
      <c r="P777" s="317"/>
      <c r="Q777" s="317"/>
      <c r="R777" s="317"/>
      <c r="S777" s="317"/>
      <c r="T777" s="317"/>
      <c r="U777" s="317"/>
      <c r="V777" s="317"/>
      <c r="W777" s="317"/>
      <c r="X777" s="317"/>
      <c r="Y777" s="317"/>
      <c r="Z777" s="317"/>
    </row>
    <row r="778" spans="1:26" x14ac:dyDescent="0.25">
      <c r="A778" s="314"/>
      <c r="B778" s="18">
        <v>2023</v>
      </c>
      <c r="C778" s="18" t="s">
        <v>722</v>
      </c>
      <c r="D778" s="18" t="s">
        <v>936</v>
      </c>
      <c r="E778" s="18" t="s">
        <v>56</v>
      </c>
      <c r="F778" s="18" t="s">
        <v>672</v>
      </c>
      <c r="G778" s="18" t="s">
        <v>677</v>
      </c>
      <c r="H778" s="18" t="s">
        <v>747</v>
      </c>
      <c r="I778" s="315">
        <v>541.52646350731175</v>
      </c>
      <c r="J778" s="315">
        <v>0.12484119521419607</v>
      </c>
      <c r="K778" s="316" t="str">
        <f t="shared" si="34"/>
        <v>Commercial Equipment</v>
      </c>
      <c r="L778" s="316" t="str">
        <f t="shared" si="35"/>
        <v>LPG</v>
      </c>
      <c r="M778" s="194"/>
      <c r="N778" s="317"/>
      <c r="O778" s="317"/>
      <c r="P778" s="317"/>
      <c r="Q778" s="317"/>
      <c r="R778" s="317"/>
      <c r="S778" s="317"/>
      <c r="T778" s="317"/>
      <c r="U778" s="317"/>
      <c r="V778" s="317"/>
      <c r="W778" s="317"/>
      <c r="X778" s="317"/>
      <c r="Y778" s="317"/>
      <c r="Z778" s="317"/>
    </row>
    <row r="779" spans="1:26" ht="12.75" x14ac:dyDescent="0.2">
      <c r="A779" s="230"/>
      <c r="B779" s="18">
        <v>2023</v>
      </c>
      <c r="C779" s="18" t="s">
        <v>787</v>
      </c>
      <c r="D779" s="18" t="s">
        <v>779</v>
      </c>
      <c r="E779" s="18" t="s">
        <v>713</v>
      </c>
      <c r="F779" s="18" t="s">
        <v>714</v>
      </c>
      <c r="G779" s="18" t="s">
        <v>674</v>
      </c>
      <c r="H779" s="18" t="s">
        <v>780</v>
      </c>
      <c r="I779" s="315">
        <v>541.35482371539899</v>
      </c>
      <c r="J779" s="315">
        <v>1.763163924176838E-3</v>
      </c>
      <c r="K779" s="316" t="str">
        <f t="shared" si="34"/>
        <v>Construction and Mining Equipment</v>
      </c>
      <c r="L779" s="316" t="str">
        <f t="shared" si="35"/>
        <v>Diesel</v>
      </c>
      <c r="M779" s="8"/>
      <c r="N779" s="2"/>
      <c r="O779" s="2"/>
      <c r="P779" s="2"/>
      <c r="Q779" s="2"/>
      <c r="R779" s="2"/>
      <c r="S779" s="2"/>
      <c r="T779" s="2"/>
      <c r="U779" s="2"/>
      <c r="V779" s="2"/>
      <c r="W779" s="2"/>
      <c r="X779" s="2"/>
      <c r="Y779" s="2"/>
      <c r="Z779" s="2"/>
    </row>
    <row r="780" spans="1:26" ht="12.75" x14ac:dyDescent="0.2">
      <c r="A780" s="230"/>
      <c r="B780" s="18">
        <v>2023</v>
      </c>
      <c r="C780" s="18" t="s">
        <v>792</v>
      </c>
      <c r="D780" s="18" t="s">
        <v>728</v>
      </c>
      <c r="E780" s="18" t="s">
        <v>703</v>
      </c>
      <c r="F780" s="18" t="s">
        <v>676</v>
      </c>
      <c r="G780" s="18" t="s">
        <v>729</v>
      </c>
      <c r="H780" s="18" t="s">
        <v>730</v>
      </c>
      <c r="I780" s="315">
        <v>541.27046002866098</v>
      </c>
      <c r="J780" s="315">
        <v>0.61287983488528675</v>
      </c>
      <c r="K780" s="316" t="str">
        <f t="shared" si="34"/>
        <v>Pleasure Craft</v>
      </c>
      <c r="L780" s="316" t="str">
        <f t="shared" si="35"/>
        <v>Gasoline</v>
      </c>
      <c r="M780" s="8"/>
      <c r="N780" s="2"/>
      <c r="O780" s="2"/>
      <c r="P780" s="2"/>
      <c r="Q780" s="2"/>
      <c r="R780" s="2"/>
      <c r="S780" s="2"/>
      <c r="T780" s="2"/>
      <c r="U780" s="2"/>
      <c r="V780" s="2"/>
      <c r="W780" s="2"/>
      <c r="X780" s="2"/>
      <c r="Y780" s="2"/>
      <c r="Z780" s="2"/>
    </row>
    <row r="781" spans="1:26" ht="12.75" x14ac:dyDescent="0.2">
      <c r="A781" s="230"/>
      <c r="B781" s="18">
        <v>2023</v>
      </c>
      <c r="C781" s="18" t="s">
        <v>810</v>
      </c>
      <c r="D781" s="18" t="s">
        <v>748</v>
      </c>
      <c r="E781" s="18" t="s">
        <v>703</v>
      </c>
      <c r="F781" s="18" t="s">
        <v>704</v>
      </c>
      <c r="G781" s="18" t="s">
        <v>673</v>
      </c>
      <c r="H781" s="18" t="s">
        <v>749</v>
      </c>
      <c r="I781" s="315">
        <v>539.5788414606709</v>
      </c>
      <c r="J781" s="315">
        <v>0.30983011660676318</v>
      </c>
      <c r="K781" s="316" t="str">
        <f t="shared" si="34"/>
        <v>Lawn and Garden Equipment</v>
      </c>
      <c r="L781" s="316" t="str">
        <f t="shared" si="35"/>
        <v>Gasoline</v>
      </c>
      <c r="M781" s="8"/>
      <c r="N781" s="2"/>
      <c r="O781" s="2"/>
      <c r="P781" s="2"/>
      <c r="Q781" s="2"/>
      <c r="R781" s="2"/>
      <c r="S781" s="2"/>
      <c r="T781" s="2"/>
      <c r="U781" s="2"/>
      <c r="V781" s="2"/>
      <c r="W781" s="2"/>
      <c r="X781" s="2"/>
      <c r="Y781" s="2"/>
      <c r="Z781" s="2"/>
    </row>
    <row r="782" spans="1:26" ht="12.75" x14ac:dyDescent="0.2">
      <c r="A782" s="230"/>
      <c r="B782" s="18">
        <v>2023</v>
      </c>
      <c r="C782" s="18" t="s">
        <v>759</v>
      </c>
      <c r="D782" s="18" t="s">
        <v>748</v>
      </c>
      <c r="E782" s="18" t="s">
        <v>703</v>
      </c>
      <c r="F782" s="18" t="s">
        <v>704</v>
      </c>
      <c r="G782" s="18" t="s">
        <v>673</v>
      </c>
      <c r="H782" s="18" t="s">
        <v>749</v>
      </c>
      <c r="I782" s="315">
        <v>539.5788414606709</v>
      </c>
      <c r="J782" s="315">
        <v>0.30554795664168205</v>
      </c>
      <c r="K782" s="316" t="str">
        <f t="shared" si="34"/>
        <v>Lawn and Garden Equipment</v>
      </c>
      <c r="L782" s="316" t="str">
        <f t="shared" si="35"/>
        <v>Gasoline</v>
      </c>
      <c r="M782" s="8"/>
      <c r="N782" s="2"/>
      <c r="O782" s="2"/>
      <c r="P782" s="2"/>
      <c r="Q782" s="2"/>
      <c r="R782" s="2"/>
      <c r="S782" s="2"/>
      <c r="T782" s="2"/>
      <c r="U782" s="2"/>
      <c r="V782" s="2"/>
      <c r="W782" s="2"/>
      <c r="X782" s="2"/>
      <c r="Y782" s="2"/>
      <c r="Z782" s="2"/>
    </row>
    <row r="783" spans="1:26" ht="12.75" x14ac:dyDescent="0.2">
      <c r="A783" s="230"/>
      <c r="B783" s="18">
        <v>2023</v>
      </c>
      <c r="C783" s="18" t="s">
        <v>727</v>
      </c>
      <c r="D783" s="18" t="s">
        <v>748</v>
      </c>
      <c r="E783" s="18" t="s">
        <v>703</v>
      </c>
      <c r="F783" s="18" t="s">
        <v>704</v>
      </c>
      <c r="G783" s="18" t="s">
        <v>673</v>
      </c>
      <c r="H783" s="18" t="s">
        <v>749</v>
      </c>
      <c r="I783" s="315">
        <v>539.5788414606709</v>
      </c>
      <c r="J783" s="315">
        <v>0.30571496915112001</v>
      </c>
      <c r="K783" s="316" t="str">
        <f t="shared" si="34"/>
        <v>Lawn and Garden Equipment</v>
      </c>
      <c r="L783" s="316" t="str">
        <f t="shared" si="35"/>
        <v>Gasoline</v>
      </c>
      <c r="M783" s="8"/>
      <c r="N783" s="2"/>
      <c r="O783" s="2"/>
      <c r="P783" s="2"/>
      <c r="Q783" s="2"/>
      <c r="R783" s="2"/>
      <c r="S783" s="2"/>
      <c r="T783" s="2"/>
      <c r="U783" s="2"/>
      <c r="V783" s="2"/>
      <c r="W783" s="2"/>
      <c r="X783" s="2"/>
      <c r="Y783" s="2"/>
      <c r="Z783" s="2"/>
    </row>
    <row r="784" spans="1:26" ht="12.75" x14ac:dyDescent="0.2">
      <c r="A784" s="230"/>
      <c r="B784" s="18">
        <v>2023</v>
      </c>
      <c r="C784" s="18" t="s">
        <v>762</v>
      </c>
      <c r="D784" s="18" t="s">
        <v>735</v>
      </c>
      <c r="E784" s="18" t="s">
        <v>713</v>
      </c>
      <c r="F784" s="18" t="s">
        <v>714</v>
      </c>
      <c r="G784" s="18" t="s">
        <v>674</v>
      </c>
      <c r="H784" s="18" t="s">
        <v>736</v>
      </c>
      <c r="I784" s="315">
        <v>538.36430824442664</v>
      </c>
      <c r="J784" s="315">
        <v>1.6102780546182686E-2</v>
      </c>
      <c r="K784" s="316" t="str">
        <f t="shared" si="34"/>
        <v>Construction and Mining Equipment</v>
      </c>
      <c r="L784" s="316" t="str">
        <f t="shared" si="35"/>
        <v>Diesel</v>
      </c>
      <c r="M784" s="8"/>
      <c r="N784" s="2"/>
      <c r="O784" s="2"/>
      <c r="P784" s="2"/>
      <c r="Q784" s="2"/>
      <c r="R784" s="2"/>
      <c r="S784" s="2"/>
      <c r="T784" s="2"/>
      <c r="U784" s="2"/>
      <c r="V784" s="2"/>
      <c r="W784" s="2"/>
      <c r="X784" s="2"/>
      <c r="Y784" s="2"/>
      <c r="Z784" s="2"/>
    </row>
    <row r="785" spans="1:26" ht="12.75" x14ac:dyDescent="0.2">
      <c r="A785" s="230"/>
      <c r="B785" s="18">
        <v>2023</v>
      </c>
      <c r="C785" s="18" t="s">
        <v>711</v>
      </c>
      <c r="D785" s="18" t="s">
        <v>878</v>
      </c>
      <c r="E785" s="18" t="s">
        <v>703</v>
      </c>
      <c r="F785" s="18" t="s">
        <v>704</v>
      </c>
      <c r="G785" s="18" t="s">
        <v>673</v>
      </c>
      <c r="H785" s="18" t="s">
        <v>879</v>
      </c>
      <c r="I785" s="315">
        <v>537.98277404886676</v>
      </c>
      <c r="J785" s="315">
        <v>0.35341668562464862</v>
      </c>
      <c r="K785" s="316" t="str">
        <f t="shared" si="34"/>
        <v>Lawn and Garden Equipment</v>
      </c>
      <c r="L785" s="316" t="str">
        <f t="shared" si="35"/>
        <v>Gasoline</v>
      </c>
      <c r="M785" s="8"/>
      <c r="N785" s="2"/>
      <c r="O785" s="2"/>
      <c r="P785" s="2"/>
      <c r="Q785" s="2"/>
      <c r="R785" s="2"/>
      <c r="S785" s="2"/>
      <c r="T785" s="2"/>
      <c r="U785" s="2"/>
      <c r="V785" s="2"/>
      <c r="W785" s="2"/>
      <c r="X785" s="2"/>
      <c r="Y785" s="2"/>
      <c r="Z785" s="2"/>
    </row>
    <row r="786" spans="1:26" ht="12.75" x14ac:dyDescent="0.2">
      <c r="A786" s="230"/>
      <c r="B786" s="18">
        <v>2023</v>
      </c>
      <c r="C786" s="18" t="s">
        <v>706</v>
      </c>
      <c r="D786" s="18" t="s">
        <v>977</v>
      </c>
      <c r="E786" s="18" t="s">
        <v>703</v>
      </c>
      <c r="F786" s="18" t="s">
        <v>805</v>
      </c>
      <c r="G786" s="18" t="s">
        <v>673</v>
      </c>
      <c r="H786" s="18" t="s">
        <v>978</v>
      </c>
      <c r="I786" s="315">
        <v>537.0439520400223</v>
      </c>
      <c r="J786" s="315">
        <v>0.91446661212766744</v>
      </c>
      <c r="K786" s="316" t="str">
        <f t="shared" si="34"/>
        <v>Lawn and Garden Equipment</v>
      </c>
      <c r="L786" s="316" t="str">
        <f t="shared" si="35"/>
        <v>Gasoline</v>
      </c>
      <c r="M786" s="8"/>
      <c r="N786" s="2"/>
      <c r="O786" s="2"/>
      <c r="P786" s="2"/>
      <c r="Q786" s="2"/>
      <c r="R786" s="2"/>
      <c r="S786" s="2"/>
      <c r="T786" s="2"/>
      <c r="U786" s="2"/>
      <c r="V786" s="2"/>
      <c r="W786" s="2"/>
      <c r="X786" s="2"/>
      <c r="Y786" s="2"/>
      <c r="Z786" s="2"/>
    </row>
    <row r="787" spans="1:26" ht="12.75" x14ac:dyDescent="0.2">
      <c r="A787" s="230"/>
      <c r="B787" s="18">
        <v>2023</v>
      </c>
      <c r="C787" s="18" t="s">
        <v>760</v>
      </c>
      <c r="D787" s="18" t="s">
        <v>858</v>
      </c>
      <c r="E787" s="18" t="s">
        <v>713</v>
      </c>
      <c r="F787" s="18" t="s">
        <v>714</v>
      </c>
      <c r="G787" s="18" t="s">
        <v>674</v>
      </c>
      <c r="H787" s="18" t="s">
        <v>859</v>
      </c>
      <c r="I787" s="315">
        <v>536.94219658059944</v>
      </c>
      <c r="J787" s="315">
        <v>4.7661240160108767E-3</v>
      </c>
      <c r="K787" s="316" t="str">
        <f t="shared" si="34"/>
        <v>Construction and Mining Equipment</v>
      </c>
      <c r="L787" s="316" t="str">
        <f t="shared" si="35"/>
        <v>Diesel</v>
      </c>
      <c r="M787" s="8"/>
      <c r="N787" s="2"/>
      <c r="O787" s="2"/>
      <c r="P787" s="2"/>
      <c r="Q787" s="2"/>
      <c r="R787" s="2"/>
      <c r="S787" s="2"/>
      <c r="T787" s="2"/>
      <c r="U787" s="2"/>
      <c r="V787" s="2"/>
      <c r="W787" s="2"/>
      <c r="X787" s="2"/>
      <c r="Y787" s="2"/>
      <c r="Z787" s="2"/>
    </row>
    <row r="788" spans="1:26" ht="12.75" x14ac:dyDescent="0.2">
      <c r="A788" s="230"/>
      <c r="B788" s="18">
        <v>2023</v>
      </c>
      <c r="C788" s="18" t="s">
        <v>787</v>
      </c>
      <c r="D788" s="18" t="s">
        <v>782</v>
      </c>
      <c r="E788" s="18" t="s">
        <v>713</v>
      </c>
      <c r="F788" s="18" t="s">
        <v>714</v>
      </c>
      <c r="G788" s="18" t="s">
        <v>674</v>
      </c>
      <c r="H788" s="18" t="s">
        <v>783</v>
      </c>
      <c r="I788" s="315">
        <v>536.93289527775789</v>
      </c>
      <c r="J788" s="315">
        <v>5.0973955357106696E-3</v>
      </c>
      <c r="K788" s="316" t="str">
        <f t="shared" si="34"/>
        <v>Construction and Mining Equipment</v>
      </c>
      <c r="L788" s="316" t="str">
        <f t="shared" si="35"/>
        <v>Diesel</v>
      </c>
      <c r="M788" s="8"/>
      <c r="N788" s="2"/>
      <c r="O788" s="2"/>
      <c r="P788" s="2"/>
      <c r="Q788" s="2"/>
      <c r="R788" s="2"/>
      <c r="S788" s="2"/>
      <c r="T788" s="2"/>
      <c r="U788" s="2"/>
      <c r="V788" s="2"/>
      <c r="W788" s="2"/>
      <c r="X788" s="2"/>
      <c r="Y788" s="2"/>
      <c r="Z788" s="2"/>
    </row>
    <row r="789" spans="1:26" ht="12.75" x14ac:dyDescent="0.2">
      <c r="A789" s="230"/>
      <c r="B789" s="18">
        <v>2023</v>
      </c>
      <c r="C789" s="18" t="s">
        <v>731</v>
      </c>
      <c r="D789" s="18" t="s">
        <v>748</v>
      </c>
      <c r="E789" s="18" t="s">
        <v>703</v>
      </c>
      <c r="F789" s="18" t="s">
        <v>704</v>
      </c>
      <c r="G789" s="18" t="s">
        <v>673</v>
      </c>
      <c r="H789" s="18" t="s">
        <v>749</v>
      </c>
      <c r="I789" s="315">
        <v>536.22754170225562</v>
      </c>
      <c r="J789" s="315">
        <v>0.30394833467971322</v>
      </c>
      <c r="K789" s="316" t="str">
        <f t="shared" si="34"/>
        <v>Lawn and Garden Equipment</v>
      </c>
      <c r="L789" s="316" t="str">
        <f t="shared" si="35"/>
        <v>Gasoline</v>
      </c>
      <c r="M789" s="8"/>
      <c r="N789" s="2"/>
      <c r="O789" s="2"/>
      <c r="P789" s="2"/>
      <c r="Q789" s="2"/>
      <c r="R789" s="2"/>
      <c r="S789" s="2"/>
      <c r="T789" s="2"/>
      <c r="U789" s="2"/>
      <c r="V789" s="2"/>
      <c r="W789" s="2"/>
      <c r="X789" s="2"/>
      <c r="Y789" s="2"/>
      <c r="Z789" s="2"/>
    </row>
    <row r="790" spans="1:26" ht="12.75" x14ac:dyDescent="0.2">
      <c r="A790" s="230"/>
      <c r="B790" s="18">
        <v>2023</v>
      </c>
      <c r="C790" s="18" t="s">
        <v>706</v>
      </c>
      <c r="D790" s="18" t="s">
        <v>980</v>
      </c>
      <c r="E790" s="18" t="s">
        <v>713</v>
      </c>
      <c r="F790" s="18" t="s">
        <v>714</v>
      </c>
      <c r="G790" s="18" t="s">
        <v>674</v>
      </c>
      <c r="H790" s="18" t="s">
        <v>981</v>
      </c>
      <c r="I790" s="315">
        <v>532.47899209592094</v>
      </c>
      <c r="J790" s="315">
        <v>2.3372856537692891E-2</v>
      </c>
      <c r="K790" s="316" t="str">
        <f t="shared" si="34"/>
        <v>Construction and Mining Equipment</v>
      </c>
      <c r="L790" s="316" t="str">
        <f t="shared" si="35"/>
        <v>Diesel</v>
      </c>
      <c r="M790" s="8"/>
      <c r="N790" s="2"/>
      <c r="O790" s="2"/>
      <c r="P790" s="2"/>
      <c r="Q790" s="2"/>
      <c r="R790" s="2"/>
      <c r="S790" s="2"/>
      <c r="T790" s="2"/>
      <c r="U790" s="2"/>
      <c r="V790" s="2"/>
      <c r="W790" s="2"/>
      <c r="X790" s="2"/>
      <c r="Y790" s="2"/>
      <c r="Z790" s="2"/>
    </row>
    <row r="791" spans="1:26" ht="12.75" x14ac:dyDescent="0.2">
      <c r="A791" s="230"/>
      <c r="B791" s="18">
        <v>2023</v>
      </c>
      <c r="C791" s="18" t="s">
        <v>711</v>
      </c>
      <c r="D791" s="18" t="s">
        <v>882</v>
      </c>
      <c r="E791" s="18" t="s">
        <v>713</v>
      </c>
      <c r="F791" s="18" t="s">
        <v>714</v>
      </c>
      <c r="G791" s="18" t="s">
        <v>673</v>
      </c>
      <c r="H791" s="18" t="s">
        <v>705</v>
      </c>
      <c r="I791" s="315">
        <v>532.27154151645016</v>
      </c>
      <c r="J791" s="315">
        <v>8.9334305413731954E-3</v>
      </c>
      <c r="K791" s="316" t="str">
        <f t="shared" si="34"/>
        <v>Lawn and Garden Equipment</v>
      </c>
      <c r="L791" s="316" t="str">
        <f t="shared" si="35"/>
        <v>Diesel</v>
      </c>
      <c r="M791" s="8"/>
      <c r="N791" s="2"/>
      <c r="O791" s="2"/>
      <c r="P791" s="2"/>
      <c r="Q791" s="2"/>
      <c r="R791" s="2"/>
      <c r="S791" s="2"/>
      <c r="T791" s="2"/>
      <c r="U791" s="2"/>
      <c r="V791" s="2"/>
      <c r="W791" s="2"/>
      <c r="X791" s="2"/>
      <c r="Y791" s="2"/>
      <c r="Z791" s="2"/>
    </row>
    <row r="792" spans="1:26" ht="12.75" x14ac:dyDescent="0.2">
      <c r="A792" s="230"/>
      <c r="B792" s="18">
        <v>2023</v>
      </c>
      <c r="C792" s="18" t="s">
        <v>781</v>
      </c>
      <c r="D792" s="18" t="s">
        <v>702</v>
      </c>
      <c r="E792" s="18" t="s">
        <v>703</v>
      </c>
      <c r="F792" s="18" t="s">
        <v>704</v>
      </c>
      <c r="G792" s="18" t="s">
        <v>673</v>
      </c>
      <c r="H792" s="18" t="s">
        <v>705</v>
      </c>
      <c r="I792" s="315">
        <v>531.89713376351551</v>
      </c>
      <c r="J792" s="315">
        <v>0.33465468740119464</v>
      </c>
      <c r="K792" s="316" t="str">
        <f t="shared" si="34"/>
        <v>Lawn and Garden Equipment</v>
      </c>
      <c r="L792" s="316" t="str">
        <f t="shared" si="35"/>
        <v>Gasoline</v>
      </c>
      <c r="M792" s="8"/>
      <c r="N792" s="2"/>
      <c r="O792" s="2"/>
      <c r="P792" s="2"/>
      <c r="Q792" s="2"/>
      <c r="R792" s="2"/>
      <c r="S792" s="2"/>
      <c r="T792" s="2"/>
      <c r="U792" s="2"/>
      <c r="V792" s="2"/>
      <c r="W792" s="2"/>
      <c r="X792" s="2"/>
      <c r="Y792" s="2"/>
      <c r="Z792" s="2"/>
    </row>
    <row r="793" spans="1:26" ht="12.75" x14ac:dyDescent="0.2">
      <c r="A793" s="230"/>
      <c r="B793" s="18">
        <v>2023</v>
      </c>
      <c r="C793" s="18" t="s">
        <v>753</v>
      </c>
      <c r="D793" s="18" t="s">
        <v>748</v>
      </c>
      <c r="E793" s="18" t="s">
        <v>703</v>
      </c>
      <c r="F793" s="18" t="s">
        <v>704</v>
      </c>
      <c r="G793" s="18" t="s">
        <v>673</v>
      </c>
      <c r="H793" s="18" t="s">
        <v>749</v>
      </c>
      <c r="I793" s="315">
        <v>529.52528941348805</v>
      </c>
      <c r="J793" s="315">
        <v>0.30020494156229988</v>
      </c>
      <c r="K793" s="316" t="str">
        <f t="shared" si="34"/>
        <v>Lawn and Garden Equipment</v>
      </c>
      <c r="L793" s="316" t="str">
        <f t="shared" si="35"/>
        <v>Gasoline</v>
      </c>
      <c r="M793" s="8"/>
      <c r="N793" s="2"/>
      <c r="O793" s="2"/>
      <c r="P793" s="2"/>
      <c r="Q793" s="2"/>
      <c r="R793" s="2"/>
      <c r="S793" s="2"/>
      <c r="T793" s="2"/>
      <c r="U793" s="2"/>
      <c r="V793" s="2"/>
      <c r="W793" s="2"/>
      <c r="X793" s="2"/>
      <c r="Y793" s="2"/>
      <c r="Z793" s="2"/>
    </row>
    <row r="794" spans="1:26" ht="12.75" x14ac:dyDescent="0.2">
      <c r="A794" s="230"/>
      <c r="B794" s="18">
        <v>2023</v>
      </c>
      <c r="C794" s="18" t="s">
        <v>760</v>
      </c>
      <c r="D794" s="18" t="s">
        <v>860</v>
      </c>
      <c r="E794" s="18" t="s">
        <v>713</v>
      </c>
      <c r="F794" s="18" t="s">
        <v>714</v>
      </c>
      <c r="G794" s="18" t="s">
        <v>674</v>
      </c>
      <c r="H794" s="18" t="s">
        <v>861</v>
      </c>
      <c r="I794" s="315">
        <v>525.27416742040873</v>
      </c>
      <c r="J794" s="315">
        <v>8.7054556138759995E-3</v>
      </c>
      <c r="K794" s="316" t="str">
        <f t="shared" si="34"/>
        <v>Construction and Mining Equipment</v>
      </c>
      <c r="L794" s="316" t="str">
        <f t="shared" si="35"/>
        <v>Diesel</v>
      </c>
      <c r="M794" s="8"/>
      <c r="N794" s="2"/>
      <c r="O794" s="2"/>
      <c r="P794" s="2"/>
      <c r="Q794" s="2"/>
      <c r="R794" s="2"/>
      <c r="S794" s="2"/>
      <c r="T794" s="2"/>
      <c r="U794" s="2"/>
      <c r="V794" s="2"/>
      <c r="W794" s="2"/>
      <c r="X794" s="2"/>
      <c r="Y794" s="2"/>
      <c r="Z794" s="2"/>
    </row>
    <row r="795" spans="1:26" ht="12.75" x14ac:dyDescent="0.2">
      <c r="A795" s="230"/>
      <c r="B795" s="18">
        <v>2023</v>
      </c>
      <c r="C795" s="18" t="s">
        <v>793</v>
      </c>
      <c r="D795" s="18" t="s">
        <v>723</v>
      </c>
      <c r="E795" s="18" t="s">
        <v>703</v>
      </c>
      <c r="F795" s="18" t="s">
        <v>704</v>
      </c>
      <c r="G795" s="18" t="s">
        <v>673</v>
      </c>
      <c r="H795" s="18" t="s">
        <v>724</v>
      </c>
      <c r="I795" s="315">
        <v>524.84489873584073</v>
      </c>
      <c r="J795" s="315">
        <v>0.34428180612379622</v>
      </c>
      <c r="K795" s="316" t="str">
        <f t="shared" si="34"/>
        <v>Lawn and Garden Equipment</v>
      </c>
      <c r="L795" s="316" t="str">
        <f t="shared" si="35"/>
        <v>Gasoline</v>
      </c>
      <c r="M795" s="8"/>
      <c r="N795" s="2"/>
      <c r="O795" s="2"/>
      <c r="P795" s="2"/>
      <c r="Q795" s="2"/>
      <c r="R795" s="2"/>
      <c r="S795" s="2"/>
      <c r="T795" s="2"/>
      <c r="U795" s="2"/>
      <c r="V795" s="2"/>
      <c r="W795" s="2"/>
      <c r="X795" s="2"/>
      <c r="Y795" s="2"/>
      <c r="Z795" s="2"/>
    </row>
    <row r="796" spans="1:26" ht="12.75" x14ac:dyDescent="0.2">
      <c r="A796" s="230"/>
      <c r="B796" s="18">
        <v>2023</v>
      </c>
      <c r="C796" s="18" t="s">
        <v>760</v>
      </c>
      <c r="D796" s="18" t="s">
        <v>848</v>
      </c>
      <c r="E796" s="18" t="s">
        <v>56</v>
      </c>
      <c r="F796" s="18" t="s">
        <v>601</v>
      </c>
      <c r="G796" s="18" t="s">
        <v>675</v>
      </c>
      <c r="H796" s="18" t="s">
        <v>708</v>
      </c>
      <c r="I796" s="315">
        <v>521.51535860270315</v>
      </c>
      <c r="J796" s="315">
        <v>2.0747134498666684</v>
      </c>
      <c r="K796" s="316" t="str">
        <f t="shared" si="34"/>
        <v>Industrial Equipment</v>
      </c>
      <c r="L796" s="316" t="str">
        <f t="shared" si="35"/>
        <v>CNG</v>
      </c>
      <c r="M796" s="8"/>
      <c r="N796" s="2"/>
      <c r="O796" s="2"/>
      <c r="P796" s="2"/>
      <c r="Q796" s="2"/>
      <c r="R796" s="2"/>
      <c r="S796" s="2"/>
      <c r="T796" s="2"/>
      <c r="U796" s="2"/>
      <c r="V796" s="2"/>
      <c r="W796" s="2"/>
      <c r="X796" s="2"/>
      <c r="Y796" s="2"/>
      <c r="Z796" s="2"/>
    </row>
    <row r="797" spans="1:26" ht="12.75" x14ac:dyDescent="0.2">
      <c r="A797" s="230"/>
      <c r="B797" s="18">
        <v>2023</v>
      </c>
      <c r="C797" s="18" t="s">
        <v>709</v>
      </c>
      <c r="D797" s="18" t="s">
        <v>977</v>
      </c>
      <c r="E797" s="18" t="s">
        <v>703</v>
      </c>
      <c r="F797" s="18" t="s">
        <v>805</v>
      </c>
      <c r="G797" s="18" t="s">
        <v>673</v>
      </c>
      <c r="H797" s="18" t="s">
        <v>978</v>
      </c>
      <c r="I797" s="315">
        <v>520.34402937597929</v>
      </c>
      <c r="J797" s="315">
        <v>0.88603007339108752</v>
      </c>
      <c r="K797" s="316" t="str">
        <f t="shared" si="34"/>
        <v>Lawn and Garden Equipment</v>
      </c>
      <c r="L797" s="316" t="str">
        <f t="shared" si="35"/>
        <v>Gasoline</v>
      </c>
      <c r="M797" s="8"/>
      <c r="N797" s="2"/>
      <c r="O797" s="2"/>
      <c r="P797" s="2"/>
      <c r="Q797" s="2"/>
      <c r="R797" s="2"/>
      <c r="S797" s="2"/>
      <c r="T797" s="2"/>
      <c r="U797" s="2"/>
      <c r="V797" s="2"/>
      <c r="W797" s="2"/>
      <c r="X797" s="2"/>
      <c r="Y797" s="2"/>
      <c r="Z797" s="2"/>
    </row>
    <row r="798" spans="1:26" ht="12.75" x14ac:dyDescent="0.2">
      <c r="A798" s="230"/>
      <c r="B798" s="18">
        <v>2023</v>
      </c>
      <c r="C798" s="18" t="s">
        <v>727</v>
      </c>
      <c r="D798" s="18" t="s">
        <v>769</v>
      </c>
      <c r="E798" s="18" t="s">
        <v>713</v>
      </c>
      <c r="F798" s="18" t="s">
        <v>714</v>
      </c>
      <c r="G798" s="18" t="s">
        <v>674</v>
      </c>
      <c r="H798" s="18" t="s">
        <v>770</v>
      </c>
      <c r="I798" s="315">
        <v>519.96272556348322</v>
      </c>
      <c r="J798" s="315">
        <v>4.1692368206135396E-3</v>
      </c>
      <c r="K798" s="316" t="str">
        <f t="shared" si="34"/>
        <v>Construction and Mining Equipment</v>
      </c>
      <c r="L798" s="316" t="str">
        <f t="shared" si="35"/>
        <v>Diesel</v>
      </c>
      <c r="M798" s="8"/>
      <c r="N798" s="2"/>
      <c r="O798" s="2"/>
      <c r="P798" s="2"/>
      <c r="Q798" s="2"/>
      <c r="R798" s="2"/>
      <c r="S798" s="2"/>
      <c r="T798" s="2"/>
      <c r="U798" s="2"/>
      <c r="V798" s="2"/>
      <c r="W798" s="2"/>
      <c r="X798" s="2"/>
      <c r="Y798" s="2"/>
      <c r="Z798" s="2"/>
    </row>
    <row r="799" spans="1:26" ht="12.75" x14ac:dyDescent="0.2">
      <c r="A799" s="230"/>
      <c r="B799" s="18">
        <v>2023</v>
      </c>
      <c r="C799" s="18" t="s">
        <v>710</v>
      </c>
      <c r="D799" s="18" t="s">
        <v>973</v>
      </c>
      <c r="E799" s="18" t="s">
        <v>703</v>
      </c>
      <c r="F799" s="18" t="s">
        <v>795</v>
      </c>
      <c r="G799" s="18" t="s">
        <v>673</v>
      </c>
      <c r="H799" s="18" t="s">
        <v>974</v>
      </c>
      <c r="I799" s="315">
        <v>519.74010277112905</v>
      </c>
      <c r="J799" s="315">
        <v>0.97580165007067632</v>
      </c>
      <c r="K799" s="316" t="str">
        <f t="shared" si="34"/>
        <v>Lawn and Garden Equipment</v>
      </c>
      <c r="L799" s="316" t="str">
        <f t="shared" si="35"/>
        <v>Gasoline</v>
      </c>
      <c r="M799" s="8"/>
      <c r="N799" s="2"/>
      <c r="O799" s="2"/>
      <c r="P799" s="2"/>
      <c r="Q799" s="2"/>
      <c r="R799" s="2"/>
      <c r="S799" s="2"/>
      <c r="T799" s="2"/>
      <c r="U799" s="2"/>
      <c r="V799" s="2"/>
      <c r="W799" s="2"/>
      <c r="X799" s="2"/>
      <c r="Y799" s="2"/>
      <c r="Z799" s="2"/>
    </row>
    <row r="800" spans="1:26" ht="12.75" x14ac:dyDescent="0.2">
      <c r="A800" s="230"/>
      <c r="B800" s="18">
        <v>2023</v>
      </c>
      <c r="C800" s="18" t="s">
        <v>787</v>
      </c>
      <c r="D800" s="18" t="s">
        <v>982</v>
      </c>
      <c r="E800" s="18" t="s">
        <v>703</v>
      </c>
      <c r="F800" s="18" t="s">
        <v>805</v>
      </c>
      <c r="G800" s="18" t="s">
        <v>679</v>
      </c>
      <c r="H800" s="18" t="s">
        <v>983</v>
      </c>
      <c r="I800" s="315">
        <v>519.31661350476418</v>
      </c>
      <c r="J800" s="315">
        <v>1.5935979175800665</v>
      </c>
      <c r="K800" s="316" t="str">
        <f t="shared" si="34"/>
        <v>Recreational Equipment</v>
      </c>
      <c r="L800" s="316" t="str">
        <f t="shared" si="35"/>
        <v>Gasoline</v>
      </c>
      <c r="M800" s="8"/>
      <c r="N800" s="2"/>
      <c r="O800" s="2"/>
      <c r="P800" s="2"/>
      <c r="Q800" s="2"/>
      <c r="R800" s="2"/>
      <c r="S800" s="2"/>
      <c r="T800" s="2"/>
      <c r="U800" s="2"/>
      <c r="V800" s="2"/>
      <c r="W800" s="2"/>
      <c r="X800" s="2"/>
      <c r="Y800" s="2"/>
      <c r="Z800" s="2"/>
    </row>
    <row r="801" spans="1:26" ht="12.75" x14ac:dyDescent="0.2">
      <c r="A801" s="230"/>
      <c r="B801" s="18">
        <v>2023</v>
      </c>
      <c r="C801" s="18" t="s">
        <v>710</v>
      </c>
      <c r="D801" s="18" t="s">
        <v>968</v>
      </c>
      <c r="E801" s="18" t="s">
        <v>703</v>
      </c>
      <c r="F801" s="18" t="s">
        <v>704</v>
      </c>
      <c r="G801" s="18" t="s">
        <v>675</v>
      </c>
      <c r="H801" s="18" t="s">
        <v>969</v>
      </c>
      <c r="I801" s="315">
        <v>517.29098198896088</v>
      </c>
      <c r="J801" s="315">
        <v>0.16544339338977043</v>
      </c>
      <c r="K801" s="316" t="str">
        <f t="shared" si="34"/>
        <v>Industrial Equipment</v>
      </c>
      <c r="L801" s="316" t="str">
        <f t="shared" si="35"/>
        <v>Gasoline</v>
      </c>
      <c r="M801" s="8"/>
      <c r="N801" s="2"/>
      <c r="O801" s="2"/>
      <c r="P801" s="2"/>
      <c r="Q801" s="2"/>
      <c r="R801" s="2"/>
      <c r="S801" s="2"/>
      <c r="T801" s="2"/>
      <c r="U801" s="2"/>
      <c r="V801" s="2"/>
      <c r="W801" s="2"/>
      <c r="X801" s="2"/>
      <c r="Y801" s="2"/>
      <c r="Z801" s="2"/>
    </row>
    <row r="802" spans="1:26" ht="12.75" x14ac:dyDescent="0.2">
      <c r="A802" s="230"/>
      <c r="B802" s="18">
        <v>2023</v>
      </c>
      <c r="C802" s="18" t="s">
        <v>760</v>
      </c>
      <c r="D802" s="18" t="s">
        <v>862</v>
      </c>
      <c r="E802" s="18" t="s">
        <v>713</v>
      </c>
      <c r="F802" s="18" t="s">
        <v>714</v>
      </c>
      <c r="G802" s="18" t="s">
        <v>674</v>
      </c>
      <c r="H802" s="18" t="s">
        <v>863</v>
      </c>
      <c r="I802" s="315">
        <v>514.8250542662347</v>
      </c>
      <c r="J802" s="315">
        <v>3.7140787966843591E-3</v>
      </c>
      <c r="K802" s="316" t="str">
        <f t="shared" si="34"/>
        <v>Construction and Mining Equipment</v>
      </c>
      <c r="L802" s="316" t="str">
        <f t="shared" si="35"/>
        <v>Diesel</v>
      </c>
      <c r="M802" s="8"/>
      <c r="N802" s="2"/>
      <c r="O802" s="2"/>
      <c r="P802" s="2"/>
      <c r="Q802" s="2"/>
      <c r="R802" s="2"/>
      <c r="S802" s="2"/>
      <c r="T802" s="2"/>
      <c r="U802" s="2"/>
      <c r="V802" s="2"/>
      <c r="W802" s="2"/>
      <c r="X802" s="2"/>
      <c r="Y802" s="2"/>
      <c r="Z802" s="2"/>
    </row>
    <row r="803" spans="1:26" ht="12.75" x14ac:dyDescent="0.2">
      <c r="A803" s="230"/>
      <c r="B803" s="18">
        <v>2023</v>
      </c>
      <c r="C803" s="18" t="s">
        <v>731</v>
      </c>
      <c r="D803" s="18" t="s">
        <v>712</v>
      </c>
      <c r="E803" s="18" t="s">
        <v>713</v>
      </c>
      <c r="F803" s="18" t="s">
        <v>714</v>
      </c>
      <c r="G803" s="18" t="s">
        <v>674</v>
      </c>
      <c r="H803" s="18" t="s">
        <v>715</v>
      </c>
      <c r="I803" s="315">
        <v>513.51108154663189</v>
      </c>
      <c r="J803" s="315">
        <v>3.0559980376256477E-3</v>
      </c>
      <c r="K803" s="316" t="str">
        <f t="shared" si="34"/>
        <v>Construction and Mining Equipment</v>
      </c>
      <c r="L803" s="316" t="str">
        <f t="shared" si="35"/>
        <v>Diesel</v>
      </c>
      <c r="M803" s="8"/>
      <c r="N803" s="2"/>
      <c r="O803" s="2"/>
      <c r="P803" s="2"/>
      <c r="Q803" s="2"/>
      <c r="R803" s="2"/>
      <c r="S803" s="2"/>
      <c r="T803" s="2"/>
      <c r="U803" s="2"/>
      <c r="V803" s="2"/>
      <c r="W803" s="2"/>
      <c r="X803" s="2"/>
      <c r="Y803" s="2"/>
      <c r="Z803" s="2"/>
    </row>
    <row r="804" spans="1:26" ht="12.75" x14ac:dyDescent="0.2">
      <c r="A804" s="230"/>
      <c r="B804" s="18">
        <v>2023</v>
      </c>
      <c r="C804" s="18" t="s">
        <v>792</v>
      </c>
      <c r="D804" s="18" t="s">
        <v>797</v>
      </c>
      <c r="E804" s="18" t="s">
        <v>713</v>
      </c>
      <c r="F804" s="18" t="s">
        <v>714</v>
      </c>
      <c r="G804" s="18" t="s">
        <v>675</v>
      </c>
      <c r="H804" s="18" t="s">
        <v>798</v>
      </c>
      <c r="I804" s="315">
        <v>513.07800988804115</v>
      </c>
      <c r="J804" s="315">
        <v>4.3283418246311588E-3</v>
      </c>
      <c r="K804" s="316" t="str">
        <f t="shared" si="34"/>
        <v>Industrial Equipment</v>
      </c>
      <c r="L804" s="316" t="str">
        <f t="shared" si="35"/>
        <v>Diesel</v>
      </c>
      <c r="M804" s="8"/>
      <c r="N804" s="2"/>
      <c r="O804" s="2"/>
      <c r="P804" s="2"/>
      <c r="Q804" s="2"/>
      <c r="R804" s="2"/>
      <c r="S804" s="2"/>
      <c r="T804" s="2"/>
      <c r="U804" s="2"/>
      <c r="V804" s="2"/>
      <c r="W804" s="2"/>
      <c r="X804" s="2"/>
      <c r="Y804" s="2"/>
      <c r="Z804" s="2"/>
    </row>
    <row r="805" spans="1:26" ht="12.75" x14ac:dyDescent="0.2">
      <c r="A805" s="230"/>
      <c r="B805" s="18">
        <v>2023</v>
      </c>
      <c r="C805" s="18" t="s">
        <v>731</v>
      </c>
      <c r="D805" s="18" t="s">
        <v>771</v>
      </c>
      <c r="E805" s="18" t="s">
        <v>713</v>
      </c>
      <c r="F805" s="18" t="s">
        <v>714</v>
      </c>
      <c r="G805" s="18" t="s">
        <v>675</v>
      </c>
      <c r="H805" s="18" t="s">
        <v>772</v>
      </c>
      <c r="I805" s="315">
        <v>512.70666766286217</v>
      </c>
      <c r="J805" s="315">
        <v>1.1407232851115975E-3</v>
      </c>
      <c r="K805" s="316" t="str">
        <f t="shared" si="34"/>
        <v>Industrial Equipment</v>
      </c>
      <c r="L805" s="316" t="str">
        <f t="shared" si="35"/>
        <v>Diesel</v>
      </c>
      <c r="M805" s="8"/>
      <c r="N805" s="2"/>
      <c r="O805" s="2"/>
      <c r="P805" s="2"/>
      <c r="Q805" s="2"/>
      <c r="R805" s="2"/>
      <c r="S805" s="2"/>
      <c r="T805" s="2"/>
      <c r="U805" s="2"/>
      <c r="V805" s="2"/>
      <c r="W805" s="2"/>
      <c r="X805" s="2"/>
      <c r="Y805" s="2"/>
      <c r="Z805" s="2"/>
    </row>
    <row r="806" spans="1:26" ht="12.75" x14ac:dyDescent="0.2">
      <c r="A806" s="230"/>
      <c r="B806" s="18">
        <v>2023</v>
      </c>
      <c r="C806" s="18" t="s">
        <v>754</v>
      </c>
      <c r="D806" s="18" t="s">
        <v>807</v>
      </c>
      <c r="E806" s="18" t="s">
        <v>703</v>
      </c>
      <c r="F806" s="18" t="s">
        <v>805</v>
      </c>
      <c r="G806" s="18" t="s">
        <v>673</v>
      </c>
      <c r="H806" s="18" t="s">
        <v>749</v>
      </c>
      <c r="I806" s="315">
        <v>512.54371187945696</v>
      </c>
      <c r="J806" s="315">
        <v>0.95879832212949956</v>
      </c>
      <c r="K806" s="316" t="str">
        <f t="shared" si="34"/>
        <v>Lawn and Garden Equipment</v>
      </c>
      <c r="L806" s="316" t="str">
        <f t="shared" si="35"/>
        <v>Gasoline</v>
      </c>
      <c r="M806" s="8"/>
      <c r="N806" s="2"/>
      <c r="O806" s="2"/>
      <c r="P806" s="2"/>
      <c r="Q806" s="2"/>
      <c r="R806" s="2"/>
      <c r="S806" s="2"/>
      <c r="T806" s="2"/>
      <c r="U806" s="2"/>
      <c r="V806" s="2"/>
      <c r="W806" s="2"/>
      <c r="X806" s="2"/>
      <c r="Y806" s="2"/>
      <c r="Z806" s="2"/>
    </row>
    <row r="807" spans="1:26" ht="12.75" x14ac:dyDescent="0.2">
      <c r="A807" s="230"/>
      <c r="B807" s="18">
        <v>2023</v>
      </c>
      <c r="C807" s="18" t="s">
        <v>781</v>
      </c>
      <c r="D807" s="18" t="s">
        <v>733</v>
      </c>
      <c r="E807" s="18" t="s">
        <v>703</v>
      </c>
      <c r="F807" s="18" t="s">
        <v>704</v>
      </c>
      <c r="G807" s="18" t="s">
        <v>673</v>
      </c>
      <c r="H807" s="18" t="s">
        <v>734</v>
      </c>
      <c r="I807" s="315">
        <v>511.85265969090273</v>
      </c>
      <c r="J807" s="315">
        <v>0.32381808342810248</v>
      </c>
      <c r="K807" s="316" t="str">
        <f t="shared" si="34"/>
        <v>Lawn and Garden Equipment</v>
      </c>
      <c r="L807" s="316" t="str">
        <f t="shared" si="35"/>
        <v>Gasoline</v>
      </c>
      <c r="M807" s="8"/>
      <c r="N807" s="2"/>
      <c r="O807" s="2"/>
      <c r="P807" s="2"/>
      <c r="Q807" s="2"/>
      <c r="R807" s="2"/>
      <c r="S807" s="2"/>
      <c r="T807" s="2"/>
      <c r="U807" s="2"/>
      <c r="V807" s="2"/>
      <c r="W807" s="2"/>
      <c r="X807" s="2"/>
      <c r="Y807" s="2"/>
      <c r="Z807" s="2"/>
    </row>
    <row r="808" spans="1:26" ht="12.75" x14ac:dyDescent="0.2">
      <c r="A808" s="230"/>
      <c r="B808" s="18">
        <v>2023</v>
      </c>
      <c r="C808" s="18" t="s">
        <v>701</v>
      </c>
      <c r="D808" s="18" t="s">
        <v>984</v>
      </c>
      <c r="E808" s="18" t="s">
        <v>703</v>
      </c>
      <c r="F808" s="18" t="s">
        <v>704</v>
      </c>
      <c r="G808" s="18" t="s">
        <v>673</v>
      </c>
      <c r="H808" s="18" t="s">
        <v>985</v>
      </c>
      <c r="I808" s="315">
        <v>511.7843670959457</v>
      </c>
      <c r="J808" s="315">
        <v>0.34779834656400599</v>
      </c>
      <c r="K808" s="316" t="str">
        <f t="shared" si="34"/>
        <v>Lawn and Garden Equipment</v>
      </c>
      <c r="L808" s="316" t="str">
        <f t="shared" si="35"/>
        <v>Gasoline</v>
      </c>
      <c r="M808" s="8"/>
      <c r="N808" s="2"/>
      <c r="O808" s="2"/>
      <c r="P808" s="2"/>
      <c r="Q808" s="2"/>
      <c r="R808" s="2"/>
      <c r="S808" s="2"/>
      <c r="T808" s="2"/>
      <c r="U808" s="2"/>
      <c r="V808" s="2"/>
      <c r="W808" s="2"/>
      <c r="X808" s="2"/>
      <c r="Y808" s="2"/>
      <c r="Z808" s="2"/>
    </row>
    <row r="809" spans="1:26" ht="12.75" x14ac:dyDescent="0.2">
      <c r="A809" s="230"/>
      <c r="B809" s="18">
        <v>2023</v>
      </c>
      <c r="C809" s="18" t="s">
        <v>711</v>
      </c>
      <c r="D809" s="18" t="s">
        <v>894</v>
      </c>
      <c r="E809" s="18" t="s">
        <v>713</v>
      </c>
      <c r="F809" s="18" t="s">
        <v>714</v>
      </c>
      <c r="G809" s="18" t="s">
        <v>681</v>
      </c>
      <c r="H809" s="18" t="s">
        <v>895</v>
      </c>
      <c r="I809" s="315">
        <v>510.44272415781603</v>
      </c>
      <c r="J809" s="315">
        <v>1.0009574611197006E-3</v>
      </c>
      <c r="K809" s="316" t="str">
        <f t="shared" si="34"/>
        <v>Logging Equipment</v>
      </c>
      <c r="L809" s="316" t="str">
        <f t="shared" si="35"/>
        <v>Diesel</v>
      </c>
      <c r="M809" s="8"/>
      <c r="N809" s="2"/>
      <c r="O809" s="2"/>
      <c r="P809" s="2"/>
      <c r="Q809" s="2"/>
      <c r="R809" s="2"/>
      <c r="S809" s="2"/>
      <c r="T809" s="2"/>
      <c r="U809" s="2"/>
      <c r="V809" s="2"/>
      <c r="W809" s="2"/>
      <c r="X809" s="2"/>
      <c r="Y809" s="2"/>
      <c r="Z809" s="2"/>
    </row>
    <row r="810" spans="1:26" ht="12.75" x14ac:dyDescent="0.2">
      <c r="A810" s="230"/>
      <c r="B810" s="18">
        <v>2023</v>
      </c>
      <c r="C810" s="18" t="s">
        <v>786</v>
      </c>
      <c r="D810" s="18" t="s">
        <v>712</v>
      </c>
      <c r="E810" s="18" t="s">
        <v>713</v>
      </c>
      <c r="F810" s="18" t="s">
        <v>714</v>
      </c>
      <c r="G810" s="18" t="s">
        <v>674</v>
      </c>
      <c r="H810" s="18" t="s">
        <v>715</v>
      </c>
      <c r="I810" s="315">
        <v>510.01373876725495</v>
      </c>
      <c r="J810" s="315">
        <v>3.0351810777536309E-3</v>
      </c>
      <c r="K810" s="316" t="str">
        <f t="shared" si="34"/>
        <v>Construction and Mining Equipment</v>
      </c>
      <c r="L810" s="316" t="str">
        <f t="shared" si="35"/>
        <v>Diesel</v>
      </c>
      <c r="M810" s="8"/>
      <c r="N810" s="2"/>
      <c r="O810" s="2"/>
      <c r="P810" s="2"/>
      <c r="Q810" s="2"/>
      <c r="R810" s="2"/>
      <c r="S810" s="2"/>
      <c r="T810" s="2"/>
      <c r="U810" s="2"/>
      <c r="V810" s="2"/>
      <c r="W810" s="2"/>
      <c r="X810" s="2"/>
      <c r="Y810" s="2"/>
      <c r="Z810" s="2"/>
    </row>
    <row r="811" spans="1:26" ht="12.75" x14ac:dyDescent="0.2">
      <c r="A811" s="230"/>
      <c r="B811" s="18">
        <v>2023</v>
      </c>
      <c r="C811" s="18" t="s">
        <v>709</v>
      </c>
      <c r="D811" s="18" t="s">
        <v>738</v>
      </c>
      <c r="E811" s="18" t="s">
        <v>703</v>
      </c>
      <c r="F811" s="18" t="s">
        <v>676</v>
      </c>
      <c r="G811" s="18" t="s">
        <v>739</v>
      </c>
      <c r="H811" s="18" t="s">
        <v>740</v>
      </c>
      <c r="I811" s="315">
        <v>508.90318336046005</v>
      </c>
      <c r="J811" s="315">
        <v>0.22116617580532488</v>
      </c>
      <c r="K811" s="316" t="str">
        <f t="shared" si="34"/>
        <v>Pleasure Craft</v>
      </c>
      <c r="L811" s="316" t="str">
        <f t="shared" si="35"/>
        <v>Gasoline</v>
      </c>
      <c r="M811" s="8"/>
      <c r="N811" s="2"/>
      <c r="O811" s="2"/>
      <c r="P811" s="2"/>
      <c r="Q811" s="2"/>
      <c r="R811" s="2"/>
      <c r="S811" s="2"/>
      <c r="T811" s="2"/>
      <c r="U811" s="2"/>
      <c r="V811" s="2"/>
      <c r="W811" s="2"/>
      <c r="X811" s="2"/>
      <c r="Y811" s="2"/>
      <c r="Z811" s="2"/>
    </row>
    <row r="812" spans="1:26" ht="12.75" x14ac:dyDescent="0.2">
      <c r="A812" s="230"/>
      <c r="B812" s="18">
        <v>2023</v>
      </c>
      <c r="C812" s="18" t="s">
        <v>792</v>
      </c>
      <c r="D812" s="18" t="s">
        <v>718</v>
      </c>
      <c r="E812" s="18" t="s">
        <v>713</v>
      </c>
      <c r="F812" s="18" t="s">
        <v>714</v>
      </c>
      <c r="G812" s="18" t="s">
        <v>674</v>
      </c>
      <c r="H812" s="18" t="s">
        <v>719</v>
      </c>
      <c r="I812" s="315">
        <v>508.23157254607258</v>
      </c>
      <c r="J812" s="315">
        <v>1.8996408278615534E-3</v>
      </c>
      <c r="K812" s="316" t="str">
        <f t="shared" si="34"/>
        <v>Construction and Mining Equipment</v>
      </c>
      <c r="L812" s="316" t="str">
        <f t="shared" si="35"/>
        <v>Diesel</v>
      </c>
      <c r="M812" s="8"/>
      <c r="N812" s="2"/>
      <c r="O812" s="2"/>
      <c r="P812" s="2"/>
      <c r="Q812" s="2"/>
      <c r="R812" s="2"/>
      <c r="S812" s="2"/>
      <c r="T812" s="2"/>
      <c r="U812" s="2"/>
      <c r="V812" s="2"/>
      <c r="W812" s="2"/>
      <c r="X812" s="2"/>
      <c r="Y812" s="2"/>
      <c r="Z812" s="2"/>
    </row>
    <row r="813" spans="1:26" ht="12.75" x14ac:dyDescent="0.2">
      <c r="A813" s="230"/>
      <c r="B813" s="18">
        <v>2023</v>
      </c>
      <c r="C813" s="18" t="s">
        <v>793</v>
      </c>
      <c r="D813" s="18" t="s">
        <v>769</v>
      </c>
      <c r="E813" s="18" t="s">
        <v>713</v>
      </c>
      <c r="F813" s="18" t="s">
        <v>714</v>
      </c>
      <c r="G813" s="18" t="s">
        <v>674</v>
      </c>
      <c r="H813" s="18" t="s">
        <v>770</v>
      </c>
      <c r="I813" s="315">
        <v>507.67055120437777</v>
      </c>
      <c r="J813" s="315">
        <v>4.0706696569008001E-3</v>
      </c>
      <c r="K813" s="316" t="str">
        <f t="shared" ref="K813:K1067" si="36">IF(F813="Pleasure Craft","Pleasure Craft",IF(F813="Railroad Equipment","Railroad Equipment",G813))</f>
        <v>Construction and Mining Equipment</v>
      </c>
      <c r="L813" s="316" t="str">
        <f t="shared" ref="L813:L1067" si="37">IF(E813="Non-Road Gasoline","Gasoline",IF(E813="Non-Road Diesel","Diesel",IF(RIGHT(F813,3)="LPG","LPG",IF(RIGHT(F813,3)="CNG","CNG",G813))))</f>
        <v>Diesel</v>
      </c>
      <c r="M813" s="8"/>
      <c r="N813" s="2"/>
      <c r="O813" s="2"/>
      <c r="P813" s="2"/>
      <c r="Q813" s="2"/>
      <c r="R813" s="2"/>
      <c r="S813" s="2"/>
      <c r="T813" s="2"/>
      <c r="U813" s="2"/>
      <c r="V813" s="2"/>
      <c r="W813" s="2"/>
      <c r="X813" s="2"/>
      <c r="Y813" s="2"/>
      <c r="Z813" s="2"/>
    </row>
    <row r="814" spans="1:26" ht="12.75" x14ac:dyDescent="0.2">
      <c r="A814" s="230"/>
      <c r="B814" s="18">
        <v>2023</v>
      </c>
      <c r="C814" s="18" t="s">
        <v>732</v>
      </c>
      <c r="D814" s="18" t="s">
        <v>849</v>
      </c>
      <c r="E814" s="18" t="s">
        <v>713</v>
      </c>
      <c r="F814" s="18" t="s">
        <v>714</v>
      </c>
      <c r="G814" s="18" t="s">
        <v>674</v>
      </c>
      <c r="H814" s="18" t="s">
        <v>850</v>
      </c>
      <c r="I814" s="315">
        <v>507.58380481576444</v>
      </c>
      <c r="J814" s="315">
        <v>7.0912408616996556E-3</v>
      </c>
      <c r="K814" s="316" t="str">
        <f t="shared" si="36"/>
        <v>Construction and Mining Equipment</v>
      </c>
      <c r="L814" s="316" t="str">
        <f t="shared" si="37"/>
        <v>Diesel</v>
      </c>
      <c r="M814" s="8"/>
      <c r="N814" s="2"/>
      <c r="O814" s="2"/>
      <c r="P814" s="2"/>
      <c r="Q814" s="2"/>
      <c r="R814" s="2"/>
      <c r="S814" s="2"/>
      <c r="T814" s="2"/>
      <c r="U814" s="2"/>
      <c r="V814" s="2"/>
      <c r="W814" s="2"/>
      <c r="X814" s="2"/>
      <c r="Y814" s="2"/>
      <c r="Z814" s="2"/>
    </row>
    <row r="815" spans="1:26" ht="12.75" x14ac:dyDescent="0.2">
      <c r="A815" s="230"/>
      <c r="B815" s="18">
        <v>2023</v>
      </c>
      <c r="C815" s="18" t="s">
        <v>709</v>
      </c>
      <c r="D815" s="18" t="s">
        <v>966</v>
      </c>
      <c r="E815" s="18" t="s">
        <v>703</v>
      </c>
      <c r="F815" s="18" t="s">
        <v>704</v>
      </c>
      <c r="G815" s="18" t="s">
        <v>674</v>
      </c>
      <c r="H815" s="18" t="s">
        <v>967</v>
      </c>
      <c r="I815" s="315">
        <v>507.35089525425667</v>
      </c>
      <c r="J815" s="315">
        <v>0.35090577066038936</v>
      </c>
      <c r="K815" s="316" t="str">
        <f t="shared" si="36"/>
        <v>Construction and Mining Equipment</v>
      </c>
      <c r="L815" s="316" t="str">
        <f t="shared" si="37"/>
        <v>Gasoline</v>
      </c>
      <c r="M815" s="8"/>
      <c r="N815" s="2"/>
      <c r="O815" s="2"/>
      <c r="P815" s="2"/>
      <c r="Q815" s="2"/>
      <c r="R815" s="2"/>
      <c r="S815" s="2"/>
      <c r="T815" s="2"/>
      <c r="U815" s="2"/>
      <c r="V815" s="2"/>
      <c r="W815" s="2"/>
      <c r="X815" s="2"/>
      <c r="Y815" s="2"/>
      <c r="Z815" s="2"/>
    </row>
    <row r="816" spans="1:26" ht="12.75" x14ac:dyDescent="0.2">
      <c r="A816" s="230"/>
      <c r="B816" s="18">
        <v>2023</v>
      </c>
      <c r="C816" s="18" t="s">
        <v>750</v>
      </c>
      <c r="D816" s="18" t="s">
        <v>779</v>
      </c>
      <c r="E816" s="18" t="s">
        <v>713</v>
      </c>
      <c r="F816" s="18" t="s">
        <v>714</v>
      </c>
      <c r="G816" s="18" t="s">
        <v>674</v>
      </c>
      <c r="H816" s="18" t="s">
        <v>780</v>
      </c>
      <c r="I816" s="315">
        <v>506.12015365249636</v>
      </c>
      <c r="J816" s="315">
        <v>1.6484061788544894E-3</v>
      </c>
      <c r="K816" s="316" t="str">
        <f t="shared" si="36"/>
        <v>Construction and Mining Equipment</v>
      </c>
      <c r="L816" s="316" t="str">
        <f t="shared" si="37"/>
        <v>Diesel</v>
      </c>
      <c r="M816" s="8"/>
      <c r="N816" s="2"/>
      <c r="O816" s="2"/>
      <c r="P816" s="2"/>
      <c r="Q816" s="2"/>
      <c r="R816" s="2"/>
      <c r="S816" s="2"/>
      <c r="T816" s="2"/>
      <c r="U816" s="2"/>
      <c r="V816" s="2"/>
      <c r="W816" s="2"/>
      <c r="X816" s="2"/>
      <c r="Y816" s="2"/>
      <c r="Z816" s="2"/>
    </row>
    <row r="817" spans="1:26" ht="12.75" x14ac:dyDescent="0.2">
      <c r="A817" s="230"/>
      <c r="B817" s="18">
        <v>2023</v>
      </c>
      <c r="C817" s="18" t="s">
        <v>792</v>
      </c>
      <c r="D817" s="18" t="s">
        <v>720</v>
      </c>
      <c r="E817" s="18" t="s">
        <v>713</v>
      </c>
      <c r="F817" s="18" t="s">
        <v>714</v>
      </c>
      <c r="G817" s="18" t="s">
        <v>674</v>
      </c>
      <c r="H817" s="18" t="s">
        <v>721</v>
      </c>
      <c r="I817" s="315">
        <v>506.0806082342171</v>
      </c>
      <c r="J817" s="315">
        <v>2.2842267652653978E-3</v>
      </c>
      <c r="K817" s="316" t="str">
        <f t="shared" si="36"/>
        <v>Construction and Mining Equipment</v>
      </c>
      <c r="L817" s="316" t="str">
        <f t="shared" si="37"/>
        <v>Diesel</v>
      </c>
      <c r="M817" s="8"/>
      <c r="N817" s="2"/>
      <c r="O817" s="2"/>
      <c r="P817" s="2"/>
      <c r="Q817" s="2"/>
      <c r="R817" s="2"/>
      <c r="S817" s="2"/>
      <c r="T817" s="2"/>
      <c r="U817" s="2"/>
      <c r="V817" s="2"/>
      <c r="W817" s="2"/>
      <c r="X817" s="2"/>
      <c r="Y817" s="2"/>
      <c r="Z817" s="2"/>
    </row>
    <row r="818" spans="1:26" ht="12.75" x14ac:dyDescent="0.2">
      <c r="A818" s="230"/>
      <c r="B818" s="18">
        <v>2023</v>
      </c>
      <c r="C818" s="18" t="s">
        <v>792</v>
      </c>
      <c r="D818" s="18" t="s">
        <v>801</v>
      </c>
      <c r="E818" s="18" t="s">
        <v>713</v>
      </c>
      <c r="F818" s="18" t="s">
        <v>714</v>
      </c>
      <c r="G818" s="18" t="s">
        <v>675</v>
      </c>
      <c r="H818" s="18" t="s">
        <v>802</v>
      </c>
      <c r="I818" s="315">
        <v>505.88111964934512</v>
      </c>
      <c r="J818" s="315">
        <v>3.3698270565952334E-3</v>
      </c>
      <c r="K818" s="316" t="str">
        <f t="shared" si="36"/>
        <v>Industrial Equipment</v>
      </c>
      <c r="L818" s="316" t="str">
        <f t="shared" si="37"/>
        <v>Diesel</v>
      </c>
      <c r="M818" s="8"/>
      <c r="N818" s="2"/>
      <c r="O818" s="2"/>
      <c r="P818" s="2"/>
      <c r="Q818" s="2"/>
      <c r="R818" s="2"/>
      <c r="S818" s="2"/>
      <c r="T818" s="2"/>
      <c r="U818" s="2"/>
      <c r="V818" s="2"/>
      <c r="W818" s="2"/>
      <c r="X818" s="2"/>
      <c r="Y818" s="2"/>
      <c r="Z818" s="2"/>
    </row>
    <row r="819" spans="1:26" ht="12.75" x14ac:dyDescent="0.2">
      <c r="A819" s="230"/>
      <c r="B819" s="18">
        <v>2023</v>
      </c>
      <c r="C819" s="18" t="s">
        <v>787</v>
      </c>
      <c r="D819" s="18" t="s">
        <v>797</v>
      </c>
      <c r="E819" s="18" t="s">
        <v>713</v>
      </c>
      <c r="F819" s="18" t="s">
        <v>714</v>
      </c>
      <c r="G819" s="18" t="s">
        <v>675</v>
      </c>
      <c r="H819" s="18" t="s">
        <v>798</v>
      </c>
      <c r="I819" s="315">
        <v>505.73093634709949</v>
      </c>
      <c r="J819" s="315">
        <v>4.2663461910314787E-3</v>
      </c>
      <c r="K819" s="316" t="str">
        <f t="shared" si="36"/>
        <v>Industrial Equipment</v>
      </c>
      <c r="L819" s="316" t="str">
        <f t="shared" si="37"/>
        <v>Diesel</v>
      </c>
      <c r="M819" s="8"/>
      <c r="N819" s="2"/>
      <c r="O819" s="2"/>
      <c r="P819" s="2"/>
      <c r="Q819" s="2"/>
      <c r="R819" s="2"/>
      <c r="S819" s="2"/>
      <c r="T819" s="2"/>
      <c r="U819" s="2"/>
      <c r="V819" s="2"/>
      <c r="W819" s="2"/>
      <c r="X819" s="2"/>
      <c r="Y819" s="2"/>
      <c r="Z819" s="2"/>
    </row>
    <row r="820" spans="1:26" ht="12.75" x14ac:dyDescent="0.2">
      <c r="A820" s="230"/>
      <c r="B820" s="18">
        <v>2023</v>
      </c>
      <c r="C820" s="18" t="s">
        <v>792</v>
      </c>
      <c r="D820" s="18" t="s">
        <v>774</v>
      </c>
      <c r="E820" s="18" t="s">
        <v>703</v>
      </c>
      <c r="F820" s="18" t="s">
        <v>704</v>
      </c>
      <c r="G820" s="18" t="s">
        <v>673</v>
      </c>
      <c r="H820" s="18" t="s">
        <v>775</v>
      </c>
      <c r="I820" s="315">
        <v>503.30666386650199</v>
      </c>
      <c r="J820" s="315">
        <v>0.34640053273127108</v>
      </c>
      <c r="K820" s="316" t="str">
        <f t="shared" si="36"/>
        <v>Lawn and Garden Equipment</v>
      </c>
      <c r="L820" s="316" t="str">
        <f t="shared" si="37"/>
        <v>Gasoline</v>
      </c>
      <c r="M820" s="8"/>
      <c r="N820" s="2"/>
      <c r="O820" s="2"/>
      <c r="P820" s="2"/>
      <c r="Q820" s="2"/>
      <c r="R820" s="2"/>
      <c r="S820" s="2"/>
      <c r="T820" s="2"/>
      <c r="U820" s="2"/>
      <c r="V820" s="2"/>
      <c r="W820" s="2"/>
      <c r="X820" s="2"/>
      <c r="Y820" s="2"/>
      <c r="Z820" s="2"/>
    </row>
    <row r="821" spans="1:26" ht="12.75" x14ac:dyDescent="0.2">
      <c r="A821" s="230"/>
      <c r="B821" s="18">
        <v>2023</v>
      </c>
      <c r="C821" s="18" t="s">
        <v>750</v>
      </c>
      <c r="D821" s="18" t="s">
        <v>782</v>
      </c>
      <c r="E821" s="18" t="s">
        <v>713</v>
      </c>
      <c r="F821" s="18" t="s">
        <v>714</v>
      </c>
      <c r="G821" s="18" t="s">
        <v>674</v>
      </c>
      <c r="H821" s="18" t="s">
        <v>783</v>
      </c>
      <c r="I821" s="315">
        <v>501.98494961456259</v>
      </c>
      <c r="J821" s="315">
        <v>4.7656220407963738E-3</v>
      </c>
      <c r="K821" s="316" t="str">
        <f t="shared" si="36"/>
        <v>Construction and Mining Equipment</v>
      </c>
      <c r="L821" s="316" t="str">
        <f t="shared" si="37"/>
        <v>Diesel</v>
      </c>
      <c r="M821" s="8"/>
      <c r="N821" s="2"/>
      <c r="O821" s="2"/>
      <c r="P821" s="2"/>
      <c r="Q821" s="2"/>
      <c r="R821" s="2"/>
      <c r="S821" s="2"/>
      <c r="T821" s="2"/>
      <c r="U821" s="2"/>
      <c r="V821" s="2"/>
      <c r="W821" s="2"/>
      <c r="X821" s="2"/>
      <c r="Y821" s="2"/>
      <c r="Z821" s="2"/>
    </row>
    <row r="822" spans="1:26" ht="12.75" x14ac:dyDescent="0.2">
      <c r="A822" s="230"/>
      <c r="B822" s="18">
        <v>2023</v>
      </c>
      <c r="C822" s="18" t="s">
        <v>710</v>
      </c>
      <c r="D822" s="18" t="s">
        <v>757</v>
      </c>
      <c r="E822" s="18" t="s">
        <v>713</v>
      </c>
      <c r="F822" s="18" t="s">
        <v>714</v>
      </c>
      <c r="G822" s="18" t="s">
        <v>673</v>
      </c>
      <c r="H822" s="18" t="s">
        <v>758</v>
      </c>
      <c r="I822" s="315">
        <v>500.83384339114878</v>
      </c>
      <c r="J822" s="315">
        <v>1.9295991041418457E-2</v>
      </c>
      <c r="K822" s="316" t="str">
        <f t="shared" si="36"/>
        <v>Lawn and Garden Equipment</v>
      </c>
      <c r="L822" s="316" t="str">
        <f t="shared" si="37"/>
        <v>Diesel</v>
      </c>
      <c r="M822" s="8"/>
      <c r="N822" s="2"/>
      <c r="O822" s="2"/>
      <c r="P822" s="2"/>
      <c r="Q822" s="2"/>
      <c r="R822" s="2"/>
      <c r="S822" s="2"/>
      <c r="T822" s="2"/>
      <c r="U822" s="2"/>
      <c r="V822" s="2"/>
      <c r="W822" s="2"/>
      <c r="X822" s="2"/>
      <c r="Y822" s="2"/>
      <c r="Z822" s="2"/>
    </row>
    <row r="823" spans="1:26" x14ac:dyDescent="0.25">
      <c r="A823" s="314"/>
      <c r="B823" s="18">
        <v>2023</v>
      </c>
      <c r="C823" s="18" t="s">
        <v>710</v>
      </c>
      <c r="D823" s="18" t="s">
        <v>977</v>
      </c>
      <c r="E823" s="18" t="s">
        <v>703</v>
      </c>
      <c r="F823" s="18" t="s">
        <v>805</v>
      </c>
      <c r="G823" s="18" t="s">
        <v>673</v>
      </c>
      <c r="H823" s="18" t="s">
        <v>978</v>
      </c>
      <c r="I823" s="315">
        <v>499.01498232873718</v>
      </c>
      <c r="J823" s="315">
        <v>0.84971198802559755</v>
      </c>
      <c r="K823" s="316" t="str">
        <f t="shared" si="36"/>
        <v>Lawn and Garden Equipment</v>
      </c>
      <c r="L823" s="316" t="str">
        <f t="shared" si="37"/>
        <v>Gasoline</v>
      </c>
      <c r="M823" s="194"/>
      <c r="N823" s="317"/>
      <c r="O823" s="317"/>
      <c r="P823" s="317"/>
      <c r="Q823" s="317"/>
      <c r="R823" s="317"/>
      <c r="S823" s="317"/>
      <c r="T823" s="317"/>
      <c r="U823" s="317"/>
      <c r="V823" s="317"/>
      <c r="W823" s="317"/>
      <c r="X823" s="317"/>
      <c r="Y823" s="317"/>
      <c r="Z823" s="317"/>
    </row>
    <row r="824" spans="1:26" x14ac:dyDescent="0.25">
      <c r="A824" s="314"/>
      <c r="B824" s="18">
        <v>2023</v>
      </c>
      <c r="C824" s="18" t="s">
        <v>743</v>
      </c>
      <c r="D824" s="18" t="s">
        <v>765</v>
      </c>
      <c r="E824" s="18" t="s">
        <v>703</v>
      </c>
      <c r="F824" s="18" t="s">
        <v>676</v>
      </c>
      <c r="G824" s="18" t="s">
        <v>729</v>
      </c>
      <c r="H824" s="18" t="s">
        <v>766</v>
      </c>
      <c r="I824" s="315">
        <v>498.7179149807526</v>
      </c>
      <c r="J824" s="315">
        <v>0.54854416298816577</v>
      </c>
      <c r="K824" s="316" t="str">
        <f t="shared" si="36"/>
        <v>Pleasure Craft</v>
      </c>
      <c r="L824" s="316" t="str">
        <f t="shared" si="37"/>
        <v>Gasoline</v>
      </c>
      <c r="M824" s="194"/>
      <c r="N824" s="317"/>
      <c r="O824" s="317"/>
      <c r="P824" s="317"/>
      <c r="Q824" s="317"/>
      <c r="R824" s="317"/>
      <c r="S824" s="317"/>
      <c r="T824" s="317"/>
      <c r="U824" s="317"/>
      <c r="V824" s="317"/>
      <c r="W824" s="317"/>
      <c r="X824" s="317"/>
      <c r="Y824" s="317"/>
      <c r="Z824" s="317"/>
    </row>
    <row r="825" spans="1:26" x14ac:dyDescent="0.25">
      <c r="A825" s="314"/>
      <c r="B825" s="18">
        <v>2023</v>
      </c>
      <c r="C825" s="18" t="s">
        <v>787</v>
      </c>
      <c r="D825" s="18" t="s">
        <v>801</v>
      </c>
      <c r="E825" s="18" t="s">
        <v>713</v>
      </c>
      <c r="F825" s="18" t="s">
        <v>714</v>
      </c>
      <c r="G825" s="18" t="s">
        <v>675</v>
      </c>
      <c r="H825" s="18" t="s">
        <v>802</v>
      </c>
      <c r="I825" s="315">
        <v>498.63621162763388</v>
      </c>
      <c r="J825" s="315">
        <v>3.3215684732150006E-3</v>
      </c>
      <c r="K825" s="316" t="str">
        <f t="shared" si="36"/>
        <v>Industrial Equipment</v>
      </c>
      <c r="L825" s="316" t="str">
        <f t="shared" si="37"/>
        <v>Diesel</v>
      </c>
      <c r="M825" s="194"/>
      <c r="N825" s="317"/>
      <c r="O825" s="317"/>
      <c r="P825" s="317"/>
      <c r="Q825" s="317"/>
      <c r="R825" s="317"/>
      <c r="S825" s="317"/>
      <c r="T825" s="317"/>
      <c r="U825" s="317"/>
      <c r="V825" s="317"/>
      <c r="W825" s="317"/>
      <c r="X825" s="317"/>
      <c r="Y825" s="317"/>
      <c r="Z825" s="317"/>
    </row>
    <row r="826" spans="1:26" x14ac:dyDescent="0.25">
      <c r="A826" s="314"/>
      <c r="B826" s="18">
        <v>2023</v>
      </c>
      <c r="C826" s="18" t="s">
        <v>787</v>
      </c>
      <c r="D826" s="18" t="s">
        <v>790</v>
      </c>
      <c r="E826" s="18" t="s">
        <v>713</v>
      </c>
      <c r="F826" s="18" t="s">
        <v>714</v>
      </c>
      <c r="G826" s="18" t="s">
        <v>674</v>
      </c>
      <c r="H826" s="18" t="s">
        <v>791</v>
      </c>
      <c r="I826" s="315">
        <v>497.50389099358091</v>
      </c>
      <c r="J826" s="315">
        <v>2.85996643517639E-3</v>
      </c>
      <c r="K826" s="316" t="str">
        <f t="shared" si="36"/>
        <v>Construction and Mining Equipment</v>
      </c>
      <c r="L826" s="316" t="str">
        <f t="shared" si="37"/>
        <v>Diesel</v>
      </c>
      <c r="M826" s="194"/>
      <c r="N826" s="317"/>
      <c r="O826" s="317"/>
      <c r="P826" s="317"/>
      <c r="Q826" s="317"/>
      <c r="R826" s="317"/>
      <c r="S826" s="317"/>
      <c r="T826" s="317"/>
      <c r="U826" s="317"/>
      <c r="V826" s="317"/>
      <c r="W826" s="317"/>
      <c r="X826" s="317"/>
      <c r="Y826" s="317"/>
      <c r="Z826" s="317"/>
    </row>
    <row r="827" spans="1:26" x14ac:dyDescent="0.25">
      <c r="A827" s="314"/>
      <c r="B827" s="18">
        <v>2023</v>
      </c>
      <c r="C827" s="18" t="s">
        <v>753</v>
      </c>
      <c r="D827" s="18" t="s">
        <v>771</v>
      </c>
      <c r="E827" s="18" t="s">
        <v>713</v>
      </c>
      <c r="F827" s="18" t="s">
        <v>714</v>
      </c>
      <c r="G827" s="18" t="s">
        <v>675</v>
      </c>
      <c r="H827" s="18" t="s">
        <v>772</v>
      </c>
      <c r="I827" s="315">
        <v>496.13985901041497</v>
      </c>
      <c r="J827" s="315">
        <v>1.1038608775995396E-3</v>
      </c>
      <c r="K827" s="316" t="str">
        <f t="shared" si="36"/>
        <v>Industrial Equipment</v>
      </c>
      <c r="L827" s="316" t="str">
        <f t="shared" si="37"/>
        <v>Diesel</v>
      </c>
      <c r="M827" s="194"/>
      <c r="N827" s="317"/>
      <c r="O827" s="317"/>
      <c r="P827" s="317"/>
      <c r="Q827" s="317"/>
      <c r="R827" s="317"/>
      <c r="S827" s="317"/>
      <c r="T827" s="317"/>
      <c r="U827" s="317"/>
      <c r="V827" s="317"/>
      <c r="W827" s="317"/>
      <c r="X827" s="317"/>
      <c r="Y827" s="317"/>
      <c r="Z827" s="317"/>
    </row>
    <row r="828" spans="1:26" x14ac:dyDescent="0.25">
      <c r="A828" s="314"/>
      <c r="B828" s="18">
        <v>2023</v>
      </c>
      <c r="C828" s="18" t="s">
        <v>722</v>
      </c>
      <c r="D828" s="18" t="s">
        <v>868</v>
      </c>
      <c r="E828" s="18" t="s">
        <v>703</v>
      </c>
      <c r="F828" s="18" t="s">
        <v>704</v>
      </c>
      <c r="G828" s="18" t="s">
        <v>673</v>
      </c>
      <c r="H828" s="18" t="s">
        <v>758</v>
      </c>
      <c r="I828" s="315">
        <v>493.55642049269926</v>
      </c>
      <c r="J828" s="315">
        <v>0.32339921382585801</v>
      </c>
      <c r="K828" s="316" t="str">
        <f t="shared" si="36"/>
        <v>Lawn and Garden Equipment</v>
      </c>
      <c r="L828" s="316" t="str">
        <f t="shared" si="37"/>
        <v>Gasoline</v>
      </c>
      <c r="M828" s="194"/>
      <c r="N828" s="317"/>
      <c r="O828" s="317"/>
      <c r="P828" s="317"/>
      <c r="Q828" s="317"/>
      <c r="R828" s="317"/>
      <c r="S828" s="317"/>
      <c r="T828" s="317"/>
      <c r="U828" s="317"/>
      <c r="V828" s="317"/>
      <c r="W828" s="317"/>
      <c r="X828" s="317"/>
      <c r="Y828" s="317"/>
      <c r="Z828" s="317"/>
    </row>
    <row r="829" spans="1:26" x14ac:dyDescent="0.25">
      <c r="A829" s="314"/>
      <c r="B829" s="18">
        <v>2023</v>
      </c>
      <c r="C829" s="18" t="s">
        <v>754</v>
      </c>
      <c r="D829" s="18" t="s">
        <v>971</v>
      </c>
      <c r="E829" s="18" t="s">
        <v>713</v>
      </c>
      <c r="F829" s="18" t="s">
        <v>714</v>
      </c>
      <c r="G829" s="18" t="s">
        <v>678</v>
      </c>
      <c r="H829" s="18" t="s">
        <v>972</v>
      </c>
      <c r="I829" s="315">
        <v>492.63889072913634</v>
      </c>
      <c r="J829" s="315">
        <v>2.7364503527789095E-3</v>
      </c>
      <c r="K829" s="316" t="str">
        <f t="shared" si="36"/>
        <v>Agricultural Equipment</v>
      </c>
      <c r="L829" s="316" t="str">
        <f t="shared" si="37"/>
        <v>Diesel</v>
      </c>
      <c r="M829" s="194"/>
      <c r="N829" s="317"/>
      <c r="O829" s="317"/>
      <c r="P829" s="317"/>
      <c r="Q829" s="317"/>
      <c r="R829" s="317"/>
      <c r="S829" s="317"/>
      <c r="T829" s="317"/>
      <c r="U829" s="317"/>
      <c r="V829" s="317"/>
      <c r="W829" s="317"/>
      <c r="X829" s="317"/>
      <c r="Y829" s="317"/>
      <c r="Z829" s="317"/>
    </row>
    <row r="830" spans="1:26" x14ac:dyDescent="0.25">
      <c r="A830" s="314"/>
      <c r="B830" s="18">
        <v>2023</v>
      </c>
      <c r="C830" s="18" t="s">
        <v>792</v>
      </c>
      <c r="D830" s="18" t="s">
        <v>702</v>
      </c>
      <c r="E830" s="18" t="s">
        <v>703</v>
      </c>
      <c r="F830" s="18" t="s">
        <v>704</v>
      </c>
      <c r="G830" s="18" t="s">
        <v>673</v>
      </c>
      <c r="H830" s="18" t="s">
        <v>705</v>
      </c>
      <c r="I830" s="315">
        <v>492.49797676270435</v>
      </c>
      <c r="J830" s="315">
        <v>0.31186613826125958</v>
      </c>
      <c r="K830" s="316" t="str">
        <f t="shared" si="36"/>
        <v>Lawn and Garden Equipment</v>
      </c>
      <c r="L830" s="316" t="str">
        <f t="shared" si="37"/>
        <v>Gasoline</v>
      </c>
      <c r="M830" s="194"/>
      <c r="N830" s="317"/>
      <c r="O830" s="317"/>
      <c r="P830" s="317"/>
      <c r="Q830" s="317"/>
      <c r="R830" s="317"/>
      <c r="S830" s="317"/>
      <c r="T830" s="317"/>
      <c r="U830" s="317"/>
      <c r="V830" s="317"/>
      <c r="W830" s="317"/>
      <c r="X830" s="317"/>
      <c r="Y830" s="317"/>
      <c r="Z830" s="317"/>
    </row>
    <row r="831" spans="1:26" x14ac:dyDescent="0.25">
      <c r="A831" s="314"/>
      <c r="B831" s="18">
        <v>2023</v>
      </c>
      <c r="C831" s="18" t="s">
        <v>701</v>
      </c>
      <c r="D831" s="18" t="s">
        <v>958</v>
      </c>
      <c r="E831" s="18" t="s">
        <v>713</v>
      </c>
      <c r="F831" s="18" t="s">
        <v>714</v>
      </c>
      <c r="G831" s="18" t="s">
        <v>674</v>
      </c>
      <c r="H831" s="18" t="s">
        <v>959</v>
      </c>
      <c r="I831" s="315">
        <v>491.32065647400549</v>
      </c>
      <c r="J831" s="315">
        <v>4.3705481362508163E-3</v>
      </c>
      <c r="K831" s="316" t="str">
        <f t="shared" si="36"/>
        <v>Construction and Mining Equipment</v>
      </c>
      <c r="L831" s="316" t="str">
        <f t="shared" si="37"/>
        <v>Diesel</v>
      </c>
      <c r="M831" s="194"/>
      <c r="N831" s="317"/>
      <c r="O831" s="317"/>
      <c r="P831" s="317"/>
      <c r="Q831" s="317"/>
      <c r="R831" s="317"/>
      <c r="S831" s="317"/>
      <c r="T831" s="317"/>
      <c r="U831" s="317"/>
      <c r="V831" s="317"/>
      <c r="W831" s="317"/>
      <c r="X831" s="317"/>
      <c r="Y831" s="317"/>
      <c r="Z831" s="317"/>
    </row>
    <row r="832" spans="1:26" x14ac:dyDescent="0.25">
      <c r="A832" s="314"/>
      <c r="B832" s="18">
        <v>2023</v>
      </c>
      <c r="C832" s="18" t="s">
        <v>750</v>
      </c>
      <c r="D832" s="18" t="s">
        <v>894</v>
      </c>
      <c r="E832" s="18" t="s">
        <v>713</v>
      </c>
      <c r="F832" s="18" t="s">
        <v>714</v>
      </c>
      <c r="G832" s="18" t="s">
        <v>681</v>
      </c>
      <c r="H832" s="18" t="s">
        <v>895</v>
      </c>
      <c r="I832" s="315">
        <v>490.1573597898041</v>
      </c>
      <c r="J832" s="315">
        <v>9.611804524297515E-4</v>
      </c>
      <c r="K832" s="316" t="str">
        <f t="shared" si="36"/>
        <v>Logging Equipment</v>
      </c>
      <c r="L832" s="316" t="str">
        <f t="shared" si="37"/>
        <v>Diesel</v>
      </c>
      <c r="M832" s="194"/>
      <c r="N832" s="317"/>
      <c r="O832" s="317"/>
      <c r="P832" s="317"/>
      <c r="Q832" s="317"/>
      <c r="R832" s="317"/>
      <c r="S832" s="317"/>
      <c r="T832" s="317"/>
      <c r="U832" s="317"/>
      <c r="V832" s="317"/>
      <c r="W832" s="317"/>
      <c r="X832" s="317"/>
      <c r="Y832" s="317"/>
      <c r="Z832" s="317"/>
    </row>
    <row r="833" spans="1:26" x14ac:dyDescent="0.25">
      <c r="A833" s="314"/>
      <c r="B833" s="18">
        <v>2023</v>
      </c>
      <c r="C833" s="18" t="s">
        <v>753</v>
      </c>
      <c r="D833" s="18" t="s">
        <v>755</v>
      </c>
      <c r="E833" s="18" t="s">
        <v>713</v>
      </c>
      <c r="F833" s="18" t="s">
        <v>714</v>
      </c>
      <c r="G833" s="18" t="s">
        <v>674</v>
      </c>
      <c r="H833" s="18" t="s">
        <v>756</v>
      </c>
      <c r="I833" s="315">
        <v>489.50870028964562</v>
      </c>
      <c r="J833" s="315">
        <v>1.9008364280027626E-2</v>
      </c>
      <c r="K833" s="316" t="str">
        <f t="shared" si="36"/>
        <v>Construction and Mining Equipment</v>
      </c>
      <c r="L833" s="316" t="str">
        <f t="shared" si="37"/>
        <v>Diesel</v>
      </c>
      <c r="M833" s="194"/>
      <c r="N833" s="317"/>
      <c r="O833" s="317"/>
      <c r="P833" s="317"/>
      <c r="Q833" s="317"/>
      <c r="R833" s="317"/>
      <c r="S833" s="317"/>
      <c r="T833" s="317"/>
      <c r="U833" s="317"/>
      <c r="V833" s="317"/>
      <c r="W833" s="317"/>
      <c r="X833" s="317"/>
      <c r="Y833" s="317"/>
      <c r="Z833" s="317"/>
    </row>
    <row r="834" spans="1:26" x14ac:dyDescent="0.25">
      <c r="A834" s="314"/>
      <c r="B834" s="18">
        <v>2023</v>
      </c>
      <c r="C834" s="18" t="s">
        <v>711</v>
      </c>
      <c r="D834" s="18" t="s">
        <v>898</v>
      </c>
      <c r="E834" s="18" t="s">
        <v>703</v>
      </c>
      <c r="F834" s="18" t="s">
        <v>795</v>
      </c>
      <c r="G834" s="18" t="s">
        <v>673</v>
      </c>
      <c r="H834" s="18" t="s">
        <v>899</v>
      </c>
      <c r="I834" s="315">
        <v>489.23823387946317</v>
      </c>
      <c r="J834" s="315">
        <v>3.3448952694161282</v>
      </c>
      <c r="K834" s="316" t="str">
        <f t="shared" si="36"/>
        <v>Lawn and Garden Equipment</v>
      </c>
      <c r="L834" s="316" t="str">
        <f t="shared" si="37"/>
        <v>Gasoline</v>
      </c>
      <c r="M834" s="194"/>
      <c r="N834" s="317"/>
      <c r="O834" s="317"/>
      <c r="P834" s="317"/>
      <c r="Q834" s="317"/>
      <c r="R834" s="317"/>
      <c r="S834" s="317"/>
      <c r="T834" s="317"/>
      <c r="U834" s="317"/>
      <c r="V834" s="317"/>
      <c r="W834" s="317"/>
      <c r="X834" s="317"/>
      <c r="Y834" s="317"/>
      <c r="Z834" s="317"/>
    </row>
    <row r="835" spans="1:26" x14ac:dyDescent="0.25">
      <c r="A835" s="314"/>
      <c r="B835" s="18">
        <v>2023</v>
      </c>
      <c r="C835" s="18" t="s">
        <v>709</v>
      </c>
      <c r="D835" s="18" t="s">
        <v>927</v>
      </c>
      <c r="E835" s="18" t="s">
        <v>56</v>
      </c>
      <c r="F835" s="18" t="s">
        <v>672</v>
      </c>
      <c r="G835" s="18" t="s">
        <v>673</v>
      </c>
      <c r="H835" s="18" t="s">
        <v>742</v>
      </c>
      <c r="I835" s="315">
        <v>488.23729221900277</v>
      </c>
      <c r="J835" s="315">
        <v>2.2180486685122614E-2</v>
      </c>
      <c r="K835" s="316" t="str">
        <f t="shared" si="36"/>
        <v>Lawn and Garden Equipment</v>
      </c>
      <c r="L835" s="316" t="str">
        <f t="shared" si="37"/>
        <v>LPG</v>
      </c>
      <c r="M835" s="194"/>
      <c r="N835" s="317"/>
      <c r="O835" s="317"/>
      <c r="P835" s="317"/>
      <c r="Q835" s="317"/>
      <c r="R835" s="317"/>
      <c r="S835" s="317"/>
      <c r="T835" s="317"/>
      <c r="U835" s="317"/>
      <c r="V835" s="317"/>
      <c r="W835" s="317"/>
      <c r="X835" s="317"/>
      <c r="Y835" s="317"/>
      <c r="Z835" s="317"/>
    </row>
    <row r="836" spans="1:26" x14ac:dyDescent="0.25">
      <c r="A836" s="314"/>
      <c r="B836" s="18">
        <v>2023</v>
      </c>
      <c r="C836" s="18" t="s">
        <v>753</v>
      </c>
      <c r="D836" s="18" t="s">
        <v>761</v>
      </c>
      <c r="E836" s="18" t="s">
        <v>713</v>
      </c>
      <c r="F836" s="18" t="s">
        <v>714</v>
      </c>
      <c r="G836" s="18" t="s">
        <v>677</v>
      </c>
      <c r="H836" s="18" t="s">
        <v>747</v>
      </c>
      <c r="I836" s="315">
        <v>487.68980505558335</v>
      </c>
      <c r="J836" s="315">
        <v>1.2458547814796843E-2</v>
      </c>
      <c r="K836" s="316" t="str">
        <f t="shared" si="36"/>
        <v>Commercial Equipment</v>
      </c>
      <c r="L836" s="316" t="str">
        <f t="shared" si="37"/>
        <v>Diesel</v>
      </c>
      <c r="M836" s="194"/>
      <c r="N836" s="317"/>
      <c r="O836" s="317"/>
      <c r="P836" s="317"/>
      <c r="Q836" s="317"/>
      <c r="R836" s="317"/>
      <c r="S836" s="317"/>
      <c r="T836" s="317"/>
      <c r="U836" s="317"/>
      <c r="V836" s="317"/>
      <c r="W836" s="317"/>
      <c r="X836" s="317"/>
      <c r="Y836" s="317"/>
      <c r="Z836" s="317"/>
    </row>
    <row r="837" spans="1:26" x14ac:dyDescent="0.25">
      <c r="A837" s="314"/>
      <c r="B837" s="18">
        <v>2023</v>
      </c>
      <c r="C837" s="18" t="s">
        <v>706</v>
      </c>
      <c r="D837" s="18" t="s">
        <v>927</v>
      </c>
      <c r="E837" s="18" t="s">
        <v>56</v>
      </c>
      <c r="F837" s="18" t="s">
        <v>672</v>
      </c>
      <c r="G837" s="18" t="s">
        <v>673</v>
      </c>
      <c r="H837" s="18" t="s">
        <v>742</v>
      </c>
      <c r="I837" s="315">
        <v>483.20452678690344</v>
      </c>
      <c r="J837" s="315">
        <v>2.1951820074560296E-2</v>
      </c>
      <c r="K837" s="316" t="str">
        <f t="shared" si="36"/>
        <v>Lawn and Garden Equipment</v>
      </c>
      <c r="L837" s="316" t="str">
        <f t="shared" si="37"/>
        <v>LPG</v>
      </c>
      <c r="M837" s="194"/>
      <c r="N837" s="317"/>
      <c r="O837" s="317"/>
      <c r="P837" s="317"/>
      <c r="Q837" s="317"/>
      <c r="R837" s="317"/>
      <c r="S837" s="317"/>
      <c r="T837" s="317"/>
      <c r="U837" s="317"/>
      <c r="V837" s="317"/>
      <c r="W837" s="317"/>
      <c r="X837" s="317"/>
      <c r="Y837" s="317"/>
      <c r="Z837" s="317"/>
    </row>
    <row r="838" spans="1:26" x14ac:dyDescent="0.25">
      <c r="A838" s="314"/>
      <c r="B838" s="18">
        <v>2023</v>
      </c>
      <c r="C838" s="18" t="s">
        <v>786</v>
      </c>
      <c r="D838" s="18" t="s">
        <v>723</v>
      </c>
      <c r="E838" s="18" t="s">
        <v>703</v>
      </c>
      <c r="F838" s="18" t="s">
        <v>704</v>
      </c>
      <c r="G838" s="18" t="s">
        <v>673</v>
      </c>
      <c r="H838" s="18" t="s">
        <v>724</v>
      </c>
      <c r="I838" s="315">
        <v>482.12412942484008</v>
      </c>
      <c r="J838" s="315">
        <v>0.31676371035918527</v>
      </c>
      <c r="K838" s="316" t="str">
        <f t="shared" si="36"/>
        <v>Lawn and Garden Equipment</v>
      </c>
      <c r="L838" s="316" t="str">
        <f t="shared" si="37"/>
        <v>Gasoline</v>
      </c>
      <c r="M838" s="194"/>
      <c r="N838" s="317"/>
      <c r="O838" s="317"/>
      <c r="P838" s="317"/>
      <c r="Q838" s="317"/>
      <c r="R838" s="317"/>
      <c r="S838" s="317"/>
      <c r="T838" s="317"/>
      <c r="U838" s="317"/>
      <c r="V838" s="317"/>
      <c r="W838" s="317"/>
      <c r="X838" s="317"/>
      <c r="Y838" s="317"/>
      <c r="Z838" s="317"/>
    </row>
    <row r="839" spans="1:26" x14ac:dyDescent="0.25">
      <c r="A839" s="314"/>
      <c r="B839" s="18">
        <v>2023</v>
      </c>
      <c r="C839" s="18" t="s">
        <v>709</v>
      </c>
      <c r="D839" s="18" t="s">
        <v>964</v>
      </c>
      <c r="E839" s="18" t="s">
        <v>56</v>
      </c>
      <c r="F839" s="18" t="s">
        <v>601</v>
      </c>
      <c r="G839" s="18" t="s">
        <v>677</v>
      </c>
      <c r="H839" s="18" t="s">
        <v>965</v>
      </c>
      <c r="I839" s="315">
        <v>480.05329542910954</v>
      </c>
      <c r="J839" s="315">
        <v>2.2939904967573432</v>
      </c>
      <c r="K839" s="316" t="str">
        <f t="shared" si="36"/>
        <v>Commercial Equipment</v>
      </c>
      <c r="L839" s="316" t="str">
        <f t="shared" si="37"/>
        <v>CNG</v>
      </c>
      <c r="M839" s="194"/>
      <c r="N839" s="317"/>
      <c r="O839" s="317"/>
      <c r="P839" s="317"/>
      <c r="Q839" s="317"/>
      <c r="R839" s="317"/>
      <c r="S839" s="317"/>
      <c r="T839" s="317"/>
      <c r="U839" s="317"/>
      <c r="V839" s="317"/>
      <c r="W839" s="317"/>
      <c r="X839" s="317"/>
      <c r="Y839" s="317"/>
      <c r="Z839" s="317"/>
    </row>
    <row r="840" spans="1:26" x14ac:dyDescent="0.25">
      <c r="A840" s="314"/>
      <c r="B840" s="18">
        <v>2023</v>
      </c>
      <c r="C840" s="18" t="s">
        <v>710</v>
      </c>
      <c r="D840" s="18" t="s">
        <v>853</v>
      </c>
      <c r="E840" s="18" t="s">
        <v>703</v>
      </c>
      <c r="F840" s="18" t="s">
        <v>795</v>
      </c>
      <c r="G840" s="18" t="s">
        <v>679</v>
      </c>
      <c r="H840" s="18" t="s">
        <v>854</v>
      </c>
      <c r="I840" s="315">
        <v>476.03140678931624</v>
      </c>
      <c r="J840" s="315">
        <v>0.35801254159691004</v>
      </c>
      <c r="K840" s="316" t="str">
        <f t="shared" si="36"/>
        <v>Recreational Equipment</v>
      </c>
      <c r="L840" s="316" t="str">
        <f t="shared" si="37"/>
        <v>Gasoline</v>
      </c>
      <c r="M840" s="194"/>
      <c r="N840" s="317"/>
      <c r="O840" s="317"/>
      <c r="P840" s="317"/>
      <c r="Q840" s="317"/>
      <c r="R840" s="317"/>
      <c r="S840" s="317"/>
      <c r="T840" s="317"/>
      <c r="U840" s="317"/>
      <c r="V840" s="317"/>
      <c r="W840" s="317"/>
      <c r="X840" s="317"/>
      <c r="Y840" s="317"/>
      <c r="Z840" s="317"/>
    </row>
    <row r="841" spans="1:26" x14ac:dyDescent="0.25">
      <c r="A841" s="314"/>
      <c r="B841" s="18">
        <v>2023</v>
      </c>
      <c r="C841" s="18" t="s">
        <v>743</v>
      </c>
      <c r="D841" s="18" t="s">
        <v>767</v>
      </c>
      <c r="E841" s="18" t="s">
        <v>703</v>
      </c>
      <c r="F841" s="18" t="s">
        <v>704</v>
      </c>
      <c r="G841" s="18" t="s">
        <v>673</v>
      </c>
      <c r="H841" s="18" t="s">
        <v>768</v>
      </c>
      <c r="I841" s="315">
        <v>474.92911531999545</v>
      </c>
      <c r="J841" s="315">
        <v>0.33134415041951937</v>
      </c>
      <c r="K841" s="316" t="str">
        <f t="shared" si="36"/>
        <v>Lawn and Garden Equipment</v>
      </c>
      <c r="L841" s="316" t="str">
        <f t="shared" si="37"/>
        <v>Gasoline</v>
      </c>
      <c r="M841" s="194"/>
      <c r="N841" s="317"/>
      <c r="O841" s="317"/>
      <c r="P841" s="317"/>
      <c r="Q841" s="317"/>
      <c r="R841" s="317"/>
      <c r="S841" s="317"/>
      <c r="T841" s="317"/>
      <c r="U841" s="317"/>
      <c r="V841" s="317"/>
      <c r="W841" s="317"/>
      <c r="X841" s="317"/>
      <c r="Y841" s="317"/>
      <c r="Z841" s="317"/>
    </row>
    <row r="842" spans="1:26" x14ac:dyDescent="0.25">
      <c r="A842" s="314"/>
      <c r="B842" s="18">
        <v>2023</v>
      </c>
      <c r="C842" s="18" t="s">
        <v>773</v>
      </c>
      <c r="D842" s="18" t="s">
        <v>769</v>
      </c>
      <c r="E842" s="18" t="s">
        <v>713</v>
      </c>
      <c r="F842" s="18" t="s">
        <v>714</v>
      </c>
      <c r="G842" s="18" t="s">
        <v>674</v>
      </c>
      <c r="H842" s="18" t="s">
        <v>770</v>
      </c>
      <c r="I842" s="315">
        <v>473.51689028631591</v>
      </c>
      <c r="J842" s="315">
        <v>3.7968186620678233E-3</v>
      </c>
      <c r="K842" s="316" t="str">
        <f t="shared" si="36"/>
        <v>Construction and Mining Equipment</v>
      </c>
      <c r="L842" s="316" t="str">
        <f t="shared" si="37"/>
        <v>Diesel</v>
      </c>
      <c r="M842" s="194"/>
      <c r="N842" s="317"/>
      <c r="O842" s="317"/>
      <c r="P842" s="317"/>
      <c r="Q842" s="317"/>
      <c r="R842" s="317"/>
      <c r="S842" s="317"/>
      <c r="T842" s="317"/>
      <c r="U842" s="317"/>
      <c r="V842" s="317"/>
      <c r="W842" s="317"/>
      <c r="X842" s="317"/>
      <c r="Y842" s="317"/>
      <c r="Z842" s="317"/>
    </row>
    <row r="843" spans="1:26" x14ac:dyDescent="0.25">
      <c r="A843" s="314"/>
      <c r="B843" s="18">
        <v>2023</v>
      </c>
      <c r="C843" s="18" t="s">
        <v>792</v>
      </c>
      <c r="D843" s="18" t="s">
        <v>761</v>
      </c>
      <c r="E843" s="18" t="s">
        <v>713</v>
      </c>
      <c r="F843" s="18" t="s">
        <v>714</v>
      </c>
      <c r="G843" s="18" t="s">
        <v>677</v>
      </c>
      <c r="H843" s="18" t="s">
        <v>747</v>
      </c>
      <c r="I843" s="315">
        <v>473.13303903238051</v>
      </c>
      <c r="J843" s="315">
        <v>1.2086661000650365E-2</v>
      </c>
      <c r="K843" s="316" t="str">
        <f t="shared" si="36"/>
        <v>Commercial Equipment</v>
      </c>
      <c r="L843" s="316" t="str">
        <f t="shared" si="37"/>
        <v>Diesel</v>
      </c>
      <c r="M843" s="194"/>
      <c r="N843" s="317"/>
      <c r="O843" s="317"/>
      <c r="P843" s="317"/>
      <c r="Q843" s="317"/>
      <c r="R843" s="317"/>
      <c r="S843" s="317"/>
      <c r="T843" s="317"/>
      <c r="U843" s="317"/>
      <c r="V843" s="317"/>
      <c r="W843" s="317"/>
      <c r="X843" s="317"/>
      <c r="Y843" s="317"/>
      <c r="Z843" s="317"/>
    </row>
    <row r="844" spans="1:26" x14ac:dyDescent="0.25">
      <c r="A844" s="314"/>
      <c r="B844" s="18">
        <v>2023</v>
      </c>
      <c r="C844" s="18" t="s">
        <v>706</v>
      </c>
      <c r="D844" s="18" t="s">
        <v>984</v>
      </c>
      <c r="E844" s="18" t="s">
        <v>703</v>
      </c>
      <c r="F844" s="18" t="s">
        <v>704</v>
      </c>
      <c r="G844" s="18" t="s">
        <v>673</v>
      </c>
      <c r="H844" s="18" t="s">
        <v>985</v>
      </c>
      <c r="I844" s="315">
        <v>472.84353239892459</v>
      </c>
      <c r="J844" s="315">
        <v>0.32126804958231509</v>
      </c>
      <c r="K844" s="316" t="str">
        <f t="shared" si="36"/>
        <v>Lawn and Garden Equipment</v>
      </c>
      <c r="L844" s="316" t="str">
        <f t="shared" si="37"/>
        <v>Gasoline</v>
      </c>
      <c r="M844" s="194"/>
      <c r="N844" s="317"/>
      <c r="O844" s="317"/>
      <c r="P844" s="317"/>
      <c r="Q844" s="317"/>
      <c r="R844" s="317"/>
      <c r="S844" s="317"/>
      <c r="T844" s="317"/>
      <c r="U844" s="317"/>
      <c r="V844" s="317"/>
      <c r="W844" s="317"/>
      <c r="X844" s="317"/>
      <c r="Y844" s="317"/>
      <c r="Z844" s="317"/>
    </row>
    <row r="845" spans="1:26" x14ac:dyDescent="0.25">
      <c r="A845" s="314"/>
      <c r="B845" s="18">
        <v>2023</v>
      </c>
      <c r="C845" s="18" t="s">
        <v>731</v>
      </c>
      <c r="D845" s="18" t="s">
        <v>718</v>
      </c>
      <c r="E845" s="18" t="s">
        <v>713</v>
      </c>
      <c r="F845" s="18" t="s">
        <v>714</v>
      </c>
      <c r="G845" s="18" t="s">
        <v>674</v>
      </c>
      <c r="H845" s="18" t="s">
        <v>719</v>
      </c>
      <c r="I845" s="315">
        <v>471.65302736463582</v>
      </c>
      <c r="J845" s="315">
        <v>1.7629190553468475E-3</v>
      </c>
      <c r="K845" s="316" t="str">
        <f t="shared" si="36"/>
        <v>Construction and Mining Equipment</v>
      </c>
      <c r="L845" s="316" t="str">
        <f t="shared" si="37"/>
        <v>Diesel</v>
      </c>
      <c r="M845" s="194"/>
      <c r="N845" s="317"/>
      <c r="O845" s="317"/>
      <c r="P845" s="317"/>
      <c r="Q845" s="317"/>
      <c r="R845" s="317"/>
      <c r="S845" s="317"/>
      <c r="T845" s="317"/>
      <c r="U845" s="317"/>
      <c r="V845" s="317"/>
      <c r="W845" s="317"/>
      <c r="X845" s="317"/>
      <c r="Y845" s="317"/>
      <c r="Z845" s="317"/>
    </row>
    <row r="846" spans="1:26" x14ac:dyDescent="0.25">
      <c r="A846" s="314"/>
      <c r="B846" s="18">
        <v>2023</v>
      </c>
      <c r="C846" s="18" t="s">
        <v>710</v>
      </c>
      <c r="D846" s="18" t="s">
        <v>970</v>
      </c>
      <c r="E846" s="18" t="s">
        <v>713</v>
      </c>
      <c r="F846" s="18" t="s">
        <v>714</v>
      </c>
      <c r="G846" s="18" t="s">
        <v>675</v>
      </c>
      <c r="H846" s="18" t="s">
        <v>969</v>
      </c>
      <c r="I846" s="315">
        <v>470.85447777704019</v>
      </c>
      <c r="J846" s="315">
        <v>1.5298479630517671E-2</v>
      </c>
      <c r="K846" s="316" t="str">
        <f t="shared" si="36"/>
        <v>Industrial Equipment</v>
      </c>
      <c r="L846" s="316" t="str">
        <f t="shared" si="37"/>
        <v>Diesel</v>
      </c>
      <c r="M846" s="194"/>
      <c r="N846" s="317"/>
      <c r="O846" s="317"/>
      <c r="P846" s="317"/>
      <c r="Q846" s="317"/>
      <c r="R846" s="317"/>
      <c r="S846" s="317"/>
      <c r="T846" s="317"/>
      <c r="U846" s="317"/>
      <c r="V846" s="317"/>
      <c r="W846" s="317"/>
      <c r="X846" s="317"/>
      <c r="Y846" s="317"/>
      <c r="Z846" s="317"/>
    </row>
    <row r="847" spans="1:26" x14ac:dyDescent="0.25">
      <c r="A847" s="314"/>
      <c r="B847" s="18">
        <v>2023</v>
      </c>
      <c r="C847" s="18" t="s">
        <v>711</v>
      </c>
      <c r="D847" s="18" t="s">
        <v>964</v>
      </c>
      <c r="E847" s="18" t="s">
        <v>56</v>
      </c>
      <c r="F847" s="18" t="s">
        <v>601</v>
      </c>
      <c r="G847" s="18" t="s">
        <v>677</v>
      </c>
      <c r="H847" s="18" t="s">
        <v>965</v>
      </c>
      <c r="I847" s="315">
        <v>470.06636377062512</v>
      </c>
      <c r="J847" s="315">
        <v>2.2462705504001033</v>
      </c>
      <c r="K847" s="316" t="str">
        <f t="shared" si="36"/>
        <v>Commercial Equipment</v>
      </c>
      <c r="L847" s="316" t="str">
        <f t="shared" si="37"/>
        <v>CNG</v>
      </c>
      <c r="M847" s="194"/>
      <c r="N847" s="317"/>
      <c r="O847" s="317"/>
      <c r="P847" s="317"/>
      <c r="Q847" s="317"/>
      <c r="R847" s="317"/>
      <c r="S847" s="317"/>
      <c r="T847" s="317"/>
      <c r="U847" s="317"/>
      <c r="V847" s="317"/>
      <c r="W847" s="317"/>
      <c r="X847" s="317"/>
      <c r="Y847" s="317"/>
      <c r="Z847" s="317"/>
    </row>
    <row r="848" spans="1:26" x14ac:dyDescent="0.25">
      <c r="A848" s="314"/>
      <c r="B848" s="18">
        <v>2023</v>
      </c>
      <c r="C848" s="18" t="s">
        <v>731</v>
      </c>
      <c r="D848" s="18" t="s">
        <v>720</v>
      </c>
      <c r="E848" s="18" t="s">
        <v>713</v>
      </c>
      <c r="F848" s="18" t="s">
        <v>714</v>
      </c>
      <c r="G848" s="18" t="s">
        <v>674</v>
      </c>
      <c r="H848" s="18" t="s">
        <v>721</v>
      </c>
      <c r="I848" s="315">
        <v>469.65667764649572</v>
      </c>
      <c r="J848" s="315">
        <v>2.1198247424483382E-3</v>
      </c>
      <c r="K848" s="316" t="str">
        <f t="shared" si="36"/>
        <v>Construction and Mining Equipment</v>
      </c>
      <c r="L848" s="316" t="str">
        <f t="shared" si="37"/>
        <v>Diesel</v>
      </c>
      <c r="M848" s="194"/>
      <c r="N848" s="317"/>
      <c r="O848" s="317"/>
      <c r="P848" s="317"/>
      <c r="Q848" s="317"/>
      <c r="R848" s="317"/>
      <c r="S848" s="317"/>
      <c r="T848" s="317"/>
      <c r="U848" s="317"/>
      <c r="V848" s="317"/>
      <c r="W848" s="317"/>
      <c r="X848" s="317"/>
      <c r="Y848" s="317"/>
      <c r="Z848" s="317"/>
    </row>
    <row r="849" spans="1:26" x14ac:dyDescent="0.25">
      <c r="A849" s="314"/>
      <c r="B849" s="18">
        <v>2023</v>
      </c>
      <c r="C849" s="18" t="s">
        <v>754</v>
      </c>
      <c r="D849" s="18" t="s">
        <v>835</v>
      </c>
      <c r="E849" s="18" t="s">
        <v>703</v>
      </c>
      <c r="F849" s="18" t="s">
        <v>704</v>
      </c>
      <c r="G849" s="18" t="s">
        <v>677</v>
      </c>
      <c r="H849" s="18" t="s">
        <v>836</v>
      </c>
      <c r="I849" s="315">
        <v>469.33851532820103</v>
      </c>
      <c r="J849" s="315">
        <v>0.29284990558163665</v>
      </c>
      <c r="K849" s="316" t="str">
        <f t="shared" si="36"/>
        <v>Commercial Equipment</v>
      </c>
      <c r="L849" s="316" t="str">
        <f t="shared" si="37"/>
        <v>Gasoline</v>
      </c>
      <c r="M849" s="194"/>
      <c r="N849" s="317"/>
      <c r="O849" s="317"/>
      <c r="P849" s="317"/>
      <c r="Q849" s="317"/>
      <c r="R849" s="317"/>
      <c r="S849" s="317"/>
      <c r="T849" s="317"/>
      <c r="U849" s="317"/>
      <c r="V849" s="317"/>
      <c r="W849" s="317"/>
      <c r="X849" s="317"/>
      <c r="Y849" s="317"/>
      <c r="Z849" s="317"/>
    </row>
    <row r="850" spans="1:26" x14ac:dyDescent="0.25">
      <c r="A850" s="314"/>
      <c r="B850" s="18">
        <v>2023</v>
      </c>
      <c r="C850" s="18" t="s">
        <v>786</v>
      </c>
      <c r="D850" s="18" t="s">
        <v>718</v>
      </c>
      <c r="E850" s="18" t="s">
        <v>713</v>
      </c>
      <c r="F850" s="18" t="s">
        <v>714</v>
      </c>
      <c r="G850" s="18" t="s">
        <v>674</v>
      </c>
      <c r="H850" s="18" t="s">
        <v>719</v>
      </c>
      <c r="I850" s="315">
        <v>468.44010956357135</v>
      </c>
      <c r="J850" s="315">
        <v>1.7509117386760077E-3</v>
      </c>
      <c r="K850" s="316" t="str">
        <f t="shared" si="36"/>
        <v>Construction and Mining Equipment</v>
      </c>
      <c r="L850" s="316" t="str">
        <f t="shared" si="37"/>
        <v>Diesel</v>
      </c>
      <c r="M850" s="194"/>
      <c r="N850" s="317"/>
      <c r="O850" s="317"/>
      <c r="P850" s="317"/>
      <c r="Q850" s="317"/>
      <c r="R850" s="317"/>
      <c r="S850" s="317"/>
      <c r="T850" s="317"/>
      <c r="U850" s="317"/>
      <c r="V850" s="317"/>
      <c r="W850" s="317"/>
      <c r="X850" s="317"/>
      <c r="Y850" s="317"/>
      <c r="Z850" s="317"/>
    </row>
    <row r="851" spans="1:26" x14ac:dyDescent="0.25">
      <c r="A851" s="314"/>
      <c r="B851" s="18">
        <v>2023</v>
      </c>
      <c r="C851" s="18" t="s">
        <v>778</v>
      </c>
      <c r="D851" s="18" t="s">
        <v>741</v>
      </c>
      <c r="E851" s="18" t="s">
        <v>713</v>
      </c>
      <c r="F851" s="18" t="s">
        <v>714</v>
      </c>
      <c r="G851" s="18" t="s">
        <v>673</v>
      </c>
      <c r="H851" s="18" t="s">
        <v>742</v>
      </c>
      <c r="I851" s="315">
        <v>467.77064724435286</v>
      </c>
      <c r="J851" s="315">
        <v>7.7476163857090261E-3</v>
      </c>
      <c r="K851" s="316" t="str">
        <f t="shared" si="36"/>
        <v>Lawn and Garden Equipment</v>
      </c>
      <c r="L851" s="316" t="str">
        <f t="shared" si="37"/>
        <v>Diesel</v>
      </c>
      <c r="M851" s="194"/>
      <c r="N851" s="317"/>
      <c r="O851" s="317"/>
      <c r="P851" s="317"/>
      <c r="Q851" s="317"/>
      <c r="R851" s="317"/>
      <c r="S851" s="317"/>
      <c r="T851" s="317"/>
      <c r="U851" s="317"/>
      <c r="V851" s="317"/>
      <c r="W851" s="317"/>
      <c r="X851" s="317"/>
      <c r="Y851" s="317"/>
      <c r="Z851" s="317"/>
    </row>
    <row r="852" spans="1:26" x14ac:dyDescent="0.25">
      <c r="A852" s="314"/>
      <c r="B852" s="18">
        <v>2023</v>
      </c>
      <c r="C852" s="18" t="s">
        <v>731</v>
      </c>
      <c r="D852" s="18" t="s">
        <v>746</v>
      </c>
      <c r="E852" s="18" t="s">
        <v>703</v>
      </c>
      <c r="F852" s="18" t="s">
        <v>704</v>
      </c>
      <c r="G852" s="18" t="s">
        <v>677</v>
      </c>
      <c r="H852" s="18" t="s">
        <v>747</v>
      </c>
      <c r="I852" s="315">
        <v>467.7441024856746</v>
      </c>
      <c r="J852" s="315">
        <v>0.30670715435463086</v>
      </c>
      <c r="K852" s="316" t="str">
        <f t="shared" si="36"/>
        <v>Commercial Equipment</v>
      </c>
      <c r="L852" s="316" t="str">
        <f t="shared" si="37"/>
        <v>Gasoline</v>
      </c>
      <c r="M852" s="194"/>
      <c r="N852" s="317"/>
      <c r="O852" s="317"/>
      <c r="P852" s="317"/>
      <c r="Q852" s="317"/>
      <c r="R852" s="317"/>
      <c r="S852" s="317"/>
      <c r="T852" s="317"/>
      <c r="U852" s="317"/>
      <c r="V852" s="317"/>
      <c r="W852" s="317"/>
      <c r="X852" s="317"/>
      <c r="Y852" s="317"/>
      <c r="Z852" s="317"/>
    </row>
    <row r="853" spans="1:26" x14ac:dyDescent="0.25">
      <c r="A853" s="314"/>
      <c r="B853" s="18">
        <v>2023</v>
      </c>
      <c r="C853" s="18" t="s">
        <v>786</v>
      </c>
      <c r="D853" s="18" t="s">
        <v>720</v>
      </c>
      <c r="E853" s="18" t="s">
        <v>713</v>
      </c>
      <c r="F853" s="18" t="s">
        <v>714</v>
      </c>
      <c r="G853" s="18" t="s">
        <v>674</v>
      </c>
      <c r="H853" s="18" t="s">
        <v>721</v>
      </c>
      <c r="I853" s="315">
        <v>466.45747700738445</v>
      </c>
      <c r="J853" s="315">
        <v>2.1053869429555768E-3</v>
      </c>
      <c r="K853" s="316" t="str">
        <f t="shared" si="36"/>
        <v>Construction and Mining Equipment</v>
      </c>
      <c r="L853" s="316" t="str">
        <f t="shared" si="37"/>
        <v>Diesel</v>
      </c>
      <c r="M853" s="194"/>
      <c r="N853" s="317"/>
      <c r="O853" s="317"/>
      <c r="P853" s="317"/>
      <c r="Q853" s="317"/>
      <c r="R853" s="317"/>
      <c r="S853" s="317"/>
      <c r="T853" s="317"/>
      <c r="U853" s="317"/>
      <c r="V853" s="317"/>
      <c r="W853" s="317"/>
      <c r="X853" s="317"/>
      <c r="Y853" s="317"/>
      <c r="Z853" s="317"/>
    </row>
    <row r="854" spans="1:26" x14ac:dyDescent="0.25">
      <c r="A854" s="314"/>
      <c r="B854" s="18">
        <v>2023</v>
      </c>
      <c r="C854" s="18" t="s">
        <v>787</v>
      </c>
      <c r="D854" s="18" t="s">
        <v>761</v>
      </c>
      <c r="E854" s="18" t="s">
        <v>713</v>
      </c>
      <c r="F854" s="18" t="s">
        <v>714</v>
      </c>
      <c r="G854" s="18" t="s">
        <v>677</v>
      </c>
      <c r="H854" s="18" t="s">
        <v>747</v>
      </c>
      <c r="I854" s="315">
        <v>465.85233896240368</v>
      </c>
      <c r="J854" s="315">
        <v>1.1900688813615766E-2</v>
      </c>
      <c r="K854" s="316" t="str">
        <f t="shared" si="36"/>
        <v>Commercial Equipment</v>
      </c>
      <c r="L854" s="316" t="str">
        <f t="shared" si="37"/>
        <v>Diesel</v>
      </c>
      <c r="M854" s="194"/>
      <c r="N854" s="317"/>
      <c r="O854" s="317"/>
      <c r="P854" s="317"/>
      <c r="Q854" s="317"/>
      <c r="R854" s="317"/>
      <c r="S854" s="317"/>
      <c r="T854" s="317"/>
      <c r="U854" s="317"/>
      <c r="V854" s="317"/>
      <c r="W854" s="317"/>
      <c r="X854" s="317"/>
      <c r="Y854" s="317"/>
      <c r="Z854" s="317"/>
    </row>
    <row r="855" spans="1:26" x14ac:dyDescent="0.25">
      <c r="A855" s="314"/>
      <c r="B855" s="18">
        <v>2023</v>
      </c>
      <c r="C855" s="18" t="s">
        <v>750</v>
      </c>
      <c r="D855" s="18" t="s">
        <v>790</v>
      </c>
      <c r="E855" s="18" t="s">
        <v>713</v>
      </c>
      <c r="F855" s="18" t="s">
        <v>714</v>
      </c>
      <c r="G855" s="18" t="s">
        <v>674</v>
      </c>
      <c r="H855" s="18" t="s">
        <v>791</v>
      </c>
      <c r="I855" s="315">
        <v>465.12309719848236</v>
      </c>
      <c r="J855" s="315">
        <v>2.6738196327669838E-3</v>
      </c>
      <c r="K855" s="316" t="str">
        <f t="shared" si="36"/>
        <v>Construction and Mining Equipment</v>
      </c>
      <c r="L855" s="316" t="str">
        <f t="shared" si="37"/>
        <v>Diesel</v>
      </c>
      <c r="M855" s="194"/>
      <c r="N855" s="317"/>
      <c r="O855" s="317"/>
      <c r="P855" s="317"/>
      <c r="Q855" s="317"/>
      <c r="R855" s="317"/>
      <c r="S855" s="317"/>
      <c r="T855" s="317"/>
      <c r="U855" s="317"/>
      <c r="V855" s="317"/>
      <c r="W855" s="317"/>
      <c r="X855" s="317"/>
      <c r="Y855" s="317"/>
      <c r="Z855" s="317"/>
    </row>
    <row r="856" spans="1:26" x14ac:dyDescent="0.25">
      <c r="A856" s="314"/>
      <c r="B856" s="18">
        <v>2023</v>
      </c>
      <c r="C856" s="18" t="s">
        <v>732</v>
      </c>
      <c r="D856" s="18" t="s">
        <v>855</v>
      </c>
      <c r="E856" s="18" t="s">
        <v>713</v>
      </c>
      <c r="F856" s="18" t="s">
        <v>714</v>
      </c>
      <c r="G856" s="18" t="s">
        <v>674</v>
      </c>
      <c r="H856" s="18" t="s">
        <v>856</v>
      </c>
      <c r="I856" s="315">
        <v>463.46592095453457</v>
      </c>
      <c r="J856" s="315">
        <v>2.9285855153322275E-3</v>
      </c>
      <c r="K856" s="316" t="str">
        <f t="shared" si="36"/>
        <v>Construction and Mining Equipment</v>
      </c>
      <c r="L856" s="316" t="str">
        <f t="shared" si="37"/>
        <v>Diesel</v>
      </c>
      <c r="M856" s="194"/>
      <c r="N856" s="317"/>
      <c r="O856" s="317"/>
      <c r="P856" s="317"/>
      <c r="Q856" s="317"/>
      <c r="R856" s="317"/>
      <c r="S856" s="317"/>
      <c r="T856" s="317"/>
      <c r="U856" s="317"/>
      <c r="V856" s="317"/>
      <c r="W856" s="317"/>
      <c r="X856" s="317"/>
      <c r="Y856" s="317"/>
      <c r="Z856" s="317"/>
    </row>
    <row r="857" spans="1:26" x14ac:dyDescent="0.25">
      <c r="A857" s="314"/>
      <c r="B857" s="18">
        <v>2023</v>
      </c>
      <c r="C857" s="18" t="s">
        <v>754</v>
      </c>
      <c r="D857" s="18" t="s">
        <v>830</v>
      </c>
      <c r="E857" s="18" t="s">
        <v>703</v>
      </c>
      <c r="F857" s="18" t="s">
        <v>704</v>
      </c>
      <c r="G857" s="18" t="s">
        <v>673</v>
      </c>
      <c r="H857" s="18" t="s">
        <v>742</v>
      </c>
      <c r="I857" s="315">
        <v>462.3381175922338</v>
      </c>
      <c r="J857" s="315">
        <v>0.20182566132584509</v>
      </c>
      <c r="K857" s="316" t="str">
        <f t="shared" si="36"/>
        <v>Lawn and Garden Equipment</v>
      </c>
      <c r="L857" s="316" t="str">
        <f t="shared" si="37"/>
        <v>Gasoline</v>
      </c>
      <c r="M857" s="194"/>
      <c r="N857" s="317"/>
      <c r="O857" s="317"/>
      <c r="P857" s="317"/>
      <c r="Q857" s="317"/>
      <c r="R857" s="317"/>
      <c r="S857" s="317"/>
      <c r="T857" s="317"/>
      <c r="U857" s="317"/>
      <c r="V857" s="317"/>
      <c r="W857" s="317"/>
      <c r="X857" s="317"/>
      <c r="Y857" s="317"/>
      <c r="Z857" s="317"/>
    </row>
    <row r="858" spans="1:26" x14ac:dyDescent="0.25">
      <c r="A858" s="314"/>
      <c r="B858" s="18">
        <v>2023</v>
      </c>
      <c r="C858" s="18" t="s">
        <v>810</v>
      </c>
      <c r="D858" s="18" t="s">
        <v>755</v>
      </c>
      <c r="E858" s="18" t="s">
        <v>713</v>
      </c>
      <c r="F858" s="18" t="s">
        <v>714</v>
      </c>
      <c r="G858" s="18" t="s">
        <v>674</v>
      </c>
      <c r="H858" s="18" t="s">
        <v>756</v>
      </c>
      <c r="I858" s="315">
        <v>461.36891588366007</v>
      </c>
      <c r="J858" s="315">
        <v>1.7915673125062044E-2</v>
      </c>
      <c r="K858" s="316" t="str">
        <f t="shared" si="36"/>
        <v>Construction and Mining Equipment</v>
      </c>
      <c r="L858" s="316" t="str">
        <f t="shared" si="37"/>
        <v>Diesel</v>
      </c>
      <c r="M858" s="194"/>
      <c r="N858" s="317"/>
      <c r="O858" s="317"/>
      <c r="P858" s="317"/>
      <c r="Q858" s="317"/>
      <c r="R858" s="317"/>
      <c r="S858" s="317"/>
      <c r="T858" s="317"/>
      <c r="U858" s="317"/>
      <c r="V858" s="317"/>
      <c r="W858" s="317"/>
      <c r="X858" s="317"/>
      <c r="Y858" s="317"/>
      <c r="Z858" s="317"/>
    </row>
    <row r="859" spans="1:26" x14ac:dyDescent="0.25">
      <c r="A859" s="314"/>
      <c r="B859" s="18">
        <v>2023</v>
      </c>
      <c r="C859" s="18" t="s">
        <v>709</v>
      </c>
      <c r="D859" s="18" t="s">
        <v>984</v>
      </c>
      <c r="E859" s="18" t="s">
        <v>703</v>
      </c>
      <c r="F859" s="18" t="s">
        <v>704</v>
      </c>
      <c r="G859" s="18" t="s">
        <v>673</v>
      </c>
      <c r="H859" s="18" t="s">
        <v>985</v>
      </c>
      <c r="I859" s="315">
        <v>458.13996937382342</v>
      </c>
      <c r="J859" s="315">
        <v>0.31093654782639607</v>
      </c>
      <c r="K859" s="316" t="str">
        <f t="shared" si="36"/>
        <v>Lawn and Garden Equipment</v>
      </c>
      <c r="L859" s="316" t="str">
        <f t="shared" si="37"/>
        <v>Gasoline</v>
      </c>
      <c r="M859" s="194"/>
      <c r="N859" s="317"/>
      <c r="O859" s="317"/>
      <c r="P859" s="317"/>
      <c r="Q859" s="317"/>
      <c r="R859" s="317"/>
      <c r="S859" s="317"/>
      <c r="T859" s="317"/>
      <c r="U859" s="317"/>
      <c r="V859" s="317"/>
      <c r="W859" s="317"/>
      <c r="X859" s="317"/>
      <c r="Y859" s="317"/>
      <c r="Z859" s="317"/>
    </row>
    <row r="860" spans="1:26" x14ac:dyDescent="0.25">
      <c r="A860" s="314"/>
      <c r="B860" s="18">
        <v>2023</v>
      </c>
      <c r="C860" s="18" t="s">
        <v>701</v>
      </c>
      <c r="D860" s="18" t="s">
        <v>986</v>
      </c>
      <c r="E860" s="18" t="s">
        <v>703</v>
      </c>
      <c r="F860" s="18" t="s">
        <v>704</v>
      </c>
      <c r="G860" s="18" t="s">
        <v>673</v>
      </c>
      <c r="H860" s="18" t="s">
        <v>987</v>
      </c>
      <c r="I860" s="315">
        <v>457.63088563416528</v>
      </c>
      <c r="J860" s="315">
        <v>0.31365814109803941</v>
      </c>
      <c r="K860" s="316" t="str">
        <f t="shared" si="36"/>
        <v>Lawn and Garden Equipment</v>
      </c>
      <c r="L860" s="316" t="str">
        <f t="shared" si="37"/>
        <v>Gasoline</v>
      </c>
      <c r="M860" s="194"/>
      <c r="N860" s="317"/>
      <c r="O860" s="317"/>
      <c r="P860" s="317"/>
      <c r="Q860" s="317"/>
      <c r="R860" s="317"/>
      <c r="S860" s="317"/>
      <c r="T860" s="317"/>
      <c r="U860" s="317"/>
      <c r="V860" s="317"/>
      <c r="W860" s="317"/>
      <c r="X860" s="317"/>
      <c r="Y860" s="317"/>
      <c r="Z860" s="317"/>
    </row>
    <row r="861" spans="1:26" x14ac:dyDescent="0.25">
      <c r="A861" s="314"/>
      <c r="B861" s="18">
        <v>2023</v>
      </c>
      <c r="C861" s="18" t="s">
        <v>760</v>
      </c>
      <c r="D861" s="18" t="s">
        <v>794</v>
      </c>
      <c r="E861" s="18" t="s">
        <v>703</v>
      </c>
      <c r="F861" s="18" t="s">
        <v>795</v>
      </c>
      <c r="G861" s="18" t="s">
        <v>673</v>
      </c>
      <c r="H861" s="18" t="s">
        <v>796</v>
      </c>
      <c r="I861" s="315">
        <v>457.38131022794761</v>
      </c>
      <c r="J861" s="315">
        <v>0.83554784176254349</v>
      </c>
      <c r="K861" s="316" t="str">
        <f t="shared" si="36"/>
        <v>Lawn and Garden Equipment</v>
      </c>
      <c r="L861" s="316" t="str">
        <f t="shared" si="37"/>
        <v>Gasoline</v>
      </c>
      <c r="M861" s="194"/>
      <c r="N861" s="317"/>
      <c r="O861" s="317"/>
      <c r="P861" s="317"/>
      <c r="Q861" s="317"/>
      <c r="R861" s="317"/>
      <c r="S861" s="317"/>
      <c r="T861" s="317"/>
      <c r="U861" s="317"/>
      <c r="V861" s="317"/>
      <c r="W861" s="317"/>
      <c r="X861" s="317"/>
      <c r="Y861" s="317"/>
      <c r="Z861" s="317"/>
    </row>
    <row r="862" spans="1:26" x14ac:dyDescent="0.25">
      <c r="A862" s="314"/>
      <c r="B862" s="18">
        <v>2023</v>
      </c>
      <c r="C862" s="18" t="s">
        <v>732</v>
      </c>
      <c r="D862" s="18" t="s">
        <v>864</v>
      </c>
      <c r="E862" s="18" t="s">
        <v>703</v>
      </c>
      <c r="F862" s="18" t="s">
        <v>704</v>
      </c>
      <c r="G862" s="18" t="s">
        <v>673</v>
      </c>
      <c r="H862" s="18" t="s">
        <v>865</v>
      </c>
      <c r="I862" s="315">
        <v>456.38461026141158</v>
      </c>
      <c r="J862" s="315">
        <v>0.31100742903732265</v>
      </c>
      <c r="K862" s="316" t="str">
        <f t="shared" si="36"/>
        <v>Lawn and Garden Equipment</v>
      </c>
      <c r="L862" s="316" t="str">
        <f t="shared" si="37"/>
        <v>Gasoline</v>
      </c>
      <c r="M862" s="194"/>
      <c r="N862" s="317"/>
      <c r="O862" s="317"/>
      <c r="P862" s="317"/>
      <c r="Q862" s="317"/>
      <c r="R862" s="317"/>
      <c r="S862" s="317"/>
      <c r="T862" s="317"/>
      <c r="U862" s="317"/>
      <c r="V862" s="317"/>
      <c r="W862" s="317"/>
      <c r="X862" s="317"/>
      <c r="Y862" s="317"/>
      <c r="Z862" s="317"/>
    </row>
    <row r="863" spans="1:26" x14ac:dyDescent="0.25">
      <c r="A863" s="314"/>
      <c r="B863" s="18">
        <v>2023</v>
      </c>
      <c r="C863" s="18" t="s">
        <v>710</v>
      </c>
      <c r="D863" s="18" t="s">
        <v>964</v>
      </c>
      <c r="E863" s="18" t="s">
        <v>56</v>
      </c>
      <c r="F863" s="18" t="s">
        <v>601</v>
      </c>
      <c r="G863" s="18" t="s">
        <v>677</v>
      </c>
      <c r="H863" s="18" t="s">
        <v>965</v>
      </c>
      <c r="I863" s="315">
        <v>453.66041981702654</v>
      </c>
      <c r="J863" s="315">
        <v>2.1678712212305804</v>
      </c>
      <c r="K863" s="316" t="str">
        <f t="shared" si="36"/>
        <v>Commercial Equipment</v>
      </c>
      <c r="L863" s="316" t="str">
        <f t="shared" si="37"/>
        <v>CNG</v>
      </c>
      <c r="M863" s="194"/>
      <c r="N863" s="317"/>
      <c r="O863" s="317"/>
      <c r="P863" s="317"/>
      <c r="Q863" s="317"/>
      <c r="R863" s="317"/>
      <c r="S863" s="317"/>
      <c r="T863" s="317"/>
      <c r="U863" s="317"/>
      <c r="V863" s="317"/>
      <c r="W863" s="317"/>
      <c r="X863" s="317"/>
      <c r="Y863" s="317"/>
      <c r="Z863" s="317"/>
    </row>
    <row r="864" spans="1:26" x14ac:dyDescent="0.25">
      <c r="A864" s="314"/>
      <c r="B864" s="18">
        <v>2023</v>
      </c>
      <c r="C864" s="18" t="s">
        <v>793</v>
      </c>
      <c r="D864" s="18" t="s">
        <v>774</v>
      </c>
      <c r="E864" s="18" t="s">
        <v>703</v>
      </c>
      <c r="F864" s="18" t="s">
        <v>704</v>
      </c>
      <c r="G864" s="18" t="s">
        <v>673</v>
      </c>
      <c r="H864" s="18" t="s">
        <v>775</v>
      </c>
      <c r="I864" s="315">
        <v>453.51500290888936</v>
      </c>
      <c r="J864" s="315">
        <v>0.31001130379749636</v>
      </c>
      <c r="K864" s="316" t="str">
        <f t="shared" si="36"/>
        <v>Lawn and Garden Equipment</v>
      </c>
      <c r="L864" s="316" t="str">
        <f t="shared" si="37"/>
        <v>Gasoline</v>
      </c>
      <c r="M864" s="194"/>
      <c r="N864" s="317"/>
      <c r="O864" s="317"/>
      <c r="P864" s="317"/>
      <c r="Q864" s="317"/>
      <c r="R864" s="317"/>
      <c r="S864" s="317"/>
      <c r="T864" s="317"/>
      <c r="U864" s="317"/>
      <c r="V864" s="317"/>
      <c r="W864" s="317"/>
      <c r="X864" s="317"/>
      <c r="Y864" s="317"/>
      <c r="Z864" s="317"/>
    </row>
    <row r="865" spans="1:26" x14ac:dyDescent="0.25">
      <c r="A865" s="314"/>
      <c r="B865" s="18">
        <v>2023</v>
      </c>
      <c r="C865" s="18" t="s">
        <v>701</v>
      </c>
      <c r="D865" s="18" t="s">
        <v>738</v>
      </c>
      <c r="E865" s="18" t="s">
        <v>703</v>
      </c>
      <c r="F865" s="18" t="s">
        <v>676</v>
      </c>
      <c r="G865" s="18" t="s">
        <v>739</v>
      </c>
      <c r="H865" s="18" t="s">
        <v>740</v>
      </c>
      <c r="I865" s="315">
        <v>449.03211768486517</v>
      </c>
      <c r="J865" s="315">
        <v>0.19524074406410849</v>
      </c>
      <c r="K865" s="316" t="str">
        <f t="shared" si="36"/>
        <v>Pleasure Craft</v>
      </c>
      <c r="L865" s="316" t="str">
        <f t="shared" si="37"/>
        <v>Gasoline</v>
      </c>
      <c r="M865" s="194"/>
      <c r="N865" s="317"/>
      <c r="O865" s="317"/>
      <c r="P865" s="317"/>
      <c r="Q865" s="317"/>
      <c r="R865" s="317"/>
      <c r="S865" s="317"/>
      <c r="T865" s="317"/>
      <c r="U865" s="317"/>
      <c r="V865" s="317"/>
      <c r="W865" s="317"/>
      <c r="X865" s="317"/>
      <c r="Y865" s="317"/>
      <c r="Z865" s="317"/>
    </row>
    <row r="866" spans="1:26" x14ac:dyDescent="0.25">
      <c r="A866" s="314"/>
      <c r="B866" s="18">
        <v>2023</v>
      </c>
      <c r="C866" s="18" t="s">
        <v>732</v>
      </c>
      <c r="D866" s="18" t="s">
        <v>858</v>
      </c>
      <c r="E866" s="18" t="s">
        <v>713</v>
      </c>
      <c r="F866" s="18" t="s">
        <v>714</v>
      </c>
      <c r="G866" s="18" t="s">
        <v>674</v>
      </c>
      <c r="H866" s="18" t="s">
        <v>859</v>
      </c>
      <c r="I866" s="315">
        <v>445.84892157687756</v>
      </c>
      <c r="J866" s="315">
        <v>3.9575445344394297E-3</v>
      </c>
      <c r="K866" s="316" t="str">
        <f t="shared" si="36"/>
        <v>Construction and Mining Equipment</v>
      </c>
      <c r="L866" s="316" t="str">
        <f t="shared" si="37"/>
        <v>Diesel</v>
      </c>
      <c r="M866" s="194"/>
      <c r="N866" s="317"/>
      <c r="O866" s="317"/>
      <c r="P866" s="317"/>
      <c r="Q866" s="317"/>
      <c r="R866" s="317"/>
      <c r="S866" s="317"/>
      <c r="T866" s="317"/>
      <c r="U866" s="317"/>
      <c r="V866" s="317"/>
      <c r="W866" s="317"/>
      <c r="X866" s="317"/>
      <c r="Y866" s="317"/>
      <c r="Z866" s="317"/>
    </row>
    <row r="867" spans="1:26" x14ac:dyDescent="0.25">
      <c r="A867" s="314"/>
      <c r="B867" s="18">
        <v>2023</v>
      </c>
      <c r="C867" s="18" t="s">
        <v>750</v>
      </c>
      <c r="D867" s="18" t="s">
        <v>723</v>
      </c>
      <c r="E867" s="18" t="s">
        <v>703</v>
      </c>
      <c r="F867" s="18" t="s">
        <v>704</v>
      </c>
      <c r="G867" s="18" t="s">
        <v>673</v>
      </c>
      <c r="H867" s="18" t="s">
        <v>724</v>
      </c>
      <c r="I867" s="315">
        <v>445.50782236482507</v>
      </c>
      <c r="J867" s="315">
        <v>0.29212666869545101</v>
      </c>
      <c r="K867" s="316" t="str">
        <f t="shared" si="36"/>
        <v>Lawn and Garden Equipment</v>
      </c>
      <c r="L867" s="316" t="str">
        <f t="shared" si="37"/>
        <v>Gasoline</v>
      </c>
      <c r="M867" s="194"/>
      <c r="N867" s="317"/>
      <c r="O867" s="317"/>
      <c r="P867" s="317"/>
      <c r="Q867" s="317"/>
      <c r="R867" s="317"/>
      <c r="S867" s="317"/>
      <c r="T867" s="317"/>
      <c r="U867" s="317"/>
      <c r="V867" s="317"/>
      <c r="W867" s="317"/>
      <c r="X867" s="317"/>
      <c r="Y867" s="317"/>
      <c r="Z867" s="317"/>
    </row>
    <row r="868" spans="1:26" x14ac:dyDescent="0.25">
      <c r="A868" s="314"/>
      <c r="B868" s="18">
        <v>2023</v>
      </c>
      <c r="C868" s="18" t="s">
        <v>810</v>
      </c>
      <c r="D868" s="18" t="s">
        <v>757</v>
      </c>
      <c r="E868" s="18" t="s">
        <v>713</v>
      </c>
      <c r="F868" s="18" t="s">
        <v>714</v>
      </c>
      <c r="G868" s="18" t="s">
        <v>673</v>
      </c>
      <c r="H868" s="18" t="s">
        <v>758</v>
      </c>
      <c r="I868" s="315">
        <v>445.49303155165512</v>
      </c>
      <c r="J868" s="315">
        <v>1.7163841313107903E-2</v>
      </c>
      <c r="K868" s="316" t="str">
        <f t="shared" si="36"/>
        <v>Lawn and Garden Equipment</v>
      </c>
      <c r="L868" s="316" t="str">
        <f t="shared" si="37"/>
        <v>Diesel</v>
      </c>
      <c r="M868" s="194"/>
      <c r="N868" s="317"/>
      <c r="O868" s="317"/>
      <c r="P868" s="317"/>
      <c r="Q868" s="317"/>
      <c r="R868" s="317"/>
      <c r="S868" s="317"/>
      <c r="T868" s="317"/>
      <c r="U868" s="317"/>
      <c r="V868" s="317"/>
      <c r="W868" s="317"/>
      <c r="X868" s="317"/>
      <c r="Y868" s="317"/>
      <c r="Z868" s="317"/>
    </row>
    <row r="869" spans="1:26" x14ac:dyDescent="0.25">
      <c r="A869" s="314"/>
      <c r="B869" s="18">
        <v>2023</v>
      </c>
      <c r="C869" s="18" t="s">
        <v>759</v>
      </c>
      <c r="D869" s="18" t="s">
        <v>757</v>
      </c>
      <c r="E869" s="18" t="s">
        <v>713</v>
      </c>
      <c r="F869" s="18" t="s">
        <v>714</v>
      </c>
      <c r="G869" s="18" t="s">
        <v>673</v>
      </c>
      <c r="H869" s="18" t="s">
        <v>758</v>
      </c>
      <c r="I869" s="315">
        <v>445.49303155165512</v>
      </c>
      <c r="J869" s="315">
        <v>1.7163841313107903E-2</v>
      </c>
      <c r="K869" s="316" t="str">
        <f t="shared" si="36"/>
        <v>Lawn and Garden Equipment</v>
      </c>
      <c r="L869" s="316" t="str">
        <f t="shared" si="37"/>
        <v>Diesel</v>
      </c>
      <c r="M869" s="194"/>
      <c r="N869" s="317"/>
      <c r="O869" s="317"/>
      <c r="P869" s="317"/>
      <c r="Q869" s="317"/>
      <c r="R869" s="317"/>
      <c r="S869" s="317"/>
      <c r="T869" s="317"/>
      <c r="U869" s="317"/>
      <c r="V869" s="317"/>
      <c r="W869" s="317"/>
      <c r="X869" s="317"/>
      <c r="Y869" s="317"/>
      <c r="Z869" s="317"/>
    </row>
    <row r="870" spans="1:26" x14ac:dyDescent="0.25">
      <c r="A870" s="314"/>
      <c r="B870" s="18">
        <v>2023</v>
      </c>
      <c r="C870" s="18" t="s">
        <v>727</v>
      </c>
      <c r="D870" s="18" t="s">
        <v>757</v>
      </c>
      <c r="E870" s="18" t="s">
        <v>713</v>
      </c>
      <c r="F870" s="18" t="s">
        <v>714</v>
      </c>
      <c r="G870" s="18" t="s">
        <v>673</v>
      </c>
      <c r="H870" s="18" t="s">
        <v>758</v>
      </c>
      <c r="I870" s="315">
        <v>445.49303155165512</v>
      </c>
      <c r="J870" s="315">
        <v>1.7163841313107903E-2</v>
      </c>
      <c r="K870" s="316" t="str">
        <f t="shared" si="36"/>
        <v>Lawn and Garden Equipment</v>
      </c>
      <c r="L870" s="316" t="str">
        <f t="shared" si="37"/>
        <v>Diesel</v>
      </c>
      <c r="M870" s="194"/>
      <c r="N870" s="317"/>
      <c r="O870" s="317"/>
      <c r="P870" s="317"/>
      <c r="Q870" s="317"/>
      <c r="R870" s="317"/>
      <c r="S870" s="317"/>
      <c r="T870" s="317"/>
      <c r="U870" s="317"/>
      <c r="V870" s="317"/>
      <c r="W870" s="317"/>
      <c r="X870" s="317"/>
      <c r="Y870" s="317"/>
      <c r="Z870" s="317"/>
    </row>
    <row r="871" spans="1:26" x14ac:dyDescent="0.25">
      <c r="A871" s="314"/>
      <c r="B871" s="18">
        <v>2023</v>
      </c>
      <c r="C871" s="18" t="s">
        <v>701</v>
      </c>
      <c r="D871" s="18" t="s">
        <v>966</v>
      </c>
      <c r="E871" s="18" t="s">
        <v>703</v>
      </c>
      <c r="F871" s="18" t="s">
        <v>704</v>
      </c>
      <c r="G871" s="18" t="s">
        <v>674</v>
      </c>
      <c r="H871" s="18" t="s">
        <v>967</v>
      </c>
      <c r="I871" s="315">
        <v>444.25244079833175</v>
      </c>
      <c r="J871" s="315">
        <v>0.30783529193686004</v>
      </c>
      <c r="K871" s="316" t="str">
        <f t="shared" si="36"/>
        <v>Construction and Mining Equipment</v>
      </c>
      <c r="L871" s="316" t="str">
        <f t="shared" si="37"/>
        <v>Gasoline</v>
      </c>
      <c r="M871" s="194"/>
      <c r="N871" s="317"/>
      <c r="O871" s="317"/>
      <c r="P871" s="317"/>
      <c r="Q871" s="317"/>
      <c r="R871" s="317"/>
      <c r="S871" s="317"/>
      <c r="T871" s="317"/>
      <c r="U871" s="317"/>
      <c r="V871" s="317"/>
      <c r="W871" s="317"/>
      <c r="X871" s="317"/>
      <c r="Y871" s="317"/>
      <c r="Z871" s="317"/>
    </row>
    <row r="872" spans="1:26" x14ac:dyDescent="0.25">
      <c r="A872" s="314"/>
      <c r="B872" s="18">
        <v>2023</v>
      </c>
      <c r="C872" s="18" t="s">
        <v>709</v>
      </c>
      <c r="D872" s="18" t="s">
        <v>925</v>
      </c>
      <c r="E872" s="18" t="s">
        <v>703</v>
      </c>
      <c r="F872" s="18" t="s">
        <v>704</v>
      </c>
      <c r="G872" s="18" t="s">
        <v>675</v>
      </c>
      <c r="H872" s="18" t="s">
        <v>798</v>
      </c>
      <c r="I872" s="315">
        <v>443.60138046413789</v>
      </c>
      <c r="J872" s="315">
        <v>0.33157744772239478</v>
      </c>
      <c r="K872" s="316" t="str">
        <f t="shared" si="36"/>
        <v>Industrial Equipment</v>
      </c>
      <c r="L872" s="316" t="str">
        <f t="shared" si="37"/>
        <v>Gasoline</v>
      </c>
      <c r="M872" s="194"/>
      <c r="N872" s="317"/>
      <c r="O872" s="317"/>
      <c r="P872" s="317"/>
      <c r="Q872" s="317"/>
      <c r="R872" s="317"/>
      <c r="S872" s="317"/>
      <c r="T872" s="317"/>
      <c r="U872" s="317"/>
      <c r="V872" s="317"/>
      <c r="W872" s="317"/>
      <c r="X872" s="317"/>
      <c r="Y872" s="317"/>
      <c r="Z872" s="317"/>
    </row>
    <row r="873" spans="1:26" x14ac:dyDescent="0.25">
      <c r="A873" s="314"/>
      <c r="B873" s="18">
        <v>2023</v>
      </c>
      <c r="C873" s="18" t="s">
        <v>731</v>
      </c>
      <c r="D873" s="18" t="s">
        <v>757</v>
      </c>
      <c r="E873" s="18" t="s">
        <v>713</v>
      </c>
      <c r="F873" s="18" t="s">
        <v>714</v>
      </c>
      <c r="G873" s="18" t="s">
        <v>673</v>
      </c>
      <c r="H873" s="18" t="s">
        <v>758</v>
      </c>
      <c r="I873" s="315">
        <v>442.72605820067031</v>
      </c>
      <c r="J873" s="315">
        <v>1.705723405820302E-2</v>
      </c>
      <c r="K873" s="316" t="str">
        <f t="shared" si="36"/>
        <v>Lawn and Garden Equipment</v>
      </c>
      <c r="L873" s="316" t="str">
        <f t="shared" si="37"/>
        <v>Diesel</v>
      </c>
      <c r="M873" s="194"/>
      <c r="N873" s="317"/>
      <c r="O873" s="317"/>
      <c r="P873" s="317"/>
      <c r="Q873" s="317"/>
      <c r="R873" s="317"/>
      <c r="S873" s="317"/>
      <c r="T873" s="317"/>
      <c r="U873" s="317"/>
      <c r="V873" s="317"/>
      <c r="W873" s="317"/>
      <c r="X873" s="317"/>
      <c r="Y873" s="317"/>
      <c r="Z873" s="317"/>
    </row>
    <row r="874" spans="1:26" x14ac:dyDescent="0.25">
      <c r="A874" s="314"/>
      <c r="B874" s="18">
        <v>2023</v>
      </c>
      <c r="C874" s="18" t="s">
        <v>786</v>
      </c>
      <c r="D874" s="18" t="s">
        <v>716</v>
      </c>
      <c r="E874" s="18" t="s">
        <v>713</v>
      </c>
      <c r="F874" s="18" t="s">
        <v>714</v>
      </c>
      <c r="G874" s="18" t="s">
        <v>675</v>
      </c>
      <c r="H874" s="18" t="s">
        <v>717</v>
      </c>
      <c r="I874" s="315">
        <v>439.37004495908963</v>
      </c>
      <c r="J874" s="315">
        <v>9.0161073787779558E-3</v>
      </c>
      <c r="K874" s="316" t="str">
        <f t="shared" si="36"/>
        <v>Industrial Equipment</v>
      </c>
      <c r="L874" s="316" t="str">
        <f t="shared" si="37"/>
        <v>Diesel</v>
      </c>
      <c r="M874" s="194"/>
      <c r="N874" s="317"/>
      <c r="O874" s="317"/>
      <c r="P874" s="317"/>
      <c r="Q874" s="317"/>
      <c r="R874" s="317"/>
      <c r="S874" s="317"/>
      <c r="T874" s="317"/>
      <c r="U874" s="317"/>
      <c r="V874" s="317"/>
      <c r="W874" s="317"/>
      <c r="X874" s="317"/>
      <c r="Y874" s="317"/>
      <c r="Z874" s="317"/>
    </row>
    <row r="875" spans="1:26" x14ac:dyDescent="0.25">
      <c r="A875" s="314"/>
      <c r="B875" s="18">
        <v>2023</v>
      </c>
      <c r="C875" s="18" t="s">
        <v>710</v>
      </c>
      <c r="D875" s="18" t="s">
        <v>984</v>
      </c>
      <c r="E875" s="18" t="s">
        <v>703</v>
      </c>
      <c r="F875" s="18" t="s">
        <v>704</v>
      </c>
      <c r="G875" s="18" t="s">
        <v>673</v>
      </c>
      <c r="H875" s="18" t="s">
        <v>985</v>
      </c>
      <c r="I875" s="315">
        <v>439.36076460016301</v>
      </c>
      <c r="J875" s="315">
        <v>0.2983545270244396</v>
      </c>
      <c r="K875" s="316" t="str">
        <f t="shared" si="36"/>
        <v>Lawn and Garden Equipment</v>
      </c>
      <c r="L875" s="316" t="str">
        <f t="shared" si="37"/>
        <v>Gasoline</v>
      </c>
      <c r="M875" s="194"/>
      <c r="N875" s="317"/>
      <c r="O875" s="317"/>
      <c r="P875" s="317"/>
      <c r="Q875" s="317"/>
      <c r="R875" s="317"/>
      <c r="S875" s="317"/>
      <c r="T875" s="317"/>
      <c r="U875" s="317"/>
      <c r="V875" s="317"/>
      <c r="W875" s="317"/>
      <c r="X875" s="317"/>
      <c r="Y875" s="317"/>
      <c r="Z875" s="317"/>
    </row>
    <row r="876" spans="1:26" x14ac:dyDescent="0.25">
      <c r="A876" s="314"/>
      <c r="B876" s="18">
        <v>2023</v>
      </c>
      <c r="C876" s="18" t="s">
        <v>722</v>
      </c>
      <c r="D876" s="18" t="s">
        <v>849</v>
      </c>
      <c r="E876" s="18" t="s">
        <v>713</v>
      </c>
      <c r="F876" s="18" t="s">
        <v>714</v>
      </c>
      <c r="G876" s="18" t="s">
        <v>674</v>
      </c>
      <c r="H876" s="18" t="s">
        <v>850</v>
      </c>
      <c r="I876" s="315">
        <v>438.77395358303772</v>
      </c>
      <c r="J876" s="315">
        <v>6.1299387822118254E-3</v>
      </c>
      <c r="K876" s="316" t="str">
        <f t="shared" si="36"/>
        <v>Construction and Mining Equipment</v>
      </c>
      <c r="L876" s="316" t="str">
        <f t="shared" si="37"/>
        <v>Diesel</v>
      </c>
      <c r="M876" s="194"/>
      <c r="N876" s="317"/>
      <c r="O876" s="317"/>
      <c r="P876" s="317"/>
      <c r="Q876" s="317"/>
      <c r="R876" s="317"/>
      <c r="S876" s="317"/>
      <c r="T876" s="317"/>
      <c r="U876" s="317"/>
      <c r="V876" s="317"/>
      <c r="W876" s="317"/>
      <c r="X876" s="317"/>
      <c r="Y876" s="317"/>
      <c r="Z876" s="317"/>
    </row>
    <row r="877" spans="1:26" x14ac:dyDescent="0.25">
      <c r="A877" s="314"/>
      <c r="B877" s="18">
        <v>2023</v>
      </c>
      <c r="C877" s="18" t="s">
        <v>778</v>
      </c>
      <c r="D877" s="18" t="s">
        <v>744</v>
      </c>
      <c r="E877" s="18" t="s">
        <v>703</v>
      </c>
      <c r="F877" s="18" t="s">
        <v>704</v>
      </c>
      <c r="G877" s="18" t="s">
        <v>673</v>
      </c>
      <c r="H877" s="18" t="s">
        <v>745</v>
      </c>
      <c r="I877" s="315">
        <v>438.26714832085918</v>
      </c>
      <c r="J877" s="315">
        <v>0.32280899714944689</v>
      </c>
      <c r="K877" s="316" t="str">
        <f t="shared" si="36"/>
        <v>Lawn and Garden Equipment</v>
      </c>
      <c r="L877" s="316" t="str">
        <f t="shared" si="37"/>
        <v>Gasoline</v>
      </c>
      <c r="M877" s="194"/>
      <c r="N877" s="317"/>
      <c r="O877" s="317"/>
      <c r="P877" s="317"/>
      <c r="Q877" s="317"/>
      <c r="R877" s="317"/>
      <c r="S877" s="317"/>
      <c r="T877" s="317"/>
      <c r="U877" s="317"/>
      <c r="V877" s="317"/>
      <c r="W877" s="317"/>
      <c r="X877" s="317"/>
      <c r="Y877" s="317"/>
      <c r="Z877" s="317"/>
    </row>
    <row r="878" spans="1:26" x14ac:dyDescent="0.25">
      <c r="A878" s="314"/>
      <c r="B878" s="18">
        <v>2023</v>
      </c>
      <c r="C878" s="18" t="s">
        <v>722</v>
      </c>
      <c r="D878" s="18" t="s">
        <v>878</v>
      </c>
      <c r="E878" s="18" t="s">
        <v>703</v>
      </c>
      <c r="F878" s="18" t="s">
        <v>704</v>
      </c>
      <c r="G878" s="18" t="s">
        <v>673</v>
      </c>
      <c r="H878" s="18" t="s">
        <v>879</v>
      </c>
      <c r="I878" s="315">
        <v>437.39097066381436</v>
      </c>
      <c r="J878" s="315">
        <v>0.28765047303458752</v>
      </c>
      <c r="K878" s="316" t="str">
        <f t="shared" si="36"/>
        <v>Lawn and Garden Equipment</v>
      </c>
      <c r="L878" s="316" t="str">
        <f t="shared" si="37"/>
        <v>Gasoline</v>
      </c>
      <c r="M878" s="194"/>
      <c r="N878" s="317"/>
      <c r="O878" s="317"/>
      <c r="P878" s="317"/>
      <c r="Q878" s="317"/>
      <c r="R878" s="317"/>
      <c r="S878" s="317"/>
      <c r="T878" s="317"/>
      <c r="U878" s="317"/>
      <c r="V878" s="317"/>
      <c r="W878" s="317"/>
      <c r="X878" s="317"/>
      <c r="Y878" s="317"/>
      <c r="Z878" s="317"/>
    </row>
    <row r="879" spans="1:26" x14ac:dyDescent="0.25">
      <c r="A879" s="314"/>
      <c r="B879" s="18">
        <v>2023</v>
      </c>
      <c r="C879" s="18" t="s">
        <v>753</v>
      </c>
      <c r="D879" s="18" t="s">
        <v>757</v>
      </c>
      <c r="E879" s="18" t="s">
        <v>713</v>
      </c>
      <c r="F879" s="18" t="s">
        <v>714</v>
      </c>
      <c r="G879" s="18" t="s">
        <v>673</v>
      </c>
      <c r="H879" s="18" t="s">
        <v>758</v>
      </c>
      <c r="I879" s="315">
        <v>437.19119547800153</v>
      </c>
      <c r="J879" s="315">
        <v>1.6844018208054628E-2</v>
      </c>
      <c r="K879" s="316" t="str">
        <f t="shared" si="36"/>
        <v>Lawn and Garden Equipment</v>
      </c>
      <c r="L879" s="316" t="str">
        <f t="shared" si="37"/>
        <v>Diesel</v>
      </c>
      <c r="M879" s="194"/>
      <c r="N879" s="317"/>
      <c r="O879" s="317"/>
      <c r="P879" s="317"/>
      <c r="Q879" s="317"/>
      <c r="R879" s="317"/>
      <c r="S879" s="317"/>
      <c r="T879" s="317"/>
      <c r="U879" s="317"/>
      <c r="V879" s="317"/>
      <c r="W879" s="317"/>
      <c r="X879" s="317"/>
      <c r="Y879" s="317"/>
      <c r="Z879" s="317"/>
    </row>
    <row r="880" spans="1:26" x14ac:dyDescent="0.25">
      <c r="A880" s="314"/>
      <c r="B880" s="18">
        <v>2023</v>
      </c>
      <c r="C880" s="18" t="s">
        <v>760</v>
      </c>
      <c r="D880" s="18" t="s">
        <v>799</v>
      </c>
      <c r="E880" s="18" t="s">
        <v>703</v>
      </c>
      <c r="F880" s="18" t="s">
        <v>795</v>
      </c>
      <c r="G880" s="18" t="s">
        <v>673</v>
      </c>
      <c r="H880" s="18" t="s">
        <v>800</v>
      </c>
      <c r="I880" s="315">
        <v>437.12193615602484</v>
      </c>
      <c r="J880" s="315">
        <v>0.82403799510112741</v>
      </c>
      <c r="K880" s="316" t="str">
        <f t="shared" si="36"/>
        <v>Lawn and Garden Equipment</v>
      </c>
      <c r="L880" s="316" t="str">
        <f t="shared" si="37"/>
        <v>Gasoline</v>
      </c>
      <c r="M880" s="194"/>
      <c r="N880" s="317"/>
      <c r="O880" s="317"/>
      <c r="P880" s="317"/>
      <c r="Q880" s="317"/>
      <c r="R880" s="317"/>
      <c r="S880" s="317"/>
      <c r="T880" s="317"/>
      <c r="U880" s="317"/>
      <c r="V880" s="317"/>
      <c r="W880" s="317"/>
      <c r="X880" s="317"/>
      <c r="Y880" s="317"/>
      <c r="Z880" s="317"/>
    </row>
    <row r="881" spans="1:26" x14ac:dyDescent="0.25">
      <c r="A881" s="314"/>
      <c r="B881" s="18">
        <v>2023</v>
      </c>
      <c r="C881" s="18" t="s">
        <v>810</v>
      </c>
      <c r="D881" s="18" t="s">
        <v>765</v>
      </c>
      <c r="E881" s="18" t="s">
        <v>703</v>
      </c>
      <c r="F881" s="18" t="s">
        <v>676</v>
      </c>
      <c r="G881" s="18" t="s">
        <v>729</v>
      </c>
      <c r="H881" s="18" t="s">
        <v>766</v>
      </c>
      <c r="I881" s="315">
        <v>436.37777025524167</v>
      </c>
      <c r="J881" s="315">
        <v>0.47997652661220197</v>
      </c>
      <c r="K881" s="316" t="str">
        <f t="shared" si="36"/>
        <v>Pleasure Craft</v>
      </c>
      <c r="L881" s="316" t="str">
        <f t="shared" si="37"/>
        <v>Gasoline</v>
      </c>
      <c r="M881" s="194"/>
      <c r="N881" s="317"/>
      <c r="O881" s="317"/>
      <c r="P881" s="317"/>
      <c r="Q881" s="317"/>
      <c r="R881" s="317"/>
      <c r="S881" s="317"/>
      <c r="T881" s="317"/>
      <c r="U881" s="317"/>
      <c r="V881" s="317"/>
      <c r="W881" s="317"/>
      <c r="X881" s="317"/>
      <c r="Y881" s="317"/>
      <c r="Z881" s="317"/>
    </row>
    <row r="882" spans="1:26" x14ac:dyDescent="0.25">
      <c r="A882" s="314"/>
      <c r="B882" s="18">
        <v>2023</v>
      </c>
      <c r="C882" s="18" t="s">
        <v>732</v>
      </c>
      <c r="D882" s="18" t="s">
        <v>860</v>
      </c>
      <c r="E882" s="18" t="s">
        <v>713</v>
      </c>
      <c r="F882" s="18" t="s">
        <v>714</v>
      </c>
      <c r="G882" s="18" t="s">
        <v>674</v>
      </c>
      <c r="H882" s="18" t="s">
        <v>861</v>
      </c>
      <c r="I882" s="315">
        <v>436.16087060723709</v>
      </c>
      <c r="J882" s="315">
        <v>7.2285748593772592E-3</v>
      </c>
      <c r="K882" s="316" t="str">
        <f t="shared" si="36"/>
        <v>Construction and Mining Equipment</v>
      </c>
      <c r="L882" s="316" t="str">
        <f t="shared" si="37"/>
        <v>Diesel</v>
      </c>
      <c r="M882" s="194"/>
      <c r="N882" s="317"/>
      <c r="O882" s="317"/>
      <c r="P882" s="317"/>
      <c r="Q882" s="317"/>
      <c r="R882" s="317"/>
      <c r="S882" s="317"/>
      <c r="T882" s="317"/>
      <c r="U882" s="317"/>
      <c r="V882" s="317"/>
      <c r="W882" s="317"/>
      <c r="X882" s="317"/>
      <c r="Y882" s="317"/>
      <c r="Z882" s="317"/>
    </row>
    <row r="883" spans="1:26" x14ac:dyDescent="0.25">
      <c r="A883" s="314"/>
      <c r="B883" s="18">
        <v>2023</v>
      </c>
      <c r="C883" s="18" t="s">
        <v>727</v>
      </c>
      <c r="D883" s="18" t="s">
        <v>776</v>
      </c>
      <c r="E883" s="18" t="s">
        <v>713</v>
      </c>
      <c r="F883" s="18" t="s">
        <v>714</v>
      </c>
      <c r="G883" s="18" t="s">
        <v>674</v>
      </c>
      <c r="H883" s="18" t="s">
        <v>777</v>
      </c>
      <c r="I883" s="315">
        <v>435.9723202575035</v>
      </c>
      <c r="J883" s="315">
        <v>1.7340060333182834E-3</v>
      </c>
      <c r="K883" s="316" t="str">
        <f t="shared" si="36"/>
        <v>Construction and Mining Equipment</v>
      </c>
      <c r="L883" s="316" t="str">
        <f t="shared" si="37"/>
        <v>Diesel</v>
      </c>
      <c r="M883" s="194"/>
      <c r="N883" s="317"/>
      <c r="O883" s="317"/>
      <c r="P883" s="317"/>
      <c r="Q883" s="317"/>
      <c r="R883" s="317"/>
      <c r="S883" s="317"/>
      <c r="T883" s="317"/>
      <c r="U883" s="317"/>
      <c r="V883" s="317"/>
      <c r="W883" s="317"/>
      <c r="X883" s="317"/>
      <c r="Y883" s="317"/>
      <c r="Z883" s="317"/>
    </row>
    <row r="884" spans="1:26" x14ac:dyDescent="0.25">
      <c r="A884" s="314"/>
      <c r="B884" s="18">
        <v>2023</v>
      </c>
      <c r="C884" s="18" t="s">
        <v>781</v>
      </c>
      <c r="D884" s="18" t="s">
        <v>971</v>
      </c>
      <c r="E884" s="18" t="s">
        <v>713</v>
      </c>
      <c r="F884" s="18" t="s">
        <v>714</v>
      </c>
      <c r="G884" s="18" t="s">
        <v>678</v>
      </c>
      <c r="H884" s="18" t="s">
        <v>972</v>
      </c>
      <c r="I884" s="315">
        <v>435.29362387643346</v>
      </c>
      <c r="J884" s="315">
        <v>2.4179169822668386E-3</v>
      </c>
      <c r="K884" s="316" t="str">
        <f t="shared" si="36"/>
        <v>Agricultural Equipment</v>
      </c>
      <c r="L884" s="316" t="str">
        <f t="shared" si="37"/>
        <v>Diesel</v>
      </c>
      <c r="M884" s="194"/>
      <c r="N884" s="317"/>
      <c r="O884" s="317"/>
      <c r="P884" s="317"/>
      <c r="Q884" s="317"/>
      <c r="R884" s="317"/>
      <c r="S884" s="317"/>
      <c r="T884" s="317"/>
      <c r="U884" s="317"/>
      <c r="V884" s="317"/>
      <c r="W884" s="317"/>
      <c r="X884" s="317"/>
      <c r="Y884" s="317"/>
      <c r="Z884" s="317"/>
    </row>
    <row r="885" spans="1:26" x14ac:dyDescent="0.25">
      <c r="A885" s="314"/>
      <c r="B885" s="18">
        <v>2023</v>
      </c>
      <c r="C885" s="18" t="s">
        <v>792</v>
      </c>
      <c r="D885" s="18" t="s">
        <v>725</v>
      </c>
      <c r="E885" s="18" t="s">
        <v>713</v>
      </c>
      <c r="F885" s="18" t="s">
        <v>714</v>
      </c>
      <c r="G885" s="18" t="s">
        <v>674</v>
      </c>
      <c r="H885" s="18" t="s">
        <v>726</v>
      </c>
      <c r="I885" s="315">
        <v>434.96898217225299</v>
      </c>
      <c r="J885" s="315">
        <v>2.4335837084879142E-3</v>
      </c>
      <c r="K885" s="316" t="str">
        <f t="shared" si="36"/>
        <v>Construction and Mining Equipment</v>
      </c>
      <c r="L885" s="316" t="str">
        <f t="shared" si="37"/>
        <v>Diesel</v>
      </c>
      <c r="M885" s="194"/>
      <c r="N885" s="317"/>
      <c r="O885" s="317"/>
      <c r="P885" s="317"/>
      <c r="Q885" s="317"/>
      <c r="R885" s="317"/>
      <c r="S885" s="317"/>
      <c r="T885" s="317"/>
      <c r="U885" s="317"/>
      <c r="V885" s="317"/>
      <c r="W885" s="317"/>
      <c r="X885" s="317"/>
      <c r="Y885" s="317"/>
      <c r="Z885" s="317"/>
    </row>
    <row r="886" spans="1:26" x14ac:dyDescent="0.25">
      <c r="A886" s="314"/>
      <c r="B886" s="18">
        <v>2023</v>
      </c>
      <c r="C886" s="18" t="s">
        <v>759</v>
      </c>
      <c r="D886" s="18" t="s">
        <v>894</v>
      </c>
      <c r="E886" s="18" t="s">
        <v>713</v>
      </c>
      <c r="F886" s="18" t="s">
        <v>714</v>
      </c>
      <c r="G886" s="18" t="s">
        <v>681</v>
      </c>
      <c r="H886" s="18" t="s">
        <v>895</v>
      </c>
      <c r="I886" s="315">
        <v>432.87597849143719</v>
      </c>
      <c r="J886" s="315">
        <v>8.4885180819788218E-4</v>
      </c>
      <c r="K886" s="316" t="str">
        <f t="shared" si="36"/>
        <v>Logging Equipment</v>
      </c>
      <c r="L886" s="316" t="str">
        <f t="shared" si="37"/>
        <v>Diesel</v>
      </c>
      <c r="M886" s="194"/>
      <c r="N886" s="317"/>
      <c r="O886" s="317"/>
      <c r="P886" s="317"/>
      <c r="Q886" s="317"/>
      <c r="R886" s="317"/>
      <c r="S886" s="317"/>
      <c r="T886" s="317"/>
      <c r="U886" s="317"/>
      <c r="V886" s="317"/>
      <c r="W886" s="317"/>
      <c r="X886" s="317"/>
      <c r="Y886" s="317"/>
      <c r="Z886" s="317"/>
    </row>
    <row r="887" spans="1:26" x14ac:dyDescent="0.25">
      <c r="A887" s="314"/>
      <c r="B887" s="18">
        <v>2023</v>
      </c>
      <c r="C887" s="18" t="s">
        <v>722</v>
      </c>
      <c r="D887" s="18" t="s">
        <v>882</v>
      </c>
      <c r="E887" s="18" t="s">
        <v>713</v>
      </c>
      <c r="F887" s="18" t="s">
        <v>714</v>
      </c>
      <c r="G887" s="18" t="s">
        <v>673</v>
      </c>
      <c r="H887" s="18" t="s">
        <v>705</v>
      </c>
      <c r="I887" s="315">
        <v>432.74829336304754</v>
      </c>
      <c r="J887" s="315">
        <v>7.2630747006027481E-3</v>
      </c>
      <c r="K887" s="316" t="str">
        <f t="shared" si="36"/>
        <v>Lawn and Garden Equipment</v>
      </c>
      <c r="L887" s="316" t="str">
        <f t="shared" si="37"/>
        <v>Diesel</v>
      </c>
      <c r="M887" s="194"/>
      <c r="N887" s="317"/>
      <c r="O887" s="317"/>
      <c r="P887" s="317"/>
      <c r="Q887" s="317"/>
      <c r="R887" s="317"/>
      <c r="S887" s="317"/>
      <c r="T887" s="317"/>
      <c r="U887" s="317"/>
      <c r="V887" s="317"/>
      <c r="W887" s="317"/>
      <c r="X887" s="317"/>
      <c r="Y887" s="317"/>
      <c r="Z887" s="317"/>
    </row>
    <row r="888" spans="1:26" x14ac:dyDescent="0.25">
      <c r="A888" s="314"/>
      <c r="B888" s="18">
        <v>2023</v>
      </c>
      <c r="C888" s="18" t="s">
        <v>710</v>
      </c>
      <c r="D888" s="18" t="s">
        <v>979</v>
      </c>
      <c r="E888" s="18" t="s">
        <v>703</v>
      </c>
      <c r="F888" s="18" t="s">
        <v>704</v>
      </c>
      <c r="G888" s="18" t="s">
        <v>675</v>
      </c>
      <c r="H888" s="18" t="s">
        <v>802</v>
      </c>
      <c r="I888" s="315">
        <v>431.16697928582892</v>
      </c>
      <c r="J888" s="315">
        <v>0.15523779040055838</v>
      </c>
      <c r="K888" s="316" t="str">
        <f t="shared" si="36"/>
        <v>Industrial Equipment</v>
      </c>
      <c r="L888" s="316" t="str">
        <f t="shared" si="37"/>
        <v>Gasoline</v>
      </c>
      <c r="M888" s="194"/>
      <c r="N888" s="317"/>
      <c r="O888" s="317"/>
      <c r="P888" s="317"/>
      <c r="Q888" s="317"/>
      <c r="R888" s="317"/>
      <c r="S888" s="317"/>
      <c r="T888" s="317"/>
      <c r="U888" s="317"/>
      <c r="V888" s="317"/>
      <c r="W888" s="317"/>
      <c r="X888" s="317"/>
      <c r="Y888" s="317"/>
      <c r="Z888" s="317"/>
    </row>
    <row r="889" spans="1:26" x14ac:dyDescent="0.25">
      <c r="A889" s="314"/>
      <c r="B889" s="18">
        <v>2023</v>
      </c>
      <c r="C889" s="18" t="s">
        <v>786</v>
      </c>
      <c r="D889" s="18" t="s">
        <v>971</v>
      </c>
      <c r="E889" s="18" t="s">
        <v>713</v>
      </c>
      <c r="F889" s="18" t="s">
        <v>714</v>
      </c>
      <c r="G889" s="18" t="s">
        <v>678</v>
      </c>
      <c r="H889" s="18" t="s">
        <v>972</v>
      </c>
      <c r="I889" s="315">
        <v>430.78678439851183</v>
      </c>
      <c r="J889" s="315">
        <v>2.3928822610818339E-3</v>
      </c>
      <c r="K889" s="316" t="str">
        <f t="shared" si="36"/>
        <v>Agricultural Equipment</v>
      </c>
      <c r="L889" s="316" t="str">
        <f t="shared" si="37"/>
        <v>Diesel</v>
      </c>
      <c r="M889" s="194"/>
      <c r="N889" s="317"/>
      <c r="O889" s="317"/>
      <c r="P889" s="317"/>
      <c r="Q889" s="317"/>
      <c r="R889" s="317"/>
      <c r="S889" s="317"/>
      <c r="T889" s="317"/>
      <c r="U889" s="317"/>
      <c r="V889" s="317"/>
      <c r="W889" s="317"/>
      <c r="X889" s="317"/>
      <c r="Y889" s="317"/>
      <c r="Z889" s="317"/>
    </row>
    <row r="890" spans="1:26" ht="12.75" x14ac:dyDescent="0.2">
      <c r="A890" s="230"/>
      <c r="B890" s="18">
        <v>2023</v>
      </c>
      <c r="C890" s="18" t="s">
        <v>732</v>
      </c>
      <c r="D890" s="18" t="s">
        <v>867</v>
      </c>
      <c r="E890" s="18" t="s">
        <v>713</v>
      </c>
      <c r="F890" s="18" t="s">
        <v>714</v>
      </c>
      <c r="G890" s="18" t="s">
        <v>673</v>
      </c>
      <c r="H890" s="18" t="s">
        <v>724</v>
      </c>
      <c r="I890" s="315">
        <v>430.55708256291877</v>
      </c>
      <c r="J890" s="315">
        <v>2.2158020144477812E-2</v>
      </c>
      <c r="K890" s="316" t="str">
        <f t="shared" si="36"/>
        <v>Lawn and Garden Equipment</v>
      </c>
      <c r="L890" s="316" t="str">
        <f t="shared" si="37"/>
        <v>Diesel</v>
      </c>
      <c r="M890" s="8"/>
      <c r="N890" s="2"/>
      <c r="O890" s="2"/>
      <c r="P890" s="2"/>
      <c r="Q890" s="2"/>
      <c r="R890" s="2"/>
      <c r="S890" s="2"/>
      <c r="T890" s="2"/>
      <c r="U890" s="2"/>
      <c r="V890" s="2"/>
      <c r="W890" s="2"/>
      <c r="X890" s="2"/>
      <c r="Y890" s="2"/>
      <c r="Z890" s="2"/>
    </row>
    <row r="891" spans="1:26" x14ac:dyDescent="0.25">
      <c r="A891" s="314"/>
      <c r="B891" s="18">
        <v>2023</v>
      </c>
      <c r="C891" s="18" t="s">
        <v>759</v>
      </c>
      <c r="D891" s="18" t="s">
        <v>707</v>
      </c>
      <c r="E891" s="18" t="s">
        <v>56</v>
      </c>
      <c r="F891" s="18" t="s">
        <v>672</v>
      </c>
      <c r="G891" s="18" t="s">
        <v>675</v>
      </c>
      <c r="H891" s="18" t="s">
        <v>708</v>
      </c>
      <c r="I891" s="315">
        <v>428.49065340318663</v>
      </c>
      <c r="J891" s="315">
        <v>1.9253099889819426E-2</v>
      </c>
      <c r="K891" s="316" t="str">
        <f t="shared" si="36"/>
        <v>Industrial Equipment</v>
      </c>
      <c r="L891" s="316" t="str">
        <f t="shared" si="37"/>
        <v>LPG</v>
      </c>
      <c r="M891" s="194"/>
      <c r="N891" s="317"/>
      <c r="O891" s="317"/>
      <c r="P891" s="317"/>
      <c r="Q891" s="317"/>
      <c r="R891" s="317"/>
      <c r="S891" s="317"/>
      <c r="T891" s="317"/>
      <c r="U891" s="317"/>
      <c r="V891" s="317"/>
      <c r="W891" s="317"/>
      <c r="X891" s="317"/>
      <c r="Y891" s="317"/>
      <c r="Z891" s="317"/>
    </row>
    <row r="892" spans="1:26" x14ac:dyDescent="0.25">
      <c r="A892" s="314"/>
      <c r="B892" s="18">
        <v>2023</v>
      </c>
      <c r="C892" s="18" t="s">
        <v>701</v>
      </c>
      <c r="D892" s="18" t="s">
        <v>988</v>
      </c>
      <c r="E892" s="18" t="s">
        <v>703</v>
      </c>
      <c r="F892" s="18" t="s">
        <v>805</v>
      </c>
      <c r="G892" s="18" t="s">
        <v>673</v>
      </c>
      <c r="H892" s="18" t="s">
        <v>768</v>
      </c>
      <c r="I892" s="315">
        <v>427.81753471734982</v>
      </c>
      <c r="J892" s="315">
        <v>0.79646893930430263</v>
      </c>
      <c r="K892" s="316" t="str">
        <f t="shared" si="36"/>
        <v>Lawn and Garden Equipment</v>
      </c>
      <c r="L892" s="316" t="str">
        <f t="shared" si="37"/>
        <v>Gasoline</v>
      </c>
      <c r="M892" s="194"/>
      <c r="N892" s="317"/>
      <c r="O892" s="317"/>
      <c r="P892" s="317"/>
      <c r="Q892" s="317"/>
      <c r="R892" s="317"/>
      <c r="S892" s="317"/>
      <c r="T892" s="317"/>
      <c r="U892" s="317"/>
      <c r="V892" s="317"/>
      <c r="W892" s="317"/>
      <c r="X892" s="317"/>
      <c r="Y892" s="317"/>
      <c r="Z892" s="317"/>
    </row>
    <row r="893" spans="1:26" x14ac:dyDescent="0.25">
      <c r="A893" s="314"/>
      <c r="B893" s="18">
        <v>2023</v>
      </c>
      <c r="C893" s="18" t="s">
        <v>732</v>
      </c>
      <c r="D893" s="18" t="s">
        <v>862</v>
      </c>
      <c r="E893" s="18" t="s">
        <v>713</v>
      </c>
      <c r="F893" s="18" t="s">
        <v>714</v>
      </c>
      <c r="G893" s="18" t="s">
        <v>674</v>
      </c>
      <c r="H893" s="18" t="s">
        <v>863</v>
      </c>
      <c r="I893" s="315">
        <v>427.48456835814943</v>
      </c>
      <c r="J893" s="315">
        <v>3.0839807014376376E-3</v>
      </c>
      <c r="K893" s="316" t="str">
        <f t="shared" si="36"/>
        <v>Construction and Mining Equipment</v>
      </c>
      <c r="L893" s="316" t="str">
        <f t="shared" si="37"/>
        <v>Diesel</v>
      </c>
      <c r="M893" s="194"/>
      <c r="N893" s="317"/>
      <c r="O893" s="317"/>
      <c r="P893" s="317"/>
      <c r="Q893" s="317"/>
      <c r="R893" s="317"/>
      <c r="S893" s="317"/>
      <c r="T893" s="317"/>
      <c r="U893" s="317"/>
      <c r="V893" s="317"/>
      <c r="W893" s="317"/>
      <c r="X893" s="317"/>
      <c r="Y893" s="317"/>
      <c r="Z893" s="317"/>
    </row>
    <row r="894" spans="1:26" x14ac:dyDescent="0.25">
      <c r="A894" s="314"/>
      <c r="B894" s="18">
        <v>2023</v>
      </c>
      <c r="C894" s="18" t="s">
        <v>743</v>
      </c>
      <c r="D894" s="18" t="s">
        <v>835</v>
      </c>
      <c r="E894" s="18" t="s">
        <v>703</v>
      </c>
      <c r="F894" s="18" t="s">
        <v>704</v>
      </c>
      <c r="G894" s="18" t="s">
        <v>677</v>
      </c>
      <c r="H894" s="18" t="s">
        <v>836</v>
      </c>
      <c r="I894" s="315">
        <v>426.92932974159157</v>
      </c>
      <c r="J894" s="315">
        <v>0.26677863980199684</v>
      </c>
      <c r="K894" s="316" t="str">
        <f t="shared" si="36"/>
        <v>Commercial Equipment</v>
      </c>
      <c r="L894" s="316" t="str">
        <f t="shared" si="37"/>
        <v>Gasoline</v>
      </c>
      <c r="M894" s="194"/>
      <c r="N894" s="317"/>
      <c r="O894" s="317"/>
      <c r="P894" s="317"/>
      <c r="Q894" s="317"/>
      <c r="R894" s="317"/>
      <c r="S894" s="317"/>
      <c r="T894" s="317"/>
      <c r="U894" s="317"/>
      <c r="V894" s="317"/>
      <c r="W894" s="317"/>
      <c r="X894" s="317"/>
      <c r="Y894" s="317"/>
      <c r="Z894" s="317"/>
    </row>
    <row r="895" spans="1:26" x14ac:dyDescent="0.25">
      <c r="A895" s="314"/>
      <c r="B895" s="18">
        <v>2023</v>
      </c>
      <c r="C895" s="18" t="s">
        <v>722</v>
      </c>
      <c r="D895" s="18" t="s">
        <v>964</v>
      </c>
      <c r="E895" s="18" t="s">
        <v>56</v>
      </c>
      <c r="F895" s="18" t="s">
        <v>601</v>
      </c>
      <c r="G895" s="18" t="s">
        <v>677</v>
      </c>
      <c r="H895" s="18" t="s">
        <v>965</v>
      </c>
      <c r="I895" s="315">
        <v>426.55628995699374</v>
      </c>
      <c r="J895" s="315">
        <v>2.0383442506674725</v>
      </c>
      <c r="K895" s="316" t="str">
        <f t="shared" si="36"/>
        <v>Commercial Equipment</v>
      </c>
      <c r="L895" s="316" t="str">
        <f t="shared" si="37"/>
        <v>CNG</v>
      </c>
      <c r="M895" s="194"/>
      <c r="N895" s="317"/>
      <c r="O895" s="317"/>
      <c r="P895" s="317"/>
      <c r="Q895" s="317"/>
      <c r="R895" s="317"/>
      <c r="S895" s="317"/>
      <c r="T895" s="317"/>
      <c r="U895" s="317"/>
      <c r="V895" s="317"/>
      <c r="W895" s="317"/>
      <c r="X895" s="317"/>
      <c r="Y895" s="317"/>
      <c r="Z895" s="317"/>
    </row>
    <row r="896" spans="1:26" x14ac:dyDescent="0.25">
      <c r="A896" s="314"/>
      <c r="B896" s="18">
        <v>2023</v>
      </c>
      <c r="C896" s="18" t="s">
        <v>793</v>
      </c>
      <c r="D896" s="18" t="s">
        <v>776</v>
      </c>
      <c r="E896" s="18" t="s">
        <v>713</v>
      </c>
      <c r="F896" s="18" t="s">
        <v>714</v>
      </c>
      <c r="G896" s="18" t="s">
        <v>674</v>
      </c>
      <c r="H896" s="18" t="s">
        <v>777</v>
      </c>
      <c r="I896" s="315">
        <v>425.66637088714708</v>
      </c>
      <c r="J896" s="315">
        <v>1.6930136264503152E-3</v>
      </c>
      <c r="K896" s="316" t="str">
        <f t="shared" si="36"/>
        <v>Construction and Mining Equipment</v>
      </c>
      <c r="L896" s="316" t="str">
        <f t="shared" si="37"/>
        <v>Diesel</v>
      </c>
      <c r="M896" s="194"/>
      <c r="N896" s="317"/>
      <c r="O896" s="317"/>
      <c r="P896" s="317"/>
      <c r="Q896" s="317"/>
      <c r="R896" s="317"/>
      <c r="S896" s="317"/>
      <c r="T896" s="317"/>
      <c r="U896" s="317"/>
      <c r="V896" s="317"/>
      <c r="W896" s="317"/>
      <c r="X896" s="317"/>
      <c r="Y896" s="317"/>
      <c r="Z896" s="317"/>
    </row>
    <row r="897" spans="1:26" x14ac:dyDescent="0.25">
      <c r="A897" s="314"/>
      <c r="B897" s="18">
        <v>2023</v>
      </c>
      <c r="C897" s="18" t="s">
        <v>778</v>
      </c>
      <c r="D897" s="18" t="s">
        <v>849</v>
      </c>
      <c r="E897" s="18" t="s">
        <v>713</v>
      </c>
      <c r="F897" s="18" t="s">
        <v>714</v>
      </c>
      <c r="G897" s="18" t="s">
        <v>674</v>
      </c>
      <c r="H897" s="18" t="s">
        <v>850</v>
      </c>
      <c r="I897" s="315">
        <v>422.95385722647842</v>
      </c>
      <c r="J897" s="315">
        <v>5.9089041008189265E-3</v>
      </c>
      <c r="K897" s="316" t="str">
        <f t="shared" si="36"/>
        <v>Construction and Mining Equipment</v>
      </c>
      <c r="L897" s="316" t="str">
        <f t="shared" si="37"/>
        <v>Diesel</v>
      </c>
      <c r="M897" s="194"/>
      <c r="N897" s="317"/>
      <c r="O897" s="317"/>
      <c r="P897" s="317"/>
      <c r="Q897" s="317"/>
      <c r="R897" s="317"/>
      <c r="S897" s="317"/>
      <c r="T897" s="317"/>
      <c r="U897" s="317"/>
      <c r="V897" s="317"/>
      <c r="W897" s="317"/>
      <c r="X897" s="317"/>
      <c r="Y897" s="317"/>
      <c r="Z897" s="317"/>
    </row>
    <row r="898" spans="1:26" x14ac:dyDescent="0.25">
      <c r="A898" s="314"/>
      <c r="B898" s="18">
        <v>2023</v>
      </c>
      <c r="C898" s="18" t="s">
        <v>706</v>
      </c>
      <c r="D898" s="18" t="s">
        <v>986</v>
      </c>
      <c r="E898" s="18" t="s">
        <v>703</v>
      </c>
      <c r="F898" s="18" t="s">
        <v>704</v>
      </c>
      <c r="G898" s="18" t="s">
        <v>673</v>
      </c>
      <c r="H898" s="18" t="s">
        <v>987</v>
      </c>
      <c r="I898" s="315">
        <v>422.81092051879091</v>
      </c>
      <c r="J898" s="315">
        <v>0.28973222409972021</v>
      </c>
      <c r="K898" s="316" t="str">
        <f t="shared" si="36"/>
        <v>Lawn and Garden Equipment</v>
      </c>
      <c r="L898" s="316" t="str">
        <f t="shared" si="37"/>
        <v>Gasoline</v>
      </c>
      <c r="M898" s="194"/>
      <c r="N898" s="317"/>
      <c r="O898" s="317"/>
      <c r="P898" s="317"/>
      <c r="Q898" s="317"/>
      <c r="R898" s="317"/>
      <c r="S898" s="317"/>
      <c r="T898" s="317"/>
      <c r="U898" s="317"/>
      <c r="V898" s="317"/>
      <c r="W898" s="317"/>
      <c r="X898" s="317"/>
      <c r="Y898" s="317"/>
      <c r="Z898" s="317"/>
    </row>
    <row r="899" spans="1:26" x14ac:dyDescent="0.25">
      <c r="A899" s="314"/>
      <c r="B899" s="18">
        <v>2023</v>
      </c>
      <c r="C899" s="18" t="s">
        <v>727</v>
      </c>
      <c r="D899" s="18" t="s">
        <v>971</v>
      </c>
      <c r="E899" s="18" t="s">
        <v>713</v>
      </c>
      <c r="F899" s="18" t="s">
        <v>714</v>
      </c>
      <c r="G899" s="18" t="s">
        <v>678</v>
      </c>
      <c r="H899" s="18" t="s">
        <v>972</v>
      </c>
      <c r="I899" s="315">
        <v>422.63077198586922</v>
      </c>
      <c r="J899" s="315">
        <v>2.3475780271472488E-3</v>
      </c>
      <c r="K899" s="316" t="str">
        <f t="shared" si="36"/>
        <v>Agricultural Equipment</v>
      </c>
      <c r="L899" s="316" t="str">
        <f t="shared" si="37"/>
        <v>Diesel</v>
      </c>
      <c r="M899" s="194"/>
      <c r="N899" s="317"/>
      <c r="O899" s="317"/>
      <c r="P899" s="317"/>
      <c r="Q899" s="317"/>
      <c r="R899" s="317"/>
      <c r="S899" s="317"/>
      <c r="T899" s="317"/>
      <c r="U899" s="317"/>
      <c r="V899" s="317"/>
      <c r="W899" s="317"/>
      <c r="X899" s="317"/>
      <c r="Y899" s="317"/>
      <c r="Z899" s="317"/>
    </row>
    <row r="900" spans="1:26" x14ac:dyDescent="0.25">
      <c r="A900" s="314"/>
      <c r="B900" s="18">
        <v>2023</v>
      </c>
      <c r="C900" s="18" t="s">
        <v>773</v>
      </c>
      <c r="D900" s="18" t="s">
        <v>839</v>
      </c>
      <c r="E900" s="18" t="s">
        <v>703</v>
      </c>
      <c r="F900" s="18" t="s">
        <v>704</v>
      </c>
      <c r="G900" s="18" t="s">
        <v>675</v>
      </c>
      <c r="H900" s="18" t="s">
        <v>708</v>
      </c>
      <c r="I900" s="315">
        <v>419.86954829068219</v>
      </c>
      <c r="J900" s="315">
        <v>2.8752449529828195E-2</v>
      </c>
      <c r="K900" s="316" t="str">
        <f t="shared" si="36"/>
        <v>Industrial Equipment</v>
      </c>
      <c r="L900" s="316" t="str">
        <f t="shared" si="37"/>
        <v>Gasoline</v>
      </c>
      <c r="M900" s="194"/>
      <c r="N900" s="317"/>
      <c r="O900" s="317"/>
      <c r="P900" s="317"/>
      <c r="Q900" s="317"/>
      <c r="R900" s="317"/>
      <c r="S900" s="317"/>
      <c r="T900" s="317"/>
      <c r="U900" s="317"/>
      <c r="V900" s="317"/>
      <c r="W900" s="317"/>
      <c r="X900" s="317"/>
      <c r="Y900" s="317"/>
      <c r="Z900" s="317"/>
    </row>
    <row r="901" spans="1:26" x14ac:dyDescent="0.25">
      <c r="A901" s="314"/>
      <c r="B901" s="18">
        <v>2023</v>
      </c>
      <c r="C901" s="18" t="s">
        <v>759</v>
      </c>
      <c r="D901" s="18" t="s">
        <v>733</v>
      </c>
      <c r="E901" s="18" t="s">
        <v>703</v>
      </c>
      <c r="F901" s="18" t="s">
        <v>704</v>
      </c>
      <c r="G901" s="18" t="s">
        <v>673</v>
      </c>
      <c r="H901" s="18" t="s">
        <v>734</v>
      </c>
      <c r="I901" s="315">
        <v>419.58849418035857</v>
      </c>
      <c r="J901" s="315">
        <v>0.26495629983943642</v>
      </c>
      <c r="K901" s="316" t="str">
        <f t="shared" si="36"/>
        <v>Lawn and Garden Equipment</v>
      </c>
      <c r="L901" s="316" t="str">
        <f t="shared" si="37"/>
        <v>Gasoline</v>
      </c>
      <c r="M901" s="194"/>
      <c r="N901" s="317"/>
      <c r="O901" s="317"/>
      <c r="P901" s="317"/>
      <c r="Q901" s="317"/>
      <c r="R901" s="317"/>
      <c r="S901" s="317"/>
      <c r="T901" s="317"/>
      <c r="U901" s="317"/>
      <c r="V901" s="317"/>
      <c r="W901" s="317"/>
      <c r="X901" s="317"/>
      <c r="Y901" s="317"/>
      <c r="Z901" s="317"/>
    </row>
    <row r="902" spans="1:26" x14ac:dyDescent="0.25">
      <c r="A902" s="314"/>
      <c r="B902" s="18">
        <v>2023</v>
      </c>
      <c r="C902" s="18" t="s">
        <v>701</v>
      </c>
      <c r="D902" s="18" t="s">
        <v>989</v>
      </c>
      <c r="E902" s="18" t="s">
        <v>703</v>
      </c>
      <c r="F902" s="18" t="s">
        <v>795</v>
      </c>
      <c r="G902" s="18" t="s">
        <v>673</v>
      </c>
      <c r="H902" s="18" t="s">
        <v>990</v>
      </c>
      <c r="I902" s="315">
        <v>419.58012322826323</v>
      </c>
      <c r="J902" s="315">
        <v>0.80770091608533967</v>
      </c>
      <c r="K902" s="316" t="str">
        <f t="shared" si="36"/>
        <v>Lawn and Garden Equipment</v>
      </c>
      <c r="L902" s="316" t="str">
        <f t="shared" si="37"/>
        <v>Gasoline</v>
      </c>
      <c r="M902" s="194"/>
      <c r="N902" s="317"/>
      <c r="O902" s="317"/>
      <c r="P902" s="317"/>
      <c r="Q902" s="317"/>
      <c r="R902" s="317"/>
      <c r="S902" s="317"/>
      <c r="T902" s="317"/>
      <c r="U902" s="317"/>
      <c r="V902" s="317"/>
      <c r="W902" s="317"/>
      <c r="X902" s="317"/>
      <c r="Y902" s="317"/>
      <c r="Z902" s="317"/>
    </row>
    <row r="903" spans="1:26" x14ac:dyDescent="0.25">
      <c r="A903" s="314"/>
      <c r="B903" s="18">
        <v>2023</v>
      </c>
      <c r="C903" s="18" t="s">
        <v>786</v>
      </c>
      <c r="D903" s="18" t="s">
        <v>733</v>
      </c>
      <c r="E903" s="18" t="s">
        <v>703</v>
      </c>
      <c r="F903" s="18" t="s">
        <v>704</v>
      </c>
      <c r="G903" s="18" t="s">
        <v>673</v>
      </c>
      <c r="H903" s="18" t="s">
        <v>734</v>
      </c>
      <c r="I903" s="315">
        <v>417.87740829943851</v>
      </c>
      <c r="J903" s="315">
        <v>0.26468154741641359</v>
      </c>
      <c r="K903" s="316" t="str">
        <f t="shared" si="36"/>
        <v>Lawn and Garden Equipment</v>
      </c>
      <c r="L903" s="316" t="str">
        <f t="shared" si="37"/>
        <v>Gasoline</v>
      </c>
      <c r="M903" s="194"/>
      <c r="N903" s="317"/>
      <c r="O903" s="317"/>
      <c r="P903" s="317"/>
      <c r="Q903" s="317"/>
      <c r="R903" s="317"/>
      <c r="S903" s="317"/>
      <c r="T903" s="317"/>
      <c r="U903" s="317"/>
      <c r="V903" s="317"/>
      <c r="W903" s="317"/>
      <c r="X903" s="317"/>
      <c r="Y903" s="317"/>
      <c r="Z903" s="317"/>
    </row>
    <row r="904" spans="1:26" x14ac:dyDescent="0.25">
      <c r="A904" s="314"/>
      <c r="B904" s="18">
        <v>2023</v>
      </c>
      <c r="C904" s="18" t="s">
        <v>711</v>
      </c>
      <c r="D904" s="18" t="s">
        <v>991</v>
      </c>
      <c r="E904" s="18" t="s">
        <v>703</v>
      </c>
      <c r="F904" s="18" t="s">
        <v>795</v>
      </c>
      <c r="G904" s="18" t="s">
        <v>680</v>
      </c>
      <c r="H904" s="18" t="s">
        <v>992</v>
      </c>
      <c r="I904" s="315">
        <v>417.1780931852976</v>
      </c>
      <c r="J904" s="315">
        <v>0.11986602324927829</v>
      </c>
      <c r="K904" s="316" t="str">
        <f t="shared" si="36"/>
        <v>Airport Ground Support Equipment</v>
      </c>
      <c r="L904" s="316" t="str">
        <f t="shared" si="37"/>
        <v>Gasoline</v>
      </c>
      <c r="M904" s="194"/>
      <c r="N904" s="317"/>
      <c r="O904" s="317"/>
      <c r="P904" s="317"/>
      <c r="Q904" s="317"/>
      <c r="R904" s="317"/>
      <c r="S904" s="317"/>
      <c r="T904" s="317"/>
      <c r="U904" s="317"/>
      <c r="V904" s="317"/>
      <c r="W904" s="317"/>
      <c r="X904" s="317"/>
      <c r="Y904" s="317"/>
      <c r="Z904" s="317"/>
    </row>
    <row r="905" spans="1:26" x14ac:dyDescent="0.25">
      <c r="A905" s="314"/>
      <c r="B905" s="18">
        <v>2023</v>
      </c>
      <c r="C905" s="18" t="s">
        <v>709</v>
      </c>
      <c r="D905" s="18" t="s">
        <v>751</v>
      </c>
      <c r="E905" s="18" t="s">
        <v>713</v>
      </c>
      <c r="F905" s="18" t="s">
        <v>676</v>
      </c>
      <c r="G905" s="18" t="s">
        <v>79</v>
      </c>
      <c r="H905" s="18" t="s">
        <v>740</v>
      </c>
      <c r="I905" s="315">
        <v>416.25461044547689</v>
      </c>
      <c r="J905" s="315">
        <v>1.6337625062650542E-2</v>
      </c>
      <c r="K905" s="316" t="str">
        <f t="shared" si="36"/>
        <v>Pleasure Craft</v>
      </c>
      <c r="L905" s="316" t="str">
        <f t="shared" si="37"/>
        <v>Diesel</v>
      </c>
      <c r="M905" s="194"/>
      <c r="N905" s="317"/>
      <c r="O905" s="317"/>
      <c r="P905" s="317"/>
      <c r="Q905" s="317"/>
      <c r="R905" s="317"/>
      <c r="S905" s="317"/>
      <c r="T905" s="317"/>
      <c r="U905" s="317"/>
      <c r="V905" s="317"/>
      <c r="W905" s="317"/>
      <c r="X905" s="317"/>
      <c r="Y905" s="317"/>
      <c r="Z905" s="317"/>
    </row>
    <row r="906" spans="1:26" x14ac:dyDescent="0.25">
      <c r="A906" s="314"/>
      <c r="B906" s="18">
        <v>2023</v>
      </c>
      <c r="C906" s="18" t="s">
        <v>778</v>
      </c>
      <c r="D906" s="18" t="s">
        <v>748</v>
      </c>
      <c r="E906" s="18" t="s">
        <v>703</v>
      </c>
      <c r="F906" s="18" t="s">
        <v>704</v>
      </c>
      <c r="G906" s="18" t="s">
        <v>673</v>
      </c>
      <c r="H906" s="18" t="s">
        <v>749</v>
      </c>
      <c r="I906" s="315">
        <v>415.5762970616106</v>
      </c>
      <c r="J906" s="315">
        <v>0.23580538422716976</v>
      </c>
      <c r="K906" s="316" t="str">
        <f t="shared" si="36"/>
        <v>Lawn and Garden Equipment</v>
      </c>
      <c r="L906" s="316" t="str">
        <f t="shared" si="37"/>
        <v>Gasoline</v>
      </c>
      <c r="M906" s="194"/>
      <c r="N906" s="317"/>
      <c r="O906" s="317"/>
      <c r="P906" s="317"/>
      <c r="Q906" s="317"/>
      <c r="R906" s="317"/>
      <c r="S906" s="317"/>
      <c r="T906" s="317"/>
      <c r="U906" s="317"/>
      <c r="V906" s="317"/>
      <c r="W906" s="317"/>
      <c r="X906" s="317"/>
      <c r="Y906" s="317"/>
      <c r="Z906" s="317"/>
    </row>
    <row r="907" spans="1:26" x14ac:dyDescent="0.25">
      <c r="A907" s="314"/>
      <c r="B907" s="18">
        <v>2023</v>
      </c>
      <c r="C907" s="18" t="s">
        <v>754</v>
      </c>
      <c r="D907" s="18" t="s">
        <v>840</v>
      </c>
      <c r="E907" s="18" t="s">
        <v>703</v>
      </c>
      <c r="F907" s="18" t="s">
        <v>704</v>
      </c>
      <c r="G907" s="18" t="s">
        <v>677</v>
      </c>
      <c r="H907" s="18" t="s">
        <v>841</v>
      </c>
      <c r="I907" s="315">
        <v>412.01934569578401</v>
      </c>
      <c r="J907" s="315">
        <v>0.27237357409020846</v>
      </c>
      <c r="K907" s="316" t="str">
        <f t="shared" si="36"/>
        <v>Commercial Equipment</v>
      </c>
      <c r="L907" s="316" t="str">
        <f t="shared" si="37"/>
        <v>Gasoline</v>
      </c>
      <c r="M907" s="194"/>
      <c r="N907" s="317"/>
      <c r="O907" s="317"/>
      <c r="P907" s="317"/>
      <c r="Q907" s="317"/>
      <c r="R907" s="317"/>
      <c r="S907" s="317"/>
      <c r="T907" s="317"/>
      <c r="U907" s="317"/>
      <c r="V907" s="317"/>
      <c r="W907" s="317"/>
      <c r="X907" s="317"/>
      <c r="Y907" s="317"/>
      <c r="Z907" s="317"/>
    </row>
    <row r="908" spans="1:26" x14ac:dyDescent="0.25">
      <c r="A908" s="314"/>
      <c r="B908" s="18">
        <v>2023</v>
      </c>
      <c r="C908" s="18" t="s">
        <v>709</v>
      </c>
      <c r="D908" s="18" t="s">
        <v>986</v>
      </c>
      <c r="E908" s="18" t="s">
        <v>703</v>
      </c>
      <c r="F908" s="18" t="s">
        <v>704</v>
      </c>
      <c r="G908" s="18" t="s">
        <v>673</v>
      </c>
      <c r="H908" s="18" t="s">
        <v>987</v>
      </c>
      <c r="I908" s="315">
        <v>409.66277938052622</v>
      </c>
      <c r="J908" s="315">
        <v>0.28041484927126958</v>
      </c>
      <c r="K908" s="316" t="str">
        <f t="shared" si="36"/>
        <v>Lawn and Garden Equipment</v>
      </c>
      <c r="L908" s="316" t="str">
        <f t="shared" si="37"/>
        <v>Gasoline</v>
      </c>
      <c r="M908" s="194"/>
      <c r="N908" s="317"/>
      <c r="O908" s="317"/>
      <c r="P908" s="317"/>
      <c r="Q908" s="317"/>
      <c r="R908" s="317"/>
      <c r="S908" s="317"/>
      <c r="T908" s="317"/>
      <c r="U908" s="317"/>
      <c r="V908" s="317"/>
      <c r="W908" s="317"/>
      <c r="X908" s="317"/>
      <c r="Y908" s="317"/>
      <c r="Z908" s="317"/>
    </row>
    <row r="909" spans="1:26" x14ac:dyDescent="0.25">
      <c r="A909" s="314"/>
      <c r="B909" s="18">
        <v>2023</v>
      </c>
      <c r="C909" s="18" t="s">
        <v>727</v>
      </c>
      <c r="D909" s="18" t="s">
        <v>779</v>
      </c>
      <c r="E909" s="18" t="s">
        <v>713</v>
      </c>
      <c r="F909" s="18" t="s">
        <v>714</v>
      </c>
      <c r="G909" s="18" t="s">
        <v>674</v>
      </c>
      <c r="H909" s="18" t="s">
        <v>780</v>
      </c>
      <c r="I909" s="315">
        <v>404.01547429027517</v>
      </c>
      <c r="J909" s="315">
        <v>1.3158594216898559E-3</v>
      </c>
      <c r="K909" s="316" t="str">
        <f t="shared" si="36"/>
        <v>Construction and Mining Equipment</v>
      </c>
      <c r="L909" s="316" t="str">
        <f t="shared" si="37"/>
        <v>Diesel</v>
      </c>
      <c r="M909" s="194"/>
      <c r="N909" s="317"/>
      <c r="O909" s="317"/>
      <c r="P909" s="317"/>
      <c r="Q909" s="317"/>
      <c r="R909" s="317"/>
      <c r="S909" s="317"/>
      <c r="T909" s="317"/>
      <c r="U909" s="317"/>
      <c r="V909" s="317"/>
      <c r="W909" s="317"/>
      <c r="X909" s="317"/>
      <c r="Y909" s="317"/>
      <c r="Z909" s="317"/>
    </row>
    <row r="910" spans="1:26" x14ac:dyDescent="0.25">
      <c r="A910" s="314"/>
      <c r="B910" s="18">
        <v>2023</v>
      </c>
      <c r="C910" s="18" t="s">
        <v>731</v>
      </c>
      <c r="D910" s="18" t="s">
        <v>725</v>
      </c>
      <c r="E910" s="18" t="s">
        <v>713</v>
      </c>
      <c r="F910" s="18" t="s">
        <v>714</v>
      </c>
      <c r="G910" s="18" t="s">
        <v>674</v>
      </c>
      <c r="H910" s="18" t="s">
        <v>726</v>
      </c>
      <c r="I910" s="315">
        <v>403.66268286214785</v>
      </c>
      <c r="J910" s="315">
        <v>2.258432417673146E-3</v>
      </c>
      <c r="K910" s="316" t="str">
        <f t="shared" si="36"/>
        <v>Construction and Mining Equipment</v>
      </c>
      <c r="L910" s="316" t="str">
        <f t="shared" si="37"/>
        <v>Diesel</v>
      </c>
      <c r="M910" s="194"/>
      <c r="N910" s="317"/>
      <c r="O910" s="317"/>
      <c r="P910" s="317"/>
      <c r="Q910" s="317"/>
      <c r="R910" s="317"/>
      <c r="S910" s="317"/>
      <c r="T910" s="317"/>
      <c r="U910" s="317"/>
      <c r="V910" s="317"/>
      <c r="W910" s="317"/>
      <c r="X910" s="317"/>
      <c r="Y910" s="317"/>
      <c r="Z910" s="317"/>
    </row>
    <row r="911" spans="1:26" x14ac:dyDescent="0.25">
      <c r="A911" s="314"/>
      <c r="B911" s="18">
        <v>2023</v>
      </c>
      <c r="C911" s="18" t="s">
        <v>754</v>
      </c>
      <c r="D911" s="18" t="s">
        <v>846</v>
      </c>
      <c r="E911" s="18" t="s">
        <v>713</v>
      </c>
      <c r="F911" s="18" t="s">
        <v>714</v>
      </c>
      <c r="G911" s="18" t="s">
        <v>677</v>
      </c>
      <c r="H911" s="18" t="s">
        <v>836</v>
      </c>
      <c r="I911" s="315">
        <v>402.30015222698739</v>
      </c>
      <c r="J911" s="315">
        <v>1.5556410225523126E-2</v>
      </c>
      <c r="K911" s="316" t="str">
        <f t="shared" si="36"/>
        <v>Commercial Equipment</v>
      </c>
      <c r="L911" s="316" t="str">
        <f t="shared" si="37"/>
        <v>Diesel</v>
      </c>
      <c r="M911" s="194"/>
      <c r="N911" s="317"/>
      <c r="O911" s="317"/>
      <c r="P911" s="317"/>
      <c r="Q911" s="317"/>
      <c r="R911" s="317"/>
      <c r="S911" s="317"/>
      <c r="T911" s="317"/>
      <c r="U911" s="317"/>
      <c r="V911" s="317"/>
      <c r="W911" s="317"/>
      <c r="X911" s="317"/>
      <c r="Y911" s="317"/>
      <c r="Z911" s="317"/>
    </row>
    <row r="912" spans="1:26" x14ac:dyDescent="0.25">
      <c r="A912" s="314"/>
      <c r="B912" s="18">
        <v>2023</v>
      </c>
      <c r="C912" s="18" t="s">
        <v>711</v>
      </c>
      <c r="D912" s="18" t="s">
        <v>927</v>
      </c>
      <c r="E912" s="18" t="s">
        <v>56</v>
      </c>
      <c r="F912" s="18" t="s">
        <v>672</v>
      </c>
      <c r="G912" s="18" t="s">
        <v>673</v>
      </c>
      <c r="H912" s="18" t="s">
        <v>742</v>
      </c>
      <c r="I912" s="315">
        <v>401.99931052632127</v>
      </c>
      <c r="J912" s="315">
        <v>1.8262691483877089E-2</v>
      </c>
      <c r="K912" s="316" t="str">
        <f t="shared" si="36"/>
        <v>Lawn and Garden Equipment</v>
      </c>
      <c r="L912" s="316" t="str">
        <f t="shared" si="37"/>
        <v>LPG</v>
      </c>
      <c r="M912" s="194"/>
      <c r="N912" s="317"/>
      <c r="O912" s="317"/>
      <c r="P912" s="317"/>
      <c r="Q912" s="317"/>
      <c r="R912" s="317"/>
      <c r="S912" s="317"/>
      <c r="T912" s="317"/>
      <c r="U912" s="317"/>
      <c r="V912" s="317"/>
      <c r="W912" s="317"/>
      <c r="X912" s="317"/>
      <c r="Y912" s="317"/>
      <c r="Z912" s="317"/>
    </row>
    <row r="913" spans="1:26" x14ac:dyDescent="0.25">
      <c r="A913" s="314"/>
      <c r="B913" s="18">
        <v>2023</v>
      </c>
      <c r="C913" s="18" t="s">
        <v>732</v>
      </c>
      <c r="D913" s="18" t="s">
        <v>866</v>
      </c>
      <c r="E913" s="18" t="s">
        <v>713</v>
      </c>
      <c r="F913" s="18" t="s">
        <v>714</v>
      </c>
      <c r="G913" s="18" t="s">
        <v>677</v>
      </c>
      <c r="H913" s="18" t="s">
        <v>841</v>
      </c>
      <c r="I913" s="315">
        <v>401.99576439083404</v>
      </c>
      <c r="J913" s="315">
        <v>1.00241695819515E-2</v>
      </c>
      <c r="K913" s="316" t="str">
        <f t="shared" si="36"/>
        <v>Commercial Equipment</v>
      </c>
      <c r="L913" s="316" t="str">
        <f t="shared" si="37"/>
        <v>Diesel</v>
      </c>
      <c r="M913" s="194"/>
      <c r="N913" s="317"/>
      <c r="O913" s="317"/>
      <c r="P913" s="317"/>
      <c r="Q913" s="317"/>
      <c r="R913" s="317"/>
      <c r="S913" s="317"/>
      <c r="T913" s="317"/>
      <c r="U913" s="317"/>
      <c r="V913" s="317"/>
      <c r="W913" s="317"/>
      <c r="X913" s="317"/>
      <c r="Y913" s="317"/>
      <c r="Z913" s="317"/>
    </row>
    <row r="914" spans="1:26" x14ac:dyDescent="0.25">
      <c r="A914" s="314"/>
      <c r="B914" s="18">
        <v>2023</v>
      </c>
      <c r="C914" s="18" t="s">
        <v>786</v>
      </c>
      <c r="D914" s="18" t="s">
        <v>725</v>
      </c>
      <c r="E914" s="18" t="s">
        <v>713</v>
      </c>
      <c r="F914" s="18" t="s">
        <v>714</v>
      </c>
      <c r="G914" s="18" t="s">
        <v>674</v>
      </c>
      <c r="H914" s="18" t="s">
        <v>726</v>
      </c>
      <c r="I914" s="315">
        <v>400.91411590543282</v>
      </c>
      <c r="J914" s="315">
        <v>2.2430506655135313E-3</v>
      </c>
      <c r="K914" s="316" t="str">
        <f t="shared" si="36"/>
        <v>Construction and Mining Equipment</v>
      </c>
      <c r="L914" s="316" t="str">
        <f t="shared" si="37"/>
        <v>Diesel</v>
      </c>
      <c r="M914" s="194"/>
      <c r="N914" s="317"/>
      <c r="O914" s="317"/>
      <c r="P914" s="317"/>
      <c r="Q914" s="317"/>
      <c r="R914" s="317"/>
      <c r="S914" s="317"/>
      <c r="T914" s="317"/>
      <c r="U914" s="317"/>
      <c r="V914" s="317"/>
      <c r="W914" s="317"/>
      <c r="X914" s="317"/>
      <c r="Y914" s="317"/>
      <c r="Z914" s="317"/>
    </row>
    <row r="915" spans="1:26" x14ac:dyDescent="0.25">
      <c r="A915" s="314"/>
      <c r="B915" s="18">
        <v>2023</v>
      </c>
      <c r="C915" s="18" t="s">
        <v>727</v>
      </c>
      <c r="D915" s="18" t="s">
        <v>782</v>
      </c>
      <c r="E915" s="18" t="s">
        <v>713</v>
      </c>
      <c r="F915" s="18" t="s">
        <v>714</v>
      </c>
      <c r="G915" s="18" t="s">
        <v>674</v>
      </c>
      <c r="H915" s="18" t="s">
        <v>783</v>
      </c>
      <c r="I915" s="315">
        <v>400.71521705711234</v>
      </c>
      <c r="J915" s="315">
        <v>3.8042117118812593E-3</v>
      </c>
      <c r="K915" s="316" t="str">
        <f t="shared" si="36"/>
        <v>Construction and Mining Equipment</v>
      </c>
      <c r="L915" s="316" t="str">
        <f t="shared" si="37"/>
        <v>Diesel</v>
      </c>
      <c r="M915" s="194"/>
      <c r="N915" s="317"/>
      <c r="O915" s="317"/>
      <c r="P915" s="317"/>
      <c r="Q915" s="317"/>
      <c r="R915" s="317"/>
      <c r="S915" s="317"/>
      <c r="T915" s="317"/>
      <c r="U915" s="317"/>
      <c r="V915" s="317"/>
      <c r="W915" s="317"/>
      <c r="X915" s="317"/>
      <c r="Y915" s="317"/>
      <c r="Z915" s="317"/>
    </row>
    <row r="916" spans="1:26" x14ac:dyDescent="0.25">
      <c r="A916" s="314"/>
      <c r="B916" s="18">
        <v>2023</v>
      </c>
      <c r="C916" s="18" t="s">
        <v>722</v>
      </c>
      <c r="D916" s="18" t="s">
        <v>855</v>
      </c>
      <c r="E916" s="18" t="s">
        <v>713</v>
      </c>
      <c r="F916" s="18" t="s">
        <v>714</v>
      </c>
      <c r="G916" s="18" t="s">
        <v>674</v>
      </c>
      <c r="H916" s="18" t="s">
        <v>856</v>
      </c>
      <c r="I916" s="315">
        <v>400.63665092073745</v>
      </c>
      <c r="J916" s="315">
        <v>2.5315786253969751E-3</v>
      </c>
      <c r="K916" s="316" t="str">
        <f t="shared" si="36"/>
        <v>Construction and Mining Equipment</v>
      </c>
      <c r="L916" s="316" t="str">
        <f t="shared" si="37"/>
        <v>Diesel</v>
      </c>
      <c r="M916" s="194"/>
      <c r="N916" s="317"/>
      <c r="O916" s="317"/>
      <c r="P916" s="317"/>
      <c r="Q916" s="317"/>
      <c r="R916" s="317"/>
      <c r="S916" s="317"/>
      <c r="T916" s="317"/>
      <c r="U916" s="317"/>
      <c r="V916" s="317"/>
      <c r="W916" s="317"/>
      <c r="X916" s="317"/>
      <c r="Y916" s="317"/>
      <c r="Z916" s="317"/>
    </row>
    <row r="917" spans="1:26" x14ac:dyDescent="0.25">
      <c r="A917" s="314"/>
      <c r="B917" s="18">
        <v>2023</v>
      </c>
      <c r="C917" s="18" t="s">
        <v>760</v>
      </c>
      <c r="D917" s="18" t="s">
        <v>803</v>
      </c>
      <c r="E917" s="18" t="s">
        <v>703</v>
      </c>
      <c r="F917" s="18" t="s">
        <v>805</v>
      </c>
      <c r="G917" s="18" t="s">
        <v>673</v>
      </c>
      <c r="H917" s="18" t="s">
        <v>806</v>
      </c>
      <c r="I917" s="315">
        <v>400.1906888336768</v>
      </c>
      <c r="J917" s="315">
        <v>0.79206796173183558</v>
      </c>
      <c r="K917" s="316" t="str">
        <f t="shared" si="36"/>
        <v>Lawn and Garden Equipment</v>
      </c>
      <c r="L917" s="316" t="str">
        <f t="shared" si="37"/>
        <v>Gasoline</v>
      </c>
      <c r="M917" s="194"/>
      <c r="N917" s="317"/>
      <c r="O917" s="317"/>
      <c r="P917" s="317"/>
      <c r="Q917" s="317"/>
      <c r="R917" s="317"/>
      <c r="S917" s="317"/>
      <c r="T917" s="317"/>
      <c r="U917" s="317"/>
      <c r="V917" s="317"/>
      <c r="W917" s="317"/>
      <c r="X917" s="317"/>
      <c r="Y917" s="317"/>
      <c r="Z917" s="317"/>
    </row>
    <row r="918" spans="1:26" x14ac:dyDescent="0.25">
      <c r="A918" s="314"/>
      <c r="B918" s="18">
        <v>2023</v>
      </c>
      <c r="C918" s="18" t="s">
        <v>722</v>
      </c>
      <c r="D918" s="18" t="s">
        <v>898</v>
      </c>
      <c r="E918" s="18" t="s">
        <v>703</v>
      </c>
      <c r="F918" s="18" t="s">
        <v>795</v>
      </c>
      <c r="G918" s="18" t="s">
        <v>673</v>
      </c>
      <c r="H918" s="18" t="s">
        <v>899</v>
      </c>
      <c r="I918" s="315">
        <v>397.76164003816905</v>
      </c>
      <c r="J918" s="315">
        <v>2.7194711417909487</v>
      </c>
      <c r="K918" s="316" t="str">
        <f t="shared" si="36"/>
        <v>Lawn and Garden Equipment</v>
      </c>
      <c r="L918" s="316" t="str">
        <f t="shared" si="37"/>
        <v>Gasoline</v>
      </c>
      <c r="M918" s="194"/>
      <c r="N918" s="317"/>
      <c r="O918" s="317"/>
      <c r="P918" s="317"/>
      <c r="Q918" s="317"/>
      <c r="R918" s="317"/>
      <c r="S918" s="317"/>
      <c r="T918" s="317"/>
      <c r="U918" s="317"/>
      <c r="V918" s="317"/>
      <c r="W918" s="317"/>
      <c r="X918" s="317"/>
      <c r="Y918" s="317"/>
      <c r="Z918" s="317"/>
    </row>
    <row r="919" spans="1:26" x14ac:dyDescent="0.25">
      <c r="A919" s="314"/>
      <c r="B919" s="18">
        <v>2023</v>
      </c>
      <c r="C919" s="18" t="s">
        <v>773</v>
      </c>
      <c r="D919" s="18" t="s">
        <v>776</v>
      </c>
      <c r="E919" s="18" t="s">
        <v>713</v>
      </c>
      <c r="F919" s="18" t="s">
        <v>714</v>
      </c>
      <c r="G919" s="18" t="s">
        <v>674</v>
      </c>
      <c r="H919" s="18" t="s">
        <v>777</v>
      </c>
      <c r="I919" s="315">
        <v>397.02884662720408</v>
      </c>
      <c r="J919" s="315">
        <v>1.5791136197974567E-3</v>
      </c>
      <c r="K919" s="316" t="str">
        <f t="shared" si="36"/>
        <v>Construction and Mining Equipment</v>
      </c>
      <c r="L919" s="316" t="str">
        <f t="shared" si="37"/>
        <v>Diesel</v>
      </c>
      <c r="M919" s="194"/>
      <c r="N919" s="317"/>
      <c r="O919" s="317"/>
      <c r="P919" s="317"/>
      <c r="Q919" s="317"/>
      <c r="R919" s="317"/>
      <c r="S919" s="317"/>
      <c r="T919" s="317"/>
      <c r="U919" s="317"/>
      <c r="V919" s="317"/>
      <c r="W919" s="317"/>
      <c r="X919" s="317"/>
      <c r="Y919" s="317"/>
      <c r="Z919" s="317"/>
    </row>
    <row r="920" spans="1:26" x14ac:dyDescent="0.25">
      <c r="A920" s="314"/>
      <c r="B920" s="18">
        <v>2023</v>
      </c>
      <c r="C920" s="18" t="s">
        <v>778</v>
      </c>
      <c r="D920" s="18" t="s">
        <v>752</v>
      </c>
      <c r="E920" s="18" t="s">
        <v>713</v>
      </c>
      <c r="F920" s="18" t="s">
        <v>714</v>
      </c>
      <c r="G920" s="18" t="s">
        <v>675</v>
      </c>
      <c r="H920" s="18" t="s">
        <v>708</v>
      </c>
      <c r="I920" s="315">
        <v>396.76924239267953</v>
      </c>
      <c r="J920" s="315">
        <v>2.0235904933150772E-3</v>
      </c>
      <c r="K920" s="316" t="str">
        <f t="shared" si="36"/>
        <v>Industrial Equipment</v>
      </c>
      <c r="L920" s="316" t="str">
        <f t="shared" si="37"/>
        <v>Diesel</v>
      </c>
      <c r="M920" s="194"/>
      <c r="N920" s="317"/>
      <c r="O920" s="317"/>
      <c r="P920" s="317"/>
      <c r="Q920" s="317"/>
      <c r="R920" s="317"/>
      <c r="S920" s="317"/>
      <c r="T920" s="317"/>
      <c r="U920" s="317"/>
      <c r="V920" s="317"/>
      <c r="W920" s="317"/>
      <c r="X920" s="317"/>
      <c r="Y920" s="317"/>
      <c r="Z920" s="317"/>
    </row>
    <row r="921" spans="1:26" x14ac:dyDescent="0.25">
      <c r="A921" s="314"/>
      <c r="B921" s="18">
        <v>2023</v>
      </c>
      <c r="C921" s="18" t="s">
        <v>753</v>
      </c>
      <c r="D921" s="18" t="s">
        <v>971</v>
      </c>
      <c r="E921" s="18" t="s">
        <v>713</v>
      </c>
      <c r="F921" s="18" t="s">
        <v>714</v>
      </c>
      <c r="G921" s="18" t="s">
        <v>678</v>
      </c>
      <c r="H921" s="18" t="s">
        <v>972</v>
      </c>
      <c r="I921" s="315">
        <v>396.02206051217303</v>
      </c>
      <c r="J921" s="315">
        <v>2.1997743348228468E-3</v>
      </c>
      <c r="K921" s="316" t="str">
        <f t="shared" si="36"/>
        <v>Agricultural Equipment</v>
      </c>
      <c r="L921" s="316" t="str">
        <f t="shared" si="37"/>
        <v>Diesel</v>
      </c>
      <c r="M921" s="194"/>
      <c r="N921" s="317"/>
      <c r="O921" s="317"/>
      <c r="P921" s="317"/>
      <c r="Q921" s="317"/>
      <c r="R921" s="317"/>
      <c r="S921" s="317"/>
      <c r="T921" s="317"/>
      <c r="U921" s="317"/>
      <c r="V921" s="317"/>
      <c r="W921" s="317"/>
      <c r="X921" s="317"/>
      <c r="Y921" s="317"/>
      <c r="Z921" s="317"/>
    </row>
    <row r="922" spans="1:26" x14ac:dyDescent="0.25">
      <c r="A922" s="314"/>
      <c r="B922" s="18">
        <v>2023</v>
      </c>
      <c r="C922" s="18" t="s">
        <v>793</v>
      </c>
      <c r="D922" s="18" t="s">
        <v>779</v>
      </c>
      <c r="E922" s="18" t="s">
        <v>713</v>
      </c>
      <c r="F922" s="18" t="s">
        <v>714</v>
      </c>
      <c r="G922" s="18" t="s">
        <v>674</v>
      </c>
      <c r="H922" s="18" t="s">
        <v>780</v>
      </c>
      <c r="I922" s="315">
        <v>394.4652155414343</v>
      </c>
      <c r="J922" s="315">
        <v>1.2847527944915922E-3</v>
      </c>
      <c r="K922" s="316" t="str">
        <f t="shared" si="36"/>
        <v>Construction and Mining Equipment</v>
      </c>
      <c r="L922" s="316" t="str">
        <f t="shared" si="37"/>
        <v>Diesel</v>
      </c>
      <c r="M922" s="194"/>
      <c r="N922" s="317"/>
      <c r="O922" s="317"/>
      <c r="P922" s="317"/>
      <c r="Q922" s="317"/>
      <c r="R922" s="317"/>
      <c r="S922" s="317"/>
      <c r="T922" s="317"/>
      <c r="U922" s="317"/>
      <c r="V922" s="317"/>
      <c r="W922" s="317"/>
      <c r="X922" s="317"/>
      <c r="Y922" s="317"/>
      <c r="Z922" s="317"/>
    </row>
    <row r="923" spans="1:26" x14ac:dyDescent="0.25">
      <c r="A923" s="314"/>
      <c r="B923" s="18">
        <v>2023</v>
      </c>
      <c r="C923" s="18" t="s">
        <v>754</v>
      </c>
      <c r="D923" s="18" t="s">
        <v>728</v>
      </c>
      <c r="E923" s="18" t="s">
        <v>703</v>
      </c>
      <c r="F923" s="18" t="s">
        <v>676</v>
      </c>
      <c r="G923" s="18" t="s">
        <v>729</v>
      </c>
      <c r="H923" s="18" t="s">
        <v>730</v>
      </c>
      <c r="I923" s="315">
        <v>393.65129703436281</v>
      </c>
      <c r="J923" s="315">
        <v>0.44573083086121534</v>
      </c>
      <c r="K923" s="316" t="str">
        <f t="shared" si="36"/>
        <v>Pleasure Craft</v>
      </c>
      <c r="L923" s="316" t="str">
        <f t="shared" si="37"/>
        <v>Gasoline</v>
      </c>
      <c r="M923" s="194"/>
      <c r="N923" s="317"/>
      <c r="O923" s="317"/>
      <c r="P923" s="317"/>
      <c r="Q923" s="317"/>
      <c r="R923" s="317"/>
      <c r="S923" s="317"/>
      <c r="T923" s="317"/>
      <c r="U923" s="317"/>
      <c r="V923" s="317"/>
      <c r="W923" s="317"/>
      <c r="X923" s="317"/>
      <c r="Y923" s="317"/>
      <c r="Z923" s="317"/>
    </row>
    <row r="924" spans="1:26" x14ac:dyDescent="0.25">
      <c r="A924" s="314"/>
      <c r="B924" s="18">
        <v>2023</v>
      </c>
      <c r="C924" s="18" t="s">
        <v>710</v>
      </c>
      <c r="D924" s="18" t="s">
        <v>986</v>
      </c>
      <c r="E924" s="18" t="s">
        <v>703</v>
      </c>
      <c r="F924" s="18" t="s">
        <v>704</v>
      </c>
      <c r="G924" s="18" t="s">
        <v>673</v>
      </c>
      <c r="H924" s="18" t="s">
        <v>987</v>
      </c>
      <c r="I924" s="315">
        <v>392.87084899598307</v>
      </c>
      <c r="J924" s="315">
        <v>0.26906778135643766</v>
      </c>
      <c r="K924" s="316" t="str">
        <f t="shared" si="36"/>
        <v>Lawn and Garden Equipment</v>
      </c>
      <c r="L924" s="316" t="str">
        <f t="shared" si="37"/>
        <v>Gasoline</v>
      </c>
      <c r="M924" s="194"/>
      <c r="N924" s="317"/>
      <c r="O924" s="317"/>
      <c r="P924" s="317"/>
      <c r="Q924" s="317"/>
      <c r="R924" s="317"/>
      <c r="S924" s="317"/>
      <c r="T924" s="317"/>
      <c r="U924" s="317"/>
      <c r="V924" s="317"/>
      <c r="W924" s="317"/>
      <c r="X924" s="317"/>
      <c r="Y924" s="317"/>
      <c r="Z924" s="317"/>
    </row>
    <row r="925" spans="1:26" x14ac:dyDescent="0.25">
      <c r="A925" s="314"/>
      <c r="B925" s="18">
        <v>2023</v>
      </c>
      <c r="C925" s="18" t="s">
        <v>731</v>
      </c>
      <c r="D925" s="18" t="s">
        <v>971</v>
      </c>
      <c r="E925" s="18" t="s">
        <v>713</v>
      </c>
      <c r="F925" s="18" t="s">
        <v>714</v>
      </c>
      <c r="G925" s="18" t="s">
        <v>678</v>
      </c>
      <c r="H925" s="18" t="s">
        <v>972</v>
      </c>
      <c r="I925" s="315">
        <v>392.82321922654921</v>
      </c>
      <c r="J925" s="315">
        <v>2.1820048577606221E-3</v>
      </c>
      <c r="K925" s="316" t="str">
        <f t="shared" si="36"/>
        <v>Agricultural Equipment</v>
      </c>
      <c r="L925" s="316" t="str">
        <f t="shared" si="37"/>
        <v>Diesel</v>
      </c>
      <c r="M925" s="194"/>
      <c r="N925" s="317"/>
      <c r="O925" s="317"/>
      <c r="P925" s="317"/>
      <c r="Q925" s="317"/>
      <c r="R925" s="317"/>
      <c r="S925" s="317"/>
      <c r="T925" s="317"/>
      <c r="U925" s="317"/>
      <c r="V925" s="317"/>
      <c r="W925" s="317"/>
      <c r="X925" s="317"/>
      <c r="Y925" s="317"/>
      <c r="Z925" s="317"/>
    </row>
    <row r="926" spans="1:26" x14ac:dyDescent="0.25">
      <c r="A926" s="314"/>
      <c r="B926" s="18">
        <v>2023</v>
      </c>
      <c r="C926" s="18" t="s">
        <v>793</v>
      </c>
      <c r="D926" s="18" t="s">
        <v>782</v>
      </c>
      <c r="E926" s="18" t="s">
        <v>713</v>
      </c>
      <c r="F926" s="18" t="s">
        <v>714</v>
      </c>
      <c r="G926" s="18" t="s">
        <v>674</v>
      </c>
      <c r="H926" s="18" t="s">
        <v>783</v>
      </c>
      <c r="I926" s="315">
        <v>391.24284983012399</v>
      </c>
      <c r="J926" s="315">
        <v>3.7142824850553429E-3</v>
      </c>
      <c r="K926" s="316" t="str">
        <f t="shared" si="36"/>
        <v>Construction and Mining Equipment</v>
      </c>
      <c r="L926" s="316" t="str">
        <f t="shared" si="37"/>
        <v>Diesel</v>
      </c>
      <c r="M926" s="194"/>
      <c r="N926" s="317"/>
      <c r="O926" s="317"/>
      <c r="P926" s="317"/>
      <c r="Q926" s="317"/>
      <c r="R926" s="317"/>
      <c r="S926" s="317"/>
      <c r="T926" s="317"/>
      <c r="U926" s="317"/>
      <c r="V926" s="317"/>
      <c r="W926" s="317"/>
      <c r="X926" s="317"/>
      <c r="Y926" s="317"/>
      <c r="Z926" s="317"/>
    </row>
    <row r="927" spans="1:26" x14ac:dyDescent="0.25">
      <c r="A927" s="314"/>
      <c r="B927" s="18">
        <v>2023</v>
      </c>
      <c r="C927" s="18" t="s">
        <v>727</v>
      </c>
      <c r="D927" s="18" t="s">
        <v>784</v>
      </c>
      <c r="E927" s="18" t="s">
        <v>713</v>
      </c>
      <c r="F927" s="18" t="s">
        <v>714</v>
      </c>
      <c r="G927" s="18" t="s">
        <v>677</v>
      </c>
      <c r="H927" s="18" t="s">
        <v>785</v>
      </c>
      <c r="I927" s="315">
        <v>390.71615115571717</v>
      </c>
      <c r="J927" s="315">
        <v>5.5372526249063293E-3</v>
      </c>
      <c r="K927" s="316" t="str">
        <f t="shared" si="36"/>
        <v>Commercial Equipment</v>
      </c>
      <c r="L927" s="316" t="str">
        <f t="shared" si="37"/>
        <v>Diesel</v>
      </c>
      <c r="M927" s="194"/>
      <c r="N927" s="317"/>
      <c r="O927" s="317"/>
      <c r="P927" s="317"/>
      <c r="Q927" s="317"/>
      <c r="R927" s="317"/>
      <c r="S927" s="317"/>
      <c r="T927" s="317"/>
      <c r="U927" s="317"/>
      <c r="V927" s="317"/>
      <c r="W927" s="317"/>
      <c r="X927" s="317"/>
      <c r="Y927" s="317"/>
      <c r="Z927" s="317"/>
    </row>
    <row r="928" spans="1:26" x14ac:dyDescent="0.25">
      <c r="A928" s="314"/>
      <c r="B928" s="18">
        <v>2023</v>
      </c>
      <c r="C928" s="18" t="s">
        <v>711</v>
      </c>
      <c r="D928" s="18" t="s">
        <v>982</v>
      </c>
      <c r="E928" s="18" t="s">
        <v>703</v>
      </c>
      <c r="F928" s="18" t="s">
        <v>805</v>
      </c>
      <c r="G928" s="18" t="s">
        <v>679</v>
      </c>
      <c r="H928" s="18" t="s">
        <v>983</v>
      </c>
      <c r="I928" s="315">
        <v>389.48775637473801</v>
      </c>
      <c r="J928" s="315">
        <v>1.1951975767688594</v>
      </c>
      <c r="K928" s="316" t="str">
        <f t="shared" si="36"/>
        <v>Recreational Equipment</v>
      </c>
      <c r="L928" s="316" t="str">
        <f t="shared" si="37"/>
        <v>Gasoline</v>
      </c>
      <c r="M928" s="194"/>
      <c r="N928" s="317"/>
      <c r="O928" s="317"/>
      <c r="P928" s="317"/>
      <c r="Q928" s="317"/>
      <c r="R928" s="317"/>
      <c r="S928" s="317"/>
      <c r="T928" s="317"/>
      <c r="U928" s="317"/>
      <c r="V928" s="317"/>
      <c r="W928" s="317"/>
      <c r="X928" s="317"/>
      <c r="Y928" s="317"/>
      <c r="Z928" s="317"/>
    </row>
    <row r="929" spans="1:26" x14ac:dyDescent="0.25">
      <c r="A929" s="314"/>
      <c r="B929" s="18">
        <v>2023</v>
      </c>
      <c r="C929" s="18" t="s">
        <v>701</v>
      </c>
      <c r="D929" s="18" t="s">
        <v>982</v>
      </c>
      <c r="E929" s="18" t="s">
        <v>703</v>
      </c>
      <c r="F929" s="18" t="s">
        <v>805</v>
      </c>
      <c r="G929" s="18" t="s">
        <v>679</v>
      </c>
      <c r="H929" s="18" t="s">
        <v>983</v>
      </c>
      <c r="I929" s="315">
        <v>389.48775637473801</v>
      </c>
      <c r="J929" s="315">
        <v>1.1951975767688594</v>
      </c>
      <c r="K929" s="316" t="str">
        <f t="shared" si="36"/>
        <v>Recreational Equipment</v>
      </c>
      <c r="L929" s="316" t="str">
        <f t="shared" si="37"/>
        <v>Gasoline</v>
      </c>
      <c r="M929" s="194"/>
      <c r="N929" s="317"/>
      <c r="O929" s="317"/>
      <c r="P929" s="317"/>
      <c r="Q929" s="317"/>
      <c r="R929" s="317"/>
      <c r="S929" s="317"/>
      <c r="T929" s="317"/>
      <c r="U929" s="317"/>
      <c r="V929" s="317"/>
      <c r="W929" s="317"/>
      <c r="X929" s="317"/>
      <c r="Y929" s="317"/>
      <c r="Z929" s="317"/>
    </row>
    <row r="930" spans="1:26" x14ac:dyDescent="0.25">
      <c r="A930" s="314"/>
      <c r="B930" s="18">
        <v>2023</v>
      </c>
      <c r="C930" s="18" t="s">
        <v>706</v>
      </c>
      <c r="D930" s="18" t="s">
        <v>989</v>
      </c>
      <c r="E930" s="18" t="s">
        <v>703</v>
      </c>
      <c r="F930" s="18" t="s">
        <v>795</v>
      </c>
      <c r="G930" s="18" t="s">
        <v>673</v>
      </c>
      <c r="H930" s="18" t="s">
        <v>990</v>
      </c>
      <c r="I930" s="315">
        <v>387.65533026933406</v>
      </c>
      <c r="J930" s="315">
        <v>0.74624413315968285</v>
      </c>
      <c r="K930" s="316" t="str">
        <f t="shared" si="36"/>
        <v>Lawn and Garden Equipment</v>
      </c>
      <c r="L930" s="316" t="str">
        <f t="shared" si="37"/>
        <v>Gasoline</v>
      </c>
      <c r="M930" s="194"/>
      <c r="N930" s="317"/>
      <c r="O930" s="317"/>
      <c r="P930" s="317"/>
      <c r="Q930" s="317"/>
      <c r="R930" s="317"/>
      <c r="S930" s="317"/>
      <c r="T930" s="317"/>
      <c r="U930" s="317"/>
      <c r="V930" s="317"/>
      <c r="W930" s="317"/>
      <c r="X930" s="317"/>
      <c r="Y930" s="317"/>
      <c r="Z930" s="317"/>
    </row>
    <row r="931" spans="1:26" x14ac:dyDescent="0.25">
      <c r="A931" s="314"/>
      <c r="B931" s="18">
        <v>2023</v>
      </c>
      <c r="C931" s="18" t="s">
        <v>706</v>
      </c>
      <c r="D931" s="18" t="s">
        <v>993</v>
      </c>
      <c r="E931" s="18" t="s">
        <v>703</v>
      </c>
      <c r="F931" s="18" t="s">
        <v>704</v>
      </c>
      <c r="G931" s="18" t="s">
        <v>674</v>
      </c>
      <c r="H931" s="18" t="s">
        <v>994</v>
      </c>
      <c r="I931" s="315">
        <v>386.74131908347573</v>
      </c>
      <c r="J931" s="315">
        <v>0.25837218038509852</v>
      </c>
      <c r="K931" s="316" t="str">
        <f t="shared" si="36"/>
        <v>Construction and Mining Equipment</v>
      </c>
      <c r="L931" s="316" t="str">
        <f t="shared" si="37"/>
        <v>Gasoline</v>
      </c>
      <c r="M931" s="194"/>
      <c r="N931" s="317"/>
      <c r="O931" s="317"/>
      <c r="P931" s="317"/>
      <c r="Q931" s="317"/>
      <c r="R931" s="317"/>
      <c r="S931" s="317"/>
      <c r="T931" s="317"/>
      <c r="U931" s="317"/>
      <c r="V931" s="317"/>
      <c r="W931" s="317"/>
      <c r="X931" s="317"/>
      <c r="Y931" s="317"/>
      <c r="Z931" s="317"/>
    </row>
    <row r="932" spans="1:26" x14ac:dyDescent="0.25">
      <c r="A932" s="314"/>
      <c r="B932" s="18">
        <v>2023</v>
      </c>
      <c r="C932" s="18" t="s">
        <v>760</v>
      </c>
      <c r="D932" s="18" t="s">
        <v>866</v>
      </c>
      <c r="E932" s="18" t="s">
        <v>713</v>
      </c>
      <c r="F932" s="18" t="s">
        <v>714</v>
      </c>
      <c r="G932" s="18" t="s">
        <v>677</v>
      </c>
      <c r="H932" s="18" t="s">
        <v>841</v>
      </c>
      <c r="I932" s="315">
        <v>386.53429179154841</v>
      </c>
      <c r="J932" s="315">
        <v>9.6386236890259689E-3</v>
      </c>
      <c r="K932" s="316" t="str">
        <f t="shared" si="36"/>
        <v>Commercial Equipment</v>
      </c>
      <c r="L932" s="316" t="str">
        <f t="shared" si="37"/>
        <v>Diesel</v>
      </c>
      <c r="M932" s="194"/>
      <c r="N932" s="317"/>
      <c r="O932" s="317"/>
      <c r="P932" s="317"/>
      <c r="Q932" s="317"/>
      <c r="R932" s="317"/>
      <c r="S932" s="317"/>
      <c r="T932" s="317"/>
      <c r="U932" s="317"/>
      <c r="V932" s="317"/>
      <c r="W932" s="317"/>
      <c r="X932" s="317"/>
      <c r="Y932" s="317"/>
      <c r="Z932" s="317"/>
    </row>
    <row r="933" spans="1:26" x14ac:dyDescent="0.25">
      <c r="A933" s="314"/>
      <c r="B933" s="18">
        <v>2023</v>
      </c>
      <c r="C933" s="18" t="s">
        <v>778</v>
      </c>
      <c r="D933" s="18" t="s">
        <v>855</v>
      </c>
      <c r="E933" s="18" t="s">
        <v>713</v>
      </c>
      <c r="F933" s="18" t="s">
        <v>714</v>
      </c>
      <c r="G933" s="18" t="s">
        <v>674</v>
      </c>
      <c r="H933" s="18" t="s">
        <v>856</v>
      </c>
      <c r="I933" s="315">
        <v>386.19150494087899</v>
      </c>
      <c r="J933" s="315">
        <v>2.4403001690260951E-3</v>
      </c>
      <c r="K933" s="316" t="str">
        <f t="shared" si="36"/>
        <v>Construction and Mining Equipment</v>
      </c>
      <c r="L933" s="316" t="str">
        <f t="shared" si="37"/>
        <v>Diesel</v>
      </c>
      <c r="M933" s="194"/>
      <c r="N933" s="317"/>
      <c r="O933" s="317"/>
      <c r="P933" s="317"/>
      <c r="Q933" s="317"/>
      <c r="R933" s="317"/>
      <c r="S933" s="317"/>
      <c r="T933" s="317"/>
      <c r="U933" s="317"/>
      <c r="V933" s="317"/>
      <c r="W933" s="317"/>
      <c r="X933" s="317"/>
      <c r="Y933" s="317"/>
      <c r="Z933" s="317"/>
    </row>
    <row r="934" spans="1:26" x14ac:dyDescent="0.25">
      <c r="A934" s="314"/>
      <c r="B934" s="18">
        <v>2023</v>
      </c>
      <c r="C934" s="18" t="s">
        <v>701</v>
      </c>
      <c r="D934" s="18" t="s">
        <v>968</v>
      </c>
      <c r="E934" s="18" t="s">
        <v>703</v>
      </c>
      <c r="F934" s="18" t="s">
        <v>704</v>
      </c>
      <c r="G934" s="18" t="s">
        <v>675</v>
      </c>
      <c r="H934" s="18" t="s">
        <v>969</v>
      </c>
      <c r="I934" s="315">
        <v>385.75546586023921</v>
      </c>
      <c r="J934" s="315">
        <v>0.1235402656075776</v>
      </c>
      <c r="K934" s="316" t="str">
        <f t="shared" si="36"/>
        <v>Industrial Equipment</v>
      </c>
      <c r="L934" s="316" t="str">
        <f t="shared" si="37"/>
        <v>Gasoline</v>
      </c>
      <c r="M934" s="194"/>
      <c r="N934" s="317"/>
      <c r="O934" s="317"/>
      <c r="P934" s="317"/>
      <c r="Q934" s="317"/>
      <c r="R934" s="317"/>
      <c r="S934" s="317"/>
      <c r="T934" s="317"/>
      <c r="U934" s="317"/>
      <c r="V934" s="317"/>
      <c r="W934" s="317"/>
      <c r="X934" s="317"/>
      <c r="Y934" s="317"/>
      <c r="Z934" s="317"/>
    </row>
    <row r="935" spans="1:26" x14ac:dyDescent="0.25">
      <c r="A935" s="314"/>
      <c r="B935" s="18">
        <v>2023</v>
      </c>
      <c r="C935" s="18" t="s">
        <v>722</v>
      </c>
      <c r="D935" s="18" t="s">
        <v>858</v>
      </c>
      <c r="E935" s="18" t="s">
        <v>713</v>
      </c>
      <c r="F935" s="18" t="s">
        <v>714</v>
      </c>
      <c r="G935" s="18" t="s">
        <v>674</v>
      </c>
      <c r="H935" s="18" t="s">
        <v>859</v>
      </c>
      <c r="I935" s="315">
        <v>385.40868864262427</v>
      </c>
      <c r="J935" s="315">
        <v>3.421048107931052E-3</v>
      </c>
      <c r="K935" s="316" t="str">
        <f t="shared" si="36"/>
        <v>Construction and Mining Equipment</v>
      </c>
      <c r="L935" s="316" t="str">
        <f t="shared" si="37"/>
        <v>Diesel</v>
      </c>
      <c r="M935" s="194"/>
      <c r="N935" s="317"/>
      <c r="O935" s="317"/>
      <c r="P935" s="317"/>
      <c r="Q935" s="317"/>
      <c r="R935" s="317"/>
      <c r="S935" s="317"/>
      <c r="T935" s="317"/>
      <c r="U935" s="317"/>
      <c r="V935" s="317"/>
      <c r="W935" s="317"/>
      <c r="X935" s="317"/>
      <c r="Y935" s="317"/>
      <c r="Z935" s="317"/>
    </row>
    <row r="936" spans="1:26" x14ac:dyDescent="0.25">
      <c r="A936" s="314"/>
      <c r="B936" s="18">
        <v>2023</v>
      </c>
      <c r="C936" s="18" t="s">
        <v>773</v>
      </c>
      <c r="D936" s="18" t="s">
        <v>741</v>
      </c>
      <c r="E936" s="18" t="s">
        <v>713</v>
      </c>
      <c r="F936" s="18" t="s">
        <v>714</v>
      </c>
      <c r="G936" s="18" t="s">
        <v>673</v>
      </c>
      <c r="H936" s="18" t="s">
        <v>742</v>
      </c>
      <c r="I936" s="315">
        <v>384.77900653399433</v>
      </c>
      <c r="J936" s="315">
        <v>6.3730347116027243E-3</v>
      </c>
      <c r="K936" s="316" t="str">
        <f t="shared" si="36"/>
        <v>Lawn and Garden Equipment</v>
      </c>
      <c r="L936" s="316" t="str">
        <f t="shared" si="37"/>
        <v>Diesel</v>
      </c>
      <c r="M936" s="194"/>
      <c r="N936" s="317"/>
      <c r="O936" s="317"/>
      <c r="P936" s="317"/>
      <c r="Q936" s="317"/>
      <c r="R936" s="317"/>
      <c r="S936" s="317"/>
      <c r="T936" s="317"/>
      <c r="U936" s="317"/>
      <c r="V936" s="317"/>
      <c r="W936" s="317"/>
      <c r="X936" s="317"/>
      <c r="Y936" s="317"/>
      <c r="Z936" s="317"/>
    </row>
    <row r="937" spans="1:26" x14ac:dyDescent="0.25">
      <c r="A937" s="314"/>
      <c r="B937" s="18">
        <v>2023</v>
      </c>
      <c r="C937" s="18" t="s">
        <v>732</v>
      </c>
      <c r="D937" s="18" t="s">
        <v>868</v>
      </c>
      <c r="E937" s="18" t="s">
        <v>703</v>
      </c>
      <c r="F937" s="18" t="s">
        <v>704</v>
      </c>
      <c r="G937" s="18" t="s">
        <v>673</v>
      </c>
      <c r="H937" s="18" t="s">
        <v>758</v>
      </c>
      <c r="I937" s="315">
        <v>382.07498948891043</v>
      </c>
      <c r="J937" s="315">
        <v>0.25084534421801874</v>
      </c>
      <c r="K937" s="316" t="str">
        <f t="shared" si="36"/>
        <v>Lawn and Garden Equipment</v>
      </c>
      <c r="L937" s="316" t="str">
        <f t="shared" si="37"/>
        <v>Gasoline</v>
      </c>
      <c r="M937" s="194"/>
      <c r="N937" s="317"/>
      <c r="O937" s="317"/>
      <c r="P937" s="317"/>
      <c r="Q937" s="317"/>
      <c r="R937" s="317"/>
      <c r="S937" s="317"/>
      <c r="T937" s="317"/>
      <c r="U937" s="317"/>
      <c r="V937" s="317"/>
      <c r="W937" s="317"/>
      <c r="X937" s="317"/>
      <c r="Y937" s="317"/>
      <c r="Z937" s="317"/>
    </row>
    <row r="938" spans="1:26" x14ac:dyDescent="0.25">
      <c r="A938" s="314"/>
      <c r="B938" s="18">
        <v>2023</v>
      </c>
      <c r="C938" s="18" t="s">
        <v>787</v>
      </c>
      <c r="D938" s="18" t="s">
        <v>853</v>
      </c>
      <c r="E938" s="18" t="s">
        <v>703</v>
      </c>
      <c r="F938" s="18" t="s">
        <v>795</v>
      </c>
      <c r="G938" s="18" t="s">
        <v>679</v>
      </c>
      <c r="H938" s="18" t="s">
        <v>854</v>
      </c>
      <c r="I938" s="315">
        <v>380.82540607991268</v>
      </c>
      <c r="J938" s="315">
        <v>0.28678105570970863</v>
      </c>
      <c r="K938" s="316" t="str">
        <f t="shared" si="36"/>
        <v>Recreational Equipment</v>
      </c>
      <c r="L938" s="316" t="str">
        <f t="shared" si="37"/>
        <v>Gasoline</v>
      </c>
      <c r="M938" s="194"/>
      <c r="N938" s="317"/>
      <c r="O938" s="317"/>
      <c r="P938" s="317"/>
      <c r="Q938" s="317"/>
      <c r="R938" s="317"/>
      <c r="S938" s="317"/>
      <c r="T938" s="317"/>
      <c r="U938" s="317"/>
      <c r="V938" s="317"/>
      <c r="W938" s="317"/>
      <c r="X938" s="317"/>
      <c r="Y938" s="317"/>
      <c r="Z938" s="317"/>
    </row>
    <row r="939" spans="1:26" x14ac:dyDescent="0.25">
      <c r="A939" s="314"/>
      <c r="B939" s="18">
        <v>2023</v>
      </c>
      <c r="C939" s="18" t="s">
        <v>773</v>
      </c>
      <c r="D939" s="18" t="s">
        <v>853</v>
      </c>
      <c r="E939" s="18" t="s">
        <v>703</v>
      </c>
      <c r="F939" s="18" t="s">
        <v>795</v>
      </c>
      <c r="G939" s="18" t="s">
        <v>679</v>
      </c>
      <c r="H939" s="18" t="s">
        <v>854</v>
      </c>
      <c r="I939" s="315">
        <v>380.82540607991268</v>
      </c>
      <c r="J939" s="315">
        <v>0.28544461207019728</v>
      </c>
      <c r="K939" s="316" t="str">
        <f t="shared" si="36"/>
        <v>Recreational Equipment</v>
      </c>
      <c r="L939" s="316" t="str">
        <f t="shared" si="37"/>
        <v>Gasoline</v>
      </c>
      <c r="M939" s="194"/>
      <c r="N939" s="317"/>
      <c r="O939" s="317"/>
      <c r="P939" s="317"/>
      <c r="Q939" s="317"/>
      <c r="R939" s="317"/>
      <c r="S939" s="317"/>
      <c r="T939" s="317"/>
      <c r="U939" s="317"/>
      <c r="V939" s="317"/>
      <c r="W939" s="317"/>
      <c r="X939" s="317"/>
      <c r="Y939" s="317"/>
      <c r="Z939" s="317"/>
    </row>
    <row r="940" spans="1:26" x14ac:dyDescent="0.25">
      <c r="A940" s="314"/>
      <c r="B940" s="18">
        <v>2023</v>
      </c>
      <c r="C940" s="18" t="s">
        <v>710</v>
      </c>
      <c r="D940" s="18" t="s">
        <v>767</v>
      </c>
      <c r="E940" s="18" t="s">
        <v>703</v>
      </c>
      <c r="F940" s="18" t="s">
        <v>704</v>
      </c>
      <c r="G940" s="18" t="s">
        <v>673</v>
      </c>
      <c r="H940" s="18" t="s">
        <v>768</v>
      </c>
      <c r="I940" s="315">
        <v>380.36233501899505</v>
      </c>
      <c r="J940" s="315">
        <v>0.26450302624437044</v>
      </c>
      <c r="K940" s="316" t="str">
        <f t="shared" si="36"/>
        <v>Lawn and Garden Equipment</v>
      </c>
      <c r="L940" s="316" t="str">
        <f t="shared" si="37"/>
        <v>Gasoline</v>
      </c>
      <c r="M940" s="194"/>
      <c r="N940" s="317"/>
      <c r="O940" s="317"/>
      <c r="P940" s="317"/>
      <c r="Q940" s="317"/>
      <c r="R940" s="317"/>
      <c r="S940" s="317"/>
      <c r="T940" s="317"/>
      <c r="U940" s="317"/>
      <c r="V940" s="317"/>
      <c r="W940" s="317"/>
      <c r="X940" s="317"/>
      <c r="Y940" s="317"/>
      <c r="Z940" s="317"/>
    </row>
    <row r="941" spans="1:26" x14ac:dyDescent="0.25">
      <c r="A941" s="314"/>
      <c r="B941" s="18">
        <v>2023</v>
      </c>
      <c r="C941" s="18" t="s">
        <v>709</v>
      </c>
      <c r="D941" s="18" t="s">
        <v>980</v>
      </c>
      <c r="E941" s="18" t="s">
        <v>713</v>
      </c>
      <c r="F941" s="18" t="s">
        <v>714</v>
      </c>
      <c r="G941" s="18" t="s">
        <v>674</v>
      </c>
      <c r="H941" s="18" t="s">
        <v>981</v>
      </c>
      <c r="I941" s="315">
        <v>379.82132393452741</v>
      </c>
      <c r="J941" s="315">
        <v>1.6672029099593796E-2</v>
      </c>
      <c r="K941" s="316" t="str">
        <f t="shared" si="36"/>
        <v>Construction and Mining Equipment</v>
      </c>
      <c r="L941" s="316" t="str">
        <f t="shared" si="37"/>
        <v>Diesel</v>
      </c>
      <c r="M941" s="194"/>
      <c r="N941" s="317"/>
      <c r="O941" s="317"/>
      <c r="P941" s="317"/>
      <c r="Q941" s="317"/>
      <c r="R941" s="317"/>
      <c r="S941" s="317"/>
      <c r="T941" s="317"/>
      <c r="U941" s="317"/>
      <c r="V941" s="317"/>
      <c r="W941" s="317"/>
      <c r="X941" s="317"/>
      <c r="Y941" s="317"/>
      <c r="Z941" s="317"/>
    </row>
    <row r="942" spans="1:26" x14ac:dyDescent="0.25">
      <c r="A942" s="314"/>
      <c r="B942" s="18">
        <v>2023</v>
      </c>
      <c r="C942" s="18" t="s">
        <v>722</v>
      </c>
      <c r="D942" s="18" t="s">
        <v>860</v>
      </c>
      <c r="E942" s="18" t="s">
        <v>713</v>
      </c>
      <c r="F942" s="18" t="s">
        <v>714</v>
      </c>
      <c r="G942" s="18" t="s">
        <v>674</v>
      </c>
      <c r="H942" s="18" t="s">
        <v>861</v>
      </c>
      <c r="I942" s="315">
        <v>377.03363264245382</v>
      </c>
      <c r="J942" s="315">
        <v>6.2486490321525187E-3</v>
      </c>
      <c r="K942" s="316" t="str">
        <f t="shared" si="36"/>
        <v>Construction and Mining Equipment</v>
      </c>
      <c r="L942" s="316" t="str">
        <f t="shared" si="37"/>
        <v>Diesel</v>
      </c>
      <c r="M942" s="194"/>
      <c r="N942" s="317"/>
      <c r="O942" s="317"/>
      <c r="P942" s="317"/>
      <c r="Q942" s="317"/>
      <c r="R942" s="317"/>
      <c r="S942" s="317"/>
      <c r="T942" s="317"/>
      <c r="U942" s="317"/>
      <c r="V942" s="317"/>
      <c r="W942" s="317"/>
      <c r="X942" s="317"/>
      <c r="Y942" s="317"/>
      <c r="Z942" s="317"/>
    </row>
    <row r="943" spans="1:26" x14ac:dyDescent="0.25">
      <c r="A943" s="314"/>
      <c r="B943" s="18">
        <v>2023</v>
      </c>
      <c r="C943" s="18" t="s">
        <v>762</v>
      </c>
      <c r="D943" s="18" t="s">
        <v>784</v>
      </c>
      <c r="E943" s="18" t="s">
        <v>713</v>
      </c>
      <c r="F943" s="18" t="s">
        <v>714</v>
      </c>
      <c r="G943" s="18" t="s">
        <v>677</v>
      </c>
      <c r="H943" s="18" t="s">
        <v>785</v>
      </c>
      <c r="I943" s="315">
        <v>376.42317704770926</v>
      </c>
      <c r="J943" s="315">
        <v>5.3346565316154844E-3</v>
      </c>
      <c r="K943" s="316" t="str">
        <f t="shared" si="36"/>
        <v>Commercial Equipment</v>
      </c>
      <c r="L943" s="316" t="str">
        <f t="shared" si="37"/>
        <v>Diesel</v>
      </c>
      <c r="M943" s="194"/>
      <c r="N943" s="317"/>
      <c r="O943" s="317"/>
      <c r="P943" s="317"/>
      <c r="Q943" s="317"/>
      <c r="R943" s="317"/>
      <c r="S943" s="317"/>
      <c r="T943" s="317"/>
      <c r="U943" s="317"/>
      <c r="V943" s="317"/>
      <c r="W943" s="317"/>
      <c r="X943" s="317"/>
      <c r="Y943" s="317"/>
      <c r="Z943" s="317"/>
    </row>
    <row r="944" spans="1:26" x14ac:dyDescent="0.25">
      <c r="A944" s="314"/>
      <c r="B944" s="18">
        <v>2023</v>
      </c>
      <c r="C944" s="18" t="s">
        <v>709</v>
      </c>
      <c r="D944" s="18" t="s">
        <v>989</v>
      </c>
      <c r="E944" s="18" t="s">
        <v>703</v>
      </c>
      <c r="F944" s="18" t="s">
        <v>795</v>
      </c>
      <c r="G944" s="18" t="s">
        <v>673</v>
      </c>
      <c r="H944" s="18" t="s">
        <v>990</v>
      </c>
      <c r="I944" s="315">
        <v>375.60033803037737</v>
      </c>
      <c r="J944" s="315">
        <v>0.7230399939013008</v>
      </c>
      <c r="K944" s="316" t="str">
        <f t="shared" si="36"/>
        <v>Lawn and Garden Equipment</v>
      </c>
      <c r="L944" s="316" t="str">
        <f t="shared" si="37"/>
        <v>Gasoline</v>
      </c>
      <c r="M944" s="194"/>
      <c r="N944" s="317"/>
      <c r="O944" s="317"/>
      <c r="P944" s="317"/>
      <c r="Q944" s="317"/>
      <c r="R944" s="317"/>
      <c r="S944" s="317"/>
      <c r="T944" s="317"/>
      <c r="U944" s="317"/>
      <c r="V944" s="317"/>
      <c r="W944" s="317"/>
      <c r="X944" s="317"/>
      <c r="Y944" s="317"/>
      <c r="Z944" s="317"/>
    </row>
    <row r="945" spans="1:26" x14ac:dyDescent="0.25">
      <c r="A945" s="314"/>
      <c r="B945" s="18">
        <v>2023</v>
      </c>
      <c r="C945" s="18" t="s">
        <v>743</v>
      </c>
      <c r="D945" s="18" t="s">
        <v>840</v>
      </c>
      <c r="E945" s="18" t="s">
        <v>703</v>
      </c>
      <c r="F945" s="18" t="s">
        <v>704</v>
      </c>
      <c r="G945" s="18" t="s">
        <v>677</v>
      </c>
      <c r="H945" s="18" t="s">
        <v>841</v>
      </c>
      <c r="I945" s="315">
        <v>374.79038172533637</v>
      </c>
      <c r="J945" s="315">
        <v>0.2481240773372291</v>
      </c>
      <c r="K945" s="316" t="str">
        <f t="shared" si="36"/>
        <v>Commercial Equipment</v>
      </c>
      <c r="L945" s="316" t="str">
        <f t="shared" si="37"/>
        <v>Gasoline</v>
      </c>
      <c r="M945" s="194"/>
      <c r="N945" s="317"/>
      <c r="O945" s="317"/>
      <c r="P945" s="317"/>
      <c r="Q945" s="317"/>
      <c r="R945" s="317"/>
      <c r="S945" s="317"/>
      <c r="T945" s="317"/>
      <c r="U945" s="317"/>
      <c r="V945" s="317"/>
      <c r="W945" s="317"/>
      <c r="X945" s="317"/>
      <c r="Y945" s="317"/>
      <c r="Z945" s="317"/>
    </row>
    <row r="946" spans="1:26" x14ac:dyDescent="0.25">
      <c r="A946" s="314"/>
      <c r="B946" s="18">
        <v>2023</v>
      </c>
      <c r="C946" s="18" t="s">
        <v>701</v>
      </c>
      <c r="D946" s="18" t="s">
        <v>995</v>
      </c>
      <c r="E946" s="18" t="s">
        <v>703</v>
      </c>
      <c r="F946" s="18" t="s">
        <v>805</v>
      </c>
      <c r="G946" s="18" t="s">
        <v>673</v>
      </c>
      <c r="H946" s="18" t="s">
        <v>996</v>
      </c>
      <c r="I946" s="315">
        <v>374.10503620243878</v>
      </c>
      <c r="J946" s="315">
        <v>0.69763766975056818</v>
      </c>
      <c r="K946" s="316" t="str">
        <f t="shared" si="36"/>
        <v>Lawn and Garden Equipment</v>
      </c>
      <c r="L946" s="316" t="str">
        <f t="shared" si="37"/>
        <v>Gasoline</v>
      </c>
      <c r="M946" s="194"/>
      <c r="N946" s="317"/>
      <c r="O946" s="317"/>
      <c r="P946" s="317"/>
      <c r="Q946" s="317"/>
      <c r="R946" s="317"/>
      <c r="S946" s="317"/>
      <c r="T946" s="317"/>
      <c r="U946" s="317"/>
      <c r="V946" s="317"/>
      <c r="W946" s="317"/>
      <c r="X946" s="317"/>
      <c r="Y946" s="317"/>
      <c r="Z946" s="317"/>
    </row>
    <row r="947" spans="1:26" x14ac:dyDescent="0.25">
      <c r="A947" s="314"/>
      <c r="B947" s="18">
        <v>2023</v>
      </c>
      <c r="C947" s="18" t="s">
        <v>760</v>
      </c>
      <c r="D947" s="18" t="s">
        <v>807</v>
      </c>
      <c r="E947" s="18" t="s">
        <v>703</v>
      </c>
      <c r="F947" s="18" t="s">
        <v>805</v>
      </c>
      <c r="G947" s="18" t="s">
        <v>673</v>
      </c>
      <c r="H947" s="18" t="s">
        <v>749</v>
      </c>
      <c r="I947" s="315">
        <v>373.68286640271305</v>
      </c>
      <c r="J947" s="315">
        <v>0.69903619584030341</v>
      </c>
      <c r="K947" s="316" t="str">
        <f t="shared" si="36"/>
        <v>Lawn and Garden Equipment</v>
      </c>
      <c r="L947" s="316" t="str">
        <f t="shared" si="37"/>
        <v>Gasoline</v>
      </c>
      <c r="M947" s="194"/>
      <c r="N947" s="317"/>
      <c r="O947" s="317"/>
      <c r="P947" s="317"/>
      <c r="Q947" s="317"/>
      <c r="R947" s="317"/>
      <c r="S947" s="317"/>
      <c r="T947" s="317"/>
      <c r="U947" s="317"/>
      <c r="V947" s="317"/>
      <c r="W947" s="317"/>
      <c r="X947" s="317"/>
      <c r="Y947" s="317"/>
      <c r="Z947" s="317"/>
    </row>
    <row r="948" spans="1:26" x14ac:dyDescent="0.25">
      <c r="A948" s="314"/>
      <c r="B948" s="18">
        <v>2023</v>
      </c>
      <c r="C948" s="18" t="s">
        <v>727</v>
      </c>
      <c r="D948" s="18" t="s">
        <v>752</v>
      </c>
      <c r="E948" s="18" t="s">
        <v>713</v>
      </c>
      <c r="F948" s="18" t="s">
        <v>714</v>
      </c>
      <c r="G948" s="18" t="s">
        <v>675</v>
      </c>
      <c r="H948" s="18" t="s">
        <v>708</v>
      </c>
      <c r="I948" s="315">
        <v>373.6577248863336</v>
      </c>
      <c r="J948" s="315">
        <v>1.9057204149350144E-3</v>
      </c>
      <c r="K948" s="316" t="str">
        <f t="shared" si="36"/>
        <v>Industrial Equipment</v>
      </c>
      <c r="L948" s="316" t="str">
        <f t="shared" si="37"/>
        <v>Diesel</v>
      </c>
      <c r="M948" s="194"/>
      <c r="N948" s="317"/>
      <c r="O948" s="317"/>
      <c r="P948" s="317"/>
      <c r="Q948" s="317"/>
      <c r="R948" s="317"/>
      <c r="S948" s="317"/>
      <c r="T948" s="317"/>
      <c r="U948" s="317"/>
      <c r="V948" s="317"/>
      <c r="W948" s="317"/>
      <c r="X948" s="317"/>
      <c r="Y948" s="317"/>
      <c r="Z948" s="317"/>
    </row>
    <row r="949" spans="1:26" x14ac:dyDescent="0.25">
      <c r="A949" s="314"/>
      <c r="B949" s="18">
        <v>2023</v>
      </c>
      <c r="C949" s="18" t="s">
        <v>711</v>
      </c>
      <c r="D949" s="18" t="s">
        <v>968</v>
      </c>
      <c r="E949" s="18" t="s">
        <v>703</v>
      </c>
      <c r="F949" s="18" t="s">
        <v>704</v>
      </c>
      <c r="G949" s="18" t="s">
        <v>675</v>
      </c>
      <c r="H949" s="18" t="s">
        <v>969</v>
      </c>
      <c r="I949" s="315">
        <v>372.54766212227065</v>
      </c>
      <c r="J949" s="315">
        <v>0.11908682623493129</v>
      </c>
      <c r="K949" s="316" t="str">
        <f t="shared" si="36"/>
        <v>Industrial Equipment</v>
      </c>
      <c r="L949" s="316" t="str">
        <f t="shared" si="37"/>
        <v>Gasoline</v>
      </c>
      <c r="M949" s="194"/>
      <c r="N949" s="317"/>
      <c r="O949" s="317"/>
      <c r="P949" s="317"/>
      <c r="Q949" s="317"/>
      <c r="R949" s="317"/>
      <c r="S949" s="317"/>
      <c r="T949" s="317"/>
      <c r="U949" s="317"/>
      <c r="V949" s="317"/>
      <c r="W949" s="317"/>
      <c r="X949" s="317"/>
      <c r="Y949" s="317"/>
      <c r="Z949" s="317"/>
    </row>
    <row r="950" spans="1:26" x14ac:dyDescent="0.25">
      <c r="A950" s="314"/>
      <c r="B950" s="18">
        <v>2023</v>
      </c>
      <c r="C950" s="18" t="s">
        <v>778</v>
      </c>
      <c r="D950" s="18" t="s">
        <v>858</v>
      </c>
      <c r="E950" s="18" t="s">
        <v>713</v>
      </c>
      <c r="F950" s="18" t="s">
        <v>714</v>
      </c>
      <c r="G950" s="18" t="s">
        <v>674</v>
      </c>
      <c r="H950" s="18" t="s">
        <v>859</v>
      </c>
      <c r="I950" s="315">
        <v>371.51252235570013</v>
      </c>
      <c r="J950" s="315">
        <v>3.2976994295580257E-3</v>
      </c>
      <c r="K950" s="316" t="str">
        <f t="shared" si="36"/>
        <v>Construction and Mining Equipment</v>
      </c>
      <c r="L950" s="316" t="str">
        <f t="shared" si="37"/>
        <v>Diesel</v>
      </c>
      <c r="M950" s="194"/>
      <c r="N950" s="317"/>
      <c r="O950" s="317"/>
      <c r="P950" s="317"/>
      <c r="Q950" s="317"/>
      <c r="R950" s="317"/>
      <c r="S950" s="317"/>
      <c r="T950" s="317"/>
      <c r="U950" s="317"/>
      <c r="V950" s="317"/>
      <c r="W950" s="317"/>
      <c r="X950" s="317"/>
      <c r="Y950" s="317"/>
      <c r="Z950" s="317"/>
    </row>
    <row r="951" spans="1:26" x14ac:dyDescent="0.25">
      <c r="A951" s="314"/>
      <c r="B951" s="18">
        <v>2023</v>
      </c>
      <c r="C951" s="18" t="s">
        <v>727</v>
      </c>
      <c r="D951" s="18" t="s">
        <v>790</v>
      </c>
      <c r="E951" s="18" t="s">
        <v>713</v>
      </c>
      <c r="F951" s="18" t="s">
        <v>714</v>
      </c>
      <c r="G951" s="18" t="s">
        <v>674</v>
      </c>
      <c r="H951" s="18" t="s">
        <v>791</v>
      </c>
      <c r="I951" s="315">
        <v>371.28996900895845</v>
      </c>
      <c r="J951" s="315">
        <v>2.1344089852375443E-3</v>
      </c>
      <c r="K951" s="316" t="str">
        <f t="shared" si="36"/>
        <v>Construction and Mining Equipment</v>
      </c>
      <c r="L951" s="316" t="str">
        <f t="shared" si="37"/>
        <v>Diesel</v>
      </c>
      <c r="M951" s="194"/>
      <c r="N951" s="317"/>
      <c r="O951" s="317"/>
      <c r="P951" s="317"/>
      <c r="Q951" s="317"/>
      <c r="R951" s="317"/>
      <c r="S951" s="317"/>
      <c r="T951" s="317"/>
      <c r="U951" s="317"/>
      <c r="V951" s="317"/>
      <c r="W951" s="317"/>
      <c r="X951" s="317"/>
      <c r="Y951" s="317"/>
      <c r="Z951" s="317"/>
    </row>
    <row r="952" spans="1:26" x14ac:dyDescent="0.25">
      <c r="A952" s="314"/>
      <c r="B952" s="18">
        <v>2023</v>
      </c>
      <c r="C952" s="18" t="s">
        <v>773</v>
      </c>
      <c r="D952" s="18" t="s">
        <v>835</v>
      </c>
      <c r="E952" s="18" t="s">
        <v>703</v>
      </c>
      <c r="F952" s="18" t="s">
        <v>704</v>
      </c>
      <c r="G952" s="18" t="s">
        <v>677</v>
      </c>
      <c r="H952" s="18" t="s">
        <v>836</v>
      </c>
      <c r="I952" s="315">
        <v>370.38220131436515</v>
      </c>
      <c r="J952" s="315">
        <v>0.2291749982680063</v>
      </c>
      <c r="K952" s="316" t="str">
        <f t="shared" si="36"/>
        <v>Commercial Equipment</v>
      </c>
      <c r="L952" s="316" t="str">
        <f t="shared" si="37"/>
        <v>Gasoline</v>
      </c>
      <c r="M952" s="194"/>
      <c r="N952" s="317"/>
      <c r="O952" s="317"/>
      <c r="P952" s="317"/>
      <c r="Q952" s="317"/>
      <c r="R952" s="317"/>
      <c r="S952" s="317"/>
      <c r="T952" s="317"/>
      <c r="U952" s="317"/>
      <c r="V952" s="317"/>
      <c r="W952" s="317"/>
      <c r="X952" s="317"/>
      <c r="Y952" s="317"/>
      <c r="Z952" s="317"/>
    </row>
    <row r="953" spans="1:26" x14ac:dyDescent="0.25">
      <c r="A953" s="314"/>
      <c r="B953" s="18">
        <v>2023</v>
      </c>
      <c r="C953" s="18" t="s">
        <v>722</v>
      </c>
      <c r="D953" s="18" t="s">
        <v>862</v>
      </c>
      <c r="E953" s="18" t="s">
        <v>713</v>
      </c>
      <c r="F953" s="18" t="s">
        <v>714</v>
      </c>
      <c r="G953" s="18" t="s">
        <v>674</v>
      </c>
      <c r="H953" s="18" t="s">
        <v>863</v>
      </c>
      <c r="I953" s="315">
        <v>369.53369718278111</v>
      </c>
      <c r="J953" s="315">
        <v>2.6659077956876155E-3</v>
      </c>
      <c r="K953" s="316" t="str">
        <f t="shared" si="36"/>
        <v>Construction and Mining Equipment</v>
      </c>
      <c r="L953" s="316" t="str">
        <f t="shared" si="37"/>
        <v>Diesel</v>
      </c>
      <c r="M953" s="194"/>
      <c r="N953" s="317"/>
      <c r="O953" s="317"/>
      <c r="P953" s="317"/>
      <c r="Q953" s="317"/>
      <c r="R953" s="317"/>
      <c r="S953" s="317"/>
      <c r="T953" s="317"/>
      <c r="U953" s="317"/>
      <c r="V953" s="317"/>
      <c r="W953" s="317"/>
      <c r="X953" s="317"/>
      <c r="Y953" s="317"/>
      <c r="Z953" s="317"/>
    </row>
    <row r="954" spans="1:26" x14ac:dyDescent="0.25">
      <c r="A954" s="314"/>
      <c r="B954" s="18">
        <v>2023</v>
      </c>
      <c r="C954" s="18" t="s">
        <v>762</v>
      </c>
      <c r="D954" s="18" t="s">
        <v>755</v>
      </c>
      <c r="E954" s="18" t="s">
        <v>713</v>
      </c>
      <c r="F954" s="18" t="s">
        <v>714</v>
      </c>
      <c r="G954" s="18" t="s">
        <v>674</v>
      </c>
      <c r="H954" s="18" t="s">
        <v>756</v>
      </c>
      <c r="I954" s="315">
        <v>368.76518116916293</v>
      </c>
      <c r="J954" s="315">
        <v>1.4319693303481854E-2</v>
      </c>
      <c r="K954" s="316" t="str">
        <f t="shared" si="36"/>
        <v>Construction and Mining Equipment</v>
      </c>
      <c r="L954" s="316" t="str">
        <f t="shared" si="37"/>
        <v>Diesel</v>
      </c>
      <c r="M954" s="194"/>
      <c r="N954" s="317"/>
      <c r="O954" s="317"/>
      <c r="P954" s="317"/>
      <c r="Q954" s="317"/>
      <c r="R954" s="317"/>
      <c r="S954" s="317"/>
      <c r="T954" s="317"/>
      <c r="U954" s="317"/>
      <c r="V954" s="317"/>
      <c r="W954" s="317"/>
      <c r="X954" s="317"/>
      <c r="Y954" s="317"/>
      <c r="Z954" s="317"/>
    </row>
    <row r="955" spans="1:26" x14ac:dyDescent="0.25">
      <c r="A955" s="314"/>
      <c r="B955" s="18">
        <v>2023</v>
      </c>
      <c r="C955" s="18" t="s">
        <v>773</v>
      </c>
      <c r="D955" s="18" t="s">
        <v>848</v>
      </c>
      <c r="E955" s="18" t="s">
        <v>56</v>
      </c>
      <c r="F955" s="18" t="s">
        <v>601</v>
      </c>
      <c r="G955" s="18" t="s">
        <v>675</v>
      </c>
      <c r="H955" s="18" t="s">
        <v>708</v>
      </c>
      <c r="I955" s="315">
        <v>368.55690165158643</v>
      </c>
      <c r="J955" s="315">
        <v>1.4662090844694742</v>
      </c>
      <c r="K955" s="316" t="str">
        <f t="shared" si="36"/>
        <v>Industrial Equipment</v>
      </c>
      <c r="L955" s="316" t="str">
        <f t="shared" si="37"/>
        <v>CNG</v>
      </c>
      <c r="M955" s="194"/>
      <c r="N955" s="317"/>
      <c r="O955" s="317"/>
      <c r="P955" s="317"/>
      <c r="Q955" s="317"/>
      <c r="R955" s="317"/>
      <c r="S955" s="317"/>
      <c r="T955" s="317"/>
      <c r="U955" s="317"/>
      <c r="V955" s="317"/>
      <c r="W955" s="317"/>
      <c r="X955" s="317"/>
      <c r="Y955" s="317"/>
      <c r="Z955" s="317"/>
    </row>
    <row r="956" spans="1:26" x14ac:dyDescent="0.25">
      <c r="A956" s="314"/>
      <c r="B956" s="18">
        <v>2023</v>
      </c>
      <c r="C956" s="18" t="s">
        <v>793</v>
      </c>
      <c r="D956" s="18" t="s">
        <v>746</v>
      </c>
      <c r="E956" s="18" t="s">
        <v>703</v>
      </c>
      <c r="F956" s="18" t="s">
        <v>704</v>
      </c>
      <c r="G956" s="18" t="s">
        <v>677</v>
      </c>
      <c r="H956" s="18" t="s">
        <v>747</v>
      </c>
      <c r="I956" s="315">
        <v>368.22263346272774</v>
      </c>
      <c r="J956" s="315">
        <v>0.24163710303667116</v>
      </c>
      <c r="K956" s="316" t="str">
        <f t="shared" si="36"/>
        <v>Commercial Equipment</v>
      </c>
      <c r="L956" s="316" t="str">
        <f t="shared" si="37"/>
        <v>Gasoline</v>
      </c>
      <c r="M956" s="194"/>
      <c r="N956" s="317"/>
      <c r="O956" s="317"/>
      <c r="P956" s="317"/>
      <c r="Q956" s="317"/>
      <c r="R956" s="317"/>
      <c r="S956" s="317"/>
      <c r="T956" s="317"/>
      <c r="U956" s="317"/>
      <c r="V956" s="317"/>
      <c r="W956" s="317"/>
      <c r="X956" s="317"/>
      <c r="Y956" s="317"/>
      <c r="Z956" s="317"/>
    </row>
    <row r="957" spans="1:26" x14ac:dyDescent="0.25">
      <c r="A957" s="314"/>
      <c r="B957" s="18">
        <v>2023</v>
      </c>
      <c r="C957" s="18" t="s">
        <v>773</v>
      </c>
      <c r="D957" s="18" t="s">
        <v>779</v>
      </c>
      <c r="E957" s="18" t="s">
        <v>713</v>
      </c>
      <c r="F957" s="18" t="s">
        <v>714</v>
      </c>
      <c r="G957" s="18" t="s">
        <v>674</v>
      </c>
      <c r="H957" s="18" t="s">
        <v>780</v>
      </c>
      <c r="I957" s="315">
        <v>367.92685357560134</v>
      </c>
      <c r="J957" s="315">
        <v>1.1983194909224355E-3</v>
      </c>
      <c r="K957" s="316" t="str">
        <f t="shared" si="36"/>
        <v>Construction and Mining Equipment</v>
      </c>
      <c r="L957" s="316" t="str">
        <f t="shared" si="37"/>
        <v>Diesel</v>
      </c>
      <c r="M957" s="194"/>
      <c r="N957" s="317"/>
      <c r="O957" s="317"/>
      <c r="P957" s="317"/>
      <c r="Q957" s="317"/>
      <c r="R957" s="317"/>
      <c r="S957" s="317"/>
      <c r="T957" s="317"/>
      <c r="U957" s="317"/>
      <c r="V957" s="317"/>
      <c r="W957" s="317"/>
      <c r="X957" s="317"/>
      <c r="Y957" s="317"/>
      <c r="Z957" s="317"/>
    </row>
    <row r="958" spans="1:26" x14ac:dyDescent="0.25">
      <c r="A958" s="314"/>
      <c r="B958" s="18">
        <v>2023</v>
      </c>
      <c r="C958" s="18" t="s">
        <v>754</v>
      </c>
      <c r="D958" s="18" t="s">
        <v>839</v>
      </c>
      <c r="E958" s="18" t="s">
        <v>703</v>
      </c>
      <c r="F958" s="18" t="s">
        <v>704</v>
      </c>
      <c r="G958" s="18" t="s">
        <v>675</v>
      </c>
      <c r="H958" s="18" t="s">
        <v>708</v>
      </c>
      <c r="I958" s="315">
        <v>367.9061962616347</v>
      </c>
      <c r="J958" s="315">
        <v>2.5406089642369466E-2</v>
      </c>
      <c r="K958" s="316" t="str">
        <f t="shared" si="36"/>
        <v>Industrial Equipment</v>
      </c>
      <c r="L958" s="316" t="str">
        <f t="shared" si="37"/>
        <v>Gasoline</v>
      </c>
      <c r="M958" s="194"/>
      <c r="N958" s="317"/>
      <c r="O958" s="317"/>
      <c r="P958" s="317"/>
      <c r="Q958" s="317"/>
      <c r="R958" s="317"/>
      <c r="S958" s="317"/>
      <c r="T958" s="317"/>
      <c r="U958" s="317"/>
      <c r="V958" s="317"/>
      <c r="W958" s="317"/>
      <c r="X958" s="317"/>
      <c r="Y958" s="317"/>
      <c r="Z958" s="317"/>
    </row>
    <row r="959" spans="1:26" x14ac:dyDescent="0.25">
      <c r="A959" s="314"/>
      <c r="B959" s="18">
        <v>2023</v>
      </c>
      <c r="C959" s="18" t="s">
        <v>701</v>
      </c>
      <c r="D959" s="18" t="s">
        <v>751</v>
      </c>
      <c r="E959" s="18" t="s">
        <v>713</v>
      </c>
      <c r="F959" s="18" t="s">
        <v>676</v>
      </c>
      <c r="G959" s="18" t="s">
        <v>79</v>
      </c>
      <c r="H959" s="18" t="s">
        <v>740</v>
      </c>
      <c r="I959" s="315">
        <v>367.28357168394939</v>
      </c>
      <c r="J959" s="315">
        <v>1.4415556374477424E-2</v>
      </c>
      <c r="K959" s="316" t="str">
        <f t="shared" si="36"/>
        <v>Pleasure Craft</v>
      </c>
      <c r="L959" s="316" t="str">
        <f t="shared" si="37"/>
        <v>Diesel</v>
      </c>
      <c r="M959" s="194"/>
      <c r="N959" s="317"/>
      <c r="O959" s="317"/>
      <c r="P959" s="317"/>
      <c r="Q959" s="317"/>
      <c r="R959" s="317"/>
      <c r="S959" s="317"/>
      <c r="T959" s="317"/>
      <c r="U959" s="317"/>
      <c r="V959" s="317"/>
      <c r="W959" s="317"/>
      <c r="X959" s="317"/>
      <c r="Y959" s="317"/>
      <c r="Z959" s="317"/>
    </row>
    <row r="960" spans="1:26" x14ac:dyDescent="0.25">
      <c r="A960" s="314"/>
      <c r="B960" s="18">
        <v>2023</v>
      </c>
      <c r="C960" s="18" t="s">
        <v>781</v>
      </c>
      <c r="D960" s="18" t="s">
        <v>771</v>
      </c>
      <c r="E960" s="18" t="s">
        <v>713</v>
      </c>
      <c r="F960" s="18" t="s">
        <v>714</v>
      </c>
      <c r="G960" s="18" t="s">
        <v>675</v>
      </c>
      <c r="H960" s="18" t="s">
        <v>772</v>
      </c>
      <c r="I960" s="315">
        <v>366.93416051068061</v>
      </c>
      <c r="J960" s="315">
        <v>8.1639174187150951E-4</v>
      </c>
      <c r="K960" s="316" t="str">
        <f t="shared" si="36"/>
        <v>Industrial Equipment</v>
      </c>
      <c r="L960" s="316" t="str">
        <f t="shared" si="37"/>
        <v>Diesel</v>
      </c>
      <c r="M960" s="194"/>
      <c r="N960" s="317"/>
      <c r="O960" s="317"/>
      <c r="P960" s="317"/>
      <c r="Q960" s="317"/>
      <c r="R960" s="317"/>
      <c r="S960" s="317"/>
      <c r="T960" s="317"/>
      <c r="U960" s="317"/>
      <c r="V960" s="317"/>
      <c r="W960" s="317"/>
      <c r="X960" s="317"/>
      <c r="Y960" s="317"/>
      <c r="Z960" s="317"/>
    </row>
    <row r="961" spans="1:26" x14ac:dyDescent="0.25">
      <c r="A961" s="314"/>
      <c r="B961" s="18">
        <v>2023</v>
      </c>
      <c r="C961" s="18" t="s">
        <v>727</v>
      </c>
      <c r="D961" s="18" t="s">
        <v>788</v>
      </c>
      <c r="E961" s="18" t="s">
        <v>703</v>
      </c>
      <c r="F961" s="18" t="s">
        <v>704</v>
      </c>
      <c r="G961" s="18" t="s">
        <v>677</v>
      </c>
      <c r="H961" s="18" t="s">
        <v>789</v>
      </c>
      <c r="I961" s="315">
        <v>366.86007637209593</v>
      </c>
      <c r="J961" s="315">
        <v>0.25239997631669725</v>
      </c>
      <c r="K961" s="316" t="str">
        <f t="shared" si="36"/>
        <v>Commercial Equipment</v>
      </c>
      <c r="L961" s="316" t="str">
        <f t="shared" si="37"/>
        <v>Gasoline</v>
      </c>
      <c r="M961" s="194"/>
      <c r="N961" s="317"/>
      <c r="O961" s="317"/>
      <c r="P961" s="317"/>
      <c r="Q961" s="317"/>
      <c r="R961" s="317"/>
      <c r="S961" s="317"/>
      <c r="T961" s="317"/>
      <c r="U961" s="317"/>
      <c r="V961" s="317"/>
      <c r="W961" s="317"/>
      <c r="X961" s="317"/>
      <c r="Y961" s="317"/>
      <c r="Z961" s="317"/>
    </row>
    <row r="962" spans="1:26" x14ac:dyDescent="0.25">
      <c r="A962" s="314"/>
      <c r="B962" s="18">
        <v>2023</v>
      </c>
      <c r="C962" s="18" t="s">
        <v>743</v>
      </c>
      <c r="D962" s="18" t="s">
        <v>846</v>
      </c>
      <c r="E962" s="18" t="s">
        <v>713</v>
      </c>
      <c r="F962" s="18" t="s">
        <v>714</v>
      </c>
      <c r="G962" s="18" t="s">
        <v>677</v>
      </c>
      <c r="H962" s="18" t="s">
        <v>836</v>
      </c>
      <c r="I962" s="315">
        <v>365.94800194721091</v>
      </c>
      <c r="J962" s="315">
        <v>1.4150721002407237E-2</v>
      </c>
      <c r="K962" s="316" t="str">
        <f t="shared" si="36"/>
        <v>Commercial Equipment</v>
      </c>
      <c r="L962" s="316" t="str">
        <f t="shared" si="37"/>
        <v>Diesel</v>
      </c>
      <c r="M962" s="194"/>
      <c r="N962" s="317"/>
      <c r="O962" s="317"/>
      <c r="P962" s="317"/>
      <c r="Q962" s="317"/>
      <c r="R962" s="317"/>
      <c r="S962" s="317"/>
      <c r="T962" s="317"/>
      <c r="U962" s="317"/>
      <c r="V962" s="317"/>
      <c r="W962" s="317"/>
      <c r="X962" s="317"/>
      <c r="Y962" s="317"/>
      <c r="Z962" s="317"/>
    </row>
    <row r="963" spans="1:26" x14ac:dyDescent="0.25">
      <c r="A963" s="314"/>
      <c r="B963" s="18">
        <v>2023</v>
      </c>
      <c r="C963" s="18" t="s">
        <v>773</v>
      </c>
      <c r="D963" s="18" t="s">
        <v>782</v>
      </c>
      <c r="E963" s="18" t="s">
        <v>713</v>
      </c>
      <c r="F963" s="18" t="s">
        <v>714</v>
      </c>
      <c r="G963" s="18" t="s">
        <v>674</v>
      </c>
      <c r="H963" s="18" t="s">
        <v>783</v>
      </c>
      <c r="I963" s="315">
        <v>364.92121439344322</v>
      </c>
      <c r="J963" s="315">
        <v>3.4643986061942368E-3</v>
      </c>
      <c r="K963" s="316" t="str">
        <f t="shared" si="36"/>
        <v>Construction and Mining Equipment</v>
      </c>
      <c r="L963" s="316" t="str">
        <f t="shared" si="37"/>
        <v>Diesel</v>
      </c>
      <c r="M963" s="194"/>
      <c r="N963" s="317"/>
      <c r="O963" s="317"/>
      <c r="P963" s="317"/>
      <c r="Q963" s="317"/>
      <c r="R963" s="317"/>
      <c r="S963" s="317"/>
      <c r="T963" s="317"/>
      <c r="U963" s="317"/>
      <c r="V963" s="317"/>
      <c r="W963" s="317"/>
      <c r="X963" s="317"/>
      <c r="Y963" s="317"/>
      <c r="Z963" s="317"/>
    </row>
    <row r="964" spans="1:26" x14ac:dyDescent="0.25">
      <c r="A964" s="314"/>
      <c r="B964" s="18">
        <v>2023</v>
      </c>
      <c r="C964" s="18" t="s">
        <v>706</v>
      </c>
      <c r="D964" s="18" t="s">
        <v>997</v>
      </c>
      <c r="E964" s="18" t="s">
        <v>56</v>
      </c>
      <c r="F964" s="18" t="s">
        <v>672</v>
      </c>
      <c r="G964" s="18" t="s">
        <v>675</v>
      </c>
      <c r="H964" s="18" t="s">
        <v>969</v>
      </c>
      <c r="I964" s="315">
        <v>364.11276384565286</v>
      </c>
      <c r="J964" s="315">
        <v>4.530285589616985E-2</v>
      </c>
      <c r="K964" s="316" t="str">
        <f t="shared" si="36"/>
        <v>Industrial Equipment</v>
      </c>
      <c r="L964" s="316" t="str">
        <f t="shared" si="37"/>
        <v>LPG</v>
      </c>
      <c r="M964" s="194"/>
      <c r="N964" s="317"/>
      <c r="O964" s="317"/>
      <c r="P964" s="317"/>
      <c r="Q964" s="317"/>
      <c r="R964" s="317"/>
      <c r="S964" s="317"/>
      <c r="T964" s="317"/>
      <c r="U964" s="317"/>
      <c r="V964" s="317"/>
      <c r="W964" s="317"/>
      <c r="X964" s="317"/>
      <c r="Y964" s="317"/>
      <c r="Z964" s="317"/>
    </row>
    <row r="965" spans="1:26" x14ac:dyDescent="0.25">
      <c r="A965" s="314"/>
      <c r="B965" s="18">
        <v>2023</v>
      </c>
      <c r="C965" s="18" t="s">
        <v>778</v>
      </c>
      <c r="D965" s="18" t="s">
        <v>860</v>
      </c>
      <c r="E965" s="18" t="s">
        <v>713</v>
      </c>
      <c r="F965" s="18" t="s">
        <v>714</v>
      </c>
      <c r="G965" s="18" t="s">
        <v>674</v>
      </c>
      <c r="H965" s="18" t="s">
        <v>861</v>
      </c>
      <c r="I965" s="315">
        <v>363.43948091543081</v>
      </c>
      <c r="J965" s="315">
        <v>6.0233448150562056E-3</v>
      </c>
      <c r="K965" s="316" t="str">
        <f t="shared" si="36"/>
        <v>Construction and Mining Equipment</v>
      </c>
      <c r="L965" s="316" t="str">
        <f t="shared" si="37"/>
        <v>Diesel</v>
      </c>
      <c r="M965" s="194"/>
      <c r="N965" s="317"/>
      <c r="O965" s="317"/>
      <c r="P965" s="317"/>
      <c r="Q965" s="317"/>
      <c r="R965" s="317"/>
      <c r="S965" s="317"/>
      <c r="T965" s="317"/>
      <c r="U965" s="317"/>
      <c r="V965" s="317"/>
      <c r="W965" s="317"/>
      <c r="X965" s="317"/>
      <c r="Y965" s="317"/>
      <c r="Z965" s="317"/>
    </row>
    <row r="966" spans="1:26" x14ac:dyDescent="0.25">
      <c r="A966" s="314"/>
      <c r="B966" s="18">
        <v>2023</v>
      </c>
      <c r="C966" s="18" t="s">
        <v>793</v>
      </c>
      <c r="D966" s="18" t="s">
        <v>790</v>
      </c>
      <c r="E966" s="18" t="s">
        <v>713</v>
      </c>
      <c r="F966" s="18" t="s">
        <v>714</v>
      </c>
      <c r="G966" s="18" t="s">
        <v>674</v>
      </c>
      <c r="H966" s="18" t="s">
        <v>791</v>
      </c>
      <c r="I966" s="315">
        <v>362.51252749247089</v>
      </c>
      <c r="J966" s="315">
        <v>2.0839511405899907E-3</v>
      </c>
      <c r="K966" s="316" t="str">
        <f t="shared" si="36"/>
        <v>Construction and Mining Equipment</v>
      </c>
      <c r="L966" s="316" t="str">
        <f t="shared" si="37"/>
        <v>Diesel</v>
      </c>
      <c r="M966" s="194"/>
      <c r="N966" s="317"/>
      <c r="O966" s="317"/>
      <c r="P966" s="317"/>
      <c r="Q966" s="317"/>
      <c r="R966" s="317"/>
      <c r="S966" s="317"/>
      <c r="T966" s="317"/>
      <c r="U966" s="317"/>
      <c r="V966" s="317"/>
      <c r="W966" s="317"/>
      <c r="X966" s="317"/>
      <c r="Y966" s="317"/>
      <c r="Z966" s="317"/>
    </row>
    <row r="967" spans="1:26" x14ac:dyDescent="0.25">
      <c r="A967" s="314"/>
      <c r="B967" s="18">
        <v>2023</v>
      </c>
      <c r="C967" s="18" t="s">
        <v>778</v>
      </c>
      <c r="D967" s="18" t="s">
        <v>784</v>
      </c>
      <c r="E967" s="18" t="s">
        <v>713</v>
      </c>
      <c r="F967" s="18" t="s">
        <v>714</v>
      </c>
      <c r="G967" s="18" t="s">
        <v>677</v>
      </c>
      <c r="H967" s="18" t="s">
        <v>785</v>
      </c>
      <c r="I967" s="315">
        <v>362.12766211212954</v>
      </c>
      <c r="J967" s="315">
        <v>5.1320864019979984E-3</v>
      </c>
      <c r="K967" s="316" t="str">
        <f t="shared" si="36"/>
        <v>Commercial Equipment</v>
      </c>
      <c r="L967" s="316" t="str">
        <f t="shared" si="37"/>
        <v>Diesel</v>
      </c>
      <c r="M967" s="194"/>
      <c r="N967" s="317"/>
      <c r="O967" s="317"/>
      <c r="P967" s="317"/>
      <c r="Q967" s="317"/>
      <c r="R967" s="317"/>
      <c r="S967" s="317"/>
      <c r="T967" s="317"/>
      <c r="U967" s="317"/>
      <c r="V967" s="317"/>
      <c r="W967" s="317"/>
      <c r="X967" s="317"/>
      <c r="Y967" s="317"/>
      <c r="Z967" s="317"/>
    </row>
    <row r="968" spans="1:26" x14ac:dyDescent="0.25">
      <c r="A968" s="314"/>
      <c r="B968" s="18">
        <v>2023</v>
      </c>
      <c r="C968" s="18" t="s">
        <v>743</v>
      </c>
      <c r="D968" s="18" t="s">
        <v>971</v>
      </c>
      <c r="E968" s="18" t="s">
        <v>713</v>
      </c>
      <c r="F968" s="18" t="s">
        <v>714</v>
      </c>
      <c r="G968" s="18" t="s">
        <v>678</v>
      </c>
      <c r="H968" s="18" t="s">
        <v>972</v>
      </c>
      <c r="I968" s="315">
        <v>361.91444754681385</v>
      </c>
      <c r="J968" s="315">
        <v>2.0103145756953066E-3</v>
      </c>
      <c r="K968" s="316" t="str">
        <f t="shared" si="36"/>
        <v>Agricultural Equipment</v>
      </c>
      <c r="L968" s="316" t="str">
        <f t="shared" si="37"/>
        <v>Diesel</v>
      </c>
      <c r="M968" s="194"/>
      <c r="N968" s="317"/>
      <c r="O968" s="317"/>
      <c r="P968" s="317"/>
      <c r="Q968" s="317"/>
      <c r="R968" s="317"/>
      <c r="S968" s="317"/>
      <c r="T968" s="317"/>
      <c r="U968" s="317"/>
      <c r="V968" s="317"/>
      <c r="W968" s="317"/>
      <c r="X968" s="317"/>
      <c r="Y968" s="317"/>
      <c r="Z968" s="317"/>
    </row>
    <row r="969" spans="1:26" x14ac:dyDescent="0.25">
      <c r="A969" s="314"/>
      <c r="B969" s="18">
        <v>2023</v>
      </c>
      <c r="C969" s="18" t="s">
        <v>773</v>
      </c>
      <c r="D969" s="18" t="s">
        <v>744</v>
      </c>
      <c r="E969" s="18" t="s">
        <v>703</v>
      </c>
      <c r="F969" s="18" t="s">
        <v>704</v>
      </c>
      <c r="G969" s="18" t="s">
        <v>673</v>
      </c>
      <c r="H969" s="18" t="s">
        <v>745</v>
      </c>
      <c r="I969" s="315">
        <v>360.51028040881738</v>
      </c>
      <c r="J969" s="315">
        <v>0.26497758397118493</v>
      </c>
      <c r="K969" s="316" t="str">
        <f t="shared" si="36"/>
        <v>Lawn and Garden Equipment</v>
      </c>
      <c r="L969" s="316" t="str">
        <f t="shared" si="37"/>
        <v>Gasoline</v>
      </c>
      <c r="M969" s="194"/>
      <c r="N969" s="317"/>
      <c r="O969" s="317"/>
      <c r="P969" s="317"/>
      <c r="Q969" s="317"/>
      <c r="R969" s="317"/>
      <c r="S969" s="317"/>
      <c r="T969" s="317"/>
      <c r="U969" s="317"/>
      <c r="V969" s="317"/>
      <c r="W969" s="317"/>
      <c r="X969" s="317"/>
      <c r="Y969" s="317"/>
      <c r="Z969" s="317"/>
    </row>
    <row r="970" spans="1:26" x14ac:dyDescent="0.25">
      <c r="A970" s="314"/>
      <c r="B970" s="18">
        <v>2023</v>
      </c>
      <c r="C970" s="18" t="s">
        <v>731</v>
      </c>
      <c r="D970" s="18" t="s">
        <v>797</v>
      </c>
      <c r="E970" s="18" t="s">
        <v>713</v>
      </c>
      <c r="F970" s="18" t="s">
        <v>714</v>
      </c>
      <c r="G970" s="18" t="s">
        <v>675</v>
      </c>
      <c r="H970" s="18" t="s">
        <v>798</v>
      </c>
      <c r="I970" s="315">
        <v>360.42143301484538</v>
      </c>
      <c r="J970" s="315">
        <v>3.0405194273402532E-3</v>
      </c>
      <c r="K970" s="316" t="str">
        <f t="shared" si="36"/>
        <v>Industrial Equipment</v>
      </c>
      <c r="L970" s="316" t="str">
        <f t="shared" si="37"/>
        <v>Diesel</v>
      </c>
      <c r="M970" s="194"/>
      <c r="N970" s="317"/>
      <c r="O970" s="317"/>
      <c r="P970" s="317"/>
      <c r="Q970" s="317"/>
      <c r="R970" s="317"/>
      <c r="S970" s="317"/>
      <c r="T970" s="317"/>
      <c r="U970" s="317"/>
      <c r="V970" s="317"/>
      <c r="W970" s="317"/>
      <c r="X970" s="317"/>
      <c r="Y970" s="317"/>
      <c r="Z970" s="317"/>
    </row>
    <row r="971" spans="1:26" x14ac:dyDescent="0.25">
      <c r="A971" s="314"/>
      <c r="B971" s="18">
        <v>2023</v>
      </c>
      <c r="C971" s="18" t="s">
        <v>710</v>
      </c>
      <c r="D971" s="18" t="s">
        <v>989</v>
      </c>
      <c r="E971" s="18" t="s">
        <v>703</v>
      </c>
      <c r="F971" s="18" t="s">
        <v>795</v>
      </c>
      <c r="G971" s="18" t="s">
        <v>673</v>
      </c>
      <c r="H971" s="18" t="s">
        <v>990</v>
      </c>
      <c r="I971" s="315">
        <v>360.20398116485063</v>
      </c>
      <c r="J971" s="315">
        <v>0.6934024017143946</v>
      </c>
      <c r="K971" s="316" t="str">
        <f t="shared" si="36"/>
        <v>Lawn and Garden Equipment</v>
      </c>
      <c r="L971" s="316" t="str">
        <f t="shared" si="37"/>
        <v>Gasoline</v>
      </c>
      <c r="M971" s="194"/>
      <c r="N971" s="317"/>
      <c r="O971" s="317"/>
      <c r="P971" s="317"/>
      <c r="Q971" s="317"/>
      <c r="R971" s="317"/>
      <c r="S971" s="317"/>
      <c r="T971" s="317"/>
      <c r="U971" s="317"/>
      <c r="V971" s="317"/>
      <c r="W971" s="317"/>
      <c r="X971" s="317"/>
      <c r="Y971" s="317"/>
      <c r="Z971" s="317"/>
    </row>
    <row r="972" spans="1:26" x14ac:dyDescent="0.25">
      <c r="A972" s="314"/>
      <c r="B972" s="18">
        <v>2023</v>
      </c>
      <c r="C972" s="18" t="s">
        <v>732</v>
      </c>
      <c r="D972" s="18" t="s">
        <v>925</v>
      </c>
      <c r="E972" s="18" t="s">
        <v>703</v>
      </c>
      <c r="F972" s="18" t="s">
        <v>704</v>
      </c>
      <c r="G972" s="18" t="s">
        <v>675</v>
      </c>
      <c r="H972" s="18" t="s">
        <v>798</v>
      </c>
      <c r="I972" s="315">
        <v>360.126181134837</v>
      </c>
      <c r="J972" s="315">
        <v>0.27045595733233385</v>
      </c>
      <c r="K972" s="316" t="str">
        <f t="shared" si="36"/>
        <v>Industrial Equipment</v>
      </c>
      <c r="L972" s="316" t="str">
        <f t="shared" si="37"/>
        <v>Gasoline</v>
      </c>
      <c r="M972" s="194"/>
      <c r="N972" s="317"/>
      <c r="O972" s="317"/>
      <c r="P972" s="317"/>
      <c r="Q972" s="317"/>
      <c r="R972" s="317"/>
      <c r="S972" s="317"/>
      <c r="T972" s="317"/>
      <c r="U972" s="317"/>
      <c r="V972" s="317"/>
      <c r="W972" s="317"/>
      <c r="X972" s="317"/>
      <c r="Y972" s="317"/>
      <c r="Z972" s="317"/>
    </row>
    <row r="973" spans="1:26" x14ac:dyDescent="0.25">
      <c r="A973" s="314"/>
      <c r="B973" s="18">
        <v>2023</v>
      </c>
      <c r="C973" s="18" t="s">
        <v>787</v>
      </c>
      <c r="D973" s="18" t="s">
        <v>723</v>
      </c>
      <c r="E973" s="18" t="s">
        <v>703</v>
      </c>
      <c r="F973" s="18" t="s">
        <v>704</v>
      </c>
      <c r="G973" s="18" t="s">
        <v>673</v>
      </c>
      <c r="H973" s="18" t="s">
        <v>724</v>
      </c>
      <c r="I973" s="315">
        <v>360.06811798884524</v>
      </c>
      <c r="J973" s="315">
        <v>0.23691391459160724</v>
      </c>
      <c r="K973" s="316" t="str">
        <f t="shared" si="36"/>
        <v>Lawn and Garden Equipment</v>
      </c>
      <c r="L973" s="316" t="str">
        <f t="shared" si="37"/>
        <v>Gasoline</v>
      </c>
      <c r="M973" s="194"/>
      <c r="N973" s="317"/>
      <c r="O973" s="317"/>
      <c r="P973" s="317"/>
      <c r="Q973" s="317"/>
      <c r="R973" s="317"/>
      <c r="S973" s="317"/>
      <c r="T973" s="317"/>
      <c r="U973" s="317"/>
      <c r="V973" s="317"/>
      <c r="W973" s="317"/>
      <c r="X973" s="317"/>
      <c r="Y973" s="317"/>
      <c r="Z973" s="317"/>
    </row>
    <row r="974" spans="1:26" x14ac:dyDescent="0.25">
      <c r="A974" s="314"/>
      <c r="B974" s="18">
        <v>2023</v>
      </c>
      <c r="C974" s="18" t="s">
        <v>743</v>
      </c>
      <c r="D974" s="18" t="s">
        <v>738</v>
      </c>
      <c r="E974" s="18" t="s">
        <v>703</v>
      </c>
      <c r="F974" s="18" t="s">
        <v>676</v>
      </c>
      <c r="G974" s="18" t="s">
        <v>739</v>
      </c>
      <c r="H974" s="18" t="s">
        <v>740</v>
      </c>
      <c r="I974" s="315">
        <v>359.22597288668362</v>
      </c>
      <c r="J974" s="315">
        <v>0.15640622946979496</v>
      </c>
      <c r="K974" s="316" t="str">
        <f t="shared" si="36"/>
        <v>Pleasure Craft</v>
      </c>
      <c r="L974" s="316" t="str">
        <f t="shared" si="37"/>
        <v>Gasoline</v>
      </c>
      <c r="M974" s="194"/>
      <c r="N974" s="317"/>
      <c r="O974" s="317"/>
      <c r="P974" s="317"/>
      <c r="Q974" s="317"/>
      <c r="R974" s="317"/>
      <c r="S974" s="317"/>
      <c r="T974" s="317"/>
      <c r="U974" s="317"/>
      <c r="V974" s="317"/>
      <c r="W974" s="317"/>
      <c r="X974" s="317"/>
      <c r="Y974" s="317"/>
      <c r="Z974" s="317"/>
    </row>
    <row r="975" spans="1:26" x14ac:dyDescent="0.25">
      <c r="A975" s="314"/>
      <c r="B975" s="18">
        <v>2023</v>
      </c>
      <c r="C975" s="18" t="s">
        <v>762</v>
      </c>
      <c r="D975" s="18" t="s">
        <v>741</v>
      </c>
      <c r="E975" s="18" t="s">
        <v>713</v>
      </c>
      <c r="F975" s="18" t="s">
        <v>714</v>
      </c>
      <c r="G975" s="18" t="s">
        <v>673</v>
      </c>
      <c r="H975" s="18" t="s">
        <v>742</v>
      </c>
      <c r="I975" s="315">
        <v>358.37197944930159</v>
      </c>
      <c r="J975" s="315">
        <v>5.9356732333343638E-3</v>
      </c>
      <c r="K975" s="316" t="str">
        <f t="shared" si="36"/>
        <v>Lawn and Garden Equipment</v>
      </c>
      <c r="L975" s="316" t="str">
        <f t="shared" si="37"/>
        <v>Diesel</v>
      </c>
      <c r="M975" s="194"/>
      <c r="N975" s="317"/>
      <c r="O975" s="317"/>
      <c r="P975" s="317"/>
      <c r="Q975" s="317"/>
      <c r="R975" s="317"/>
      <c r="S975" s="317"/>
      <c r="T975" s="317"/>
      <c r="U975" s="317"/>
      <c r="V975" s="317"/>
      <c r="W975" s="317"/>
      <c r="X975" s="317"/>
      <c r="Y975" s="317"/>
      <c r="Z975" s="317"/>
    </row>
    <row r="976" spans="1:26" x14ac:dyDescent="0.25">
      <c r="A976" s="314"/>
      <c r="B976" s="18">
        <v>2023</v>
      </c>
      <c r="C976" s="18" t="s">
        <v>750</v>
      </c>
      <c r="D976" s="18" t="s">
        <v>746</v>
      </c>
      <c r="E976" s="18" t="s">
        <v>703</v>
      </c>
      <c r="F976" s="18" t="s">
        <v>704</v>
      </c>
      <c r="G976" s="18" t="s">
        <v>677</v>
      </c>
      <c r="H976" s="18" t="s">
        <v>747</v>
      </c>
      <c r="I976" s="315">
        <v>358.27026808233126</v>
      </c>
      <c r="J976" s="315">
        <v>0.23498151436327194</v>
      </c>
      <c r="K976" s="316" t="str">
        <f t="shared" si="36"/>
        <v>Commercial Equipment</v>
      </c>
      <c r="L976" s="316" t="str">
        <f t="shared" si="37"/>
        <v>Gasoline</v>
      </c>
      <c r="M976" s="194"/>
      <c r="N976" s="317"/>
      <c r="O976" s="317"/>
      <c r="P976" s="317"/>
      <c r="Q976" s="317"/>
      <c r="R976" s="317"/>
      <c r="S976" s="317"/>
      <c r="T976" s="317"/>
      <c r="U976" s="317"/>
      <c r="V976" s="317"/>
      <c r="W976" s="317"/>
      <c r="X976" s="317"/>
      <c r="Y976" s="317"/>
      <c r="Z976" s="317"/>
    </row>
    <row r="977" spans="1:26" x14ac:dyDescent="0.25">
      <c r="A977" s="314"/>
      <c r="B977" s="18">
        <v>2023</v>
      </c>
      <c r="C977" s="18" t="s">
        <v>778</v>
      </c>
      <c r="D977" s="18" t="s">
        <v>862</v>
      </c>
      <c r="E977" s="18" t="s">
        <v>713</v>
      </c>
      <c r="F977" s="18" t="s">
        <v>714</v>
      </c>
      <c r="G977" s="18" t="s">
        <v>674</v>
      </c>
      <c r="H977" s="18" t="s">
        <v>863</v>
      </c>
      <c r="I977" s="315">
        <v>356.20962826160417</v>
      </c>
      <c r="J977" s="315">
        <v>2.5697858968922295E-3</v>
      </c>
      <c r="K977" s="316" t="str">
        <f t="shared" si="36"/>
        <v>Construction and Mining Equipment</v>
      </c>
      <c r="L977" s="316" t="str">
        <f t="shared" si="37"/>
        <v>Diesel</v>
      </c>
      <c r="M977" s="194"/>
      <c r="N977" s="317"/>
      <c r="O977" s="317"/>
      <c r="P977" s="317"/>
      <c r="Q977" s="317"/>
      <c r="R977" s="317"/>
      <c r="S977" s="317"/>
      <c r="T977" s="317"/>
      <c r="U977" s="317"/>
      <c r="V977" s="317"/>
      <c r="W977" s="317"/>
      <c r="X977" s="317"/>
      <c r="Y977" s="317"/>
      <c r="Z977" s="317"/>
    </row>
    <row r="978" spans="1:26" x14ac:dyDescent="0.25">
      <c r="A978" s="314"/>
      <c r="B978" s="18">
        <v>2023</v>
      </c>
      <c r="C978" s="18" t="s">
        <v>731</v>
      </c>
      <c r="D978" s="18" t="s">
        <v>801</v>
      </c>
      <c r="E978" s="18" t="s">
        <v>713</v>
      </c>
      <c r="F978" s="18" t="s">
        <v>714</v>
      </c>
      <c r="G978" s="18" t="s">
        <v>675</v>
      </c>
      <c r="H978" s="18" t="s">
        <v>802</v>
      </c>
      <c r="I978" s="315">
        <v>355.36588501257199</v>
      </c>
      <c r="J978" s="315">
        <v>2.3671950863752749E-3</v>
      </c>
      <c r="K978" s="316" t="str">
        <f t="shared" si="36"/>
        <v>Industrial Equipment</v>
      </c>
      <c r="L978" s="316" t="str">
        <f t="shared" si="37"/>
        <v>Diesel</v>
      </c>
      <c r="M978" s="194"/>
      <c r="N978" s="317"/>
      <c r="O978" s="317"/>
      <c r="P978" s="317"/>
      <c r="Q978" s="317"/>
      <c r="R978" s="317"/>
      <c r="S978" s="317"/>
      <c r="T978" s="317"/>
      <c r="U978" s="317"/>
      <c r="V978" s="317"/>
      <c r="W978" s="317"/>
      <c r="X978" s="317"/>
      <c r="Y978" s="317"/>
      <c r="Z978" s="317"/>
    </row>
    <row r="979" spans="1:26" x14ac:dyDescent="0.25">
      <c r="A979" s="314"/>
      <c r="B979" s="18">
        <v>2023</v>
      </c>
      <c r="C979" s="18" t="s">
        <v>762</v>
      </c>
      <c r="D979" s="18" t="s">
        <v>788</v>
      </c>
      <c r="E979" s="18" t="s">
        <v>703</v>
      </c>
      <c r="F979" s="18" t="s">
        <v>704</v>
      </c>
      <c r="G979" s="18" t="s">
        <v>677</v>
      </c>
      <c r="H979" s="18" t="s">
        <v>789</v>
      </c>
      <c r="I979" s="315">
        <v>353.43887177820028</v>
      </c>
      <c r="J979" s="315">
        <v>0.24383793246024396</v>
      </c>
      <c r="K979" s="316" t="str">
        <f t="shared" si="36"/>
        <v>Commercial Equipment</v>
      </c>
      <c r="L979" s="316" t="str">
        <f t="shared" si="37"/>
        <v>Gasoline</v>
      </c>
      <c r="M979" s="194"/>
      <c r="N979" s="317"/>
      <c r="O979" s="317"/>
      <c r="P979" s="317"/>
      <c r="Q979" s="317"/>
      <c r="R979" s="317"/>
      <c r="S979" s="317"/>
      <c r="T979" s="317"/>
      <c r="U979" s="317"/>
      <c r="V979" s="317"/>
      <c r="W979" s="317"/>
      <c r="X979" s="317"/>
      <c r="Y979" s="317"/>
      <c r="Z979" s="317"/>
    </row>
    <row r="980" spans="1:26" x14ac:dyDescent="0.25">
      <c r="A980" s="314"/>
      <c r="B980" s="18">
        <v>2023</v>
      </c>
      <c r="C980" s="18" t="s">
        <v>709</v>
      </c>
      <c r="D980" s="18" t="s">
        <v>962</v>
      </c>
      <c r="E980" s="18" t="s">
        <v>703</v>
      </c>
      <c r="F980" s="18" t="s">
        <v>704</v>
      </c>
      <c r="G980" s="18" t="s">
        <v>673</v>
      </c>
      <c r="H980" s="18" t="s">
        <v>963</v>
      </c>
      <c r="I980" s="315">
        <v>352.3354162681353</v>
      </c>
      <c r="J980" s="315">
        <v>0.24297968998111494</v>
      </c>
      <c r="K980" s="316" t="str">
        <f t="shared" si="36"/>
        <v>Lawn and Garden Equipment</v>
      </c>
      <c r="L980" s="316" t="str">
        <f t="shared" si="37"/>
        <v>Gasoline</v>
      </c>
      <c r="M980" s="194"/>
      <c r="N980" s="317"/>
      <c r="O980" s="317"/>
      <c r="P980" s="317"/>
      <c r="Q980" s="317"/>
      <c r="R980" s="317"/>
      <c r="S980" s="317"/>
      <c r="T980" s="317"/>
      <c r="U980" s="317"/>
      <c r="V980" s="317"/>
      <c r="W980" s="317"/>
      <c r="X980" s="317"/>
      <c r="Y980" s="317"/>
      <c r="Z980" s="317"/>
    </row>
    <row r="981" spans="1:26" x14ac:dyDescent="0.25">
      <c r="A981" s="314"/>
      <c r="B981" s="18">
        <v>2023</v>
      </c>
      <c r="C981" s="18" t="s">
        <v>701</v>
      </c>
      <c r="D981" s="18" t="s">
        <v>970</v>
      </c>
      <c r="E981" s="18" t="s">
        <v>713</v>
      </c>
      <c r="F981" s="18" t="s">
        <v>714</v>
      </c>
      <c r="G981" s="18" t="s">
        <v>675</v>
      </c>
      <c r="H981" s="18" t="s">
        <v>969</v>
      </c>
      <c r="I981" s="315">
        <v>351.1256285020844</v>
      </c>
      <c r="J981" s="315">
        <v>1.1408388726826433E-2</v>
      </c>
      <c r="K981" s="316" t="str">
        <f t="shared" si="36"/>
        <v>Industrial Equipment</v>
      </c>
      <c r="L981" s="316" t="str">
        <f t="shared" si="37"/>
        <v>Diesel</v>
      </c>
      <c r="M981" s="194"/>
      <c r="N981" s="317"/>
      <c r="O981" s="317"/>
      <c r="P981" s="317"/>
      <c r="Q981" s="317"/>
      <c r="R981" s="317"/>
      <c r="S981" s="317"/>
      <c r="T981" s="317"/>
      <c r="U981" s="317"/>
      <c r="V981" s="317"/>
      <c r="W981" s="317"/>
      <c r="X981" s="317"/>
      <c r="Y981" s="317"/>
      <c r="Z981" s="317"/>
    </row>
    <row r="982" spans="1:26" x14ac:dyDescent="0.25">
      <c r="A982" s="314"/>
      <c r="B982" s="18">
        <v>2023</v>
      </c>
      <c r="C982" s="18" t="s">
        <v>753</v>
      </c>
      <c r="D982" s="18" t="s">
        <v>797</v>
      </c>
      <c r="E982" s="18" t="s">
        <v>713</v>
      </c>
      <c r="F982" s="18" t="s">
        <v>714</v>
      </c>
      <c r="G982" s="18" t="s">
        <v>675</v>
      </c>
      <c r="H982" s="18" t="s">
        <v>798</v>
      </c>
      <c r="I982" s="315">
        <v>348.7747104299836</v>
      </c>
      <c r="J982" s="315">
        <v>2.9422665761904649E-3</v>
      </c>
      <c r="K982" s="316" t="str">
        <f t="shared" si="36"/>
        <v>Industrial Equipment</v>
      </c>
      <c r="L982" s="316" t="str">
        <f t="shared" si="37"/>
        <v>Diesel</v>
      </c>
      <c r="M982" s="194"/>
      <c r="N982" s="317"/>
      <c r="O982" s="317"/>
      <c r="P982" s="317"/>
      <c r="Q982" s="317"/>
      <c r="R982" s="317"/>
      <c r="S982" s="317"/>
      <c r="T982" s="317"/>
      <c r="U982" s="317"/>
      <c r="V982" s="317"/>
      <c r="W982" s="317"/>
      <c r="X982" s="317"/>
      <c r="Y982" s="317"/>
      <c r="Z982" s="317"/>
    </row>
    <row r="983" spans="1:26" x14ac:dyDescent="0.25">
      <c r="A983" s="314"/>
      <c r="B983" s="18">
        <v>2023</v>
      </c>
      <c r="C983" s="18" t="s">
        <v>706</v>
      </c>
      <c r="D983" s="18" t="s">
        <v>962</v>
      </c>
      <c r="E983" s="18" t="s">
        <v>703</v>
      </c>
      <c r="F983" s="18" t="s">
        <v>704</v>
      </c>
      <c r="G983" s="18" t="s">
        <v>673</v>
      </c>
      <c r="H983" s="18" t="s">
        <v>963</v>
      </c>
      <c r="I983" s="315">
        <v>348.7030491716605</v>
      </c>
      <c r="J983" s="315">
        <v>0.24073883410591954</v>
      </c>
      <c r="K983" s="316" t="str">
        <f t="shared" si="36"/>
        <v>Lawn and Garden Equipment</v>
      </c>
      <c r="L983" s="316" t="str">
        <f t="shared" si="37"/>
        <v>Gasoline</v>
      </c>
      <c r="M983" s="194"/>
      <c r="N983" s="317"/>
      <c r="O983" s="317"/>
      <c r="P983" s="317"/>
      <c r="Q983" s="317"/>
      <c r="R983" s="317"/>
      <c r="S983" s="317"/>
      <c r="T983" s="317"/>
      <c r="U983" s="317"/>
      <c r="V983" s="317"/>
      <c r="W983" s="317"/>
      <c r="X983" s="317"/>
      <c r="Y983" s="317"/>
      <c r="Z983" s="317"/>
    </row>
    <row r="984" spans="1:26" x14ac:dyDescent="0.25">
      <c r="A984" s="314"/>
      <c r="B984" s="18">
        <v>2023</v>
      </c>
      <c r="C984" s="18" t="s">
        <v>810</v>
      </c>
      <c r="D984" s="18" t="s">
        <v>746</v>
      </c>
      <c r="E984" s="18" t="s">
        <v>703</v>
      </c>
      <c r="F984" s="18" t="s">
        <v>704</v>
      </c>
      <c r="G984" s="18" t="s">
        <v>677</v>
      </c>
      <c r="H984" s="18" t="s">
        <v>747</v>
      </c>
      <c r="I984" s="315">
        <v>348.31934893437472</v>
      </c>
      <c r="J984" s="315">
        <v>0.23216052966906578</v>
      </c>
      <c r="K984" s="316" t="str">
        <f t="shared" si="36"/>
        <v>Commercial Equipment</v>
      </c>
      <c r="L984" s="316" t="str">
        <f t="shared" si="37"/>
        <v>Gasoline</v>
      </c>
      <c r="M984" s="194"/>
      <c r="N984" s="317"/>
      <c r="O984" s="317"/>
      <c r="P984" s="317"/>
      <c r="Q984" s="317"/>
      <c r="R984" s="317"/>
      <c r="S984" s="317"/>
      <c r="T984" s="317"/>
      <c r="U984" s="317"/>
      <c r="V984" s="317"/>
      <c r="W984" s="317"/>
      <c r="X984" s="317"/>
      <c r="Y984" s="317"/>
      <c r="Z984" s="317"/>
    </row>
    <row r="985" spans="1:26" x14ac:dyDescent="0.25">
      <c r="A985" s="314"/>
      <c r="B985" s="18">
        <v>2023</v>
      </c>
      <c r="C985" s="18" t="s">
        <v>709</v>
      </c>
      <c r="D985" s="18" t="s">
        <v>894</v>
      </c>
      <c r="E985" s="18" t="s">
        <v>713</v>
      </c>
      <c r="F985" s="18" t="s">
        <v>714</v>
      </c>
      <c r="G985" s="18" t="s">
        <v>681</v>
      </c>
      <c r="H985" s="18" t="s">
        <v>895</v>
      </c>
      <c r="I985" s="315">
        <v>348.09104372721254</v>
      </c>
      <c r="J985" s="315">
        <v>6.8259080048121913E-4</v>
      </c>
      <c r="K985" s="316" t="str">
        <f t="shared" si="36"/>
        <v>Logging Equipment</v>
      </c>
      <c r="L985" s="316" t="str">
        <f t="shared" si="37"/>
        <v>Diesel</v>
      </c>
      <c r="M985" s="194"/>
      <c r="N985" s="317"/>
      <c r="O985" s="317"/>
      <c r="P985" s="317"/>
      <c r="Q985" s="317"/>
      <c r="R985" s="317"/>
      <c r="S985" s="317"/>
      <c r="T985" s="317"/>
      <c r="U985" s="317"/>
      <c r="V985" s="317"/>
      <c r="W985" s="317"/>
      <c r="X985" s="317"/>
      <c r="Y985" s="317"/>
      <c r="Z985" s="317"/>
    </row>
    <row r="986" spans="1:26" x14ac:dyDescent="0.25">
      <c r="A986" s="314"/>
      <c r="B986" s="18">
        <v>2023</v>
      </c>
      <c r="C986" s="18" t="s">
        <v>753</v>
      </c>
      <c r="D986" s="18" t="s">
        <v>769</v>
      </c>
      <c r="E986" s="18" t="s">
        <v>713</v>
      </c>
      <c r="F986" s="18" t="s">
        <v>714</v>
      </c>
      <c r="G986" s="18" t="s">
        <v>674</v>
      </c>
      <c r="H986" s="18" t="s">
        <v>770</v>
      </c>
      <c r="I986" s="315">
        <v>346.38509902624685</v>
      </c>
      <c r="J986" s="315">
        <v>2.7774283154613278E-3</v>
      </c>
      <c r="K986" s="316" t="str">
        <f t="shared" si="36"/>
        <v>Construction and Mining Equipment</v>
      </c>
      <c r="L986" s="316" t="str">
        <f t="shared" si="37"/>
        <v>Diesel</v>
      </c>
      <c r="M986" s="194"/>
      <c r="N986" s="317"/>
      <c r="O986" s="317"/>
      <c r="P986" s="317"/>
      <c r="Q986" s="317"/>
      <c r="R986" s="317"/>
      <c r="S986" s="317"/>
      <c r="T986" s="317"/>
      <c r="U986" s="317"/>
      <c r="V986" s="317"/>
      <c r="W986" s="317"/>
      <c r="X986" s="317"/>
      <c r="Y986" s="317"/>
      <c r="Z986" s="317"/>
    </row>
    <row r="987" spans="1:26" x14ac:dyDescent="0.25">
      <c r="A987" s="314"/>
      <c r="B987" s="18">
        <v>2023</v>
      </c>
      <c r="C987" s="18" t="s">
        <v>706</v>
      </c>
      <c r="D987" s="18" t="s">
        <v>995</v>
      </c>
      <c r="E987" s="18" t="s">
        <v>703</v>
      </c>
      <c r="F987" s="18" t="s">
        <v>805</v>
      </c>
      <c r="G987" s="18" t="s">
        <v>673</v>
      </c>
      <c r="H987" s="18" t="s">
        <v>996</v>
      </c>
      <c r="I987" s="315">
        <v>345.64051970274545</v>
      </c>
      <c r="J987" s="315">
        <v>0.64455541265182514</v>
      </c>
      <c r="K987" s="316" t="str">
        <f t="shared" si="36"/>
        <v>Lawn and Garden Equipment</v>
      </c>
      <c r="L987" s="316" t="str">
        <f t="shared" si="37"/>
        <v>Gasoline</v>
      </c>
      <c r="M987" s="194"/>
      <c r="N987" s="317"/>
      <c r="O987" s="317"/>
      <c r="P987" s="317"/>
      <c r="Q987" s="317"/>
      <c r="R987" s="317"/>
      <c r="S987" s="317"/>
      <c r="T987" s="317"/>
      <c r="U987" s="317"/>
      <c r="V987" s="317"/>
      <c r="W987" s="317"/>
      <c r="X987" s="317"/>
      <c r="Y987" s="317"/>
      <c r="Z987" s="317"/>
    </row>
    <row r="988" spans="1:26" x14ac:dyDescent="0.25">
      <c r="A988" s="314"/>
      <c r="B988" s="18">
        <v>2023</v>
      </c>
      <c r="C988" s="18" t="s">
        <v>753</v>
      </c>
      <c r="D988" s="18" t="s">
        <v>801</v>
      </c>
      <c r="E988" s="18" t="s">
        <v>713</v>
      </c>
      <c r="F988" s="18" t="s">
        <v>714</v>
      </c>
      <c r="G988" s="18" t="s">
        <v>675</v>
      </c>
      <c r="H988" s="18" t="s">
        <v>802</v>
      </c>
      <c r="I988" s="315">
        <v>343.88173460677922</v>
      </c>
      <c r="J988" s="315">
        <v>2.2907007777302818E-3</v>
      </c>
      <c r="K988" s="316" t="str">
        <f t="shared" si="36"/>
        <v>Industrial Equipment</v>
      </c>
      <c r="L988" s="316" t="str">
        <f t="shared" si="37"/>
        <v>Diesel</v>
      </c>
      <c r="M988" s="194"/>
      <c r="N988" s="317"/>
      <c r="O988" s="317"/>
      <c r="P988" s="317"/>
      <c r="Q988" s="317"/>
      <c r="R988" s="317"/>
      <c r="S988" s="317"/>
      <c r="T988" s="317"/>
      <c r="U988" s="317"/>
      <c r="V988" s="317"/>
      <c r="W988" s="317"/>
      <c r="X988" s="317"/>
      <c r="Y988" s="317"/>
      <c r="Z988" s="317"/>
    </row>
    <row r="989" spans="1:26" x14ac:dyDescent="0.25">
      <c r="A989" s="314"/>
      <c r="B989" s="18">
        <v>2023</v>
      </c>
      <c r="C989" s="18" t="s">
        <v>778</v>
      </c>
      <c r="D989" s="18" t="s">
        <v>757</v>
      </c>
      <c r="E989" s="18" t="s">
        <v>713</v>
      </c>
      <c r="F989" s="18" t="s">
        <v>714</v>
      </c>
      <c r="G989" s="18" t="s">
        <v>673</v>
      </c>
      <c r="H989" s="18" t="s">
        <v>758</v>
      </c>
      <c r="I989" s="315">
        <v>343.11265531208113</v>
      </c>
      <c r="J989" s="315">
        <v>1.3219360668251445E-2</v>
      </c>
      <c r="K989" s="316" t="str">
        <f t="shared" si="36"/>
        <v>Lawn and Garden Equipment</v>
      </c>
      <c r="L989" s="316" t="str">
        <f t="shared" si="37"/>
        <v>Diesel</v>
      </c>
      <c r="M989" s="194"/>
      <c r="N989" s="317"/>
      <c r="O989" s="317"/>
      <c r="P989" s="317"/>
      <c r="Q989" s="317"/>
      <c r="R989" s="317"/>
      <c r="S989" s="317"/>
      <c r="T989" s="317"/>
      <c r="U989" s="317"/>
      <c r="V989" s="317"/>
      <c r="W989" s="317"/>
      <c r="X989" s="317"/>
      <c r="Y989" s="317"/>
      <c r="Z989" s="317"/>
    </row>
    <row r="990" spans="1:26" ht="12.75" x14ac:dyDescent="0.2">
      <c r="A990" s="230"/>
      <c r="B990" s="18">
        <v>2023</v>
      </c>
      <c r="C990" s="18" t="s">
        <v>731</v>
      </c>
      <c r="D990" s="18" t="s">
        <v>761</v>
      </c>
      <c r="E990" s="18" t="s">
        <v>713</v>
      </c>
      <c r="F990" s="18" t="s">
        <v>714</v>
      </c>
      <c r="G990" s="18" t="s">
        <v>677</v>
      </c>
      <c r="H990" s="18" t="s">
        <v>747</v>
      </c>
      <c r="I990" s="315">
        <v>342.11129256869998</v>
      </c>
      <c r="J990" s="315">
        <v>8.739571372919322E-3</v>
      </c>
      <c r="K990" s="316" t="str">
        <f t="shared" si="36"/>
        <v>Commercial Equipment</v>
      </c>
      <c r="L990" s="316" t="str">
        <f t="shared" si="37"/>
        <v>Diesel</v>
      </c>
      <c r="M990" s="8"/>
      <c r="N990" s="2"/>
      <c r="O990" s="2"/>
      <c r="P990" s="2"/>
      <c r="Q990" s="2"/>
      <c r="R990" s="2"/>
      <c r="S990" s="2"/>
      <c r="T990" s="2"/>
      <c r="U990" s="2"/>
      <c r="V990" s="2"/>
      <c r="W990" s="2"/>
      <c r="X990" s="2"/>
      <c r="Y990" s="2"/>
      <c r="Z990" s="2"/>
    </row>
    <row r="991" spans="1:26" ht="12.75" x14ac:dyDescent="0.2">
      <c r="A991" s="230"/>
      <c r="B991" s="18">
        <v>2023</v>
      </c>
      <c r="C991" s="18" t="s">
        <v>773</v>
      </c>
      <c r="D991" s="18" t="s">
        <v>748</v>
      </c>
      <c r="E991" s="18" t="s">
        <v>703</v>
      </c>
      <c r="F991" s="18" t="s">
        <v>704</v>
      </c>
      <c r="G991" s="18" t="s">
        <v>673</v>
      </c>
      <c r="H991" s="18" t="s">
        <v>749</v>
      </c>
      <c r="I991" s="315">
        <v>341.84558593875818</v>
      </c>
      <c r="J991" s="315">
        <v>0.19356096419624041</v>
      </c>
      <c r="K991" s="316" t="str">
        <f t="shared" si="36"/>
        <v>Lawn and Garden Equipment</v>
      </c>
      <c r="L991" s="316" t="str">
        <f t="shared" si="37"/>
        <v>Gasoline</v>
      </c>
      <c r="M991" s="8"/>
      <c r="N991" s="2"/>
      <c r="O991" s="2"/>
      <c r="P991" s="2"/>
      <c r="Q991" s="2"/>
      <c r="R991" s="2"/>
      <c r="S991" s="2"/>
      <c r="T991" s="2"/>
      <c r="U991" s="2"/>
      <c r="V991" s="2"/>
      <c r="W991" s="2"/>
      <c r="X991" s="2"/>
      <c r="Y991" s="2"/>
      <c r="Z991" s="2"/>
    </row>
    <row r="992" spans="1:26" ht="12.75" x14ac:dyDescent="0.2">
      <c r="A992" s="230"/>
      <c r="B992" s="18">
        <v>2023</v>
      </c>
      <c r="C992" s="18" t="s">
        <v>706</v>
      </c>
      <c r="D992" s="18" t="s">
        <v>998</v>
      </c>
      <c r="E992" s="18" t="s">
        <v>703</v>
      </c>
      <c r="F992" s="18" t="s">
        <v>704</v>
      </c>
      <c r="G992" s="18" t="s">
        <v>674</v>
      </c>
      <c r="H992" s="18" t="s">
        <v>999</v>
      </c>
      <c r="I992" s="315">
        <v>341.077825008388</v>
      </c>
      <c r="J992" s="315">
        <v>0.2255004287787761</v>
      </c>
      <c r="K992" s="316" t="str">
        <f t="shared" si="36"/>
        <v>Construction and Mining Equipment</v>
      </c>
      <c r="L992" s="316" t="str">
        <f t="shared" si="37"/>
        <v>Gasoline</v>
      </c>
      <c r="M992" s="8"/>
      <c r="N992" s="2"/>
      <c r="O992" s="2"/>
      <c r="P992" s="2"/>
      <c r="Q992" s="2"/>
      <c r="R992" s="2"/>
      <c r="S992" s="2"/>
      <c r="T992" s="2"/>
      <c r="U992" s="2"/>
      <c r="V992" s="2"/>
      <c r="W992" s="2"/>
      <c r="X992" s="2"/>
      <c r="Y992" s="2"/>
      <c r="Z992" s="2"/>
    </row>
    <row r="993" spans="1:26" ht="12.75" x14ac:dyDescent="0.2">
      <c r="A993" s="230"/>
      <c r="B993" s="18">
        <v>2023</v>
      </c>
      <c r="C993" s="18" t="s">
        <v>792</v>
      </c>
      <c r="D993" s="18" t="s">
        <v>839</v>
      </c>
      <c r="E993" s="18" t="s">
        <v>703</v>
      </c>
      <c r="F993" s="18" t="s">
        <v>704</v>
      </c>
      <c r="G993" s="18" t="s">
        <v>675</v>
      </c>
      <c r="H993" s="18" t="s">
        <v>708</v>
      </c>
      <c r="I993" s="315">
        <v>340.41790429587689</v>
      </c>
      <c r="J993" s="315">
        <v>2.3600092000892411E-2</v>
      </c>
      <c r="K993" s="316" t="str">
        <f t="shared" si="36"/>
        <v>Industrial Equipment</v>
      </c>
      <c r="L993" s="316" t="str">
        <f t="shared" si="37"/>
        <v>Gasoline</v>
      </c>
      <c r="M993" s="8"/>
      <c r="N993" s="2"/>
      <c r="O993" s="2"/>
      <c r="P993" s="2"/>
      <c r="Q993" s="2"/>
      <c r="R993" s="2"/>
      <c r="S993" s="2"/>
      <c r="T993" s="2"/>
      <c r="U993" s="2"/>
      <c r="V993" s="2"/>
      <c r="W993" s="2"/>
      <c r="X993" s="2"/>
      <c r="Y993" s="2"/>
      <c r="Z993" s="2"/>
    </row>
    <row r="994" spans="1:26" ht="12.75" x14ac:dyDescent="0.2">
      <c r="A994" s="230"/>
      <c r="B994" s="18">
        <v>2023</v>
      </c>
      <c r="C994" s="18" t="s">
        <v>778</v>
      </c>
      <c r="D994" s="18" t="s">
        <v>788</v>
      </c>
      <c r="E994" s="18" t="s">
        <v>703</v>
      </c>
      <c r="F994" s="18" t="s">
        <v>704</v>
      </c>
      <c r="G994" s="18" t="s">
        <v>677</v>
      </c>
      <c r="H994" s="18" t="s">
        <v>789</v>
      </c>
      <c r="I994" s="315">
        <v>340.01661778393674</v>
      </c>
      <c r="J994" s="315">
        <v>0.23448792009385688</v>
      </c>
      <c r="K994" s="316" t="str">
        <f t="shared" si="36"/>
        <v>Commercial Equipment</v>
      </c>
      <c r="L994" s="316" t="str">
        <f t="shared" si="37"/>
        <v>Gasoline</v>
      </c>
      <c r="M994" s="8"/>
      <c r="N994" s="2"/>
      <c r="O994" s="2"/>
      <c r="P994" s="2"/>
      <c r="Q994" s="2"/>
      <c r="R994" s="2"/>
      <c r="S994" s="2"/>
      <c r="T994" s="2"/>
      <c r="U994" s="2"/>
      <c r="V994" s="2"/>
      <c r="W994" s="2"/>
      <c r="X994" s="2"/>
      <c r="Y994" s="2"/>
      <c r="Z994" s="2"/>
    </row>
    <row r="995" spans="1:26" ht="12.75" x14ac:dyDescent="0.2">
      <c r="A995" s="230"/>
      <c r="B995" s="18">
        <v>2023</v>
      </c>
      <c r="C995" s="18" t="s">
        <v>706</v>
      </c>
      <c r="D995" s="18" t="s">
        <v>1000</v>
      </c>
      <c r="E995" s="18" t="s">
        <v>703</v>
      </c>
      <c r="F995" s="18" t="s">
        <v>704</v>
      </c>
      <c r="G995" s="18" t="s">
        <v>674</v>
      </c>
      <c r="H995" s="18" t="s">
        <v>850</v>
      </c>
      <c r="I995" s="315">
        <v>339.82311034023792</v>
      </c>
      <c r="J995" s="315">
        <v>0.20699985491169692</v>
      </c>
      <c r="K995" s="316" t="str">
        <f t="shared" si="36"/>
        <v>Construction and Mining Equipment</v>
      </c>
      <c r="L995" s="316" t="str">
        <f t="shared" si="37"/>
        <v>Gasoline</v>
      </c>
      <c r="M995" s="8"/>
      <c r="N995" s="2"/>
      <c r="O995" s="2"/>
      <c r="P995" s="2"/>
      <c r="Q995" s="2"/>
      <c r="R995" s="2"/>
      <c r="S995" s="2"/>
      <c r="T995" s="2"/>
      <c r="U995" s="2"/>
      <c r="V995" s="2"/>
      <c r="W995" s="2"/>
      <c r="X995" s="2"/>
      <c r="Y995" s="2"/>
      <c r="Z995" s="2"/>
    </row>
    <row r="996" spans="1:26" ht="12.75" x14ac:dyDescent="0.2">
      <c r="A996" s="230"/>
      <c r="B996" s="18">
        <v>2023</v>
      </c>
      <c r="C996" s="18" t="s">
        <v>711</v>
      </c>
      <c r="D996" s="18" t="s">
        <v>958</v>
      </c>
      <c r="E996" s="18" t="s">
        <v>713</v>
      </c>
      <c r="F996" s="18" t="s">
        <v>714</v>
      </c>
      <c r="G996" s="18" t="s">
        <v>674</v>
      </c>
      <c r="H996" s="18" t="s">
        <v>959</v>
      </c>
      <c r="I996" s="315">
        <v>339.60059336976946</v>
      </c>
      <c r="J996" s="315">
        <v>3.0209277474899272E-3</v>
      </c>
      <c r="K996" s="316" t="str">
        <f t="shared" si="36"/>
        <v>Construction and Mining Equipment</v>
      </c>
      <c r="L996" s="316" t="str">
        <f t="shared" si="37"/>
        <v>Diesel</v>
      </c>
      <c r="M996" s="8"/>
      <c r="N996" s="2"/>
      <c r="O996" s="2"/>
      <c r="P996" s="2"/>
      <c r="Q996" s="2"/>
      <c r="R996" s="2"/>
      <c r="S996" s="2"/>
      <c r="T996" s="2"/>
      <c r="U996" s="2"/>
      <c r="V996" s="2"/>
      <c r="W996" s="2"/>
      <c r="X996" s="2"/>
      <c r="Y996" s="2"/>
      <c r="Z996" s="2"/>
    </row>
    <row r="997" spans="1:26" ht="12.75" x14ac:dyDescent="0.2">
      <c r="A997" s="230"/>
      <c r="B997" s="18">
        <v>2023</v>
      </c>
      <c r="C997" s="18" t="s">
        <v>711</v>
      </c>
      <c r="D997" s="18" t="s">
        <v>970</v>
      </c>
      <c r="E997" s="18" t="s">
        <v>713</v>
      </c>
      <c r="F997" s="18" t="s">
        <v>714</v>
      </c>
      <c r="G997" s="18" t="s">
        <v>675</v>
      </c>
      <c r="H997" s="18" t="s">
        <v>969</v>
      </c>
      <c r="I997" s="315">
        <v>339.10430966905375</v>
      </c>
      <c r="J997" s="315">
        <v>1.1017814425796421E-2</v>
      </c>
      <c r="K997" s="316" t="str">
        <f t="shared" si="36"/>
        <v>Industrial Equipment</v>
      </c>
      <c r="L997" s="316" t="str">
        <f t="shared" si="37"/>
        <v>Diesel</v>
      </c>
      <c r="M997" s="8"/>
      <c r="N997" s="2"/>
      <c r="O997" s="2"/>
      <c r="P997" s="2"/>
      <c r="Q997" s="2"/>
      <c r="R997" s="2"/>
      <c r="S997" s="2"/>
      <c r="T997" s="2"/>
      <c r="U997" s="2"/>
      <c r="V997" s="2"/>
      <c r="W997" s="2"/>
      <c r="X997" s="2"/>
      <c r="Y997" s="2"/>
      <c r="Z997" s="2"/>
    </row>
    <row r="998" spans="1:26" ht="12.75" x14ac:dyDescent="0.2">
      <c r="A998" s="230"/>
      <c r="B998" s="18">
        <v>2023</v>
      </c>
      <c r="C998" s="18" t="s">
        <v>732</v>
      </c>
      <c r="D998" s="18" t="s">
        <v>878</v>
      </c>
      <c r="E998" s="18" t="s">
        <v>703</v>
      </c>
      <c r="F998" s="18" t="s">
        <v>704</v>
      </c>
      <c r="G998" s="18" t="s">
        <v>673</v>
      </c>
      <c r="H998" s="18" t="s">
        <v>879</v>
      </c>
      <c r="I998" s="315">
        <v>338.59669420806176</v>
      </c>
      <c r="J998" s="315">
        <v>0.22311719270230659</v>
      </c>
      <c r="K998" s="316" t="str">
        <f t="shared" si="36"/>
        <v>Lawn and Garden Equipment</v>
      </c>
      <c r="L998" s="316" t="str">
        <f t="shared" si="37"/>
        <v>Gasoline</v>
      </c>
      <c r="M998" s="8"/>
      <c r="N998" s="2"/>
      <c r="O998" s="2"/>
      <c r="P998" s="2"/>
      <c r="Q998" s="2"/>
      <c r="R998" s="2"/>
      <c r="S998" s="2"/>
      <c r="T998" s="2"/>
      <c r="U998" s="2"/>
      <c r="V998" s="2"/>
      <c r="W998" s="2"/>
      <c r="X998" s="2"/>
      <c r="Y998" s="2"/>
      <c r="Z998" s="2"/>
    </row>
    <row r="999" spans="1:26" ht="12.75" x14ac:dyDescent="0.2">
      <c r="A999" s="230"/>
      <c r="B999" s="18">
        <v>2023</v>
      </c>
      <c r="C999" s="18" t="s">
        <v>810</v>
      </c>
      <c r="D999" s="18" t="s">
        <v>767</v>
      </c>
      <c r="E999" s="18" t="s">
        <v>703</v>
      </c>
      <c r="F999" s="18" t="s">
        <v>704</v>
      </c>
      <c r="G999" s="18" t="s">
        <v>673</v>
      </c>
      <c r="H999" s="18" t="s">
        <v>768</v>
      </c>
      <c r="I999" s="315">
        <v>338.33411483530909</v>
      </c>
      <c r="J999" s="315">
        <v>0.23780082718950207</v>
      </c>
      <c r="K999" s="316" t="str">
        <f t="shared" si="36"/>
        <v>Lawn and Garden Equipment</v>
      </c>
      <c r="L999" s="316" t="str">
        <f t="shared" si="37"/>
        <v>Gasoline</v>
      </c>
      <c r="M999" s="8"/>
      <c r="N999" s="2"/>
      <c r="O999" s="2"/>
      <c r="P999" s="2"/>
      <c r="Q999" s="2"/>
      <c r="R999" s="2"/>
      <c r="S999" s="2"/>
      <c r="T999" s="2"/>
      <c r="U999" s="2"/>
      <c r="V999" s="2"/>
      <c r="W999" s="2"/>
      <c r="X999" s="2"/>
      <c r="Y999" s="2"/>
      <c r="Z999" s="2"/>
    </row>
    <row r="1000" spans="1:26" ht="12.75" x14ac:dyDescent="0.2">
      <c r="A1000" s="230"/>
      <c r="B1000" s="18">
        <v>2023</v>
      </c>
      <c r="C1000" s="18" t="s">
        <v>759</v>
      </c>
      <c r="D1000" s="18" t="s">
        <v>767</v>
      </c>
      <c r="E1000" s="18" t="s">
        <v>703</v>
      </c>
      <c r="F1000" s="18" t="s">
        <v>704</v>
      </c>
      <c r="G1000" s="18" t="s">
        <v>673</v>
      </c>
      <c r="H1000" s="18" t="s">
        <v>768</v>
      </c>
      <c r="I1000" s="315">
        <v>338.33411483530909</v>
      </c>
      <c r="J1000" s="315">
        <v>0.23451070232682497</v>
      </c>
      <c r="K1000" s="316" t="str">
        <f t="shared" si="36"/>
        <v>Lawn and Garden Equipment</v>
      </c>
      <c r="L1000" s="316" t="str">
        <f t="shared" si="37"/>
        <v>Gasoline</v>
      </c>
      <c r="M1000" s="8"/>
      <c r="N1000" s="2"/>
      <c r="O1000" s="2"/>
      <c r="P1000" s="2"/>
      <c r="Q1000" s="2"/>
      <c r="R1000" s="2"/>
      <c r="S1000" s="2"/>
      <c r="T1000" s="2"/>
      <c r="U1000" s="2"/>
      <c r="V1000" s="2"/>
      <c r="W1000" s="2"/>
      <c r="X1000" s="2"/>
      <c r="Y1000" s="2"/>
      <c r="Z1000" s="2"/>
    </row>
    <row r="1001" spans="1:26" ht="12.75" x14ac:dyDescent="0.2">
      <c r="A1001" s="230"/>
      <c r="B1001" s="18">
        <v>2023</v>
      </c>
      <c r="C1001" s="18" t="s">
        <v>727</v>
      </c>
      <c r="D1001" s="18" t="s">
        <v>767</v>
      </c>
      <c r="E1001" s="18" t="s">
        <v>703</v>
      </c>
      <c r="F1001" s="18" t="s">
        <v>704</v>
      </c>
      <c r="G1001" s="18" t="s">
        <v>673</v>
      </c>
      <c r="H1001" s="18" t="s">
        <v>768</v>
      </c>
      <c r="I1001" s="315">
        <v>338.33411483530909</v>
      </c>
      <c r="J1001" s="315">
        <v>0.23463903951326115</v>
      </c>
      <c r="K1001" s="316" t="str">
        <f t="shared" si="36"/>
        <v>Lawn and Garden Equipment</v>
      </c>
      <c r="L1001" s="316" t="str">
        <f t="shared" si="37"/>
        <v>Gasoline</v>
      </c>
      <c r="M1001" s="8"/>
      <c r="N1001" s="2"/>
      <c r="O1001" s="2"/>
      <c r="P1001" s="2"/>
      <c r="Q1001" s="2"/>
      <c r="R1001" s="2"/>
      <c r="S1001" s="2"/>
      <c r="T1001" s="2"/>
      <c r="U1001" s="2"/>
      <c r="V1001" s="2"/>
      <c r="W1001" s="2"/>
      <c r="X1001" s="2"/>
      <c r="Y1001" s="2"/>
      <c r="Z1001" s="2"/>
    </row>
    <row r="1002" spans="1:26" ht="12.75" x14ac:dyDescent="0.2">
      <c r="A1002" s="230"/>
      <c r="B1002" s="18">
        <v>2023</v>
      </c>
      <c r="C1002" s="18" t="s">
        <v>773</v>
      </c>
      <c r="D1002" s="18" t="s">
        <v>790</v>
      </c>
      <c r="E1002" s="18" t="s">
        <v>713</v>
      </c>
      <c r="F1002" s="18" t="s">
        <v>714</v>
      </c>
      <c r="G1002" s="18" t="s">
        <v>674</v>
      </c>
      <c r="H1002" s="18" t="s">
        <v>791</v>
      </c>
      <c r="I1002" s="315">
        <v>338.12415098604936</v>
      </c>
      <c r="J1002" s="315">
        <v>1.9437503470142985E-3</v>
      </c>
      <c r="K1002" s="316" t="str">
        <f t="shared" si="36"/>
        <v>Construction and Mining Equipment</v>
      </c>
      <c r="L1002" s="316" t="str">
        <f t="shared" si="37"/>
        <v>Diesel</v>
      </c>
      <c r="M1002" s="8"/>
      <c r="N1002" s="2"/>
      <c r="O1002" s="2"/>
      <c r="P1002" s="2"/>
      <c r="Q1002" s="2"/>
      <c r="R1002" s="2"/>
      <c r="S1002" s="2"/>
      <c r="T1002" s="2"/>
      <c r="U1002" s="2"/>
      <c r="V1002" s="2"/>
      <c r="W1002" s="2"/>
      <c r="X1002" s="2"/>
      <c r="Y1002" s="2"/>
      <c r="Z1002" s="2"/>
    </row>
    <row r="1003" spans="1:26" ht="12.75" x14ac:dyDescent="0.2">
      <c r="A1003" s="230"/>
      <c r="B1003" s="18">
        <v>2023</v>
      </c>
      <c r="C1003" s="18" t="s">
        <v>711</v>
      </c>
      <c r="D1003" s="18" t="s">
        <v>973</v>
      </c>
      <c r="E1003" s="18" t="s">
        <v>703</v>
      </c>
      <c r="F1003" s="18" t="s">
        <v>795</v>
      </c>
      <c r="G1003" s="18" t="s">
        <v>673</v>
      </c>
      <c r="H1003" s="18" t="s">
        <v>974</v>
      </c>
      <c r="I1003" s="315">
        <v>337.58922135308404</v>
      </c>
      <c r="J1003" s="315">
        <v>0.63360003090095507</v>
      </c>
      <c r="K1003" s="316" t="str">
        <f t="shared" si="36"/>
        <v>Lawn and Garden Equipment</v>
      </c>
      <c r="L1003" s="316" t="str">
        <f t="shared" si="37"/>
        <v>Gasoline</v>
      </c>
      <c r="M1003" s="8"/>
      <c r="N1003" s="2"/>
      <c r="O1003" s="2"/>
      <c r="P1003" s="2"/>
      <c r="Q1003" s="2"/>
      <c r="R1003" s="2"/>
      <c r="S1003" s="2"/>
      <c r="T1003" s="2"/>
      <c r="U1003" s="2"/>
      <c r="V1003" s="2"/>
      <c r="W1003" s="2"/>
      <c r="X1003" s="2"/>
      <c r="Y1003" s="2"/>
      <c r="Z1003" s="2"/>
    </row>
    <row r="1004" spans="1:26" ht="12.75" x14ac:dyDescent="0.2">
      <c r="A1004" s="230"/>
      <c r="B1004" s="18">
        <v>2023</v>
      </c>
      <c r="C1004" s="18" t="s">
        <v>760</v>
      </c>
      <c r="D1004" s="18" t="s">
        <v>830</v>
      </c>
      <c r="E1004" s="18" t="s">
        <v>703</v>
      </c>
      <c r="F1004" s="18" t="s">
        <v>704</v>
      </c>
      <c r="G1004" s="18" t="s">
        <v>673</v>
      </c>
      <c r="H1004" s="18" t="s">
        <v>742</v>
      </c>
      <c r="I1004" s="315">
        <v>337.07882365834325</v>
      </c>
      <c r="J1004" s="315">
        <v>0.14696473825379658</v>
      </c>
      <c r="K1004" s="316" t="str">
        <f t="shared" si="36"/>
        <v>Lawn and Garden Equipment</v>
      </c>
      <c r="L1004" s="316" t="str">
        <f t="shared" si="37"/>
        <v>Gasoline</v>
      </c>
      <c r="M1004" s="8"/>
      <c r="N1004" s="2"/>
      <c r="O1004" s="2"/>
      <c r="P1004" s="2"/>
      <c r="Q1004" s="2"/>
      <c r="R1004" s="2"/>
      <c r="S1004" s="2"/>
      <c r="T1004" s="2"/>
      <c r="U1004" s="2"/>
      <c r="V1004" s="2"/>
      <c r="W1004" s="2"/>
      <c r="X1004" s="2"/>
      <c r="Y1004" s="2"/>
      <c r="Z1004" s="2"/>
    </row>
    <row r="1005" spans="1:26" ht="12.75" x14ac:dyDescent="0.2">
      <c r="A1005" s="230"/>
      <c r="B1005" s="18">
        <v>2023</v>
      </c>
      <c r="C1005" s="18" t="s">
        <v>731</v>
      </c>
      <c r="D1005" s="18" t="s">
        <v>767</v>
      </c>
      <c r="E1005" s="18" t="s">
        <v>703</v>
      </c>
      <c r="F1005" s="18" t="s">
        <v>704</v>
      </c>
      <c r="G1005" s="18" t="s">
        <v>673</v>
      </c>
      <c r="H1005" s="18" t="s">
        <v>768</v>
      </c>
      <c r="I1005" s="315">
        <v>336.2324017928255</v>
      </c>
      <c r="J1005" s="315">
        <v>0.23328350544007481</v>
      </c>
      <c r="K1005" s="316" t="str">
        <f t="shared" si="36"/>
        <v>Lawn and Garden Equipment</v>
      </c>
      <c r="L1005" s="316" t="str">
        <f t="shared" si="37"/>
        <v>Gasoline</v>
      </c>
      <c r="M1005" s="8"/>
      <c r="N1005" s="2"/>
      <c r="O1005" s="2"/>
      <c r="P1005" s="2"/>
      <c r="Q1005" s="2"/>
      <c r="R1005" s="2"/>
      <c r="S1005" s="2"/>
      <c r="T1005" s="2"/>
      <c r="U1005" s="2"/>
      <c r="V1005" s="2"/>
      <c r="W1005" s="2"/>
      <c r="X1005" s="2"/>
      <c r="Y1005" s="2"/>
      <c r="Z1005" s="2"/>
    </row>
    <row r="1006" spans="1:26" ht="12.75" x14ac:dyDescent="0.2">
      <c r="A1006" s="230"/>
      <c r="B1006" s="18">
        <v>2023</v>
      </c>
      <c r="C1006" s="18" t="s">
        <v>743</v>
      </c>
      <c r="D1006" s="18" t="s">
        <v>925</v>
      </c>
      <c r="E1006" s="18" t="s">
        <v>703</v>
      </c>
      <c r="F1006" s="18" t="s">
        <v>704</v>
      </c>
      <c r="G1006" s="18" t="s">
        <v>675</v>
      </c>
      <c r="H1006" s="18" t="s">
        <v>798</v>
      </c>
      <c r="I1006" s="315">
        <v>336.08329544873078</v>
      </c>
      <c r="J1006" s="315">
        <v>0.25264773464345452</v>
      </c>
      <c r="K1006" s="316" t="str">
        <f t="shared" si="36"/>
        <v>Industrial Equipment</v>
      </c>
      <c r="L1006" s="316" t="str">
        <f t="shared" si="37"/>
        <v>Gasoline</v>
      </c>
      <c r="M1006" s="8"/>
      <c r="N1006" s="2"/>
      <c r="O1006" s="2"/>
      <c r="P1006" s="2"/>
      <c r="Q1006" s="2"/>
      <c r="R1006" s="2"/>
      <c r="S1006" s="2"/>
      <c r="T1006" s="2"/>
      <c r="U1006" s="2"/>
      <c r="V1006" s="2"/>
      <c r="W1006" s="2"/>
      <c r="X1006" s="2"/>
      <c r="Y1006" s="2"/>
      <c r="Z1006" s="2"/>
    </row>
    <row r="1007" spans="1:26" ht="12.75" x14ac:dyDescent="0.2">
      <c r="A1007" s="230"/>
      <c r="B1007" s="18">
        <v>2023</v>
      </c>
      <c r="C1007" s="18" t="s">
        <v>762</v>
      </c>
      <c r="D1007" s="18" t="s">
        <v>744</v>
      </c>
      <c r="E1007" s="18" t="s">
        <v>703</v>
      </c>
      <c r="F1007" s="18" t="s">
        <v>704</v>
      </c>
      <c r="G1007" s="18" t="s">
        <v>673</v>
      </c>
      <c r="H1007" s="18" t="s">
        <v>745</v>
      </c>
      <c r="I1007" s="315">
        <v>335.76956331959462</v>
      </c>
      <c r="J1007" s="315">
        <v>0.2473805899295782</v>
      </c>
      <c r="K1007" s="316" t="str">
        <f t="shared" si="36"/>
        <v>Lawn and Garden Equipment</v>
      </c>
      <c r="L1007" s="316" t="str">
        <f t="shared" si="37"/>
        <v>Gasoline</v>
      </c>
      <c r="M1007" s="8"/>
      <c r="N1007" s="2"/>
      <c r="O1007" s="2"/>
      <c r="P1007" s="2"/>
      <c r="Q1007" s="2"/>
      <c r="R1007" s="2"/>
      <c r="S1007" s="2"/>
      <c r="T1007" s="2"/>
      <c r="U1007" s="2"/>
      <c r="V1007" s="2"/>
      <c r="W1007" s="2"/>
      <c r="X1007" s="2"/>
      <c r="Y1007" s="2"/>
      <c r="Z1007" s="2"/>
    </row>
    <row r="1008" spans="1:26" ht="12.75" x14ac:dyDescent="0.2">
      <c r="A1008" s="230"/>
      <c r="B1008" s="18">
        <v>2023</v>
      </c>
      <c r="C1008" s="18" t="s">
        <v>792</v>
      </c>
      <c r="D1008" s="18" t="s">
        <v>735</v>
      </c>
      <c r="E1008" s="18" t="s">
        <v>713</v>
      </c>
      <c r="F1008" s="18" t="s">
        <v>714</v>
      </c>
      <c r="G1008" s="18" t="s">
        <v>674</v>
      </c>
      <c r="H1008" s="18" t="s">
        <v>736</v>
      </c>
      <c r="I1008" s="315">
        <v>335.76865060582912</v>
      </c>
      <c r="J1008" s="315">
        <v>1.0043036694185395E-2</v>
      </c>
      <c r="K1008" s="316" t="str">
        <f t="shared" si="36"/>
        <v>Construction and Mining Equipment</v>
      </c>
      <c r="L1008" s="316" t="str">
        <f t="shared" si="37"/>
        <v>Diesel</v>
      </c>
      <c r="M1008" s="8"/>
      <c r="N1008" s="2"/>
      <c r="O1008" s="2"/>
      <c r="P1008" s="2"/>
      <c r="Q1008" s="2"/>
      <c r="R1008" s="2"/>
      <c r="S1008" s="2"/>
      <c r="T1008" s="2"/>
      <c r="U1008" s="2"/>
      <c r="V1008" s="2"/>
      <c r="W1008" s="2"/>
      <c r="X1008" s="2"/>
      <c r="Y1008" s="2"/>
      <c r="Z1008" s="2"/>
    </row>
    <row r="1009" spans="1:26" ht="12.75" x14ac:dyDescent="0.2">
      <c r="A1009" s="230"/>
      <c r="B1009" s="18">
        <v>2023</v>
      </c>
      <c r="C1009" s="18" t="s">
        <v>787</v>
      </c>
      <c r="D1009" s="18" t="s">
        <v>839</v>
      </c>
      <c r="E1009" s="18" t="s">
        <v>703</v>
      </c>
      <c r="F1009" s="18" t="s">
        <v>704</v>
      </c>
      <c r="G1009" s="18" t="s">
        <v>675</v>
      </c>
      <c r="H1009" s="18" t="s">
        <v>708</v>
      </c>
      <c r="I1009" s="315">
        <v>335.54336573165898</v>
      </c>
      <c r="J1009" s="315">
        <v>2.3139435252968365E-2</v>
      </c>
      <c r="K1009" s="316" t="str">
        <f t="shared" si="36"/>
        <v>Industrial Equipment</v>
      </c>
      <c r="L1009" s="316" t="str">
        <f t="shared" si="37"/>
        <v>Gasoline</v>
      </c>
      <c r="M1009" s="8"/>
      <c r="N1009" s="2"/>
      <c r="O1009" s="2"/>
      <c r="P1009" s="2"/>
      <c r="Q1009" s="2"/>
      <c r="R1009" s="2"/>
      <c r="S1009" s="2"/>
      <c r="T1009" s="2"/>
      <c r="U1009" s="2"/>
      <c r="V1009" s="2"/>
      <c r="W1009" s="2"/>
      <c r="X1009" s="2"/>
      <c r="Y1009" s="2"/>
      <c r="Z1009" s="2"/>
    </row>
    <row r="1010" spans="1:26" ht="12.75" x14ac:dyDescent="0.2">
      <c r="A1010" s="230"/>
      <c r="B1010" s="18">
        <v>2023</v>
      </c>
      <c r="C1010" s="18" t="s">
        <v>732</v>
      </c>
      <c r="D1010" s="18" t="s">
        <v>882</v>
      </c>
      <c r="E1010" s="18" t="s">
        <v>713</v>
      </c>
      <c r="F1010" s="18" t="s">
        <v>714</v>
      </c>
      <c r="G1010" s="18" t="s">
        <v>673</v>
      </c>
      <c r="H1010" s="18" t="s">
        <v>705</v>
      </c>
      <c r="I1010" s="315">
        <v>335.00262250883975</v>
      </c>
      <c r="J1010" s="315">
        <v>5.6225373155607359E-3</v>
      </c>
      <c r="K1010" s="316" t="str">
        <f t="shared" si="36"/>
        <v>Lawn and Garden Equipment</v>
      </c>
      <c r="L1010" s="316" t="str">
        <f t="shared" si="37"/>
        <v>Diesel</v>
      </c>
      <c r="M1010" s="8"/>
      <c r="N1010" s="2"/>
      <c r="O1010" s="2"/>
      <c r="P1010" s="2"/>
      <c r="Q1010" s="2"/>
      <c r="R1010" s="2"/>
      <c r="S1010" s="2"/>
      <c r="T1010" s="2"/>
      <c r="U1010" s="2"/>
      <c r="V1010" s="2"/>
      <c r="W1010" s="2"/>
      <c r="X1010" s="2"/>
      <c r="Y1010" s="2"/>
      <c r="Z1010" s="2"/>
    </row>
    <row r="1011" spans="1:26" ht="12.75" x14ac:dyDescent="0.2">
      <c r="A1011" s="230"/>
      <c r="B1011" s="18">
        <v>2023</v>
      </c>
      <c r="C1011" s="18" t="s">
        <v>732</v>
      </c>
      <c r="D1011" s="18" t="s">
        <v>1001</v>
      </c>
      <c r="E1011" s="18" t="s">
        <v>713</v>
      </c>
      <c r="F1011" s="18" t="s">
        <v>683</v>
      </c>
      <c r="G1011" s="18" t="s">
        <v>79</v>
      </c>
      <c r="H1011" s="18" t="s">
        <v>1002</v>
      </c>
      <c r="I1011" s="315">
        <v>334.95033878105136</v>
      </c>
      <c r="J1011" s="315">
        <v>1.1258266910427949E-2</v>
      </c>
      <c r="K1011" s="316" t="str">
        <f t="shared" si="36"/>
        <v>Railroad Equipment</v>
      </c>
      <c r="L1011" s="316" t="str">
        <f t="shared" si="37"/>
        <v>Diesel</v>
      </c>
      <c r="M1011" s="8"/>
      <c r="N1011" s="2"/>
      <c r="O1011" s="2"/>
      <c r="P1011" s="2"/>
      <c r="Q1011" s="2"/>
      <c r="R1011" s="2"/>
      <c r="S1011" s="2"/>
      <c r="T1011" s="2"/>
      <c r="U1011" s="2"/>
      <c r="V1011" s="2"/>
      <c r="W1011" s="2"/>
      <c r="X1011" s="2"/>
      <c r="Y1011" s="2"/>
      <c r="Z1011" s="2"/>
    </row>
    <row r="1012" spans="1:26" ht="12.75" x14ac:dyDescent="0.2">
      <c r="A1012" s="230"/>
      <c r="B1012" s="18">
        <v>2023</v>
      </c>
      <c r="C1012" s="18" t="s">
        <v>709</v>
      </c>
      <c r="D1012" s="18" t="s">
        <v>995</v>
      </c>
      <c r="E1012" s="18" t="s">
        <v>703</v>
      </c>
      <c r="F1012" s="18" t="s">
        <v>805</v>
      </c>
      <c r="G1012" s="18" t="s">
        <v>673</v>
      </c>
      <c r="H1012" s="18" t="s">
        <v>996</v>
      </c>
      <c r="I1012" s="315">
        <v>334.89219075708888</v>
      </c>
      <c r="J1012" s="315">
        <v>0.62451191852508658</v>
      </c>
      <c r="K1012" s="316" t="str">
        <f t="shared" si="36"/>
        <v>Lawn and Garden Equipment</v>
      </c>
      <c r="L1012" s="316" t="str">
        <f t="shared" si="37"/>
        <v>Gasoline</v>
      </c>
      <c r="M1012" s="8"/>
      <c r="N1012" s="2"/>
      <c r="O1012" s="2"/>
      <c r="P1012" s="2"/>
      <c r="Q1012" s="2"/>
      <c r="R1012" s="2"/>
      <c r="S1012" s="2"/>
      <c r="T1012" s="2"/>
      <c r="U1012" s="2"/>
      <c r="V1012" s="2"/>
      <c r="W1012" s="2"/>
      <c r="X1012" s="2"/>
      <c r="Y1012" s="2"/>
      <c r="Z1012" s="2"/>
    </row>
    <row r="1013" spans="1:26" ht="12.75" x14ac:dyDescent="0.2">
      <c r="A1013" s="230"/>
      <c r="B1013" s="18">
        <v>2023</v>
      </c>
      <c r="C1013" s="18" t="s">
        <v>701</v>
      </c>
      <c r="D1013" s="18" t="s">
        <v>980</v>
      </c>
      <c r="E1013" s="18" t="s">
        <v>713</v>
      </c>
      <c r="F1013" s="18" t="s">
        <v>714</v>
      </c>
      <c r="G1013" s="18" t="s">
        <v>674</v>
      </c>
      <c r="H1013" s="18" t="s">
        <v>981</v>
      </c>
      <c r="I1013" s="315">
        <v>332.58345924116844</v>
      </c>
      <c r="J1013" s="315">
        <v>1.4598567285669382E-2</v>
      </c>
      <c r="K1013" s="316" t="str">
        <f t="shared" si="36"/>
        <v>Construction and Mining Equipment</v>
      </c>
      <c r="L1013" s="316" t="str">
        <f t="shared" si="37"/>
        <v>Diesel</v>
      </c>
      <c r="M1013" s="8"/>
      <c r="N1013" s="2"/>
      <c r="O1013" s="2"/>
      <c r="P1013" s="2"/>
      <c r="Q1013" s="2"/>
      <c r="R1013" s="2"/>
      <c r="S1013" s="2"/>
      <c r="T1013" s="2"/>
      <c r="U1013" s="2"/>
      <c r="V1013" s="2"/>
      <c r="W1013" s="2"/>
      <c r="X1013" s="2"/>
      <c r="Y1013" s="2"/>
      <c r="Z1013" s="2"/>
    </row>
    <row r="1014" spans="1:26" ht="12.75" x14ac:dyDescent="0.2">
      <c r="A1014" s="230"/>
      <c r="B1014" s="18">
        <v>2023</v>
      </c>
      <c r="C1014" s="18" t="s">
        <v>793</v>
      </c>
      <c r="D1014" s="18" t="s">
        <v>894</v>
      </c>
      <c r="E1014" s="18" t="s">
        <v>713</v>
      </c>
      <c r="F1014" s="18" t="s">
        <v>714</v>
      </c>
      <c r="G1014" s="18" t="s">
        <v>681</v>
      </c>
      <c r="H1014" s="18" t="s">
        <v>895</v>
      </c>
      <c r="I1014" s="315">
        <v>332.52604425422771</v>
      </c>
      <c r="J1014" s="315">
        <v>6.5207139896217227E-4</v>
      </c>
      <c r="K1014" s="316" t="str">
        <f t="shared" si="36"/>
        <v>Logging Equipment</v>
      </c>
      <c r="L1014" s="316" t="str">
        <f t="shared" si="37"/>
        <v>Diesel</v>
      </c>
      <c r="M1014" s="8"/>
      <c r="N1014" s="2"/>
      <c r="O1014" s="2"/>
      <c r="P1014" s="2"/>
      <c r="Q1014" s="2"/>
      <c r="R1014" s="2"/>
      <c r="S1014" s="2"/>
      <c r="T1014" s="2"/>
      <c r="U1014" s="2"/>
      <c r="V1014" s="2"/>
      <c r="W1014" s="2"/>
      <c r="X1014" s="2"/>
      <c r="Y1014" s="2"/>
      <c r="Z1014" s="2"/>
    </row>
    <row r="1015" spans="1:26" ht="12.75" x14ac:dyDescent="0.2">
      <c r="A1015" s="230"/>
      <c r="B1015" s="18">
        <v>2023</v>
      </c>
      <c r="C1015" s="18" t="s">
        <v>753</v>
      </c>
      <c r="D1015" s="18" t="s">
        <v>767</v>
      </c>
      <c r="E1015" s="18" t="s">
        <v>703</v>
      </c>
      <c r="F1015" s="18" t="s">
        <v>704</v>
      </c>
      <c r="G1015" s="18" t="s">
        <v>673</v>
      </c>
      <c r="H1015" s="18" t="s">
        <v>768</v>
      </c>
      <c r="I1015" s="315">
        <v>332.02939127922275</v>
      </c>
      <c r="J1015" s="315">
        <v>0.23041022894478014</v>
      </c>
      <c r="K1015" s="316" t="str">
        <f t="shared" si="36"/>
        <v>Lawn and Garden Equipment</v>
      </c>
      <c r="L1015" s="316" t="str">
        <f t="shared" si="37"/>
        <v>Gasoline</v>
      </c>
      <c r="M1015" s="8"/>
      <c r="N1015" s="2"/>
      <c r="O1015" s="2"/>
      <c r="P1015" s="2"/>
      <c r="Q1015" s="2"/>
      <c r="R1015" s="2"/>
      <c r="S1015" s="2"/>
      <c r="T1015" s="2"/>
      <c r="U1015" s="2"/>
      <c r="V1015" s="2"/>
      <c r="W1015" s="2"/>
      <c r="X1015" s="2"/>
      <c r="Y1015" s="2"/>
      <c r="Z1015" s="2"/>
    </row>
    <row r="1016" spans="1:26" ht="12.75" x14ac:dyDescent="0.2">
      <c r="A1016" s="230"/>
      <c r="B1016" s="18">
        <v>2023</v>
      </c>
      <c r="C1016" s="18" t="s">
        <v>722</v>
      </c>
      <c r="D1016" s="18" t="s">
        <v>927</v>
      </c>
      <c r="E1016" s="18" t="s">
        <v>56</v>
      </c>
      <c r="F1016" s="18" t="s">
        <v>672</v>
      </c>
      <c r="G1016" s="18" t="s">
        <v>673</v>
      </c>
      <c r="H1016" s="18" t="s">
        <v>742</v>
      </c>
      <c r="I1016" s="315">
        <v>326.83385855895239</v>
      </c>
      <c r="J1016" s="315">
        <v>1.4847971217124376E-2</v>
      </c>
      <c r="K1016" s="316" t="str">
        <f t="shared" si="36"/>
        <v>Lawn and Garden Equipment</v>
      </c>
      <c r="L1016" s="316" t="str">
        <f t="shared" si="37"/>
        <v>LPG</v>
      </c>
      <c r="M1016" s="8"/>
      <c r="N1016" s="2"/>
      <c r="O1016" s="2"/>
      <c r="P1016" s="2"/>
      <c r="Q1016" s="2"/>
      <c r="R1016" s="2"/>
      <c r="S1016" s="2"/>
      <c r="T1016" s="2"/>
      <c r="U1016" s="2"/>
      <c r="V1016" s="2"/>
      <c r="W1016" s="2"/>
      <c r="X1016" s="2"/>
      <c r="Y1016" s="2"/>
      <c r="Z1016" s="2"/>
    </row>
    <row r="1017" spans="1:26" ht="12.75" x14ac:dyDescent="0.2">
      <c r="A1017" s="230"/>
      <c r="B1017" s="18">
        <v>2023</v>
      </c>
      <c r="C1017" s="18" t="s">
        <v>810</v>
      </c>
      <c r="D1017" s="18" t="s">
        <v>769</v>
      </c>
      <c r="E1017" s="18" t="s">
        <v>713</v>
      </c>
      <c r="F1017" s="18" t="s">
        <v>714</v>
      </c>
      <c r="G1017" s="18" t="s">
        <v>674</v>
      </c>
      <c r="H1017" s="18" t="s">
        <v>770</v>
      </c>
      <c r="I1017" s="315">
        <v>326.47269176948464</v>
      </c>
      <c r="J1017" s="315">
        <v>2.6177670194003594E-3</v>
      </c>
      <c r="K1017" s="316" t="str">
        <f t="shared" si="36"/>
        <v>Construction and Mining Equipment</v>
      </c>
      <c r="L1017" s="316" t="str">
        <f t="shared" si="37"/>
        <v>Diesel</v>
      </c>
      <c r="M1017" s="8"/>
      <c r="N1017" s="2"/>
      <c r="O1017" s="2"/>
      <c r="P1017" s="2"/>
      <c r="Q1017" s="2"/>
      <c r="R1017" s="2"/>
      <c r="S1017" s="2"/>
      <c r="T1017" s="2"/>
      <c r="U1017" s="2"/>
      <c r="V1017" s="2"/>
      <c r="W1017" s="2"/>
      <c r="X1017" s="2"/>
      <c r="Y1017" s="2"/>
      <c r="Z1017" s="2"/>
    </row>
    <row r="1018" spans="1:26" ht="12.75" x14ac:dyDescent="0.2">
      <c r="A1018" s="230"/>
      <c r="B1018" s="18">
        <v>2023</v>
      </c>
      <c r="C1018" s="18" t="s">
        <v>722</v>
      </c>
      <c r="D1018" s="18" t="s">
        <v>925</v>
      </c>
      <c r="E1018" s="18" t="s">
        <v>703</v>
      </c>
      <c r="F1018" s="18" t="s">
        <v>704</v>
      </c>
      <c r="G1018" s="18" t="s">
        <v>675</v>
      </c>
      <c r="H1018" s="18" t="s">
        <v>798</v>
      </c>
      <c r="I1018" s="315">
        <v>326.41210873983624</v>
      </c>
      <c r="J1018" s="315">
        <v>0.24440959965734471</v>
      </c>
      <c r="K1018" s="316" t="str">
        <f t="shared" si="36"/>
        <v>Industrial Equipment</v>
      </c>
      <c r="L1018" s="316" t="str">
        <f t="shared" si="37"/>
        <v>Gasoline</v>
      </c>
      <c r="M1018" s="8"/>
      <c r="N1018" s="2"/>
      <c r="O1018" s="2"/>
      <c r="P1018" s="2"/>
      <c r="Q1018" s="2"/>
      <c r="R1018" s="2"/>
      <c r="S1018" s="2"/>
      <c r="T1018" s="2"/>
      <c r="U1018" s="2"/>
      <c r="V1018" s="2"/>
      <c r="W1018" s="2"/>
      <c r="X1018" s="2"/>
      <c r="Y1018" s="2"/>
      <c r="Z1018" s="2"/>
    </row>
    <row r="1019" spans="1:26" ht="12.75" x14ac:dyDescent="0.2">
      <c r="A1019" s="230"/>
      <c r="B1019" s="18">
        <v>2023</v>
      </c>
      <c r="C1019" s="18" t="s">
        <v>706</v>
      </c>
      <c r="D1019" s="18" t="s">
        <v>1003</v>
      </c>
      <c r="E1019" s="18" t="s">
        <v>703</v>
      </c>
      <c r="F1019" s="18" t="s">
        <v>805</v>
      </c>
      <c r="G1019" s="18" t="s">
        <v>677</v>
      </c>
      <c r="H1019" s="18" t="s">
        <v>841</v>
      </c>
      <c r="I1019" s="315">
        <v>325.33174444711233</v>
      </c>
      <c r="J1019" s="315">
        <v>0.62686031143180199</v>
      </c>
      <c r="K1019" s="316" t="str">
        <f t="shared" si="36"/>
        <v>Commercial Equipment</v>
      </c>
      <c r="L1019" s="316" t="str">
        <f t="shared" si="37"/>
        <v>Gasoline</v>
      </c>
      <c r="M1019" s="8"/>
      <c r="N1019" s="2"/>
      <c r="O1019" s="2"/>
      <c r="P1019" s="2"/>
      <c r="Q1019" s="2"/>
      <c r="R1019" s="2"/>
      <c r="S1019" s="2"/>
      <c r="T1019" s="2"/>
      <c r="U1019" s="2"/>
      <c r="V1019" s="2"/>
      <c r="W1019" s="2"/>
      <c r="X1019" s="2"/>
      <c r="Y1019" s="2"/>
      <c r="Z1019" s="2"/>
    </row>
    <row r="1020" spans="1:26" ht="12.75" x14ac:dyDescent="0.2">
      <c r="A1020" s="230"/>
      <c r="B1020" s="18">
        <v>2023</v>
      </c>
      <c r="C1020" s="18" t="s">
        <v>773</v>
      </c>
      <c r="D1020" s="18" t="s">
        <v>840</v>
      </c>
      <c r="E1020" s="18" t="s">
        <v>703</v>
      </c>
      <c r="F1020" s="18" t="s">
        <v>704</v>
      </c>
      <c r="G1020" s="18" t="s">
        <v>677</v>
      </c>
      <c r="H1020" s="18" t="s">
        <v>841</v>
      </c>
      <c r="I1020" s="315">
        <v>325.14850282865206</v>
      </c>
      <c r="J1020" s="315">
        <v>0.21315652415765463</v>
      </c>
      <c r="K1020" s="316" t="str">
        <f t="shared" si="36"/>
        <v>Commercial Equipment</v>
      </c>
      <c r="L1020" s="316" t="str">
        <f t="shared" si="37"/>
        <v>Gasoline</v>
      </c>
      <c r="M1020" s="8"/>
      <c r="N1020" s="2"/>
      <c r="O1020" s="2"/>
      <c r="P1020" s="2"/>
      <c r="Q1020" s="2"/>
      <c r="R1020" s="2"/>
      <c r="S1020" s="2"/>
      <c r="T1020" s="2"/>
      <c r="U1020" s="2"/>
      <c r="V1020" s="2"/>
      <c r="W1020" s="2"/>
      <c r="X1020" s="2"/>
      <c r="Y1020" s="2"/>
      <c r="Z1020" s="2"/>
    </row>
    <row r="1021" spans="1:26" ht="12.75" x14ac:dyDescent="0.2">
      <c r="A1021" s="230"/>
      <c r="B1021" s="18">
        <v>2023</v>
      </c>
      <c r="C1021" s="18" t="s">
        <v>760</v>
      </c>
      <c r="D1021" s="18" t="s">
        <v>982</v>
      </c>
      <c r="E1021" s="18" t="s">
        <v>703</v>
      </c>
      <c r="F1021" s="18" t="s">
        <v>805</v>
      </c>
      <c r="G1021" s="18" t="s">
        <v>679</v>
      </c>
      <c r="H1021" s="18" t="s">
        <v>983</v>
      </c>
      <c r="I1021" s="315">
        <v>324.57323411326337</v>
      </c>
      <c r="J1021" s="315">
        <v>0.99599857709806516</v>
      </c>
      <c r="K1021" s="316" t="str">
        <f t="shared" si="36"/>
        <v>Recreational Equipment</v>
      </c>
      <c r="L1021" s="316" t="str">
        <f t="shared" si="37"/>
        <v>Gasoline</v>
      </c>
      <c r="M1021" s="8"/>
      <c r="N1021" s="2"/>
      <c r="O1021" s="2"/>
      <c r="P1021" s="2"/>
      <c r="Q1021" s="2"/>
      <c r="R1021" s="2"/>
      <c r="S1021" s="2"/>
      <c r="T1021" s="2"/>
      <c r="U1021" s="2"/>
      <c r="V1021" s="2"/>
      <c r="W1021" s="2"/>
      <c r="X1021" s="2"/>
      <c r="Y1021" s="2"/>
      <c r="Z1021" s="2"/>
    </row>
    <row r="1022" spans="1:26" ht="12.75" x14ac:dyDescent="0.2">
      <c r="A1022" s="230"/>
      <c r="B1022" s="18">
        <v>2023</v>
      </c>
      <c r="C1022" s="18" t="s">
        <v>793</v>
      </c>
      <c r="D1022" s="18" t="s">
        <v>741</v>
      </c>
      <c r="E1022" s="18" t="s">
        <v>713</v>
      </c>
      <c r="F1022" s="18" t="s">
        <v>714</v>
      </c>
      <c r="G1022" s="18" t="s">
        <v>673</v>
      </c>
      <c r="H1022" s="18" t="s">
        <v>742</v>
      </c>
      <c r="I1022" s="315">
        <v>324.42131687532577</v>
      </c>
      <c r="J1022" s="315">
        <v>5.3733431857349448E-3</v>
      </c>
      <c r="K1022" s="316" t="str">
        <f t="shared" si="36"/>
        <v>Lawn and Garden Equipment</v>
      </c>
      <c r="L1022" s="316" t="str">
        <f t="shared" si="37"/>
        <v>Diesel</v>
      </c>
      <c r="M1022" s="8"/>
      <c r="N1022" s="2"/>
      <c r="O1022" s="2"/>
      <c r="P1022" s="2"/>
      <c r="Q1022" s="2"/>
      <c r="R1022" s="2"/>
      <c r="S1022" s="2"/>
      <c r="T1022" s="2"/>
      <c r="U1022" s="2"/>
      <c r="V1022" s="2"/>
      <c r="W1022" s="2"/>
      <c r="X1022" s="2"/>
      <c r="Y1022" s="2"/>
      <c r="Z1022" s="2"/>
    </row>
    <row r="1023" spans="1:26" ht="12.75" x14ac:dyDescent="0.2">
      <c r="A1023" s="230"/>
      <c r="B1023" s="18">
        <v>2023</v>
      </c>
      <c r="C1023" s="18" t="s">
        <v>711</v>
      </c>
      <c r="D1023" s="18" t="s">
        <v>977</v>
      </c>
      <c r="E1023" s="18" t="s">
        <v>703</v>
      </c>
      <c r="F1023" s="18" t="s">
        <v>805</v>
      </c>
      <c r="G1023" s="18" t="s">
        <v>673</v>
      </c>
      <c r="H1023" s="18" t="s">
        <v>978</v>
      </c>
      <c r="I1023" s="315">
        <v>324.12741642898453</v>
      </c>
      <c r="J1023" s="315">
        <v>0.5519179419990522</v>
      </c>
      <c r="K1023" s="316" t="str">
        <f t="shared" si="36"/>
        <v>Lawn and Garden Equipment</v>
      </c>
      <c r="L1023" s="316" t="str">
        <f t="shared" si="37"/>
        <v>Gasoline</v>
      </c>
      <c r="M1023" s="8"/>
      <c r="N1023" s="2"/>
      <c r="O1023" s="2"/>
      <c r="P1023" s="2"/>
      <c r="Q1023" s="2"/>
      <c r="R1023" s="2"/>
      <c r="S1023" s="2"/>
      <c r="T1023" s="2"/>
      <c r="U1023" s="2"/>
      <c r="V1023" s="2"/>
      <c r="W1023" s="2"/>
      <c r="X1023" s="2"/>
      <c r="Y1023" s="2"/>
      <c r="Z1023" s="2"/>
    </row>
    <row r="1024" spans="1:26" ht="12.75" x14ac:dyDescent="0.2">
      <c r="A1024" s="230"/>
      <c r="B1024" s="18">
        <v>2023</v>
      </c>
      <c r="C1024" s="18" t="s">
        <v>760</v>
      </c>
      <c r="D1024" s="18" t="s">
        <v>894</v>
      </c>
      <c r="E1024" s="18" t="s">
        <v>713</v>
      </c>
      <c r="F1024" s="18" t="s">
        <v>714</v>
      </c>
      <c r="G1024" s="18" t="s">
        <v>681</v>
      </c>
      <c r="H1024" s="18" t="s">
        <v>895</v>
      </c>
      <c r="I1024" s="315">
        <v>323.31477268896742</v>
      </c>
      <c r="J1024" s="315">
        <v>6.3400641737603835E-4</v>
      </c>
      <c r="K1024" s="316" t="str">
        <f t="shared" si="36"/>
        <v>Logging Equipment</v>
      </c>
      <c r="L1024" s="316" t="str">
        <f t="shared" si="37"/>
        <v>Diesel</v>
      </c>
      <c r="M1024" s="8"/>
      <c r="N1024" s="2"/>
      <c r="O1024" s="2"/>
      <c r="P1024" s="2"/>
      <c r="Q1024" s="2"/>
      <c r="R1024" s="2"/>
      <c r="S1024" s="2"/>
      <c r="T1024" s="2"/>
      <c r="U1024" s="2"/>
      <c r="V1024" s="2"/>
      <c r="W1024" s="2"/>
      <c r="X1024" s="2"/>
      <c r="Y1024" s="2"/>
      <c r="Z1024" s="2"/>
    </row>
    <row r="1025" spans="1:26" ht="12.75" x14ac:dyDescent="0.2">
      <c r="A1025" s="230"/>
      <c r="B1025" s="18">
        <v>2023</v>
      </c>
      <c r="C1025" s="18" t="s">
        <v>754</v>
      </c>
      <c r="D1025" s="18" t="s">
        <v>848</v>
      </c>
      <c r="E1025" s="18" t="s">
        <v>56</v>
      </c>
      <c r="F1025" s="18" t="s">
        <v>601</v>
      </c>
      <c r="G1025" s="18" t="s">
        <v>675</v>
      </c>
      <c r="H1025" s="18" t="s">
        <v>708</v>
      </c>
      <c r="I1025" s="315">
        <v>322.94251003384375</v>
      </c>
      <c r="J1025" s="315">
        <v>1.2847432959900242</v>
      </c>
      <c r="K1025" s="316" t="str">
        <f t="shared" si="36"/>
        <v>Industrial Equipment</v>
      </c>
      <c r="L1025" s="316" t="str">
        <f t="shared" si="37"/>
        <v>CNG</v>
      </c>
      <c r="M1025" s="8"/>
      <c r="N1025" s="2"/>
      <c r="O1025" s="2"/>
      <c r="P1025" s="2"/>
      <c r="Q1025" s="2"/>
      <c r="R1025" s="2"/>
      <c r="S1025" s="2"/>
      <c r="T1025" s="2"/>
      <c r="U1025" s="2"/>
      <c r="V1025" s="2"/>
      <c r="W1025" s="2"/>
      <c r="X1025" s="2"/>
      <c r="Y1025" s="2"/>
      <c r="Z1025" s="2"/>
    </row>
    <row r="1026" spans="1:26" ht="12.75" x14ac:dyDescent="0.2">
      <c r="A1026" s="230"/>
      <c r="B1026" s="18">
        <v>2023</v>
      </c>
      <c r="C1026" s="18" t="s">
        <v>787</v>
      </c>
      <c r="D1026" s="18" t="s">
        <v>1004</v>
      </c>
      <c r="E1026" s="18" t="s">
        <v>713</v>
      </c>
      <c r="F1026" s="18" t="s">
        <v>714</v>
      </c>
      <c r="G1026" s="18" t="s">
        <v>679</v>
      </c>
      <c r="H1026" s="18" t="s">
        <v>1005</v>
      </c>
      <c r="I1026" s="315">
        <v>322.21871038086471</v>
      </c>
      <c r="J1026" s="315">
        <v>1.1615223732499498E-2</v>
      </c>
      <c r="K1026" s="316" t="str">
        <f t="shared" si="36"/>
        <v>Recreational Equipment</v>
      </c>
      <c r="L1026" s="316" t="str">
        <f t="shared" si="37"/>
        <v>Diesel</v>
      </c>
      <c r="M1026" s="8"/>
      <c r="N1026" s="2"/>
      <c r="O1026" s="2"/>
      <c r="P1026" s="2"/>
      <c r="Q1026" s="2"/>
      <c r="R1026" s="2"/>
      <c r="S1026" s="2"/>
      <c r="T1026" s="2"/>
      <c r="U1026" s="2"/>
      <c r="V1026" s="2"/>
      <c r="W1026" s="2"/>
      <c r="X1026" s="2"/>
      <c r="Y1026" s="2"/>
      <c r="Z1026" s="2"/>
    </row>
    <row r="1027" spans="1:26" ht="12.75" x14ac:dyDescent="0.2">
      <c r="A1027" s="230"/>
      <c r="B1027" s="18">
        <v>2023</v>
      </c>
      <c r="C1027" s="18" t="s">
        <v>701</v>
      </c>
      <c r="D1027" s="18" t="s">
        <v>979</v>
      </c>
      <c r="E1027" s="18" t="s">
        <v>703</v>
      </c>
      <c r="F1027" s="18" t="s">
        <v>704</v>
      </c>
      <c r="G1027" s="18" t="s">
        <v>675</v>
      </c>
      <c r="H1027" s="18" t="s">
        <v>802</v>
      </c>
      <c r="I1027" s="315">
        <v>321.53103567416713</v>
      </c>
      <c r="J1027" s="315">
        <v>0.11592807272372466</v>
      </c>
      <c r="K1027" s="316" t="str">
        <f t="shared" si="36"/>
        <v>Industrial Equipment</v>
      </c>
      <c r="L1027" s="316" t="str">
        <f t="shared" si="37"/>
        <v>Gasoline</v>
      </c>
      <c r="M1027" s="8"/>
      <c r="N1027" s="2"/>
      <c r="O1027" s="2"/>
      <c r="P1027" s="2"/>
      <c r="Q1027" s="2"/>
      <c r="R1027" s="2"/>
      <c r="S1027" s="2"/>
      <c r="T1027" s="2"/>
      <c r="U1027" s="2"/>
      <c r="V1027" s="2"/>
      <c r="W1027" s="2"/>
      <c r="X1027" s="2"/>
      <c r="Y1027" s="2"/>
      <c r="Z1027" s="2"/>
    </row>
    <row r="1028" spans="1:26" ht="12.75" x14ac:dyDescent="0.2">
      <c r="A1028" s="230"/>
      <c r="B1028" s="18">
        <v>2023</v>
      </c>
      <c r="C1028" s="18" t="s">
        <v>710</v>
      </c>
      <c r="D1028" s="18" t="s">
        <v>995</v>
      </c>
      <c r="E1028" s="18" t="s">
        <v>703</v>
      </c>
      <c r="F1028" s="18" t="s">
        <v>805</v>
      </c>
      <c r="G1028" s="18" t="s">
        <v>673</v>
      </c>
      <c r="H1028" s="18" t="s">
        <v>996</v>
      </c>
      <c r="I1028" s="315">
        <v>321.16499997563898</v>
      </c>
      <c r="J1028" s="315">
        <v>0.59891363559644484</v>
      </c>
      <c r="K1028" s="316" t="str">
        <f t="shared" si="36"/>
        <v>Lawn and Garden Equipment</v>
      </c>
      <c r="L1028" s="316" t="str">
        <f t="shared" si="37"/>
        <v>Gasoline</v>
      </c>
      <c r="M1028" s="8"/>
      <c r="N1028" s="2"/>
      <c r="O1028" s="2"/>
      <c r="P1028" s="2"/>
      <c r="Q1028" s="2"/>
      <c r="R1028" s="2"/>
      <c r="S1028" s="2"/>
      <c r="T1028" s="2"/>
      <c r="U1028" s="2"/>
      <c r="V1028" s="2"/>
      <c r="W1028" s="2"/>
      <c r="X1028" s="2"/>
      <c r="Y1028" s="2"/>
      <c r="Z1028" s="2"/>
    </row>
    <row r="1029" spans="1:26" ht="12.75" x14ac:dyDescent="0.2">
      <c r="A1029" s="230"/>
      <c r="B1029" s="18">
        <v>2023</v>
      </c>
      <c r="C1029" s="18" t="s">
        <v>781</v>
      </c>
      <c r="D1029" s="18" t="s">
        <v>712</v>
      </c>
      <c r="E1029" s="18" t="s">
        <v>713</v>
      </c>
      <c r="F1029" s="18" t="s">
        <v>714</v>
      </c>
      <c r="G1029" s="18" t="s">
        <v>674</v>
      </c>
      <c r="H1029" s="18" t="s">
        <v>715</v>
      </c>
      <c r="I1029" s="315">
        <v>319.92279213162254</v>
      </c>
      <c r="J1029" s="315">
        <v>1.9039180852295468E-3</v>
      </c>
      <c r="K1029" s="316" t="str">
        <f t="shared" si="36"/>
        <v>Construction and Mining Equipment</v>
      </c>
      <c r="L1029" s="316" t="str">
        <f t="shared" si="37"/>
        <v>Diesel</v>
      </c>
      <c r="M1029" s="8"/>
      <c r="N1029" s="2"/>
      <c r="O1029" s="2"/>
      <c r="P1029" s="2"/>
      <c r="Q1029" s="2"/>
      <c r="R1029" s="2"/>
      <c r="S1029" s="2"/>
      <c r="T1029" s="2"/>
      <c r="U1029" s="2"/>
      <c r="V1029" s="2"/>
      <c r="W1029" s="2"/>
      <c r="X1029" s="2"/>
      <c r="Y1029" s="2"/>
      <c r="Z1029" s="2"/>
    </row>
    <row r="1030" spans="1:26" ht="12.75" x14ac:dyDescent="0.2">
      <c r="A1030" s="230"/>
      <c r="B1030" s="18">
        <v>2023</v>
      </c>
      <c r="C1030" s="18" t="s">
        <v>706</v>
      </c>
      <c r="D1030" s="18" t="s">
        <v>1006</v>
      </c>
      <c r="E1030" s="18" t="s">
        <v>703</v>
      </c>
      <c r="F1030" s="18" t="s">
        <v>805</v>
      </c>
      <c r="G1030" s="18" t="s">
        <v>674</v>
      </c>
      <c r="H1030" s="18" t="s">
        <v>967</v>
      </c>
      <c r="I1030" s="315">
        <v>319.40523382260602</v>
      </c>
      <c r="J1030" s="315">
        <v>0.57201720408618562</v>
      </c>
      <c r="K1030" s="316" t="str">
        <f t="shared" si="36"/>
        <v>Construction and Mining Equipment</v>
      </c>
      <c r="L1030" s="316" t="str">
        <f t="shared" si="37"/>
        <v>Gasoline</v>
      </c>
      <c r="M1030" s="8"/>
      <c r="N1030" s="2"/>
      <c r="O1030" s="2"/>
      <c r="P1030" s="2"/>
      <c r="Q1030" s="2"/>
      <c r="R1030" s="2"/>
      <c r="S1030" s="2"/>
      <c r="T1030" s="2"/>
      <c r="U1030" s="2"/>
      <c r="V1030" s="2"/>
      <c r="W1030" s="2"/>
      <c r="X1030" s="2"/>
      <c r="Y1030" s="2"/>
      <c r="Z1030" s="2"/>
    </row>
    <row r="1031" spans="1:26" ht="12.75" x14ac:dyDescent="0.2">
      <c r="A1031" s="230"/>
      <c r="B1031" s="18">
        <v>2023</v>
      </c>
      <c r="C1031" s="18" t="s">
        <v>753</v>
      </c>
      <c r="D1031" s="18" t="s">
        <v>784</v>
      </c>
      <c r="E1031" s="18" t="s">
        <v>713</v>
      </c>
      <c r="F1031" s="18" t="s">
        <v>714</v>
      </c>
      <c r="G1031" s="18" t="s">
        <v>677</v>
      </c>
      <c r="H1031" s="18" t="s">
        <v>785</v>
      </c>
      <c r="I1031" s="315">
        <v>319.24409023899585</v>
      </c>
      <c r="J1031" s="315">
        <v>4.5243342723724246E-3</v>
      </c>
      <c r="K1031" s="316" t="str">
        <f t="shared" si="36"/>
        <v>Commercial Equipment</v>
      </c>
      <c r="L1031" s="316" t="str">
        <f t="shared" si="37"/>
        <v>Diesel</v>
      </c>
      <c r="M1031" s="8"/>
      <c r="N1031" s="2"/>
      <c r="O1031" s="2"/>
      <c r="P1031" s="2"/>
      <c r="Q1031" s="2"/>
      <c r="R1031" s="2"/>
      <c r="S1031" s="2"/>
      <c r="T1031" s="2"/>
      <c r="U1031" s="2"/>
      <c r="V1031" s="2"/>
      <c r="W1031" s="2"/>
      <c r="X1031" s="2"/>
      <c r="Y1031" s="2"/>
      <c r="Z1031" s="2"/>
    </row>
    <row r="1032" spans="1:26" ht="12.75" x14ac:dyDescent="0.2">
      <c r="A1032" s="230"/>
      <c r="B1032" s="18">
        <v>2023</v>
      </c>
      <c r="C1032" s="18" t="s">
        <v>762</v>
      </c>
      <c r="D1032" s="18" t="s">
        <v>748</v>
      </c>
      <c r="E1032" s="18" t="s">
        <v>703</v>
      </c>
      <c r="F1032" s="18" t="s">
        <v>704</v>
      </c>
      <c r="G1032" s="18" t="s">
        <v>673</v>
      </c>
      <c r="H1032" s="18" t="s">
        <v>749</v>
      </c>
      <c r="I1032" s="315">
        <v>318.38495541712928</v>
      </c>
      <c r="J1032" s="315">
        <v>0.18070616424407632</v>
      </c>
      <c r="K1032" s="316" t="str">
        <f t="shared" si="36"/>
        <v>Lawn and Garden Equipment</v>
      </c>
      <c r="L1032" s="316" t="str">
        <f t="shared" si="37"/>
        <v>Gasoline</v>
      </c>
      <c r="M1032" s="8"/>
      <c r="N1032" s="2"/>
      <c r="O1032" s="2"/>
      <c r="P1032" s="2"/>
      <c r="Q1032" s="2"/>
      <c r="R1032" s="2"/>
      <c r="S1032" s="2"/>
      <c r="T1032" s="2"/>
      <c r="U1032" s="2"/>
      <c r="V1032" s="2"/>
      <c r="W1032" s="2"/>
      <c r="X1032" s="2"/>
      <c r="Y1032" s="2"/>
      <c r="Z1032" s="2"/>
    </row>
    <row r="1033" spans="1:26" ht="12.75" x14ac:dyDescent="0.2">
      <c r="A1033" s="230"/>
      <c r="B1033" s="18">
        <v>2023</v>
      </c>
      <c r="C1033" s="18" t="s">
        <v>773</v>
      </c>
      <c r="D1033" s="18" t="s">
        <v>846</v>
      </c>
      <c r="E1033" s="18" t="s">
        <v>713</v>
      </c>
      <c r="F1033" s="18" t="s">
        <v>714</v>
      </c>
      <c r="G1033" s="18" t="s">
        <v>677</v>
      </c>
      <c r="H1033" s="18" t="s">
        <v>836</v>
      </c>
      <c r="I1033" s="315">
        <v>317.47779399375696</v>
      </c>
      <c r="J1033" s="315">
        <v>1.2276448451614221E-2</v>
      </c>
      <c r="K1033" s="316" t="str">
        <f t="shared" si="36"/>
        <v>Commercial Equipment</v>
      </c>
      <c r="L1033" s="316" t="str">
        <f t="shared" si="37"/>
        <v>Diesel</v>
      </c>
      <c r="M1033" s="8"/>
      <c r="N1033" s="2"/>
      <c r="O1033" s="2"/>
      <c r="P1033" s="2"/>
      <c r="Q1033" s="2"/>
      <c r="R1033" s="2"/>
      <c r="S1033" s="2"/>
      <c r="T1033" s="2"/>
      <c r="U1033" s="2"/>
      <c r="V1033" s="2"/>
      <c r="W1033" s="2"/>
      <c r="X1033" s="2"/>
      <c r="Y1033" s="2"/>
      <c r="Z1033" s="2"/>
    </row>
    <row r="1034" spans="1:26" x14ac:dyDescent="0.25">
      <c r="A1034" s="314"/>
      <c r="B1034" s="18">
        <v>2023</v>
      </c>
      <c r="C1034" s="18" t="s">
        <v>743</v>
      </c>
      <c r="D1034" s="18" t="s">
        <v>849</v>
      </c>
      <c r="E1034" s="18" t="s">
        <v>713</v>
      </c>
      <c r="F1034" s="18" t="s">
        <v>714</v>
      </c>
      <c r="G1034" s="18" t="s">
        <v>674</v>
      </c>
      <c r="H1034" s="18" t="s">
        <v>850</v>
      </c>
      <c r="I1034" s="315">
        <v>316.3552453494753</v>
      </c>
      <c r="J1034" s="315">
        <v>4.4196594924773144E-3</v>
      </c>
      <c r="K1034" s="316" t="str">
        <f t="shared" si="36"/>
        <v>Construction and Mining Equipment</v>
      </c>
      <c r="L1034" s="316" t="str">
        <f t="shared" si="37"/>
        <v>Diesel</v>
      </c>
      <c r="M1034" s="194"/>
      <c r="N1034" s="317"/>
      <c r="O1034" s="317"/>
      <c r="P1034" s="317"/>
      <c r="Q1034" s="317"/>
      <c r="R1034" s="317"/>
      <c r="S1034" s="317"/>
      <c r="T1034" s="317"/>
      <c r="U1034" s="317"/>
      <c r="V1034" s="317"/>
      <c r="W1034" s="317"/>
      <c r="X1034" s="317"/>
      <c r="Y1034" s="317"/>
      <c r="Z1034" s="317"/>
    </row>
    <row r="1035" spans="1:26" x14ac:dyDescent="0.25">
      <c r="A1035" s="314"/>
      <c r="B1035" s="18">
        <v>2023</v>
      </c>
      <c r="C1035" s="18" t="s">
        <v>810</v>
      </c>
      <c r="D1035" s="18" t="s">
        <v>738</v>
      </c>
      <c r="E1035" s="18" t="s">
        <v>703</v>
      </c>
      <c r="F1035" s="18" t="s">
        <v>676</v>
      </c>
      <c r="G1035" s="18" t="s">
        <v>739</v>
      </c>
      <c r="H1035" s="18" t="s">
        <v>740</v>
      </c>
      <c r="I1035" s="315">
        <v>314.32249667026883</v>
      </c>
      <c r="J1035" s="315">
        <v>0.13777664511004564</v>
      </c>
      <c r="K1035" s="316" t="str">
        <f t="shared" si="36"/>
        <v>Pleasure Craft</v>
      </c>
      <c r="L1035" s="316" t="str">
        <f t="shared" si="37"/>
        <v>Gasoline</v>
      </c>
      <c r="M1035" s="194"/>
      <c r="N1035" s="317"/>
      <c r="O1035" s="317"/>
      <c r="P1035" s="317"/>
      <c r="Q1035" s="317"/>
      <c r="R1035" s="317"/>
      <c r="S1035" s="317"/>
      <c r="T1035" s="317"/>
      <c r="U1035" s="317"/>
      <c r="V1035" s="317"/>
      <c r="W1035" s="317"/>
      <c r="X1035" s="317"/>
      <c r="Y1035" s="317"/>
      <c r="Z1035" s="317"/>
    </row>
    <row r="1036" spans="1:26" x14ac:dyDescent="0.25">
      <c r="A1036" s="314"/>
      <c r="B1036" s="18">
        <v>2023</v>
      </c>
      <c r="C1036" s="18" t="s">
        <v>787</v>
      </c>
      <c r="D1036" s="18" t="s">
        <v>1007</v>
      </c>
      <c r="E1036" s="18" t="s">
        <v>703</v>
      </c>
      <c r="F1036" s="18" t="s">
        <v>795</v>
      </c>
      <c r="G1036" s="18" t="s">
        <v>679</v>
      </c>
      <c r="H1036" s="18" t="s">
        <v>1008</v>
      </c>
      <c r="I1036" s="315">
        <v>312.5843011865478</v>
      </c>
      <c r="J1036" s="315">
        <v>0.22728809183664708</v>
      </c>
      <c r="K1036" s="316" t="str">
        <f t="shared" si="36"/>
        <v>Recreational Equipment</v>
      </c>
      <c r="L1036" s="316" t="str">
        <f t="shared" si="37"/>
        <v>Gasoline</v>
      </c>
      <c r="M1036" s="194"/>
      <c r="N1036" s="317"/>
      <c r="O1036" s="317"/>
      <c r="P1036" s="317"/>
      <c r="Q1036" s="317"/>
      <c r="R1036" s="317"/>
      <c r="S1036" s="317"/>
      <c r="T1036" s="317"/>
      <c r="U1036" s="317"/>
      <c r="V1036" s="317"/>
      <c r="W1036" s="317"/>
      <c r="X1036" s="317"/>
      <c r="Y1036" s="317"/>
      <c r="Z1036" s="317"/>
    </row>
    <row r="1037" spans="1:26" x14ac:dyDescent="0.25">
      <c r="A1037" s="314"/>
      <c r="B1037" s="18">
        <v>2023</v>
      </c>
      <c r="C1037" s="18" t="s">
        <v>743</v>
      </c>
      <c r="D1037" s="18" t="s">
        <v>794</v>
      </c>
      <c r="E1037" s="18" t="s">
        <v>703</v>
      </c>
      <c r="F1037" s="18" t="s">
        <v>795</v>
      </c>
      <c r="G1037" s="18" t="s">
        <v>673</v>
      </c>
      <c r="H1037" s="18" t="s">
        <v>796</v>
      </c>
      <c r="I1037" s="315">
        <v>312.29078324223133</v>
      </c>
      <c r="J1037" s="315">
        <v>0.57049491008012687</v>
      </c>
      <c r="K1037" s="316" t="str">
        <f t="shared" si="36"/>
        <v>Lawn and Garden Equipment</v>
      </c>
      <c r="L1037" s="316" t="str">
        <f t="shared" si="37"/>
        <v>Gasoline</v>
      </c>
      <c r="M1037" s="194"/>
      <c r="N1037" s="317"/>
      <c r="O1037" s="317"/>
      <c r="P1037" s="317"/>
      <c r="Q1037" s="317"/>
      <c r="R1037" s="317"/>
      <c r="S1037" s="317"/>
      <c r="T1037" s="317"/>
      <c r="U1037" s="317"/>
      <c r="V1037" s="317"/>
      <c r="W1037" s="317"/>
      <c r="X1037" s="317"/>
      <c r="Y1037" s="317"/>
      <c r="Z1037" s="317"/>
    </row>
    <row r="1038" spans="1:26" x14ac:dyDescent="0.25">
      <c r="A1038" s="314"/>
      <c r="B1038" s="18">
        <v>2023</v>
      </c>
      <c r="C1038" s="18" t="s">
        <v>781</v>
      </c>
      <c r="D1038" s="18" t="s">
        <v>765</v>
      </c>
      <c r="E1038" s="18" t="s">
        <v>703</v>
      </c>
      <c r="F1038" s="18" t="s">
        <v>676</v>
      </c>
      <c r="G1038" s="18" t="s">
        <v>729</v>
      </c>
      <c r="H1038" s="18" t="s">
        <v>766</v>
      </c>
      <c r="I1038" s="315">
        <v>311.69855044233469</v>
      </c>
      <c r="J1038" s="315">
        <v>0.34284034164367239</v>
      </c>
      <c r="K1038" s="316" t="str">
        <f t="shared" si="36"/>
        <v>Pleasure Craft</v>
      </c>
      <c r="L1038" s="316" t="str">
        <f t="shared" si="37"/>
        <v>Gasoline</v>
      </c>
      <c r="M1038" s="194"/>
      <c r="N1038" s="317"/>
      <c r="O1038" s="317"/>
      <c r="P1038" s="317"/>
      <c r="Q1038" s="317"/>
      <c r="R1038" s="317"/>
      <c r="S1038" s="317"/>
      <c r="T1038" s="317"/>
      <c r="U1038" s="317"/>
      <c r="V1038" s="317"/>
      <c r="W1038" s="317"/>
      <c r="X1038" s="317"/>
      <c r="Y1038" s="317"/>
      <c r="Z1038" s="317"/>
    </row>
    <row r="1039" spans="1:26" x14ac:dyDescent="0.25">
      <c r="A1039" s="314"/>
      <c r="B1039" s="18">
        <v>2023</v>
      </c>
      <c r="C1039" s="18" t="s">
        <v>731</v>
      </c>
      <c r="D1039" s="18" t="s">
        <v>735</v>
      </c>
      <c r="E1039" s="18" t="s">
        <v>713</v>
      </c>
      <c r="F1039" s="18" t="s">
        <v>714</v>
      </c>
      <c r="G1039" s="18" t="s">
        <v>674</v>
      </c>
      <c r="H1039" s="18" t="s">
        <v>736</v>
      </c>
      <c r="I1039" s="315">
        <v>311.60262792780219</v>
      </c>
      <c r="J1039" s="315">
        <v>9.3202111027355077E-3</v>
      </c>
      <c r="K1039" s="316" t="str">
        <f t="shared" si="36"/>
        <v>Construction and Mining Equipment</v>
      </c>
      <c r="L1039" s="316" t="str">
        <f t="shared" si="37"/>
        <v>Diesel</v>
      </c>
      <c r="M1039" s="194"/>
      <c r="N1039" s="317"/>
      <c r="O1039" s="317"/>
      <c r="P1039" s="317"/>
      <c r="Q1039" s="317"/>
      <c r="R1039" s="317"/>
      <c r="S1039" s="317"/>
      <c r="T1039" s="317"/>
      <c r="U1039" s="317"/>
      <c r="V1039" s="317"/>
      <c r="W1039" s="317"/>
      <c r="X1039" s="317"/>
      <c r="Y1039" s="317"/>
      <c r="Z1039" s="317"/>
    </row>
    <row r="1040" spans="1:26" x14ac:dyDescent="0.25">
      <c r="A1040" s="314"/>
      <c r="B1040" s="18">
        <v>2023</v>
      </c>
      <c r="C1040" s="18" t="s">
        <v>711</v>
      </c>
      <c r="D1040" s="18" t="s">
        <v>979</v>
      </c>
      <c r="E1040" s="18" t="s">
        <v>703</v>
      </c>
      <c r="F1040" s="18" t="s">
        <v>704</v>
      </c>
      <c r="G1040" s="18" t="s">
        <v>675</v>
      </c>
      <c r="H1040" s="18" t="s">
        <v>802</v>
      </c>
      <c r="I1040" s="315">
        <v>310.52268802493302</v>
      </c>
      <c r="J1040" s="315">
        <v>0.11173747937888467</v>
      </c>
      <c r="K1040" s="316" t="str">
        <f t="shared" si="36"/>
        <v>Industrial Equipment</v>
      </c>
      <c r="L1040" s="316" t="str">
        <f t="shared" si="37"/>
        <v>Gasoline</v>
      </c>
      <c r="M1040" s="194"/>
      <c r="N1040" s="317"/>
      <c r="O1040" s="317"/>
      <c r="P1040" s="317"/>
      <c r="Q1040" s="317"/>
      <c r="R1040" s="317"/>
      <c r="S1040" s="317"/>
      <c r="T1040" s="317"/>
      <c r="U1040" s="317"/>
      <c r="V1040" s="317"/>
      <c r="W1040" s="317"/>
      <c r="X1040" s="317"/>
      <c r="Y1040" s="317"/>
      <c r="Z1040" s="317"/>
    </row>
    <row r="1041" spans="1:26" x14ac:dyDescent="0.25">
      <c r="A1041" s="314"/>
      <c r="B1041" s="18">
        <v>2023</v>
      </c>
      <c r="C1041" s="18" t="s">
        <v>792</v>
      </c>
      <c r="D1041" s="18" t="s">
        <v>784</v>
      </c>
      <c r="E1041" s="18" t="s">
        <v>713</v>
      </c>
      <c r="F1041" s="18" t="s">
        <v>714</v>
      </c>
      <c r="G1041" s="18" t="s">
        <v>677</v>
      </c>
      <c r="H1041" s="18" t="s">
        <v>785</v>
      </c>
      <c r="I1041" s="315">
        <v>309.71433117360419</v>
      </c>
      <c r="J1041" s="315">
        <v>4.3892790574647459E-3</v>
      </c>
      <c r="K1041" s="316" t="str">
        <f t="shared" si="36"/>
        <v>Commercial Equipment</v>
      </c>
      <c r="L1041" s="316" t="str">
        <f t="shared" si="37"/>
        <v>Diesel</v>
      </c>
      <c r="M1041" s="194"/>
      <c r="N1041" s="317"/>
      <c r="O1041" s="317"/>
      <c r="P1041" s="317"/>
      <c r="Q1041" s="317"/>
      <c r="R1041" s="317"/>
      <c r="S1041" s="317"/>
      <c r="T1041" s="317"/>
      <c r="U1041" s="317"/>
      <c r="V1041" s="317"/>
      <c r="W1041" s="317"/>
      <c r="X1041" s="317"/>
      <c r="Y1041" s="317"/>
      <c r="Z1041" s="317"/>
    </row>
    <row r="1042" spans="1:26" x14ac:dyDescent="0.25">
      <c r="A1042" s="314"/>
      <c r="B1042" s="18">
        <v>2023</v>
      </c>
      <c r="C1042" s="18" t="s">
        <v>786</v>
      </c>
      <c r="D1042" s="18" t="s">
        <v>735</v>
      </c>
      <c r="E1042" s="18" t="s">
        <v>713</v>
      </c>
      <c r="F1042" s="18" t="s">
        <v>714</v>
      </c>
      <c r="G1042" s="18" t="s">
        <v>674</v>
      </c>
      <c r="H1042" s="18" t="s">
        <v>736</v>
      </c>
      <c r="I1042" s="315">
        <v>309.479916957157</v>
      </c>
      <c r="J1042" s="315">
        <v>9.2567374682650649E-3</v>
      </c>
      <c r="K1042" s="316" t="str">
        <f t="shared" si="36"/>
        <v>Construction and Mining Equipment</v>
      </c>
      <c r="L1042" s="316" t="str">
        <f t="shared" si="37"/>
        <v>Diesel</v>
      </c>
      <c r="M1042" s="194"/>
      <c r="N1042" s="317"/>
      <c r="O1042" s="317"/>
      <c r="P1042" s="317"/>
      <c r="Q1042" s="317"/>
      <c r="R1042" s="317"/>
      <c r="S1042" s="317"/>
      <c r="T1042" s="317"/>
      <c r="U1042" s="317"/>
      <c r="V1042" s="317"/>
      <c r="W1042" s="317"/>
      <c r="X1042" s="317"/>
      <c r="Y1042" s="317"/>
      <c r="Z1042" s="317"/>
    </row>
    <row r="1043" spans="1:26" x14ac:dyDescent="0.25">
      <c r="A1043" s="314"/>
      <c r="B1043" s="18">
        <v>2023</v>
      </c>
      <c r="C1043" s="18" t="s">
        <v>786</v>
      </c>
      <c r="D1043" s="18" t="s">
        <v>752</v>
      </c>
      <c r="E1043" s="18" t="s">
        <v>713</v>
      </c>
      <c r="F1043" s="18" t="s">
        <v>714</v>
      </c>
      <c r="G1043" s="18" t="s">
        <v>675</v>
      </c>
      <c r="H1043" s="18" t="s">
        <v>708</v>
      </c>
      <c r="I1043" s="315">
        <v>309.26490011284801</v>
      </c>
      <c r="J1043" s="315">
        <v>1.5773028191518347E-3</v>
      </c>
      <c r="K1043" s="316" t="str">
        <f t="shared" si="36"/>
        <v>Industrial Equipment</v>
      </c>
      <c r="L1043" s="316" t="str">
        <f t="shared" si="37"/>
        <v>Diesel</v>
      </c>
      <c r="M1043" s="194"/>
      <c r="N1043" s="317"/>
      <c r="O1043" s="317"/>
      <c r="P1043" s="317"/>
      <c r="Q1043" s="317"/>
      <c r="R1043" s="317"/>
      <c r="S1043" s="317"/>
      <c r="T1043" s="317"/>
      <c r="U1043" s="317"/>
      <c r="V1043" s="317"/>
      <c r="W1043" s="317"/>
      <c r="X1043" s="317"/>
      <c r="Y1043" s="317"/>
      <c r="Z1043" s="317"/>
    </row>
    <row r="1044" spans="1:26" x14ac:dyDescent="0.25">
      <c r="A1044" s="314"/>
      <c r="B1044" s="18">
        <v>2023</v>
      </c>
      <c r="C1044" s="18" t="s">
        <v>786</v>
      </c>
      <c r="D1044" s="18" t="s">
        <v>746</v>
      </c>
      <c r="E1044" s="18" t="s">
        <v>703</v>
      </c>
      <c r="F1044" s="18" t="s">
        <v>704</v>
      </c>
      <c r="G1044" s="18" t="s">
        <v>677</v>
      </c>
      <c r="H1044" s="18" t="s">
        <v>747</v>
      </c>
      <c r="I1044" s="315">
        <v>308.51135238452093</v>
      </c>
      <c r="J1044" s="315">
        <v>0.2029282153148029</v>
      </c>
      <c r="K1044" s="316" t="str">
        <f t="shared" si="36"/>
        <v>Commercial Equipment</v>
      </c>
      <c r="L1044" s="316" t="str">
        <f t="shared" si="37"/>
        <v>Gasoline</v>
      </c>
      <c r="M1044" s="194"/>
      <c r="N1044" s="317"/>
      <c r="O1044" s="317"/>
      <c r="P1044" s="317"/>
      <c r="Q1044" s="317"/>
      <c r="R1044" s="317"/>
      <c r="S1044" s="317"/>
      <c r="T1044" s="317"/>
      <c r="U1044" s="317"/>
      <c r="V1044" s="317"/>
      <c r="W1044" s="317"/>
      <c r="X1044" s="317"/>
      <c r="Y1044" s="317"/>
      <c r="Z1044" s="317"/>
    </row>
    <row r="1045" spans="1:26" x14ac:dyDescent="0.25">
      <c r="A1045" s="314"/>
      <c r="B1045" s="18">
        <v>2023</v>
      </c>
      <c r="C1045" s="18" t="s">
        <v>732</v>
      </c>
      <c r="D1045" s="18" t="s">
        <v>898</v>
      </c>
      <c r="E1045" s="18" t="s">
        <v>703</v>
      </c>
      <c r="F1045" s="18" t="s">
        <v>795</v>
      </c>
      <c r="G1045" s="18" t="s">
        <v>673</v>
      </c>
      <c r="H1045" s="18" t="s">
        <v>899</v>
      </c>
      <c r="I1045" s="315">
        <v>307.91797710353899</v>
      </c>
      <c r="J1045" s="315">
        <v>2.1052169930335798</v>
      </c>
      <c r="K1045" s="316" t="str">
        <f t="shared" si="36"/>
        <v>Lawn and Garden Equipment</v>
      </c>
      <c r="L1045" s="316" t="str">
        <f t="shared" si="37"/>
        <v>Gasoline</v>
      </c>
      <c r="M1045" s="194"/>
      <c r="N1045" s="317"/>
      <c r="O1045" s="317"/>
      <c r="P1045" s="317"/>
      <c r="Q1045" s="317"/>
      <c r="R1045" s="317"/>
      <c r="S1045" s="317"/>
      <c r="T1045" s="317"/>
      <c r="U1045" s="317"/>
      <c r="V1045" s="317"/>
      <c r="W1045" s="317"/>
      <c r="X1045" s="317"/>
      <c r="Y1045" s="317"/>
      <c r="Z1045" s="317"/>
    </row>
    <row r="1046" spans="1:26" x14ac:dyDescent="0.25">
      <c r="A1046" s="314"/>
      <c r="B1046" s="18">
        <v>2023</v>
      </c>
      <c r="C1046" s="18" t="s">
        <v>732</v>
      </c>
      <c r="D1046" s="18" t="s">
        <v>880</v>
      </c>
      <c r="E1046" s="18" t="s">
        <v>703</v>
      </c>
      <c r="F1046" s="18" t="s">
        <v>704</v>
      </c>
      <c r="G1046" s="18" t="s">
        <v>677</v>
      </c>
      <c r="H1046" s="18" t="s">
        <v>785</v>
      </c>
      <c r="I1046" s="315">
        <v>307.32437695104971</v>
      </c>
      <c r="J1046" s="315">
        <v>0.17767225747146373</v>
      </c>
      <c r="K1046" s="316" t="str">
        <f t="shared" si="36"/>
        <v>Commercial Equipment</v>
      </c>
      <c r="L1046" s="316" t="str">
        <f t="shared" si="37"/>
        <v>Gasoline</v>
      </c>
      <c r="M1046" s="194"/>
      <c r="N1046" s="317"/>
      <c r="O1046" s="317"/>
      <c r="P1046" s="317"/>
      <c r="Q1046" s="317"/>
      <c r="R1046" s="317"/>
      <c r="S1046" s="317"/>
      <c r="T1046" s="317"/>
      <c r="U1046" s="317"/>
      <c r="V1046" s="317"/>
      <c r="W1046" s="317"/>
      <c r="X1046" s="317"/>
      <c r="Y1046" s="317"/>
      <c r="Z1046" s="317"/>
    </row>
    <row r="1047" spans="1:26" x14ac:dyDescent="0.25">
      <c r="A1047" s="314"/>
      <c r="B1047" s="18">
        <v>2023</v>
      </c>
      <c r="C1047" s="18" t="s">
        <v>711</v>
      </c>
      <c r="D1047" s="18" t="s">
        <v>966</v>
      </c>
      <c r="E1047" s="18" t="s">
        <v>703</v>
      </c>
      <c r="F1047" s="18" t="s">
        <v>704</v>
      </c>
      <c r="G1047" s="18" t="s">
        <v>674</v>
      </c>
      <c r="H1047" s="18" t="s">
        <v>967</v>
      </c>
      <c r="I1047" s="315">
        <v>307.06762329357525</v>
      </c>
      <c r="J1047" s="315">
        <v>0.21239351121823022</v>
      </c>
      <c r="K1047" s="316" t="str">
        <f t="shared" si="36"/>
        <v>Construction and Mining Equipment</v>
      </c>
      <c r="L1047" s="316" t="str">
        <f t="shared" si="37"/>
        <v>Gasoline</v>
      </c>
      <c r="M1047" s="194"/>
      <c r="N1047" s="317"/>
      <c r="O1047" s="317"/>
      <c r="P1047" s="317"/>
      <c r="Q1047" s="317"/>
      <c r="R1047" s="317"/>
      <c r="S1047" s="317"/>
      <c r="T1047" s="317"/>
      <c r="U1047" s="317"/>
      <c r="V1047" s="317"/>
      <c r="W1047" s="317"/>
      <c r="X1047" s="317"/>
      <c r="Y1047" s="317"/>
      <c r="Z1047" s="317"/>
    </row>
    <row r="1048" spans="1:26" x14ac:dyDescent="0.25">
      <c r="A1048" s="314"/>
      <c r="B1048" s="18">
        <v>2023</v>
      </c>
      <c r="C1048" s="18" t="s">
        <v>701</v>
      </c>
      <c r="D1048" s="18" t="s">
        <v>1009</v>
      </c>
      <c r="E1048" s="18" t="s">
        <v>713</v>
      </c>
      <c r="F1048" s="18" t="s">
        <v>714</v>
      </c>
      <c r="G1048" s="18" t="s">
        <v>673</v>
      </c>
      <c r="H1048" s="18" t="s">
        <v>1010</v>
      </c>
      <c r="I1048" s="315">
        <v>306.77999499859311</v>
      </c>
      <c r="J1048" s="315">
        <v>4.4769839818183336E-3</v>
      </c>
      <c r="K1048" s="316" t="str">
        <f t="shared" si="36"/>
        <v>Lawn and Garden Equipment</v>
      </c>
      <c r="L1048" s="316" t="str">
        <f t="shared" si="37"/>
        <v>Diesel</v>
      </c>
      <c r="M1048" s="194"/>
      <c r="N1048" s="317"/>
      <c r="O1048" s="317"/>
      <c r="P1048" s="317"/>
      <c r="Q1048" s="317"/>
      <c r="R1048" s="317"/>
      <c r="S1048" s="317"/>
      <c r="T1048" s="317"/>
      <c r="U1048" s="317"/>
      <c r="V1048" s="317"/>
      <c r="W1048" s="317"/>
      <c r="X1048" s="317"/>
      <c r="Y1048" s="317"/>
      <c r="Z1048" s="317"/>
    </row>
    <row r="1049" spans="1:26" x14ac:dyDescent="0.25">
      <c r="A1049" s="314"/>
      <c r="B1049" s="18">
        <v>2023</v>
      </c>
      <c r="C1049" s="18" t="s">
        <v>762</v>
      </c>
      <c r="D1049" s="18" t="s">
        <v>752</v>
      </c>
      <c r="E1049" s="18" t="s">
        <v>713</v>
      </c>
      <c r="F1049" s="18" t="s">
        <v>714</v>
      </c>
      <c r="G1049" s="18" t="s">
        <v>675</v>
      </c>
      <c r="H1049" s="18" t="s">
        <v>708</v>
      </c>
      <c r="I1049" s="315">
        <v>305.56007037772702</v>
      </c>
      <c r="J1049" s="315">
        <v>1.5584086000145696E-3</v>
      </c>
      <c r="K1049" s="316" t="str">
        <f t="shared" si="36"/>
        <v>Industrial Equipment</v>
      </c>
      <c r="L1049" s="316" t="str">
        <f t="shared" si="37"/>
        <v>Diesel</v>
      </c>
      <c r="M1049" s="194"/>
      <c r="N1049" s="317"/>
      <c r="O1049" s="317"/>
      <c r="P1049" s="317"/>
      <c r="Q1049" s="317"/>
      <c r="R1049" s="317"/>
      <c r="S1049" s="317"/>
      <c r="T1049" s="317"/>
      <c r="U1049" s="317"/>
      <c r="V1049" s="317"/>
      <c r="W1049" s="317"/>
      <c r="X1049" s="317"/>
      <c r="Y1049" s="317"/>
      <c r="Z1049" s="317"/>
    </row>
    <row r="1050" spans="1:26" x14ac:dyDescent="0.25">
      <c r="A1050" s="314"/>
      <c r="B1050" s="18">
        <v>2023</v>
      </c>
      <c r="C1050" s="18" t="s">
        <v>787</v>
      </c>
      <c r="D1050" s="18" t="s">
        <v>784</v>
      </c>
      <c r="E1050" s="18" t="s">
        <v>713</v>
      </c>
      <c r="F1050" s="18" t="s">
        <v>714</v>
      </c>
      <c r="G1050" s="18" t="s">
        <v>677</v>
      </c>
      <c r="H1050" s="18" t="s">
        <v>785</v>
      </c>
      <c r="I1050" s="315">
        <v>304.9494549478423</v>
      </c>
      <c r="J1050" s="315">
        <v>4.3217490374013682E-3</v>
      </c>
      <c r="K1050" s="316" t="str">
        <f t="shared" si="36"/>
        <v>Commercial Equipment</v>
      </c>
      <c r="L1050" s="316" t="str">
        <f t="shared" si="37"/>
        <v>Diesel</v>
      </c>
      <c r="M1050" s="194"/>
      <c r="N1050" s="317"/>
      <c r="O1050" s="317"/>
      <c r="P1050" s="317"/>
      <c r="Q1050" s="317"/>
      <c r="R1050" s="317"/>
      <c r="S1050" s="317"/>
      <c r="T1050" s="317"/>
      <c r="U1050" s="317"/>
      <c r="V1050" s="317"/>
      <c r="W1050" s="317"/>
      <c r="X1050" s="317"/>
      <c r="Y1050" s="317"/>
      <c r="Z1050" s="317"/>
    </row>
    <row r="1051" spans="1:26" x14ac:dyDescent="0.25">
      <c r="A1051" s="314"/>
      <c r="B1051" s="18">
        <v>2023</v>
      </c>
      <c r="C1051" s="18" t="s">
        <v>793</v>
      </c>
      <c r="D1051" s="18" t="s">
        <v>744</v>
      </c>
      <c r="E1051" s="18" t="s">
        <v>703</v>
      </c>
      <c r="F1051" s="18" t="s">
        <v>704</v>
      </c>
      <c r="G1051" s="18" t="s">
        <v>673</v>
      </c>
      <c r="H1051" s="18" t="s">
        <v>745</v>
      </c>
      <c r="I1051" s="315">
        <v>303.95977229511158</v>
      </c>
      <c r="J1051" s="315">
        <v>0.22375536881007904</v>
      </c>
      <c r="K1051" s="316" t="str">
        <f t="shared" si="36"/>
        <v>Lawn and Garden Equipment</v>
      </c>
      <c r="L1051" s="316" t="str">
        <f t="shared" si="37"/>
        <v>Gasoline</v>
      </c>
      <c r="M1051" s="194"/>
      <c r="N1051" s="317"/>
      <c r="O1051" s="317"/>
      <c r="P1051" s="317"/>
      <c r="Q1051" s="317"/>
      <c r="R1051" s="317"/>
      <c r="S1051" s="317"/>
      <c r="T1051" s="317"/>
      <c r="U1051" s="317"/>
      <c r="V1051" s="317"/>
      <c r="W1051" s="317"/>
      <c r="X1051" s="317"/>
      <c r="Y1051" s="317"/>
      <c r="Z1051" s="317"/>
    </row>
    <row r="1052" spans="1:26" x14ac:dyDescent="0.25">
      <c r="A1052" s="314"/>
      <c r="B1052" s="18">
        <v>2023</v>
      </c>
      <c r="C1052" s="18" t="s">
        <v>706</v>
      </c>
      <c r="D1052" s="18" t="s">
        <v>1011</v>
      </c>
      <c r="E1052" s="18" t="s">
        <v>56</v>
      </c>
      <c r="F1052" s="18" t="s">
        <v>672</v>
      </c>
      <c r="G1052" s="18" t="s">
        <v>677</v>
      </c>
      <c r="H1052" s="18" t="s">
        <v>836</v>
      </c>
      <c r="I1052" s="315">
        <v>302.9428140513034</v>
      </c>
      <c r="J1052" s="315">
        <v>1.6094536784490736E-2</v>
      </c>
      <c r="K1052" s="316" t="str">
        <f t="shared" si="36"/>
        <v>Commercial Equipment</v>
      </c>
      <c r="L1052" s="316" t="str">
        <f t="shared" si="37"/>
        <v>LPG</v>
      </c>
      <c r="M1052" s="194"/>
      <c r="N1052" s="317"/>
      <c r="O1052" s="317"/>
      <c r="P1052" s="317"/>
      <c r="Q1052" s="317"/>
      <c r="R1052" s="317"/>
      <c r="S1052" s="317"/>
      <c r="T1052" s="317"/>
      <c r="U1052" s="317"/>
      <c r="V1052" s="317"/>
      <c r="W1052" s="317"/>
      <c r="X1052" s="317"/>
      <c r="Y1052" s="317"/>
      <c r="Z1052" s="317"/>
    </row>
    <row r="1053" spans="1:26" x14ac:dyDescent="0.25">
      <c r="A1053" s="314"/>
      <c r="B1053" s="18">
        <v>2023</v>
      </c>
      <c r="C1053" s="18" t="s">
        <v>722</v>
      </c>
      <c r="D1053" s="18" t="s">
        <v>920</v>
      </c>
      <c r="E1053" s="18" t="s">
        <v>703</v>
      </c>
      <c r="F1053" s="18" t="s">
        <v>704</v>
      </c>
      <c r="G1053" s="18" t="s">
        <v>673</v>
      </c>
      <c r="H1053" s="18" t="s">
        <v>921</v>
      </c>
      <c r="I1053" s="315">
        <v>300.79976874390547</v>
      </c>
      <c r="J1053" s="315">
        <v>0.19090592444173851</v>
      </c>
      <c r="K1053" s="316" t="str">
        <f t="shared" si="36"/>
        <v>Lawn and Garden Equipment</v>
      </c>
      <c r="L1053" s="316" t="str">
        <f t="shared" si="37"/>
        <v>Gasoline</v>
      </c>
      <c r="M1053" s="194"/>
      <c r="N1053" s="317"/>
      <c r="O1053" s="317"/>
      <c r="P1053" s="317"/>
      <c r="Q1053" s="317"/>
      <c r="R1053" s="317"/>
      <c r="S1053" s="317"/>
      <c r="T1053" s="317"/>
      <c r="U1053" s="317"/>
      <c r="V1053" s="317"/>
      <c r="W1053" s="317"/>
      <c r="X1053" s="317"/>
      <c r="Y1053" s="317"/>
      <c r="Z1053" s="317"/>
    </row>
    <row r="1054" spans="1:26" x14ac:dyDescent="0.25">
      <c r="A1054" s="314"/>
      <c r="B1054" s="18">
        <v>2023</v>
      </c>
      <c r="C1054" s="18" t="s">
        <v>753</v>
      </c>
      <c r="D1054" s="18" t="s">
        <v>788</v>
      </c>
      <c r="E1054" s="18" t="s">
        <v>703</v>
      </c>
      <c r="F1054" s="18" t="s">
        <v>704</v>
      </c>
      <c r="G1054" s="18" t="s">
        <v>677</v>
      </c>
      <c r="H1054" s="18" t="s">
        <v>789</v>
      </c>
      <c r="I1054" s="315">
        <v>299.75148722188601</v>
      </c>
      <c r="J1054" s="315">
        <v>0.20644243012977279</v>
      </c>
      <c r="K1054" s="316" t="str">
        <f t="shared" si="36"/>
        <v>Commercial Equipment</v>
      </c>
      <c r="L1054" s="316" t="str">
        <f t="shared" si="37"/>
        <v>Gasoline</v>
      </c>
      <c r="M1054" s="194"/>
      <c r="N1054" s="317"/>
      <c r="O1054" s="317"/>
      <c r="P1054" s="317"/>
      <c r="Q1054" s="317"/>
      <c r="R1054" s="317"/>
      <c r="S1054" s="317"/>
      <c r="T1054" s="317"/>
      <c r="U1054" s="317"/>
      <c r="V1054" s="317"/>
      <c r="W1054" s="317"/>
      <c r="X1054" s="317"/>
      <c r="Y1054" s="317"/>
      <c r="Z1054" s="317"/>
    </row>
    <row r="1055" spans="1:26" x14ac:dyDescent="0.25">
      <c r="A1055" s="314"/>
      <c r="B1055" s="18">
        <v>2023</v>
      </c>
      <c r="C1055" s="18" t="s">
        <v>792</v>
      </c>
      <c r="D1055" s="18" t="s">
        <v>848</v>
      </c>
      <c r="E1055" s="18" t="s">
        <v>56</v>
      </c>
      <c r="F1055" s="18" t="s">
        <v>601</v>
      </c>
      <c r="G1055" s="18" t="s">
        <v>675</v>
      </c>
      <c r="H1055" s="18" t="s">
        <v>708</v>
      </c>
      <c r="I1055" s="315">
        <v>298.81521816603748</v>
      </c>
      <c r="J1055" s="315">
        <v>1.1887600326937164</v>
      </c>
      <c r="K1055" s="316" t="str">
        <f t="shared" si="36"/>
        <v>Industrial Equipment</v>
      </c>
      <c r="L1055" s="316" t="str">
        <f t="shared" si="37"/>
        <v>CNG</v>
      </c>
      <c r="M1055" s="194"/>
      <c r="N1055" s="317"/>
      <c r="O1055" s="317"/>
      <c r="P1055" s="317"/>
      <c r="Q1055" s="317"/>
      <c r="R1055" s="317"/>
      <c r="S1055" s="317"/>
      <c r="T1055" s="317"/>
      <c r="U1055" s="317"/>
      <c r="V1055" s="317"/>
      <c r="W1055" s="317"/>
      <c r="X1055" s="317"/>
      <c r="Y1055" s="317"/>
      <c r="Z1055" s="317"/>
    </row>
    <row r="1056" spans="1:26" x14ac:dyDescent="0.25">
      <c r="A1056" s="314"/>
      <c r="B1056" s="18">
        <v>2023</v>
      </c>
      <c r="C1056" s="18" t="s">
        <v>743</v>
      </c>
      <c r="D1056" s="18" t="s">
        <v>799</v>
      </c>
      <c r="E1056" s="18" t="s">
        <v>703</v>
      </c>
      <c r="F1056" s="18" t="s">
        <v>795</v>
      </c>
      <c r="G1056" s="18" t="s">
        <v>673</v>
      </c>
      <c r="H1056" s="18" t="s">
        <v>800</v>
      </c>
      <c r="I1056" s="315">
        <v>298.45795245629904</v>
      </c>
      <c r="J1056" s="315">
        <v>0.5654092439203211</v>
      </c>
      <c r="K1056" s="316" t="str">
        <f t="shared" si="36"/>
        <v>Lawn and Garden Equipment</v>
      </c>
      <c r="L1056" s="316" t="str">
        <f t="shared" si="37"/>
        <v>Gasoline</v>
      </c>
      <c r="M1056" s="194"/>
      <c r="N1056" s="317"/>
      <c r="O1056" s="317"/>
      <c r="P1056" s="317"/>
      <c r="Q1056" s="317"/>
      <c r="R1056" s="317"/>
      <c r="S1056" s="317"/>
      <c r="T1056" s="317"/>
      <c r="U1056" s="317"/>
      <c r="V1056" s="317"/>
      <c r="W1056" s="317"/>
      <c r="X1056" s="317"/>
      <c r="Y1056" s="317"/>
      <c r="Z1056" s="317"/>
    </row>
    <row r="1057" spans="1:26" x14ac:dyDescent="0.25">
      <c r="A1057" s="314"/>
      <c r="B1057" s="18">
        <v>2023</v>
      </c>
      <c r="C1057" s="18" t="s">
        <v>786</v>
      </c>
      <c r="D1057" s="18" t="s">
        <v>741</v>
      </c>
      <c r="E1057" s="18" t="s">
        <v>713</v>
      </c>
      <c r="F1057" s="18" t="s">
        <v>714</v>
      </c>
      <c r="G1057" s="18" t="s">
        <v>673</v>
      </c>
      <c r="H1057" s="18" t="s">
        <v>742</v>
      </c>
      <c r="I1057" s="315">
        <v>298.01496660977784</v>
      </c>
      <c r="J1057" s="315">
        <v>4.9359819813161662E-3</v>
      </c>
      <c r="K1057" s="316" t="str">
        <f t="shared" si="36"/>
        <v>Lawn and Garden Equipment</v>
      </c>
      <c r="L1057" s="316" t="str">
        <f t="shared" si="37"/>
        <v>Diesel</v>
      </c>
      <c r="M1057" s="194"/>
      <c r="N1057" s="317"/>
      <c r="O1057" s="317"/>
      <c r="P1057" s="317"/>
      <c r="Q1057" s="317"/>
      <c r="R1057" s="317"/>
      <c r="S1057" s="317"/>
      <c r="T1057" s="317"/>
      <c r="U1057" s="317"/>
      <c r="V1057" s="317"/>
      <c r="W1057" s="317"/>
      <c r="X1057" s="317"/>
      <c r="Y1057" s="317"/>
      <c r="Z1057" s="317"/>
    </row>
    <row r="1058" spans="1:26" x14ac:dyDescent="0.25">
      <c r="A1058" s="314"/>
      <c r="B1058" s="18">
        <v>2023</v>
      </c>
      <c r="C1058" s="18" t="s">
        <v>810</v>
      </c>
      <c r="D1058" s="18" t="s">
        <v>752</v>
      </c>
      <c r="E1058" s="18" t="s">
        <v>713</v>
      </c>
      <c r="F1058" s="18" t="s">
        <v>714</v>
      </c>
      <c r="G1058" s="18" t="s">
        <v>675</v>
      </c>
      <c r="H1058" s="18" t="s">
        <v>708</v>
      </c>
      <c r="I1058" s="315">
        <v>297.62118463324236</v>
      </c>
      <c r="J1058" s="315">
        <v>1.5179189988454337E-3</v>
      </c>
      <c r="K1058" s="316" t="str">
        <f t="shared" si="36"/>
        <v>Industrial Equipment</v>
      </c>
      <c r="L1058" s="316" t="str">
        <f t="shared" si="37"/>
        <v>Diesel</v>
      </c>
      <c r="M1058" s="194"/>
      <c r="N1058" s="317"/>
      <c r="O1058" s="317"/>
      <c r="P1058" s="317"/>
      <c r="Q1058" s="317"/>
      <c r="R1058" s="317"/>
      <c r="S1058" s="317"/>
      <c r="T1058" s="317"/>
      <c r="U1058" s="317"/>
      <c r="V1058" s="317"/>
      <c r="W1058" s="317"/>
      <c r="X1058" s="317"/>
      <c r="Y1058" s="317"/>
      <c r="Z1058" s="317"/>
    </row>
    <row r="1059" spans="1:26" x14ac:dyDescent="0.25">
      <c r="A1059" s="314"/>
      <c r="B1059" s="18">
        <v>2023</v>
      </c>
      <c r="C1059" s="18" t="s">
        <v>760</v>
      </c>
      <c r="D1059" s="18" t="s">
        <v>880</v>
      </c>
      <c r="E1059" s="18" t="s">
        <v>703</v>
      </c>
      <c r="F1059" s="18" t="s">
        <v>704</v>
      </c>
      <c r="G1059" s="18" t="s">
        <v>677</v>
      </c>
      <c r="H1059" s="18" t="s">
        <v>785</v>
      </c>
      <c r="I1059" s="315">
        <v>295.50412851962216</v>
      </c>
      <c r="J1059" s="315">
        <v>0.17042396398219403</v>
      </c>
      <c r="K1059" s="316" t="str">
        <f t="shared" si="36"/>
        <v>Commercial Equipment</v>
      </c>
      <c r="L1059" s="316" t="str">
        <f t="shared" si="37"/>
        <v>Gasoline</v>
      </c>
      <c r="M1059" s="194"/>
      <c r="N1059" s="317"/>
      <c r="O1059" s="317"/>
      <c r="P1059" s="317"/>
      <c r="Q1059" s="317"/>
      <c r="R1059" s="317"/>
      <c r="S1059" s="317"/>
      <c r="T1059" s="317"/>
      <c r="U1059" s="317"/>
      <c r="V1059" s="317"/>
      <c r="W1059" s="317"/>
      <c r="X1059" s="317"/>
      <c r="Y1059" s="317"/>
      <c r="Z1059" s="317"/>
    </row>
    <row r="1060" spans="1:26" x14ac:dyDescent="0.25">
      <c r="A1060" s="314"/>
      <c r="B1060" s="18">
        <v>2023</v>
      </c>
      <c r="C1060" s="18" t="s">
        <v>787</v>
      </c>
      <c r="D1060" s="18" t="s">
        <v>848</v>
      </c>
      <c r="E1060" s="18" t="s">
        <v>56</v>
      </c>
      <c r="F1060" s="18" t="s">
        <v>601</v>
      </c>
      <c r="G1060" s="18" t="s">
        <v>675</v>
      </c>
      <c r="H1060" s="18" t="s">
        <v>708</v>
      </c>
      <c r="I1060" s="315">
        <v>294.53604124778377</v>
      </c>
      <c r="J1060" s="315">
        <v>1.1717357838136644</v>
      </c>
      <c r="K1060" s="316" t="str">
        <f t="shared" si="36"/>
        <v>Industrial Equipment</v>
      </c>
      <c r="L1060" s="316" t="str">
        <f t="shared" si="37"/>
        <v>CNG</v>
      </c>
      <c r="M1060" s="194"/>
      <c r="N1060" s="317"/>
      <c r="O1060" s="317"/>
      <c r="P1060" s="317"/>
      <c r="Q1060" s="317"/>
      <c r="R1060" s="317"/>
      <c r="S1060" s="317"/>
      <c r="T1060" s="317"/>
      <c r="U1060" s="317"/>
      <c r="V1060" s="317"/>
      <c r="W1060" s="317"/>
      <c r="X1060" s="317"/>
      <c r="Y1060" s="317"/>
      <c r="Z1060" s="317"/>
    </row>
    <row r="1061" spans="1:26" x14ac:dyDescent="0.25">
      <c r="A1061" s="314"/>
      <c r="B1061" s="18">
        <v>2023</v>
      </c>
      <c r="C1061" s="18" t="s">
        <v>781</v>
      </c>
      <c r="D1061" s="18" t="s">
        <v>718</v>
      </c>
      <c r="E1061" s="18" t="s">
        <v>713</v>
      </c>
      <c r="F1061" s="18" t="s">
        <v>714</v>
      </c>
      <c r="G1061" s="18" t="s">
        <v>674</v>
      </c>
      <c r="H1061" s="18" t="s">
        <v>719</v>
      </c>
      <c r="I1061" s="315">
        <v>293.84490859050379</v>
      </c>
      <c r="J1061" s="315">
        <v>1.0983183312330931E-3</v>
      </c>
      <c r="K1061" s="316" t="str">
        <f t="shared" si="36"/>
        <v>Construction and Mining Equipment</v>
      </c>
      <c r="L1061" s="316" t="str">
        <f t="shared" si="37"/>
        <v>Diesel</v>
      </c>
      <c r="M1061" s="194"/>
      <c r="N1061" s="317"/>
      <c r="O1061" s="317"/>
      <c r="P1061" s="317"/>
      <c r="Q1061" s="317"/>
      <c r="R1061" s="317"/>
      <c r="S1061" s="317"/>
      <c r="T1061" s="317"/>
      <c r="U1061" s="317"/>
      <c r="V1061" s="317"/>
      <c r="W1061" s="317"/>
      <c r="X1061" s="317"/>
      <c r="Y1061" s="317"/>
      <c r="Z1061" s="317"/>
    </row>
    <row r="1062" spans="1:26" x14ac:dyDescent="0.25">
      <c r="A1062" s="314"/>
      <c r="B1062" s="18">
        <v>2023</v>
      </c>
      <c r="C1062" s="18" t="s">
        <v>743</v>
      </c>
      <c r="D1062" s="18" t="s">
        <v>751</v>
      </c>
      <c r="E1062" s="18" t="s">
        <v>713</v>
      </c>
      <c r="F1062" s="18" t="s">
        <v>676</v>
      </c>
      <c r="G1062" s="18" t="s">
        <v>79</v>
      </c>
      <c r="H1062" s="18" t="s">
        <v>740</v>
      </c>
      <c r="I1062" s="315">
        <v>293.82682737807079</v>
      </c>
      <c r="J1062" s="315">
        <v>1.1532445690066808E-2</v>
      </c>
      <c r="K1062" s="316" t="str">
        <f t="shared" si="36"/>
        <v>Pleasure Craft</v>
      </c>
      <c r="L1062" s="316" t="str">
        <f t="shared" si="37"/>
        <v>Diesel</v>
      </c>
      <c r="M1062" s="194"/>
      <c r="N1062" s="317"/>
      <c r="O1062" s="317"/>
      <c r="P1062" s="317"/>
      <c r="Q1062" s="317"/>
      <c r="R1062" s="317"/>
      <c r="S1062" s="317"/>
      <c r="T1062" s="317"/>
      <c r="U1062" s="317"/>
      <c r="V1062" s="317"/>
      <c r="W1062" s="317"/>
      <c r="X1062" s="317"/>
      <c r="Y1062" s="317"/>
      <c r="Z1062" s="317"/>
    </row>
    <row r="1063" spans="1:26" x14ac:dyDescent="0.25">
      <c r="A1063" s="314"/>
      <c r="B1063" s="18">
        <v>2023</v>
      </c>
      <c r="C1063" s="18" t="s">
        <v>781</v>
      </c>
      <c r="D1063" s="18" t="s">
        <v>720</v>
      </c>
      <c r="E1063" s="18" t="s">
        <v>713</v>
      </c>
      <c r="F1063" s="18" t="s">
        <v>714</v>
      </c>
      <c r="G1063" s="18" t="s">
        <v>674</v>
      </c>
      <c r="H1063" s="18" t="s">
        <v>721</v>
      </c>
      <c r="I1063" s="315">
        <v>292.60127215102841</v>
      </c>
      <c r="J1063" s="315">
        <v>1.3206738725897501E-3</v>
      </c>
      <c r="K1063" s="316" t="str">
        <f t="shared" si="36"/>
        <v>Construction and Mining Equipment</v>
      </c>
      <c r="L1063" s="316" t="str">
        <f t="shared" si="37"/>
        <v>Diesel</v>
      </c>
      <c r="M1063" s="194"/>
      <c r="N1063" s="317"/>
      <c r="O1063" s="317"/>
      <c r="P1063" s="317"/>
      <c r="Q1063" s="317"/>
      <c r="R1063" s="317"/>
      <c r="S1063" s="317"/>
      <c r="T1063" s="317"/>
      <c r="U1063" s="317"/>
      <c r="V1063" s="317"/>
      <c r="W1063" s="317"/>
      <c r="X1063" s="317"/>
      <c r="Y1063" s="317"/>
      <c r="Z1063" s="317"/>
    </row>
    <row r="1064" spans="1:26" x14ac:dyDescent="0.25">
      <c r="A1064" s="314"/>
      <c r="B1064" s="18">
        <v>2023</v>
      </c>
      <c r="C1064" s="18" t="s">
        <v>792</v>
      </c>
      <c r="D1064" s="18" t="s">
        <v>788</v>
      </c>
      <c r="E1064" s="18" t="s">
        <v>703</v>
      </c>
      <c r="F1064" s="18" t="s">
        <v>704</v>
      </c>
      <c r="G1064" s="18" t="s">
        <v>677</v>
      </c>
      <c r="H1064" s="18" t="s">
        <v>789</v>
      </c>
      <c r="I1064" s="315">
        <v>290.80365703682361</v>
      </c>
      <c r="J1064" s="315">
        <v>0.2023784071716753</v>
      </c>
      <c r="K1064" s="316" t="str">
        <f t="shared" si="36"/>
        <v>Commercial Equipment</v>
      </c>
      <c r="L1064" s="316" t="str">
        <f t="shared" si="37"/>
        <v>Gasoline</v>
      </c>
      <c r="M1064" s="194"/>
      <c r="N1064" s="317"/>
      <c r="O1064" s="317"/>
      <c r="P1064" s="317"/>
      <c r="Q1064" s="317"/>
      <c r="R1064" s="317"/>
      <c r="S1064" s="317"/>
      <c r="T1064" s="317"/>
      <c r="U1064" s="317"/>
      <c r="V1064" s="317"/>
      <c r="W1064" s="317"/>
      <c r="X1064" s="317"/>
      <c r="Y1064" s="317"/>
      <c r="Z1064" s="317"/>
    </row>
    <row r="1065" spans="1:26" x14ac:dyDescent="0.25">
      <c r="A1065" s="314"/>
      <c r="B1065" s="18">
        <v>2023</v>
      </c>
      <c r="C1065" s="18" t="s">
        <v>753</v>
      </c>
      <c r="D1065" s="18" t="s">
        <v>776</v>
      </c>
      <c r="E1065" s="18" t="s">
        <v>713</v>
      </c>
      <c r="F1065" s="18" t="s">
        <v>714</v>
      </c>
      <c r="G1065" s="18" t="s">
        <v>674</v>
      </c>
      <c r="H1065" s="18" t="s">
        <v>777</v>
      </c>
      <c r="I1065" s="315">
        <v>290.43279541937625</v>
      </c>
      <c r="J1065" s="315">
        <v>1.1551457499477565E-3</v>
      </c>
      <c r="K1065" s="316" t="str">
        <f t="shared" si="36"/>
        <v>Construction and Mining Equipment</v>
      </c>
      <c r="L1065" s="316" t="str">
        <f t="shared" si="37"/>
        <v>Diesel</v>
      </c>
      <c r="M1065" s="194"/>
      <c r="N1065" s="317"/>
      <c r="O1065" s="317"/>
      <c r="P1065" s="317"/>
      <c r="Q1065" s="317"/>
      <c r="R1065" s="317"/>
      <c r="S1065" s="317"/>
      <c r="T1065" s="317"/>
      <c r="U1065" s="317"/>
      <c r="V1065" s="317"/>
      <c r="W1065" s="317"/>
      <c r="X1065" s="317"/>
      <c r="Y1065" s="317"/>
      <c r="Z1065" s="317"/>
    </row>
    <row r="1066" spans="1:26" x14ac:dyDescent="0.25">
      <c r="A1066" s="314"/>
      <c r="B1066" s="18">
        <v>2023</v>
      </c>
      <c r="C1066" s="18" t="s">
        <v>787</v>
      </c>
      <c r="D1066" s="18" t="s">
        <v>1012</v>
      </c>
      <c r="E1066" s="18" t="s">
        <v>703</v>
      </c>
      <c r="F1066" s="18" t="s">
        <v>795</v>
      </c>
      <c r="G1066" s="18" t="s">
        <v>679</v>
      </c>
      <c r="H1066" s="18" t="s">
        <v>1013</v>
      </c>
      <c r="I1066" s="315">
        <v>290.25706164325476</v>
      </c>
      <c r="J1066" s="315">
        <v>0.2424568620998557</v>
      </c>
      <c r="K1066" s="316" t="str">
        <f t="shared" si="36"/>
        <v>Recreational Equipment</v>
      </c>
      <c r="L1066" s="316" t="str">
        <f t="shared" si="37"/>
        <v>Gasoline</v>
      </c>
      <c r="M1066" s="194"/>
      <c r="N1066" s="317"/>
      <c r="O1066" s="317"/>
      <c r="P1066" s="317"/>
      <c r="Q1066" s="317"/>
      <c r="R1066" s="317"/>
      <c r="S1066" s="317"/>
      <c r="T1066" s="317"/>
      <c r="U1066" s="317"/>
      <c r="V1066" s="317"/>
      <c r="W1066" s="317"/>
      <c r="X1066" s="317"/>
      <c r="Y1066" s="317"/>
      <c r="Z1066" s="317"/>
    </row>
    <row r="1067" spans="1:26" x14ac:dyDescent="0.25">
      <c r="A1067" s="314"/>
      <c r="B1067" s="18">
        <v>2023</v>
      </c>
      <c r="C1067" s="18" t="s">
        <v>754</v>
      </c>
      <c r="D1067" s="18" t="s">
        <v>849</v>
      </c>
      <c r="E1067" s="18" t="s">
        <v>713</v>
      </c>
      <c r="F1067" s="18" t="s">
        <v>714</v>
      </c>
      <c r="G1067" s="18" t="s">
        <v>674</v>
      </c>
      <c r="H1067" s="18" t="s">
        <v>850</v>
      </c>
      <c r="I1067" s="315">
        <v>290.11277680883393</v>
      </c>
      <c r="J1067" s="315">
        <v>4.0530382727596388E-3</v>
      </c>
      <c r="K1067" s="316" t="str">
        <f t="shared" si="36"/>
        <v>Construction and Mining Equipment</v>
      </c>
      <c r="L1067" s="316" t="str">
        <f t="shared" si="37"/>
        <v>Diesel</v>
      </c>
      <c r="M1067" s="194"/>
      <c r="N1067" s="317"/>
      <c r="O1067" s="317"/>
      <c r="P1067" s="317"/>
      <c r="Q1067" s="317"/>
      <c r="R1067" s="317"/>
      <c r="S1067" s="317"/>
      <c r="T1067" s="317"/>
      <c r="U1067" s="317"/>
      <c r="V1067" s="317"/>
      <c r="W1067" s="317"/>
      <c r="X1067" s="317"/>
      <c r="Y1067" s="317"/>
      <c r="Z1067" s="317"/>
    </row>
    <row r="1068" spans="1:26" x14ac:dyDescent="0.25">
      <c r="A1068" s="314"/>
      <c r="B1068" s="18">
        <v>2023</v>
      </c>
      <c r="C1068" s="18" t="s">
        <v>711</v>
      </c>
      <c r="D1068" s="18" t="s">
        <v>962</v>
      </c>
      <c r="E1068" s="18" t="s">
        <v>703</v>
      </c>
      <c r="F1068" s="18" t="s">
        <v>704</v>
      </c>
      <c r="G1068" s="18" t="s">
        <v>673</v>
      </c>
      <c r="H1068" s="18" t="s">
        <v>963</v>
      </c>
      <c r="I1068" s="315">
        <v>290.10144504855754</v>
      </c>
      <c r="J1068" s="315">
        <v>0.2000616499486523</v>
      </c>
      <c r="K1068" s="316" t="str">
        <f t="shared" ref="K1068:K1322" si="38">IF(F1068="Pleasure Craft","Pleasure Craft",IF(F1068="Railroad Equipment","Railroad Equipment",G1068))</f>
        <v>Lawn and Garden Equipment</v>
      </c>
      <c r="L1068" s="316" t="str">
        <f t="shared" ref="L1068:L1322" si="39">IF(E1068="Non-Road Gasoline","Gasoline",IF(E1068="Non-Road Diesel","Diesel",IF(RIGHT(F1068,3)="LPG","LPG",IF(RIGHT(F1068,3)="CNG","CNG",G1068))))</f>
        <v>Gasoline</v>
      </c>
      <c r="M1068" s="194"/>
      <c r="N1068" s="317"/>
      <c r="O1068" s="317"/>
      <c r="P1068" s="317"/>
      <c r="Q1068" s="317"/>
      <c r="R1068" s="317"/>
      <c r="S1068" s="317"/>
      <c r="T1068" s="317"/>
      <c r="U1068" s="317"/>
      <c r="V1068" s="317"/>
      <c r="W1068" s="317"/>
      <c r="X1068" s="317"/>
      <c r="Y1068" s="317"/>
      <c r="Z1068" s="317"/>
    </row>
    <row r="1069" spans="1:26" x14ac:dyDescent="0.25">
      <c r="A1069" s="314"/>
      <c r="B1069" s="18">
        <v>2023</v>
      </c>
      <c r="C1069" s="18" t="s">
        <v>706</v>
      </c>
      <c r="D1069" s="18" t="s">
        <v>1014</v>
      </c>
      <c r="E1069" s="18" t="s">
        <v>713</v>
      </c>
      <c r="F1069" s="18" t="s">
        <v>714</v>
      </c>
      <c r="G1069" s="18" t="s">
        <v>674</v>
      </c>
      <c r="H1069" s="18" t="s">
        <v>994</v>
      </c>
      <c r="I1069" s="315">
        <v>289.27190618307799</v>
      </c>
      <c r="J1069" s="315">
        <v>3.7680835847101069E-3</v>
      </c>
      <c r="K1069" s="316" t="str">
        <f t="shared" si="38"/>
        <v>Construction and Mining Equipment</v>
      </c>
      <c r="L1069" s="316" t="str">
        <f t="shared" si="39"/>
        <v>Diesel</v>
      </c>
      <c r="M1069" s="194"/>
      <c r="N1069" s="317"/>
      <c r="O1069" s="317"/>
      <c r="P1069" s="317"/>
      <c r="Q1069" s="317"/>
      <c r="R1069" s="317"/>
      <c r="S1069" s="317"/>
      <c r="T1069" s="317"/>
      <c r="U1069" s="317"/>
      <c r="V1069" s="317"/>
      <c r="W1069" s="317"/>
      <c r="X1069" s="317"/>
      <c r="Y1069" s="317"/>
      <c r="Z1069" s="317"/>
    </row>
    <row r="1070" spans="1:26" x14ac:dyDescent="0.25">
      <c r="A1070" s="314"/>
      <c r="B1070" s="18">
        <v>2023</v>
      </c>
      <c r="C1070" s="18" t="s">
        <v>743</v>
      </c>
      <c r="D1070" s="18" t="s">
        <v>855</v>
      </c>
      <c r="E1070" s="18" t="s">
        <v>713</v>
      </c>
      <c r="F1070" s="18" t="s">
        <v>714</v>
      </c>
      <c r="G1070" s="18" t="s">
        <v>674</v>
      </c>
      <c r="H1070" s="18" t="s">
        <v>856</v>
      </c>
      <c r="I1070" s="315">
        <v>288.85811394931528</v>
      </c>
      <c r="J1070" s="315">
        <v>1.8252608960498788E-3</v>
      </c>
      <c r="K1070" s="316" t="str">
        <f t="shared" si="38"/>
        <v>Construction and Mining Equipment</v>
      </c>
      <c r="L1070" s="316" t="str">
        <f t="shared" si="39"/>
        <v>Diesel</v>
      </c>
      <c r="M1070" s="194"/>
      <c r="N1070" s="317"/>
      <c r="O1070" s="317"/>
      <c r="P1070" s="317"/>
      <c r="Q1070" s="317"/>
      <c r="R1070" s="317"/>
      <c r="S1070" s="317"/>
      <c r="T1070" s="317"/>
      <c r="U1070" s="317"/>
      <c r="V1070" s="317"/>
      <c r="W1070" s="317"/>
      <c r="X1070" s="317"/>
      <c r="Y1070" s="317"/>
      <c r="Z1070" s="317"/>
    </row>
    <row r="1071" spans="1:26" x14ac:dyDescent="0.25">
      <c r="A1071" s="314"/>
      <c r="B1071" s="18">
        <v>2023</v>
      </c>
      <c r="C1071" s="18" t="s">
        <v>793</v>
      </c>
      <c r="D1071" s="18" t="s">
        <v>748</v>
      </c>
      <c r="E1071" s="18" t="s">
        <v>703</v>
      </c>
      <c r="F1071" s="18" t="s">
        <v>704</v>
      </c>
      <c r="G1071" s="18" t="s">
        <v>673</v>
      </c>
      <c r="H1071" s="18" t="s">
        <v>749</v>
      </c>
      <c r="I1071" s="315">
        <v>288.22208473215716</v>
      </c>
      <c r="J1071" s="315">
        <v>0.16344859264622588</v>
      </c>
      <c r="K1071" s="316" t="str">
        <f t="shared" si="38"/>
        <v>Lawn and Garden Equipment</v>
      </c>
      <c r="L1071" s="316" t="str">
        <f t="shared" si="39"/>
        <v>Gasoline</v>
      </c>
      <c r="M1071" s="194"/>
      <c r="N1071" s="317"/>
      <c r="O1071" s="317"/>
      <c r="P1071" s="317"/>
      <c r="Q1071" s="317"/>
      <c r="R1071" s="317"/>
      <c r="S1071" s="317"/>
      <c r="T1071" s="317"/>
      <c r="U1071" s="317"/>
      <c r="V1071" s="317"/>
      <c r="W1071" s="317"/>
      <c r="X1071" s="317"/>
      <c r="Y1071" s="317"/>
      <c r="Z1071" s="317"/>
    </row>
    <row r="1072" spans="1:26" x14ac:dyDescent="0.25">
      <c r="A1072" s="314"/>
      <c r="B1072" s="18">
        <v>2023</v>
      </c>
      <c r="C1072" s="18" t="s">
        <v>787</v>
      </c>
      <c r="D1072" s="18" t="s">
        <v>788</v>
      </c>
      <c r="E1072" s="18" t="s">
        <v>703</v>
      </c>
      <c r="F1072" s="18" t="s">
        <v>704</v>
      </c>
      <c r="G1072" s="18" t="s">
        <v>677</v>
      </c>
      <c r="H1072" s="18" t="s">
        <v>789</v>
      </c>
      <c r="I1072" s="315">
        <v>286.32970170992951</v>
      </c>
      <c r="J1072" s="315">
        <v>0.19821396189715126</v>
      </c>
      <c r="K1072" s="316" t="str">
        <f t="shared" si="38"/>
        <v>Commercial Equipment</v>
      </c>
      <c r="L1072" s="316" t="str">
        <f t="shared" si="39"/>
        <v>Gasoline</v>
      </c>
      <c r="M1072" s="194"/>
      <c r="N1072" s="317"/>
      <c r="O1072" s="317"/>
      <c r="P1072" s="317"/>
      <c r="Q1072" s="317"/>
      <c r="R1072" s="317"/>
      <c r="S1072" s="317"/>
      <c r="T1072" s="317"/>
      <c r="U1072" s="317"/>
      <c r="V1072" s="317"/>
      <c r="W1072" s="317"/>
      <c r="X1072" s="317"/>
      <c r="Y1072" s="317"/>
      <c r="Z1072" s="317"/>
    </row>
    <row r="1073" spans="1:26" x14ac:dyDescent="0.25">
      <c r="A1073" s="314"/>
      <c r="B1073" s="18">
        <v>2023</v>
      </c>
      <c r="C1073" s="18" t="s">
        <v>792</v>
      </c>
      <c r="D1073" s="18" t="s">
        <v>853</v>
      </c>
      <c r="E1073" s="18" t="s">
        <v>703</v>
      </c>
      <c r="F1073" s="18" t="s">
        <v>795</v>
      </c>
      <c r="G1073" s="18" t="s">
        <v>679</v>
      </c>
      <c r="H1073" s="18" t="s">
        <v>854</v>
      </c>
      <c r="I1073" s="315">
        <v>285.61925766079349</v>
      </c>
      <c r="J1073" s="315">
        <v>0.21589668090279504</v>
      </c>
      <c r="K1073" s="316" t="str">
        <f t="shared" si="38"/>
        <v>Recreational Equipment</v>
      </c>
      <c r="L1073" s="316" t="str">
        <f t="shared" si="39"/>
        <v>Gasoline</v>
      </c>
      <c r="M1073" s="194"/>
      <c r="N1073" s="317"/>
      <c r="O1073" s="317"/>
      <c r="P1073" s="317"/>
      <c r="Q1073" s="317"/>
      <c r="R1073" s="317"/>
      <c r="S1073" s="317"/>
      <c r="T1073" s="317"/>
      <c r="U1073" s="317"/>
      <c r="V1073" s="317"/>
      <c r="W1073" s="317"/>
      <c r="X1073" s="317"/>
      <c r="Y1073" s="317"/>
      <c r="Z1073" s="317"/>
    </row>
    <row r="1074" spans="1:26" x14ac:dyDescent="0.25">
      <c r="A1074" s="314"/>
      <c r="B1074" s="18">
        <v>2023</v>
      </c>
      <c r="C1074" s="18" t="s">
        <v>778</v>
      </c>
      <c r="D1074" s="18" t="s">
        <v>853</v>
      </c>
      <c r="E1074" s="18" t="s">
        <v>703</v>
      </c>
      <c r="F1074" s="18" t="s">
        <v>795</v>
      </c>
      <c r="G1074" s="18" t="s">
        <v>679</v>
      </c>
      <c r="H1074" s="18" t="s">
        <v>854</v>
      </c>
      <c r="I1074" s="315">
        <v>285.61925766079349</v>
      </c>
      <c r="J1074" s="315">
        <v>0.21454389366809015</v>
      </c>
      <c r="K1074" s="316" t="str">
        <f t="shared" si="38"/>
        <v>Recreational Equipment</v>
      </c>
      <c r="L1074" s="316" t="str">
        <f t="shared" si="39"/>
        <v>Gasoline</v>
      </c>
      <c r="M1074" s="194"/>
      <c r="N1074" s="317"/>
      <c r="O1074" s="317"/>
      <c r="P1074" s="317"/>
      <c r="Q1074" s="317"/>
      <c r="R1074" s="317"/>
      <c r="S1074" s="317"/>
      <c r="T1074" s="317"/>
      <c r="U1074" s="317"/>
      <c r="V1074" s="317"/>
      <c r="W1074" s="317"/>
      <c r="X1074" s="317"/>
      <c r="Y1074" s="317"/>
      <c r="Z1074" s="317"/>
    </row>
    <row r="1075" spans="1:26" x14ac:dyDescent="0.25">
      <c r="A1075" s="314"/>
      <c r="B1075" s="18">
        <v>2023</v>
      </c>
      <c r="C1075" s="18" t="s">
        <v>743</v>
      </c>
      <c r="D1075" s="18" t="s">
        <v>853</v>
      </c>
      <c r="E1075" s="18" t="s">
        <v>703</v>
      </c>
      <c r="F1075" s="18" t="s">
        <v>795</v>
      </c>
      <c r="G1075" s="18" t="s">
        <v>679</v>
      </c>
      <c r="H1075" s="18" t="s">
        <v>854</v>
      </c>
      <c r="I1075" s="315">
        <v>285.61925766079349</v>
      </c>
      <c r="J1075" s="315">
        <v>0.21551251099625293</v>
      </c>
      <c r="K1075" s="316" t="str">
        <f t="shared" si="38"/>
        <v>Recreational Equipment</v>
      </c>
      <c r="L1075" s="316" t="str">
        <f t="shared" si="39"/>
        <v>Gasoline</v>
      </c>
      <c r="M1075" s="194"/>
      <c r="N1075" s="317"/>
      <c r="O1075" s="317"/>
      <c r="P1075" s="317"/>
      <c r="Q1075" s="317"/>
      <c r="R1075" s="317"/>
      <c r="S1075" s="317"/>
      <c r="T1075" s="317"/>
      <c r="U1075" s="317"/>
      <c r="V1075" s="317"/>
      <c r="W1075" s="317"/>
      <c r="X1075" s="317"/>
      <c r="Y1075" s="317"/>
      <c r="Z1075" s="317"/>
    </row>
    <row r="1076" spans="1:26" x14ac:dyDescent="0.25">
      <c r="A1076" s="314"/>
      <c r="B1076" s="18">
        <v>2023</v>
      </c>
      <c r="C1076" s="18" t="s">
        <v>711</v>
      </c>
      <c r="D1076" s="18" t="s">
        <v>984</v>
      </c>
      <c r="E1076" s="18" t="s">
        <v>703</v>
      </c>
      <c r="F1076" s="18" t="s">
        <v>704</v>
      </c>
      <c r="G1076" s="18" t="s">
        <v>673</v>
      </c>
      <c r="H1076" s="18" t="s">
        <v>985</v>
      </c>
      <c r="I1076" s="315">
        <v>285.38011232419979</v>
      </c>
      <c r="J1076" s="315">
        <v>0.19368593200473214</v>
      </c>
      <c r="K1076" s="316" t="str">
        <f t="shared" si="38"/>
        <v>Lawn and Garden Equipment</v>
      </c>
      <c r="L1076" s="316" t="str">
        <f t="shared" si="39"/>
        <v>Gasoline</v>
      </c>
      <c r="M1076" s="194"/>
      <c r="N1076" s="317"/>
      <c r="O1076" s="317"/>
      <c r="P1076" s="317"/>
      <c r="Q1076" s="317"/>
      <c r="R1076" s="317"/>
      <c r="S1076" s="317"/>
      <c r="T1076" s="317"/>
      <c r="U1076" s="317"/>
      <c r="V1076" s="317"/>
      <c r="W1076" s="317"/>
      <c r="X1076" s="317"/>
      <c r="Y1076" s="317"/>
      <c r="Z1076" s="317"/>
    </row>
    <row r="1077" spans="1:26" x14ac:dyDescent="0.25">
      <c r="A1077" s="314"/>
      <c r="B1077" s="18">
        <v>2023</v>
      </c>
      <c r="C1077" s="18" t="s">
        <v>754</v>
      </c>
      <c r="D1077" s="18" t="s">
        <v>866</v>
      </c>
      <c r="E1077" s="18" t="s">
        <v>713</v>
      </c>
      <c r="F1077" s="18" t="s">
        <v>714</v>
      </c>
      <c r="G1077" s="18" t="s">
        <v>677</v>
      </c>
      <c r="H1077" s="18" t="s">
        <v>841</v>
      </c>
      <c r="I1077" s="315">
        <v>285.17606347743458</v>
      </c>
      <c r="J1077" s="315">
        <v>7.11115512216261E-3</v>
      </c>
      <c r="K1077" s="316" t="str">
        <f t="shared" si="38"/>
        <v>Commercial Equipment</v>
      </c>
      <c r="L1077" s="316" t="str">
        <f t="shared" si="39"/>
        <v>Diesel</v>
      </c>
      <c r="M1077" s="194"/>
      <c r="N1077" s="317"/>
      <c r="O1077" s="317"/>
      <c r="P1077" s="317"/>
      <c r="Q1077" s="317"/>
      <c r="R1077" s="317"/>
      <c r="S1077" s="317"/>
      <c r="T1077" s="317"/>
      <c r="U1077" s="317"/>
      <c r="V1077" s="317"/>
      <c r="W1077" s="317"/>
      <c r="X1077" s="317"/>
      <c r="Y1077" s="317"/>
      <c r="Z1077" s="317"/>
    </row>
    <row r="1078" spans="1:26" x14ac:dyDescent="0.25">
      <c r="A1078" s="314"/>
      <c r="B1078" s="18">
        <v>2023</v>
      </c>
      <c r="C1078" s="18" t="s">
        <v>701</v>
      </c>
      <c r="D1078" s="18" t="s">
        <v>1003</v>
      </c>
      <c r="E1078" s="18" t="s">
        <v>703</v>
      </c>
      <c r="F1078" s="18" t="s">
        <v>805</v>
      </c>
      <c r="G1078" s="18" t="s">
        <v>677</v>
      </c>
      <c r="H1078" s="18" t="s">
        <v>841</v>
      </c>
      <c r="I1078" s="315">
        <v>284.34250558491539</v>
      </c>
      <c r="J1078" s="315">
        <v>0.54788066763343746</v>
      </c>
      <c r="K1078" s="316" t="str">
        <f t="shared" si="38"/>
        <v>Commercial Equipment</v>
      </c>
      <c r="L1078" s="316" t="str">
        <f t="shared" si="39"/>
        <v>Gasoline</v>
      </c>
      <c r="M1078" s="194"/>
      <c r="N1078" s="317"/>
      <c r="O1078" s="317"/>
      <c r="P1078" s="317"/>
      <c r="Q1078" s="317"/>
      <c r="R1078" s="317"/>
      <c r="S1078" s="317"/>
      <c r="T1078" s="317"/>
      <c r="U1078" s="317"/>
      <c r="V1078" s="317"/>
      <c r="W1078" s="317"/>
      <c r="X1078" s="317"/>
      <c r="Y1078" s="317"/>
      <c r="Z1078" s="317"/>
    </row>
    <row r="1079" spans="1:26" x14ac:dyDescent="0.25">
      <c r="A1079" s="314"/>
      <c r="B1079" s="18">
        <v>2023</v>
      </c>
      <c r="C1079" s="18" t="s">
        <v>706</v>
      </c>
      <c r="D1079" s="18" t="s">
        <v>894</v>
      </c>
      <c r="E1079" s="18" t="s">
        <v>713</v>
      </c>
      <c r="F1079" s="18" t="s">
        <v>714</v>
      </c>
      <c r="G1079" s="18" t="s">
        <v>681</v>
      </c>
      <c r="H1079" s="18" t="s">
        <v>895</v>
      </c>
      <c r="I1079" s="315">
        <v>284.19272131936435</v>
      </c>
      <c r="J1079" s="315">
        <v>5.5729026665594147E-4</v>
      </c>
      <c r="K1079" s="316" t="str">
        <f t="shared" si="38"/>
        <v>Logging Equipment</v>
      </c>
      <c r="L1079" s="316" t="str">
        <f t="shared" si="39"/>
        <v>Diesel</v>
      </c>
      <c r="M1079" s="194"/>
      <c r="N1079" s="317"/>
      <c r="O1079" s="317"/>
      <c r="P1079" s="317"/>
      <c r="Q1079" s="317"/>
      <c r="R1079" s="317"/>
      <c r="S1079" s="317"/>
      <c r="T1079" s="317"/>
      <c r="U1079" s="317"/>
      <c r="V1079" s="317"/>
      <c r="W1079" s="317"/>
      <c r="X1079" s="317"/>
      <c r="Y1079" s="317"/>
      <c r="Z1079" s="317"/>
    </row>
    <row r="1080" spans="1:26" x14ac:dyDescent="0.25">
      <c r="A1080" s="314"/>
      <c r="B1080" s="18">
        <v>2023</v>
      </c>
      <c r="C1080" s="18" t="s">
        <v>709</v>
      </c>
      <c r="D1080" s="18" t="s">
        <v>968</v>
      </c>
      <c r="E1080" s="18" t="s">
        <v>703</v>
      </c>
      <c r="F1080" s="18" t="s">
        <v>704</v>
      </c>
      <c r="G1080" s="18" t="s">
        <v>675</v>
      </c>
      <c r="H1080" s="18" t="s">
        <v>969</v>
      </c>
      <c r="I1080" s="315">
        <v>283.23171750000995</v>
      </c>
      <c r="J1080" s="315">
        <v>9.0529120129118013E-2</v>
      </c>
      <c r="K1080" s="316" t="str">
        <f t="shared" si="38"/>
        <v>Industrial Equipment</v>
      </c>
      <c r="L1080" s="316" t="str">
        <f t="shared" si="39"/>
        <v>Gasoline</v>
      </c>
      <c r="M1080" s="194"/>
      <c r="N1080" s="317"/>
      <c r="O1080" s="317"/>
      <c r="P1080" s="317"/>
      <c r="Q1080" s="317"/>
      <c r="R1080" s="317"/>
      <c r="S1080" s="317"/>
      <c r="T1080" s="317"/>
      <c r="U1080" s="317"/>
      <c r="V1080" s="317"/>
      <c r="W1080" s="317"/>
      <c r="X1080" s="317"/>
      <c r="Y1080" s="317"/>
      <c r="Z1080" s="317"/>
    </row>
    <row r="1081" spans="1:26" x14ac:dyDescent="0.25">
      <c r="A1081" s="314"/>
      <c r="B1081" s="18">
        <v>2023</v>
      </c>
      <c r="C1081" s="18" t="s">
        <v>706</v>
      </c>
      <c r="D1081" s="18" t="s">
        <v>1015</v>
      </c>
      <c r="E1081" s="18" t="s">
        <v>56</v>
      </c>
      <c r="F1081" s="18" t="s">
        <v>601</v>
      </c>
      <c r="G1081" s="18" t="s">
        <v>677</v>
      </c>
      <c r="H1081" s="18" t="s">
        <v>747</v>
      </c>
      <c r="I1081" s="315">
        <v>282.99239689591781</v>
      </c>
      <c r="J1081" s="315">
        <v>6.3312175729206359</v>
      </c>
      <c r="K1081" s="316" t="str">
        <f t="shared" si="38"/>
        <v>Commercial Equipment</v>
      </c>
      <c r="L1081" s="316" t="str">
        <f t="shared" si="39"/>
        <v>CNG</v>
      </c>
      <c r="M1081" s="194"/>
      <c r="N1081" s="317"/>
      <c r="O1081" s="317"/>
      <c r="P1081" s="317"/>
      <c r="Q1081" s="317"/>
      <c r="R1081" s="317"/>
      <c r="S1081" s="317"/>
      <c r="T1081" s="317"/>
      <c r="U1081" s="317"/>
      <c r="V1081" s="317"/>
      <c r="W1081" s="317"/>
      <c r="X1081" s="317"/>
      <c r="Y1081" s="317"/>
      <c r="Z1081" s="317"/>
    </row>
    <row r="1082" spans="1:26" x14ac:dyDescent="0.25">
      <c r="A1082" s="314"/>
      <c r="B1082" s="18">
        <v>2023</v>
      </c>
      <c r="C1082" s="18" t="s">
        <v>773</v>
      </c>
      <c r="D1082" s="18" t="s">
        <v>757</v>
      </c>
      <c r="E1082" s="18" t="s">
        <v>713</v>
      </c>
      <c r="F1082" s="18" t="s">
        <v>714</v>
      </c>
      <c r="G1082" s="18" t="s">
        <v>673</v>
      </c>
      <c r="H1082" s="18" t="s">
        <v>758</v>
      </c>
      <c r="I1082" s="315">
        <v>282.23757820264916</v>
      </c>
      <c r="J1082" s="315">
        <v>1.0873985971810435E-2</v>
      </c>
      <c r="K1082" s="316" t="str">
        <f t="shared" si="38"/>
        <v>Lawn and Garden Equipment</v>
      </c>
      <c r="L1082" s="316" t="str">
        <f t="shared" si="39"/>
        <v>Diesel</v>
      </c>
      <c r="M1082" s="194"/>
      <c r="N1082" s="317"/>
      <c r="O1082" s="317"/>
      <c r="P1082" s="317"/>
      <c r="Q1082" s="317"/>
      <c r="R1082" s="317"/>
      <c r="S1082" s="317"/>
      <c r="T1082" s="317"/>
      <c r="U1082" s="317"/>
      <c r="V1082" s="317"/>
      <c r="W1082" s="317"/>
      <c r="X1082" s="317"/>
      <c r="Y1082" s="317"/>
      <c r="Z1082" s="317"/>
    </row>
    <row r="1083" spans="1:26" x14ac:dyDescent="0.25">
      <c r="A1083" s="314"/>
      <c r="B1083" s="18">
        <v>2023</v>
      </c>
      <c r="C1083" s="18" t="s">
        <v>786</v>
      </c>
      <c r="D1083" s="18" t="s">
        <v>744</v>
      </c>
      <c r="E1083" s="18" t="s">
        <v>703</v>
      </c>
      <c r="F1083" s="18" t="s">
        <v>704</v>
      </c>
      <c r="G1083" s="18" t="s">
        <v>673</v>
      </c>
      <c r="H1083" s="18" t="s">
        <v>745</v>
      </c>
      <c r="I1083" s="315">
        <v>279.21856798428951</v>
      </c>
      <c r="J1083" s="315">
        <v>0.20587083747862739</v>
      </c>
      <c r="K1083" s="316" t="str">
        <f t="shared" si="38"/>
        <v>Lawn and Garden Equipment</v>
      </c>
      <c r="L1083" s="316" t="str">
        <f t="shared" si="39"/>
        <v>Gasoline</v>
      </c>
      <c r="M1083" s="194"/>
      <c r="N1083" s="317"/>
      <c r="O1083" s="317"/>
      <c r="P1083" s="317"/>
      <c r="Q1083" s="317"/>
      <c r="R1083" s="317"/>
      <c r="S1083" s="317"/>
      <c r="T1083" s="317"/>
      <c r="U1083" s="317"/>
      <c r="V1083" s="317"/>
      <c r="W1083" s="317"/>
      <c r="X1083" s="317"/>
      <c r="Y1083" s="317"/>
      <c r="Z1083" s="317"/>
    </row>
    <row r="1084" spans="1:26" x14ac:dyDescent="0.25">
      <c r="A1084" s="314"/>
      <c r="B1084" s="18">
        <v>2023</v>
      </c>
      <c r="C1084" s="18" t="s">
        <v>731</v>
      </c>
      <c r="D1084" s="18" t="s">
        <v>851</v>
      </c>
      <c r="E1084" s="18" t="s">
        <v>703</v>
      </c>
      <c r="F1084" s="18" t="s">
        <v>704</v>
      </c>
      <c r="G1084" s="18" t="s">
        <v>679</v>
      </c>
      <c r="H1084" s="18" t="s">
        <v>852</v>
      </c>
      <c r="I1084" s="315">
        <v>278.86763174609831</v>
      </c>
      <c r="J1084" s="315">
        <v>0.27551691971606868</v>
      </c>
      <c r="K1084" s="316" t="str">
        <f t="shared" si="38"/>
        <v>Recreational Equipment</v>
      </c>
      <c r="L1084" s="316" t="str">
        <f t="shared" si="39"/>
        <v>Gasoline</v>
      </c>
      <c r="M1084" s="194"/>
      <c r="N1084" s="317"/>
      <c r="O1084" s="317"/>
      <c r="P1084" s="317"/>
      <c r="Q1084" s="317"/>
      <c r="R1084" s="317"/>
      <c r="S1084" s="317"/>
      <c r="T1084" s="317"/>
      <c r="U1084" s="317"/>
      <c r="V1084" s="317"/>
      <c r="W1084" s="317"/>
      <c r="X1084" s="317"/>
      <c r="Y1084" s="317"/>
      <c r="Z1084" s="317"/>
    </row>
    <row r="1085" spans="1:26" x14ac:dyDescent="0.25">
      <c r="A1085" s="314"/>
      <c r="B1085" s="18">
        <v>2023</v>
      </c>
      <c r="C1085" s="18" t="s">
        <v>722</v>
      </c>
      <c r="D1085" s="18" t="s">
        <v>851</v>
      </c>
      <c r="E1085" s="18" t="s">
        <v>703</v>
      </c>
      <c r="F1085" s="18" t="s">
        <v>704</v>
      </c>
      <c r="G1085" s="18" t="s">
        <v>679</v>
      </c>
      <c r="H1085" s="18" t="s">
        <v>852</v>
      </c>
      <c r="I1085" s="315">
        <v>278.86763174609831</v>
      </c>
      <c r="J1085" s="315">
        <v>0.27630675100024971</v>
      </c>
      <c r="K1085" s="316" t="str">
        <f t="shared" si="38"/>
        <v>Recreational Equipment</v>
      </c>
      <c r="L1085" s="316" t="str">
        <f t="shared" si="39"/>
        <v>Gasoline</v>
      </c>
      <c r="M1085" s="194"/>
      <c r="N1085" s="317"/>
      <c r="O1085" s="317"/>
      <c r="P1085" s="317"/>
      <c r="Q1085" s="317"/>
      <c r="R1085" s="317"/>
      <c r="S1085" s="317"/>
      <c r="T1085" s="317"/>
      <c r="U1085" s="317"/>
      <c r="V1085" s="317"/>
      <c r="W1085" s="317"/>
      <c r="X1085" s="317"/>
      <c r="Y1085" s="317"/>
      <c r="Z1085" s="317"/>
    </row>
    <row r="1086" spans="1:26" x14ac:dyDescent="0.25">
      <c r="A1086" s="314"/>
      <c r="B1086" s="18">
        <v>2023</v>
      </c>
      <c r="C1086" s="18" t="s">
        <v>773</v>
      </c>
      <c r="D1086" s="18" t="s">
        <v>971</v>
      </c>
      <c r="E1086" s="18" t="s">
        <v>713</v>
      </c>
      <c r="F1086" s="18" t="s">
        <v>714</v>
      </c>
      <c r="G1086" s="18" t="s">
        <v>678</v>
      </c>
      <c r="H1086" s="18" t="s">
        <v>972</v>
      </c>
      <c r="I1086" s="315">
        <v>277.99409640677214</v>
      </c>
      <c r="J1086" s="315">
        <v>1.5441670529700133E-3</v>
      </c>
      <c r="K1086" s="316" t="str">
        <f t="shared" si="38"/>
        <v>Agricultural Equipment</v>
      </c>
      <c r="L1086" s="316" t="str">
        <f t="shared" si="39"/>
        <v>Diesel</v>
      </c>
      <c r="M1086" s="194"/>
      <c r="N1086" s="317"/>
      <c r="O1086" s="317"/>
      <c r="P1086" s="317"/>
      <c r="Q1086" s="317"/>
      <c r="R1086" s="317"/>
      <c r="S1086" s="317"/>
      <c r="T1086" s="317"/>
      <c r="U1086" s="317"/>
      <c r="V1086" s="317"/>
      <c r="W1086" s="317"/>
      <c r="X1086" s="317"/>
      <c r="Y1086" s="317"/>
      <c r="Z1086" s="317"/>
    </row>
    <row r="1087" spans="1:26" x14ac:dyDescent="0.25">
      <c r="A1087" s="314"/>
      <c r="B1087" s="18">
        <v>2023</v>
      </c>
      <c r="C1087" s="18" t="s">
        <v>743</v>
      </c>
      <c r="D1087" s="18" t="s">
        <v>858</v>
      </c>
      <c r="E1087" s="18" t="s">
        <v>713</v>
      </c>
      <c r="F1087" s="18" t="s">
        <v>714</v>
      </c>
      <c r="G1087" s="18" t="s">
        <v>674</v>
      </c>
      <c r="H1087" s="18" t="s">
        <v>859</v>
      </c>
      <c r="I1087" s="315">
        <v>277.87865677722925</v>
      </c>
      <c r="J1087" s="315">
        <v>2.4665669668009005E-3</v>
      </c>
      <c r="K1087" s="316" t="str">
        <f t="shared" si="38"/>
        <v>Construction and Mining Equipment</v>
      </c>
      <c r="L1087" s="316" t="str">
        <f t="shared" si="39"/>
        <v>Diesel</v>
      </c>
      <c r="M1087" s="194"/>
      <c r="N1087" s="317"/>
      <c r="O1087" s="317"/>
      <c r="P1087" s="317"/>
      <c r="Q1087" s="317"/>
      <c r="R1087" s="317"/>
      <c r="S1087" s="317"/>
      <c r="T1087" s="317"/>
      <c r="U1087" s="317"/>
      <c r="V1087" s="317"/>
      <c r="W1087" s="317"/>
      <c r="X1087" s="317"/>
      <c r="Y1087" s="317"/>
      <c r="Z1087" s="317"/>
    </row>
    <row r="1088" spans="1:26" x14ac:dyDescent="0.25">
      <c r="A1088" s="314"/>
      <c r="B1088" s="18">
        <v>2023</v>
      </c>
      <c r="C1088" s="18" t="s">
        <v>706</v>
      </c>
      <c r="D1088" s="18" t="s">
        <v>1001</v>
      </c>
      <c r="E1088" s="18" t="s">
        <v>713</v>
      </c>
      <c r="F1088" s="18" t="s">
        <v>683</v>
      </c>
      <c r="G1088" s="18" t="s">
        <v>79</v>
      </c>
      <c r="H1088" s="18" t="s">
        <v>1002</v>
      </c>
      <c r="I1088" s="315">
        <v>277.69890176944551</v>
      </c>
      <c r="J1088" s="315">
        <v>9.3339369997606659E-3</v>
      </c>
      <c r="K1088" s="316" t="str">
        <f t="shared" si="38"/>
        <v>Railroad Equipment</v>
      </c>
      <c r="L1088" s="316" t="str">
        <f t="shared" si="39"/>
        <v>Diesel</v>
      </c>
      <c r="M1088" s="194"/>
      <c r="N1088" s="317"/>
      <c r="O1088" s="317"/>
      <c r="P1088" s="317"/>
      <c r="Q1088" s="317"/>
      <c r="R1088" s="317"/>
      <c r="S1088" s="317"/>
      <c r="T1088" s="317"/>
      <c r="U1088" s="317"/>
      <c r="V1088" s="317"/>
      <c r="W1088" s="317"/>
      <c r="X1088" s="317"/>
      <c r="Y1088" s="317"/>
      <c r="Z1088" s="317"/>
    </row>
    <row r="1089" spans="1:26" x14ac:dyDescent="0.25">
      <c r="A1089" s="314"/>
      <c r="B1089" s="18">
        <v>2023</v>
      </c>
      <c r="C1089" s="18" t="s">
        <v>710</v>
      </c>
      <c r="D1089" s="18" t="s">
        <v>997</v>
      </c>
      <c r="E1089" s="18" t="s">
        <v>56</v>
      </c>
      <c r="F1089" s="18" t="s">
        <v>672</v>
      </c>
      <c r="G1089" s="18" t="s">
        <v>675</v>
      </c>
      <c r="H1089" s="18" t="s">
        <v>969</v>
      </c>
      <c r="I1089" s="315">
        <v>276.26092784585416</v>
      </c>
      <c r="J1089" s="315">
        <v>3.4372344506014729E-2</v>
      </c>
      <c r="K1089" s="316" t="str">
        <f t="shared" si="38"/>
        <v>Industrial Equipment</v>
      </c>
      <c r="L1089" s="316" t="str">
        <f t="shared" si="39"/>
        <v>LPG</v>
      </c>
      <c r="M1089" s="194"/>
      <c r="N1089" s="317"/>
      <c r="O1089" s="317"/>
      <c r="P1089" s="317"/>
      <c r="Q1089" s="317"/>
      <c r="R1089" s="317"/>
      <c r="S1089" s="317"/>
      <c r="T1089" s="317"/>
      <c r="U1089" s="317"/>
      <c r="V1089" s="317"/>
      <c r="W1089" s="317"/>
      <c r="X1089" s="317"/>
      <c r="Y1089" s="317"/>
      <c r="Z1089" s="317"/>
    </row>
    <row r="1090" spans="1:26" x14ac:dyDescent="0.25">
      <c r="A1090" s="314"/>
      <c r="B1090" s="18">
        <v>2023</v>
      </c>
      <c r="C1090" s="18" t="s">
        <v>709</v>
      </c>
      <c r="D1090" s="18" t="s">
        <v>993</v>
      </c>
      <c r="E1090" s="18" t="s">
        <v>703</v>
      </c>
      <c r="F1090" s="18" t="s">
        <v>704</v>
      </c>
      <c r="G1090" s="18" t="s">
        <v>674</v>
      </c>
      <c r="H1090" s="18" t="s">
        <v>994</v>
      </c>
      <c r="I1090" s="315">
        <v>275.86518155056274</v>
      </c>
      <c r="J1090" s="315">
        <v>0.18402003317933879</v>
      </c>
      <c r="K1090" s="316" t="str">
        <f t="shared" si="38"/>
        <v>Construction and Mining Equipment</v>
      </c>
      <c r="L1090" s="316" t="str">
        <f t="shared" si="39"/>
        <v>Gasoline</v>
      </c>
      <c r="M1090" s="194"/>
      <c r="N1090" s="317"/>
      <c r="O1090" s="317"/>
      <c r="P1090" s="317"/>
      <c r="Q1090" s="317"/>
      <c r="R1090" s="317"/>
      <c r="S1090" s="317"/>
      <c r="T1090" s="317"/>
      <c r="U1090" s="317"/>
      <c r="V1090" s="317"/>
      <c r="W1090" s="317"/>
      <c r="X1090" s="317"/>
      <c r="Y1090" s="317"/>
      <c r="Z1090" s="317"/>
    </row>
    <row r="1091" spans="1:26" x14ac:dyDescent="0.25">
      <c r="A1091" s="314"/>
      <c r="B1091" s="18">
        <v>2023</v>
      </c>
      <c r="C1091" s="18" t="s">
        <v>750</v>
      </c>
      <c r="D1091" s="18" t="s">
        <v>741</v>
      </c>
      <c r="E1091" s="18" t="s">
        <v>713</v>
      </c>
      <c r="F1091" s="18" t="s">
        <v>714</v>
      </c>
      <c r="G1091" s="18" t="s">
        <v>673</v>
      </c>
      <c r="H1091" s="18" t="s">
        <v>742</v>
      </c>
      <c r="I1091" s="315">
        <v>275.38105634360653</v>
      </c>
      <c r="J1091" s="315">
        <v>4.5611029936306518E-3</v>
      </c>
      <c r="K1091" s="316" t="str">
        <f t="shared" si="38"/>
        <v>Lawn and Garden Equipment</v>
      </c>
      <c r="L1091" s="316" t="str">
        <f t="shared" si="39"/>
        <v>Diesel</v>
      </c>
      <c r="M1091" s="194"/>
      <c r="N1091" s="317"/>
      <c r="O1091" s="317"/>
      <c r="P1091" s="317"/>
      <c r="Q1091" s="317"/>
      <c r="R1091" s="317"/>
      <c r="S1091" s="317"/>
      <c r="T1091" s="317"/>
      <c r="U1091" s="317"/>
      <c r="V1091" s="317"/>
      <c r="W1091" s="317"/>
      <c r="X1091" s="317"/>
      <c r="Y1091" s="317"/>
      <c r="Z1091" s="317"/>
    </row>
    <row r="1092" spans="1:26" x14ac:dyDescent="0.25">
      <c r="A1092" s="314"/>
      <c r="B1092" s="18">
        <v>2023</v>
      </c>
      <c r="C1092" s="18" t="s">
        <v>754</v>
      </c>
      <c r="D1092" s="18" t="s">
        <v>864</v>
      </c>
      <c r="E1092" s="18" t="s">
        <v>703</v>
      </c>
      <c r="F1092" s="18" t="s">
        <v>704</v>
      </c>
      <c r="G1092" s="18" t="s">
        <v>673</v>
      </c>
      <c r="H1092" s="18" t="s">
        <v>865</v>
      </c>
      <c r="I1092" s="315">
        <v>274.79926745681365</v>
      </c>
      <c r="J1092" s="315">
        <v>0.18719645192901235</v>
      </c>
      <c r="K1092" s="316" t="str">
        <f t="shared" si="38"/>
        <v>Lawn and Garden Equipment</v>
      </c>
      <c r="L1092" s="316" t="str">
        <f t="shared" si="39"/>
        <v>Gasoline</v>
      </c>
      <c r="M1092" s="194"/>
      <c r="N1092" s="317"/>
      <c r="O1092" s="317"/>
      <c r="P1092" s="317"/>
      <c r="Q1092" s="317"/>
      <c r="R1092" s="317"/>
      <c r="S1092" s="317"/>
      <c r="T1092" s="317"/>
      <c r="U1092" s="317"/>
      <c r="V1092" s="317"/>
      <c r="W1092" s="317"/>
      <c r="X1092" s="317"/>
      <c r="Y1092" s="317"/>
      <c r="Z1092" s="317"/>
    </row>
    <row r="1093" spans="1:26" x14ac:dyDescent="0.25">
      <c r="A1093" s="314"/>
      <c r="B1093" s="18">
        <v>2023</v>
      </c>
      <c r="C1093" s="18" t="s">
        <v>810</v>
      </c>
      <c r="D1093" s="18" t="s">
        <v>776</v>
      </c>
      <c r="E1093" s="18" t="s">
        <v>713</v>
      </c>
      <c r="F1093" s="18" t="s">
        <v>714</v>
      </c>
      <c r="G1093" s="18" t="s">
        <v>674</v>
      </c>
      <c r="H1093" s="18" t="s">
        <v>777</v>
      </c>
      <c r="I1093" s="315">
        <v>273.73729192137864</v>
      </c>
      <c r="J1093" s="315">
        <v>1.088743267682416E-3</v>
      </c>
      <c r="K1093" s="316" t="str">
        <f t="shared" si="38"/>
        <v>Construction and Mining Equipment</v>
      </c>
      <c r="L1093" s="316" t="str">
        <f t="shared" si="39"/>
        <v>Diesel</v>
      </c>
      <c r="M1093" s="194"/>
      <c r="N1093" s="317"/>
      <c r="O1093" s="317"/>
      <c r="P1093" s="317"/>
      <c r="Q1093" s="317"/>
      <c r="R1093" s="317"/>
      <c r="S1093" s="317"/>
      <c r="T1093" s="317"/>
      <c r="U1093" s="317"/>
      <c r="V1093" s="317"/>
      <c r="W1093" s="317"/>
      <c r="X1093" s="317"/>
      <c r="Y1093" s="317"/>
      <c r="Z1093" s="317"/>
    </row>
    <row r="1094" spans="1:26" x14ac:dyDescent="0.25">
      <c r="A1094" s="314"/>
      <c r="B1094" s="18">
        <v>2023</v>
      </c>
      <c r="C1094" s="18" t="s">
        <v>743</v>
      </c>
      <c r="D1094" s="18" t="s">
        <v>803</v>
      </c>
      <c r="E1094" s="18" t="s">
        <v>703</v>
      </c>
      <c r="F1094" s="18" t="s">
        <v>805</v>
      </c>
      <c r="G1094" s="18" t="s">
        <v>673</v>
      </c>
      <c r="H1094" s="18" t="s">
        <v>806</v>
      </c>
      <c r="I1094" s="315">
        <v>273.24230343645331</v>
      </c>
      <c r="J1094" s="315">
        <v>0.54080836920574671</v>
      </c>
      <c r="K1094" s="316" t="str">
        <f t="shared" si="38"/>
        <v>Lawn and Garden Equipment</v>
      </c>
      <c r="L1094" s="316" t="str">
        <f t="shared" si="39"/>
        <v>Gasoline</v>
      </c>
      <c r="M1094" s="194"/>
      <c r="N1094" s="317"/>
      <c r="O1094" s="317"/>
      <c r="P1094" s="317"/>
      <c r="Q1094" s="317"/>
      <c r="R1094" s="317"/>
      <c r="S1094" s="317"/>
      <c r="T1094" s="317"/>
      <c r="U1094" s="317"/>
      <c r="V1094" s="317"/>
      <c r="W1094" s="317"/>
      <c r="X1094" s="317"/>
      <c r="Y1094" s="317"/>
      <c r="Z1094" s="317"/>
    </row>
    <row r="1095" spans="1:26" x14ac:dyDescent="0.25">
      <c r="A1095" s="314"/>
      <c r="B1095" s="18">
        <v>2023</v>
      </c>
      <c r="C1095" s="18" t="s">
        <v>743</v>
      </c>
      <c r="D1095" s="18" t="s">
        <v>860</v>
      </c>
      <c r="E1095" s="18" t="s">
        <v>713</v>
      </c>
      <c r="F1095" s="18" t="s">
        <v>714</v>
      </c>
      <c r="G1095" s="18" t="s">
        <v>674</v>
      </c>
      <c r="H1095" s="18" t="s">
        <v>861</v>
      </c>
      <c r="I1095" s="315">
        <v>271.84027368008856</v>
      </c>
      <c r="J1095" s="315">
        <v>4.5052594617897325E-3</v>
      </c>
      <c r="K1095" s="316" t="str">
        <f t="shared" si="38"/>
        <v>Construction and Mining Equipment</v>
      </c>
      <c r="L1095" s="316" t="str">
        <f t="shared" si="39"/>
        <v>Diesel</v>
      </c>
      <c r="M1095" s="194"/>
      <c r="N1095" s="317"/>
      <c r="O1095" s="317"/>
      <c r="P1095" s="317"/>
      <c r="Q1095" s="317"/>
      <c r="R1095" s="317"/>
      <c r="S1095" s="317"/>
      <c r="T1095" s="317"/>
      <c r="U1095" s="317"/>
      <c r="V1095" s="317"/>
      <c r="W1095" s="317"/>
      <c r="X1095" s="317"/>
      <c r="Y1095" s="317"/>
      <c r="Z1095" s="317"/>
    </row>
    <row r="1096" spans="1:26" x14ac:dyDescent="0.25">
      <c r="A1096" s="314"/>
      <c r="B1096" s="18">
        <v>2023</v>
      </c>
      <c r="C1096" s="18" t="s">
        <v>762</v>
      </c>
      <c r="D1096" s="18" t="s">
        <v>774</v>
      </c>
      <c r="E1096" s="18" t="s">
        <v>703</v>
      </c>
      <c r="F1096" s="18" t="s">
        <v>704</v>
      </c>
      <c r="G1096" s="18" t="s">
        <v>673</v>
      </c>
      <c r="H1096" s="18" t="s">
        <v>775</v>
      </c>
      <c r="I1096" s="315">
        <v>270.34611164204546</v>
      </c>
      <c r="J1096" s="315">
        <v>0.18495802645884665</v>
      </c>
      <c r="K1096" s="316" t="str">
        <f t="shared" si="38"/>
        <v>Lawn and Garden Equipment</v>
      </c>
      <c r="L1096" s="316" t="str">
        <f t="shared" si="39"/>
        <v>Gasoline</v>
      </c>
      <c r="M1096" s="194"/>
      <c r="N1096" s="317"/>
      <c r="O1096" s="317"/>
      <c r="P1096" s="317"/>
      <c r="Q1096" s="317"/>
      <c r="R1096" s="317"/>
      <c r="S1096" s="317"/>
      <c r="T1096" s="317"/>
      <c r="U1096" s="317"/>
      <c r="V1096" s="317"/>
      <c r="W1096" s="317"/>
      <c r="X1096" s="317"/>
      <c r="Y1096" s="317"/>
      <c r="Z1096" s="317"/>
    </row>
    <row r="1097" spans="1:26" x14ac:dyDescent="0.25">
      <c r="A1097" s="314"/>
      <c r="B1097" s="18">
        <v>2023</v>
      </c>
      <c r="C1097" s="18" t="s">
        <v>760</v>
      </c>
      <c r="D1097" s="18" t="s">
        <v>920</v>
      </c>
      <c r="E1097" s="18" t="s">
        <v>703</v>
      </c>
      <c r="F1097" s="18" t="s">
        <v>704</v>
      </c>
      <c r="G1097" s="18" t="s">
        <v>673</v>
      </c>
      <c r="H1097" s="18" t="s">
        <v>921</v>
      </c>
      <c r="I1097" s="315">
        <v>269.86555241218014</v>
      </c>
      <c r="J1097" s="315">
        <v>0.17133665459499786</v>
      </c>
      <c r="K1097" s="316" t="str">
        <f t="shared" si="38"/>
        <v>Lawn and Garden Equipment</v>
      </c>
      <c r="L1097" s="316" t="str">
        <f t="shared" si="39"/>
        <v>Gasoline</v>
      </c>
      <c r="M1097" s="194"/>
      <c r="N1097" s="317"/>
      <c r="O1097" s="317"/>
      <c r="P1097" s="317"/>
      <c r="Q1097" s="317"/>
      <c r="R1097" s="317"/>
      <c r="S1097" s="317"/>
      <c r="T1097" s="317"/>
      <c r="U1097" s="317"/>
      <c r="V1097" s="317"/>
      <c r="W1097" s="317"/>
      <c r="X1097" s="317"/>
      <c r="Y1097" s="317"/>
      <c r="Z1097" s="317"/>
    </row>
    <row r="1098" spans="1:26" x14ac:dyDescent="0.25">
      <c r="A1098" s="314"/>
      <c r="B1098" s="18">
        <v>2023</v>
      </c>
      <c r="C1098" s="18" t="s">
        <v>793</v>
      </c>
      <c r="D1098" s="18" t="s">
        <v>761</v>
      </c>
      <c r="E1098" s="18" t="s">
        <v>713</v>
      </c>
      <c r="F1098" s="18" t="s">
        <v>714</v>
      </c>
      <c r="G1098" s="18" t="s">
        <v>677</v>
      </c>
      <c r="H1098" s="18" t="s">
        <v>747</v>
      </c>
      <c r="I1098" s="315">
        <v>269.32128289547722</v>
      </c>
      <c r="J1098" s="315">
        <v>6.8800852097945803E-3</v>
      </c>
      <c r="K1098" s="316" t="str">
        <f t="shared" si="38"/>
        <v>Commercial Equipment</v>
      </c>
      <c r="L1098" s="316" t="str">
        <f t="shared" si="39"/>
        <v>Diesel</v>
      </c>
      <c r="M1098" s="194"/>
      <c r="N1098" s="317"/>
      <c r="O1098" s="317"/>
      <c r="P1098" s="317"/>
      <c r="Q1098" s="317"/>
      <c r="R1098" s="317"/>
      <c r="S1098" s="317"/>
      <c r="T1098" s="317"/>
      <c r="U1098" s="317"/>
      <c r="V1098" s="317"/>
      <c r="W1098" s="317"/>
      <c r="X1098" s="317"/>
      <c r="Y1098" s="317"/>
      <c r="Z1098" s="317"/>
    </row>
    <row r="1099" spans="1:26" x14ac:dyDescent="0.25">
      <c r="A1099" s="314"/>
      <c r="B1099" s="18">
        <v>2023</v>
      </c>
      <c r="C1099" s="18" t="s">
        <v>753</v>
      </c>
      <c r="D1099" s="18" t="s">
        <v>779</v>
      </c>
      <c r="E1099" s="18" t="s">
        <v>713</v>
      </c>
      <c r="F1099" s="18" t="s">
        <v>714</v>
      </c>
      <c r="G1099" s="18" t="s">
        <v>674</v>
      </c>
      <c r="H1099" s="18" t="s">
        <v>780</v>
      </c>
      <c r="I1099" s="315">
        <v>269.14419878799993</v>
      </c>
      <c r="J1099" s="315">
        <v>8.7658911435049814E-4</v>
      </c>
      <c r="K1099" s="316" t="str">
        <f t="shared" si="38"/>
        <v>Construction and Mining Equipment</v>
      </c>
      <c r="L1099" s="316" t="str">
        <f t="shared" si="39"/>
        <v>Diesel</v>
      </c>
      <c r="M1099" s="194"/>
      <c r="N1099" s="317"/>
      <c r="O1099" s="317"/>
      <c r="P1099" s="317"/>
      <c r="Q1099" s="317"/>
      <c r="R1099" s="317"/>
      <c r="S1099" s="317"/>
      <c r="T1099" s="317"/>
      <c r="U1099" s="317"/>
      <c r="V1099" s="317"/>
      <c r="W1099" s="317"/>
      <c r="X1099" s="317"/>
      <c r="Y1099" s="317"/>
      <c r="Z1099" s="317"/>
    </row>
    <row r="1100" spans="1:26" x14ac:dyDescent="0.25">
      <c r="A1100" s="314"/>
      <c r="B1100" s="18">
        <v>2023</v>
      </c>
      <c r="C1100" s="18" t="s">
        <v>753</v>
      </c>
      <c r="D1100" s="18" t="s">
        <v>782</v>
      </c>
      <c r="E1100" s="18" t="s">
        <v>713</v>
      </c>
      <c r="F1100" s="18" t="s">
        <v>714</v>
      </c>
      <c r="G1100" s="18" t="s">
        <v>674</v>
      </c>
      <c r="H1100" s="18" t="s">
        <v>783</v>
      </c>
      <c r="I1100" s="315">
        <v>266.94564990147438</v>
      </c>
      <c r="J1100" s="315">
        <v>2.534261425652321E-3</v>
      </c>
      <c r="K1100" s="316" t="str">
        <f t="shared" si="38"/>
        <v>Construction and Mining Equipment</v>
      </c>
      <c r="L1100" s="316" t="str">
        <f t="shared" si="39"/>
        <v>Diesel</v>
      </c>
      <c r="M1100" s="194"/>
      <c r="N1100" s="317"/>
      <c r="O1100" s="317"/>
      <c r="P1100" s="317"/>
      <c r="Q1100" s="317"/>
      <c r="R1100" s="317"/>
      <c r="S1100" s="317"/>
      <c r="T1100" s="317"/>
      <c r="U1100" s="317"/>
      <c r="V1100" s="317"/>
      <c r="W1100" s="317"/>
      <c r="X1100" s="317"/>
      <c r="Y1100" s="317"/>
      <c r="Z1100" s="317"/>
    </row>
    <row r="1101" spans="1:26" ht="12.75" x14ac:dyDescent="0.2">
      <c r="A1101" s="230"/>
      <c r="B1101" s="18">
        <v>2023</v>
      </c>
      <c r="C1101" s="18" t="s">
        <v>743</v>
      </c>
      <c r="D1101" s="18" t="s">
        <v>862</v>
      </c>
      <c r="E1101" s="18" t="s">
        <v>713</v>
      </c>
      <c r="F1101" s="18" t="s">
        <v>714</v>
      </c>
      <c r="G1101" s="18" t="s">
        <v>674</v>
      </c>
      <c r="H1101" s="18" t="s">
        <v>863</v>
      </c>
      <c r="I1101" s="315">
        <v>266.43277862015191</v>
      </c>
      <c r="J1101" s="315">
        <v>1.9221118962228193E-3</v>
      </c>
      <c r="K1101" s="316" t="str">
        <f t="shared" si="38"/>
        <v>Construction and Mining Equipment</v>
      </c>
      <c r="L1101" s="316" t="str">
        <f t="shared" si="39"/>
        <v>Diesel</v>
      </c>
      <c r="M1101" s="8"/>
      <c r="N1101" s="2"/>
      <c r="O1101" s="2"/>
      <c r="P1101" s="2"/>
      <c r="Q1101" s="2"/>
      <c r="R1101" s="2"/>
      <c r="S1101" s="2"/>
      <c r="T1101" s="2"/>
      <c r="U1101" s="2"/>
      <c r="V1101" s="2"/>
      <c r="W1101" s="2"/>
      <c r="X1101" s="2"/>
      <c r="Y1101" s="2"/>
      <c r="Z1101" s="2"/>
    </row>
    <row r="1102" spans="1:26" x14ac:dyDescent="0.25">
      <c r="A1102" s="314"/>
      <c r="B1102" s="18">
        <v>2023</v>
      </c>
      <c r="C1102" s="18" t="s">
        <v>754</v>
      </c>
      <c r="D1102" s="18" t="s">
        <v>855</v>
      </c>
      <c r="E1102" s="18" t="s">
        <v>713</v>
      </c>
      <c r="F1102" s="18" t="s">
        <v>714</v>
      </c>
      <c r="G1102" s="18" t="s">
        <v>674</v>
      </c>
      <c r="H1102" s="18" t="s">
        <v>856</v>
      </c>
      <c r="I1102" s="315">
        <v>264.89641128663607</v>
      </c>
      <c r="J1102" s="315">
        <v>1.6738497359108904E-3</v>
      </c>
      <c r="K1102" s="316" t="str">
        <f t="shared" si="38"/>
        <v>Construction and Mining Equipment</v>
      </c>
      <c r="L1102" s="316" t="str">
        <f t="shared" si="39"/>
        <v>Diesel</v>
      </c>
      <c r="M1102" s="194"/>
      <c r="N1102" s="317"/>
      <c r="O1102" s="317"/>
      <c r="P1102" s="317"/>
      <c r="Q1102" s="317"/>
      <c r="R1102" s="317"/>
      <c r="S1102" s="317"/>
      <c r="T1102" s="317"/>
      <c r="U1102" s="317"/>
      <c r="V1102" s="317"/>
      <c r="W1102" s="317"/>
      <c r="X1102" s="317"/>
      <c r="Y1102" s="317"/>
      <c r="Z1102" s="317"/>
    </row>
    <row r="1103" spans="1:26" x14ac:dyDescent="0.25">
      <c r="A1103" s="314"/>
      <c r="B1103" s="18">
        <v>2023</v>
      </c>
      <c r="C1103" s="18" t="s">
        <v>701</v>
      </c>
      <c r="D1103" s="18" t="s">
        <v>1011</v>
      </c>
      <c r="E1103" s="18" t="s">
        <v>56</v>
      </c>
      <c r="F1103" s="18" t="s">
        <v>672</v>
      </c>
      <c r="G1103" s="18" t="s">
        <v>677</v>
      </c>
      <c r="H1103" s="18" t="s">
        <v>836</v>
      </c>
      <c r="I1103" s="315">
        <v>264.77448132560079</v>
      </c>
      <c r="J1103" s="315">
        <v>1.4066742578451219E-2</v>
      </c>
      <c r="K1103" s="316" t="str">
        <f t="shared" si="38"/>
        <v>Commercial Equipment</v>
      </c>
      <c r="L1103" s="316" t="str">
        <f t="shared" si="39"/>
        <v>LPG</v>
      </c>
      <c r="M1103" s="194"/>
      <c r="N1103" s="317"/>
      <c r="O1103" s="317"/>
      <c r="P1103" s="317"/>
      <c r="Q1103" s="317"/>
      <c r="R1103" s="317"/>
      <c r="S1103" s="317"/>
      <c r="T1103" s="317"/>
      <c r="U1103" s="317"/>
      <c r="V1103" s="317"/>
      <c r="W1103" s="317"/>
      <c r="X1103" s="317"/>
      <c r="Y1103" s="317"/>
      <c r="Z1103" s="317"/>
    </row>
    <row r="1104" spans="1:26" x14ac:dyDescent="0.25">
      <c r="A1104" s="314"/>
      <c r="B1104" s="18">
        <v>2023</v>
      </c>
      <c r="C1104" s="18" t="s">
        <v>786</v>
      </c>
      <c r="D1104" s="18" t="s">
        <v>748</v>
      </c>
      <c r="E1104" s="18" t="s">
        <v>703</v>
      </c>
      <c r="F1104" s="18" t="s">
        <v>704</v>
      </c>
      <c r="G1104" s="18" t="s">
        <v>673</v>
      </c>
      <c r="H1104" s="18" t="s">
        <v>749</v>
      </c>
      <c r="I1104" s="315">
        <v>264.7622247261346</v>
      </c>
      <c r="J1104" s="315">
        <v>0.15038408942994466</v>
      </c>
      <c r="K1104" s="316" t="str">
        <f t="shared" si="38"/>
        <v>Lawn and Garden Equipment</v>
      </c>
      <c r="L1104" s="316" t="str">
        <f t="shared" si="39"/>
        <v>Gasoline</v>
      </c>
      <c r="M1104" s="194"/>
      <c r="N1104" s="317"/>
      <c r="O1104" s="317"/>
      <c r="P1104" s="317"/>
      <c r="Q1104" s="317"/>
      <c r="R1104" s="317"/>
      <c r="S1104" s="317"/>
      <c r="T1104" s="317"/>
      <c r="U1104" s="317"/>
      <c r="V1104" s="317"/>
      <c r="W1104" s="317"/>
      <c r="X1104" s="317"/>
      <c r="Y1104" s="317"/>
      <c r="Z1104" s="317"/>
    </row>
    <row r="1105" spans="1:26" x14ac:dyDescent="0.25">
      <c r="A1105" s="314"/>
      <c r="B1105" s="18">
        <v>2023</v>
      </c>
      <c r="C1105" s="18" t="s">
        <v>773</v>
      </c>
      <c r="D1105" s="18" t="s">
        <v>737</v>
      </c>
      <c r="E1105" s="18" t="s">
        <v>713</v>
      </c>
      <c r="F1105" s="18" t="s">
        <v>714</v>
      </c>
      <c r="G1105" s="18" t="s">
        <v>680</v>
      </c>
      <c r="H1105" s="18" t="s">
        <v>680</v>
      </c>
      <c r="I1105" s="315">
        <v>263.94000190082568</v>
      </c>
      <c r="J1105" s="315">
        <v>2.1311506230743044E-3</v>
      </c>
      <c r="K1105" s="316" t="str">
        <f t="shared" si="38"/>
        <v>Airport Ground Support Equipment</v>
      </c>
      <c r="L1105" s="316" t="str">
        <f t="shared" si="39"/>
        <v>Diesel</v>
      </c>
      <c r="M1105" s="194"/>
      <c r="N1105" s="317"/>
      <c r="O1105" s="317"/>
      <c r="P1105" s="317"/>
      <c r="Q1105" s="317"/>
      <c r="R1105" s="317"/>
      <c r="S1105" s="317"/>
      <c r="T1105" s="317"/>
      <c r="U1105" s="317"/>
      <c r="V1105" s="317"/>
      <c r="W1105" s="317"/>
      <c r="X1105" s="317"/>
      <c r="Y1105" s="317"/>
      <c r="Z1105" s="317"/>
    </row>
    <row r="1106" spans="1:26" x14ac:dyDescent="0.25">
      <c r="A1106" s="314"/>
      <c r="B1106" s="18">
        <v>2023</v>
      </c>
      <c r="C1106" s="18" t="s">
        <v>810</v>
      </c>
      <c r="D1106" s="18" t="s">
        <v>774</v>
      </c>
      <c r="E1106" s="18" t="s">
        <v>703</v>
      </c>
      <c r="F1106" s="18" t="s">
        <v>704</v>
      </c>
      <c r="G1106" s="18" t="s">
        <v>673</v>
      </c>
      <c r="H1106" s="18" t="s">
        <v>775</v>
      </c>
      <c r="I1106" s="315">
        <v>263.8427945778717</v>
      </c>
      <c r="J1106" s="315">
        <v>0.18261498589958422</v>
      </c>
      <c r="K1106" s="316" t="str">
        <f t="shared" si="38"/>
        <v>Lawn and Garden Equipment</v>
      </c>
      <c r="L1106" s="316" t="str">
        <f t="shared" si="39"/>
        <v>Gasoline</v>
      </c>
      <c r="M1106" s="194"/>
      <c r="N1106" s="317"/>
      <c r="O1106" s="317"/>
      <c r="P1106" s="317"/>
      <c r="Q1106" s="317"/>
      <c r="R1106" s="317"/>
      <c r="S1106" s="317"/>
      <c r="T1106" s="317"/>
      <c r="U1106" s="317"/>
      <c r="V1106" s="317"/>
      <c r="W1106" s="317"/>
      <c r="X1106" s="317"/>
      <c r="Y1106" s="317"/>
      <c r="Z1106" s="317"/>
    </row>
    <row r="1107" spans="1:26" x14ac:dyDescent="0.25">
      <c r="A1107" s="314"/>
      <c r="B1107" s="18">
        <v>2023</v>
      </c>
      <c r="C1107" s="18" t="s">
        <v>753</v>
      </c>
      <c r="D1107" s="18" t="s">
        <v>894</v>
      </c>
      <c r="E1107" s="18" t="s">
        <v>713</v>
      </c>
      <c r="F1107" s="18" t="s">
        <v>714</v>
      </c>
      <c r="G1107" s="18" t="s">
        <v>681</v>
      </c>
      <c r="H1107" s="18" t="s">
        <v>895</v>
      </c>
      <c r="I1107" s="315">
        <v>263.43620705083731</v>
      </c>
      <c r="J1107" s="315">
        <v>5.1658917687060575E-4</v>
      </c>
      <c r="K1107" s="316" t="str">
        <f t="shared" si="38"/>
        <v>Logging Equipment</v>
      </c>
      <c r="L1107" s="316" t="str">
        <f t="shared" si="39"/>
        <v>Diesel</v>
      </c>
      <c r="M1107" s="194"/>
      <c r="N1107" s="317"/>
      <c r="O1107" s="317"/>
      <c r="P1107" s="317"/>
      <c r="Q1107" s="317"/>
      <c r="R1107" s="317"/>
      <c r="S1107" s="317"/>
      <c r="T1107" s="317"/>
      <c r="U1107" s="317"/>
      <c r="V1107" s="317"/>
      <c r="W1107" s="317"/>
      <c r="X1107" s="317"/>
      <c r="Y1107" s="317"/>
      <c r="Z1107" s="317"/>
    </row>
    <row r="1108" spans="1:26" x14ac:dyDescent="0.25">
      <c r="A1108" s="314"/>
      <c r="B1108" s="18">
        <v>2023</v>
      </c>
      <c r="C1108" s="18" t="s">
        <v>753</v>
      </c>
      <c r="D1108" s="18" t="s">
        <v>774</v>
      </c>
      <c r="E1108" s="18" t="s">
        <v>703</v>
      </c>
      <c r="F1108" s="18" t="s">
        <v>704</v>
      </c>
      <c r="G1108" s="18" t="s">
        <v>673</v>
      </c>
      <c r="H1108" s="18" t="s">
        <v>775</v>
      </c>
      <c r="I1108" s="315">
        <v>263.16484115462526</v>
      </c>
      <c r="J1108" s="315">
        <v>0.17984188408080165</v>
      </c>
      <c r="K1108" s="316" t="str">
        <f t="shared" si="38"/>
        <v>Lawn and Garden Equipment</v>
      </c>
      <c r="L1108" s="316" t="str">
        <f t="shared" si="39"/>
        <v>Gasoline</v>
      </c>
      <c r="M1108" s="194"/>
      <c r="N1108" s="317"/>
      <c r="O1108" s="317"/>
      <c r="P1108" s="317"/>
      <c r="Q1108" s="317"/>
      <c r="R1108" s="317"/>
      <c r="S1108" s="317"/>
      <c r="T1108" s="317"/>
      <c r="U1108" s="317"/>
      <c r="V1108" s="317"/>
      <c r="W1108" s="317"/>
      <c r="X1108" s="317"/>
      <c r="Y1108" s="317"/>
      <c r="Z1108" s="317"/>
    </row>
    <row r="1109" spans="1:26" x14ac:dyDescent="0.25">
      <c r="A1109" s="314"/>
      <c r="B1109" s="18">
        <v>2023</v>
      </c>
      <c r="C1109" s="18" t="s">
        <v>762</v>
      </c>
      <c r="D1109" s="18" t="s">
        <v>757</v>
      </c>
      <c r="E1109" s="18" t="s">
        <v>713</v>
      </c>
      <c r="F1109" s="18" t="s">
        <v>714</v>
      </c>
      <c r="G1109" s="18" t="s">
        <v>673</v>
      </c>
      <c r="H1109" s="18" t="s">
        <v>758</v>
      </c>
      <c r="I1109" s="315">
        <v>262.86816839533702</v>
      </c>
      <c r="J1109" s="315">
        <v>1.0127733341488317E-2</v>
      </c>
      <c r="K1109" s="316" t="str">
        <f t="shared" si="38"/>
        <v>Lawn and Garden Equipment</v>
      </c>
      <c r="L1109" s="316" t="str">
        <f t="shared" si="39"/>
        <v>Diesel</v>
      </c>
      <c r="M1109" s="194"/>
      <c r="N1109" s="317"/>
      <c r="O1109" s="317"/>
      <c r="P1109" s="317"/>
      <c r="Q1109" s="317"/>
      <c r="R1109" s="317"/>
      <c r="S1109" s="317"/>
      <c r="T1109" s="317"/>
      <c r="U1109" s="317"/>
      <c r="V1109" s="317"/>
      <c r="W1109" s="317"/>
      <c r="X1109" s="317"/>
      <c r="Y1109" s="317"/>
      <c r="Z1109" s="317"/>
    </row>
    <row r="1110" spans="1:26" x14ac:dyDescent="0.25">
      <c r="A1110" s="314"/>
      <c r="B1110" s="18">
        <v>2023</v>
      </c>
      <c r="C1110" s="18" t="s">
        <v>750</v>
      </c>
      <c r="D1110" s="18" t="s">
        <v>761</v>
      </c>
      <c r="E1110" s="18" t="s">
        <v>713</v>
      </c>
      <c r="F1110" s="18" t="s">
        <v>714</v>
      </c>
      <c r="G1110" s="18" t="s">
        <v>677</v>
      </c>
      <c r="H1110" s="18" t="s">
        <v>747</v>
      </c>
      <c r="I1110" s="315">
        <v>262.04235754671095</v>
      </c>
      <c r="J1110" s="315">
        <v>6.6941469885177874E-3</v>
      </c>
      <c r="K1110" s="316" t="str">
        <f t="shared" si="38"/>
        <v>Commercial Equipment</v>
      </c>
      <c r="L1110" s="316" t="str">
        <f t="shared" si="39"/>
        <v>Diesel</v>
      </c>
      <c r="M1110" s="194"/>
      <c r="N1110" s="317"/>
      <c r="O1110" s="317"/>
      <c r="P1110" s="317"/>
      <c r="Q1110" s="317"/>
      <c r="R1110" s="317"/>
      <c r="S1110" s="317"/>
      <c r="T1110" s="317"/>
      <c r="U1110" s="317"/>
      <c r="V1110" s="317"/>
      <c r="W1110" s="317"/>
      <c r="X1110" s="317"/>
      <c r="Y1110" s="317"/>
      <c r="Z1110" s="317"/>
    </row>
    <row r="1111" spans="1:26" x14ac:dyDescent="0.25">
      <c r="A1111" s="314"/>
      <c r="B1111" s="18">
        <v>2023</v>
      </c>
      <c r="C1111" s="18" t="s">
        <v>762</v>
      </c>
      <c r="D1111" s="18" t="s">
        <v>769</v>
      </c>
      <c r="E1111" s="18" t="s">
        <v>713</v>
      </c>
      <c r="F1111" s="18" t="s">
        <v>714</v>
      </c>
      <c r="G1111" s="18" t="s">
        <v>674</v>
      </c>
      <c r="H1111" s="18" t="s">
        <v>770</v>
      </c>
      <c r="I1111" s="315">
        <v>260.94426367886211</v>
      </c>
      <c r="J1111" s="315">
        <v>2.0923378044562769E-3</v>
      </c>
      <c r="K1111" s="316" t="str">
        <f t="shared" si="38"/>
        <v>Construction and Mining Equipment</v>
      </c>
      <c r="L1111" s="316" t="str">
        <f t="shared" si="39"/>
        <v>Diesel</v>
      </c>
      <c r="M1111" s="194"/>
      <c r="N1111" s="317"/>
      <c r="O1111" s="317"/>
      <c r="P1111" s="317"/>
      <c r="Q1111" s="317"/>
      <c r="R1111" s="317"/>
      <c r="S1111" s="317"/>
      <c r="T1111" s="317"/>
      <c r="U1111" s="317"/>
      <c r="V1111" s="317"/>
      <c r="W1111" s="317"/>
      <c r="X1111" s="317"/>
      <c r="Y1111" s="317"/>
      <c r="Z1111" s="317"/>
    </row>
    <row r="1112" spans="1:26" x14ac:dyDescent="0.25">
      <c r="A1112" s="314"/>
      <c r="B1112" s="18">
        <v>2023</v>
      </c>
      <c r="C1112" s="18" t="s">
        <v>778</v>
      </c>
      <c r="D1112" s="18" t="s">
        <v>767</v>
      </c>
      <c r="E1112" s="18" t="s">
        <v>703</v>
      </c>
      <c r="F1112" s="18" t="s">
        <v>704</v>
      </c>
      <c r="G1112" s="18" t="s">
        <v>673</v>
      </c>
      <c r="H1112" s="18" t="s">
        <v>768</v>
      </c>
      <c r="I1112" s="315">
        <v>260.58050645781367</v>
      </c>
      <c r="J1112" s="315">
        <v>0.18098319718968114</v>
      </c>
      <c r="K1112" s="316" t="str">
        <f t="shared" si="38"/>
        <v>Lawn and Garden Equipment</v>
      </c>
      <c r="L1112" s="316" t="str">
        <f t="shared" si="39"/>
        <v>Gasoline</v>
      </c>
      <c r="M1112" s="194"/>
      <c r="N1112" s="317"/>
      <c r="O1112" s="317"/>
      <c r="P1112" s="317"/>
      <c r="Q1112" s="317"/>
      <c r="R1112" s="317"/>
      <c r="S1112" s="317"/>
      <c r="T1112" s="317"/>
      <c r="U1112" s="317"/>
      <c r="V1112" s="317"/>
      <c r="W1112" s="317"/>
      <c r="X1112" s="317"/>
      <c r="Y1112" s="317"/>
      <c r="Z1112" s="317"/>
    </row>
    <row r="1113" spans="1:26" x14ac:dyDescent="0.25">
      <c r="A1113" s="314"/>
      <c r="B1113" s="18">
        <v>2023</v>
      </c>
      <c r="C1113" s="18" t="s">
        <v>727</v>
      </c>
      <c r="D1113" s="18" t="s">
        <v>982</v>
      </c>
      <c r="E1113" s="18" t="s">
        <v>703</v>
      </c>
      <c r="F1113" s="18" t="s">
        <v>805</v>
      </c>
      <c r="G1113" s="18" t="s">
        <v>679</v>
      </c>
      <c r="H1113" s="18" t="s">
        <v>983</v>
      </c>
      <c r="I1113" s="315">
        <v>259.65830950816036</v>
      </c>
      <c r="J1113" s="315">
        <v>0.79679839216003689</v>
      </c>
      <c r="K1113" s="316" t="str">
        <f t="shared" si="38"/>
        <v>Recreational Equipment</v>
      </c>
      <c r="L1113" s="316" t="str">
        <f t="shared" si="39"/>
        <v>Gasoline</v>
      </c>
      <c r="M1113" s="194"/>
      <c r="N1113" s="317"/>
      <c r="O1113" s="317"/>
      <c r="P1113" s="317"/>
      <c r="Q1113" s="317"/>
      <c r="R1113" s="317"/>
      <c r="S1113" s="317"/>
      <c r="T1113" s="317"/>
      <c r="U1113" s="317"/>
      <c r="V1113" s="317"/>
      <c r="W1113" s="317"/>
      <c r="X1113" s="317"/>
      <c r="Y1113" s="317"/>
      <c r="Z1113" s="317"/>
    </row>
    <row r="1114" spans="1:26" x14ac:dyDescent="0.25">
      <c r="A1114" s="314"/>
      <c r="B1114" s="18">
        <v>2023</v>
      </c>
      <c r="C1114" s="18" t="s">
        <v>743</v>
      </c>
      <c r="D1114" s="18" t="s">
        <v>866</v>
      </c>
      <c r="E1114" s="18" t="s">
        <v>713</v>
      </c>
      <c r="F1114" s="18" t="s">
        <v>714</v>
      </c>
      <c r="G1114" s="18" t="s">
        <v>677</v>
      </c>
      <c r="H1114" s="18" t="s">
        <v>841</v>
      </c>
      <c r="I1114" s="315">
        <v>259.40723165162586</v>
      </c>
      <c r="J1114" s="315">
        <v>6.4685857165480178E-3</v>
      </c>
      <c r="K1114" s="316" t="str">
        <f t="shared" si="38"/>
        <v>Commercial Equipment</v>
      </c>
      <c r="L1114" s="316" t="str">
        <f t="shared" si="39"/>
        <v>Diesel</v>
      </c>
      <c r="M1114" s="194"/>
      <c r="N1114" s="317"/>
      <c r="O1114" s="317"/>
      <c r="P1114" s="317"/>
      <c r="Q1114" s="317"/>
      <c r="R1114" s="317"/>
      <c r="S1114" s="317"/>
      <c r="T1114" s="317"/>
      <c r="U1114" s="317"/>
      <c r="V1114" s="317"/>
      <c r="W1114" s="317"/>
      <c r="X1114" s="317"/>
      <c r="Y1114" s="317"/>
      <c r="Z1114" s="317"/>
    </row>
    <row r="1115" spans="1:26" x14ac:dyDescent="0.25">
      <c r="A1115" s="314"/>
      <c r="B1115" s="18">
        <v>2023</v>
      </c>
      <c r="C1115" s="18" t="s">
        <v>754</v>
      </c>
      <c r="D1115" s="18" t="s">
        <v>867</v>
      </c>
      <c r="E1115" s="18" t="s">
        <v>713</v>
      </c>
      <c r="F1115" s="18" t="s">
        <v>714</v>
      </c>
      <c r="G1115" s="18" t="s">
        <v>673</v>
      </c>
      <c r="H1115" s="18" t="s">
        <v>724</v>
      </c>
      <c r="I1115" s="315">
        <v>259.24755744899329</v>
      </c>
      <c r="J1115" s="315">
        <v>1.3341835913115226E-2</v>
      </c>
      <c r="K1115" s="316" t="str">
        <f t="shared" si="38"/>
        <v>Lawn and Garden Equipment</v>
      </c>
      <c r="L1115" s="316" t="str">
        <f t="shared" si="39"/>
        <v>Diesel</v>
      </c>
      <c r="M1115" s="194"/>
      <c r="N1115" s="317"/>
      <c r="O1115" s="317"/>
      <c r="P1115" s="317"/>
      <c r="Q1115" s="317"/>
      <c r="R1115" s="317"/>
      <c r="S1115" s="317"/>
      <c r="T1115" s="317"/>
      <c r="U1115" s="317"/>
      <c r="V1115" s="317"/>
      <c r="W1115" s="317"/>
      <c r="X1115" s="317"/>
      <c r="Y1115" s="317"/>
      <c r="Z1115" s="317"/>
    </row>
    <row r="1116" spans="1:26" x14ac:dyDescent="0.25">
      <c r="A1116" s="314"/>
      <c r="B1116" s="18">
        <v>2023</v>
      </c>
      <c r="C1116" s="18" t="s">
        <v>781</v>
      </c>
      <c r="D1116" s="18" t="s">
        <v>746</v>
      </c>
      <c r="E1116" s="18" t="s">
        <v>703</v>
      </c>
      <c r="F1116" s="18" t="s">
        <v>704</v>
      </c>
      <c r="G1116" s="18" t="s">
        <v>677</v>
      </c>
      <c r="H1116" s="18" t="s">
        <v>747</v>
      </c>
      <c r="I1116" s="315">
        <v>258.75146114120042</v>
      </c>
      <c r="J1116" s="315">
        <v>0.1698908666134579</v>
      </c>
      <c r="K1116" s="316" t="str">
        <f t="shared" si="38"/>
        <v>Commercial Equipment</v>
      </c>
      <c r="L1116" s="316" t="str">
        <f t="shared" si="39"/>
        <v>Gasoline</v>
      </c>
      <c r="M1116" s="194"/>
      <c r="N1116" s="317"/>
      <c r="O1116" s="317"/>
      <c r="P1116" s="317"/>
      <c r="Q1116" s="317"/>
      <c r="R1116" s="317"/>
      <c r="S1116" s="317"/>
      <c r="T1116" s="317"/>
      <c r="U1116" s="317"/>
      <c r="V1116" s="317"/>
      <c r="W1116" s="317"/>
      <c r="X1116" s="317"/>
      <c r="Y1116" s="317"/>
      <c r="Z1116" s="317"/>
    </row>
    <row r="1117" spans="1:26" x14ac:dyDescent="0.25">
      <c r="A1117" s="314"/>
      <c r="B1117" s="18">
        <v>2023</v>
      </c>
      <c r="C1117" s="18" t="s">
        <v>750</v>
      </c>
      <c r="D1117" s="18" t="s">
        <v>744</v>
      </c>
      <c r="E1117" s="18" t="s">
        <v>703</v>
      </c>
      <c r="F1117" s="18" t="s">
        <v>704</v>
      </c>
      <c r="G1117" s="18" t="s">
        <v>673</v>
      </c>
      <c r="H1117" s="18" t="s">
        <v>745</v>
      </c>
      <c r="I1117" s="315">
        <v>258.01237794189529</v>
      </c>
      <c r="J1117" s="315">
        <v>0.18985893421915556</v>
      </c>
      <c r="K1117" s="316" t="str">
        <f t="shared" si="38"/>
        <v>Lawn and Garden Equipment</v>
      </c>
      <c r="L1117" s="316" t="str">
        <f t="shared" si="39"/>
        <v>Gasoline</v>
      </c>
      <c r="M1117" s="194"/>
      <c r="N1117" s="317"/>
      <c r="O1117" s="317"/>
      <c r="P1117" s="317"/>
      <c r="Q1117" s="317"/>
      <c r="R1117" s="317"/>
      <c r="S1117" s="317"/>
      <c r="T1117" s="317"/>
      <c r="U1117" s="317"/>
      <c r="V1117" s="317"/>
      <c r="W1117" s="317"/>
      <c r="X1117" s="317"/>
      <c r="Y1117" s="317"/>
      <c r="Z1117" s="317"/>
    </row>
    <row r="1118" spans="1:26" x14ac:dyDescent="0.25">
      <c r="A1118" s="314"/>
      <c r="B1118" s="18">
        <v>2023</v>
      </c>
      <c r="C1118" s="18" t="s">
        <v>781</v>
      </c>
      <c r="D1118" s="18" t="s">
        <v>797</v>
      </c>
      <c r="E1118" s="18" t="s">
        <v>713</v>
      </c>
      <c r="F1118" s="18" t="s">
        <v>714</v>
      </c>
      <c r="G1118" s="18" t="s">
        <v>675</v>
      </c>
      <c r="H1118" s="18" t="s">
        <v>798</v>
      </c>
      <c r="I1118" s="315">
        <v>257.94614666908967</v>
      </c>
      <c r="J1118" s="315">
        <v>2.1760395449365961E-3</v>
      </c>
      <c r="K1118" s="316" t="str">
        <f t="shared" si="38"/>
        <v>Industrial Equipment</v>
      </c>
      <c r="L1118" s="316" t="str">
        <f t="shared" si="39"/>
        <v>Diesel</v>
      </c>
      <c r="M1118" s="194"/>
      <c r="N1118" s="317"/>
      <c r="O1118" s="317"/>
      <c r="P1118" s="317"/>
      <c r="Q1118" s="317"/>
      <c r="R1118" s="317"/>
      <c r="S1118" s="317"/>
      <c r="T1118" s="317"/>
      <c r="U1118" s="317"/>
      <c r="V1118" s="317"/>
      <c r="W1118" s="317"/>
      <c r="X1118" s="317"/>
      <c r="Y1118" s="317"/>
      <c r="Z1118" s="317"/>
    </row>
    <row r="1119" spans="1:26" x14ac:dyDescent="0.25">
      <c r="A1119" s="314"/>
      <c r="B1119" s="18">
        <v>2023</v>
      </c>
      <c r="C1119" s="18" t="s">
        <v>709</v>
      </c>
      <c r="D1119" s="18" t="s">
        <v>970</v>
      </c>
      <c r="E1119" s="18" t="s">
        <v>713</v>
      </c>
      <c r="F1119" s="18" t="s">
        <v>714</v>
      </c>
      <c r="G1119" s="18" t="s">
        <v>675</v>
      </c>
      <c r="H1119" s="18" t="s">
        <v>969</v>
      </c>
      <c r="I1119" s="315">
        <v>257.80603628760332</v>
      </c>
      <c r="J1119" s="315">
        <v>8.3763492404087935E-3</v>
      </c>
      <c r="K1119" s="316" t="str">
        <f t="shared" si="38"/>
        <v>Industrial Equipment</v>
      </c>
      <c r="L1119" s="316" t="str">
        <f t="shared" si="39"/>
        <v>Diesel</v>
      </c>
      <c r="M1119" s="194"/>
      <c r="N1119" s="317"/>
      <c r="O1119" s="317"/>
      <c r="P1119" s="317"/>
      <c r="Q1119" s="317"/>
      <c r="R1119" s="317"/>
      <c r="S1119" s="317"/>
      <c r="T1119" s="317"/>
      <c r="U1119" s="317"/>
      <c r="V1119" s="317"/>
      <c r="W1119" s="317"/>
      <c r="X1119" s="317"/>
      <c r="Y1119" s="317"/>
      <c r="Z1119" s="317"/>
    </row>
    <row r="1120" spans="1:26" x14ac:dyDescent="0.25">
      <c r="A1120" s="314"/>
      <c r="B1120" s="18">
        <v>2023</v>
      </c>
      <c r="C1120" s="18" t="s">
        <v>810</v>
      </c>
      <c r="D1120" s="18" t="s">
        <v>751</v>
      </c>
      <c r="E1120" s="18" t="s">
        <v>713</v>
      </c>
      <c r="F1120" s="18" t="s">
        <v>676</v>
      </c>
      <c r="G1120" s="18" t="s">
        <v>79</v>
      </c>
      <c r="H1120" s="18" t="s">
        <v>740</v>
      </c>
      <c r="I1120" s="315">
        <v>257.0984515694193</v>
      </c>
      <c r="J1120" s="315">
        <v>1.0090882026658197E-2</v>
      </c>
      <c r="K1120" s="316" t="str">
        <f t="shared" si="38"/>
        <v>Pleasure Craft</v>
      </c>
      <c r="L1120" s="316" t="str">
        <f t="shared" si="39"/>
        <v>Diesel</v>
      </c>
      <c r="M1120" s="194"/>
      <c r="N1120" s="317"/>
      <c r="O1120" s="317"/>
      <c r="P1120" s="317"/>
      <c r="Q1120" s="317"/>
      <c r="R1120" s="317"/>
      <c r="S1120" s="317"/>
      <c r="T1120" s="317"/>
      <c r="U1120" s="317"/>
      <c r="V1120" s="317"/>
      <c r="W1120" s="317"/>
      <c r="X1120" s="317"/>
      <c r="Y1120" s="317"/>
      <c r="Z1120" s="317"/>
    </row>
    <row r="1121" spans="1:26" x14ac:dyDescent="0.25">
      <c r="A1121" s="314"/>
      <c r="B1121" s="18">
        <v>2023</v>
      </c>
      <c r="C1121" s="18" t="s">
        <v>706</v>
      </c>
      <c r="D1121" s="18" t="s">
        <v>1016</v>
      </c>
      <c r="E1121" s="18" t="s">
        <v>56</v>
      </c>
      <c r="F1121" s="18" t="s">
        <v>672</v>
      </c>
      <c r="G1121" s="18" t="s">
        <v>675</v>
      </c>
      <c r="H1121" s="18" t="s">
        <v>802</v>
      </c>
      <c r="I1121" s="315">
        <v>256.26585716157433</v>
      </c>
      <c r="J1121" s="315">
        <v>1.1756930836737543E-2</v>
      </c>
      <c r="K1121" s="316" t="str">
        <f t="shared" si="38"/>
        <v>Industrial Equipment</v>
      </c>
      <c r="L1121" s="316" t="str">
        <f t="shared" si="39"/>
        <v>LPG</v>
      </c>
      <c r="M1121" s="194"/>
      <c r="N1121" s="317"/>
      <c r="O1121" s="317"/>
      <c r="P1121" s="317"/>
      <c r="Q1121" s="317"/>
      <c r="R1121" s="317"/>
      <c r="S1121" s="317"/>
      <c r="T1121" s="317"/>
      <c r="U1121" s="317"/>
      <c r="V1121" s="317"/>
      <c r="W1121" s="317"/>
      <c r="X1121" s="317"/>
      <c r="Y1121" s="317"/>
      <c r="Z1121" s="317"/>
    </row>
    <row r="1122" spans="1:26" x14ac:dyDescent="0.25">
      <c r="A1122" s="314"/>
      <c r="B1122" s="18">
        <v>2023</v>
      </c>
      <c r="C1122" s="18" t="s">
        <v>711</v>
      </c>
      <c r="D1122" s="18" t="s">
        <v>986</v>
      </c>
      <c r="E1122" s="18" t="s">
        <v>703</v>
      </c>
      <c r="F1122" s="18" t="s">
        <v>704</v>
      </c>
      <c r="G1122" s="18" t="s">
        <v>673</v>
      </c>
      <c r="H1122" s="18" t="s">
        <v>987</v>
      </c>
      <c r="I1122" s="315">
        <v>255.18300715684438</v>
      </c>
      <c r="J1122" s="315">
        <v>0.1746735683140159</v>
      </c>
      <c r="K1122" s="316" t="str">
        <f t="shared" si="38"/>
        <v>Lawn and Garden Equipment</v>
      </c>
      <c r="L1122" s="316" t="str">
        <f t="shared" si="39"/>
        <v>Gasoline</v>
      </c>
      <c r="M1122" s="194"/>
      <c r="N1122" s="317"/>
      <c r="O1122" s="317"/>
      <c r="P1122" s="317"/>
      <c r="Q1122" s="317"/>
      <c r="R1122" s="317"/>
      <c r="S1122" s="317"/>
      <c r="T1122" s="317"/>
      <c r="U1122" s="317"/>
      <c r="V1122" s="317"/>
      <c r="W1122" s="317"/>
      <c r="X1122" s="317"/>
      <c r="Y1122" s="317"/>
      <c r="Z1122" s="317"/>
    </row>
    <row r="1123" spans="1:26" x14ac:dyDescent="0.25">
      <c r="A1123" s="314"/>
      <c r="B1123" s="18">
        <v>2023</v>
      </c>
      <c r="C1123" s="18" t="s">
        <v>743</v>
      </c>
      <c r="D1123" s="18" t="s">
        <v>807</v>
      </c>
      <c r="E1123" s="18" t="s">
        <v>703</v>
      </c>
      <c r="F1123" s="18" t="s">
        <v>805</v>
      </c>
      <c r="G1123" s="18" t="s">
        <v>673</v>
      </c>
      <c r="H1123" s="18" t="s">
        <v>749</v>
      </c>
      <c r="I1123" s="315">
        <v>255.14284885347607</v>
      </c>
      <c r="J1123" s="315">
        <v>0.47728710914602818</v>
      </c>
      <c r="K1123" s="316" t="str">
        <f t="shared" si="38"/>
        <v>Lawn and Garden Equipment</v>
      </c>
      <c r="L1123" s="316" t="str">
        <f t="shared" si="39"/>
        <v>Gasoline</v>
      </c>
      <c r="M1123" s="194"/>
      <c r="N1123" s="317"/>
      <c r="O1123" s="317"/>
      <c r="P1123" s="317"/>
      <c r="Q1123" s="317"/>
      <c r="R1123" s="317"/>
      <c r="S1123" s="317"/>
      <c r="T1123" s="317"/>
      <c r="U1123" s="317"/>
      <c r="V1123" s="317"/>
      <c r="W1123" s="317"/>
      <c r="X1123" s="317"/>
      <c r="Y1123" s="317"/>
      <c r="Z1123" s="317"/>
    </row>
    <row r="1124" spans="1:26" x14ac:dyDescent="0.25">
      <c r="A1124" s="314"/>
      <c r="B1124" s="18">
        <v>2023</v>
      </c>
      <c r="C1124" s="18" t="s">
        <v>754</v>
      </c>
      <c r="D1124" s="18" t="s">
        <v>858</v>
      </c>
      <c r="E1124" s="18" t="s">
        <v>713</v>
      </c>
      <c r="F1124" s="18" t="s">
        <v>714</v>
      </c>
      <c r="G1124" s="18" t="s">
        <v>674</v>
      </c>
      <c r="H1124" s="18" t="s">
        <v>859</v>
      </c>
      <c r="I1124" s="315">
        <v>254.82780828081388</v>
      </c>
      <c r="J1124" s="315">
        <v>2.2619567855437922E-3</v>
      </c>
      <c r="K1124" s="316" t="str">
        <f t="shared" si="38"/>
        <v>Construction and Mining Equipment</v>
      </c>
      <c r="L1124" s="316" t="str">
        <f t="shared" si="39"/>
        <v>Diesel</v>
      </c>
      <c r="M1124" s="194"/>
      <c r="N1124" s="317"/>
      <c r="O1124" s="317"/>
      <c r="P1124" s="317"/>
      <c r="Q1124" s="317"/>
      <c r="R1124" s="317"/>
      <c r="S1124" s="317"/>
      <c r="T1124" s="317"/>
      <c r="U1124" s="317"/>
      <c r="V1124" s="317"/>
      <c r="W1124" s="317"/>
      <c r="X1124" s="317"/>
      <c r="Y1124" s="317"/>
      <c r="Z1124" s="317"/>
    </row>
    <row r="1125" spans="1:26" x14ac:dyDescent="0.25">
      <c r="A1125" s="314"/>
      <c r="B1125" s="18">
        <v>2023</v>
      </c>
      <c r="C1125" s="18" t="s">
        <v>810</v>
      </c>
      <c r="D1125" s="18" t="s">
        <v>761</v>
      </c>
      <c r="E1125" s="18" t="s">
        <v>713</v>
      </c>
      <c r="F1125" s="18" t="s">
        <v>714</v>
      </c>
      <c r="G1125" s="18" t="s">
        <v>677</v>
      </c>
      <c r="H1125" s="18" t="s">
        <v>747</v>
      </c>
      <c r="I1125" s="315">
        <v>254.76332968299269</v>
      </c>
      <c r="J1125" s="315">
        <v>6.5081932014416843E-3</v>
      </c>
      <c r="K1125" s="316" t="str">
        <f t="shared" si="38"/>
        <v>Commercial Equipment</v>
      </c>
      <c r="L1125" s="316" t="str">
        <f t="shared" si="39"/>
        <v>Diesel</v>
      </c>
      <c r="M1125" s="194"/>
      <c r="N1125" s="317"/>
      <c r="O1125" s="317"/>
      <c r="P1125" s="317"/>
      <c r="Q1125" s="317"/>
      <c r="R1125" s="317"/>
      <c r="S1125" s="317"/>
      <c r="T1125" s="317"/>
      <c r="U1125" s="317"/>
      <c r="V1125" s="317"/>
      <c r="W1125" s="317"/>
      <c r="X1125" s="317"/>
      <c r="Y1125" s="317"/>
      <c r="Z1125" s="317"/>
    </row>
    <row r="1126" spans="1:26" x14ac:dyDescent="0.25">
      <c r="A1126" s="314"/>
      <c r="B1126" s="18">
        <v>2023</v>
      </c>
      <c r="C1126" s="18" t="s">
        <v>787</v>
      </c>
      <c r="D1126" s="18" t="s">
        <v>849</v>
      </c>
      <c r="E1126" s="18" t="s">
        <v>713</v>
      </c>
      <c r="F1126" s="18" t="s">
        <v>714</v>
      </c>
      <c r="G1126" s="18" t="s">
        <v>674</v>
      </c>
      <c r="H1126" s="18" t="s">
        <v>850</v>
      </c>
      <c r="I1126" s="315">
        <v>254.67447457284166</v>
      </c>
      <c r="J1126" s="315">
        <v>3.5579446306428647E-3</v>
      </c>
      <c r="K1126" s="316" t="str">
        <f t="shared" si="38"/>
        <v>Construction and Mining Equipment</v>
      </c>
      <c r="L1126" s="316" t="str">
        <f t="shared" si="39"/>
        <v>Diesel</v>
      </c>
      <c r="M1126" s="194"/>
      <c r="N1126" s="317"/>
      <c r="O1126" s="317"/>
      <c r="P1126" s="317"/>
      <c r="Q1126" s="317"/>
      <c r="R1126" s="317"/>
      <c r="S1126" s="317"/>
      <c r="T1126" s="317"/>
      <c r="U1126" s="317"/>
      <c r="V1126" s="317"/>
      <c r="W1126" s="317"/>
      <c r="X1126" s="317"/>
      <c r="Y1126" s="317"/>
      <c r="Z1126" s="317"/>
    </row>
    <row r="1127" spans="1:26" x14ac:dyDescent="0.25">
      <c r="A1127" s="314"/>
      <c r="B1127" s="18">
        <v>2023</v>
      </c>
      <c r="C1127" s="18" t="s">
        <v>781</v>
      </c>
      <c r="D1127" s="18" t="s">
        <v>801</v>
      </c>
      <c r="E1127" s="18" t="s">
        <v>713</v>
      </c>
      <c r="F1127" s="18" t="s">
        <v>714</v>
      </c>
      <c r="G1127" s="18" t="s">
        <v>675</v>
      </c>
      <c r="H1127" s="18" t="s">
        <v>802</v>
      </c>
      <c r="I1127" s="315">
        <v>254.32749122301152</v>
      </c>
      <c r="J1127" s="315">
        <v>1.6941536454291313E-3</v>
      </c>
      <c r="K1127" s="316" t="str">
        <f t="shared" si="38"/>
        <v>Industrial Equipment</v>
      </c>
      <c r="L1127" s="316" t="str">
        <f t="shared" si="39"/>
        <v>Diesel</v>
      </c>
      <c r="M1127" s="194"/>
      <c r="N1127" s="317"/>
      <c r="O1127" s="317"/>
      <c r="P1127" s="317"/>
      <c r="Q1127" s="317"/>
      <c r="R1127" s="317"/>
      <c r="S1127" s="317"/>
      <c r="T1127" s="317"/>
      <c r="U1127" s="317"/>
      <c r="V1127" s="317"/>
      <c r="W1127" s="317"/>
      <c r="X1127" s="317"/>
      <c r="Y1127" s="317"/>
      <c r="Z1127" s="317"/>
    </row>
    <row r="1128" spans="1:26" x14ac:dyDescent="0.25">
      <c r="A1128" s="314"/>
      <c r="B1128" s="18">
        <v>2023</v>
      </c>
      <c r="C1128" s="18" t="s">
        <v>810</v>
      </c>
      <c r="D1128" s="18" t="s">
        <v>779</v>
      </c>
      <c r="E1128" s="18" t="s">
        <v>713</v>
      </c>
      <c r="F1128" s="18" t="s">
        <v>714</v>
      </c>
      <c r="G1128" s="18" t="s">
        <v>674</v>
      </c>
      <c r="H1128" s="18" t="s">
        <v>780</v>
      </c>
      <c r="I1128" s="315">
        <v>253.67234462078804</v>
      </c>
      <c r="J1128" s="315">
        <v>8.2619839832943258E-4</v>
      </c>
      <c r="K1128" s="316" t="str">
        <f t="shared" si="38"/>
        <v>Construction and Mining Equipment</v>
      </c>
      <c r="L1128" s="316" t="str">
        <f t="shared" si="39"/>
        <v>Diesel</v>
      </c>
      <c r="M1128" s="194"/>
      <c r="N1128" s="317"/>
      <c r="O1128" s="317"/>
      <c r="P1128" s="317"/>
      <c r="Q1128" s="317"/>
      <c r="R1128" s="317"/>
      <c r="S1128" s="317"/>
      <c r="T1128" s="317"/>
      <c r="U1128" s="317"/>
      <c r="V1128" s="317"/>
      <c r="W1128" s="317"/>
      <c r="X1128" s="317"/>
      <c r="Y1128" s="317"/>
      <c r="Z1128" s="317"/>
    </row>
    <row r="1129" spans="1:26" x14ac:dyDescent="0.25">
      <c r="A1129" s="314"/>
      <c r="B1129" s="18">
        <v>2023</v>
      </c>
      <c r="C1129" s="18" t="s">
        <v>732</v>
      </c>
      <c r="D1129" s="18" t="s">
        <v>927</v>
      </c>
      <c r="E1129" s="18" t="s">
        <v>56</v>
      </c>
      <c r="F1129" s="18" t="s">
        <v>672</v>
      </c>
      <c r="G1129" s="18" t="s">
        <v>673</v>
      </c>
      <c r="H1129" s="18" t="s">
        <v>742</v>
      </c>
      <c r="I1129" s="315">
        <v>253.01097106196914</v>
      </c>
      <c r="J1129" s="315">
        <v>1.1494214763434384E-2</v>
      </c>
      <c r="K1129" s="316" t="str">
        <f t="shared" si="38"/>
        <v>Lawn and Garden Equipment</v>
      </c>
      <c r="L1129" s="316" t="str">
        <f t="shared" si="39"/>
        <v>LPG</v>
      </c>
      <c r="M1129" s="194"/>
      <c r="N1129" s="317"/>
      <c r="O1129" s="317"/>
      <c r="P1129" s="317"/>
      <c r="Q1129" s="317"/>
      <c r="R1129" s="317"/>
      <c r="S1129" s="317"/>
      <c r="T1129" s="317"/>
      <c r="U1129" s="317"/>
      <c r="V1129" s="317"/>
      <c r="W1129" s="317"/>
      <c r="X1129" s="317"/>
      <c r="Y1129" s="317"/>
      <c r="Z1129" s="317"/>
    </row>
    <row r="1130" spans="1:26" x14ac:dyDescent="0.25">
      <c r="A1130" s="314"/>
      <c r="B1130" s="18">
        <v>2023</v>
      </c>
      <c r="C1130" s="18" t="s">
        <v>810</v>
      </c>
      <c r="D1130" s="18" t="s">
        <v>782</v>
      </c>
      <c r="E1130" s="18" t="s">
        <v>713</v>
      </c>
      <c r="F1130" s="18" t="s">
        <v>714</v>
      </c>
      <c r="G1130" s="18" t="s">
        <v>674</v>
      </c>
      <c r="H1130" s="18" t="s">
        <v>783</v>
      </c>
      <c r="I1130" s="315">
        <v>251.600140452098</v>
      </c>
      <c r="J1130" s="315">
        <v>2.3885787548243048E-3</v>
      </c>
      <c r="K1130" s="316" t="str">
        <f t="shared" si="38"/>
        <v>Construction and Mining Equipment</v>
      </c>
      <c r="L1130" s="316" t="str">
        <f t="shared" si="39"/>
        <v>Diesel</v>
      </c>
      <c r="M1130" s="194"/>
      <c r="N1130" s="317"/>
      <c r="O1130" s="317"/>
      <c r="P1130" s="317"/>
      <c r="Q1130" s="317"/>
      <c r="R1130" s="317"/>
      <c r="S1130" s="317"/>
      <c r="T1130" s="317"/>
      <c r="U1130" s="317"/>
      <c r="V1130" s="317"/>
      <c r="W1130" s="317"/>
      <c r="X1130" s="317"/>
      <c r="Y1130" s="317"/>
      <c r="Z1130" s="317"/>
    </row>
    <row r="1131" spans="1:26" x14ac:dyDescent="0.25">
      <c r="A1131" s="314"/>
      <c r="B1131" s="18">
        <v>2023</v>
      </c>
      <c r="C1131" s="18" t="s">
        <v>781</v>
      </c>
      <c r="D1131" s="18" t="s">
        <v>725</v>
      </c>
      <c r="E1131" s="18" t="s">
        <v>713</v>
      </c>
      <c r="F1131" s="18" t="s">
        <v>714</v>
      </c>
      <c r="G1131" s="18" t="s">
        <v>674</v>
      </c>
      <c r="H1131" s="18" t="s">
        <v>726</v>
      </c>
      <c r="I1131" s="315">
        <v>251.48647672358334</v>
      </c>
      <c r="J1131" s="315">
        <v>1.4070287659547149E-3</v>
      </c>
      <c r="K1131" s="316" t="str">
        <f t="shared" si="38"/>
        <v>Construction and Mining Equipment</v>
      </c>
      <c r="L1131" s="316" t="str">
        <f t="shared" si="39"/>
        <v>Diesel</v>
      </c>
      <c r="M1131" s="194"/>
      <c r="N1131" s="317"/>
      <c r="O1131" s="317"/>
      <c r="P1131" s="317"/>
      <c r="Q1131" s="317"/>
      <c r="R1131" s="317"/>
      <c r="S1131" s="317"/>
      <c r="T1131" s="317"/>
      <c r="U1131" s="317"/>
      <c r="V1131" s="317"/>
      <c r="W1131" s="317"/>
      <c r="X1131" s="317"/>
      <c r="Y1131" s="317"/>
      <c r="Z1131" s="317"/>
    </row>
    <row r="1132" spans="1:26" x14ac:dyDescent="0.25">
      <c r="A1132" s="314"/>
      <c r="B1132" s="18">
        <v>2023</v>
      </c>
      <c r="C1132" s="18" t="s">
        <v>710</v>
      </c>
      <c r="D1132" s="18" t="s">
        <v>794</v>
      </c>
      <c r="E1132" s="18" t="s">
        <v>703</v>
      </c>
      <c r="F1132" s="18" t="s">
        <v>795</v>
      </c>
      <c r="G1132" s="18" t="s">
        <v>673</v>
      </c>
      <c r="H1132" s="18" t="s">
        <v>796</v>
      </c>
      <c r="I1132" s="315">
        <v>250.10910015968739</v>
      </c>
      <c r="J1132" s="315">
        <v>0.45690105433714678</v>
      </c>
      <c r="K1132" s="316" t="str">
        <f t="shared" si="38"/>
        <v>Lawn and Garden Equipment</v>
      </c>
      <c r="L1132" s="316" t="str">
        <f t="shared" si="39"/>
        <v>Gasoline</v>
      </c>
      <c r="M1132" s="194"/>
      <c r="N1132" s="317"/>
      <c r="O1132" s="317"/>
      <c r="P1132" s="317"/>
      <c r="Q1132" s="317"/>
      <c r="R1132" s="317"/>
      <c r="S1132" s="317"/>
      <c r="T1132" s="317"/>
      <c r="U1132" s="317"/>
      <c r="V1132" s="317"/>
      <c r="W1132" s="317"/>
      <c r="X1132" s="317"/>
      <c r="Y1132" s="317"/>
      <c r="Z1132" s="317"/>
    </row>
    <row r="1133" spans="1:26" x14ac:dyDescent="0.25">
      <c r="A1133" s="314"/>
      <c r="B1133" s="18">
        <v>2023</v>
      </c>
      <c r="C1133" s="18" t="s">
        <v>778</v>
      </c>
      <c r="D1133" s="18" t="s">
        <v>771</v>
      </c>
      <c r="E1133" s="18" t="s">
        <v>713</v>
      </c>
      <c r="F1133" s="18" t="s">
        <v>714</v>
      </c>
      <c r="G1133" s="18" t="s">
        <v>675</v>
      </c>
      <c r="H1133" s="18" t="s">
        <v>772</v>
      </c>
      <c r="I1133" s="315">
        <v>250.07125560776075</v>
      </c>
      <c r="J1133" s="315">
        <v>5.5638382073759163E-4</v>
      </c>
      <c r="K1133" s="316" t="str">
        <f t="shared" si="38"/>
        <v>Industrial Equipment</v>
      </c>
      <c r="L1133" s="316" t="str">
        <f t="shared" si="39"/>
        <v>Diesel</v>
      </c>
      <c r="M1133" s="194"/>
      <c r="N1133" s="317"/>
      <c r="O1133" s="317"/>
      <c r="P1133" s="317"/>
      <c r="Q1133" s="317"/>
      <c r="R1133" s="317"/>
      <c r="S1133" s="317"/>
      <c r="T1133" s="317"/>
      <c r="U1133" s="317"/>
      <c r="V1133" s="317"/>
      <c r="W1133" s="317"/>
      <c r="X1133" s="317"/>
      <c r="Y1133" s="317"/>
      <c r="Z1133" s="317"/>
    </row>
    <row r="1134" spans="1:26" x14ac:dyDescent="0.25">
      <c r="A1134" s="314"/>
      <c r="B1134" s="18">
        <v>2023</v>
      </c>
      <c r="C1134" s="18" t="s">
        <v>732</v>
      </c>
      <c r="D1134" s="18" t="s">
        <v>765</v>
      </c>
      <c r="E1134" s="18" t="s">
        <v>703</v>
      </c>
      <c r="F1134" s="18" t="s">
        <v>676</v>
      </c>
      <c r="G1134" s="18" t="s">
        <v>729</v>
      </c>
      <c r="H1134" s="18" t="s">
        <v>766</v>
      </c>
      <c r="I1134" s="315">
        <v>249.35885903589147</v>
      </c>
      <c r="J1134" s="315">
        <v>0.2742724358564898</v>
      </c>
      <c r="K1134" s="316" t="str">
        <f t="shared" si="38"/>
        <v>Pleasure Craft</v>
      </c>
      <c r="L1134" s="316" t="str">
        <f t="shared" si="39"/>
        <v>Gasoline</v>
      </c>
      <c r="M1134" s="194"/>
      <c r="N1134" s="317"/>
      <c r="O1134" s="317"/>
      <c r="P1134" s="317"/>
      <c r="Q1134" s="317"/>
      <c r="R1134" s="317"/>
      <c r="S1134" s="317"/>
      <c r="T1134" s="317"/>
      <c r="U1134" s="317"/>
      <c r="V1134" s="317"/>
      <c r="W1134" s="317"/>
      <c r="X1134" s="317"/>
      <c r="Y1134" s="317"/>
      <c r="Z1134" s="317"/>
    </row>
    <row r="1135" spans="1:26" x14ac:dyDescent="0.25">
      <c r="A1135" s="314"/>
      <c r="B1135" s="18">
        <v>2023</v>
      </c>
      <c r="C1135" s="18" t="s">
        <v>754</v>
      </c>
      <c r="D1135" s="18" t="s">
        <v>860</v>
      </c>
      <c r="E1135" s="18" t="s">
        <v>713</v>
      </c>
      <c r="F1135" s="18" t="s">
        <v>714</v>
      </c>
      <c r="G1135" s="18" t="s">
        <v>674</v>
      </c>
      <c r="H1135" s="18" t="s">
        <v>861</v>
      </c>
      <c r="I1135" s="315">
        <v>249.29027576014997</v>
      </c>
      <c r="J1135" s="315">
        <v>4.1315307963449427E-3</v>
      </c>
      <c r="K1135" s="316" t="str">
        <f t="shared" si="38"/>
        <v>Construction and Mining Equipment</v>
      </c>
      <c r="L1135" s="316" t="str">
        <f t="shared" si="39"/>
        <v>Diesel</v>
      </c>
      <c r="M1135" s="194"/>
      <c r="N1135" s="317"/>
      <c r="O1135" s="317"/>
      <c r="P1135" s="317"/>
      <c r="Q1135" s="317"/>
      <c r="R1135" s="317"/>
      <c r="S1135" s="317"/>
      <c r="T1135" s="317"/>
      <c r="U1135" s="317"/>
      <c r="V1135" s="317"/>
      <c r="W1135" s="317"/>
      <c r="X1135" s="317"/>
      <c r="Y1135" s="317"/>
      <c r="Z1135" s="317"/>
    </row>
    <row r="1136" spans="1:26" x14ac:dyDescent="0.25">
      <c r="A1136" s="314"/>
      <c r="B1136" s="18">
        <v>2023</v>
      </c>
      <c r="C1136" s="18" t="s">
        <v>759</v>
      </c>
      <c r="D1136" s="18" t="s">
        <v>712</v>
      </c>
      <c r="E1136" s="18" t="s">
        <v>713</v>
      </c>
      <c r="F1136" s="18" t="s">
        <v>714</v>
      </c>
      <c r="G1136" s="18" t="s">
        <v>674</v>
      </c>
      <c r="H1136" s="18" t="s">
        <v>715</v>
      </c>
      <c r="I1136" s="315">
        <v>248.28776991993936</v>
      </c>
      <c r="J1136" s="315">
        <v>1.4776043842723461E-3</v>
      </c>
      <c r="K1136" s="316" t="str">
        <f t="shared" si="38"/>
        <v>Construction and Mining Equipment</v>
      </c>
      <c r="L1136" s="316" t="str">
        <f t="shared" si="39"/>
        <v>Diesel</v>
      </c>
      <c r="M1136" s="194"/>
      <c r="N1136" s="317"/>
      <c r="O1136" s="317"/>
      <c r="P1136" s="317"/>
      <c r="Q1136" s="317"/>
      <c r="R1136" s="317"/>
      <c r="S1136" s="317"/>
      <c r="T1136" s="317"/>
      <c r="U1136" s="317"/>
      <c r="V1136" s="317"/>
      <c r="W1136" s="317"/>
      <c r="X1136" s="317"/>
      <c r="Y1136" s="317"/>
      <c r="Z1136" s="317"/>
    </row>
    <row r="1137" spans="1:26" x14ac:dyDescent="0.25">
      <c r="A1137" s="314"/>
      <c r="B1137" s="18">
        <v>2023</v>
      </c>
      <c r="C1137" s="18" t="s">
        <v>753</v>
      </c>
      <c r="D1137" s="18" t="s">
        <v>790</v>
      </c>
      <c r="E1137" s="18" t="s">
        <v>713</v>
      </c>
      <c r="F1137" s="18" t="s">
        <v>714</v>
      </c>
      <c r="G1137" s="18" t="s">
        <v>674</v>
      </c>
      <c r="H1137" s="18" t="s">
        <v>791</v>
      </c>
      <c r="I1137" s="315">
        <v>247.34303621553423</v>
      </c>
      <c r="J1137" s="315">
        <v>1.421882900776332E-3</v>
      </c>
      <c r="K1137" s="316" t="str">
        <f t="shared" si="38"/>
        <v>Construction and Mining Equipment</v>
      </c>
      <c r="L1137" s="316" t="str">
        <f t="shared" si="39"/>
        <v>Diesel</v>
      </c>
      <c r="M1137" s="194"/>
      <c r="N1137" s="317"/>
      <c r="O1137" s="317"/>
      <c r="P1137" s="317"/>
      <c r="Q1137" s="317"/>
      <c r="R1137" s="317"/>
      <c r="S1137" s="317"/>
      <c r="T1137" s="317"/>
      <c r="U1137" s="317"/>
      <c r="V1137" s="317"/>
      <c r="W1137" s="317"/>
      <c r="X1137" s="317"/>
      <c r="Y1137" s="317"/>
      <c r="Z1137" s="317"/>
    </row>
    <row r="1138" spans="1:26" x14ac:dyDescent="0.25">
      <c r="A1138" s="314"/>
      <c r="B1138" s="18">
        <v>2023</v>
      </c>
      <c r="C1138" s="18" t="s">
        <v>701</v>
      </c>
      <c r="D1138" s="18" t="s">
        <v>1015</v>
      </c>
      <c r="E1138" s="18" t="s">
        <v>56</v>
      </c>
      <c r="F1138" s="18" t="s">
        <v>601</v>
      </c>
      <c r="G1138" s="18" t="s">
        <v>677</v>
      </c>
      <c r="H1138" s="18" t="s">
        <v>747</v>
      </c>
      <c r="I1138" s="315">
        <v>247.33773189350606</v>
      </c>
      <c r="J1138" s="315">
        <v>5.5335385948890359</v>
      </c>
      <c r="K1138" s="316" t="str">
        <f t="shared" si="38"/>
        <v>Commercial Equipment</v>
      </c>
      <c r="L1138" s="316" t="str">
        <f t="shared" si="39"/>
        <v>CNG</v>
      </c>
      <c r="M1138" s="194"/>
      <c r="N1138" s="317"/>
      <c r="O1138" s="317"/>
      <c r="P1138" s="317"/>
      <c r="Q1138" s="317"/>
      <c r="R1138" s="317"/>
      <c r="S1138" s="317"/>
      <c r="T1138" s="317"/>
      <c r="U1138" s="317"/>
      <c r="V1138" s="317"/>
      <c r="W1138" s="317"/>
      <c r="X1138" s="317"/>
      <c r="Y1138" s="317"/>
      <c r="Z1138" s="317"/>
    </row>
    <row r="1139" spans="1:26" x14ac:dyDescent="0.25">
      <c r="A1139" s="314"/>
      <c r="B1139" s="18">
        <v>2023</v>
      </c>
      <c r="C1139" s="18" t="s">
        <v>750</v>
      </c>
      <c r="D1139" s="18" t="s">
        <v>748</v>
      </c>
      <c r="E1139" s="18" t="s">
        <v>703</v>
      </c>
      <c r="F1139" s="18" t="s">
        <v>704</v>
      </c>
      <c r="G1139" s="18" t="s">
        <v>673</v>
      </c>
      <c r="H1139" s="18" t="s">
        <v>749</v>
      </c>
      <c r="I1139" s="315">
        <v>244.65358070286766</v>
      </c>
      <c r="J1139" s="315">
        <v>0.1386880115439707</v>
      </c>
      <c r="K1139" s="316" t="str">
        <f t="shared" si="38"/>
        <v>Lawn and Garden Equipment</v>
      </c>
      <c r="L1139" s="316" t="str">
        <f t="shared" si="39"/>
        <v>Gasoline</v>
      </c>
      <c r="M1139" s="194"/>
      <c r="N1139" s="317"/>
      <c r="O1139" s="317"/>
      <c r="P1139" s="317"/>
      <c r="Q1139" s="317"/>
      <c r="R1139" s="317"/>
      <c r="S1139" s="317"/>
      <c r="T1139" s="317"/>
      <c r="U1139" s="317"/>
      <c r="V1139" s="317"/>
      <c r="W1139" s="317"/>
      <c r="X1139" s="317"/>
      <c r="Y1139" s="317"/>
      <c r="Z1139" s="317"/>
    </row>
    <row r="1140" spans="1:26" x14ac:dyDescent="0.25">
      <c r="A1140" s="314"/>
      <c r="B1140" s="18">
        <v>2023</v>
      </c>
      <c r="C1140" s="18" t="s">
        <v>754</v>
      </c>
      <c r="D1140" s="18" t="s">
        <v>862</v>
      </c>
      <c r="E1140" s="18" t="s">
        <v>713</v>
      </c>
      <c r="F1140" s="18" t="s">
        <v>714</v>
      </c>
      <c r="G1140" s="18" t="s">
        <v>674</v>
      </c>
      <c r="H1140" s="18" t="s">
        <v>863</v>
      </c>
      <c r="I1140" s="315">
        <v>244.33143242687265</v>
      </c>
      <c r="J1140" s="315">
        <v>1.7626669925777634E-3</v>
      </c>
      <c r="K1140" s="316" t="str">
        <f t="shared" si="38"/>
        <v>Construction and Mining Equipment</v>
      </c>
      <c r="L1140" s="316" t="str">
        <f t="shared" si="39"/>
        <v>Diesel</v>
      </c>
      <c r="M1140" s="194"/>
      <c r="N1140" s="317"/>
      <c r="O1140" s="317"/>
      <c r="P1140" s="317"/>
      <c r="Q1140" s="317"/>
      <c r="R1140" s="317"/>
      <c r="S1140" s="317"/>
      <c r="T1140" s="317"/>
      <c r="U1140" s="317"/>
      <c r="V1140" s="317"/>
      <c r="W1140" s="317"/>
      <c r="X1140" s="317"/>
      <c r="Y1140" s="317"/>
      <c r="Z1140" s="317"/>
    </row>
    <row r="1141" spans="1:26" x14ac:dyDescent="0.25">
      <c r="A1141" s="314"/>
      <c r="B1141" s="18">
        <v>2023</v>
      </c>
      <c r="C1141" s="18" t="s">
        <v>701</v>
      </c>
      <c r="D1141" s="18" t="s">
        <v>1017</v>
      </c>
      <c r="E1141" s="18" t="s">
        <v>703</v>
      </c>
      <c r="F1141" s="18" t="s">
        <v>704</v>
      </c>
      <c r="G1141" s="18" t="s">
        <v>673</v>
      </c>
      <c r="H1141" s="18" t="s">
        <v>806</v>
      </c>
      <c r="I1141" s="315">
        <v>243.80284061029568</v>
      </c>
      <c r="J1141" s="315">
        <v>0.17205882463470712</v>
      </c>
      <c r="K1141" s="316" t="str">
        <f t="shared" si="38"/>
        <v>Lawn and Garden Equipment</v>
      </c>
      <c r="L1141" s="316" t="str">
        <f t="shared" si="39"/>
        <v>Gasoline</v>
      </c>
      <c r="M1141" s="194"/>
      <c r="N1141" s="317"/>
      <c r="O1141" s="317"/>
      <c r="P1141" s="317"/>
      <c r="Q1141" s="317"/>
      <c r="R1141" s="317"/>
      <c r="S1141" s="317"/>
      <c r="T1141" s="317"/>
      <c r="U1141" s="317"/>
      <c r="V1141" s="317"/>
      <c r="W1141" s="317"/>
      <c r="X1141" s="317"/>
      <c r="Y1141" s="317"/>
      <c r="Z1141" s="317"/>
    </row>
    <row r="1142" spans="1:26" x14ac:dyDescent="0.25">
      <c r="A1142" s="314"/>
      <c r="B1142" s="18">
        <v>2023</v>
      </c>
      <c r="C1142" s="18" t="s">
        <v>706</v>
      </c>
      <c r="D1142" s="18" t="s">
        <v>1018</v>
      </c>
      <c r="E1142" s="18" t="s">
        <v>56</v>
      </c>
      <c r="F1142" s="18" t="s">
        <v>672</v>
      </c>
      <c r="G1142" s="18" t="s">
        <v>677</v>
      </c>
      <c r="H1142" s="18" t="s">
        <v>785</v>
      </c>
      <c r="I1142" s="315">
        <v>243.6436750468267</v>
      </c>
      <c r="J1142" s="315">
        <v>1.1956132266989973E-2</v>
      </c>
      <c r="K1142" s="316" t="str">
        <f t="shared" si="38"/>
        <v>Commercial Equipment</v>
      </c>
      <c r="L1142" s="316" t="str">
        <f t="shared" si="39"/>
        <v>LPG</v>
      </c>
      <c r="M1142" s="194"/>
      <c r="N1142" s="317"/>
      <c r="O1142" s="317"/>
      <c r="P1142" s="317"/>
      <c r="Q1142" s="317"/>
      <c r="R1142" s="317"/>
      <c r="S1142" s="317"/>
      <c r="T1142" s="317"/>
      <c r="U1142" s="317"/>
      <c r="V1142" s="317"/>
      <c r="W1142" s="317"/>
      <c r="X1142" s="317"/>
      <c r="Y1142" s="317"/>
      <c r="Z1142" s="317"/>
    </row>
    <row r="1143" spans="1:26" x14ac:dyDescent="0.25">
      <c r="A1143" s="314"/>
      <c r="B1143" s="18">
        <v>2023</v>
      </c>
      <c r="C1143" s="18" t="s">
        <v>709</v>
      </c>
      <c r="D1143" s="18" t="s">
        <v>998</v>
      </c>
      <c r="E1143" s="18" t="s">
        <v>703</v>
      </c>
      <c r="F1143" s="18" t="s">
        <v>704</v>
      </c>
      <c r="G1143" s="18" t="s">
        <v>674</v>
      </c>
      <c r="H1143" s="18" t="s">
        <v>999</v>
      </c>
      <c r="I1143" s="315">
        <v>243.29330649896076</v>
      </c>
      <c r="J1143" s="315">
        <v>0.16060754761356824</v>
      </c>
      <c r="K1143" s="316" t="str">
        <f t="shared" si="38"/>
        <v>Construction and Mining Equipment</v>
      </c>
      <c r="L1143" s="316" t="str">
        <f t="shared" si="39"/>
        <v>Gasoline</v>
      </c>
      <c r="M1143" s="194"/>
      <c r="N1143" s="317"/>
      <c r="O1143" s="317"/>
      <c r="P1143" s="317"/>
      <c r="Q1143" s="317"/>
      <c r="R1143" s="317"/>
      <c r="S1143" s="317"/>
      <c r="T1143" s="317"/>
      <c r="U1143" s="317"/>
      <c r="V1143" s="317"/>
      <c r="W1143" s="317"/>
      <c r="X1143" s="317"/>
      <c r="Y1143" s="317"/>
      <c r="Z1143" s="317"/>
    </row>
    <row r="1144" spans="1:26" x14ac:dyDescent="0.25">
      <c r="A1144" s="314"/>
      <c r="B1144" s="18">
        <v>2023</v>
      </c>
      <c r="C1144" s="18" t="s">
        <v>732</v>
      </c>
      <c r="D1144" s="18" t="s">
        <v>920</v>
      </c>
      <c r="E1144" s="18" t="s">
        <v>703</v>
      </c>
      <c r="F1144" s="18" t="s">
        <v>704</v>
      </c>
      <c r="G1144" s="18" t="s">
        <v>673</v>
      </c>
      <c r="H1144" s="18" t="s">
        <v>921</v>
      </c>
      <c r="I1144" s="315">
        <v>242.51997007797996</v>
      </c>
      <c r="J1144" s="315">
        <v>0.15422160679021318</v>
      </c>
      <c r="K1144" s="316" t="str">
        <f t="shared" si="38"/>
        <v>Lawn and Garden Equipment</v>
      </c>
      <c r="L1144" s="316" t="str">
        <f t="shared" si="39"/>
        <v>Gasoline</v>
      </c>
      <c r="M1144" s="194"/>
      <c r="N1144" s="317"/>
      <c r="O1144" s="317"/>
      <c r="P1144" s="317"/>
      <c r="Q1144" s="317"/>
      <c r="R1144" s="317"/>
      <c r="S1144" s="317"/>
      <c r="T1144" s="317"/>
      <c r="U1144" s="317"/>
      <c r="V1144" s="317"/>
      <c r="W1144" s="317"/>
      <c r="X1144" s="317"/>
      <c r="Y1144" s="317"/>
      <c r="Z1144" s="317"/>
    </row>
    <row r="1145" spans="1:26" x14ac:dyDescent="0.25">
      <c r="A1145" s="314"/>
      <c r="B1145" s="18">
        <v>2023</v>
      </c>
      <c r="C1145" s="18" t="s">
        <v>709</v>
      </c>
      <c r="D1145" s="18" t="s">
        <v>1000</v>
      </c>
      <c r="E1145" s="18" t="s">
        <v>703</v>
      </c>
      <c r="F1145" s="18" t="s">
        <v>704</v>
      </c>
      <c r="G1145" s="18" t="s">
        <v>674</v>
      </c>
      <c r="H1145" s="18" t="s">
        <v>850</v>
      </c>
      <c r="I1145" s="315">
        <v>242.39834655948906</v>
      </c>
      <c r="J1145" s="315">
        <v>0.14743103681185787</v>
      </c>
      <c r="K1145" s="316" t="str">
        <f t="shared" si="38"/>
        <v>Construction and Mining Equipment</v>
      </c>
      <c r="L1145" s="316" t="str">
        <f t="shared" si="39"/>
        <v>Gasoline</v>
      </c>
      <c r="M1145" s="194"/>
      <c r="N1145" s="317"/>
      <c r="O1145" s="317"/>
      <c r="P1145" s="317"/>
      <c r="Q1145" s="317"/>
      <c r="R1145" s="317"/>
      <c r="S1145" s="317"/>
      <c r="T1145" s="317"/>
      <c r="U1145" s="317"/>
      <c r="V1145" s="317"/>
      <c r="W1145" s="317"/>
      <c r="X1145" s="317"/>
      <c r="Y1145" s="317"/>
      <c r="Z1145" s="317"/>
    </row>
    <row r="1146" spans="1:26" x14ac:dyDescent="0.25">
      <c r="A1146" s="314"/>
      <c r="B1146" s="18">
        <v>2023</v>
      </c>
      <c r="C1146" s="18" t="s">
        <v>711</v>
      </c>
      <c r="D1146" s="18" t="s">
        <v>1004</v>
      </c>
      <c r="E1146" s="18" t="s">
        <v>713</v>
      </c>
      <c r="F1146" s="18" t="s">
        <v>714</v>
      </c>
      <c r="G1146" s="18" t="s">
        <v>679</v>
      </c>
      <c r="H1146" s="18" t="s">
        <v>1005</v>
      </c>
      <c r="I1146" s="315">
        <v>241.66383133825647</v>
      </c>
      <c r="J1146" s="315">
        <v>8.7114151073964651E-3</v>
      </c>
      <c r="K1146" s="316" t="str">
        <f t="shared" si="38"/>
        <v>Recreational Equipment</v>
      </c>
      <c r="L1146" s="316" t="str">
        <f t="shared" si="39"/>
        <v>Diesel</v>
      </c>
      <c r="M1146" s="194"/>
      <c r="N1146" s="317"/>
      <c r="O1146" s="317"/>
      <c r="P1146" s="317"/>
      <c r="Q1146" s="317"/>
      <c r="R1146" s="317"/>
      <c r="S1146" s="317"/>
      <c r="T1146" s="317"/>
      <c r="U1146" s="317"/>
      <c r="V1146" s="317"/>
      <c r="W1146" s="317"/>
      <c r="X1146" s="317"/>
      <c r="Y1146" s="317"/>
      <c r="Z1146" s="317"/>
    </row>
    <row r="1147" spans="1:26" x14ac:dyDescent="0.25">
      <c r="A1147" s="314"/>
      <c r="B1147" s="18">
        <v>2023</v>
      </c>
      <c r="C1147" s="18" t="s">
        <v>701</v>
      </c>
      <c r="D1147" s="18" t="s">
        <v>1004</v>
      </c>
      <c r="E1147" s="18" t="s">
        <v>713</v>
      </c>
      <c r="F1147" s="18" t="s">
        <v>714</v>
      </c>
      <c r="G1147" s="18" t="s">
        <v>679</v>
      </c>
      <c r="H1147" s="18" t="s">
        <v>1005</v>
      </c>
      <c r="I1147" s="315">
        <v>241.66383133825647</v>
      </c>
      <c r="J1147" s="315">
        <v>8.7114151073964651E-3</v>
      </c>
      <c r="K1147" s="316" t="str">
        <f t="shared" si="38"/>
        <v>Recreational Equipment</v>
      </c>
      <c r="L1147" s="316" t="str">
        <f t="shared" si="39"/>
        <v>Diesel</v>
      </c>
      <c r="M1147" s="194"/>
      <c r="N1147" s="317"/>
      <c r="O1147" s="317"/>
      <c r="P1147" s="317"/>
      <c r="Q1147" s="317"/>
      <c r="R1147" s="317"/>
      <c r="S1147" s="317"/>
      <c r="T1147" s="317"/>
      <c r="U1147" s="317"/>
      <c r="V1147" s="317"/>
      <c r="W1147" s="317"/>
      <c r="X1147" s="317"/>
      <c r="Y1147" s="317"/>
      <c r="Z1147" s="317"/>
    </row>
    <row r="1148" spans="1:26" x14ac:dyDescent="0.25">
      <c r="A1148" s="314"/>
      <c r="B1148" s="18">
        <v>2023</v>
      </c>
      <c r="C1148" s="18" t="s">
        <v>701</v>
      </c>
      <c r="D1148" s="18" t="s">
        <v>993</v>
      </c>
      <c r="E1148" s="18" t="s">
        <v>703</v>
      </c>
      <c r="F1148" s="18" t="s">
        <v>704</v>
      </c>
      <c r="G1148" s="18" t="s">
        <v>674</v>
      </c>
      <c r="H1148" s="18" t="s">
        <v>994</v>
      </c>
      <c r="I1148" s="315">
        <v>241.55663156326898</v>
      </c>
      <c r="J1148" s="315">
        <v>0.16143280397000184</v>
      </c>
      <c r="K1148" s="316" t="str">
        <f t="shared" si="38"/>
        <v>Construction and Mining Equipment</v>
      </c>
      <c r="L1148" s="316" t="str">
        <f t="shared" si="39"/>
        <v>Gasoline</v>
      </c>
      <c r="M1148" s="194"/>
      <c r="N1148" s="317"/>
      <c r="O1148" s="317"/>
      <c r="P1148" s="317"/>
      <c r="Q1148" s="317"/>
      <c r="R1148" s="317"/>
      <c r="S1148" s="317"/>
      <c r="T1148" s="317"/>
      <c r="U1148" s="317"/>
      <c r="V1148" s="317"/>
      <c r="W1148" s="317"/>
      <c r="X1148" s="317"/>
      <c r="Y1148" s="317"/>
      <c r="Z1148" s="317"/>
    </row>
    <row r="1149" spans="1:26" x14ac:dyDescent="0.25">
      <c r="A1149" s="314"/>
      <c r="B1149" s="18">
        <v>2023</v>
      </c>
      <c r="C1149" s="18" t="s">
        <v>787</v>
      </c>
      <c r="D1149" s="18" t="s">
        <v>1019</v>
      </c>
      <c r="E1149" s="18" t="s">
        <v>703</v>
      </c>
      <c r="F1149" s="18" t="s">
        <v>805</v>
      </c>
      <c r="G1149" s="18" t="s">
        <v>679</v>
      </c>
      <c r="H1149" s="18" t="s">
        <v>852</v>
      </c>
      <c r="I1149" s="315">
        <v>240.35705119995737</v>
      </c>
      <c r="J1149" s="315">
        <v>0.33459607894050564</v>
      </c>
      <c r="K1149" s="316" t="str">
        <f t="shared" si="38"/>
        <v>Recreational Equipment</v>
      </c>
      <c r="L1149" s="316" t="str">
        <f t="shared" si="39"/>
        <v>Gasoline</v>
      </c>
      <c r="M1149" s="194"/>
      <c r="N1149" s="317"/>
      <c r="O1149" s="317"/>
      <c r="P1149" s="317"/>
      <c r="Q1149" s="317"/>
      <c r="R1149" s="317"/>
      <c r="S1149" s="317"/>
      <c r="T1149" s="317"/>
      <c r="U1149" s="317"/>
      <c r="V1149" s="317"/>
      <c r="W1149" s="317"/>
      <c r="X1149" s="317"/>
      <c r="Y1149" s="317"/>
      <c r="Z1149" s="317"/>
    </row>
    <row r="1150" spans="1:26" x14ac:dyDescent="0.25">
      <c r="A1150" s="314"/>
      <c r="B1150" s="18">
        <v>2023</v>
      </c>
      <c r="C1150" s="18" t="s">
        <v>760</v>
      </c>
      <c r="D1150" s="18" t="s">
        <v>925</v>
      </c>
      <c r="E1150" s="18" t="s">
        <v>703</v>
      </c>
      <c r="F1150" s="18" t="s">
        <v>704</v>
      </c>
      <c r="G1150" s="18" t="s">
        <v>675</v>
      </c>
      <c r="H1150" s="18" t="s">
        <v>798</v>
      </c>
      <c r="I1150" s="315">
        <v>240.33526181227433</v>
      </c>
      <c r="J1150" s="315">
        <v>0.18005465943049828</v>
      </c>
      <c r="K1150" s="316" t="str">
        <f t="shared" si="38"/>
        <v>Industrial Equipment</v>
      </c>
      <c r="L1150" s="316" t="str">
        <f t="shared" si="39"/>
        <v>Gasoline</v>
      </c>
      <c r="M1150" s="194"/>
      <c r="N1150" s="317"/>
      <c r="O1150" s="317"/>
      <c r="P1150" s="317"/>
      <c r="Q1150" s="317"/>
      <c r="R1150" s="317"/>
      <c r="S1150" s="317"/>
      <c r="T1150" s="317"/>
      <c r="U1150" s="317"/>
      <c r="V1150" s="317"/>
      <c r="W1150" s="317"/>
      <c r="X1150" s="317"/>
      <c r="Y1150" s="317"/>
      <c r="Z1150" s="317"/>
    </row>
    <row r="1151" spans="1:26" x14ac:dyDescent="0.25">
      <c r="A1151" s="314"/>
      <c r="B1151" s="18">
        <v>2023</v>
      </c>
      <c r="C1151" s="18" t="s">
        <v>793</v>
      </c>
      <c r="D1151" s="18" t="s">
        <v>752</v>
      </c>
      <c r="E1151" s="18" t="s">
        <v>713</v>
      </c>
      <c r="F1151" s="18" t="s">
        <v>714</v>
      </c>
      <c r="G1151" s="18" t="s">
        <v>675</v>
      </c>
      <c r="H1151" s="18" t="s">
        <v>708</v>
      </c>
      <c r="I1151" s="315">
        <v>240.28465029074448</v>
      </c>
      <c r="J1151" s="315">
        <v>1.2254927047864871E-3</v>
      </c>
      <c r="K1151" s="316" t="str">
        <f t="shared" si="38"/>
        <v>Industrial Equipment</v>
      </c>
      <c r="L1151" s="316" t="str">
        <f t="shared" si="39"/>
        <v>Diesel</v>
      </c>
      <c r="M1151" s="194"/>
      <c r="N1151" s="317"/>
      <c r="O1151" s="317"/>
      <c r="P1151" s="317"/>
      <c r="Q1151" s="317"/>
      <c r="R1151" s="317"/>
      <c r="S1151" s="317"/>
      <c r="T1151" s="317"/>
      <c r="U1151" s="317"/>
      <c r="V1151" s="317"/>
      <c r="W1151" s="317"/>
      <c r="X1151" s="317"/>
      <c r="Y1151" s="317"/>
      <c r="Z1151" s="317"/>
    </row>
    <row r="1152" spans="1:26" x14ac:dyDescent="0.25">
      <c r="A1152" s="314"/>
      <c r="B1152" s="18">
        <v>2023</v>
      </c>
      <c r="C1152" s="18" t="s">
        <v>787</v>
      </c>
      <c r="D1152" s="18" t="s">
        <v>971</v>
      </c>
      <c r="E1152" s="18" t="s">
        <v>713</v>
      </c>
      <c r="F1152" s="18" t="s">
        <v>714</v>
      </c>
      <c r="G1152" s="18" t="s">
        <v>678</v>
      </c>
      <c r="H1152" s="18" t="s">
        <v>972</v>
      </c>
      <c r="I1152" s="315">
        <v>239.55659301199782</v>
      </c>
      <c r="J1152" s="315">
        <v>1.3306576586415153E-3</v>
      </c>
      <c r="K1152" s="316" t="str">
        <f t="shared" si="38"/>
        <v>Agricultural Equipment</v>
      </c>
      <c r="L1152" s="316" t="str">
        <f t="shared" si="39"/>
        <v>Diesel</v>
      </c>
      <c r="M1152" s="194"/>
      <c r="N1152" s="317"/>
      <c r="O1152" s="317"/>
      <c r="P1152" s="317"/>
      <c r="Q1152" s="317"/>
      <c r="R1152" s="317"/>
      <c r="S1152" s="317"/>
      <c r="T1152" s="317"/>
      <c r="U1152" s="317"/>
      <c r="V1152" s="317"/>
      <c r="W1152" s="317"/>
      <c r="X1152" s="317"/>
      <c r="Y1152" s="317"/>
      <c r="Z1152" s="317"/>
    </row>
    <row r="1153" spans="1:26" x14ac:dyDescent="0.25">
      <c r="A1153" s="314"/>
      <c r="B1153" s="18">
        <v>2023</v>
      </c>
      <c r="C1153" s="18" t="s">
        <v>731</v>
      </c>
      <c r="D1153" s="18" t="s">
        <v>839</v>
      </c>
      <c r="E1153" s="18" t="s">
        <v>703</v>
      </c>
      <c r="F1153" s="18" t="s">
        <v>704</v>
      </c>
      <c r="G1153" s="18" t="s">
        <v>675</v>
      </c>
      <c r="H1153" s="18" t="s">
        <v>708</v>
      </c>
      <c r="I1153" s="315">
        <v>239.13313400752313</v>
      </c>
      <c r="J1153" s="315">
        <v>1.6402026062965858E-2</v>
      </c>
      <c r="K1153" s="316" t="str">
        <f t="shared" si="38"/>
        <v>Industrial Equipment</v>
      </c>
      <c r="L1153" s="316" t="str">
        <f t="shared" si="39"/>
        <v>Gasoline</v>
      </c>
      <c r="M1153" s="194"/>
      <c r="N1153" s="317"/>
      <c r="O1153" s="317"/>
      <c r="P1153" s="317"/>
      <c r="Q1153" s="317"/>
      <c r="R1153" s="317"/>
      <c r="S1153" s="317"/>
      <c r="T1153" s="317"/>
      <c r="U1153" s="317"/>
      <c r="V1153" s="317"/>
      <c r="W1153" s="317"/>
      <c r="X1153" s="317"/>
      <c r="Y1153" s="317"/>
      <c r="Z1153" s="317"/>
    </row>
    <row r="1154" spans="1:26" x14ac:dyDescent="0.25">
      <c r="A1154" s="314"/>
      <c r="B1154" s="18">
        <v>2023</v>
      </c>
      <c r="C1154" s="18" t="s">
        <v>710</v>
      </c>
      <c r="D1154" s="18" t="s">
        <v>799</v>
      </c>
      <c r="E1154" s="18" t="s">
        <v>703</v>
      </c>
      <c r="F1154" s="18" t="s">
        <v>795</v>
      </c>
      <c r="G1154" s="18" t="s">
        <v>673</v>
      </c>
      <c r="H1154" s="18" t="s">
        <v>800</v>
      </c>
      <c r="I1154" s="315">
        <v>239.03067417117268</v>
      </c>
      <c r="J1154" s="315">
        <v>0.44921080786853429</v>
      </c>
      <c r="K1154" s="316" t="str">
        <f t="shared" si="38"/>
        <v>Lawn and Garden Equipment</v>
      </c>
      <c r="L1154" s="316" t="str">
        <f t="shared" si="39"/>
        <v>Gasoline</v>
      </c>
      <c r="M1154" s="194"/>
      <c r="N1154" s="317"/>
      <c r="O1154" s="317"/>
      <c r="P1154" s="317"/>
      <c r="Q1154" s="317"/>
      <c r="R1154" s="317"/>
      <c r="S1154" s="317"/>
      <c r="T1154" s="317"/>
      <c r="U1154" s="317"/>
      <c r="V1154" s="317"/>
      <c r="W1154" s="317"/>
      <c r="X1154" s="317"/>
      <c r="Y1154" s="317"/>
      <c r="Z1154" s="317"/>
    </row>
    <row r="1155" spans="1:26" x14ac:dyDescent="0.25">
      <c r="A1155" s="314"/>
      <c r="B1155" s="18">
        <v>2023</v>
      </c>
      <c r="C1155" s="18" t="s">
        <v>762</v>
      </c>
      <c r="D1155" s="18" t="s">
        <v>894</v>
      </c>
      <c r="E1155" s="18" t="s">
        <v>713</v>
      </c>
      <c r="F1155" s="18" t="s">
        <v>714</v>
      </c>
      <c r="G1155" s="18" t="s">
        <v>681</v>
      </c>
      <c r="H1155" s="18" t="s">
        <v>895</v>
      </c>
      <c r="I1155" s="315">
        <v>238.31911899223525</v>
      </c>
      <c r="J1155" s="315">
        <v>4.6733395598836443E-4</v>
      </c>
      <c r="K1155" s="316" t="str">
        <f t="shared" si="38"/>
        <v>Logging Equipment</v>
      </c>
      <c r="L1155" s="316" t="str">
        <f t="shared" si="39"/>
        <v>Diesel</v>
      </c>
      <c r="M1155" s="194"/>
      <c r="N1155" s="317"/>
      <c r="O1155" s="317"/>
      <c r="P1155" s="317"/>
      <c r="Q1155" s="317"/>
      <c r="R1155" s="317"/>
      <c r="S1155" s="317"/>
      <c r="T1155" s="317"/>
      <c r="U1155" s="317"/>
      <c r="V1155" s="317"/>
      <c r="W1155" s="317"/>
      <c r="X1155" s="317"/>
      <c r="Y1155" s="317"/>
      <c r="Z1155" s="317"/>
    </row>
    <row r="1156" spans="1:26" x14ac:dyDescent="0.25">
      <c r="A1156" s="314"/>
      <c r="B1156" s="18">
        <v>2023</v>
      </c>
      <c r="C1156" s="18" t="s">
        <v>750</v>
      </c>
      <c r="D1156" s="18" t="s">
        <v>849</v>
      </c>
      <c r="E1156" s="18" t="s">
        <v>713</v>
      </c>
      <c r="F1156" s="18" t="s">
        <v>714</v>
      </c>
      <c r="G1156" s="18" t="s">
        <v>674</v>
      </c>
      <c r="H1156" s="18" t="s">
        <v>850</v>
      </c>
      <c r="I1156" s="315">
        <v>238.09846713250491</v>
      </c>
      <c r="J1156" s="315">
        <v>3.3263706121847182E-3</v>
      </c>
      <c r="K1156" s="316" t="str">
        <f t="shared" si="38"/>
        <v>Construction and Mining Equipment</v>
      </c>
      <c r="L1156" s="316" t="str">
        <f t="shared" si="39"/>
        <v>Diesel</v>
      </c>
      <c r="M1156" s="194"/>
      <c r="N1156" s="317"/>
      <c r="O1156" s="317"/>
      <c r="P1156" s="317"/>
      <c r="Q1156" s="317"/>
      <c r="R1156" s="317"/>
      <c r="S1156" s="317"/>
      <c r="T1156" s="317"/>
      <c r="U1156" s="317"/>
      <c r="V1156" s="317"/>
      <c r="W1156" s="317"/>
      <c r="X1156" s="317"/>
      <c r="Y1156" s="317"/>
      <c r="Z1156" s="317"/>
    </row>
    <row r="1157" spans="1:26" x14ac:dyDescent="0.25">
      <c r="A1157" s="314"/>
      <c r="B1157" s="18">
        <v>2023</v>
      </c>
      <c r="C1157" s="18" t="s">
        <v>793</v>
      </c>
      <c r="D1157" s="18" t="s">
        <v>757</v>
      </c>
      <c r="E1157" s="18" t="s">
        <v>713</v>
      </c>
      <c r="F1157" s="18" t="s">
        <v>714</v>
      </c>
      <c r="G1157" s="18" t="s">
        <v>673</v>
      </c>
      <c r="H1157" s="18" t="s">
        <v>758</v>
      </c>
      <c r="I1157" s="315">
        <v>237.9650604572559</v>
      </c>
      <c r="J1157" s="315">
        <v>9.1682597877046756E-3</v>
      </c>
      <c r="K1157" s="316" t="str">
        <f t="shared" si="38"/>
        <v>Lawn and Garden Equipment</v>
      </c>
      <c r="L1157" s="316" t="str">
        <f t="shared" si="39"/>
        <v>Diesel</v>
      </c>
      <c r="M1157" s="194"/>
      <c r="N1157" s="317"/>
      <c r="O1157" s="317"/>
      <c r="P1157" s="317"/>
      <c r="Q1157" s="317"/>
      <c r="R1157" s="317"/>
      <c r="S1157" s="317"/>
      <c r="T1157" s="317"/>
      <c r="U1157" s="317"/>
      <c r="V1157" s="317"/>
      <c r="W1157" s="317"/>
      <c r="X1157" s="317"/>
      <c r="Y1157" s="317"/>
      <c r="Z1157" s="317"/>
    </row>
    <row r="1158" spans="1:26" x14ac:dyDescent="0.25">
      <c r="A1158" s="314"/>
      <c r="B1158" s="18">
        <v>2023</v>
      </c>
      <c r="C1158" s="18" t="s">
        <v>709</v>
      </c>
      <c r="D1158" s="18" t="s">
        <v>979</v>
      </c>
      <c r="E1158" s="18" t="s">
        <v>703</v>
      </c>
      <c r="F1158" s="18" t="s">
        <v>704</v>
      </c>
      <c r="G1158" s="18" t="s">
        <v>675</v>
      </c>
      <c r="H1158" s="18" t="s">
        <v>802</v>
      </c>
      <c r="I1158" s="315">
        <v>236.07673559411947</v>
      </c>
      <c r="J1158" s="315">
        <v>8.4941815061014891E-2</v>
      </c>
      <c r="K1158" s="316" t="str">
        <f t="shared" si="38"/>
        <v>Industrial Equipment</v>
      </c>
      <c r="L1158" s="316" t="str">
        <f t="shared" si="39"/>
        <v>Gasoline</v>
      </c>
      <c r="M1158" s="194"/>
      <c r="N1158" s="317"/>
      <c r="O1158" s="317"/>
      <c r="P1158" s="317"/>
      <c r="Q1158" s="317"/>
      <c r="R1158" s="317"/>
      <c r="S1158" s="317"/>
      <c r="T1158" s="317"/>
      <c r="U1158" s="317"/>
      <c r="V1158" s="317"/>
      <c r="W1158" s="317"/>
      <c r="X1158" s="317"/>
      <c r="Y1158" s="317"/>
      <c r="Z1158" s="317"/>
    </row>
    <row r="1159" spans="1:26" x14ac:dyDescent="0.25">
      <c r="A1159" s="314"/>
      <c r="B1159" s="18">
        <v>2023</v>
      </c>
      <c r="C1159" s="18" t="s">
        <v>722</v>
      </c>
      <c r="D1159" s="18" t="s">
        <v>962</v>
      </c>
      <c r="E1159" s="18" t="s">
        <v>703</v>
      </c>
      <c r="F1159" s="18" t="s">
        <v>704</v>
      </c>
      <c r="G1159" s="18" t="s">
        <v>673</v>
      </c>
      <c r="H1159" s="18" t="s">
        <v>963</v>
      </c>
      <c r="I1159" s="315">
        <v>235.8587457386987</v>
      </c>
      <c r="J1159" s="315">
        <v>0.16283263656506819</v>
      </c>
      <c r="K1159" s="316" t="str">
        <f t="shared" si="38"/>
        <v>Lawn and Garden Equipment</v>
      </c>
      <c r="L1159" s="316" t="str">
        <f t="shared" si="39"/>
        <v>Gasoline</v>
      </c>
      <c r="M1159" s="194"/>
      <c r="N1159" s="317"/>
      <c r="O1159" s="317"/>
      <c r="P1159" s="317"/>
      <c r="Q1159" s="317"/>
      <c r="R1159" s="317"/>
      <c r="S1159" s="317"/>
      <c r="T1159" s="317"/>
      <c r="U1159" s="317"/>
      <c r="V1159" s="317"/>
      <c r="W1159" s="317"/>
      <c r="X1159" s="317"/>
      <c r="Y1159" s="317"/>
      <c r="Z1159" s="317"/>
    </row>
    <row r="1160" spans="1:26" x14ac:dyDescent="0.25">
      <c r="A1160" s="314"/>
      <c r="B1160" s="18">
        <v>2023</v>
      </c>
      <c r="C1160" s="18" t="s">
        <v>727</v>
      </c>
      <c r="D1160" s="18" t="s">
        <v>771</v>
      </c>
      <c r="E1160" s="18" t="s">
        <v>713</v>
      </c>
      <c r="F1160" s="18" t="s">
        <v>714</v>
      </c>
      <c r="G1160" s="18" t="s">
        <v>675</v>
      </c>
      <c r="H1160" s="18" t="s">
        <v>772</v>
      </c>
      <c r="I1160" s="315">
        <v>235.50510560836813</v>
      </c>
      <c r="J1160" s="315">
        <v>5.2397589686914903E-4</v>
      </c>
      <c r="K1160" s="316" t="str">
        <f t="shared" si="38"/>
        <v>Industrial Equipment</v>
      </c>
      <c r="L1160" s="316" t="str">
        <f t="shared" si="39"/>
        <v>Diesel</v>
      </c>
      <c r="M1160" s="194"/>
      <c r="N1160" s="317"/>
      <c r="O1160" s="317"/>
      <c r="P1160" s="317"/>
      <c r="Q1160" s="317"/>
      <c r="R1160" s="317"/>
      <c r="S1160" s="317"/>
      <c r="T1160" s="317"/>
      <c r="U1160" s="317"/>
      <c r="V1160" s="317"/>
      <c r="W1160" s="317"/>
      <c r="X1160" s="317"/>
      <c r="Y1160" s="317"/>
      <c r="Z1160" s="317"/>
    </row>
    <row r="1161" spans="1:26" x14ac:dyDescent="0.25">
      <c r="A1161" s="314"/>
      <c r="B1161" s="18">
        <v>2023</v>
      </c>
      <c r="C1161" s="18" t="s">
        <v>706</v>
      </c>
      <c r="D1161" s="18" t="s">
        <v>1020</v>
      </c>
      <c r="E1161" s="18" t="s">
        <v>713</v>
      </c>
      <c r="F1161" s="18" t="s">
        <v>714</v>
      </c>
      <c r="G1161" s="18" t="s">
        <v>677</v>
      </c>
      <c r="H1161" s="18" t="s">
        <v>789</v>
      </c>
      <c r="I1161" s="315">
        <v>234.63620761522074</v>
      </c>
      <c r="J1161" s="315">
        <v>5.3997781460738891E-3</v>
      </c>
      <c r="K1161" s="316" t="str">
        <f t="shared" si="38"/>
        <v>Commercial Equipment</v>
      </c>
      <c r="L1161" s="316" t="str">
        <f t="shared" si="39"/>
        <v>Diesel</v>
      </c>
      <c r="M1161" s="194"/>
      <c r="N1161" s="317"/>
      <c r="O1161" s="317"/>
      <c r="P1161" s="317"/>
      <c r="Q1161" s="317"/>
      <c r="R1161" s="317"/>
      <c r="S1161" s="317"/>
      <c r="T1161" s="317"/>
      <c r="U1161" s="317"/>
      <c r="V1161" s="317"/>
      <c r="W1161" s="317"/>
      <c r="X1161" s="317"/>
      <c r="Y1161" s="317"/>
      <c r="Z1161" s="317"/>
    </row>
    <row r="1162" spans="1:26" x14ac:dyDescent="0.25">
      <c r="A1162" s="314"/>
      <c r="B1162" s="18">
        <v>2023</v>
      </c>
      <c r="C1162" s="18" t="s">
        <v>711</v>
      </c>
      <c r="D1162" s="18" t="s">
        <v>1007</v>
      </c>
      <c r="E1162" s="18" t="s">
        <v>703</v>
      </c>
      <c r="F1162" s="18" t="s">
        <v>795</v>
      </c>
      <c r="G1162" s="18" t="s">
        <v>679</v>
      </c>
      <c r="H1162" s="18" t="s">
        <v>1008</v>
      </c>
      <c r="I1162" s="315">
        <v>234.43827218698584</v>
      </c>
      <c r="J1162" s="315">
        <v>0.17046592188386156</v>
      </c>
      <c r="K1162" s="316" t="str">
        <f t="shared" si="38"/>
        <v>Recreational Equipment</v>
      </c>
      <c r="L1162" s="316" t="str">
        <f t="shared" si="39"/>
        <v>Gasoline</v>
      </c>
      <c r="M1162" s="194"/>
      <c r="N1162" s="317"/>
      <c r="O1162" s="317"/>
      <c r="P1162" s="317"/>
      <c r="Q1162" s="317"/>
      <c r="R1162" s="317"/>
      <c r="S1162" s="317"/>
      <c r="T1162" s="317"/>
      <c r="U1162" s="317"/>
      <c r="V1162" s="317"/>
      <c r="W1162" s="317"/>
      <c r="X1162" s="317"/>
      <c r="Y1162" s="317"/>
      <c r="Z1162" s="317"/>
    </row>
    <row r="1163" spans="1:26" x14ac:dyDescent="0.25">
      <c r="A1163" s="314"/>
      <c r="B1163" s="18">
        <v>2023</v>
      </c>
      <c r="C1163" s="18" t="s">
        <v>701</v>
      </c>
      <c r="D1163" s="18" t="s">
        <v>1007</v>
      </c>
      <c r="E1163" s="18" t="s">
        <v>703</v>
      </c>
      <c r="F1163" s="18" t="s">
        <v>795</v>
      </c>
      <c r="G1163" s="18" t="s">
        <v>679</v>
      </c>
      <c r="H1163" s="18" t="s">
        <v>1008</v>
      </c>
      <c r="I1163" s="315">
        <v>234.43827218698584</v>
      </c>
      <c r="J1163" s="315">
        <v>0.17046592188386156</v>
      </c>
      <c r="K1163" s="316" t="str">
        <f t="shared" si="38"/>
        <v>Recreational Equipment</v>
      </c>
      <c r="L1163" s="316" t="str">
        <f t="shared" si="39"/>
        <v>Gasoline</v>
      </c>
      <c r="M1163" s="194"/>
      <c r="N1163" s="317"/>
      <c r="O1163" s="317"/>
      <c r="P1163" s="317"/>
      <c r="Q1163" s="317"/>
      <c r="R1163" s="317"/>
      <c r="S1163" s="317"/>
      <c r="T1163" s="317"/>
      <c r="U1163" s="317"/>
      <c r="V1163" s="317"/>
      <c r="W1163" s="317"/>
      <c r="X1163" s="317"/>
      <c r="Y1163" s="317"/>
      <c r="Z1163" s="317"/>
    </row>
    <row r="1164" spans="1:26" x14ac:dyDescent="0.25">
      <c r="A1164" s="314"/>
      <c r="B1164" s="18">
        <v>2023</v>
      </c>
      <c r="C1164" s="18" t="s">
        <v>787</v>
      </c>
      <c r="D1164" s="18" t="s">
        <v>1021</v>
      </c>
      <c r="E1164" s="18" t="s">
        <v>703</v>
      </c>
      <c r="F1164" s="18" t="s">
        <v>704</v>
      </c>
      <c r="G1164" s="18" t="s">
        <v>679</v>
      </c>
      <c r="H1164" s="18" t="s">
        <v>983</v>
      </c>
      <c r="I1164" s="315">
        <v>234.37904940949514</v>
      </c>
      <c r="J1164" s="315">
        <v>0.31961097812051203</v>
      </c>
      <c r="K1164" s="316" t="str">
        <f t="shared" si="38"/>
        <v>Recreational Equipment</v>
      </c>
      <c r="L1164" s="316" t="str">
        <f t="shared" si="39"/>
        <v>Gasoline</v>
      </c>
      <c r="M1164" s="194"/>
      <c r="N1164" s="317"/>
      <c r="O1164" s="317"/>
      <c r="P1164" s="317"/>
      <c r="Q1164" s="317"/>
      <c r="R1164" s="317"/>
      <c r="S1164" s="317"/>
      <c r="T1164" s="317"/>
      <c r="U1164" s="317"/>
      <c r="V1164" s="317"/>
      <c r="W1164" s="317"/>
      <c r="X1164" s="317"/>
      <c r="Y1164" s="317"/>
      <c r="Z1164" s="317"/>
    </row>
    <row r="1165" spans="1:26" x14ac:dyDescent="0.25">
      <c r="A1165" s="314"/>
      <c r="B1165" s="18">
        <v>2023</v>
      </c>
      <c r="C1165" s="18" t="s">
        <v>711</v>
      </c>
      <c r="D1165" s="18" t="s">
        <v>989</v>
      </c>
      <c r="E1165" s="18" t="s">
        <v>703</v>
      </c>
      <c r="F1165" s="18" t="s">
        <v>795</v>
      </c>
      <c r="G1165" s="18" t="s">
        <v>673</v>
      </c>
      <c r="H1165" s="18" t="s">
        <v>990</v>
      </c>
      <c r="I1165" s="315">
        <v>233.9652792219587</v>
      </c>
      <c r="J1165" s="315">
        <v>0.45038840635574146</v>
      </c>
      <c r="K1165" s="316" t="str">
        <f t="shared" si="38"/>
        <v>Lawn and Garden Equipment</v>
      </c>
      <c r="L1165" s="316" t="str">
        <f t="shared" si="39"/>
        <v>Gasoline</v>
      </c>
      <c r="M1165" s="194"/>
      <c r="N1165" s="317"/>
      <c r="O1165" s="317"/>
      <c r="P1165" s="317"/>
      <c r="Q1165" s="317"/>
      <c r="R1165" s="317"/>
      <c r="S1165" s="317"/>
      <c r="T1165" s="317"/>
      <c r="U1165" s="317"/>
      <c r="V1165" s="317"/>
      <c r="W1165" s="317"/>
      <c r="X1165" s="317"/>
      <c r="Y1165" s="317"/>
      <c r="Z1165" s="317"/>
    </row>
    <row r="1166" spans="1:26" x14ac:dyDescent="0.25">
      <c r="A1166" s="314"/>
      <c r="B1166" s="18">
        <v>2023</v>
      </c>
      <c r="C1166" s="18" t="s">
        <v>706</v>
      </c>
      <c r="D1166" s="18" t="s">
        <v>1022</v>
      </c>
      <c r="E1166" s="18" t="s">
        <v>703</v>
      </c>
      <c r="F1166" s="18" t="s">
        <v>704</v>
      </c>
      <c r="G1166" s="18" t="s">
        <v>675</v>
      </c>
      <c r="H1166" s="18" t="s">
        <v>772</v>
      </c>
      <c r="I1166" s="315">
        <v>233.67935069101802</v>
      </c>
      <c r="J1166" s="315">
        <v>1.6503294668153388E-2</v>
      </c>
      <c r="K1166" s="316" t="str">
        <f t="shared" si="38"/>
        <v>Industrial Equipment</v>
      </c>
      <c r="L1166" s="316" t="str">
        <f t="shared" si="39"/>
        <v>Gasoline</v>
      </c>
      <c r="M1166" s="194"/>
      <c r="N1166" s="317"/>
      <c r="O1166" s="317"/>
      <c r="P1166" s="317"/>
      <c r="Q1166" s="317"/>
      <c r="R1166" s="317"/>
      <c r="S1166" s="317"/>
      <c r="T1166" s="317"/>
      <c r="U1166" s="317"/>
      <c r="V1166" s="317"/>
      <c r="W1166" s="317"/>
      <c r="X1166" s="317"/>
      <c r="Y1166" s="317"/>
      <c r="Z1166" s="317"/>
    </row>
    <row r="1167" spans="1:26" x14ac:dyDescent="0.25">
      <c r="A1167" s="314"/>
      <c r="B1167" s="18">
        <v>2023</v>
      </c>
      <c r="C1167" s="18" t="s">
        <v>706</v>
      </c>
      <c r="D1167" s="18" t="s">
        <v>1023</v>
      </c>
      <c r="E1167" s="18" t="s">
        <v>703</v>
      </c>
      <c r="F1167" s="18" t="s">
        <v>704</v>
      </c>
      <c r="G1167" s="18" t="s">
        <v>674</v>
      </c>
      <c r="H1167" s="18" t="s">
        <v>736</v>
      </c>
      <c r="I1167" s="315">
        <v>233.46995673670611</v>
      </c>
      <c r="J1167" s="315">
        <v>0.15562600264226523</v>
      </c>
      <c r="K1167" s="316" t="str">
        <f t="shared" si="38"/>
        <v>Construction and Mining Equipment</v>
      </c>
      <c r="L1167" s="316" t="str">
        <f t="shared" si="39"/>
        <v>Gasoline</v>
      </c>
      <c r="M1167" s="194"/>
      <c r="N1167" s="317"/>
      <c r="O1167" s="317"/>
      <c r="P1167" s="317"/>
      <c r="Q1167" s="317"/>
      <c r="R1167" s="317"/>
      <c r="S1167" s="317"/>
      <c r="T1167" s="317"/>
      <c r="U1167" s="317"/>
      <c r="V1167" s="317"/>
      <c r="W1167" s="317"/>
      <c r="X1167" s="317"/>
      <c r="Y1167" s="317"/>
      <c r="Z1167" s="317"/>
    </row>
    <row r="1168" spans="1:26" x14ac:dyDescent="0.25">
      <c r="A1168" s="314"/>
      <c r="B1168" s="18">
        <v>2023</v>
      </c>
      <c r="C1168" s="18" t="s">
        <v>810</v>
      </c>
      <c r="D1168" s="18" t="s">
        <v>790</v>
      </c>
      <c r="E1168" s="18" t="s">
        <v>713</v>
      </c>
      <c r="F1168" s="18" t="s">
        <v>714</v>
      </c>
      <c r="G1168" s="18" t="s">
        <v>674</v>
      </c>
      <c r="H1168" s="18" t="s">
        <v>791</v>
      </c>
      <c r="I1168" s="315">
        <v>233.12448465568323</v>
      </c>
      <c r="J1168" s="315">
        <v>1.3401461536292699E-3</v>
      </c>
      <c r="K1168" s="316" t="str">
        <f t="shared" si="38"/>
        <v>Construction and Mining Equipment</v>
      </c>
      <c r="L1168" s="316" t="str">
        <f t="shared" si="39"/>
        <v>Diesel</v>
      </c>
      <c r="M1168" s="194"/>
      <c r="N1168" s="317"/>
      <c r="O1168" s="317"/>
      <c r="P1168" s="317"/>
      <c r="Q1168" s="317"/>
      <c r="R1168" s="317"/>
      <c r="S1168" s="317"/>
      <c r="T1168" s="317"/>
      <c r="U1168" s="317"/>
      <c r="V1168" s="317"/>
      <c r="W1168" s="317"/>
      <c r="X1168" s="317"/>
      <c r="Y1168" s="317"/>
      <c r="Z1168" s="317"/>
    </row>
    <row r="1169" spans="1:26" x14ac:dyDescent="0.25">
      <c r="A1169" s="314"/>
      <c r="B1169" s="18">
        <v>2023</v>
      </c>
      <c r="C1169" s="18" t="s">
        <v>711</v>
      </c>
      <c r="D1169" s="18" t="s">
        <v>1024</v>
      </c>
      <c r="E1169" s="18" t="s">
        <v>56</v>
      </c>
      <c r="F1169" s="18" t="s">
        <v>1025</v>
      </c>
      <c r="G1169" s="18" t="s">
        <v>680</v>
      </c>
      <c r="H1169" s="18" t="s">
        <v>1026</v>
      </c>
      <c r="I1169" s="315">
        <v>232.72253124539989</v>
      </c>
      <c r="J1169" s="315">
        <v>1.0600578060340581E-2</v>
      </c>
      <c r="K1169" s="316" t="str">
        <f t="shared" si="38"/>
        <v>Airport Ground Support Equipment</v>
      </c>
      <c r="L1169" s="316" t="str">
        <f t="shared" si="39"/>
        <v>LPG</v>
      </c>
      <c r="M1169" s="194"/>
      <c r="N1169" s="317"/>
      <c r="O1169" s="317"/>
      <c r="P1169" s="317"/>
      <c r="Q1169" s="317"/>
      <c r="R1169" s="317"/>
      <c r="S1169" s="317"/>
      <c r="T1169" s="317"/>
      <c r="U1169" s="317"/>
      <c r="V1169" s="317"/>
      <c r="W1169" s="317"/>
      <c r="X1169" s="317"/>
      <c r="Y1169" s="317"/>
      <c r="Z1169" s="317"/>
    </row>
    <row r="1170" spans="1:26" x14ac:dyDescent="0.25">
      <c r="A1170" s="314"/>
      <c r="B1170" s="18">
        <v>2023</v>
      </c>
      <c r="C1170" s="18" t="s">
        <v>787</v>
      </c>
      <c r="D1170" s="18" t="s">
        <v>855</v>
      </c>
      <c r="E1170" s="18" t="s">
        <v>713</v>
      </c>
      <c r="F1170" s="18" t="s">
        <v>714</v>
      </c>
      <c r="G1170" s="18" t="s">
        <v>674</v>
      </c>
      <c r="H1170" s="18" t="s">
        <v>856</v>
      </c>
      <c r="I1170" s="315">
        <v>232.53848714430538</v>
      </c>
      <c r="J1170" s="315">
        <v>1.4693842507793979E-3</v>
      </c>
      <c r="K1170" s="316" t="str">
        <f t="shared" si="38"/>
        <v>Construction and Mining Equipment</v>
      </c>
      <c r="L1170" s="316" t="str">
        <f t="shared" si="39"/>
        <v>Diesel</v>
      </c>
      <c r="M1170" s="194"/>
      <c r="N1170" s="317"/>
      <c r="O1170" s="317"/>
      <c r="P1170" s="317"/>
      <c r="Q1170" s="317"/>
      <c r="R1170" s="317"/>
      <c r="S1170" s="317"/>
      <c r="T1170" s="317"/>
      <c r="U1170" s="317"/>
      <c r="V1170" s="317"/>
      <c r="W1170" s="317"/>
      <c r="X1170" s="317"/>
      <c r="Y1170" s="317"/>
      <c r="Z1170" s="317"/>
    </row>
    <row r="1171" spans="1:26" x14ac:dyDescent="0.25">
      <c r="A1171" s="314"/>
      <c r="B1171" s="18">
        <v>2023</v>
      </c>
      <c r="C1171" s="18" t="s">
        <v>727</v>
      </c>
      <c r="D1171" s="18" t="s">
        <v>835</v>
      </c>
      <c r="E1171" s="18" t="s">
        <v>703</v>
      </c>
      <c r="F1171" s="18" t="s">
        <v>704</v>
      </c>
      <c r="G1171" s="18" t="s">
        <v>677</v>
      </c>
      <c r="H1171" s="18" t="s">
        <v>836</v>
      </c>
      <c r="I1171" s="315">
        <v>231.84231912895714</v>
      </c>
      <c r="J1171" s="315">
        <v>0.14357362700132681</v>
      </c>
      <c r="K1171" s="316" t="str">
        <f t="shared" si="38"/>
        <v>Commercial Equipment</v>
      </c>
      <c r="L1171" s="316" t="str">
        <f t="shared" si="39"/>
        <v>Gasoline</v>
      </c>
      <c r="M1171" s="194"/>
      <c r="N1171" s="317"/>
      <c r="O1171" s="317"/>
      <c r="P1171" s="317"/>
      <c r="Q1171" s="317"/>
      <c r="R1171" s="317"/>
      <c r="S1171" s="317"/>
      <c r="T1171" s="317"/>
      <c r="U1171" s="317"/>
      <c r="V1171" s="317"/>
      <c r="W1171" s="317"/>
      <c r="X1171" s="317"/>
      <c r="Y1171" s="317"/>
      <c r="Z1171" s="317"/>
    </row>
    <row r="1172" spans="1:26" x14ac:dyDescent="0.25">
      <c r="A1172" s="314"/>
      <c r="B1172" s="18">
        <v>2023</v>
      </c>
      <c r="C1172" s="18" t="s">
        <v>753</v>
      </c>
      <c r="D1172" s="18" t="s">
        <v>839</v>
      </c>
      <c r="E1172" s="18" t="s">
        <v>703</v>
      </c>
      <c r="F1172" s="18" t="s">
        <v>704</v>
      </c>
      <c r="G1172" s="18" t="s">
        <v>675</v>
      </c>
      <c r="H1172" s="18" t="s">
        <v>708</v>
      </c>
      <c r="I1172" s="315">
        <v>231.40568920945475</v>
      </c>
      <c r="J1172" s="315">
        <v>1.587624693054572E-2</v>
      </c>
      <c r="K1172" s="316" t="str">
        <f t="shared" si="38"/>
        <v>Industrial Equipment</v>
      </c>
      <c r="L1172" s="316" t="str">
        <f t="shared" si="39"/>
        <v>Gasoline</v>
      </c>
      <c r="M1172" s="194"/>
      <c r="N1172" s="317"/>
      <c r="O1172" s="317"/>
      <c r="P1172" s="317"/>
      <c r="Q1172" s="317"/>
      <c r="R1172" s="317"/>
      <c r="S1172" s="317"/>
      <c r="T1172" s="317"/>
      <c r="U1172" s="317"/>
      <c r="V1172" s="317"/>
      <c r="W1172" s="317"/>
      <c r="X1172" s="317"/>
      <c r="Y1172" s="317"/>
      <c r="Z1172" s="317"/>
    </row>
    <row r="1173" spans="1:26" x14ac:dyDescent="0.25">
      <c r="A1173" s="314"/>
      <c r="B1173" s="18">
        <v>2023</v>
      </c>
      <c r="C1173" s="18" t="s">
        <v>743</v>
      </c>
      <c r="D1173" s="18" t="s">
        <v>830</v>
      </c>
      <c r="E1173" s="18" t="s">
        <v>703</v>
      </c>
      <c r="F1173" s="18" t="s">
        <v>704</v>
      </c>
      <c r="G1173" s="18" t="s">
        <v>673</v>
      </c>
      <c r="H1173" s="18" t="s">
        <v>742</v>
      </c>
      <c r="I1173" s="315">
        <v>230.15071833143105</v>
      </c>
      <c r="J1173" s="315">
        <v>0.10058018804933817</v>
      </c>
      <c r="K1173" s="316" t="str">
        <f t="shared" si="38"/>
        <v>Lawn and Garden Equipment</v>
      </c>
      <c r="L1173" s="316" t="str">
        <f t="shared" si="39"/>
        <v>Gasoline</v>
      </c>
      <c r="M1173" s="194"/>
      <c r="N1173" s="317"/>
      <c r="O1173" s="317"/>
      <c r="P1173" s="317"/>
      <c r="Q1173" s="317"/>
      <c r="R1173" s="317"/>
      <c r="S1173" s="317"/>
      <c r="T1173" s="317"/>
      <c r="U1173" s="317"/>
      <c r="V1173" s="317"/>
      <c r="W1173" s="317"/>
      <c r="X1173" s="317"/>
      <c r="Y1173" s="317"/>
      <c r="Z1173" s="317"/>
    </row>
    <row r="1174" spans="1:26" x14ac:dyDescent="0.25">
      <c r="A1174" s="314"/>
      <c r="B1174" s="18">
        <v>2023</v>
      </c>
      <c r="C1174" s="18" t="s">
        <v>754</v>
      </c>
      <c r="D1174" s="18" t="s">
        <v>868</v>
      </c>
      <c r="E1174" s="18" t="s">
        <v>703</v>
      </c>
      <c r="F1174" s="18" t="s">
        <v>704</v>
      </c>
      <c r="G1174" s="18" t="s">
        <v>673</v>
      </c>
      <c r="H1174" s="18" t="s">
        <v>758</v>
      </c>
      <c r="I1174" s="315">
        <v>230.05592829967583</v>
      </c>
      <c r="J1174" s="315">
        <v>0.15098459095884417</v>
      </c>
      <c r="K1174" s="316" t="str">
        <f t="shared" si="38"/>
        <v>Lawn and Garden Equipment</v>
      </c>
      <c r="L1174" s="316" t="str">
        <f t="shared" si="39"/>
        <v>Gasoline</v>
      </c>
      <c r="M1174" s="194"/>
      <c r="N1174" s="317"/>
      <c r="O1174" s="317"/>
      <c r="P1174" s="317"/>
      <c r="Q1174" s="317"/>
      <c r="R1174" s="317"/>
      <c r="S1174" s="317"/>
      <c r="T1174" s="317"/>
      <c r="U1174" s="317"/>
      <c r="V1174" s="317"/>
      <c r="W1174" s="317"/>
      <c r="X1174" s="317"/>
      <c r="Y1174" s="317"/>
      <c r="Z1174" s="317"/>
    </row>
    <row r="1175" spans="1:26" x14ac:dyDescent="0.25">
      <c r="A1175" s="314"/>
      <c r="B1175" s="18">
        <v>2023</v>
      </c>
      <c r="C1175" s="18" t="s">
        <v>792</v>
      </c>
      <c r="D1175" s="18" t="s">
        <v>755</v>
      </c>
      <c r="E1175" s="18" t="s">
        <v>713</v>
      </c>
      <c r="F1175" s="18" t="s">
        <v>714</v>
      </c>
      <c r="G1175" s="18" t="s">
        <v>674</v>
      </c>
      <c r="H1175" s="18" t="s">
        <v>756</v>
      </c>
      <c r="I1175" s="315">
        <v>229.99259555446227</v>
      </c>
      <c r="J1175" s="315">
        <v>8.9309544260655193E-3</v>
      </c>
      <c r="K1175" s="316" t="str">
        <f t="shared" si="38"/>
        <v>Construction and Mining Equipment</v>
      </c>
      <c r="L1175" s="316" t="str">
        <f t="shared" si="39"/>
        <v>Diesel</v>
      </c>
      <c r="M1175" s="194"/>
      <c r="N1175" s="317"/>
      <c r="O1175" s="317"/>
      <c r="P1175" s="317"/>
      <c r="Q1175" s="317"/>
      <c r="R1175" s="317"/>
      <c r="S1175" s="317"/>
      <c r="T1175" s="317"/>
      <c r="U1175" s="317"/>
      <c r="V1175" s="317"/>
      <c r="W1175" s="317"/>
      <c r="X1175" s="317"/>
      <c r="Y1175" s="317"/>
      <c r="Z1175" s="317"/>
    </row>
    <row r="1176" spans="1:26" x14ac:dyDescent="0.25">
      <c r="A1176" s="314"/>
      <c r="B1176" s="18">
        <v>2023</v>
      </c>
      <c r="C1176" s="18" t="s">
        <v>732</v>
      </c>
      <c r="D1176" s="18" t="s">
        <v>968</v>
      </c>
      <c r="E1176" s="18" t="s">
        <v>703</v>
      </c>
      <c r="F1176" s="18" t="s">
        <v>704</v>
      </c>
      <c r="G1176" s="18" t="s">
        <v>675</v>
      </c>
      <c r="H1176" s="18" t="s">
        <v>969</v>
      </c>
      <c r="I1176" s="315">
        <v>229.93406282385223</v>
      </c>
      <c r="J1176" s="315">
        <v>7.3823251381290353E-2</v>
      </c>
      <c r="K1176" s="316" t="str">
        <f t="shared" si="38"/>
        <v>Industrial Equipment</v>
      </c>
      <c r="L1176" s="316" t="str">
        <f t="shared" si="39"/>
        <v>Gasoline</v>
      </c>
      <c r="M1176" s="194"/>
      <c r="N1176" s="317"/>
      <c r="O1176" s="317"/>
      <c r="P1176" s="317"/>
      <c r="Q1176" s="317"/>
      <c r="R1176" s="317"/>
      <c r="S1176" s="317"/>
      <c r="T1176" s="317"/>
      <c r="U1176" s="317"/>
      <c r="V1176" s="317"/>
      <c r="W1176" s="317"/>
      <c r="X1176" s="317"/>
      <c r="Y1176" s="317"/>
      <c r="Z1176" s="317"/>
    </row>
    <row r="1177" spans="1:26" x14ac:dyDescent="0.25">
      <c r="A1177" s="314"/>
      <c r="B1177" s="18">
        <v>2023</v>
      </c>
      <c r="C1177" s="18" t="s">
        <v>711</v>
      </c>
      <c r="D1177" s="18" t="s">
        <v>980</v>
      </c>
      <c r="E1177" s="18" t="s">
        <v>713</v>
      </c>
      <c r="F1177" s="18" t="s">
        <v>714</v>
      </c>
      <c r="G1177" s="18" t="s">
        <v>674</v>
      </c>
      <c r="H1177" s="18" t="s">
        <v>981</v>
      </c>
      <c r="I1177" s="315">
        <v>229.88195436356216</v>
      </c>
      <c r="J1177" s="315">
        <v>1.0090539654565906E-2</v>
      </c>
      <c r="K1177" s="316" t="str">
        <f t="shared" si="38"/>
        <v>Construction and Mining Equipment</v>
      </c>
      <c r="L1177" s="316" t="str">
        <f t="shared" si="39"/>
        <v>Diesel</v>
      </c>
      <c r="M1177" s="194"/>
      <c r="N1177" s="317"/>
      <c r="O1177" s="317"/>
      <c r="P1177" s="317"/>
      <c r="Q1177" s="317"/>
      <c r="R1177" s="317"/>
      <c r="S1177" s="317"/>
      <c r="T1177" s="317"/>
      <c r="U1177" s="317"/>
      <c r="V1177" s="317"/>
      <c r="W1177" s="317"/>
      <c r="X1177" s="317"/>
      <c r="Y1177" s="317"/>
      <c r="Z1177" s="317"/>
    </row>
    <row r="1178" spans="1:26" x14ac:dyDescent="0.25">
      <c r="A1178" s="314"/>
      <c r="B1178" s="18">
        <v>2023</v>
      </c>
      <c r="C1178" s="18" t="s">
        <v>781</v>
      </c>
      <c r="D1178" s="18" t="s">
        <v>894</v>
      </c>
      <c r="E1178" s="18" t="s">
        <v>713</v>
      </c>
      <c r="F1178" s="18" t="s">
        <v>714</v>
      </c>
      <c r="G1178" s="18" t="s">
        <v>681</v>
      </c>
      <c r="H1178" s="18" t="s">
        <v>895</v>
      </c>
      <c r="I1178" s="315">
        <v>229.40699267053367</v>
      </c>
      <c r="J1178" s="315">
        <v>4.4985733969779882E-4</v>
      </c>
      <c r="K1178" s="316" t="str">
        <f t="shared" si="38"/>
        <v>Logging Equipment</v>
      </c>
      <c r="L1178" s="316" t="str">
        <f t="shared" si="39"/>
        <v>Diesel</v>
      </c>
      <c r="M1178" s="194"/>
      <c r="N1178" s="317"/>
      <c r="O1178" s="317"/>
      <c r="P1178" s="317"/>
      <c r="Q1178" s="317"/>
      <c r="R1178" s="317"/>
      <c r="S1178" s="317"/>
      <c r="T1178" s="317"/>
      <c r="U1178" s="317"/>
      <c r="V1178" s="317"/>
      <c r="W1178" s="317"/>
      <c r="X1178" s="317"/>
      <c r="Y1178" s="317"/>
      <c r="Z1178" s="317"/>
    </row>
    <row r="1179" spans="1:26" x14ac:dyDescent="0.25">
      <c r="A1179" s="314"/>
      <c r="B1179" s="18">
        <v>2023</v>
      </c>
      <c r="C1179" s="18" t="s">
        <v>792</v>
      </c>
      <c r="D1179" s="18" t="s">
        <v>765</v>
      </c>
      <c r="E1179" s="18" t="s">
        <v>703</v>
      </c>
      <c r="F1179" s="18" t="s">
        <v>676</v>
      </c>
      <c r="G1179" s="18" t="s">
        <v>729</v>
      </c>
      <c r="H1179" s="18" t="s">
        <v>766</v>
      </c>
      <c r="I1179" s="315">
        <v>228.57875730540283</v>
      </c>
      <c r="J1179" s="315">
        <v>0.2514163050745315</v>
      </c>
      <c r="K1179" s="316" t="str">
        <f t="shared" si="38"/>
        <v>Pleasure Craft</v>
      </c>
      <c r="L1179" s="316" t="str">
        <f t="shared" si="39"/>
        <v>Gasoline</v>
      </c>
      <c r="M1179" s="194"/>
      <c r="N1179" s="317"/>
      <c r="O1179" s="317"/>
      <c r="P1179" s="317"/>
      <c r="Q1179" s="317"/>
      <c r="R1179" s="317"/>
      <c r="S1179" s="317"/>
      <c r="T1179" s="317"/>
      <c r="U1179" s="317"/>
      <c r="V1179" s="317"/>
      <c r="W1179" s="317"/>
      <c r="X1179" s="317"/>
      <c r="Y1179" s="317"/>
      <c r="Z1179" s="317"/>
    </row>
    <row r="1180" spans="1:26" x14ac:dyDescent="0.25">
      <c r="A1180" s="314"/>
      <c r="B1180" s="18">
        <v>2023</v>
      </c>
      <c r="C1180" s="18" t="s">
        <v>759</v>
      </c>
      <c r="D1180" s="18" t="s">
        <v>718</v>
      </c>
      <c r="E1180" s="18" t="s">
        <v>713</v>
      </c>
      <c r="F1180" s="18" t="s">
        <v>714</v>
      </c>
      <c r="G1180" s="18" t="s">
        <v>674</v>
      </c>
      <c r="H1180" s="18" t="s">
        <v>719</v>
      </c>
      <c r="I1180" s="315">
        <v>228.04884482514558</v>
      </c>
      <c r="J1180" s="315">
        <v>8.5238924555284287E-4</v>
      </c>
      <c r="K1180" s="316" t="str">
        <f t="shared" si="38"/>
        <v>Construction and Mining Equipment</v>
      </c>
      <c r="L1180" s="316" t="str">
        <f t="shared" si="39"/>
        <v>Diesel</v>
      </c>
      <c r="M1180" s="194"/>
      <c r="N1180" s="317"/>
      <c r="O1180" s="317"/>
      <c r="P1180" s="317"/>
      <c r="Q1180" s="317"/>
      <c r="R1180" s="317"/>
      <c r="S1180" s="317"/>
      <c r="T1180" s="317"/>
      <c r="U1180" s="317"/>
      <c r="V1180" s="317"/>
      <c r="W1180" s="317"/>
      <c r="X1180" s="317"/>
      <c r="Y1180" s="317"/>
      <c r="Z1180" s="317"/>
    </row>
    <row r="1181" spans="1:26" x14ac:dyDescent="0.25">
      <c r="A1181" s="314"/>
      <c r="B1181" s="18">
        <v>2023</v>
      </c>
      <c r="C1181" s="18" t="s">
        <v>709</v>
      </c>
      <c r="D1181" s="18" t="s">
        <v>1006</v>
      </c>
      <c r="E1181" s="18" t="s">
        <v>703</v>
      </c>
      <c r="F1181" s="18" t="s">
        <v>805</v>
      </c>
      <c r="G1181" s="18" t="s">
        <v>674</v>
      </c>
      <c r="H1181" s="18" t="s">
        <v>967</v>
      </c>
      <c r="I1181" s="315">
        <v>227.83421268748418</v>
      </c>
      <c r="J1181" s="315">
        <v>0.40802399099393333</v>
      </c>
      <c r="K1181" s="316" t="str">
        <f t="shared" si="38"/>
        <v>Construction and Mining Equipment</v>
      </c>
      <c r="L1181" s="316" t="str">
        <f t="shared" si="39"/>
        <v>Gasoline</v>
      </c>
      <c r="M1181" s="194"/>
      <c r="N1181" s="317"/>
      <c r="O1181" s="317"/>
      <c r="P1181" s="317"/>
      <c r="Q1181" s="317"/>
      <c r="R1181" s="317"/>
      <c r="S1181" s="317"/>
      <c r="T1181" s="317"/>
      <c r="U1181" s="317"/>
      <c r="V1181" s="317"/>
      <c r="W1181" s="317"/>
      <c r="X1181" s="317"/>
      <c r="Y1181" s="317"/>
      <c r="Z1181" s="317"/>
    </row>
    <row r="1182" spans="1:26" x14ac:dyDescent="0.25">
      <c r="A1182" s="314"/>
      <c r="B1182" s="18">
        <v>2023</v>
      </c>
      <c r="C1182" s="18" t="s">
        <v>731</v>
      </c>
      <c r="D1182" s="18" t="s">
        <v>774</v>
      </c>
      <c r="E1182" s="18" t="s">
        <v>703</v>
      </c>
      <c r="F1182" s="18" t="s">
        <v>704</v>
      </c>
      <c r="G1182" s="18" t="s">
        <v>673</v>
      </c>
      <c r="H1182" s="18" t="s">
        <v>775</v>
      </c>
      <c r="I1182" s="315">
        <v>227.15062865806146</v>
      </c>
      <c r="J1182" s="315">
        <v>0.15520177847233668</v>
      </c>
      <c r="K1182" s="316" t="str">
        <f t="shared" si="38"/>
        <v>Lawn and Garden Equipment</v>
      </c>
      <c r="L1182" s="316" t="str">
        <f t="shared" si="39"/>
        <v>Gasoline</v>
      </c>
      <c r="M1182" s="194"/>
      <c r="N1182" s="317"/>
      <c r="O1182" s="317"/>
      <c r="P1182" s="317"/>
      <c r="Q1182" s="317"/>
      <c r="R1182" s="317"/>
      <c r="S1182" s="317"/>
      <c r="T1182" s="317"/>
      <c r="U1182" s="317"/>
      <c r="V1182" s="317"/>
      <c r="W1182" s="317"/>
      <c r="X1182" s="317"/>
      <c r="Y1182" s="317"/>
      <c r="Z1182" s="317"/>
    </row>
    <row r="1183" spans="1:26" x14ac:dyDescent="0.25">
      <c r="A1183" s="314"/>
      <c r="B1183" s="18">
        <v>2023</v>
      </c>
      <c r="C1183" s="18" t="s">
        <v>759</v>
      </c>
      <c r="D1183" s="18" t="s">
        <v>720</v>
      </c>
      <c r="E1183" s="18" t="s">
        <v>713</v>
      </c>
      <c r="F1183" s="18" t="s">
        <v>714</v>
      </c>
      <c r="G1183" s="18" t="s">
        <v>674</v>
      </c>
      <c r="H1183" s="18" t="s">
        <v>721</v>
      </c>
      <c r="I1183" s="315">
        <v>227.08371284993169</v>
      </c>
      <c r="J1183" s="315">
        <v>1.0249560607261969E-3</v>
      </c>
      <c r="K1183" s="316" t="str">
        <f t="shared" si="38"/>
        <v>Construction and Mining Equipment</v>
      </c>
      <c r="L1183" s="316" t="str">
        <f t="shared" si="39"/>
        <v>Diesel</v>
      </c>
      <c r="M1183" s="194"/>
      <c r="N1183" s="317"/>
      <c r="O1183" s="317"/>
      <c r="P1183" s="317"/>
      <c r="Q1183" s="317"/>
      <c r="R1183" s="317"/>
      <c r="S1183" s="317"/>
      <c r="T1183" s="317"/>
      <c r="U1183" s="317"/>
      <c r="V1183" s="317"/>
      <c r="W1183" s="317"/>
      <c r="X1183" s="317"/>
      <c r="Y1183" s="317"/>
      <c r="Z1183" s="317"/>
    </row>
    <row r="1184" spans="1:26" x14ac:dyDescent="0.25">
      <c r="A1184" s="314"/>
      <c r="B1184" s="18">
        <v>2023</v>
      </c>
      <c r="C1184" s="18" t="s">
        <v>786</v>
      </c>
      <c r="D1184" s="18" t="s">
        <v>761</v>
      </c>
      <c r="E1184" s="18" t="s">
        <v>713</v>
      </c>
      <c r="F1184" s="18" t="s">
        <v>714</v>
      </c>
      <c r="G1184" s="18" t="s">
        <v>677</v>
      </c>
      <c r="H1184" s="18" t="s">
        <v>747</v>
      </c>
      <c r="I1184" s="315">
        <v>225.64765694802142</v>
      </c>
      <c r="J1184" s="315">
        <v>5.76440049513657E-3</v>
      </c>
      <c r="K1184" s="316" t="str">
        <f t="shared" si="38"/>
        <v>Commercial Equipment</v>
      </c>
      <c r="L1184" s="316" t="str">
        <f t="shared" si="39"/>
        <v>Diesel</v>
      </c>
      <c r="M1184" s="194"/>
      <c r="N1184" s="317"/>
      <c r="O1184" s="317"/>
      <c r="P1184" s="317"/>
      <c r="Q1184" s="317"/>
      <c r="R1184" s="317"/>
      <c r="S1184" s="317"/>
      <c r="T1184" s="317"/>
      <c r="U1184" s="317"/>
      <c r="V1184" s="317"/>
      <c r="W1184" s="317"/>
      <c r="X1184" s="317"/>
      <c r="Y1184" s="317"/>
      <c r="Z1184" s="317"/>
    </row>
    <row r="1185" spans="1:26" x14ac:dyDescent="0.25">
      <c r="A1185" s="314"/>
      <c r="B1185" s="18">
        <v>2023</v>
      </c>
      <c r="C1185" s="18" t="s">
        <v>773</v>
      </c>
      <c r="D1185" s="18" t="s">
        <v>866</v>
      </c>
      <c r="E1185" s="18" t="s">
        <v>713</v>
      </c>
      <c r="F1185" s="18" t="s">
        <v>714</v>
      </c>
      <c r="G1185" s="18" t="s">
        <v>677</v>
      </c>
      <c r="H1185" s="18" t="s">
        <v>841</v>
      </c>
      <c r="I1185" s="315">
        <v>225.04855846671319</v>
      </c>
      <c r="J1185" s="315">
        <v>5.6118212230466605E-3</v>
      </c>
      <c r="K1185" s="316" t="str">
        <f t="shared" si="38"/>
        <v>Commercial Equipment</v>
      </c>
      <c r="L1185" s="316" t="str">
        <f t="shared" si="39"/>
        <v>Diesel</v>
      </c>
      <c r="M1185" s="194"/>
      <c r="N1185" s="317"/>
      <c r="O1185" s="317"/>
      <c r="P1185" s="317"/>
      <c r="Q1185" s="317"/>
      <c r="R1185" s="317"/>
      <c r="S1185" s="317"/>
      <c r="T1185" s="317"/>
      <c r="U1185" s="317"/>
      <c r="V1185" s="317"/>
      <c r="W1185" s="317"/>
      <c r="X1185" s="317"/>
      <c r="Y1185" s="317"/>
      <c r="Z1185" s="317"/>
    </row>
    <row r="1186" spans="1:26" x14ac:dyDescent="0.25">
      <c r="A1186" s="314"/>
      <c r="B1186" s="18">
        <v>2023</v>
      </c>
      <c r="C1186" s="18" t="s">
        <v>781</v>
      </c>
      <c r="D1186" s="18" t="s">
        <v>738</v>
      </c>
      <c r="E1186" s="18" t="s">
        <v>703</v>
      </c>
      <c r="F1186" s="18" t="s">
        <v>676</v>
      </c>
      <c r="G1186" s="18" t="s">
        <v>739</v>
      </c>
      <c r="H1186" s="18" t="s">
        <v>740</v>
      </c>
      <c r="I1186" s="315">
        <v>224.51638714604937</v>
      </c>
      <c r="J1186" s="315">
        <v>9.7512360698319492E-2</v>
      </c>
      <c r="K1186" s="316" t="str">
        <f t="shared" si="38"/>
        <v>Pleasure Craft</v>
      </c>
      <c r="L1186" s="316" t="str">
        <f t="shared" si="39"/>
        <v>Gasoline</v>
      </c>
      <c r="M1186" s="194"/>
      <c r="N1186" s="317"/>
      <c r="O1186" s="317"/>
      <c r="P1186" s="317"/>
      <c r="Q1186" s="317"/>
      <c r="R1186" s="317"/>
      <c r="S1186" s="317"/>
      <c r="T1186" s="317"/>
      <c r="U1186" s="317"/>
      <c r="V1186" s="317"/>
      <c r="W1186" s="317"/>
      <c r="X1186" s="317"/>
      <c r="Y1186" s="317"/>
      <c r="Z1186" s="317"/>
    </row>
    <row r="1187" spans="1:26" x14ac:dyDescent="0.25">
      <c r="A1187" s="314"/>
      <c r="B1187" s="18">
        <v>2023</v>
      </c>
      <c r="C1187" s="18" t="s">
        <v>760</v>
      </c>
      <c r="D1187" s="18" t="s">
        <v>971</v>
      </c>
      <c r="E1187" s="18" t="s">
        <v>713</v>
      </c>
      <c r="F1187" s="18" t="s">
        <v>714</v>
      </c>
      <c r="G1187" s="18" t="s">
        <v>678</v>
      </c>
      <c r="H1187" s="18" t="s">
        <v>972</v>
      </c>
      <c r="I1187" s="315">
        <v>224.41043126694072</v>
      </c>
      <c r="J1187" s="315">
        <v>1.2465269871314516E-3</v>
      </c>
      <c r="K1187" s="316" t="str">
        <f t="shared" si="38"/>
        <v>Agricultural Equipment</v>
      </c>
      <c r="L1187" s="316" t="str">
        <f t="shared" si="39"/>
        <v>Diesel</v>
      </c>
      <c r="M1187" s="194"/>
      <c r="N1187" s="317"/>
      <c r="O1187" s="317"/>
      <c r="P1187" s="317"/>
      <c r="Q1187" s="317"/>
      <c r="R1187" s="317"/>
      <c r="S1187" s="317"/>
      <c r="T1187" s="317"/>
      <c r="U1187" s="317"/>
      <c r="V1187" s="317"/>
      <c r="W1187" s="317"/>
      <c r="X1187" s="317"/>
      <c r="Y1187" s="317"/>
      <c r="Z1187" s="317"/>
    </row>
    <row r="1188" spans="1:26" x14ac:dyDescent="0.25">
      <c r="A1188" s="314"/>
      <c r="B1188" s="18">
        <v>2023</v>
      </c>
      <c r="C1188" s="18" t="s">
        <v>731</v>
      </c>
      <c r="D1188" s="18" t="s">
        <v>784</v>
      </c>
      <c r="E1188" s="18" t="s">
        <v>713</v>
      </c>
      <c r="F1188" s="18" t="s">
        <v>714</v>
      </c>
      <c r="G1188" s="18" t="s">
        <v>677</v>
      </c>
      <c r="H1188" s="18" t="s">
        <v>785</v>
      </c>
      <c r="I1188" s="315">
        <v>223.94725136139303</v>
      </c>
      <c r="J1188" s="315">
        <v>3.1737887692727508E-3</v>
      </c>
      <c r="K1188" s="316" t="str">
        <f t="shared" si="38"/>
        <v>Commercial Equipment</v>
      </c>
      <c r="L1188" s="316" t="str">
        <f t="shared" si="39"/>
        <v>Diesel</v>
      </c>
      <c r="M1188" s="194"/>
      <c r="N1188" s="317"/>
      <c r="O1188" s="317"/>
      <c r="P1188" s="317"/>
      <c r="Q1188" s="317"/>
      <c r="R1188" s="317"/>
      <c r="S1188" s="317"/>
      <c r="T1188" s="317"/>
      <c r="U1188" s="317"/>
      <c r="V1188" s="317"/>
      <c r="W1188" s="317"/>
      <c r="X1188" s="317"/>
      <c r="Y1188" s="317"/>
      <c r="Z1188" s="317"/>
    </row>
    <row r="1189" spans="1:26" x14ac:dyDescent="0.25">
      <c r="A1189" s="314"/>
      <c r="B1189" s="18">
        <v>2023</v>
      </c>
      <c r="C1189" s="18" t="s">
        <v>787</v>
      </c>
      <c r="D1189" s="18" t="s">
        <v>858</v>
      </c>
      <c r="E1189" s="18" t="s">
        <v>713</v>
      </c>
      <c r="F1189" s="18" t="s">
        <v>714</v>
      </c>
      <c r="G1189" s="18" t="s">
        <v>674</v>
      </c>
      <c r="H1189" s="18" t="s">
        <v>859</v>
      </c>
      <c r="I1189" s="315">
        <v>223.69970310567618</v>
      </c>
      <c r="J1189" s="315">
        <v>1.9856520401358648E-3</v>
      </c>
      <c r="K1189" s="316" t="str">
        <f t="shared" si="38"/>
        <v>Construction and Mining Equipment</v>
      </c>
      <c r="L1189" s="316" t="str">
        <f t="shared" si="39"/>
        <v>Diesel</v>
      </c>
      <c r="M1189" s="194"/>
      <c r="N1189" s="317"/>
      <c r="O1189" s="317"/>
      <c r="P1189" s="317"/>
      <c r="Q1189" s="317"/>
      <c r="R1189" s="317"/>
      <c r="S1189" s="317"/>
      <c r="T1189" s="317"/>
      <c r="U1189" s="317"/>
      <c r="V1189" s="317"/>
      <c r="W1189" s="317"/>
      <c r="X1189" s="317"/>
      <c r="Y1189" s="317"/>
      <c r="Z1189" s="317"/>
    </row>
    <row r="1190" spans="1:26" x14ac:dyDescent="0.25">
      <c r="A1190" s="314"/>
      <c r="B1190" s="18">
        <v>2023</v>
      </c>
      <c r="C1190" s="18" t="s">
        <v>762</v>
      </c>
      <c r="D1190" s="18" t="s">
        <v>835</v>
      </c>
      <c r="E1190" s="18" t="s">
        <v>703</v>
      </c>
      <c r="F1190" s="18" t="s">
        <v>704</v>
      </c>
      <c r="G1190" s="18" t="s">
        <v>677</v>
      </c>
      <c r="H1190" s="18" t="s">
        <v>836</v>
      </c>
      <c r="I1190" s="315">
        <v>223.36022649587338</v>
      </c>
      <c r="J1190" s="315">
        <v>0.13870316186143555</v>
      </c>
      <c r="K1190" s="316" t="str">
        <f t="shared" si="38"/>
        <v>Commercial Equipment</v>
      </c>
      <c r="L1190" s="316" t="str">
        <f t="shared" si="39"/>
        <v>Gasoline</v>
      </c>
      <c r="M1190" s="194"/>
      <c r="N1190" s="317"/>
      <c r="O1190" s="317"/>
      <c r="P1190" s="317"/>
      <c r="Q1190" s="317"/>
      <c r="R1190" s="317"/>
      <c r="S1190" s="317"/>
      <c r="T1190" s="317"/>
      <c r="U1190" s="317"/>
      <c r="V1190" s="317"/>
      <c r="W1190" s="317"/>
      <c r="X1190" s="317"/>
      <c r="Y1190" s="317"/>
      <c r="Z1190" s="317"/>
    </row>
    <row r="1191" spans="1:26" x14ac:dyDescent="0.25">
      <c r="A1191" s="314"/>
      <c r="B1191" s="18">
        <v>2023</v>
      </c>
      <c r="C1191" s="18" t="s">
        <v>787</v>
      </c>
      <c r="D1191" s="18" t="s">
        <v>741</v>
      </c>
      <c r="E1191" s="18" t="s">
        <v>713</v>
      </c>
      <c r="F1191" s="18" t="s">
        <v>714</v>
      </c>
      <c r="G1191" s="18" t="s">
        <v>673</v>
      </c>
      <c r="H1191" s="18" t="s">
        <v>742</v>
      </c>
      <c r="I1191" s="315">
        <v>222.56823440325391</v>
      </c>
      <c r="J1191" s="315">
        <v>3.6863681879748013E-3</v>
      </c>
      <c r="K1191" s="316" t="str">
        <f t="shared" si="38"/>
        <v>Lawn and Garden Equipment</v>
      </c>
      <c r="L1191" s="316" t="str">
        <f t="shared" si="39"/>
        <v>Diesel</v>
      </c>
      <c r="M1191" s="194"/>
      <c r="N1191" s="317"/>
      <c r="O1191" s="317"/>
      <c r="P1191" s="317"/>
      <c r="Q1191" s="317"/>
      <c r="R1191" s="317"/>
      <c r="S1191" s="317"/>
      <c r="T1191" s="317"/>
      <c r="U1191" s="317"/>
      <c r="V1191" s="317"/>
      <c r="W1191" s="317"/>
      <c r="X1191" s="317"/>
      <c r="Y1191" s="317"/>
      <c r="Z1191" s="317"/>
    </row>
    <row r="1192" spans="1:26" x14ac:dyDescent="0.25">
      <c r="A1192" s="314"/>
      <c r="B1192" s="18">
        <v>2023</v>
      </c>
      <c r="C1192" s="18" t="s">
        <v>810</v>
      </c>
      <c r="D1192" s="18" t="s">
        <v>794</v>
      </c>
      <c r="E1192" s="18" t="s">
        <v>703</v>
      </c>
      <c r="F1192" s="18" t="s">
        <v>795</v>
      </c>
      <c r="G1192" s="18" t="s">
        <v>673</v>
      </c>
      <c r="H1192" s="18" t="s">
        <v>796</v>
      </c>
      <c r="I1192" s="315">
        <v>222.47260464279859</v>
      </c>
      <c r="J1192" s="315">
        <v>0.4064143411712749</v>
      </c>
      <c r="K1192" s="316" t="str">
        <f t="shared" si="38"/>
        <v>Lawn and Garden Equipment</v>
      </c>
      <c r="L1192" s="316" t="str">
        <f t="shared" si="39"/>
        <v>Gasoline</v>
      </c>
      <c r="M1192" s="194"/>
      <c r="N1192" s="317"/>
      <c r="O1192" s="317"/>
      <c r="P1192" s="317"/>
      <c r="Q1192" s="317"/>
      <c r="R1192" s="317"/>
      <c r="S1192" s="317"/>
      <c r="T1192" s="317"/>
      <c r="U1192" s="317"/>
      <c r="V1192" s="317"/>
      <c r="W1192" s="317"/>
      <c r="X1192" s="317"/>
      <c r="Y1192" s="317"/>
      <c r="Z1192" s="317"/>
    </row>
    <row r="1193" spans="1:26" x14ac:dyDescent="0.25">
      <c r="A1193" s="314"/>
      <c r="B1193" s="18">
        <v>2023</v>
      </c>
      <c r="C1193" s="18" t="s">
        <v>759</v>
      </c>
      <c r="D1193" s="18" t="s">
        <v>794</v>
      </c>
      <c r="E1193" s="18" t="s">
        <v>703</v>
      </c>
      <c r="F1193" s="18" t="s">
        <v>795</v>
      </c>
      <c r="G1193" s="18" t="s">
        <v>673</v>
      </c>
      <c r="H1193" s="18" t="s">
        <v>796</v>
      </c>
      <c r="I1193" s="315">
        <v>222.47260464279859</v>
      </c>
      <c r="J1193" s="315">
        <v>0.4064143411712749</v>
      </c>
      <c r="K1193" s="316" t="str">
        <f t="shared" si="38"/>
        <v>Lawn and Garden Equipment</v>
      </c>
      <c r="L1193" s="316" t="str">
        <f t="shared" si="39"/>
        <v>Gasoline</v>
      </c>
      <c r="M1193" s="194"/>
      <c r="N1193" s="317"/>
      <c r="O1193" s="317"/>
      <c r="P1193" s="317"/>
      <c r="Q1193" s="317"/>
      <c r="R1193" s="317"/>
      <c r="S1193" s="317"/>
      <c r="T1193" s="317"/>
      <c r="U1193" s="317"/>
      <c r="V1193" s="317"/>
      <c r="W1193" s="317"/>
      <c r="X1193" s="317"/>
      <c r="Y1193" s="317"/>
      <c r="Z1193" s="317"/>
    </row>
    <row r="1194" spans="1:26" x14ac:dyDescent="0.25">
      <c r="A1194" s="314"/>
      <c r="B1194" s="18">
        <v>2023</v>
      </c>
      <c r="C1194" s="18" t="s">
        <v>727</v>
      </c>
      <c r="D1194" s="18" t="s">
        <v>794</v>
      </c>
      <c r="E1194" s="18" t="s">
        <v>703</v>
      </c>
      <c r="F1194" s="18" t="s">
        <v>795</v>
      </c>
      <c r="G1194" s="18" t="s">
        <v>673</v>
      </c>
      <c r="H1194" s="18" t="s">
        <v>796</v>
      </c>
      <c r="I1194" s="315">
        <v>222.47260464279859</v>
      </c>
      <c r="J1194" s="315">
        <v>0.4064143411712749</v>
      </c>
      <c r="K1194" s="316" t="str">
        <f t="shared" si="38"/>
        <v>Lawn and Garden Equipment</v>
      </c>
      <c r="L1194" s="316" t="str">
        <f t="shared" si="39"/>
        <v>Gasoline</v>
      </c>
      <c r="M1194" s="194"/>
      <c r="N1194" s="317"/>
      <c r="O1194" s="317"/>
      <c r="P1194" s="317"/>
      <c r="Q1194" s="317"/>
      <c r="R1194" s="317"/>
      <c r="S1194" s="317"/>
      <c r="T1194" s="317"/>
      <c r="U1194" s="317"/>
      <c r="V1194" s="317"/>
      <c r="W1194" s="317"/>
      <c r="X1194" s="317"/>
      <c r="Y1194" s="317"/>
      <c r="Z1194" s="317"/>
    </row>
    <row r="1195" spans="1:26" x14ac:dyDescent="0.25">
      <c r="A1195" s="314"/>
      <c r="B1195" s="18">
        <v>2023</v>
      </c>
      <c r="C1195" s="18" t="s">
        <v>731</v>
      </c>
      <c r="D1195" s="18" t="s">
        <v>794</v>
      </c>
      <c r="E1195" s="18" t="s">
        <v>703</v>
      </c>
      <c r="F1195" s="18" t="s">
        <v>795</v>
      </c>
      <c r="G1195" s="18" t="s">
        <v>673</v>
      </c>
      <c r="H1195" s="18" t="s">
        <v>796</v>
      </c>
      <c r="I1195" s="315">
        <v>221.09086953997928</v>
      </c>
      <c r="J1195" s="315">
        <v>0.40389021680501452</v>
      </c>
      <c r="K1195" s="316" t="str">
        <f t="shared" si="38"/>
        <v>Lawn and Garden Equipment</v>
      </c>
      <c r="L1195" s="316" t="str">
        <f t="shared" si="39"/>
        <v>Gasoline</v>
      </c>
      <c r="M1195" s="194"/>
      <c r="N1195" s="317"/>
      <c r="O1195" s="317"/>
      <c r="P1195" s="317"/>
      <c r="Q1195" s="317"/>
      <c r="R1195" s="317"/>
      <c r="S1195" s="317"/>
      <c r="T1195" s="317"/>
      <c r="U1195" s="317"/>
      <c r="V1195" s="317"/>
      <c r="W1195" s="317"/>
      <c r="X1195" s="317"/>
      <c r="Y1195" s="317"/>
      <c r="Z1195" s="317"/>
    </row>
    <row r="1196" spans="1:26" x14ac:dyDescent="0.25">
      <c r="A1196" s="314"/>
      <c r="B1196" s="18">
        <v>2023</v>
      </c>
      <c r="C1196" s="18" t="s">
        <v>787</v>
      </c>
      <c r="D1196" s="18" t="s">
        <v>860</v>
      </c>
      <c r="E1196" s="18" t="s">
        <v>713</v>
      </c>
      <c r="F1196" s="18" t="s">
        <v>714</v>
      </c>
      <c r="G1196" s="18" t="s">
        <v>674</v>
      </c>
      <c r="H1196" s="18" t="s">
        <v>861</v>
      </c>
      <c r="I1196" s="315">
        <v>218.83866785501709</v>
      </c>
      <c r="J1196" s="315">
        <v>3.62685299871377E-3</v>
      </c>
      <c r="K1196" s="316" t="str">
        <f t="shared" si="38"/>
        <v>Construction and Mining Equipment</v>
      </c>
      <c r="L1196" s="316" t="str">
        <f t="shared" si="39"/>
        <v>Diesel</v>
      </c>
      <c r="M1196" s="194"/>
      <c r="N1196" s="317"/>
      <c r="O1196" s="317"/>
      <c r="P1196" s="317"/>
      <c r="Q1196" s="317"/>
      <c r="R1196" s="317"/>
      <c r="S1196" s="317"/>
      <c r="T1196" s="317"/>
      <c r="U1196" s="317"/>
      <c r="V1196" s="317"/>
      <c r="W1196" s="317"/>
      <c r="X1196" s="317"/>
      <c r="Y1196" s="317"/>
      <c r="Z1196" s="317"/>
    </row>
    <row r="1197" spans="1:26" x14ac:dyDescent="0.25">
      <c r="A1197" s="314"/>
      <c r="B1197" s="18">
        <v>2023</v>
      </c>
      <c r="C1197" s="18" t="s">
        <v>710</v>
      </c>
      <c r="D1197" s="18" t="s">
        <v>803</v>
      </c>
      <c r="E1197" s="18" t="s">
        <v>703</v>
      </c>
      <c r="F1197" s="18" t="s">
        <v>805</v>
      </c>
      <c r="G1197" s="18" t="s">
        <v>673</v>
      </c>
      <c r="H1197" s="18" t="s">
        <v>806</v>
      </c>
      <c r="I1197" s="315">
        <v>218.83566786311346</v>
      </c>
      <c r="J1197" s="315">
        <v>0.43312436910729951</v>
      </c>
      <c r="K1197" s="316" t="str">
        <f t="shared" si="38"/>
        <v>Lawn and Garden Equipment</v>
      </c>
      <c r="L1197" s="316" t="str">
        <f t="shared" si="39"/>
        <v>Gasoline</v>
      </c>
      <c r="M1197" s="194"/>
      <c r="N1197" s="317"/>
      <c r="O1197" s="317"/>
      <c r="P1197" s="317"/>
      <c r="Q1197" s="317"/>
      <c r="R1197" s="317"/>
      <c r="S1197" s="317"/>
      <c r="T1197" s="317"/>
      <c r="U1197" s="317"/>
      <c r="V1197" s="317"/>
      <c r="W1197" s="317"/>
      <c r="X1197" s="317"/>
      <c r="Y1197" s="317"/>
      <c r="Z1197" s="317"/>
    </row>
    <row r="1198" spans="1:26" x14ac:dyDescent="0.25">
      <c r="A1198" s="314"/>
      <c r="B1198" s="18">
        <v>2023</v>
      </c>
      <c r="C1198" s="18" t="s">
        <v>762</v>
      </c>
      <c r="D1198" s="18" t="s">
        <v>776</v>
      </c>
      <c r="E1198" s="18" t="s">
        <v>713</v>
      </c>
      <c r="F1198" s="18" t="s">
        <v>714</v>
      </c>
      <c r="G1198" s="18" t="s">
        <v>674</v>
      </c>
      <c r="H1198" s="18" t="s">
        <v>777</v>
      </c>
      <c r="I1198" s="315">
        <v>218.79368914428608</v>
      </c>
      <c r="J1198" s="315">
        <v>8.7021353451507066E-4</v>
      </c>
      <c r="K1198" s="316" t="str">
        <f t="shared" si="38"/>
        <v>Construction and Mining Equipment</v>
      </c>
      <c r="L1198" s="316" t="str">
        <f t="shared" si="39"/>
        <v>Diesel</v>
      </c>
      <c r="M1198" s="194"/>
      <c r="N1198" s="317"/>
      <c r="O1198" s="317"/>
      <c r="P1198" s="317"/>
      <c r="Q1198" s="317"/>
      <c r="R1198" s="317"/>
      <c r="S1198" s="317"/>
      <c r="T1198" s="317"/>
      <c r="U1198" s="317"/>
      <c r="V1198" s="317"/>
      <c r="W1198" s="317"/>
      <c r="X1198" s="317"/>
      <c r="Y1198" s="317"/>
      <c r="Z1198" s="317"/>
    </row>
    <row r="1199" spans="1:26" x14ac:dyDescent="0.25">
      <c r="A1199" s="314"/>
      <c r="B1199" s="18">
        <v>2023</v>
      </c>
      <c r="C1199" s="18" t="s">
        <v>786</v>
      </c>
      <c r="D1199" s="18" t="s">
        <v>757</v>
      </c>
      <c r="E1199" s="18" t="s">
        <v>713</v>
      </c>
      <c r="F1199" s="18" t="s">
        <v>714</v>
      </c>
      <c r="G1199" s="18" t="s">
        <v>673</v>
      </c>
      <c r="H1199" s="18" t="s">
        <v>758</v>
      </c>
      <c r="I1199" s="315">
        <v>218.59585664436989</v>
      </c>
      <c r="J1199" s="315">
        <v>8.4220071668437736E-3</v>
      </c>
      <c r="K1199" s="316" t="str">
        <f t="shared" si="38"/>
        <v>Lawn and Garden Equipment</v>
      </c>
      <c r="L1199" s="316" t="str">
        <f t="shared" si="39"/>
        <v>Diesel</v>
      </c>
      <c r="M1199" s="194"/>
      <c r="N1199" s="317"/>
      <c r="O1199" s="317"/>
      <c r="P1199" s="317"/>
      <c r="Q1199" s="317"/>
      <c r="R1199" s="317"/>
      <c r="S1199" s="317"/>
      <c r="T1199" s="317"/>
      <c r="U1199" s="317"/>
      <c r="V1199" s="317"/>
      <c r="W1199" s="317"/>
      <c r="X1199" s="317"/>
      <c r="Y1199" s="317"/>
      <c r="Z1199" s="317"/>
    </row>
    <row r="1200" spans="1:26" x14ac:dyDescent="0.25">
      <c r="A1200" s="314"/>
      <c r="B1200" s="18">
        <v>2023</v>
      </c>
      <c r="C1200" s="18" t="s">
        <v>753</v>
      </c>
      <c r="D1200" s="18" t="s">
        <v>794</v>
      </c>
      <c r="E1200" s="18" t="s">
        <v>703</v>
      </c>
      <c r="F1200" s="18" t="s">
        <v>795</v>
      </c>
      <c r="G1200" s="18" t="s">
        <v>673</v>
      </c>
      <c r="H1200" s="18" t="s">
        <v>796</v>
      </c>
      <c r="I1200" s="315">
        <v>218.32710501722065</v>
      </c>
      <c r="J1200" s="315">
        <v>0.39884168072071108</v>
      </c>
      <c r="K1200" s="316" t="str">
        <f t="shared" si="38"/>
        <v>Lawn and Garden Equipment</v>
      </c>
      <c r="L1200" s="316" t="str">
        <f t="shared" si="39"/>
        <v>Gasoline</v>
      </c>
      <c r="M1200" s="194"/>
      <c r="N1200" s="317"/>
      <c r="O1200" s="317"/>
      <c r="P1200" s="317"/>
      <c r="Q1200" s="317"/>
      <c r="R1200" s="317"/>
      <c r="S1200" s="317"/>
      <c r="T1200" s="317"/>
      <c r="U1200" s="317"/>
      <c r="V1200" s="317"/>
      <c r="W1200" s="317"/>
      <c r="X1200" s="317"/>
      <c r="Y1200" s="317"/>
      <c r="Z1200" s="317"/>
    </row>
    <row r="1201" spans="1:26" ht="12.75" x14ac:dyDescent="0.2">
      <c r="A1201" s="230"/>
      <c r="B1201" s="18">
        <v>2023</v>
      </c>
      <c r="C1201" s="18" t="s">
        <v>701</v>
      </c>
      <c r="D1201" s="18" t="s">
        <v>1001</v>
      </c>
      <c r="E1201" s="18" t="s">
        <v>713</v>
      </c>
      <c r="F1201" s="18" t="s">
        <v>683</v>
      </c>
      <c r="G1201" s="18" t="s">
        <v>79</v>
      </c>
      <c r="H1201" s="18" t="s">
        <v>1002</v>
      </c>
      <c r="I1201" s="315">
        <v>218.08798062454179</v>
      </c>
      <c r="J1201" s="315">
        <v>7.330299979697876E-3</v>
      </c>
      <c r="K1201" s="316" t="str">
        <f t="shared" si="38"/>
        <v>Railroad Equipment</v>
      </c>
      <c r="L1201" s="316" t="str">
        <f t="shared" si="39"/>
        <v>Diesel</v>
      </c>
      <c r="M1201" s="8"/>
      <c r="N1201" s="2"/>
      <c r="O1201" s="2"/>
      <c r="P1201" s="2"/>
      <c r="Q1201" s="2"/>
      <c r="R1201" s="2"/>
      <c r="S1201" s="2"/>
      <c r="T1201" s="2"/>
      <c r="U1201" s="2"/>
      <c r="V1201" s="2"/>
      <c r="W1201" s="2"/>
      <c r="X1201" s="2"/>
      <c r="Y1201" s="2"/>
      <c r="Z1201" s="2"/>
    </row>
    <row r="1202" spans="1:26" ht="12.75" x14ac:dyDescent="0.2">
      <c r="A1202" s="230"/>
      <c r="B1202" s="18">
        <v>2023</v>
      </c>
      <c r="C1202" s="18" t="s">
        <v>754</v>
      </c>
      <c r="D1202" s="18" t="s">
        <v>880</v>
      </c>
      <c r="E1202" s="18" t="s">
        <v>703</v>
      </c>
      <c r="F1202" s="18" t="s">
        <v>704</v>
      </c>
      <c r="G1202" s="18" t="s">
        <v>677</v>
      </c>
      <c r="H1202" s="18" t="s">
        <v>785</v>
      </c>
      <c r="I1202" s="315">
        <v>218.0164141649914</v>
      </c>
      <c r="J1202" s="315">
        <v>0.12597963731141834</v>
      </c>
      <c r="K1202" s="316" t="str">
        <f t="shared" si="38"/>
        <v>Commercial Equipment</v>
      </c>
      <c r="L1202" s="316" t="str">
        <f t="shared" si="39"/>
        <v>Gasoline</v>
      </c>
      <c r="M1202" s="8"/>
      <c r="N1202" s="2"/>
      <c r="O1202" s="2"/>
      <c r="P1202" s="2"/>
      <c r="Q1202" s="2"/>
      <c r="R1202" s="2"/>
      <c r="S1202" s="2"/>
      <c r="T1202" s="2"/>
      <c r="U1202" s="2"/>
      <c r="V1202" s="2"/>
      <c r="W1202" s="2"/>
      <c r="X1202" s="2"/>
      <c r="Y1202" s="2"/>
      <c r="Z1202" s="2"/>
    </row>
    <row r="1203" spans="1:26" ht="12.75" x14ac:dyDescent="0.2">
      <c r="A1203" s="230"/>
      <c r="B1203" s="18">
        <v>2023</v>
      </c>
      <c r="C1203" s="18" t="s">
        <v>701</v>
      </c>
      <c r="D1203" s="18" t="s">
        <v>971</v>
      </c>
      <c r="E1203" s="18" t="s">
        <v>713</v>
      </c>
      <c r="F1203" s="18" t="s">
        <v>714</v>
      </c>
      <c r="G1203" s="18" t="s">
        <v>678</v>
      </c>
      <c r="H1203" s="18" t="s">
        <v>972</v>
      </c>
      <c r="I1203" s="315">
        <v>218.01237432321398</v>
      </c>
      <c r="J1203" s="315">
        <v>1.2109884809691966E-3</v>
      </c>
      <c r="K1203" s="316" t="str">
        <f t="shared" si="38"/>
        <v>Agricultural Equipment</v>
      </c>
      <c r="L1203" s="316" t="str">
        <f t="shared" si="39"/>
        <v>Diesel</v>
      </c>
      <c r="M1203" s="8"/>
      <c r="N1203" s="2"/>
      <c r="O1203" s="2"/>
      <c r="P1203" s="2"/>
      <c r="Q1203" s="2"/>
      <c r="R1203" s="2"/>
      <c r="S1203" s="2"/>
      <c r="T1203" s="2"/>
      <c r="U1203" s="2"/>
      <c r="V1203" s="2"/>
      <c r="W1203" s="2"/>
      <c r="X1203" s="2"/>
      <c r="Y1203" s="2"/>
      <c r="Z1203" s="2"/>
    </row>
    <row r="1204" spans="1:26" ht="12.75" x14ac:dyDescent="0.2">
      <c r="A1204" s="230"/>
      <c r="B1204" s="18">
        <v>2023</v>
      </c>
      <c r="C1204" s="18" t="s">
        <v>711</v>
      </c>
      <c r="D1204" s="18" t="s">
        <v>1012</v>
      </c>
      <c r="E1204" s="18" t="s">
        <v>703</v>
      </c>
      <c r="F1204" s="18" t="s">
        <v>795</v>
      </c>
      <c r="G1204" s="18" t="s">
        <v>679</v>
      </c>
      <c r="H1204" s="18" t="s">
        <v>1013</v>
      </c>
      <c r="I1204" s="315">
        <v>217.69276123405689</v>
      </c>
      <c r="J1204" s="315">
        <v>0.18153149041165326</v>
      </c>
      <c r="K1204" s="316" t="str">
        <f t="shared" si="38"/>
        <v>Recreational Equipment</v>
      </c>
      <c r="L1204" s="316" t="str">
        <f t="shared" si="39"/>
        <v>Gasoline</v>
      </c>
      <c r="M1204" s="8"/>
      <c r="N1204" s="2"/>
      <c r="O1204" s="2"/>
      <c r="P1204" s="2"/>
      <c r="Q1204" s="2"/>
      <c r="R1204" s="2"/>
      <c r="S1204" s="2"/>
      <c r="T1204" s="2"/>
      <c r="U1204" s="2"/>
      <c r="V1204" s="2"/>
      <c r="W1204" s="2"/>
      <c r="X1204" s="2"/>
      <c r="Y1204" s="2"/>
      <c r="Z1204" s="2"/>
    </row>
    <row r="1205" spans="1:26" ht="12.75" x14ac:dyDescent="0.2">
      <c r="A1205" s="230"/>
      <c r="B1205" s="18">
        <v>2023</v>
      </c>
      <c r="C1205" s="18" t="s">
        <v>701</v>
      </c>
      <c r="D1205" s="18" t="s">
        <v>1012</v>
      </c>
      <c r="E1205" s="18" t="s">
        <v>703</v>
      </c>
      <c r="F1205" s="18" t="s">
        <v>795</v>
      </c>
      <c r="G1205" s="18" t="s">
        <v>679</v>
      </c>
      <c r="H1205" s="18" t="s">
        <v>1013</v>
      </c>
      <c r="I1205" s="315">
        <v>217.69276123405689</v>
      </c>
      <c r="J1205" s="315">
        <v>0.18175275464837592</v>
      </c>
      <c r="K1205" s="316" t="str">
        <f t="shared" si="38"/>
        <v>Recreational Equipment</v>
      </c>
      <c r="L1205" s="316" t="str">
        <f t="shared" si="39"/>
        <v>Gasoline</v>
      </c>
      <c r="M1205" s="8"/>
      <c r="N1205" s="2"/>
      <c r="O1205" s="2"/>
      <c r="P1205" s="2"/>
      <c r="Q1205" s="2"/>
      <c r="R1205" s="2"/>
      <c r="S1205" s="2"/>
      <c r="T1205" s="2"/>
      <c r="U1205" s="2"/>
      <c r="V1205" s="2"/>
      <c r="W1205" s="2"/>
      <c r="X1205" s="2"/>
      <c r="Y1205" s="2"/>
      <c r="Z1205" s="2"/>
    </row>
    <row r="1206" spans="1:26" ht="12.75" x14ac:dyDescent="0.2">
      <c r="A1206" s="230"/>
      <c r="B1206" s="18">
        <v>2023</v>
      </c>
      <c r="C1206" s="18" t="s">
        <v>750</v>
      </c>
      <c r="D1206" s="18" t="s">
        <v>855</v>
      </c>
      <c r="E1206" s="18" t="s">
        <v>713</v>
      </c>
      <c r="F1206" s="18" t="s">
        <v>714</v>
      </c>
      <c r="G1206" s="18" t="s">
        <v>674</v>
      </c>
      <c r="H1206" s="18" t="s">
        <v>856</v>
      </c>
      <c r="I1206" s="315">
        <v>217.40332514852486</v>
      </c>
      <c r="J1206" s="315">
        <v>1.3737463544401115E-3</v>
      </c>
      <c r="K1206" s="316" t="str">
        <f t="shared" si="38"/>
        <v>Construction and Mining Equipment</v>
      </c>
      <c r="L1206" s="316" t="str">
        <f t="shared" si="39"/>
        <v>Diesel</v>
      </c>
      <c r="M1206" s="8"/>
      <c r="N1206" s="2"/>
      <c r="O1206" s="2"/>
      <c r="P1206" s="2"/>
      <c r="Q1206" s="2"/>
      <c r="R1206" s="2"/>
      <c r="S1206" s="2"/>
      <c r="T1206" s="2"/>
      <c r="U1206" s="2"/>
      <c r="V1206" s="2"/>
      <c r="W1206" s="2"/>
      <c r="X1206" s="2"/>
      <c r="Y1206" s="2"/>
      <c r="Z1206" s="2"/>
    </row>
    <row r="1207" spans="1:26" ht="12.75" x14ac:dyDescent="0.2">
      <c r="A1207" s="230"/>
      <c r="B1207" s="18">
        <v>2023</v>
      </c>
      <c r="C1207" s="18" t="s">
        <v>709</v>
      </c>
      <c r="D1207" s="18" t="s">
        <v>1003</v>
      </c>
      <c r="E1207" s="18" t="s">
        <v>703</v>
      </c>
      <c r="F1207" s="18" t="s">
        <v>805</v>
      </c>
      <c r="G1207" s="18" t="s">
        <v>677</v>
      </c>
      <c r="H1207" s="18" t="s">
        <v>841</v>
      </c>
      <c r="I1207" s="315">
        <v>217.21052649099897</v>
      </c>
      <c r="J1207" s="315">
        <v>0.41852809524720547</v>
      </c>
      <c r="K1207" s="316" t="str">
        <f t="shared" si="38"/>
        <v>Commercial Equipment</v>
      </c>
      <c r="L1207" s="316" t="str">
        <f t="shared" si="39"/>
        <v>Gasoline</v>
      </c>
      <c r="M1207" s="8"/>
      <c r="N1207" s="2"/>
      <c r="O1207" s="2"/>
      <c r="P1207" s="2"/>
      <c r="Q1207" s="2"/>
      <c r="R1207" s="2"/>
      <c r="S1207" s="2"/>
      <c r="T1207" s="2"/>
      <c r="U1207" s="2"/>
      <c r="V1207" s="2"/>
      <c r="W1207" s="2"/>
      <c r="X1207" s="2"/>
      <c r="Y1207" s="2"/>
      <c r="Z1207" s="2"/>
    </row>
    <row r="1208" spans="1:26" ht="12.75" x14ac:dyDescent="0.2">
      <c r="A1208" s="230"/>
      <c r="B1208" s="18">
        <v>2023</v>
      </c>
      <c r="C1208" s="18" t="s">
        <v>778</v>
      </c>
      <c r="D1208" s="18" t="s">
        <v>835</v>
      </c>
      <c r="E1208" s="18" t="s">
        <v>703</v>
      </c>
      <c r="F1208" s="18" t="s">
        <v>704</v>
      </c>
      <c r="G1208" s="18" t="s">
        <v>677</v>
      </c>
      <c r="H1208" s="18" t="s">
        <v>836</v>
      </c>
      <c r="I1208" s="315">
        <v>214.87821984307186</v>
      </c>
      <c r="J1208" s="315">
        <v>0.1333845033946498</v>
      </c>
      <c r="K1208" s="316" t="str">
        <f t="shared" si="38"/>
        <v>Commercial Equipment</v>
      </c>
      <c r="L1208" s="316" t="str">
        <f t="shared" si="39"/>
        <v>Gasoline</v>
      </c>
      <c r="M1208" s="8"/>
      <c r="N1208" s="2"/>
      <c r="O1208" s="2"/>
      <c r="P1208" s="2"/>
      <c r="Q1208" s="2"/>
      <c r="R1208" s="2"/>
      <c r="S1208" s="2"/>
      <c r="T1208" s="2"/>
      <c r="U1208" s="2"/>
      <c r="V1208" s="2"/>
      <c r="W1208" s="2"/>
      <c r="X1208" s="2"/>
      <c r="Y1208" s="2"/>
      <c r="Z1208" s="2"/>
    </row>
    <row r="1209" spans="1:26" ht="12.75" x14ac:dyDescent="0.2">
      <c r="A1209" s="230"/>
      <c r="B1209" s="18">
        <v>2023</v>
      </c>
      <c r="C1209" s="18" t="s">
        <v>743</v>
      </c>
      <c r="D1209" s="18" t="s">
        <v>968</v>
      </c>
      <c r="E1209" s="18" t="s">
        <v>703</v>
      </c>
      <c r="F1209" s="18" t="s">
        <v>704</v>
      </c>
      <c r="G1209" s="18" t="s">
        <v>675</v>
      </c>
      <c r="H1209" s="18" t="s">
        <v>969</v>
      </c>
      <c r="I1209" s="315">
        <v>214.58371202319825</v>
      </c>
      <c r="J1209" s="315">
        <v>6.8958876227135021E-2</v>
      </c>
      <c r="K1209" s="316" t="str">
        <f t="shared" si="38"/>
        <v>Industrial Equipment</v>
      </c>
      <c r="L1209" s="316" t="str">
        <f t="shared" si="39"/>
        <v>Gasoline</v>
      </c>
      <c r="M1209" s="8"/>
      <c r="N1209" s="2"/>
      <c r="O1209" s="2"/>
      <c r="P1209" s="2"/>
      <c r="Q1209" s="2"/>
      <c r="R1209" s="2"/>
      <c r="S1209" s="2"/>
      <c r="T1209" s="2"/>
      <c r="U1209" s="2"/>
      <c r="V1209" s="2"/>
      <c r="W1209" s="2"/>
      <c r="X1209" s="2"/>
      <c r="Y1209" s="2"/>
      <c r="Z1209" s="2"/>
    </row>
    <row r="1210" spans="1:26" ht="12.75" x14ac:dyDescent="0.2">
      <c r="A1210" s="230"/>
      <c r="B1210" s="18">
        <v>2023</v>
      </c>
      <c r="C1210" s="18" t="s">
        <v>787</v>
      </c>
      <c r="D1210" s="18" t="s">
        <v>862</v>
      </c>
      <c r="E1210" s="18" t="s">
        <v>713</v>
      </c>
      <c r="F1210" s="18" t="s">
        <v>714</v>
      </c>
      <c r="G1210" s="18" t="s">
        <v>674</v>
      </c>
      <c r="H1210" s="18" t="s">
        <v>863</v>
      </c>
      <c r="I1210" s="315">
        <v>214.48552254086633</v>
      </c>
      <c r="J1210" s="315">
        <v>1.5473518436172266E-3</v>
      </c>
      <c r="K1210" s="316" t="str">
        <f t="shared" si="38"/>
        <v>Construction and Mining Equipment</v>
      </c>
      <c r="L1210" s="316" t="str">
        <f t="shared" si="39"/>
        <v>Diesel</v>
      </c>
      <c r="M1210" s="8"/>
      <c r="N1210" s="2"/>
      <c r="O1210" s="2"/>
      <c r="P1210" s="2"/>
      <c r="Q1210" s="2"/>
      <c r="R1210" s="2"/>
      <c r="S1210" s="2"/>
      <c r="T1210" s="2"/>
      <c r="U1210" s="2"/>
      <c r="V1210" s="2"/>
      <c r="W1210" s="2"/>
      <c r="X1210" s="2"/>
      <c r="Y1210" s="2"/>
      <c r="Z1210" s="2"/>
    </row>
    <row r="1211" spans="1:26" ht="12.75" x14ac:dyDescent="0.2">
      <c r="A1211" s="230"/>
      <c r="B1211" s="18">
        <v>2023</v>
      </c>
      <c r="C1211" s="18" t="s">
        <v>773</v>
      </c>
      <c r="D1211" s="18" t="s">
        <v>767</v>
      </c>
      <c r="E1211" s="18" t="s">
        <v>703</v>
      </c>
      <c r="F1211" s="18" t="s">
        <v>704</v>
      </c>
      <c r="G1211" s="18" t="s">
        <v>673</v>
      </c>
      <c r="H1211" s="18" t="s">
        <v>768</v>
      </c>
      <c r="I1211" s="315">
        <v>214.34832523231432</v>
      </c>
      <c r="J1211" s="315">
        <v>0.14855977003006257</v>
      </c>
      <c r="K1211" s="316" t="str">
        <f t="shared" si="38"/>
        <v>Lawn and Garden Equipment</v>
      </c>
      <c r="L1211" s="316" t="str">
        <f t="shared" si="39"/>
        <v>Gasoline</v>
      </c>
      <c r="M1211" s="8"/>
      <c r="N1211" s="2"/>
      <c r="O1211" s="2"/>
      <c r="P1211" s="2"/>
      <c r="Q1211" s="2"/>
      <c r="R1211" s="2"/>
      <c r="S1211" s="2"/>
      <c r="T1211" s="2"/>
      <c r="U1211" s="2"/>
      <c r="V1211" s="2"/>
      <c r="W1211" s="2"/>
      <c r="X1211" s="2"/>
      <c r="Y1211" s="2"/>
      <c r="Z1211" s="2"/>
    </row>
    <row r="1212" spans="1:26" ht="12.75" x14ac:dyDescent="0.2">
      <c r="A1212" s="230"/>
      <c r="B1212" s="18">
        <v>2023</v>
      </c>
      <c r="C1212" s="18" t="s">
        <v>754</v>
      </c>
      <c r="D1212" s="18" t="s">
        <v>894</v>
      </c>
      <c r="E1212" s="18" t="s">
        <v>713</v>
      </c>
      <c r="F1212" s="18" t="s">
        <v>714</v>
      </c>
      <c r="G1212" s="18" t="s">
        <v>681</v>
      </c>
      <c r="H1212" s="18" t="s">
        <v>895</v>
      </c>
      <c r="I1212" s="315">
        <v>214.03564394171798</v>
      </c>
      <c r="J1212" s="315">
        <v>4.1971449343965964E-4</v>
      </c>
      <c r="K1212" s="316" t="str">
        <f t="shared" si="38"/>
        <v>Logging Equipment</v>
      </c>
      <c r="L1212" s="316" t="str">
        <f t="shared" si="39"/>
        <v>Diesel</v>
      </c>
      <c r="M1212" s="8"/>
      <c r="N1212" s="2"/>
      <c r="O1212" s="2"/>
      <c r="P1212" s="2"/>
      <c r="Q1212" s="2"/>
      <c r="R1212" s="2"/>
      <c r="S1212" s="2"/>
      <c r="T1212" s="2"/>
      <c r="U1212" s="2"/>
      <c r="V1212" s="2"/>
      <c r="W1212" s="2"/>
      <c r="X1212" s="2"/>
      <c r="Y1212" s="2"/>
      <c r="Z1212" s="2"/>
    </row>
    <row r="1213" spans="1:26" ht="12.75" x14ac:dyDescent="0.2">
      <c r="A1213" s="230"/>
      <c r="B1213" s="18">
        <v>2023</v>
      </c>
      <c r="C1213" s="18" t="s">
        <v>731</v>
      </c>
      <c r="D1213" s="18" t="s">
        <v>755</v>
      </c>
      <c r="E1213" s="18" t="s">
        <v>713</v>
      </c>
      <c r="F1213" s="18" t="s">
        <v>714</v>
      </c>
      <c r="G1213" s="18" t="s">
        <v>674</v>
      </c>
      <c r="H1213" s="18" t="s">
        <v>756</v>
      </c>
      <c r="I1213" s="315">
        <v>213.43940816288423</v>
      </c>
      <c r="J1213" s="315">
        <v>8.2881683597044765E-3</v>
      </c>
      <c r="K1213" s="316" t="str">
        <f t="shared" si="38"/>
        <v>Construction and Mining Equipment</v>
      </c>
      <c r="L1213" s="316" t="str">
        <f t="shared" si="39"/>
        <v>Diesel</v>
      </c>
      <c r="M1213" s="8"/>
      <c r="N1213" s="2"/>
      <c r="O1213" s="2"/>
      <c r="P1213" s="2"/>
      <c r="Q1213" s="2"/>
      <c r="R1213" s="2"/>
      <c r="S1213" s="2"/>
      <c r="T1213" s="2"/>
      <c r="U1213" s="2"/>
      <c r="V1213" s="2"/>
      <c r="W1213" s="2"/>
      <c r="X1213" s="2"/>
      <c r="Y1213" s="2"/>
      <c r="Z1213" s="2"/>
    </row>
    <row r="1214" spans="1:26" ht="12.75" x14ac:dyDescent="0.2">
      <c r="A1214" s="230"/>
      <c r="B1214" s="18">
        <v>2023</v>
      </c>
      <c r="C1214" s="18" t="s">
        <v>701</v>
      </c>
      <c r="D1214" s="18" t="s">
        <v>998</v>
      </c>
      <c r="E1214" s="18" t="s">
        <v>703</v>
      </c>
      <c r="F1214" s="18" t="s">
        <v>704</v>
      </c>
      <c r="G1214" s="18" t="s">
        <v>674</v>
      </c>
      <c r="H1214" s="18" t="s">
        <v>999</v>
      </c>
      <c r="I1214" s="315">
        <v>213.03555657252346</v>
      </c>
      <c r="J1214" s="315">
        <v>0.14089433955172262</v>
      </c>
      <c r="K1214" s="316" t="str">
        <f t="shared" si="38"/>
        <v>Construction and Mining Equipment</v>
      </c>
      <c r="L1214" s="316" t="str">
        <f t="shared" si="39"/>
        <v>Gasoline</v>
      </c>
      <c r="M1214" s="8"/>
      <c r="N1214" s="2"/>
      <c r="O1214" s="2"/>
      <c r="P1214" s="2"/>
      <c r="Q1214" s="2"/>
      <c r="R1214" s="2"/>
      <c r="S1214" s="2"/>
      <c r="T1214" s="2"/>
      <c r="U1214" s="2"/>
      <c r="V1214" s="2"/>
      <c r="W1214" s="2"/>
      <c r="X1214" s="2"/>
      <c r="Y1214" s="2"/>
      <c r="Z1214" s="2"/>
    </row>
    <row r="1215" spans="1:26" ht="12.75" x14ac:dyDescent="0.2">
      <c r="A1215" s="230"/>
      <c r="B1215" s="18">
        <v>2023</v>
      </c>
      <c r="C1215" s="18" t="s">
        <v>701</v>
      </c>
      <c r="D1215" s="18" t="s">
        <v>1018</v>
      </c>
      <c r="E1215" s="18" t="s">
        <v>56</v>
      </c>
      <c r="F1215" s="18" t="s">
        <v>672</v>
      </c>
      <c r="G1215" s="18" t="s">
        <v>677</v>
      </c>
      <c r="H1215" s="18" t="s">
        <v>785</v>
      </c>
      <c r="I1215" s="315">
        <v>212.94636415511135</v>
      </c>
      <c r="J1215" s="315">
        <v>1.0449752231864059E-2</v>
      </c>
      <c r="K1215" s="316" t="str">
        <f t="shared" si="38"/>
        <v>Commercial Equipment</v>
      </c>
      <c r="L1215" s="316" t="str">
        <f t="shared" si="39"/>
        <v>LPG</v>
      </c>
      <c r="M1215" s="8"/>
      <c r="N1215" s="2"/>
      <c r="O1215" s="2"/>
      <c r="P1215" s="2"/>
      <c r="Q1215" s="2"/>
      <c r="R1215" s="2"/>
      <c r="S1215" s="2"/>
      <c r="T1215" s="2"/>
      <c r="U1215" s="2"/>
      <c r="V1215" s="2"/>
      <c r="W1215" s="2"/>
      <c r="X1215" s="2"/>
      <c r="Y1215" s="2"/>
      <c r="Z1215" s="2"/>
    </row>
    <row r="1216" spans="1:26" ht="12.75" x14ac:dyDescent="0.2">
      <c r="A1216" s="230"/>
      <c r="B1216" s="18">
        <v>2023</v>
      </c>
      <c r="C1216" s="18" t="s">
        <v>711</v>
      </c>
      <c r="D1216" s="18" t="s">
        <v>1003</v>
      </c>
      <c r="E1216" s="18" t="s">
        <v>703</v>
      </c>
      <c r="F1216" s="18" t="s">
        <v>805</v>
      </c>
      <c r="G1216" s="18" t="s">
        <v>677</v>
      </c>
      <c r="H1216" s="18" t="s">
        <v>841</v>
      </c>
      <c r="I1216" s="315">
        <v>212.69209731195434</v>
      </c>
      <c r="J1216" s="315">
        <v>0.40982108588124982</v>
      </c>
      <c r="K1216" s="316" t="str">
        <f t="shared" si="38"/>
        <v>Commercial Equipment</v>
      </c>
      <c r="L1216" s="316" t="str">
        <f t="shared" si="39"/>
        <v>Gasoline</v>
      </c>
      <c r="M1216" s="8"/>
      <c r="N1216" s="2"/>
      <c r="O1216" s="2"/>
      <c r="P1216" s="2"/>
      <c r="Q1216" s="2"/>
      <c r="R1216" s="2"/>
      <c r="S1216" s="2"/>
      <c r="T1216" s="2"/>
      <c r="U1216" s="2"/>
      <c r="V1216" s="2"/>
      <c r="W1216" s="2"/>
      <c r="X1216" s="2"/>
      <c r="Y1216" s="2"/>
      <c r="Z1216" s="2"/>
    </row>
    <row r="1217" spans="1:26" ht="12.75" x14ac:dyDescent="0.2">
      <c r="A1217" s="230"/>
      <c r="B1217" s="18">
        <v>2023</v>
      </c>
      <c r="C1217" s="18" t="s">
        <v>701</v>
      </c>
      <c r="D1217" s="18" t="s">
        <v>1000</v>
      </c>
      <c r="E1217" s="18" t="s">
        <v>703</v>
      </c>
      <c r="F1217" s="18" t="s">
        <v>704</v>
      </c>
      <c r="G1217" s="18" t="s">
        <v>674</v>
      </c>
      <c r="H1217" s="18" t="s">
        <v>850</v>
      </c>
      <c r="I1217" s="315">
        <v>212.25192235927608</v>
      </c>
      <c r="J1217" s="315">
        <v>0.12933499227346015</v>
      </c>
      <c r="K1217" s="316" t="str">
        <f t="shared" si="38"/>
        <v>Construction and Mining Equipment</v>
      </c>
      <c r="L1217" s="316" t="str">
        <f t="shared" si="39"/>
        <v>Gasoline</v>
      </c>
      <c r="M1217" s="8"/>
      <c r="N1217" s="2"/>
      <c r="O1217" s="2"/>
      <c r="P1217" s="2"/>
      <c r="Q1217" s="2"/>
      <c r="R1217" s="2"/>
      <c r="S1217" s="2"/>
      <c r="T1217" s="2"/>
      <c r="U1217" s="2"/>
      <c r="V1217" s="2"/>
      <c r="W1217" s="2"/>
      <c r="X1217" s="2"/>
      <c r="Y1217" s="2"/>
      <c r="Z1217" s="2"/>
    </row>
    <row r="1218" spans="1:26" ht="12.75" x14ac:dyDescent="0.2">
      <c r="A1218" s="230"/>
      <c r="B1218" s="18">
        <v>2023</v>
      </c>
      <c r="C1218" s="18" t="s">
        <v>786</v>
      </c>
      <c r="D1218" s="18" t="s">
        <v>755</v>
      </c>
      <c r="E1218" s="18" t="s">
        <v>713</v>
      </c>
      <c r="F1218" s="18" t="s">
        <v>714</v>
      </c>
      <c r="G1218" s="18" t="s">
        <v>674</v>
      </c>
      <c r="H1218" s="18" t="s">
        <v>756</v>
      </c>
      <c r="I1218" s="315">
        <v>211.98566788061274</v>
      </c>
      <c r="J1218" s="315">
        <v>8.2317180870509644E-3</v>
      </c>
      <c r="K1218" s="316" t="str">
        <f t="shared" si="38"/>
        <v>Construction and Mining Equipment</v>
      </c>
      <c r="L1218" s="316" t="str">
        <f t="shared" si="39"/>
        <v>Diesel</v>
      </c>
      <c r="M1218" s="8"/>
      <c r="N1218" s="2"/>
      <c r="O1218" s="2"/>
      <c r="P1218" s="2"/>
      <c r="Q1218" s="2"/>
      <c r="R1218" s="2"/>
      <c r="S1218" s="2"/>
      <c r="T1218" s="2"/>
      <c r="U1218" s="2"/>
      <c r="V1218" s="2"/>
      <c r="W1218" s="2"/>
      <c r="X1218" s="2"/>
      <c r="Y1218" s="2"/>
      <c r="Z1218" s="2"/>
    </row>
    <row r="1219" spans="1:26" ht="12.75" x14ac:dyDescent="0.2">
      <c r="A1219" s="230"/>
      <c r="B1219" s="18">
        <v>2023</v>
      </c>
      <c r="C1219" s="18" t="s">
        <v>732</v>
      </c>
      <c r="D1219" s="18" t="s">
        <v>936</v>
      </c>
      <c r="E1219" s="18" t="s">
        <v>56</v>
      </c>
      <c r="F1219" s="18" t="s">
        <v>672</v>
      </c>
      <c r="G1219" s="18" t="s">
        <v>677</v>
      </c>
      <c r="H1219" s="18" t="s">
        <v>747</v>
      </c>
      <c r="I1219" s="315">
        <v>211.90145019414678</v>
      </c>
      <c r="J1219" s="315">
        <v>4.8850996950505536E-2</v>
      </c>
      <c r="K1219" s="316" t="str">
        <f t="shared" si="38"/>
        <v>Commercial Equipment</v>
      </c>
      <c r="L1219" s="316" t="str">
        <f t="shared" si="39"/>
        <v>LPG</v>
      </c>
      <c r="M1219" s="8"/>
      <c r="N1219" s="2"/>
      <c r="O1219" s="2"/>
      <c r="P1219" s="2"/>
      <c r="Q1219" s="2"/>
      <c r="R1219" s="2"/>
      <c r="S1219" s="2"/>
      <c r="T1219" s="2"/>
      <c r="U1219" s="2"/>
      <c r="V1219" s="2"/>
      <c r="W1219" s="2"/>
      <c r="X1219" s="2"/>
      <c r="Y1219" s="2"/>
      <c r="Z1219" s="2"/>
    </row>
    <row r="1220" spans="1:26" ht="12.75" x14ac:dyDescent="0.2">
      <c r="A1220" s="230"/>
      <c r="B1220" s="18">
        <v>2023</v>
      </c>
      <c r="C1220" s="18" t="s">
        <v>706</v>
      </c>
      <c r="D1220" s="18" t="s">
        <v>1030</v>
      </c>
      <c r="E1220" s="18" t="s">
        <v>703</v>
      </c>
      <c r="F1220" s="18" t="s">
        <v>704</v>
      </c>
      <c r="G1220" s="18" t="s">
        <v>677</v>
      </c>
      <c r="H1220" s="18" t="s">
        <v>1031</v>
      </c>
      <c r="I1220" s="315">
        <v>211.53521828420526</v>
      </c>
      <c r="J1220" s="315">
        <v>0.14712407158791671</v>
      </c>
      <c r="K1220" s="316" t="str">
        <f t="shared" si="38"/>
        <v>Commercial Equipment</v>
      </c>
      <c r="L1220" s="316" t="str">
        <f t="shared" si="39"/>
        <v>Gasoline</v>
      </c>
      <c r="M1220" s="8"/>
      <c r="N1220" s="2"/>
      <c r="O1220" s="2"/>
      <c r="P1220" s="2"/>
      <c r="Q1220" s="2"/>
      <c r="R1220" s="2"/>
      <c r="S1220" s="2"/>
      <c r="T1220" s="2"/>
      <c r="U1220" s="2"/>
      <c r="V1220" s="2"/>
      <c r="W1220" s="2"/>
      <c r="X1220" s="2"/>
      <c r="Y1220" s="2"/>
      <c r="Z1220" s="2"/>
    </row>
    <row r="1221" spans="1:26" ht="12.75" x14ac:dyDescent="0.2">
      <c r="A1221" s="230"/>
      <c r="B1221" s="18">
        <v>2023</v>
      </c>
      <c r="C1221" s="18" t="s">
        <v>760</v>
      </c>
      <c r="D1221" s="18" t="s">
        <v>958</v>
      </c>
      <c r="E1221" s="18" t="s">
        <v>713</v>
      </c>
      <c r="F1221" s="18" t="s">
        <v>714</v>
      </c>
      <c r="G1221" s="18" t="s">
        <v>674</v>
      </c>
      <c r="H1221" s="18" t="s">
        <v>959</v>
      </c>
      <c r="I1221" s="315">
        <v>210.28170072613875</v>
      </c>
      <c r="J1221" s="315">
        <v>1.870565255082736E-3</v>
      </c>
      <c r="K1221" s="316" t="str">
        <f t="shared" si="38"/>
        <v>Construction and Mining Equipment</v>
      </c>
      <c r="L1221" s="316" t="str">
        <f t="shared" si="39"/>
        <v>Diesel</v>
      </c>
      <c r="M1221" s="8"/>
      <c r="N1221" s="2"/>
      <c r="O1221" s="2"/>
      <c r="P1221" s="2"/>
      <c r="Q1221" s="2"/>
      <c r="R1221" s="2"/>
      <c r="S1221" s="2"/>
      <c r="T1221" s="2"/>
      <c r="U1221" s="2"/>
      <c r="V1221" s="2"/>
      <c r="W1221" s="2"/>
      <c r="X1221" s="2"/>
      <c r="Y1221" s="2"/>
      <c r="Z1221" s="2"/>
    </row>
    <row r="1222" spans="1:26" ht="12.75" x14ac:dyDescent="0.2">
      <c r="A1222" s="230"/>
      <c r="B1222" s="18">
        <v>2023</v>
      </c>
      <c r="C1222" s="18" t="s">
        <v>731</v>
      </c>
      <c r="D1222" s="18" t="s">
        <v>788</v>
      </c>
      <c r="E1222" s="18" t="s">
        <v>703</v>
      </c>
      <c r="F1222" s="18" t="s">
        <v>704</v>
      </c>
      <c r="G1222" s="18" t="s">
        <v>677</v>
      </c>
      <c r="H1222" s="18" t="s">
        <v>789</v>
      </c>
      <c r="I1222" s="315">
        <v>210.27343669824077</v>
      </c>
      <c r="J1222" s="315">
        <v>0.14477918123098751</v>
      </c>
      <c r="K1222" s="316" t="str">
        <f t="shared" si="38"/>
        <v>Commercial Equipment</v>
      </c>
      <c r="L1222" s="316" t="str">
        <f t="shared" si="39"/>
        <v>Gasoline</v>
      </c>
      <c r="M1222" s="8"/>
      <c r="N1222" s="2"/>
      <c r="O1222" s="2"/>
      <c r="P1222" s="2"/>
      <c r="Q1222" s="2"/>
      <c r="R1222" s="2"/>
      <c r="S1222" s="2"/>
      <c r="T1222" s="2"/>
      <c r="U1222" s="2"/>
      <c r="V1222" s="2"/>
      <c r="W1222" s="2"/>
      <c r="X1222" s="2"/>
      <c r="Y1222" s="2"/>
      <c r="Z1222" s="2"/>
    </row>
    <row r="1223" spans="1:26" ht="12.75" x14ac:dyDescent="0.2">
      <c r="A1223" s="230"/>
      <c r="B1223" s="18">
        <v>2023</v>
      </c>
      <c r="C1223" s="18" t="s">
        <v>731</v>
      </c>
      <c r="D1223" s="18" t="s">
        <v>848</v>
      </c>
      <c r="E1223" s="18" t="s">
        <v>56</v>
      </c>
      <c r="F1223" s="18" t="s">
        <v>601</v>
      </c>
      <c r="G1223" s="18" t="s">
        <v>675</v>
      </c>
      <c r="H1223" s="18" t="s">
        <v>708</v>
      </c>
      <c r="I1223" s="315">
        <v>209.9081163997534</v>
      </c>
      <c r="J1223" s="315">
        <v>0.83506532342083584</v>
      </c>
      <c r="K1223" s="316" t="str">
        <f t="shared" si="38"/>
        <v>Industrial Equipment</v>
      </c>
      <c r="L1223" s="316" t="str">
        <f t="shared" si="39"/>
        <v>CNG</v>
      </c>
      <c r="M1223" s="8"/>
      <c r="N1223" s="2"/>
      <c r="O1223" s="2"/>
      <c r="P1223" s="2"/>
      <c r="Q1223" s="2"/>
      <c r="R1223" s="2"/>
      <c r="S1223" s="2"/>
      <c r="T1223" s="2"/>
      <c r="U1223" s="2"/>
      <c r="V1223" s="2"/>
      <c r="W1223" s="2"/>
      <c r="X1223" s="2"/>
      <c r="Y1223" s="2"/>
      <c r="Z1223" s="2"/>
    </row>
    <row r="1224" spans="1:26" ht="12.75" x14ac:dyDescent="0.2">
      <c r="A1224" s="230"/>
      <c r="B1224" s="18">
        <v>2023</v>
      </c>
      <c r="C1224" s="18" t="s">
        <v>732</v>
      </c>
      <c r="D1224" s="18" t="s">
        <v>970</v>
      </c>
      <c r="E1224" s="18" t="s">
        <v>713</v>
      </c>
      <c r="F1224" s="18" t="s">
        <v>714</v>
      </c>
      <c r="G1224" s="18" t="s">
        <v>675</v>
      </c>
      <c r="H1224" s="18" t="s">
        <v>969</v>
      </c>
      <c r="I1224" s="315">
        <v>209.29303550674808</v>
      </c>
      <c r="J1224" s="315">
        <v>6.8001100167550911E-3</v>
      </c>
      <c r="K1224" s="316" t="str">
        <f t="shared" si="38"/>
        <v>Industrial Equipment</v>
      </c>
      <c r="L1224" s="316" t="str">
        <f t="shared" si="39"/>
        <v>Diesel</v>
      </c>
      <c r="M1224" s="8"/>
      <c r="N1224" s="2"/>
      <c r="O1224" s="2"/>
      <c r="P1224" s="2"/>
      <c r="Q1224" s="2"/>
      <c r="R1224" s="2"/>
      <c r="S1224" s="2"/>
      <c r="T1224" s="2"/>
      <c r="U1224" s="2"/>
      <c r="V1224" s="2"/>
      <c r="W1224" s="2"/>
      <c r="X1224" s="2"/>
      <c r="Y1224" s="2"/>
      <c r="Z1224" s="2"/>
    </row>
    <row r="1225" spans="1:26" ht="12.75" x14ac:dyDescent="0.2">
      <c r="A1225" s="230"/>
      <c r="B1225" s="18">
        <v>2023</v>
      </c>
      <c r="C1225" s="18" t="s">
        <v>750</v>
      </c>
      <c r="D1225" s="18" t="s">
        <v>858</v>
      </c>
      <c r="E1225" s="18" t="s">
        <v>713</v>
      </c>
      <c r="F1225" s="18" t="s">
        <v>714</v>
      </c>
      <c r="G1225" s="18" t="s">
        <v>674</v>
      </c>
      <c r="H1225" s="18" t="s">
        <v>859</v>
      </c>
      <c r="I1225" s="315">
        <v>209.13983076919922</v>
      </c>
      <c r="J1225" s="315">
        <v>1.856412326695033E-3</v>
      </c>
      <c r="K1225" s="316" t="str">
        <f t="shared" si="38"/>
        <v>Construction and Mining Equipment</v>
      </c>
      <c r="L1225" s="316" t="str">
        <f t="shared" si="39"/>
        <v>Diesel</v>
      </c>
      <c r="M1225" s="8"/>
      <c r="N1225" s="2"/>
      <c r="O1225" s="2"/>
      <c r="P1225" s="2"/>
      <c r="Q1225" s="2"/>
      <c r="R1225" s="2"/>
      <c r="S1225" s="2"/>
      <c r="T1225" s="2"/>
      <c r="U1225" s="2"/>
      <c r="V1225" s="2"/>
      <c r="W1225" s="2"/>
      <c r="X1225" s="2"/>
      <c r="Y1225" s="2"/>
      <c r="Z1225" s="2"/>
    </row>
    <row r="1226" spans="1:26" ht="12.75" x14ac:dyDescent="0.2">
      <c r="A1226" s="230"/>
      <c r="B1226" s="18">
        <v>2023</v>
      </c>
      <c r="C1226" s="18" t="s">
        <v>709</v>
      </c>
      <c r="D1226" s="18" t="s">
        <v>988</v>
      </c>
      <c r="E1226" s="18" t="s">
        <v>703</v>
      </c>
      <c r="F1226" s="18" t="s">
        <v>805</v>
      </c>
      <c r="G1226" s="18" t="s">
        <v>673</v>
      </c>
      <c r="H1226" s="18" t="s">
        <v>768</v>
      </c>
      <c r="I1226" s="315">
        <v>209.02428345762027</v>
      </c>
      <c r="J1226" s="315">
        <v>0.3891409381957352</v>
      </c>
      <c r="K1226" s="316" t="str">
        <f t="shared" si="38"/>
        <v>Lawn and Garden Equipment</v>
      </c>
      <c r="L1226" s="316" t="str">
        <f t="shared" si="39"/>
        <v>Gasoline</v>
      </c>
      <c r="M1226" s="8"/>
      <c r="N1226" s="2"/>
      <c r="O1226" s="2"/>
      <c r="P1226" s="2"/>
      <c r="Q1226" s="2"/>
      <c r="R1226" s="2"/>
      <c r="S1226" s="2"/>
      <c r="T1226" s="2"/>
      <c r="U1226" s="2"/>
      <c r="V1226" s="2"/>
      <c r="W1226" s="2"/>
      <c r="X1226" s="2"/>
      <c r="Y1226" s="2"/>
      <c r="Z1226" s="2"/>
    </row>
    <row r="1227" spans="1:26" ht="12.75" x14ac:dyDescent="0.2">
      <c r="A1227" s="230"/>
      <c r="B1227" s="18">
        <v>2023</v>
      </c>
      <c r="C1227" s="18" t="s">
        <v>711</v>
      </c>
      <c r="D1227" s="18" t="s">
        <v>995</v>
      </c>
      <c r="E1227" s="18" t="s">
        <v>703</v>
      </c>
      <c r="F1227" s="18" t="s">
        <v>805</v>
      </c>
      <c r="G1227" s="18" t="s">
        <v>673</v>
      </c>
      <c r="H1227" s="18" t="s">
        <v>996</v>
      </c>
      <c r="I1227" s="315">
        <v>208.60793168282899</v>
      </c>
      <c r="J1227" s="315">
        <v>0.38901470277801364</v>
      </c>
      <c r="K1227" s="316" t="str">
        <f t="shared" si="38"/>
        <v>Lawn and Garden Equipment</v>
      </c>
      <c r="L1227" s="316" t="str">
        <f t="shared" si="39"/>
        <v>Gasoline</v>
      </c>
      <c r="M1227" s="8"/>
      <c r="N1227" s="2"/>
      <c r="O1227" s="2"/>
      <c r="P1227" s="2"/>
      <c r="Q1227" s="2"/>
      <c r="R1227" s="2"/>
      <c r="S1227" s="2"/>
      <c r="T1227" s="2"/>
      <c r="U1227" s="2"/>
      <c r="V1227" s="2"/>
      <c r="W1227" s="2"/>
      <c r="X1227" s="2"/>
      <c r="Y1227" s="2"/>
      <c r="Z1227" s="2"/>
    </row>
    <row r="1228" spans="1:26" ht="12.75" x14ac:dyDescent="0.2">
      <c r="A1228" s="230"/>
      <c r="B1228" s="18">
        <v>2023</v>
      </c>
      <c r="C1228" s="18" t="s">
        <v>787</v>
      </c>
      <c r="D1228" s="18" t="s">
        <v>744</v>
      </c>
      <c r="E1228" s="18" t="s">
        <v>703</v>
      </c>
      <c r="F1228" s="18" t="s">
        <v>704</v>
      </c>
      <c r="G1228" s="18" t="s">
        <v>673</v>
      </c>
      <c r="H1228" s="18" t="s">
        <v>745</v>
      </c>
      <c r="I1228" s="315">
        <v>208.53045777333895</v>
      </c>
      <c r="J1228" s="315">
        <v>0.15397491646209788</v>
      </c>
      <c r="K1228" s="316" t="str">
        <f t="shared" si="38"/>
        <v>Lawn and Garden Equipment</v>
      </c>
      <c r="L1228" s="316" t="str">
        <f t="shared" si="39"/>
        <v>Gasoline</v>
      </c>
      <c r="M1228" s="8"/>
      <c r="N1228" s="2"/>
      <c r="O1228" s="2"/>
      <c r="P1228" s="2"/>
      <c r="Q1228" s="2"/>
      <c r="R1228" s="2"/>
      <c r="S1228" s="2"/>
      <c r="T1228" s="2"/>
      <c r="U1228" s="2"/>
      <c r="V1228" s="2"/>
      <c r="W1228" s="2"/>
      <c r="X1228" s="2"/>
      <c r="Y1228" s="2"/>
      <c r="Z1228" s="2"/>
    </row>
    <row r="1229" spans="1:26" ht="12.75" x14ac:dyDescent="0.2">
      <c r="A1229" s="230"/>
      <c r="B1229" s="18">
        <v>2023</v>
      </c>
      <c r="C1229" s="18" t="s">
        <v>722</v>
      </c>
      <c r="D1229" s="18" t="s">
        <v>968</v>
      </c>
      <c r="E1229" s="18" t="s">
        <v>703</v>
      </c>
      <c r="F1229" s="18" t="s">
        <v>704</v>
      </c>
      <c r="G1229" s="18" t="s">
        <v>675</v>
      </c>
      <c r="H1229" s="18" t="s">
        <v>969</v>
      </c>
      <c r="I1229" s="315">
        <v>208.40868751826667</v>
      </c>
      <c r="J1229" s="315">
        <v>6.6723901778881933E-2</v>
      </c>
      <c r="K1229" s="316" t="str">
        <f t="shared" si="38"/>
        <v>Industrial Equipment</v>
      </c>
      <c r="L1229" s="316" t="str">
        <f t="shared" si="39"/>
        <v>Gasoline</v>
      </c>
      <c r="M1229" s="8"/>
      <c r="N1229" s="2"/>
      <c r="O1229" s="2"/>
      <c r="P1229" s="2"/>
      <c r="Q1229" s="2"/>
      <c r="R1229" s="2"/>
      <c r="S1229" s="2"/>
      <c r="T1229" s="2"/>
      <c r="U1229" s="2"/>
      <c r="V1229" s="2"/>
      <c r="W1229" s="2"/>
      <c r="X1229" s="2"/>
      <c r="Y1229" s="2"/>
      <c r="Z1229" s="2"/>
    </row>
    <row r="1230" spans="1:26" ht="12.75" x14ac:dyDescent="0.2">
      <c r="A1230" s="230"/>
      <c r="B1230" s="18">
        <v>2023</v>
      </c>
      <c r="C1230" s="18" t="s">
        <v>706</v>
      </c>
      <c r="D1230" s="18" t="s">
        <v>1034</v>
      </c>
      <c r="E1230" s="18" t="s">
        <v>713</v>
      </c>
      <c r="F1230" s="18" t="s">
        <v>714</v>
      </c>
      <c r="G1230" s="18" t="s">
        <v>677</v>
      </c>
      <c r="H1230" s="18" t="s">
        <v>1031</v>
      </c>
      <c r="I1230" s="315">
        <v>207.58049237027512</v>
      </c>
      <c r="J1230" s="315">
        <v>3.6073053913001588E-3</v>
      </c>
      <c r="K1230" s="316" t="str">
        <f t="shared" si="38"/>
        <v>Commercial Equipment</v>
      </c>
      <c r="L1230" s="316" t="str">
        <f t="shared" si="39"/>
        <v>Diesel</v>
      </c>
      <c r="M1230" s="8"/>
      <c r="N1230" s="2"/>
      <c r="O1230" s="2"/>
      <c r="P1230" s="2"/>
      <c r="Q1230" s="2"/>
      <c r="R1230" s="2"/>
      <c r="S1230" s="2"/>
      <c r="T1230" s="2"/>
      <c r="U1230" s="2"/>
      <c r="V1230" s="2"/>
      <c r="W1230" s="2"/>
      <c r="X1230" s="2"/>
      <c r="Y1230" s="2"/>
      <c r="Z1230" s="2"/>
    </row>
    <row r="1231" spans="1:26" ht="12.75" x14ac:dyDescent="0.2">
      <c r="A1231" s="230"/>
      <c r="B1231" s="18">
        <v>2023</v>
      </c>
      <c r="C1231" s="18" t="s">
        <v>706</v>
      </c>
      <c r="D1231" s="18" t="s">
        <v>988</v>
      </c>
      <c r="E1231" s="18" t="s">
        <v>703</v>
      </c>
      <c r="F1231" s="18" t="s">
        <v>805</v>
      </c>
      <c r="G1231" s="18" t="s">
        <v>673</v>
      </c>
      <c r="H1231" s="18" t="s">
        <v>768</v>
      </c>
      <c r="I1231" s="315">
        <v>206.86952632506254</v>
      </c>
      <c r="J1231" s="315">
        <v>0.3851294642323641</v>
      </c>
      <c r="K1231" s="316" t="str">
        <f t="shared" si="38"/>
        <v>Lawn and Garden Equipment</v>
      </c>
      <c r="L1231" s="316" t="str">
        <f t="shared" si="39"/>
        <v>Gasoline</v>
      </c>
      <c r="M1231" s="8"/>
      <c r="N1231" s="2"/>
      <c r="O1231" s="2"/>
      <c r="P1231" s="2"/>
      <c r="Q1231" s="2"/>
      <c r="R1231" s="2"/>
      <c r="S1231" s="2"/>
      <c r="T1231" s="2"/>
      <c r="U1231" s="2"/>
      <c r="V1231" s="2"/>
      <c r="W1231" s="2"/>
      <c r="X1231" s="2"/>
      <c r="Y1231" s="2"/>
      <c r="Z1231" s="2"/>
    </row>
    <row r="1232" spans="1:26" ht="12.75" x14ac:dyDescent="0.2">
      <c r="A1232" s="230"/>
      <c r="B1232" s="18">
        <v>2023</v>
      </c>
      <c r="C1232" s="18" t="s">
        <v>709</v>
      </c>
      <c r="D1232" s="18" t="s">
        <v>1014</v>
      </c>
      <c r="E1232" s="18" t="s">
        <v>713</v>
      </c>
      <c r="F1232" s="18" t="s">
        <v>714</v>
      </c>
      <c r="G1232" s="18" t="s">
        <v>674</v>
      </c>
      <c r="H1232" s="18" t="s">
        <v>994</v>
      </c>
      <c r="I1232" s="315">
        <v>206.33972414483071</v>
      </c>
      <c r="J1232" s="315">
        <v>2.6878012214623711E-3</v>
      </c>
      <c r="K1232" s="316" t="str">
        <f t="shared" si="38"/>
        <v>Construction and Mining Equipment</v>
      </c>
      <c r="L1232" s="316" t="str">
        <f t="shared" si="39"/>
        <v>Diesel</v>
      </c>
      <c r="M1232" s="8"/>
      <c r="N1232" s="2"/>
      <c r="O1232" s="2"/>
      <c r="P1232" s="2"/>
      <c r="Q1232" s="2"/>
      <c r="R1232" s="2"/>
      <c r="S1232" s="2"/>
      <c r="T1232" s="2"/>
      <c r="U1232" s="2"/>
      <c r="V1232" s="2"/>
      <c r="W1232" s="2"/>
      <c r="X1232" s="2"/>
      <c r="Y1232" s="2"/>
      <c r="Z1232" s="2"/>
    </row>
    <row r="1233" spans="1:26" ht="12.75" x14ac:dyDescent="0.2">
      <c r="A1233" s="230"/>
      <c r="B1233" s="18">
        <v>2023</v>
      </c>
      <c r="C1233" s="18" t="s">
        <v>706</v>
      </c>
      <c r="D1233" s="18" t="s">
        <v>1035</v>
      </c>
      <c r="E1233" s="18" t="s">
        <v>703</v>
      </c>
      <c r="F1233" s="18" t="s">
        <v>704</v>
      </c>
      <c r="G1233" s="18" t="s">
        <v>674</v>
      </c>
      <c r="H1233" s="18" t="s">
        <v>1036</v>
      </c>
      <c r="I1233" s="315">
        <v>206.13289747356202</v>
      </c>
      <c r="J1233" s="315">
        <v>0.14583989546150658</v>
      </c>
      <c r="K1233" s="316" t="str">
        <f t="shared" si="38"/>
        <v>Construction and Mining Equipment</v>
      </c>
      <c r="L1233" s="316" t="str">
        <f t="shared" si="39"/>
        <v>Gasoline</v>
      </c>
      <c r="M1233" s="8"/>
      <c r="N1233" s="2"/>
      <c r="O1233" s="2"/>
      <c r="P1233" s="2"/>
      <c r="Q1233" s="2"/>
      <c r="R1233" s="2"/>
      <c r="S1233" s="2"/>
      <c r="T1233" s="2"/>
      <c r="U1233" s="2"/>
      <c r="V1233" s="2"/>
      <c r="W1233" s="2"/>
      <c r="X1233" s="2"/>
      <c r="Y1233" s="2"/>
      <c r="Z1233" s="2"/>
    </row>
    <row r="1234" spans="1:26" ht="12.75" x14ac:dyDescent="0.2">
      <c r="A1234" s="230"/>
      <c r="B1234" s="18">
        <v>2023</v>
      </c>
      <c r="C1234" s="18" t="s">
        <v>701</v>
      </c>
      <c r="D1234" s="18" t="s">
        <v>997</v>
      </c>
      <c r="E1234" s="18" t="s">
        <v>56</v>
      </c>
      <c r="F1234" s="18" t="s">
        <v>672</v>
      </c>
      <c r="G1234" s="18" t="s">
        <v>675</v>
      </c>
      <c r="H1234" s="18" t="s">
        <v>969</v>
      </c>
      <c r="I1234" s="315">
        <v>206.01359321806933</v>
      </c>
      <c r="J1234" s="315">
        <v>2.5632179598560508E-2</v>
      </c>
      <c r="K1234" s="316" t="str">
        <f t="shared" si="38"/>
        <v>Industrial Equipment</v>
      </c>
      <c r="L1234" s="316" t="str">
        <f t="shared" si="39"/>
        <v>LPG</v>
      </c>
      <c r="M1234" s="8"/>
      <c r="N1234" s="2"/>
      <c r="O1234" s="2"/>
      <c r="P1234" s="2"/>
      <c r="Q1234" s="2"/>
      <c r="R1234" s="2"/>
      <c r="S1234" s="2"/>
      <c r="T1234" s="2"/>
      <c r="U1234" s="2"/>
      <c r="V1234" s="2"/>
      <c r="W1234" s="2"/>
      <c r="X1234" s="2"/>
      <c r="Y1234" s="2"/>
      <c r="Z1234" s="2"/>
    </row>
    <row r="1235" spans="1:26" ht="12.75" x14ac:dyDescent="0.2">
      <c r="A1235" s="230"/>
      <c r="B1235" s="18">
        <v>2023</v>
      </c>
      <c r="C1235" s="18" t="s">
        <v>710</v>
      </c>
      <c r="D1235" s="18" t="s">
        <v>1003</v>
      </c>
      <c r="E1235" s="18" t="s">
        <v>703</v>
      </c>
      <c r="F1235" s="18" t="s">
        <v>805</v>
      </c>
      <c r="G1235" s="18" t="s">
        <v>677</v>
      </c>
      <c r="H1235" s="18" t="s">
        <v>841</v>
      </c>
      <c r="I1235" s="315">
        <v>205.26871296358004</v>
      </c>
      <c r="J1235" s="315">
        <v>0.39551824737285934</v>
      </c>
      <c r="K1235" s="316" t="str">
        <f t="shared" si="38"/>
        <v>Commercial Equipment</v>
      </c>
      <c r="L1235" s="316" t="str">
        <f t="shared" si="39"/>
        <v>Gasoline</v>
      </c>
      <c r="M1235" s="8"/>
      <c r="N1235" s="2"/>
      <c r="O1235" s="2"/>
      <c r="P1235" s="2"/>
      <c r="Q1235" s="2"/>
      <c r="R1235" s="2"/>
      <c r="S1235" s="2"/>
      <c r="T1235" s="2"/>
      <c r="U1235" s="2"/>
      <c r="V1235" s="2"/>
      <c r="W1235" s="2"/>
      <c r="X1235" s="2"/>
      <c r="Y1235" s="2"/>
      <c r="Z1235" s="2"/>
    </row>
    <row r="1236" spans="1:26" ht="12.75" x14ac:dyDescent="0.2">
      <c r="A1236" s="230"/>
      <c r="B1236" s="18">
        <v>2023</v>
      </c>
      <c r="C1236" s="18" t="s">
        <v>701</v>
      </c>
      <c r="D1236" s="18" t="s">
        <v>1020</v>
      </c>
      <c r="E1236" s="18" t="s">
        <v>713</v>
      </c>
      <c r="F1236" s="18" t="s">
        <v>714</v>
      </c>
      <c r="G1236" s="18" t="s">
        <v>677</v>
      </c>
      <c r="H1236" s="18" t="s">
        <v>789</v>
      </c>
      <c r="I1236" s="315">
        <v>205.07383534692173</v>
      </c>
      <c r="J1236" s="315">
        <v>4.7194395226407499E-3</v>
      </c>
      <c r="K1236" s="316" t="str">
        <f t="shared" si="38"/>
        <v>Commercial Equipment</v>
      </c>
      <c r="L1236" s="316" t="str">
        <f t="shared" si="39"/>
        <v>Diesel</v>
      </c>
      <c r="M1236" s="8"/>
      <c r="N1236" s="2"/>
      <c r="O1236" s="2"/>
      <c r="P1236" s="2"/>
      <c r="Q1236" s="2"/>
      <c r="R1236" s="2"/>
      <c r="S1236" s="2"/>
      <c r="T1236" s="2"/>
      <c r="U1236" s="2"/>
      <c r="V1236" s="2"/>
      <c r="W1236" s="2"/>
      <c r="X1236" s="2"/>
      <c r="Y1236" s="2"/>
      <c r="Z1236" s="2"/>
    </row>
    <row r="1237" spans="1:26" ht="12.75" x14ac:dyDescent="0.2">
      <c r="A1237" s="230"/>
      <c r="B1237" s="18">
        <v>2023</v>
      </c>
      <c r="C1237" s="18" t="s">
        <v>750</v>
      </c>
      <c r="D1237" s="18" t="s">
        <v>860</v>
      </c>
      <c r="E1237" s="18" t="s">
        <v>713</v>
      </c>
      <c r="F1237" s="18" t="s">
        <v>714</v>
      </c>
      <c r="G1237" s="18" t="s">
        <v>674</v>
      </c>
      <c r="H1237" s="18" t="s">
        <v>861</v>
      </c>
      <c r="I1237" s="315">
        <v>204.59515225090755</v>
      </c>
      <c r="J1237" s="315">
        <v>3.3907885756680771E-3</v>
      </c>
      <c r="K1237" s="316" t="str">
        <f t="shared" si="38"/>
        <v>Construction and Mining Equipment</v>
      </c>
      <c r="L1237" s="316" t="str">
        <f t="shared" si="39"/>
        <v>Diesel</v>
      </c>
      <c r="M1237" s="8"/>
      <c r="N1237" s="2"/>
      <c r="O1237" s="2"/>
      <c r="P1237" s="2"/>
      <c r="Q1237" s="2"/>
      <c r="R1237" s="2"/>
      <c r="S1237" s="2"/>
      <c r="T1237" s="2"/>
      <c r="U1237" s="2"/>
      <c r="V1237" s="2"/>
      <c r="W1237" s="2"/>
      <c r="X1237" s="2"/>
      <c r="Y1237" s="2"/>
      <c r="Z1237" s="2"/>
    </row>
    <row r="1238" spans="1:26" ht="12.75" x14ac:dyDescent="0.2">
      <c r="A1238" s="230"/>
      <c r="B1238" s="18">
        <v>2023</v>
      </c>
      <c r="C1238" s="18" t="s">
        <v>710</v>
      </c>
      <c r="D1238" s="18" t="s">
        <v>807</v>
      </c>
      <c r="E1238" s="18" t="s">
        <v>703</v>
      </c>
      <c r="F1238" s="18" t="s">
        <v>805</v>
      </c>
      <c r="G1238" s="18" t="s">
        <v>673</v>
      </c>
      <c r="H1238" s="18" t="s">
        <v>749</v>
      </c>
      <c r="I1238" s="315">
        <v>204.34019294095214</v>
      </c>
      <c r="J1238" s="315">
        <v>0.38225244768979044</v>
      </c>
      <c r="K1238" s="316" t="str">
        <f t="shared" si="38"/>
        <v>Lawn and Garden Equipment</v>
      </c>
      <c r="L1238" s="316" t="str">
        <f t="shared" si="39"/>
        <v>Gasoline</v>
      </c>
      <c r="M1238" s="8"/>
      <c r="N1238" s="2"/>
      <c r="O1238" s="2"/>
      <c r="P1238" s="2"/>
      <c r="Q1238" s="2"/>
      <c r="R1238" s="2"/>
      <c r="S1238" s="2"/>
      <c r="T1238" s="2"/>
      <c r="U1238" s="2"/>
      <c r="V1238" s="2"/>
      <c r="W1238" s="2"/>
      <c r="X1238" s="2"/>
      <c r="Y1238" s="2"/>
      <c r="Z1238" s="2"/>
    </row>
    <row r="1239" spans="1:26" ht="12.75" x14ac:dyDescent="0.2">
      <c r="A1239" s="230"/>
      <c r="B1239" s="18">
        <v>2023</v>
      </c>
      <c r="C1239" s="18" t="s">
        <v>706</v>
      </c>
      <c r="D1239" s="18" t="s">
        <v>1037</v>
      </c>
      <c r="E1239" s="18" t="s">
        <v>56</v>
      </c>
      <c r="F1239" s="18" t="s">
        <v>672</v>
      </c>
      <c r="G1239" s="18" t="s">
        <v>677</v>
      </c>
      <c r="H1239" s="18" t="s">
        <v>841</v>
      </c>
      <c r="I1239" s="315">
        <v>204.18496677975429</v>
      </c>
      <c r="J1239" s="315">
        <v>2.0669094365903147E-2</v>
      </c>
      <c r="K1239" s="316" t="str">
        <f t="shared" si="38"/>
        <v>Commercial Equipment</v>
      </c>
      <c r="L1239" s="316" t="str">
        <f t="shared" si="39"/>
        <v>LPG</v>
      </c>
      <c r="M1239" s="8"/>
      <c r="N1239" s="2"/>
      <c r="O1239" s="2"/>
      <c r="P1239" s="2"/>
      <c r="Q1239" s="2"/>
      <c r="R1239" s="2"/>
      <c r="S1239" s="2"/>
      <c r="T1239" s="2"/>
      <c r="U1239" s="2"/>
      <c r="V1239" s="2"/>
      <c r="W1239" s="2"/>
      <c r="X1239" s="2"/>
      <c r="Y1239" s="2"/>
      <c r="Z1239" s="2"/>
    </row>
    <row r="1240" spans="1:26" ht="12.75" x14ac:dyDescent="0.2">
      <c r="A1240" s="230"/>
      <c r="B1240" s="18">
        <v>2023</v>
      </c>
      <c r="C1240" s="18" t="s">
        <v>754</v>
      </c>
      <c r="D1240" s="18" t="s">
        <v>878</v>
      </c>
      <c r="E1240" s="18" t="s">
        <v>703</v>
      </c>
      <c r="F1240" s="18" t="s">
        <v>704</v>
      </c>
      <c r="G1240" s="18" t="s">
        <v>673</v>
      </c>
      <c r="H1240" s="18" t="s">
        <v>879</v>
      </c>
      <c r="I1240" s="315">
        <v>203.87664555237114</v>
      </c>
      <c r="J1240" s="315">
        <v>0.13429490341393502</v>
      </c>
      <c r="K1240" s="316" t="str">
        <f t="shared" si="38"/>
        <v>Lawn and Garden Equipment</v>
      </c>
      <c r="L1240" s="316" t="str">
        <f t="shared" si="39"/>
        <v>Gasoline</v>
      </c>
      <c r="M1240" s="8"/>
      <c r="N1240" s="2"/>
      <c r="O1240" s="2"/>
      <c r="P1240" s="2"/>
      <c r="Q1240" s="2"/>
      <c r="R1240" s="2"/>
      <c r="S1240" s="2"/>
      <c r="T1240" s="2"/>
      <c r="U1240" s="2"/>
      <c r="V1240" s="2"/>
      <c r="W1240" s="2"/>
      <c r="X1240" s="2"/>
      <c r="Y1240" s="2"/>
      <c r="Z1240" s="2"/>
    </row>
    <row r="1241" spans="1:26" ht="12.75" x14ac:dyDescent="0.2">
      <c r="A1241" s="230"/>
      <c r="B1241" s="18">
        <v>2023</v>
      </c>
      <c r="C1241" s="18" t="s">
        <v>760</v>
      </c>
      <c r="D1241" s="18" t="s">
        <v>936</v>
      </c>
      <c r="E1241" s="18" t="s">
        <v>56</v>
      </c>
      <c r="F1241" s="18" t="s">
        <v>672</v>
      </c>
      <c r="G1241" s="18" t="s">
        <v>677</v>
      </c>
      <c r="H1241" s="18" t="s">
        <v>747</v>
      </c>
      <c r="I1241" s="315">
        <v>203.75135829555515</v>
      </c>
      <c r="J1241" s="315">
        <v>4.6972113468721433E-2</v>
      </c>
      <c r="K1241" s="316" t="str">
        <f t="shared" si="38"/>
        <v>Commercial Equipment</v>
      </c>
      <c r="L1241" s="316" t="str">
        <f t="shared" si="39"/>
        <v>LPG</v>
      </c>
      <c r="M1241" s="8"/>
      <c r="N1241" s="2"/>
      <c r="O1241" s="2"/>
      <c r="P1241" s="2"/>
      <c r="Q1241" s="2"/>
      <c r="R1241" s="2"/>
      <c r="S1241" s="2"/>
      <c r="T1241" s="2"/>
      <c r="U1241" s="2"/>
      <c r="V1241" s="2"/>
      <c r="W1241" s="2"/>
      <c r="X1241" s="2"/>
      <c r="Y1241" s="2"/>
      <c r="Z1241" s="2"/>
    </row>
    <row r="1242" spans="1:26" ht="12.75" x14ac:dyDescent="0.2">
      <c r="A1242" s="230"/>
      <c r="B1242" s="18">
        <v>2023</v>
      </c>
      <c r="C1242" s="18" t="s">
        <v>727</v>
      </c>
      <c r="D1242" s="18" t="s">
        <v>840</v>
      </c>
      <c r="E1242" s="18" t="s">
        <v>703</v>
      </c>
      <c r="F1242" s="18" t="s">
        <v>704</v>
      </c>
      <c r="G1242" s="18" t="s">
        <v>677</v>
      </c>
      <c r="H1242" s="18" t="s">
        <v>841</v>
      </c>
      <c r="I1242" s="315">
        <v>203.52812151580062</v>
      </c>
      <c r="J1242" s="315">
        <v>0.133538121768732</v>
      </c>
      <c r="K1242" s="316" t="str">
        <f t="shared" si="38"/>
        <v>Commercial Equipment</v>
      </c>
      <c r="L1242" s="316" t="str">
        <f t="shared" si="39"/>
        <v>Gasoline</v>
      </c>
      <c r="M1242" s="8"/>
      <c r="N1242" s="2"/>
      <c r="O1242" s="2"/>
      <c r="P1242" s="2"/>
      <c r="Q1242" s="2"/>
      <c r="R1242" s="2"/>
      <c r="S1242" s="2"/>
      <c r="T1242" s="2"/>
      <c r="U1242" s="2"/>
      <c r="V1242" s="2"/>
      <c r="W1242" s="2"/>
      <c r="X1242" s="2"/>
      <c r="Y1242" s="2"/>
      <c r="Z1242" s="2"/>
    </row>
    <row r="1243" spans="1:26" ht="12.75" x14ac:dyDescent="0.2">
      <c r="A1243" s="230"/>
      <c r="B1243" s="18">
        <v>2023</v>
      </c>
      <c r="C1243" s="18" t="s">
        <v>753</v>
      </c>
      <c r="D1243" s="18" t="s">
        <v>848</v>
      </c>
      <c r="E1243" s="18" t="s">
        <v>56</v>
      </c>
      <c r="F1243" s="18" t="s">
        <v>601</v>
      </c>
      <c r="G1243" s="18" t="s">
        <v>675</v>
      </c>
      <c r="H1243" s="18" t="s">
        <v>708</v>
      </c>
      <c r="I1243" s="315">
        <v>203.12501398557478</v>
      </c>
      <c r="J1243" s="315">
        <v>0.80808108511785881</v>
      </c>
      <c r="K1243" s="316" t="str">
        <f t="shared" si="38"/>
        <v>Industrial Equipment</v>
      </c>
      <c r="L1243" s="316" t="str">
        <f t="shared" si="39"/>
        <v>CNG</v>
      </c>
      <c r="M1243" s="8"/>
      <c r="N1243" s="2"/>
      <c r="O1243" s="2"/>
      <c r="P1243" s="2"/>
      <c r="Q1243" s="2"/>
      <c r="R1243" s="2"/>
      <c r="S1243" s="2"/>
      <c r="T1243" s="2"/>
      <c r="U1243" s="2"/>
      <c r="V1243" s="2"/>
      <c r="W1243" s="2"/>
      <c r="X1243" s="2"/>
      <c r="Y1243" s="2"/>
      <c r="Z1243" s="2"/>
    </row>
    <row r="1244" spans="1:26" ht="12.75" x14ac:dyDescent="0.2">
      <c r="A1244" s="230"/>
      <c r="B1244" s="18">
        <v>2023</v>
      </c>
      <c r="C1244" s="18" t="s">
        <v>762</v>
      </c>
      <c r="D1244" s="18" t="s">
        <v>779</v>
      </c>
      <c r="E1244" s="18" t="s">
        <v>713</v>
      </c>
      <c r="F1244" s="18" t="s">
        <v>714</v>
      </c>
      <c r="G1244" s="18" t="s">
        <v>674</v>
      </c>
      <c r="H1244" s="18" t="s">
        <v>780</v>
      </c>
      <c r="I1244" s="315">
        <v>202.75612660768522</v>
      </c>
      <c r="J1244" s="315">
        <v>6.6036627144551744E-4</v>
      </c>
      <c r="K1244" s="316" t="str">
        <f t="shared" si="38"/>
        <v>Construction and Mining Equipment</v>
      </c>
      <c r="L1244" s="316" t="str">
        <f t="shared" si="39"/>
        <v>Diesel</v>
      </c>
      <c r="M1244" s="8"/>
      <c r="N1244" s="2"/>
      <c r="O1244" s="2"/>
      <c r="P1244" s="2"/>
      <c r="Q1244" s="2"/>
      <c r="R1244" s="2"/>
      <c r="S1244" s="2"/>
      <c r="T1244" s="2"/>
      <c r="U1244" s="2"/>
      <c r="V1244" s="2"/>
      <c r="W1244" s="2"/>
      <c r="X1244" s="2"/>
      <c r="Y1244" s="2"/>
      <c r="Z1244" s="2"/>
    </row>
    <row r="1245" spans="1:26" x14ac:dyDescent="0.25">
      <c r="A1245" s="314"/>
      <c r="B1245" s="18">
        <v>2023</v>
      </c>
      <c r="C1245" s="18" t="s">
        <v>709</v>
      </c>
      <c r="D1245" s="18" t="s">
        <v>1011</v>
      </c>
      <c r="E1245" s="18" t="s">
        <v>56</v>
      </c>
      <c r="F1245" s="18" t="s">
        <v>672</v>
      </c>
      <c r="G1245" s="18" t="s">
        <v>677</v>
      </c>
      <c r="H1245" s="18" t="s">
        <v>836</v>
      </c>
      <c r="I1245" s="315">
        <v>202.26245428246511</v>
      </c>
      <c r="J1245" s="315">
        <v>1.0745656084700822E-2</v>
      </c>
      <c r="K1245" s="316" t="str">
        <f t="shared" si="38"/>
        <v>Commercial Equipment</v>
      </c>
      <c r="L1245" s="316" t="str">
        <f t="shared" si="39"/>
        <v>LPG</v>
      </c>
      <c r="M1245" s="194"/>
      <c r="N1245" s="317"/>
      <c r="O1245" s="317"/>
      <c r="P1245" s="317"/>
      <c r="Q1245" s="317"/>
      <c r="R1245" s="317"/>
      <c r="S1245" s="317"/>
      <c r="T1245" s="317"/>
      <c r="U1245" s="317"/>
      <c r="V1245" s="317"/>
      <c r="W1245" s="317"/>
      <c r="X1245" s="317"/>
      <c r="Y1245" s="317"/>
      <c r="Z1245" s="317"/>
    </row>
    <row r="1246" spans="1:26" x14ac:dyDescent="0.25">
      <c r="A1246" s="314"/>
      <c r="B1246" s="18">
        <v>2023</v>
      </c>
      <c r="C1246" s="18" t="s">
        <v>750</v>
      </c>
      <c r="D1246" s="18" t="s">
        <v>757</v>
      </c>
      <c r="E1246" s="18" t="s">
        <v>713</v>
      </c>
      <c r="F1246" s="18" t="s">
        <v>714</v>
      </c>
      <c r="G1246" s="18" t="s">
        <v>673</v>
      </c>
      <c r="H1246" s="18" t="s">
        <v>758</v>
      </c>
      <c r="I1246" s="315">
        <v>201.99367280679238</v>
      </c>
      <c r="J1246" s="315">
        <v>7.7823639596213837E-3</v>
      </c>
      <c r="K1246" s="316" t="str">
        <f t="shared" si="38"/>
        <v>Lawn and Garden Equipment</v>
      </c>
      <c r="L1246" s="316" t="str">
        <f t="shared" si="39"/>
        <v>Diesel</v>
      </c>
      <c r="M1246" s="194"/>
      <c r="N1246" s="317"/>
      <c r="O1246" s="317"/>
      <c r="P1246" s="317"/>
      <c r="Q1246" s="317"/>
      <c r="R1246" s="317"/>
      <c r="S1246" s="317"/>
      <c r="T1246" s="317"/>
      <c r="U1246" s="317"/>
      <c r="V1246" s="317"/>
      <c r="W1246" s="317"/>
      <c r="X1246" s="317"/>
      <c r="Y1246" s="317"/>
      <c r="Z1246" s="317"/>
    </row>
    <row r="1247" spans="1:26" x14ac:dyDescent="0.25">
      <c r="A1247" s="314"/>
      <c r="B1247" s="18">
        <v>2023</v>
      </c>
      <c r="C1247" s="18" t="s">
        <v>754</v>
      </c>
      <c r="D1247" s="18" t="s">
        <v>882</v>
      </c>
      <c r="E1247" s="18" t="s">
        <v>713</v>
      </c>
      <c r="F1247" s="18" t="s">
        <v>714</v>
      </c>
      <c r="G1247" s="18" t="s">
        <v>673</v>
      </c>
      <c r="H1247" s="18" t="s">
        <v>705</v>
      </c>
      <c r="I1247" s="315">
        <v>201.71227108087427</v>
      </c>
      <c r="J1247" s="315">
        <v>3.3854534096485179E-3</v>
      </c>
      <c r="K1247" s="316" t="str">
        <f t="shared" si="38"/>
        <v>Lawn and Garden Equipment</v>
      </c>
      <c r="L1247" s="316" t="str">
        <f t="shared" si="39"/>
        <v>Diesel</v>
      </c>
      <c r="M1247" s="194"/>
      <c r="N1247" s="317"/>
      <c r="O1247" s="317"/>
      <c r="P1247" s="317"/>
      <c r="Q1247" s="317"/>
      <c r="R1247" s="317"/>
      <c r="S1247" s="317"/>
      <c r="T1247" s="317"/>
      <c r="U1247" s="317"/>
      <c r="V1247" s="317"/>
      <c r="W1247" s="317"/>
      <c r="X1247" s="317"/>
      <c r="Y1247" s="317"/>
      <c r="Z1247" s="317"/>
    </row>
    <row r="1248" spans="1:26" x14ac:dyDescent="0.25">
      <c r="A1248" s="314"/>
      <c r="B1248" s="18">
        <v>2023</v>
      </c>
      <c r="C1248" s="18" t="s">
        <v>760</v>
      </c>
      <c r="D1248" s="18" t="s">
        <v>1004</v>
      </c>
      <c r="E1248" s="18" t="s">
        <v>713</v>
      </c>
      <c r="F1248" s="18" t="s">
        <v>714</v>
      </c>
      <c r="G1248" s="18" t="s">
        <v>679</v>
      </c>
      <c r="H1248" s="18" t="s">
        <v>1005</v>
      </c>
      <c r="I1248" s="315">
        <v>201.38675282390662</v>
      </c>
      <c r="J1248" s="315">
        <v>7.259514155152743E-3</v>
      </c>
      <c r="K1248" s="316" t="str">
        <f t="shared" si="38"/>
        <v>Recreational Equipment</v>
      </c>
      <c r="L1248" s="316" t="str">
        <f t="shared" si="39"/>
        <v>Diesel</v>
      </c>
      <c r="M1248" s="194"/>
      <c r="N1248" s="317"/>
      <c r="O1248" s="317"/>
      <c r="P1248" s="317"/>
      <c r="Q1248" s="317"/>
      <c r="R1248" s="317"/>
      <c r="S1248" s="317"/>
      <c r="T1248" s="317"/>
      <c r="U1248" s="317"/>
      <c r="V1248" s="317"/>
      <c r="W1248" s="317"/>
      <c r="X1248" s="317"/>
      <c r="Y1248" s="317"/>
      <c r="Z1248" s="317"/>
    </row>
    <row r="1249" spans="1:26" x14ac:dyDescent="0.25">
      <c r="A1249" s="314"/>
      <c r="B1249" s="18">
        <v>2023</v>
      </c>
      <c r="C1249" s="18" t="s">
        <v>762</v>
      </c>
      <c r="D1249" s="18" t="s">
        <v>782</v>
      </c>
      <c r="E1249" s="18" t="s">
        <v>713</v>
      </c>
      <c r="F1249" s="18" t="s">
        <v>714</v>
      </c>
      <c r="G1249" s="18" t="s">
        <v>674</v>
      </c>
      <c r="H1249" s="18" t="s">
        <v>783</v>
      </c>
      <c r="I1249" s="315">
        <v>201.09986307750282</v>
      </c>
      <c r="J1249" s="315">
        <v>1.909151760413671E-3</v>
      </c>
      <c r="K1249" s="316" t="str">
        <f t="shared" si="38"/>
        <v>Construction and Mining Equipment</v>
      </c>
      <c r="L1249" s="316" t="str">
        <f t="shared" si="39"/>
        <v>Diesel</v>
      </c>
      <c r="M1249" s="194"/>
      <c r="N1249" s="317"/>
      <c r="O1249" s="317"/>
      <c r="P1249" s="317"/>
      <c r="Q1249" s="317"/>
      <c r="R1249" s="317"/>
      <c r="S1249" s="317"/>
      <c r="T1249" s="317"/>
      <c r="U1249" s="317"/>
      <c r="V1249" s="317"/>
      <c r="W1249" s="317"/>
      <c r="X1249" s="317"/>
      <c r="Y1249" s="317"/>
      <c r="Z1249" s="317"/>
    </row>
    <row r="1250" spans="1:26" x14ac:dyDescent="0.25">
      <c r="A1250" s="314"/>
      <c r="B1250" s="18">
        <v>2023</v>
      </c>
      <c r="C1250" s="18" t="s">
        <v>750</v>
      </c>
      <c r="D1250" s="18" t="s">
        <v>862</v>
      </c>
      <c r="E1250" s="18" t="s">
        <v>713</v>
      </c>
      <c r="F1250" s="18" t="s">
        <v>714</v>
      </c>
      <c r="G1250" s="18" t="s">
        <v>674</v>
      </c>
      <c r="H1250" s="18" t="s">
        <v>863</v>
      </c>
      <c r="I1250" s="315">
        <v>200.52534834305087</v>
      </c>
      <c r="J1250" s="315">
        <v>1.4466391359929901E-3</v>
      </c>
      <c r="K1250" s="316" t="str">
        <f t="shared" si="38"/>
        <v>Construction and Mining Equipment</v>
      </c>
      <c r="L1250" s="316" t="str">
        <f t="shared" si="39"/>
        <v>Diesel</v>
      </c>
      <c r="M1250" s="194"/>
      <c r="N1250" s="317"/>
      <c r="O1250" s="317"/>
      <c r="P1250" s="317"/>
      <c r="Q1250" s="317"/>
      <c r="R1250" s="317"/>
      <c r="S1250" s="317"/>
      <c r="T1250" s="317"/>
      <c r="U1250" s="317"/>
      <c r="V1250" s="317"/>
      <c r="W1250" s="317"/>
      <c r="X1250" s="317"/>
      <c r="Y1250" s="317"/>
      <c r="Z1250" s="317"/>
    </row>
    <row r="1251" spans="1:26" x14ac:dyDescent="0.25">
      <c r="A1251" s="314"/>
      <c r="B1251" s="18">
        <v>2023</v>
      </c>
      <c r="C1251" s="18" t="s">
        <v>760</v>
      </c>
      <c r="D1251" s="18" t="s">
        <v>864</v>
      </c>
      <c r="E1251" s="18" t="s">
        <v>703</v>
      </c>
      <c r="F1251" s="18" t="s">
        <v>704</v>
      </c>
      <c r="G1251" s="18" t="s">
        <v>673</v>
      </c>
      <c r="H1251" s="18" t="s">
        <v>865</v>
      </c>
      <c r="I1251" s="315">
        <v>200.34918162555016</v>
      </c>
      <c r="J1251" s="315">
        <v>0.13631231246390182</v>
      </c>
      <c r="K1251" s="316" t="str">
        <f t="shared" si="38"/>
        <v>Lawn and Garden Equipment</v>
      </c>
      <c r="L1251" s="316" t="str">
        <f t="shared" si="39"/>
        <v>Gasoline</v>
      </c>
      <c r="M1251" s="194"/>
      <c r="N1251" s="317"/>
      <c r="O1251" s="317"/>
      <c r="P1251" s="317"/>
      <c r="Q1251" s="317"/>
      <c r="R1251" s="317"/>
      <c r="S1251" s="317"/>
      <c r="T1251" s="317"/>
      <c r="U1251" s="317"/>
      <c r="V1251" s="317"/>
      <c r="W1251" s="317"/>
      <c r="X1251" s="317"/>
      <c r="Y1251" s="317"/>
      <c r="Z1251" s="317"/>
    </row>
    <row r="1252" spans="1:26" x14ac:dyDescent="0.25">
      <c r="A1252" s="314"/>
      <c r="B1252" s="18">
        <v>2023</v>
      </c>
      <c r="C1252" s="18" t="s">
        <v>762</v>
      </c>
      <c r="D1252" s="18" t="s">
        <v>767</v>
      </c>
      <c r="E1252" s="18" t="s">
        <v>703</v>
      </c>
      <c r="F1252" s="18" t="s">
        <v>704</v>
      </c>
      <c r="G1252" s="18" t="s">
        <v>673</v>
      </c>
      <c r="H1252" s="18" t="s">
        <v>768</v>
      </c>
      <c r="I1252" s="315">
        <v>199.63808266570658</v>
      </c>
      <c r="J1252" s="315">
        <v>0.13869389448050221</v>
      </c>
      <c r="K1252" s="316" t="str">
        <f t="shared" si="38"/>
        <v>Lawn and Garden Equipment</v>
      </c>
      <c r="L1252" s="316" t="str">
        <f t="shared" si="39"/>
        <v>Gasoline</v>
      </c>
      <c r="M1252" s="194"/>
      <c r="N1252" s="317"/>
      <c r="O1252" s="317"/>
      <c r="P1252" s="317"/>
      <c r="Q1252" s="317"/>
      <c r="R1252" s="317"/>
      <c r="S1252" s="317"/>
      <c r="T1252" s="317"/>
      <c r="U1252" s="317"/>
      <c r="V1252" s="317"/>
      <c r="W1252" s="317"/>
      <c r="X1252" s="317"/>
      <c r="Y1252" s="317"/>
      <c r="Z1252" s="317"/>
    </row>
    <row r="1253" spans="1:26" x14ac:dyDescent="0.25">
      <c r="A1253" s="314"/>
      <c r="B1253" s="18">
        <v>2023</v>
      </c>
      <c r="C1253" s="18" t="s">
        <v>701</v>
      </c>
      <c r="D1253" s="18" t="s">
        <v>1006</v>
      </c>
      <c r="E1253" s="18" t="s">
        <v>703</v>
      </c>
      <c r="F1253" s="18" t="s">
        <v>805</v>
      </c>
      <c r="G1253" s="18" t="s">
        <v>674</v>
      </c>
      <c r="H1253" s="18" t="s">
        <v>967</v>
      </c>
      <c r="I1253" s="315">
        <v>199.49910643338197</v>
      </c>
      <c r="J1253" s="315">
        <v>0.35727938942586507</v>
      </c>
      <c r="K1253" s="316" t="str">
        <f t="shared" si="38"/>
        <v>Construction and Mining Equipment</v>
      </c>
      <c r="L1253" s="316" t="str">
        <f t="shared" si="39"/>
        <v>Gasoline</v>
      </c>
      <c r="M1253" s="194"/>
      <c r="N1253" s="317"/>
      <c r="O1253" s="317"/>
      <c r="P1253" s="317"/>
      <c r="Q1253" s="317"/>
      <c r="R1253" s="317"/>
      <c r="S1253" s="317"/>
      <c r="T1253" s="317"/>
      <c r="U1253" s="317"/>
      <c r="V1253" s="317"/>
      <c r="W1253" s="317"/>
      <c r="X1253" s="317"/>
      <c r="Y1253" s="317"/>
      <c r="Z1253" s="317"/>
    </row>
    <row r="1254" spans="1:26" x14ac:dyDescent="0.25">
      <c r="A1254" s="314"/>
      <c r="B1254" s="18">
        <v>2023</v>
      </c>
      <c r="C1254" s="18" t="s">
        <v>711</v>
      </c>
      <c r="D1254" s="18" t="s">
        <v>997</v>
      </c>
      <c r="E1254" s="18" t="s">
        <v>56</v>
      </c>
      <c r="F1254" s="18" t="s">
        <v>672</v>
      </c>
      <c r="G1254" s="18" t="s">
        <v>675</v>
      </c>
      <c r="H1254" s="18" t="s">
        <v>969</v>
      </c>
      <c r="I1254" s="315">
        <v>198.96029666460217</v>
      </c>
      <c r="J1254" s="315">
        <v>2.4754617577206369E-2</v>
      </c>
      <c r="K1254" s="316" t="str">
        <f t="shared" si="38"/>
        <v>Industrial Equipment</v>
      </c>
      <c r="L1254" s="316" t="str">
        <f t="shared" si="39"/>
        <v>LPG</v>
      </c>
      <c r="M1254" s="194"/>
      <c r="N1254" s="317"/>
      <c r="O1254" s="317"/>
      <c r="P1254" s="317"/>
      <c r="Q1254" s="317"/>
      <c r="R1254" s="317"/>
      <c r="S1254" s="317"/>
      <c r="T1254" s="317"/>
      <c r="U1254" s="317"/>
      <c r="V1254" s="317"/>
      <c r="W1254" s="317"/>
      <c r="X1254" s="317"/>
      <c r="Y1254" s="317"/>
      <c r="Z1254" s="317"/>
    </row>
    <row r="1255" spans="1:26" x14ac:dyDescent="0.25">
      <c r="A1255" s="314"/>
      <c r="B1255" s="18">
        <v>2023</v>
      </c>
      <c r="C1255" s="18" t="s">
        <v>727</v>
      </c>
      <c r="D1255" s="18" t="s">
        <v>846</v>
      </c>
      <c r="E1255" s="18" t="s">
        <v>713</v>
      </c>
      <c r="F1255" s="18" t="s">
        <v>714</v>
      </c>
      <c r="G1255" s="18" t="s">
        <v>677</v>
      </c>
      <c r="H1255" s="18" t="s">
        <v>836</v>
      </c>
      <c r="I1255" s="315">
        <v>198.72650966329087</v>
      </c>
      <c r="J1255" s="315">
        <v>7.6844830145971297E-3</v>
      </c>
      <c r="K1255" s="316" t="str">
        <f t="shared" si="38"/>
        <v>Commercial Equipment</v>
      </c>
      <c r="L1255" s="316" t="str">
        <f t="shared" si="39"/>
        <v>Diesel</v>
      </c>
      <c r="M1255" s="194"/>
      <c r="N1255" s="317"/>
      <c r="O1255" s="317"/>
      <c r="P1255" s="317"/>
      <c r="Q1255" s="317"/>
      <c r="R1255" s="317"/>
      <c r="S1255" s="317"/>
      <c r="T1255" s="317"/>
      <c r="U1255" s="317"/>
      <c r="V1255" s="317"/>
      <c r="W1255" s="317"/>
      <c r="X1255" s="317"/>
      <c r="Y1255" s="317"/>
      <c r="Z1255" s="317"/>
    </row>
    <row r="1256" spans="1:26" x14ac:dyDescent="0.25">
      <c r="A1256" s="314"/>
      <c r="B1256" s="18">
        <v>2023</v>
      </c>
      <c r="C1256" s="18" t="s">
        <v>743</v>
      </c>
      <c r="D1256" s="18" t="s">
        <v>880</v>
      </c>
      <c r="E1256" s="18" t="s">
        <v>703</v>
      </c>
      <c r="F1256" s="18" t="s">
        <v>704</v>
      </c>
      <c r="G1256" s="18" t="s">
        <v>677</v>
      </c>
      <c r="H1256" s="18" t="s">
        <v>785</v>
      </c>
      <c r="I1256" s="315">
        <v>198.31607396747</v>
      </c>
      <c r="J1256" s="315">
        <v>0.11476409071460422</v>
      </c>
      <c r="K1256" s="316" t="str">
        <f t="shared" si="38"/>
        <v>Commercial Equipment</v>
      </c>
      <c r="L1256" s="316" t="str">
        <f t="shared" si="39"/>
        <v>Gasoline</v>
      </c>
      <c r="M1256" s="194"/>
      <c r="N1256" s="317"/>
      <c r="O1256" s="317"/>
      <c r="P1256" s="317"/>
      <c r="Q1256" s="317"/>
      <c r="R1256" s="317"/>
      <c r="S1256" s="317"/>
      <c r="T1256" s="317"/>
      <c r="U1256" s="317"/>
      <c r="V1256" s="317"/>
      <c r="W1256" s="317"/>
      <c r="X1256" s="317"/>
      <c r="Y1256" s="317"/>
      <c r="Z1256" s="317"/>
    </row>
    <row r="1257" spans="1:26" x14ac:dyDescent="0.25">
      <c r="A1257" s="314"/>
      <c r="B1257" s="18">
        <v>2023</v>
      </c>
      <c r="C1257" s="18" t="s">
        <v>711</v>
      </c>
      <c r="D1257" s="18" t="s">
        <v>1011</v>
      </c>
      <c r="E1257" s="18" t="s">
        <v>56</v>
      </c>
      <c r="F1257" s="18" t="s">
        <v>672</v>
      </c>
      <c r="G1257" s="18" t="s">
        <v>677</v>
      </c>
      <c r="H1257" s="18" t="s">
        <v>836</v>
      </c>
      <c r="I1257" s="315">
        <v>198.0548647676768</v>
      </c>
      <c r="J1257" s="315">
        <v>1.0522130453868142E-2</v>
      </c>
      <c r="K1257" s="316" t="str">
        <f t="shared" si="38"/>
        <v>Commercial Equipment</v>
      </c>
      <c r="L1257" s="316" t="str">
        <f t="shared" si="39"/>
        <v>LPG</v>
      </c>
      <c r="M1257" s="194"/>
      <c r="N1257" s="317"/>
      <c r="O1257" s="317"/>
      <c r="P1257" s="317"/>
      <c r="Q1257" s="317"/>
      <c r="R1257" s="317"/>
      <c r="S1257" s="317"/>
      <c r="T1257" s="317"/>
      <c r="U1257" s="317"/>
      <c r="V1257" s="317"/>
      <c r="W1257" s="317"/>
      <c r="X1257" s="317"/>
      <c r="Y1257" s="317"/>
      <c r="Z1257" s="317"/>
    </row>
    <row r="1258" spans="1:26" x14ac:dyDescent="0.25">
      <c r="A1258" s="314"/>
      <c r="B1258" s="18">
        <v>2023</v>
      </c>
      <c r="C1258" s="18" t="s">
        <v>787</v>
      </c>
      <c r="D1258" s="18" t="s">
        <v>748</v>
      </c>
      <c r="E1258" s="18" t="s">
        <v>703</v>
      </c>
      <c r="F1258" s="18" t="s">
        <v>704</v>
      </c>
      <c r="G1258" s="18" t="s">
        <v>673</v>
      </c>
      <c r="H1258" s="18" t="s">
        <v>749</v>
      </c>
      <c r="I1258" s="315">
        <v>197.73389822968966</v>
      </c>
      <c r="J1258" s="315">
        <v>0.11247504731289852</v>
      </c>
      <c r="K1258" s="316" t="str">
        <f t="shared" si="38"/>
        <v>Lawn and Garden Equipment</v>
      </c>
      <c r="L1258" s="316" t="str">
        <f t="shared" si="39"/>
        <v>Gasoline</v>
      </c>
      <c r="M1258" s="194"/>
      <c r="N1258" s="317"/>
      <c r="O1258" s="317"/>
      <c r="P1258" s="317"/>
      <c r="Q1258" s="317"/>
      <c r="R1258" s="317"/>
      <c r="S1258" s="317"/>
      <c r="T1258" s="317"/>
      <c r="U1258" s="317"/>
      <c r="V1258" s="317"/>
      <c r="W1258" s="317"/>
      <c r="X1258" s="317"/>
      <c r="Y1258" s="317"/>
      <c r="Z1258" s="317"/>
    </row>
    <row r="1259" spans="1:26" x14ac:dyDescent="0.25">
      <c r="A1259" s="314"/>
      <c r="B1259" s="18">
        <v>2023</v>
      </c>
      <c r="C1259" s="18" t="s">
        <v>722</v>
      </c>
      <c r="D1259" s="18" t="s">
        <v>728</v>
      </c>
      <c r="E1259" s="18" t="s">
        <v>703</v>
      </c>
      <c r="F1259" s="18" t="s">
        <v>676</v>
      </c>
      <c r="G1259" s="18" t="s">
        <v>729</v>
      </c>
      <c r="H1259" s="18" t="s">
        <v>730</v>
      </c>
      <c r="I1259" s="315">
        <v>196.82556080592593</v>
      </c>
      <c r="J1259" s="315">
        <v>0.22286561405302427</v>
      </c>
      <c r="K1259" s="316" t="str">
        <f t="shared" si="38"/>
        <v>Pleasure Craft</v>
      </c>
      <c r="L1259" s="316" t="str">
        <f t="shared" si="39"/>
        <v>Gasoline</v>
      </c>
      <c r="M1259" s="194"/>
      <c r="N1259" s="317"/>
      <c r="O1259" s="317"/>
      <c r="P1259" s="317"/>
      <c r="Q1259" s="317"/>
      <c r="R1259" s="317"/>
      <c r="S1259" s="317"/>
      <c r="T1259" s="317"/>
      <c r="U1259" s="317"/>
      <c r="V1259" s="317"/>
      <c r="W1259" s="317"/>
      <c r="X1259" s="317"/>
      <c r="Y1259" s="317"/>
      <c r="Z1259" s="317"/>
    </row>
    <row r="1260" spans="1:26" x14ac:dyDescent="0.25">
      <c r="A1260" s="314"/>
      <c r="B1260" s="18">
        <v>2023</v>
      </c>
      <c r="C1260" s="18" t="s">
        <v>762</v>
      </c>
      <c r="D1260" s="18" t="s">
        <v>840</v>
      </c>
      <c r="E1260" s="18" t="s">
        <v>703</v>
      </c>
      <c r="F1260" s="18" t="s">
        <v>704</v>
      </c>
      <c r="G1260" s="18" t="s">
        <v>677</v>
      </c>
      <c r="H1260" s="18" t="s">
        <v>841</v>
      </c>
      <c r="I1260" s="315">
        <v>196.08192483484675</v>
      </c>
      <c r="J1260" s="315">
        <v>0.12900689084910566</v>
      </c>
      <c r="K1260" s="316" t="str">
        <f t="shared" si="38"/>
        <v>Commercial Equipment</v>
      </c>
      <c r="L1260" s="316" t="str">
        <f t="shared" si="39"/>
        <v>Gasoline</v>
      </c>
      <c r="M1260" s="194"/>
      <c r="N1260" s="317"/>
      <c r="O1260" s="317"/>
      <c r="P1260" s="317"/>
      <c r="Q1260" s="317"/>
      <c r="R1260" s="317"/>
      <c r="S1260" s="317"/>
      <c r="T1260" s="317"/>
      <c r="U1260" s="317"/>
      <c r="V1260" s="317"/>
      <c r="W1260" s="317"/>
      <c r="X1260" s="317"/>
      <c r="Y1260" s="317"/>
      <c r="Z1260" s="317"/>
    </row>
    <row r="1261" spans="1:26" x14ac:dyDescent="0.25">
      <c r="A1261" s="314"/>
      <c r="B1261" s="18">
        <v>2023</v>
      </c>
      <c r="C1261" s="18" t="s">
        <v>760</v>
      </c>
      <c r="D1261" s="18" t="s">
        <v>1007</v>
      </c>
      <c r="E1261" s="18" t="s">
        <v>703</v>
      </c>
      <c r="F1261" s="18" t="s">
        <v>795</v>
      </c>
      <c r="G1261" s="18" t="s">
        <v>679</v>
      </c>
      <c r="H1261" s="18" t="s">
        <v>1008</v>
      </c>
      <c r="I1261" s="315">
        <v>195.3652780799641</v>
      </c>
      <c r="J1261" s="315">
        <v>0.14205495024019607</v>
      </c>
      <c r="K1261" s="316" t="str">
        <f t="shared" si="38"/>
        <v>Recreational Equipment</v>
      </c>
      <c r="L1261" s="316" t="str">
        <f t="shared" si="39"/>
        <v>Gasoline</v>
      </c>
      <c r="M1261" s="194"/>
      <c r="N1261" s="317"/>
      <c r="O1261" s="317"/>
      <c r="P1261" s="317"/>
      <c r="Q1261" s="317"/>
      <c r="R1261" s="317"/>
      <c r="S1261" s="317"/>
      <c r="T1261" s="317"/>
      <c r="U1261" s="317"/>
      <c r="V1261" s="317"/>
      <c r="W1261" s="317"/>
      <c r="X1261" s="317"/>
      <c r="Y1261" s="317"/>
      <c r="Z1261" s="317"/>
    </row>
    <row r="1262" spans="1:26" x14ac:dyDescent="0.25">
      <c r="A1262" s="314"/>
      <c r="B1262" s="18">
        <v>2023</v>
      </c>
      <c r="C1262" s="18" t="s">
        <v>743</v>
      </c>
      <c r="D1262" s="18" t="s">
        <v>970</v>
      </c>
      <c r="E1262" s="18" t="s">
        <v>713</v>
      </c>
      <c r="F1262" s="18" t="s">
        <v>714</v>
      </c>
      <c r="G1262" s="18" t="s">
        <v>675</v>
      </c>
      <c r="H1262" s="18" t="s">
        <v>969</v>
      </c>
      <c r="I1262" s="315">
        <v>195.32065210885273</v>
      </c>
      <c r="J1262" s="315">
        <v>6.3461376038175116E-3</v>
      </c>
      <c r="K1262" s="316" t="str">
        <f t="shared" si="38"/>
        <v>Industrial Equipment</v>
      </c>
      <c r="L1262" s="316" t="str">
        <f t="shared" si="39"/>
        <v>Diesel</v>
      </c>
      <c r="M1262" s="194"/>
      <c r="N1262" s="317"/>
      <c r="O1262" s="317"/>
      <c r="P1262" s="317"/>
      <c r="Q1262" s="317"/>
      <c r="R1262" s="317"/>
      <c r="S1262" s="317"/>
      <c r="T1262" s="317"/>
      <c r="U1262" s="317"/>
      <c r="V1262" s="317"/>
      <c r="W1262" s="317"/>
      <c r="X1262" s="317"/>
      <c r="Y1262" s="317"/>
      <c r="Z1262" s="317"/>
    </row>
    <row r="1263" spans="1:26" x14ac:dyDescent="0.25">
      <c r="A1263" s="314"/>
      <c r="B1263" s="18">
        <v>2023</v>
      </c>
      <c r="C1263" s="18" t="s">
        <v>759</v>
      </c>
      <c r="D1263" s="18" t="s">
        <v>725</v>
      </c>
      <c r="E1263" s="18" t="s">
        <v>713</v>
      </c>
      <c r="F1263" s="18" t="s">
        <v>714</v>
      </c>
      <c r="G1263" s="18" t="s">
        <v>674</v>
      </c>
      <c r="H1263" s="18" t="s">
        <v>726</v>
      </c>
      <c r="I1263" s="315">
        <v>195.17505772859451</v>
      </c>
      <c r="J1263" s="315">
        <v>1.0919748609178707E-3</v>
      </c>
      <c r="K1263" s="316" t="str">
        <f t="shared" si="38"/>
        <v>Construction and Mining Equipment</v>
      </c>
      <c r="L1263" s="316" t="str">
        <f t="shared" si="39"/>
        <v>Diesel</v>
      </c>
      <c r="M1263" s="194"/>
      <c r="N1263" s="317"/>
      <c r="O1263" s="317"/>
      <c r="P1263" s="317"/>
      <c r="Q1263" s="317"/>
      <c r="R1263" s="317"/>
      <c r="S1263" s="317"/>
      <c r="T1263" s="317"/>
      <c r="U1263" s="317"/>
      <c r="V1263" s="317"/>
      <c r="W1263" s="317"/>
      <c r="X1263" s="317"/>
      <c r="Y1263" s="317"/>
      <c r="Z1263" s="317"/>
    </row>
    <row r="1264" spans="1:26" x14ac:dyDescent="0.25">
      <c r="A1264" s="314"/>
      <c r="B1264" s="18">
        <v>2023</v>
      </c>
      <c r="C1264" s="18" t="s">
        <v>786</v>
      </c>
      <c r="D1264" s="18" t="s">
        <v>771</v>
      </c>
      <c r="E1264" s="18" t="s">
        <v>713</v>
      </c>
      <c r="F1264" s="18" t="s">
        <v>714</v>
      </c>
      <c r="G1264" s="18" t="s">
        <v>675</v>
      </c>
      <c r="H1264" s="18" t="s">
        <v>772</v>
      </c>
      <c r="I1264" s="315">
        <v>194.92009863393426</v>
      </c>
      <c r="J1264" s="315">
        <v>4.3367727508154645E-4</v>
      </c>
      <c r="K1264" s="316" t="str">
        <f t="shared" si="38"/>
        <v>Industrial Equipment</v>
      </c>
      <c r="L1264" s="316" t="str">
        <f t="shared" si="39"/>
        <v>Diesel</v>
      </c>
      <c r="M1264" s="194"/>
      <c r="N1264" s="317"/>
      <c r="O1264" s="317"/>
      <c r="P1264" s="317"/>
      <c r="Q1264" s="317"/>
      <c r="R1264" s="317"/>
      <c r="S1264" s="317"/>
      <c r="T1264" s="317"/>
      <c r="U1264" s="317"/>
      <c r="V1264" s="317"/>
      <c r="W1264" s="317"/>
      <c r="X1264" s="317"/>
      <c r="Y1264" s="317"/>
      <c r="Z1264" s="317"/>
    </row>
    <row r="1265" spans="1:26" x14ac:dyDescent="0.25">
      <c r="A1265" s="314"/>
      <c r="B1265" s="18">
        <v>2023</v>
      </c>
      <c r="C1265" s="18" t="s">
        <v>792</v>
      </c>
      <c r="D1265" s="18" t="s">
        <v>982</v>
      </c>
      <c r="E1265" s="18" t="s">
        <v>703</v>
      </c>
      <c r="F1265" s="18" t="s">
        <v>805</v>
      </c>
      <c r="G1265" s="18" t="s">
        <v>679</v>
      </c>
      <c r="H1265" s="18" t="s">
        <v>983</v>
      </c>
      <c r="I1265" s="315">
        <v>194.74385118074187</v>
      </c>
      <c r="J1265" s="315">
        <v>0.59759932171095298</v>
      </c>
      <c r="K1265" s="316" t="str">
        <f t="shared" si="38"/>
        <v>Recreational Equipment</v>
      </c>
      <c r="L1265" s="316" t="str">
        <f t="shared" si="39"/>
        <v>Gasoline</v>
      </c>
      <c r="M1265" s="194"/>
      <c r="N1265" s="317"/>
      <c r="O1265" s="317"/>
      <c r="P1265" s="317"/>
      <c r="Q1265" s="317"/>
      <c r="R1265" s="317"/>
      <c r="S1265" s="317"/>
      <c r="T1265" s="317"/>
      <c r="U1265" s="317"/>
      <c r="V1265" s="317"/>
      <c r="W1265" s="317"/>
      <c r="X1265" s="317"/>
      <c r="Y1265" s="317"/>
      <c r="Z1265" s="317"/>
    </row>
    <row r="1266" spans="1:26" x14ac:dyDescent="0.25">
      <c r="A1266" s="314"/>
      <c r="B1266" s="18">
        <v>2023</v>
      </c>
      <c r="C1266" s="18" t="s">
        <v>706</v>
      </c>
      <c r="D1266" s="18" t="s">
        <v>982</v>
      </c>
      <c r="E1266" s="18" t="s">
        <v>703</v>
      </c>
      <c r="F1266" s="18" t="s">
        <v>805</v>
      </c>
      <c r="G1266" s="18" t="s">
        <v>679</v>
      </c>
      <c r="H1266" s="18" t="s">
        <v>983</v>
      </c>
      <c r="I1266" s="315">
        <v>194.74385118074187</v>
      </c>
      <c r="J1266" s="315">
        <v>0.59759932171095298</v>
      </c>
      <c r="K1266" s="316" t="str">
        <f t="shared" si="38"/>
        <v>Recreational Equipment</v>
      </c>
      <c r="L1266" s="316" t="str">
        <f t="shared" si="39"/>
        <v>Gasoline</v>
      </c>
      <c r="M1266" s="194"/>
      <c r="N1266" s="317"/>
      <c r="O1266" s="317"/>
      <c r="P1266" s="317"/>
      <c r="Q1266" s="317"/>
      <c r="R1266" s="317"/>
      <c r="S1266" s="317"/>
      <c r="T1266" s="317"/>
      <c r="U1266" s="317"/>
      <c r="V1266" s="317"/>
      <c r="W1266" s="317"/>
      <c r="X1266" s="317"/>
      <c r="Y1266" s="317"/>
      <c r="Z1266" s="317"/>
    </row>
    <row r="1267" spans="1:26" x14ac:dyDescent="0.25">
      <c r="A1267" s="314"/>
      <c r="B1267" s="18">
        <v>2023</v>
      </c>
      <c r="C1267" s="18" t="s">
        <v>781</v>
      </c>
      <c r="D1267" s="18" t="s">
        <v>982</v>
      </c>
      <c r="E1267" s="18" t="s">
        <v>703</v>
      </c>
      <c r="F1267" s="18" t="s">
        <v>805</v>
      </c>
      <c r="G1267" s="18" t="s">
        <v>679</v>
      </c>
      <c r="H1267" s="18" t="s">
        <v>983</v>
      </c>
      <c r="I1267" s="315">
        <v>194.74385118074187</v>
      </c>
      <c r="J1267" s="315">
        <v>0.59759932171095298</v>
      </c>
      <c r="K1267" s="316" t="str">
        <f t="shared" si="38"/>
        <v>Recreational Equipment</v>
      </c>
      <c r="L1267" s="316" t="str">
        <f t="shared" si="39"/>
        <v>Gasoline</v>
      </c>
      <c r="M1267" s="194"/>
      <c r="N1267" s="317"/>
      <c r="O1267" s="317"/>
      <c r="P1267" s="317"/>
      <c r="Q1267" s="317"/>
      <c r="R1267" s="317"/>
      <c r="S1267" s="317"/>
      <c r="T1267" s="317"/>
      <c r="U1267" s="317"/>
      <c r="V1267" s="317"/>
      <c r="W1267" s="317"/>
      <c r="X1267" s="317"/>
      <c r="Y1267" s="317"/>
      <c r="Z1267" s="317"/>
    </row>
    <row r="1268" spans="1:26" x14ac:dyDescent="0.25">
      <c r="A1268" s="314"/>
      <c r="B1268" s="18">
        <v>2023</v>
      </c>
      <c r="C1268" s="18" t="s">
        <v>754</v>
      </c>
      <c r="D1268" s="18" t="s">
        <v>982</v>
      </c>
      <c r="E1268" s="18" t="s">
        <v>703</v>
      </c>
      <c r="F1268" s="18" t="s">
        <v>805</v>
      </c>
      <c r="G1268" s="18" t="s">
        <v>679</v>
      </c>
      <c r="H1268" s="18" t="s">
        <v>983</v>
      </c>
      <c r="I1268" s="315">
        <v>194.74385118074187</v>
      </c>
      <c r="J1268" s="315">
        <v>0.59759932171095298</v>
      </c>
      <c r="K1268" s="316" t="str">
        <f t="shared" si="38"/>
        <v>Recreational Equipment</v>
      </c>
      <c r="L1268" s="316" t="str">
        <f t="shared" si="39"/>
        <v>Gasoline</v>
      </c>
      <c r="M1268" s="194"/>
      <c r="N1268" s="317"/>
      <c r="O1268" s="317"/>
      <c r="P1268" s="317"/>
      <c r="Q1268" s="317"/>
      <c r="R1268" s="317"/>
      <c r="S1268" s="317"/>
      <c r="T1268" s="317"/>
      <c r="U1268" s="317"/>
      <c r="V1268" s="317"/>
      <c r="W1268" s="317"/>
      <c r="X1268" s="317"/>
      <c r="Y1268" s="317"/>
      <c r="Z1268" s="317"/>
    </row>
    <row r="1269" spans="1:26" x14ac:dyDescent="0.25">
      <c r="A1269" s="314"/>
      <c r="B1269" s="18">
        <v>2023</v>
      </c>
      <c r="C1269" s="18" t="s">
        <v>778</v>
      </c>
      <c r="D1269" s="18" t="s">
        <v>982</v>
      </c>
      <c r="E1269" s="18" t="s">
        <v>703</v>
      </c>
      <c r="F1269" s="18" t="s">
        <v>805</v>
      </c>
      <c r="G1269" s="18" t="s">
        <v>679</v>
      </c>
      <c r="H1269" s="18" t="s">
        <v>983</v>
      </c>
      <c r="I1269" s="315">
        <v>194.74385118074187</v>
      </c>
      <c r="J1269" s="315">
        <v>0.59759932171095298</v>
      </c>
      <c r="K1269" s="316" t="str">
        <f t="shared" si="38"/>
        <v>Recreational Equipment</v>
      </c>
      <c r="L1269" s="316" t="str">
        <f t="shared" si="39"/>
        <v>Gasoline</v>
      </c>
      <c r="M1269" s="194"/>
      <c r="N1269" s="317"/>
      <c r="O1269" s="317"/>
      <c r="P1269" s="317"/>
      <c r="Q1269" s="317"/>
      <c r="R1269" s="317"/>
      <c r="S1269" s="317"/>
      <c r="T1269" s="317"/>
      <c r="U1269" s="317"/>
      <c r="V1269" s="317"/>
      <c r="W1269" s="317"/>
      <c r="X1269" s="317"/>
      <c r="Y1269" s="317"/>
      <c r="Z1269" s="317"/>
    </row>
    <row r="1270" spans="1:26" x14ac:dyDescent="0.25">
      <c r="A1270" s="314"/>
      <c r="B1270" s="18">
        <v>2023</v>
      </c>
      <c r="C1270" s="18" t="s">
        <v>732</v>
      </c>
      <c r="D1270" s="18" t="s">
        <v>982</v>
      </c>
      <c r="E1270" s="18" t="s">
        <v>703</v>
      </c>
      <c r="F1270" s="18" t="s">
        <v>805</v>
      </c>
      <c r="G1270" s="18" t="s">
        <v>679</v>
      </c>
      <c r="H1270" s="18" t="s">
        <v>983</v>
      </c>
      <c r="I1270" s="315">
        <v>194.74385118074187</v>
      </c>
      <c r="J1270" s="315">
        <v>0.59759932171095298</v>
      </c>
      <c r="K1270" s="316" t="str">
        <f t="shared" si="38"/>
        <v>Recreational Equipment</v>
      </c>
      <c r="L1270" s="316" t="str">
        <f t="shared" si="39"/>
        <v>Gasoline</v>
      </c>
      <c r="M1270" s="194"/>
      <c r="N1270" s="317"/>
      <c r="O1270" s="317"/>
      <c r="P1270" s="317"/>
      <c r="Q1270" s="317"/>
      <c r="R1270" s="317"/>
      <c r="S1270" s="317"/>
      <c r="T1270" s="317"/>
      <c r="U1270" s="317"/>
      <c r="V1270" s="317"/>
      <c r="W1270" s="317"/>
      <c r="X1270" s="317"/>
      <c r="Y1270" s="317"/>
      <c r="Z1270" s="317"/>
    </row>
    <row r="1271" spans="1:26" x14ac:dyDescent="0.25">
      <c r="A1271" s="314"/>
      <c r="B1271" s="18">
        <v>2023</v>
      </c>
      <c r="C1271" s="18" t="s">
        <v>810</v>
      </c>
      <c r="D1271" s="18" t="s">
        <v>982</v>
      </c>
      <c r="E1271" s="18" t="s">
        <v>703</v>
      </c>
      <c r="F1271" s="18" t="s">
        <v>805</v>
      </c>
      <c r="G1271" s="18" t="s">
        <v>679</v>
      </c>
      <c r="H1271" s="18" t="s">
        <v>983</v>
      </c>
      <c r="I1271" s="315">
        <v>194.74385118074187</v>
      </c>
      <c r="J1271" s="315">
        <v>0.59759932171095298</v>
      </c>
      <c r="K1271" s="316" t="str">
        <f t="shared" si="38"/>
        <v>Recreational Equipment</v>
      </c>
      <c r="L1271" s="316" t="str">
        <f t="shared" si="39"/>
        <v>Gasoline</v>
      </c>
      <c r="M1271" s="194"/>
      <c r="N1271" s="317"/>
      <c r="O1271" s="317"/>
      <c r="P1271" s="317"/>
      <c r="Q1271" s="317"/>
      <c r="R1271" s="317"/>
      <c r="S1271" s="317"/>
      <c r="T1271" s="317"/>
      <c r="U1271" s="317"/>
      <c r="V1271" s="317"/>
      <c r="W1271" s="317"/>
      <c r="X1271" s="317"/>
      <c r="Y1271" s="317"/>
      <c r="Z1271" s="317"/>
    </row>
    <row r="1272" spans="1:26" x14ac:dyDescent="0.25">
      <c r="A1272" s="314"/>
      <c r="B1272" s="18">
        <v>2023</v>
      </c>
      <c r="C1272" s="18" t="s">
        <v>786</v>
      </c>
      <c r="D1272" s="18" t="s">
        <v>982</v>
      </c>
      <c r="E1272" s="18" t="s">
        <v>703</v>
      </c>
      <c r="F1272" s="18" t="s">
        <v>805</v>
      </c>
      <c r="G1272" s="18" t="s">
        <v>679</v>
      </c>
      <c r="H1272" s="18" t="s">
        <v>983</v>
      </c>
      <c r="I1272" s="315">
        <v>194.74385118074187</v>
      </c>
      <c r="J1272" s="315">
        <v>0.59759932171095298</v>
      </c>
      <c r="K1272" s="316" t="str">
        <f t="shared" si="38"/>
        <v>Recreational Equipment</v>
      </c>
      <c r="L1272" s="316" t="str">
        <f t="shared" si="39"/>
        <v>Gasoline</v>
      </c>
      <c r="M1272" s="194"/>
      <c r="N1272" s="317"/>
      <c r="O1272" s="317"/>
      <c r="P1272" s="317"/>
      <c r="Q1272" s="317"/>
      <c r="R1272" s="317"/>
      <c r="S1272" s="317"/>
      <c r="T1272" s="317"/>
      <c r="U1272" s="317"/>
      <c r="V1272" s="317"/>
      <c r="W1272" s="317"/>
      <c r="X1272" s="317"/>
      <c r="Y1272" s="317"/>
      <c r="Z1272" s="317"/>
    </row>
    <row r="1273" spans="1:26" x14ac:dyDescent="0.25">
      <c r="A1273" s="314"/>
      <c r="B1273" s="18">
        <v>2023</v>
      </c>
      <c r="C1273" s="18" t="s">
        <v>709</v>
      </c>
      <c r="D1273" s="18" t="s">
        <v>982</v>
      </c>
      <c r="E1273" s="18" t="s">
        <v>703</v>
      </c>
      <c r="F1273" s="18" t="s">
        <v>805</v>
      </c>
      <c r="G1273" s="18" t="s">
        <v>679</v>
      </c>
      <c r="H1273" s="18" t="s">
        <v>983</v>
      </c>
      <c r="I1273" s="315">
        <v>194.74385118074187</v>
      </c>
      <c r="J1273" s="315">
        <v>0.59759932171095298</v>
      </c>
      <c r="K1273" s="316" t="str">
        <f t="shared" si="38"/>
        <v>Recreational Equipment</v>
      </c>
      <c r="L1273" s="316" t="str">
        <f t="shared" si="39"/>
        <v>Gasoline</v>
      </c>
      <c r="M1273" s="194"/>
      <c r="N1273" s="317"/>
      <c r="O1273" s="317"/>
      <c r="P1273" s="317"/>
      <c r="Q1273" s="317"/>
      <c r="R1273" s="317"/>
      <c r="S1273" s="317"/>
      <c r="T1273" s="317"/>
      <c r="U1273" s="317"/>
      <c r="V1273" s="317"/>
      <c r="W1273" s="317"/>
      <c r="X1273" s="317"/>
      <c r="Y1273" s="317"/>
      <c r="Z1273" s="317"/>
    </row>
    <row r="1274" spans="1:26" x14ac:dyDescent="0.25">
      <c r="A1274" s="314"/>
      <c r="B1274" s="18">
        <v>2023</v>
      </c>
      <c r="C1274" s="18" t="s">
        <v>743</v>
      </c>
      <c r="D1274" s="18" t="s">
        <v>982</v>
      </c>
      <c r="E1274" s="18" t="s">
        <v>703</v>
      </c>
      <c r="F1274" s="18" t="s">
        <v>805</v>
      </c>
      <c r="G1274" s="18" t="s">
        <v>679</v>
      </c>
      <c r="H1274" s="18" t="s">
        <v>983</v>
      </c>
      <c r="I1274" s="315">
        <v>194.74385118074187</v>
      </c>
      <c r="J1274" s="315">
        <v>0.59759932171095298</v>
      </c>
      <c r="K1274" s="316" t="str">
        <f t="shared" si="38"/>
        <v>Recreational Equipment</v>
      </c>
      <c r="L1274" s="316" t="str">
        <f t="shared" si="39"/>
        <v>Gasoline</v>
      </c>
      <c r="M1274" s="194"/>
      <c r="N1274" s="317"/>
      <c r="O1274" s="317"/>
      <c r="P1274" s="317"/>
      <c r="Q1274" s="317"/>
      <c r="R1274" s="317"/>
      <c r="S1274" s="317"/>
      <c r="T1274" s="317"/>
      <c r="U1274" s="317"/>
      <c r="V1274" s="317"/>
      <c r="W1274" s="317"/>
      <c r="X1274" s="317"/>
      <c r="Y1274" s="317"/>
      <c r="Z1274" s="317"/>
    </row>
    <row r="1275" spans="1:26" x14ac:dyDescent="0.25">
      <c r="A1275" s="314"/>
      <c r="B1275" s="18">
        <v>2023</v>
      </c>
      <c r="C1275" s="18" t="s">
        <v>773</v>
      </c>
      <c r="D1275" s="18" t="s">
        <v>982</v>
      </c>
      <c r="E1275" s="18" t="s">
        <v>703</v>
      </c>
      <c r="F1275" s="18" t="s">
        <v>805</v>
      </c>
      <c r="G1275" s="18" t="s">
        <v>679</v>
      </c>
      <c r="H1275" s="18" t="s">
        <v>983</v>
      </c>
      <c r="I1275" s="315">
        <v>194.74385118074187</v>
      </c>
      <c r="J1275" s="315">
        <v>0.59759932171095298</v>
      </c>
      <c r="K1275" s="316" t="str">
        <f t="shared" si="38"/>
        <v>Recreational Equipment</v>
      </c>
      <c r="L1275" s="316" t="str">
        <f t="shared" si="39"/>
        <v>Gasoline</v>
      </c>
      <c r="M1275" s="194"/>
      <c r="N1275" s="317"/>
      <c r="O1275" s="317"/>
      <c r="P1275" s="317"/>
      <c r="Q1275" s="317"/>
      <c r="R1275" s="317"/>
      <c r="S1275" s="317"/>
      <c r="T1275" s="317"/>
      <c r="U1275" s="317"/>
      <c r="V1275" s="317"/>
      <c r="W1275" s="317"/>
      <c r="X1275" s="317"/>
      <c r="Y1275" s="317"/>
      <c r="Z1275" s="317"/>
    </row>
    <row r="1276" spans="1:26" x14ac:dyDescent="0.25">
      <c r="A1276" s="314"/>
      <c r="B1276" s="18">
        <v>2023</v>
      </c>
      <c r="C1276" s="18" t="s">
        <v>810</v>
      </c>
      <c r="D1276" s="18" t="s">
        <v>803</v>
      </c>
      <c r="E1276" s="18" t="s">
        <v>703</v>
      </c>
      <c r="F1276" s="18" t="s">
        <v>805</v>
      </c>
      <c r="G1276" s="18" t="s">
        <v>673</v>
      </c>
      <c r="H1276" s="18" t="s">
        <v>806</v>
      </c>
      <c r="I1276" s="315">
        <v>194.6548954157893</v>
      </c>
      <c r="J1276" s="315">
        <v>0.38526476470401161</v>
      </c>
      <c r="K1276" s="316" t="str">
        <f t="shared" si="38"/>
        <v>Lawn and Garden Equipment</v>
      </c>
      <c r="L1276" s="316" t="str">
        <f t="shared" si="39"/>
        <v>Gasoline</v>
      </c>
      <c r="M1276" s="194"/>
      <c r="N1276" s="317"/>
      <c r="O1276" s="317"/>
      <c r="P1276" s="317"/>
      <c r="Q1276" s="317"/>
      <c r="R1276" s="317"/>
      <c r="S1276" s="317"/>
      <c r="T1276" s="317"/>
      <c r="U1276" s="317"/>
      <c r="V1276" s="317"/>
      <c r="W1276" s="317"/>
      <c r="X1276" s="317"/>
      <c r="Y1276" s="317"/>
      <c r="Z1276" s="317"/>
    </row>
    <row r="1277" spans="1:26" x14ac:dyDescent="0.25">
      <c r="A1277" s="314"/>
      <c r="B1277" s="18">
        <v>2023</v>
      </c>
      <c r="C1277" s="18" t="s">
        <v>759</v>
      </c>
      <c r="D1277" s="18" t="s">
        <v>803</v>
      </c>
      <c r="E1277" s="18" t="s">
        <v>703</v>
      </c>
      <c r="F1277" s="18" t="s">
        <v>805</v>
      </c>
      <c r="G1277" s="18" t="s">
        <v>673</v>
      </c>
      <c r="H1277" s="18" t="s">
        <v>806</v>
      </c>
      <c r="I1277" s="315">
        <v>194.6548954157893</v>
      </c>
      <c r="J1277" s="315">
        <v>0.38526476470401161</v>
      </c>
      <c r="K1277" s="316" t="str">
        <f t="shared" si="38"/>
        <v>Lawn and Garden Equipment</v>
      </c>
      <c r="L1277" s="316" t="str">
        <f t="shared" si="39"/>
        <v>Gasoline</v>
      </c>
      <c r="M1277" s="194"/>
      <c r="N1277" s="317"/>
      <c r="O1277" s="317"/>
      <c r="P1277" s="317"/>
      <c r="Q1277" s="317"/>
      <c r="R1277" s="317"/>
      <c r="S1277" s="317"/>
      <c r="T1277" s="317"/>
      <c r="U1277" s="317"/>
      <c r="V1277" s="317"/>
      <c r="W1277" s="317"/>
      <c r="X1277" s="317"/>
      <c r="Y1277" s="317"/>
      <c r="Z1277" s="317"/>
    </row>
    <row r="1278" spans="1:26" x14ac:dyDescent="0.25">
      <c r="A1278" s="314"/>
      <c r="B1278" s="18">
        <v>2023</v>
      </c>
      <c r="C1278" s="18" t="s">
        <v>727</v>
      </c>
      <c r="D1278" s="18" t="s">
        <v>803</v>
      </c>
      <c r="E1278" s="18" t="s">
        <v>703</v>
      </c>
      <c r="F1278" s="18" t="s">
        <v>805</v>
      </c>
      <c r="G1278" s="18" t="s">
        <v>673</v>
      </c>
      <c r="H1278" s="18" t="s">
        <v>806</v>
      </c>
      <c r="I1278" s="315">
        <v>194.6548954157893</v>
      </c>
      <c r="J1278" s="315">
        <v>0.38526476470401161</v>
      </c>
      <c r="K1278" s="316" t="str">
        <f t="shared" si="38"/>
        <v>Lawn and Garden Equipment</v>
      </c>
      <c r="L1278" s="316" t="str">
        <f t="shared" si="39"/>
        <v>Gasoline</v>
      </c>
      <c r="M1278" s="194"/>
      <c r="N1278" s="317"/>
      <c r="O1278" s="317"/>
      <c r="P1278" s="317"/>
      <c r="Q1278" s="317"/>
      <c r="R1278" s="317"/>
      <c r="S1278" s="317"/>
      <c r="T1278" s="317"/>
      <c r="U1278" s="317"/>
      <c r="V1278" s="317"/>
      <c r="W1278" s="317"/>
      <c r="X1278" s="317"/>
      <c r="Y1278" s="317"/>
      <c r="Z1278" s="317"/>
    </row>
    <row r="1279" spans="1:26" x14ac:dyDescent="0.25">
      <c r="A1279" s="314"/>
      <c r="B1279" s="18">
        <v>2023</v>
      </c>
      <c r="C1279" s="18" t="s">
        <v>710</v>
      </c>
      <c r="D1279" s="18" t="s">
        <v>1016</v>
      </c>
      <c r="E1279" s="18" t="s">
        <v>56</v>
      </c>
      <c r="F1279" s="18" t="s">
        <v>672</v>
      </c>
      <c r="G1279" s="18" t="s">
        <v>675</v>
      </c>
      <c r="H1279" s="18" t="s">
        <v>802</v>
      </c>
      <c r="I1279" s="315">
        <v>194.43475427066818</v>
      </c>
      <c r="J1279" s="315">
        <v>8.9202407030598979E-3</v>
      </c>
      <c r="K1279" s="316" t="str">
        <f t="shared" si="38"/>
        <v>Industrial Equipment</v>
      </c>
      <c r="L1279" s="316" t="str">
        <f t="shared" si="39"/>
        <v>LPG</v>
      </c>
      <c r="M1279" s="194"/>
      <c r="N1279" s="317"/>
      <c r="O1279" s="317"/>
      <c r="P1279" s="317"/>
      <c r="Q1279" s="317"/>
      <c r="R1279" s="317"/>
      <c r="S1279" s="317"/>
      <c r="T1279" s="317"/>
      <c r="U1279" s="317"/>
      <c r="V1279" s="317"/>
      <c r="W1279" s="317"/>
      <c r="X1279" s="317"/>
      <c r="Y1279" s="317"/>
      <c r="Z1279" s="317"/>
    </row>
    <row r="1280" spans="1:26" x14ac:dyDescent="0.25">
      <c r="A1280" s="314"/>
      <c r="B1280" s="18">
        <v>2023</v>
      </c>
      <c r="C1280" s="18" t="s">
        <v>781</v>
      </c>
      <c r="D1280" s="18" t="s">
        <v>735</v>
      </c>
      <c r="E1280" s="18" t="s">
        <v>713</v>
      </c>
      <c r="F1280" s="18" t="s">
        <v>714</v>
      </c>
      <c r="G1280" s="18" t="s">
        <v>674</v>
      </c>
      <c r="H1280" s="18" t="s">
        <v>736</v>
      </c>
      <c r="I1280" s="315">
        <v>194.13165503643722</v>
      </c>
      <c r="J1280" s="315">
        <v>5.8065937056031294E-3</v>
      </c>
      <c r="K1280" s="316" t="str">
        <f t="shared" si="38"/>
        <v>Construction and Mining Equipment</v>
      </c>
      <c r="L1280" s="316" t="str">
        <f t="shared" si="39"/>
        <v>Diesel</v>
      </c>
      <c r="M1280" s="194"/>
      <c r="N1280" s="317"/>
      <c r="O1280" s="317"/>
      <c r="P1280" s="317"/>
      <c r="Q1280" s="317"/>
      <c r="R1280" s="317"/>
      <c r="S1280" s="317"/>
      <c r="T1280" s="317"/>
      <c r="U1280" s="317"/>
      <c r="V1280" s="317"/>
      <c r="W1280" s="317"/>
      <c r="X1280" s="317"/>
      <c r="Y1280" s="317"/>
      <c r="Z1280" s="317"/>
    </row>
    <row r="1281" spans="1:26" x14ac:dyDescent="0.25">
      <c r="A1281" s="314"/>
      <c r="B1281" s="18">
        <v>2023</v>
      </c>
      <c r="C1281" s="18" t="s">
        <v>706</v>
      </c>
      <c r="D1281" s="18" t="s">
        <v>1051</v>
      </c>
      <c r="E1281" s="18" t="s">
        <v>703</v>
      </c>
      <c r="F1281" s="18" t="s">
        <v>704</v>
      </c>
      <c r="G1281" s="18" t="s">
        <v>674</v>
      </c>
      <c r="H1281" s="18" t="s">
        <v>783</v>
      </c>
      <c r="I1281" s="315">
        <v>194.04426710264107</v>
      </c>
      <c r="J1281" s="315">
        <v>0.11840456787601286</v>
      </c>
      <c r="K1281" s="316" t="str">
        <f t="shared" si="38"/>
        <v>Construction and Mining Equipment</v>
      </c>
      <c r="L1281" s="316" t="str">
        <f t="shared" si="39"/>
        <v>Gasoline</v>
      </c>
      <c r="M1281" s="194"/>
      <c r="N1281" s="317"/>
      <c r="O1281" s="317"/>
      <c r="P1281" s="317"/>
      <c r="Q1281" s="317"/>
      <c r="R1281" s="317"/>
      <c r="S1281" s="317"/>
      <c r="T1281" s="317"/>
      <c r="U1281" s="317"/>
      <c r="V1281" s="317"/>
      <c r="W1281" s="317"/>
      <c r="X1281" s="317"/>
      <c r="Y1281" s="317"/>
      <c r="Z1281" s="317"/>
    </row>
    <row r="1282" spans="1:26" x14ac:dyDescent="0.25">
      <c r="A1282" s="314"/>
      <c r="B1282" s="18">
        <v>2023</v>
      </c>
      <c r="C1282" s="18" t="s">
        <v>731</v>
      </c>
      <c r="D1282" s="18" t="s">
        <v>803</v>
      </c>
      <c r="E1282" s="18" t="s">
        <v>703</v>
      </c>
      <c r="F1282" s="18" t="s">
        <v>805</v>
      </c>
      <c r="G1282" s="18" t="s">
        <v>673</v>
      </c>
      <c r="H1282" s="18" t="s">
        <v>806</v>
      </c>
      <c r="I1282" s="315">
        <v>193.44586486871461</v>
      </c>
      <c r="J1282" s="315">
        <v>0.38287282493311631</v>
      </c>
      <c r="K1282" s="316" t="str">
        <f t="shared" si="38"/>
        <v>Lawn and Garden Equipment</v>
      </c>
      <c r="L1282" s="316" t="str">
        <f t="shared" si="39"/>
        <v>Gasoline</v>
      </c>
      <c r="M1282" s="194"/>
      <c r="N1282" s="317"/>
      <c r="O1282" s="317"/>
      <c r="P1282" s="317"/>
      <c r="Q1282" s="317"/>
      <c r="R1282" s="317"/>
      <c r="S1282" s="317"/>
      <c r="T1282" s="317"/>
      <c r="U1282" s="317"/>
      <c r="V1282" s="317"/>
      <c r="W1282" s="317"/>
      <c r="X1282" s="317"/>
      <c r="Y1282" s="317"/>
      <c r="Z1282" s="317"/>
    </row>
    <row r="1283" spans="1:26" x14ac:dyDescent="0.25">
      <c r="A1283" s="314"/>
      <c r="B1283" s="18">
        <v>2023</v>
      </c>
      <c r="C1283" s="18" t="s">
        <v>722</v>
      </c>
      <c r="D1283" s="18" t="s">
        <v>1003</v>
      </c>
      <c r="E1283" s="18" t="s">
        <v>703</v>
      </c>
      <c r="F1283" s="18" t="s">
        <v>805</v>
      </c>
      <c r="G1283" s="18" t="s">
        <v>677</v>
      </c>
      <c r="H1283" s="18" t="s">
        <v>841</v>
      </c>
      <c r="I1283" s="315">
        <v>193.00425842701014</v>
      </c>
      <c r="J1283" s="315">
        <v>0.3718876055412787</v>
      </c>
      <c r="K1283" s="316" t="str">
        <f t="shared" si="38"/>
        <v>Commercial Equipment</v>
      </c>
      <c r="L1283" s="316" t="str">
        <f t="shared" si="39"/>
        <v>Gasoline</v>
      </c>
      <c r="M1283" s="194"/>
      <c r="N1283" s="317"/>
      <c r="O1283" s="317"/>
      <c r="P1283" s="317"/>
      <c r="Q1283" s="317"/>
      <c r="R1283" s="317"/>
      <c r="S1283" s="317"/>
      <c r="T1283" s="317"/>
      <c r="U1283" s="317"/>
      <c r="V1283" s="317"/>
      <c r="W1283" s="317"/>
      <c r="X1283" s="317"/>
      <c r="Y1283" s="317"/>
      <c r="Z1283" s="317"/>
    </row>
    <row r="1284" spans="1:26" x14ac:dyDescent="0.25">
      <c r="A1284" s="314"/>
      <c r="B1284" s="18">
        <v>2023</v>
      </c>
      <c r="C1284" s="18" t="s">
        <v>762</v>
      </c>
      <c r="D1284" s="18" t="s">
        <v>771</v>
      </c>
      <c r="E1284" s="18" t="s">
        <v>713</v>
      </c>
      <c r="F1284" s="18" t="s">
        <v>714</v>
      </c>
      <c r="G1284" s="18" t="s">
        <v>675</v>
      </c>
      <c r="H1284" s="18" t="s">
        <v>772</v>
      </c>
      <c r="I1284" s="315">
        <v>192.58488188414634</v>
      </c>
      <c r="J1284" s="315">
        <v>4.2848170848425171E-4</v>
      </c>
      <c r="K1284" s="316" t="str">
        <f t="shared" si="38"/>
        <v>Industrial Equipment</v>
      </c>
      <c r="L1284" s="316" t="str">
        <f t="shared" si="39"/>
        <v>Diesel</v>
      </c>
      <c r="M1284" s="194"/>
      <c r="N1284" s="317"/>
      <c r="O1284" s="317"/>
      <c r="P1284" s="317"/>
      <c r="Q1284" s="317"/>
      <c r="R1284" s="317"/>
      <c r="S1284" s="317"/>
      <c r="T1284" s="317"/>
      <c r="U1284" s="317"/>
      <c r="V1284" s="317"/>
      <c r="W1284" s="317"/>
      <c r="X1284" s="317"/>
      <c r="Y1284" s="317"/>
      <c r="Z1284" s="317"/>
    </row>
    <row r="1285" spans="1:26" x14ac:dyDescent="0.25">
      <c r="A1285" s="314"/>
      <c r="B1285" s="18">
        <v>2023</v>
      </c>
      <c r="C1285" s="18" t="s">
        <v>732</v>
      </c>
      <c r="D1285" s="18" t="s">
        <v>979</v>
      </c>
      <c r="E1285" s="18" t="s">
        <v>703</v>
      </c>
      <c r="F1285" s="18" t="s">
        <v>704</v>
      </c>
      <c r="G1285" s="18" t="s">
        <v>675</v>
      </c>
      <c r="H1285" s="18" t="s">
        <v>802</v>
      </c>
      <c r="I1285" s="315">
        <v>191.65258445595103</v>
      </c>
      <c r="J1285" s="315">
        <v>6.9284069223885095E-2</v>
      </c>
      <c r="K1285" s="316" t="str">
        <f t="shared" si="38"/>
        <v>Industrial Equipment</v>
      </c>
      <c r="L1285" s="316" t="str">
        <f t="shared" si="39"/>
        <v>Gasoline</v>
      </c>
      <c r="M1285" s="194"/>
      <c r="N1285" s="317"/>
      <c r="O1285" s="317"/>
      <c r="P1285" s="317"/>
      <c r="Q1285" s="317"/>
      <c r="R1285" s="317"/>
      <c r="S1285" s="317"/>
      <c r="T1285" s="317"/>
      <c r="U1285" s="317"/>
      <c r="V1285" s="317"/>
      <c r="W1285" s="317"/>
      <c r="X1285" s="317"/>
      <c r="Y1285" s="317"/>
      <c r="Z1285" s="317"/>
    </row>
    <row r="1286" spans="1:26" x14ac:dyDescent="0.25">
      <c r="A1286" s="314"/>
      <c r="B1286" s="18">
        <v>2023</v>
      </c>
      <c r="C1286" s="18" t="s">
        <v>762</v>
      </c>
      <c r="D1286" s="18" t="s">
        <v>846</v>
      </c>
      <c r="E1286" s="18" t="s">
        <v>713</v>
      </c>
      <c r="F1286" s="18" t="s">
        <v>714</v>
      </c>
      <c r="G1286" s="18" t="s">
        <v>677</v>
      </c>
      <c r="H1286" s="18" t="s">
        <v>836</v>
      </c>
      <c r="I1286" s="315">
        <v>191.45602030298704</v>
      </c>
      <c r="J1286" s="315">
        <v>7.403344947109803E-3</v>
      </c>
      <c r="K1286" s="316" t="str">
        <f t="shared" si="38"/>
        <v>Commercial Equipment</v>
      </c>
      <c r="L1286" s="316" t="str">
        <f t="shared" si="39"/>
        <v>Diesel</v>
      </c>
      <c r="M1286" s="194"/>
      <c r="N1286" s="317"/>
      <c r="O1286" s="317"/>
      <c r="P1286" s="317"/>
      <c r="Q1286" s="317"/>
      <c r="R1286" s="317"/>
      <c r="S1286" s="317"/>
      <c r="T1286" s="317"/>
      <c r="U1286" s="317"/>
      <c r="V1286" s="317"/>
      <c r="W1286" s="317"/>
      <c r="X1286" s="317"/>
      <c r="Y1286" s="317"/>
      <c r="Z1286" s="317"/>
    </row>
    <row r="1287" spans="1:26" x14ac:dyDescent="0.25">
      <c r="A1287" s="314"/>
      <c r="B1287" s="18">
        <v>2023</v>
      </c>
      <c r="C1287" s="18" t="s">
        <v>710</v>
      </c>
      <c r="D1287" s="18" t="s">
        <v>1011</v>
      </c>
      <c r="E1287" s="18" t="s">
        <v>56</v>
      </c>
      <c r="F1287" s="18" t="s">
        <v>672</v>
      </c>
      <c r="G1287" s="18" t="s">
        <v>677</v>
      </c>
      <c r="H1287" s="18" t="s">
        <v>836</v>
      </c>
      <c r="I1287" s="315">
        <v>191.14253509158453</v>
      </c>
      <c r="J1287" s="315">
        <v>1.0154888115972151E-2</v>
      </c>
      <c r="K1287" s="316" t="str">
        <f t="shared" si="38"/>
        <v>Commercial Equipment</v>
      </c>
      <c r="L1287" s="316" t="str">
        <f t="shared" si="39"/>
        <v>LPG</v>
      </c>
      <c r="M1287" s="194"/>
      <c r="N1287" s="317"/>
      <c r="O1287" s="317"/>
      <c r="P1287" s="317"/>
      <c r="Q1287" s="317"/>
      <c r="R1287" s="317"/>
      <c r="S1287" s="317"/>
      <c r="T1287" s="317"/>
      <c r="U1287" s="317"/>
      <c r="V1287" s="317"/>
      <c r="W1287" s="317"/>
      <c r="X1287" s="317"/>
      <c r="Y1287" s="317"/>
      <c r="Z1287" s="317"/>
    </row>
    <row r="1288" spans="1:26" x14ac:dyDescent="0.25">
      <c r="A1288" s="314"/>
      <c r="B1288" s="18">
        <v>2023</v>
      </c>
      <c r="C1288" s="18" t="s">
        <v>753</v>
      </c>
      <c r="D1288" s="18" t="s">
        <v>803</v>
      </c>
      <c r="E1288" s="18" t="s">
        <v>703</v>
      </c>
      <c r="F1288" s="18" t="s">
        <v>805</v>
      </c>
      <c r="G1288" s="18" t="s">
        <v>673</v>
      </c>
      <c r="H1288" s="18" t="s">
        <v>806</v>
      </c>
      <c r="I1288" s="315">
        <v>191.02784767755787</v>
      </c>
      <c r="J1288" s="315">
        <v>0.37808672312459118</v>
      </c>
      <c r="K1288" s="316" t="str">
        <f t="shared" si="38"/>
        <v>Lawn and Garden Equipment</v>
      </c>
      <c r="L1288" s="316" t="str">
        <f t="shared" si="39"/>
        <v>Gasoline</v>
      </c>
      <c r="M1288" s="194"/>
      <c r="N1288" s="317"/>
      <c r="O1288" s="317"/>
      <c r="P1288" s="317"/>
      <c r="Q1288" s="317"/>
      <c r="R1288" s="317"/>
      <c r="S1288" s="317"/>
      <c r="T1288" s="317"/>
      <c r="U1288" s="317"/>
      <c r="V1288" s="317"/>
      <c r="W1288" s="317"/>
      <c r="X1288" s="317"/>
      <c r="Y1288" s="317"/>
      <c r="Z1288" s="317"/>
    </row>
    <row r="1289" spans="1:26" x14ac:dyDescent="0.25">
      <c r="A1289" s="314"/>
      <c r="B1289" s="18">
        <v>2023</v>
      </c>
      <c r="C1289" s="18" t="s">
        <v>793</v>
      </c>
      <c r="D1289" s="18" t="s">
        <v>853</v>
      </c>
      <c r="E1289" s="18" t="s">
        <v>703</v>
      </c>
      <c r="F1289" s="18" t="s">
        <v>795</v>
      </c>
      <c r="G1289" s="18" t="s">
        <v>679</v>
      </c>
      <c r="H1289" s="18" t="s">
        <v>854</v>
      </c>
      <c r="I1289" s="315">
        <v>190.41263855474466</v>
      </c>
      <c r="J1289" s="315">
        <v>0.14294473454777554</v>
      </c>
      <c r="K1289" s="316" t="str">
        <f t="shared" si="38"/>
        <v>Recreational Equipment</v>
      </c>
      <c r="L1289" s="316" t="str">
        <f t="shared" si="39"/>
        <v>Gasoline</v>
      </c>
      <c r="M1289" s="194"/>
      <c r="N1289" s="317"/>
      <c r="O1289" s="317"/>
      <c r="P1289" s="317"/>
      <c r="Q1289" s="317"/>
      <c r="R1289" s="317"/>
      <c r="S1289" s="317"/>
      <c r="T1289" s="317"/>
      <c r="U1289" s="317"/>
      <c r="V1289" s="317"/>
      <c r="W1289" s="317"/>
      <c r="X1289" s="317"/>
      <c r="Y1289" s="317"/>
      <c r="Z1289" s="317"/>
    </row>
    <row r="1290" spans="1:26" x14ac:dyDescent="0.25">
      <c r="A1290" s="314"/>
      <c r="B1290" s="18">
        <v>2023</v>
      </c>
      <c r="C1290" s="18" t="s">
        <v>781</v>
      </c>
      <c r="D1290" s="18" t="s">
        <v>853</v>
      </c>
      <c r="E1290" s="18" t="s">
        <v>703</v>
      </c>
      <c r="F1290" s="18" t="s">
        <v>795</v>
      </c>
      <c r="G1290" s="18" t="s">
        <v>679</v>
      </c>
      <c r="H1290" s="18" t="s">
        <v>854</v>
      </c>
      <c r="I1290" s="315">
        <v>190.41263855474466</v>
      </c>
      <c r="J1290" s="315">
        <v>0.14300223909925963</v>
      </c>
      <c r="K1290" s="316" t="str">
        <f t="shared" si="38"/>
        <v>Recreational Equipment</v>
      </c>
      <c r="L1290" s="316" t="str">
        <f t="shared" si="39"/>
        <v>Gasoline</v>
      </c>
      <c r="M1290" s="194"/>
      <c r="N1290" s="317"/>
      <c r="O1290" s="317"/>
      <c r="P1290" s="317"/>
      <c r="Q1290" s="317"/>
      <c r="R1290" s="317"/>
      <c r="S1290" s="317"/>
      <c r="T1290" s="317"/>
      <c r="U1290" s="317"/>
      <c r="V1290" s="317"/>
      <c r="W1290" s="317"/>
      <c r="X1290" s="317"/>
      <c r="Y1290" s="317"/>
      <c r="Z1290" s="317"/>
    </row>
    <row r="1291" spans="1:26" x14ac:dyDescent="0.25">
      <c r="A1291" s="314"/>
      <c r="B1291" s="18">
        <v>2023</v>
      </c>
      <c r="C1291" s="18" t="s">
        <v>731</v>
      </c>
      <c r="D1291" s="18" t="s">
        <v>853</v>
      </c>
      <c r="E1291" s="18" t="s">
        <v>703</v>
      </c>
      <c r="F1291" s="18" t="s">
        <v>795</v>
      </c>
      <c r="G1291" s="18" t="s">
        <v>679</v>
      </c>
      <c r="H1291" s="18" t="s">
        <v>854</v>
      </c>
      <c r="I1291" s="315">
        <v>190.41263855474466</v>
      </c>
      <c r="J1291" s="315">
        <v>0.14287676357259652</v>
      </c>
      <c r="K1291" s="316" t="str">
        <f t="shared" si="38"/>
        <v>Recreational Equipment</v>
      </c>
      <c r="L1291" s="316" t="str">
        <f t="shared" si="39"/>
        <v>Gasoline</v>
      </c>
      <c r="M1291" s="194"/>
      <c r="N1291" s="317"/>
      <c r="O1291" s="317"/>
      <c r="P1291" s="317"/>
      <c r="Q1291" s="317"/>
      <c r="R1291" s="317"/>
      <c r="S1291" s="317"/>
      <c r="T1291" s="317"/>
      <c r="U1291" s="317"/>
      <c r="V1291" s="317"/>
      <c r="W1291" s="317"/>
      <c r="X1291" s="317"/>
      <c r="Y1291" s="317"/>
      <c r="Z1291" s="317"/>
    </row>
    <row r="1292" spans="1:26" x14ac:dyDescent="0.25">
      <c r="A1292" s="314"/>
      <c r="B1292" s="18">
        <v>2023</v>
      </c>
      <c r="C1292" s="18" t="s">
        <v>762</v>
      </c>
      <c r="D1292" s="18" t="s">
        <v>853</v>
      </c>
      <c r="E1292" s="18" t="s">
        <v>703</v>
      </c>
      <c r="F1292" s="18" t="s">
        <v>795</v>
      </c>
      <c r="G1292" s="18" t="s">
        <v>679</v>
      </c>
      <c r="H1292" s="18" t="s">
        <v>854</v>
      </c>
      <c r="I1292" s="315">
        <v>190.41263855474466</v>
      </c>
      <c r="J1292" s="315">
        <v>0.14307220998162221</v>
      </c>
      <c r="K1292" s="316" t="str">
        <f t="shared" si="38"/>
        <v>Recreational Equipment</v>
      </c>
      <c r="L1292" s="316" t="str">
        <f t="shared" si="39"/>
        <v>Gasoline</v>
      </c>
      <c r="M1292" s="194"/>
      <c r="N1292" s="317"/>
      <c r="O1292" s="317"/>
      <c r="P1292" s="317"/>
      <c r="Q1292" s="317"/>
      <c r="R1292" s="317"/>
      <c r="S1292" s="317"/>
      <c r="T1292" s="317"/>
      <c r="U1292" s="317"/>
      <c r="V1292" s="317"/>
      <c r="W1292" s="317"/>
      <c r="X1292" s="317"/>
      <c r="Y1292" s="317"/>
      <c r="Z1292" s="317"/>
    </row>
    <row r="1293" spans="1:26" x14ac:dyDescent="0.25">
      <c r="A1293" s="314"/>
      <c r="B1293" s="18">
        <v>2023</v>
      </c>
      <c r="C1293" s="18" t="s">
        <v>760</v>
      </c>
      <c r="D1293" s="18" t="s">
        <v>966</v>
      </c>
      <c r="E1293" s="18" t="s">
        <v>703</v>
      </c>
      <c r="F1293" s="18" t="s">
        <v>704</v>
      </c>
      <c r="G1293" s="18" t="s">
        <v>674</v>
      </c>
      <c r="H1293" s="18" t="s">
        <v>967</v>
      </c>
      <c r="I1293" s="315">
        <v>190.13717426507861</v>
      </c>
      <c r="J1293" s="315">
        <v>0.13177844674759123</v>
      </c>
      <c r="K1293" s="316" t="str">
        <f t="shared" si="38"/>
        <v>Construction and Mining Equipment</v>
      </c>
      <c r="L1293" s="316" t="str">
        <f t="shared" si="39"/>
        <v>Gasoline</v>
      </c>
      <c r="M1293" s="194"/>
      <c r="N1293" s="317"/>
      <c r="O1293" s="317"/>
      <c r="P1293" s="317"/>
      <c r="Q1293" s="317"/>
      <c r="R1293" s="317"/>
      <c r="S1293" s="317"/>
      <c r="T1293" s="317"/>
      <c r="U1293" s="317"/>
      <c r="V1293" s="317"/>
      <c r="W1293" s="317"/>
      <c r="X1293" s="317"/>
      <c r="Y1293" s="317"/>
      <c r="Z1293" s="317"/>
    </row>
    <row r="1294" spans="1:26" x14ac:dyDescent="0.25">
      <c r="A1294" s="314"/>
      <c r="B1294" s="18">
        <v>2023</v>
      </c>
      <c r="C1294" s="18" t="s">
        <v>727</v>
      </c>
      <c r="D1294" s="18" t="s">
        <v>849</v>
      </c>
      <c r="E1294" s="18" t="s">
        <v>713</v>
      </c>
      <c r="F1294" s="18" t="s">
        <v>714</v>
      </c>
      <c r="G1294" s="18" t="s">
        <v>674</v>
      </c>
      <c r="H1294" s="18" t="s">
        <v>850</v>
      </c>
      <c r="I1294" s="315">
        <v>190.06497618114696</v>
      </c>
      <c r="J1294" s="315">
        <v>2.6553151559830855E-3</v>
      </c>
      <c r="K1294" s="316" t="str">
        <f t="shared" si="38"/>
        <v>Construction and Mining Equipment</v>
      </c>
      <c r="L1294" s="316" t="str">
        <f t="shared" si="39"/>
        <v>Diesel</v>
      </c>
      <c r="M1294" s="194"/>
      <c r="N1294" s="317"/>
      <c r="O1294" s="317"/>
      <c r="P1294" s="317"/>
      <c r="Q1294" s="317"/>
      <c r="R1294" s="317"/>
      <c r="S1294" s="317"/>
      <c r="T1294" s="317"/>
      <c r="U1294" s="317"/>
      <c r="V1294" s="317"/>
      <c r="W1294" s="317"/>
      <c r="X1294" s="317"/>
      <c r="Y1294" s="317"/>
      <c r="Z1294" s="317"/>
    </row>
    <row r="1295" spans="1:26" x14ac:dyDescent="0.25">
      <c r="A1295" s="314"/>
      <c r="B1295" s="18">
        <v>2023</v>
      </c>
      <c r="C1295" s="18" t="s">
        <v>706</v>
      </c>
      <c r="D1295" s="18" t="s">
        <v>971</v>
      </c>
      <c r="E1295" s="18" t="s">
        <v>713</v>
      </c>
      <c r="F1295" s="18" t="s">
        <v>714</v>
      </c>
      <c r="G1295" s="18" t="s">
        <v>678</v>
      </c>
      <c r="H1295" s="18" t="s">
        <v>972</v>
      </c>
      <c r="I1295" s="315">
        <v>190.04058269063938</v>
      </c>
      <c r="J1295" s="315">
        <v>1.0556145768460005E-3</v>
      </c>
      <c r="K1295" s="316" t="str">
        <f t="shared" si="38"/>
        <v>Agricultural Equipment</v>
      </c>
      <c r="L1295" s="316" t="str">
        <f t="shared" si="39"/>
        <v>Diesel</v>
      </c>
      <c r="M1295" s="194"/>
      <c r="N1295" s="317"/>
      <c r="O1295" s="317"/>
      <c r="P1295" s="317"/>
      <c r="Q1295" s="317"/>
      <c r="R1295" s="317"/>
      <c r="S1295" s="317"/>
      <c r="T1295" s="317"/>
      <c r="U1295" s="317"/>
      <c r="V1295" s="317"/>
      <c r="W1295" s="317"/>
      <c r="X1295" s="317"/>
      <c r="Y1295" s="317"/>
      <c r="Z1295" s="317"/>
    </row>
    <row r="1296" spans="1:26" x14ac:dyDescent="0.25">
      <c r="A1296" s="314"/>
      <c r="B1296" s="18">
        <v>2023</v>
      </c>
      <c r="C1296" s="18" t="s">
        <v>722</v>
      </c>
      <c r="D1296" s="18" t="s">
        <v>970</v>
      </c>
      <c r="E1296" s="18" t="s">
        <v>713</v>
      </c>
      <c r="F1296" s="18" t="s">
        <v>714</v>
      </c>
      <c r="G1296" s="18" t="s">
        <v>675</v>
      </c>
      <c r="H1296" s="18" t="s">
        <v>969</v>
      </c>
      <c r="I1296" s="315">
        <v>189.69994027897783</v>
      </c>
      <c r="J1296" s="315">
        <v>6.1635333261366105E-3</v>
      </c>
      <c r="K1296" s="316" t="str">
        <f t="shared" si="38"/>
        <v>Industrial Equipment</v>
      </c>
      <c r="L1296" s="316" t="str">
        <f t="shared" si="39"/>
        <v>Diesel</v>
      </c>
      <c r="M1296" s="194"/>
      <c r="N1296" s="317"/>
      <c r="O1296" s="317"/>
      <c r="P1296" s="317"/>
      <c r="Q1296" s="317"/>
      <c r="R1296" s="317"/>
      <c r="S1296" s="317"/>
      <c r="T1296" s="317"/>
      <c r="U1296" s="317"/>
      <c r="V1296" s="317"/>
      <c r="W1296" s="317"/>
      <c r="X1296" s="317"/>
      <c r="Y1296" s="317"/>
      <c r="Z1296" s="317"/>
    </row>
    <row r="1297" spans="1:26" x14ac:dyDescent="0.25">
      <c r="A1297" s="314"/>
      <c r="B1297" s="18">
        <v>2023</v>
      </c>
      <c r="C1297" s="18" t="s">
        <v>753</v>
      </c>
      <c r="D1297" s="18" t="s">
        <v>835</v>
      </c>
      <c r="E1297" s="18" t="s">
        <v>703</v>
      </c>
      <c r="F1297" s="18" t="s">
        <v>704</v>
      </c>
      <c r="G1297" s="18" t="s">
        <v>677</v>
      </c>
      <c r="H1297" s="18" t="s">
        <v>836</v>
      </c>
      <c r="I1297" s="315">
        <v>189.43215248528094</v>
      </c>
      <c r="J1297" s="315">
        <v>0.11743134321422283</v>
      </c>
      <c r="K1297" s="316" t="str">
        <f t="shared" si="38"/>
        <v>Commercial Equipment</v>
      </c>
      <c r="L1297" s="316" t="str">
        <f t="shared" si="39"/>
        <v>Gasoline</v>
      </c>
      <c r="M1297" s="194"/>
      <c r="N1297" s="317"/>
      <c r="O1297" s="317"/>
      <c r="P1297" s="317"/>
      <c r="Q1297" s="317"/>
      <c r="R1297" s="317"/>
      <c r="S1297" s="317"/>
      <c r="T1297" s="317"/>
      <c r="U1297" s="317"/>
      <c r="V1297" s="317"/>
      <c r="W1297" s="317"/>
      <c r="X1297" s="317"/>
      <c r="Y1297" s="317"/>
      <c r="Z1297" s="317"/>
    </row>
    <row r="1298" spans="1:26" x14ac:dyDescent="0.25">
      <c r="A1298" s="314"/>
      <c r="B1298" s="18">
        <v>2023</v>
      </c>
      <c r="C1298" s="18" t="s">
        <v>781</v>
      </c>
      <c r="D1298" s="18" t="s">
        <v>761</v>
      </c>
      <c r="E1298" s="18" t="s">
        <v>713</v>
      </c>
      <c r="F1298" s="18" t="s">
        <v>714</v>
      </c>
      <c r="G1298" s="18" t="s">
        <v>677</v>
      </c>
      <c r="H1298" s="18" t="s">
        <v>747</v>
      </c>
      <c r="I1298" s="315">
        <v>189.25280753730493</v>
      </c>
      <c r="J1298" s="315">
        <v>4.8346542556312556E-3</v>
      </c>
      <c r="K1298" s="316" t="str">
        <f t="shared" si="38"/>
        <v>Commercial Equipment</v>
      </c>
      <c r="L1298" s="316" t="str">
        <f t="shared" si="39"/>
        <v>Diesel</v>
      </c>
      <c r="M1298" s="194"/>
      <c r="N1298" s="317"/>
      <c r="O1298" s="317"/>
      <c r="P1298" s="317"/>
      <c r="Q1298" s="317"/>
      <c r="R1298" s="317"/>
      <c r="S1298" s="317"/>
      <c r="T1298" s="317"/>
      <c r="U1298" s="317"/>
      <c r="V1298" s="317"/>
      <c r="W1298" s="317"/>
      <c r="X1298" s="317"/>
      <c r="Y1298" s="317"/>
      <c r="Z1298" s="317"/>
    </row>
    <row r="1299" spans="1:26" x14ac:dyDescent="0.25">
      <c r="A1299" s="314"/>
      <c r="B1299" s="18">
        <v>2023</v>
      </c>
      <c r="C1299" s="18" t="s">
        <v>781</v>
      </c>
      <c r="D1299" s="18" t="s">
        <v>774</v>
      </c>
      <c r="E1299" s="18" t="s">
        <v>703</v>
      </c>
      <c r="F1299" s="18" t="s">
        <v>704</v>
      </c>
      <c r="G1299" s="18" t="s">
        <v>673</v>
      </c>
      <c r="H1299" s="18" t="s">
        <v>775</v>
      </c>
      <c r="I1299" s="315">
        <v>189.02510232335641</v>
      </c>
      <c r="J1299" s="315">
        <v>0.12926474861799422</v>
      </c>
      <c r="K1299" s="316" t="str">
        <f t="shared" si="38"/>
        <v>Lawn and Garden Equipment</v>
      </c>
      <c r="L1299" s="316" t="str">
        <f t="shared" si="39"/>
        <v>Gasoline</v>
      </c>
      <c r="M1299" s="194"/>
      <c r="N1299" s="317"/>
      <c r="O1299" s="317"/>
      <c r="P1299" s="317"/>
      <c r="Q1299" s="317"/>
      <c r="R1299" s="317"/>
      <c r="S1299" s="317"/>
      <c r="T1299" s="317"/>
      <c r="U1299" s="317"/>
      <c r="V1299" s="317"/>
      <c r="W1299" s="317"/>
      <c r="X1299" s="317"/>
      <c r="Y1299" s="317"/>
      <c r="Z1299" s="317"/>
    </row>
    <row r="1300" spans="1:26" x14ac:dyDescent="0.25">
      <c r="A1300" s="314"/>
      <c r="B1300" s="18">
        <v>2023</v>
      </c>
      <c r="C1300" s="18" t="s">
        <v>760</v>
      </c>
      <c r="D1300" s="18" t="s">
        <v>867</v>
      </c>
      <c r="E1300" s="18" t="s">
        <v>713</v>
      </c>
      <c r="F1300" s="18" t="s">
        <v>714</v>
      </c>
      <c r="G1300" s="18" t="s">
        <v>673</v>
      </c>
      <c r="H1300" s="18" t="s">
        <v>724</v>
      </c>
      <c r="I1300" s="315">
        <v>189.01102408555445</v>
      </c>
      <c r="J1300" s="315">
        <v>9.7271988387488701E-3</v>
      </c>
      <c r="K1300" s="316" t="str">
        <f t="shared" si="38"/>
        <v>Lawn and Garden Equipment</v>
      </c>
      <c r="L1300" s="316" t="str">
        <f t="shared" si="39"/>
        <v>Diesel</v>
      </c>
      <c r="M1300" s="194"/>
      <c r="N1300" s="317"/>
      <c r="O1300" s="317"/>
      <c r="P1300" s="317"/>
      <c r="Q1300" s="317"/>
      <c r="R1300" s="317"/>
      <c r="S1300" s="317"/>
      <c r="T1300" s="317"/>
      <c r="U1300" s="317"/>
      <c r="V1300" s="317"/>
      <c r="W1300" s="317"/>
      <c r="X1300" s="317"/>
      <c r="Y1300" s="317"/>
      <c r="Z1300" s="317"/>
    </row>
    <row r="1301" spans="1:26" x14ac:dyDescent="0.25">
      <c r="A1301" s="314"/>
      <c r="B1301" s="18">
        <v>2023</v>
      </c>
      <c r="C1301" s="18" t="s">
        <v>709</v>
      </c>
      <c r="D1301" s="18" t="s">
        <v>1015</v>
      </c>
      <c r="E1301" s="18" t="s">
        <v>56</v>
      </c>
      <c r="F1301" s="18" t="s">
        <v>601</v>
      </c>
      <c r="G1301" s="18" t="s">
        <v>677</v>
      </c>
      <c r="H1301" s="18" t="s">
        <v>747</v>
      </c>
      <c r="I1301" s="315">
        <v>188.94232722653604</v>
      </c>
      <c r="J1301" s="315">
        <v>4.2270968484005733</v>
      </c>
      <c r="K1301" s="316" t="str">
        <f t="shared" si="38"/>
        <v>Commercial Equipment</v>
      </c>
      <c r="L1301" s="316" t="str">
        <f t="shared" si="39"/>
        <v>CNG</v>
      </c>
      <c r="M1301" s="194"/>
      <c r="N1301" s="317"/>
      <c r="O1301" s="317"/>
      <c r="P1301" s="317"/>
      <c r="Q1301" s="317"/>
      <c r="R1301" s="317"/>
      <c r="S1301" s="317"/>
      <c r="T1301" s="317"/>
      <c r="U1301" s="317"/>
      <c r="V1301" s="317"/>
      <c r="W1301" s="317"/>
      <c r="X1301" s="317"/>
      <c r="Y1301" s="317"/>
      <c r="Z1301" s="317"/>
    </row>
    <row r="1302" spans="1:26" x14ac:dyDescent="0.25">
      <c r="A1302" s="314"/>
      <c r="B1302" s="18">
        <v>2023</v>
      </c>
      <c r="C1302" s="18" t="s">
        <v>778</v>
      </c>
      <c r="D1302" s="18" t="s">
        <v>840</v>
      </c>
      <c r="E1302" s="18" t="s">
        <v>703</v>
      </c>
      <c r="F1302" s="18" t="s">
        <v>704</v>
      </c>
      <c r="G1302" s="18" t="s">
        <v>677</v>
      </c>
      <c r="H1302" s="18" t="s">
        <v>841</v>
      </c>
      <c r="I1302" s="315">
        <v>188.63586924974069</v>
      </c>
      <c r="J1302" s="315">
        <v>0.1240602649222874</v>
      </c>
      <c r="K1302" s="316" t="str">
        <f t="shared" si="38"/>
        <v>Commercial Equipment</v>
      </c>
      <c r="L1302" s="316" t="str">
        <f t="shared" si="39"/>
        <v>Gasoline</v>
      </c>
      <c r="M1302" s="194"/>
      <c r="N1302" s="317"/>
      <c r="O1302" s="317"/>
      <c r="P1302" s="317"/>
      <c r="Q1302" s="317"/>
      <c r="R1302" s="317"/>
      <c r="S1302" s="317"/>
      <c r="T1302" s="317"/>
      <c r="U1302" s="317"/>
      <c r="V1302" s="317"/>
      <c r="W1302" s="317"/>
      <c r="X1302" s="317"/>
      <c r="Y1302" s="317"/>
      <c r="Z1302" s="317"/>
    </row>
    <row r="1303" spans="1:26" x14ac:dyDescent="0.25">
      <c r="A1303" s="314"/>
      <c r="B1303" s="18">
        <v>2023</v>
      </c>
      <c r="C1303" s="18" t="s">
        <v>810</v>
      </c>
      <c r="D1303" s="18" t="s">
        <v>771</v>
      </c>
      <c r="E1303" s="18" t="s">
        <v>713</v>
      </c>
      <c r="F1303" s="18" t="s">
        <v>714</v>
      </c>
      <c r="G1303" s="18" t="s">
        <v>675</v>
      </c>
      <c r="H1303" s="18" t="s">
        <v>772</v>
      </c>
      <c r="I1303" s="315">
        <v>187.58125715386265</v>
      </c>
      <c r="J1303" s="315">
        <v>4.1734885876316773E-4</v>
      </c>
      <c r="K1303" s="316" t="str">
        <f t="shared" si="38"/>
        <v>Industrial Equipment</v>
      </c>
      <c r="L1303" s="316" t="str">
        <f t="shared" si="39"/>
        <v>Diesel</v>
      </c>
      <c r="M1303" s="194"/>
      <c r="N1303" s="317"/>
      <c r="O1303" s="317"/>
      <c r="P1303" s="317"/>
      <c r="Q1303" s="317"/>
      <c r="R1303" s="317"/>
      <c r="S1303" s="317"/>
      <c r="T1303" s="317"/>
      <c r="U1303" s="317"/>
      <c r="V1303" s="317"/>
      <c r="W1303" s="317"/>
      <c r="X1303" s="317"/>
      <c r="Y1303" s="317"/>
      <c r="Z1303" s="317"/>
    </row>
    <row r="1304" spans="1:26" x14ac:dyDescent="0.25">
      <c r="A1304" s="314"/>
      <c r="B1304" s="18">
        <v>2023</v>
      </c>
      <c r="C1304" s="18" t="s">
        <v>701</v>
      </c>
      <c r="D1304" s="18" t="s">
        <v>1065</v>
      </c>
      <c r="E1304" s="18" t="s">
        <v>703</v>
      </c>
      <c r="F1304" s="18" t="s">
        <v>795</v>
      </c>
      <c r="G1304" s="18" t="s">
        <v>673</v>
      </c>
      <c r="H1304" s="18" t="s">
        <v>1066</v>
      </c>
      <c r="I1304" s="315">
        <v>187.26107540124627</v>
      </c>
      <c r="J1304" s="315">
        <v>1.2790795416226359</v>
      </c>
      <c r="K1304" s="316" t="str">
        <f t="shared" si="38"/>
        <v>Lawn and Garden Equipment</v>
      </c>
      <c r="L1304" s="316" t="str">
        <f t="shared" si="39"/>
        <v>Gasoline</v>
      </c>
      <c r="M1304" s="194"/>
      <c r="N1304" s="317"/>
      <c r="O1304" s="317"/>
      <c r="P1304" s="317"/>
      <c r="Q1304" s="317"/>
      <c r="R1304" s="317"/>
      <c r="S1304" s="317"/>
      <c r="T1304" s="317"/>
      <c r="U1304" s="317"/>
      <c r="V1304" s="317"/>
      <c r="W1304" s="317"/>
      <c r="X1304" s="317"/>
      <c r="Y1304" s="317"/>
      <c r="Z1304" s="317"/>
    </row>
    <row r="1305" spans="1:26" x14ac:dyDescent="0.25">
      <c r="A1305" s="314"/>
      <c r="B1305" s="18">
        <v>2023</v>
      </c>
      <c r="C1305" s="18" t="s">
        <v>762</v>
      </c>
      <c r="D1305" s="18" t="s">
        <v>790</v>
      </c>
      <c r="E1305" s="18" t="s">
        <v>713</v>
      </c>
      <c r="F1305" s="18" t="s">
        <v>714</v>
      </c>
      <c r="G1305" s="18" t="s">
        <v>674</v>
      </c>
      <c r="H1305" s="18" t="s">
        <v>791</v>
      </c>
      <c r="I1305" s="315">
        <v>186.33250268297061</v>
      </c>
      <c r="J1305" s="315">
        <v>1.0711565859371254E-3</v>
      </c>
      <c r="K1305" s="316" t="str">
        <f t="shared" si="38"/>
        <v>Construction and Mining Equipment</v>
      </c>
      <c r="L1305" s="316" t="str">
        <f t="shared" si="39"/>
        <v>Diesel</v>
      </c>
      <c r="M1305" s="194"/>
      <c r="N1305" s="317"/>
      <c r="O1305" s="317"/>
      <c r="P1305" s="317"/>
      <c r="Q1305" s="317"/>
      <c r="R1305" s="317"/>
      <c r="S1305" s="317"/>
      <c r="T1305" s="317"/>
      <c r="U1305" s="317"/>
      <c r="V1305" s="317"/>
      <c r="W1305" s="317"/>
      <c r="X1305" s="317"/>
      <c r="Y1305" s="317"/>
      <c r="Z1305" s="317"/>
    </row>
    <row r="1306" spans="1:26" x14ac:dyDescent="0.25">
      <c r="A1306" s="314"/>
      <c r="B1306" s="18">
        <v>2023</v>
      </c>
      <c r="C1306" s="18" t="s">
        <v>793</v>
      </c>
      <c r="D1306" s="18" t="s">
        <v>849</v>
      </c>
      <c r="E1306" s="18" t="s">
        <v>713</v>
      </c>
      <c r="F1306" s="18" t="s">
        <v>714</v>
      </c>
      <c r="G1306" s="18" t="s">
        <v>674</v>
      </c>
      <c r="H1306" s="18" t="s">
        <v>850</v>
      </c>
      <c r="I1306" s="315">
        <v>185.57182410277315</v>
      </c>
      <c r="J1306" s="315">
        <v>2.5925435464729616E-3</v>
      </c>
      <c r="K1306" s="316" t="str">
        <f t="shared" si="38"/>
        <v>Construction and Mining Equipment</v>
      </c>
      <c r="L1306" s="316" t="str">
        <f t="shared" si="39"/>
        <v>Diesel</v>
      </c>
      <c r="M1306" s="194"/>
      <c r="N1306" s="317"/>
      <c r="O1306" s="317"/>
      <c r="P1306" s="317"/>
      <c r="Q1306" s="317"/>
      <c r="R1306" s="317"/>
      <c r="S1306" s="317"/>
      <c r="T1306" s="317"/>
      <c r="U1306" s="317"/>
      <c r="V1306" s="317"/>
      <c r="W1306" s="317"/>
      <c r="X1306" s="317"/>
      <c r="Y1306" s="317"/>
      <c r="Z1306" s="317"/>
    </row>
    <row r="1307" spans="1:26" x14ac:dyDescent="0.25">
      <c r="A1307" s="314"/>
      <c r="B1307" s="18">
        <v>2023</v>
      </c>
      <c r="C1307" s="18" t="s">
        <v>754</v>
      </c>
      <c r="D1307" s="18" t="s">
        <v>898</v>
      </c>
      <c r="E1307" s="18" t="s">
        <v>703</v>
      </c>
      <c r="F1307" s="18" t="s">
        <v>795</v>
      </c>
      <c r="G1307" s="18" t="s">
        <v>673</v>
      </c>
      <c r="H1307" s="18" t="s">
        <v>899</v>
      </c>
      <c r="I1307" s="315">
        <v>185.40392335082709</v>
      </c>
      <c r="J1307" s="315">
        <v>1.2675996302755546</v>
      </c>
      <c r="K1307" s="316" t="str">
        <f t="shared" si="38"/>
        <v>Lawn and Garden Equipment</v>
      </c>
      <c r="L1307" s="316" t="str">
        <f t="shared" si="39"/>
        <v>Gasoline</v>
      </c>
      <c r="M1307" s="194"/>
      <c r="N1307" s="317"/>
      <c r="O1307" s="317"/>
      <c r="P1307" s="317"/>
      <c r="Q1307" s="317"/>
      <c r="R1307" s="317"/>
      <c r="S1307" s="317"/>
      <c r="T1307" s="317"/>
      <c r="U1307" s="317"/>
      <c r="V1307" s="317"/>
      <c r="W1307" s="317"/>
      <c r="X1307" s="317"/>
      <c r="Y1307" s="317"/>
      <c r="Z1307" s="317"/>
    </row>
    <row r="1308" spans="1:26" x14ac:dyDescent="0.25">
      <c r="A1308" s="314"/>
      <c r="B1308" s="18">
        <v>2023</v>
      </c>
      <c r="C1308" s="18" t="s">
        <v>711</v>
      </c>
      <c r="D1308" s="18" t="s">
        <v>1015</v>
      </c>
      <c r="E1308" s="18" t="s">
        <v>56</v>
      </c>
      <c r="F1308" s="18" t="s">
        <v>601</v>
      </c>
      <c r="G1308" s="18" t="s">
        <v>677</v>
      </c>
      <c r="H1308" s="18" t="s">
        <v>747</v>
      </c>
      <c r="I1308" s="315">
        <v>185.01192822092665</v>
      </c>
      <c r="J1308" s="315">
        <v>4.1391506133020037</v>
      </c>
      <c r="K1308" s="316" t="str">
        <f t="shared" si="38"/>
        <v>Commercial Equipment</v>
      </c>
      <c r="L1308" s="316" t="str">
        <f t="shared" si="39"/>
        <v>CNG</v>
      </c>
      <c r="M1308" s="194"/>
      <c r="N1308" s="317"/>
      <c r="O1308" s="317"/>
      <c r="P1308" s="317"/>
      <c r="Q1308" s="317"/>
      <c r="R1308" s="317"/>
      <c r="S1308" s="317"/>
      <c r="T1308" s="317"/>
      <c r="U1308" s="317"/>
      <c r="V1308" s="317"/>
      <c r="W1308" s="317"/>
      <c r="X1308" s="317"/>
      <c r="Y1308" s="317"/>
      <c r="Z1308" s="317"/>
    </row>
    <row r="1309" spans="1:26" x14ac:dyDescent="0.25">
      <c r="A1309" s="314"/>
      <c r="B1309" s="18">
        <v>2023</v>
      </c>
      <c r="C1309" s="18" t="s">
        <v>701</v>
      </c>
      <c r="D1309" s="18" t="s">
        <v>1030</v>
      </c>
      <c r="E1309" s="18" t="s">
        <v>703</v>
      </c>
      <c r="F1309" s="18" t="s">
        <v>704</v>
      </c>
      <c r="G1309" s="18" t="s">
        <v>677</v>
      </c>
      <c r="H1309" s="18" t="s">
        <v>1031</v>
      </c>
      <c r="I1309" s="315">
        <v>184.88334360650734</v>
      </c>
      <c r="J1309" s="315">
        <v>0.12863538870899288</v>
      </c>
      <c r="K1309" s="316" t="str">
        <f t="shared" si="38"/>
        <v>Commercial Equipment</v>
      </c>
      <c r="L1309" s="316" t="str">
        <f t="shared" si="39"/>
        <v>Gasoline</v>
      </c>
      <c r="M1309" s="194"/>
      <c r="N1309" s="317"/>
      <c r="O1309" s="317"/>
      <c r="P1309" s="317"/>
      <c r="Q1309" s="317"/>
      <c r="R1309" s="317"/>
      <c r="S1309" s="317"/>
      <c r="T1309" s="317"/>
      <c r="U1309" s="317"/>
      <c r="V1309" s="317"/>
      <c r="W1309" s="317"/>
      <c r="X1309" s="317"/>
      <c r="Y1309" s="317"/>
      <c r="Z1309" s="317"/>
    </row>
    <row r="1310" spans="1:26" x14ac:dyDescent="0.25">
      <c r="A1310" s="314"/>
      <c r="B1310" s="18">
        <v>2023</v>
      </c>
      <c r="C1310" s="18" t="s">
        <v>710</v>
      </c>
      <c r="D1310" s="18" t="s">
        <v>830</v>
      </c>
      <c r="E1310" s="18" t="s">
        <v>703</v>
      </c>
      <c r="F1310" s="18" t="s">
        <v>704</v>
      </c>
      <c r="G1310" s="18" t="s">
        <v>673</v>
      </c>
      <c r="H1310" s="18" t="s">
        <v>742</v>
      </c>
      <c r="I1310" s="315">
        <v>184.32426632859807</v>
      </c>
      <c r="J1310" s="315">
        <v>8.0290506859577782E-2</v>
      </c>
      <c r="K1310" s="316" t="str">
        <f t="shared" si="38"/>
        <v>Lawn and Garden Equipment</v>
      </c>
      <c r="L1310" s="316" t="str">
        <f t="shared" si="39"/>
        <v>Gasoline</v>
      </c>
      <c r="M1310" s="194"/>
      <c r="N1310" s="317"/>
      <c r="O1310" s="317"/>
      <c r="P1310" s="317"/>
      <c r="Q1310" s="317"/>
      <c r="R1310" s="317"/>
      <c r="S1310" s="317"/>
      <c r="T1310" s="317"/>
      <c r="U1310" s="317"/>
      <c r="V1310" s="317"/>
      <c r="W1310" s="317"/>
      <c r="X1310" s="317"/>
      <c r="Y1310" s="317"/>
      <c r="Z1310" s="317"/>
    </row>
    <row r="1311" spans="1:26" x14ac:dyDescent="0.25">
      <c r="A1311" s="314"/>
      <c r="B1311" s="18">
        <v>2023</v>
      </c>
      <c r="C1311" s="18" t="s">
        <v>778</v>
      </c>
      <c r="D1311" s="18" t="s">
        <v>846</v>
      </c>
      <c r="E1311" s="18" t="s">
        <v>713</v>
      </c>
      <c r="F1311" s="18" t="s">
        <v>714</v>
      </c>
      <c r="G1311" s="18" t="s">
        <v>677</v>
      </c>
      <c r="H1311" s="18" t="s">
        <v>836</v>
      </c>
      <c r="I1311" s="315">
        <v>184.18546700862714</v>
      </c>
      <c r="J1311" s="315">
        <v>7.1222069616196648E-3</v>
      </c>
      <c r="K1311" s="316" t="str">
        <f t="shared" si="38"/>
        <v>Commercial Equipment</v>
      </c>
      <c r="L1311" s="316" t="str">
        <f t="shared" si="39"/>
        <v>Diesel</v>
      </c>
      <c r="M1311" s="194"/>
      <c r="N1311" s="317"/>
      <c r="O1311" s="317"/>
      <c r="P1311" s="317"/>
      <c r="Q1311" s="317"/>
      <c r="R1311" s="317"/>
      <c r="S1311" s="317"/>
      <c r="T1311" s="317"/>
      <c r="U1311" s="317"/>
      <c r="V1311" s="317"/>
      <c r="W1311" s="317"/>
      <c r="X1311" s="317"/>
      <c r="Y1311" s="317"/>
      <c r="Z1311" s="317"/>
    </row>
    <row r="1312" spans="1:26" ht="12.75" x14ac:dyDescent="0.2">
      <c r="A1312" s="230"/>
      <c r="B1312" s="18">
        <v>2023</v>
      </c>
      <c r="C1312" s="18" t="s">
        <v>792</v>
      </c>
      <c r="D1312" s="18" t="s">
        <v>835</v>
      </c>
      <c r="E1312" s="18" t="s">
        <v>703</v>
      </c>
      <c r="F1312" s="18" t="s">
        <v>704</v>
      </c>
      <c r="G1312" s="18" t="s">
        <v>677</v>
      </c>
      <c r="H1312" s="18" t="s">
        <v>836</v>
      </c>
      <c r="I1312" s="315">
        <v>183.7773935659456</v>
      </c>
      <c r="J1312" s="315">
        <v>0.11511939290177511</v>
      </c>
      <c r="K1312" s="316" t="str">
        <f t="shared" si="38"/>
        <v>Commercial Equipment</v>
      </c>
      <c r="L1312" s="316" t="str">
        <f t="shared" si="39"/>
        <v>Gasoline</v>
      </c>
      <c r="M1312" s="8"/>
      <c r="N1312" s="2"/>
      <c r="O1312" s="2"/>
      <c r="P1312" s="2"/>
      <c r="Q1312" s="2"/>
      <c r="R1312" s="2"/>
      <c r="S1312" s="2"/>
      <c r="T1312" s="2"/>
      <c r="U1312" s="2"/>
      <c r="V1312" s="2"/>
      <c r="W1312" s="2"/>
      <c r="X1312" s="2"/>
      <c r="Y1312" s="2"/>
      <c r="Z1312" s="2"/>
    </row>
    <row r="1313" spans="1:26" x14ac:dyDescent="0.25">
      <c r="A1313" s="314"/>
      <c r="B1313" s="18">
        <v>2023</v>
      </c>
      <c r="C1313" s="18" t="s">
        <v>781</v>
      </c>
      <c r="D1313" s="18" t="s">
        <v>751</v>
      </c>
      <c r="E1313" s="18" t="s">
        <v>713</v>
      </c>
      <c r="F1313" s="18" t="s">
        <v>676</v>
      </c>
      <c r="G1313" s="18" t="s">
        <v>79</v>
      </c>
      <c r="H1313" s="18" t="s">
        <v>740</v>
      </c>
      <c r="I1313" s="315">
        <v>183.64179599637174</v>
      </c>
      <c r="J1313" s="315">
        <v>7.2077760800818361E-3</v>
      </c>
      <c r="K1313" s="316" t="str">
        <f t="shared" si="38"/>
        <v>Pleasure Craft</v>
      </c>
      <c r="L1313" s="316" t="str">
        <f t="shared" si="39"/>
        <v>Diesel</v>
      </c>
      <c r="M1313" s="194"/>
      <c r="N1313" s="317"/>
      <c r="O1313" s="317"/>
      <c r="P1313" s="317"/>
      <c r="Q1313" s="317"/>
      <c r="R1313" s="317"/>
      <c r="S1313" s="317"/>
      <c r="T1313" s="317"/>
      <c r="U1313" s="317"/>
      <c r="V1313" s="317"/>
      <c r="W1313" s="317"/>
      <c r="X1313" s="317"/>
      <c r="Y1313" s="317"/>
      <c r="Z1313" s="317"/>
    </row>
    <row r="1314" spans="1:26" x14ac:dyDescent="0.25">
      <c r="A1314" s="314"/>
      <c r="B1314" s="18">
        <v>2023</v>
      </c>
      <c r="C1314" s="18" t="s">
        <v>810</v>
      </c>
      <c r="D1314" s="18" t="s">
        <v>971</v>
      </c>
      <c r="E1314" s="18" t="s">
        <v>713</v>
      </c>
      <c r="F1314" s="18" t="s">
        <v>714</v>
      </c>
      <c r="G1314" s="18" t="s">
        <v>678</v>
      </c>
      <c r="H1314" s="18" t="s">
        <v>972</v>
      </c>
      <c r="I1314" s="315">
        <v>183.33157849965599</v>
      </c>
      <c r="J1314" s="315">
        <v>1.0183473516860689E-3</v>
      </c>
      <c r="K1314" s="316" t="str">
        <f t="shared" si="38"/>
        <v>Agricultural Equipment</v>
      </c>
      <c r="L1314" s="316" t="str">
        <f t="shared" si="39"/>
        <v>Diesel</v>
      </c>
      <c r="M1314" s="194"/>
      <c r="N1314" s="317"/>
      <c r="O1314" s="317"/>
      <c r="P1314" s="317"/>
      <c r="Q1314" s="317"/>
      <c r="R1314" s="317"/>
      <c r="S1314" s="317"/>
      <c r="T1314" s="317"/>
      <c r="U1314" s="317"/>
      <c r="V1314" s="317"/>
      <c r="W1314" s="317"/>
      <c r="X1314" s="317"/>
      <c r="Y1314" s="317"/>
      <c r="Z1314" s="317"/>
    </row>
    <row r="1315" spans="1:26" x14ac:dyDescent="0.25">
      <c r="A1315" s="314"/>
      <c r="B1315" s="18">
        <v>2023</v>
      </c>
      <c r="C1315" s="18" t="s">
        <v>732</v>
      </c>
      <c r="D1315" s="18" t="s">
        <v>962</v>
      </c>
      <c r="E1315" s="18" t="s">
        <v>703</v>
      </c>
      <c r="F1315" s="18" t="s">
        <v>704</v>
      </c>
      <c r="G1315" s="18" t="s">
        <v>673</v>
      </c>
      <c r="H1315" s="18" t="s">
        <v>963</v>
      </c>
      <c r="I1315" s="315">
        <v>182.58469680091011</v>
      </c>
      <c r="J1315" s="315">
        <v>0.12630174270619812</v>
      </c>
      <c r="K1315" s="316" t="str">
        <f t="shared" si="38"/>
        <v>Lawn and Garden Equipment</v>
      </c>
      <c r="L1315" s="316" t="str">
        <f t="shared" si="39"/>
        <v>Gasoline</v>
      </c>
      <c r="M1315" s="194"/>
      <c r="N1315" s="317"/>
      <c r="O1315" s="317"/>
      <c r="P1315" s="317"/>
      <c r="Q1315" s="317"/>
      <c r="R1315" s="317"/>
      <c r="S1315" s="317"/>
      <c r="T1315" s="317"/>
      <c r="U1315" s="317"/>
      <c r="V1315" s="317"/>
      <c r="W1315" s="317"/>
      <c r="X1315" s="317"/>
      <c r="Y1315" s="317"/>
      <c r="Z1315" s="317"/>
    </row>
    <row r="1316" spans="1:26" x14ac:dyDescent="0.25">
      <c r="A1316" s="314"/>
      <c r="B1316" s="18">
        <v>2023</v>
      </c>
      <c r="C1316" s="18" t="s">
        <v>722</v>
      </c>
      <c r="D1316" s="18" t="s">
        <v>1001</v>
      </c>
      <c r="E1316" s="18" t="s">
        <v>713</v>
      </c>
      <c r="F1316" s="18" t="s">
        <v>683</v>
      </c>
      <c r="G1316" s="18" t="s">
        <v>79</v>
      </c>
      <c r="H1316" s="18" t="s">
        <v>1002</v>
      </c>
      <c r="I1316" s="315">
        <v>182.52164492978574</v>
      </c>
      <c r="J1316" s="315">
        <v>6.1348553729601435E-3</v>
      </c>
      <c r="K1316" s="316" t="str">
        <f t="shared" si="38"/>
        <v>Railroad Equipment</v>
      </c>
      <c r="L1316" s="316" t="str">
        <f t="shared" si="39"/>
        <v>Diesel</v>
      </c>
      <c r="M1316" s="194"/>
      <c r="N1316" s="317"/>
      <c r="O1316" s="317"/>
      <c r="P1316" s="317"/>
      <c r="Q1316" s="317"/>
      <c r="R1316" s="317"/>
      <c r="S1316" s="317"/>
      <c r="T1316" s="317"/>
      <c r="U1316" s="317"/>
      <c r="V1316" s="317"/>
      <c r="W1316" s="317"/>
      <c r="X1316" s="317"/>
      <c r="Y1316" s="317"/>
      <c r="Z1316" s="317"/>
    </row>
    <row r="1317" spans="1:26" x14ac:dyDescent="0.25">
      <c r="A1317" s="314"/>
      <c r="B1317" s="18">
        <v>2023</v>
      </c>
      <c r="C1317" s="18" t="s">
        <v>810</v>
      </c>
      <c r="D1317" s="18" t="s">
        <v>807</v>
      </c>
      <c r="E1317" s="18" t="s">
        <v>703</v>
      </c>
      <c r="F1317" s="18" t="s">
        <v>805</v>
      </c>
      <c r="G1317" s="18" t="s">
        <v>673</v>
      </c>
      <c r="H1317" s="18" t="s">
        <v>749</v>
      </c>
      <c r="I1317" s="315">
        <v>181.76122602140831</v>
      </c>
      <c r="J1317" s="315">
        <v>0.34001411394421116</v>
      </c>
      <c r="K1317" s="316" t="str">
        <f t="shared" si="38"/>
        <v>Lawn and Garden Equipment</v>
      </c>
      <c r="L1317" s="316" t="str">
        <f t="shared" si="39"/>
        <v>Gasoline</v>
      </c>
      <c r="M1317" s="194"/>
      <c r="N1317" s="317"/>
      <c r="O1317" s="317"/>
      <c r="P1317" s="317"/>
      <c r="Q1317" s="317"/>
      <c r="R1317" s="317"/>
      <c r="S1317" s="317"/>
      <c r="T1317" s="317"/>
      <c r="U1317" s="317"/>
      <c r="V1317" s="317"/>
      <c r="W1317" s="317"/>
      <c r="X1317" s="317"/>
      <c r="Y1317" s="317"/>
      <c r="Z1317" s="317"/>
    </row>
    <row r="1318" spans="1:26" x14ac:dyDescent="0.25">
      <c r="A1318" s="314"/>
      <c r="B1318" s="18">
        <v>2023</v>
      </c>
      <c r="C1318" s="18" t="s">
        <v>759</v>
      </c>
      <c r="D1318" s="18" t="s">
        <v>807</v>
      </c>
      <c r="E1318" s="18" t="s">
        <v>703</v>
      </c>
      <c r="F1318" s="18" t="s">
        <v>805</v>
      </c>
      <c r="G1318" s="18" t="s">
        <v>673</v>
      </c>
      <c r="H1318" s="18" t="s">
        <v>749</v>
      </c>
      <c r="I1318" s="315">
        <v>181.76122602140831</v>
      </c>
      <c r="J1318" s="315">
        <v>0.34001411394421116</v>
      </c>
      <c r="K1318" s="316" t="str">
        <f t="shared" si="38"/>
        <v>Lawn and Garden Equipment</v>
      </c>
      <c r="L1318" s="316" t="str">
        <f t="shared" si="39"/>
        <v>Gasoline</v>
      </c>
      <c r="M1318" s="194"/>
      <c r="N1318" s="317"/>
      <c r="O1318" s="317"/>
      <c r="P1318" s="317"/>
      <c r="Q1318" s="317"/>
      <c r="R1318" s="317"/>
      <c r="S1318" s="317"/>
      <c r="T1318" s="317"/>
      <c r="U1318" s="317"/>
      <c r="V1318" s="317"/>
      <c r="W1318" s="317"/>
      <c r="X1318" s="317"/>
      <c r="Y1318" s="317"/>
      <c r="Z1318" s="317"/>
    </row>
    <row r="1319" spans="1:26" x14ac:dyDescent="0.25">
      <c r="A1319" s="314"/>
      <c r="B1319" s="18">
        <v>2023</v>
      </c>
      <c r="C1319" s="18" t="s">
        <v>727</v>
      </c>
      <c r="D1319" s="18" t="s">
        <v>807</v>
      </c>
      <c r="E1319" s="18" t="s">
        <v>703</v>
      </c>
      <c r="F1319" s="18" t="s">
        <v>805</v>
      </c>
      <c r="G1319" s="18" t="s">
        <v>673</v>
      </c>
      <c r="H1319" s="18" t="s">
        <v>749</v>
      </c>
      <c r="I1319" s="315">
        <v>181.76122602140831</v>
      </c>
      <c r="J1319" s="315">
        <v>0.34001411394421116</v>
      </c>
      <c r="K1319" s="316" t="str">
        <f t="shared" si="38"/>
        <v>Lawn and Garden Equipment</v>
      </c>
      <c r="L1319" s="316" t="str">
        <f t="shared" si="39"/>
        <v>Gasoline</v>
      </c>
      <c r="M1319" s="194"/>
      <c r="N1319" s="317"/>
      <c r="O1319" s="317"/>
      <c r="P1319" s="317"/>
      <c r="Q1319" s="317"/>
      <c r="R1319" s="317"/>
      <c r="S1319" s="317"/>
      <c r="T1319" s="317"/>
      <c r="U1319" s="317"/>
      <c r="V1319" s="317"/>
      <c r="W1319" s="317"/>
      <c r="X1319" s="317"/>
      <c r="Y1319" s="317"/>
      <c r="Z1319" s="317"/>
    </row>
    <row r="1320" spans="1:26" x14ac:dyDescent="0.25">
      <c r="A1320" s="314"/>
      <c r="B1320" s="18">
        <v>2023</v>
      </c>
      <c r="C1320" s="18" t="s">
        <v>701</v>
      </c>
      <c r="D1320" s="18" t="s">
        <v>1034</v>
      </c>
      <c r="E1320" s="18" t="s">
        <v>713</v>
      </c>
      <c r="F1320" s="18" t="s">
        <v>714</v>
      </c>
      <c r="G1320" s="18" t="s">
        <v>677</v>
      </c>
      <c r="H1320" s="18" t="s">
        <v>1031</v>
      </c>
      <c r="I1320" s="315">
        <v>181.42699027322703</v>
      </c>
      <c r="J1320" s="315">
        <v>3.152808220019448E-3</v>
      </c>
      <c r="K1320" s="316" t="str">
        <f t="shared" si="38"/>
        <v>Commercial Equipment</v>
      </c>
      <c r="L1320" s="316" t="str">
        <f t="shared" si="39"/>
        <v>Diesel</v>
      </c>
      <c r="M1320" s="194"/>
      <c r="N1320" s="317"/>
      <c r="O1320" s="317"/>
      <c r="P1320" s="317"/>
      <c r="Q1320" s="317"/>
      <c r="R1320" s="317"/>
      <c r="S1320" s="317"/>
      <c r="T1320" s="317"/>
      <c r="U1320" s="317"/>
      <c r="V1320" s="317"/>
      <c r="W1320" s="317"/>
      <c r="X1320" s="317"/>
      <c r="Y1320" s="317"/>
      <c r="Z1320" s="317"/>
    </row>
    <row r="1321" spans="1:26" x14ac:dyDescent="0.25">
      <c r="A1321" s="314"/>
      <c r="B1321" s="18">
        <v>2023</v>
      </c>
      <c r="C1321" s="18" t="s">
        <v>760</v>
      </c>
      <c r="D1321" s="18" t="s">
        <v>1012</v>
      </c>
      <c r="E1321" s="18" t="s">
        <v>703</v>
      </c>
      <c r="F1321" s="18" t="s">
        <v>795</v>
      </c>
      <c r="G1321" s="18" t="s">
        <v>679</v>
      </c>
      <c r="H1321" s="18" t="s">
        <v>1013</v>
      </c>
      <c r="I1321" s="315">
        <v>181.41067055426879</v>
      </c>
      <c r="J1321" s="315">
        <v>0.15148958254288966</v>
      </c>
      <c r="K1321" s="316" t="str">
        <f t="shared" si="38"/>
        <v>Recreational Equipment</v>
      </c>
      <c r="L1321" s="316" t="str">
        <f t="shared" si="39"/>
        <v>Gasoline</v>
      </c>
      <c r="M1321" s="194"/>
      <c r="N1321" s="317"/>
      <c r="O1321" s="317"/>
      <c r="P1321" s="317"/>
      <c r="Q1321" s="317"/>
      <c r="R1321" s="317"/>
      <c r="S1321" s="317"/>
      <c r="T1321" s="317"/>
      <c r="U1321" s="317"/>
      <c r="V1321" s="317"/>
      <c r="W1321" s="317"/>
      <c r="X1321" s="317"/>
      <c r="Y1321" s="317"/>
      <c r="Z1321" s="317"/>
    </row>
    <row r="1322" spans="1:26" x14ac:dyDescent="0.25">
      <c r="A1322" s="314"/>
      <c r="B1322" s="18">
        <v>2023</v>
      </c>
      <c r="C1322" s="18" t="s">
        <v>787</v>
      </c>
      <c r="D1322" s="18" t="s">
        <v>835</v>
      </c>
      <c r="E1322" s="18" t="s">
        <v>703</v>
      </c>
      <c r="F1322" s="18" t="s">
        <v>704</v>
      </c>
      <c r="G1322" s="18" t="s">
        <v>677</v>
      </c>
      <c r="H1322" s="18" t="s">
        <v>836</v>
      </c>
      <c r="I1322" s="315">
        <v>180.95013701398904</v>
      </c>
      <c r="J1322" s="315">
        <v>0.11275063460184349</v>
      </c>
      <c r="K1322" s="316" t="str">
        <f t="shared" si="38"/>
        <v>Commercial Equipment</v>
      </c>
      <c r="L1322" s="316" t="str">
        <f t="shared" si="39"/>
        <v>Gasoline</v>
      </c>
      <c r="M1322" s="194"/>
      <c r="N1322" s="317"/>
      <c r="O1322" s="317"/>
      <c r="P1322" s="317"/>
      <c r="Q1322" s="317"/>
      <c r="R1322" s="317"/>
      <c r="S1322" s="317"/>
      <c r="T1322" s="317"/>
      <c r="U1322" s="317"/>
      <c r="V1322" s="317"/>
      <c r="W1322" s="317"/>
      <c r="X1322" s="317"/>
      <c r="Y1322" s="317"/>
      <c r="Z1322" s="317"/>
    </row>
    <row r="1323" spans="1:26" x14ac:dyDescent="0.25">
      <c r="A1323" s="314"/>
      <c r="B1323" s="18">
        <v>2023</v>
      </c>
      <c r="C1323" s="18" t="s">
        <v>793</v>
      </c>
      <c r="D1323" s="18" t="s">
        <v>767</v>
      </c>
      <c r="E1323" s="18" t="s">
        <v>703</v>
      </c>
      <c r="F1323" s="18" t="s">
        <v>704</v>
      </c>
      <c r="G1323" s="18" t="s">
        <v>673</v>
      </c>
      <c r="H1323" s="18" t="s">
        <v>768</v>
      </c>
      <c r="I1323" s="315">
        <v>180.7249624312326</v>
      </c>
      <c r="J1323" s="315">
        <v>0.12544847166605105</v>
      </c>
      <c r="K1323" s="316" t="str">
        <f t="shared" ref="K1323:K1577" si="40">IF(F1323="Pleasure Craft","Pleasure Craft",IF(F1323="Railroad Equipment","Railroad Equipment",G1323))</f>
        <v>Lawn and Garden Equipment</v>
      </c>
      <c r="L1323" s="316" t="str">
        <f t="shared" ref="L1323:L1577" si="41">IF(E1323="Non-Road Gasoline","Gasoline",IF(E1323="Non-Road Diesel","Diesel",IF(RIGHT(F1323,3)="LPG","LPG",IF(RIGHT(F1323,3)="CNG","CNG",G1323))))</f>
        <v>Gasoline</v>
      </c>
      <c r="M1323" s="194"/>
      <c r="N1323" s="317"/>
      <c r="O1323" s="317"/>
      <c r="P1323" s="317"/>
      <c r="Q1323" s="317"/>
      <c r="R1323" s="317"/>
      <c r="S1323" s="317"/>
      <c r="T1323" s="317"/>
      <c r="U1323" s="317"/>
      <c r="V1323" s="317"/>
      <c r="W1323" s="317"/>
      <c r="X1323" s="317"/>
      <c r="Y1323" s="317"/>
      <c r="Z1323" s="317"/>
    </row>
    <row r="1324" spans="1:26" x14ac:dyDescent="0.25">
      <c r="A1324" s="314"/>
      <c r="B1324" s="18">
        <v>2023</v>
      </c>
      <c r="C1324" s="18" t="s">
        <v>701</v>
      </c>
      <c r="D1324" s="18" t="s">
        <v>1014</v>
      </c>
      <c r="E1324" s="18" t="s">
        <v>713</v>
      </c>
      <c r="F1324" s="18" t="s">
        <v>714</v>
      </c>
      <c r="G1324" s="18" t="s">
        <v>674</v>
      </c>
      <c r="H1324" s="18" t="s">
        <v>994</v>
      </c>
      <c r="I1324" s="315">
        <v>180.67769415962621</v>
      </c>
      <c r="J1324" s="315">
        <v>2.3535269040687997E-3</v>
      </c>
      <c r="K1324" s="316" t="str">
        <f t="shared" si="40"/>
        <v>Construction and Mining Equipment</v>
      </c>
      <c r="L1324" s="316" t="str">
        <f t="shared" si="41"/>
        <v>Diesel</v>
      </c>
      <c r="M1324" s="194"/>
      <c r="N1324" s="317"/>
      <c r="O1324" s="317"/>
      <c r="P1324" s="317"/>
      <c r="Q1324" s="317"/>
      <c r="R1324" s="317"/>
      <c r="S1324" s="317"/>
      <c r="T1324" s="317"/>
      <c r="U1324" s="317"/>
      <c r="V1324" s="317"/>
      <c r="W1324" s="317"/>
      <c r="X1324" s="317"/>
      <c r="Y1324" s="317"/>
      <c r="Z1324" s="317"/>
    </row>
    <row r="1325" spans="1:26" x14ac:dyDescent="0.25">
      <c r="A1325" s="314"/>
      <c r="B1325" s="18">
        <v>2023</v>
      </c>
      <c r="C1325" s="18" t="s">
        <v>731</v>
      </c>
      <c r="D1325" s="18" t="s">
        <v>807</v>
      </c>
      <c r="E1325" s="18" t="s">
        <v>703</v>
      </c>
      <c r="F1325" s="18" t="s">
        <v>805</v>
      </c>
      <c r="G1325" s="18" t="s">
        <v>673</v>
      </c>
      <c r="H1325" s="18" t="s">
        <v>749</v>
      </c>
      <c r="I1325" s="315">
        <v>180.63232329303455</v>
      </c>
      <c r="J1325" s="315">
        <v>0.33790205728226769</v>
      </c>
      <c r="K1325" s="316" t="str">
        <f t="shared" si="40"/>
        <v>Lawn and Garden Equipment</v>
      </c>
      <c r="L1325" s="316" t="str">
        <f t="shared" si="41"/>
        <v>Gasoline</v>
      </c>
      <c r="M1325" s="194"/>
      <c r="N1325" s="317"/>
      <c r="O1325" s="317"/>
      <c r="P1325" s="317"/>
      <c r="Q1325" s="317"/>
      <c r="R1325" s="317"/>
      <c r="S1325" s="317"/>
      <c r="T1325" s="317"/>
      <c r="U1325" s="317"/>
      <c r="V1325" s="317"/>
      <c r="W1325" s="317"/>
      <c r="X1325" s="317"/>
      <c r="Y1325" s="317"/>
      <c r="Z1325" s="317"/>
    </row>
    <row r="1326" spans="1:26" x14ac:dyDescent="0.25">
      <c r="A1326" s="314"/>
      <c r="B1326" s="18">
        <v>2023</v>
      </c>
      <c r="C1326" s="18" t="s">
        <v>711</v>
      </c>
      <c r="D1326" s="18" t="s">
        <v>1019</v>
      </c>
      <c r="E1326" s="18" t="s">
        <v>703</v>
      </c>
      <c r="F1326" s="18" t="s">
        <v>805</v>
      </c>
      <c r="G1326" s="18" t="s">
        <v>679</v>
      </c>
      <c r="H1326" s="18" t="s">
        <v>852</v>
      </c>
      <c r="I1326" s="315">
        <v>180.26802457016643</v>
      </c>
      <c r="J1326" s="315">
        <v>0.25094698453327446</v>
      </c>
      <c r="K1326" s="316" t="str">
        <f t="shared" si="40"/>
        <v>Recreational Equipment</v>
      </c>
      <c r="L1326" s="316" t="str">
        <f t="shared" si="41"/>
        <v>Gasoline</v>
      </c>
      <c r="M1326" s="194"/>
      <c r="N1326" s="317"/>
      <c r="O1326" s="317"/>
      <c r="P1326" s="317"/>
      <c r="Q1326" s="317"/>
      <c r="R1326" s="317"/>
      <c r="S1326" s="317"/>
      <c r="T1326" s="317"/>
      <c r="U1326" s="317"/>
      <c r="V1326" s="317"/>
      <c r="W1326" s="317"/>
      <c r="X1326" s="317"/>
      <c r="Y1326" s="317"/>
      <c r="Z1326" s="317"/>
    </row>
    <row r="1327" spans="1:26" x14ac:dyDescent="0.25">
      <c r="A1327" s="314"/>
      <c r="B1327" s="18">
        <v>2023</v>
      </c>
      <c r="C1327" s="18" t="s">
        <v>701</v>
      </c>
      <c r="D1327" s="18" t="s">
        <v>1019</v>
      </c>
      <c r="E1327" s="18" t="s">
        <v>703</v>
      </c>
      <c r="F1327" s="18" t="s">
        <v>805</v>
      </c>
      <c r="G1327" s="18" t="s">
        <v>679</v>
      </c>
      <c r="H1327" s="18" t="s">
        <v>852</v>
      </c>
      <c r="I1327" s="315">
        <v>180.26802457016643</v>
      </c>
      <c r="J1327" s="315">
        <v>0.25094698453327446</v>
      </c>
      <c r="K1327" s="316" t="str">
        <f t="shared" si="40"/>
        <v>Recreational Equipment</v>
      </c>
      <c r="L1327" s="316" t="str">
        <f t="shared" si="41"/>
        <v>Gasoline</v>
      </c>
      <c r="M1327" s="194"/>
      <c r="N1327" s="317"/>
      <c r="O1327" s="317"/>
      <c r="P1327" s="317"/>
      <c r="Q1327" s="317"/>
      <c r="R1327" s="317"/>
      <c r="S1327" s="317"/>
      <c r="T1327" s="317"/>
      <c r="U1327" s="317"/>
      <c r="V1327" s="317"/>
      <c r="W1327" s="317"/>
      <c r="X1327" s="317"/>
      <c r="Y1327" s="317"/>
      <c r="Z1327" s="317"/>
    </row>
    <row r="1328" spans="1:26" x14ac:dyDescent="0.25">
      <c r="A1328" s="314"/>
      <c r="B1328" s="18">
        <v>2023</v>
      </c>
      <c r="C1328" s="18" t="s">
        <v>722</v>
      </c>
      <c r="D1328" s="18" t="s">
        <v>1011</v>
      </c>
      <c r="E1328" s="18" t="s">
        <v>56</v>
      </c>
      <c r="F1328" s="18" t="s">
        <v>672</v>
      </c>
      <c r="G1328" s="18" t="s">
        <v>677</v>
      </c>
      <c r="H1328" s="18" t="s">
        <v>836</v>
      </c>
      <c r="I1328" s="315">
        <v>179.72215008819484</v>
      </c>
      <c r="J1328" s="315">
        <v>9.5481433118008233E-3</v>
      </c>
      <c r="K1328" s="316" t="str">
        <f t="shared" si="40"/>
        <v>Commercial Equipment</v>
      </c>
      <c r="L1328" s="316" t="str">
        <f t="shared" si="41"/>
        <v>LPG</v>
      </c>
      <c r="M1328" s="194"/>
      <c r="N1328" s="317"/>
      <c r="O1328" s="317"/>
      <c r="P1328" s="317"/>
      <c r="Q1328" s="317"/>
      <c r="R1328" s="317"/>
      <c r="S1328" s="317"/>
      <c r="T1328" s="317"/>
      <c r="U1328" s="317"/>
      <c r="V1328" s="317"/>
      <c r="W1328" s="317"/>
      <c r="X1328" s="317"/>
      <c r="Y1328" s="317"/>
      <c r="Z1328" s="317"/>
    </row>
    <row r="1329" spans="1:26" x14ac:dyDescent="0.25">
      <c r="A1329" s="314"/>
      <c r="B1329" s="18">
        <v>2023</v>
      </c>
      <c r="C1329" s="18" t="s">
        <v>732</v>
      </c>
      <c r="D1329" s="18" t="s">
        <v>738</v>
      </c>
      <c r="E1329" s="18" t="s">
        <v>703</v>
      </c>
      <c r="F1329" s="18" t="s">
        <v>676</v>
      </c>
      <c r="G1329" s="18" t="s">
        <v>739</v>
      </c>
      <c r="H1329" s="18" t="s">
        <v>740</v>
      </c>
      <c r="I1329" s="315">
        <v>179.61292684102477</v>
      </c>
      <c r="J1329" s="315">
        <v>7.8166197873106164E-2</v>
      </c>
      <c r="K1329" s="316" t="str">
        <f t="shared" si="40"/>
        <v>Pleasure Craft</v>
      </c>
      <c r="L1329" s="316" t="str">
        <f t="shared" si="41"/>
        <v>Gasoline</v>
      </c>
      <c r="M1329" s="194"/>
      <c r="N1329" s="317"/>
      <c r="O1329" s="317"/>
      <c r="P1329" s="317"/>
      <c r="Q1329" s="317"/>
      <c r="R1329" s="317"/>
      <c r="S1329" s="317"/>
      <c r="T1329" s="317"/>
      <c r="U1329" s="317"/>
      <c r="V1329" s="317"/>
      <c r="W1329" s="317"/>
      <c r="X1329" s="317"/>
      <c r="Y1329" s="317"/>
      <c r="Z1329" s="317"/>
    </row>
    <row r="1330" spans="1:26" x14ac:dyDescent="0.25">
      <c r="A1330" s="314"/>
      <c r="B1330" s="18">
        <v>2023</v>
      </c>
      <c r="C1330" s="18" t="s">
        <v>743</v>
      </c>
      <c r="D1330" s="18" t="s">
        <v>979</v>
      </c>
      <c r="E1330" s="18" t="s">
        <v>703</v>
      </c>
      <c r="F1330" s="18" t="s">
        <v>704</v>
      </c>
      <c r="G1330" s="18" t="s">
        <v>675</v>
      </c>
      <c r="H1330" s="18" t="s">
        <v>802</v>
      </c>
      <c r="I1330" s="315">
        <v>178.85783219854432</v>
      </c>
      <c r="J1330" s="315">
        <v>6.4721997875540158E-2</v>
      </c>
      <c r="K1330" s="316" t="str">
        <f t="shared" si="40"/>
        <v>Industrial Equipment</v>
      </c>
      <c r="L1330" s="316" t="str">
        <f t="shared" si="41"/>
        <v>Gasoline</v>
      </c>
      <c r="M1330" s="194"/>
      <c r="N1330" s="317"/>
      <c r="O1330" s="317"/>
      <c r="P1330" s="317"/>
      <c r="Q1330" s="317"/>
      <c r="R1330" s="317"/>
      <c r="S1330" s="317"/>
      <c r="T1330" s="317"/>
      <c r="U1330" s="317"/>
      <c r="V1330" s="317"/>
      <c r="W1330" s="317"/>
      <c r="X1330" s="317"/>
      <c r="Y1330" s="317"/>
      <c r="Z1330" s="317"/>
    </row>
    <row r="1331" spans="1:26" x14ac:dyDescent="0.25">
      <c r="A1331" s="314"/>
      <c r="B1331" s="18">
        <v>2023</v>
      </c>
      <c r="C1331" s="18" t="s">
        <v>710</v>
      </c>
      <c r="D1331" s="18" t="s">
        <v>1015</v>
      </c>
      <c r="E1331" s="18" t="s">
        <v>56</v>
      </c>
      <c r="F1331" s="18" t="s">
        <v>601</v>
      </c>
      <c r="G1331" s="18" t="s">
        <v>677</v>
      </c>
      <c r="H1331" s="18" t="s">
        <v>747</v>
      </c>
      <c r="I1331" s="315">
        <v>178.55479028450151</v>
      </c>
      <c r="J1331" s="315">
        <v>3.9946864363832604</v>
      </c>
      <c r="K1331" s="316" t="str">
        <f t="shared" si="40"/>
        <v>Commercial Equipment</v>
      </c>
      <c r="L1331" s="316" t="str">
        <f t="shared" si="41"/>
        <v>CNG</v>
      </c>
      <c r="M1331" s="194"/>
      <c r="N1331" s="317"/>
      <c r="O1331" s="317"/>
      <c r="P1331" s="317"/>
      <c r="Q1331" s="317"/>
      <c r="R1331" s="317"/>
      <c r="S1331" s="317"/>
      <c r="T1331" s="317"/>
      <c r="U1331" s="317"/>
      <c r="V1331" s="317"/>
      <c r="W1331" s="317"/>
      <c r="X1331" s="317"/>
      <c r="Y1331" s="317"/>
      <c r="Z1331" s="317"/>
    </row>
    <row r="1332" spans="1:26" x14ac:dyDescent="0.25">
      <c r="A1332" s="314"/>
      <c r="B1332" s="18">
        <v>2023</v>
      </c>
      <c r="C1332" s="18" t="s">
        <v>701</v>
      </c>
      <c r="D1332" s="18" t="s">
        <v>1037</v>
      </c>
      <c r="E1332" s="18" t="s">
        <v>56</v>
      </c>
      <c r="F1332" s="18" t="s">
        <v>672</v>
      </c>
      <c r="G1332" s="18" t="s">
        <v>677</v>
      </c>
      <c r="H1332" s="18" t="s">
        <v>841</v>
      </c>
      <c r="I1332" s="315">
        <v>178.45928603252301</v>
      </c>
      <c r="J1332" s="315">
        <v>1.8064970276829434E-2</v>
      </c>
      <c r="K1332" s="316" t="str">
        <f t="shared" si="40"/>
        <v>Commercial Equipment</v>
      </c>
      <c r="L1332" s="316" t="str">
        <f t="shared" si="41"/>
        <v>LPG</v>
      </c>
      <c r="M1332" s="194"/>
      <c r="N1332" s="317"/>
      <c r="O1332" s="317"/>
      <c r="P1332" s="317"/>
      <c r="Q1332" s="317"/>
      <c r="R1332" s="317"/>
      <c r="S1332" s="317"/>
      <c r="T1332" s="317"/>
      <c r="U1332" s="317"/>
      <c r="V1332" s="317"/>
      <c r="W1332" s="317"/>
      <c r="X1332" s="317"/>
      <c r="Y1332" s="317"/>
      <c r="Z1332" s="317"/>
    </row>
    <row r="1333" spans="1:26" x14ac:dyDescent="0.25">
      <c r="A1333" s="314"/>
      <c r="B1333" s="18">
        <v>2023</v>
      </c>
      <c r="C1333" s="18" t="s">
        <v>753</v>
      </c>
      <c r="D1333" s="18" t="s">
        <v>807</v>
      </c>
      <c r="E1333" s="18" t="s">
        <v>703</v>
      </c>
      <c r="F1333" s="18" t="s">
        <v>805</v>
      </c>
      <c r="G1333" s="18" t="s">
        <v>673</v>
      </c>
      <c r="H1333" s="18" t="s">
        <v>749</v>
      </c>
      <c r="I1333" s="315">
        <v>178.37434735695345</v>
      </c>
      <c r="J1333" s="315">
        <v>0.33367884878682563</v>
      </c>
      <c r="K1333" s="316" t="str">
        <f t="shared" si="40"/>
        <v>Lawn and Garden Equipment</v>
      </c>
      <c r="L1333" s="316" t="str">
        <f t="shared" si="41"/>
        <v>Gasoline</v>
      </c>
      <c r="M1333" s="194"/>
      <c r="N1333" s="317"/>
      <c r="O1333" s="317"/>
      <c r="P1333" s="317"/>
      <c r="Q1333" s="317"/>
      <c r="R1333" s="317"/>
      <c r="S1333" s="317"/>
      <c r="T1333" s="317"/>
      <c r="U1333" s="317"/>
      <c r="V1333" s="317"/>
      <c r="W1333" s="317"/>
      <c r="X1333" s="317"/>
      <c r="Y1333" s="317"/>
      <c r="Z1333" s="317"/>
    </row>
    <row r="1334" spans="1:26" x14ac:dyDescent="0.25">
      <c r="A1334" s="314"/>
      <c r="B1334" s="18">
        <v>2023</v>
      </c>
      <c r="C1334" s="18" t="s">
        <v>706</v>
      </c>
      <c r="D1334" s="18" t="s">
        <v>1071</v>
      </c>
      <c r="E1334" s="18" t="s">
        <v>713</v>
      </c>
      <c r="F1334" s="18" t="s">
        <v>714</v>
      </c>
      <c r="G1334" s="18" t="s">
        <v>674</v>
      </c>
      <c r="H1334" s="18" t="s">
        <v>1072</v>
      </c>
      <c r="I1334" s="315">
        <v>177.32724538554294</v>
      </c>
      <c r="J1334" s="315">
        <v>2.3742952679926261E-3</v>
      </c>
      <c r="K1334" s="316" t="str">
        <f t="shared" si="40"/>
        <v>Construction and Mining Equipment</v>
      </c>
      <c r="L1334" s="316" t="str">
        <f t="shared" si="41"/>
        <v>Diesel</v>
      </c>
      <c r="M1334" s="194"/>
      <c r="N1334" s="317"/>
      <c r="O1334" s="317"/>
      <c r="P1334" s="317"/>
      <c r="Q1334" s="317"/>
      <c r="R1334" s="317"/>
      <c r="S1334" s="317"/>
      <c r="T1334" s="317"/>
      <c r="U1334" s="317"/>
      <c r="V1334" s="317"/>
      <c r="W1334" s="317"/>
      <c r="X1334" s="317"/>
      <c r="Y1334" s="317"/>
      <c r="Z1334" s="317"/>
    </row>
    <row r="1335" spans="1:26" x14ac:dyDescent="0.25">
      <c r="A1335" s="314"/>
      <c r="B1335" s="18">
        <v>2023</v>
      </c>
      <c r="C1335" s="18" t="s">
        <v>710</v>
      </c>
      <c r="D1335" s="18" t="s">
        <v>1022</v>
      </c>
      <c r="E1335" s="18" t="s">
        <v>703</v>
      </c>
      <c r="F1335" s="18" t="s">
        <v>704</v>
      </c>
      <c r="G1335" s="18" t="s">
        <v>675</v>
      </c>
      <c r="H1335" s="18" t="s">
        <v>772</v>
      </c>
      <c r="I1335" s="315">
        <v>177.29797791792663</v>
      </c>
      <c r="J1335" s="315">
        <v>1.2508365331848181E-2</v>
      </c>
      <c r="K1335" s="316" t="str">
        <f t="shared" si="40"/>
        <v>Industrial Equipment</v>
      </c>
      <c r="L1335" s="316" t="str">
        <f t="shared" si="41"/>
        <v>Gasoline</v>
      </c>
      <c r="M1335" s="194"/>
      <c r="N1335" s="317"/>
      <c r="O1335" s="317"/>
      <c r="P1335" s="317"/>
      <c r="Q1335" s="317"/>
      <c r="R1335" s="317"/>
      <c r="S1335" s="317"/>
      <c r="T1335" s="317"/>
      <c r="U1335" s="317"/>
      <c r="V1335" s="317"/>
      <c r="W1335" s="317"/>
      <c r="X1335" s="317"/>
      <c r="Y1335" s="317"/>
      <c r="Z1335" s="317"/>
    </row>
    <row r="1336" spans="1:26" x14ac:dyDescent="0.25">
      <c r="A1336" s="314"/>
      <c r="B1336" s="18">
        <v>2023</v>
      </c>
      <c r="C1336" s="18" t="s">
        <v>754</v>
      </c>
      <c r="D1336" s="18" t="s">
        <v>920</v>
      </c>
      <c r="E1336" s="18" t="s">
        <v>703</v>
      </c>
      <c r="F1336" s="18" t="s">
        <v>704</v>
      </c>
      <c r="G1336" s="18" t="s">
        <v>673</v>
      </c>
      <c r="H1336" s="18" t="s">
        <v>921</v>
      </c>
      <c r="I1336" s="315">
        <v>176.96869445832223</v>
      </c>
      <c r="J1336" s="315">
        <v>0.11249611292424641</v>
      </c>
      <c r="K1336" s="316" t="str">
        <f t="shared" si="40"/>
        <v>Lawn and Garden Equipment</v>
      </c>
      <c r="L1336" s="316" t="str">
        <f t="shared" si="41"/>
        <v>Gasoline</v>
      </c>
      <c r="M1336" s="194"/>
      <c r="N1336" s="317"/>
      <c r="O1336" s="317"/>
      <c r="P1336" s="317"/>
      <c r="Q1336" s="317"/>
      <c r="R1336" s="317"/>
      <c r="S1336" s="317"/>
      <c r="T1336" s="317"/>
      <c r="U1336" s="317"/>
      <c r="V1336" s="317"/>
      <c r="W1336" s="317"/>
      <c r="X1336" s="317"/>
      <c r="Y1336" s="317"/>
      <c r="Z1336" s="317"/>
    </row>
    <row r="1337" spans="1:26" x14ac:dyDescent="0.25">
      <c r="A1337" s="314"/>
      <c r="B1337" s="18">
        <v>2023</v>
      </c>
      <c r="C1337" s="18" t="s">
        <v>793</v>
      </c>
      <c r="D1337" s="18" t="s">
        <v>784</v>
      </c>
      <c r="E1337" s="18" t="s">
        <v>713</v>
      </c>
      <c r="F1337" s="18" t="s">
        <v>714</v>
      </c>
      <c r="G1337" s="18" t="s">
        <v>677</v>
      </c>
      <c r="H1337" s="18" t="s">
        <v>785</v>
      </c>
      <c r="I1337" s="315">
        <v>176.29889916358158</v>
      </c>
      <c r="J1337" s="315">
        <v>2.4985144508407726E-3</v>
      </c>
      <c r="K1337" s="316" t="str">
        <f t="shared" si="40"/>
        <v>Commercial Equipment</v>
      </c>
      <c r="L1337" s="316" t="str">
        <f t="shared" si="41"/>
        <v>Diesel</v>
      </c>
      <c r="M1337" s="194"/>
      <c r="N1337" s="317"/>
      <c r="O1337" s="317"/>
      <c r="P1337" s="317"/>
      <c r="Q1337" s="317"/>
      <c r="R1337" s="317"/>
      <c r="S1337" s="317"/>
      <c r="T1337" s="317"/>
      <c r="U1337" s="317"/>
      <c r="V1337" s="317"/>
      <c r="W1337" s="317"/>
      <c r="X1337" s="317"/>
      <c r="Y1337" s="317"/>
      <c r="Z1337" s="317"/>
    </row>
    <row r="1338" spans="1:26" x14ac:dyDescent="0.25">
      <c r="A1338" s="314"/>
      <c r="B1338" s="18">
        <v>2023</v>
      </c>
      <c r="C1338" s="18" t="s">
        <v>778</v>
      </c>
      <c r="D1338" s="18" t="s">
        <v>797</v>
      </c>
      <c r="E1338" s="18" t="s">
        <v>713</v>
      </c>
      <c r="F1338" s="18" t="s">
        <v>714</v>
      </c>
      <c r="G1338" s="18" t="s">
        <v>675</v>
      </c>
      <c r="H1338" s="18" t="s">
        <v>798</v>
      </c>
      <c r="I1338" s="315">
        <v>175.79433710492088</v>
      </c>
      <c r="J1338" s="315">
        <v>1.4830035672302752E-3</v>
      </c>
      <c r="K1338" s="316" t="str">
        <f t="shared" si="40"/>
        <v>Industrial Equipment</v>
      </c>
      <c r="L1338" s="316" t="str">
        <f t="shared" si="41"/>
        <v>Diesel</v>
      </c>
      <c r="M1338" s="194"/>
      <c r="N1338" s="317"/>
      <c r="O1338" s="317"/>
      <c r="P1338" s="317"/>
      <c r="Q1338" s="317"/>
      <c r="R1338" s="317"/>
      <c r="S1338" s="317"/>
      <c r="T1338" s="317"/>
      <c r="U1338" s="317"/>
      <c r="V1338" s="317"/>
      <c r="W1338" s="317"/>
      <c r="X1338" s="317"/>
      <c r="Y1338" s="317"/>
      <c r="Z1338" s="317"/>
    </row>
    <row r="1339" spans="1:26" x14ac:dyDescent="0.25">
      <c r="A1339" s="314"/>
      <c r="B1339" s="18">
        <v>2023</v>
      </c>
      <c r="C1339" s="18" t="s">
        <v>711</v>
      </c>
      <c r="D1339" s="18" t="s">
        <v>1021</v>
      </c>
      <c r="E1339" s="18" t="s">
        <v>703</v>
      </c>
      <c r="F1339" s="18" t="s">
        <v>704</v>
      </c>
      <c r="G1339" s="18" t="s">
        <v>679</v>
      </c>
      <c r="H1339" s="18" t="s">
        <v>983</v>
      </c>
      <c r="I1339" s="315">
        <v>175.78424103562409</v>
      </c>
      <c r="J1339" s="315">
        <v>0.23927787025322728</v>
      </c>
      <c r="K1339" s="316" t="str">
        <f t="shared" si="40"/>
        <v>Recreational Equipment</v>
      </c>
      <c r="L1339" s="316" t="str">
        <f t="shared" si="41"/>
        <v>Gasoline</v>
      </c>
      <c r="M1339" s="194"/>
      <c r="N1339" s="317"/>
      <c r="O1339" s="317"/>
      <c r="P1339" s="317"/>
      <c r="Q1339" s="317"/>
      <c r="R1339" s="317"/>
      <c r="S1339" s="317"/>
      <c r="T1339" s="317"/>
      <c r="U1339" s="317"/>
      <c r="V1339" s="317"/>
      <c r="W1339" s="317"/>
      <c r="X1339" s="317"/>
      <c r="Y1339" s="317"/>
      <c r="Z1339" s="317"/>
    </row>
    <row r="1340" spans="1:26" x14ac:dyDescent="0.25">
      <c r="A1340" s="314"/>
      <c r="B1340" s="18">
        <v>2023</v>
      </c>
      <c r="C1340" s="18" t="s">
        <v>701</v>
      </c>
      <c r="D1340" s="18" t="s">
        <v>1021</v>
      </c>
      <c r="E1340" s="18" t="s">
        <v>703</v>
      </c>
      <c r="F1340" s="18" t="s">
        <v>704</v>
      </c>
      <c r="G1340" s="18" t="s">
        <v>679</v>
      </c>
      <c r="H1340" s="18" t="s">
        <v>983</v>
      </c>
      <c r="I1340" s="315">
        <v>175.78424103562409</v>
      </c>
      <c r="J1340" s="315">
        <v>0.2395839480068972</v>
      </c>
      <c r="K1340" s="316" t="str">
        <f t="shared" si="40"/>
        <v>Recreational Equipment</v>
      </c>
      <c r="L1340" s="316" t="str">
        <f t="shared" si="41"/>
        <v>Gasoline</v>
      </c>
      <c r="M1340" s="194"/>
      <c r="N1340" s="317"/>
      <c r="O1340" s="317"/>
      <c r="P1340" s="317"/>
      <c r="Q1340" s="317"/>
      <c r="R1340" s="317"/>
      <c r="S1340" s="317"/>
      <c r="T1340" s="317"/>
      <c r="U1340" s="317"/>
      <c r="V1340" s="317"/>
      <c r="W1340" s="317"/>
      <c r="X1340" s="317"/>
      <c r="Y1340" s="317"/>
      <c r="Z1340" s="317"/>
    </row>
    <row r="1341" spans="1:26" x14ac:dyDescent="0.25">
      <c r="A1341" s="314"/>
      <c r="B1341" s="18">
        <v>2023</v>
      </c>
      <c r="C1341" s="18" t="s">
        <v>732</v>
      </c>
      <c r="D1341" s="18" t="s">
        <v>958</v>
      </c>
      <c r="E1341" s="18" t="s">
        <v>713</v>
      </c>
      <c r="F1341" s="18" t="s">
        <v>714</v>
      </c>
      <c r="G1341" s="18" t="s">
        <v>674</v>
      </c>
      <c r="H1341" s="18" t="s">
        <v>959</v>
      </c>
      <c r="I1341" s="315">
        <v>174.6071841993286</v>
      </c>
      <c r="J1341" s="315">
        <v>1.5532217864855705E-3</v>
      </c>
      <c r="K1341" s="316" t="str">
        <f t="shared" si="40"/>
        <v>Construction and Mining Equipment</v>
      </c>
      <c r="L1341" s="316" t="str">
        <f t="shared" si="41"/>
        <v>Diesel</v>
      </c>
      <c r="M1341" s="194"/>
      <c r="N1341" s="317"/>
      <c r="O1341" s="317"/>
      <c r="P1341" s="317"/>
      <c r="Q1341" s="317"/>
      <c r="R1341" s="317"/>
      <c r="S1341" s="317"/>
      <c r="T1341" s="317"/>
      <c r="U1341" s="317"/>
      <c r="V1341" s="317"/>
      <c r="W1341" s="317"/>
      <c r="X1341" s="317"/>
      <c r="Y1341" s="317"/>
      <c r="Z1341" s="317"/>
    </row>
    <row r="1342" spans="1:26" x14ac:dyDescent="0.25">
      <c r="A1342" s="314"/>
      <c r="B1342" s="18">
        <v>2023</v>
      </c>
      <c r="C1342" s="18" t="s">
        <v>722</v>
      </c>
      <c r="D1342" s="18" t="s">
        <v>979</v>
      </c>
      <c r="E1342" s="18" t="s">
        <v>703</v>
      </c>
      <c r="F1342" s="18" t="s">
        <v>704</v>
      </c>
      <c r="G1342" s="18" t="s">
        <v>675</v>
      </c>
      <c r="H1342" s="18" t="s">
        <v>802</v>
      </c>
      <c r="I1342" s="315">
        <v>173.7108706215671</v>
      </c>
      <c r="J1342" s="315">
        <v>6.2611610659502034E-2</v>
      </c>
      <c r="K1342" s="316" t="str">
        <f t="shared" si="40"/>
        <v>Industrial Equipment</v>
      </c>
      <c r="L1342" s="316" t="str">
        <f t="shared" si="41"/>
        <v>Gasoline</v>
      </c>
      <c r="M1342" s="194"/>
      <c r="N1342" s="317"/>
      <c r="O1342" s="317"/>
      <c r="P1342" s="317"/>
      <c r="Q1342" s="317"/>
      <c r="R1342" s="317"/>
      <c r="S1342" s="317"/>
      <c r="T1342" s="317"/>
      <c r="U1342" s="317"/>
      <c r="V1342" s="317"/>
      <c r="W1342" s="317"/>
      <c r="X1342" s="317"/>
      <c r="Y1342" s="317"/>
      <c r="Z1342" s="317"/>
    </row>
    <row r="1343" spans="1:26" x14ac:dyDescent="0.25">
      <c r="A1343" s="314"/>
      <c r="B1343" s="18">
        <v>2023</v>
      </c>
      <c r="C1343" s="18" t="s">
        <v>727</v>
      </c>
      <c r="D1343" s="18" t="s">
        <v>855</v>
      </c>
      <c r="E1343" s="18" t="s">
        <v>713</v>
      </c>
      <c r="F1343" s="18" t="s">
        <v>714</v>
      </c>
      <c r="G1343" s="18" t="s">
        <v>674</v>
      </c>
      <c r="H1343" s="18" t="s">
        <v>856</v>
      </c>
      <c r="I1343" s="315">
        <v>173.54481293413289</v>
      </c>
      <c r="J1343" s="315">
        <v>1.096609450988297E-3</v>
      </c>
      <c r="K1343" s="316" t="str">
        <f t="shared" si="40"/>
        <v>Construction and Mining Equipment</v>
      </c>
      <c r="L1343" s="316" t="str">
        <f t="shared" si="41"/>
        <v>Diesel</v>
      </c>
      <c r="M1343" s="194"/>
      <c r="N1343" s="317"/>
      <c r="O1343" s="317"/>
      <c r="P1343" s="317"/>
      <c r="Q1343" s="317"/>
      <c r="R1343" s="317"/>
      <c r="S1343" s="317"/>
      <c r="T1343" s="317"/>
      <c r="U1343" s="317"/>
      <c r="V1343" s="317"/>
      <c r="W1343" s="317"/>
      <c r="X1343" s="317"/>
      <c r="Y1343" s="317"/>
      <c r="Z1343" s="317"/>
    </row>
    <row r="1344" spans="1:26" x14ac:dyDescent="0.25">
      <c r="A1344" s="314"/>
      <c r="B1344" s="18">
        <v>2023</v>
      </c>
      <c r="C1344" s="18" t="s">
        <v>778</v>
      </c>
      <c r="D1344" s="18" t="s">
        <v>801</v>
      </c>
      <c r="E1344" s="18" t="s">
        <v>713</v>
      </c>
      <c r="F1344" s="18" t="s">
        <v>714</v>
      </c>
      <c r="G1344" s="18" t="s">
        <v>675</v>
      </c>
      <c r="H1344" s="18" t="s">
        <v>802</v>
      </c>
      <c r="I1344" s="315">
        <v>173.32804451715097</v>
      </c>
      <c r="J1344" s="315">
        <v>1.1545912685442124E-3</v>
      </c>
      <c r="K1344" s="316" t="str">
        <f t="shared" si="40"/>
        <v>Industrial Equipment</v>
      </c>
      <c r="L1344" s="316" t="str">
        <f t="shared" si="41"/>
        <v>Diesel</v>
      </c>
      <c r="M1344" s="194"/>
      <c r="N1344" s="317"/>
      <c r="O1344" s="317"/>
      <c r="P1344" s="317"/>
      <c r="Q1344" s="317"/>
      <c r="R1344" s="317"/>
      <c r="S1344" s="317"/>
      <c r="T1344" s="317"/>
      <c r="U1344" s="317"/>
      <c r="V1344" s="317"/>
      <c r="W1344" s="317"/>
      <c r="X1344" s="317"/>
      <c r="Y1344" s="317"/>
      <c r="Z1344" s="317"/>
    </row>
    <row r="1345" spans="1:26" x14ac:dyDescent="0.25">
      <c r="A1345" s="314"/>
      <c r="B1345" s="18">
        <v>2023</v>
      </c>
      <c r="C1345" s="18" t="s">
        <v>773</v>
      </c>
      <c r="D1345" s="18" t="s">
        <v>849</v>
      </c>
      <c r="E1345" s="18" t="s">
        <v>713</v>
      </c>
      <c r="F1345" s="18" t="s">
        <v>714</v>
      </c>
      <c r="G1345" s="18" t="s">
        <v>674</v>
      </c>
      <c r="H1345" s="18" t="s">
        <v>850</v>
      </c>
      <c r="I1345" s="315">
        <v>173.0873151592034</v>
      </c>
      <c r="J1345" s="315">
        <v>2.4181271567598529E-3</v>
      </c>
      <c r="K1345" s="316" t="str">
        <f t="shared" si="40"/>
        <v>Construction and Mining Equipment</v>
      </c>
      <c r="L1345" s="316" t="str">
        <f t="shared" si="41"/>
        <v>Diesel</v>
      </c>
      <c r="M1345" s="194"/>
      <c r="N1345" s="317"/>
      <c r="O1345" s="317"/>
      <c r="P1345" s="317"/>
      <c r="Q1345" s="317"/>
      <c r="R1345" s="317"/>
      <c r="S1345" s="317"/>
      <c r="T1345" s="317"/>
      <c r="U1345" s="317"/>
      <c r="V1345" s="317"/>
      <c r="W1345" s="317"/>
      <c r="X1345" s="317"/>
      <c r="Y1345" s="317"/>
      <c r="Z1345" s="317"/>
    </row>
    <row r="1346" spans="1:26" x14ac:dyDescent="0.25">
      <c r="A1346" s="314"/>
      <c r="B1346" s="18">
        <v>2023</v>
      </c>
      <c r="C1346" s="18" t="s">
        <v>706</v>
      </c>
      <c r="D1346" s="18" t="s">
        <v>1065</v>
      </c>
      <c r="E1346" s="18" t="s">
        <v>703</v>
      </c>
      <c r="F1346" s="18" t="s">
        <v>795</v>
      </c>
      <c r="G1346" s="18" t="s">
        <v>673</v>
      </c>
      <c r="H1346" s="18" t="s">
        <v>1066</v>
      </c>
      <c r="I1346" s="315">
        <v>173.01291906651781</v>
      </c>
      <c r="J1346" s="315">
        <v>1.1817562326975706</v>
      </c>
      <c r="K1346" s="316" t="str">
        <f t="shared" si="40"/>
        <v>Lawn and Garden Equipment</v>
      </c>
      <c r="L1346" s="316" t="str">
        <f t="shared" si="41"/>
        <v>Gasoline</v>
      </c>
      <c r="M1346" s="194"/>
      <c r="N1346" s="317"/>
      <c r="O1346" s="317"/>
      <c r="P1346" s="317"/>
      <c r="Q1346" s="317"/>
      <c r="R1346" s="317"/>
      <c r="S1346" s="317"/>
      <c r="T1346" s="317"/>
      <c r="U1346" s="317"/>
      <c r="V1346" s="317"/>
      <c r="W1346" s="317"/>
      <c r="X1346" s="317"/>
      <c r="Y1346" s="317"/>
      <c r="Z1346" s="317"/>
    </row>
    <row r="1347" spans="1:26" x14ac:dyDescent="0.25">
      <c r="A1347" s="314"/>
      <c r="B1347" s="18">
        <v>2023</v>
      </c>
      <c r="C1347" s="18" t="s">
        <v>711</v>
      </c>
      <c r="D1347" s="18" t="s">
        <v>988</v>
      </c>
      <c r="E1347" s="18" t="s">
        <v>703</v>
      </c>
      <c r="F1347" s="18" t="s">
        <v>805</v>
      </c>
      <c r="G1347" s="18" t="s">
        <v>673</v>
      </c>
      <c r="H1347" s="18" t="s">
        <v>768</v>
      </c>
      <c r="I1347" s="315">
        <v>172.10390522621114</v>
      </c>
      <c r="J1347" s="315">
        <v>0.32040636232146963</v>
      </c>
      <c r="K1347" s="316" t="str">
        <f t="shared" si="40"/>
        <v>Lawn and Garden Equipment</v>
      </c>
      <c r="L1347" s="316" t="str">
        <f t="shared" si="41"/>
        <v>Gasoline</v>
      </c>
      <c r="M1347" s="194"/>
      <c r="N1347" s="317"/>
      <c r="O1347" s="317"/>
      <c r="P1347" s="317"/>
      <c r="Q1347" s="317"/>
      <c r="R1347" s="317"/>
      <c r="S1347" s="317"/>
      <c r="T1347" s="317"/>
      <c r="U1347" s="317"/>
      <c r="V1347" s="317"/>
      <c r="W1347" s="317"/>
      <c r="X1347" s="317"/>
      <c r="Y1347" s="317"/>
      <c r="Z1347" s="317"/>
    </row>
    <row r="1348" spans="1:26" x14ac:dyDescent="0.25">
      <c r="A1348" s="314"/>
      <c r="B1348" s="18">
        <v>2023</v>
      </c>
      <c r="C1348" s="18" t="s">
        <v>773</v>
      </c>
      <c r="D1348" s="18" t="s">
        <v>880</v>
      </c>
      <c r="E1348" s="18" t="s">
        <v>703</v>
      </c>
      <c r="F1348" s="18" t="s">
        <v>704</v>
      </c>
      <c r="G1348" s="18" t="s">
        <v>677</v>
      </c>
      <c r="H1348" s="18" t="s">
        <v>785</v>
      </c>
      <c r="I1348" s="315">
        <v>172.04907900016048</v>
      </c>
      <c r="J1348" s="315">
        <v>9.8587761406088312E-2</v>
      </c>
      <c r="K1348" s="316" t="str">
        <f t="shared" si="40"/>
        <v>Commercial Equipment</v>
      </c>
      <c r="L1348" s="316" t="str">
        <f t="shared" si="41"/>
        <v>Gasoline</v>
      </c>
      <c r="M1348" s="194"/>
      <c r="N1348" s="317"/>
      <c r="O1348" s="317"/>
      <c r="P1348" s="317"/>
      <c r="Q1348" s="317"/>
      <c r="R1348" s="317"/>
      <c r="S1348" s="317"/>
      <c r="T1348" s="317"/>
      <c r="U1348" s="317"/>
      <c r="V1348" s="317"/>
      <c r="W1348" s="317"/>
      <c r="X1348" s="317"/>
      <c r="Y1348" s="317"/>
      <c r="Z1348" s="317"/>
    </row>
    <row r="1349" spans="1:26" x14ac:dyDescent="0.25">
      <c r="A1349" s="314"/>
      <c r="B1349" s="18">
        <v>2023</v>
      </c>
      <c r="C1349" s="18" t="s">
        <v>759</v>
      </c>
      <c r="D1349" s="18" t="s">
        <v>971</v>
      </c>
      <c r="E1349" s="18" t="s">
        <v>713</v>
      </c>
      <c r="F1349" s="18" t="s">
        <v>714</v>
      </c>
      <c r="G1349" s="18" t="s">
        <v>678</v>
      </c>
      <c r="H1349" s="18" t="s">
        <v>972</v>
      </c>
      <c r="I1349" s="315">
        <v>171.75979083102746</v>
      </c>
      <c r="J1349" s="315">
        <v>9.5407006045435604E-4</v>
      </c>
      <c r="K1349" s="316" t="str">
        <f t="shared" si="40"/>
        <v>Agricultural Equipment</v>
      </c>
      <c r="L1349" s="316" t="str">
        <f t="shared" si="41"/>
        <v>Diesel</v>
      </c>
      <c r="M1349" s="194"/>
      <c r="N1349" s="317"/>
      <c r="O1349" s="317"/>
      <c r="P1349" s="317"/>
      <c r="Q1349" s="317"/>
      <c r="R1349" s="317"/>
      <c r="S1349" s="317"/>
      <c r="T1349" s="317"/>
      <c r="U1349" s="317"/>
      <c r="V1349" s="317"/>
      <c r="W1349" s="317"/>
      <c r="X1349" s="317"/>
      <c r="Y1349" s="317"/>
      <c r="Z1349" s="317"/>
    </row>
    <row r="1350" spans="1:26" x14ac:dyDescent="0.25">
      <c r="A1350" s="314"/>
      <c r="B1350" s="18">
        <v>2023</v>
      </c>
      <c r="C1350" s="18" t="s">
        <v>750</v>
      </c>
      <c r="D1350" s="18" t="s">
        <v>784</v>
      </c>
      <c r="E1350" s="18" t="s">
        <v>713</v>
      </c>
      <c r="F1350" s="18" t="s">
        <v>714</v>
      </c>
      <c r="G1350" s="18" t="s">
        <v>677</v>
      </c>
      <c r="H1350" s="18" t="s">
        <v>785</v>
      </c>
      <c r="I1350" s="315">
        <v>171.53417615909188</v>
      </c>
      <c r="J1350" s="315">
        <v>2.430987863095539E-3</v>
      </c>
      <c r="K1350" s="316" t="str">
        <f t="shared" si="40"/>
        <v>Commercial Equipment</v>
      </c>
      <c r="L1350" s="316" t="str">
        <f t="shared" si="41"/>
        <v>Diesel</v>
      </c>
      <c r="M1350" s="194"/>
      <c r="N1350" s="317"/>
      <c r="O1350" s="317"/>
      <c r="P1350" s="317"/>
      <c r="Q1350" s="317"/>
      <c r="R1350" s="317"/>
      <c r="S1350" s="317"/>
      <c r="T1350" s="317"/>
      <c r="U1350" s="317"/>
      <c r="V1350" s="317"/>
      <c r="W1350" s="317"/>
      <c r="X1350" s="317"/>
      <c r="Y1350" s="317"/>
      <c r="Z1350" s="317"/>
    </row>
    <row r="1351" spans="1:26" x14ac:dyDescent="0.25">
      <c r="A1351" s="314"/>
      <c r="B1351" s="18">
        <v>2023</v>
      </c>
      <c r="C1351" s="18" t="s">
        <v>778</v>
      </c>
      <c r="D1351" s="18" t="s">
        <v>794</v>
      </c>
      <c r="E1351" s="18" t="s">
        <v>703</v>
      </c>
      <c r="F1351" s="18" t="s">
        <v>795</v>
      </c>
      <c r="G1351" s="18" t="s">
        <v>673</v>
      </c>
      <c r="H1351" s="18" t="s">
        <v>796</v>
      </c>
      <c r="I1351" s="315">
        <v>171.34540865403002</v>
      </c>
      <c r="J1351" s="315">
        <v>0.31301489081091227</v>
      </c>
      <c r="K1351" s="316" t="str">
        <f t="shared" si="40"/>
        <v>Lawn and Garden Equipment</v>
      </c>
      <c r="L1351" s="316" t="str">
        <f t="shared" si="41"/>
        <v>Gasoline</v>
      </c>
      <c r="M1351" s="194"/>
      <c r="N1351" s="317"/>
      <c r="O1351" s="317"/>
      <c r="P1351" s="317"/>
      <c r="Q1351" s="317"/>
      <c r="R1351" s="317"/>
      <c r="S1351" s="317"/>
      <c r="T1351" s="317"/>
      <c r="U1351" s="317"/>
      <c r="V1351" s="317"/>
      <c r="W1351" s="317"/>
      <c r="X1351" s="317"/>
      <c r="Y1351" s="317"/>
      <c r="Z1351" s="317"/>
    </row>
    <row r="1352" spans="1:26" x14ac:dyDescent="0.25">
      <c r="A1352" s="314"/>
      <c r="B1352" s="18">
        <v>2023</v>
      </c>
      <c r="C1352" s="18" t="s">
        <v>781</v>
      </c>
      <c r="D1352" s="18" t="s">
        <v>839</v>
      </c>
      <c r="E1352" s="18" t="s">
        <v>703</v>
      </c>
      <c r="F1352" s="18" t="s">
        <v>704</v>
      </c>
      <c r="G1352" s="18" t="s">
        <v>675</v>
      </c>
      <c r="H1352" s="18" t="s">
        <v>708</v>
      </c>
      <c r="I1352" s="315">
        <v>171.14272667329038</v>
      </c>
      <c r="J1352" s="315">
        <v>1.1754028836451066E-2</v>
      </c>
      <c r="K1352" s="316" t="str">
        <f t="shared" si="40"/>
        <v>Industrial Equipment</v>
      </c>
      <c r="L1352" s="316" t="str">
        <f t="shared" si="41"/>
        <v>Gasoline</v>
      </c>
      <c r="M1352" s="194"/>
      <c r="N1352" s="317"/>
      <c r="O1352" s="317"/>
      <c r="P1352" s="317"/>
      <c r="Q1352" s="317"/>
      <c r="R1352" s="317"/>
      <c r="S1352" s="317"/>
      <c r="T1352" s="317"/>
      <c r="U1352" s="317"/>
      <c r="V1352" s="317"/>
      <c r="W1352" s="317"/>
      <c r="X1352" s="317"/>
      <c r="Y1352" s="317"/>
      <c r="Z1352" s="317"/>
    </row>
    <row r="1353" spans="1:26" x14ac:dyDescent="0.25">
      <c r="A1353" s="314"/>
      <c r="B1353" s="18">
        <v>2023</v>
      </c>
      <c r="C1353" s="18" t="s">
        <v>773</v>
      </c>
      <c r="D1353" s="18" t="s">
        <v>925</v>
      </c>
      <c r="E1353" s="18" t="s">
        <v>703</v>
      </c>
      <c r="F1353" s="18" t="s">
        <v>704</v>
      </c>
      <c r="G1353" s="18" t="s">
        <v>675</v>
      </c>
      <c r="H1353" s="18" t="s">
        <v>798</v>
      </c>
      <c r="I1353" s="315">
        <v>169.84586182523307</v>
      </c>
      <c r="J1353" s="315">
        <v>0.12642825101896765</v>
      </c>
      <c r="K1353" s="316" t="str">
        <f t="shared" si="40"/>
        <v>Industrial Equipment</v>
      </c>
      <c r="L1353" s="316" t="str">
        <f t="shared" si="41"/>
        <v>Gasoline</v>
      </c>
      <c r="M1353" s="194"/>
      <c r="N1353" s="317"/>
      <c r="O1353" s="317"/>
      <c r="P1353" s="317"/>
      <c r="Q1353" s="317"/>
      <c r="R1353" s="317"/>
      <c r="S1353" s="317"/>
      <c r="T1353" s="317"/>
      <c r="U1353" s="317"/>
      <c r="V1353" s="317"/>
      <c r="W1353" s="317"/>
      <c r="X1353" s="317"/>
      <c r="Y1353" s="317"/>
      <c r="Z1353" s="317"/>
    </row>
    <row r="1354" spans="1:26" x14ac:dyDescent="0.25">
      <c r="A1354" s="314"/>
      <c r="B1354" s="18">
        <v>2023</v>
      </c>
      <c r="C1354" s="18" t="s">
        <v>722</v>
      </c>
      <c r="D1354" s="18" t="s">
        <v>973</v>
      </c>
      <c r="E1354" s="18" t="s">
        <v>703</v>
      </c>
      <c r="F1354" s="18" t="s">
        <v>795</v>
      </c>
      <c r="G1354" s="18" t="s">
        <v>673</v>
      </c>
      <c r="H1354" s="18" t="s">
        <v>974</v>
      </c>
      <c r="I1354" s="315">
        <v>169.52685954571945</v>
      </c>
      <c r="J1354" s="315">
        <v>0.31897486032715</v>
      </c>
      <c r="K1354" s="316" t="str">
        <f t="shared" si="40"/>
        <v>Lawn and Garden Equipment</v>
      </c>
      <c r="L1354" s="316" t="str">
        <f t="shared" si="41"/>
        <v>Gasoline</v>
      </c>
      <c r="M1354" s="194"/>
      <c r="N1354" s="317"/>
      <c r="O1354" s="317"/>
      <c r="P1354" s="317"/>
      <c r="Q1354" s="317"/>
      <c r="R1354" s="317"/>
      <c r="S1354" s="317"/>
      <c r="T1354" s="317"/>
      <c r="U1354" s="317"/>
      <c r="V1354" s="317"/>
      <c r="W1354" s="317"/>
      <c r="X1354" s="317"/>
      <c r="Y1354" s="317"/>
      <c r="Z1354" s="317"/>
    </row>
    <row r="1355" spans="1:26" x14ac:dyDescent="0.25">
      <c r="A1355" s="314"/>
      <c r="B1355" s="18">
        <v>2023</v>
      </c>
      <c r="C1355" s="18" t="s">
        <v>793</v>
      </c>
      <c r="D1355" s="18" t="s">
        <v>855</v>
      </c>
      <c r="E1355" s="18" t="s">
        <v>713</v>
      </c>
      <c r="F1355" s="18" t="s">
        <v>714</v>
      </c>
      <c r="G1355" s="18" t="s">
        <v>674</v>
      </c>
      <c r="H1355" s="18" t="s">
        <v>856</v>
      </c>
      <c r="I1355" s="315">
        <v>169.44212928449394</v>
      </c>
      <c r="J1355" s="315">
        <v>1.0706851347010687E-3</v>
      </c>
      <c r="K1355" s="316" t="str">
        <f t="shared" si="40"/>
        <v>Construction and Mining Equipment</v>
      </c>
      <c r="L1355" s="316" t="str">
        <f t="shared" si="41"/>
        <v>Diesel</v>
      </c>
      <c r="M1355" s="194"/>
      <c r="N1355" s="317"/>
      <c r="O1355" s="317"/>
      <c r="P1355" s="317"/>
      <c r="Q1355" s="317"/>
      <c r="R1355" s="317"/>
      <c r="S1355" s="317"/>
      <c r="T1355" s="317"/>
      <c r="U1355" s="317"/>
      <c r="V1355" s="317"/>
      <c r="W1355" s="317"/>
      <c r="X1355" s="317"/>
      <c r="Y1355" s="317"/>
      <c r="Z1355" s="317"/>
    </row>
    <row r="1356" spans="1:26" x14ac:dyDescent="0.25">
      <c r="A1356" s="314"/>
      <c r="B1356" s="18">
        <v>2023</v>
      </c>
      <c r="C1356" s="18" t="s">
        <v>743</v>
      </c>
      <c r="D1356" s="18" t="s">
        <v>920</v>
      </c>
      <c r="E1356" s="18" t="s">
        <v>703</v>
      </c>
      <c r="F1356" s="18" t="s">
        <v>704</v>
      </c>
      <c r="G1356" s="18" t="s">
        <v>673</v>
      </c>
      <c r="H1356" s="18" t="s">
        <v>921</v>
      </c>
      <c r="I1356" s="315">
        <v>168.90989833352464</v>
      </c>
      <c r="J1356" s="315">
        <v>0.1074920404032378</v>
      </c>
      <c r="K1356" s="316" t="str">
        <f t="shared" si="40"/>
        <v>Lawn and Garden Equipment</v>
      </c>
      <c r="L1356" s="316" t="str">
        <f t="shared" si="41"/>
        <v>Gasoline</v>
      </c>
      <c r="M1356" s="194"/>
      <c r="N1356" s="317"/>
      <c r="O1356" s="317"/>
      <c r="P1356" s="317"/>
      <c r="Q1356" s="317"/>
      <c r="R1356" s="317"/>
      <c r="S1356" s="317"/>
      <c r="T1356" s="317"/>
      <c r="U1356" s="317"/>
      <c r="V1356" s="317"/>
      <c r="W1356" s="317"/>
      <c r="X1356" s="317"/>
      <c r="Y1356" s="317"/>
      <c r="Z1356" s="317"/>
    </row>
    <row r="1357" spans="1:26" x14ac:dyDescent="0.25">
      <c r="A1357" s="314"/>
      <c r="B1357" s="18">
        <v>2023</v>
      </c>
      <c r="C1357" s="18" t="s">
        <v>743</v>
      </c>
      <c r="D1357" s="18" t="s">
        <v>1001</v>
      </c>
      <c r="E1357" s="18" t="s">
        <v>713</v>
      </c>
      <c r="F1357" s="18" t="s">
        <v>683</v>
      </c>
      <c r="G1357" s="18" t="s">
        <v>79</v>
      </c>
      <c r="H1357" s="18" t="s">
        <v>1002</v>
      </c>
      <c r="I1357" s="315">
        <v>168.57599699042555</v>
      </c>
      <c r="J1357" s="315">
        <v>5.666119213039094E-3</v>
      </c>
      <c r="K1357" s="316" t="str">
        <f t="shared" si="40"/>
        <v>Railroad Equipment</v>
      </c>
      <c r="L1357" s="316" t="str">
        <f t="shared" si="41"/>
        <v>Diesel</v>
      </c>
      <c r="M1357" s="194"/>
      <c r="N1357" s="317"/>
      <c r="O1357" s="317"/>
      <c r="P1357" s="317"/>
      <c r="Q1357" s="317"/>
      <c r="R1357" s="317"/>
      <c r="S1357" s="317"/>
      <c r="T1357" s="317"/>
      <c r="U1357" s="317"/>
      <c r="V1357" s="317"/>
      <c r="W1357" s="317"/>
      <c r="X1357" s="317"/>
      <c r="Y1357" s="317"/>
      <c r="Z1357" s="317"/>
    </row>
    <row r="1358" spans="1:26" x14ac:dyDescent="0.25">
      <c r="A1358" s="314"/>
      <c r="B1358" s="18">
        <v>2023</v>
      </c>
      <c r="C1358" s="18" t="s">
        <v>750</v>
      </c>
      <c r="D1358" s="18" t="s">
        <v>971</v>
      </c>
      <c r="E1358" s="18" t="s">
        <v>713</v>
      </c>
      <c r="F1358" s="18" t="s">
        <v>714</v>
      </c>
      <c r="G1358" s="18" t="s">
        <v>678</v>
      </c>
      <c r="H1358" s="18" t="s">
        <v>972</v>
      </c>
      <c r="I1358" s="315">
        <v>168.51145889362897</v>
      </c>
      <c r="J1358" s="315">
        <v>9.3602534974890556E-4</v>
      </c>
      <c r="K1358" s="316" t="str">
        <f t="shared" si="40"/>
        <v>Agricultural Equipment</v>
      </c>
      <c r="L1358" s="316" t="str">
        <f t="shared" si="41"/>
        <v>Diesel</v>
      </c>
      <c r="M1358" s="194"/>
      <c r="N1358" s="317"/>
      <c r="O1358" s="317"/>
      <c r="P1358" s="317"/>
      <c r="Q1358" s="317"/>
      <c r="R1358" s="317"/>
      <c r="S1358" s="317"/>
      <c r="T1358" s="317"/>
      <c r="U1358" s="317"/>
      <c r="V1358" s="317"/>
      <c r="W1358" s="317"/>
      <c r="X1358" s="317"/>
      <c r="Y1358" s="317"/>
      <c r="Z1358" s="317"/>
    </row>
    <row r="1359" spans="1:26" x14ac:dyDescent="0.25">
      <c r="A1359" s="314"/>
      <c r="B1359" s="18">
        <v>2023</v>
      </c>
      <c r="C1359" s="18" t="s">
        <v>722</v>
      </c>
      <c r="D1359" s="18" t="s">
        <v>1015</v>
      </c>
      <c r="E1359" s="18" t="s">
        <v>56</v>
      </c>
      <c r="F1359" s="18" t="s">
        <v>601</v>
      </c>
      <c r="G1359" s="18" t="s">
        <v>677</v>
      </c>
      <c r="H1359" s="18" t="s">
        <v>747</v>
      </c>
      <c r="I1359" s="315">
        <v>167.88641308053744</v>
      </c>
      <c r="J1359" s="315">
        <v>3.7560194942866598</v>
      </c>
      <c r="K1359" s="316" t="str">
        <f t="shared" si="40"/>
        <v>Commercial Equipment</v>
      </c>
      <c r="L1359" s="316" t="str">
        <f t="shared" si="41"/>
        <v>CNG</v>
      </c>
      <c r="M1359" s="194"/>
      <c r="N1359" s="317"/>
      <c r="O1359" s="317"/>
      <c r="P1359" s="317"/>
      <c r="Q1359" s="317"/>
      <c r="R1359" s="317"/>
      <c r="S1359" s="317"/>
      <c r="T1359" s="317"/>
      <c r="U1359" s="317"/>
      <c r="V1359" s="317"/>
      <c r="W1359" s="317"/>
      <c r="X1359" s="317"/>
      <c r="Y1359" s="317"/>
      <c r="Z1359" s="317"/>
    </row>
    <row r="1360" spans="1:26" x14ac:dyDescent="0.25">
      <c r="A1360" s="314"/>
      <c r="B1360" s="18">
        <v>2023</v>
      </c>
      <c r="C1360" s="18" t="s">
        <v>760</v>
      </c>
      <c r="D1360" s="18" t="s">
        <v>868</v>
      </c>
      <c r="E1360" s="18" t="s">
        <v>703</v>
      </c>
      <c r="F1360" s="18" t="s">
        <v>704</v>
      </c>
      <c r="G1360" s="18" t="s">
        <v>673</v>
      </c>
      <c r="H1360" s="18" t="s">
        <v>758</v>
      </c>
      <c r="I1360" s="315">
        <v>167.72785123919465</v>
      </c>
      <c r="J1360" s="315">
        <v>0.10994372700807517</v>
      </c>
      <c r="K1360" s="316" t="str">
        <f t="shared" si="40"/>
        <v>Lawn and Garden Equipment</v>
      </c>
      <c r="L1360" s="316" t="str">
        <f t="shared" si="41"/>
        <v>Gasoline</v>
      </c>
      <c r="M1360" s="194"/>
      <c r="N1360" s="317"/>
      <c r="O1360" s="317"/>
      <c r="P1360" s="317"/>
      <c r="Q1360" s="317"/>
      <c r="R1360" s="317"/>
      <c r="S1360" s="317"/>
      <c r="T1360" s="317"/>
      <c r="U1360" s="317"/>
      <c r="V1360" s="317"/>
      <c r="W1360" s="317"/>
      <c r="X1360" s="317"/>
      <c r="Y1360" s="317"/>
      <c r="Z1360" s="317"/>
    </row>
    <row r="1361" spans="1:26" x14ac:dyDescent="0.25">
      <c r="A1361" s="314"/>
      <c r="B1361" s="18">
        <v>2023</v>
      </c>
      <c r="C1361" s="18" t="s">
        <v>709</v>
      </c>
      <c r="D1361" s="18" t="s">
        <v>1065</v>
      </c>
      <c r="E1361" s="18" t="s">
        <v>703</v>
      </c>
      <c r="F1361" s="18" t="s">
        <v>795</v>
      </c>
      <c r="G1361" s="18" t="s">
        <v>673</v>
      </c>
      <c r="H1361" s="18" t="s">
        <v>1066</v>
      </c>
      <c r="I1361" s="315">
        <v>167.63249346544345</v>
      </c>
      <c r="J1361" s="315">
        <v>1.1450070757242483</v>
      </c>
      <c r="K1361" s="316" t="str">
        <f t="shared" si="40"/>
        <v>Lawn and Garden Equipment</v>
      </c>
      <c r="L1361" s="316" t="str">
        <f t="shared" si="41"/>
        <v>Gasoline</v>
      </c>
      <c r="M1361" s="194"/>
      <c r="N1361" s="317"/>
      <c r="O1361" s="317"/>
      <c r="P1361" s="317"/>
      <c r="Q1361" s="317"/>
      <c r="R1361" s="317"/>
      <c r="S1361" s="317"/>
      <c r="T1361" s="317"/>
      <c r="U1361" s="317"/>
      <c r="V1361" s="317"/>
      <c r="W1361" s="317"/>
      <c r="X1361" s="317"/>
      <c r="Y1361" s="317"/>
      <c r="Z1361" s="317"/>
    </row>
    <row r="1362" spans="1:26" x14ac:dyDescent="0.25">
      <c r="A1362" s="314"/>
      <c r="B1362" s="18">
        <v>2023</v>
      </c>
      <c r="C1362" s="18" t="s">
        <v>711</v>
      </c>
      <c r="D1362" s="18" t="s">
        <v>993</v>
      </c>
      <c r="E1362" s="18" t="s">
        <v>703</v>
      </c>
      <c r="F1362" s="18" t="s">
        <v>704</v>
      </c>
      <c r="G1362" s="18" t="s">
        <v>674</v>
      </c>
      <c r="H1362" s="18" t="s">
        <v>994</v>
      </c>
      <c r="I1362" s="315">
        <v>166.96396811083926</v>
      </c>
      <c r="J1362" s="315">
        <v>0.11138218255727333</v>
      </c>
      <c r="K1362" s="316" t="str">
        <f t="shared" si="40"/>
        <v>Construction and Mining Equipment</v>
      </c>
      <c r="L1362" s="316" t="str">
        <f t="shared" si="41"/>
        <v>Gasoline</v>
      </c>
      <c r="M1362" s="194"/>
      <c r="N1362" s="317"/>
      <c r="O1362" s="317"/>
      <c r="P1362" s="317"/>
      <c r="Q1362" s="317"/>
      <c r="R1362" s="317"/>
      <c r="S1362" s="317"/>
      <c r="T1362" s="317"/>
      <c r="U1362" s="317"/>
      <c r="V1362" s="317"/>
      <c r="W1362" s="317"/>
      <c r="X1362" s="317"/>
      <c r="Y1362" s="317"/>
      <c r="Z1362" s="317"/>
    </row>
    <row r="1363" spans="1:26" x14ac:dyDescent="0.25">
      <c r="A1363" s="314"/>
      <c r="B1363" s="18">
        <v>2023</v>
      </c>
      <c r="C1363" s="18" t="s">
        <v>727</v>
      </c>
      <c r="D1363" s="18" t="s">
        <v>858</v>
      </c>
      <c r="E1363" s="18" t="s">
        <v>713</v>
      </c>
      <c r="F1363" s="18" t="s">
        <v>714</v>
      </c>
      <c r="G1363" s="18" t="s">
        <v>674</v>
      </c>
      <c r="H1363" s="18" t="s">
        <v>859</v>
      </c>
      <c r="I1363" s="315">
        <v>166.94838142890276</v>
      </c>
      <c r="J1363" s="315">
        <v>1.4819030268746196E-3</v>
      </c>
      <c r="K1363" s="316" t="str">
        <f t="shared" si="40"/>
        <v>Construction and Mining Equipment</v>
      </c>
      <c r="L1363" s="316" t="str">
        <f t="shared" si="41"/>
        <v>Diesel</v>
      </c>
      <c r="M1363" s="194"/>
      <c r="N1363" s="317"/>
      <c r="O1363" s="317"/>
      <c r="P1363" s="317"/>
      <c r="Q1363" s="317"/>
      <c r="R1363" s="317"/>
      <c r="S1363" s="317"/>
      <c r="T1363" s="317"/>
      <c r="U1363" s="317"/>
      <c r="V1363" s="317"/>
      <c r="W1363" s="317"/>
      <c r="X1363" s="317"/>
      <c r="Y1363" s="317"/>
      <c r="Z1363" s="317"/>
    </row>
    <row r="1364" spans="1:26" x14ac:dyDescent="0.25">
      <c r="A1364" s="314"/>
      <c r="B1364" s="18">
        <v>2023</v>
      </c>
      <c r="C1364" s="18" t="s">
        <v>732</v>
      </c>
      <c r="D1364" s="18" t="s">
        <v>964</v>
      </c>
      <c r="E1364" s="18" t="s">
        <v>56</v>
      </c>
      <c r="F1364" s="18" t="s">
        <v>601</v>
      </c>
      <c r="G1364" s="18" t="s">
        <v>677</v>
      </c>
      <c r="H1364" s="18" t="s">
        <v>965</v>
      </c>
      <c r="I1364" s="315">
        <v>166.91295424568102</v>
      </c>
      <c r="J1364" s="315">
        <v>0.79761241347217049</v>
      </c>
      <c r="K1364" s="316" t="str">
        <f t="shared" si="40"/>
        <v>Commercial Equipment</v>
      </c>
      <c r="L1364" s="316" t="str">
        <f t="shared" si="41"/>
        <v>CNG</v>
      </c>
      <c r="M1364" s="194"/>
      <c r="N1364" s="317"/>
      <c r="O1364" s="317"/>
      <c r="P1364" s="317"/>
      <c r="Q1364" s="317"/>
      <c r="R1364" s="317"/>
      <c r="S1364" s="317"/>
      <c r="T1364" s="317"/>
      <c r="U1364" s="317"/>
      <c r="V1364" s="317"/>
      <c r="W1364" s="317"/>
      <c r="X1364" s="317"/>
      <c r="Y1364" s="317"/>
      <c r="Z1364" s="317"/>
    </row>
    <row r="1365" spans="1:26" x14ac:dyDescent="0.25">
      <c r="A1365" s="314"/>
      <c r="B1365" s="18">
        <v>2023</v>
      </c>
      <c r="C1365" s="18" t="s">
        <v>810</v>
      </c>
      <c r="D1365" s="18" t="s">
        <v>784</v>
      </c>
      <c r="E1365" s="18" t="s">
        <v>713</v>
      </c>
      <c r="F1365" s="18" t="s">
        <v>714</v>
      </c>
      <c r="G1365" s="18" t="s">
        <v>677</v>
      </c>
      <c r="H1365" s="18" t="s">
        <v>785</v>
      </c>
      <c r="I1365" s="315">
        <v>166.76929993333002</v>
      </c>
      <c r="J1365" s="315">
        <v>2.3634594114911723E-3</v>
      </c>
      <c r="K1365" s="316" t="str">
        <f t="shared" si="40"/>
        <v>Commercial Equipment</v>
      </c>
      <c r="L1365" s="316" t="str">
        <f t="shared" si="41"/>
        <v>Diesel</v>
      </c>
      <c r="M1365" s="194"/>
      <c r="N1365" s="317"/>
      <c r="O1365" s="317"/>
      <c r="P1365" s="317"/>
      <c r="Q1365" s="317"/>
      <c r="R1365" s="317"/>
      <c r="S1365" s="317"/>
      <c r="T1365" s="317"/>
      <c r="U1365" s="317"/>
      <c r="V1365" s="317"/>
      <c r="W1365" s="317"/>
      <c r="X1365" s="317"/>
      <c r="Y1365" s="317"/>
      <c r="Z1365" s="317"/>
    </row>
    <row r="1366" spans="1:26" x14ac:dyDescent="0.25">
      <c r="A1366" s="314"/>
      <c r="B1366" s="18">
        <v>2023</v>
      </c>
      <c r="C1366" s="18" t="s">
        <v>709</v>
      </c>
      <c r="D1366" s="18" t="s">
        <v>1023</v>
      </c>
      <c r="E1366" s="18" t="s">
        <v>703</v>
      </c>
      <c r="F1366" s="18" t="s">
        <v>704</v>
      </c>
      <c r="G1366" s="18" t="s">
        <v>674</v>
      </c>
      <c r="H1366" s="18" t="s">
        <v>736</v>
      </c>
      <c r="I1366" s="315">
        <v>166.53579622602561</v>
      </c>
      <c r="J1366" s="315">
        <v>0.11084110184150089</v>
      </c>
      <c r="K1366" s="316" t="str">
        <f t="shared" si="40"/>
        <v>Construction and Mining Equipment</v>
      </c>
      <c r="L1366" s="316" t="str">
        <f t="shared" si="41"/>
        <v>Gasoline</v>
      </c>
      <c r="M1366" s="194"/>
      <c r="N1366" s="317"/>
      <c r="O1366" s="317"/>
      <c r="P1366" s="317"/>
      <c r="Q1366" s="317"/>
      <c r="R1366" s="317"/>
      <c r="S1366" s="317"/>
      <c r="T1366" s="317"/>
      <c r="U1366" s="317"/>
      <c r="V1366" s="317"/>
      <c r="W1366" s="317"/>
      <c r="X1366" s="317"/>
      <c r="Y1366" s="317"/>
      <c r="Z1366" s="317"/>
    </row>
    <row r="1367" spans="1:26" x14ac:dyDescent="0.25">
      <c r="A1367" s="314"/>
      <c r="B1367" s="18">
        <v>2023</v>
      </c>
      <c r="C1367" s="18" t="s">
        <v>753</v>
      </c>
      <c r="D1367" s="18" t="s">
        <v>840</v>
      </c>
      <c r="E1367" s="18" t="s">
        <v>703</v>
      </c>
      <c r="F1367" s="18" t="s">
        <v>704</v>
      </c>
      <c r="G1367" s="18" t="s">
        <v>677</v>
      </c>
      <c r="H1367" s="18" t="s">
        <v>841</v>
      </c>
      <c r="I1367" s="315">
        <v>166.29739384725542</v>
      </c>
      <c r="J1367" s="315">
        <v>0.10922276080480915</v>
      </c>
      <c r="K1367" s="316" t="str">
        <f t="shared" si="40"/>
        <v>Commercial Equipment</v>
      </c>
      <c r="L1367" s="316" t="str">
        <f t="shared" si="41"/>
        <v>Gasoline</v>
      </c>
      <c r="M1367" s="194"/>
      <c r="N1367" s="317"/>
      <c r="O1367" s="317"/>
      <c r="P1367" s="317"/>
      <c r="Q1367" s="317"/>
      <c r="R1367" s="317"/>
      <c r="S1367" s="317"/>
      <c r="T1367" s="317"/>
      <c r="U1367" s="317"/>
      <c r="V1367" s="317"/>
      <c r="W1367" s="317"/>
      <c r="X1367" s="317"/>
      <c r="Y1367" s="317"/>
      <c r="Z1367" s="317"/>
    </row>
    <row r="1368" spans="1:26" x14ac:dyDescent="0.25">
      <c r="A1368" s="314"/>
      <c r="B1368" s="18">
        <v>2023</v>
      </c>
      <c r="C1368" s="18" t="s">
        <v>754</v>
      </c>
      <c r="D1368" s="18" t="s">
        <v>765</v>
      </c>
      <c r="E1368" s="18" t="s">
        <v>703</v>
      </c>
      <c r="F1368" s="18" t="s">
        <v>676</v>
      </c>
      <c r="G1368" s="18" t="s">
        <v>729</v>
      </c>
      <c r="H1368" s="18" t="s">
        <v>766</v>
      </c>
      <c r="I1368" s="315">
        <v>166.23923544821827</v>
      </c>
      <c r="J1368" s="315">
        <v>0.18284812429821895</v>
      </c>
      <c r="K1368" s="316" t="str">
        <f t="shared" si="40"/>
        <v>Pleasure Craft</v>
      </c>
      <c r="L1368" s="316" t="str">
        <f t="shared" si="41"/>
        <v>Gasoline</v>
      </c>
      <c r="M1368" s="194"/>
      <c r="N1368" s="317"/>
      <c r="O1368" s="317"/>
      <c r="P1368" s="317"/>
      <c r="Q1368" s="317"/>
      <c r="R1368" s="317"/>
      <c r="S1368" s="317"/>
      <c r="T1368" s="317"/>
      <c r="U1368" s="317"/>
      <c r="V1368" s="317"/>
      <c r="W1368" s="317"/>
      <c r="X1368" s="317"/>
      <c r="Y1368" s="317"/>
      <c r="Z1368" s="317"/>
    </row>
    <row r="1369" spans="1:26" x14ac:dyDescent="0.25">
      <c r="A1369" s="314"/>
      <c r="B1369" s="18">
        <v>2023</v>
      </c>
      <c r="C1369" s="18" t="s">
        <v>786</v>
      </c>
      <c r="D1369" s="18" t="s">
        <v>767</v>
      </c>
      <c r="E1369" s="18" t="s">
        <v>703</v>
      </c>
      <c r="F1369" s="18" t="s">
        <v>704</v>
      </c>
      <c r="G1369" s="18" t="s">
        <v>673</v>
      </c>
      <c r="H1369" s="18" t="s">
        <v>768</v>
      </c>
      <c r="I1369" s="315">
        <v>166.01481862482882</v>
      </c>
      <c r="J1369" s="315">
        <v>0.11542153912581218</v>
      </c>
      <c r="K1369" s="316" t="str">
        <f t="shared" si="40"/>
        <v>Lawn and Garden Equipment</v>
      </c>
      <c r="L1369" s="316" t="str">
        <f t="shared" si="41"/>
        <v>Gasoline</v>
      </c>
      <c r="M1369" s="194"/>
      <c r="N1369" s="317"/>
      <c r="O1369" s="317"/>
      <c r="P1369" s="317"/>
      <c r="Q1369" s="317"/>
      <c r="R1369" s="317"/>
      <c r="S1369" s="317"/>
      <c r="T1369" s="317"/>
      <c r="U1369" s="317"/>
      <c r="V1369" s="317"/>
      <c r="W1369" s="317"/>
      <c r="X1369" s="317"/>
      <c r="Y1369" s="317"/>
      <c r="Z1369" s="317"/>
    </row>
    <row r="1370" spans="1:26" x14ac:dyDescent="0.25">
      <c r="A1370" s="314"/>
      <c r="B1370" s="18">
        <v>2023</v>
      </c>
      <c r="C1370" s="18" t="s">
        <v>727</v>
      </c>
      <c r="D1370" s="18" t="s">
        <v>797</v>
      </c>
      <c r="E1370" s="18" t="s">
        <v>713</v>
      </c>
      <c r="F1370" s="18" t="s">
        <v>714</v>
      </c>
      <c r="G1370" s="18" t="s">
        <v>675</v>
      </c>
      <c r="H1370" s="18" t="s">
        <v>798</v>
      </c>
      <c r="I1370" s="315">
        <v>165.55460247270031</v>
      </c>
      <c r="J1370" s="315">
        <v>1.3966211384477953E-3</v>
      </c>
      <c r="K1370" s="316" t="str">
        <f t="shared" si="40"/>
        <v>Industrial Equipment</v>
      </c>
      <c r="L1370" s="316" t="str">
        <f t="shared" si="41"/>
        <v>Diesel</v>
      </c>
      <c r="M1370" s="194"/>
      <c r="N1370" s="317"/>
      <c r="O1370" s="317"/>
      <c r="P1370" s="317"/>
      <c r="Q1370" s="317"/>
      <c r="R1370" s="317"/>
      <c r="S1370" s="317"/>
      <c r="T1370" s="317"/>
      <c r="U1370" s="317"/>
      <c r="V1370" s="317"/>
      <c r="W1370" s="317"/>
      <c r="X1370" s="317"/>
      <c r="Y1370" s="317"/>
      <c r="Z1370" s="317"/>
    </row>
    <row r="1371" spans="1:26" x14ac:dyDescent="0.25">
      <c r="A1371" s="314"/>
      <c r="B1371" s="18">
        <v>2023</v>
      </c>
      <c r="C1371" s="18" t="s">
        <v>793</v>
      </c>
      <c r="D1371" s="18" t="s">
        <v>788</v>
      </c>
      <c r="E1371" s="18" t="s">
        <v>703</v>
      </c>
      <c r="F1371" s="18" t="s">
        <v>704</v>
      </c>
      <c r="G1371" s="18" t="s">
        <v>677</v>
      </c>
      <c r="H1371" s="18" t="s">
        <v>789</v>
      </c>
      <c r="I1371" s="315">
        <v>165.53430671684356</v>
      </c>
      <c r="J1371" s="315">
        <v>0.11406322013801486</v>
      </c>
      <c r="K1371" s="316" t="str">
        <f t="shared" si="40"/>
        <v>Commercial Equipment</v>
      </c>
      <c r="L1371" s="316" t="str">
        <f t="shared" si="41"/>
        <v>Gasoline</v>
      </c>
      <c r="M1371" s="194"/>
      <c r="N1371" s="317"/>
      <c r="O1371" s="317"/>
      <c r="P1371" s="317"/>
      <c r="Q1371" s="317"/>
      <c r="R1371" s="317"/>
      <c r="S1371" s="317"/>
      <c r="T1371" s="317"/>
      <c r="U1371" s="317"/>
      <c r="V1371" s="317"/>
      <c r="W1371" s="317"/>
      <c r="X1371" s="317"/>
      <c r="Y1371" s="317"/>
      <c r="Z1371" s="317"/>
    </row>
    <row r="1372" spans="1:26" x14ac:dyDescent="0.25">
      <c r="A1372" s="314"/>
      <c r="B1372" s="18">
        <v>2023</v>
      </c>
      <c r="C1372" s="18" t="s">
        <v>781</v>
      </c>
      <c r="D1372" s="18" t="s">
        <v>723</v>
      </c>
      <c r="E1372" s="18" t="s">
        <v>703</v>
      </c>
      <c r="F1372" s="18" t="s">
        <v>704</v>
      </c>
      <c r="G1372" s="18" t="s">
        <v>673</v>
      </c>
      <c r="H1372" s="18" t="s">
        <v>724</v>
      </c>
      <c r="I1372" s="315">
        <v>164.77689801397287</v>
      </c>
      <c r="J1372" s="315">
        <v>0.10813186043686808</v>
      </c>
      <c r="K1372" s="316" t="str">
        <f t="shared" si="40"/>
        <v>Lawn and Garden Equipment</v>
      </c>
      <c r="L1372" s="316" t="str">
        <f t="shared" si="41"/>
        <v>Gasoline</v>
      </c>
      <c r="M1372" s="194"/>
      <c r="N1372" s="317"/>
      <c r="O1372" s="317"/>
      <c r="P1372" s="317"/>
      <c r="Q1372" s="317"/>
      <c r="R1372" s="317"/>
      <c r="S1372" s="317"/>
      <c r="T1372" s="317"/>
      <c r="U1372" s="317"/>
      <c r="V1372" s="317"/>
      <c r="W1372" s="317"/>
      <c r="X1372" s="317"/>
      <c r="Y1372" s="317"/>
      <c r="Z1372" s="317"/>
    </row>
    <row r="1373" spans="1:26" x14ac:dyDescent="0.25">
      <c r="A1373" s="314"/>
      <c r="B1373" s="18">
        <v>2023</v>
      </c>
      <c r="C1373" s="18" t="s">
        <v>792</v>
      </c>
      <c r="D1373" s="18" t="s">
        <v>738</v>
      </c>
      <c r="E1373" s="18" t="s">
        <v>703</v>
      </c>
      <c r="F1373" s="18" t="s">
        <v>676</v>
      </c>
      <c r="G1373" s="18" t="s">
        <v>739</v>
      </c>
      <c r="H1373" s="18" t="s">
        <v>740</v>
      </c>
      <c r="I1373" s="315">
        <v>164.64523101741486</v>
      </c>
      <c r="J1373" s="315">
        <v>7.176664200819205E-2</v>
      </c>
      <c r="K1373" s="316" t="str">
        <f t="shared" si="40"/>
        <v>Pleasure Craft</v>
      </c>
      <c r="L1373" s="316" t="str">
        <f t="shared" si="41"/>
        <v>Gasoline</v>
      </c>
      <c r="M1373" s="194"/>
      <c r="N1373" s="317"/>
      <c r="O1373" s="317"/>
      <c r="P1373" s="317"/>
      <c r="Q1373" s="317"/>
      <c r="R1373" s="317"/>
      <c r="S1373" s="317"/>
      <c r="T1373" s="317"/>
      <c r="U1373" s="317"/>
      <c r="V1373" s="317"/>
      <c r="W1373" s="317"/>
      <c r="X1373" s="317"/>
      <c r="Y1373" s="317"/>
      <c r="Z1373" s="317"/>
    </row>
    <row r="1374" spans="1:26" x14ac:dyDescent="0.25">
      <c r="A1374" s="314"/>
      <c r="B1374" s="18">
        <v>2023</v>
      </c>
      <c r="C1374" s="18" t="s">
        <v>750</v>
      </c>
      <c r="D1374" s="18" t="s">
        <v>752</v>
      </c>
      <c r="E1374" s="18" t="s">
        <v>713</v>
      </c>
      <c r="F1374" s="18" t="s">
        <v>714</v>
      </c>
      <c r="G1374" s="18" t="s">
        <v>675</v>
      </c>
      <c r="H1374" s="18" t="s">
        <v>708</v>
      </c>
      <c r="I1374" s="315">
        <v>164.6001298478632</v>
      </c>
      <c r="J1374" s="315">
        <v>8.3948890119882325E-4</v>
      </c>
      <c r="K1374" s="316" t="str">
        <f t="shared" si="40"/>
        <v>Industrial Equipment</v>
      </c>
      <c r="L1374" s="316" t="str">
        <f t="shared" si="41"/>
        <v>Diesel</v>
      </c>
      <c r="M1374" s="194"/>
      <c r="N1374" s="317"/>
      <c r="O1374" s="317"/>
      <c r="P1374" s="317"/>
      <c r="Q1374" s="317"/>
      <c r="R1374" s="317"/>
      <c r="S1374" s="317"/>
      <c r="T1374" s="317"/>
      <c r="U1374" s="317"/>
      <c r="V1374" s="317"/>
      <c r="W1374" s="317"/>
      <c r="X1374" s="317"/>
      <c r="Y1374" s="317"/>
      <c r="Z1374" s="317"/>
    </row>
    <row r="1375" spans="1:26" x14ac:dyDescent="0.25">
      <c r="A1375" s="314"/>
      <c r="B1375" s="18">
        <v>2023</v>
      </c>
      <c r="C1375" s="18" t="s">
        <v>810</v>
      </c>
      <c r="D1375" s="18" t="s">
        <v>830</v>
      </c>
      <c r="E1375" s="18" t="s">
        <v>703</v>
      </c>
      <c r="F1375" s="18" t="s">
        <v>704</v>
      </c>
      <c r="G1375" s="18" t="s">
        <v>673</v>
      </c>
      <c r="H1375" s="18" t="s">
        <v>742</v>
      </c>
      <c r="I1375" s="315">
        <v>163.95694615664777</v>
      </c>
      <c r="J1375" s="315">
        <v>7.2184933166012141E-2</v>
      </c>
      <c r="K1375" s="316" t="str">
        <f t="shared" si="40"/>
        <v>Lawn and Garden Equipment</v>
      </c>
      <c r="L1375" s="316" t="str">
        <f t="shared" si="41"/>
        <v>Gasoline</v>
      </c>
      <c r="M1375" s="194"/>
      <c r="N1375" s="317"/>
      <c r="O1375" s="317"/>
      <c r="P1375" s="317"/>
      <c r="Q1375" s="317"/>
      <c r="R1375" s="317"/>
      <c r="S1375" s="317"/>
      <c r="T1375" s="317"/>
      <c r="U1375" s="317"/>
      <c r="V1375" s="317"/>
      <c r="W1375" s="317"/>
      <c r="X1375" s="317"/>
      <c r="Y1375" s="317"/>
      <c r="Z1375" s="317"/>
    </row>
    <row r="1376" spans="1:26" x14ac:dyDescent="0.25">
      <c r="A1376" s="314"/>
      <c r="B1376" s="18">
        <v>2023</v>
      </c>
      <c r="C1376" s="18" t="s">
        <v>759</v>
      </c>
      <c r="D1376" s="18" t="s">
        <v>830</v>
      </c>
      <c r="E1376" s="18" t="s">
        <v>703</v>
      </c>
      <c r="F1376" s="18" t="s">
        <v>704</v>
      </c>
      <c r="G1376" s="18" t="s">
        <v>673</v>
      </c>
      <c r="H1376" s="18" t="s">
        <v>742</v>
      </c>
      <c r="I1376" s="315">
        <v>163.95694615664777</v>
      </c>
      <c r="J1376" s="315">
        <v>7.1186198964922967E-2</v>
      </c>
      <c r="K1376" s="316" t="str">
        <f t="shared" si="40"/>
        <v>Lawn and Garden Equipment</v>
      </c>
      <c r="L1376" s="316" t="str">
        <f t="shared" si="41"/>
        <v>Gasoline</v>
      </c>
      <c r="M1376" s="194"/>
      <c r="N1376" s="317"/>
      <c r="O1376" s="317"/>
      <c r="P1376" s="317"/>
      <c r="Q1376" s="317"/>
      <c r="R1376" s="317"/>
      <c r="S1376" s="317"/>
      <c r="T1376" s="317"/>
      <c r="U1376" s="317"/>
      <c r="V1376" s="317"/>
      <c r="W1376" s="317"/>
      <c r="X1376" s="317"/>
      <c r="Y1376" s="317"/>
      <c r="Z1376" s="317"/>
    </row>
    <row r="1377" spans="1:26" x14ac:dyDescent="0.25">
      <c r="A1377" s="314"/>
      <c r="B1377" s="18">
        <v>2023</v>
      </c>
      <c r="C1377" s="18" t="s">
        <v>727</v>
      </c>
      <c r="D1377" s="18" t="s">
        <v>830</v>
      </c>
      <c r="E1377" s="18" t="s">
        <v>703</v>
      </c>
      <c r="F1377" s="18" t="s">
        <v>704</v>
      </c>
      <c r="G1377" s="18" t="s">
        <v>673</v>
      </c>
      <c r="H1377" s="18" t="s">
        <v>742</v>
      </c>
      <c r="I1377" s="315">
        <v>163.95694615664777</v>
      </c>
      <c r="J1377" s="315">
        <v>7.1225146667862199E-2</v>
      </c>
      <c r="K1377" s="316" t="str">
        <f t="shared" si="40"/>
        <v>Lawn and Garden Equipment</v>
      </c>
      <c r="L1377" s="316" t="str">
        <f t="shared" si="41"/>
        <v>Gasoline</v>
      </c>
      <c r="M1377" s="194"/>
      <c r="N1377" s="317"/>
      <c r="O1377" s="317"/>
      <c r="P1377" s="317"/>
      <c r="Q1377" s="317"/>
      <c r="R1377" s="317"/>
      <c r="S1377" s="317"/>
      <c r="T1377" s="317"/>
      <c r="U1377" s="317"/>
      <c r="V1377" s="317"/>
      <c r="W1377" s="317"/>
      <c r="X1377" s="317"/>
      <c r="Y1377" s="317"/>
      <c r="Z1377" s="317"/>
    </row>
    <row r="1378" spans="1:26" x14ac:dyDescent="0.25">
      <c r="A1378" s="314"/>
      <c r="B1378" s="18">
        <v>2023</v>
      </c>
      <c r="C1378" s="18" t="s">
        <v>778</v>
      </c>
      <c r="D1378" s="18" t="s">
        <v>799</v>
      </c>
      <c r="E1378" s="18" t="s">
        <v>703</v>
      </c>
      <c r="F1378" s="18" t="s">
        <v>795</v>
      </c>
      <c r="G1378" s="18" t="s">
        <v>673</v>
      </c>
      <c r="H1378" s="18" t="s">
        <v>800</v>
      </c>
      <c r="I1378" s="315">
        <v>163.75568663114859</v>
      </c>
      <c r="J1378" s="315">
        <v>0.30709753076701407</v>
      </c>
      <c r="K1378" s="316" t="str">
        <f t="shared" si="40"/>
        <v>Lawn and Garden Equipment</v>
      </c>
      <c r="L1378" s="316" t="str">
        <f t="shared" si="41"/>
        <v>Gasoline</v>
      </c>
      <c r="M1378" s="194"/>
      <c r="N1378" s="317"/>
      <c r="O1378" s="317"/>
      <c r="P1378" s="317"/>
      <c r="Q1378" s="317"/>
      <c r="R1378" s="317"/>
      <c r="S1378" s="317"/>
      <c r="T1378" s="317"/>
      <c r="U1378" s="317"/>
      <c r="V1378" s="317"/>
      <c r="W1378" s="317"/>
      <c r="X1378" s="317"/>
      <c r="Y1378" s="317"/>
      <c r="Z1378" s="317"/>
    </row>
    <row r="1379" spans="1:26" x14ac:dyDescent="0.25">
      <c r="A1379" s="314"/>
      <c r="B1379" s="18">
        <v>2023</v>
      </c>
      <c r="C1379" s="18" t="s">
        <v>727</v>
      </c>
      <c r="D1379" s="18" t="s">
        <v>860</v>
      </c>
      <c r="E1379" s="18" t="s">
        <v>713</v>
      </c>
      <c r="F1379" s="18" t="s">
        <v>714</v>
      </c>
      <c r="G1379" s="18" t="s">
        <v>674</v>
      </c>
      <c r="H1379" s="18" t="s">
        <v>861</v>
      </c>
      <c r="I1379" s="315">
        <v>163.32049522790695</v>
      </c>
      <c r="J1379" s="315">
        <v>2.7067401903015757E-3</v>
      </c>
      <c r="K1379" s="316" t="str">
        <f t="shared" si="40"/>
        <v>Construction and Mining Equipment</v>
      </c>
      <c r="L1379" s="316" t="str">
        <f t="shared" si="41"/>
        <v>Diesel</v>
      </c>
      <c r="M1379" s="194"/>
      <c r="N1379" s="317"/>
      <c r="O1379" s="317"/>
      <c r="P1379" s="317"/>
      <c r="Q1379" s="317"/>
      <c r="R1379" s="317"/>
      <c r="S1379" s="317"/>
      <c r="T1379" s="317"/>
      <c r="U1379" s="317"/>
      <c r="V1379" s="317"/>
      <c r="W1379" s="317"/>
      <c r="X1379" s="317"/>
      <c r="Y1379" s="317"/>
      <c r="Z1379" s="317"/>
    </row>
    <row r="1380" spans="1:26" x14ac:dyDescent="0.25">
      <c r="A1380" s="314"/>
      <c r="B1380" s="18">
        <v>2023</v>
      </c>
      <c r="C1380" s="18" t="s">
        <v>787</v>
      </c>
      <c r="D1380" s="18" t="s">
        <v>757</v>
      </c>
      <c r="E1380" s="18" t="s">
        <v>713</v>
      </c>
      <c r="F1380" s="18" t="s">
        <v>714</v>
      </c>
      <c r="G1380" s="18" t="s">
        <v>673</v>
      </c>
      <c r="H1380" s="18" t="s">
        <v>758</v>
      </c>
      <c r="I1380" s="315">
        <v>163.25516803983604</v>
      </c>
      <c r="J1380" s="315">
        <v>6.2898551100233529E-3</v>
      </c>
      <c r="K1380" s="316" t="str">
        <f t="shared" si="40"/>
        <v>Lawn and Garden Equipment</v>
      </c>
      <c r="L1380" s="316" t="str">
        <f t="shared" si="41"/>
        <v>Diesel</v>
      </c>
      <c r="M1380" s="194"/>
      <c r="N1380" s="317"/>
      <c r="O1380" s="317"/>
      <c r="P1380" s="317"/>
      <c r="Q1380" s="317"/>
      <c r="R1380" s="317"/>
      <c r="S1380" s="317"/>
      <c r="T1380" s="317"/>
      <c r="U1380" s="317"/>
      <c r="V1380" s="317"/>
      <c r="W1380" s="317"/>
      <c r="X1380" s="317"/>
      <c r="Y1380" s="317"/>
      <c r="Z1380" s="317"/>
    </row>
    <row r="1381" spans="1:26" x14ac:dyDescent="0.25">
      <c r="A1381" s="314"/>
      <c r="B1381" s="18">
        <v>2023</v>
      </c>
      <c r="C1381" s="18" t="s">
        <v>727</v>
      </c>
      <c r="D1381" s="18" t="s">
        <v>801</v>
      </c>
      <c r="E1381" s="18" t="s">
        <v>713</v>
      </c>
      <c r="F1381" s="18" t="s">
        <v>714</v>
      </c>
      <c r="G1381" s="18" t="s">
        <v>675</v>
      </c>
      <c r="H1381" s="18" t="s">
        <v>802</v>
      </c>
      <c r="I1381" s="315">
        <v>163.23203254058262</v>
      </c>
      <c r="J1381" s="315">
        <v>1.0873392571835025E-3</v>
      </c>
      <c r="K1381" s="316" t="str">
        <f t="shared" si="40"/>
        <v>Industrial Equipment</v>
      </c>
      <c r="L1381" s="316" t="str">
        <f t="shared" si="41"/>
        <v>Diesel</v>
      </c>
      <c r="M1381" s="194"/>
      <c r="N1381" s="317"/>
      <c r="O1381" s="317"/>
      <c r="P1381" s="317"/>
      <c r="Q1381" s="317"/>
      <c r="R1381" s="317"/>
      <c r="S1381" s="317"/>
      <c r="T1381" s="317"/>
      <c r="U1381" s="317"/>
      <c r="V1381" s="317"/>
      <c r="W1381" s="317"/>
      <c r="X1381" s="317"/>
      <c r="Y1381" s="317"/>
      <c r="Z1381" s="317"/>
    </row>
    <row r="1382" spans="1:26" x14ac:dyDescent="0.25">
      <c r="A1382" s="314"/>
      <c r="B1382" s="18">
        <v>2023</v>
      </c>
      <c r="C1382" s="18" t="s">
        <v>706</v>
      </c>
      <c r="D1382" s="18" t="s">
        <v>1073</v>
      </c>
      <c r="E1382" s="18" t="s">
        <v>703</v>
      </c>
      <c r="F1382" s="18" t="s">
        <v>704</v>
      </c>
      <c r="G1382" s="18" t="s">
        <v>674</v>
      </c>
      <c r="H1382" s="18" t="s">
        <v>1072</v>
      </c>
      <c r="I1382" s="315">
        <v>163.04749350170948</v>
      </c>
      <c r="J1382" s="315">
        <v>0.11504829441091824</v>
      </c>
      <c r="K1382" s="316" t="str">
        <f t="shared" si="40"/>
        <v>Construction and Mining Equipment</v>
      </c>
      <c r="L1382" s="316" t="str">
        <f t="shared" si="41"/>
        <v>Gasoline</v>
      </c>
      <c r="M1382" s="194"/>
      <c r="N1382" s="317"/>
      <c r="O1382" s="317"/>
      <c r="P1382" s="317"/>
      <c r="Q1382" s="317"/>
      <c r="R1382" s="317"/>
      <c r="S1382" s="317"/>
      <c r="T1382" s="317"/>
      <c r="U1382" s="317"/>
      <c r="V1382" s="317"/>
      <c r="W1382" s="317"/>
      <c r="X1382" s="317"/>
      <c r="Y1382" s="317"/>
      <c r="Z1382" s="317"/>
    </row>
    <row r="1383" spans="1:26" x14ac:dyDescent="0.25">
      <c r="A1383" s="314"/>
      <c r="B1383" s="18">
        <v>2023</v>
      </c>
      <c r="C1383" s="18" t="s">
        <v>793</v>
      </c>
      <c r="D1383" s="18" t="s">
        <v>858</v>
      </c>
      <c r="E1383" s="18" t="s">
        <v>713</v>
      </c>
      <c r="F1383" s="18" t="s">
        <v>714</v>
      </c>
      <c r="G1383" s="18" t="s">
        <v>674</v>
      </c>
      <c r="H1383" s="18" t="s">
        <v>859</v>
      </c>
      <c r="I1383" s="315">
        <v>163.00174647999481</v>
      </c>
      <c r="J1383" s="315">
        <v>1.446870898019434E-3</v>
      </c>
      <c r="K1383" s="316" t="str">
        <f t="shared" si="40"/>
        <v>Construction and Mining Equipment</v>
      </c>
      <c r="L1383" s="316" t="str">
        <f t="shared" si="41"/>
        <v>Diesel</v>
      </c>
      <c r="M1383" s="194"/>
      <c r="N1383" s="317"/>
      <c r="O1383" s="317"/>
      <c r="P1383" s="317"/>
      <c r="Q1383" s="317"/>
      <c r="R1383" s="317"/>
      <c r="S1383" s="317"/>
      <c r="T1383" s="317"/>
      <c r="U1383" s="317"/>
      <c r="V1383" s="317"/>
      <c r="W1383" s="317"/>
      <c r="X1383" s="317"/>
      <c r="Y1383" s="317"/>
      <c r="Z1383" s="317"/>
    </row>
    <row r="1384" spans="1:26" x14ac:dyDescent="0.25">
      <c r="A1384" s="314"/>
      <c r="B1384" s="18">
        <v>2023</v>
      </c>
      <c r="C1384" s="18" t="s">
        <v>731</v>
      </c>
      <c r="D1384" s="18" t="s">
        <v>830</v>
      </c>
      <c r="E1384" s="18" t="s">
        <v>703</v>
      </c>
      <c r="F1384" s="18" t="s">
        <v>704</v>
      </c>
      <c r="G1384" s="18" t="s">
        <v>673</v>
      </c>
      <c r="H1384" s="18" t="s">
        <v>742</v>
      </c>
      <c r="I1384" s="315">
        <v>162.93853582437077</v>
      </c>
      <c r="J1384" s="315">
        <v>7.081365438406062E-2</v>
      </c>
      <c r="K1384" s="316" t="str">
        <f t="shared" si="40"/>
        <v>Lawn and Garden Equipment</v>
      </c>
      <c r="L1384" s="316" t="str">
        <f t="shared" si="41"/>
        <v>Gasoline</v>
      </c>
      <c r="M1384" s="194"/>
      <c r="N1384" s="317"/>
      <c r="O1384" s="317"/>
      <c r="P1384" s="317"/>
      <c r="Q1384" s="317"/>
      <c r="R1384" s="317"/>
      <c r="S1384" s="317"/>
      <c r="T1384" s="317"/>
      <c r="U1384" s="317"/>
      <c r="V1384" s="317"/>
      <c r="W1384" s="317"/>
      <c r="X1384" s="317"/>
      <c r="Y1384" s="317"/>
      <c r="Z1384" s="317"/>
    </row>
    <row r="1385" spans="1:26" x14ac:dyDescent="0.25">
      <c r="A1385" s="314"/>
      <c r="B1385" s="18">
        <v>2023</v>
      </c>
      <c r="C1385" s="18" t="s">
        <v>722</v>
      </c>
      <c r="D1385" s="18" t="s">
        <v>977</v>
      </c>
      <c r="E1385" s="18" t="s">
        <v>703</v>
      </c>
      <c r="F1385" s="18" t="s">
        <v>805</v>
      </c>
      <c r="G1385" s="18" t="s">
        <v>673</v>
      </c>
      <c r="H1385" s="18" t="s">
        <v>978</v>
      </c>
      <c r="I1385" s="315">
        <v>162.76690456675891</v>
      </c>
      <c r="J1385" s="315">
        <v>0.27715592920757981</v>
      </c>
      <c r="K1385" s="316" t="str">
        <f t="shared" si="40"/>
        <v>Lawn and Garden Equipment</v>
      </c>
      <c r="L1385" s="316" t="str">
        <f t="shared" si="41"/>
        <v>Gasoline</v>
      </c>
      <c r="M1385" s="194"/>
      <c r="N1385" s="317"/>
      <c r="O1385" s="317"/>
      <c r="P1385" s="317"/>
      <c r="Q1385" s="317"/>
      <c r="R1385" s="317"/>
      <c r="S1385" s="317"/>
      <c r="T1385" s="317"/>
      <c r="U1385" s="317"/>
      <c r="V1385" s="317"/>
      <c r="W1385" s="317"/>
      <c r="X1385" s="317"/>
      <c r="Y1385" s="317"/>
      <c r="Z1385" s="317"/>
    </row>
    <row r="1386" spans="1:26" x14ac:dyDescent="0.25">
      <c r="A1386" s="314"/>
      <c r="B1386" s="18">
        <v>2023</v>
      </c>
      <c r="C1386" s="18" t="s">
        <v>792</v>
      </c>
      <c r="D1386" s="18" t="s">
        <v>769</v>
      </c>
      <c r="E1386" s="18" t="s">
        <v>713</v>
      </c>
      <c r="F1386" s="18" t="s">
        <v>714</v>
      </c>
      <c r="G1386" s="18" t="s">
        <v>674</v>
      </c>
      <c r="H1386" s="18" t="s">
        <v>770</v>
      </c>
      <c r="I1386" s="315">
        <v>162.74653164911044</v>
      </c>
      <c r="J1386" s="315">
        <v>1.3049558156697535E-3</v>
      </c>
      <c r="K1386" s="316" t="str">
        <f t="shared" si="40"/>
        <v>Construction and Mining Equipment</v>
      </c>
      <c r="L1386" s="316" t="str">
        <f t="shared" si="41"/>
        <v>Diesel</v>
      </c>
      <c r="M1386" s="194"/>
      <c r="N1386" s="317"/>
      <c r="O1386" s="317"/>
      <c r="P1386" s="317"/>
      <c r="Q1386" s="317"/>
      <c r="R1386" s="317"/>
      <c r="S1386" s="317"/>
      <c r="T1386" s="317"/>
      <c r="U1386" s="317"/>
      <c r="V1386" s="317"/>
      <c r="W1386" s="317"/>
      <c r="X1386" s="317"/>
      <c r="Y1386" s="317"/>
      <c r="Z1386" s="317"/>
    </row>
    <row r="1387" spans="1:26" x14ac:dyDescent="0.25">
      <c r="A1387" s="314"/>
      <c r="B1387" s="18">
        <v>2023</v>
      </c>
      <c r="C1387" s="18" t="s">
        <v>709</v>
      </c>
      <c r="D1387" s="18" t="s">
        <v>1018</v>
      </c>
      <c r="E1387" s="18" t="s">
        <v>56</v>
      </c>
      <c r="F1387" s="18" t="s">
        <v>672</v>
      </c>
      <c r="G1387" s="18" t="s">
        <v>677</v>
      </c>
      <c r="H1387" s="18" t="s">
        <v>785</v>
      </c>
      <c r="I1387" s="315">
        <v>162.67086789841727</v>
      </c>
      <c r="J1387" s="315">
        <v>7.9826160471619771E-3</v>
      </c>
      <c r="K1387" s="316" t="str">
        <f t="shared" si="40"/>
        <v>Commercial Equipment</v>
      </c>
      <c r="L1387" s="316" t="str">
        <f t="shared" si="41"/>
        <v>LPG</v>
      </c>
      <c r="M1387" s="194"/>
      <c r="N1387" s="317"/>
      <c r="O1387" s="317"/>
      <c r="P1387" s="317"/>
      <c r="Q1387" s="317"/>
      <c r="R1387" s="317"/>
      <c r="S1387" s="317"/>
      <c r="T1387" s="317"/>
      <c r="U1387" s="317"/>
      <c r="V1387" s="317"/>
      <c r="W1387" s="317"/>
      <c r="X1387" s="317"/>
      <c r="Y1387" s="317"/>
      <c r="Z1387" s="317"/>
    </row>
    <row r="1388" spans="1:26" x14ac:dyDescent="0.25">
      <c r="A1388" s="314"/>
      <c r="B1388" s="18">
        <v>2023</v>
      </c>
      <c r="C1388" s="18" t="s">
        <v>706</v>
      </c>
      <c r="D1388" s="18" t="s">
        <v>1074</v>
      </c>
      <c r="E1388" s="18" t="s">
        <v>713</v>
      </c>
      <c r="F1388" s="18" t="s">
        <v>714</v>
      </c>
      <c r="G1388" s="18" t="s">
        <v>674</v>
      </c>
      <c r="H1388" s="18" t="s">
        <v>967</v>
      </c>
      <c r="I1388" s="315">
        <v>162.56050779690142</v>
      </c>
      <c r="J1388" s="315">
        <v>2.793522080206562E-3</v>
      </c>
      <c r="K1388" s="316" t="str">
        <f t="shared" si="40"/>
        <v>Construction and Mining Equipment</v>
      </c>
      <c r="L1388" s="316" t="str">
        <f t="shared" si="41"/>
        <v>Diesel</v>
      </c>
      <c r="M1388" s="194"/>
      <c r="N1388" s="317"/>
      <c r="O1388" s="317"/>
      <c r="P1388" s="317"/>
      <c r="Q1388" s="317"/>
      <c r="R1388" s="317"/>
      <c r="S1388" s="317"/>
      <c r="T1388" s="317"/>
      <c r="U1388" s="317"/>
      <c r="V1388" s="317"/>
      <c r="W1388" s="317"/>
      <c r="X1388" s="317"/>
      <c r="Y1388" s="317"/>
      <c r="Z1388" s="317"/>
    </row>
    <row r="1389" spans="1:26" x14ac:dyDescent="0.25">
      <c r="A1389" s="314"/>
      <c r="B1389" s="18">
        <v>2023</v>
      </c>
      <c r="C1389" s="18" t="s">
        <v>753</v>
      </c>
      <c r="D1389" s="18" t="s">
        <v>846</v>
      </c>
      <c r="E1389" s="18" t="s">
        <v>713</v>
      </c>
      <c r="F1389" s="18" t="s">
        <v>714</v>
      </c>
      <c r="G1389" s="18" t="s">
        <v>677</v>
      </c>
      <c r="H1389" s="18" t="s">
        <v>836</v>
      </c>
      <c r="I1389" s="315">
        <v>162.37396806299896</v>
      </c>
      <c r="J1389" s="315">
        <v>6.2787886088385321E-3</v>
      </c>
      <c r="K1389" s="316" t="str">
        <f t="shared" si="40"/>
        <v>Commercial Equipment</v>
      </c>
      <c r="L1389" s="316" t="str">
        <f t="shared" si="41"/>
        <v>Diesel</v>
      </c>
      <c r="M1389" s="194"/>
      <c r="N1389" s="317"/>
      <c r="O1389" s="317"/>
      <c r="P1389" s="317"/>
      <c r="Q1389" s="317"/>
      <c r="R1389" s="317"/>
      <c r="S1389" s="317"/>
      <c r="T1389" s="317"/>
      <c r="U1389" s="317"/>
      <c r="V1389" s="317"/>
      <c r="W1389" s="317"/>
      <c r="X1389" s="317"/>
      <c r="Y1389" s="317"/>
      <c r="Z1389" s="317"/>
    </row>
    <row r="1390" spans="1:26" x14ac:dyDescent="0.25">
      <c r="A1390" s="314"/>
      <c r="B1390" s="18">
        <v>2023</v>
      </c>
      <c r="C1390" s="18" t="s">
        <v>792</v>
      </c>
      <c r="D1390" s="18" t="s">
        <v>840</v>
      </c>
      <c r="E1390" s="18" t="s">
        <v>703</v>
      </c>
      <c r="F1390" s="18" t="s">
        <v>704</v>
      </c>
      <c r="G1390" s="18" t="s">
        <v>677</v>
      </c>
      <c r="H1390" s="18" t="s">
        <v>841</v>
      </c>
      <c r="I1390" s="315">
        <v>161.33337295775061</v>
      </c>
      <c r="J1390" s="315">
        <v>0.10706887218887719</v>
      </c>
      <c r="K1390" s="316" t="str">
        <f t="shared" si="40"/>
        <v>Commercial Equipment</v>
      </c>
      <c r="L1390" s="316" t="str">
        <f t="shared" si="41"/>
        <v>Gasoline</v>
      </c>
      <c r="M1390" s="194"/>
      <c r="N1390" s="317"/>
      <c r="O1390" s="317"/>
      <c r="P1390" s="317"/>
      <c r="Q1390" s="317"/>
      <c r="R1390" s="317"/>
      <c r="S1390" s="317"/>
      <c r="T1390" s="317"/>
      <c r="U1390" s="317"/>
      <c r="V1390" s="317"/>
      <c r="W1390" s="317"/>
      <c r="X1390" s="317"/>
      <c r="Y1390" s="317"/>
      <c r="Z1390" s="317"/>
    </row>
    <row r="1391" spans="1:26" x14ac:dyDescent="0.25">
      <c r="A1391" s="314"/>
      <c r="B1391" s="18">
        <v>2023</v>
      </c>
      <c r="C1391" s="18" t="s">
        <v>810</v>
      </c>
      <c r="D1391" s="18" t="s">
        <v>799</v>
      </c>
      <c r="E1391" s="18" t="s">
        <v>703</v>
      </c>
      <c r="F1391" s="18" t="s">
        <v>795</v>
      </c>
      <c r="G1391" s="18" t="s">
        <v>673</v>
      </c>
      <c r="H1391" s="18" t="s">
        <v>800</v>
      </c>
      <c r="I1391" s="315">
        <v>161.11433929102466</v>
      </c>
      <c r="J1391" s="315">
        <v>0.3079637628417855</v>
      </c>
      <c r="K1391" s="316" t="str">
        <f t="shared" si="40"/>
        <v>Lawn and Garden Equipment</v>
      </c>
      <c r="L1391" s="316" t="str">
        <f t="shared" si="41"/>
        <v>Gasoline</v>
      </c>
      <c r="M1391" s="194"/>
      <c r="N1391" s="317"/>
      <c r="O1391" s="317"/>
      <c r="P1391" s="317"/>
      <c r="Q1391" s="317"/>
      <c r="R1391" s="317"/>
      <c r="S1391" s="317"/>
      <c r="T1391" s="317"/>
      <c r="U1391" s="317"/>
      <c r="V1391" s="317"/>
      <c r="W1391" s="317"/>
      <c r="X1391" s="317"/>
      <c r="Y1391" s="317"/>
      <c r="Z1391" s="317"/>
    </row>
    <row r="1392" spans="1:26" x14ac:dyDescent="0.25">
      <c r="A1392" s="314"/>
      <c r="B1392" s="18">
        <v>2023</v>
      </c>
      <c r="C1392" s="18" t="s">
        <v>727</v>
      </c>
      <c r="D1392" s="18" t="s">
        <v>1004</v>
      </c>
      <c r="E1392" s="18" t="s">
        <v>713</v>
      </c>
      <c r="F1392" s="18" t="s">
        <v>714</v>
      </c>
      <c r="G1392" s="18" t="s">
        <v>679</v>
      </c>
      <c r="H1392" s="18" t="s">
        <v>1005</v>
      </c>
      <c r="I1392" s="315">
        <v>161.10932818380522</v>
      </c>
      <c r="J1392" s="315">
        <v>5.8076159303667311E-3</v>
      </c>
      <c r="K1392" s="316" t="str">
        <f t="shared" si="40"/>
        <v>Recreational Equipment</v>
      </c>
      <c r="L1392" s="316" t="str">
        <f t="shared" si="41"/>
        <v>Diesel</v>
      </c>
      <c r="M1392" s="194"/>
      <c r="N1392" s="317"/>
      <c r="O1392" s="317"/>
      <c r="P1392" s="317"/>
      <c r="Q1392" s="317"/>
      <c r="R1392" s="317"/>
      <c r="S1392" s="317"/>
      <c r="T1392" s="317"/>
      <c r="U1392" s="317"/>
      <c r="V1392" s="317"/>
      <c r="W1392" s="317"/>
      <c r="X1392" s="317"/>
      <c r="Y1392" s="317"/>
      <c r="Z1392" s="317"/>
    </row>
    <row r="1393" spans="1:26" x14ac:dyDescent="0.25">
      <c r="A1393" s="314"/>
      <c r="B1393" s="18">
        <v>2023</v>
      </c>
      <c r="C1393" s="18" t="s">
        <v>750</v>
      </c>
      <c r="D1393" s="18" t="s">
        <v>788</v>
      </c>
      <c r="E1393" s="18" t="s">
        <v>703</v>
      </c>
      <c r="F1393" s="18" t="s">
        <v>704</v>
      </c>
      <c r="G1393" s="18" t="s">
        <v>677</v>
      </c>
      <c r="H1393" s="18" t="s">
        <v>789</v>
      </c>
      <c r="I1393" s="315">
        <v>161.06050902046698</v>
      </c>
      <c r="J1393" s="315">
        <v>0.11092148971376711</v>
      </c>
      <c r="K1393" s="316" t="str">
        <f t="shared" si="40"/>
        <v>Commercial Equipment</v>
      </c>
      <c r="L1393" s="316" t="str">
        <f t="shared" si="41"/>
        <v>Gasoline</v>
      </c>
      <c r="M1393" s="194"/>
      <c r="N1393" s="317"/>
      <c r="O1393" s="317"/>
      <c r="P1393" s="317"/>
      <c r="Q1393" s="317"/>
      <c r="R1393" s="317"/>
      <c r="S1393" s="317"/>
      <c r="T1393" s="317"/>
      <c r="U1393" s="317"/>
      <c r="V1393" s="317"/>
      <c r="W1393" s="317"/>
      <c r="X1393" s="317"/>
      <c r="Y1393" s="317"/>
      <c r="Z1393" s="317"/>
    </row>
    <row r="1394" spans="1:26" x14ac:dyDescent="0.25">
      <c r="A1394" s="314"/>
      <c r="B1394" s="18">
        <v>2023</v>
      </c>
      <c r="C1394" s="18" t="s">
        <v>753</v>
      </c>
      <c r="D1394" s="18" t="s">
        <v>830</v>
      </c>
      <c r="E1394" s="18" t="s">
        <v>703</v>
      </c>
      <c r="F1394" s="18" t="s">
        <v>704</v>
      </c>
      <c r="G1394" s="18" t="s">
        <v>673</v>
      </c>
      <c r="H1394" s="18" t="s">
        <v>742</v>
      </c>
      <c r="I1394" s="315">
        <v>160.90177921443822</v>
      </c>
      <c r="J1394" s="315">
        <v>6.994146204730782E-2</v>
      </c>
      <c r="K1394" s="316" t="str">
        <f t="shared" si="40"/>
        <v>Lawn and Garden Equipment</v>
      </c>
      <c r="L1394" s="316" t="str">
        <f t="shared" si="41"/>
        <v>Gasoline</v>
      </c>
      <c r="M1394" s="194"/>
      <c r="N1394" s="317"/>
      <c r="O1394" s="317"/>
      <c r="P1394" s="317"/>
      <c r="Q1394" s="317"/>
      <c r="R1394" s="317"/>
      <c r="S1394" s="317"/>
      <c r="T1394" s="317"/>
      <c r="U1394" s="317"/>
      <c r="V1394" s="317"/>
      <c r="W1394" s="317"/>
      <c r="X1394" s="317"/>
      <c r="Y1394" s="317"/>
      <c r="Z1394" s="317"/>
    </row>
    <row r="1395" spans="1:26" x14ac:dyDescent="0.25">
      <c r="A1395" s="314"/>
      <c r="B1395" s="18">
        <v>2023</v>
      </c>
      <c r="C1395" s="18" t="s">
        <v>710</v>
      </c>
      <c r="D1395" s="18" t="s">
        <v>1065</v>
      </c>
      <c r="E1395" s="18" t="s">
        <v>703</v>
      </c>
      <c r="F1395" s="18" t="s">
        <v>795</v>
      </c>
      <c r="G1395" s="18" t="s">
        <v>673</v>
      </c>
      <c r="H1395" s="18" t="s">
        <v>1066</v>
      </c>
      <c r="I1395" s="315">
        <v>160.76162171775508</v>
      </c>
      <c r="J1395" s="315">
        <v>1.0980753287810208</v>
      </c>
      <c r="K1395" s="316" t="str">
        <f t="shared" si="40"/>
        <v>Lawn and Garden Equipment</v>
      </c>
      <c r="L1395" s="316" t="str">
        <f t="shared" si="41"/>
        <v>Gasoline</v>
      </c>
      <c r="M1395" s="194"/>
      <c r="N1395" s="317"/>
      <c r="O1395" s="317"/>
      <c r="P1395" s="317"/>
      <c r="Q1395" s="317"/>
      <c r="R1395" s="317"/>
      <c r="S1395" s="317"/>
      <c r="T1395" s="317"/>
      <c r="U1395" s="317"/>
      <c r="V1395" s="317"/>
      <c r="W1395" s="317"/>
      <c r="X1395" s="317"/>
      <c r="Y1395" s="317"/>
      <c r="Z1395" s="317"/>
    </row>
    <row r="1396" spans="1:26" x14ac:dyDescent="0.25">
      <c r="A1396" s="314"/>
      <c r="B1396" s="18">
        <v>2023</v>
      </c>
      <c r="C1396" s="18" t="s">
        <v>760</v>
      </c>
      <c r="D1396" s="18" t="s">
        <v>964</v>
      </c>
      <c r="E1396" s="18" t="s">
        <v>56</v>
      </c>
      <c r="F1396" s="18" t="s">
        <v>601</v>
      </c>
      <c r="G1396" s="18" t="s">
        <v>677</v>
      </c>
      <c r="H1396" s="18" t="s">
        <v>965</v>
      </c>
      <c r="I1396" s="315">
        <v>160.493159309536</v>
      </c>
      <c r="J1396" s="315">
        <v>0.76693625066839166</v>
      </c>
      <c r="K1396" s="316" t="str">
        <f t="shared" si="40"/>
        <v>Commercial Equipment</v>
      </c>
      <c r="L1396" s="316" t="str">
        <f t="shared" si="41"/>
        <v>CNG</v>
      </c>
      <c r="M1396" s="194"/>
      <c r="N1396" s="317"/>
      <c r="O1396" s="317"/>
      <c r="P1396" s="317"/>
      <c r="Q1396" s="317"/>
      <c r="R1396" s="317"/>
      <c r="S1396" s="317"/>
      <c r="T1396" s="317"/>
      <c r="U1396" s="317"/>
      <c r="V1396" s="317"/>
      <c r="W1396" s="317"/>
      <c r="X1396" s="317"/>
      <c r="Y1396" s="317"/>
      <c r="Z1396" s="317"/>
    </row>
    <row r="1397" spans="1:26" x14ac:dyDescent="0.25">
      <c r="A1397" s="314"/>
      <c r="B1397" s="18">
        <v>2023</v>
      </c>
      <c r="C1397" s="18" t="s">
        <v>727</v>
      </c>
      <c r="D1397" s="18" t="s">
        <v>862</v>
      </c>
      <c r="E1397" s="18" t="s">
        <v>713</v>
      </c>
      <c r="F1397" s="18" t="s">
        <v>714</v>
      </c>
      <c r="G1397" s="18" t="s">
        <v>674</v>
      </c>
      <c r="H1397" s="18" t="s">
        <v>863</v>
      </c>
      <c r="I1397" s="315">
        <v>160.07174900230353</v>
      </c>
      <c r="J1397" s="315">
        <v>1.1547973691305171E-3</v>
      </c>
      <c r="K1397" s="316" t="str">
        <f t="shared" si="40"/>
        <v>Construction and Mining Equipment</v>
      </c>
      <c r="L1397" s="316" t="str">
        <f t="shared" si="41"/>
        <v>Diesel</v>
      </c>
      <c r="M1397" s="194"/>
      <c r="N1397" s="317"/>
      <c r="O1397" s="317"/>
      <c r="P1397" s="317"/>
      <c r="Q1397" s="317"/>
      <c r="R1397" s="317"/>
      <c r="S1397" s="317"/>
      <c r="T1397" s="317"/>
      <c r="U1397" s="317"/>
      <c r="V1397" s="317"/>
      <c r="W1397" s="317"/>
      <c r="X1397" s="317"/>
      <c r="Y1397" s="317"/>
      <c r="Z1397" s="317"/>
    </row>
    <row r="1398" spans="1:26" x14ac:dyDescent="0.25">
      <c r="A1398" s="314"/>
      <c r="B1398" s="18">
        <v>2023</v>
      </c>
      <c r="C1398" s="18" t="s">
        <v>793</v>
      </c>
      <c r="D1398" s="18" t="s">
        <v>860</v>
      </c>
      <c r="E1398" s="18" t="s">
        <v>713</v>
      </c>
      <c r="F1398" s="18" t="s">
        <v>714</v>
      </c>
      <c r="G1398" s="18" t="s">
        <v>674</v>
      </c>
      <c r="H1398" s="18" t="s">
        <v>861</v>
      </c>
      <c r="I1398" s="315">
        <v>159.4596432475264</v>
      </c>
      <c r="J1398" s="315">
        <v>2.6427527556761574E-3</v>
      </c>
      <c r="K1398" s="316" t="str">
        <f t="shared" si="40"/>
        <v>Construction and Mining Equipment</v>
      </c>
      <c r="L1398" s="316" t="str">
        <f t="shared" si="41"/>
        <v>Diesel</v>
      </c>
      <c r="M1398" s="194"/>
      <c r="N1398" s="317"/>
      <c r="O1398" s="317"/>
      <c r="P1398" s="317"/>
      <c r="Q1398" s="317"/>
      <c r="R1398" s="317"/>
      <c r="S1398" s="317"/>
      <c r="T1398" s="317"/>
      <c r="U1398" s="317"/>
      <c r="V1398" s="317"/>
      <c r="W1398" s="317"/>
      <c r="X1398" s="317"/>
      <c r="Y1398" s="317"/>
      <c r="Z1398" s="317"/>
    </row>
    <row r="1399" spans="1:26" x14ac:dyDescent="0.25">
      <c r="A1399" s="314"/>
      <c r="B1399" s="18">
        <v>2023</v>
      </c>
      <c r="C1399" s="18" t="s">
        <v>711</v>
      </c>
      <c r="D1399" s="18" t="s">
        <v>1018</v>
      </c>
      <c r="E1399" s="18" t="s">
        <v>56</v>
      </c>
      <c r="F1399" s="18" t="s">
        <v>672</v>
      </c>
      <c r="G1399" s="18" t="s">
        <v>677</v>
      </c>
      <c r="H1399" s="18" t="s">
        <v>785</v>
      </c>
      <c r="I1399" s="315">
        <v>159.28693641826473</v>
      </c>
      <c r="J1399" s="315">
        <v>7.8165636469904824E-3</v>
      </c>
      <c r="K1399" s="316" t="str">
        <f t="shared" si="40"/>
        <v>Commercial Equipment</v>
      </c>
      <c r="L1399" s="316" t="str">
        <f t="shared" si="41"/>
        <v>LPG</v>
      </c>
      <c r="M1399" s="194"/>
      <c r="N1399" s="317"/>
      <c r="O1399" s="317"/>
      <c r="P1399" s="317"/>
      <c r="Q1399" s="317"/>
      <c r="R1399" s="317"/>
      <c r="S1399" s="317"/>
      <c r="T1399" s="317"/>
      <c r="U1399" s="317"/>
      <c r="V1399" s="317"/>
      <c r="W1399" s="317"/>
      <c r="X1399" s="317"/>
      <c r="Y1399" s="317"/>
      <c r="Z1399" s="317"/>
    </row>
    <row r="1400" spans="1:26" x14ac:dyDescent="0.25">
      <c r="A1400" s="314"/>
      <c r="B1400" s="18">
        <v>2023</v>
      </c>
      <c r="C1400" s="18" t="s">
        <v>706</v>
      </c>
      <c r="D1400" s="18" t="s">
        <v>1075</v>
      </c>
      <c r="E1400" s="18" t="s">
        <v>56</v>
      </c>
      <c r="F1400" s="18" t="s">
        <v>672</v>
      </c>
      <c r="G1400" s="18" t="s">
        <v>675</v>
      </c>
      <c r="H1400" s="18" t="s">
        <v>772</v>
      </c>
      <c r="I1400" s="315">
        <v>158.91591937492248</v>
      </c>
      <c r="J1400" s="315">
        <v>7.3211935939335344E-3</v>
      </c>
      <c r="K1400" s="316" t="str">
        <f t="shared" si="40"/>
        <v>Industrial Equipment</v>
      </c>
      <c r="L1400" s="316" t="str">
        <f t="shared" si="41"/>
        <v>LPG</v>
      </c>
      <c r="M1400" s="194"/>
      <c r="N1400" s="317"/>
      <c r="O1400" s="317"/>
      <c r="P1400" s="317"/>
      <c r="Q1400" s="317"/>
      <c r="R1400" s="317"/>
      <c r="S1400" s="317"/>
      <c r="T1400" s="317"/>
      <c r="U1400" s="317"/>
      <c r="V1400" s="317"/>
      <c r="W1400" s="317"/>
      <c r="X1400" s="317"/>
      <c r="Y1400" s="317"/>
      <c r="Z1400" s="317"/>
    </row>
    <row r="1401" spans="1:26" x14ac:dyDescent="0.25">
      <c r="A1401" s="314"/>
      <c r="B1401" s="18">
        <v>2023</v>
      </c>
      <c r="C1401" s="18" t="s">
        <v>787</v>
      </c>
      <c r="D1401" s="18" t="s">
        <v>840</v>
      </c>
      <c r="E1401" s="18" t="s">
        <v>703</v>
      </c>
      <c r="F1401" s="18" t="s">
        <v>704</v>
      </c>
      <c r="G1401" s="18" t="s">
        <v>677</v>
      </c>
      <c r="H1401" s="18" t="s">
        <v>841</v>
      </c>
      <c r="I1401" s="315">
        <v>158.85123574719745</v>
      </c>
      <c r="J1401" s="315">
        <v>0.10486746796081925</v>
      </c>
      <c r="K1401" s="316" t="str">
        <f t="shared" si="40"/>
        <v>Commercial Equipment</v>
      </c>
      <c r="L1401" s="316" t="str">
        <f t="shared" si="41"/>
        <v>Gasoline</v>
      </c>
      <c r="M1401" s="194"/>
      <c r="N1401" s="317"/>
      <c r="O1401" s="317"/>
      <c r="P1401" s="317"/>
      <c r="Q1401" s="317"/>
      <c r="R1401" s="317"/>
      <c r="S1401" s="317"/>
      <c r="T1401" s="317"/>
      <c r="U1401" s="317"/>
      <c r="V1401" s="317"/>
      <c r="W1401" s="317"/>
      <c r="X1401" s="317"/>
      <c r="Y1401" s="317"/>
      <c r="Z1401" s="317"/>
    </row>
    <row r="1402" spans="1:26" x14ac:dyDescent="0.25">
      <c r="A1402" s="314"/>
      <c r="B1402" s="18">
        <v>2023</v>
      </c>
      <c r="C1402" s="18" t="s">
        <v>773</v>
      </c>
      <c r="D1402" s="18" t="s">
        <v>855</v>
      </c>
      <c r="E1402" s="18" t="s">
        <v>713</v>
      </c>
      <c r="F1402" s="18" t="s">
        <v>714</v>
      </c>
      <c r="G1402" s="18" t="s">
        <v>674</v>
      </c>
      <c r="H1402" s="18" t="s">
        <v>856</v>
      </c>
      <c r="I1402" s="315">
        <v>158.04272677690764</v>
      </c>
      <c r="J1402" s="315">
        <v>9.9865362860339477E-4</v>
      </c>
      <c r="K1402" s="316" t="str">
        <f t="shared" si="40"/>
        <v>Construction and Mining Equipment</v>
      </c>
      <c r="L1402" s="316" t="str">
        <f t="shared" si="41"/>
        <v>Diesel</v>
      </c>
      <c r="M1402" s="194"/>
      <c r="N1402" s="317"/>
      <c r="O1402" s="317"/>
      <c r="P1402" s="317"/>
      <c r="Q1402" s="317"/>
      <c r="R1402" s="317"/>
      <c r="S1402" s="317"/>
      <c r="T1402" s="317"/>
      <c r="U1402" s="317"/>
      <c r="V1402" s="317"/>
      <c r="W1402" s="317"/>
      <c r="X1402" s="317"/>
      <c r="Y1402" s="317"/>
      <c r="Z1402" s="317"/>
    </row>
    <row r="1403" spans="1:26" x14ac:dyDescent="0.25">
      <c r="A1403" s="314"/>
      <c r="B1403" s="18">
        <v>2023</v>
      </c>
      <c r="C1403" s="18" t="s">
        <v>732</v>
      </c>
      <c r="D1403" s="18" t="s">
        <v>966</v>
      </c>
      <c r="E1403" s="18" t="s">
        <v>703</v>
      </c>
      <c r="F1403" s="18" t="s">
        <v>704</v>
      </c>
      <c r="G1403" s="18" t="s">
        <v>674</v>
      </c>
      <c r="H1403" s="18" t="s">
        <v>967</v>
      </c>
      <c r="I1403" s="315">
        <v>157.88020309953629</v>
      </c>
      <c r="J1403" s="315">
        <v>0.10966514930274884</v>
      </c>
      <c r="K1403" s="316" t="str">
        <f t="shared" si="40"/>
        <v>Construction and Mining Equipment</v>
      </c>
      <c r="L1403" s="316" t="str">
        <f t="shared" si="41"/>
        <v>Gasoline</v>
      </c>
      <c r="M1403" s="194"/>
      <c r="N1403" s="317"/>
      <c r="O1403" s="317"/>
      <c r="P1403" s="317"/>
      <c r="Q1403" s="317"/>
      <c r="R1403" s="317"/>
      <c r="S1403" s="317"/>
      <c r="T1403" s="317"/>
      <c r="U1403" s="317"/>
      <c r="V1403" s="317"/>
      <c r="W1403" s="317"/>
      <c r="X1403" s="317"/>
      <c r="Y1403" s="317"/>
      <c r="Z1403" s="317"/>
    </row>
    <row r="1404" spans="1:26" x14ac:dyDescent="0.25">
      <c r="A1404" s="314"/>
      <c r="B1404" s="18">
        <v>2023</v>
      </c>
      <c r="C1404" s="18" t="s">
        <v>792</v>
      </c>
      <c r="D1404" s="18" t="s">
        <v>846</v>
      </c>
      <c r="E1404" s="18" t="s">
        <v>713</v>
      </c>
      <c r="F1404" s="18" t="s">
        <v>714</v>
      </c>
      <c r="G1404" s="18" t="s">
        <v>677</v>
      </c>
      <c r="H1404" s="18" t="s">
        <v>836</v>
      </c>
      <c r="I1404" s="315">
        <v>157.52707767108163</v>
      </c>
      <c r="J1404" s="315">
        <v>6.0913622826401816E-3</v>
      </c>
      <c r="K1404" s="316" t="str">
        <f t="shared" si="40"/>
        <v>Commercial Equipment</v>
      </c>
      <c r="L1404" s="316" t="str">
        <f t="shared" si="41"/>
        <v>Diesel</v>
      </c>
      <c r="M1404" s="194"/>
      <c r="N1404" s="317"/>
      <c r="O1404" s="317"/>
      <c r="P1404" s="317"/>
      <c r="Q1404" s="317"/>
      <c r="R1404" s="317"/>
      <c r="S1404" s="317"/>
      <c r="T1404" s="317"/>
      <c r="U1404" s="317"/>
      <c r="V1404" s="317"/>
      <c r="W1404" s="317"/>
      <c r="X1404" s="317"/>
      <c r="Y1404" s="317"/>
      <c r="Z1404" s="317"/>
    </row>
    <row r="1405" spans="1:26" x14ac:dyDescent="0.25">
      <c r="A1405" s="314"/>
      <c r="B1405" s="18">
        <v>2023</v>
      </c>
      <c r="C1405" s="18" t="s">
        <v>706</v>
      </c>
      <c r="D1405" s="18" t="s">
        <v>1076</v>
      </c>
      <c r="E1405" s="18" t="s">
        <v>703</v>
      </c>
      <c r="F1405" s="18" t="s">
        <v>704</v>
      </c>
      <c r="G1405" s="18" t="s">
        <v>674</v>
      </c>
      <c r="H1405" s="18" t="s">
        <v>756</v>
      </c>
      <c r="I1405" s="315">
        <v>157.19417524593723</v>
      </c>
      <c r="J1405" s="315">
        <v>6.909005708442284E-2</v>
      </c>
      <c r="K1405" s="316" t="str">
        <f t="shared" si="40"/>
        <v>Construction and Mining Equipment</v>
      </c>
      <c r="L1405" s="316" t="str">
        <f t="shared" si="41"/>
        <v>Gasoline</v>
      </c>
      <c r="M1405" s="194"/>
      <c r="N1405" s="317"/>
      <c r="O1405" s="317"/>
      <c r="P1405" s="317"/>
      <c r="Q1405" s="317"/>
      <c r="R1405" s="317"/>
      <c r="S1405" s="317"/>
      <c r="T1405" s="317"/>
      <c r="U1405" s="317"/>
      <c r="V1405" s="317"/>
      <c r="W1405" s="317"/>
      <c r="X1405" s="317"/>
      <c r="Y1405" s="317"/>
      <c r="Z1405" s="317"/>
    </row>
    <row r="1406" spans="1:26" x14ac:dyDescent="0.25">
      <c r="A1406" s="314"/>
      <c r="B1406" s="18">
        <v>2023</v>
      </c>
      <c r="C1406" s="18" t="s">
        <v>709</v>
      </c>
      <c r="D1406" s="18" t="s">
        <v>1020</v>
      </c>
      <c r="E1406" s="18" t="s">
        <v>713</v>
      </c>
      <c r="F1406" s="18" t="s">
        <v>714</v>
      </c>
      <c r="G1406" s="18" t="s">
        <v>677</v>
      </c>
      <c r="H1406" s="18" t="s">
        <v>789</v>
      </c>
      <c r="I1406" s="315">
        <v>156.65677974256931</v>
      </c>
      <c r="J1406" s="315">
        <v>3.6052022181209346E-3</v>
      </c>
      <c r="K1406" s="316" t="str">
        <f t="shared" si="40"/>
        <v>Commercial Equipment</v>
      </c>
      <c r="L1406" s="316" t="str">
        <f t="shared" si="41"/>
        <v>Diesel</v>
      </c>
      <c r="M1406" s="194"/>
      <c r="N1406" s="317"/>
      <c r="O1406" s="317"/>
      <c r="P1406" s="317"/>
      <c r="Q1406" s="317"/>
      <c r="R1406" s="317"/>
      <c r="S1406" s="317"/>
      <c r="T1406" s="317"/>
      <c r="U1406" s="317"/>
      <c r="V1406" s="317"/>
      <c r="W1406" s="317"/>
      <c r="X1406" s="317"/>
      <c r="Y1406" s="317"/>
      <c r="Z1406" s="317"/>
    </row>
    <row r="1407" spans="1:26" x14ac:dyDescent="0.25">
      <c r="A1407" s="314"/>
      <c r="B1407" s="18">
        <v>2023</v>
      </c>
      <c r="C1407" s="18" t="s">
        <v>810</v>
      </c>
      <c r="D1407" s="18" t="s">
        <v>788</v>
      </c>
      <c r="E1407" s="18" t="s">
        <v>703</v>
      </c>
      <c r="F1407" s="18" t="s">
        <v>704</v>
      </c>
      <c r="G1407" s="18" t="s">
        <v>677</v>
      </c>
      <c r="H1407" s="18" t="s">
        <v>789</v>
      </c>
      <c r="I1407" s="315">
        <v>156.58655369357294</v>
      </c>
      <c r="J1407" s="315">
        <v>0.1095898015242375</v>
      </c>
      <c r="K1407" s="316" t="str">
        <f t="shared" si="40"/>
        <v>Commercial Equipment</v>
      </c>
      <c r="L1407" s="316" t="str">
        <f t="shared" si="41"/>
        <v>Gasoline</v>
      </c>
      <c r="M1407" s="194"/>
      <c r="N1407" s="317"/>
      <c r="O1407" s="317"/>
      <c r="P1407" s="317"/>
      <c r="Q1407" s="317"/>
      <c r="R1407" s="317"/>
      <c r="S1407" s="317"/>
      <c r="T1407" s="317"/>
      <c r="U1407" s="317"/>
      <c r="V1407" s="317"/>
      <c r="W1407" s="317"/>
      <c r="X1407" s="317"/>
      <c r="Y1407" s="317"/>
      <c r="Z1407" s="317"/>
    </row>
    <row r="1408" spans="1:26" x14ac:dyDescent="0.25">
      <c r="A1408" s="314"/>
      <c r="B1408" s="18">
        <v>2023</v>
      </c>
      <c r="C1408" s="18" t="s">
        <v>727</v>
      </c>
      <c r="D1408" s="18" t="s">
        <v>1007</v>
      </c>
      <c r="E1408" s="18" t="s">
        <v>703</v>
      </c>
      <c r="F1408" s="18" t="s">
        <v>795</v>
      </c>
      <c r="G1408" s="18" t="s">
        <v>679</v>
      </c>
      <c r="H1408" s="18" t="s">
        <v>1008</v>
      </c>
      <c r="I1408" s="315">
        <v>156.29216602563218</v>
      </c>
      <c r="J1408" s="315">
        <v>0.1136439730123119</v>
      </c>
      <c r="K1408" s="316" t="str">
        <f t="shared" si="40"/>
        <v>Recreational Equipment</v>
      </c>
      <c r="L1408" s="316" t="str">
        <f t="shared" si="41"/>
        <v>Gasoline</v>
      </c>
      <c r="M1408" s="194"/>
      <c r="N1408" s="317"/>
      <c r="O1408" s="317"/>
      <c r="P1408" s="317"/>
      <c r="Q1408" s="317"/>
      <c r="R1408" s="317"/>
      <c r="S1408" s="317"/>
      <c r="T1408" s="317"/>
      <c r="U1408" s="317"/>
      <c r="V1408" s="317"/>
      <c r="W1408" s="317"/>
      <c r="X1408" s="317"/>
      <c r="Y1408" s="317"/>
      <c r="Z1408" s="317"/>
    </row>
    <row r="1409" spans="1:26" x14ac:dyDescent="0.25">
      <c r="A1409" s="314"/>
      <c r="B1409" s="18">
        <v>2023</v>
      </c>
      <c r="C1409" s="18" t="s">
        <v>793</v>
      </c>
      <c r="D1409" s="18" t="s">
        <v>862</v>
      </c>
      <c r="E1409" s="18" t="s">
        <v>713</v>
      </c>
      <c r="F1409" s="18" t="s">
        <v>714</v>
      </c>
      <c r="G1409" s="18" t="s">
        <v>674</v>
      </c>
      <c r="H1409" s="18" t="s">
        <v>863</v>
      </c>
      <c r="I1409" s="315">
        <v>156.28766969779497</v>
      </c>
      <c r="J1409" s="315">
        <v>1.1274970129777286E-3</v>
      </c>
      <c r="K1409" s="316" t="str">
        <f t="shared" si="40"/>
        <v>Construction and Mining Equipment</v>
      </c>
      <c r="L1409" s="316" t="str">
        <f t="shared" si="41"/>
        <v>Diesel</v>
      </c>
      <c r="M1409" s="194"/>
      <c r="N1409" s="317"/>
      <c r="O1409" s="317"/>
      <c r="P1409" s="317"/>
      <c r="Q1409" s="317"/>
      <c r="R1409" s="317"/>
      <c r="S1409" s="317"/>
      <c r="T1409" s="317"/>
      <c r="U1409" s="317"/>
      <c r="V1409" s="317"/>
      <c r="W1409" s="317"/>
      <c r="X1409" s="317"/>
      <c r="Y1409" s="317"/>
      <c r="Z1409" s="317"/>
    </row>
    <row r="1410" spans="1:26" x14ac:dyDescent="0.25">
      <c r="A1410" s="314"/>
      <c r="B1410" s="18">
        <v>2023</v>
      </c>
      <c r="C1410" s="18" t="s">
        <v>787</v>
      </c>
      <c r="D1410" s="18" t="s">
        <v>846</v>
      </c>
      <c r="E1410" s="18" t="s">
        <v>713</v>
      </c>
      <c r="F1410" s="18" t="s">
        <v>714</v>
      </c>
      <c r="G1410" s="18" t="s">
        <v>677</v>
      </c>
      <c r="H1410" s="18" t="s">
        <v>836</v>
      </c>
      <c r="I1410" s="315">
        <v>155.10361098005242</v>
      </c>
      <c r="J1410" s="315">
        <v>5.9976585360769288E-3</v>
      </c>
      <c r="K1410" s="316" t="str">
        <f t="shared" si="40"/>
        <v>Commercial Equipment</v>
      </c>
      <c r="L1410" s="316" t="str">
        <f t="shared" si="41"/>
        <v>Diesel</v>
      </c>
      <c r="M1410" s="194"/>
      <c r="N1410" s="317"/>
      <c r="O1410" s="317"/>
      <c r="P1410" s="317"/>
      <c r="Q1410" s="317"/>
      <c r="R1410" s="317"/>
      <c r="S1410" s="317"/>
      <c r="T1410" s="317"/>
      <c r="U1410" s="317"/>
      <c r="V1410" s="317"/>
      <c r="W1410" s="317"/>
      <c r="X1410" s="317"/>
      <c r="Y1410" s="317"/>
      <c r="Z1410" s="317"/>
    </row>
    <row r="1411" spans="1:26" x14ac:dyDescent="0.25">
      <c r="A1411" s="314"/>
      <c r="B1411" s="18">
        <v>2023</v>
      </c>
      <c r="C1411" s="18" t="s">
        <v>759</v>
      </c>
      <c r="D1411" s="18" t="s">
        <v>774</v>
      </c>
      <c r="E1411" s="18" t="s">
        <v>703</v>
      </c>
      <c r="F1411" s="18" t="s">
        <v>704</v>
      </c>
      <c r="G1411" s="18" t="s">
        <v>673</v>
      </c>
      <c r="H1411" s="18" t="s">
        <v>775</v>
      </c>
      <c r="I1411" s="315">
        <v>154.95244290905126</v>
      </c>
      <c r="J1411" s="315">
        <v>0.10576774667626176</v>
      </c>
      <c r="K1411" s="316" t="str">
        <f t="shared" si="40"/>
        <v>Lawn and Garden Equipment</v>
      </c>
      <c r="L1411" s="316" t="str">
        <f t="shared" si="41"/>
        <v>Gasoline</v>
      </c>
      <c r="M1411" s="194"/>
      <c r="N1411" s="317"/>
      <c r="O1411" s="317"/>
      <c r="P1411" s="317"/>
      <c r="Q1411" s="317"/>
      <c r="R1411" s="317"/>
      <c r="S1411" s="317"/>
      <c r="T1411" s="317"/>
      <c r="U1411" s="317"/>
      <c r="V1411" s="317"/>
      <c r="W1411" s="317"/>
      <c r="X1411" s="317"/>
      <c r="Y1411" s="317"/>
      <c r="Z1411" s="317"/>
    </row>
    <row r="1412" spans="1:26" ht="12.75" x14ac:dyDescent="0.2">
      <c r="A1412" s="230"/>
      <c r="B1412" s="18">
        <v>2023</v>
      </c>
      <c r="C1412" s="18" t="s">
        <v>786</v>
      </c>
      <c r="D1412" s="18" t="s">
        <v>774</v>
      </c>
      <c r="E1412" s="18" t="s">
        <v>703</v>
      </c>
      <c r="F1412" s="18" t="s">
        <v>704</v>
      </c>
      <c r="G1412" s="18" t="s">
        <v>673</v>
      </c>
      <c r="H1412" s="18" t="s">
        <v>775</v>
      </c>
      <c r="I1412" s="315">
        <v>154.32058326193297</v>
      </c>
      <c r="J1412" s="315">
        <v>0.10565812711803405</v>
      </c>
      <c r="K1412" s="316" t="str">
        <f t="shared" si="40"/>
        <v>Lawn and Garden Equipment</v>
      </c>
      <c r="L1412" s="316" t="str">
        <f t="shared" si="41"/>
        <v>Gasoline</v>
      </c>
      <c r="M1412" s="8"/>
      <c r="N1412" s="2"/>
      <c r="O1412" s="2"/>
      <c r="P1412" s="2"/>
      <c r="Q1412" s="2"/>
      <c r="R1412" s="2"/>
      <c r="S1412" s="2"/>
      <c r="T1412" s="2"/>
      <c r="U1412" s="2"/>
      <c r="V1412" s="2"/>
      <c r="W1412" s="2"/>
      <c r="X1412" s="2"/>
      <c r="Y1412" s="2"/>
      <c r="Z1412" s="2"/>
    </row>
    <row r="1413" spans="1:26" ht="12.75" x14ac:dyDescent="0.2">
      <c r="A1413" s="230"/>
      <c r="B1413" s="18">
        <v>2023</v>
      </c>
      <c r="C1413" s="18" t="s">
        <v>710</v>
      </c>
      <c r="D1413" s="18" t="s">
        <v>1018</v>
      </c>
      <c r="E1413" s="18" t="s">
        <v>56</v>
      </c>
      <c r="F1413" s="18" t="s">
        <v>672</v>
      </c>
      <c r="G1413" s="18" t="s">
        <v>677</v>
      </c>
      <c r="H1413" s="18" t="s">
        <v>785</v>
      </c>
      <c r="I1413" s="315">
        <v>153.72734775058055</v>
      </c>
      <c r="J1413" s="315">
        <v>7.543749907636216E-3</v>
      </c>
      <c r="K1413" s="316" t="str">
        <f t="shared" si="40"/>
        <v>Commercial Equipment</v>
      </c>
      <c r="L1413" s="316" t="str">
        <f t="shared" si="41"/>
        <v>LPG</v>
      </c>
      <c r="M1413" s="8"/>
      <c r="N1413" s="2"/>
      <c r="O1413" s="2"/>
      <c r="P1413" s="2"/>
      <c r="Q1413" s="2"/>
      <c r="R1413" s="2"/>
      <c r="S1413" s="2"/>
      <c r="T1413" s="2"/>
      <c r="U1413" s="2"/>
      <c r="V1413" s="2"/>
      <c r="W1413" s="2"/>
      <c r="X1413" s="2"/>
      <c r="Y1413" s="2"/>
      <c r="Z1413" s="2"/>
    </row>
    <row r="1414" spans="1:26" ht="12.75" x14ac:dyDescent="0.2">
      <c r="A1414" s="230"/>
      <c r="B1414" s="18">
        <v>2023</v>
      </c>
      <c r="C1414" s="18" t="s">
        <v>706</v>
      </c>
      <c r="D1414" s="18" t="s">
        <v>1077</v>
      </c>
      <c r="E1414" s="18" t="s">
        <v>713</v>
      </c>
      <c r="F1414" s="18" t="s">
        <v>714</v>
      </c>
      <c r="G1414" s="18" t="s">
        <v>675</v>
      </c>
      <c r="H1414" s="18" t="s">
        <v>1078</v>
      </c>
      <c r="I1414" s="315">
        <v>153.65294394171579</v>
      </c>
      <c r="J1414" s="315">
        <v>3.8965261191345802E-3</v>
      </c>
      <c r="K1414" s="316" t="str">
        <f t="shared" si="40"/>
        <v>Industrial Equipment</v>
      </c>
      <c r="L1414" s="316" t="str">
        <f t="shared" si="41"/>
        <v>Diesel</v>
      </c>
      <c r="M1414" s="8"/>
      <c r="N1414" s="2"/>
      <c r="O1414" s="2"/>
      <c r="P1414" s="2"/>
      <c r="Q1414" s="2"/>
      <c r="R1414" s="2"/>
      <c r="S1414" s="2"/>
      <c r="T1414" s="2"/>
      <c r="U1414" s="2"/>
      <c r="V1414" s="2"/>
      <c r="W1414" s="2"/>
      <c r="X1414" s="2"/>
      <c r="Y1414" s="2"/>
      <c r="Z1414" s="2"/>
    </row>
    <row r="1415" spans="1:26" ht="12.75" x14ac:dyDescent="0.2">
      <c r="A1415" s="230"/>
      <c r="B1415" s="18">
        <v>2023</v>
      </c>
      <c r="C1415" s="18" t="s">
        <v>760</v>
      </c>
      <c r="D1415" s="18" t="s">
        <v>968</v>
      </c>
      <c r="E1415" s="18" t="s">
        <v>703</v>
      </c>
      <c r="F1415" s="18" t="s">
        <v>704</v>
      </c>
      <c r="G1415" s="18" t="s">
        <v>675</v>
      </c>
      <c r="H1415" s="18" t="s">
        <v>969</v>
      </c>
      <c r="I1415" s="315">
        <v>153.45003268022347</v>
      </c>
      <c r="J1415" s="315">
        <v>4.9153601379028022E-2</v>
      </c>
      <c r="K1415" s="316" t="str">
        <f t="shared" si="40"/>
        <v>Industrial Equipment</v>
      </c>
      <c r="L1415" s="316" t="str">
        <f t="shared" si="41"/>
        <v>Gasoline</v>
      </c>
      <c r="M1415" s="8"/>
      <c r="N1415" s="2"/>
      <c r="O1415" s="2"/>
      <c r="P1415" s="2"/>
      <c r="Q1415" s="2"/>
      <c r="R1415" s="2"/>
      <c r="S1415" s="2"/>
      <c r="T1415" s="2"/>
      <c r="U1415" s="2"/>
      <c r="V1415" s="2"/>
      <c r="W1415" s="2"/>
      <c r="X1415" s="2"/>
      <c r="Y1415" s="2"/>
      <c r="Z1415" s="2"/>
    </row>
    <row r="1416" spans="1:26" ht="12.75" x14ac:dyDescent="0.2">
      <c r="A1416" s="230"/>
      <c r="B1416" s="18">
        <v>2023</v>
      </c>
      <c r="C1416" s="18" t="s">
        <v>750</v>
      </c>
      <c r="D1416" s="18" t="s">
        <v>767</v>
      </c>
      <c r="E1416" s="18" t="s">
        <v>703</v>
      </c>
      <c r="F1416" s="18" t="s">
        <v>704</v>
      </c>
      <c r="G1416" s="18" t="s">
        <v>673</v>
      </c>
      <c r="H1416" s="18" t="s">
        <v>768</v>
      </c>
      <c r="I1416" s="315">
        <v>153.4060842860959</v>
      </c>
      <c r="J1416" s="315">
        <v>0.10644445212260846</v>
      </c>
      <c r="K1416" s="316" t="str">
        <f t="shared" si="40"/>
        <v>Lawn and Garden Equipment</v>
      </c>
      <c r="L1416" s="316" t="str">
        <f t="shared" si="41"/>
        <v>Gasoline</v>
      </c>
      <c r="M1416" s="8"/>
      <c r="N1416" s="2"/>
      <c r="O1416" s="2"/>
      <c r="P1416" s="2"/>
      <c r="Q1416" s="2"/>
      <c r="R1416" s="2"/>
      <c r="S1416" s="2"/>
      <c r="T1416" s="2"/>
      <c r="U1416" s="2"/>
      <c r="V1416" s="2"/>
      <c r="W1416" s="2"/>
      <c r="X1416" s="2"/>
      <c r="Y1416" s="2"/>
      <c r="Z1416" s="2"/>
    </row>
    <row r="1417" spans="1:26" ht="12.75" x14ac:dyDescent="0.2">
      <c r="A1417" s="230"/>
      <c r="B1417" s="18">
        <v>2023</v>
      </c>
      <c r="C1417" s="18" t="s">
        <v>711</v>
      </c>
      <c r="D1417" s="18" t="s">
        <v>1020</v>
      </c>
      <c r="E1417" s="18" t="s">
        <v>713</v>
      </c>
      <c r="F1417" s="18" t="s">
        <v>714</v>
      </c>
      <c r="G1417" s="18" t="s">
        <v>677</v>
      </c>
      <c r="H1417" s="18" t="s">
        <v>789</v>
      </c>
      <c r="I1417" s="315">
        <v>153.39804326955499</v>
      </c>
      <c r="J1417" s="315">
        <v>3.5302134947785627E-3</v>
      </c>
      <c r="K1417" s="316" t="str">
        <f t="shared" si="40"/>
        <v>Commercial Equipment</v>
      </c>
      <c r="L1417" s="316" t="str">
        <f t="shared" si="41"/>
        <v>Diesel</v>
      </c>
      <c r="M1417" s="8"/>
      <c r="N1417" s="2"/>
      <c r="O1417" s="2"/>
      <c r="P1417" s="2"/>
      <c r="Q1417" s="2"/>
      <c r="R1417" s="2"/>
      <c r="S1417" s="2"/>
      <c r="T1417" s="2"/>
      <c r="U1417" s="2"/>
      <c r="V1417" s="2"/>
      <c r="W1417" s="2"/>
      <c r="X1417" s="2"/>
      <c r="Y1417" s="2"/>
      <c r="Z1417" s="2"/>
    </row>
    <row r="1418" spans="1:26" ht="12.75" x14ac:dyDescent="0.2">
      <c r="A1418" s="230"/>
      <c r="B1418" s="18">
        <v>2023</v>
      </c>
      <c r="C1418" s="18" t="s">
        <v>792</v>
      </c>
      <c r="D1418" s="18" t="s">
        <v>723</v>
      </c>
      <c r="E1418" s="18" t="s">
        <v>703</v>
      </c>
      <c r="F1418" s="18" t="s">
        <v>704</v>
      </c>
      <c r="G1418" s="18" t="s">
        <v>673</v>
      </c>
      <c r="H1418" s="18" t="s">
        <v>724</v>
      </c>
      <c r="I1418" s="315">
        <v>152.57119483165445</v>
      </c>
      <c r="J1418" s="315">
        <v>0.10076845332554929</v>
      </c>
      <c r="K1418" s="316" t="str">
        <f t="shared" si="40"/>
        <v>Lawn and Garden Equipment</v>
      </c>
      <c r="L1418" s="316" t="str">
        <f t="shared" si="41"/>
        <v>Gasoline</v>
      </c>
      <c r="M1418" s="8"/>
      <c r="N1418" s="2"/>
      <c r="O1418" s="2"/>
      <c r="P1418" s="2"/>
      <c r="Q1418" s="2"/>
      <c r="R1418" s="2"/>
      <c r="S1418" s="2"/>
      <c r="T1418" s="2"/>
      <c r="U1418" s="2"/>
      <c r="V1418" s="2"/>
      <c r="W1418" s="2"/>
      <c r="X1418" s="2"/>
      <c r="Y1418" s="2"/>
      <c r="Z1418" s="2"/>
    </row>
    <row r="1419" spans="1:26" ht="12.75" x14ac:dyDescent="0.2">
      <c r="A1419" s="230"/>
      <c r="B1419" s="18">
        <v>2023</v>
      </c>
      <c r="C1419" s="18" t="s">
        <v>754</v>
      </c>
      <c r="D1419" s="18" t="s">
        <v>927</v>
      </c>
      <c r="E1419" s="18" t="s">
        <v>56</v>
      </c>
      <c r="F1419" s="18" t="s">
        <v>672</v>
      </c>
      <c r="G1419" s="18" t="s">
        <v>673</v>
      </c>
      <c r="H1419" s="18" t="s">
        <v>742</v>
      </c>
      <c r="I1419" s="315">
        <v>152.34348483384707</v>
      </c>
      <c r="J1419" s="315">
        <v>6.9209258685160478E-3</v>
      </c>
      <c r="K1419" s="316" t="str">
        <f t="shared" si="40"/>
        <v>Lawn and Garden Equipment</v>
      </c>
      <c r="L1419" s="316" t="str">
        <f t="shared" si="41"/>
        <v>LPG</v>
      </c>
      <c r="M1419" s="8"/>
      <c r="N1419" s="2"/>
      <c r="O1419" s="2"/>
      <c r="P1419" s="2"/>
      <c r="Q1419" s="2"/>
      <c r="R1419" s="2"/>
      <c r="S1419" s="2"/>
      <c r="T1419" s="2"/>
      <c r="U1419" s="2"/>
      <c r="V1419" s="2"/>
      <c r="W1419" s="2"/>
      <c r="X1419" s="2"/>
      <c r="Y1419" s="2"/>
      <c r="Z1419" s="2"/>
    </row>
    <row r="1420" spans="1:26" ht="12.75" x14ac:dyDescent="0.2">
      <c r="A1420" s="230"/>
      <c r="B1420" s="18">
        <v>2023</v>
      </c>
      <c r="C1420" s="18" t="s">
        <v>760</v>
      </c>
      <c r="D1420" s="18" t="s">
        <v>973</v>
      </c>
      <c r="E1420" s="18" t="s">
        <v>703</v>
      </c>
      <c r="F1420" s="18" t="s">
        <v>795</v>
      </c>
      <c r="G1420" s="18" t="s">
        <v>673</v>
      </c>
      <c r="H1420" s="18" t="s">
        <v>974</v>
      </c>
      <c r="I1420" s="315">
        <v>152.09304556864572</v>
      </c>
      <c r="J1420" s="315">
        <v>0.28643776539557148</v>
      </c>
      <c r="K1420" s="316" t="str">
        <f t="shared" si="40"/>
        <v>Lawn and Garden Equipment</v>
      </c>
      <c r="L1420" s="316" t="str">
        <f t="shared" si="41"/>
        <v>Gasoline</v>
      </c>
      <c r="M1420" s="8"/>
      <c r="N1420" s="2"/>
      <c r="O1420" s="2"/>
      <c r="P1420" s="2"/>
      <c r="Q1420" s="2"/>
      <c r="R1420" s="2"/>
      <c r="S1420" s="2"/>
      <c r="T1420" s="2"/>
      <c r="U1420" s="2"/>
      <c r="V1420" s="2"/>
      <c r="W1420" s="2"/>
      <c r="X1420" s="2"/>
      <c r="Y1420" s="2"/>
      <c r="Z1420" s="2"/>
    </row>
    <row r="1421" spans="1:26" ht="12.75" x14ac:dyDescent="0.2">
      <c r="A1421" s="230"/>
      <c r="B1421" s="18">
        <v>2023</v>
      </c>
      <c r="C1421" s="18" t="s">
        <v>773</v>
      </c>
      <c r="D1421" s="18" t="s">
        <v>858</v>
      </c>
      <c r="E1421" s="18" t="s">
        <v>713</v>
      </c>
      <c r="F1421" s="18" t="s">
        <v>714</v>
      </c>
      <c r="G1421" s="18" t="s">
        <v>674</v>
      </c>
      <c r="H1421" s="18" t="s">
        <v>859</v>
      </c>
      <c r="I1421" s="315">
        <v>152.03559530774294</v>
      </c>
      <c r="J1421" s="315">
        <v>1.3495306446795058E-3</v>
      </c>
      <c r="K1421" s="316" t="str">
        <f t="shared" si="40"/>
        <v>Construction and Mining Equipment</v>
      </c>
      <c r="L1421" s="316" t="str">
        <f t="shared" si="41"/>
        <v>Diesel</v>
      </c>
      <c r="M1421" s="8"/>
      <c r="N1421" s="2"/>
      <c r="O1421" s="2"/>
      <c r="P1421" s="2"/>
      <c r="Q1421" s="2"/>
      <c r="R1421" s="2"/>
      <c r="S1421" s="2"/>
      <c r="T1421" s="2"/>
      <c r="U1421" s="2"/>
      <c r="V1421" s="2"/>
      <c r="W1421" s="2"/>
      <c r="X1421" s="2"/>
      <c r="Y1421" s="2"/>
      <c r="Z1421" s="2"/>
    </row>
    <row r="1422" spans="1:26" ht="12.75" x14ac:dyDescent="0.2">
      <c r="A1422" s="230"/>
      <c r="B1422" s="18">
        <v>2023</v>
      </c>
      <c r="C1422" s="18" t="s">
        <v>793</v>
      </c>
      <c r="D1422" s="18" t="s">
        <v>771</v>
      </c>
      <c r="E1422" s="18" t="s">
        <v>713</v>
      </c>
      <c r="F1422" s="18" t="s">
        <v>714</v>
      </c>
      <c r="G1422" s="18" t="s">
        <v>675</v>
      </c>
      <c r="H1422" s="18" t="s">
        <v>772</v>
      </c>
      <c r="I1422" s="315">
        <v>151.44393522316085</v>
      </c>
      <c r="J1422" s="315">
        <v>3.3694735840680612E-4</v>
      </c>
      <c r="K1422" s="316" t="str">
        <f t="shared" si="40"/>
        <v>Industrial Equipment</v>
      </c>
      <c r="L1422" s="316" t="str">
        <f t="shared" si="41"/>
        <v>Diesel</v>
      </c>
      <c r="M1422" s="8"/>
      <c r="N1422" s="2"/>
      <c r="O1422" s="2"/>
      <c r="P1422" s="2"/>
      <c r="Q1422" s="2"/>
      <c r="R1422" s="2"/>
      <c r="S1422" s="2"/>
      <c r="T1422" s="2"/>
      <c r="U1422" s="2"/>
      <c r="V1422" s="2"/>
      <c r="W1422" s="2"/>
      <c r="X1422" s="2"/>
      <c r="Y1422" s="2"/>
      <c r="Z1422" s="2"/>
    </row>
    <row r="1423" spans="1:26" ht="12.75" x14ac:dyDescent="0.2">
      <c r="A1423" s="230"/>
      <c r="B1423" s="18">
        <v>2023</v>
      </c>
      <c r="C1423" s="18" t="s">
        <v>709</v>
      </c>
      <c r="D1423" s="18" t="s">
        <v>997</v>
      </c>
      <c r="E1423" s="18" t="s">
        <v>56</v>
      </c>
      <c r="F1423" s="18" t="s">
        <v>672</v>
      </c>
      <c r="G1423" s="18" t="s">
        <v>675</v>
      </c>
      <c r="H1423" s="18" t="s">
        <v>969</v>
      </c>
      <c r="I1423" s="315">
        <v>151.26072998097391</v>
      </c>
      <c r="J1423" s="315">
        <v>1.8819846193874314E-2</v>
      </c>
      <c r="K1423" s="316" t="str">
        <f t="shared" si="40"/>
        <v>Industrial Equipment</v>
      </c>
      <c r="L1423" s="316" t="str">
        <f t="shared" si="41"/>
        <v>LPG</v>
      </c>
      <c r="M1423" s="8"/>
      <c r="N1423" s="2"/>
      <c r="O1423" s="2"/>
      <c r="P1423" s="2"/>
      <c r="Q1423" s="2"/>
      <c r="R1423" s="2"/>
      <c r="S1423" s="2"/>
      <c r="T1423" s="2"/>
      <c r="U1423" s="2"/>
      <c r="V1423" s="2"/>
      <c r="W1423" s="2"/>
      <c r="X1423" s="2"/>
      <c r="Y1423" s="2"/>
      <c r="Z1423" s="2"/>
    </row>
    <row r="1424" spans="1:26" ht="12.75" x14ac:dyDescent="0.2">
      <c r="A1424" s="230"/>
      <c r="B1424" s="18">
        <v>2023</v>
      </c>
      <c r="C1424" s="18" t="s">
        <v>731</v>
      </c>
      <c r="D1424" s="18" t="s">
        <v>769</v>
      </c>
      <c r="E1424" s="18" t="s">
        <v>713</v>
      </c>
      <c r="F1424" s="18" t="s">
        <v>714</v>
      </c>
      <c r="G1424" s="18" t="s">
        <v>674</v>
      </c>
      <c r="H1424" s="18" t="s">
        <v>770</v>
      </c>
      <c r="I1424" s="315">
        <v>151.0332140287104</v>
      </c>
      <c r="J1424" s="315">
        <v>1.2110350886498625E-3</v>
      </c>
      <c r="K1424" s="316" t="str">
        <f t="shared" si="40"/>
        <v>Construction and Mining Equipment</v>
      </c>
      <c r="L1424" s="316" t="str">
        <f t="shared" si="41"/>
        <v>Diesel</v>
      </c>
      <c r="M1424" s="8"/>
      <c r="N1424" s="2"/>
      <c r="O1424" s="2"/>
      <c r="P1424" s="2"/>
      <c r="Q1424" s="2"/>
      <c r="R1424" s="2"/>
      <c r="S1424" s="2"/>
      <c r="T1424" s="2"/>
      <c r="U1424" s="2"/>
      <c r="V1424" s="2"/>
      <c r="W1424" s="2"/>
      <c r="X1424" s="2"/>
      <c r="Y1424" s="2"/>
      <c r="Z1424" s="2"/>
    </row>
    <row r="1425" spans="1:26" ht="12.75" x14ac:dyDescent="0.2">
      <c r="A1425" s="230"/>
      <c r="B1425" s="18">
        <v>2023</v>
      </c>
      <c r="C1425" s="18" t="s">
        <v>722</v>
      </c>
      <c r="D1425" s="18" t="s">
        <v>958</v>
      </c>
      <c r="E1425" s="18" t="s">
        <v>713</v>
      </c>
      <c r="F1425" s="18" t="s">
        <v>714</v>
      </c>
      <c r="G1425" s="18" t="s">
        <v>674</v>
      </c>
      <c r="H1425" s="18" t="s">
        <v>959</v>
      </c>
      <c r="I1425" s="315">
        <v>150.93700539980424</v>
      </c>
      <c r="J1425" s="315">
        <v>1.3426637580680573E-3</v>
      </c>
      <c r="K1425" s="316" t="str">
        <f t="shared" si="40"/>
        <v>Construction and Mining Equipment</v>
      </c>
      <c r="L1425" s="316" t="str">
        <f t="shared" si="41"/>
        <v>Diesel</v>
      </c>
      <c r="M1425" s="8"/>
      <c r="N1425" s="2"/>
      <c r="O1425" s="2"/>
      <c r="P1425" s="2"/>
      <c r="Q1425" s="2"/>
      <c r="R1425" s="2"/>
      <c r="S1425" s="2"/>
      <c r="T1425" s="2"/>
      <c r="U1425" s="2"/>
      <c r="V1425" s="2"/>
      <c r="W1425" s="2"/>
      <c r="X1425" s="2"/>
      <c r="Y1425" s="2"/>
      <c r="Z1425" s="2"/>
    </row>
    <row r="1426" spans="1:26" ht="12.75" x14ac:dyDescent="0.2">
      <c r="A1426" s="230"/>
      <c r="B1426" s="18">
        <v>2023</v>
      </c>
      <c r="C1426" s="18" t="s">
        <v>759</v>
      </c>
      <c r="D1426" s="18" t="s">
        <v>735</v>
      </c>
      <c r="E1426" s="18" t="s">
        <v>713</v>
      </c>
      <c r="F1426" s="18" t="s">
        <v>714</v>
      </c>
      <c r="G1426" s="18" t="s">
        <v>674</v>
      </c>
      <c r="H1426" s="18" t="s">
        <v>736</v>
      </c>
      <c r="I1426" s="315">
        <v>150.66281979125878</v>
      </c>
      <c r="J1426" s="315">
        <v>4.5064143674629544E-3</v>
      </c>
      <c r="K1426" s="316" t="str">
        <f t="shared" si="40"/>
        <v>Construction and Mining Equipment</v>
      </c>
      <c r="L1426" s="316" t="str">
        <f t="shared" si="41"/>
        <v>Diesel</v>
      </c>
      <c r="M1426" s="8"/>
      <c r="N1426" s="2"/>
      <c r="O1426" s="2"/>
      <c r="P1426" s="2"/>
      <c r="Q1426" s="2"/>
      <c r="R1426" s="2"/>
      <c r="S1426" s="2"/>
      <c r="T1426" s="2"/>
      <c r="U1426" s="2"/>
      <c r="V1426" s="2"/>
      <c r="W1426" s="2"/>
      <c r="X1426" s="2"/>
      <c r="Y1426" s="2"/>
      <c r="Z1426" s="2"/>
    </row>
    <row r="1427" spans="1:26" ht="12.75" x14ac:dyDescent="0.2">
      <c r="A1427" s="230"/>
      <c r="B1427" s="18">
        <v>2023</v>
      </c>
      <c r="C1427" s="18" t="s">
        <v>754</v>
      </c>
      <c r="D1427" s="18" t="s">
        <v>936</v>
      </c>
      <c r="E1427" s="18" t="s">
        <v>56</v>
      </c>
      <c r="F1427" s="18" t="s">
        <v>672</v>
      </c>
      <c r="G1427" s="18" t="s">
        <v>677</v>
      </c>
      <c r="H1427" s="18" t="s">
        <v>747</v>
      </c>
      <c r="I1427" s="315">
        <v>150.32322302952321</v>
      </c>
      <c r="J1427" s="315">
        <v>3.465493378284324E-2</v>
      </c>
      <c r="K1427" s="316" t="str">
        <f t="shared" si="40"/>
        <v>Commercial Equipment</v>
      </c>
      <c r="L1427" s="316" t="str">
        <f t="shared" si="41"/>
        <v>LPG</v>
      </c>
      <c r="M1427" s="8"/>
      <c r="N1427" s="2"/>
      <c r="O1427" s="2"/>
      <c r="P1427" s="2"/>
      <c r="Q1427" s="2"/>
      <c r="R1427" s="2"/>
      <c r="S1427" s="2"/>
      <c r="T1427" s="2"/>
      <c r="U1427" s="2"/>
      <c r="V1427" s="2"/>
      <c r="W1427" s="2"/>
      <c r="X1427" s="2"/>
      <c r="Y1427" s="2"/>
      <c r="Z1427" s="2"/>
    </row>
    <row r="1428" spans="1:26" ht="12.75" x14ac:dyDescent="0.2">
      <c r="A1428" s="230"/>
      <c r="B1428" s="18">
        <v>2023</v>
      </c>
      <c r="C1428" s="18" t="s">
        <v>781</v>
      </c>
      <c r="D1428" s="18" t="s">
        <v>848</v>
      </c>
      <c r="E1428" s="18" t="s">
        <v>56</v>
      </c>
      <c r="F1428" s="18" t="s">
        <v>601</v>
      </c>
      <c r="G1428" s="18" t="s">
        <v>675</v>
      </c>
      <c r="H1428" s="18" t="s">
        <v>708</v>
      </c>
      <c r="I1428" s="315">
        <v>150.22707723236175</v>
      </c>
      <c r="J1428" s="315">
        <v>0.59763875423382362</v>
      </c>
      <c r="K1428" s="316" t="str">
        <f t="shared" si="40"/>
        <v>Industrial Equipment</v>
      </c>
      <c r="L1428" s="316" t="str">
        <f t="shared" si="41"/>
        <v>CNG</v>
      </c>
      <c r="M1428" s="8"/>
      <c r="N1428" s="2"/>
      <c r="O1428" s="2"/>
      <c r="P1428" s="2"/>
      <c r="Q1428" s="2"/>
      <c r="R1428" s="2"/>
      <c r="S1428" s="2"/>
      <c r="T1428" s="2"/>
      <c r="U1428" s="2"/>
      <c r="V1428" s="2"/>
      <c r="W1428" s="2"/>
      <c r="X1428" s="2"/>
      <c r="Y1428" s="2"/>
      <c r="Z1428" s="2"/>
    </row>
    <row r="1429" spans="1:26" ht="12.75" x14ac:dyDescent="0.2">
      <c r="A1429" s="230"/>
      <c r="B1429" s="18">
        <v>2023</v>
      </c>
      <c r="C1429" s="18" t="s">
        <v>760</v>
      </c>
      <c r="D1429" s="18" t="s">
        <v>1019</v>
      </c>
      <c r="E1429" s="18" t="s">
        <v>703</v>
      </c>
      <c r="F1429" s="18" t="s">
        <v>805</v>
      </c>
      <c r="G1429" s="18" t="s">
        <v>679</v>
      </c>
      <c r="H1429" s="18" t="s">
        <v>852</v>
      </c>
      <c r="I1429" s="315">
        <v>150.22319158499076</v>
      </c>
      <c r="J1429" s="315">
        <v>0.20912257512698254</v>
      </c>
      <c r="K1429" s="316" t="str">
        <f t="shared" si="40"/>
        <v>Recreational Equipment</v>
      </c>
      <c r="L1429" s="316" t="str">
        <f t="shared" si="41"/>
        <v>Gasoline</v>
      </c>
      <c r="M1429" s="8"/>
      <c r="N1429" s="2"/>
      <c r="O1429" s="2"/>
      <c r="P1429" s="2"/>
      <c r="Q1429" s="2"/>
      <c r="R1429" s="2"/>
      <c r="S1429" s="2"/>
      <c r="T1429" s="2"/>
      <c r="U1429" s="2"/>
      <c r="V1429" s="2"/>
      <c r="W1429" s="2"/>
      <c r="X1429" s="2"/>
      <c r="Y1429" s="2"/>
      <c r="Z1429" s="2"/>
    </row>
    <row r="1430" spans="1:26" ht="12.75" x14ac:dyDescent="0.2">
      <c r="A1430" s="230"/>
      <c r="B1430" s="18">
        <v>2023</v>
      </c>
      <c r="C1430" s="18" t="s">
        <v>786</v>
      </c>
      <c r="D1430" s="18" t="s">
        <v>769</v>
      </c>
      <c r="E1430" s="18" t="s">
        <v>713</v>
      </c>
      <c r="F1430" s="18" t="s">
        <v>714</v>
      </c>
      <c r="G1430" s="18" t="s">
        <v>674</v>
      </c>
      <c r="H1430" s="18" t="s">
        <v>770</v>
      </c>
      <c r="I1430" s="315">
        <v>150.00450183939384</v>
      </c>
      <c r="J1430" s="315">
        <v>1.2027860221078613E-3</v>
      </c>
      <c r="K1430" s="316" t="str">
        <f t="shared" si="40"/>
        <v>Construction and Mining Equipment</v>
      </c>
      <c r="L1430" s="316" t="str">
        <f t="shared" si="41"/>
        <v>Diesel</v>
      </c>
      <c r="M1430" s="8"/>
      <c r="N1430" s="2"/>
      <c r="O1430" s="2"/>
      <c r="P1430" s="2"/>
      <c r="Q1430" s="2"/>
      <c r="R1430" s="2"/>
      <c r="S1430" s="2"/>
      <c r="T1430" s="2"/>
      <c r="U1430" s="2"/>
      <c r="V1430" s="2"/>
      <c r="W1430" s="2"/>
      <c r="X1430" s="2"/>
      <c r="Y1430" s="2"/>
      <c r="Z1430" s="2"/>
    </row>
    <row r="1431" spans="1:26" ht="12.75" x14ac:dyDescent="0.2">
      <c r="A1431" s="230"/>
      <c r="B1431" s="18">
        <v>2023</v>
      </c>
      <c r="C1431" s="18" t="s">
        <v>778</v>
      </c>
      <c r="D1431" s="18" t="s">
        <v>803</v>
      </c>
      <c r="E1431" s="18" t="s">
        <v>703</v>
      </c>
      <c r="F1431" s="18" t="s">
        <v>805</v>
      </c>
      <c r="G1431" s="18" t="s">
        <v>673</v>
      </c>
      <c r="H1431" s="18" t="s">
        <v>806</v>
      </c>
      <c r="I1431" s="315">
        <v>149.92053516557581</v>
      </c>
      <c r="J1431" s="315">
        <v>0.29672637860277651</v>
      </c>
      <c r="K1431" s="316" t="str">
        <f t="shared" si="40"/>
        <v>Lawn and Garden Equipment</v>
      </c>
      <c r="L1431" s="316" t="str">
        <f t="shared" si="41"/>
        <v>Gasoline</v>
      </c>
      <c r="M1431" s="8"/>
      <c r="N1431" s="2"/>
      <c r="O1431" s="2"/>
      <c r="P1431" s="2"/>
      <c r="Q1431" s="2"/>
      <c r="R1431" s="2"/>
      <c r="S1431" s="2"/>
      <c r="T1431" s="2"/>
      <c r="U1431" s="2"/>
      <c r="V1431" s="2"/>
      <c r="W1431" s="2"/>
      <c r="X1431" s="2"/>
      <c r="Y1431" s="2"/>
      <c r="Z1431" s="2"/>
    </row>
    <row r="1432" spans="1:26" ht="12.75" x14ac:dyDescent="0.2">
      <c r="A1432" s="230"/>
      <c r="B1432" s="18">
        <v>2023</v>
      </c>
      <c r="C1432" s="18" t="s">
        <v>709</v>
      </c>
      <c r="D1432" s="18" t="s">
        <v>1009</v>
      </c>
      <c r="E1432" s="18" t="s">
        <v>713</v>
      </c>
      <c r="F1432" s="18" t="s">
        <v>714</v>
      </c>
      <c r="G1432" s="18" t="s">
        <v>673</v>
      </c>
      <c r="H1432" s="18" t="s">
        <v>1010</v>
      </c>
      <c r="I1432" s="315">
        <v>149.8875631439744</v>
      </c>
      <c r="J1432" s="315">
        <v>2.1873776767832821E-3</v>
      </c>
      <c r="K1432" s="316" t="str">
        <f t="shared" si="40"/>
        <v>Lawn and Garden Equipment</v>
      </c>
      <c r="L1432" s="316" t="str">
        <f t="shared" si="41"/>
        <v>Diesel</v>
      </c>
      <c r="M1432" s="8"/>
      <c r="N1432" s="2"/>
      <c r="O1432" s="2"/>
      <c r="P1432" s="2"/>
      <c r="Q1432" s="2"/>
      <c r="R1432" s="2"/>
      <c r="S1432" s="2"/>
      <c r="T1432" s="2"/>
      <c r="U1432" s="2"/>
      <c r="V1432" s="2"/>
      <c r="W1432" s="2"/>
      <c r="X1432" s="2"/>
      <c r="Y1432" s="2"/>
      <c r="Z1432" s="2"/>
    </row>
    <row r="1433" spans="1:26" ht="12.75" x14ac:dyDescent="0.2">
      <c r="A1433" s="230"/>
      <c r="B1433" s="18">
        <v>2023</v>
      </c>
      <c r="C1433" s="18" t="s">
        <v>727</v>
      </c>
      <c r="D1433" s="18" t="s">
        <v>920</v>
      </c>
      <c r="E1433" s="18" t="s">
        <v>703</v>
      </c>
      <c r="F1433" s="18" t="s">
        <v>704</v>
      </c>
      <c r="G1433" s="18" t="s">
        <v>673</v>
      </c>
      <c r="H1433" s="18" t="s">
        <v>921</v>
      </c>
      <c r="I1433" s="315">
        <v>149.86919661375973</v>
      </c>
      <c r="J1433" s="315">
        <v>9.4806197778200513E-2</v>
      </c>
      <c r="K1433" s="316" t="str">
        <f t="shared" si="40"/>
        <v>Lawn and Garden Equipment</v>
      </c>
      <c r="L1433" s="316" t="str">
        <f t="shared" si="41"/>
        <v>Gasoline</v>
      </c>
      <c r="M1433" s="8"/>
      <c r="N1433" s="2"/>
      <c r="O1433" s="2"/>
      <c r="P1433" s="2"/>
      <c r="Q1433" s="2"/>
      <c r="R1433" s="2"/>
      <c r="S1433" s="2"/>
      <c r="T1433" s="2"/>
      <c r="U1433" s="2"/>
      <c r="V1433" s="2"/>
      <c r="W1433" s="2"/>
      <c r="X1433" s="2"/>
      <c r="Y1433" s="2"/>
      <c r="Z1433" s="2"/>
    </row>
    <row r="1434" spans="1:26" ht="12.75" x14ac:dyDescent="0.2">
      <c r="A1434" s="230"/>
      <c r="B1434" s="18">
        <v>2023</v>
      </c>
      <c r="C1434" s="18" t="s">
        <v>759</v>
      </c>
      <c r="D1434" s="18" t="s">
        <v>746</v>
      </c>
      <c r="E1434" s="18" t="s">
        <v>703</v>
      </c>
      <c r="F1434" s="18" t="s">
        <v>704</v>
      </c>
      <c r="G1434" s="18" t="s">
        <v>677</v>
      </c>
      <c r="H1434" s="18" t="s">
        <v>747</v>
      </c>
      <c r="I1434" s="315">
        <v>149.27967924151812</v>
      </c>
      <c r="J1434" s="315">
        <v>9.7734158899671963E-2</v>
      </c>
      <c r="K1434" s="316" t="str">
        <f t="shared" si="40"/>
        <v>Commercial Equipment</v>
      </c>
      <c r="L1434" s="316" t="str">
        <f t="shared" si="41"/>
        <v>Gasoline</v>
      </c>
      <c r="M1434" s="8"/>
      <c r="N1434" s="2"/>
      <c r="O1434" s="2"/>
      <c r="P1434" s="2"/>
      <c r="Q1434" s="2"/>
      <c r="R1434" s="2"/>
      <c r="S1434" s="2"/>
      <c r="T1434" s="2"/>
      <c r="U1434" s="2"/>
      <c r="V1434" s="2"/>
      <c r="W1434" s="2"/>
      <c r="X1434" s="2"/>
      <c r="Y1434" s="2"/>
      <c r="Z1434" s="2"/>
    </row>
    <row r="1435" spans="1:26" ht="12.75" x14ac:dyDescent="0.2">
      <c r="A1435" s="230"/>
      <c r="B1435" s="18">
        <v>2023</v>
      </c>
      <c r="C1435" s="18" t="s">
        <v>754</v>
      </c>
      <c r="D1435" s="18" t="s">
        <v>925</v>
      </c>
      <c r="E1435" s="18" t="s">
        <v>703</v>
      </c>
      <c r="F1435" s="18" t="s">
        <v>704</v>
      </c>
      <c r="G1435" s="18" t="s">
        <v>675</v>
      </c>
      <c r="H1435" s="18" t="s">
        <v>798</v>
      </c>
      <c r="I1435" s="315">
        <v>148.82497913269574</v>
      </c>
      <c r="J1435" s="315">
        <v>0.11171384800827894</v>
      </c>
      <c r="K1435" s="316" t="str">
        <f t="shared" si="40"/>
        <v>Industrial Equipment</v>
      </c>
      <c r="L1435" s="316" t="str">
        <f t="shared" si="41"/>
        <v>Gasoline</v>
      </c>
      <c r="M1435" s="8"/>
      <c r="N1435" s="2"/>
      <c r="O1435" s="2"/>
      <c r="P1435" s="2"/>
      <c r="Q1435" s="2"/>
      <c r="R1435" s="2"/>
      <c r="S1435" s="2"/>
      <c r="T1435" s="2"/>
      <c r="U1435" s="2"/>
      <c r="V1435" s="2"/>
      <c r="W1435" s="2"/>
      <c r="X1435" s="2"/>
      <c r="Y1435" s="2"/>
      <c r="Z1435" s="2"/>
    </row>
    <row r="1436" spans="1:26" ht="12.75" x14ac:dyDescent="0.2">
      <c r="A1436" s="230"/>
      <c r="B1436" s="18">
        <v>2023</v>
      </c>
      <c r="C1436" s="18" t="s">
        <v>773</v>
      </c>
      <c r="D1436" s="18" t="s">
        <v>860</v>
      </c>
      <c r="E1436" s="18" t="s">
        <v>713</v>
      </c>
      <c r="F1436" s="18" t="s">
        <v>714</v>
      </c>
      <c r="G1436" s="18" t="s">
        <v>674</v>
      </c>
      <c r="H1436" s="18" t="s">
        <v>861</v>
      </c>
      <c r="I1436" s="315">
        <v>148.7317919390928</v>
      </c>
      <c r="J1436" s="315">
        <v>2.4649586132675649E-3</v>
      </c>
      <c r="K1436" s="316" t="str">
        <f t="shared" si="40"/>
        <v>Construction and Mining Equipment</v>
      </c>
      <c r="L1436" s="316" t="str">
        <f t="shared" si="41"/>
        <v>Diesel</v>
      </c>
      <c r="M1436" s="8"/>
      <c r="N1436" s="2"/>
      <c r="O1436" s="2"/>
      <c r="P1436" s="2"/>
      <c r="Q1436" s="2"/>
      <c r="R1436" s="2"/>
      <c r="S1436" s="2"/>
      <c r="T1436" s="2"/>
      <c r="U1436" s="2"/>
      <c r="V1436" s="2"/>
      <c r="W1436" s="2"/>
      <c r="X1436" s="2"/>
      <c r="Y1436" s="2"/>
      <c r="Z1436" s="2"/>
    </row>
    <row r="1437" spans="1:26" ht="12.75" x14ac:dyDescent="0.2">
      <c r="A1437" s="230"/>
      <c r="B1437" s="18">
        <v>2023</v>
      </c>
      <c r="C1437" s="18" t="s">
        <v>760</v>
      </c>
      <c r="D1437" s="18" t="s">
        <v>878</v>
      </c>
      <c r="E1437" s="18" t="s">
        <v>703</v>
      </c>
      <c r="F1437" s="18" t="s">
        <v>704</v>
      </c>
      <c r="G1437" s="18" t="s">
        <v>673</v>
      </c>
      <c r="H1437" s="18" t="s">
        <v>879</v>
      </c>
      <c r="I1437" s="315">
        <v>148.64133076136184</v>
      </c>
      <c r="J1437" s="315">
        <v>9.7790505247198525E-2</v>
      </c>
      <c r="K1437" s="316" t="str">
        <f t="shared" si="40"/>
        <v>Lawn and Garden Equipment</v>
      </c>
      <c r="L1437" s="316" t="str">
        <f t="shared" si="41"/>
        <v>Gasoline</v>
      </c>
      <c r="M1437" s="8"/>
      <c r="N1437" s="2"/>
      <c r="O1437" s="2"/>
      <c r="P1437" s="2"/>
      <c r="Q1437" s="2"/>
      <c r="R1437" s="2"/>
      <c r="S1437" s="2"/>
      <c r="T1437" s="2"/>
      <c r="U1437" s="2"/>
      <c r="V1437" s="2"/>
      <c r="W1437" s="2"/>
      <c r="X1437" s="2"/>
      <c r="Y1437" s="2"/>
      <c r="Z1437" s="2"/>
    </row>
    <row r="1438" spans="1:26" ht="12.75" x14ac:dyDescent="0.2">
      <c r="A1438" s="230"/>
      <c r="B1438" s="18">
        <v>2023</v>
      </c>
      <c r="C1438" s="18" t="s">
        <v>706</v>
      </c>
      <c r="D1438" s="18" t="s">
        <v>1009</v>
      </c>
      <c r="E1438" s="18" t="s">
        <v>713</v>
      </c>
      <c r="F1438" s="18" t="s">
        <v>714</v>
      </c>
      <c r="G1438" s="18" t="s">
        <v>673</v>
      </c>
      <c r="H1438" s="18" t="s">
        <v>1010</v>
      </c>
      <c r="I1438" s="315">
        <v>148.34242031011235</v>
      </c>
      <c r="J1438" s="315">
        <v>2.1648280614244399E-3</v>
      </c>
      <c r="K1438" s="316" t="str">
        <f t="shared" si="40"/>
        <v>Lawn and Garden Equipment</v>
      </c>
      <c r="L1438" s="316" t="str">
        <f t="shared" si="41"/>
        <v>Diesel</v>
      </c>
      <c r="M1438" s="8"/>
      <c r="N1438" s="2"/>
      <c r="O1438" s="2"/>
      <c r="P1438" s="2"/>
      <c r="Q1438" s="2"/>
      <c r="R1438" s="2"/>
      <c r="S1438" s="2"/>
      <c r="T1438" s="2"/>
      <c r="U1438" s="2"/>
      <c r="V1438" s="2"/>
      <c r="W1438" s="2"/>
      <c r="X1438" s="2"/>
      <c r="Y1438" s="2"/>
      <c r="Z1438" s="2"/>
    </row>
    <row r="1439" spans="1:26" ht="12.75" x14ac:dyDescent="0.2">
      <c r="A1439" s="230"/>
      <c r="B1439" s="18">
        <v>2023</v>
      </c>
      <c r="C1439" s="18" t="s">
        <v>710</v>
      </c>
      <c r="D1439" s="18" t="s">
        <v>1020</v>
      </c>
      <c r="E1439" s="18" t="s">
        <v>713</v>
      </c>
      <c r="F1439" s="18" t="s">
        <v>714</v>
      </c>
      <c r="G1439" s="18" t="s">
        <v>677</v>
      </c>
      <c r="H1439" s="18" t="s">
        <v>789</v>
      </c>
      <c r="I1439" s="315">
        <v>148.04421533810194</v>
      </c>
      <c r="J1439" s="315">
        <v>3.4069988849598581E-3</v>
      </c>
      <c r="K1439" s="316" t="str">
        <f t="shared" si="40"/>
        <v>Commercial Equipment</v>
      </c>
      <c r="L1439" s="316" t="str">
        <f t="shared" si="41"/>
        <v>Diesel</v>
      </c>
      <c r="M1439" s="8"/>
      <c r="N1439" s="2"/>
      <c r="O1439" s="2"/>
      <c r="P1439" s="2"/>
      <c r="Q1439" s="2"/>
      <c r="R1439" s="2"/>
      <c r="S1439" s="2"/>
      <c r="T1439" s="2"/>
      <c r="U1439" s="2"/>
      <c r="V1439" s="2"/>
      <c r="W1439" s="2"/>
      <c r="X1439" s="2"/>
      <c r="Y1439" s="2"/>
      <c r="Z1439" s="2"/>
    </row>
    <row r="1440" spans="1:26" ht="12.75" x14ac:dyDescent="0.2">
      <c r="A1440" s="230"/>
      <c r="B1440" s="18">
        <v>2023</v>
      </c>
      <c r="C1440" s="18" t="s">
        <v>786</v>
      </c>
      <c r="D1440" s="18" t="s">
        <v>784</v>
      </c>
      <c r="E1440" s="18" t="s">
        <v>713</v>
      </c>
      <c r="F1440" s="18" t="s">
        <v>714</v>
      </c>
      <c r="G1440" s="18" t="s">
        <v>677</v>
      </c>
      <c r="H1440" s="18" t="s">
        <v>785</v>
      </c>
      <c r="I1440" s="315">
        <v>147.70996368391289</v>
      </c>
      <c r="J1440" s="315">
        <v>2.0933483740556338E-3</v>
      </c>
      <c r="K1440" s="316" t="str">
        <f t="shared" si="40"/>
        <v>Commercial Equipment</v>
      </c>
      <c r="L1440" s="316" t="str">
        <f t="shared" si="41"/>
        <v>Diesel</v>
      </c>
      <c r="M1440" s="8"/>
      <c r="N1440" s="2"/>
      <c r="O1440" s="2"/>
      <c r="P1440" s="2"/>
      <c r="Q1440" s="2"/>
      <c r="R1440" s="2"/>
      <c r="S1440" s="2"/>
      <c r="T1440" s="2"/>
      <c r="U1440" s="2"/>
      <c r="V1440" s="2"/>
      <c r="W1440" s="2"/>
      <c r="X1440" s="2"/>
      <c r="Y1440" s="2"/>
      <c r="Z1440" s="2"/>
    </row>
    <row r="1441" spans="1:26" ht="12.75" x14ac:dyDescent="0.2">
      <c r="A1441" s="230"/>
      <c r="B1441" s="18">
        <v>2023</v>
      </c>
      <c r="C1441" s="18" t="s">
        <v>711</v>
      </c>
      <c r="D1441" s="18" t="s">
        <v>998</v>
      </c>
      <c r="E1441" s="18" t="s">
        <v>703</v>
      </c>
      <c r="F1441" s="18" t="s">
        <v>704</v>
      </c>
      <c r="G1441" s="18" t="s">
        <v>674</v>
      </c>
      <c r="H1441" s="18" t="s">
        <v>999</v>
      </c>
      <c r="I1441" s="315">
        <v>147.25020506848475</v>
      </c>
      <c r="J1441" s="315">
        <v>9.7211286639012198E-2</v>
      </c>
      <c r="K1441" s="316" t="str">
        <f t="shared" si="40"/>
        <v>Construction and Mining Equipment</v>
      </c>
      <c r="L1441" s="316" t="str">
        <f t="shared" si="41"/>
        <v>Gasoline</v>
      </c>
      <c r="M1441" s="8"/>
      <c r="N1441" s="2"/>
      <c r="O1441" s="2"/>
      <c r="P1441" s="2"/>
      <c r="Q1441" s="2"/>
      <c r="R1441" s="2"/>
      <c r="S1441" s="2"/>
      <c r="T1441" s="2"/>
      <c r="U1441" s="2"/>
      <c r="V1441" s="2"/>
      <c r="W1441" s="2"/>
      <c r="X1441" s="2"/>
      <c r="Y1441" s="2"/>
      <c r="Z1441" s="2"/>
    </row>
    <row r="1442" spans="1:26" ht="12.75" x14ac:dyDescent="0.2">
      <c r="A1442" s="230"/>
      <c r="B1442" s="18">
        <v>2023</v>
      </c>
      <c r="C1442" s="18" t="s">
        <v>760</v>
      </c>
      <c r="D1442" s="18" t="s">
        <v>882</v>
      </c>
      <c r="E1442" s="18" t="s">
        <v>713</v>
      </c>
      <c r="F1442" s="18" t="s">
        <v>714</v>
      </c>
      <c r="G1442" s="18" t="s">
        <v>673</v>
      </c>
      <c r="H1442" s="18" t="s">
        <v>705</v>
      </c>
      <c r="I1442" s="315">
        <v>147.06336383521509</v>
      </c>
      <c r="J1442" s="315">
        <v>2.4682500238450821E-3</v>
      </c>
      <c r="K1442" s="316" t="str">
        <f t="shared" si="40"/>
        <v>Lawn and Garden Equipment</v>
      </c>
      <c r="L1442" s="316" t="str">
        <f t="shared" si="41"/>
        <v>Diesel</v>
      </c>
      <c r="M1442" s="8"/>
      <c r="N1442" s="2"/>
      <c r="O1442" s="2"/>
      <c r="P1442" s="2"/>
      <c r="Q1442" s="2"/>
      <c r="R1442" s="2"/>
      <c r="S1442" s="2"/>
      <c r="T1442" s="2"/>
      <c r="U1442" s="2"/>
      <c r="V1442" s="2"/>
      <c r="W1442" s="2"/>
      <c r="X1442" s="2"/>
      <c r="Y1442" s="2"/>
      <c r="Z1442" s="2"/>
    </row>
    <row r="1443" spans="1:26" ht="12.75" x14ac:dyDescent="0.2">
      <c r="A1443" s="230"/>
      <c r="B1443" s="18">
        <v>2023</v>
      </c>
      <c r="C1443" s="18" t="s">
        <v>709</v>
      </c>
      <c r="D1443" s="18" t="s">
        <v>1035</v>
      </c>
      <c r="E1443" s="18" t="s">
        <v>703</v>
      </c>
      <c r="F1443" s="18" t="s">
        <v>704</v>
      </c>
      <c r="G1443" s="18" t="s">
        <v>674</v>
      </c>
      <c r="H1443" s="18" t="s">
        <v>1036</v>
      </c>
      <c r="I1443" s="315">
        <v>147.03613841652586</v>
      </c>
      <c r="J1443" s="315">
        <v>0.10387112840137136</v>
      </c>
      <c r="K1443" s="316" t="str">
        <f t="shared" si="40"/>
        <v>Construction and Mining Equipment</v>
      </c>
      <c r="L1443" s="316" t="str">
        <f t="shared" si="41"/>
        <v>Gasoline</v>
      </c>
      <c r="M1443" s="8"/>
      <c r="N1443" s="2"/>
      <c r="O1443" s="2"/>
      <c r="P1443" s="2"/>
      <c r="Q1443" s="2"/>
      <c r="R1443" s="2"/>
      <c r="S1443" s="2"/>
      <c r="T1443" s="2"/>
      <c r="U1443" s="2"/>
      <c r="V1443" s="2"/>
      <c r="W1443" s="2"/>
      <c r="X1443" s="2"/>
      <c r="Y1443" s="2"/>
      <c r="Z1443" s="2"/>
    </row>
    <row r="1444" spans="1:26" ht="12.75" x14ac:dyDescent="0.2">
      <c r="A1444" s="230"/>
      <c r="B1444" s="18">
        <v>2023</v>
      </c>
      <c r="C1444" s="18" t="s">
        <v>732</v>
      </c>
      <c r="D1444" s="18" t="s">
        <v>751</v>
      </c>
      <c r="E1444" s="18" t="s">
        <v>713</v>
      </c>
      <c r="F1444" s="18" t="s">
        <v>676</v>
      </c>
      <c r="G1444" s="18" t="s">
        <v>79</v>
      </c>
      <c r="H1444" s="18" t="s">
        <v>740</v>
      </c>
      <c r="I1444" s="315">
        <v>146.9133588662713</v>
      </c>
      <c r="J1444" s="315">
        <v>5.7662202048291119E-3</v>
      </c>
      <c r="K1444" s="316" t="str">
        <f t="shared" si="40"/>
        <v>Pleasure Craft</v>
      </c>
      <c r="L1444" s="316" t="str">
        <f t="shared" si="41"/>
        <v>Diesel</v>
      </c>
      <c r="M1444" s="8"/>
      <c r="N1444" s="2"/>
      <c r="O1444" s="2"/>
      <c r="P1444" s="2"/>
      <c r="Q1444" s="2"/>
      <c r="R1444" s="2"/>
      <c r="S1444" s="2"/>
      <c r="T1444" s="2"/>
      <c r="U1444" s="2"/>
      <c r="V1444" s="2"/>
      <c r="W1444" s="2"/>
      <c r="X1444" s="2"/>
      <c r="Y1444" s="2"/>
      <c r="Z1444" s="2"/>
    </row>
    <row r="1445" spans="1:26" ht="12.75" x14ac:dyDescent="0.2">
      <c r="A1445" s="230"/>
      <c r="B1445" s="18">
        <v>2023</v>
      </c>
      <c r="C1445" s="18" t="s">
        <v>711</v>
      </c>
      <c r="D1445" s="18" t="s">
        <v>1000</v>
      </c>
      <c r="E1445" s="18" t="s">
        <v>703</v>
      </c>
      <c r="F1445" s="18" t="s">
        <v>704</v>
      </c>
      <c r="G1445" s="18" t="s">
        <v>674</v>
      </c>
      <c r="H1445" s="18" t="s">
        <v>850</v>
      </c>
      <c r="I1445" s="315">
        <v>146.70844000308031</v>
      </c>
      <c r="J1445" s="315">
        <v>8.9235893212087539E-2</v>
      </c>
      <c r="K1445" s="316" t="str">
        <f t="shared" si="40"/>
        <v>Construction and Mining Equipment</v>
      </c>
      <c r="L1445" s="316" t="str">
        <f t="shared" si="41"/>
        <v>Gasoline</v>
      </c>
      <c r="M1445" s="8"/>
      <c r="N1445" s="2"/>
      <c r="O1445" s="2"/>
      <c r="P1445" s="2"/>
      <c r="Q1445" s="2"/>
      <c r="R1445" s="2"/>
      <c r="S1445" s="2"/>
      <c r="T1445" s="2"/>
      <c r="U1445" s="2"/>
      <c r="V1445" s="2"/>
      <c r="W1445" s="2"/>
      <c r="X1445" s="2"/>
      <c r="Y1445" s="2"/>
      <c r="Z1445" s="2"/>
    </row>
    <row r="1446" spans="1:26" ht="12.75" x14ac:dyDescent="0.2">
      <c r="A1446" s="230"/>
      <c r="B1446" s="18">
        <v>2023</v>
      </c>
      <c r="C1446" s="18" t="s">
        <v>760</v>
      </c>
      <c r="D1446" s="18" t="s">
        <v>1021</v>
      </c>
      <c r="E1446" s="18" t="s">
        <v>703</v>
      </c>
      <c r="F1446" s="18" t="s">
        <v>704</v>
      </c>
      <c r="G1446" s="18" t="s">
        <v>679</v>
      </c>
      <c r="H1446" s="18" t="s">
        <v>983</v>
      </c>
      <c r="I1446" s="315">
        <v>146.48679165392488</v>
      </c>
      <c r="J1446" s="315">
        <v>0.19969312201891276</v>
      </c>
      <c r="K1446" s="316" t="str">
        <f t="shared" si="40"/>
        <v>Recreational Equipment</v>
      </c>
      <c r="L1446" s="316" t="str">
        <f t="shared" si="41"/>
        <v>Gasoline</v>
      </c>
      <c r="M1446" s="8"/>
      <c r="N1446" s="2"/>
      <c r="O1446" s="2"/>
      <c r="P1446" s="2"/>
      <c r="Q1446" s="2"/>
      <c r="R1446" s="2"/>
      <c r="S1446" s="2"/>
      <c r="T1446" s="2"/>
      <c r="U1446" s="2"/>
      <c r="V1446" s="2"/>
      <c r="W1446" s="2"/>
      <c r="X1446" s="2"/>
      <c r="Y1446" s="2"/>
      <c r="Z1446" s="2"/>
    </row>
    <row r="1447" spans="1:26" ht="12.75" x14ac:dyDescent="0.2">
      <c r="A1447" s="230"/>
      <c r="B1447" s="18">
        <v>2023</v>
      </c>
      <c r="C1447" s="18" t="s">
        <v>786</v>
      </c>
      <c r="D1447" s="18" t="s">
        <v>894</v>
      </c>
      <c r="E1447" s="18" t="s">
        <v>713</v>
      </c>
      <c r="F1447" s="18" t="s">
        <v>714</v>
      </c>
      <c r="G1447" s="18" t="s">
        <v>681</v>
      </c>
      <c r="H1447" s="18" t="s">
        <v>895</v>
      </c>
      <c r="I1447" s="315">
        <v>146.43446493599529</v>
      </c>
      <c r="J1447" s="315">
        <v>2.8715212731045102E-4</v>
      </c>
      <c r="K1447" s="316" t="str">
        <f t="shared" si="40"/>
        <v>Logging Equipment</v>
      </c>
      <c r="L1447" s="316" t="str">
        <f t="shared" si="41"/>
        <v>Diesel</v>
      </c>
      <c r="M1447" s="8"/>
      <c r="N1447" s="2"/>
      <c r="O1447" s="2"/>
      <c r="P1447" s="2"/>
      <c r="Q1447" s="2"/>
      <c r="R1447" s="2"/>
      <c r="S1447" s="2"/>
      <c r="T1447" s="2"/>
      <c r="U1447" s="2"/>
      <c r="V1447" s="2"/>
      <c r="W1447" s="2"/>
      <c r="X1447" s="2"/>
      <c r="Y1447" s="2"/>
      <c r="Z1447" s="2"/>
    </row>
    <row r="1448" spans="1:26" ht="12.75" x14ac:dyDescent="0.2">
      <c r="A1448" s="230"/>
      <c r="B1448" s="18">
        <v>2023</v>
      </c>
      <c r="C1448" s="18" t="s">
        <v>760</v>
      </c>
      <c r="D1448" s="18" t="s">
        <v>977</v>
      </c>
      <c r="E1448" s="18" t="s">
        <v>703</v>
      </c>
      <c r="F1448" s="18" t="s">
        <v>805</v>
      </c>
      <c r="G1448" s="18" t="s">
        <v>673</v>
      </c>
      <c r="H1448" s="18" t="s">
        <v>978</v>
      </c>
      <c r="I1448" s="315">
        <v>146.02789956714054</v>
      </c>
      <c r="J1448" s="315">
        <v>0.24865311396979076</v>
      </c>
      <c r="K1448" s="316" t="str">
        <f t="shared" si="40"/>
        <v>Lawn and Garden Equipment</v>
      </c>
      <c r="L1448" s="316" t="str">
        <f t="shared" si="41"/>
        <v>Gasoline</v>
      </c>
      <c r="M1448" s="8"/>
      <c r="N1448" s="2"/>
      <c r="O1448" s="2"/>
      <c r="P1448" s="2"/>
      <c r="Q1448" s="2"/>
      <c r="R1448" s="2"/>
      <c r="S1448" s="2"/>
      <c r="T1448" s="2"/>
      <c r="U1448" s="2"/>
      <c r="V1448" s="2"/>
      <c r="W1448" s="2"/>
      <c r="X1448" s="2"/>
      <c r="Y1448" s="2"/>
      <c r="Z1448" s="2"/>
    </row>
    <row r="1449" spans="1:26" ht="12.75" x14ac:dyDescent="0.2">
      <c r="A1449" s="230"/>
      <c r="B1449" s="18">
        <v>2023</v>
      </c>
      <c r="C1449" s="18" t="s">
        <v>722</v>
      </c>
      <c r="D1449" s="18" t="s">
        <v>894</v>
      </c>
      <c r="E1449" s="18" t="s">
        <v>713</v>
      </c>
      <c r="F1449" s="18" t="s">
        <v>714</v>
      </c>
      <c r="G1449" s="18" t="s">
        <v>681</v>
      </c>
      <c r="H1449" s="18" t="s">
        <v>895</v>
      </c>
      <c r="I1449" s="315">
        <v>145.83042258845757</v>
      </c>
      <c r="J1449" s="315">
        <v>2.8596768711121426E-4</v>
      </c>
      <c r="K1449" s="316" t="str">
        <f t="shared" si="40"/>
        <v>Logging Equipment</v>
      </c>
      <c r="L1449" s="316" t="str">
        <f t="shared" si="41"/>
        <v>Diesel</v>
      </c>
      <c r="M1449" s="8"/>
      <c r="N1449" s="2"/>
      <c r="O1449" s="2"/>
      <c r="P1449" s="2"/>
      <c r="Q1449" s="2"/>
      <c r="R1449" s="2"/>
      <c r="S1449" s="2"/>
      <c r="T1449" s="2"/>
      <c r="U1449" s="2"/>
      <c r="V1449" s="2"/>
      <c r="W1449" s="2"/>
      <c r="X1449" s="2"/>
      <c r="Y1449" s="2"/>
      <c r="Z1449" s="2"/>
    </row>
    <row r="1450" spans="1:26" ht="12.75" x14ac:dyDescent="0.2">
      <c r="A1450" s="230"/>
      <c r="B1450" s="18">
        <v>2023</v>
      </c>
      <c r="C1450" s="18" t="s">
        <v>701</v>
      </c>
      <c r="D1450" s="18" t="s">
        <v>1023</v>
      </c>
      <c r="E1450" s="18" t="s">
        <v>703</v>
      </c>
      <c r="F1450" s="18" t="s">
        <v>704</v>
      </c>
      <c r="G1450" s="18" t="s">
        <v>674</v>
      </c>
      <c r="H1450" s="18" t="s">
        <v>736</v>
      </c>
      <c r="I1450" s="315">
        <v>145.82413169780608</v>
      </c>
      <c r="J1450" s="315">
        <v>9.7236411182596391E-2</v>
      </c>
      <c r="K1450" s="316" t="str">
        <f t="shared" si="40"/>
        <v>Construction and Mining Equipment</v>
      </c>
      <c r="L1450" s="316" t="str">
        <f t="shared" si="41"/>
        <v>Gasoline</v>
      </c>
      <c r="M1450" s="8"/>
      <c r="N1450" s="2"/>
      <c r="O1450" s="2"/>
      <c r="P1450" s="2"/>
      <c r="Q1450" s="2"/>
      <c r="R1450" s="2"/>
      <c r="S1450" s="2"/>
      <c r="T1450" s="2"/>
      <c r="U1450" s="2"/>
      <c r="V1450" s="2"/>
      <c r="W1450" s="2"/>
      <c r="X1450" s="2"/>
      <c r="Y1450" s="2"/>
      <c r="Z1450" s="2"/>
    </row>
    <row r="1451" spans="1:26" ht="12.75" x14ac:dyDescent="0.2">
      <c r="A1451" s="230"/>
      <c r="B1451" s="18">
        <v>2023</v>
      </c>
      <c r="C1451" s="18" t="s">
        <v>773</v>
      </c>
      <c r="D1451" s="18" t="s">
        <v>862</v>
      </c>
      <c r="E1451" s="18" t="s">
        <v>713</v>
      </c>
      <c r="F1451" s="18" t="s">
        <v>714</v>
      </c>
      <c r="G1451" s="18" t="s">
        <v>674</v>
      </c>
      <c r="H1451" s="18" t="s">
        <v>863</v>
      </c>
      <c r="I1451" s="315">
        <v>145.77323798458076</v>
      </c>
      <c r="J1451" s="315">
        <v>1.0516439886942056E-3</v>
      </c>
      <c r="K1451" s="316" t="str">
        <f t="shared" si="40"/>
        <v>Construction and Mining Equipment</v>
      </c>
      <c r="L1451" s="316" t="str">
        <f t="shared" si="41"/>
        <v>Diesel</v>
      </c>
      <c r="M1451" s="8"/>
      <c r="N1451" s="2"/>
      <c r="O1451" s="2"/>
      <c r="P1451" s="2"/>
      <c r="Q1451" s="2"/>
      <c r="R1451" s="2"/>
      <c r="S1451" s="2"/>
      <c r="T1451" s="2"/>
      <c r="U1451" s="2"/>
      <c r="V1451" s="2"/>
      <c r="W1451" s="2"/>
      <c r="X1451" s="2"/>
      <c r="Y1451" s="2"/>
      <c r="Z1451" s="2"/>
    </row>
    <row r="1452" spans="1:26" ht="12.75" x14ac:dyDescent="0.2">
      <c r="A1452" s="230"/>
      <c r="B1452" s="18">
        <v>2023</v>
      </c>
      <c r="C1452" s="18" t="s">
        <v>778</v>
      </c>
      <c r="D1452" s="18" t="s">
        <v>958</v>
      </c>
      <c r="E1452" s="18" t="s">
        <v>713</v>
      </c>
      <c r="F1452" s="18" t="s">
        <v>714</v>
      </c>
      <c r="G1452" s="18" t="s">
        <v>674</v>
      </c>
      <c r="H1452" s="18" t="s">
        <v>959</v>
      </c>
      <c r="I1452" s="315">
        <v>145.49475225961143</v>
      </c>
      <c r="J1452" s="315">
        <v>1.2942518010522176E-3</v>
      </c>
      <c r="K1452" s="316" t="str">
        <f t="shared" si="40"/>
        <v>Construction and Mining Equipment</v>
      </c>
      <c r="L1452" s="316" t="str">
        <f t="shared" si="41"/>
        <v>Diesel</v>
      </c>
      <c r="M1452" s="8"/>
      <c r="N1452" s="2"/>
      <c r="O1452" s="2"/>
      <c r="P1452" s="2"/>
      <c r="Q1452" s="2"/>
      <c r="R1452" s="2"/>
      <c r="S1452" s="2"/>
      <c r="T1452" s="2"/>
      <c r="U1452" s="2"/>
      <c r="V1452" s="2"/>
      <c r="W1452" s="2"/>
      <c r="X1452" s="2"/>
      <c r="Y1452" s="2"/>
      <c r="Z1452" s="2"/>
    </row>
    <row r="1453" spans="1:26" ht="12.75" x14ac:dyDescent="0.2">
      <c r="A1453" s="230"/>
      <c r="B1453" s="18">
        <v>2023</v>
      </c>
      <c r="C1453" s="18" t="s">
        <v>760</v>
      </c>
      <c r="D1453" s="18" t="s">
        <v>1001</v>
      </c>
      <c r="E1453" s="18" t="s">
        <v>713</v>
      </c>
      <c r="F1453" s="18" t="s">
        <v>683</v>
      </c>
      <c r="G1453" s="18" t="s">
        <v>79</v>
      </c>
      <c r="H1453" s="18" t="s">
        <v>1002</v>
      </c>
      <c r="I1453" s="315">
        <v>145.34961864548123</v>
      </c>
      <c r="J1453" s="315">
        <v>4.8854549284147522E-3</v>
      </c>
      <c r="K1453" s="316" t="str">
        <f t="shared" si="40"/>
        <v>Railroad Equipment</v>
      </c>
      <c r="L1453" s="316" t="str">
        <f t="shared" si="41"/>
        <v>Diesel</v>
      </c>
      <c r="M1453" s="8"/>
      <c r="N1453" s="2"/>
      <c r="O1453" s="2"/>
      <c r="P1453" s="2"/>
      <c r="Q1453" s="2"/>
      <c r="R1453" s="2"/>
      <c r="S1453" s="2"/>
      <c r="T1453" s="2"/>
      <c r="U1453" s="2"/>
      <c r="V1453" s="2"/>
      <c r="W1453" s="2"/>
      <c r="X1453" s="2"/>
      <c r="Y1453" s="2"/>
      <c r="Z1453" s="2"/>
    </row>
    <row r="1454" spans="1:26" ht="12.75" x14ac:dyDescent="0.2">
      <c r="A1454" s="230"/>
      <c r="B1454" s="18">
        <v>2023</v>
      </c>
      <c r="C1454" s="18" t="s">
        <v>727</v>
      </c>
      <c r="D1454" s="18" t="s">
        <v>1012</v>
      </c>
      <c r="E1454" s="18" t="s">
        <v>703</v>
      </c>
      <c r="F1454" s="18" t="s">
        <v>795</v>
      </c>
      <c r="G1454" s="18" t="s">
        <v>679</v>
      </c>
      <c r="H1454" s="18" t="s">
        <v>1013</v>
      </c>
      <c r="I1454" s="315">
        <v>145.12855121438662</v>
      </c>
      <c r="J1454" s="315">
        <v>0.12075115231164332</v>
      </c>
      <c r="K1454" s="316" t="str">
        <f t="shared" si="40"/>
        <v>Recreational Equipment</v>
      </c>
      <c r="L1454" s="316" t="str">
        <f t="shared" si="41"/>
        <v>Gasoline</v>
      </c>
      <c r="M1454" s="8"/>
      <c r="N1454" s="2"/>
      <c r="O1454" s="2"/>
      <c r="P1454" s="2"/>
      <c r="Q1454" s="2"/>
      <c r="R1454" s="2"/>
      <c r="S1454" s="2"/>
      <c r="T1454" s="2"/>
      <c r="U1454" s="2"/>
      <c r="V1454" s="2"/>
      <c r="W1454" s="2"/>
      <c r="X1454" s="2"/>
      <c r="Y1454" s="2"/>
      <c r="Z1454" s="2"/>
    </row>
    <row r="1455" spans="1:26" ht="12.75" x14ac:dyDescent="0.2">
      <c r="A1455" s="230"/>
      <c r="B1455" s="18">
        <v>2023</v>
      </c>
      <c r="C1455" s="18" t="s">
        <v>778</v>
      </c>
      <c r="D1455" s="18" t="s">
        <v>920</v>
      </c>
      <c r="E1455" s="18" t="s">
        <v>703</v>
      </c>
      <c r="F1455" s="18" t="s">
        <v>704</v>
      </c>
      <c r="G1455" s="18" t="s">
        <v>673</v>
      </c>
      <c r="H1455" s="18" t="s">
        <v>921</v>
      </c>
      <c r="I1455" s="315">
        <v>145.09114064586782</v>
      </c>
      <c r="J1455" s="315">
        <v>9.1919529893404614E-2</v>
      </c>
      <c r="K1455" s="316" t="str">
        <f t="shared" si="40"/>
        <v>Lawn and Garden Equipment</v>
      </c>
      <c r="L1455" s="316" t="str">
        <f t="shared" si="41"/>
        <v>Gasoline</v>
      </c>
      <c r="M1455" s="8"/>
      <c r="N1455" s="2"/>
      <c r="O1455" s="2"/>
      <c r="P1455" s="2"/>
      <c r="Q1455" s="2"/>
      <c r="R1455" s="2"/>
      <c r="S1455" s="2"/>
      <c r="T1455" s="2"/>
      <c r="U1455" s="2"/>
      <c r="V1455" s="2"/>
      <c r="W1455" s="2"/>
      <c r="X1455" s="2"/>
      <c r="Y1455" s="2"/>
      <c r="Z1455" s="2"/>
    </row>
    <row r="1456" spans="1:26" x14ac:dyDescent="0.25">
      <c r="A1456" s="314"/>
      <c r="B1456" s="18">
        <v>2023</v>
      </c>
      <c r="C1456" s="18" t="s">
        <v>701</v>
      </c>
      <c r="D1456" s="18" t="s">
        <v>1016</v>
      </c>
      <c r="E1456" s="18" t="s">
        <v>56</v>
      </c>
      <c r="F1456" s="18" t="s">
        <v>672</v>
      </c>
      <c r="G1456" s="18" t="s">
        <v>675</v>
      </c>
      <c r="H1456" s="18" t="s">
        <v>802</v>
      </c>
      <c r="I1456" s="315">
        <v>144.99407805294433</v>
      </c>
      <c r="J1456" s="315">
        <v>6.6520197216606803E-3</v>
      </c>
      <c r="K1456" s="316" t="str">
        <f t="shared" si="40"/>
        <v>Industrial Equipment</v>
      </c>
      <c r="L1456" s="316" t="str">
        <f t="shared" si="41"/>
        <v>LPG</v>
      </c>
      <c r="M1456" s="194"/>
      <c r="N1456" s="317"/>
      <c r="O1456" s="317"/>
      <c r="P1456" s="317"/>
      <c r="Q1456" s="317"/>
      <c r="R1456" s="317"/>
      <c r="S1456" s="317"/>
      <c r="T1456" s="317"/>
      <c r="U1456" s="317"/>
      <c r="V1456" s="317"/>
      <c r="W1456" s="317"/>
      <c r="X1456" s="317"/>
      <c r="Y1456" s="317"/>
      <c r="Z1456" s="317"/>
    </row>
    <row r="1457" spans="1:26" x14ac:dyDescent="0.25">
      <c r="A1457" s="314"/>
      <c r="B1457" s="18">
        <v>2023</v>
      </c>
      <c r="C1457" s="18" t="s">
        <v>722</v>
      </c>
      <c r="D1457" s="18" t="s">
        <v>1018</v>
      </c>
      <c r="E1457" s="18" t="s">
        <v>56</v>
      </c>
      <c r="F1457" s="18" t="s">
        <v>672</v>
      </c>
      <c r="G1457" s="18" t="s">
        <v>677</v>
      </c>
      <c r="H1457" s="18" t="s">
        <v>785</v>
      </c>
      <c r="I1457" s="315">
        <v>144.54255811225394</v>
      </c>
      <c r="J1457" s="315">
        <v>7.0930308392647872E-3</v>
      </c>
      <c r="K1457" s="316" t="str">
        <f t="shared" si="40"/>
        <v>Commercial Equipment</v>
      </c>
      <c r="L1457" s="316" t="str">
        <f t="shared" si="41"/>
        <v>LPG</v>
      </c>
      <c r="M1457" s="194"/>
      <c r="N1457" s="317"/>
      <c r="O1457" s="317"/>
      <c r="P1457" s="317"/>
      <c r="Q1457" s="317"/>
      <c r="R1457" s="317"/>
      <c r="S1457" s="317"/>
      <c r="T1457" s="317"/>
      <c r="U1457" s="317"/>
      <c r="V1457" s="317"/>
      <c r="W1457" s="317"/>
      <c r="X1457" s="317"/>
      <c r="Y1457" s="317"/>
      <c r="Z1457" s="317"/>
    </row>
    <row r="1458" spans="1:26" x14ac:dyDescent="0.25">
      <c r="A1458" s="314"/>
      <c r="B1458" s="18">
        <v>2023</v>
      </c>
      <c r="C1458" s="18" t="s">
        <v>787</v>
      </c>
      <c r="D1458" s="18" t="s">
        <v>1001</v>
      </c>
      <c r="E1458" s="18" t="s">
        <v>713</v>
      </c>
      <c r="F1458" s="18" t="s">
        <v>683</v>
      </c>
      <c r="G1458" s="18" t="s">
        <v>79</v>
      </c>
      <c r="H1458" s="18" t="s">
        <v>1002</v>
      </c>
      <c r="I1458" s="315">
        <v>144.1655963040119</v>
      </c>
      <c r="J1458" s="315">
        <v>4.8456561509171445E-3</v>
      </c>
      <c r="K1458" s="316" t="str">
        <f t="shared" si="40"/>
        <v>Railroad Equipment</v>
      </c>
      <c r="L1458" s="316" t="str">
        <f t="shared" si="41"/>
        <v>Diesel</v>
      </c>
      <c r="M1458" s="194"/>
      <c r="N1458" s="317"/>
      <c r="O1458" s="317"/>
      <c r="P1458" s="317"/>
      <c r="Q1458" s="317"/>
      <c r="R1458" s="317"/>
      <c r="S1458" s="317"/>
      <c r="T1458" s="317"/>
      <c r="U1458" s="317"/>
      <c r="V1458" s="317"/>
      <c r="W1458" s="317"/>
      <c r="X1458" s="317"/>
      <c r="Y1458" s="317"/>
      <c r="Z1458" s="317"/>
    </row>
    <row r="1459" spans="1:26" x14ac:dyDescent="0.25">
      <c r="A1459" s="314"/>
      <c r="B1459" s="18">
        <v>2023</v>
      </c>
      <c r="C1459" s="18" t="s">
        <v>711</v>
      </c>
      <c r="D1459" s="18" t="s">
        <v>1001</v>
      </c>
      <c r="E1459" s="18" t="s">
        <v>713</v>
      </c>
      <c r="F1459" s="18" t="s">
        <v>683</v>
      </c>
      <c r="G1459" s="18" t="s">
        <v>79</v>
      </c>
      <c r="H1459" s="18" t="s">
        <v>1002</v>
      </c>
      <c r="I1459" s="315">
        <v>143.81531924798469</v>
      </c>
      <c r="J1459" s="315">
        <v>4.8338687167988892E-3</v>
      </c>
      <c r="K1459" s="316" t="str">
        <f t="shared" si="40"/>
        <v>Railroad Equipment</v>
      </c>
      <c r="L1459" s="316" t="str">
        <f t="shared" si="41"/>
        <v>Diesel</v>
      </c>
      <c r="M1459" s="194"/>
      <c r="N1459" s="317"/>
      <c r="O1459" s="317"/>
      <c r="P1459" s="317"/>
      <c r="Q1459" s="317"/>
      <c r="R1459" s="317"/>
      <c r="S1459" s="317"/>
      <c r="T1459" s="317"/>
      <c r="U1459" s="317"/>
      <c r="V1459" s="317"/>
      <c r="W1459" s="317"/>
      <c r="X1459" s="317"/>
      <c r="Y1459" s="317"/>
      <c r="Z1459" s="317"/>
    </row>
    <row r="1460" spans="1:26" x14ac:dyDescent="0.25">
      <c r="A1460" s="314"/>
      <c r="B1460" s="18">
        <v>2023</v>
      </c>
      <c r="C1460" s="18" t="s">
        <v>722</v>
      </c>
      <c r="D1460" s="18" t="s">
        <v>984</v>
      </c>
      <c r="E1460" s="18" t="s">
        <v>703</v>
      </c>
      <c r="F1460" s="18" t="s">
        <v>704</v>
      </c>
      <c r="G1460" s="18" t="s">
        <v>673</v>
      </c>
      <c r="H1460" s="18" t="s">
        <v>985</v>
      </c>
      <c r="I1460" s="315">
        <v>143.30915460952582</v>
      </c>
      <c r="J1460" s="315">
        <v>9.7369971522558357E-2</v>
      </c>
      <c r="K1460" s="316" t="str">
        <f t="shared" si="40"/>
        <v>Lawn and Garden Equipment</v>
      </c>
      <c r="L1460" s="316" t="str">
        <f t="shared" si="41"/>
        <v>Gasoline</v>
      </c>
      <c r="M1460" s="194"/>
      <c r="N1460" s="317"/>
      <c r="O1460" s="317"/>
      <c r="P1460" s="317"/>
      <c r="Q1460" s="317"/>
      <c r="R1460" s="317"/>
      <c r="S1460" s="317"/>
      <c r="T1460" s="317"/>
      <c r="U1460" s="317"/>
      <c r="V1460" s="317"/>
      <c r="W1460" s="317"/>
      <c r="X1460" s="317"/>
      <c r="Y1460" s="317"/>
      <c r="Z1460" s="317"/>
    </row>
    <row r="1461" spans="1:26" x14ac:dyDescent="0.25">
      <c r="A1461" s="314"/>
      <c r="B1461" s="18">
        <v>2023</v>
      </c>
      <c r="C1461" s="18" t="s">
        <v>709</v>
      </c>
      <c r="D1461" s="18" t="s">
        <v>1001</v>
      </c>
      <c r="E1461" s="18" t="s">
        <v>713</v>
      </c>
      <c r="F1461" s="18" t="s">
        <v>683</v>
      </c>
      <c r="G1461" s="18" t="s">
        <v>79</v>
      </c>
      <c r="H1461" s="18" t="s">
        <v>1002</v>
      </c>
      <c r="I1461" s="315">
        <v>142.70866923974052</v>
      </c>
      <c r="J1461" s="315">
        <v>4.7966752091139226E-3</v>
      </c>
      <c r="K1461" s="316" t="str">
        <f t="shared" si="40"/>
        <v>Railroad Equipment</v>
      </c>
      <c r="L1461" s="316" t="str">
        <f t="shared" si="41"/>
        <v>Diesel</v>
      </c>
      <c r="M1461" s="194"/>
      <c r="N1461" s="317"/>
      <c r="O1461" s="317"/>
      <c r="P1461" s="317"/>
      <c r="Q1461" s="317"/>
      <c r="R1461" s="317"/>
      <c r="S1461" s="317"/>
      <c r="T1461" s="317"/>
      <c r="U1461" s="317"/>
      <c r="V1461" s="317"/>
      <c r="W1461" s="317"/>
      <c r="X1461" s="317"/>
      <c r="Y1461" s="317"/>
      <c r="Z1461" s="317"/>
    </row>
    <row r="1462" spans="1:26" x14ac:dyDescent="0.25">
      <c r="A1462" s="314"/>
      <c r="B1462" s="18">
        <v>2023</v>
      </c>
      <c r="C1462" s="18" t="s">
        <v>760</v>
      </c>
      <c r="D1462" s="18" t="s">
        <v>980</v>
      </c>
      <c r="E1462" s="18" t="s">
        <v>713</v>
      </c>
      <c r="F1462" s="18" t="s">
        <v>714</v>
      </c>
      <c r="G1462" s="18" t="s">
        <v>674</v>
      </c>
      <c r="H1462" s="18" t="s">
        <v>981</v>
      </c>
      <c r="I1462" s="315">
        <v>142.34355617577958</v>
      </c>
      <c r="J1462" s="315">
        <v>6.2480843921647947E-3</v>
      </c>
      <c r="K1462" s="316" t="str">
        <f t="shared" si="40"/>
        <v>Construction and Mining Equipment</v>
      </c>
      <c r="L1462" s="316" t="str">
        <f t="shared" si="41"/>
        <v>Diesel</v>
      </c>
      <c r="M1462" s="194"/>
      <c r="N1462" s="317"/>
      <c r="O1462" s="317"/>
      <c r="P1462" s="317"/>
      <c r="Q1462" s="317"/>
      <c r="R1462" s="317"/>
      <c r="S1462" s="317"/>
      <c r="T1462" s="317"/>
      <c r="U1462" s="317"/>
      <c r="V1462" s="317"/>
      <c r="W1462" s="317"/>
      <c r="X1462" s="317"/>
      <c r="Y1462" s="317"/>
      <c r="Z1462" s="317"/>
    </row>
    <row r="1463" spans="1:26" x14ac:dyDescent="0.25">
      <c r="A1463" s="314"/>
      <c r="B1463" s="18">
        <v>2023</v>
      </c>
      <c r="C1463" s="18" t="s">
        <v>710</v>
      </c>
      <c r="D1463" s="18" t="s">
        <v>1001</v>
      </c>
      <c r="E1463" s="18" t="s">
        <v>713</v>
      </c>
      <c r="F1463" s="18" t="s">
        <v>683</v>
      </c>
      <c r="G1463" s="18" t="s">
        <v>79</v>
      </c>
      <c r="H1463" s="18" t="s">
        <v>1002</v>
      </c>
      <c r="I1463" s="315">
        <v>141.46889529909862</v>
      </c>
      <c r="J1463" s="315">
        <v>4.7549936038007203E-3</v>
      </c>
      <c r="K1463" s="316" t="str">
        <f t="shared" si="40"/>
        <v>Railroad Equipment</v>
      </c>
      <c r="L1463" s="316" t="str">
        <f t="shared" si="41"/>
        <v>Diesel</v>
      </c>
      <c r="M1463" s="194"/>
      <c r="N1463" s="317"/>
      <c r="O1463" s="317"/>
      <c r="P1463" s="317"/>
      <c r="Q1463" s="317"/>
      <c r="R1463" s="317"/>
      <c r="S1463" s="317"/>
      <c r="T1463" s="317"/>
      <c r="U1463" s="317"/>
      <c r="V1463" s="317"/>
      <c r="W1463" s="317"/>
      <c r="X1463" s="317"/>
      <c r="Y1463" s="317"/>
      <c r="Z1463" s="317"/>
    </row>
    <row r="1464" spans="1:26" x14ac:dyDescent="0.25">
      <c r="A1464" s="314"/>
      <c r="B1464" s="18">
        <v>2023</v>
      </c>
      <c r="C1464" s="18" t="s">
        <v>709</v>
      </c>
      <c r="D1464" s="18" t="s">
        <v>1030</v>
      </c>
      <c r="E1464" s="18" t="s">
        <v>703</v>
      </c>
      <c r="F1464" s="18" t="s">
        <v>704</v>
      </c>
      <c r="G1464" s="18" t="s">
        <v>677</v>
      </c>
      <c r="H1464" s="18" t="s">
        <v>1031</v>
      </c>
      <c r="I1464" s="315">
        <v>141.23327074483197</v>
      </c>
      <c r="J1464" s="315">
        <v>9.8062268717174397E-2</v>
      </c>
      <c r="K1464" s="316" t="str">
        <f t="shared" si="40"/>
        <v>Commercial Equipment</v>
      </c>
      <c r="L1464" s="316" t="str">
        <f t="shared" si="41"/>
        <v>Gasoline</v>
      </c>
      <c r="M1464" s="194"/>
      <c r="N1464" s="317"/>
      <c r="O1464" s="317"/>
      <c r="P1464" s="317"/>
      <c r="Q1464" s="317"/>
      <c r="R1464" s="317"/>
      <c r="S1464" s="317"/>
      <c r="T1464" s="317"/>
      <c r="U1464" s="317"/>
      <c r="V1464" s="317"/>
      <c r="W1464" s="317"/>
      <c r="X1464" s="317"/>
      <c r="Y1464" s="317"/>
      <c r="Z1464" s="317"/>
    </row>
    <row r="1465" spans="1:26" x14ac:dyDescent="0.25">
      <c r="A1465" s="314"/>
      <c r="B1465" s="18">
        <v>2023</v>
      </c>
      <c r="C1465" s="18" t="s">
        <v>773</v>
      </c>
      <c r="D1465" s="18" t="s">
        <v>794</v>
      </c>
      <c r="E1465" s="18" t="s">
        <v>703</v>
      </c>
      <c r="F1465" s="18" t="s">
        <v>795</v>
      </c>
      <c r="G1465" s="18" t="s">
        <v>673</v>
      </c>
      <c r="H1465" s="18" t="s">
        <v>796</v>
      </c>
      <c r="I1465" s="315">
        <v>140.94545174999308</v>
      </c>
      <c r="J1465" s="315">
        <v>0.25747969501449286</v>
      </c>
      <c r="K1465" s="316" t="str">
        <f t="shared" si="40"/>
        <v>Lawn and Garden Equipment</v>
      </c>
      <c r="L1465" s="316" t="str">
        <f t="shared" si="41"/>
        <v>Gasoline</v>
      </c>
      <c r="M1465" s="194"/>
      <c r="N1465" s="317"/>
      <c r="O1465" s="317"/>
      <c r="P1465" s="317"/>
      <c r="Q1465" s="317"/>
      <c r="R1465" s="317"/>
      <c r="S1465" s="317"/>
      <c r="T1465" s="317"/>
      <c r="U1465" s="317"/>
      <c r="V1465" s="317"/>
      <c r="W1465" s="317"/>
      <c r="X1465" s="317"/>
      <c r="Y1465" s="317"/>
      <c r="Z1465" s="317"/>
    </row>
    <row r="1466" spans="1:26" x14ac:dyDescent="0.25">
      <c r="A1466" s="314"/>
      <c r="B1466" s="18">
        <v>2023</v>
      </c>
      <c r="C1466" s="18" t="s">
        <v>727</v>
      </c>
      <c r="D1466" s="18" t="s">
        <v>866</v>
      </c>
      <c r="E1466" s="18" t="s">
        <v>713</v>
      </c>
      <c r="F1466" s="18" t="s">
        <v>714</v>
      </c>
      <c r="G1466" s="18" t="s">
        <v>677</v>
      </c>
      <c r="H1466" s="18" t="s">
        <v>841</v>
      </c>
      <c r="I1466" s="315">
        <v>140.87014184123069</v>
      </c>
      <c r="J1466" s="315">
        <v>3.5127387483917948E-3</v>
      </c>
      <c r="K1466" s="316" t="str">
        <f t="shared" si="40"/>
        <v>Commercial Equipment</v>
      </c>
      <c r="L1466" s="316" t="str">
        <f t="shared" si="41"/>
        <v>Diesel</v>
      </c>
      <c r="M1466" s="194"/>
      <c r="N1466" s="317"/>
      <c r="O1466" s="317"/>
      <c r="P1466" s="317"/>
      <c r="Q1466" s="317"/>
      <c r="R1466" s="317"/>
      <c r="S1466" s="317"/>
      <c r="T1466" s="317"/>
      <c r="U1466" s="317"/>
      <c r="V1466" s="317"/>
      <c r="W1466" s="317"/>
      <c r="X1466" s="317"/>
      <c r="Y1466" s="317"/>
      <c r="Z1466" s="317"/>
    </row>
    <row r="1467" spans="1:26" x14ac:dyDescent="0.25">
      <c r="A1467" s="314"/>
      <c r="B1467" s="18">
        <v>2023</v>
      </c>
      <c r="C1467" s="18" t="s">
        <v>711</v>
      </c>
      <c r="D1467" s="18" t="s">
        <v>1016</v>
      </c>
      <c r="E1467" s="18" t="s">
        <v>56</v>
      </c>
      <c r="F1467" s="18" t="s">
        <v>672</v>
      </c>
      <c r="G1467" s="18" t="s">
        <v>675</v>
      </c>
      <c r="H1467" s="18" t="s">
        <v>802</v>
      </c>
      <c r="I1467" s="315">
        <v>140.02983449655468</v>
      </c>
      <c r="J1467" s="315">
        <v>6.4242703337335305E-3</v>
      </c>
      <c r="K1467" s="316" t="str">
        <f t="shared" si="40"/>
        <v>Industrial Equipment</v>
      </c>
      <c r="L1467" s="316" t="str">
        <f t="shared" si="41"/>
        <v>LPG</v>
      </c>
      <c r="M1467" s="194"/>
      <c r="N1467" s="317"/>
      <c r="O1467" s="317"/>
      <c r="P1467" s="317"/>
      <c r="Q1467" s="317"/>
      <c r="R1467" s="317"/>
      <c r="S1467" s="317"/>
      <c r="T1467" s="317"/>
      <c r="U1467" s="317"/>
      <c r="V1467" s="317"/>
      <c r="W1467" s="317"/>
      <c r="X1467" s="317"/>
      <c r="Y1467" s="317"/>
      <c r="Z1467" s="317"/>
    </row>
    <row r="1468" spans="1:26" x14ac:dyDescent="0.25">
      <c r="A1468" s="314"/>
      <c r="B1468" s="18">
        <v>2023</v>
      </c>
      <c r="C1468" s="18" t="s">
        <v>778</v>
      </c>
      <c r="D1468" s="18" t="s">
        <v>807</v>
      </c>
      <c r="E1468" s="18" t="s">
        <v>703</v>
      </c>
      <c r="F1468" s="18" t="s">
        <v>805</v>
      </c>
      <c r="G1468" s="18" t="s">
        <v>673</v>
      </c>
      <c r="H1468" s="18" t="s">
        <v>749</v>
      </c>
      <c r="I1468" s="315">
        <v>139.98996371989651</v>
      </c>
      <c r="J1468" s="315">
        <v>0.26187447445744672</v>
      </c>
      <c r="K1468" s="316" t="str">
        <f t="shared" si="40"/>
        <v>Lawn and Garden Equipment</v>
      </c>
      <c r="L1468" s="316" t="str">
        <f t="shared" si="41"/>
        <v>Gasoline</v>
      </c>
      <c r="M1468" s="194"/>
      <c r="N1468" s="317"/>
      <c r="O1468" s="317"/>
      <c r="P1468" s="317"/>
      <c r="Q1468" s="317"/>
      <c r="R1468" s="317"/>
      <c r="S1468" s="317"/>
      <c r="T1468" s="317"/>
      <c r="U1468" s="317"/>
      <c r="V1468" s="317"/>
      <c r="W1468" s="317"/>
      <c r="X1468" s="317"/>
      <c r="Y1468" s="317"/>
      <c r="Z1468" s="317"/>
    </row>
    <row r="1469" spans="1:26" x14ac:dyDescent="0.25">
      <c r="A1469" s="314"/>
      <c r="B1469" s="18">
        <v>2023</v>
      </c>
      <c r="C1469" s="18" t="s">
        <v>722</v>
      </c>
      <c r="D1469" s="18" t="s">
        <v>988</v>
      </c>
      <c r="E1469" s="18" t="s">
        <v>703</v>
      </c>
      <c r="F1469" s="18" t="s">
        <v>805</v>
      </c>
      <c r="G1469" s="18" t="s">
        <v>673</v>
      </c>
      <c r="H1469" s="18" t="s">
        <v>768</v>
      </c>
      <c r="I1469" s="315">
        <v>139.92416606880286</v>
      </c>
      <c r="J1469" s="315">
        <v>0.26049694482809843</v>
      </c>
      <c r="K1469" s="316" t="str">
        <f t="shared" si="40"/>
        <v>Lawn and Garden Equipment</v>
      </c>
      <c r="L1469" s="316" t="str">
        <f t="shared" si="41"/>
        <v>Gasoline</v>
      </c>
      <c r="M1469" s="194"/>
      <c r="N1469" s="317"/>
      <c r="O1469" s="317"/>
      <c r="P1469" s="317"/>
      <c r="Q1469" s="317"/>
      <c r="R1469" s="317"/>
      <c r="S1469" s="317"/>
      <c r="T1469" s="317"/>
      <c r="U1469" s="317"/>
      <c r="V1469" s="317"/>
      <c r="W1469" s="317"/>
      <c r="X1469" s="317"/>
      <c r="Y1469" s="317"/>
      <c r="Z1469" s="317"/>
    </row>
    <row r="1470" spans="1:26" x14ac:dyDescent="0.25">
      <c r="A1470" s="314"/>
      <c r="B1470" s="18">
        <v>2023</v>
      </c>
      <c r="C1470" s="18" t="s">
        <v>760</v>
      </c>
      <c r="D1470" s="18" t="s">
        <v>970</v>
      </c>
      <c r="E1470" s="18" t="s">
        <v>713</v>
      </c>
      <c r="F1470" s="18" t="s">
        <v>714</v>
      </c>
      <c r="G1470" s="18" t="s">
        <v>675</v>
      </c>
      <c r="H1470" s="18" t="s">
        <v>969</v>
      </c>
      <c r="I1470" s="315">
        <v>139.67501702023782</v>
      </c>
      <c r="J1470" s="315">
        <v>4.5381754632242187E-3</v>
      </c>
      <c r="K1470" s="316" t="str">
        <f t="shared" si="40"/>
        <v>Industrial Equipment</v>
      </c>
      <c r="L1470" s="316" t="str">
        <f t="shared" si="41"/>
        <v>Diesel</v>
      </c>
      <c r="M1470" s="194"/>
      <c r="N1470" s="317"/>
      <c r="O1470" s="317"/>
      <c r="P1470" s="317"/>
      <c r="Q1470" s="317"/>
      <c r="R1470" s="317"/>
      <c r="S1470" s="317"/>
      <c r="T1470" s="317"/>
      <c r="U1470" s="317"/>
      <c r="V1470" s="317"/>
      <c r="W1470" s="317"/>
      <c r="X1470" s="317"/>
      <c r="Y1470" s="317"/>
      <c r="Z1470" s="317"/>
    </row>
    <row r="1471" spans="1:26" x14ac:dyDescent="0.25">
      <c r="A1471" s="314"/>
      <c r="B1471" s="18">
        <v>2023</v>
      </c>
      <c r="C1471" s="18" t="s">
        <v>722</v>
      </c>
      <c r="D1471" s="18" t="s">
        <v>1020</v>
      </c>
      <c r="E1471" s="18" t="s">
        <v>713</v>
      </c>
      <c r="F1471" s="18" t="s">
        <v>714</v>
      </c>
      <c r="G1471" s="18" t="s">
        <v>677</v>
      </c>
      <c r="H1471" s="18" t="s">
        <v>789</v>
      </c>
      <c r="I1471" s="315">
        <v>139.1988527055691</v>
      </c>
      <c r="J1471" s="315">
        <v>3.2034404632223261E-3</v>
      </c>
      <c r="K1471" s="316" t="str">
        <f t="shared" si="40"/>
        <v>Commercial Equipment</v>
      </c>
      <c r="L1471" s="316" t="str">
        <f t="shared" si="41"/>
        <v>Diesel</v>
      </c>
      <c r="M1471" s="194"/>
      <c r="N1471" s="317"/>
      <c r="O1471" s="317"/>
      <c r="P1471" s="317"/>
      <c r="Q1471" s="317"/>
      <c r="R1471" s="317"/>
      <c r="S1471" s="317"/>
      <c r="T1471" s="317"/>
      <c r="U1471" s="317"/>
      <c r="V1471" s="317"/>
      <c r="W1471" s="317"/>
      <c r="X1471" s="317"/>
      <c r="Y1471" s="317"/>
      <c r="Z1471" s="317"/>
    </row>
    <row r="1472" spans="1:26" x14ac:dyDescent="0.25">
      <c r="A1472" s="314"/>
      <c r="B1472" s="18">
        <v>2023</v>
      </c>
      <c r="C1472" s="18" t="s">
        <v>786</v>
      </c>
      <c r="D1472" s="18" t="s">
        <v>788</v>
      </c>
      <c r="E1472" s="18" t="s">
        <v>703</v>
      </c>
      <c r="F1472" s="18" t="s">
        <v>704</v>
      </c>
      <c r="G1472" s="18" t="s">
        <v>677</v>
      </c>
      <c r="H1472" s="18" t="s">
        <v>789</v>
      </c>
      <c r="I1472" s="315">
        <v>138.69098701990953</v>
      </c>
      <c r="J1472" s="315">
        <v>9.5790870058843888E-2</v>
      </c>
      <c r="K1472" s="316" t="str">
        <f t="shared" si="40"/>
        <v>Commercial Equipment</v>
      </c>
      <c r="L1472" s="316" t="str">
        <f t="shared" si="41"/>
        <v>Gasoline</v>
      </c>
      <c r="M1472" s="194"/>
      <c r="N1472" s="317"/>
      <c r="O1472" s="317"/>
      <c r="P1472" s="317"/>
      <c r="Q1472" s="317"/>
      <c r="R1472" s="317"/>
      <c r="S1472" s="317"/>
      <c r="T1472" s="317"/>
      <c r="U1472" s="317"/>
      <c r="V1472" s="317"/>
      <c r="W1472" s="317"/>
      <c r="X1472" s="317"/>
      <c r="Y1472" s="317"/>
      <c r="Z1472" s="317"/>
    </row>
    <row r="1473" spans="1:26" x14ac:dyDescent="0.25">
      <c r="A1473" s="314"/>
      <c r="B1473" s="18">
        <v>2023</v>
      </c>
      <c r="C1473" s="18" t="s">
        <v>709</v>
      </c>
      <c r="D1473" s="18" t="s">
        <v>1034</v>
      </c>
      <c r="E1473" s="18" t="s">
        <v>713</v>
      </c>
      <c r="F1473" s="18" t="s">
        <v>714</v>
      </c>
      <c r="G1473" s="18" t="s">
        <v>677</v>
      </c>
      <c r="H1473" s="18" t="s">
        <v>1031</v>
      </c>
      <c r="I1473" s="315">
        <v>138.59296619120821</v>
      </c>
      <c r="J1473" s="315">
        <v>2.4084453202568787E-3</v>
      </c>
      <c r="K1473" s="316" t="str">
        <f t="shared" si="40"/>
        <v>Commercial Equipment</v>
      </c>
      <c r="L1473" s="316" t="str">
        <f t="shared" si="41"/>
        <v>Diesel</v>
      </c>
      <c r="M1473" s="194"/>
      <c r="N1473" s="317"/>
      <c r="O1473" s="317"/>
      <c r="P1473" s="317"/>
      <c r="Q1473" s="317"/>
      <c r="R1473" s="317"/>
      <c r="S1473" s="317"/>
      <c r="T1473" s="317"/>
      <c r="U1473" s="317"/>
      <c r="V1473" s="317"/>
      <c r="W1473" s="317"/>
      <c r="X1473" s="317"/>
      <c r="Y1473" s="317"/>
      <c r="Z1473" s="317"/>
    </row>
    <row r="1474" spans="1:26" x14ac:dyDescent="0.25">
      <c r="A1474" s="314"/>
      <c r="B1474" s="18">
        <v>2023</v>
      </c>
      <c r="C1474" s="18" t="s">
        <v>709</v>
      </c>
      <c r="D1474" s="18" t="s">
        <v>1051</v>
      </c>
      <c r="E1474" s="18" t="s">
        <v>703</v>
      </c>
      <c r="F1474" s="18" t="s">
        <v>704</v>
      </c>
      <c r="G1474" s="18" t="s">
        <v>674</v>
      </c>
      <c r="H1474" s="18" t="s">
        <v>783</v>
      </c>
      <c r="I1474" s="315">
        <v>138.41314173781183</v>
      </c>
      <c r="J1474" s="315">
        <v>8.4330955512906591E-2</v>
      </c>
      <c r="K1474" s="316" t="str">
        <f t="shared" si="40"/>
        <v>Construction and Mining Equipment</v>
      </c>
      <c r="L1474" s="316" t="str">
        <f t="shared" si="41"/>
        <v>Gasoline</v>
      </c>
      <c r="M1474" s="194"/>
      <c r="N1474" s="317"/>
      <c r="O1474" s="317"/>
      <c r="P1474" s="317"/>
      <c r="Q1474" s="317"/>
      <c r="R1474" s="317"/>
      <c r="S1474" s="317"/>
      <c r="T1474" s="317"/>
      <c r="U1474" s="317"/>
      <c r="V1474" s="317"/>
      <c r="W1474" s="317"/>
      <c r="X1474" s="317"/>
      <c r="Y1474" s="317"/>
      <c r="Z1474" s="317"/>
    </row>
    <row r="1475" spans="1:26" x14ac:dyDescent="0.25">
      <c r="A1475" s="314"/>
      <c r="B1475" s="18">
        <v>2023</v>
      </c>
      <c r="C1475" s="18" t="s">
        <v>711</v>
      </c>
      <c r="D1475" s="18" t="s">
        <v>1030</v>
      </c>
      <c r="E1475" s="18" t="s">
        <v>703</v>
      </c>
      <c r="F1475" s="18" t="s">
        <v>704</v>
      </c>
      <c r="G1475" s="18" t="s">
        <v>677</v>
      </c>
      <c r="H1475" s="18" t="s">
        <v>1031</v>
      </c>
      <c r="I1475" s="315">
        <v>138.2952870216931</v>
      </c>
      <c r="J1475" s="315">
        <v>9.6030690149632628E-2</v>
      </c>
      <c r="K1475" s="316" t="str">
        <f t="shared" si="40"/>
        <v>Commercial Equipment</v>
      </c>
      <c r="L1475" s="316" t="str">
        <f t="shared" si="41"/>
        <v>Gasoline</v>
      </c>
      <c r="M1475" s="194"/>
      <c r="N1475" s="317"/>
      <c r="O1475" s="317"/>
      <c r="P1475" s="317"/>
      <c r="Q1475" s="317"/>
      <c r="R1475" s="317"/>
      <c r="S1475" s="317"/>
      <c r="T1475" s="317"/>
      <c r="U1475" s="317"/>
      <c r="V1475" s="317"/>
      <c r="W1475" s="317"/>
      <c r="X1475" s="317"/>
      <c r="Y1475" s="317"/>
      <c r="Z1475" s="317"/>
    </row>
    <row r="1476" spans="1:26" x14ac:dyDescent="0.25">
      <c r="A1476" s="314"/>
      <c r="B1476" s="18">
        <v>2023</v>
      </c>
      <c r="C1476" s="18" t="s">
        <v>711</v>
      </c>
      <c r="D1476" s="18" t="s">
        <v>1006</v>
      </c>
      <c r="E1476" s="18" t="s">
        <v>703</v>
      </c>
      <c r="F1476" s="18" t="s">
        <v>805</v>
      </c>
      <c r="G1476" s="18" t="s">
        <v>674</v>
      </c>
      <c r="H1476" s="18" t="s">
        <v>967</v>
      </c>
      <c r="I1476" s="315">
        <v>137.89375800126444</v>
      </c>
      <c r="J1476" s="315">
        <v>0.24695159093310193</v>
      </c>
      <c r="K1476" s="316" t="str">
        <f t="shared" si="40"/>
        <v>Construction and Mining Equipment</v>
      </c>
      <c r="L1476" s="316" t="str">
        <f t="shared" si="41"/>
        <v>Gasoline</v>
      </c>
      <c r="M1476" s="194"/>
      <c r="N1476" s="317"/>
      <c r="O1476" s="317"/>
      <c r="P1476" s="317"/>
      <c r="Q1476" s="317"/>
      <c r="R1476" s="317"/>
      <c r="S1476" s="317"/>
      <c r="T1476" s="317"/>
      <c r="U1476" s="317"/>
      <c r="V1476" s="317"/>
      <c r="W1476" s="317"/>
      <c r="X1476" s="317"/>
      <c r="Y1476" s="317"/>
      <c r="Z1476" s="317"/>
    </row>
    <row r="1477" spans="1:26" x14ac:dyDescent="0.25">
      <c r="A1477" s="314"/>
      <c r="B1477" s="18">
        <v>2023</v>
      </c>
      <c r="C1477" s="18" t="s">
        <v>792</v>
      </c>
      <c r="D1477" s="18" t="s">
        <v>925</v>
      </c>
      <c r="E1477" s="18" t="s">
        <v>703</v>
      </c>
      <c r="F1477" s="18" t="s">
        <v>704</v>
      </c>
      <c r="G1477" s="18" t="s">
        <v>675</v>
      </c>
      <c r="H1477" s="18" t="s">
        <v>798</v>
      </c>
      <c r="I1477" s="315">
        <v>137.70617327623921</v>
      </c>
      <c r="J1477" s="315">
        <v>0.10377266316857188</v>
      </c>
      <c r="K1477" s="316" t="str">
        <f t="shared" si="40"/>
        <v>Industrial Equipment</v>
      </c>
      <c r="L1477" s="316" t="str">
        <f t="shared" si="41"/>
        <v>Gasoline</v>
      </c>
      <c r="M1477" s="194"/>
      <c r="N1477" s="317"/>
      <c r="O1477" s="317"/>
      <c r="P1477" s="317"/>
      <c r="Q1477" s="317"/>
      <c r="R1477" s="317"/>
      <c r="S1477" s="317"/>
      <c r="T1477" s="317"/>
      <c r="U1477" s="317"/>
      <c r="V1477" s="317"/>
      <c r="W1477" s="317"/>
      <c r="X1477" s="317"/>
      <c r="Y1477" s="317"/>
      <c r="Z1477" s="317"/>
    </row>
    <row r="1478" spans="1:26" x14ac:dyDescent="0.25">
      <c r="A1478" s="314"/>
      <c r="B1478" s="18">
        <v>2023</v>
      </c>
      <c r="C1478" s="18" t="s">
        <v>786</v>
      </c>
      <c r="D1478" s="18" t="s">
        <v>797</v>
      </c>
      <c r="E1478" s="18" t="s">
        <v>713</v>
      </c>
      <c r="F1478" s="18" t="s">
        <v>714</v>
      </c>
      <c r="G1478" s="18" t="s">
        <v>675</v>
      </c>
      <c r="H1478" s="18" t="s">
        <v>798</v>
      </c>
      <c r="I1478" s="315">
        <v>137.02408508326542</v>
      </c>
      <c r="J1478" s="315">
        <v>1.1559377100534161E-3</v>
      </c>
      <c r="K1478" s="316" t="str">
        <f t="shared" si="40"/>
        <v>Industrial Equipment</v>
      </c>
      <c r="L1478" s="316" t="str">
        <f t="shared" si="41"/>
        <v>Diesel</v>
      </c>
      <c r="M1478" s="194"/>
      <c r="N1478" s="317"/>
      <c r="O1478" s="317"/>
      <c r="P1478" s="317"/>
      <c r="Q1478" s="317"/>
      <c r="R1478" s="317"/>
      <c r="S1478" s="317"/>
      <c r="T1478" s="317"/>
      <c r="U1478" s="317"/>
      <c r="V1478" s="317"/>
      <c r="W1478" s="317"/>
      <c r="X1478" s="317"/>
      <c r="Y1478" s="317"/>
      <c r="Z1478" s="317"/>
    </row>
    <row r="1479" spans="1:26" x14ac:dyDescent="0.25">
      <c r="A1479" s="314"/>
      <c r="B1479" s="18">
        <v>2023</v>
      </c>
      <c r="C1479" s="18" t="s">
        <v>743</v>
      </c>
      <c r="D1479" s="18" t="s">
        <v>864</v>
      </c>
      <c r="E1479" s="18" t="s">
        <v>703</v>
      </c>
      <c r="F1479" s="18" t="s">
        <v>704</v>
      </c>
      <c r="G1479" s="18" t="s">
        <v>673</v>
      </c>
      <c r="H1479" s="18" t="s">
        <v>865</v>
      </c>
      <c r="I1479" s="315">
        <v>136.79433568896758</v>
      </c>
      <c r="J1479" s="315">
        <v>9.3289686726770252E-2</v>
      </c>
      <c r="K1479" s="316" t="str">
        <f t="shared" si="40"/>
        <v>Lawn and Garden Equipment</v>
      </c>
      <c r="L1479" s="316" t="str">
        <f t="shared" si="41"/>
        <v>Gasoline</v>
      </c>
      <c r="M1479" s="194"/>
      <c r="N1479" s="317"/>
      <c r="O1479" s="317"/>
      <c r="P1479" s="317"/>
      <c r="Q1479" s="317"/>
      <c r="R1479" s="317"/>
      <c r="S1479" s="317"/>
      <c r="T1479" s="317"/>
      <c r="U1479" s="317"/>
      <c r="V1479" s="317"/>
      <c r="W1479" s="317"/>
      <c r="X1479" s="317"/>
      <c r="Y1479" s="317"/>
      <c r="Z1479" s="317"/>
    </row>
    <row r="1480" spans="1:26" x14ac:dyDescent="0.25">
      <c r="A1480" s="314"/>
      <c r="B1480" s="18">
        <v>2023</v>
      </c>
      <c r="C1480" s="18" t="s">
        <v>743</v>
      </c>
      <c r="D1480" s="18" t="s">
        <v>936</v>
      </c>
      <c r="E1480" s="18" t="s">
        <v>56</v>
      </c>
      <c r="F1480" s="18" t="s">
        <v>672</v>
      </c>
      <c r="G1480" s="18" t="s">
        <v>677</v>
      </c>
      <c r="H1480" s="18" t="s">
        <v>747</v>
      </c>
      <c r="I1480" s="315">
        <v>136.73981112160243</v>
      </c>
      <c r="J1480" s="315">
        <v>3.1523452220626129E-2</v>
      </c>
      <c r="K1480" s="316" t="str">
        <f t="shared" si="40"/>
        <v>Commercial Equipment</v>
      </c>
      <c r="L1480" s="316" t="str">
        <f t="shared" si="41"/>
        <v>LPG</v>
      </c>
      <c r="M1480" s="194"/>
      <c r="N1480" s="317"/>
      <c r="O1480" s="317"/>
      <c r="P1480" s="317"/>
      <c r="Q1480" s="317"/>
      <c r="R1480" s="317"/>
      <c r="S1480" s="317"/>
      <c r="T1480" s="317"/>
      <c r="U1480" s="317"/>
      <c r="V1480" s="317"/>
      <c r="W1480" s="317"/>
      <c r="X1480" s="317"/>
      <c r="Y1480" s="317"/>
      <c r="Z1480" s="317"/>
    </row>
    <row r="1481" spans="1:26" x14ac:dyDescent="0.25">
      <c r="A1481" s="314"/>
      <c r="B1481" s="18">
        <v>2023</v>
      </c>
      <c r="C1481" s="18" t="s">
        <v>732</v>
      </c>
      <c r="D1481" s="18" t="s">
        <v>973</v>
      </c>
      <c r="E1481" s="18" t="s">
        <v>703</v>
      </c>
      <c r="F1481" s="18" t="s">
        <v>795</v>
      </c>
      <c r="G1481" s="18" t="s">
        <v>673</v>
      </c>
      <c r="H1481" s="18" t="s">
        <v>974</v>
      </c>
      <c r="I1481" s="315">
        <v>136.68107997495636</v>
      </c>
      <c r="J1481" s="315">
        <v>0.25836035385093703</v>
      </c>
      <c r="K1481" s="316" t="str">
        <f t="shared" si="40"/>
        <v>Lawn and Garden Equipment</v>
      </c>
      <c r="L1481" s="316" t="str">
        <f t="shared" si="41"/>
        <v>Gasoline</v>
      </c>
      <c r="M1481" s="194"/>
      <c r="N1481" s="317"/>
      <c r="O1481" s="317"/>
      <c r="P1481" s="317"/>
      <c r="Q1481" s="317"/>
      <c r="R1481" s="317"/>
      <c r="S1481" s="317"/>
      <c r="T1481" s="317"/>
      <c r="U1481" s="317"/>
      <c r="V1481" s="317"/>
      <c r="W1481" s="317"/>
      <c r="X1481" s="317"/>
      <c r="Y1481" s="317"/>
      <c r="Z1481" s="317"/>
    </row>
    <row r="1482" spans="1:26" x14ac:dyDescent="0.25">
      <c r="A1482" s="314"/>
      <c r="B1482" s="18">
        <v>2023</v>
      </c>
      <c r="C1482" s="18" t="s">
        <v>722</v>
      </c>
      <c r="D1482" s="18" t="s">
        <v>966</v>
      </c>
      <c r="E1482" s="18" t="s">
        <v>703</v>
      </c>
      <c r="F1482" s="18" t="s">
        <v>704</v>
      </c>
      <c r="G1482" s="18" t="s">
        <v>674</v>
      </c>
      <c r="H1482" s="18" t="s">
        <v>967</v>
      </c>
      <c r="I1482" s="315">
        <v>136.47747425733814</v>
      </c>
      <c r="J1482" s="315">
        <v>9.4541840887048312E-2</v>
      </c>
      <c r="K1482" s="316" t="str">
        <f t="shared" si="40"/>
        <v>Construction and Mining Equipment</v>
      </c>
      <c r="L1482" s="316" t="str">
        <f t="shared" si="41"/>
        <v>Gasoline</v>
      </c>
      <c r="M1482" s="194"/>
      <c r="N1482" s="317"/>
      <c r="O1482" s="317"/>
      <c r="P1482" s="317"/>
      <c r="Q1482" s="317"/>
      <c r="R1482" s="317"/>
      <c r="S1482" s="317"/>
      <c r="T1482" s="317"/>
      <c r="U1482" s="317"/>
      <c r="V1482" s="317"/>
      <c r="W1482" s="317"/>
      <c r="X1482" s="317"/>
      <c r="Y1482" s="317"/>
      <c r="Z1482" s="317"/>
    </row>
    <row r="1483" spans="1:26" x14ac:dyDescent="0.25">
      <c r="A1483" s="314"/>
      <c r="B1483" s="18">
        <v>2023</v>
      </c>
      <c r="C1483" s="18" t="s">
        <v>792</v>
      </c>
      <c r="D1483" s="18" t="s">
        <v>776</v>
      </c>
      <c r="E1483" s="18" t="s">
        <v>713</v>
      </c>
      <c r="F1483" s="18" t="s">
        <v>714</v>
      </c>
      <c r="G1483" s="18" t="s">
        <v>674</v>
      </c>
      <c r="H1483" s="18" t="s">
        <v>777</v>
      </c>
      <c r="I1483" s="315">
        <v>136.45797547255924</v>
      </c>
      <c r="J1483" s="315">
        <v>5.4273768516193322E-4</v>
      </c>
      <c r="K1483" s="316" t="str">
        <f t="shared" si="40"/>
        <v>Construction and Mining Equipment</v>
      </c>
      <c r="L1483" s="316" t="str">
        <f t="shared" si="41"/>
        <v>Diesel</v>
      </c>
      <c r="M1483" s="194"/>
      <c r="N1483" s="317"/>
      <c r="O1483" s="317"/>
      <c r="P1483" s="317"/>
      <c r="Q1483" s="317"/>
      <c r="R1483" s="317"/>
      <c r="S1483" s="317"/>
      <c r="T1483" s="317"/>
      <c r="U1483" s="317"/>
      <c r="V1483" s="317"/>
      <c r="W1483" s="317"/>
      <c r="X1483" s="317"/>
      <c r="Y1483" s="317"/>
      <c r="Z1483" s="317"/>
    </row>
    <row r="1484" spans="1:26" x14ac:dyDescent="0.25">
      <c r="A1484" s="314"/>
      <c r="B1484" s="18">
        <v>2023</v>
      </c>
      <c r="C1484" s="18" t="s">
        <v>709</v>
      </c>
      <c r="D1484" s="18" t="s">
        <v>1037</v>
      </c>
      <c r="E1484" s="18" t="s">
        <v>56</v>
      </c>
      <c r="F1484" s="18" t="s">
        <v>672</v>
      </c>
      <c r="G1484" s="18" t="s">
        <v>677</v>
      </c>
      <c r="H1484" s="18" t="s">
        <v>841</v>
      </c>
      <c r="I1484" s="315">
        <v>136.32578409553054</v>
      </c>
      <c r="J1484" s="315">
        <v>1.3799900754139987E-2</v>
      </c>
      <c r="K1484" s="316" t="str">
        <f t="shared" si="40"/>
        <v>Commercial Equipment</v>
      </c>
      <c r="L1484" s="316" t="str">
        <f t="shared" si="41"/>
        <v>LPG</v>
      </c>
      <c r="M1484" s="194"/>
      <c r="N1484" s="317"/>
      <c r="O1484" s="317"/>
      <c r="P1484" s="317"/>
      <c r="Q1484" s="317"/>
      <c r="R1484" s="317"/>
      <c r="S1484" s="317"/>
      <c r="T1484" s="317"/>
      <c r="U1484" s="317"/>
      <c r="V1484" s="317"/>
      <c r="W1484" s="317"/>
      <c r="X1484" s="317"/>
      <c r="Y1484" s="317"/>
      <c r="Z1484" s="317"/>
    </row>
    <row r="1485" spans="1:26" x14ac:dyDescent="0.25">
      <c r="A1485" s="314"/>
      <c r="B1485" s="18">
        <v>2023</v>
      </c>
      <c r="C1485" s="18" t="s">
        <v>787</v>
      </c>
      <c r="D1485" s="18" t="s">
        <v>925</v>
      </c>
      <c r="E1485" s="18" t="s">
        <v>703</v>
      </c>
      <c r="F1485" s="18" t="s">
        <v>704</v>
      </c>
      <c r="G1485" s="18" t="s">
        <v>675</v>
      </c>
      <c r="H1485" s="18" t="s">
        <v>798</v>
      </c>
      <c r="I1485" s="315">
        <v>135.73408543005255</v>
      </c>
      <c r="J1485" s="315">
        <v>0.10174706047191182</v>
      </c>
      <c r="K1485" s="316" t="str">
        <f t="shared" si="40"/>
        <v>Industrial Equipment</v>
      </c>
      <c r="L1485" s="316" t="str">
        <f t="shared" si="41"/>
        <v>Gasoline</v>
      </c>
      <c r="M1485" s="194"/>
      <c r="N1485" s="317"/>
      <c r="O1485" s="317"/>
      <c r="P1485" s="317"/>
      <c r="Q1485" s="317"/>
      <c r="R1485" s="317"/>
      <c r="S1485" s="317"/>
      <c r="T1485" s="317"/>
      <c r="U1485" s="317"/>
      <c r="V1485" s="317"/>
      <c r="W1485" s="317"/>
      <c r="X1485" s="317"/>
      <c r="Y1485" s="317"/>
      <c r="Z1485" s="317"/>
    </row>
    <row r="1486" spans="1:26" x14ac:dyDescent="0.25">
      <c r="A1486" s="314"/>
      <c r="B1486" s="18">
        <v>2023</v>
      </c>
      <c r="C1486" s="18" t="s">
        <v>762</v>
      </c>
      <c r="D1486" s="18" t="s">
        <v>866</v>
      </c>
      <c r="E1486" s="18" t="s">
        <v>713</v>
      </c>
      <c r="F1486" s="18" t="s">
        <v>714</v>
      </c>
      <c r="G1486" s="18" t="s">
        <v>677</v>
      </c>
      <c r="H1486" s="18" t="s">
        <v>841</v>
      </c>
      <c r="I1486" s="315">
        <v>135.71630625091865</v>
      </c>
      <c r="J1486" s="315">
        <v>3.3842278319928059E-3</v>
      </c>
      <c r="K1486" s="316" t="str">
        <f t="shared" si="40"/>
        <v>Commercial Equipment</v>
      </c>
      <c r="L1486" s="316" t="str">
        <f t="shared" si="41"/>
        <v>Diesel</v>
      </c>
      <c r="M1486" s="194"/>
      <c r="N1486" s="317"/>
      <c r="O1486" s="317"/>
      <c r="P1486" s="317"/>
      <c r="Q1486" s="317"/>
      <c r="R1486" s="317"/>
      <c r="S1486" s="317"/>
      <c r="T1486" s="317"/>
      <c r="U1486" s="317"/>
      <c r="V1486" s="317"/>
      <c r="W1486" s="317"/>
      <c r="X1486" s="317"/>
      <c r="Y1486" s="317"/>
      <c r="Z1486" s="317"/>
    </row>
    <row r="1487" spans="1:26" x14ac:dyDescent="0.25">
      <c r="A1487" s="314"/>
      <c r="B1487" s="18">
        <v>2023</v>
      </c>
      <c r="C1487" s="18" t="s">
        <v>711</v>
      </c>
      <c r="D1487" s="18" t="s">
        <v>1034</v>
      </c>
      <c r="E1487" s="18" t="s">
        <v>713</v>
      </c>
      <c r="F1487" s="18" t="s">
        <v>714</v>
      </c>
      <c r="G1487" s="18" t="s">
        <v>677</v>
      </c>
      <c r="H1487" s="18" t="s">
        <v>1031</v>
      </c>
      <c r="I1487" s="315">
        <v>135.70992056149444</v>
      </c>
      <c r="J1487" s="315">
        <v>2.3583438679722233E-3</v>
      </c>
      <c r="K1487" s="316" t="str">
        <f t="shared" si="40"/>
        <v>Commercial Equipment</v>
      </c>
      <c r="L1487" s="316" t="str">
        <f t="shared" si="41"/>
        <v>Diesel</v>
      </c>
      <c r="M1487" s="194"/>
      <c r="N1487" s="317"/>
      <c r="O1487" s="317"/>
      <c r="P1487" s="317"/>
      <c r="Q1487" s="317"/>
      <c r="R1487" s="317"/>
      <c r="S1487" s="317"/>
      <c r="T1487" s="317"/>
      <c r="U1487" s="317"/>
      <c r="V1487" s="317"/>
      <c r="W1487" s="317"/>
      <c r="X1487" s="317"/>
      <c r="Y1487" s="317"/>
      <c r="Z1487" s="317"/>
    </row>
    <row r="1488" spans="1:26" x14ac:dyDescent="0.25">
      <c r="A1488" s="314"/>
      <c r="B1488" s="18">
        <v>2023</v>
      </c>
      <c r="C1488" s="18" t="s">
        <v>762</v>
      </c>
      <c r="D1488" s="18" t="s">
        <v>797</v>
      </c>
      <c r="E1488" s="18" t="s">
        <v>713</v>
      </c>
      <c r="F1488" s="18" t="s">
        <v>714</v>
      </c>
      <c r="G1488" s="18" t="s">
        <v>675</v>
      </c>
      <c r="H1488" s="18" t="s">
        <v>798</v>
      </c>
      <c r="I1488" s="315">
        <v>135.38274354129896</v>
      </c>
      <c r="J1488" s="315">
        <v>1.1420907285445137E-3</v>
      </c>
      <c r="K1488" s="316" t="str">
        <f t="shared" si="40"/>
        <v>Industrial Equipment</v>
      </c>
      <c r="L1488" s="316" t="str">
        <f t="shared" si="41"/>
        <v>Diesel</v>
      </c>
      <c r="M1488" s="194"/>
      <c r="N1488" s="317"/>
      <c r="O1488" s="317"/>
      <c r="P1488" s="317"/>
      <c r="Q1488" s="317"/>
      <c r="R1488" s="317"/>
      <c r="S1488" s="317"/>
      <c r="T1488" s="317"/>
      <c r="U1488" s="317"/>
      <c r="V1488" s="317"/>
      <c r="W1488" s="317"/>
      <c r="X1488" s="317"/>
      <c r="Y1488" s="317"/>
      <c r="Z1488" s="317"/>
    </row>
    <row r="1489" spans="1:26" x14ac:dyDescent="0.25">
      <c r="A1489" s="314"/>
      <c r="B1489" s="18">
        <v>2023</v>
      </c>
      <c r="C1489" s="18" t="s">
        <v>760</v>
      </c>
      <c r="D1489" s="18" t="s">
        <v>898</v>
      </c>
      <c r="E1489" s="18" t="s">
        <v>703</v>
      </c>
      <c r="F1489" s="18" t="s">
        <v>795</v>
      </c>
      <c r="G1489" s="18" t="s">
        <v>673</v>
      </c>
      <c r="H1489" s="18" t="s">
        <v>899</v>
      </c>
      <c r="I1489" s="315">
        <v>135.1735898908529</v>
      </c>
      <c r="J1489" s="315">
        <v>0.92417444232127965</v>
      </c>
      <c r="K1489" s="316" t="str">
        <f t="shared" si="40"/>
        <v>Lawn and Garden Equipment</v>
      </c>
      <c r="L1489" s="316" t="str">
        <f t="shared" si="41"/>
        <v>Gasoline</v>
      </c>
      <c r="M1489" s="194"/>
      <c r="N1489" s="317"/>
      <c r="O1489" s="317"/>
      <c r="P1489" s="317"/>
      <c r="Q1489" s="317"/>
      <c r="R1489" s="317"/>
      <c r="S1489" s="317"/>
      <c r="T1489" s="317"/>
      <c r="U1489" s="317"/>
      <c r="V1489" s="317"/>
      <c r="W1489" s="317"/>
      <c r="X1489" s="317"/>
      <c r="Y1489" s="317"/>
      <c r="Z1489" s="317"/>
    </row>
    <row r="1490" spans="1:26" x14ac:dyDescent="0.25">
      <c r="A1490" s="314"/>
      <c r="B1490" s="18">
        <v>2023</v>
      </c>
      <c r="C1490" s="18" t="s">
        <v>786</v>
      </c>
      <c r="D1490" s="18" t="s">
        <v>801</v>
      </c>
      <c r="E1490" s="18" t="s">
        <v>713</v>
      </c>
      <c r="F1490" s="18" t="s">
        <v>714</v>
      </c>
      <c r="G1490" s="18" t="s">
        <v>675</v>
      </c>
      <c r="H1490" s="18" t="s">
        <v>802</v>
      </c>
      <c r="I1490" s="315">
        <v>135.1018591869171</v>
      </c>
      <c r="J1490" s="315">
        <v>8.9995407701585432E-4</v>
      </c>
      <c r="K1490" s="316" t="str">
        <f t="shared" si="40"/>
        <v>Industrial Equipment</v>
      </c>
      <c r="L1490" s="316" t="str">
        <f t="shared" si="41"/>
        <v>Diesel</v>
      </c>
      <c r="M1490" s="194"/>
      <c r="N1490" s="317"/>
      <c r="O1490" s="317"/>
      <c r="P1490" s="317"/>
      <c r="Q1490" s="317"/>
      <c r="R1490" s="317"/>
      <c r="S1490" s="317"/>
      <c r="T1490" s="317"/>
      <c r="U1490" s="317"/>
      <c r="V1490" s="317"/>
      <c r="W1490" s="317"/>
      <c r="X1490" s="317"/>
      <c r="Y1490" s="317"/>
      <c r="Z1490" s="317"/>
    </row>
    <row r="1491" spans="1:26" x14ac:dyDescent="0.25">
      <c r="A1491" s="314"/>
      <c r="B1491" s="18">
        <v>2023</v>
      </c>
      <c r="C1491" s="18" t="s">
        <v>792</v>
      </c>
      <c r="D1491" s="18" t="s">
        <v>751</v>
      </c>
      <c r="E1491" s="18" t="s">
        <v>713</v>
      </c>
      <c r="F1491" s="18" t="s">
        <v>676</v>
      </c>
      <c r="G1491" s="18" t="s">
        <v>79</v>
      </c>
      <c r="H1491" s="18" t="s">
        <v>740</v>
      </c>
      <c r="I1491" s="315">
        <v>134.67063422056196</v>
      </c>
      <c r="J1491" s="315">
        <v>5.2856989417963754E-3</v>
      </c>
      <c r="K1491" s="316" t="str">
        <f t="shared" si="40"/>
        <v>Pleasure Craft</v>
      </c>
      <c r="L1491" s="316" t="str">
        <f t="shared" si="41"/>
        <v>Diesel</v>
      </c>
      <c r="M1491" s="194"/>
      <c r="N1491" s="317"/>
      <c r="O1491" s="317"/>
      <c r="P1491" s="317"/>
      <c r="Q1491" s="317"/>
      <c r="R1491" s="317"/>
      <c r="S1491" s="317"/>
      <c r="T1491" s="317"/>
      <c r="U1491" s="317"/>
      <c r="V1491" s="317"/>
      <c r="W1491" s="317"/>
      <c r="X1491" s="317"/>
      <c r="Y1491" s="317"/>
      <c r="Z1491" s="317"/>
    </row>
    <row r="1492" spans="1:26" x14ac:dyDescent="0.25">
      <c r="A1492" s="314"/>
      <c r="B1492" s="18">
        <v>2023</v>
      </c>
      <c r="C1492" s="18" t="s">
        <v>762</v>
      </c>
      <c r="D1492" s="18" t="s">
        <v>1079</v>
      </c>
      <c r="E1492" s="18" t="s">
        <v>713</v>
      </c>
      <c r="F1492" s="18" t="s">
        <v>714</v>
      </c>
      <c r="G1492" s="18" t="s">
        <v>678</v>
      </c>
      <c r="H1492" s="18" t="s">
        <v>1080</v>
      </c>
      <c r="I1492" s="315">
        <v>134.07281145145393</v>
      </c>
      <c r="J1492" s="315">
        <v>9.730221196056865E-4</v>
      </c>
      <c r="K1492" s="316" t="str">
        <f t="shared" si="40"/>
        <v>Agricultural Equipment</v>
      </c>
      <c r="L1492" s="316" t="str">
        <f t="shared" si="41"/>
        <v>Diesel</v>
      </c>
      <c r="M1492" s="194"/>
      <c r="N1492" s="317"/>
      <c r="O1492" s="317"/>
      <c r="P1492" s="317"/>
      <c r="Q1492" s="317"/>
      <c r="R1492" s="317"/>
      <c r="S1492" s="317"/>
      <c r="T1492" s="317"/>
      <c r="U1492" s="317"/>
      <c r="V1492" s="317"/>
      <c r="W1492" s="317"/>
      <c r="X1492" s="317"/>
      <c r="Y1492" s="317"/>
      <c r="Z1492" s="317"/>
    </row>
    <row r="1493" spans="1:26" x14ac:dyDescent="0.25">
      <c r="A1493" s="314"/>
      <c r="B1493" s="18">
        <v>2023</v>
      </c>
      <c r="C1493" s="18" t="s">
        <v>711</v>
      </c>
      <c r="D1493" s="18" t="s">
        <v>1037</v>
      </c>
      <c r="E1493" s="18" t="s">
        <v>56</v>
      </c>
      <c r="F1493" s="18" t="s">
        <v>672</v>
      </c>
      <c r="G1493" s="18" t="s">
        <v>677</v>
      </c>
      <c r="H1493" s="18" t="s">
        <v>841</v>
      </c>
      <c r="I1493" s="315">
        <v>133.49001549563101</v>
      </c>
      <c r="J1493" s="315">
        <v>1.3512830965999898E-2</v>
      </c>
      <c r="K1493" s="316" t="str">
        <f t="shared" si="40"/>
        <v>Commercial Equipment</v>
      </c>
      <c r="L1493" s="316" t="str">
        <f t="shared" si="41"/>
        <v>LPG</v>
      </c>
      <c r="M1493" s="194"/>
      <c r="N1493" s="317"/>
      <c r="O1493" s="317"/>
      <c r="P1493" s="317"/>
      <c r="Q1493" s="317"/>
      <c r="R1493" s="317"/>
      <c r="S1493" s="317"/>
      <c r="T1493" s="317"/>
      <c r="U1493" s="317"/>
      <c r="V1493" s="317"/>
      <c r="W1493" s="317"/>
      <c r="X1493" s="317"/>
      <c r="Y1493" s="317"/>
      <c r="Z1493" s="317"/>
    </row>
    <row r="1494" spans="1:26" x14ac:dyDescent="0.25">
      <c r="A1494" s="314"/>
      <c r="B1494" s="18">
        <v>2023</v>
      </c>
      <c r="C1494" s="18" t="s">
        <v>762</v>
      </c>
      <c r="D1494" s="18" t="s">
        <v>801</v>
      </c>
      <c r="E1494" s="18" t="s">
        <v>713</v>
      </c>
      <c r="F1494" s="18" t="s">
        <v>714</v>
      </c>
      <c r="G1494" s="18" t="s">
        <v>675</v>
      </c>
      <c r="H1494" s="18" t="s">
        <v>802</v>
      </c>
      <c r="I1494" s="315">
        <v>133.48346666413283</v>
      </c>
      <c r="J1494" s="315">
        <v>8.891749209121141E-4</v>
      </c>
      <c r="K1494" s="316" t="str">
        <f t="shared" si="40"/>
        <v>Industrial Equipment</v>
      </c>
      <c r="L1494" s="316" t="str">
        <f t="shared" si="41"/>
        <v>Diesel</v>
      </c>
      <c r="M1494" s="194"/>
      <c r="N1494" s="317"/>
      <c r="O1494" s="317"/>
      <c r="P1494" s="317"/>
      <c r="Q1494" s="317"/>
      <c r="R1494" s="317"/>
      <c r="S1494" s="317"/>
      <c r="T1494" s="317"/>
      <c r="U1494" s="317"/>
      <c r="V1494" s="317"/>
      <c r="W1494" s="317"/>
      <c r="X1494" s="317"/>
      <c r="Y1494" s="317"/>
      <c r="Z1494" s="317"/>
    </row>
    <row r="1495" spans="1:26" x14ac:dyDescent="0.25">
      <c r="A1495" s="314"/>
      <c r="B1495" s="18">
        <v>2023</v>
      </c>
      <c r="C1495" s="18" t="s">
        <v>710</v>
      </c>
      <c r="D1495" s="18" t="s">
        <v>1030</v>
      </c>
      <c r="E1495" s="18" t="s">
        <v>703</v>
      </c>
      <c r="F1495" s="18" t="s">
        <v>704</v>
      </c>
      <c r="G1495" s="18" t="s">
        <v>677</v>
      </c>
      <c r="H1495" s="18" t="s">
        <v>1031</v>
      </c>
      <c r="I1495" s="315">
        <v>133.46866703247235</v>
      </c>
      <c r="J1495" s="315">
        <v>9.273143290282676E-2</v>
      </c>
      <c r="K1495" s="316" t="str">
        <f t="shared" si="40"/>
        <v>Commercial Equipment</v>
      </c>
      <c r="L1495" s="316" t="str">
        <f t="shared" si="41"/>
        <v>Gasoline</v>
      </c>
      <c r="M1495" s="194"/>
      <c r="N1495" s="317"/>
      <c r="O1495" s="317"/>
      <c r="P1495" s="317"/>
      <c r="Q1495" s="317"/>
      <c r="R1495" s="317"/>
      <c r="S1495" s="317"/>
      <c r="T1495" s="317"/>
      <c r="U1495" s="317"/>
      <c r="V1495" s="317"/>
      <c r="W1495" s="317"/>
      <c r="X1495" s="317"/>
      <c r="Y1495" s="317"/>
      <c r="Z1495" s="317"/>
    </row>
    <row r="1496" spans="1:26" x14ac:dyDescent="0.25">
      <c r="A1496" s="314"/>
      <c r="B1496" s="18">
        <v>2023</v>
      </c>
      <c r="C1496" s="18" t="s">
        <v>781</v>
      </c>
      <c r="D1496" s="18" t="s">
        <v>755</v>
      </c>
      <c r="E1496" s="18" t="s">
        <v>713</v>
      </c>
      <c r="F1496" s="18" t="s">
        <v>714</v>
      </c>
      <c r="G1496" s="18" t="s">
        <v>674</v>
      </c>
      <c r="H1496" s="18" t="s">
        <v>756</v>
      </c>
      <c r="I1496" s="315">
        <v>132.97509060833627</v>
      </c>
      <c r="J1496" s="315">
        <v>5.1636134120849738E-3</v>
      </c>
      <c r="K1496" s="316" t="str">
        <f t="shared" si="40"/>
        <v>Construction and Mining Equipment</v>
      </c>
      <c r="L1496" s="316" t="str">
        <f t="shared" si="41"/>
        <v>Diesel</v>
      </c>
      <c r="M1496" s="194"/>
      <c r="N1496" s="317"/>
      <c r="O1496" s="317"/>
      <c r="P1496" s="317"/>
      <c r="Q1496" s="317"/>
      <c r="R1496" s="317"/>
      <c r="S1496" s="317"/>
      <c r="T1496" s="317"/>
      <c r="U1496" s="317"/>
      <c r="V1496" s="317"/>
      <c r="W1496" s="317"/>
      <c r="X1496" s="317"/>
      <c r="Y1496" s="317"/>
      <c r="Z1496" s="317"/>
    </row>
    <row r="1497" spans="1:26" x14ac:dyDescent="0.25">
      <c r="A1497" s="314"/>
      <c r="B1497" s="18">
        <v>2023</v>
      </c>
      <c r="C1497" s="18" t="s">
        <v>731</v>
      </c>
      <c r="D1497" s="18" t="s">
        <v>835</v>
      </c>
      <c r="E1497" s="18" t="s">
        <v>703</v>
      </c>
      <c r="F1497" s="18" t="s">
        <v>704</v>
      </c>
      <c r="G1497" s="18" t="s">
        <v>677</v>
      </c>
      <c r="H1497" s="18" t="s">
        <v>836</v>
      </c>
      <c r="I1497" s="315">
        <v>132.88521145097747</v>
      </c>
      <c r="J1497" s="315">
        <v>8.2355229989405032E-2</v>
      </c>
      <c r="K1497" s="316" t="str">
        <f t="shared" si="40"/>
        <v>Commercial Equipment</v>
      </c>
      <c r="L1497" s="316" t="str">
        <f t="shared" si="41"/>
        <v>Gasoline</v>
      </c>
      <c r="M1497" s="194"/>
      <c r="N1497" s="317"/>
      <c r="O1497" s="317"/>
      <c r="P1497" s="317"/>
      <c r="Q1497" s="317"/>
      <c r="R1497" s="317"/>
      <c r="S1497" s="317"/>
      <c r="T1497" s="317"/>
      <c r="U1497" s="317"/>
      <c r="V1497" s="317"/>
      <c r="W1497" s="317"/>
      <c r="X1497" s="317"/>
      <c r="Y1497" s="317"/>
      <c r="Z1497" s="317"/>
    </row>
    <row r="1498" spans="1:26" x14ac:dyDescent="0.25">
      <c r="A1498" s="314"/>
      <c r="B1498" s="18">
        <v>2023</v>
      </c>
      <c r="C1498" s="18" t="s">
        <v>701</v>
      </c>
      <c r="D1498" s="18" t="s">
        <v>1022</v>
      </c>
      <c r="E1498" s="18" t="s">
        <v>703</v>
      </c>
      <c r="F1498" s="18" t="s">
        <v>704</v>
      </c>
      <c r="G1498" s="18" t="s">
        <v>675</v>
      </c>
      <c r="H1498" s="18" t="s">
        <v>772</v>
      </c>
      <c r="I1498" s="315">
        <v>132.21477358624881</v>
      </c>
      <c r="J1498" s="315">
        <v>9.3409606874638538E-3</v>
      </c>
      <c r="K1498" s="316" t="str">
        <f t="shared" si="40"/>
        <v>Industrial Equipment</v>
      </c>
      <c r="L1498" s="316" t="str">
        <f t="shared" si="41"/>
        <v>Gasoline</v>
      </c>
      <c r="M1498" s="194"/>
      <c r="N1498" s="317"/>
      <c r="O1498" s="317"/>
      <c r="P1498" s="317"/>
      <c r="Q1498" s="317"/>
      <c r="R1498" s="317"/>
      <c r="S1498" s="317"/>
      <c r="T1498" s="317"/>
      <c r="U1498" s="317"/>
      <c r="V1498" s="317"/>
      <c r="W1498" s="317"/>
      <c r="X1498" s="317"/>
      <c r="Y1498" s="317"/>
      <c r="Z1498" s="317"/>
    </row>
    <row r="1499" spans="1:26" x14ac:dyDescent="0.25">
      <c r="A1499" s="314"/>
      <c r="B1499" s="18">
        <v>2023</v>
      </c>
      <c r="C1499" s="18" t="s">
        <v>810</v>
      </c>
      <c r="D1499" s="18" t="s">
        <v>797</v>
      </c>
      <c r="E1499" s="18" t="s">
        <v>713</v>
      </c>
      <c r="F1499" s="18" t="s">
        <v>714</v>
      </c>
      <c r="G1499" s="18" t="s">
        <v>675</v>
      </c>
      <c r="H1499" s="18" t="s">
        <v>798</v>
      </c>
      <c r="I1499" s="315">
        <v>131.86527586431848</v>
      </c>
      <c r="J1499" s="315">
        <v>1.1124159475248132E-3</v>
      </c>
      <c r="K1499" s="316" t="str">
        <f t="shared" si="40"/>
        <v>Industrial Equipment</v>
      </c>
      <c r="L1499" s="316" t="str">
        <f t="shared" si="41"/>
        <v>Diesel</v>
      </c>
      <c r="M1499" s="194"/>
      <c r="N1499" s="317"/>
      <c r="O1499" s="317"/>
      <c r="P1499" s="317"/>
      <c r="Q1499" s="317"/>
      <c r="R1499" s="317"/>
      <c r="S1499" s="317"/>
      <c r="T1499" s="317"/>
      <c r="U1499" s="317"/>
      <c r="V1499" s="317"/>
      <c r="W1499" s="317"/>
      <c r="X1499" s="317"/>
      <c r="Y1499" s="317"/>
      <c r="Z1499" s="317"/>
    </row>
    <row r="1500" spans="1:26" x14ac:dyDescent="0.25">
      <c r="A1500" s="314"/>
      <c r="B1500" s="18">
        <v>2023</v>
      </c>
      <c r="C1500" s="18" t="s">
        <v>778</v>
      </c>
      <c r="D1500" s="18" t="s">
        <v>966</v>
      </c>
      <c r="E1500" s="18" t="s">
        <v>703</v>
      </c>
      <c r="F1500" s="18" t="s">
        <v>704</v>
      </c>
      <c r="G1500" s="18" t="s">
        <v>674</v>
      </c>
      <c r="H1500" s="18" t="s">
        <v>967</v>
      </c>
      <c r="I1500" s="315">
        <v>131.55661767414651</v>
      </c>
      <c r="J1500" s="315">
        <v>9.0910600241990838E-2</v>
      </c>
      <c r="K1500" s="316" t="str">
        <f t="shared" si="40"/>
        <v>Construction and Mining Equipment</v>
      </c>
      <c r="L1500" s="316" t="str">
        <f t="shared" si="41"/>
        <v>Gasoline</v>
      </c>
      <c r="M1500" s="194"/>
      <c r="N1500" s="317"/>
      <c r="O1500" s="317"/>
      <c r="P1500" s="317"/>
      <c r="Q1500" s="317"/>
      <c r="R1500" s="317"/>
      <c r="S1500" s="317"/>
      <c r="T1500" s="317"/>
      <c r="U1500" s="317"/>
      <c r="V1500" s="317"/>
      <c r="W1500" s="317"/>
      <c r="X1500" s="317"/>
      <c r="Y1500" s="317"/>
      <c r="Z1500" s="317"/>
    </row>
    <row r="1501" spans="1:26" x14ac:dyDescent="0.25">
      <c r="A1501" s="314"/>
      <c r="B1501" s="18">
        <v>2023</v>
      </c>
      <c r="C1501" s="18" t="s">
        <v>762</v>
      </c>
      <c r="D1501" s="18" t="s">
        <v>794</v>
      </c>
      <c r="E1501" s="18" t="s">
        <v>703</v>
      </c>
      <c r="F1501" s="18" t="s">
        <v>795</v>
      </c>
      <c r="G1501" s="18" t="s">
        <v>673</v>
      </c>
      <c r="H1501" s="18" t="s">
        <v>796</v>
      </c>
      <c r="I1501" s="315">
        <v>131.27262259724517</v>
      </c>
      <c r="J1501" s="315">
        <v>0.23980971177827873</v>
      </c>
      <c r="K1501" s="316" t="str">
        <f t="shared" si="40"/>
        <v>Lawn and Garden Equipment</v>
      </c>
      <c r="L1501" s="316" t="str">
        <f t="shared" si="41"/>
        <v>Gasoline</v>
      </c>
      <c r="M1501" s="194"/>
      <c r="N1501" s="317"/>
      <c r="O1501" s="317"/>
      <c r="P1501" s="317"/>
      <c r="Q1501" s="317"/>
      <c r="R1501" s="317"/>
      <c r="S1501" s="317"/>
      <c r="T1501" s="317"/>
      <c r="U1501" s="317"/>
      <c r="V1501" s="317"/>
      <c r="W1501" s="317"/>
      <c r="X1501" s="317"/>
      <c r="Y1501" s="317"/>
      <c r="Z1501" s="317"/>
    </row>
    <row r="1502" spans="1:26" x14ac:dyDescent="0.25">
      <c r="A1502" s="314"/>
      <c r="B1502" s="18">
        <v>2023</v>
      </c>
      <c r="C1502" s="18" t="s">
        <v>732</v>
      </c>
      <c r="D1502" s="18" t="s">
        <v>977</v>
      </c>
      <c r="E1502" s="18" t="s">
        <v>703</v>
      </c>
      <c r="F1502" s="18" t="s">
        <v>805</v>
      </c>
      <c r="G1502" s="18" t="s">
        <v>673</v>
      </c>
      <c r="H1502" s="18" t="s">
        <v>978</v>
      </c>
      <c r="I1502" s="315">
        <v>131.23088784230154</v>
      </c>
      <c r="J1502" s="315">
        <v>0.22345697408349224</v>
      </c>
      <c r="K1502" s="316" t="str">
        <f t="shared" si="40"/>
        <v>Lawn and Garden Equipment</v>
      </c>
      <c r="L1502" s="316" t="str">
        <f t="shared" si="41"/>
        <v>Gasoline</v>
      </c>
      <c r="M1502" s="194"/>
      <c r="N1502" s="317"/>
      <c r="O1502" s="317"/>
      <c r="P1502" s="317"/>
      <c r="Q1502" s="317"/>
      <c r="R1502" s="317"/>
      <c r="S1502" s="317"/>
      <c r="T1502" s="317"/>
      <c r="U1502" s="317"/>
      <c r="V1502" s="317"/>
      <c r="W1502" s="317"/>
      <c r="X1502" s="317"/>
      <c r="Y1502" s="317"/>
      <c r="Z1502" s="317"/>
    </row>
    <row r="1503" spans="1:26" x14ac:dyDescent="0.25">
      <c r="A1503" s="314"/>
      <c r="B1503" s="18">
        <v>2023</v>
      </c>
      <c r="C1503" s="18" t="s">
        <v>710</v>
      </c>
      <c r="D1503" s="18" t="s">
        <v>1034</v>
      </c>
      <c r="E1503" s="18" t="s">
        <v>713</v>
      </c>
      <c r="F1503" s="18" t="s">
        <v>714</v>
      </c>
      <c r="G1503" s="18" t="s">
        <v>677</v>
      </c>
      <c r="H1503" s="18" t="s">
        <v>1031</v>
      </c>
      <c r="I1503" s="315">
        <v>130.97336491793283</v>
      </c>
      <c r="J1503" s="315">
        <v>2.2760346780955139E-3</v>
      </c>
      <c r="K1503" s="316" t="str">
        <f t="shared" si="40"/>
        <v>Commercial Equipment</v>
      </c>
      <c r="L1503" s="316" t="str">
        <f t="shared" si="41"/>
        <v>Diesel</v>
      </c>
      <c r="M1503" s="194"/>
      <c r="N1503" s="317"/>
      <c r="O1503" s="317"/>
      <c r="P1503" s="317"/>
      <c r="Q1503" s="317"/>
      <c r="R1503" s="317"/>
      <c r="S1503" s="317"/>
      <c r="T1503" s="317"/>
      <c r="U1503" s="317"/>
      <c r="V1503" s="317"/>
      <c r="W1503" s="317"/>
      <c r="X1503" s="317"/>
      <c r="Y1503" s="317"/>
      <c r="Z1503" s="317"/>
    </row>
    <row r="1504" spans="1:26" x14ac:dyDescent="0.25">
      <c r="A1504" s="314"/>
      <c r="B1504" s="18">
        <v>2023</v>
      </c>
      <c r="C1504" s="18" t="s">
        <v>732</v>
      </c>
      <c r="D1504" s="18" t="s">
        <v>1079</v>
      </c>
      <c r="E1504" s="18" t="s">
        <v>713</v>
      </c>
      <c r="F1504" s="18" t="s">
        <v>714</v>
      </c>
      <c r="G1504" s="18" t="s">
        <v>678</v>
      </c>
      <c r="H1504" s="18" t="s">
        <v>1080</v>
      </c>
      <c r="I1504" s="315">
        <v>130.78297912083073</v>
      </c>
      <c r="J1504" s="315">
        <v>9.4914697119901422E-4</v>
      </c>
      <c r="K1504" s="316" t="str">
        <f t="shared" si="40"/>
        <v>Agricultural Equipment</v>
      </c>
      <c r="L1504" s="316" t="str">
        <f t="shared" si="41"/>
        <v>Diesel</v>
      </c>
      <c r="M1504" s="194"/>
      <c r="N1504" s="317"/>
      <c r="O1504" s="317"/>
      <c r="P1504" s="317"/>
      <c r="Q1504" s="317"/>
      <c r="R1504" s="317"/>
      <c r="S1504" s="317"/>
      <c r="T1504" s="317"/>
      <c r="U1504" s="317"/>
      <c r="V1504" s="317"/>
      <c r="W1504" s="317"/>
      <c r="X1504" s="317"/>
      <c r="Y1504" s="317"/>
      <c r="Z1504" s="317"/>
    </row>
    <row r="1505" spans="1:26" x14ac:dyDescent="0.25">
      <c r="A1505" s="314"/>
      <c r="B1505" s="18">
        <v>2023</v>
      </c>
      <c r="C1505" s="18" t="s">
        <v>778</v>
      </c>
      <c r="D1505" s="18" t="s">
        <v>866</v>
      </c>
      <c r="E1505" s="18" t="s">
        <v>713</v>
      </c>
      <c r="F1505" s="18" t="s">
        <v>714</v>
      </c>
      <c r="G1505" s="18" t="s">
        <v>677</v>
      </c>
      <c r="H1505" s="18" t="s">
        <v>841</v>
      </c>
      <c r="I1505" s="315">
        <v>130.5625731755585</v>
      </c>
      <c r="J1505" s="315">
        <v>3.2557111311127792E-3</v>
      </c>
      <c r="K1505" s="316" t="str">
        <f t="shared" si="40"/>
        <v>Commercial Equipment</v>
      </c>
      <c r="L1505" s="316" t="str">
        <f t="shared" si="41"/>
        <v>Diesel</v>
      </c>
      <c r="M1505" s="194"/>
      <c r="N1505" s="317"/>
      <c r="O1505" s="317"/>
      <c r="P1505" s="317"/>
      <c r="Q1505" s="317"/>
      <c r="R1505" s="317"/>
      <c r="S1505" s="317"/>
      <c r="T1505" s="317"/>
      <c r="U1505" s="317"/>
      <c r="V1505" s="317"/>
      <c r="W1505" s="317"/>
      <c r="X1505" s="317"/>
      <c r="Y1505" s="317"/>
      <c r="Z1505" s="317"/>
    </row>
    <row r="1506" spans="1:26" x14ac:dyDescent="0.25">
      <c r="A1506" s="314"/>
      <c r="B1506" s="18">
        <v>2023</v>
      </c>
      <c r="C1506" s="18" t="s">
        <v>810</v>
      </c>
      <c r="D1506" s="18" t="s">
        <v>801</v>
      </c>
      <c r="E1506" s="18" t="s">
        <v>713</v>
      </c>
      <c r="F1506" s="18" t="s">
        <v>714</v>
      </c>
      <c r="G1506" s="18" t="s">
        <v>675</v>
      </c>
      <c r="H1506" s="18" t="s">
        <v>802</v>
      </c>
      <c r="I1506" s="315">
        <v>130.01530096284466</v>
      </c>
      <c r="J1506" s="315">
        <v>8.6607153899699834E-4</v>
      </c>
      <c r="K1506" s="316" t="str">
        <f t="shared" si="40"/>
        <v>Industrial Equipment</v>
      </c>
      <c r="L1506" s="316" t="str">
        <f t="shared" si="41"/>
        <v>Diesel</v>
      </c>
      <c r="M1506" s="194"/>
      <c r="N1506" s="317"/>
      <c r="O1506" s="317"/>
      <c r="P1506" s="317"/>
      <c r="Q1506" s="317"/>
      <c r="R1506" s="317"/>
      <c r="S1506" s="317"/>
      <c r="T1506" s="317"/>
      <c r="U1506" s="317"/>
      <c r="V1506" s="317"/>
      <c r="W1506" s="317"/>
      <c r="X1506" s="317"/>
      <c r="Y1506" s="317"/>
      <c r="Z1506" s="317"/>
    </row>
    <row r="1507" spans="1:26" x14ac:dyDescent="0.25">
      <c r="A1507" s="314"/>
      <c r="B1507" s="18">
        <v>2023</v>
      </c>
      <c r="C1507" s="18" t="s">
        <v>762</v>
      </c>
      <c r="D1507" s="18" t="s">
        <v>982</v>
      </c>
      <c r="E1507" s="18" t="s">
        <v>703</v>
      </c>
      <c r="F1507" s="18" t="s">
        <v>805</v>
      </c>
      <c r="G1507" s="18" t="s">
        <v>679</v>
      </c>
      <c r="H1507" s="18" t="s">
        <v>983</v>
      </c>
      <c r="I1507" s="315">
        <v>129.82919774422132</v>
      </c>
      <c r="J1507" s="315">
        <v>0.39839921518746557</v>
      </c>
      <c r="K1507" s="316" t="str">
        <f t="shared" si="40"/>
        <v>Recreational Equipment</v>
      </c>
      <c r="L1507" s="316" t="str">
        <f t="shared" si="41"/>
        <v>Gasoline</v>
      </c>
      <c r="M1507" s="194"/>
      <c r="N1507" s="317"/>
      <c r="O1507" s="317"/>
      <c r="P1507" s="317"/>
      <c r="Q1507" s="317"/>
      <c r="R1507" s="317"/>
      <c r="S1507" s="317"/>
      <c r="T1507" s="317"/>
      <c r="U1507" s="317"/>
      <c r="V1507" s="317"/>
      <c r="W1507" s="317"/>
      <c r="X1507" s="317"/>
      <c r="Y1507" s="317"/>
      <c r="Z1507" s="317"/>
    </row>
    <row r="1508" spans="1:26" x14ac:dyDescent="0.25">
      <c r="A1508" s="314"/>
      <c r="B1508" s="18">
        <v>2023</v>
      </c>
      <c r="C1508" s="18" t="s">
        <v>750</v>
      </c>
      <c r="D1508" s="18" t="s">
        <v>982</v>
      </c>
      <c r="E1508" s="18" t="s">
        <v>703</v>
      </c>
      <c r="F1508" s="18" t="s">
        <v>805</v>
      </c>
      <c r="G1508" s="18" t="s">
        <v>679</v>
      </c>
      <c r="H1508" s="18" t="s">
        <v>983</v>
      </c>
      <c r="I1508" s="315">
        <v>129.82919774422132</v>
      </c>
      <c r="J1508" s="315">
        <v>0.39839921518746557</v>
      </c>
      <c r="K1508" s="316" t="str">
        <f t="shared" si="40"/>
        <v>Recreational Equipment</v>
      </c>
      <c r="L1508" s="316" t="str">
        <f t="shared" si="41"/>
        <v>Gasoline</v>
      </c>
      <c r="M1508" s="194"/>
      <c r="N1508" s="317"/>
      <c r="O1508" s="317"/>
      <c r="P1508" s="317"/>
      <c r="Q1508" s="317"/>
      <c r="R1508" s="317"/>
      <c r="S1508" s="317"/>
      <c r="T1508" s="317"/>
      <c r="U1508" s="317"/>
      <c r="V1508" s="317"/>
      <c r="W1508" s="317"/>
      <c r="X1508" s="317"/>
      <c r="Y1508" s="317"/>
      <c r="Z1508" s="317"/>
    </row>
    <row r="1509" spans="1:26" x14ac:dyDescent="0.25">
      <c r="A1509" s="314"/>
      <c r="B1509" s="18">
        <v>2023</v>
      </c>
      <c r="C1509" s="18" t="s">
        <v>743</v>
      </c>
      <c r="D1509" s="18" t="s">
        <v>867</v>
      </c>
      <c r="E1509" s="18" t="s">
        <v>713</v>
      </c>
      <c r="F1509" s="18" t="s">
        <v>714</v>
      </c>
      <c r="G1509" s="18" t="s">
        <v>673</v>
      </c>
      <c r="H1509" s="18" t="s">
        <v>724</v>
      </c>
      <c r="I1509" s="315">
        <v>129.05286702374147</v>
      </c>
      <c r="J1509" s="315">
        <v>6.6415243022361747E-3</v>
      </c>
      <c r="K1509" s="316" t="str">
        <f t="shared" si="40"/>
        <v>Lawn and Garden Equipment</v>
      </c>
      <c r="L1509" s="316" t="str">
        <f t="shared" si="41"/>
        <v>Diesel</v>
      </c>
      <c r="M1509" s="194"/>
      <c r="N1509" s="317"/>
      <c r="O1509" s="317"/>
      <c r="P1509" s="317"/>
      <c r="Q1509" s="317"/>
      <c r="R1509" s="317"/>
      <c r="S1509" s="317"/>
      <c r="T1509" s="317"/>
      <c r="U1509" s="317"/>
      <c r="V1509" s="317"/>
      <c r="W1509" s="317"/>
      <c r="X1509" s="317"/>
      <c r="Y1509" s="317"/>
      <c r="Z1509" s="317"/>
    </row>
    <row r="1510" spans="1:26" x14ac:dyDescent="0.25">
      <c r="A1510" s="314"/>
      <c r="B1510" s="18">
        <v>2023</v>
      </c>
      <c r="C1510" s="18" t="s">
        <v>710</v>
      </c>
      <c r="D1510" s="18" t="s">
        <v>1037</v>
      </c>
      <c r="E1510" s="18" t="s">
        <v>56</v>
      </c>
      <c r="F1510" s="18" t="s">
        <v>672</v>
      </c>
      <c r="G1510" s="18" t="s">
        <v>677</v>
      </c>
      <c r="H1510" s="18" t="s">
        <v>841</v>
      </c>
      <c r="I1510" s="315">
        <v>128.83102178283997</v>
      </c>
      <c r="J1510" s="315">
        <v>1.304122463331584E-2</v>
      </c>
      <c r="K1510" s="316" t="str">
        <f t="shared" si="40"/>
        <v>Commercial Equipment</v>
      </c>
      <c r="L1510" s="316" t="str">
        <f t="shared" si="41"/>
        <v>LPG</v>
      </c>
      <c r="M1510" s="194"/>
      <c r="N1510" s="317"/>
      <c r="O1510" s="317"/>
      <c r="P1510" s="317"/>
      <c r="Q1510" s="317"/>
      <c r="R1510" s="317"/>
      <c r="S1510" s="317"/>
      <c r="T1510" s="317"/>
      <c r="U1510" s="317"/>
      <c r="V1510" s="317"/>
      <c r="W1510" s="317"/>
      <c r="X1510" s="317"/>
      <c r="Y1510" s="317"/>
      <c r="Z1510" s="317"/>
    </row>
    <row r="1511" spans="1:26" x14ac:dyDescent="0.25">
      <c r="A1511" s="314"/>
      <c r="B1511" s="18">
        <v>2023</v>
      </c>
      <c r="C1511" s="18" t="s">
        <v>701</v>
      </c>
      <c r="D1511" s="18" t="s">
        <v>1035</v>
      </c>
      <c r="E1511" s="18" t="s">
        <v>703</v>
      </c>
      <c r="F1511" s="18" t="s">
        <v>704</v>
      </c>
      <c r="G1511" s="18" t="s">
        <v>674</v>
      </c>
      <c r="H1511" s="18" t="s">
        <v>1036</v>
      </c>
      <c r="I1511" s="315">
        <v>128.74961939946212</v>
      </c>
      <c r="J1511" s="315">
        <v>9.1121952019603283E-2</v>
      </c>
      <c r="K1511" s="316" t="str">
        <f t="shared" si="40"/>
        <v>Construction and Mining Equipment</v>
      </c>
      <c r="L1511" s="316" t="str">
        <f t="shared" si="41"/>
        <v>Gasoline</v>
      </c>
      <c r="M1511" s="194"/>
      <c r="N1511" s="317"/>
      <c r="O1511" s="317"/>
      <c r="P1511" s="317"/>
      <c r="Q1511" s="317"/>
      <c r="R1511" s="317"/>
      <c r="S1511" s="317"/>
      <c r="T1511" s="317"/>
      <c r="U1511" s="317"/>
      <c r="V1511" s="317"/>
      <c r="W1511" s="317"/>
      <c r="X1511" s="317"/>
      <c r="Y1511" s="317"/>
      <c r="Z1511" s="317"/>
    </row>
    <row r="1512" spans="1:26" x14ac:dyDescent="0.25">
      <c r="A1512" s="314"/>
      <c r="B1512" s="18">
        <v>2023</v>
      </c>
      <c r="C1512" s="18" t="s">
        <v>760</v>
      </c>
      <c r="D1512" s="18" t="s">
        <v>984</v>
      </c>
      <c r="E1512" s="18" t="s">
        <v>703</v>
      </c>
      <c r="F1512" s="18" t="s">
        <v>704</v>
      </c>
      <c r="G1512" s="18" t="s">
        <v>673</v>
      </c>
      <c r="H1512" s="18" t="s">
        <v>985</v>
      </c>
      <c r="I1512" s="315">
        <v>128.57120531894091</v>
      </c>
      <c r="J1512" s="315">
        <v>8.7388890135651001E-2</v>
      </c>
      <c r="K1512" s="316" t="str">
        <f t="shared" si="40"/>
        <v>Lawn and Garden Equipment</v>
      </c>
      <c r="L1512" s="316" t="str">
        <f t="shared" si="41"/>
        <v>Gasoline</v>
      </c>
      <c r="M1512" s="194"/>
      <c r="N1512" s="317"/>
      <c r="O1512" s="317"/>
      <c r="P1512" s="317"/>
      <c r="Q1512" s="317"/>
      <c r="R1512" s="317"/>
      <c r="S1512" s="317"/>
      <c r="T1512" s="317"/>
      <c r="U1512" s="317"/>
      <c r="V1512" s="317"/>
      <c r="W1512" s="317"/>
      <c r="X1512" s="317"/>
      <c r="Y1512" s="317"/>
      <c r="Z1512" s="317"/>
    </row>
    <row r="1513" spans="1:26" x14ac:dyDescent="0.25">
      <c r="A1513" s="314"/>
      <c r="B1513" s="18">
        <v>2023</v>
      </c>
      <c r="C1513" s="18" t="s">
        <v>722</v>
      </c>
      <c r="D1513" s="18" t="s">
        <v>986</v>
      </c>
      <c r="E1513" s="18" t="s">
        <v>703</v>
      </c>
      <c r="F1513" s="18" t="s">
        <v>704</v>
      </c>
      <c r="G1513" s="18" t="s">
        <v>673</v>
      </c>
      <c r="H1513" s="18" t="s">
        <v>987</v>
      </c>
      <c r="I1513" s="315">
        <v>128.14513125742312</v>
      </c>
      <c r="J1513" s="315">
        <v>8.7812082591744028E-2</v>
      </c>
      <c r="K1513" s="316" t="str">
        <f t="shared" si="40"/>
        <v>Lawn and Garden Equipment</v>
      </c>
      <c r="L1513" s="316" t="str">
        <f t="shared" si="41"/>
        <v>Gasoline</v>
      </c>
      <c r="M1513" s="194"/>
      <c r="N1513" s="317"/>
      <c r="O1513" s="317"/>
      <c r="P1513" s="317"/>
      <c r="Q1513" s="317"/>
      <c r="R1513" s="317"/>
      <c r="S1513" s="317"/>
      <c r="T1513" s="317"/>
      <c r="U1513" s="317"/>
      <c r="V1513" s="317"/>
      <c r="W1513" s="317"/>
      <c r="X1513" s="317"/>
      <c r="Y1513" s="317"/>
      <c r="Z1513" s="317"/>
    </row>
    <row r="1514" spans="1:26" x14ac:dyDescent="0.25">
      <c r="A1514" s="314"/>
      <c r="B1514" s="18">
        <v>2023</v>
      </c>
      <c r="C1514" s="18" t="s">
        <v>760</v>
      </c>
      <c r="D1514" s="18" t="s">
        <v>979</v>
      </c>
      <c r="E1514" s="18" t="s">
        <v>703</v>
      </c>
      <c r="F1514" s="18" t="s">
        <v>704</v>
      </c>
      <c r="G1514" s="18" t="s">
        <v>675</v>
      </c>
      <c r="H1514" s="18" t="s">
        <v>802</v>
      </c>
      <c r="I1514" s="315">
        <v>127.90240056286662</v>
      </c>
      <c r="J1514" s="315">
        <v>4.612546508065142E-2</v>
      </c>
      <c r="K1514" s="316" t="str">
        <f t="shared" si="40"/>
        <v>Industrial Equipment</v>
      </c>
      <c r="L1514" s="316" t="str">
        <f t="shared" si="41"/>
        <v>Gasoline</v>
      </c>
      <c r="M1514" s="194"/>
      <c r="N1514" s="317"/>
      <c r="O1514" s="317"/>
      <c r="P1514" s="317"/>
      <c r="Q1514" s="317"/>
      <c r="R1514" s="317"/>
      <c r="S1514" s="317"/>
      <c r="T1514" s="317"/>
      <c r="U1514" s="317"/>
      <c r="V1514" s="317"/>
      <c r="W1514" s="317"/>
      <c r="X1514" s="317"/>
      <c r="Y1514" s="317"/>
      <c r="Z1514" s="317"/>
    </row>
    <row r="1515" spans="1:26" x14ac:dyDescent="0.25">
      <c r="A1515" s="314"/>
      <c r="B1515" s="18">
        <v>2023</v>
      </c>
      <c r="C1515" s="18" t="s">
        <v>711</v>
      </c>
      <c r="D1515" s="18" t="s">
        <v>1022</v>
      </c>
      <c r="E1515" s="18" t="s">
        <v>703</v>
      </c>
      <c r="F1515" s="18" t="s">
        <v>704</v>
      </c>
      <c r="G1515" s="18" t="s">
        <v>675</v>
      </c>
      <c r="H1515" s="18" t="s">
        <v>772</v>
      </c>
      <c r="I1515" s="315">
        <v>127.6880021152031</v>
      </c>
      <c r="J1515" s="315">
        <v>9.003306949310232E-3</v>
      </c>
      <c r="K1515" s="316" t="str">
        <f t="shared" si="40"/>
        <v>Industrial Equipment</v>
      </c>
      <c r="L1515" s="316" t="str">
        <f t="shared" si="41"/>
        <v>Gasoline</v>
      </c>
      <c r="M1515" s="194"/>
      <c r="N1515" s="317"/>
      <c r="O1515" s="317"/>
      <c r="P1515" s="317"/>
      <c r="Q1515" s="317"/>
      <c r="R1515" s="317"/>
      <c r="S1515" s="317"/>
      <c r="T1515" s="317"/>
      <c r="U1515" s="317"/>
      <c r="V1515" s="317"/>
      <c r="W1515" s="317"/>
      <c r="X1515" s="317"/>
      <c r="Y1515" s="317"/>
      <c r="Z1515" s="317"/>
    </row>
    <row r="1516" spans="1:26" x14ac:dyDescent="0.25">
      <c r="A1516" s="314"/>
      <c r="B1516" s="18">
        <v>2023</v>
      </c>
      <c r="C1516" s="18" t="s">
        <v>731</v>
      </c>
      <c r="D1516" s="18" t="s">
        <v>776</v>
      </c>
      <c r="E1516" s="18" t="s">
        <v>713</v>
      </c>
      <c r="F1516" s="18" t="s">
        <v>714</v>
      </c>
      <c r="G1516" s="18" t="s">
        <v>674</v>
      </c>
      <c r="H1516" s="18" t="s">
        <v>777</v>
      </c>
      <c r="I1516" s="315">
        <v>126.63661758684344</v>
      </c>
      <c r="J1516" s="315">
        <v>5.0367501421661582E-4</v>
      </c>
      <c r="K1516" s="316" t="str">
        <f t="shared" si="40"/>
        <v>Construction and Mining Equipment</v>
      </c>
      <c r="L1516" s="316" t="str">
        <f t="shared" si="41"/>
        <v>Diesel</v>
      </c>
      <c r="M1516" s="194"/>
      <c r="N1516" s="317"/>
      <c r="O1516" s="317"/>
      <c r="P1516" s="317"/>
      <c r="Q1516" s="317"/>
      <c r="R1516" s="317"/>
      <c r="S1516" s="317"/>
      <c r="T1516" s="317"/>
      <c r="U1516" s="317"/>
      <c r="V1516" s="317"/>
      <c r="W1516" s="317"/>
      <c r="X1516" s="317"/>
      <c r="Y1516" s="317"/>
      <c r="Z1516" s="317"/>
    </row>
    <row r="1517" spans="1:26" x14ac:dyDescent="0.25">
      <c r="A1517" s="314"/>
      <c r="B1517" s="18">
        <v>2023</v>
      </c>
      <c r="C1517" s="18" t="s">
        <v>753</v>
      </c>
      <c r="D1517" s="18" t="s">
        <v>849</v>
      </c>
      <c r="E1517" s="18" t="s">
        <v>713</v>
      </c>
      <c r="F1517" s="18" t="s">
        <v>714</v>
      </c>
      <c r="G1517" s="18" t="s">
        <v>674</v>
      </c>
      <c r="H1517" s="18" t="s">
        <v>850</v>
      </c>
      <c r="I1517" s="315">
        <v>126.6160308208006</v>
      </c>
      <c r="J1517" s="315">
        <v>1.7688972189960227E-3</v>
      </c>
      <c r="K1517" s="316" t="str">
        <f t="shared" si="40"/>
        <v>Construction and Mining Equipment</v>
      </c>
      <c r="L1517" s="316" t="str">
        <f t="shared" si="41"/>
        <v>Diesel</v>
      </c>
      <c r="M1517" s="194"/>
      <c r="N1517" s="317"/>
      <c r="O1517" s="317"/>
      <c r="P1517" s="317"/>
      <c r="Q1517" s="317"/>
      <c r="R1517" s="317"/>
      <c r="S1517" s="317"/>
      <c r="T1517" s="317"/>
      <c r="U1517" s="317"/>
      <c r="V1517" s="317"/>
      <c r="W1517" s="317"/>
      <c r="X1517" s="317"/>
      <c r="Y1517" s="317"/>
      <c r="Z1517" s="317"/>
    </row>
    <row r="1518" spans="1:26" x14ac:dyDescent="0.25">
      <c r="A1518" s="314"/>
      <c r="B1518" s="18">
        <v>2023</v>
      </c>
      <c r="C1518" s="18" t="s">
        <v>709</v>
      </c>
      <c r="D1518" s="18" t="s">
        <v>1071</v>
      </c>
      <c r="E1518" s="18" t="s">
        <v>713</v>
      </c>
      <c r="F1518" s="18" t="s">
        <v>714</v>
      </c>
      <c r="G1518" s="18" t="s">
        <v>674</v>
      </c>
      <c r="H1518" s="18" t="s">
        <v>1072</v>
      </c>
      <c r="I1518" s="315">
        <v>126.48880094698244</v>
      </c>
      <c r="J1518" s="315">
        <v>1.6936012256503709E-3</v>
      </c>
      <c r="K1518" s="316" t="str">
        <f t="shared" si="40"/>
        <v>Construction and Mining Equipment</v>
      </c>
      <c r="L1518" s="316" t="str">
        <f t="shared" si="41"/>
        <v>Diesel</v>
      </c>
      <c r="M1518" s="194"/>
      <c r="N1518" s="317"/>
      <c r="O1518" s="317"/>
      <c r="P1518" s="317"/>
      <c r="Q1518" s="317"/>
      <c r="R1518" s="317"/>
      <c r="S1518" s="317"/>
      <c r="T1518" s="317"/>
      <c r="U1518" s="317"/>
      <c r="V1518" s="317"/>
      <c r="W1518" s="317"/>
      <c r="X1518" s="317"/>
      <c r="Y1518" s="317"/>
      <c r="Z1518" s="317"/>
    </row>
    <row r="1519" spans="1:26" x14ac:dyDescent="0.25">
      <c r="A1519" s="314"/>
      <c r="B1519" s="18">
        <v>2023</v>
      </c>
      <c r="C1519" s="18" t="s">
        <v>792</v>
      </c>
      <c r="D1519" s="18" t="s">
        <v>779</v>
      </c>
      <c r="E1519" s="18" t="s">
        <v>713</v>
      </c>
      <c r="F1519" s="18" t="s">
        <v>714</v>
      </c>
      <c r="G1519" s="18" t="s">
        <v>674</v>
      </c>
      <c r="H1519" s="18" t="s">
        <v>780</v>
      </c>
      <c r="I1519" s="315">
        <v>126.45560925109918</v>
      </c>
      <c r="J1519" s="315">
        <v>4.1185972055481838E-4</v>
      </c>
      <c r="K1519" s="316" t="str">
        <f t="shared" si="40"/>
        <v>Construction and Mining Equipment</v>
      </c>
      <c r="L1519" s="316" t="str">
        <f t="shared" si="41"/>
        <v>Diesel</v>
      </c>
      <c r="M1519" s="194"/>
      <c r="N1519" s="317"/>
      <c r="O1519" s="317"/>
      <c r="P1519" s="317"/>
      <c r="Q1519" s="317"/>
      <c r="R1519" s="317"/>
      <c r="S1519" s="317"/>
      <c r="T1519" s="317"/>
      <c r="U1519" s="317"/>
      <c r="V1519" s="317"/>
      <c r="W1519" s="317"/>
      <c r="X1519" s="317"/>
      <c r="Y1519" s="317"/>
      <c r="Z1519" s="317"/>
    </row>
    <row r="1520" spans="1:26" x14ac:dyDescent="0.25">
      <c r="A1520" s="314"/>
      <c r="B1520" s="18">
        <v>2023</v>
      </c>
      <c r="C1520" s="18" t="s">
        <v>778</v>
      </c>
      <c r="D1520" s="18" t="s">
        <v>830</v>
      </c>
      <c r="E1520" s="18" t="s">
        <v>703</v>
      </c>
      <c r="F1520" s="18" t="s">
        <v>704</v>
      </c>
      <c r="G1520" s="18" t="s">
        <v>673</v>
      </c>
      <c r="H1520" s="18" t="s">
        <v>742</v>
      </c>
      <c r="I1520" s="315">
        <v>126.27741049159125</v>
      </c>
      <c r="J1520" s="315">
        <v>5.4937793786414703E-2</v>
      </c>
      <c r="K1520" s="316" t="str">
        <f t="shared" si="40"/>
        <v>Lawn and Garden Equipment</v>
      </c>
      <c r="L1520" s="316" t="str">
        <f t="shared" si="41"/>
        <v>Gasoline</v>
      </c>
      <c r="M1520" s="194"/>
      <c r="N1520" s="317"/>
      <c r="O1520" s="317"/>
      <c r="P1520" s="317"/>
      <c r="Q1520" s="317"/>
      <c r="R1520" s="317"/>
      <c r="S1520" s="317"/>
      <c r="T1520" s="317"/>
      <c r="U1520" s="317"/>
      <c r="V1520" s="317"/>
      <c r="W1520" s="317"/>
      <c r="X1520" s="317"/>
      <c r="Y1520" s="317"/>
      <c r="Z1520" s="317"/>
    </row>
    <row r="1521" spans="1:26" x14ac:dyDescent="0.25">
      <c r="A1521" s="314"/>
      <c r="B1521" s="18">
        <v>2023</v>
      </c>
      <c r="C1521" s="18" t="s">
        <v>786</v>
      </c>
      <c r="D1521" s="18" t="s">
        <v>776</v>
      </c>
      <c r="E1521" s="18" t="s">
        <v>713</v>
      </c>
      <c r="F1521" s="18" t="s">
        <v>714</v>
      </c>
      <c r="G1521" s="18" t="s">
        <v>674</v>
      </c>
      <c r="H1521" s="18" t="s">
        <v>777</v>
      </c>
      <c r="I1521" s="315">
        <v>125.77415819406309</v>
      </c>
      <c r="J1521" s="315">
        <v>5.0024484554213777E-4</v>
      </c>
      <c r="K1521" s="316" t="str">
        <f t="shared" si="40"/>
        <v>Construction and Mining Equipment</v>
      </c>
      <c r="L1521" s="316" t="str">
        <f t="shared" si="41"/>
        <v>Diesel</v>
      </c>
      <c r="M1521" s="194"/>
      <c r="N1521" s="317"/>
      <c r="O1521" s="317"/>
      <c r="P1521" s="317"/>
      <c r="Q1521" s="317"/>
      <c r="R1521" s="317"/>
      <c r="S1521" s="317"/>
      <c r="T1521" s="317"/>
      <c r="U1521" s="317"/>
      <c r="V1521" s="317"/>
      <c r="W1521" s="317"/>
      <c r="X1521" s="317"/>
      <c r="Y1521" s="317"/>
      <c r="Z1521" s="317"/>
    </row>
    <row r="1522" spans="1:26" x14ac:dyDescent="0.25">
      <c r="A1522" s="314"/>
      <c r="B1522" s="18">
        <v>2023</v>
      </c>
      <c r="C1522" s="18" t="s">
        <v>722</v>
      </c>
      <c r="D1522" s="18" t="s">
        <v>1030</v>
      </c>
      <c r="E1522" s="18" t="s">
        <v>703</v>
      </c>
      <c r="F1522" s="18" t="s">
        <v>704</v>
      </c>
      <c r="G1522" s="18" t="s">
        <v>677</v>
      </c>
      <c r="H1522" s="18" t="s">
        <v>1031</v>
      </c>
      <c r="I1522" s="315">
        <v>125.49402561599526</v>
      </c>
      <c r="J1522" s="315">
        <v>8.7286513376327368E-2</v>
      </c>
      <c r="K1522" s="316" t="str">
        <f t="shared" si="40"/>
        <v>Commercial Equipment</v>
      </c>
      <c r="L1522" s="316" t="str">
        <f t="shared" si="41"/>
        <v>Gasoline</v>
      </c>
      <c r="M1522" s="194"/>
      <c r="N1522" s="317"/>
      <c r="O1522" s="317"/>
      <c r="P1522" s="317"/>
      <c r="Q1522" s="317"/>
      <c r="R1522" s="317"/>
      <c r="S1522" s="317"/>
      <c r="T1522" s="317"/>
      <c r="U1522" s="317"/>
      <c r="V1522" s="317"/>
      <c r="W1522" s="317"/>
      <c r="X1522" s="317"/>
      <c r="Y1522" s="317"/>
      <c r="Z1522" s="317"/>
    </row>
    <row r="1523" spans="1:26" ht="12.75" x14ac:dyDescent="0.2">
      <c r="A1523" s="230"/>
      <c r="B1523" s="18">
        <v>2023</v>
      </c>
      <c r="C1523" s="18" t="s">
        <v>792</v>
      </c>
      <c r="D1523" s="18" t="s">
        <v>782</v>
      </c>
      <c r="E1523" s="18" t="s">
        <v>713</v>
      </c>
      <c r="F1523" s="18" t="s">
        <v>714</v>
      </c>
      <c r="G1523" s="18" t="s">
        <v>674</v>
      </c>
      <c r="H1523" s="18" t="s">
        <v>783</v>
      </c>
      <c r="I1523" s="315">
        <v>125.42256718295327</v>
      </c>
      <c r="J1523" s="315">
        <v>1.1907053263647133E-3</v>
      </c>
      <c r="K1523" s="316" t="str">
        <f t="shared" si="40"/>
        <v>Construction and Mining Equipment</v>
      </c>
      <c r="L1523" s="316" t="str">
        <f t="shared" si="41"/>
        <v>Diesel</v>
      </c>
      <c r="M1523" s="8"/>
      <c r="N1523" s="2"/>
      <c r="O1523" s="2"/>
      <c r="P1523" s="2"/>
      <c r="Q1523" s="2"/>
      <c r="R1523" s="2"/>
      <c r="S1523" s="2"/>
      <c r="T1523" s="2"/>
      <c r="U1523" s="2"/>
      <c r="V1523" s="2"/>
      <c r="W1523" s="2"/>
      <c r="X1523" s="2"/>
      <c r="Y1523" s="2"/>
      <c r="Z1523" s="2"/>
    </row>
    <row r="1524" spans="1:26" x14ac:dyDescent="0.25">
      <c r="A1524" s="314"/>
      <c r="B1524" s="18">
        <v>2023</v>
      </c>
      <c r="C1524" s="18" t="s">
        <v>711</v>
      </c>
      <c r="D1524" s="18" t="s">
        <v>1014</v>
      </c>
      <c r="E1524" s="18" t="s">
        <v>713</v>
      </c>
      <c r="F1524" s="18" t="s">
        <v>714</v>
      </c>
      <c r="G1524" s="18" t="s">
        <v>674</v>
      </c>
      <c r="H1524" s="18" t="s">
        <v>994</v>
      </c>
      <c r="I1524" s="315">
        <v>124.88451580435533</v>
      </c>
      <c r="J1524" s="315">
        <v>1.6267579061403584E-3</v>
      </c>
      <c r="K1524" s="316" t="str">
        <f t="shared" si="40"/>
        <v>Construction and Mining Equipment</v>
      </c>
      <c r="L1524" s="316" t="str">
        <f t="shared" si="41"/>
        <v>Diesel</v>
      </c>
      <c r="M1524" s="194"/>
      <c r="N1524" s="317"/>
      <c r="O1524" s="317"/>
      <c r="P1524" s="317"/>
      <c r="Q1524" s="317"/>
      <c r="R1524" s="317"/>
      <c r="S1524" s="317"/>
      <c r="T1524" s="317"/>
      <c r="U1524" s="317"/>
      <c r="V1524" s="317"/>
      <c r="W1524" s="317"/>
      <c r="X1524" s="317"/>
      <c r="Y1524" s="317"/>
      <c r="Z1524" s="317"/>
    </row>
    <row r="1525" spans="1:26" x14ac:dyDescent="0.25">
      <c r="A1525" s="314"/>
      <c r="B1525" s="18">
        <v>2023</v>
      </c>
      <c r="C1525" s="18" t="s">
        <v>787</v>
      </c>
      <c r="D1525" s="18" t="s">
        <v>767</v>
      </c>
      <c r="E1525" s="18" t="s">
        <v>703</v>
      </c>
      <c r="F1525" s="18" t="s">
        <v>704</v>
      </c>
      <c r="G1525" s="18" t="s">
        <v>673</v>
      </c>
      <c r="H1525" s="18" t="s">
        <v>768</v>
      </c>
      <c r="I1525" s="315">
        <v>123.98574976477505</v>
      </c>
      <c r="J1525" s="315">
        <v>8.6326073947193063E-2</v>
      </c>
      <c r="K1525" s="316" t="str">
        <f t="shared" si="40"/>
        <v>Lawn and Garden Equipment</v>
      </c>
      <c r="L1525" s="316" t="str">
        <f t="shared" si="41"/>
        <v>Gasoline</v>
      </c>
      <c r="M1525" s="194"/>
      <c r="N1525" s="317"/>
      <c r="O1525" s="317"/>
      <c r="P1525" s="317"/>
      <c r="Q1525" s="317"/>
      <c r="R1525" s="317"/>
      <c r="S1525" s="317"/>
      <c r="T1525" s="317"/>
      <c r="U1525" s="317"/>
      <c r="V1525" s="317"/>
      <c r="W1525" s="317"/>
      <c r="X1525" s="317"/>
      <c r="Y1525" s="317"/>
      <c r="Z1525" s="317"/>
    </row>
    <row r="1526" spans="1:26" x14ac:dyDescent="0.25">
      <c r="A1526" s="314"/>
      <c r="B1526" s="18">
        <v>2023</v>
      </c>
      <c r="C1526" s="18" t="s">
        <v>781</v>
      </c>
      <c r="D1526" s="18" t="s">
        <v>784</v>
      </c>
      <c r="E1526" s="18" t="s">
        <v>713</v>
      </c>
      <c r="F1526" s="18" t="s">
        <v>714</v>
      </c>
      <c r="G1526" s="18" t="s">
        <v>677</v>
      </c>
      <c r="H1526" s="18" t="s">
        <v>785</v>
      </c>
      <c r="I1526" s="315">
        <v>123.88575561797921</v>
      </c>
      <c r="J1526" s="315">
        <v>1.7557109677968374E-3</v>
      </c>
      <c r="K1526" s="316" t="str">
        <f t="shared" si="40"/>
        <v>Commercial Equipment</v>
      </c>
      <c r="L1526" s="316" t="str">
        <f t="shared" si="41"/>
        <v>Diesel</v>
      </c>
      <c r="M1526" s="194"/>
      <c r="N1526" s="317"/>
      <c r="O1526" s="317"/>
      <c r="P1526" s="317"/>
      <c r="Q1526" s="317"/>
      <c r="R1526" s="317"/>
      <c r="S1526" s="317"/>
      <c r="T1526" s="317"/>
      <c r="U1526" s="317"/>
      <c r="V1526" s="317"/>
      <c r="W1526" s="317"/>
      <c r="X1526" s="317"/>
      <c r="Y1526" s="317"/>
      <c r="Z1526" s="317"/>
    </row>
    <row r="1527" spans="1:26" x14ac:dyDescent="0.25">
      <c r="A1527" s="314"/>
      <c r="B1527" s="18">
        <v>2023</v>
      </c>
      <c r="C1527" s="18" t="s">
        <v>706</v>
      </c>
      <c r="D1527" s="18" t="s">
        <v>1081</v>
      </c>
      <c r="E1527" s="18" t="s">
        <v>703</v>
      </c>
      <c r="F1527" s="18" t="s">
        <v>805</v>
      </c>
      <c r="G1527" s="18" t="s">
        <v>674</v>
      </c>
      <c r="H1527" s="18" t="s">
        <v>1082</v>
      </c>
      <c r="I1527" s="315">
        <v>123.63566763700193</v>
      </c>
      <c r="J1527" s="315">
        <v>0.20054153988104623</v>
      </c>
      <c r="K1527" s="316" t="str">
        <f t="shared" si="40"/>
        <v>Construction and Mining Equipment</v>
      </c>
      <c r="L1527" s="316" t="str">
        <f t="shared" si="41"/>
        <v>Gasoline</v>
      </c>
      <c r="M1527" s="194"/>
      <c r="N1527" s="317"/>
      <c r="O1527" s="317"/>
      <c r="P1527" s="317"/>
      <c r="Q1527" s="317"/>
      <c r="R1527" s="317"/>
      <c r="S1527" s="317"/>
      <c r="T1527" s="317"/>
      <c r="U1527" s="317"/>
      <c r="V1527" s="317"/>
      <c r="W1527" s="317"/>
      <c r="X1527" s="317"/>
      <c r="Y1527" s="317"/>
      <c r="Z1527" s="317"/>
    </row>
    <row r="1528" spans="1:26" x14ac:dyDescent="0.25">
      <c r="A1528" s="314"/>
      <c r="B1528" s="18">
        <v>2023</v>
      </c>
      <c r="C1528" s="18" t="s">
        <v>711</v>
      </c>
      <c r="D1528" s="18" t="s">
        <v>1009</v>
      </c>
      <c r="E1528" s="18" t="s">
        <v>713</v>
      </c>
      <c r="F1528" s="18" t="s">
        <v>714</v>
      </c>
      <c r="G1528" s="18" t="s">
        <v>673</v>
      </c>
      <c r="H1528" s="18" t="s">
        <v>1010</v>
      </c>
      <c r="I1528" s="315">
        <v>123.41220929267396</v>
      </c>
      <c r="J1528" s="315">
        <v>1.8010163596788762E-3</v>
      </c>
      <c r="K1528" s="316" t="str">
        <f t="shared" si="40"/>
        <v>Lawn and Garden Equipment</v>
      </c>
      <c r="L1528" s="316" t="str">
        <f t="shared" si="41"/>
        <v>Diesel</v>
      </c>
      <c r="M1528" s="194"/>
      <c r="N1528" s="317"/>
      <c r="O1528" s="317"/>
      <c r="P1528" s="317"/>
      <c r="Q1528" s="317"/>
      <c r="R1528" s="317"/>
      <c r="S1528" s="317"/>
      <c r="T1528" s="317"/>
      <c r="U1528" s="317"/>
      <c r="V1528" s="317"/>
      <c r="W1528" s="317"/>
      <c r="X1528" s="317"/>
      <c r="Y1528" s="317"/>
      <c r="Z1528" s="317"/>
    </row>
    <row r="1529" spans="1:26" x14ac:dyDescent="0.25">
      <c r="A1529" s="314"/>
      <c r="B1529" s="18">
        <v>2023</v>
      </c>
      <c r="C1529" s="18" t="s">
        <v>773</v>
      </c>
      <c r="D1529" s="18" t="s">
        <v>803</v>
      </c>
      <c r="E1529" s="18" t="s">
        <v>703</v>
      </c>
      <c r="F1529" s="18" t="s">
        <v>805</v>
      </c>
      <c r="G1529" s="18" t="s">
        <v>673</v>
      </c>
      <c r="H1529" s="18" t="s">
        <v>806</v>
      </c>
      <c r="I1529" s="315">
        <v>123.32171762053393</v>
      </c>
      <c r="J1529" s="315">
        <v>0.24408142827887724</v>
      </c>
      <c r="K1529" s="316" t="str">
        <f t="shared" si="40"/>
        <v>Lawn and Garden Equipment</v>
      </c>
      <c r="L1529" s="316" t="str">
        <f t="shared" si="41"/>
        <v>Gasoline</v>
      </c>
      <c r="M1529" s="194"/>
      <c r="N1529" s="317"/>
      <c r="O1529" s="317"/>
      <c r="P1529" s="317"/>
      <c r="Q1529" s="317"/>
      <c r="R1529" s="317"/>
      <c r="S1529" s="317"/>
      <c r="T1529" s="317"/>
      <c r="U1529" s="317"/>
      <c r="V1529" s="317"/>
      <c r="W1529" s="317"/>
      <c r="X1529" s="317"/>
      <c r="Y1529" s="317"/>
      <c r="Z1529" s="317"/>
    </row>
    <row r="1530" spans="1:26" x14ac:dyDescent="0.25">
      <c r="A1530" s="314"/>
      <c r="B1530" s="18">
        <v>2023</v>
      </c>
      <c r="C1530" s="18" t="s">
        <v>722</v>
      </c>
      <c r="D1530" s="18" t="s">
        <v>1034</v>
      </c>
      <c r="E1530" s="18" t="s">
        <v>713</v>
      </c>
      <c r="F1530" s="18" t="s">
        <v>714</v>
      </c>
      <c r="G1530" s="18" t="s">
        <v>677</v>
      </c>
      <c r="H1530" s="18" t="s">
        <v>1031</v>
      </c>
      <c r="I1530" s="315">
        <v>123.14791141658755</v>
      </c>
      <c r="J1530" s="315">
        <v>2.1400444061645141E-3</v>
      </c>
      <c r="K1530" s="316" t="str">
        <f t="shared" si="40"/>
        <v>Commercial Equipment</v>
      </c>
      <c r="L1530" s="316" t="str">
        <f t="shared" si="41"/>
        <v>Diesel</v>
      </c>
      <c r="M1530" s="194"/>
      <c r="N1530" s="317"/>
      <c r="O1530" s="317"/>
      <c r="P1530" s="317"/>
      <c r="Q1530" s="317"/>
      <c r="R1530" s="317"/>
      <c r="S1530" s="317"/>
      <c r="T1530" s="317"/>
      <c r="U1530" s="317"/>
      <c r="V1530" s="317"/>
      <c r="W1530" s="317"/>
      <c r="X1530" s="317"/>
      <c r="Y1530" s="317"/>
      <c r="Z1530" s="317"/>
    </row>
    <row r="1531" spans="1:26" x14ac:dyDescent="0.25">
      <c r="A1531" s="314"/>
      <c r="B1531" s="18">
        <v>2023</v>
      </c>
      <c r="C1531" s="18" t="s">
        <v>732</v>
      </c>
      <c r="D1531" s="18" t="s">
        <v>997</v>
      </c>
      <c r="E1531" s="18" t="s">
        <v>56</v>
      </c>
      <c r="F1531" s="18" t="s">
        <v>672</v>
      </c>
      <c r="G1531" s="18" t="s">
        <v>675</v>
      </c>
      <c r="H1531" s="18" t="s">
        <v>969</v>
      </c>
      <c r="I1531" s="315">
        <v>122.7969167558969</v>
      </c>
      <c r="J1531" s="315">
        <v>1.5278374963125518E-2</v>
      </c>
      <c r="K1531" s="316" t="str">
        <f t="shared" si="40"/>
        <v>Industrial Equipment</v>
      </c>
      <c r="L1531" s="316" t="str">
        <f t="shared" si="41"/>
        <v>LPG</v>
      </c>
      <c r="M1531" s="194"/>
      <c r="N1531" s="317"/>
      <c r="O1531" s="317"/>
      <c r="P1531" s="317"/>
      <c r="Q1531" s="317"/>
      <c r="R1531" s="317"/>
      <c r="S1531" s="317"/>
      <c r="T1531" s="317"/>
      <c r="U1531" s="317"/>
      <c r="V1531" s="317"/>
      <c r="W1531" s="317"/>
      <c r="X1531" s="317"/>
      <c r="Y1531" s="317"/>
      <c r="Z1531" s="317"/>
    </row>
    <row r="1532" spans="1:26" x14ac:dyDescent="0.25">
      <c r="A1532" s="314"/>
      <c r="B1532" s="18">
        <v>2023</v>
      </c>
      <c r="C1532" s="18" t="s">
        <v>701</v>
      </c>
      <c r="D1532" s="18" t="s">
        <v>1051</v>
      </c>
      <c r="E1532" s="18" t="s">
        <v>703</v>
      </c>
      <c r="F1532" s="18" t="s">
        <v>704</v>
      </c>
      <c r="G1532" s="18" t="s">
        <v>674</v>
      </c>
      <c r="H1532" s="18" t="s">
        <v>783</v>
      </c>
      <c r="I1532" s="315">
        <v>121.19906470208041</v>
      </c>
      <c r="J1532" s="315">
        <v>7.3980076333158507E-2</v>
      </c>
      <c r="K1532" s="316" t="str">
        <f t="shared" si="40"/>
        <v>Construction and Mining Equipment</v>
      </c>
      <c r="L1532" s="316" t="str">
        <f t="shared" si="41"/>
        <v>Gasoline</v>
      </c>
      <c r="M1532" s="194"/>
      <c r="N1532" s="317"/>
      <c r="O1532" s="317"/>
      <c r="P1532" s="317"/>
      <c r="Q1532" s="317"/>
      <c r="R1532" s="317"/>
      <c r="S1532" s="317"/>
      <c r="T1532" s="317"/>
      <c r="U1532" s="317"/>
      <c r="V1532" s="317"/>
      <c r="W1532" s="317"/>
      <c r="X1532" s="317"/>
      <c r="Y1532" s="317"/>
      <c r="Z1532" s="317"/>
    </row>
    <row r="1533" spans="1:26" x14ac:dyDescent="0.25">
      <c r="A1533" s="314"/>
      <c r="B1533" s="18">
        <v>2023</v>
      </c>
      <c r="C1533" s="18" t="s">
        <v>722</v>
      </c>
      <c r="D1533" s="18" t="s">
        <v>1037</v>
      </c>
      <c r="E1533" s="18" t="s">
        <v>56</v>
      </c>
      <c r="F1533" s="18" t="s">
        <v>672</v>
      </c>
      <c r="G1533" s="18" t="s">
        <v>677</v>
      </c>
      <c r="H1533" s="18" t="s">
        <v>841</v>
      </c>
      <c r="I1533" s="315">
        <v>121.13351575997631</v>
      </c>
      <c r="J1533" s="315">
        <v>1.2262030312261078E-2</v>
      </c>
      <c r="K1533" s="316" t="str">
        <f t="shared" si="40"/>
        <v>Commercial Equipment</v>
      </c>
      <c r="L1533" s="316" t="str">
        <f t="shared" si="41"/>
        <v>LPG</v>
      </c>
      <c r="M1533" s="194"/>
      <c r="N1533" s="317"/>
      <c r="O1533" s="317"/>
      <c r="P1533" s="317"/>
      <c r="Q1533" s="317"/>
      <c r="R1533" s="317"/>
      <c r="S1533" s="317"/>
      <c r="T1533" s="317"/>
      <c r="U1533" s="317"/>
      <c r="V1533" s="317"/>
      <c r="W1533" s="317"/>
      <c r="X1533" s="317"/>
      <c r="Y1533" s="317"/>
      <c r="Z1533" s="317"/>
    </row>
    <row r="1534" spans="1:26" x14ac:dyDescent="0.25">
      <c r="A1534" s="314"/>
      <c r="B1534" s="18">
        <v>2023</v>
      </c>
      <c r="C1534" s="18" t="s">
        <v>792</v>
      </c>
      <c r="D1534" s="18" t="s">
        <v>1004</v>
      </c>
      <c r="E1534" s="18" t="s">
        <v>713</v>
      </c>
      <c r="F1534" s="18" t="s">
        <v>714</v>
      </c>
      <c r="G1534" s="18" t="s">
        <v>679</v>
      </c>
      <c r="H1534" s="18" t="s">
        <v>1005</v>
      </c>
      <c r="I1534" s="315">
        <v>120.83195865926933</v>
      </c>
      <c r="J1534" s="315">
        <v>4.3557064814273268E-3</v>
      </c>
      <c r="K1534" s="316" t="str">
        <f t="shared" si="40"/>
        <v>Recreational Equipment</v>
      </c>
      <c r="L1534" s="316" t="str">
        <f t="shared" si="41"/>
        <v>Diesel</v>
      </c>
      <c r="M1534" s="194"/>
      <c r="N1534" s="317"/>
      <c r="O1534" s="317"/>
      <c r="P1534" s="317"/>
      <c r="Q1534" s="317"/>
      <c r="R1534" s="317"/>
      <c r="S1534" s="317"/>
      <c r="T1534" s="317"/>
      <c r="U1534" s="317"/>
      <c r="V1534" s="317"/>
      <c r="W1534" s="317"/>
      <c r="X1534" s="317"/>
      <c r="Y1534" s="317"/>
      <c r="Z1534" s="317"/>
    </row>
    <row r="1535" spans="1:26" x14ac:dyDescent="0.25">
      <c r="A1535" s="314"/>
      <c r="B1535" s="18">
        <v>2023</v>
      </c>
      <c r="C1535" s="18" t="s">
        <v>706</v>
      </c>
      <c r="D1535" s="18" t="s">
        <v>1004</v>
      </c>
      <c r="E1535" s="18" t="s">
        <v>713</v>
      </c>
      <c r="F1535" s="18" t="s">
        <v>714</v>
      </c>
      <c r="G1535" s="18" t="s">
        <v>679</v>
      </c>
      <c r="H1535" s="18" t="s">
        <v>1005</v>
      </c>
      <c r="I1535" s="315">
        <v>120.83195865926933</v>
      </c>
      <c r="J1535" s="315">
        <v>4.3557064814273268E-3</v>
      </c>
      <c r="K1535" s="316" t="str">
        <f t="shared" si="40"/>
        <v>Recreational Equipment</v>
      </c>
      <c r="L1535" s="316" t="str">
        <f t="shared" si="41"/>
        <v>Diesel</v>
      </c>
      <c r="M1535" s="194"/>
      <c r="N1535" s="317"/>
      <c r="O1535" s="317"/>
      <c r="P1535" s="317"/>
      <c r="Q1535" s="317"/>
      <c r="R1535" s="317"/>
      <c r="S1535" s="317"/>
      <c r="T1535" s="317"/>
      <c r="U1535" s="317"/>
      <c r="V1535" s="317"/>
      <c r="W1535" s="317"/>
      <c r="X1535" s="317"/>
      <c r="Y1535" s="317"/>
      <c r="Z1535" s="317"/>
    </row>
    <row r="1536" spans="1:26" x14ac:dyDescent="0.25">
      <c r="A1536" s="314"/>
      <c r="B1536" s="18">
        <v>2023</v>
      </c>
      <c r="C1536" s="18" t="s">
        <v>781</v>
      </c>
      <c r="D1536" s="18" t="s">
        <v>1004</v>
      </c>
      <c r="E1536" s="18" t="s">
        <v>713</v>
      </c>
      <c r="F1536" s="18" t="s">
        <v>714</v>
      </c>
      <c r="G1536" s="18" t="s">
        <v>679</v>
      </c>
      <c r="H1536" s="18" t="s">
        <v>1005</v>
      </c>
      <c r="I1536" s="315">
        <v>120.83195865926933</v>
      </c>
      <c r="J1536" s="315">
        <v>4.3557064814273268E-3</v>
      </c>
      <c r="K1536" s="316" t="str">
        <f t="shared" si="40"/>
        <v>Recreational Equipment</v>
      </c>
      <c r="L1536" s="316" t="str">
        <f t="shared" si="41"/>
        <v>Diesel</v>
      </c>
      <c r="M1536" s="194"/>
      <c r="N1536" s="317"/>
      <c r="O1536" s="317"/>
      <c r="P1536" s="317"/>
      <c r="Q1536" s="317"/>
      <c r="R1536" s="317"/>
      <c r="S1536" s="317"/>
      <c r="T1536" s="317"/>
      <c r="U1536" s="317"/>
      <c r="V1536" s="317"/>
      <c r="W1536" s="317"/>
      <c r="X1536" s="317"/>
      <c r="Y1536" s="317"/>
      <c r="Z1536" s="317"/>
    </row>
    <row r="1537" spans="1:26" x14ac:dyDescent="0.25">
      <c r="A1537" s="314"/>
      <c r="B1537" s="18">
        <v>2023</v>
      </c>
      <c r="C1537" s="18" t="s">
        <v>754</v>
      </c>
      <c r="D1537" s="18" t="s">
        <v>1004</v>
      </c>
      <c r="E1537" s="18" t="s">
        <v>713</v>
      </c>
      <c r="F1537" s="18" t="s">
        <v>714</v>
      </c>
      <c r="G1537" s="18" t="s">
        <v>679</v>
      </c>
      <c r="H1537" s="18" t="s">
        <v>1005</v>
      </c>
      <c r="I1537" s="315">
        <v>120.83195865926933</v>
      </c>
      <c r="J1537" s="315">
        <v>4.3557064814273268E-3</v>
      </c>
      <c r="K1537" s="316" t="str">
        <f t="shared" si="40"/>
        <v>Recreational Equipment</v>
      </c>
      <c r="L1537" s="316" t="str">
        <f t="shared" si="41"/>
        <v>Diesel</v>
      </c>
      <c r="M1537" s="194"/>
      <c r="N1537" s="317"/>
      <c r="O1537" s="317"/>
      <c r="P1537" s="317"/>
      <c r="Q1537" s="317"/>
      <c r="R1537" s="317"/>
      <c r="S1537" s="317"/>
      <c r="T1537" s="317"/>
      <c r="U1537" s="317"/>
      <c r="V1537" s="317"/>
      <c r="W1537" s="317"/>
      <c r="X1537" s="317"/>
      <c r="Y1537" s="317"/>
      <c r="Z1537" s="317"/>
    </row>
    <row r="1538" spans="1:26" x14ac:dyDescent="0.25">
      <c r="A1538" s="314"/>
      <c r="B1538" s="18">
        <v>2023</v>
      </c>
      <c r="C1538" s="18" t="s">
        <v>778</v>
      </c>
      <c r="D1538" s="18" t="s">
        <v>1004</v>
      </c>
      <c r="E1538" s="18" t="s">
        <v>713</v>
      </c>
      <c r="F1538" s="18" t="s">
        <v>714</v>
      </c>
      <c r="G1538" s="18" t="s">
        <v>679</v>
      </c>
      <c r="H1538" s="18" t="s">
        <v>1005</v>
      </c>
      <c r="I1538" s="315">
        <v>120.83195865926933</v>
      </c>
      <c r="J1538" s="315">
        <v>4.3557064814273268E-3</v>
      </c>
      <c r="K1538" s="316" t="str">
        <f t="shared" si="40"/>
        <v>Recreational Equipment</v>
      </c>
      <c r="L1538" s="316" t="str">
        <f t="shared" si="41"/>
        <v>Diesel</v>
      </c>
      <c r="M1538" s="194"/>
      <c r="N1538" s="317"/>
      <c r="O1538" s="317"/>
      <c r="P1538" s="317"/>
      <c r="Q1538" s="317"/>
      <c r="R1538" s="317"/>
      <c r="S1538" s="317"/>
      <c r="T1538" s="317"/>
      <c r="U1538" s="317"/>
      <c r="V1538" s="317"/>
      <c r="W1538" s="317"/>
      <c r="X1538" s="317"/>
      <c r="Y1538" s="317"/>
      <c r="Z1538" s="317"/>
    </row>
    <row r="1539" spans="1:26" x14ac:dyDescent="0.25">
      <c r="A1539" s="314"/>
      <c r="B1539" s="18">
        <v>2023</v>
      </c>
      <c r="C1539" s="18" t="s">
        <v>732</v>
      </c>
      <c r="D1539" s="18" t="s">
        <v>1004</v>
      </c>
      <c r="E1539" s="18" t="s">
        <v>713</v>
      </c>
      <c r="F1539" s="18" t="s">
        <v>714</v>
      </c>
      <c r="G1539" s="18" t="s">
        <v>679</v>
      </c>
      <c r="H1539" s="18" t="s">
        <v>1005</v>
      </c>
      <c r="I1539" s="315">
        <v>120.83195865926933</v>
      </c>
      <c r="J1539" s="315">
        <v>4.3557064814273268E-3</v>
      </c>
      <c r="K1539" s="316" t="str">
        <f t="shared" si="40"/>
        <v>Recreational Equipment</v>
      </c>
      <c r="L1539" s="316" t="str">
        <f t="shared" si="41"/>
        <v>Diesel</v>
      </c>
      <c r="M1539" s="194"/>
      <c r="N1539" s="317"/>
      <c r="O1539" s="317"/>
      <c r="P1539" s="317"/>
      <c r="Q1539" s="317"/>
      <c r="R1539" s="317"/>
      <c r="S1539" s="317"/>
      <c r="T1539" s="317"/>
      <c r="U1539" s="317"/>
      <c r="V1539" s="317"/>
      <c r="W1539" s="317"/>
      <c r="X1539" s="317"/>
      <c r="Y1539" s="317"/>
      <c r="Z1539" s="317"/>
    </row>
    <row r="1540" spans="1:26" x14ac:dyDescent="0.25">
      <c r="A1540" s="314"/>
      <c r="B1540" s="18">
        <v>2023</v>
      </c>
      <c r="C1540" s="18" t="s">
        <v>810</v>
      </c>
      <c r="D1540" s="18" t="s">
        <v>1004</v>
      </c>
      <c r="E1540" s="18" t="s">
        <v>713</v>
      </c>
      <c r="F1540" s="18" t="s">
        <v>714</v>
      </c>
      <c r="G1540" s="18" t="s">
        <v>679</v>
      </c>
      <c r="H1540" s="18" t="s">
        <v>1005</v>
      </c>
      <c r="I1540" s="315">
        <v>120.83195865926933</v>
      </c>
      <c r="J1540" s="315">
        <v>4.3557064814273268E-3</v>
      </c>
      <c r="K1540" s="316" t="str">
        <f t="shared" si="40"/>
        <v>Recreational Equipment</v>
      </c>
      <c r="L1540" s="316" t="str">
        <f t="shared" si="41"/>
        <v>Diesel</v>
      </c>
      <c r="M1540" s="194"/>
      <c r="N1540" s="317"/>
      <c r="O1540" s="317"/>
      <c r="P1540" s="317"/>
      <c r="Q1540" s="317"/>
      <c r="R1540" s="317"/>
      <c r="S1540" s="317"/>
      <c r="T1540" s="317"/>
      <c r="U1540" s="317"/>
      <c r="V1540" s="317"/>
      <c r="W1540" s="317"/>
      <c r="X1540" s="317"/>
      <c r="Y1540" s="317"/>
      <c r="Z1540" s="317"/>
    </row>
    <row r="1541" spans="1:26" x14ac:dyDescent="0.25">
      <c r="A1541" s="314"/>
      <c r="B1541" s="18">
        <v>2023</v>
      </c>
      <c r="C1541" s="18" t="s">
        <v>786</v>
      </c>
      <c r="D1541" s="18" t="s">
        <v>1004</v>
      </c>
      <c r="E1541" s="18" t="s">
        <v>713</v>
      </c>
      <c r="F1541" s="18" t="s">
        <v>714</v>
      </c>
      <c r="G1541" s="18" t="s">
        <v>679</v>
      </c>
      <c r="H1541" s="18" t="s">
        <v>1005</v>
      </c>
      <c r="I1541" s="315">
        <v>120.83195865926933</v>
      </c>
      <c r="J1541" s="315">
        <v>4.3557064814273268E-3</v>
      </c>
      <c r="K1541" s="316" t="str">
        <f t="shared" si="40"/>
        <v>Recreational Equipment</v>
      </c>
      <c r="L1541" s="316" t="str">
        <f t="shared" si="41"/>
        <v>Diesel</v>
      </c>
      <c r="M1541" s="194"/>
      <c r="N1541" s="317"/>
      <c r="O1541" s="317"/>
      <c r="P1541" s="317"/>
      <c r="Q1541" s="317"/>
      <c r="R1541" s="317"/>
      <c r="S1541" s="317"/>
      <c r="T1541" s="317"/>
      <c r="U1541" s="317"/>
      <c r="V1541" s="317"/>
      <c r="W1541" s="317"/>
      <c r="X1541" s="317"/>
      <c r="Y1541" s="317"/>
      <c r="Z1541" s="317"/>
    </row>
    <row r="1542" spans="1:26" x14ac:dyDescent="0.25">
      <c r="A1542" s="314"/>
      <c r="B1542" s="18">
        <v>2023</v>
      </c>
      <c r="C1542" s="18" t="s">
        <v>709</v>
      </c>
      <c r="D1542" s="18" t="s">
        <v>1004</v>
      </c>
      <c r="E1542" s="18" t="s">
        <v>713</v>
      </c>
      <c r="F1542" s="18" t="s">
        <v>714</v>
      </c>
      <c r="G1542" s="18" t="s">
        <v>679</v>
      </c>
      <c r="H1542" s="18" t="s">
        <v>1005</v>
      </c>
      <c r="I1542" s="315">
        <v>120.83195865926933</v>
      </c>
      <c r="J1542" s="315">
        <v>4.3557064814273268E-3</v>
      </c>
      <c r="K1542" s="316" t="str">
        <f t="shared" si="40"/>
        <v>Recreational Equipment</v>
      </c>
      <c r="L1542" s="316" t="str">
        <f t="shared" si="41"/>
        <v>Diesel</v>
      </c>
      <c r="M1542" s="194"/>
      <c r="N1542" s="317"/>
      <c r="O1542" s="317"/>
      <c r="P1542" s="317"/>
      <c r="Q1542" s="317"/>
      <c r="R1542" s="317"/>
      <c r="S1542" s="317"/>
      <c r="T1542" s="317"/>
      <c r="U1542" s="317"/>
      <c r="V1542" s="317"/>
      <c r="W1542" s="317"/>
      <c r="X1542" s="317"/>
      <c r="Y1542" s="317"/>
      <c r="Z1542" s="317"/>
    </row>
    <row r="1543" spans="1:26" x14ac:dyDescent="0.25">
      <c r="A1543" s="314"/>
      <c r="B1543" s="18">
        <v>2023</v>
      </c>
      <c r="C1543" s="18" t="s">
        <v>743</v>
      </c>
      <c r="D1543" s="18" t="s">
        <v>1004</v>
      </c>
      <c r="E1543" s="18" t="s">
        <v>713</v>
      </c>
      <c r="F1543" s="18" t="s">
        <v>714</v>
      </c>
      <c r="G1543" s="18" t="s">
        <v>679</v>
      </c>
      <c r="H1543" s="18" t="s">
        <v>1005</v>
      </c>
      <c r="I1543" s="315">
        <v>120.83195865926933</v>
      </c>
      <c r="J1543" s="315">
        <v>4.3557064814273268E-3</v>
      </c>
      <c r="K1543" s="316" t="str">
        <f t="shared" si="40"/>
        <v>Recreational Equipment</v>
      </c>
      <c r="L1543" s="316" t="str">
        <f t="shared" si="41"/>
        <v>Diesel</v>
      </c>
      <c r="M1543" s="194"/>
      <c r="N1543" s="317"/>
      <c r="O1543" s="317"/>
      <c r="P1543" s="317"/>
      <c r="Q1543" s="317"/>
      <c r="R1543" s="317"/>
      <c r="S1543" s="317"/>
      <c r="T1543" s="317"/>
      <c r="U1543" s="317"/>
      <c r="V1543" s="317"/>
      <c r="W1543" s="317"/>
      <c r="X1543" s="317"/>
      <c r="Y1543" s="317"/>
      <c r="Z1543" s="317"/>
    </row>
    <row r="1544" spans="1:26" x14ac:dyDescent="0.25">
      <c r="A1544" s="314"/>
      <c r="B1544" s="18">
        <v>2023</v>
      </c>
      <c r="C1544" s="18" t="s">
        <v>773</v>
      </c>
      <c r="D1544" s="18" t="s">
        <v>1004</v>
      </c>
      <c r="E1544" s="18" t="s">
        <v>713</v>
      </c>
      <c r="F1544" s="18" t="s">
        <v>714</v>
      </c>
      <c r="G1544" s="18" t="s">
        <v>679</v>
      </c>
      <c r="H1544" s="18" t="s">
        <v>1005</v>
      </c>
      <c r="I1544" s="315">
        <v>120.83195865926933</v>
      </c>
      <c r="J1544" s="315">
        <v>4.3557064814273268E-3</v>
      </c>
      <c r="K1544" s="316" t="str">
        <f t="shared" si="40"/>
        <v>Recreational Equipment</v>
      </c>
      <c r="L1544" s="316" t="str">
        <f t="shared" si="41"/>
        <v>Diesel</v>
      </c>
      <c r="M1544" s="194"/>
      <c r="N1544" s="317"/>
      <c r="O1544" s="317"/>
      <c r="P1544" s="317"/>
      <c r="Q1544" s="317"/>
      <c r="R1544" s="317"/>
      <c r="S1544" s="317"/>
      <c r="T1544" s="317"/>
      <c r="U1544" s="317"/>
      <c r="V1544" s="317"/>
      <c r="W1544" s="317"/>
      <c r="X1544" s="317"/>
      <c r="Y1544" s="317"/>
      <c r="Z1544" s="317"/>
    </row>
    <row r="1545" spans="1:26" x14ac:dyDescent="0.25">
      <c r="A1545" s="314"/>
      <c r="B1545" s="18">
        <v>2023</v>
      </c>
      <c r="C1545" s="18" t="s">
        <v>710</v>
      </c>
      <c r="D1545" s="18" t="s">
        <v>1075</v>
      </c>
      <c r="E1545" s="18" t="s">
        <v>56</v>
      </c>
      <c r="F1545" s="18" t="s">
        <v>672</v>
      </c>
      <c r="G1545" s="18" t="s">
        <v>675</v>
      </c>
      <c r="H1545" s="18" t="s">
        <v>772</v>
      </c>
      <c r="I1545" s="315">
        <v>120.5730951779458</v>
      </c>
      <c r="J1545" s="315">
        <v>5.5547736734225476E-3</v>
      </c>
      <c r="K1545" s="316" t="str">
        <f t="shared" si="40"/>
        <v>Industrial Equipment</v>
      </c>
      <c r="L1545" s="316" t="str">
        <f t="shared" si="41"/>
        <v>LPG</v>
      </c>
      <c r="M1545" s="194"/>
      <c r="N1545" s="317"/>
      <c r="O1545" s="317"/>
      <c r="P1545" s="317"/>
      <c r="Q1545" s="317"/>
      <c r="R1545" s="317"/>
      <c r="S1545" s="317"/>
      <c r="T1545" s="317"/>
      <c r="U1545" s="317"/>
      <c r="V1545" s="317"/>
      <c r="W1545" s="317"/>
      <c r="X1545" s="317"/>
      <c r="Y1545" s="317"/>
      <c r="Z1545" s="317"/>
    </row>
    <row r="1546" spans="1:26" x14ac:dyDescent="0.25">
      <c r="A1546" s="314"/>
      <c r="B1546" s="18">
        <v>2023</v>
      </c>
      <c r="C1546" s="18" t="s">
        <v>732</v>
      </c>
      <c r="D1546" s="18" t="s">
        <v>894</v>
      </c>
      <c r="E1546" s="18" t="s">
        <v>713</v>
      </c>
      <c r="F1546" s="18" t="s">
        <v>714</v>
      </c>
      <c r="G1546" s="18" t="s">
        <v>681</v>
      </c>
      <c r="H1546" s="18" t="s">
        <v>895</v>
      </c>
      <c r="I1546" s="315">
        <v>120.20278912539908</v>
      </c>
      <c r="J1546" s="315">
        <v>2.357129632603671E-4</v>
      </c>
      <c r="K1546" s="316" t="str">
        <f t="shared" si="40"/>
        <v>Logging Equipment</v>
      </c>
      <c r="L1546" s="316" t="str">
        <f t="shared" si="41"/>
        <v>Diesel</v>
      </c>
      <c r="M1546" s="194"/>
      <c r="N1546" s="317"/>
      <c r="O1546" s="317"/>
      <c r="P1546" s="317"/>
      <c r="Q1546" s="317"/>
      <c r="R1546" s="317"/>
      <c r="S1546" s="317"/>
      <c r="T1546" s="317"/>
      <c r="U1546" s="317"/>
      <c r="V1546" s="317"/>
      <c r="W1546" s="317"/>
      <c r="X1546" s="317"/>
      <c r="Y1546" s="317"/>
      <c r="Z1546" s="317"/>
    </row>
    <row r="1547" spans="1:26" x14ac:dyDescent="0.25">
      <c r="A1547" s="314"/>
      <c r="B1547" s="18">
        <v>2023</v>
      </c>
      <c r="C1547" s="18" t="s">
        <v>727</v>
      </c>
      <c r="D1547" s="18" t="s">
        <v>1019</v>
      </c>
      <c r="E1547" s="18" t="s">
        <v>703</v>
      </c>
      <c r="F1547" s="18" t="s">
        <v>805</v>
      </c>
      <c r="G1547" s="18" t="s">
        <v>679</v>
      </c>
      <c r="H1547" s="18" t="s">
        <v>852</v>
      </c>
      <c r="I1547" s="315">
        <v>120.17847434250271</v>
      </c>
      <c r="J1547" s="315">
        <v>0.16729796869196312</v>
      </c>
      <c r="K1547" s="316" t="str">
        <f t="shared" si="40"/>
        <v>Recreational Equipment</v>
      </c>
      <c r="L1547" s="316" t="str">
        <f t="shared" si="41"/>
        <v>Gasoline</v>
      </c>
      <c r="M1547" s="194"/>
      <c r="N1547" s="317"/>
      <c r="O1547" s="317"/>
      <c r="P1547" s="317"/>
      <c r="Q1547" s="317"/>
      <c r="R1547" s="317"/>
      <c r="S1547" s="317"/>
      <c r="T1547" s="317"/>
      <c r="U1547" s="317"/>
      <c r="V1547" s="317"/>
      <c r="W1547" s="317"/>
      <c r="X1547" s="317"/>
      <c r="Y1547" s="317"/>
      <c r="Z1547" s="317"/>
    </row>
    <row r="1548" spans="1:26" x14ac:dyDescent="0.25">
      <c r="A1548" s="314"/>
      <c r="B1548" s="18">
        <v>2023</v>
      </c>
      <c r="C1548" s="18" t="s">
        <v>754</v>
      </c>
      <c r="D1548" s="18" t="s">
        <v>738</v>
      </c>
      <c r="E1548" s="18" t="s">
        <v>703</v>
      </c>
      <c r="F1548" s="18" t="s">
        <v>676</v>
      </c>
      <c r="G1548" s="18" t="s">
        <v>739</v>
      </c>
      <c r="H1548" s="18" t="s">
        <v>740</v>
      </c>
      <c r="I1548" s="315">
        <v>119.7420036617728</v>
      </c>
      <c r="J1548" s="315">
        <v>5.2098052958436489E-2</v>
      </c>
      <c r="K1548" s="316" t="str">
        <f t="shared" si="40"/>
        <v>Pleasure Craft</v>
      </c>
      <c r="L1548" s="316" t="str">
        <f t="shared" si="41"/>
        <v>Gasoline</v>
      </c>
      <c r="M1548" s="194"/>
      <c r="N1548" s="317"/>
      <c r="O1548" s="317"/>
      <c r="P1548" s="317"/>
      <c r="Q1548" s="317"/>
      <c r="R1548" s="317"/>
      <c r="S1548" s="317"/>
      <c r="T1548" s="317"/>
      <c r="U1548" s="317"/>
      <c r="V1548" s="317"/>
      <c r="W1548" s="317"/>
      <c r="X1548" s="317"/>
      <c r="Y1548" s="317"/>
      <c r="Z1548" s="317"/>
    </row>
    <row r="1549" spans="1:26" x14ac:dyDescent="0.25">
      <c r="A1549" s="314"/>
      <c r="B1549" s="18">
        <v>2023</v>
      </c>
      <c r="C1549" s="18" t="s">
        <v>810</v>
      </c>
      <c r="D1549" s="18" t="s">
        <v>849</v>
      </c>
      <c r="E1549" s="18" t="s">
        <v>713</v>
      </c>
      <c r="F1549" s="18" t="s">
        <v>714</v>
      </c>
      <c r="G1549" s="18" t="s">
        <v>674</v>
      </c>
      <c r="H1549" s="18" t="s">
        <v>850</v>
      </c>
      <c r="I1549" s="315">
        <v>119.33739868684299</v>
      </c>
      <c r="J1549" s="315">
        <v>1.6672117755898389E-3</v>
      </c>
      <c r="K1549" s="316" t="str">
        <f t="shared" si="40"/>
        <v>Construction and Mining Equipment</v>
      </c>
      <c r="L1549" s="316" t="str">
        <f t="shared" si="41"/>
        <v>Diesel</v>
      </c>
      <c r="M1549" s="194"/>
      <c r="N1549" s="317"/>
      <c r="O1549" s="317"/>
      <c r="P1549" s="317"/>
      <c r="Q1549" s="317"/>
      <c r="R1549" s="317"/>
      <c r="S1549" s="317"/>
      <c r="T1549" s="317"/>
      <c r="U1549" s="317"/>
      <c r="V1549" s="317"/>
      <c r="W1549" s="317"/>
      <c r="X1549" s="317"/>
      <c r="Y1549" s="317"/>
      <c r="Z1549" s="317"/>
    </row>
    <row r="1550" spans="1:26" x14ac:dyDescent="0.25">
      <c r="A1550" s="314"/>
      <c r="B1550" s="18">
        <v>2023</v>
      </c>
      <c r="C1550" s="18" t="s">
        <v>709</v>
      </c>
      <c r="D1550" s="18" t="s">
        <v>1017</v>
      </c>
      <c r="E1550" s="18" t="s">
        <v>703</v>
      </c>
      <c r="F1550" s="18" t="s">
        <v>704</v>
      </c>
      <c r="G1550" s="18" t="s">
        <v>673</v>
      </c>
      <c r="H1550" s="18" t="s">
        <v>806</v>
      </c>
      <c r="I1550" s="315">
        <v>119.11785043450055</v>
      </c>
      <c r="J1550" s="315">
        <v>8.3955856917306504E-2</v>
      </c>
      <c r="K1550" s="316" t="str">
        <f t="shared" si="40"/>
        <v>Lawn and Garden Equipment</v>
      </c>
      <c r="L1550" s="316" t="str">
        <f t="shared" si="41"/>
        <v>Gasoline</v>
      </c>
      <c r="M1550" s="194"/>
      <c r="N1550" s="317"/>
      <c r="O1550" s="317"/>
      <c r="P1550" s="317"/>
      <c r="Q1550" s="317"/>
      <c r="R1550" s="317"/>
      <c r="S1550" s="317"/>
      <c r="T1550" s="317"/>
      <c r="U1550" s="317"/>
      <c r="V1550" s="317"/>
      <c r="W1550" s="317"/>
      <c r="X1550" s="317"/>
      <c r="Y1550" s="317"/>
      <c r="Z1550" s="317"/>
    </row>
    <row r="1551" spans="1:26" x14ac:dyDescent="0.25">
      <c r="A1551" s="314"/>
      <c r="B1551" s="18">
        <v>2023</v>
      </c>
      <c r="C1551" s="18" t="s">
        <v>793</v>
      </c>
      <c r="D1551" s="18" t="s">
        <v>794</v>
      </c>
      <c r="E1551" s="18" t="s">
        <v>703</v>
      </c>
      <c r="F1551" s="18" t="s">
        <v>795</v>
      </c>
      <c r="G1551" s="18" t="s">
        <v>673</v>
      </c>
      <c r="H1551" s="18" t="s">
        <v>796</v>
      </c>
      <c r="I1551" s="315">
        <v>118.83630670418904</v>
      </c>
      <c r="J1551" s="315">
        <v>0.21709084791819672</v>
      </c>
      <c r="K1551" s="316" t="str">
        <f t="shared" si="40"/>
        <v>Lawn and Garden Equipment</v>
      </c>
      <c r="L1551" s="316" t="str">
        <f t="shared" si="41"/>
        <v>Gasoline</v>
      </c>
      <c r="M1551" s="194"/>
      <c r="N1551" s="317"/>
      <c r="O1551" s="317"/>
      <c r="P1551" s="317"/>
      <c r="Q1551" s="317"/>
      <c r="R1551" s="317"/>
      <c r="S1551" s="317"/>
      <c r="T1551" s="317"/>
      <c r="U1551" s="317"/>
      <c r="V1551" s="317"/>
      <c r="W1551" s="317"/>
      <c r="X1551" s="317"/>
      <c r="Y1551" s="317"/>
      <c r="Z1551" s="317"/>
    </row>
    <row r="1552" spans="1:26" x14ac:dyDescent="0.25">
      <c r="A1552" s="314"/>
      <c r="B1552" s="18">
        <v>2023</v>
      </c>
      <c r="C1552" s="18" t="s">
        <v>773</v>
      </c>
      <c r="D1552" s="18" t="s">
        <v>936</v>
      </c>
      <c r="E1552" s="18" t="s">
        <v>56</v>
      </c>
      <c r="F1552" s="18" t="s">
        <v>672</v>
      </c>
      <c r="G1552" s="18" t="s">
        <v>677</v>
      </c>
      <c r="H1552" s="18" t="s">
        <v>747</v>
      </c>
      <c r="I1552" s="315">
        <v>118.62859157000369</v>
      </c>
      <c r="J1552" s="315">
        <v>2.7348153260205947E-2</v>
      </c>
      <c r="K1552" s="316" t="str">
        <f t="shared" si="40"/>
        <v>Commercial Equipment</v>
      </c>
      <c r="L1552" s="316" t="str">
        <f t="shared" si="41"/>
        <v>LPG</v>
      </c>
      <c r="M1552" s="194"/>
      <c r="N1552" s="317"/>
      <c r="O1552" s="317"/>
      <c r="P1552" s="317"/>
      <c r="Q1552" s="317"/>
      <c r="R1552" s="317"/>
      <c r="S1552" s="317"/>
      <c r="T1552" s="317"/>
      <c r="U1552" s="317"/>
      <c r="V1552" s="317"/>
      <c r="W1552" s="317"/>
      <c r="X1552" s="317"/>
      <c r="Y1552" s="317"/>
      <c r="Z1552" s="317"/>
    </row>
    <row r="1553" spans="1:26" x14ac:dyDescent="0.25">
      <c r="A1553" s="314"/>
      <c r="B1553" s="18">
        <v>2023</v>
      </c>
      <c r="C1553" s="18" t="s">
        <v>754</v>
      </c>
      <c r="D1553" s="18" t="s">
        <v>964</v>
      </c>
      <c r="E1553" s="18" t="s">
        <v>56</v>
      </c>
      <c r="F1553" s="18" t="s">
        <v>601</v>
      </c>
      <c r="G1553" s="18" t="s">
        <v>677</v>
      </c>
      <c r="H1553" s="18" t="s">
        <v>965</v>
      </c>
      <c r="I1553" s="315">
        <v>118.40831229149643</v>
      </c>
      <c r="J1553" s="315">
        <v>0.56582825920002933</v>
      </c>
      <c r="K1553" s="316" t="str">
        <f t="shared" si="40"/>
        <v>Commercial Equipment</v>
      </c>
      <c r="L1553" s="316" t="str">
        <f t="shared" si="41"/>
        <v>CNG</v>
      </c>
      <c r="M1553" s="194"/>
      <c r="N1553" s="317"/>
      <c r="O1553" s="317"/>
      <c r="P1553" s="317"/>
      <c r="Q1553" s="317"/>
      <c r="R1553" s="317"/>
      <c r="S1553" s="317"/>
      <c r="T1553" s="317"/>
      <c r="U1553" s="317"/>
      <c r="V1553" s="317"/>
      <c r="W1553" s="317"/>
      <c r="X1553" s="317"/>
      <c r="Y1553" s="317"/>
      <c r="Z1553" s="317"/>
    </row>
    <row r="1554" spans="1:26" x14ac:dyDescent="0.25">
      <c r="A1554" s="314"/>
      <c r="B1554" s="18">
        <v>2023</v>
      </c>
      <c r="C1554" s="18" t="s">
        <v>732</v>
      </c>
      <c r="D1554" s="18" t="s">
        <v>980</v>
      </c>
      <c r="E1554" s="18" t="s">
        <v>713</v>
      </c>
      <c r="F1554" s="18" t="s">
        <v>714</v>
      </c>
      <c r="G1554" s="18" t="s">
        <v>674</v>
      </c>
      <c r="H1554" s="18" t="s">
        <v>981</v>
      </c>
      <c r="I1554" s="315">
        <v>118.1948034090609</v>
      </c>
      <c r="J1554" s="315">
        <v>5.1880906420177699E-3</v>
      </c>
      <c r="K1554" s="316" t="str">
        <f t="shared" si="40"/>
        <v>Construction and Mining Equipment</v>
      </c>
      <c r="L1554" s="316" t="str">
        <f t="shared" si="41"/>
        <v>Diesel</v>
      </c>
      <c r="M1554" s="194"/>
      <c r="N1554" s="317"/>
      <c r="O1554" s="317"/>
      <c r="P1554" s="317"/>
      <c r="Q1554" s="317"/>
      <c r="R1554" s="317"/>
      <c r="S1554" s="317"/>
      <c r="T1554" s="317"/>
      <c r="U1554" s="317"/>
      <c r="V1554" s="317"/>
      <c r="W1554" s="317"/>
      <c r="X1554" s="317"/>
      <c r="Y1554" s="317"/>
      <c r="Z1554" s="317"/>
    </row>
    <row r="1555" spans="1:26" x14ac:dyDescent="0.25">
      <c r="A1555" s="314"/>
      <c r="B1555" s="18">
        <v>2023</v>
      </c>
      <c r="C1555" s="18" t="s">
        <v>706</v>
      </c>
      <c r="D1555" s="18" t="s">
        <v>1083</v>
      </c>
      <c r="E1555" s="18" t="s">
        <v>703</v>
      </c>
      <c r="F1555" s="18" t="s">
        <v>704</v>
      </c>
      <c r="G1555" s="18" t="s">
        <v>674</v>
      </c>
      <c r="H1555" s="18" t="s">
        <v>861</v>
      </c>
      <c r="I1555" s="315">
        <v>118.15979620644858</v>
      </c>
      <c r="J1555" s="315">
        <v>8.8873251486152022E-2</v>
      </c>
      <c r="K1555" s="316" t="str">
        <f t="shared" si="40"/>
        <v>Construction and Mining Equipment</v>
      </c>
      <c r="L1555" s="316" t="str">
        <f t="shared" si="41"/>
        <v>Gasoline</v>
      </c>
      <c r="M1555" s="194"/>
      <c r="N1555" s="317"/>
      <c r="O1555" s="317"/>
      <c r="P1555" s="317"/>
      <c r="Q1555" s="317"/>
      <c r="R1555" s="317"/>
      <c r="S1555" s="317"/>
      <c r="T1555" s="317"/>
      <c r="U1555" s="317"/>
      <c r="V1555" s="317"/>
      <c r="W1555" s="317"/>
      <c r="X1555" s="317"/>
      <c r="Y1555" s="317"/>
      <c r="Z1555" s="317"/>
    </row>
    <row r="1556" spans="1:26" x14ac:dyDescent="0.25">
      <c r="A1556" s="314"/>
      <c r="B1556" s="18">
        <v>2023</v>
      </c>
      <c r="C1556" s="18" t="s">
        <v>706</v>
      </c>
      <c r="D1556" s="18" t="s">
        <v>1017</v>
      </c>
      <c r="E1556" s="18" t="s">
        <v>703</v>
      </c>
      <c r="F1556" s="18" t="s">
        <v>704</v>
      </c>
      <c r="G1556" s="18" t="s">
        <v>673</v>
      </c>
      <c r="H1556" s="18" t="s">
        <v>806</v>
      </c>
      <c r="I1556" s="315">
        <v>117.88989182002223</v>
      </c>
      <c r="J1556" s="315">
        <v>8.3181583527069114E-2</v>
      </c>
      <c r="K1556" s="316" t="str">
        <f t="shared" si="40"/>
        <v>Lawn and Garden Equipment</v>
      </c>
      <c r="L1556" s="316" t="str">
        <f t="shared" si="41"/>
        <v>Gasoline</v>
      </c>
      <c r="M1556" s="194"/>
      <c r="N1556" s="317"/>
      <c r="O1556" s="317"/>
      <c r="P1556" s="317"/>
      <c r="Q1556" s="317"/>
      <c r="R1556" s="317"/>
      <c r="S1556" s="317"/>
      <c r="T1556" s="317"/>
      <c r="U1556" s="317"/>
      <c r="V1556" s="317"/>
      <c r="W1556" s="317"/>
      <c r="X1556" s="317"/>
      <c r="Y1556" s="317"/>
      <c r="Z1556" s="317"/>
    </row>
    <row r="1557" spans="1:26" x14ac:dyDescent="0.25">
      <c r="A1557" s="314"/>
      <c r="B1557" s="18">
        <v>2023</v>
      </c>
      <c r="C1557" s="18" t="s">
        <v>722</v>
      </c>
      <c r="D1557" s="18" t="s">
        <v>989</v>
      </c>
      <c r="E1557" s="18" t="s">
        <v>703</v>
      </c>
      <c r="F1557" s="18" t="s">
        <v>795</v>
      </c>
      <c r="G1557" s="18" t="s">
        <v>673</v>
      </c>
      <c r="H1557" s="18" t="s">
        <v>990</v>
      </c>
      <c r="I1557" s="315">
        <v>117.49016743822212</v>
      </c>
      <c r="J1557" s="315">
        <v>0.22617142590475453</v>
      </c>
      <c r="K1557" s="316" t="str">
        <f t="shared" si="40"/>
        <v>Lawn and Garden Equipment</v>
      </c>
      <c r="L1557" s="316" t="str">
        <f t="shared" si="41"/>
        <v>Gasoline</v>
      </c>
      <c r="M1557" s="194"/>
      <c r="N1557" s="317"/>
      <c r="O1557" s="317"/>
      <c r="P1557" s="317"/>
      <c r="Q1557" s="317"/>
      <c r="R1557" s="317"/>
      <c r="S1557" s="317"/>
      <c r="T1557" s="317"/>
      <c r="U1557" s="317"/>
      <c r="V1557" s="317"/>
      <c r="W1557" s="317"/>
      <c r="X1557" s="317"/>
      <c r="Y1557" s="317"/>
      <c r="Z1557" s="317"/>
    </row>
    <row r="1558" spans="1:26" x14ac:dyDescent="0.25">
      <c r="A1558" s="314"/>
      <c r="B1558" s="18">
        <v>2023</v>
      </c>
      <c r="C1558" s="18" t="s">
        <v>731</v>
      </c>
      <c r="D1558" s="18" t="s">
        <v>779</v>
      </c>
      <c r="E1558" s="18" t="s">
        <v>713</v>
      </c>
      <c r="F1558" s="18" t="s">
        <v>714</v>
      </c>
      <c r="G1558" s="18" t="s">
        <v>674</v>
      </c>
      <c r="H1558" s="18" t="s">
        <v>780</v>
      </c>
      <c r="I1558" s="315">
        <v>117.35420174726482</v>
      </c>
      <c r="J1558" s="315">
        <v>3.8221668808373263E-4</v>
      </c>
      <c r="K1558" s="316" t="str">
        <f t="shared" si="40"/>
        <v>Construction and Mining Equipment</v>
      </c>
      <c r="L1558" s="316" t="str">
        <f t="shared" si="41"/>
        <v>Diesel</v>
      </c>
      <c r="M1558" s="194"/>
      <c r="N1558" s="317"/>
      <c r="O1558" s="317"/>
      <c r="P1558" s="317"/>
      <c r="Q1558" s="317"/>
      <c r="R1558" s="317"/>
      <c r="S1558" s="317"/>
      <c r="T1558" s="317"/>
      <c r="U1558" s="317"/>
      <c r="V1558" s="317"/>
      <c r="W1558" s="317"/>
      <c r="X1558" s="317"/>
      <c r="Y1558" s="317"/>
      <c r="Z1558" s="317"/>
    </row>
    <row r="1559" spans="1:26" x14ac:dyDescent="0.25">
      <c r="A1559" s="314"/>
      <c r="B1559" s="18">
        <v>2023</v>
      </c>
      <c r="C1559" s="18" t="s">
        <v>792</v>
      </c>
      <c r="D1559" s="18" t="s">
        <v>1007</v>
      </c>
      <c r="E1559" s="18" t="s">
        <v>703</v>
      </c>
      <c r="F1559" s="18" t="s">
        <v>795</v>
      </c>
      <c r="G1559" s="18" t="s">
        <v>679</v>
      </c>
      <c r="H1559" s="18" t="s">
        <v>1008</v>
      </c>
      <c r="I1559" s="315">
        <v>117.21910026837531</v>
      </c>
      <c r="J1559" s="315">
        <v>8.5232921633740896E-2</v>
      </c>
      <c r="K1559" s="316" t="str">
        <f t="shared" si="40"/>
        <v>Recreational Equipment</v>
      </c>
      <c r="L1559" s="316" t="str">
        <f t="shared" si="41"/>
        <v>Gasoline</v>
      </c>
      <c r="M1559" s="194"/>
      <c r="N1559" s="317"/>
      <c r="O1559" s="317"/>
      <c r="P1559" s="317"/>
      <c r="Q1559" s="317"/>
      <c r="R1559" s="317"/>
      <c r="S1559" s="317"/>
      <c r="T1559" s="317"/>
      <c r="U1559" s="317"/>
      <c r="V1559" s="317"/>
      <c r="W1559" s="317"/>
      <c r="X1559" s="317"/>
      <c r="Y1559" s="317"/>
      <c r="Z1559" s="317"/>
    </row>
    <row r="1560" spans="1:26" x14ac:dyDescent="0.25">
      <c r="A1560" s="314"/>
      <c r="B1560" s="18">
        <v>2023</v>
      </c>
      <c r="C1560" s="18" t="s">
        <v>706</v>
      </c>
      <c r="D1560" s="18" t="s">
        <v>1007</v>
      </c>
      <c r="E1560" s="18" t="s">
        <v>703</v>
      </c>
      <c r="F1560" s="18" t="s">
        <v>795</v>
      </c>
      <c r="G1560" s="18" t="s">
        <v>679</v>
      </c>
      <c r="H1560" s="18" t="s">
        <v>1008</v>
      </c>
      <c r="I1560" s="315">
        <v>117.21910026837531</v>
      </c>
      <c r="J1560" s="315">
        <v>8.5232921633740896E-2</v>
      </c>
      <c r="K1560" s="316" t="str">
        <f t="shared" si="40"/>
        <v>Recreational Equipment</v>
      </c>
      <c r="L1560" s="316" t="str">
        <f t="shared" si="41"/>
        <v>Gasoline</v>
      </c>
      <c r="M1560" s="194"/>
      <c r="N1560" s="317"/>
      <c r="O1560" s="317"/>
      <c r="P1560" s="317"/>
      <c r="Q1560" s="317"/>
      <c r="R1560" s="317"/>
      <c r="S1560" s="317"/>
      <c r="T1560" s="317"/>
      <c r="U1560" s="317"/>
      <c r="V1560" s="317"/>
      <c r="W1560" s="317"/>
      <c r="X1560" s="317"/>
      <c r="Y1560" s="317"/>
      <c r="Z1560" s="317"/>
    </row>
    <row r="1561" spans="1:26" x14ac:dyDescent="0.25">
      <c r="A1561" s="314"/>
      <c r="B1561" s="18">
        <v>2023</v>
      </c>
      <c r="C1561" s="18" t="s">
        <v>781</v>
      </c>
      <c r="D1561" s="18" t="s">
        <v>1007</v>
      </c>
      <c r="E1561" s="18" t="s">
        <v>703</v>
      </c>
      <c r="F1561" s="18" t="s">
        <v>795</v>
      </c>
      <c r="G1561" s="18" t="s">
        <v>679</v>
      </c>
      <c r="H1561" s="18" t="s">
        <v>1008</v>
      </c>
      <c r="I1561" s="315">
        <v>117.21910026837531</v>
      </c>
      <c r="J1561" s="315">
        <v>8.5232921633740896E-2</v>
      </c>
      <c r="K1561" s="316" t="str">
        <f t="shared" si="40"/>
        <v>Recreational Equipment</v>
      </c>
      <c r="L1561" s="316" t="str">
        <f t="shared" si="41"/>
        <v>Gasoline</v>
      </c>
      <c r="M1561" s="194"/>
      <c r="N1561" s="317"/>
      <c r="O1561" s="317"/>
      <c r="P1561" s="317"/>
      <c r="Q1561" s="317"/>
      <c r="R1561" s="317"/>
      <c r="S1561" s="317"/>
      <c r="T1561" s="317"/>
      <c r="U1561" s="317"/>
      <c r="V1561" s="317"/>
      <c r="W1561" s="317"/>
      <c r="X1561" s="317"/>
      <c r="Y1561" s="317"/>
      <c r="Z1561" s="317"/>
    </row>
    <row r="1562" spans="1:26" x14ac:dyDescent="0.25">
      <c r="A1562" s="314"/>
      <c r="B1562" s="18">
        <v>2023</v>
      </c>
      <c r="C1562" s="18" t="s">
        <v>754</v>
      </c>
      <c r="D1562" s="18" t="s">
        <v>1007</v>
      </c>
      <c r="E1562" s="18" t="s">
        <v>703</v>
      </c>
      <c r="F1562" s="18" t="s">
        <v>795</v>
      </c>
      <c r="G1562" s="18" t="s">
        <v>679</v>
      </c>
      <c r="H1562" s="18" t="s">
        <v>1008</v>
      </c>
      <c r="I1562" s="315">
        <v>117.21910026837531</v>
      </c>
      <c r="J1562" s="315">
        <v>8.5232921633740896E-2</v>
      </c>
      <c r="K1562" s="316" t="str">
        <f t="shared" si="40"/>
        <v>Recreational Equipment</v>
      </c>
      <c r="L1562" s="316" t="str">
        <f t="shared" si="41"/>
        <v>Gasoline</v>
      </c>
      <c r="M1562" s="194"/>
      <c r="N1562" s="317"/>
      <c r="O1562" s="317"/>
      <c r="P1562" s="317"/>
      <c r="Q1562" s="317"/>
      <c r="R1562" s="317"/>
      <c r="S1562" s="317"/>
      <c r="T1562" s="317"/>
      <c r="U1562" s="317"/>
      <c r="V1562" s="317"/>
      <c r="W1562" s="317"/>
      <c r="X1562" s="317"/>
      <c r="Y1562" s="317"/>
      <c r="Z1562" s="317"/>
    </row>
    <row r="1563" spans="1:26" x14ac:dyDescent="0.25">
      <c r="A1563" s="314"/>
      <c r="B1563" s="18">
        <v>2023</v>
      </c>
      <c r="C1563" s="18" t="s">
        <v>778</v>
      </c>
      <c r="D1563" s="18" t="s">
        <v>1007</v>
      </c>
      <c r="E1563" s="18" t="s">
        <v>703</v>
      </c>
      <c r="F1563" s="18" t="s">
        <v>795</v>
      </c>
      <c r="G1563" s="18" t="s">
        <v>679</v>
      </c>
      <c r="H1563" s="18" t="s">
        <v>1008</v>
      </c>
      <c r="I1563" s="315">
        <v>117.21910026837531</v>
      </c>
      <c r="J1563" s="315">
        <v>8.5232921633740896E-2</v>
      </c>
      <c r="K1563" s="316" t="str">
        <f t="shared" si="40"/>
        <v>Recreational Equipment</v>
      </c>
      <c r="L1563" s="316" t="str">
        <f t="shared" si="41"/>
        <v>Gasoline</v>
      </c>
      <c r="M1563" s="194"/>
      <c r="N1563" s="317"/>
      <c r="O1563" s="317"/>
      <c r="P1563" s="317"/>
      <c r="Q1563" s="317"/>
      <c r="R1563" s="317"/>
      <c r="S1563" s="317"/>
      <c r="T1563" s="317"/>
      <c r="U1563" s="317"/>
      <c r="V1563" s="317"/>
      <c r="W1563" s="317"/>
      <c r="X1563" s="317"/>
      <c r="Y1563" s="317"/>
      <c r="Z1563" s="317"/>
    </row>
    <row r="1564" spans="1:26" x14ac:dyDescent="0.25">
      <c r="A1564" s="314"/>
      <c r="B1564" s="18">
        <v>2023</v>
      </c>
      <c r="C1564" s="18" t="s">
        <v>732</v>
      </c>
      <c r="D1564" s="18" t="s">
        <v>1007</v>
      </c>
      <c r="E1564" s="18" t="s">
        <v>703</v>
      </c>
      <c r="F1564" s="18" t="s">
        <v>795</v>
      </c>
      <c r="G1564" s="18" t="s">
        <v>679</v>
      </c>
      <c r="H1564" s="18" t="s">
        <v>1008</v>
      </c>
      <c r="I1564" s="315">
        <v>117.21910026837531</v>
      </c>
      <c r="J1564" s="315">
        <v>8.5232921633740896E-2</v>
      </c>
      <c r="K1564" s="316" t="str">
        <f t="shared" si="40"/>
        <v>Recreational Equipment</v>
      </c>
      <c r="L1564" s="316" t="str">
        <f t="shared" si="41"/>
        <v>Gasoline</v>
      </c>
      <c r="M1564" s="194"/>
      <c r="N1564" s="317"/>
      <c r="O1564" s="317"/>
      <c r="P1564" s="317"/>
      <c r="Q1564" s="317"/>
      <c r="R1564" s="317"/>
      <c r="S1564" s="317"/>
      <c r="T1564" s="317"/>
      <c r="U1564" s="317"/>
      <c r="V1564" s="317"/>
      <c r="W1564" s="317"/>
      <c r="X1564" s="317"/>
      <c r="Y1564" s="317"/>
      <c r="Z1564" s="317"/>
    </row>
    <row r="1565" spans="1:26" x14ac:dyDescent="0.25">
      <c r="A1565" s="314"/>
      <c r="B1565" s="18">
        <v>2023</v>
      </c>
      <c r="C1565" s="18" t="s">
        <v>810</v>
      </c>
      <c r="D1565" s="18" t="s">
        <v>1007</v>
      </c>
      <c r="E1565" s="18" t="s">
        <v>703</v>
      </c>
      <c r="F1565" s="18" t="s">
        <v>795</v>
      </c>
      <c r="G1565" s="18" t="s">
        <v>679</v>
      </c>
      <c r="H1565" s="18" t="s">
        <v>1008</v>
      </c>
      <c r="I1565" s="315">
        <v>117.21910026837531</v>
      </c>
      <c r="J1565" s="315">
        <v>8.5232921633740896E-2</v>
      </c>
      <c r="K1565" s="316" t="str">
        <f t="shared" si="40"/>
        <v>Recreational Equipment</v>
      </c>
      <c r="L1565" s="316" t="str">
        <f t="shared" si="41"/>
        <v>Gasoline</v>
      </c>
      <c r="M1565" s="194"/>
      <c r="N1565" s="317"/>
      <c r="O1565" s="317"/>
      <c r="P1565" s="317"/>
      <c r="Q1565" s="317"/>
      <c r="R1565" s="317"/>
      <c r="S1565" s="317"/>
      <c r="T1565" s="317"/>
      <c r="U1565" s="317"/>
      <c r="V1565" s="317"/>
      <c r="W1565" s="317"/>
      <c r="X1565" s="317"/>
      <c r="Y1565" s="317"/>
      <c r="Z1565" s="317"/>
    </row>
    <row r="1566" spans="1:26" x14ac:dyDescent="0.25">
      <c r="A1566" s="314"/>
      <c r="B1566" s="18">
        <v>2023</v>
      </c>
      <c r="C1566" s="18" t="s">
        <v>786</v>
      </c>
      <c r="D1566" s="18" t="s">
        <v>1007</v>
      </c>
      <c r="E1566" s="18" t="s">
        <v>703</v>
      </c>
      <c r="F1566" s="18" t="s">
        <v>795</v>
      </c>
      <c r="G1566" s="18" t="s">
        <v>679</v>
      </c>
      <c r="H1566" s="18" t="s">
        <v>1008</v>
      </c>
      <c r="I1566" s="315">
        <v>117.21910026837531</v>
      </c>
      <c r="J1566" s="315">
        <v>8.5232921633740896E-2</v>
      </c>
      <c r="K1566" s="316" t="str">
        <f t="shared" si="40"/>
        <v>Recreational Equipment</v>
      </c>
      <c r="L1566" s="316" t="str">
        <f t="shared" si="41"/>
        <v>Gasoline</v>
      </c>
      <c r="M1566" s="194"/>
      <c r="N1566" s="317"/>
      <c r="O1566" s="317"/>
      <c r="P1566" s="317"/>
      <c r="Q1566" s="317"/>
      <c r="R1566" s="317"/>
      <c r="S1566" s="317"/>
      <c r="T1566" s="317"/>
      <c r="U1566" s="317"/>
      <c r="V1566" s="317"/>
      <c r="W1566" s="317"/>
      <c r="X1566" s="317"/>
      <c r="Y1566" s="317"/>
      <c r="Z1566" s="317"/>
    </row>
    <row r="1567" spans="1:26" x14ac:dyDescent="0.25">
      <c r="A1567" s="314"/>
      <c r="B1567" s="18">
        <v>2023</v>
      </c>
      <c r="C1567" s="18" t="s">
        <v>709</v>
      </c>
      <c r="D1567" s="18" t="s">
        <v>1007</v>
      </c>
      <c r="E1567" s="18" t="s">
        <v>703</v>
      </c>
      <c r="F1567" s="18" t="s">
        <v>795</v>
      </c>
      <c r="G1567" s="18" t="s">
        <v>679</v>
      </c>
      <c r="H1567" s="18" t="s">
        <v>1008</v>
      </c>
      <c r="I1567" s="315">
        <v>117.21910026837531</v>
      </c>
      <c r="J1567" s="315">
        <v>8.5232921633740896E-2</v>
      </c>
      <c r="K1567" s="316" t="str">
        <f t="shared" si="40"/>
        <v>Recreational Equipment</v>
      </c>
      <c r="L1567" s="316" t="str">
        <f t="shared" si="41"/>
        <v>Gasoline</v>
      </c>
      <c r="M1567" s="194"/>
      <c r="N1567" s="317"/>
      <c r="O1567" s="317"/>
      <c r="P1567" s="317"/>
      <c r="Q1567" s="317"/>
      <c r="R1567" s="317"/>
      <c r="S1567" s="317"/>
      <c r="T1567" s="317"/>
      <c r="U1567" s="317"/>
      <c r="V1567" s="317"/>
      <c r="W1567" s="317"/>
      <c r="X1567" s="317"/>
      <c r="Y1567" s="317"/>
      <c r="Z1567" s="317"/>
    </row>
    <row r="1568" spans="1:26" x14ac:dyDescent="0.25">
      <c r="A1568" s="314"/>
      <c r="B1568" s="18">
        <v>2023</v>
      </c>
      <c r="C1568" s="18" t="s">
        <v>743</v>
      </c>
      <c r="D1568" s="18" t="s">
        <v>1007</v>
      </c>
      <c r="E1568" s="18" t="s">
        <v>703</v>
      </c>
      <c r="F1568" s="18" t="s">
        <v>795</v>
      </c>
      <c r="G1568" s="18" t="s">
        <v>679</v>
      </c>
      <c r="H1568" s="18" t="s">
        <v>1008</v>
      </c>
      <c r="I1568" s="315">
        <v>117.21910026837531</v>
      </c>
      <c r="J1568" s="315">
        <v>8.5232921633740896E-2</v>
      </c>
      <c r="K1568" s="316" t="str">
        <f t="shared" si="40"/>
        <v>Recreational Equipment</v>
      </c>
      <c r="L1568" s="316" t="str">
        <f t="shared" si="41"/>
        <v>Gasoline</v>
      </c>
      <c r="M1568" s="194"/>
      <c r="N1568" s="317"/>
      <c r="O1568" s="317"/>
      <c r="P1568" s="317"/>
      <c r="Q1568" s="317"/>
      <c r="R1568" s="317"/>
      <c r="S1568" s="317"/>
      <c r="T1568" s="317"/>
      <c r="U1568" s="317"/>
      <c r="V1568" s="317"/>
      <c r="W1568" s="317"/>
      <c r="X1568" s="317"/>
      <c r="Y1568" s="317"/>
      <c r="Z1568" s="317"/>
    </row>
    <row r="1569" spans="1:26" x14ac:dyDescent="0.25">
      <c r="A1569" s="314"/>
      <c r="B1569" s="18">
        <v>2023</v>
      </c>
      <c r="C1569" s="18" t="s">
        <v>773</v>
      </c>
      <c r="D1569" s="18" t="s">
        <v>1007</v>
      </c>
      <c r="E1569" s="18" t="s">
        <v>703</v>
      </c>
      <c r="F1569" s="18" t="s">
        <v>795</v>
      </c>
      <c r="G1569" s="18" t="s">
        <v>679</v>
      </c>
      <c r="H1569" s="18" t="s">
        <v>1008</v>
      </c>
      <c r="I1569" s="315">
        <v>117.21910026837531</v>
      </c>
      <c r="J1569" s="315">
        <v>8.5232921633740896E-2</v>
      </c>
      <c r="K1569" s="316" t="str">
        <f t="shared" si="40"/>
        <v>Recreational Equipment</v>
      </c>
      <c r="L1569" s="316" t="str">
        <f t="shared" si="41"/>
        <v>Gasoline</v>
      </c>
      <c r="M1569" s="194"/>
      <c r="N1569" s="317"/>
      <c r="O1569" s="317"/>
      <c r="P1569" s="317"/>
      <c r="Q1569" s="317"/>
      <c r="R1569" s="317"/>
      <c r="S1569" s="317"/>
      <c r="T1569" s="317"/>
      <c r="U1569" s="317"/>
      <c r="V1569" s="317"/>
      <c r="W1569" s="317"/>
      <c r="X1569" s="317"/>
      <c r="Y1569" s="317"/>
      <c r="Z1569" s="317"/>
    </row>
    <row r="1570" spans="1:26" x14ac:dyDescent="0.25">
      <c r="A1570" s="314"/>
      <c r="B1570" s="18">
        <v>2023</v>
      </c>
      <c r="C1570" s="18" t="s">
        <v>727</v>
      </c>
      <c r="D1570" s="18" t="s">
        <v>1021</v>
      </c>
      <c r="E1570" s="18" t="s">
        <v>703</v>
      </c>
      <c r="F1570" s="18" t="s">
        <v>704</v>
      </c>
      <c r="G1570" s="18" t="s">
        <v>679</v>
      </c>
      <c r="H1570" s="18" t="s">
        <v>983</v>
      </c>
      <c r="I1570" s="315">
        <v>117.18944699180014</v>
      </c>
      <c r="J1570" s="315">
        <v>0.15914535165853066</v>
      </c>
      <c r="K1570" s="316" t="str">
        <f t="shared" si="40"/>
        <v>Recreational Equipment</v>
      </c>
      <c r="L1570" s="316" t="str">
        <f t="shared" si="41"/>
        <v>Gasoline</v>
      </c>
      <c r="M1570" s="194"/>
      <c r="N1570" s="317"/>
      <c r="O1570" s="317"/>
      <c r="P1570" s="317"/>
      <c r="Q1570" s="317"/>
      <c r="R1570" s="317"/>
      <c r="S1570" s="317"/>
      <c r="T1570" s="317"/>
      <c r="U1570" s="317"/>
      <c r="V1570" s="317"/>
      <c r="W1570" s="317"/>
      <c r="X1570" s="317"/>
      <c r="Y1570" s="317"/>
      <c r="Z1570" s="317"/>
    </row>
    <row r="1571" spans="1:26" x14ac:dyDescent="0.25">
      <c r="A1571" s="314"/>
      <c r="B1571" s="18">
        <v>2023</v>
      </c>
      <c r="C1571" s="18" t="s">
        <v>731</v>
      </c>
      <c r="D1571" s="18" t="s">
        <v>840</v>
      </c>
      <c r="E1571" s="18" t="s">
        <v>703</v>
      </c>
      <c r="F1571" s="18" t="s">
        <v>704</v>
      </c>
      <c r="G1571" s="18" t="s">
        <v>677</v>
      </c>
      <c r="H1571" s="18" t="s">
        <v>841</v>
      </c>
      <c r="I1571" s="315">
        <v>116.65634168405431</v>
      </c>
      <c r="J1571" s="315">
        <v>7.6598572666288112E-2</v>
      </c>
      <c r="K1571" s="316" t="str">
        <f t="shared" si="40"/>
        <v>Commercial Equipment</v>
      </c>
      <c r="L1571" s="316" t="str">
        <f t="shared" si="41"/>
        <v>Gasoline</v>
      </c>
      <c r="M1571" s="194"/>
      <c r="N1571" s="317"/>
      <c r="O1571" s="317"/>
      <c r="P1571" s="317"/>
      <c r="Q1571" s="317"/>
      <c r="R1571" s="317"/>
      <c r="S1571" s="317"/>
      <c r="T1571" s="317"/>
      <c r="U1571" s="317"/>
      <c r="V1571" s="317"/>
      <c r="W1571" s="317"/>
      <c r="X1571" s="317"/>
      <c r="Y1571" s="317"/>
      <c r="Z1571" s="317"/>
    </row>
    <row r="1572" spans="1:26" x14ac:dyDescent="0.25">
      <c r="A1572" s="314"/>
      <c r="B1572" s="18">
        <v>2023</v>
      </c>
      <c r="C1572" s="18" t="s">
        <v>778</v>
      </c>
      <c r="D1572" s="18" t="s">
        <v>839</v>
      </c>
      <c r="E1572" s="18" t="s">
        <v>703</v>
      </c>
      <c r="F1572" s="18" t="s">
        <v>704</v>
      </c>
      <c r="G1572" s="18" t="s">
        <v>675</v>
      </c>
      <c r="H1572" s="18" t="s">
        <v>708</v>
      </c>
      <c r="I1572" s="315">
        <v>116.63624213961093</v>
      </c>
      <c r="J1572" s="315">
        <v>8.012915522567431E-3</v>
      </c>
      <c r="K1572" s="316" t="str">
        <f t="shared" si="40"/>
        <v>Industrial Equipment</v>
      </c>
      <c r="L1572" s="316" t="str">
        <f t="shared" si="41"/>
        <v>Gasoline</v>
      </c>
      <c r="M1572" s="194"/>
      <c r="N1572" s="317"/>
      <c r="O1572" s="317"/>
      <c r="P1572" s="317"/>
      <c r="Q1572" s="317"/>
      <c r="R1572" s="317"/>
      <c r="S1572" s="317"/>
      <c r="T1572" s="317"/>
      <c r="U1572" s="317"/>
      <c r="V1572" s="317"/>
      <c r="W1572" s="317"/>
      <c r="X1572" s="317"/>
      <c r="Y1572" s="317"/>
      <c r="Z1572" s="317"/>
    </row>
    <row r="1573" spans="1:26" x14ac:dyDescent="0.25">
      <c r="A1573" s="314"/>
      <c r="B1573" s="18">
        <v>2023</v>
      </c>
      <c r="C1573" s="18" t="s">
        <v>710</v>
      </c>
      <c r="D1573" s="18" t="s">
        <v>1077</v>
      </c>
      <c r="E1573" s="18" t="s">
        <v>713</v>
      </c>
      <c r="F1573" s="18" t="s">
        <v>714</v>
      </c>
      <c r="G1573" s="18" t="s">
        <v>675</v>
      </c>
      <c r="H1573" s="18" t="s">
        <v>1078</v>
      </c>
      <c r="I1573" s="315">
        <v>116.5800330812443</v>
      </c>
      <c r="J1573" s="315">
        <v>2.9563864954542116E-3</v>
      </c>
      <c r="K1573" s="316" t="str">
        <f t="shared" si="40"/>
        <v>Industrial Equipment</v>
      </c>
      <c r="L1573" s="316" t="str">
        <f t="shared" si="41"/>
        <v>Diesel</v>
      </c>
      <c r="M1573" s="194"/>
      <c r="N1573" s="317"/>
      <c r="O1573" s="317"/>
      <c r="P1573" s="317"/>
      <c r="Q1573" s="317"/>
      <c r="R1573" s="317"/>
      <c r="S1573" s="317"/>
      <c r="T1573" s="317"/>
      <c r="U1573" s="317"/>
      <c r="V1573" s="317"/>
      <c r="W1573" s="317"/>
      <c r="X1573" s="317"/>
      <c r="Y1573" s="317"/>
      <c r="Z1573" s="317"/>
    </row>
    <row r="1574" spans="1:26" x14ac:dyDescent="0.25">
      <c r="A1574" s="314"/>
      <c r="B1574" s="18">
        <v>2023</v>
      </c>
      <c r="C1574" s="18" t="s">
        <v>786</v>
      </c>
      <c r="D1574" s="18" t="s">
        <v>779</v>
      </c>
      <c r="E1574" s="18" t="s">
        <v>713</v>
      </c>
      <c r="F1574" s="18" t="s">
        <v>714</v>
      </c>
      <c r="G1574" s="18" t="s">
        <v>674</v>
      </c>
      <c r="H1574" s="18" t="s">
        <v>780</v>
      </c>
      <c r="I1574" s="315">
        <v>116.55494668043026</v>
      </c>
      <c r="J1574" s="315">
        <v>3.7961299323468947E-4</v>
      </c>
      <c r="K1574" s="316" t="str">
        <f t="shared" si="40"/>
        <v>Construction and Mining Equipment</v>
      </c>
      <c r="L1574" s="316" t="str">
        <f t="shared" si="41"/>
        <v>Diesel</v>
      </c>
      <c r="M1574" s="194"/>
      <c r="N1574" s="317"/>
      <c r="O1574" s="317"/>
      <c r="P1574" s="317"/>
      <c r="Q1574" s="317"/>
      <c r="R1574" s="317"/>
      <c r="S1574" s="317"/>
      <c r="T1574" s="317"/>
      <c r="U1574" s="317"/>
      <c r="V1574" s="317"/>
      <c r="W1574" s="317"/>
      <c r="X1574" s="317"/>
      <c r="Y1574" s="317"/>
      <c r="Z1574" s="317"/>
    </row>
    <row r="1575" spans="1:26" x14ac:dyDescent="0.25">
      <c r="A1575" s="314"/>
      <c r="B1575" s="18">
        <v>2023</v>
      </c>
      <c r="C1575" s="18" t="s">
        <v>731</v>
      </c>
      <c r="D1575" s="18" t="s">
        <v>782</v>
      </c>
      <c r="E1575" s="18" t="s">
        <v>713</v>
      </c>
      <c r="F1575" s="18" t="s">
        <v>714</v>
      </c>
      <c r="G1575" s="18" t="s">
        <v>674</v>
      </c>
      <c r="H1575" s="18" t="s">
        <v>783</v>
      </c>
      <c r="I1575" s="315">
        <v>116.39555356718193</v>
      </c>
      <c r="J1575" s="315">
        <v>1.1050066231094583E-3</v>
      </c>
      <c r="K1575" s="316" t="str">
        <f t="shared" si="40"/>
        <v>Construction and Mining Equipment</v>
      </c>
      <c r="L1575" s="316" t="str">
        <f t="shared" si="41"/>
        <v>Diesel</v>
      </c>
      <c r="M1575" s="194"/>
      <c r="N1575" s="317"/>
      <c r="O1575" s="317"/>
      <c r="P1575" s="317"/>
      <c r="Q1575" s="317"/>
      <c r="R1575" s="317"/>
      <c r="S1575" s="317"/>
      <c r="T1575" s="317"/>
      <c r="U1575" s="317"/>
      <c r="V1575" s="317"/>
      <c r="W1575" s="317"/>
      <c r="X1575" s="317"/>
      <c r="Y1575" s="317"/>
      <c r="Z1575" s="317"/>
    </row>
    <row r="1576" spans="1:26" x14ac:dyDescent="0.25">
      <c r="A1576" s="314"/>
      <c r="B1576" s="18">
        <v>2023</v>
      </c>
      <c r="C1576" s="18" t="s">
        <v>781</v>
      </c>
      <c r="D1576" s="18" t="s">
        <v>788</v>
      </c>
      <c r="E1576" s="18" t="s">
        <v>703</v>
      </c>
      <c r="F1576" s="18" t="s">
        <v>704</v>
      </c>
      <c r="G1576" s="18" t="s">
        <v>677</v>
      </c>
      <c r="H1576" s="18" t="s">
        <v>789</v>
      </c>
      <c r="I1576" s="315">
        <v>116.32154989732301</v>
      </c>
      <c r="J1576" s="315">
        <v>8.019590799597992E-2</v>
      </c>
      <c r="K1576" s="316" t="str">
        <f t="shared" si="40"/>
        <v>Commercial Equipment</v>
      </c>
      <c r="L1576" s="316" t="str">
        <f t="shared" si="41"/>
        <v>Gasoline</v>
      </c>
      <c r="M1576" s="194"/>
      <c r="N1576" s="317"/>
      <c r="O1576" s="317"/>
      <c r="P1576" s="317"/>
      <c r="Q1576" s="317"/>
      <c r="R1576" s="317"/>
      <c r="S1576" s="317"/>
      <c r="T1576" s="317"/>
      <c r="U1576" s="317"/>
      <c r="V1576" s="317"/>
      <c r="W1576" s="317"/>
      <c r="X1576" s="317"/>
      <c r="Y1576" s="317"/>
      <c r="Z1576" s="317"/>
    </row>
    <row r="1577" spans="1:26" x14ac:dyDescent="0.25">
      <c r="A1577" s="314"/>
      <c r="B1577" s="18">
        <v>2023</v>
      </c>
      <c r="C1577" s="18" t="s">
        <v>709</v>
      </c>
      <c r="D1577" s="18" t="s">
        <v>1073</v>
      </c>
      <c r="E1577" s="18" t="s">
        <v>703</v>
      </c>
      <c r="F1577" s="18" t="s">
        <v>704</v>
      </c>
      <c r="G1577" s="18" t="s">
        <v>674</v>
      </c>
      <c r="H1577" s="18" t="s">
        <v>1072</v>
      </c>
      <c r="I1577" s="315">
        <v>116.30291752923445</v>
      </c>
      <c r="J1577" s="315">
        <v>8.1940504583856308E-2</v>
      </c>
      <c r="K1577" s="316" t="str">
        <f t="shared" si="40"/>
        <v>Construction and Mining Equipment</v>
      </c>
      <c r="L1577" s="316" t="str">
        <f t="shared" si="41"/>
        <v>Gasoline</v>
      </c>
      <c r="M1577" s="194"/>
      <c r="N1577" s="317"/>
      <c r="O1577" s="317"/>
      <c r="P1577" s="317"/>
      <c r="Q1577" s="317"/>
      <c r="R1577" s="317"/>
      <c r="S1577" s="317"/>
      <c r="T1577" s="317"/>
      <c r="U1577" s="317"/>
      <c r="V1577" s="317"/>
      <c r="W1577" s="317"/>
      <c r="X1577" s="317"/>
      <c r="Y1577" s="317"/>
      <c r="Z1577" s="317"/>
    </row>
    <row r="1578" spans="1:26" x14ac:dyDescent="0.25">
      <c r="A1578" s="314"/>
      <c r="B1578" s="18">
        <v>2023</v>
      </c>
      <c r="C1578" s="18" t="s">
        <v>792</v>
      </c>
      <c r="D1578" s="18" t="s">
        <v>790</v>
      </c>
      <c r="E1578" s="18" t="s">
        <v>713</v>
      </c>
      <c r="F1578" s="18" t="s">
        <v>714</v>
      </c>
      <c r="G1578" s="18" t="s">
        <v>674</v>
      </c>
      <c r="H1578" s="18" t="s">
        <v>791</v>
      </c>
      <c r="I1578" s="315">
        <v>116.21244643070165</v>
      </c>
      <c r="J1578" s="315">
        <v>6.6806183220595222E-4</v>
      </c>
      <c r="K1578" s="316" t="str">
        <f t="shared" ref="K1578:K1832" si="42">IF(F1578="Pleasure Craft","Pleasure Craft",IF(F1578="Railroad Equipment","Railroad Equipment",G1578))</f>
        <v>Construction and Mining Equipment</v>
      </c>
      <c r="L1578" s="316" t="str">
        <f t="shared" ref="L1578:L1832" si="43">IF(E1578="Non-Road Gasoline","Gasoline",IF(E1578="Non-Road Diesel","Diesel",IF(RIGHT(F1578,3)="LPG","LPG",IF(RIGHT(F1578,3)="CNG","CNG",G1578))))</f>
        <v>Diesel</v>
      </c>
      <c r="M1578" s="194"/>
      <c r="N1578" s="317"/>
      <c r="O1578" s="317"/>
      <c r="P1578" s="317"/>
      <c r="Q1578" s="317"/>
      <c r="R1578" s="317"/>
      <c r="S1578" s="317"/>
      <c r="T1578" s="317"/>
      <c r="U1578" s="317"/>
      <c r="V1578" s="317"/>
      <c r="W1578" s="317"/>
      <c r="X1578" s="317"/>
      <c r="Y1578" s="317"/>
      <c r="Z1578" s="317"/>
    </row>
    <row r="1579" spans="1:26" x14ac:dyDescent="0.25">
      <c r="A1579" s="314"/>
      <c r="B1579" s="18">
        <v>2023</v>
      </c>
      <c r="C1579" s="18" t="s">
        <v>792</v>
      </c>
      <c r="D1579" s="18" t="s">
        <v>1001</v>
      </c>
      <c r="E1579" s="18" t="s">
        <v>713</v>
      </c>
      <c r="F1579" s="18" t="s">
        <v>683</v>
      </c>
      <c r="G1579" s="18" t="s">
        <v>79</v>
      </c>
      <c r="H1579" s="18" t="s">
        <v>1002</v>
      </c>
      <c r="I1579" s="315">
        <v>115.9703023595282</v>
      </c>
      <c r="J1579" s="315">
        <v>3.8979586872563243E-3</v>
      </c>
      <c r="K1579" s="316" t="str">
        <f t="shared" si="42"/>
        <v>Railroad Equipment</v>
      </c>
      <c r="L1579" s="316" t="str">
        <f t="shared" si="43"/>
        <v>Diesel</v>
      </c>
      <c r="M1579" s="194"/>
      <c r="N1579" s="317"/>
      <c r="O1579" s="317"/>
      <c r="P1579" s="317"/>
      <c r="Q1579" s="317"/>
      <c r="R1579" s="317"/>
      <c r="S1579" s="317"/>
      <c r="T1579" s="317"/>
      <c r="U1579" s="317"/>
      <c r="V1579" s="317"/>
      <c r="W1579" s="317"/>
      <c r="X1579" s="317"/>
      <c r="Y1579" s="317"/>
      <c r="Z1579" s="317"/>
    </row>
    <row r="1580" spans="1:26" x14ac:dyDescent="0.25">
      <c r="A1580" s="314"/>
      <c r="B1580" s="18">
        <v>2023</v>
      </c>
      <c r="C1580" s="18" t="s">
        <v>709</v>
      </c>
      <c r="D1580" s="18" t="s">
        <v>1074</v>
      </c>
      <c r="E1580" s="18" t="s">
        <v>713</v>
      </c>
      <c r="F1580" s="18" t="s">
        <v>714</v>
      </c>
      <c r="G1580" s="18" t="s">
        <v>674</v>
      </c>
      <c r="H1580" s="18" t="s">
        <v>967</v>
      </c>
      <c r="I1580" s="315">
        <v>115.95559687214316</v>
      </c>
      <c r="J1580" s="315">
        <v>1.9926400924398088E-3</v>
      </c>
      <c r="K1580" s="316" t="str">
        <f t="shared" si="42"/>
        <v>Construction and Mining Equipment</v>
      </c>
      <c r="L1580" s="316" t="str">
        <f t="shared" si="43"/>
        <v>Diesel</v>
      </c>
      <c r="M1580" s="194"/>
      <c r="N1580" s="317"/>
      <c r="O1580" s="317"/>
      <c r="P1580" s="317"/>
      <c r="Q1580" s="317"/>
      <c r="R1580" s="317"/>
      <c r="S1580" s="317"/>
      <c r="T1580" s="317"/>
      <c r="U1580" s="317"/>
      <c r="V1580" s="317"/>
      <c r="W1580" s="317"/>
      <c r="X1580" s="317"/>
      <c r="Y1580" s="317"/>
      <c r="Z1580" s="317"/>
    </row>
    <row r="1581" spans="1:26" x14ac:dyDescent="0.25">
      <c r="A1581" s="314"/>
      <c r="B1581" s="18">
        <v>2023</v>
      </c>
      <c r="C1581" s="18" t="s">
        <v>753</v>
      </c>
      <c r="D1581" s="18" t="s">
        <v>855</v>
      </c>
      <c r="E1581" s="18" t="s">
        <v>713</v>
      </c>
      <c r="F1581" s="18" t="s">
        <v>714</v>
      </c>
      <c r="G1581" s="18" t="s">
        <v>674</v>
      </c>
      <c r="H1581" s="18" t="s">
        <v>856</v>
      </c>
      <c r="I1581" s="315">
        <v>115.61065610517214</v>
      </c>
      <c r="J1581" s="315">
        <v>7.3053091999380581E-4</v>
      </c>
      <c r="K1581" s="316" t="str">
        <f t="shared" si="42"/>
        <v>Construction and Mining Equipment</v>
      </c>
      <c r="L1581" s="316" t="str">
        <f t="shared" si="43"/>
        <v>Diesel</v>
      </c>
      <c r="M1581" s="194"/>
      <c r="N1581" s="317"/>
      <c r="O1581" s="317"/>
      <c r="P1581" s="317"/>
      <c r="Q1581" s="317"/>
      <c r="R1581" s="317"/>
      <c r="S1581" s="317"/>
      <c r="T1581" s="317"/>
      <c r="U1581" s="317"/>
      <c r="V1581" s="317"/>
      <c r="W1581" s="317"/>
      <c r="X1581" s="317"/>
      <c r="Y1581" s="317"/>
      <c r="Z1581" s="317"/>
    </row>
    <row r="1582" spans="1:26" x14ac:dyDescent="0.25">
      <c r="A1582" s="314"/>
      <c r="B1582" s="18">
        <v>2023</v>
      </c>
      <c r="C1582" s="18" t="s">
        <v>786</v>
      </c>
      <c r="D1582" s="18" t="s">
        <v>782</v>
      </c>
      <c r="E1582" s="18" t="s">
        <v>713</v>
      </c>
      <c r="F1582" s="18" t="s">
        <v>714</v>
      </c>
      <c r="G1582" s="18" t="s">
        <v>674</v>
      </c>
      <c r="H1582" s="18" t="s">
        <v>783</v>
      </c>
      <c r="I1582" s="315">
        <v>115.60281646712886</v>
      </c>
      <c r="J1582" s="315">
        <v>1.0974810106515755E-3</v>
      </c>
      <c r="K1582" s="316" t="str">
        <f t="shared" si="42"/>
        <v>Construction and Mining Equipment</v>
      </c>
      <c r="L1582" s="316" t="str">
        <f t="shared" si="43"/>
        <v>Diesel</v>
      </c>
      <c r="M1582" s="194"/>
      <c r="N1582" s="317"/>
      <c r="O1582" s="317"/>
      <c r="P1582" s="317"/>
      <c r="Q1582" s="317"/>
      <c r="R1582" s="317"/>
      <c r="S1582" s="317"/>
      <c r="T1582" s="317"/>
      <c r="U1582" s="317"/>
      <c r="V1582" s="317"/>
      <c r="W1582" s="317"/>
      <c r="X1582" s="317"/>
      <c r="Y1582" s="317"/>
      <c r="Z1582" s="317"/>
    </row>
    <row r="1583" spans="1:26" x14ac:dyDescent="0.25">
      <c r="A1583" s="314"/>
      <c r="B1583" s="18">
        <v>2023</v>
      </c>
      <c r="C1583" s="18" t="s">
        <v>732</v>
      </c>
      <c r="D1583" s="18" t="s">
        <v>984</v>
      </c>
      <c r="E1583" s="18" t="s">
        <v>703</v>
      </c>
      <c r="F1583" s="18" t="s">
        <v>704</v>
      </c>
      <c r="G1583" s="18" t="s">
        <v>673</v>
      </c>
      <c r="H1583" s="18" t="s">
        <v>985</v>
      </c>
      <c r="I1583" s="315">
        <v>115.54306184165424</v>
      </c>
      <c r="J1583" s="315">
        <v>7.8659483906685757E-2</v>
      </c>
      <c r="K1583" s="316" t="str">
        <f t="shared" si="42"/>
        <v>Lawn and Garden Equipment</v>
      </c>
      <c r="L1583" s="316" t="str">
        <f t="shared" si="43"/>
        <v>Gasoline</v>
      </c>
      <c r="M1583" s="194"/>
      <c r="N1583" s="317"/>
      <c r="O1583" s="317"/>
      <c r="P1583" s="317"/>
      <c r="Q1583" s="317"/>
      <c r="R1583" s="317"/>
      <c r="S1583" s="317"/>
      <c r="T1583" s="317"/>
      <c r="U1583" s="317"/>
      <c r="V1583" s="317"/>
      <c r="W1583" s="317"/>
      <c r="X1583" s="317"/>
      <c r="Y1583" s="317"/>
      <c r="Z1583" s="317"/>
    </row>
    <row r="1584" spans="1:26" x14ac:dyDescent="0.25">
      <c r="A1584" s="314"/>
      <c r="B1584" s="18">
        <v>2023</v>
      </c>
      <c r="C1584" s="18" t="s">
        <v>773</v>
      </c>
      <c r="D1584" s="18" t="s">
        <v>807</v>
      </c>
      <c r="E1584" s="18" t="s">
        <v>703</v>
      </c>
      <c r="F1584" s="18" t="s">
        <v>805</v>
      </c>
      <c r="G1584" s="18" t="s">
        <v>673</v>
      </c>
      <c r="H1584" s="18" t="s">
        <v>749</v>
      </c>
      <c r="I1584" s="315">
        <v>115.15299857260884</v>
      </c>
      <c r="J1584" s="315">
        <v>0.21541289195790916</v>
      </c>
      <c r="K1584" s="316" t="str">
        <f t="shared" si="42"/>
        <v>Lawn and Garden Equipment</v>
      </c>
      <c r="L1584" s="316" t="str">
        <f t="shared" si="43"/>
        <v>Gasoline</v>
      </c>
      <c r="M1584" s="194"/>
      <c r="N1584" s="317"/>
      <c r="O1584" s="317"/>
      <c r="P1584" s="317"/>
      <c r="Q1584" s="317"/>
      <c r="R1584" s="317"/>
      <c r="S1584" s="317"/>
      <c r="T1584" s="317"/>
      <c r="U1584" s="317"/>
      <c r="V1584" s="317"/>
      <c r="W1584" s="317"/>
      <c r="X1584" s="317"/>
      <c r="Y1584" s="317"/>
      <c r="Z1584" s="317"/>
    </row>
    <row r="1585" spans="1:26" x14ac:dyDescent="0.25">
      <c r="A1585" s="314"/>
      <c r="B1585" s="18">
        <v>2023</v>
      </c>
      <c r="C1585" s="18" t="s">
        <v>753</v>
      </c>
      <c r="D1585" s="18" t="s">
        <v>866</v>
      </c>
      <c r="E1585" s="18" t="s">
        <v>713</v>
      </c>
      <c r="F1585" s="18" t="s">
        <v>714</v>
      </c>
      <c r="G1585" s="18" t="s">
        <v>677</v>
      </c>
      <c r="H1585" s="18" t="s">
        <v>841</v>
      </c>
      <c r="I1585" s="315">
        <v>115.10121631896055</v>
      </c>
      <c r="J1585" s="315">
        <v>2.870167360652895E-3</v>
      </c>
      <c r="K1585" s="316" t="str">
        <f t="shared" si="42"/>
        <v>Commercial Equipment</v>
      </c>
      <c r="L1585" s="316" t="str">
        <f t="shared" si="43"/>
        <v>Diesel</v>
      </c>
      <c r="M1585" s="194"/>
      <c r="N1585" s="317"/>
      <c r="O1585" s="317"/>
      <c r="P1585" s="317"/>
      <c r="Q1585" s="317"/>
      <c r="R1585" s="317"/>
      <c r="S1585" s="317"/>
      <c r="T1585" s="317"/>
      <c r="U1585" s="317"/>
      <c r="V1585" s="317"/>
      <c r="W1585" s="317"/>
      <c r="X1585" s="317"/>
      <c r="Y1585" s="317"/>
      <c r="Z1585" s="317"/>
    </row>
    <row r="1586" spans="1:26" x14ac:dyDescent="0.25">
      <c r="A1586" s="314"/>
      <c r="B1586" s="18">
        <v>2023</v>
      </c>
      <c r="C1586" s="18" t="s">
        <v>760</v>
      </c>
      <c r="D1586" s="18" t="s">
        <v>986</v>
      </c>
      <c r="E1586" s="18" t="s">
        <v>703</v>
      </c>
      <c r="F1586" s="18" t="s">
        <v>704</v>
      </c>
      <c r="G1586" s="18" t="s">
        <v>673</v>
      </c>
      <c r="H1586" s="18" t="s">
        <v>987</v>
      </c>
      <c r="I1586" s="315">
        <v>114.9666680367248</v>
      </c>
      <c r="J1586" s="315">
        <v>7.88107341305255E-2</v>
      </c>
      <c r="K1586" s="316" t="str">
        <f t="shared" si="42"/>
        <v>Lawn and Garden Equipment</v>
      </c>
      <c r="L1586" s="316" t="str">
        <f t="shared" si="43"/>
        <v>Gasoline</v>
      </c>
      <c r="M1586" s="194"/>
      <c r="N1586" s="317"/>
      <c r="O1586" s="317"/>
      <c r="P1586" s="317"/>
      <c r="Q1586" s="317"/>
      <c r="R1586" s="317"/>
      <c r="S1586" s="317"/>
      <c r="T1586" s="317"/>
      <c r="U1586" s="317"/>
      <c r="V1586" s="317"/>
      <c r="W1586" s="317"/>
      <c r="X1586" s="317"/>
      <c r="Y1586" s="317"/>
      <c r="Z1586" s="317"/>
    </row>
    <row r="1587" spans="1:26" x14ac:dyDescent="0.25">
      <c r="A1587" s="314"/>
      <c r="B1587" s="18">
        <v>2023</v>
      </c>
      <c r="C1587" s="18" t="s">
        <v>762</v>
      </c>
      <c r="D1587" s="18" t="s">
        <v>803</v>
      </c>
      <c r="E1587" s="18" t="s">
        <v>703</v>
      </c>
      <c r="F1587" s="18" t="s">
        <v>805</v>
      </c>
      <c r="G1587" s="18" t="s">
        <v>673</v>
      </c>
      <c r="H1587" s="18" t="s">
        <v>806</v>
      </c>
      <c r="I1587" s="315">
        <v>114.85855858363396</v>
      </c>
      <c r="J1587" s="315">
        <v>0.22733059673103601</v>
      </c>
      <c r="K1587" s="316" t="str">
        <f t="shared" si="42"/>
        <v>Lawn and Garden Equipment</v>
      </c>
      <c r="L1587" s="316" t="str">
        <f t="shared" si="43"/>
        <v>Gasoline</v>
      </c>
      <c r="M1587" s="194"/>
      <c r="N1587" s="317"/>
      <c r="O1587" s="317"/>
      <c r="P1587" s="317"/>
      <c r="Q1587" s="317"/>
      <c r="R1587" s="317"/>
      <c r="S1587" s="317"/>
      <c r="T1587" s="317"/>
      <c r="U1587" s="317"/>
      <c r="V1587" s="317"/>
      <c r="W1587" s="317"/>
      <c r="X1587" s="317"/>
      <c r="Y1587" s="317"/>
      <c r="Z1587" s="317"/>
    </row>
    <row r="1588" spans="1:26" x14ac:dyDescent="0.25">
      <c r="A1588" s="314"/>
      <c r="B1588" s="18">
        <v>2023</v>
      </c>
      <c r="C1588" s="18" t="s">
        <v>743</v>
      </c>
      <c r="D1588" s="18" t="s">
        <v>997</v>
      </c>
      <c r="E1588" s="18" t="s">
        <v>56</v>
      </c>
      <c r="F1588" s="18" t="s">
        <v>672</v>
      </c>
      <c r="G1588" s="18" t="s">
        <v>675</v>
      </c>
      <c r="H1588" s="18" t="s">
        <v>969</v>
      </c>
      <c r="I1588" s="315">
        <v>114.59897462560932</v>
      </c>
      <c r="J1588" s="315">
        <v>1.4258399380257133E-2</v>
      </c>
      <c r="K1588" s="316" t="str">
        <f t="shared" si="42"/>
        <v>Industrial Equipment</v>
      </c>
      <c r="L1588" s="316" t="str">
        <f t="shared" si="43"/>
        <v>LPG</v>
      </c>
      <c r="M1588" s="194"/>
      <c r="N1588" s="317"/>
      <c r="O1588" s="317"/>
      <c r="P1588" s="317"/>
      <c r="Q1588" s="317"/>
      <c r="R1588" s="317"/>
      <c r="S1588" s="317"/>
      <c r="T1588" s="317"/>
      <c r="U1588" s="317"/>
      <c r="V1588" s="317"/>
      <c r="W1588" s="317"/>
      <c r="X1588" s="317"/>
      <c r="Y1588" s="317"/>
      <c r="Z1588" s="317"/>
    </row>
    <row r="1589" spans="1:26" x14ac:dyDescent="0.25">
      <c r="A1589" s="314"/>
      <c r="B1589" s="18">
        <v>2023</v>
      </c>
      <c r="C1589" s="18" t="s">
        <v>743</v>
      </c>
      <c r="D1589" s="18" t="s">
        <v>868</v>
      </c>
      <c r="E1589" s="18" t="s">
        <v>703</v>
      </c>
      <c r="F1589" s="18" t="s">
        <v>704</v>
      </c>
      <c r="G1589" s="18" t="s">
        <v>673</v>
      </c>
      <c r="H1589" s="18" t="s">
        <v>758</v>
      </c>
      <c r="I1589" s="315">
        <v>114.52110432324953</v>
      </c>
      <c r="J1589" s="315">
        <v>7.5243459146161012E-2</v>
      </c>
      <c r="K1589" s="316" t="str">
        <f t="shared" si="42"/>
        <v>Lawn and Garden Equipment</v>
      </c>
      <c r="L1589" s="316" t="str">
        <f t="shared" si="43"/>
        <v>Gasoline</v>
      </c>
      <c r="M1589" s="194"/>
      <c r="N1589" s="317"/>
      <c r="O1589" s="317"/>
      <c r="P1589" s="317"/>
      <c r="Q1589" s="317"/>
      <c r="R1589" s="317"/>
      <c r="S1589" s="317"/>
      <c r="T1589" s="317"/>
      <c r="U1589" s="317"/>
      <c r="V1589" s="317"/>
      <c r="W1589" s="317"/>
      <c r="X1589" s="317"/>
      <c r="Y1589" s="317"/>
      <c r="Z1589" s="317"/>
    </row>
    <row r="1590" spans="1:26" x14ac:dyDescent="0.25">
      <c r="A1590" s="314"/>
      <c r="B1590" s="18">
        <v>2023</v>
      </c>
      <c r="C1590" s="18" t="s">
        <v>731</v>
      </c>
      <c r="D1590" s="18" t="s">
        <v>846</v>
      </c>
      <c r="E1590" s="18" t="s">
        <v>713</v>
      </c>
      <c r="F1590" s="18" t="s">
        <v>714</v>
      </c>
      <c r="G1590" s="18" t="s">
        <v>677</v>
      </c>
      <c r="H1590" s="18" t="s">
        <v>836</v>
      </c>
      <c r="I1590" s="315">
        <v>113.90415694161698</v>
      </c>
      <c r="J1590" s="315">
        <v>4.404523978658397E-3</v>
      </c>
      <c r="K1590" s="316" t="str">
        <f t="shared" si="42"/>
        <v>Commercial Equipment</v>
      </c>
      <c r="L1590" s="316" t="str">
        <f t="shared" si="43"/>
        <v>Diesel</v>
      </c>
      <c r="M1590" s="194"/>
      <c r="N1590" s="317"/>
      <c r="O1590" s="317"/>
      <c r="P1590" s="317"/>
      <c r="Q1590" s="317"/>
      <c r="R1590" s="317"/>
      <c r="S1590" s="317"/>
      <c r="T1590" s="317"/>
      <c r="U1590" s="317"/>
      <c r="V1590" s="317"/>
      <c r="W1590" s="317"/>
      <c r="X1590" s="317"/>
      <c r="Y1590" s="317"/>
      <c r="Z1590" s="317"/>
    </row>
    <row r="1591" spans="1:26" x14ac:dyDescent="0.25">
      <c r="A1591" s="314"/>
      <c r="B1591" s="18">
        <v>2023</v>
      </c>
      <c r="C1591" s="18" t="s">
        <v>793</v>
      </c>
      <c r="D1591" s="18" t="s">
        <v>799</v>
      </c>
      <c r="E1591" s="18" t="s">
        <v>703</v>
      </c>
      <c r="F1591" s="18" t="s">
        <v>795</v>
      </c>
      <c r="G1591" s="18" t="s">
        <v>673</v>
      </c>
      <c r="H1591" s="18" t="s">
        <v>800</v>
      </c>
      <c r="I1591" s="315">
        <v>113.57228187061436</v>
      </c>
      <c r="J1591" s="315">
        <v>0.21270145998791584</v>
      </c>
      <c r="K1591" s="316" t="str">
        <f t="shared" si="42"/>
        <v>Lawn and Garden Equipment</v>
      </c>
      <c r="L1591" s="316" t="str">
        <f t="shared" si="43"/>
        <v>Gasoline</v>
      </c>
      <c r="M1591" s="194"/>
      <c r="N1591" s="317"/>
      <c r="O1591" s="317"/>
      <c r="P1591" s="317"/>
      <c r="Q1591" s="317"/>
      <c r="R1591" s="317"/>
      <c r="S1591" s="317"/>
      <c r="T1591" s="317"/>
      <c r="U1591" s="317"/>
      <c r="V1591" s="317"/>
      <c r="W1591" s="317"/>
      <c r="X1591" s="317"/>
      <c r="Y1591" s="317"/>
      <c r="Z1591" s="317"/>
    </row>
    <row r="1592" spans="1:26" x14ac:dyDescent="0.25">
      <c r="A1592" s="314"/>
      <c r="B1592" s="18">
        <v>2023</v>
      </c>
      <c r="C1592" s="18" t="s">
        <v>778</v>
      </c>
      <c r="D1592" s="18" t="s">
        <v>971</v>
      </c>
      <c r="E1592" s="18" t="s">
        <v>713</v>
      </c>
      <c r="F1592" s="18" t="s">
        <v>714</v>
      </c>
      <c r="G1592" s="18" t="s">
        <v>678</v>
      </c>
      <c r="H1592" s="18" t="s">
        <v>972</v>
      </c>
      <c r="I1592" s="315">
        <v>112.60752110734634</v>
      </c>
      <c r="J1592" s="315">
        <v>6.2549858295524391E-4</v>
      </c>
      <c r="K1592" s="316" t="str">
        <f t="shared" si="42"/>
        <v>Agricultural Equipment</v>
      </c>
      <c r="L1592" s="316" t="str">
        <f t="shared" si="43"/>
        <v>Diesel</v>
      </c>
      <c r="M1592" s="194"/>
      <c r="N1592" s="317"/>
      <c r="O1592" s="317"/>
      <c r="P1592" s="317"/>
      <c r="Q1592" s="317"/>
      <c r="R1592" s="317"/>
      <c r="S1592" s="317"/>
      <c r="T1592" s="317"/>
      <c r="U1592" s="317"/>
      <c r="V1592" s="317"/>
      <c r="W1592" s="317"/>
      <c r="X1592" s="317"/>
      <c r="Y1592" s="317"/>
      <c r="Z1592" s="317"/>
    </row>
    <row r="1593" spans="1:26" x14ac:dyDescent="0.25">
      <c r="A1593" s="314"/>
      <c r="B1593" s="18">
        <v>2023</v>
      </c>
      <c r="C1593" s="18" t="s">
        <v>787</v>
      </c>
      <c r="D1593" s="18" t="s">
        <v>920</v>
      </c>
      <c r="E1593" s="18" t="s">
        <v>703</v>
      </c>
      <c r="F1593" s="18" t="s">
        <v>704</v>
      </c>
      <c r="G1593" s="18" t="s">
        <v>673</v>
      </c>
      <c r="H1593" s="18" t="s">
        <v>921</v>
      </c>
      <c r="I1593" s="315">
        <v>112.2858797567654</v>
      </c>
      <c r="J1593" s="315">
        <v>7.1312831595940276E-2</v>
      </c>
      <c r="K1593" s="316" t="str">
        <f t="shared" si="42"/>
        <v>Lawn and Garden Equipment</v>
      </c>
      <c r="L1593" s="316" t="str">
        <f t="shared" si="43"/>
        <v>Gasoline</v>
      </c>
      <c r="M1593" s="194"/>
      <c r="N1593" s="317"/>
      <c r="O1593" s="317"/>
      <c r="P1593" s="317"/>
      <c r="Q1593" s="317"/>
      <c r="R1593" s="317"/>
      <c r="S1593" s="317"/>
      <c r="T1593" s="317"/>
      <c r="U1593" s="317"/>
      <c r="V1593" s="317"/>
      <c r="W1593" s="317"/>
      <c r="X1593" s="317"/>
      <c r="Y1593" s="317"/>
      <c r="Z1593" s="317"/>
    </row>
    <row r="1594" spans="1:26" x14ac:dyDescent="0.25">
      <c r="A1594" s="314"/>
      <c r="B1594" s="18">
        <v>2023</v>
      </c>
      <c r="C1594" s="18" t="s">
        <v>709</v>
      </c>
      <c r="D1594" s="18" t="s">
        <v>1076</v>
      </c>
      <c r="E1594" s="18" t="s">
        <v>703</v>
      </c>
      <c r="F1594" s="18" t="s">
        <v>704</v>
      </c>
      <c r="G1594" s="18" t="s">
        <v>674</v>
      </c>
      <c r="H1594" s="18" t="s">
        <v>756</v>
      </c>
      <c r="I1594" s="315">
        <v>112.12775250165696</v>
      </c>
      <c r="J1594" s="315">
        <v>4.9211992542966661E-2</v>
      </c>
      <c r="K1594" s="316" t="str">
        <f t="shared" si="42"/>
        <v>Construction and Mining Equipment</v>
      </c>
      <c r="L1594" s="316" t="str">
        <f t="shared" si="43"/>
        <v>Gasoline</v>
      </c>
      <c r="M1594" s="194"/>
      <c r="N1594" s="317"/>
      <c r="O1594" s="317"/>
      <c r="P1594" s="317"/>
      <c r="Q1594" s="317"/>
      <c r="R1594" s="317"/>
      <c r="S1594" s="317"/>
      <c r="T1594" s="317"/>
      <c r="U1594" s="317"/>
      <c r="V1594" s="317"/>
      <c r="W1594" s="317"/>
      <c r="X1594" s="317"/>
      <c r="Y1594" s="317"/>
      <c r="Z1594" s="317"/>
    </row>
    <row r="1595" spans="1:26" x14ac:dyDescent="0.25">
      <c r="A1595" s="314"/>
      <c r="B1595" s="18">
        <v>2023</v>
      </c>
      <c r="C1595" s="18" t="s">
        <v>759</v>
      </c>
      <c r="D1595" s="18" t="s">
        <v>752</v>
      </c>
      <c r="E1595" s="18" t="s">
        <v>713</v>
      </c>
      <c r="F1595" s="18" t="s">
        <v>714</v>
      </c>
      <c r="G1595" s="18" t="s">
        <v>675</v>
      </c>
      <c r="H1595" s="18" t="s">
        <v>708</v>
      </c>
      <c r="I1595" s="315">
        <v>112.02700786170635</v>
      </c>
      <c r="J1595" s="315">
        <v>5.7135679195341113E-4</v>
      </c>
      <c r="K1595" s="316" t="str">
        <f t="shared" si="42"/>
        <v>Industrial Equipment</v>
      </c>
      <c r="L1595" s="316" t="str">
        <f t="shared" si="43"/>
        <v>Diesel</v>
      </c>
      <c r="M1595" s="194"/>
      <c r="N1595" s="317"/>
      <c r="O1595" s="317"/>
      <c r="P1595" s="317"/>
      <c r="Q1595" s="317"/>
      <c r="R1595" s="317"/>
      <c r="S1595" s="317"/>
      <c r="T1595" s="317"/>
      <c r="U1595" s="317"/>
      <c r="V1595" s="317"/>
      <c r="W1595" s="317"/>
      <c r="X1595" s="317"/>
      <c r="Y1595" s="317"/>
      <c r="Z1595" s="317"/>
    </row>
    <row r="1596" spans="1:26" x14ac:dyDescent="0.25">
      <c r="A1596" s="314"/>
      <c r="B1596" s="18">
        <v>2023</v>
      </c>
      <c r="C1596" s="18" t="s">
        <v>792</v>
      </c>
      <c r="D1596" s="18" t="s">
        <v>866</v>
      </c>
      <c r="E1596" s="18" t="s">
        <v>713</v>
      </c>
      <c r="F1596" s="18" t="s">
        <v>714</v>
      </c>
      <c r="G1596" s="18" t="s">
        <v>677</v>
      </c>
      <c r="H1596" s="18" t="s">
        <v>841</v>
      </c>
      <c r="I1596" s="315">
        <v>111.66535605526171</v>
      </c>
      <c r="J1596" s="315">
        <v>2.7844875739121283E-3</v>
      </c>
      <c r="K1596" s="316" t="str">
        <f t="shared" si="42"/>
        <v>Commercial Equipment</v>
      </c>
      <c r="L1596" s="316" t="str">
        <f t="shared" si="43"/>
        <v>Diesel</v>
      </c>
      <c r="M1596" s="194"/>
      <c r="N1596" s="317"/>
      <c r="O1596" s="317"/>
      <c r="P1596" s="317"/>
      <c r="Q1596" s="317"/>
      <c r="R1596" s="317"/>
      <c r="S1596" s="317"/>
      <c r="T1596" s="317"/>
      <c r="U1596" s="317"/>
      <c r="V1596" s="317"/>
      <c r="W1596" s="317"/>
      <c r="X1596" s="317"/>
      <c r="Y1596" s="317"/>
      <c r="Z1596" s="317"/>
    </row>
    <row r="1597" spans="1:26" x14ac:dyDescent="0.25">
      <c r="A1597" s="314"/>
      <c r="B1597" s="18">
        <v>2023</v>
      </c>
      <c r="C1597" s="18" t="s">
        <v>750</v>
      </c>
      <c r="D1597" s="18" t="s">
        <v>920</v>
      </c>
      <c r="E1597" s="18" t="s">
        <v>703</v>
      </c>
      <c r="F1597" s="18" t="s">
        <v>704</v>
      </c>
      <c r="G1597" s="18" t="s">
        <v>673</v>
      </c>
      <c r="H1597" s="18" t="s">
        <v>921</v>
      </c>
      <c r="I1597" s="315">
        <v>111.56065674430603</v>
      </c>
      <c r="J1597" s="315">
        <v>7.060920524527857E-2</v>
      </c>
      <c r="K1597" s="316" t="str">
        <f t="shared" si="42"/>
        <v>Lawn and Garden Equipment</v>
      </c>
      <c r="L1597" s="316" t="str">
        <f t="shared" si="43"/>
        <v>Gasoline</v>
      </c>
      <c r="M1597" s="194"/>
      <c r="N1597" s="317"/>
      <c r="O1597" s="317"/>
      <c r="P1597" s="317"/>
      <c r="Q1597" s="317"/>
      <c r="R1597" s="317"/>
      <c r="S1597" s="317"/>
      <c r="T1597" s="317"/>
      <c r="U1597" s="317"/>
      <c r="V1597" s="317"/>
      <c r="W1597" s="317"/>
      <c r="X1597" s="317"/>
      <c r="Y1597" s="317"/>
      <c r="Z1597" s="317"/>
    </row>
    <row r="1598" spans="1:26" x14ac:dyDescent="0.25">
      <c r="A1598" s="314"/>
      <c r="B1598" s="18">
        <v>2023</v>
      </c>
      <c r="C1598" s="18" t="s">
        <v>722</v>
      </c>
      <c r="D1598" s="18" t="s">
        <v>997</v>
      </c>
      <c r="E1598" s="18" t="s">
        <v>56</v>
      </c>
      <c r="F1598" s="18" t="s">
        <v>672</v>
      </c>
      <c r="G1598" s="18" t="s">
        <v>675</v>
      </c>
      <c r="H1598" s="18" t="s">
        <v>969</v>
      </c>
      <c r="I1598" s="315">
        <v>111.30130672171579</v>
      </c>
      <c r="J1598" s="315">
        <v>1.384808744385849E-2</v>
      </c>
      <c r="K1598" s="316" t="str">
        <f t="shared" si="42"/>
        <v>Industrial Equipment</v>
      </c>
      <c r="L1598" s="316" t="str">
        <f t="shared" si="43"/>
        <v>LPG</v>
      </c>
      <c r="M1598" s="194"/>
      <c r="N1598" s="317"/>
      <c r="O1598" s="317"/>
      <c r="P1598" s="317"/>
      <c r="Q1598" s="317"/>
      <c r="R1598" s="317"/>
      <c r="S1598" s="317"/>
      <c r="T1598" s="317"/>
      <c r="U1598" s="317"/>
      <c r="V1598" s="317"/>
      <c r="W1598" s="317"/>
      <c r="X1598" s="317"/>
      <c r="Y1598" s="317"/>
      <c r="Z1598" s="317"/>
    </row>
    <row r="1599" spans="1:26" x14ac:dyDescent="0.25">
      <c r="A1599" s="314"/>
      <c r="B1599" s="18">
        <v>2023</v>
      </c>
      <c r="C1599" s="18" t="s">
        <v>753</v>
      </c>
      <c r="D1599" s="18" t="s">
        <v>858</v>
      </c>
      <c r="E1599" s="18" t="s">
        <v>713</v>
      </c>
      <c r="F1599" s="18" t="s">
        <v>714</v>
      </c>
      <c r="G1599" s="18" t="s">
        <v>674</v>
      </c>
      <c r="H1599" s="18" t="s">
        <v>859</v>
      </c>
      <c r="I1599" s="315">
        <v>111.21634277049237</v>
      </c>
      <c r="J1599" s="315">
        <v>9.8720250712986822E-4</v>
      </c>
      <c r="K1599" s="316" t="str">
        <f t="shared" si="42"/>
        <v>Construction and Mining Equipment</v>
      </c>
      <c r="L1599" s="316" t="str">
        <f t="shared" si="43"/>
        <v>Diesel</v>
      </c>
      <c r="M1599" s="194"/>
      <c r="N1599" s="317"/>
      <c r="O1599" s="317"/>
      <c r="P1599" s="317"/>
      <c r="Q1599" s="317"/>
      <c r="R1599" s="317"/>
      <c r="S1599" s="317"/>
      <c r="T1599" s="317"/>
      <c r="U1599" s="317"/>
      <c r="V1599" s="317"/>
      <c r="W1599" s="317"/>
      <c r="X1599" s="317"/>
      <c r="Y1599" s="317"/>
      <c r="Z1599" s="317"/>
    </row>
    <row r="1600" spans="1:26" x14ac:dyDescent="0.25">
      <c r="A1600" s="314"/>
      <c r="B1600" s="18">
        <v>2023</v>
      </c>
      <c r="C1600" s="18" t="s">
        <v>760</v>
      </c>
      <c r="D1600" s="18" t="s">
        <v>927</v>
      </c>
      <c r="E1600" s="18" t="s">
        <v>56</v>
      </c>
      <c r="F1600" s="18" t="s">
        <v>672</v>
      </c>
      <c r="G1600" s="18" t="s">
        <v>673</v>
      </c>
      <c r="H1600" s="18" t="s">
        <v>742</v>
      </c>
      <c r="I1600" s="315">
        <v>111.06981603724259</v>
      </c>
      <c r="J1600" s="315">
        <v>5.0458754387945432E-3</v>
      </c>
      <c r="K1600" s="316" t="str">
        <f t="shared" si="42"/>
        <v>Lawn and Garden Equipment</v>
      </c>
      <c r="L1600" s="316" t="str">
        <f t="shared" si="43"/>
        <v>LPG</v>
      </c>
      <c r="M1600" s="194"/>
      <c r="N1600" s="317"/>
      <c r="O1600" s="317"/>
      <c r="P1600" s="317"/>
      <c r="Q1600" s="317"/>
      <c r="R1600" s="317"/>
      <c r="S1600" s="317"/>
      <c r="T1600" s="317"/>
      <c r="U1600" s="317"/>
      <c r="V1600" s="317"/>
      <c r="W1600" s="317"/>
      <c r="X1600" s="317"/>
      <c r="Y1600" s="317"/>
      <c r="Z1600" s="317"/>
    </row>
    <row r="1601" spans="1:26" x14ac:dyDescent="0.25">
      <c r="A1601" s="314"/>
      <c r="B1601" s="18">
        <v>2023</v>
      </c>
      <c r="C1601" s="18" t="s">
        <v>773</v>
      </c>
      <c r="D1601" s="18" t="s">
        <v>920</v>
      </c>
      <c r="E1601" s="18" t="s">
        <v>703</v>
      </c>
      <c r="F1601" s="18" t="s">
        <v>704</v>
      </c>
      <c r="G1601" s="18" t="s">
        <v>673</v>
      </c>
      <c r="H1601" s="18" t="s">
        <v>921</v>
      </c>
      <c r="I1601" s="315">
        <v>110.85099723079833</v>
      </c>
      <c r="J1601" s="315">
        <v>7.007926488597771E-2</v>
      </c>
      <c r="K1601" s="316" t="str">
        <f t="shared" si="42"/>
        <v>Lawn and Garden Equipment</v>
      </c>
      <c r="L1601" s="316" t="str">
        <f t="shared" si="43"/>
        <v>Gasoline</v>
      </c>
      <c r="M1601" s="194"/>
      <c r="N1601" s="317"/>
      <c r="O1601" s="317"/>
      <c r="P1601" s="317"/>
      <c r="Q1601" s="317"/>
      <c r="R1601" s="317"/>
      <c r="S1601" s="317"/>
      <c r="T1601" s="317"/>
      <c r="U1601" s="317"/>
      <c r="V1601" s="317"/>
      <c r="W1601" s="317"/>
      <c r="X1601" s="317"/>
      <c r="Y1601" s="317"/>
      <c r="Z1601" s="317"/>
    </row>
    <row r="1602" spans="1:26" x14ac:dyDescent="0.25">
      <c r="A1602" s="314"/>
      <c r="B1602" s="18">
        <v>2023</v>
      </c>
      <c r="C1602" s="18" t="s">
        <v>743</v>
      </c>
      <c r="D1602" s="18" t="s">
        <v>894</v>
      </c>
      <c r="E1602" s="18" t="s">
        <v>713</v>
      </c>
      <c r="F1602" s="18" t="s">
        <v>714</v>
      </c>
      <c r="G1602" s="18" t="s">
        <v>681</v>
      </c>
      <c r="H1602" s="18" t="s">
        <v>895</v>
      </c>
      <c r="I1602" s="315">
        <v>110.82316926980054</v>
      </c>
      <c r="J1602" s="315">
        <v>2.1731996306467233E-4</v>
      </c>
      <c r="K1602" s="316" t="str">
        <f t="shared" si="42"/>
        <v>Logging Equipment</v>
      </c>
      <c r="L1602" s="316" t="str">
        <f t="shared" si="43"/>
        <v>Diesel</v>
      </c>
      <c r="M1602" s="194"/>
      <c r="N1602" s="317"/>
      <c r="O1602" s="317"/>
      <c r="P1602" s="317"/>
      <c r="Q1602" s="317"/>
      <c r="R1602" s="317"/>
      <c r="S1602" s="317"/>
      <c r="T1602" s="317"/>
      <c r="U1602" s="317"/>
      <c r="V1602" s="317"/>
      <c r="W1602" s="317"/>
      <c r="X1602" s="317"/>
      <c r="Y1602" s="317"/>
      <c r="Z1602" s="317"/>
    </row>
    <row r="1603" spans="1:26" x14ac:dyDescent="0.25">
      <c r="A1603" s="314"/>
      <c r="B1603" s="18">
        <v>2023</v>
      </c>
      <c r="C1603" s="18" t="s">
        <v>701</v>
      </c>
      <c r="D1603" s="18" t="s">
        <v>1071</v>
      </c>
      <c r="E1603" s="18" t="s">
        <v>713</v>
      </c>
      <c r="F1603" s="18" t="s">
        <v>714</v>
      </c>
      <c r="G1603" s="18" t="s">
        <v>674</v>
      </c>
      <c r="H1603" s="18" t="s">
        <v>1072</v>
      </c>
      <c r="I1603" s="315">
        <v>110.75773166113885</v>
      </c>
      <c r="J1603" s="315">
        <v>1.4829730109260138E-3</v>
      </c>
      <c r="K1603" s="316" t="str">
        <f t="shared" si="42"/>
        <v>Construction and Mining Equipment</v>
      </c>
      <c r="L1603" s="316" t="str">
        <f t="shared" si="43"/>
        <v>Diesel</v>
      </c>
      <c r="M1603" s="194"/>
      <c r="N1603" s="317"/>
      <c r="O1603" s="317"/>
      <c r="P1603" s="317"/>
      <c r="Q1603" s="317"/>
      <c r="R1603" s="317"/>
      <c r="S1603" s="317"/>
      <c r="T1603" s="317"/>
      <c r="U1603" s="317"/>
      <c r="V1603" s="317"/>
      <c r="W1603" s="317"/>
      <c r="X1603" s="317"/>
      <c r="Y1603" s="317"/>
      <c r="Z1603" s="317"/>
    </row>
    <row r="1604" spans="1:26" x14ac:dyDescent="0.25">
      <c r="A1604" s="314"/>
      <c r="B1604" s="18">
        <v>2023</v>
      </c>
      <c r="C1604" s="18" t="s">
        <v>787</v>
      </c>
      <c r="D1604" s="18" t="s">
        <v>866</v>
      </c>
      <c r="E1604" s="18" t="s">
        <v>713</v>
      </c>
      <c r="F1604" s="18" t="s">
        <v>714</v>
      </c>
      <c r="G1604" s="18" t="s">
        <v>677</v>
      </c>
      <c r="H1604" s="18" t="s">
        <v>841</v>
      </c>
      <c r="I1604" s="315">
        <v>109.94747442510992</v>
      </c>
      <c r="J1604" s="315">
        <v>2.7416519943296476E-3</v>
      </c>
      <c r="K1604" s="316" t="str">
        <f t="shared" si="42"/>
        <v>Commercial Equipment</v>
      </c>
      <c r="L1604" s="316" t="str">
        <f t="shared" si="43"/>
        <v>Diesel</v>
      </c>
      <c r="M1604" s="194"/>
      <c r="N1604" s="317"/>
      <c r="O1604" s="317"/>
      <c r="P1604" s="317"/>
      <c r="Q1604" s="317"/>
      <c r="R1604" s="317"/>
      <c r="S1604" s="317"/>
      <c r="T1604" s="317"/>
      <c r="U1604" s="317"/>
      <c r="V1604" s="317"/>
      <c r="W1604" s="317"/>
      <c r="X1604" s="317"/>
      <c r="Y1604" s="317"/>
      <c r="Z1604" s="317"/>
    </row>
    <row r="1605" spans="1:26" x14ac:dyDescent="0.25">
      <c r="A1605" s="314"/>
      <c r="B1605" s="18">
        <v>2023</v>
      </c>
      <c r="C1605" s="18" t="s">
        <v>754</v>
      </c>
      <c r="D1605" s="18" t="s">
        <v>962</v>
      </c>
      <c r="E1605" s="18" t="s">
        <v>703</v>
      </c>
      <c r="F1605" s="18" t="s">
        <v>704</v>
      </c>
      <c r="G1605" s="18" t="s">
        <v>673</v>
      </c>
      <c r="H1605" s="18" t="s">
        <v>963</v>
      </c>
      <c r="I1605" s="315">
        <v>109.93827937474455</v>
      </c>
      <c r="J1605" s="315">
        <v>7.6021423149886136E-2</v>
      </c>
      <c r="K1605" s="316" t="str">
        <f t="shared" si="42"/>
        <v>Lawn and Garden Equipment</v>
      </c>
      <c r="L1605" s="316" t="str">
        <f t="shared" si="43"/>
        <v>Gasoline</v>
      </c>
      <c r="M1605" s="194"/>
      <c r="N1605" s="317"/>
      <c r="O1605" s="317"/>
      <c r="P1605" s="317"/>
      <c r="Q1605" s="317"/>
      <c r="R1605" s="317"/>
      <c r="S1605" s="317"/>
      <c r="T1605" s="317"/>
      <c r="U1605" s="317"/>
      <c r="V1605" s="317"/>
      <c r="W1605" s="317"/>
      <c r="X1605" s="317"/>
      <c r="Y1605" s="317"/>
      <c r="Z1605" s="317"/>
    </row>
    <row r="1606" spans="1:26" x14ac:dyDescent="0.25">
      <c r="A1606" s="314"/>
      <c r="B1606" s="18">
        <v>2023</v>
      </c>
      <c r="C1606" s="18" t="s">
        <v>727</v>
      </c>
      <c r="D1606" s="18" t="s">
        <v>839</v>
      </c>
      <c r="E1606" s="18" t="s">
        <v>703</v>
      </c>
      <c r="F1606" s="18" t="s">
        <v>704</v>
      </c>
      <c r="G1606" s="18" t="s">
        <v>675</v>
      </c>
      <c r="H1606" s="18" t="s">
        <v>708</v>
      </c>
      <c r="I1606" s="315">
        <v>109.84249029585749</v>
      </c>
      <c r="J1606" s="315">
        <v>7.52827526606723E-3</v>
      </c>
      <c r="K1606" s="316" t="str">
        <f t="shared" si="42"/>
        <v>Industrial Equipment</v>
      </c>
      <c r="L1606" s="316" t="str">
        <f t="shared" si="43"/>
        <v>Gasoline</v>
      </c>
      <c r="M1606" s="194"/>
      <c r="N1606" s="317"/>
      <c r="O1606" s="317"/>
      <c r="P1606" s="317"/>
      <c r="Q1606" s="317"/>
      <c r="R1606" s="317"/>
      <c r="S1606" s="317"/>
      <c r="T1606" s="317"/>
      <c r="U1606" s="317"/>
      <c r="V1606" s="317"/>
      <c r="W1606" s="317"/>
      <c r="X1606" s="317"/>
      <c r="Y1606" s="317"/>
      <c r="Z1606" s="317"/>
    </row>
    <row r="1607" spans="1:26" x14ac:dyDescent="0.25">
      <c r="A1607" s="314"/>
      <c r="B1607" s="18">
        <v>2023</v>
      </c>
      <c r="C1607" s="18" t="s">
        <v>710</v>
      </c>
      <c r="D1607" s="18" t="s">
        <v>864</v>
      </c>
      <c r="E1607" s="18" t="s">
        <v>703</v>
      </c>
      <c r="F1607" s="18" t="s">
        <v>704</v>
      </c>
      <c r="G1607" s="18" t="s">
        <v>673</v>
      </c>
      <c r="H1607" s="18" t="s">
        <v>865</v>
      </c>
      <c r="I1607" s="315">
        <v>109.5565589746913</v>
      </c>
      <c r="J1607" s="315">
        <v>7.4470804123889012E-2</v>
      </c>
      <c r="K1607" s="316" t="str">
        <f t="shared" si="42"/>
        <v>Lawn and Garden Equipment</v>
      </c>
      <c r="L1607" s="316" t="str">
        <f t="shared" si="43"/>
        <v>Gasoline</v>
      </c>
      <c r="M1607" s="194"/>
      <c r="N1607" s="317"/>
      <c r="O1607" s="317"/>
      <c r="P1607" s="317"/>
      <c r="Q1607" s="317"/>
      <c r="R1607" s="317"/>
      <c r="S1607" s="317"/>
      <c r="T1607" s="317"/>
      <c r="U1607" s="317"/>
      <c r="V1607" s="317"/>
      <c r="W1607" s="317"/>
      <c r="X1607" s="317"/>
      <c r="Y1607" s="317"/>
      <c r="Z1607" s="317"/>
    </row>
    <row r="1608" spans="1:26" x14ac:dyDescent="0.25">
      <c r="A1608" s="314"/>
      <c r="B1608" s="18">
        <v>2023</v>
      </c>
      <c r="C1608" s="18" t="s">
        <v>706</v>
      </c>
      <c r="D1608" s="18" t="s">
        <v>1084</v>
      </c>
      <c r="E1608" s="18" t="s">
        <v>703</v>
      </c>
      <c r="F1608" s="18" t="s">
        <v>704</v>
      </c>
      <c r="G1608" s="18" t="s">
        <v>674</v>
      </c>
      <c r="H1608" s="18" t="s">
        <v>863</v>
      </c>
      <c r="I1608" s="315">
        <v>109.28971865201349</v>
      </c>
      <c r="J1608" s="315">
        <v>6.3976254594923135E-2</v>
      </c>
      <c r="K1608" s="316" t="str">
        <f t="shared" si="42"/>
        <v>Construction and Mining Equipment</v>
      </c>
      <c r="L1608" s="316" t="str">
        <f t="shared" si="43"/>
        <v>Gasoline</v>
      </c>
      <c r="M1608" s="194"/>
      <c r="N1608" s="317"/>
      <c r="O1608" s="317"/>
      <c r="P1608" s="317"/>
      <c r="Q1608" s="317"/>
      <c r="R1608" s="317"/>
      <c r="S1608" s="317"/>
      <c r="T1608" s="317"/>
      <c r="U1608" s="317"/>
      <c r="V1608" s="317"/>
      <c r="W1608" s="317"/>
      <c r="X1608" s="317"/>
      <c r="Y1608" s="317"/>
      <c r="Z1608" s="317"/>
    </row>
    <row r="1609" spans="1:26" x14ac:dyDescent="0.25">
      <c r="A1609" s="314"/>
      <c r="B1609" s="18">
        <v>2023</v>
      </c>
      <c r="C1609" s="18" t="s">
        <v>759</v>
      </c>
      <c r="D1609" s="18" t="s">
        <v>761</v>
      </c>
      <c r="E1609" s="18" t="s">
        <v>713</v>
      </c>
      <c r="F1609" s="18" t="s">
        <v>714</v>
      </c>
      <c r="G1609" s="18" t="s">
        <v>677</v>
      </c>
      <c r="H1609" s="18" t="s">
        <v>747</v>
      </c>
      <c r="I1609" s="315">
        <v>109.18431895139682</v>
      </c>
      <c r="J1609" s="315">
        <v>2.7892266675575796E-3</v>
      </c>
      <c r="K1609" s="316" t="str">
        <f t="shared" si="42"/>
        <v>Commercial Equipment</v>
      </c>
      <c r="L1609" s="316" t="str">
        <f t="shared" si="43"/>
        <v>Diesel</v>
      </c>
      <c r="M1609" s="194"/>
      <c r="N1609" s="317"/>
      <c r="O1609" s="317"/>
      <c r="P1609" s="317"/>
      <c r="Q1609" s="317"/>
      <c r="R1609" s="317"/>
      <c r="S1609" s="317"/>
      <c r="T1609" s="317"/>
      <c r="U1609" s="317"/>
      <c r="V1609" s="317"/>
      <c r="W1609" s="317"/>
      <c r="X1609" s="317"/>
      <c r="Y1609" s="317"/>
      <c r="Z1609" s="317"/>
    </row>
    <row r="1610" spans="1:26" x14ac:dyDescent="0.25">
      <c r="A1610" s="314"/>
      <c r="B1610" s="18">
        <v>2023</v>
      </c>
      <c r="C1610" s="18" t="s">
        <v>786</v>
      </c>
      <c r="D1610" s="18" t="s">
        <v>794</v>
      </c>
      <c r="E1610" s="18" t="s">
        <v>703</v>
      </c>
      <c r="F1610" s="18" t="s">
        <v>795</v>
      </c>
      <c r="G1610" s="18" t="s">
        <v>673</v>
      </c>
      <c r="H1610" s="18" t="s">
        <v>796</v>
      </c>
      <c r="I1610" s="315">
        <v>109.16354148549722</v>
      </c>
      <c r="J1610" s="315">
        <v>0.19942088062728175</v>
      </c>
      <c r="K1610" s="316" t="str">
        <f t="shared" si="42"/>
        <v>Lawn and Garden Equipment</v>
      </c>
      <c r="L1610" s="316" t="str">
        <f t="shared" si="43"/>
        <v>Gasoline</v>
      </c>
      <c r="M1610" s="194"/>
      <c r="N1610" s="317"/>
      <c r="O1610" s="317"/>
      <c r="P1610" s="317"/>
      <c r="Q1610" s="317"/>
      <c r="R1610" s="317"/>
      <c r="S1610" s="317"/>
      <c r="T1610" s="317"/>
      <c r="U1610" s="317"/>
      <c r="V1610" s="317"/>
      <c r="W1610" s="317"/>
      <c r="X1610" s="317"/>
      <c r="Y1610" s="317"/>
      <c r="Z1610" s="317"/>
    </row>
    <row r="1611" spans="1:26" x14ac:dyDescent="0.25">
      <c r="A1611" s="314"/>
      <c r="B1611" s="18">
        <v>2023</v>
      </c>
      <c r="C1611" s="18" t="s">
        <v>810</v>
      </c>
      <c r="D1611" s="18" t="s">
        <v>855</v>
      </c>
      <c r="E1611" s="18" t="s">
        <v>713</v>
      </c>
      <c r="F1611" s="18" t="s">
        <v>714</v>
      </c>
      <c r="G1611" s="18" t="s">
        <v>674</v>
      </c>
      <c r="H1611" s="18" t="s">
        <v>856</v>
      </c>
      <c r="I1611" s="315">
        <v>108.96481459774114</v>
      </c>
      <c r="J1611" s="315">
        <v>6.8853588030226868E-4</v>
      </c>
      <c r="K1611" s="316" t="str">
        <f t="shared" si="42"/>
        <v>Construction and Mining Equipment</v>
      </c>
      <c r="L1611" s="316" t="str">
        <f t="shared" si="43"/>
        <v>Diesel</v>
      </c>
      <c r="M1611" s="194"/>
      <c r="N1611" s="317"/>
      <c r="O1611" s="317"/>
      <c r="P1611" s="317"/>
      <c r="Q1611" s="317"/>
      <c r="R1611" s="317"/>
      <c r="S1611" s="317"/>
      <c r="T1611" s="317"/>
      <c r="U1611" s="317"/>
      <c r="V1611" s="317"/>
      <c r="W1611" s="317"/>
      <c r="X1611" s="317"/>
      <c r="Y1611" s="317"/>
      <c r="Z1611" s="317"/>
    </row>
    <row r="1612" spans="1:26" x14ac:dyDescent="0.25">
      <c r="A1612" s="314"/>
      <c r="B1612" s="18">
        <v>2023</v>
      </c>
      <c r="C1612" s="18" t="s">
        <v>792</v>
      </c>
      <c r="D1612" s="18" t="s">
        <v>1012</v>
      </c>
      <c r="E1612" s="18" t="s">
        <v>703</v>
      </c>
      <c r="F1612" s="18" t="s">
        <v>795</v>
      </c>
      <c r="G1612" s="18" t="s">
        <v>679</v>
      </c>
      <c r="H1612" s="18" t="s">
        <v>1013</v>
      </c>
      <c r="I1612" s="315">
        <v>108.84642856757047</v>
      </c>
      <c r="J1612" s="315">
        <v>9.1247749849875701E-2</v>
      </c>
      <c r="K1612" s="316" t="str">
        <f t="shared" si="42"/>
        <v>Recreational Equipment</v>
      </c>
      <c r="L1612" s="316" t="str">
        <f t="shared" si="43"/>
        <v>Gasoline</v>
      </c>
      <c r="M1612" s="194"/>
      <c r="N1612" s="317"/>
      <c r="O1612" s="317"/>
      <c r="P1612" s="317"/>
      <c r="Q1612" s="317"/>
      <c r="R1612" s="317"/>
      <c r="S1612" s="317"/>
      <c r="T1612" s="317"/>
      <c r="U1612" s="317"/>
      <c r="V1612" s="317"/>
      <c r="W1612" s="317"/>
      <c r="X1612" s="317"/>
      <c r="Y1612" s="317"/>
      <c r="Z1612" s="317"/>
    </row>
    <row r="1613" spans="1:26" x14ac:dyDescent="0.25">
      <c r="A1613" s="314"/>
      <c r="B1613" s="18">
        <v>2023</v>
      </c>
      <c r="C1613" s="18" t="s">
        <v>706</v>
      </c>
      <c r="D1613" s="18" t="s">
        <v>1012</v>
      </c>
      <c r="E1613" s="18" t="s">
        <v>703</v>
      </c>
      <c r="F1613" s="18" t="s">
        <v>795</v>
      </c>
      <c r="G1613" s="18" t="s">
        <v>679</v>
      </c>
      <c r="H1613" s="18" t="s">
        <v>1013</v>
      </c>
      <c r="I1613" s="315">
        <v>108.84642856757047</v>
      </c>
      <c r="J1613" s="315">
        <v>9.0855650041643213E-2</v>
      </c>
      <c r="K1613" s="316" t="str">
        <f t="shared" si="42"/>
        <v>Recreational Equipment</v>
      </c>
      <c r="L1613" s="316" t="str">
        <f t="shared" si="43"/>
        <v>Gasoline</v>
      </c>
      <c r="M1613" s="194"/>
      <c r="N1613" s="317"/>
      <c r="O1613" s="317"/>
      <c r="P1613" s="317"/>
      <c r="Q1613" s="317"/>
      <c r="R1613" s="317"/>
      <c r="S1613" s="317"/>
      <c r="T1613" s="317"/>
      <c r="U1613" s="317"/>
      <c r="V1613" s="317"/>
      <c r="W1613" s="317"/>
      <c r="X1613" s="317"/>
      <c r="Y1613" s="317"/>
      <c r="Z1613" s="317"/>
    </row>
    <row r="1614" spans="1:26" x14ac:dyDescent="0.25">
      <c r="A1614" s="314"/>
      <c r="B1614" s="18">
        <v>2023</v>
      </c>
      <c r="C1614" s="18" t="s">
        <v>781</v>
      </c>
      <c r="D1614" s="18" t="s">
        <v>1012</v>
      </c>
      <c r="E1614" s="18" t="s">
        <v>703</v>
      </c>
      <c r="F1614" s="18" t="s">
        <v>795</v>
      </c>
      <c r="G1614" s="18" t="s">
        <v>679</v>
      </c>
      <c r="H1614" s="18" t="s">
        <v>1013</v>
      </c>
      <c r="I1614" s="315">
        <v>108.84642856757047</v>
      </c>
      <c r="J1614" s="315">
        <v>9.0687004778989846E-2</v>
      </c>
      <c r="K1614" s="316" t="str">
        <f t="shared" si="42"/>
        <v>Recreational Equipment</v>
      </c>
      <c r="L1614" s="316" t="str">
        <f t="shared" si="43"/>
        <v>Gasoline</v>
      </c>
      <c r="M1614" s="194"/>
      <c r="N1614" s="317"/>
      <c r="O1614" s="317"/>
      <c r="P1614" s="317"/>
      <c r="Q1614" s="317"/>
      <c r="R1614" s="317"/>
      <c r="S1614" s="317"/>
      <c r="T1614" s="317"/>
      <c r="U1614" s="317"/>
      <c r="V1614" s="317"/>
      <c r="W1614" s="317"/>
      <c r="X1614" s="317"/>
      <c r="Y1614" s="317"/>
      <c r="Z1614" s="317"/>
    </row>
    <row r="1615" spans="1:26" x14ac:dyDescent="0.25">
      <c r="A1615" s="314"/>
      <c r="B1615" s="18">
        <v>2023</v>
      </c>
      <c r="C1615" s="18" t="s">
        <v>754</v>
      </c>
      <c r="D1615" s="18" t="s">
        <v>1012</v>
      </c>
      <c r="E1615" s="18" t="s">
        <v>703</v>
      </c>
      <c r="F1615" s="18" t="s">
        <v>795</v>
      </c>
      <c r="G1615" s="18" t="s">
        <v>679</v>
      </c>
      <c r="H1615" s="18" t="s">
        <v>1013</v>
      </c>
      <c r="I1615" s="315">
        <v>108.84642856757047</v>
      </c>
      <c r="J1615" s="315">
        <v>9.0998073848600827E-2</v>
      </c>
      <c r="K1615" s="316" t="str">
        <f t="shared" si="42"/>
        <v>Recreational Equipment</v>
      </c>
      <c r="L1615" s="316" t="str">
        <f t="shared" si="43"/>
        <v>Gasoline</v>
      </c>
      <c r="M1615" s="194"/>
      <c r="N1615" s="317"/>
      <c r="O1615" s="317"/>
      <c r="P1615" s="317"/>
      <c r="Q1615" s="317"/>
      <c r="R1615" s="317"/>
      <c r="S1615" s="317"/>
      <c r="T1615" s="317"/>
      <c r="U1615" s="317"/>
      <c r="V1615" s="317"/>
      <c r="W1615" s="317"/>
      <c r="X1615" s="317"/>
      <c r="Y1615" s="317"/>
      <c r="Z1615" s="317"/>
    </row>
    <row r="1616" spans="1:26" x14ac:dyDescent="0.25">
      <c r="A1616" s="314"/>
      <c r="B1616" s="18">
        <v>2023</v>
      </c>
      <c r="C1616" s="18" t="s">
        <v>778</v>
      </c>
      <c r="D1616" s="18" t="s">
        <v>1012</v>
      </c>
      <c r="E1616" s="18" t="s">
        <v>703</v>
      </c>
      <c r="F1616" s="18" t="s">
        <v>795</v>
      </c>
      <c r="G1616" s="18" t="s">
        <v>679</v>
      </c>
      <c r="H1616" s="18" t="s">
        <v>1013</v>
      </c>
      <c r="I1616" s="315">
        <v>108.84642856757047</v>
      </c>
      <c r="J1616" s="315">
        <v>9.0703266562015689E-2</v>
      </c>
      <c r="K1616" s="316" t="str">
        <f t="shared" si="42"/>
        <v>Recreational Equipment</v>
      </c>
      <c r="L1616" s="316" t="str">
        <f t="shared" si="43"/>
        <v>Gasoline</v>
      </c>
      <c r="M1616" s="194"/>
      <c r="N1616" s="317"/>
      <c r="O1616" s="317"/>
      <c r="P1616" s="317"/>
      <c r="Q1616" s="317"/>
      <c r="R1616" s="317"/>
      <c r="S1616" s="317"/>
      <c r="T1616" s="317"/>
      <c r="U1616" s="317"/>
      <c r="V1616" s="317"/>
      <c r="W1616" s="317"/>
      <c r="X1616" s="317"/>
      <c r="Y1616" s="317"/>
      <c r="Z1616" s="317"/>
    </row>
    <row r="1617" spans="1:26" x14ac:dyDescent="0.25">
      <c r="A1617" s="314"/>
      <c r="B1617" s="18">
        <v>2023</v>
      </c>
      <c r="C1617" s="18" t="s">
        <v>732</v>
      </c>
      <c r="D1617" s="18" t="s">
        <v>1012</v>
      </c>
      <c r="E1617" s="18" t="s">
        <v>703</v>
      </c>
      <c r="F1617" s="18" t="s">
        <v>795</v>
      </c>
      <c r="G1617" s="18" t="s">
        <v>679</v>
      </c>
      <c r="H1617" s="18" t="s">
        <v>1013</v>
      </c>
      <c r="I1617" s="315">
        <v>108.84642856757047</v>
      </c>
      <c r="J1617" s="315">
        <v>9.102988552769084E-2</v>
      </c>
      <c r="K1617" s="316" t="str">
        <f t="shared" si="42"/>
        <v>Recreational Equipment</v>
      </c>
      <c r="L1617" s="316" t="str">
        <f t="shared" si="43"/>
        <v>Gasoline</v>
      </c>
      <c r="M1617" s="194"/>
      <c r="N1617" s="317"/>
      <c r="O1617" s="317"/>
      <c r="P1617" s="317"/>
      <c r="Q1617" s="317"/>
      <c r="R1617" s="317"/>
      <c r="S1617" s="317"/>
      <c r="T1617" s="317"/>
      <c r="U1617" s="317"/>
      <c r="V1617" s="317"/>
      <c r="W1617" s="317"/>
      <c r="X1617" s="317"/>
      <c r="Y1617" s="317"/>
      <c r="Z1617" s="317"/>
    </row>
    <row r="1618" spans="1:26" x14ac:dyDescent="0.25">
      <c r="A1618" s="314"/>
      <c r="B1618" s="18">
        <v>2023</v>
      </c>
      <c r="C1618" s="18" t="s">
        <v>810</v>
      </c>
      <c r="D1618" s="18" t="s">
        <v>1012</v>
      </c>
      <c r="E1618" s="18" t="s">
        <v>703</v>
      </c>
      <c r="F1618" s="18" t="s">
        <v>795</v>
      </c>
      <c r="G1618" s="18" t="s">
        <v>679</v>
      </c>
      <c r="H1618" s="18" t="s">
        <v>1013</v>
      </c>
      <c r="I1618" s="315">
        <v>108.84642856757047</v>
      </c>
      <c r="J1618" s="315">
        <v>9.1737820864164071E-2</v>
      </c>
      <c r="K1618" s="316" t="str">
        <f t="shared" si="42"/>
        <v>Recreational Equipment</v>
      </c>
      <c r="L1618" s="316" t="str">
        <f t="shared" si="43"/>
        <v>Gasoline</v>
      </c>
      <c r="M1618" s="194"/>
      <c r="N1618" s="317"/>
      <c r="O1618" s="317"/>
      <c r="P1618" s="317"/>
      <c r="Q1618" s="317"/>
      <c r="R1618" s="317"/>
      <c r="S1618" s="317"/>
      <c r="T1618" s="317"/>
      <c r="U1618" s="317"/>
      <c r="V1618" s="317"/>
      <c r="W1618" s="317"/>
      <c r="X1618" s="317"/>
      <c r="Y1618" s="317"/>
      <c r="Z1618" s="317"/>
    </row>
    <row r="1619" spans="1:26" x14ac:dyDescent="0.25">
      <c r="A1619" s="314"/>
      <c r="B1619" s="18">
        <v>2023</v>
      </c>
      <c r="C1619" s="18" t="s">
        <v>786</v>
      </c>
      <c r="D1619" s="18" t="s">
        <v>1012</v>
      </c>
      <c r="E1619" s="18" t="s">
        <v>703</v>
      </c>
      <c r="F1619" s="18" t="s">
        <v>795</v>
      </c>
      <c r="G1619" s="18" t="s">
        <v>679</v>
      </c>
      <c r="H1619" s="18" t="s">
        <v>1013</v>
      </c>
      <c r="I1619" s="315">
        <v>108.84642856757047</v>
      </c>
      <c r="J1619" s="315">
        <v>9.0795930624196386E-2</v>
      </c>
      <c r="K1619" s="316" t="str">
        <f t="shared" si="42"/>
        <v>Recreational Equipment</v>
      </c>
      <c r="L1619" s="316" t="str">
        <f t="shared" si="43"/>
        <v>Gasoline</v>
      </c>
      <c r="M1619" s="194"/>
      <c r="N1619" s="317"/>
      <c r="O1619" s="317"/>
      <c r="P1619" s="317"/>
      <c r="Q1619" s="317"/>
      <c r="R1619" s="317"/>
      <c r="S1619" s="317"/>
      <c r="T1619" s="317"/>
      <c r="U1619" s="317"/>
      <c r="V1619" s="317"/>
      <c r="W1619" s="317"/>
      <c r="X1619" s="317"/>
      <c r="Y1619" s="317"/>
      <c r="Z1619" s="317"/>
    </row>
    <row r="1620" spans="1:26" x14ac:dyDescent="0.25">
      <c r="A1620" s="314"/>
      <c r="B1620" s="18">
        <v>2023</v>
      </c>
      <c r="C1620" s="18" t="s">
        <v>709</v>
      </c>
      <c r="D1620" s="18" t="s">
        <v>1012</v>
      </c>
      <c r="E1620" s="18" t="s">
        <v>703</v>
      </c>
      <c r="F1620" s="18" t="s">
        <v>795</v>
      </c>
      <c r="G1620" s="18" t="s">
        <v>679</v>
      </c>
      <c r="H1620" s="18" t="s">
        <v>1013</v>
      </c>
      <c r="I1620" s="315">
        <v>108.84642856757047</v>
      </c>
      <c r="J1620" s="315">
        <v>9.0766161154428385E-2</v>
      </c>
      <c r="K1620" s="316" t="str">
        <f t="shared" si="42"/>
        <v>Recreational Equipment</v>
      </c>
      <c r="L1620" s="316" t="str">
        <f t="shared" si="43"/>
        <v>Gasoline</v>
      </c>
      <c r="M1620" s="194"/>
      <c r="N1620" s="317"/>
      <c r="O1620" s="317"/>
      <c r="P1620" s="317"/>
      <c r="Q1620" s="317"/>
      <c r="R1620" s="317"/>
      <c r="S1620" s="317"/>
      <c r="T1620" s="317"/>
      <c r="U1620" s="317"/>
      <c r="V1620" s="317"/>
      <c r="W1620" s="317"/>
      <c r="X1620" s="317"/>
      <c r="Y1620" s="317"/>
      <c r="Z1620" s="317"/>
    </row>
    <row r="1621" spans="1:26" x14ac:dyDescent="0.25">
      <c r="A1621" s="314"/>
      <c r="B1621" s="18">
        <v>2023</v>
      </c>
      <c r="C1621" s="18" t="s">
        <v>743</v>
      </c>
      <c r="D1621" s="18" t="s">
        <v>1012</v>
      </c>
      <c r="E1621" s="18" t="s">
        <v>703</v>
      </c>
      <c r="F1621" s="18" t="s">
        <v>795</v>
      </c>
      <c r="G1621" s="18" t="s">
        <v>679</v>
      </c>
      <c r="H1621" s="18" t="s">
        <v>1013</v>
      </c>
      <c r="I1621" s="315">
        <v>108.84642856757047</v>
      </c>
      <c r="J1621" s="315">
        <v>9.1093075604325308E-2</v>
      </c>
      <c r="K1621" s="316" t="str">
        <f t="shared" si="42"/>
        <v>Recreational Equipment</v>
      </c>
      <c r="L1621" s="316" t="str">
        <f t="shared" si="43"/>
        <v>Gasoline</v>
      </c>
      <c r="M1621" s="194"/>
      <c r="N1621" s="317"/>
      <c r="O1621" s="317"/>
      <c r="P1621" s="317"/>
      <c r="Q1621" s="317"/>
      <c r="R1621" s="317"/>
      <c r="S1621" s="317"/>
      <c r="T1621" s="317"/>
      <c r="U1621" s="317"/>
      <c r="V1621" s="317"/>
      <c r="W1621" s="317"/>
      <c r="X1621" s="317"/>
      <c r="Y1621" s="317"/>
      <c r="Z1621" s="317"/>
    </row>
    <row r="1622" spans="1:26" x14ac:dyDescent="0.25">
      <c r="A1622" s="314"/>
      <c r="B1622" s="18">
        <v>2023</v>
      </c>
      <c r="C1622" s="18" t="s">
        <v>773</v>
      </c>
      <c r="D1622" s="18" t="s">
        <v>1012</v>
      </c>
      <c r="E1622" s="18" t="s">
        <v>703</v>
      </c>
      <c r="F1622" s="18" t="s">
        <v>795</v>
      </c>
      <c r="G1622" s="18" t="s">
        <v>679</v>
      </c>
      <c r="H1622" s="18" t="s">
        <v>1013</v>
      </c>
      <c r="I1622" s="315">
        <v>108.84642856757047</v>
      </c>
      <c r="J1622" s="315">
        <v>9.0517943239745963E-2</v>
      </c>
      <c r="K1622" s="316" t="str">
        <f t="shared" si="42"/>
        <v>Recreational Equipment</v>
      </c>
      <c r="L1622" s="316" t="str">
        <f t="shared" si="43"/>
        <v>Gasoline</v>
      </c>
      <c r="M1622" s="194"/>
      <c r="N1622" s="317"/>
      <c r="O1622" s="317"/>
      <c r="P1622" s="317"/>
      <c r="Q1622" s="317"/>
      <c r="R1622" s="317"/>
      <c r="S1622" s="317"/>
      <c r="T1622" s="317"/>
      <c r="U1622" s="317"/>
      <c r="V1622" s="317"/>
      <c r="W1622" s="317"/>
      <c r="X1622" s="317"/>
      <c r="Y1622" s="317"/>
      <c r="Z1622" s="317"/>
    </row>
    <row r="1623" spans="1:26" ht="12.75" x14ac:dyDescent="0.2">
      <c r="A1623" s="230"/>
      <c r="B1623" s="18">
        <v>2023</v>
      </c>
      <c r="C1623" s="18" t="s">
        <v>743</v>
      </c>
      <c r="D1623" s="18" t="s">
        <v>958</v>
      </c>
      <c r="E1623" s="18" t="s">
        <v>713</v>
      </c>
      <c r="F1623" s="18" t="s">
        <v>714</v>
      </c>
      <c r="G1623" s="18" t="s">
        <v>674</v>
      </c>
      <c r="H1623" s="18" t="s">
        <v>959</v>
      </c>
      <c r="I1623" s="315">
        <v>108.82518702860897</v>
      </c>
      <c r="J1623" s="315">
        <v>9.6805579237298407E-4</v>
      </c>
      <c r="K1623" s="316" t="str">
        <f t="shared" si="42"/>
        <v>Construction and Mining Equipment</v>
      </c>
      <c r="L1623" s="316" t="str">
        <f t="shared" si="43"/>
        <v>Diesel</v>
      </c>
      <c r="M1623" s="8"/>
      <c r="N1623" s="2"/>
      <c r="O1623" s="2"/>
      <c r="P1623" s="2"/>
      <c r="Q1623" s="2"/>
      <c r="R1623" s="2"/>
      <c r="S1623" s="2"/>
      <c r="T1623" s="2"/>
      <c r="U1623" s="2"/>
      <c r="V1623" s="2"/>
      <c r="W1623" s="2"/>
      <c r="X1623" s="2"/>
      <c r="Y1623" s="2"/>
      <c r="Z1623" s="2"/>
    </row>
    <row r="1624" spans="1:26" ht="12.75" x14ac:dyDescent="0.2">
      <c r="A1624" s="230"/>
      <c r="B1624" s="18">
        <v>2023</v>
      </c>
      <c r="C1624" s="18" t="s">
        <v>753</v>
      </c>
      <c r="D1624" s="18" t="s">
        <v>860</v>
      </c>
      <c r="E1624" s="18" t="s">
        <v>713</v>
      </c>
      <c r="F1624" s="18" t="s">
        <v>714</v>
      </c>
      <c r="G1624" s="18" t="s">
        <v>674</v>
      </c>
      <c r="H1624" s="18" t="s">
        <v>861</v>
      </c>
      <c r="I1624" s="315">
        <v>108.79958254147883</v>
      </c>
      <c r="J1624" s="315">
        <v>1.8031543135943559E-3</v>
      </c>
      <c r="K1624" s="316" t="str">
        <f t="shared" si="42"/>
        <v>Construction and Mining Equipment</v>
      </c>
      <c r="L1624" s="316" t="str">
        <f t="shared" si="43"/>
        <v>Diesel</v>
      </c>
      <c r="M1624" s="8"/>
      <c r="N1624" s="2"/>
      <c r="O1624" s="2"/>
      <c r="P1624" s="2"/>
      <c r="Q1624" s="2"/>
      <c r="R1624" s="2"/>
      <c r="S1624" s="2"/>
      <c r="T1624" s="2"/>
      <c r="U1624" s="2"/>
      <c r="V1624" s="2"/>
      <c r="W1624" s="2"/>
      <c r="X1624" s="2"/>
      <c r="Y1624" s="2"/>
      <c r="Z1624" s="2"/>
    </row>
    <row r="1625" spans="1:26" ht="12.75" x14ac:dyDescent="0.2">
      <c r="A1625" s="230"/>
      <c r="B1625" s="18">
        <v>2023</v>
      </c>
      <c r="C1625" s="18" t="s">
        <v>773</v>
      </c>
      <c r="D1625" s="18" t="s">
        <v>968</v>
      </c>
      <c r="E1625" s="18" t="s">
        <v>703</v>
      </c>
      <c r="F1625" s="18" t="s">
        <v>704</v>
      </c>
      <c r="G1625" s="18" t="s">
        <v>675</v>
      </c>
      <c r="H1625" s="18" t="s">
        <v>969</v>
      </c>
      <c r="I1625" s="315">
        <v>108.44380384969881</v>
      </c>
      <c r="J1625" s="315">
        <v>3.4525589481727709E-2</v>
      </c>
      <c r="K1625" s="316" t="str">
        <f t="shared" si="42"/>
        <v>Industrial Equipment</v>
      </c>
      <c r="L1625" s="316" t="str">
        <f t="shared" si="43"/>
        <v>Gasoline</v>
      </c>
      <c r="M1625" s="8"/>
      <c r="N1625" s="2"/>
      <c r="O1625" s="2"/>
      <c r="P1625" s="2"/>
      <c r="Q1625" s="2"/>
      <c r="R1625" s="2"/>
      <c r="S1625" s="2"/>
      <c r="T1625" s="2"/>
      <c r="U1625" s="2"/>
      <c r="V1625" s="2"/>
      <c r="W1625" s="2"/>
      <c r="X1625" s="2"/>
      <c r="Y1625" s="2"/>
      <c r="Z1625" s="2"/>
    </row>
    <row r="1626" spans="1:26" ht="12.75" x14ac:dyDescent="0.2">
      <c r="A1626" s="230"/>
      <c r="B1626" s="18">
        <v>2023</v>
      </c>
      <c r="C1626" s="18" t="s">
        <v>732</v>
      </c>
      <c r="D1626" s="18" t="s">
        <v>988</v>
      </c>
      <c r="E1626" s="18" t="s">
        <v>703</v>
      </c>
      <c r="F1626" s="18" t="s">
        <v>805</v>
      </c>
      <c r="G1626" s="18" t="s">
        <v>673</v>
      </c>
      <c r="H1626" s="18" t="s">
        <v>768</v>
      </c>
      <c r="I1626" s="315">
        <v>108.31911393796567</v>
      </c>
      <c r="J1626" s="315">
        <v>0.20165790064043396</v>
      </c>
      <c r="K1626" s="316" t="str">
        <f t="shared" si="42"/>
        <v>Lawn and Garden Equipment</v>
      </c>
      <c r="L1626" s="316" t="str">
        <f t="shared" si="43"/>
        <v>Gasoline</v>
      </c>
      <c r="M1626" s="8"/>
      <c r="N1626" s="2"/>
      <c r="O1626" s="2"/>
      <c r="P1626" s="2"/>
      <c r="Q1626" s="2"/>
      <c r="R1626" s="2"/>
      <c r="S1626" s="2"/>
      <c r="T1626" s="2"/>
      <c r="U1626" s="2"/>
      <c r="V1626" s="2"/>
      <c r="W1626" s="2"/>
      <c r="X1626" s="2"/>
      <c r="Y1626" s="2"/>
      <c r="Z1626" s="2"/>
    </row>
    <row r="1627" spans="1:26" ht="12.75" x14ac:dyDescent="0.2">
      <c r="A1627" s="230"/>
      <c r="B1627" s="18">
        <v>2023</v>
      </c>
      <c r="C1627" s="18" t="s">
        <v>731</v>
      </c>
      <c r="D1627" s="18" t="s">
        <v>790</v>
      </c>
      <c r="E1627" s="18" t="s">
        <v>713</v>
      </c>
      <c r="F1627" s="18" t="s">
        <v>714</v>
      </c>
      <c r="G1627" s="18" t="s">
        <v>674</v>
      </c>
      <c r="H1627" s="18" t="s">
        <v>791</v>
      </c>
      <c r="I1627" s="315">
        <v>107.84832535873566</v>
      </c>
      <c r="J1627" s="315">
        <v>6.1997939166094651E-4</v>
      </c>
      <c r="K1627" s="316" t="str">
        <f t="shared" si="42"/>
        <v>Construction and Mining Equipment</v>
      </c>
      <c r="L1627" s="316" t="str">
        <f t="shared" si="43"/>
        <v>Diesel</v>
      </c>
      <c r="M1627" s="8"/>
      <c r="N1627" s="2"/>
      <c r="O1627" s="2"/>
      <c r="P1627" s="2"/>
      <c r="Q1627" s="2"/>
      <c r="R1627" s="2"/>
      <c r="S1627" s="2"/>
      <c r="T1627" s="2"/>
      <c r="U1627" s="2"/>
      <c r="V1627" s="2"/>
      <c r="W1627" s="2"/>
      <c r="X1627" s="2"/>
      <c r="Y1627" s="2"/>
      <c r="Z1627" s="2"/>
    </row>
    <row r="1628" spans="1:26" ht="12.75" x14ac:dyDescent="0.2">
      <c r="A1628" s="230"/>
      <c r="B1628" s="18">
        <v>2023</v>
      </c>
      <c r="C1628" s="18" t="s">
        <v>743</v>
      </c>
      <c r="D1628" s="18" t="s">
        <v>964</v>
      </c>
      <c r="E1628" s="18" t="s">
        <v>56</v>
      </c>
      <c r="F1628" s="18" t="s">
        <v>601</v>
      </c>
      <c r="G1628" s="18" t="s">
        <v>677</v>
      </c>
      <c r="H1628" s="18" t="s">
        <v>965</v>
      </c>
      <c r="I1628" s="315">
        <v>107.70880581611198</v>
      </c>
      <c r="J1628" s="315">
        <v>0.51469949214906208</v>
      </c>
      <c r="K1628" s="316" t="str">
        <f t="shared" si="42"/>
        <v>Commercial Equipment</v>
      </c>
      <c r="L1628" s="316" t="str">
        <f t="shared" si="43"/>
        <v>CNG</v>
      </c>
      <c r="M1628" s="8"/>
      <c r="N1628" s="2"/>
      <c r="O1628" s="2"/>
      <c r="P1628" s="2"/>
      <c r="Q1628" s="2"/>
      <c r="R1628" s="2"/>
      <c r="S1628" s="2"/>
      <c r="T1628" s="2"/>
      <c r="U1628" s="2"/>
      <c r="V1628" s="2"/>
      <c r="W1628" s="2"/>
      <c r="X1628" s="2"/>
      <c r="Y1628" s="2"/>
      <c r="Z1628" s="2"/>
    </row>
    <row r="1629" spans="1:26" ht="12.75" x14ac:dyDescent="0.2">
      <c r="A1629" s="230"/>
      <c r="B1629" s="18">
        <v>2023</v>
      </c>
      <c r="C1629" s="18" t="s">
        <v>727</v>
      </c>
      <c r="D1629" s="18" t="s">
        <v>880</v>
      </c>
      <c r="E1629" s="18" t="s">
        <v>703</v>
      </c>
      <c r="F1629" s="18" t="s">
        <v>704</v>
      </c>
      <c r="G1629" s="18" t="s">
        <v>677</v>
      </c>
      <c r="H1629" s="18" t="s">
        <v>785</v>
      </c>
      <c r="I1629" s="315">
        <v>107.69478882548223</v>
      </c>
      <c r="J1629" s="315">
        <v>6.176337578985984E-2</v>
      </c>
      <c r="K1629" s="316" t="str">
        <f t="shared" si="42"/>
        <v>Commercial Equipment</v>
      </c>
      <c r="L1629" s="316" t="str">
        <f t="shared" si="43"/>
        <v>Gasoline</v>
      </c>
      <c r="M1629" s="8"/>
      <c r="N1629" s="2"/>
      <c r="O1629" s="2"/>
      <c r="P1629" s="2"/>
      <c r="Q1629" s="2"/>
      <c r="R1629" s="2"/>
      <c r="S1629" s="2"/>
      <c r="T1629" s="2"/>
      <c r="U1629" s="2"/>
      <c r="V1629" s="2"/>
      <c r="W1629" s="2"/>
      <c r="X1629" s="2"/>
      <c r="Y1629" s="2"/>
      <c r="Z1629" s="2"/>
    </row>
    <row r="1630" spans="1:26" ht="12.75" x14ac:dyDescent="0.2">
      <c r="A1630" s="230"/>
      <c r="B1630" s="18">
        <v>2023</v>
      </c>
      <c r="C1630" s="18" t="s">
        <v>754</v>
      </c>
      <c r="D1630" s="18" t="s">
        <v>1079</v>
      </c>
      <c r="E1630" s="18" t="s">
        <v>713</v>
      </c>
      <c r="F1630" s="18" t="s">
        <v>714</v>
      </c>
      <c r="G1630" s="18" t="s">
        <v>678</v>
      </c>
      <c r="H1630" s="18" t="s">
        <v>1080</v>
      </c>
      <c r="I1630" s="315">
        <v>107.49303395314359</v>
      </c>
      <c r="J1630" s="315">
        <v>7.8012133742605112E-4</v>
      </c>
      <c r="K1630" s="316" t="str">
        <f t="shared" si="42"/>
        <v>Agricultural Equipment</v>
      </c>
      <c r="L1630" s="316" t="str">
        <f t="shared" si="43"/>
        <v>Diesel</v>
      </c>
      <c r="M1630" s="8"/>
      <c r="N1630" s="2"/>
      <c r="O1630" s="2"/>
      <c r="P1630" s="2"/>
      <c r="Q1630" s="2"/>
      <c r="R1630" s="2"/>
      <c r="S1630" s="2"/>
      <c r="T1630" s="2"/>
      <c r="U1630" s="2"/>
      <c r="V1630" s="2"/>
      <c r="W1630" s="2"/>
      <c r="X1630" s="2"/>
      <c r="Y1630" s="2"/>
      <c r="Z1630" s="2"/>
    </row>
    <row r="1631" spans="1:26" ht="12.75" x14ac:dyDescent="0.2">
      <c r="A1631" s="230"/>
      <c r="B1631" s="18">
        <v>2023</v>
      </c>
      <c r="C1631" s="18" t="s">
        <v>762</v>
      </c>
      <c r="D1631" s="18" t="s">
        <v>807</v>
      </c>
      <c r="E1631" s="18" t="s">
        <v>703</v>
      </c>
      <c r="F1631" s="18" t="s">
        <v>805</v>
      </c>
      <c r="G1631" s="18" t="s">
        <v>673</v>
      </c>
      <c r="H1631" s="18" t="s">
        <v>749</v>
      </c>
      <c r="I1631" s="315">
        <v>107.25041786021032</v>
      </c>
      <c r="J1631" s="315">
        <v>0.20062968263516112</v>
      </c>
      <c r="K1631" s="316" t="str">
        <f t="shared" si="42"/>
        <v>Lawn and Garden Equipment</v>
      </c>
      <c r="L1631" s="316" t="str">
        <f t="shared" si="43"/>
        <v>Gasoline</v>
      </c>
      <c r="M1631" s="8"/>
      <c r="N1631" s="2"/>
      <c r="O1631" s="2"/>
      <c r="P1631" s="2"/>
      <c r="Q1631" s="2"/>
      <c r="R1631" s="2"/>
      <c r="S1631" s="2"/>
      <c r="T1631" s="2"/>
      <c r="U1631" s="2"/>
      <c r="V1631" s="2"/>
      <c r="W1631" s="2"/>
      <c r="X1631" s="2"/>
      <c r="Y1631" s="2"/>
      <c r="Z1631" s="2"/>
    </row>
    <row r="1632" spans="1:26" ht="12.75" x14ac:dyDescent="0.2">
      <c r="A1632" s="230"/>
      <c r="B1632" s="18">
        <v>2023</v>
      </c>
      <c r="C1632" s="18" t="s">
        <v>786</v>
      </c>
      <c r="D1632" s="18" t="s">
        <v>790</v>
      </c>
      <c r="E1632" s="18" t="s">
        <v>713</v>
      </c>
      <c r="F1632" s="18" t="s">
        <v>714</v>
      </c>
      <c r="G1632" s="18" t="s">
        <v>674</v>
      </c>
      <c r="H1632" s="18" t="s">
        <v>791</v>
      </c>
      <c r="I1632" s="315">
        <v>107.11375171500349</v>
      </c>
      <c r="J1632" s="315">
        <v>6.1575713173787189E-4</v>
      </c>
      <c r="K1632" s="316" t="str">
        <f t="shared" si="42"/>
        <v>Construction and Mining Equipment</v>
      </c>
      <c r="L1632" s="316" t="str">
        <f t="shared" si="43"/>
        <v>Diesel</v>
      </c>
      <c r="M1632" s="8"/>
      <c r="N1632" s="2"/>
      <c r="O1632" s="2"/>
      <c r="P1632" s="2"/>
      <c r="Q1632" s="2"/>
      <c r="R1632" s="2"/>
      <c r="S1632" s="2"/>
      <c r="T1632" s="2"/>
      <c r="U1632" s="2"/>
      <c r="V1632" s="2"/>
      <c r="W1632" s="2"/>
      <c r="X1632" s="2"/>
      <c r="Y1632" s="2"/>
      <c r="Z1632" s="2"/>
    </row>
    <row r="1633" spans="1:26" ht="12.75" x14ac:dyDescent="0.2">
      <c r="A1633" s="230"/>
      <c r="B1633" s="18">
        <v>2023</v>
      </c>
      <c r="C1633" s="18" t="s">
        <v>753</v>
      </c>
      <c r="D1633" s="18" t="s">
        <v>862</v>
      </c>
      <c r="E1633" s="18" t="s">
        <v>713</v>
      </c>
      <c r="F1633" s="18" t="s">
        <v>714</v>
      </c>
      <c r="G1633" s="18" t="s">
        <v>674</v>
      </c>
      <c r="H1633" s="18" t="s">
        <v>863</v>
      </c>
      <c r="I1633" s="315">
        <v>106.63528797894023</v>
      </c>
      <c r="J1633" s="315">
        <v>7.6929400028777036E-4</v>
      </c>
      <c r="K1633" s="316" t="str">
        <f t="shared" si="42"/>
        <v>Construction and Mining Equipment</v>
      </c>
      <c r="L1633" s="316" t="str">
        <f t="shared" si="43"/>
        <v>Diesel</v>
      </c>
      <c r="M1633" s="8"/>
      <c r="N1633" s="2"/>
      <c r="O1633" s="2"/>
      <c r="P1633" s="2"/>
      <c r="Q1633" s="2"/>
      <c r="R1633" s="2"/>
      <c r="S1633" s="2"/>
      <c r="T1633" s="2"/>
      <c r="U1633" s="2"/>
      <c r="V1633" s="2"/>
      <c r="W1633" s="2"/>
      <c r="X1633" s="2"/>
      <c r="Y1633" s="2"/>
      <c r="Z1633" s="2"/>
    </row>
    <row r="1634" spans="1:26" ht="12.75" x14ac:dyDescent="0.2">
      <c r="A1634" s="230"/>
      <c r="B1634" s="18">
        <v>2023</v>
      </c>
      <c r="C1634" s="18" t="s">
        <v>793</v>
      </c>
      <c r="D1634" s="18" t="s">
        <v>797</v>
      </c>
      <c r="E1634" s="18" t="s">
        <v>713</v>
      </c>
      <c r="F1634" s="18" t="s">
        <v>714</v>
      </c>
      <c r="G1634" s="18" t="s">
        <v>675</v>
      </c>
      <c r="H1634" s="18" t="s">
        <v>798</v>
      </c>
      <c r="I1634" s="315">
        <v>106.46135868643469</v>
      </c>
      <c r="J1634" s="315">
        <v>8.9811033492023502E-4</v>
      </c>
      <c r="K1634" s="316" t="str">
        <f t="shared" si="42"/>
        <v>Industrial Equipment</v>
      </c>
      <c r="L1634" s="316" t="str">
        <f t="shared" si="43"/>
        <v>Diesel</v>
      </c>
      <c r="M1634" s="8"/>
      <c r="N1634" s="2"/>
      <c r="O1634" s="2"/>
      <c r="P1634" s="2"/>
      <c r="Q1634" s="2"/>
      <c r="R1634" s="2"/>
      <c r="S1634" s="2"/>
      <c r="T1634" s="2"/>
      <c r="U1634" s="2"/>
      <c r="V1634" s="2"/>
      <c r="W1634" s="2"/>
      <c r="X1634" s="2"/>
      <c r="Y1634" s="2"/>
      <c r="Z1634" s="2"/>
    </row>
    <row r="1635" spans="1:26" ht="12.75" x14ac:dyDescent="0.2">
      <c r="A1635" s="230"/>
      <c r="B1635" s="18">
        <v>2023</v>
      </c>
      <c r="C1635" s="18" t="s">
        <v>709</v>
      </c>
      <c r="D1635" s="18" t="s">
        <v>1016</v>
      </c>
      <c r="E1635" s="18" t="s">
        <v>56</v>
      </c>
      <c r="F1635" s="18" t="s">
        <v>672</v>
      </c>
      <c r="G1635" s="18" t="s">
        <v>675</v>
      </c>
      <c r="H1635" s="18" t="s">
        <v>802</v>
      </c>
      <c r="I1635" s="315">
        <v>106.45858086193118</v>
      </c>
      <c r="J1635" s="315">
        <v>4.8840852658015603E-3</v>
      </c>
      <c r="K1635" s="316" t="str">
        <f t="shared" si="42"/>
        <v>Industrial Equipment</v>
      </c>
      <c r="L1635" s="316" t="str">
        <f t="shared" si="43"/>
        <v>LPG</v>
      </c>
      <c r="M1635" s="8"/>
      <c r="N1635" s="2"/>
      <c r="O1635" s="2"/>
      <c r="P1635" s="2"/>
      <c r="Q1635" s="2"/>
      <c r="R1635" s="2"/>
      <c r="S1635" s="2"/>
      <c r="T1635" s="2"/>
      <c r="U1635" s="2"/>
      <c r="V1635" s="2"/>
      <c r="W1635" s="2"/>
      <c r="X1635" s="2"/>
      <c r="Y1635" s="2"/>
      <c r="Z1635" s="2"/>
    </row>
    <row r="1636" spans="1:26" ht="12.75" x14ac:dyDescent="0.2">
      <c r="A1636" s="230"/>
      <c r="B1636" s="18">
        <v>2023</v>
      </c>
      <c r="C1636" s="18" t="s">
        <v>760</v>
      </c>
      <c r="D1636" s="18" t="s">
        <v>989</v>
      </c>
      <c r="E1636" s="18" t="s">
        <v>703</v>
      </c>
      <c r="F1636" s="18" t="s">
        <v>795</v>
      </c>
      <c r="G1636" s="18" t="s">
        <v>673</v>
      </c>
      <c r="H1636" s="18" t="s">
        <v>990</v>
      </c>
      <c r="I1636" s="315">
        <v>105.4075115946064</v>
      </c>
      <c r="J1636" s="315">
        <v>0.20291168303356985</v>
      </c>
      <c r="K1636" s="316" t="str">
        <f t="shared" si="42"/>
        <v>Lawn and Garden Equipment</v>
      </c>
      <c r="L1636" s="316" t="str">
        <f t="shared" si="43"/>
        <v>Gasoline</v>
      </c>
      <c r="M1636" s="8"/>
      <c r="N1636" s="2"/>
      <c r="O1636" s="2"/>
      <c r="P1636" s="2"/>
      <c r="Q1636" s="2"/>
      <c r="R1636" s="2"/>
      <c r="S1636" s="2"/>
      <c r="T1636" s="2"/>
      <c r="U1636" s="2"/>
      <c r="V1636" s="2"/>
      <c r="W1636" s="2"/>
      <c r="X1636" s="2"/>
      <c r="Y1636" s="2"/>
      <c r="Z1636" s="2"/>
    </row>
    <row r="1637" spans="1:26" ht="12.75" x14ac:dyDescent="0.2">
      <c r="A1637" s="230"/>
      <c r="B1637" s="18">
        <v>2023</v>
      </c>
      <c r="C1637" s="18" t="s">
        <v>793</v>
      </c>
      <c r="D1637" s="18" t="s">
        <v>801</v>
      </c>
      <c r="E1637" s="18" t="s">
        <v>713</v>
      </c>
      <c r="F1637" s="18" t="s">
        <v>714</v>
      </c>
      <c r="G1637" s="18" t="s">
        <v>675</v>
      </c>
      <c r="H1637" s="18" t="s">
        <v>802</v>
      </c>
      <c r="I1637" s="315">
        <v>104.96786575135731</v>
      </c>
      <c r="J1637" s="315">
        <v>6.9922437544101793E-4</v>
      </c>
      <c r="K1637" s="316" t="str">
        <f t="shared" si="42"/>
        <v>Industrial Equipment</v>
      </c>
      <c r="L1637" s="316" t="str">
        <f t="shared" si="43"/>
        <v>Diesel</v>
      </c>
      <c r="M1637" s="8"/>
      <c r="N1637" s="2"/>
      <c r="O1637" s="2"/>
      <c r="P1637" s="2"/>
      <c r="Q1637" s="2"/>
      <c r="R1637" s="2"/>
      <c r="S1637" s="2"/>
      <c r="T1637" s="2"/>
      <c r="U1637" s="2"/>
      <c r="V1637" s="2"/>
      <c r="W1637" s="2"/>
      <c r="X1637" s="2"/>
      <c r="Y1637" s="2"/>
      <c r="Z1637" s="2"/>
    </row>
    <row r="1638" spans="1:26" ht="12.75" x14ac:dyDescent="0.2">
      <c r="A1638" s="230"/>
      <c r="B1638" s="18">
        <v>2023</v>
      </c>
      <c r="C1638" s="18" t="s">
        <v>810</v>
      </c>
      <c r="D1638" s="18" t="s">
        <v>858</v>
      </c>
      <c r="E1638" s="18" t="s">
        <v>713</v>
      </c>
      <c r="F1638" s="18" t="s">
        <v>714</v>
      </c>
      <c r="G1638" s="18" t="s">
        <v>674</v>
      </c>
      <c r="H1638" s="18" t="s">
        <v>859</v>
      </c>
      <c r="I1638" s="315">
        <v>104.82302976128105</v>
      </c>
      <c r="J1638" s="315">
        <v>9.3045238942347493E-4</v>
      </c>
      <c r="K1638" s="316" t="str">
        <f t="shared" si="42"/>
        <v>Construction and Mining Equipment</v>
      </c>
      <c r="L1638" s="316" t="str">
        <f t="shared" si="43"/>
        <v>Diesel</v>
      </c>
      <c r="M1638" s="8"/>
      <c r="N1638" s="2"/>
      <c r="O1638" s="2"/>
      <c r="P1638" s="2"/>
      <c r="Q1638" s="2"/>
      <c r="R1638" s="2"/>
      <c r="S1638" s="2"/>
      <c r="T1638" s="2"/>
      <c r="U1638" s="2"/>
      <c r="V1638" s="2"/>
      <c r="W1638" s="2"/>
      <c r="X1638" s="2"/>
      <c r="Y1638" s="2"/>
      <c r="Z1638" s="2"/>
    </row>
    <row r="1639" spans="1:26" ht="12.75" x14ac:dyDescent="0.2">
      <c r="A1639" s="230"/>
      <c r="B1639" s="18">
        <v>2023</v>
      </c>
      <c r="C1639" s="18" t="s">
        <v>722</v>
      </c>
      <c r="D1639" s="18" t="s">
        <v>995</v>
      </c>
      <c r="E1639" s="18" t="s">
        <v>703</v>
      </c>
      <c r="F1639" s="18" t="s">
        <v>805</v>
      </c>
      <c r="G1639" s="18" t="s">
        <v>673</v>
      </c>
      <c r="H1639" s="18" t="s">
        <v>996</v>
      </c>
      <c r="I1639" s="315">
        <v>104.7564907929131</v>
      </c>
      <c r="J1639" s="315">
        <v>0.19535147106793246</v>
      </c>
      <c r="K1639" s="316" t="str">
        <f t="shared" si="42"/>
        <v>Lawn and Garden Equipment</v>
      </c>
      <c r="L1639" s="316" t="str">
        <f t="shared" si="43"/>
        <v>Gasoline</v>
      </c>
      <c r="M1639" s="8"/>
      <c r="N1639" s="2"/>
      <c r="O1639" s="2"/>
      <c r="P1639" s="2"/>
      <c r="Q1639" s="2"/>
      <c r="R1639" s="2"/>
      <c r="S1639" s="2"/>
      <c r="T1639" s="2"/>
      <c r="U1639" s="2"/>
      <c r="V1639" s="2"/>
      <c r="W1639" s="2"/>
      <c r="X1639" s="2"/>
      <c r="Y1639" s="2"/>
      <c r="Z1639" s="2"/>
    </row>
    <row r="1640" spans="1:26" ht="12.75" x14ac:dyDescent="0.2">
      <c r="A1640" s="230"/>
      <c r="B1640" s="18">
        <v>2023</v>
      </c>
      <c r="C1640" s="18" t="s">
        <v>793</v>
      </c>
      <c r="D1640" s="18" t="s">
        <v>835</v>
      </c>
      <c r="E1640" s="18" t="s">
        <v>703</v>
      </c>
      <c r="F1640" s="18" t="s">
        <v>704</v>
      </c>
      <c r="G1640" s="18" t="s">
        <v>677</v>
      </c>
      <c r="H1640" s="18" t="s">
        <v>836</v>
      </c>
      <c r="I1640" s="315">
        <v>104.61185006264547</v>
      </c>
      <c r="J1640" s="315">
        <v>6.4882937294867604E-2</v>
      </c>
      <c r="K1640" s="316" t="str">
        <f t="shared" si="42"/>
        <v>Commercial Equipment</v>
      </c>
      <c r="L1640" s="316" t="str">
        <f t="shared" si="43"/>
        <v>Gasoline</v>
      </c>
      <c r="M1640" s="8"/>
      <c r="N1640" s="2"/>
      <c r="O1640" s="2"/>
      <c r="P1640" s="2"/>
      <c r="Q1640" s="2"/>
      <c r="R1640" s="2"/>
      <c r="S1640" s="2"/>
      <c r="T1640" s="2"/>
      <c r="U1640" s="2"/>
      <c r="V1640" s="2"/>
      <c r="W1640" s="2"/>
      <c r="X1640" s="2"/>
      <c r="Y1640" s="2"/>
      <c r="Z1640" s="2"/>
    </row>
    <row r="1641" spans="1:26" ht="12.75" x14ac:dyDescent="0.2">
      <c r="A1641" s="230"/>
      <c r="B1641" s="18">
        <v>2023</v>
      </c>
      <c r="C1641" s="18" t="s">
        <v>711</v>
      </c>
      <c r="D1641" s="18" t="s">
        <v>1065</v>
      </c>
      <c r="E1641" s="18" t="s">
        <v>703</v>
      </c>
      <c r="F1641" s="18" t="s">
        <v>795</v>
      </c>
      <c r="G1641" s="18" t="s">
        <v>673</v>
      </c>
      <c r="H1641" s="18" t="s">
        <v>1066</v>
      </c>
      <c r="I1641" s="315">
        <v>104.42016694416618</v>
      </c>
      <c r="J1641" s="315">
        <v>0.7132374480927115</v>
      </c>
      <c r="K1641" s="316" t="str">
        <f t="shared" si="42"/>
        <v>Lawn and Garden Equipment</v>
      </c>
      <c r="L1641" s="316" t="str">
        <f t="shared" si="43"/>
        <v>Gasoline</v>
      </c>
      <c r="M1641" s="8"/>
      <c r="N1641" s="2"/>
      <c r="O1641" s="2"/>
      <c r="P1641" s="2"/>
      <c r="Q1641" s="2"/>
      <c r="R1641" s="2"/>
      <c r="S1641" s="2"/>
      <c r="T1641" s="2"/>
      <c r="U1641" s="2"/>
      <c r="V1641" s="2"/>
      <c r="W1641" s="2"/>
      <c r="X1641" s="2"/>
      <c r="Y1641" s="2"/>
      <c r="Z1641" s="2"/>
    </row>
    <row r="1642" spans="1:26" ht="12.75" x14ac:dyDescent="0.2">
      <c r="A1642" s="230"/>
      <c r="B1642" s="18">
        <v>2023</v>
      </c>
      <c r="C1642" s="18" t="s">
        <v>786</v>
      </c>
      <c r="D1642" s="18" t="s">
        <v>799</v>
      </c>
      <c r="E1642" s="18" t="s">
        <v>703</v>
      </c>
      <c r="F1642" s="18" t="s">
        <v>795</v>
      </c>
      <c r="G1642" s="18" t="s">
        <v>673</v>
      </c>
      <c r="H1642" s="18" t="s">
        <v>800</v>
      </c>
      <c r="I1642" s="315">
        <v>104.32827606866491</v>
      </c>
      <c r="J1642" s="315">
        <v>0.1961539338379413</v>
      </c>
      <c r="K1642" s="316" t="str">
        <f t="shared" si="42"/>
        <v>Lawn and Garden Equipment</v>
      </c>
      <c r="L1642" s="316" t="str">
        <f t="shared" si="43"/>
        <v>Gasoline</v>
      </c>
      <c r="M1642" s="8"/>
      <c r="N1642" s="2"/>
      <c r="O1642" s="2"/>
      <c r="P1642" s="2"/>
      <c r="Q1642" s="2"/>
      <c r="R1642" s="2"/>
      <c r="S1642" s="2"/>
      <c r="T1642" s="2"/>
      <c r="U1642" s="2"/>
      <c r="V1642" s="2"/>
      <c r="W1642" s="2"/>
      <c r="X1642" s="2"/>
      <c r="Y1642" s="2"/>
      <c r="Z1642" s="2"/>
    </row>
    <row r="1643" spans="1:26" ht="12.75" x14ac:dyDescent="0.2">
      <c r="A1643" s="230"/>
      <c r="B1643" s="18">
        <v>2023</v>
      </c>
      <c r="C1643" s="18" t="s">
        <v>793</v>
      </c>
      <c r="D1643" s="18" t="s">
        <v>803</v>
      </c>
      <c r="E1643" s="18" t="s">
        <v>703</v>
      </c>
      <c r="F1643" s="18" t="s">
        <v>805</v>
      </c>
      <c r="G1643" s="18" t="s">
        <v>673</v>
      </c>
      <c r="H1643" s="18" t="s">
        <v>806</v>
      </c>
      <c r="I1643" s="315">
        <v>103.97718311280789</v>
      </c>
      <c r="J1643" s="315">
        <v>0.20579397060761659</v>
      </c>
      <c r="K1643" s="316" t="str">
        <f t="shared" si="42"/>
        <v>Lawn and Garden Equipment</v>
      </c>
      <c r="L1643" s="316" t="str">
        <f t="shared" si="43"/>
        <v>Gasoline</v>
      </c>
      <c r="M1643" s="8"/>
      <c r="N1643" s="2"/>
      <c r="O1643" s="2"/>
      <c r="P1643" s="2"/>
      <c r="Q1643" s="2"/>
      <c r="R1643" s="2"/>
      <c r="S1643" s="2"/>
      <c r="T1643" s="2"/>
      <c r="U1643" s="2"/>
      <c r="V1643" s="2"/>
      <c r="W1643" s="2"/>
      <c r="X1643" s="2"/>
      <c r="Y1643" s="2"/>
      <c r="Z1643" s="2"/>
    </row>
    <row r="1644" spans="1:26" ht="12.75" x14ac:dyDescent="0.2">
      <c r="A1644" s="230"/>
      <c r="B1644" s="18">
        <v>2023</v>
      </c>
      <c r="C1644" s="18" t="s">
        <v>773</v>
      </c>
      <c r="D1644" s="18" t="s">
        <v>830</v>
      </c>
      <c r="E1644" s="18" t="s">
        <v>703</v>
      </c>
      <c r="F1644" s="18" t="s">
        <v>704</v>
      </c>
      <c r="G1644" s="18" t="s">
        <v>673</v>
      </c>
      <c r="H1644" s="18" t="s">
        <v>742</v>
      </c>
      <c r="I1644" s="315">
        <v>103.87329203717374</v>
      </c>
      <c r="J1644" s="315">
        <v>4.5095610537677439E-2</v>
      </c>
      <c r="K1644" s="316" t="str">
        <f t="shared" si="42"/>
        <v>Lawn and Garden Equipment</v>
      </c>
      <c r="L1644" s="316" t="str">
        <f t="shared" si="43"/>
        <v>Gasoline</v>
      </c>
      <c r="M1644" s="8"/>
      <c r="N1644" s="2"/>
      <c r="O1644" s="2"/>
      <c r="P1644" s="2"/>
      <c r="Q1644" s="2"/>
      <c r="R1644" s="2"/>
      <c r="S1644" s="2"/>
      <c r="T1644" s="2"/>
      <c r="U1644" s="2"/>
      <c r="V1644" s="2"/>
      <c r="W1644" s="2"/>
      <c r="X1644" s="2"/>
      <c r="Y1644" s="2"/>
      <c r="Z1644" s="2"/>
    </row>
    <row r="1645" spans="1:26" ht="12.75" x14ac:dyDescent="0.2">
      <c r="A1645" s="230"/>
      <c r="B1645" s="18">
        <v>2023</v>
      </c>
      <c r="C1645" s="18" t="s">
        <v>762</v>
      </c>
      <c r="D1645" s="18" t="s">
        <v>880</v>
      </c>
      <c r="E1645" s="18" t="s">
        <v>703</v>
      </c>
      <c r="F1645" s="18" t="s">
        <v>704</v>
      </c>
      <c r="G1645" s="18" t="s">
        <v>677</v>
      </c>
      <c r="H1645" s="18" t="s">
        <v>785</v>
      </c>
      <c r="I1645" s="315">
        <v>103.75470932194031</v>
      </c>
      <c r="J1645" s="315">
        <v>5.9668059387655188E-2</v>
      </c>
      <c r="K1645" s="316" t="str">
        <f t="shared" si="42"/>
        <v>Commercial Equipment</v>
      </c>
      <c r="L1645" s="316" t="str">
        <f t="shared" si="43"/>
        <v>Gasoline</v>
      </c>
      <c r="M1645" s="8"/>
      <c r="N1645" s="2"/>
      <c r="O1645" s="2"/>
      <c r="P1645" s="2"/>
      <c r="Q1645" s="2"/>
      <c r="R1645" s="2"/>
      <c r="S1645" s="2"/>
      <c r="T1645" s="2"/>
      <c r="U1645" s="2"/>
      <c r="V1645" s="2"/>
      <c r="W1645" s="2"/>
      <c r="X1645" s="2"/>
      <c r="Y1645" s="2"/>
      <c r="Z1645" s="2"/>
    </row>
    <row r="1646" spans="1:26" ht="12.75" x14ac:dyDescent="0.2">
      <c r="A1646" s="230"/>
      <c r="B1646" s="18">
        <v>2023</v>
      </c>
      <c r="C1646" s="18" t="s">
        <v>750</v>
      </c>
      <c r="D1646" s="18" t="s">
        <v>771</v>
      </c>
      <c r="E1646" s="18" t="s">
        <v>713</v>
      </c>
      <c r="F1646" s="18" t="s">
        <v>714</v>
      </c>
      <c r="G1646" s="18" t="s">
        <v>675</v>
      </c>
      <c r="H1646" s="18" t="s">
        <v>772</v>
      </c>
      <c r="I1646" s="315">
        <v>103.74237004912584</v>
      </c>
      <c r="J1646" s="315">
        <v>2.3081633222391887E-4</v>
      </c>
      <c r="K1646" s="316" t="str">
        <f t="shared" si="42"/>
        <v>Industrial Equipment</v>
      </c>
      <c r="L1646" s="316" t="str">
        <f t="shared" si="43"/>
        <v>Diesel</v>
      </c>
      <c r="M1646" s="8"/>
      <c r="N1646" s="2"/>
      <c r="O1646" s="2"/>
      <c r="P1646" s="2"/>
      <c r="Q1646" s="2"/>
      <c r="R1646" s="2"/>
      <c r="S1646" s="2"/>
      <c r="T1646" s="2"/>
      <c r="U1646" s="2"/>
      <c r="V1646" s="2"/>
      <c r="W1646" s="2"/>
      <c r="X1646" s="2"/>
      <c r="Y1646" s="2"/>
      <c r="Z1646" s="2"/>
    </row>
    <row r="1647" spans="1:26" ht="12.75" x14ac:dyDescent="0.2">
      <c r="A1647" s="230"/>
      <c r="B1647" s="18">
        <v>2023</v>
      </c>
      <c r="C1647" s="18" t="s">
        <v>760</v>
      </c>
      <c r="D1647" s="18" t="s">
        <v>993</v>
      </c>
      <c r="E1647" s="18" t="s">
        <v>703</v>
      </c>
      <c r="F1647" s="18" t="s">
        <v>704</v>
      </c>
      <c r="G1647" s="18" t="s">
        <v>674</v>
      </c>
      <c r="H1647" s="18" t="s">
        <v>994</v>
      </c>
      <c r="I1647" s="315">
        <v>103.38456861609025</v>
      </c>
      <c r="J1647" s="315">
        <v>6.9106310272461502E-2</v>
      </c>
      <c r="K1647" s="316" t="str">
        <f t="shared" si="42"/>
        <v>Construction and Mining Equipment</v>
      </c>
      <c r="L1647" s="316" t="str">
        <f t="shared" si="43"/>
        <v>Gasoline</v>
      </c>
      <c r="M1647" s="8"/>
      <c r="N1647" s="2"/>
      <c r="O1647" s="2"/>
      <c r="P1647" s="2"/>
      <c r="Q1647" s="2"/>
      <c r="R1647" s="2"/>
      <c r="S1647" s="2"/>
      <c r="T1647" s="2"/>
      <c r="U1647" s="2"/>
      <c r="V1647" s="2"/>
      <c r="W1647" s="2"/>
      <c r="X1647" s="2"/>
      <c r="Y1647" s="2"/>
      <c r="Z1647" s="2"/>
    </row>
    <row r="1648" spans="1:26" ht="12.75" x14ac:dyDescent="0.2">
      <c r="A1648" s="230"/>
      <c r="B1648" s="18">
        <v>2023</v>
      </c>
      <c r="C1648" s="18" t="s">
        <v>710</v>
      </c>
      <c r="D1648" s="18" t="s">
        <v>867</v>
      </c>
      <c r="E1648" s="18" t="s">
        <v>713</v>
      </c>
      <c r="F1648" s="18" t="s">
        <v>714</v>
      </c>
      <c r="G1648" s="18" t="s">
        <v>673</v>
      </c>
      <c r="H1648" s="18" t="s">
        <v>724</v>
      </c>
      <c r="I1648" s="315">
        <v>103.35648345486113</v>
      </c>
      <c r="J1648" s="315">
        <v>5.3190947956306203E-3</v>
      </c>
      <c r="K1648" s="316" t="str">
        <f t="shared" si="42"/>
        <v>Lawn and Garden Equipment</v>
      </c>
      <c r="L1648" s="316" t="str">
        <f t="shared" si="43"/>
        <v>Diesel</v>
      </c>
      <c r="M1648" s="8"/>
      <c r="N1648" s="2"/>
      <c r="O1648" s="2"/>
      <c r="P1648" s="2"/>
      <c r="Q1648" s="2"/>
      <c r="R1648" s="2"/>
      <c r="S1648" s="2"/>
      <c r="T1648" s="2"/>
      <c r="U1648" s="2"/>
      <c r="V1648" s="2"/>
      <c r="W1648" s="2"/>
      <c r="X1648" s="2"/>
      <c r="Y1648" s="2"/>
      <c r="Z1648" s="2"/>
    </row>
    <row r="1649" spans="1:26" ht="12.75" x14ac:dyDescent="0.2">
      <c r="A1649" s="230"/>
      <c r="B1649" s="18">
        <v>2023</v>
      </c>
      <c r="C1649" s="18" t="s">
        <v>732</v>
      </c>
      <c r="D1649" s="18" t="s">
        <v>986</v>
      </c>
      <c r="E1649" s="18" t="s">
        <v>703</v>
      </c>
      <c r="F1649" s="18" t="s">
        <v>704</v>
      </c>
      <c r="G1649" s="18" t="s">
        <v>673</v>
      </c>
      <c r="H1649" s="18" t="s">
        <v>987</v>
      </c>
      <c r="I1649" s="315">
        <v>103.31708775715435</v>
      </c>
      <c r="J1649" s="315">
        <v>7.0938238956623226E-2</v>
      </c>
      <c r="K1649" s="316" t="str">
        <f t="shared" si="42"/>
        <v>Lawn and Garden Equipment</v>
      </c>
      <c r="L1649" s="316" t="str">
        <f t="shared" si="43"/>
        <v>Gasoline</v>
      </c>
      <c r="M1649" s="8"/>
      <c r="N1649" s="2"/>
      <c r="O1649" s="2"/>
      <c r="P1649" s="2"/>
      <c r="Q1649" s="2"/>
      <c r="R1649" s="2"/>
      <c r="S1649" s="2"/>
      <c r="T1649" s="2"/>
      <c r="U1649" s="2"/>
      <c r="V1649" s="2"/>
      <c r="W1649" s="2"/>
      <c r="X1649" s="2"/>
      <c r="Y1649" s="2"/>
      <c r="Z1649" s="2"/>
    </row>
    <row r="1650" spans="1:26" ht="12.75" x14ac:dyDescent="0.2">
      <c r="A1650" s="230"/>
      <c r="B1650" s="18">
        <v>2023</v>
      </c>
      <c r="C1650" s="18" t="s">
        <v>759</v>
      </c>
      <c r="D1650" s="18" t="s">
        <v>755</v>
      </c>
      <c r="E1650" s="18" t="s">
        <v>713</v>
      </c>
      <c r="F1650" s="18" t="s">
        <v>714</v>
      </c>
      <c r="G1650" s="18" t="s">
        <v>674</v>
      </c>
      <c r="H1650" s="18" t="s">
        <v>756</v>
      </c>
      <c r="I1650" s="315">
        <v>103.20008028353739</v>
      </c>
      <c r="J1650" s="315">
        <v>4.0074094201092694E-3</v>
      </c>
      <c r="K1650" s="316" t="str">
        <f t="shared" si="42"/>
        <v>Construction and Mining Equipment</v>
      </c>
      <c r="L1650" s="316" t="str">
        <f t="shared" si="43"/>
        <v>Diesel</v>
      </c>
      <c r="M1650" s="8"/>
      <c r="N1650" s="2"/>
      <c r="O1650" s="2"/>
      <c r="P1650" s="2"/>
      <c r="Q1650" s="2"/>
      <c r="R1650" s="2"/>
      <c r="S1650" s="2"/>
      <c r="T1650" s="2"/>
      <c r="U1650" s="2"/>
      <c r="V1650" s="2"/>
      <c r="W1650" s="2"/>
      <c r="X1650" s="2"/>
      <c r="Y1650" s="2"/>
      <c r="Z1650" s="2"/>
    </row>
    <row r="1651" spans="1:26" ht="12.75" x14ac:dyDescent="0.2">
      <c r="A1651" s="230"/>
      <c r="B1651" s="18">
        <v>2023</v>
      </c>
      <c r="C1651" s="18" t="s">
        <v>810</v>
      </c>
      <c r="D1651" s="18" t="s">
        <v>860</v>
      </c>
      <c r="E1651" s="18" t="s">
        <v>713</v>
      </c>
      <c r="F1651" s="18" t="s">
        <v>714</v>
      </c>
      <c r="G1651" s="18" t="s">
        <v>674</v>
      </c>
      <c r="H1651" s="18" t="s">
        <v>861</v>
      </c>
      <c r="I1651" s="315">
        <v>102.54520705451904</v>
      </c>
      <c r="J1651" s="315">
        <v>1.6995002599116949E-3</v>
      </c>
      <c r="K1651" s="316" t="str">
        <f t="shared" si="42"/>
        <v>Construction and Mining Equipment</v>
      </c>
      <c r="L1651" s="316" t="str">
        <f t="shared" si="43"/>
        <v>Diesel</v>
      </c>
      <c r="M1651" s="8"/>
      <c r="N1651" s="2"/>
      <c r="O1651" s="2"/>
      <c r="P1651" s="2"/>
      <c r="Q1651" s="2"/>
      <c r="R1651" s="2"/>
      <c r="S1651" s="2"/>
      <c r="T1651" s="2"/>
      <c r="U1651" s="2"/>
      <c r="V1651" s="2"/>
      <c r="W1651" s="2"/>
      <c r="X1651" s="2"/>
      <c r="Y1651" s="2"/>
      <c r="Z1651" s="2"/>
    </row>
    <row r="1652" spans="1:26" ht="12.75" x14ac:dyDescent="0.2">
      <c r="A1652" s="230"/>
      <c r="B1652" s="18">
        <v>2023</v>
      </c>
      <c r="C1652" s="18" t="s">
        <v>778</v>
      </c>
      <c r="D1652" s="18" t="s">
        <v>848</v>
      </c>
      <c r="E1652" s="18" t="s">
        <v>56</v>
      </c>
      <c r="F1652" s="18" t="s">
        <v>601</v>
      </c>
      <c r="G1652" s="18" t="s">
        <v>675</v>
      </c>
      <c r="H1652" s="18" t="s">
        <v>708</v>
      </c>
      <c r="I1652" s="315">
        <v>102.38195144243717</v>
      </c>
      <c r="J1652" s="315">
        <v>0.40730017775582839</v>
      </c>
      <c r="K1652" s="316" t="str">
        <f t="shared" si="42"/>
        <v>Industrial Equipment</v>
      </c>
      <c r="L1652" s="316" t="str">
        <f t="shared" si="43"/>
        <v>CNG</v>
      </c>
      <c r="M1652" s="8"/>
      <c r="N1652" s="2"/>
      <c r="O1652" s="2"/>
      <c r="P1652" s="2"/>
      <c r="Q1652" s="2"/>
      <c r="R1652" s="2"/>
      <c r="S1652" s="2"/>
      <c r="T1652" s="2"/>
      <c r="U1652" s="2"/>
      <c r="V1652" s="2"/>
      <c r="W1652" s="2"/>
      <c r="X1652" s="2"/>
      <c r="Y1652" s="2"/>
      <c r="Z1652" s="2"/>
    </row>
    <row r="1653" spans="1:26" ht="12.75" x14ac:dyDescent="0.2">
      <c r="A1653" s="230"/>
      <c r="B1653" s="18">
        <v>2023</v>
      </c>
      <c r="C1653" s="18" t="s">
        <v>722</v>
      </c>
      <c r="D1653" s="18" t="s">
        <v>980</v>
      </c>
      <c r="E1653" s="18" t="s">
        <v>713</v>
      </c>
      <c r="F1653" s="18" t="s">
        <v>714</v>
      </c>
      <c r="G1653" s="18" t="s">
        <v>674</v>
      </c>
      <c r="H1653" s="18" t="s">
        <v>981</v>
      </c>
      <c r="I1653" s="315">
        <v>102.17202727638472</v>
      </c>
      <c r="J1653" s="315">
        <v>4.4847785581898269E-3</v>
      </c>
      <c r="K1653" s="316" t="str">
        <f t="shared" si="42"/>
        <v>Construction and Mining Equipment</v>
      </c>
      <c r="L1653" s="316" t="str">
        <f t="shared" si="43"/>
        <v>Diesel</v>
      </c>
      <c r="M1653" s="8"/>
      <c r="N1653" s="2"/>
      <c r="O1653" s="2"/>
      <c r="P1653" s="2"/>
      <c r="Q1653" s="2"/>
      <c r="R1653" s="2"/>
      <c r="S1653" s="2"/>
      <c r="T1653" s="2"/>
      <c r="U1653" s="2"/>
      <c r="V1653" s="2"/>
      <c r="W1653" s="2"/>
      <c r="X1653" s="2"/>
      <c r="Y1653" s="2"/>
      <c r="Z1653" s="2"/>
    </row>
    <row r="1654" spans="1:26" ht="12.75" x14ac:dyDescent="0.2">
      <c r="A1654" s="230"/>
      <c r="B1654" s="18">
        <v>2023</v>
      </c>
      <c r="C1654" s="18" t="s">
        <v>781</v>
      </c>
      <c r="D1654" s="18" t="s">
        <v>741</v>
      </c>
      <c r="E1654" s="18" t="s">
        <v>713</v>
      </c>
      <c r="F1654" s="18" t="s">
        <v>714</v>
      </c>
      <c r="G1654" s="18" t="s">
        <v>673</v>
      </c>
      <c r="H1654" s="18" t="s">
        <v>742</v>
      </c>
      <c r="I1654" s="315">
        <v>101.8531728702111</v>
      </c>
      <c r="J1654" s="315">
        <v>1.6869813762608677E-3</v>
      </c>
      <c r="K1654" s="316" t="str">
        <f t="shared" si="42"/>
        <v>Lawn and Garden Equipment</v>
      </c>
      <c r="L1654" s="316" t="str">
        <f t="shared" si="43"/>
        <v>Diesel</v>
      </c>
      <c r="M1654" s="8"/>
      <c r="N1654" s="2"/>
      <c r="O1654" s="2"/>
      <c r="P1654" s="2"/>
      <c r="Q1654" s="2"/>
      <c r="R1654" s="2"/>
      <c r="S1654" s="2"/>
      <c r="T1654" s="2"/>
      <c r="U1654" s="2"/>
      <c r="V1654" s="2"/>
      <c r="W1654" s="2"/>
      <c r="X1654" s="2"/>
      <c r="Y1654" s="2"/>
      <c r="Z1654" s="2"/>
    </row>
    <row r="1655" spans="1:26" ht="12.75" x14ac:dyDescent="0.2">
      <c r="A1655" s="230"/>
      <c r="B1655" s="18">
        <v>2023</v>
      </c>
      <c r="C1655" s="18" t="s">
        <v>701</v>
      </c>
      <c r="D1655" s="18" t="s">
        <v>1073</v>
      </c>
      <c r="E1655" s="18" t="s">
        <v>703</v>
      </c>
      <c r="F1655" s="18" t="s">
        <v>704</v>
      </c>
      <c r="G1655" s="18" t="s">
        <v>674</v>
      </c>
      <c r="H1655" s="18" t="s">
        <v>1072</v>
      </c>
      <c r="I1655" s="315">
        <v>101.83860125336763</v>
      </c>
      <c r="J1655" s="315">
        <v>7.1882995654250603E-2</v>
      </c>
      <c r="K1655" s="316" t="str">
        <f t="shared" si="42"/>
        <v>Construction and Mining Equipment</v>
      </c>
      <c r="L1655" s="316" t="str">
        <f t="shared" si="43"/>
        <v>Gasoline</v>
      </c>
      <c r="M1655" s="8"/>
      <c r="N1655" s="2"/>
      <c r="O1655" s="2"/>
      <c r="P1655" s="2"/>
      <c r="Q1655" s="2"/>
      <c r="R1655" s="2"/>
      <c r="S1655" s="2"/>
      <c r="T1655" s="2"/>
      <c r="U1655" s="2"/>
      <c r="V1655" s="2"/>
      <c r="W1655" s="2"/>
      <c r="X1655" s="2"/>
      <c r="Y1655" s="2"/>
      <c r="Z1655" s="2"/>
    </row>
    <row r="1656" spans="1:26" ht="12.75" x14ac:dyDescent="0.2">
      <c r="A1656" s="230"/>
      <c r="B1656" s="18">
        <v>2023</v>
      </c>
      <c r="C1656" s="18" t="s">
        <v>722</v>
      </c>
      <c r="D1656" s="18" t="s">
        <v>971</v>
      </c>
      <c r="E1656" s="18" t="s">
        <v>713</v>
      </c>
      <c r="F1656" s="18" t="s">
        <v>714</v>
      </c>
      <c r="G1656" s="18" t="s">
        <v>678</v>
      </c>
      <c r="H1656" s="18" t="s">
        <v>972</v>
      </c>
      <c r="I1656" s="315">
        <v>101.8009187627332</v>
      </c>
      <c r="J1656" s="315">
        <v>5.6547144231956065E-4</v>
      </c>
      <c r="K1656" s="316" t="str">
        <f t="shared" si="42"/>
        <v>Agricultural Equipment</v>
      </c>
      <c r="L1656" s="316" t="str">
        <f t="shared" si="43"/>
        <v>Diesel</v>
      </c>
      <c r="M1656" s="8"/>
      <c r="N1656" s="2"/>
      <c r="O1656" s="2"/>
      <c r="P1656" s="2"/>
      <c r="Q1656" s="2"/>
      <c r="R1656" s="2"/>
      <c r="S1656" s="2"/>
      <c r="T1656" s="2"/>
      <c r="U1656" s="2"/>
      <c r="V1656" s="2"/>
      <c r="W1656" s="2"/>
      <c r="X1656" s="2"/>
      <c r="Y1656" s="2"/>
      <c r="Z1656" s="2"/>
    </row>
    <row r="1657" spans="1:26" ht="12.75" x14ac:dyDescent="0.2">
      <c r="A1657" s="230"/>
      <c r="B1657" s="18">
        <v>2023</v>
      </c>
      <c r="C1657" s="18" t="s">
        <v>750</v>
      </c>
      <c r="D1657" s="18" t="s">
        <v>835</v>
      </c>
      <c r="E1657" s="18" t="s">
        <v>703</v>
      </c>
      <c r="F1657" s="18" t="s">
        <v>704</v>
      </c>
      <c r="G1657" s="18" t="s">
        <v>677</v>
      </c>
      <c r="H1657" s="18" t="s">
        <v>836</v>
      </c>
      <c r="I1657" s="315">
        <v>101.78436312762494</v>
      </c>
      <c r="J1657" s="315">
        <v>6.3095858040147404E-2</v>
      </c>
      <c r="K1657" s="316" t="str">
        <f t="shared" si="42"/>
        <v>Commercial Equipment</v>
      </c>
      <c r="L1657" s="316" t="str">
        <f t="shared" si="43"/>
        <v>Gasoline</v>
      </c>
      <c r="M1657" s="8"/>
      <c r="N1657" s="2"/>
      <c r="O1657" s="2"/>
      <c r="P1657" s="2"/>
      <c r="Q1657" s="2"/>
      <c r="R1657" s="2"/>
      <c r="S1657" s="2"/>
      <c r="T1657" s="2"/>
      <c r="U1657" s="2"/>
      <c r="V1657" s="2"/>
      <c r="W1657" s="2"/>
      <c r="X1657" s="2"/>
      <c r="Y1657" s="2"/>
      <c r="Z1657" s="2"/>
    </row>
    <row r="1658" spans="1:26" ht="12.75" x14ac:dyDescent="0.2">
      <c r="A1658" s="230"/>
      <c r="B1658" s="18">
        <v>2023</v>
      </c>
      <c r="C1658" s="18" t="s">
        <v>792</v>
      </c>
      <c r="D1658" s="18" t="s">
        <v>920</v>
      </c>
      <c r="E1658" s="18" t="s">
        <v>703</v>
      </c>
      <c r="F1658" s="18" t="s">
        <v>704</v>
      </c>
      <c r="G1658" s="18" t="s">
        <v>673</v>
      </c>
      <c r="H1658" s="18" t="s">
        <v>921</v>
      </c>
      <c r="I1658" s="315">
        <v>101.66220330023408</v>
      </c>
      <c r="J1658" s="315">
        <v>6.4809245029047308E-2</v>
      </c>
      <c r="K1658" s="316" t="str">
        <f t="shared" si="42"/>
        <v>Lawn and Garden Equipment</v>
      </c>
      <c r="L1658" s="316" t="str">
        <f t="shared" si="43"/>
        <v>Gasoline</v>
      </c>
      <c r="M1658" s="8"/>
      <c r="N1658" s="2"/>
      <c r="O1658" s="2"/>
      <c r="P1658" s="2"/>
      <c r="Q1658" s="2"/>
      <c r="R1658" s="2"/>
      <c r="S1658" s="2"/>
      <c r="T1658" s="2"/>
      <c r="U1658" s="2"/>
      <c r="V1658" s="2"/>
      <c r="W1658" s="2"/>
      <c r="X1658" s="2"/>
      <c r="Y1658" s="2"/>
      <c r="Z1658" s="2"/>
    </row>
    <row r="1659" spans="1:26" ht="12.75" x14ac:dyDescent="0.2">
      <c r="A1659" s="230"/>
      <c r="B1659" s="18">
        <v>2023</v>
      </c>
      <c r="C1659" s="18" t="s">
        <v>701</v>
      </c>
      <c r="D1659" s="18" t="s">
        <v>1074</v>
      </c>
      <c r="E1659" s="18" t="s">
        <v>713</v>
      </c>
      <c r="F1659" s="18" t="s">
        <v>714</v>
      </c>
      <c r="G1659" s="18" t="s">
        <v>674</v>
      </c>
      <c r="H1659" s="18" t="s">
        <v>967</v>
      </c>
      <c r="I1659" s="315">
        <v>101.53450663202291</v>
      </c>
      <c r="J1659" s="315">
        <v>1.7448203968327429E-3</v>
      </c>
      <c r="K1659" s="316" t="str">
        <f t="shared" si="42"/>
        <v>Construction and Mining Equipment</v>
      </c>
      <c r="L1659" s="316" t="str">
        <f t="shared" si="43"/>
        <v>Diesel</v>
      </c>
      <c r="M1659" s="8"/>
      <c r="N1659" s="2"/>
      <c r="O1659" s="2"/>
      <c r="P1659" s="2"/>
      <c r="Q1659" s="2"/>
      <c r="R1659" s="2"/>
      <c r="S1659" s="2"/>
      <c r="T1659" s="2"/>
      <c r="U1659" s="2"/>
      <c r="V1659" s="2"/>
      <c r="W1659" s="2"/>
      <c r="X1659" s="2"/>
      <c r="Y1659" s="2"/>
      <c r="Z1659" s="2"/>
    </row>
    <row r="1660" spans="1:26" ht="12.75" x14ac:dyDescent="0.2">
      <c r="A1660" s="230"/>
      <c r="B1660" s="18">
        <v>2023</v>
      </c>
      <c r="C1660" s="18" t="s">
        <v>743</v>
      </c>
      <c r="D1660" s="18" t="s">
        <v>878</v>
      </c>
      <c r="E1660" s="18" t="s">
        <v>703</v>
      </c>
      <c r="F1660" s="18" t="s">
        <v>704</v>
      </c>
      <c r="G1660" s="18" t="s">
        <v>673</v>
      </c>
      <c r="H1660" s="18" t="s">
        <v>879</v>
      </c>
      <c r="I1660" s="315">
        <v>101.48920152949634</v>
      </c>
      <c r="J1660" s="315">
        <v>6.6926195230542773E-2</v>
      </c>
      <c r="K1660" s="316" t="str">
        <f t="shared" si="42"/>
        <v>Lawn and Garden Equipment</v>
      </c>
      <c r="L1660" s="316" t="str">
        <f t="shared" si="43"/>
        <v>Gasoline</v>
      </c>
      <c r="M1660" s="8"/>
      <c r="N1660" s="2"/>
      <c r="O1660" s="2"/>
      <c r="P1660" s="2"/>
      <c r="Q1660" s="2"/>
      <c r="R1660" s="2"/>
      <c r="S1660" s="2"/>
      <c r="T1660" s="2"/>
      <c r="U1660" s="2"/>
      <c r="V1660" s="2"/>
      <c r="W1660" s="2"/>
      <c r="X1660" s="2"/>
      <c r="Y1660" s="2"/>
      <c r="Z1660" s="2"/>
    </row>
    <row r="1661" spans="1:26" ht="12.75" x14ac:dyDescent="0.2">
      <c r="A1661" s="230"/>
      <c r="B1661" s="18">
        <v>2023</v>
      </c>
      <c r="C1661" s="18" t="s">
        <v>750</v>
      </c>
      <c r="D1661" s="18" t="s">
        <v>794</v>
      </c>
      <c r="E1661" s="18" t="s">
        <v>703</v>
      </c>
      <c r="F1661" s="18" t="s">
        <v>795</v>
      </c>
      <c r="G1661" s="18" t="s">
        <v>673</v>
      </c>
      <c r="H1661" s="18" t="s">
        <v>796</v>
      </c>
      <c r="I1661" s="315">
        <v>100.87265687471773</v>
      </c>
      <c r="J1661" s="315">
        <v>0.1842747143561819</v>
      </c>
      <c r="K1661" s="316" t="str">
        <f t="shared" si="42"/>
        <v>Lawn and Garden Equipment</v>
      </c>
      <c r="L1661" s="316" t="str">
        <f t="shared" si="43"/>
        <v>Gasoline</v>
      </c>
      <c r="M1661" s="8"/>
      <c r="N1661" s="2"/>
      <c r="O1661" s="2"/>
      <c r="P1661" s="2"/>
      <c r="Q1661" s="2"/>
      <c r="R1661" s="2"/>
      <c r="S1661" s="2"/>
      <c r="T1661" s="2"/>
      <c r="U1661" s="2"/>
      <c r="V1661" s="2"/>
      <c r="W1661" s="2"/>
      <c r="X1661" s="2"/>
      <c r="Y1661" s="2"/>
      <c r="Z1661" s="2"/>
    </row>
    <row r="1662" spans="1:26" ht="12.75" x14ac:dyDescent="0.2">
      <c r="A1662" s="230"/>
      <c r="B1662" s="18">
        <v>2023</v>
      </c>
      <c r="C1662" s="18" t="s">
        <v>711</v>
      </c>
      <c r="D1662" s="18" t="s">
        <v>1023</v>
      </c>
      <c r="E1662" s="18" t="s">
        <v>703</v>
      </c>
      <c r="F1662" s="18" t="s">
        <v>704</v>
      </c>
      <c r="G1662" s="18" t="s">
        <v>674</v>
      </c>
      <c r="H1662" s="18" t="s">
        <v>736</v>
      </c>
      <c r="I1662" s="315">
        <v>100.79372477098767</v>
      </c>
      <c r="J1662" s="315">
        <v>6.7089054771688417E-2</v>
      </c>
      <c r="K1662" s="316" t="str">
        <f t="shared" si="42"/>
        <v>Construction and Mining Equipment</v>
      </c>
      <c r="L1662" s="316" t="str">
        <f t="shared" si="43"/>
        <v>Gasoline</v>
      </c>
      <c r="M1662" s="8"/>
      <c r="N1662" s="2"/>
      <c r="O1662" s="2"/>
      <c r="P1662" s="2"/>
      <c r="Q1662" s="2"/>
      <c r="R1662" s="2"/>
      <c r="S1662" s="2"/>
      <c r="T1662" s="2"/>
      <c r="U1662" s="2"/>
      <c r="V1662" s="2"/>
      <c r="W1662" s="2"/>
      <c r="X1662" s="2"/>
      <c r="Y1662" s="2"/>
      <c r="Z1662" s="2"/>
    </row>
    <row r="1663" spans="1:26" ht="12.75" x14ac:dyDescent="0.2">
      <c r="A1663" s="230"/>
      <c r="B1663" s="18">
        <v>2023</v>
      </c>
      <c r="C1663" s="18" t="s">
        <v>810</v>
      </c>
      <c r="D1663" s="18" t="s">
        <v>862</v>
      </c>
      <c r="E1663" s="18" t="s">
        <v>713</v>
      </c>
      <c r="F1663" s="18" t="s">
        <v>714</v>
      </c>
      <c r="G1663" s="18" t="s">
        <v>674</v>
      </c>
      <c r="H1663" s="18" t="s">
        <v>863</v>
      </c>
      <c r="I1663" s="315">
        <v>100.50538548520997</v>
      </c>
      <c r="J1663" s="315">
        <v>7.2507044078782136E-4</v>
      </c>
      <c r="K1663" s="316" t="str">
        <f t="shared" si="42"/>
        <v>Construction and Mining Equipment</v>
      </c>
      <c r="L1663" s="316" t="str">
        <f t="shared" si="43"/>
        <v>Diesel</v>
      </c>
      <c r="M1663" s="8"/>
      <c r="N1663" s="2"/>
      <c r="O1663" s="2"/>
      <c r="P1663" s="2"/>
      <c r="Q1663" s="2"/>
      <c r="R1663" s="2"/>
      <c r="S1663" s="2"/>
      <c r="T1663" s="2"/>
      <c r="U1663" s="2"/>
      <c r="V1663" s="2"/>
      <c r="W1663" s="2"/>
      <c r="X1663" s="2"/>
      <c r="Y1663" s="2"/>
      <c r="Z1663" s="2"/>
    </row>
    <row r="1664" spans="1:26" ht="12.75" x14ac:dyDescent="0.2">
      <c r="A1664" s="230"/>
      <c r="B1664" s="18">
        <v>2023</v>
      </c>
      <c r="C1664" s="18" t="s">
        <v>743</v>
      </c>
      <c r="D1664" s="18" t="s">
        <v>882</v>
      </c>
      <c r="E1664" s="18" t="s">
        <v>713</v>
      </c>
      <c r="F1664" s="18" t="s">
        <v>714</v>
      </c>
      <c r="G1664" s="18" t="s">
        <v>673</v>
      </c>
      <c r="H1664" s="18" t="s">
        <v>705</v>
      </c>
      <c r="I1664" s="315">
        <v>100.41176769263944</v>
      </c>
      <c r="J1664" s="315">
        <v>1.6852718857020739E-3</v>
      </c>
      <c r="K1664" s="316" t="str">
        <f t="shared" si="42"/>
        <v>Lawn and Garden Equipment</v>
      </c>
      <c r="L1664" s="316" t="str">
        <f t="shared" si="43"/>
        <v>Diesel</v>
      </c>
      <c r="M1664" s="8"/>
      <c r="N1664" s="2"/>
      <c r="O1664" s="2"/>
      <c r="P1664" s="2"/>
      <c r="Q1664" s="2"/>
      <c r="R1664" s="2"/>
      <c r="S1664" s="2"/>
      <c r="T1664" s="2"/>
      <c r="U1664" s="2"/>
      <c r="V1664" s="2"/>
      <c r="W1664" s="2"/>
      <c r="X1664" s="2"/>
      <c r="Y1664" s="2"/>
      <c r="Z1664" s="2"/>
    </row>
    <row r="1665" spans="1:26" ht="12.75" x14ac:dyDescent="0.2">
      <c r="A1665" s="230"/>
      <c r="B1665" s="18">
        <v>2023</v>
      </c>
      <c r="C1665" s="18" t="s">
        <v>722</v>
      </c>
      <c r="D1665" s="18" t="s">
        <v>1009</v>
      </c>
      <c r="E1665" s="18" t="s">
        <v>713</v>
      </c>
      <c r="F1665" s="18" t="s">
        <v>714</v>
      </c>
      <c r="G1665" s="18" t="s">
        <v>673</v>
      </c>
      <c r="H1665" s="18" t="s">
        <v>1010</v>
      </c>
      <c r="I1665" s="315">
        <v>100.33702727406988</v>
      </c>
      <c r="J1665" s="315">
        <v>1.464266591102279E-3</v>
      </c>
      <c r="K1665" s="316" t="str">
        <f t="shared" si="42"/>
        <v>Lawn and Garden Equipment</v>
      </c>
      <c r="L1665" s="316" t="str">
        <f t="shared" si="43"/>
        <v>Diesel</v>
      </c>
      <c r="M1665" s="8"/>
      <c r="N1665" s="2"/>
      <c r="O1665" s="2"/>
      <c r="P1665" s="2"/>
      <c r="Q1665" s="2"/>
      <c r="R1665" s="2"/>
      <c r="S1665" s="2"/>
      <c r="T1665" s="2"/>
      <c r="U1665" s="2"/>
      <c r="V1665" s="2"/>
      <c r="W1665" s="2"/>
      <c r="X1665" s="2"/>
      <c r="Y1665" s="2"/>
      <c r="Z1665" s="2"/>
    </row>
    <row r="1666" spans="1:26" ht="12.75" x14ac:dyDescent="0.2">
      <c r="A1666" s="230"/>
      <c r="B1666" s="18">
        <v>2023</v>
      </c>
      <c r="C1666" s="18" t="s">
        <v>778</v>
      </c>
      <c r="D1666" s="18" t="s">
        <v>880</v>
      </c>
      <c r="E1666" s="18" t="s">
        <v>703</v>
      </c>
      <c r="F1666" s="18" t="s">
        <v>704</v>
      </c>
      <c r="G1666" s="18" t="s">
        <v>677</v>
      </c>
      <c r="H1666" s="18" t="s">
        <v>785</v>
      </c>
      <c r="I1666" s="315">
        <v>99.814821620566491</v>
      </c>
      <c r="J1666" s="315">
        <v>5.7380101309125291E-2</v>
      </c>
      <c r="K1666" s="316" t="str">
        <f t="shared" si="42"/>
        <v>Commercial Equipment</v>
      </c>
      <c r="L1666" s="316" t="str">
        <f t="shared" si="43"/>
        <v>Gasoline</v>
      </c>
      <c r="M1666" s="8"/>
      <c r="N1666" s="2"/>
      <c r="O1666" s="2"/>
      <c r="P1666" s="2"/>
      <c r="Q1666" s="2"/>
      <c r="R1666" s="2"/>
      <c r="S1666" s="2"/>
      <c r="T1666" s="2"/>
      <c r="U1666" s="2"/>
      <c r="V1666" s="2"/>
      <c r="W1666" s="2"/>
      <c r="X1666" s="2"/>
      <c r="Y1666" s="2"/>
      <c r="Z1666" s="2"/>
    </row>
    <row r="1667" spans="1:26" x14ac:dyDescent="0.25">
      <c r="A1667" s="314"/>
      <c r="B1667" s="18">
        <v>2023</v>
      </c>
      <c r="C1667" s="18" t="s">
        <v>754</v>
      </c>
      <c r="D1667" s="18" t="s">
        <v>958</v>
      </c>
      <c r="E1667" s="18" t="s">
        <v>713</v>
      </c>
      <c r="F1667" s="18" t="s">
        <v>714</v>
      </c>
      <c r="G1667" s="18" t="s">
        <v>674</v>
      </c>
      <c r="H1667" s="18" t="s">
        <v>959</v>
      </c>
      <c r="I1667" s="315">
        <v>99.797779887699633</v>
      </c>
      <c r="J1667" s="315">
        <v>8.8775277812821866E-4</v>
      </c>
      <c r="K1667" s="316" t="str">
        <f t="shared" si="42"/>
        <v>Construction and Mining Equipment</v>
      </c>
      <c r="L1667" s="316" t="str">
        <f t="shared" si="43"/>
        <v>Diesel</v>
      </c>
      <c r="M1667" s="194"/>
      <c r="N1667" s="317"/>
      <c r="O1667" s="317"/>
      <c r="P1667" s="317"/>
      <c r="Q1667" s="317"/>
      <c r="R1667" s="317"/>
      <c r="S1667" s="317"/>
      <c r="T1667" s="317"/>
      <c r="U1667" s="317"/>
      <c r="V1667" s="317"/>
      <c r="W1667" s="317"/>
      <c r="X1667" s="317"/>
      <c r="Y1667" s="317"/>
      <c r="Z1667" s="317"/>
    </row>
    <row r="1668" spans="1:26" x14ac:dyDescent="0.25">
      <c r="A1668" s="314"/>
      <c r="B1668" s="18">
        <v>2023</v>
      </c>
      <c r="C1668" s="18" t="s">
        <v>754</v>
      </c>
      <c r="D1668" s="18" t="s">
        <v>973</v>
      </c>
      <c r="E1668" s="18" t="s">
        <v>703</v>
      </c>
      <c r="F1668" s="18" t="s">
        <v>795</v>
      </c>
      <c r="G1668" s="18" t="s">
        <v>673</v>
      </c>
      <c r="H1668" s="18" t="s">
        <v>974</v>
      </c>
      <c r="I1668" s="315">
        <v>99.737339056210317</v>
      </c>
      <c r="J1668" s="315">
        <v>0.18839351621199113</v>
      </c>
      <c r="K1668" s="316" t="str">
        <f t="shared" si="42"/>
        <v>Lawn and Garden Equipment</v>
      </c>
      <c r="L1668" s="316" t="str">
        <f t="shared" si="43"/>
        <v>Gasoline</v>
      </c>
      <c r="M1668" s="194"/>
      <c r="N1668" s="317"/>
      <c r="O1668" s="317"/>
      <c r="P1668" s="317"/>
      <c r="Q1668" s="317"/>
      <c r="R1668" s="317"/>
      <c r="S1668" s="317"/>
      <c r="T1668" s="317"/>
      <c r="U1668" s="317"/>
      <c r="V1668" s="317"/>
      <c r="W1668" s="317"/>
      <c r="X1668" s="317"/>
      <c r="Y1668" s="317"/>
      <c r="Z1668" s="317"/>
    </row>
    <row r="1669" spans="1:26" x14ac:dyDescent="0.25">
      <c r="A1669" s="314"/>
      <c r="B1669" s="18">
        <v>2023</v>
      </c>
      <c r="C1669" s="18" t="s">
        <v>810</v>
      </c>
      <c r="D1669" s="18" t="s">
        <v>835</v>
      </c>
      <c r="E1669" s="18" t="s">
        <v>703</v>
      </c>
      <c r="F1669" s="18" t="s">
        <v>704</v>
      </c>
      <c r="G1669" s="18" t="s">
        <v>677</v>
      </c>
      <c r="H1669" s="18" t="s">
        <v>836</v>
      </c>
      <c r="I1669" s="315">
        <v>98.957069097083803</v>
      </c>
      <c r="J1669" s="315">
        <v>6.233816922432333E-2</v>
      </c>
      <c r="K1669" s="316" t="str">
        <f t="shared" si="42"/>
        <v>Commercial Equipment</v>
      </c>
      <c r="L1669" s="316" t="str">
        <f t="shared" si="43"/>
        <v>Gasoline</v>
      </c>
      <c r="M1669" s="194"/>
      <c r="N1669" s="317"/>
      <c r="O1669" s="317"/>
      <c r="P1669" s="317"/>
      <c r="Q1669" s="317"/>
      <c r="R1669" s="317"/>
      <c r="S1669" s="317"/>
      <c r="T1669" s="317"/>
      <c r="U1669" s="317"/>
      <c r="V1669" s="317"/>
      <c r="W1669" s="317"/>
      <c r="X1669" s="317"/>
      <c r="Y1669" s="317"/>
      <c r="Z1669" s="317"/>
    </row>
    <row r="1670" spans="1:26" x14ac:dyDescent="0.25">
      <c r="A1670" s="314"/>
      <c r="B1670" s="18">
        <v>2023</v>
      </c>
      <c r="C1670" s="18" t="s">
        <v>762</v>
      </c>
      <c r="D1670" s="18" t="s">
        <v>1153</v>
      </c>
      <c r="E1670" s="18" t="s">
        <v>713</v>
      </c>
      <c r="F1670" s="18" t="s">
        <v>714</v>
      </c>
      <c r="G1670" s="18" t="s">
        <v>678</v>
      </c>
      <c r="H1670" s="18" t="s">
        <v>1154</v>
      </c>
      <c r="I1670" s="315">
        <v>98.789347569761532</v>
      </c>
      <c r="J1670" s="315">
        <v>1.2893895910287892E-3</v>
      </c>
      <c r="K1670" s="316" t="str">
        <f t="shared" si="42"/>
        <v>Agricultural Equipment</v>
      </c>
      <c r="L1670" s="316" t="str">
        <f t="shared" si="43"/>
        <v>Diesel</v>
      </c>
      <c r="M1670" s="194"/>
      <c r="N1670" s="317"/>
      <c r="O1670" s="317"/>
      <c r="P1670" s="317"/>
      <c r="Q1670" s="317"/>
      <c r="R1670" s="317"/>
      <c r="S1670" s="317"/>
      <c r="T1670" s="317"/>
      <c r="U1670" s="317"/>
      <c r="V1670" s="317"/>
      <c r="W1670" s="317"/>
      <c r="X1670" s="317"/>
      <c r="Y1670" s="317"/>
      <c r="Z1670" s="317"/>
    </row>
    <row r="1671" spans="1:26" x14ac:dyDescent="0.25">
      <c r="A1671" s="314"/>
      <c r="B1671" s="18">
        <v>2023</v>
      </c>
      <c r="C1671" s="18" t="s">
        <v>773</v>
      </c>
      <c r="D1671" s="18" t="s">
        <v>970</v>
      </c>
      <c r="E1671" s="18" t="s">
        <v>713</v>
      </c>
      <c r="F1671" s="18" t="s">
        <v>714</v>
      </c>
      <c r="G1671" s="18" t="s">
        <v>675</v>
      </c>
      <c r="H1671" s="18" t="s">
        <v>969</v>
      </c>
      <c r="I1671" s="315">
        <v>98.708947639485231</v>
      </c>
      <c r="J1671" s="315">
        <v>3.2071389741955233E-3</v>
      </c>
      <c r="K1671" s="316" t="str">
        <f t="shared" si="42"/>
        <v>Industrial Equipment</v>
      </c>
      <c r="L1671" s="316" t="str">
        <f t="shared" si="43"/>
        <v>Diesel</v>
      </c>
      <c r="M1671" s="194"/>
      <c r="N1671" s="317"/>
      <c r="O1671" s="317"/>
      <c r="P1671" s="317"/>
      <c r="Q1671" s="317"/>
      <c r="R1671" s="317"/>
      <c r="S1671" s="317"/>
      <c r="T1671" s="317"/>
      <c r="U1671" s="317"/>
      <c r="V1671" s="317"/>
      <c r="W1671" s="317"/>
      <c r="X1671" s="317"/>
      <c r="Y1671" s="317"/>
      <c r="Z1671" s="317"/>
    </row>
    <row r="1672" spans="1:26" x14ac:dyDescent="0.25">
      <c r="A1672" s="314"/>
      <c r="B1672" s="18">
        <v>2023</v>
      </c>
      <c r="C1672" s="18" t="s">
        <v>778</v>
      </c>
      <c r="D1672" s="18" t="s">
        <v>980</v>
      </c>
      <c r="E1672" s="18" t="s">
        <v>713</v>
      </c>
      <c r="F1672" s="18" t="s">
        <v>714</v>
      </c>
      <c r="G1672" s="18" t="s">
        <v>674</v>
      </c>
      <c r="H1672" s="18" t="s">
        <v>981</v>
      </c>
      <c r="I1672" s="315">
        <v>98.48814035385999</v>
      </c>
      <c r="J1672" s="315">
        <v>4.323073146897876E-3</v>
      </c>
      <c r="K1672" s="316" t="str">
        <f t="shared" si="42"/>
        <v>Construction and Mining Equipment</v>
      </c>
      <c r="L1672" s="316" t="str">
        <f t="shared" si="43"/>
        <v>Diesel</v>
      </c>
      <c r="M1672" s="194"/>
      <c r="N1672" s="317"/>
      <c r="O1672" s="317"/>
      <c r="P1672" s="317"/>
      <c r="Q1672" s="317"/>
      <c r="R1672" s="317"/>
      <c r="S1672" s="317"/>
      <c r="T1672" s="317"/>
      <c r="U1672" s="317"/>
      <c r="V1672" s="317"/>
      <c r="W1672" s="317"/>
      <c r="X1672" s="317"/>
      <c r="Y1672" s="317"/>
      <c r="Z1672" s="317"/>
    </row>
    <row r="1673" spans="1:26" x14ac:dyDescent="0.25">
      <c r="A1673" s="314"/>
      <c r="B1673" s="18">
        <v>2023</v>
      </c>
      <c r="C1673" s="18" t="s">
        <v>743</v>
      </c>
      <c r="D1673" s="18" t="s">
        <v>966</v>
      </c>
      <c r="E1673" s="18" t="s">
        <v>703</v>
      </c>
      <c r="F1673" s="18" t="s">
        <v>704</v>
      </c>
      <c r="G1673" s="18" t="s">
        <v>674</v>
      </c>
      <c r="H1673" s="18" t="s">
        <v>967</v>
      </c>
      <c r="I1673" s="315">
        <v>98.399886003373467</v>
      </c>
      <c r="J1673" s="315">
        <v>6.8412177905112892E-2</v>
      </c>
      <c r="K1673" s="316" t="str">
        <f t="shared" si="42"/>
        <v>Construction and Mining Equipment</v>
      </c>
      <c r="L1673" s="316" t="str">
        <f t="shared" si="43"/>
        <v>Gasoline</v>
      </c>
      <c r="M1673" s="194"/>
      <c r="N1673" s="317"/>
      <c r="O1673" s="317"/>
      <c r="P1673" s="317"/>
      <c r="Q1673" s="317"/>
      <c r="R1673" s="317"/>
      <c r="S1673" s="317"/>
      <c r="T1673" s="317"/>
      <c r="U1673" s="317"/>
      <c r="V1673" s="317"/>
      <c r="W1673" s="317"/>
      <c r="X1673" s="317"/>
      <c r="Y1673" s="317"/>
      <c r="Z1673" s="317"/>
    </row>
    <row r="1674" spans="1:26" x14ac:dyDescent="0.25">
      <c r="A1674" s="314"/>
      <c r="B1674" s="18">
        <v>2023</v>
      </c>
      <c r="C1674" s="18" t="s">
        <v>701</v>
      </c>
      <c r="D1674" s="18" t="s">
        <v>1076</v>
      </c>
      <c r="E1674" s="18" t="s">
        <v>703</v>
      </c>
      <c r="F1674" s="18" t="s">
        <v>704</v>
      </c>
      <c r="G1674" s="18" t="s">
        <v>674</v>
      </c>
      <c r="H1674" s="18" t="s">
        <v>756</v>
      </c>
      <c r="I1674" s="315">
        <v>98.182726265876127</v>
      </c>
      <c r="J1674" s="315">
        <v>4.3167149878904278E-2</v>
      </c>
      <c r="K1674" s="316" t="str">
        <f t="shared" si="42"/>
        <v>Construction and Mining Equipment</v>
      </c>
      <c r="L1674" s="316" t="str">
        <f t="shared" si="43"/>
        <v>Gasoline</v>
      </c>
      <c r="M1674" s="194"/>
      <c r="N1674" s="317"/>
      <c r="O1674" s="317"/>
      <c r="P1674" s="317"/>
      <c r="Q1674" s="317"/>
      <c r="R1674" s="317"/>
      <c r="S1674" s="317"/>
      <c r="T1674" s="317"/>
      <c r="U1674" s="317"/>
      <c r="V1674" s="317"/>
      <c r="W1674" s="317"/>
      <c r="X1674" s="317"/>
      <c r="Y1674" s="317"/>
      <c r="Z1674" s="317"/>
    </row>
    <row r="1675" spans="1:26" x14ac:dyDescent="0.25">
      <c r="A1675" s="314"/>
      <c r="B1675" s="18">
        <v>2023</v>
      </c>
      <c r="C1675" s="18" t="s">
        <v>711</v>
      </c>
      <c r="D1675" s="18" t="s">
        <v>1017</v>
      </c>
      <c r="E1675" s="18" t="s">
        <v>703</v>
      </c>
      <c r="F1675" s="18" t="s">
        <v>704</v>
      </c>
      <c r="G1675" s="18" t="s">
        <v>673</v>
      </c>
      <c r="H1675" s="18" t="s">
        <v>806</v>
      </c>
      <c r="I1675" s="315">
        <v>98.077898415087418</v>
      </c>
      <c r="J1675" s="315">
        <v>6.9126610221410492E-2</v>
      </c>
      <c r="K1675" s="316" t="str">
        <f t="shared" si="42"/>
        <v>Lawn and Garden Equipment</v>
      </c>
      <c r="L1675" s="316" t="str">
        <f t="shared" si="43"/>
        <v>Gasoline</v>
      </c>
      <c r="M1675" s="194"/>
      <c r="N1675" s="317"/>
      <c r="O1675" s="317"/>
      <c r="P1675" s="317"/>
      <c r="Q1675" s="317"/>
      <c r="R1675" s="317"/>
      <c r="S1675" s="317"/>
      <c r="T1675" s="317"/>
      <c r="U1675" s="317"/>
      <c r="V1675" s="317"/>
      <c r="W1675" s="317"/>
      <c r="X1675" s="317"/>
      <c r="Y1675" s="317"/>
      <c r="Z1675" s="317"/>
    </row>
    <row r="1676" spans="1:26" x14ac:dyDescent="0.25">
      <c r="A1676" s="314"/>
      <c r="B1676" s="18">
        <v>2023</v>
      </c>
      <c r="C1676" s="18" t="s">
        <v>754</v>
      </c>
      <c r="D1676" s="18" t="s">
        <v>751</v>
      </c>
      <c r="E1676" s="18" t="s">
        <v>713</v>
      </c>
      <c r="F1676" s="18" t="s">
        <v>676</v>
      </c>
      <c r="G1676" s="18" t="s">
        <v>79</v>
      </c>
      <c r="H1676" s="18" t="s">
        <v>740</v>
      </c>
      <c r="I1676" s="315">
        <v>97.94239564966874</v>
      </c>
      <c r="J1676" s="315">
        <v>3.8441478165986368E-3</v>
      </c>
      <c r="K1676" s="316" t="str">
        <f t="shared" si="42"/>
        <v>Pleasure Craft</v>
      </c>
      <c r="L1676" s="316" t="str">
        <f t="shared" si="43"/>
        <v>Diesel</v>
      </c>
      <c r="M1676" s="194"/>
      <c r="N1676" s="317"/>
      <c r="O1676" s="317"/>
      <c r="P1676" s="317"/>
      <c r="Q1676" s="317"/>
      <c r="R1676" s="317"/>
      <c r="S1676" s="317"/>
      <c r="T1676" s="317"/>
      <c r="U1676" s="317"/>
      <c r="V1676" s="317"/>
      <c r="W1676" s="317"/>
      <c r="X1676" s="317"/>
      <c r="Y1676" s="317"/>
      <c r="Z1676" s="317"/>
    </row>
    <row r="1677" spans="1:26" x14ac:dyDescent="0.25">
      <c r="A1677" s="314"/>
      <c r="B1677" s="18">
        <v>2023</v>
      </c>
      <c r="C1677" s="18" t="s">
        <v>706</v>
      </c>
      <c r="D1677" s="18" t="s">
        <v>1158</v>
      </c>
      <c r="E1677" s="18" t="s">
        <v>703</v>
      </c>
      <c r="F1677" s="18" t="s">
        <v>704</v>
      </c>
      <c r="G1677" s="18" t="s">
        <v>674</v>
      </c>
      <c r="H1677" s="18" t="s">
        <v>715</v>
      </c>
      <c r="I1677" s="315">
        <v>97.478549958854032</v>
      </c>
      <c r="J1677" s="315">
        <v>6.7625765823731004E-3</v>
      </c>
      <c r="K1677" s="316" t="str">
        <f t="shared" si="42"/>
        <v>Construction and Mining Equipment</v>
      </c>
      <c r="L1677" s="316" t="str">
        <f t="shared" si="43"/>
        <v>Gasoline</v>
      </c>
      <c r="M1677" s="194"/>
      <c r="N1677" s="317"/>
      <c r="O1677" s="317"/>
      <c r="P1677" s="317"/>
      <c r="Q1677" s="317"/>
      <c r="R1677" s="317"/>
      <c r="S1677" s="317"/>
      <c r="T1677" s="317"/>
      <c r="U1677" s="317"/>
      <c r="V1677" s="317"/>
      <c r="W1677" s="317"/>
      <c r="X1677" s="317"/>
      <c r="Y1677" s="317"/>
      <c r="Z1677" s="317"/>
    </row>
    <row r="1678" spans="1:26" x14ac:dyDescent="0.25">
      <c r="A1678" s="314"/>
      <c r="B1678" s="18">
        <v>2023</v>
      </c>
      <c r="C1678" s="18" t="s">
        <v>810</v>
      </c>
      <c r="D1678" s="18" t="s">
        <v>864</v>
      </c>
      <c r="E1678" s="18" t="s">
        <v>703</v>
      </c>
      <c r="F1678" s="18" t="s">
        <v>704</v>
      </c>
      <c r="G1678" s="18" t="s">
        <v>673</v>
      </c>
      <c r="H1678" s="18" t="s">
        <v>865</v>
      </c>
      <c r="I1678" s="315">
        <v>97.450760410821886</v>
      </c>
      <c r="J1678" s="315">
        <v>6.6952209180793351E-2</v>
      </c>
      <c r="K1678" s="316" t="str">
        <f t="shared" si="42"/>
        <v>Lawn and Garden Equipment</v>
      </c>
      <c r="L1678" s="316" t="str">
        <f t="shared" si="43"/>
        <v>Gasoline</v>
      </c>
      <c r="M1678" s="194"/>
      <c r="N1678" s="317"/>
      <c r="O1678" s="317"/>
      <c r="P1678" s="317"/>
      <c r="Q1678" s="317"/>
      <c r="R1678" s="317"/>
      <c r="S1678" s="317"/>
      <c r="T1678" s="317"/>
      <c r="U1678" s="317"/>
      <c r="V1678" s="317"/>
      <c r="W1678" s="317"/>
      <c r="X1678" s="317"/>
      <c r="Y1678" s="317"/>
      <c r="Z1678" s="317"/>
    </row>
    <row r="1679" spans="1:26" x14ac:dyDescent="0.25">
      <c r="A1679" s="314"/>
      <c r="B1679" s="18">
        <v>2023</v>
      </c>
      <c r="C1679" s="18" t="s">
        <v>759</v>
      </c>
      <c r="D1679" s="18" t="s">
        <v>864</v>
      </c>
      <c r="E1679" s="18" t="s">
        <v>703</v>
      </c>
      <c r="F1679" s="18" t="s">
        <v>704</v>
      </c>
      <c r="G1679" s="18" t="s">
        <v>673</v>
      </c>
      <c r="H1679" s="18" t="s">
        <v>865</v>
      </c>
      <c r="I1679" s="315">
        <v>97.450760410821886</v>
      </c>
      <c r="J1679" s="315">
        <v>6.6026640953939064E-2</v>
      </c>
      <c r="K1679" s="316" t="str">
        <f t="shared" si="42"/>
        <v>Lawn and Garden Equipment</v>
      </c>
      <c r="L1679" s="316" t="str">
        <f t="shared" si="43"/>
        <v>Gasoline</v>
      </c>
      <c r="M1679" s="194"/>
      <c r="N1679" s="317"/>
      <c r="O1679" s="317"/>
      <c r="P1679" s="317"/>
      <c r="Q1679" s="317"/>
      <c r="R1679" s="317"/>
      <c r="S1679" s="317"/>
      <c r="T1679" s="317"/>
      <c r="U1679" s="317"/>
      <c r="V1679" s="317"/>
      <c r="W1679" s="317"/>
      <c r="X1679" s="317"/>
      <c r="Y1679" s="317"/>
      <c r="Z1679" s="317"/>
    </row>
    <row r="1680" spans="1:26" x14ac:dyDescent="0.25">
      <c r="A1680" s="314"/>
      <c r="B1680" s="18">
        <v>2023</v>
      </c>
      <c r="C1680" s="18" t="s">
        <v>727</v>
      </c>
      <c r="D1680" s="18" t="s">
        <v>864</v>
      </c>
      <c r="E1680" s="18" t="s">
        <v>703</v>
      </c>
      <c r="F1680" s="18" t="s">
        <v>704</v>
      </c>
      <c r="G1680" s="18" t="s">
        <v>673</v>
      </c>
      <c r="H1680" s="18" t="s">
        <v>865</v>
      </c>
      <c r="I1680" s="315">
        <v>97.450760410821886</v>
      </c>
      <c r="J1680" s="315">
        <v>6.6062702662863196E-2</v>
      </c>
      <c r="K1680" s="316" t="str">
        <f t="shared" si="42"/>
        <v>Lawn and Garden Equipment</v>
      </c>
      <c r="L1680" s="316" t="str">
        <f t="shared" si="43"/>
        <v>Gasoline</v>
      </c>
      <c r="M1680" s="194"/>
      <c r="N1680" s="317"/>
      <c r="O1680" s="317"/>
      <c r="P1680" s="317"/>
      <c r="Q1680" s="317"/>
      <c r="R1680" s="317"/>
      <c r="S1680" s="317"/>
      <c r="T1680" s="317"/>
      <c r="U1680" s="317"/>
      <c r="V1680" s="317"/>
      <c r="W1680" s="317"/>
      <c r="X1680" s="317"/>
      <c r="Y1680" s="317"/>
      <c r="Z1680" s="317"/>
    </row>
    <row r="1681" spans="1:26" x14ac:dyDescent="0.25">
      <c r="A1681" s="314"/>
      <c r="B1681" s="18">
        <v>2023</v>
      </c>
      <c r="C1681" s="18" t="s">
        <v>793</v>
      </c>
      <c r="D1681" s="18" t="s">
        <v>807</v>
      </c>
      <c r="E1681" s="18" t="s">
        <v>703</v>
      </c>
      <c r="F1681" s="18" t="s">
        <v>805</v>
      </c>
      <c r="G1681" s="18" t="s">
        <v>673</v>
      </c>
      <c r="H1681" s="18" t="s">
        <v>749</v>
      </c>
      <c r="I1681" s="315">
        <v>97.089791494846196</v>
      </c>
      <c r="J1681" s="315">
        <v>0.18162262980552582</v>
      </c>
      <c r="K1681" s="316" t="str">
        <f t="shared" si="42"/>
        <v>Lawn and Garden Equipment</v>
      </c>
      <c r="L1681" s="316" t="str">
        <f t="shared" si="43"/>
        <v>Gasoline</v>
      </c>
      <c r="M1681" s="194"/>
      <c r="N1681" s="317"/>
      <c r="O1681" s="317"/>
      <c r="P1681" s="317"/>
      <c r="Q1681" s="317"/>
      <c r="R1681" s="317"/>
      <c r="S1681" s="317"/>
      <c r="T1681" s="317"/>
      <c r="U1681" s="317"/>
      <c r="V1681" s="317"/>
      <c r="W1681" s="317"/>
      <c r="X1681" s="317"/>
      <c r="Y1681" s="317"/>
      <c r="Z1681" s="317"/>
    </row>
    <row r="1682" spans="1:26" x14ac:dyDescent="0.25">
      <c r="A1682" s="314"/>
      <c r="B1682" s="18">
        <v>2023</v>
      </c>
      <c r="C1682" s="18" t="s">
        <v>709</v>
      </c>
      <c r="D1682" s="18" t="s">
        <v>1022</v>
      </c>
      <c r="E1682" s="18" t="s">
        <v>703</v>
      </c>
      <c r="F1682" s="18" t="s">
        <v>704</v>
      </c>
      <c r="G1682" s="18" t="s">
        <v>675</v>
      </c>
      <c r="H1682" s="18" t="s">
        <v>772</v>
      </c>
      <c r="I1682" s="315">
        <v>97.075755485040446</v>
      </c>
      <c r="J1682" s="315">
        <v>6.8442301295764492E-3</v>
      </c>
      <c r="K1682" s="316" t="str">
        <f t="shared" si="42"/>
        <v>Industrial Equipment</v>
      </c>
      <c r="L1682" s="316" t="str">
        <f t="shared" si="43"/>
        <v>Gasoline</v>
      </c>
      <c r="M1682" s="194"/>
      <c r="N1682" s="317"/>
      <c r="O1682" s="317"/>
      <c r="P1682" s="317"/>
      <c r="Q1682" s="317"/>
      <c r="R1682" s="317"/>
      <c r="S1682" s="317"/>
      <c r="T1682" s="317"/>
      <c r="U1682" s="317"/>
      <c r="V1682" s="317"/>
      <c r="W1682" s="317"/>
      <c r="X1682" s="317"/>
      <c r="Y1682" s="317"/>
      <c r="Z1682" s="317"/>
    </row>
    <row r="1683" spans="1:26" x14ac:dyDescent="0.25">
      <c r="A1683" s="314"/>
      <c r="B1683" s="18">
        <v>2023</v>
      </c>
      <c r="C1683" s="18" t="s">
        <v>731</v>
      </c>
      <c r="D1683" s="18" t="s">
        <v>864</v>
      </c>
      <c r="E1683" s="18" t="s">
        <v>703</v>
      </c>
      <c r="F1683" s="18" t="s">
        <v>704</v>
      </c>
      <c r="G1683" s="18" t="s">
        <v>673</v>
      </c>
      <c r="H1683" s="18" t="s">
        <v>865</v>
      </c>
      <c r="I1683" s="315">
        <v>96.845542827190584</v>
      </c>
      <c r="J1683" s="315">
        <v>6.5681052256550618E-2</v>
      </c>
      <c r="K1683" s="316" t="str">
        <f t="shared" si="42"/>
        <v>Lawn and Garden Equipment</v>
      </c>
      <c r="L1683" s="316" t="str">
        <f t="shared" si="43"/>
        <v>Gasoline</v>
      </c>
      <c r="M1683" s="194"/>
      <c r="N1683" s="317"/>
      <c r="O1683" s="317"/>
      <c r="P1683" s="317"/>
      <c r="Q1683" s="317"/>
      <c r="R1683" s="317"/>
      <c r="S1683" s="317"/>
      <c r="T1683" s="317"/>
      <c r="U1683" s="317"/>
      <c r="V1683" s="317"/>
      <c r="W1683" s="317"/>
      <c r="X1683" s="317"/>
      <c r="Y1683" s="317"/>
      <c r="Z1683" s="317"/>
    </row>
    <row r="1684" spans="1:26" x14ac:dyDescent="0.25">
      <c r="A1684" s="314"/>
      <c r="B1684" s="18">
        <v>2023</v>
      </c>
      <c r="C1684" s="18" t="s">
        <v>762</v>
      </c>
      <c r="D1684" s="18" t="s">
        <v>830</v>
      </c>
      <c r="E1684" s="18" t="s">
        <v>703</v>
      </c>
      <c r="F1684" s="18" t="s">
        <v>704</v>
      </c>
      <c r="G1684" s="18" t="s">
        <v>673</v>
      </c>
      <c r="H1684" s="18" t="s">
        <v>742</v>
      </c>
      <c r="I1684" s="315">
        <v>96.744794238726399</v>
      </c>
      <c r="J1684" s="315">
        <v>4.2100794605657535E-2</v>
      </c>
      <c r="K1684" s="316" t="str">
        <f t="shared" si="42"/>
        <v>Lawn and Garden Equipment</v>
      </c>
      <c r="L1684" s="316" t="str">
        <f t="shared" si="43"/>
        <v>Gasoline</v>
      </c>
      <c r="M1684" s="194"/>
      <c r="N1684" s="317"/>
      <c r="O1684" s="317"/>
      <c r="P1684" s="317"/>
      <c r="Q1684" s="317"/>
      <c r="R1684" s="317"/>
      <c r="S1684" s="317"/>
      <c r="T1684" s="317"/>
      <c r="U1684" s="317"/>
      <c r="V1684" s="317"/>
      <c r="W1684" s="317"/>
      <c r="X1684" s="317"/>
      <c r="Y1684" s="317"/>
      <c r="Z1684" s="317"/>
    </row>
    <row r="1685" spans="1:26" x14ac:dyDescent="0.25">
      <c r="A1685" s="314"/>
      <c r="B1685" s="18">
        <v>2023</v>
      </c>
      <c r="C1685" s="18" t="s">
        <v>731</v>
      </c>
      <c r="D1685" s="18" t="s">
        <v>925</v>
      </c>
      <c r="E1685" s="18" t="s">
        <v>703</v>
      </c>
      <c r="F1685" s="18" t="s">
        <v>704</v>
      </c>
      <c r="G1685" s="18" t="s">
        <v>675</v>
      </c>
      <c r="H1685" s="18" t="s">
        <v>798</v>
      </c>
      <c r="I1685" s="315">
        <v>96.734181176813024</v>
      </c>
      <c r="J1685" s="315">
        <v>7.2121779435156422E-2</v>
      </c>
      <c r="K1685" s="316" t="str">
        <f t="shared" si="42"/>
        <v>Industrial Equipment</v>
      </c>
      <c r="L1685" s="316" t="str">
        <f t="shared" si="43"/>
        <v>Gasoline</v>
      </c>
      <c r="M1685" s="194"/>
      <c r="N1685" s="317"/>
      <c r="O1685" s="317"/>
      <c r="P1685" s="317"/>
      <c r="Q1685" s="317"/>
      <c r="R1685" s="317"/>
      <c r="S1685" s="317"/>
      <c r="T1685" s="317"/>
      <c r="U1685" s="317"/>
      <c r="V1685" s="317"/>
      <c r="W1685" s="317"/>
      <c r="X1685" s="317"/>
      <c r="Y1685" s="317"/>
      <c r="Z1685" s="317"/>
    </row>
    <row r="1686" spans="1:26" x14ac:dyDescent="0.25">
      <c r="A1686" s="314"/>
      <c r="B1686" s="18">
        <v>2023</v>
      </c>
      <c r="C1686" s="18" t="s">
        <v>727</v>
      </c>
      <c r="D1686" s="18" t="s">
        <v>848</v>
      </c>
      <c r="E1686" s="18" t="s">
        <v>56</v>
      </c>
      <c r="F1686" s="18" t="s">
        <v>601</v>
      </c>
      <c r="G1686" s="18" t="s">
        <v>675</v>
      </c>
      <c r="H1686" s="18" t="s">
        <v>708</v>
      </c>
      <c r="I1686" s="315">
        <v>96.41849134278867</v>
      </c>
      <c r="J1686" s="315">
        <v>0.38357534354383277</v>
      </c>
      <c r="K1686" s="316" t="str">
        <f t="shared" si="42"/>
        <v>Industrial Equipment</v>
      </c>
      <c r="L1686" s="316" t="str">
        <f t="shared" si="43"/>
        <v>CNG</v>
      </c>
      <c r="M1686" s="194"/>
      <c r="N1686" s="317"/>
      <c r="O1686" s="317"/>
      <c r="P1686" s="317"/>
      <c r="Q1686" s="317"/>
      <c r="R1686" s="317"/>
      <c r="S1686" s="317"/>
      <c r="T1686" s="317"/>
      <c r="U1686" s="317"/>
      <c r="V1686" s="317"/>
      <c r="W1686" s="317"/>
      <c r="X1686" s="317"/>
      <c r="Y1686" s="317"/>
      <c r="Z1686" s="317"/>
    </row>
    <row r="1687" spans="1:26" x14ac:dyDescent="0.25">
      <c r="A1687" s="314"/>
      <c r="B1687" s="18">
        <v>2023</v>
      </c>
      <c r="C1687" s="18" t="s">
        <v>750</v>
      </c>
      <c r="D1687" s="18" t="s">
        <v>799</v>
      </c>
      <c r="E1687" s="18" t="s">
        <v>703</v>
      </c>
      <c r="F1687" s="18" t="s">
        <v>795</v>
      </c>
      <c r="G1687" s="18" t="s">
        <v>673</v>
      </c>
      <c r="H1687" s="18" t="s">
        <v>800</v>
      </c>
      <c r="I1687" s="315">
        <v>96.404369632584434</v>
      </c>
      <c r="J1687" s="315">
        <v>0.18039536292261293</v>
      </c>
      <c r="K1687" s="316" t="str">
        <f t="shared" si="42"/>
        <v>Lawn and Garden Equipment</v>
      </c>
      <c r="L1687" s="316" t="str">
        <f t="shared" si="43"/>
        <v>Gasoline</v>
      </c>
      <c r="M1687" s="194"/>
      <c r="N1687" s="317"/>
      <c r="O1687" s="317"/>
      <c r="P1687" s="317"/>
      <c r="Q1687" s="317"/>
      <c r="R1687" s="317"/>
      <c r="S1687" s="317"/>
      <c r="T1687" s="317"/>
      <c r="U1687" s="317"/>
      <c r="V1687" s="317"/>
      <c r="W1687" s="317"/>
      <c r="X1687" s="317"/>
      <c r="Y1687" s="317"/>
      <c r="Z1687" s="317"/>
    </row>
    <row r="1688" spans="1:26" x14ac:dyDescent="0.25">
      <c r="A1688" s="314"/>
      <c r="B1688" s="18">
        <v>2023</v>
      </c>
      <c r="C1688" s="18" t="s">
        <v>732</v>
      </c>
      <c r="D1688" s="18" t="s">
        <v>1153</v>
      </c>
      <c r="E1688" s="18" t="s">
        <v>713</v>
      </c>
      <c r="F1688" s="18" t="s">
        <v>714</v>
      </c>
      <c r="G1688" s="18" t="s">
        <v>678</v>
      </c>
      <c r="H1688" s="18" t="s">
        <v>1154</v>
      </c>
      <c r="I1688" s="315">
        <v>96.365340655765991</v>
      </c>
      <c r="J1688" s="315">
        <v>1.2577517307976625E-3</v>
      </c>
      <c r="K1688" s="316" t="str">
        <f t="shared" si="42"/>
        <v>Agricultural Equipment</v>
      </c>
      <c r="L1688" s="316" t="str">
        <f t="shared" si="43"/>
        <v>Diesel</v>
      </c>
      <c r="M1688" s="194"/>
      <c r="N1688" s="317"/>
      <c r="O1688" s="317"/>
      <c r="P1688" s="317"/>
      <c r="Q1688" s="317"/>
      <c r="R1688" s="317"/>
      <c r="S1688" s="317"/>
      <c r="T1688" s="317"/>
      <c r="U1688" s="317"/>
      <c r="V1688" s="317"/>
      <c r="W1688" s="317"/>
      <c r="X1688" s="317"/>
      <c r="Y1688" s="317"/>
      <c r="Z1688" s="317"/>
    </row>
    <row r="1689" spans="1:26" x14ac:dyDescent="0.25">
      <c r="A1689" s="314"/>
      <c r="B1689" s="18">
        <v>2023</v>
      </c>
      <c r="C1689" s="18" t="s">
        <v>754</v>
      </c>
      <c r="D1689" s="18" t="s">
        <v>977</v>
      </c>
      <c r="E1689" s="18" t="s">
        <v>703</v>
      </c>
      <c r="F1689" s="18" t="s">
        <v>805</v>
      </c>
      <c r="G1689" s="18" t="s">
        <v>673</v>
      </c>
      <c r="H1689" s="18" t="s">
        <v>978</v>
      </c>
      <c r="I1689" s="315">
        <v>95.760217349893097</v>
      </c>
      <c r="J1689" s="315">
        <v>0.16305839353278573</v>
      </c>
      <c r="K1689" s="316" t="str">
        <f t="shared" si="42"/>
        <v>Lawn and Garden Equipment</v>
      </c>
      <c r="L1689" s="316" t="str">
        <f t="shared" si="43"/>
        <v>Gasoline</v>
      </c>
      <c r="M1689" s="194"/>
      <c r="N1689" s="317"/>
      <c r="O1689" s="317"/>
      <c r="P1689" s="317"/>
      <c r="Q1689" s="317"/>
      <c r="R1689" s="317"/>
      <c r="S1689" s="317"/>
      <c r="T1689" s="317"/>
      <c r="U1689" s="317"/>
      <c r="V1689" s="317"/>
      <c r="W1689" s="317"/>
      <c r="X1689" s="317"/>
      <c r="Y1689" s="317"/>
      <c r="Z1689" s="317"/>
    </row>
    <row r="1690" spans="1:26" x14ac:dyDescent="0.25">
      <c r="A1690" s="314"/>
      <c r="B1690" s="18">
        <v>2023</v>
      </c>
      <c r="C1690" s="18" t="s">
        <v>753</v>
      </c>
      <c r="D1690" s="18" t="s">
        <v>864</v>
      </c>
      <c r="E1690" s="18" t="s">
        <v>703</v>
      </c>
      <c r="F1690" s="18" t="s">
        <v>704</v>
      </c>
      <c r="G1690" s="18" t="s">
        <v>673</v>
      </c>
      <c r="H1690" s="18" t="s">
        <v>865</v>
      </c>
      <c r="I1690" s="315">
        <v>95.634997803410471</v>
      </c>
      <c r="J1690" s="315">
        <v>6.4872060368025147E-2</v>
      </c>
      <c r="K1690" s="316" t="str">
        <f t="shared" si="42"/>
        <v>Lawn and Garden Equipment</v>
      </c>
      <c r="L1690" s="316" t="str">
        <f t="shared" si="43"/>
        <v>Gasoline</v>
      </c>
      <c r="M1690" s="194"/>
      <c r="N1690" s="317"/>
      <c r="O1690" s="317"/>
      <c r="P1690" s="317"/>
      <c r="Q1690" s="317"/>
      <c r="R1690" s="317"/>
      <c r="S1690" s="317"/>
      <c r="T1690" s="317"/>
      <c r="U1690" s="317"/>
      <c r="V1690" s="317"/>
      <c r="W1690" s="317"/>
      <c r="X1690" s="317"/>
      <c r="Y1690" s="317"/>
      <c r="Z1690" s="317"/>
    </row>
    <row r="1691" spans="1:26" x14ac:dyDescent="0.25">
      <c r="A1691" s="314"/>
      <c r="B1691" s="18">
        <v>2023</v>
      </c>
      <c r="C1691" s="18" t="s">
        <v>786</v>
      </c>
      <c r="D1691" s="18" t="s">
        <v>803</v>
      </c>
      <c r="E1691" s="18" t="s">
        <v>703</v>
      </c>
      <c r="F1691" s="18" t="s">
        <v>805</v>
      </c>
      <c r="G1691" s="18" t="s">
        <v>673</v>
      </c>
      <c r="H1691" s="18" t="s">
        <v>806</v>
      </c>
      <c r="I1691" s="315">
        <v>95.51389025703709</v>
      </c>
      <c r="J1691" s="315">
        <v>0.1890433691144468</v>
      </c>
      <c r="K1691" s="316" t="str">
        <f t="shared" si="42"/>
        <v>Lawn and Garden Equipment</v>
      </c>
      <c r="L1691" s="316" t="str">
        <f t="shared" si="43"/>
        <v>Gasoline</v>
      </c>
      <c r="M1691" s="194"/>
      <c r="N1691" s="317"/>
      <c r="O1691" s="317"/>
      <c r="P1691" s="317"/>
      <c r="Q1691" s="317"/>
      <c r="R1691" s="317"/>
      <c r="S1691" s="317"/>
      <c r="T1691" s="317"/>
      <c r="U1691" s="317"/>
      <c r="V1691" s="317"/>
      <c r="W1691" s="317"/>
      <c r="X1691" s="317"/>
      <c r="Y1691" s="317"/>
      <c r="Z1691" s="317"/>
    </row>
    <row r="1692" spans="1:26" x14ac:dyDescent="0.25">
      <c r="A1692" s="314"/>
      <c r="B1692" s="18">
        <v>2023</v>
      </c>
      <c r="C1692" s="18" t="s">
        <v>781</v>
      </c>
      <c r="D1692" s="18" t="s">
        <v>744</v>
      </c>
      <c r="E1692" s="18" t="s">
        <v>703</v>
      </c>
      <c r="F1692" s="18" t="s">
        <v>704</v>
      </c>
      <c r="G1692" s="18" t="s">
        <v>673</v>
      </c>
      <c r="H1692" s="18" t="s">
        <v>745</v>
      </c>
      <c r="I1692" s="315">
        <v>95.429169051126777</v>
      </c>
      <c r="J1692" s="315">
        <v>7.027701387062367E-2</v>
      </c>
      <c r="K1692" s="316" t="str">
        <f t="shared" si="42"/>
        <v>Lawn and Garden Equipment</v>
      </c>
      <c r="L1692" s="316" t="str">
        <f t="shared" si="43"/>
        <v>Gasoline</v>
      </c>
      <c r="M1692" s="194"/>
      <c r="N1692" s="317"/>
      <c r="O1692" s="317"/>
      <c r="P1692" s="317"/>
      <c r="Q1692" s="317"/>
      <c r="R1692" s="317"/>
      <c r="S1692" s="317"/>
      <c r="T1692" s="317"/>
      <c r="U1692" s="317"/>
      <c r="V1692" s="317"/>
      <c r="W1692" s="317"/>
      <c r="X1692" s="317"/>
      <c r="Y1692" s="317"/>
      <c r="Z1692" s="317"/>
    </row>
    <row r="1693" spans="1:26" x14ac:dyDescent="0.25">
      <c r="A1693" s="314"/>
      <c r="B1693" s="18">
        <v>2023</v>
      </c>
      <c r="C1693" s="18" t="s">
        <v>762</v>
      </c>
      <c r="D1693" s="18" t="s">
        <v>849</v>
      </c>
      <c r="E1693" s="18" t="s">
        <v>713</v>
      </c>
      <c r="F1693" s="18" t="s">
        <v>714</v>
      </c>
      <c r="G1693" s="18" t="s">
        <v>674</v>
      </c>
      <c r="H1693" s="18" t="s">
        <v>850</v>
      </c>
      <c r="I1693" s="315">
        <v>95.384436250548035</v>
      </c>
      <c r="J1693" s="315">
        <v>1.3325742640090301E-3</v>
      </c>
      <c r="K1693" s="316" t="str">
        <f t="shared" si="42"/>
        <v>Construction and Mining Equipment</v>
      </c>
      <c r="L1693" s="316" t="str">
        <f t="shared" si="43"/>
        <v>Diesel</v>
      </c>
      <c r="M1693" s="194"/>
      <c r="N1693" s="317"/>
      <c r="O1693" s="317"/>
      <c r="P1693" s="317"/>
      <c r="Q1693" s="317"/>
      <c r="R1693" s="317"/>
      <c r="S1693" s="317"/>
      <c r="T1693" s="317"/>
      <c r="U1693" s="317"/>
      <c r="V1693" s="317"/>
      <c r="W1693" s="317"/>
      <c r="X1693" s="317"/>
      <c r="Y1693" s="317"/>
      <c r="Z1693" s="317"/>
    </row>
    <row r="1694" spans="1:26" x14ac:dyDescent="0.25">
      <c r="A1694" s="314"/>
      <c r="B1694" s="18">
        <v>2023</v>
      </c>
      <c r="C1694" s="18" t="s">
        <v>810</v>
      </c>
      <c r="D1694" s="18" t="s">
        <v>853</v>
      </c>
      <c r="E1694" s="18" t="s">
        <v>703</v>
      </c>
      <c r="F1694" s="18" t="s">
        <v>795</v>
      </c>
      <c r="G1694" s="18" t="s">
        <v>679</v>
      </c>
      <c r="H1694" s="18" t="s">
        <v>854</v>
      </c>
      <c r="I1694" s="315">
        <v>95.206309029321872</v>
      </c>
      <c r="J1694" s="315">
        <v>7.2371524162688869E-2</v>
      </c>
      <c r="K1694" s="316" t="str">
        <f t="shared" si="42"/>
        <v>Recreational Equipment</v>
      </c>
      <c r="L1694" s="316" t="str">
        <f t="shared" si="43"/>
        <v>Gasoline</v>
      </c>
      <c r="M1694" s="194"/>
      <c r="N1694" s="317"/>
      <c r="O1694" s="317"/>
      <c r="P1694" s="317"/>
      <c r="Q1694" s="317"/>
      <c r="R1694" s="317"/>
      <c r="S1694" s="317"/>
      <c r="T1694" s="317"/>
      <c r="U1694" s="317"/>
      <c r="V1694" s="317"/>
      <c r="W1694" s="317"/>
      <c r="X1694" s="317"/>
      <c r="Y1694" s="317"/>
      <c r="Z1694" s="317"/>
    </row>
    <row r="1695" spans="1:26" x14ac:dyDescent="0.25">
      <c r="A1695" s="314"/>
      <c r="B1695" s="18">
        <v>2023</v>
      </c>
      <c r="C1695" s="18" t="s">
        <v>786</v>
      </c>
      <c r="D1695" s="18" t="s">
        <v>853</v>
      </c>
      <c r="E1695" s="18" t="s">
        <v>703</v>
      </c>
      <c r="F1695" s="18" t="s">
        <v>795</v>
      </c>
      <c r="G1695" s="18" t="s">
        <v>679</v>
      </c>
      <c r="H1695" s="18" t="s">
        <v>854</v>
      </c>
      <c r="I1695" s="315">
        <v>95.206309029321872</v>
      </c>
      <c r="J1695" s="315">
        <v>7.1591370497674778E-2</v>
      </c>
      <c r="K1695" s="316" t="str">
        <f t="shared" si="42"/>
        <v>Recreational Equipment</v>
      </c>
      <c r="L1695" s="316" t="str">
        <f t="shared" si="43"/>
        <v>Gasoline</v>
      </c>
      <c r="M1695" s="194"/>
      <c r="N1695" s="317"/>
      <c r="O1695" s="317"/>
      <c r="P1695" s="317"/>
      <c r="Q1695" s="317"/>
      <c r="R1695" s="317"/>
      <c r="S1695" s="317"/>
      <c r="T1695" s="317"/>
      <c r="U1695" s="317"/>
      <c r="V1695" s="317"/>
      <c r="W1695" s="317"/>
      <c r="X1695" s="317"/>
      <c r="Y1695" s="317"/>
      <c r="Z1695" s="317"/>
    </row>
    <row r="1696" spans="1:26" x14ac:dyDescent="0.25">
      <c r="A1696" s="314"/>
      <c r="B1696" s="18">
        <v>2023</v>
      </c>
      <c r="C1696" s="18" t="s">
        <v>750</v>
      </c>
      <c r="D1696" s="18" t="s">
        <v>853</v>
      </c>
      <c r="E1696" s="18" t="s">
        <v>703</v>
      </c>
      <c r="F1696" s="18" t="s">
        <v>795</v>
      </c>
      <c r="G1696" s="18" t="s">
        <v>679</v>
      </c>
      <c r="H1696" s="18" t="s">
        <v>854</v>
      </c>
      <c r="I1696" s="315">
        <v>95.206309029321872</v>
      </c>
      <c r="J1696" s="315">
        <v>7.1443587741439801E-2</v>
      </c>
      <c r="K1696" s="316" t="str">
        <f t="shared" si="42"/>
        <v>Recreational Equipment</v>
      </c>
      <c r="L1696" s="316" t="str">
        <f t="shared" si="43"/>
        <v>Gasoline</v>
      </c>
      <c r="M1696" s="194"/>
      <c r="N1696" s="317"/>
      <c r="O1696" s="317"/>
      <c r="P1696" s="317"/>
      <c r="Q1696" s="317"/>
      <c r="R1696" s="317"/>
      <c r="S1696" s="317"/>
      <c r="T1696" s="317"/>
      <c r="U1696" s="317"/>
      <c r="V1696" s="317"/>
      <c r="W1696" s="317"/>
      <c r="X1696" s="317"/>
      <c r="Y1696" s="317"/>
      <c r="Z1696" s="317"/>
    </row>
    <row r="1697" spans="1:26" x14ac:dyDescent="0.25">
      <c r="A1697" s="314"/>
      <c r="B1697" s="18">
        <v>2023</v>
      </c>
      <c r="C1697" s="18" t="s">
        <v>759</v>
      </c>
      <c r="D1697" s="18" t="s">
        <v>853</v>
      </c>
      <c r="E1697" s="18" t="s">
        <v>703</v>
      </c>
      <c r="F1697" s="18" t="s">
        <v>795</v>
      </c>
      <c r="G1697" s="18" t="s">
        <v>679</v>
      </c>
      <c r="H1697" s="18" t="s">
        <v>854</v>
      </c>
      <c r="I1697" s="315">
        <v>95.206309029321872</v>
      </c>
      <c r="J1697" s="315">
        <v>7.1362501269961132E-2</v>
      </c>
      <c r="K1697" s="316" t="str">
        <f t="shared" si="42"/>
        <v>Recreational Equipment</v>
      </c>
      <c r="L1697" s="316" t="str">
        <f t="shared" si="43"/>
        <v>Gasoline</v>
      </c>
      <c r="M1697" s="194"/>
      <c r="N1697" s="317"/>
      <c r="O1697" s="317"/>
      <c r="P1697" s="317"/>
      <c r="Q1697" s="317"/>
      <c r="R1697" s="317"/>
      <c r="S1697" s="317"/>
      <c r="T1697" s="317"/>
      <c r="U1697" s="317"/>
      <c r="V1697" s="317"/>
      <c r="W1697" s="317"/>
      <c r="X1697" s="317"/>
      <c r="Y1697" s="317"/>
      <c r="Z1697" s="317"/>
    </row>
    <row r="1698" spans="1:26" x14ac:dyDescent="0.25">
      <c r="A1698" s="314"/>
      <c r="B1698" s="18">
        <v>2023</v>
      </c>
      <c r="C1698" s="18" t="s">
        <v>753</v>
      </c>
      <c r="D1698" s="18" t="s">
        <v>853</v>
      </c>
      <c r="E1698" s="18" t="s">
        <v>703</v>
      </c>
      <c r="F1698" s="18" t="s">
        <v>795</v>
      </c>
      <c r="G1698" s="18" t="s">
        <v>679</v>
      </c>
      <c r="H1698" s="18" t="s">
        <v>854</v>
      </c>
      <c r="I1698" s="315">
        <v>95.206309029321872</v>
      </c>
      <c r="J1698" s="315">
        <v>7.1453068415978718E-2</v>
      </c>
      <c r="K1698" s="316" t="str">
        <f t="shared" si="42"/>
        <v>Recreational Equipment</v>
      </c>
      <c r="L1698" s="316" t="str">
        <f t="shared" si="43"/>
        <v>Gasoline</v>
      </c>
      <c r="M1698" s="194"/>
      <c r="N1698" s="317"/>
      <c r="O1698" s="317"/>
      <c r="P1698" s="317"/>
      <c r="Q1698" s="317"/>
      <c r="R1698" s="317"/>
      <c r="S1698" s="317"/>
      <c r="T1698" s="317"/>
      <c r="U1698" s="317"/>
      <c r="V1698" s="317"/>
      <c r="W1698" s="317"/>
      <c r="X1698" s="317"/>
      <c r="Y1698" s="317"/>
      <c r="Z1698" s="317"/>
    </row>
    <row r="1699" spans="1:26" x14ac:dyDescent="0.25">
      <c r="A1699" s="314"/>
      <c r="B1699" s="18">
        <v>2023</v>
      </c>
      <c r="C1699" s="18" t="s">
        <v>743</v>
      </c>
      <c r="D1699" s="18" t="s">
        <v>973</v>
      </c>
      <c r="E1699" s="18" t="s">
        <v>703</v>
      </c>
      <c r="F1699" s="18" t="s">
        <v>795</v>
      </c>
      <c r="G1699" s="18" t="s">
        <v>673</v>
      </c>
      <c r="H1699" s="18" t="s">
        <v>974</v>
      </c>
      <c r="I1699" s="315">
        <v>95.195390963035834</v>
      </c>
      <c r="J1699" s="315">
        <v>0.18016771504930565</v>
      </c>
      <c r="K1699" s="316" t="str">
        <f t="shared" si="42"/>
        <v>Lawn and Garden Equipment</v>
      </c>
      <c r="L1699" s="316" t="str">
        <f t="shared" si="43"/>
        <v>Gasoline</v>
      </c>
      <c r="M1699" s="194"/>
      <c r="N1699" s="317"/>
      <c r="O1699" s="317"/>
      <c r="P1699" s="317"/>
      <c r="Q1699" s="317"/>
      <c r="R1699" s="317"/>
      <c r="S1699" s="317"/>
      <c r="T1699" s="317"/>
      <c r="U1699" s="317"/>
      <c r="V1699" s="317"/>
      <c r="W1699" s="317"/>
      <c r="X1699" s="317"/>
      <c r="Y1699" s="317"/>
      <c r="Z1699" s="317"/>
    </row>
    <row r="1700" spans="1:26" x14ac:dyDescent="0.25">
      <c r="A1700" s="314"/>
      <c r="B1700" s="18">
        <v>2023</v>
      </c>
      <c r="C1700" s="18" t="s">
        <v>754</v>
      </c>
      <c r="D1700" s="18" t="s">
        <v>968</v>
      </c>
      <c r="E1700" s="18" t="s">
        <v>703</v>
      </c>
      <c r="F1700" s="18" t="s">
        <v>704</v>
      </c>
      <c r="G1700" s="18" t="s">
        <v>675</v>
      </c>
      <c r="H1700" s="18" t="s">
        <v>969</v>
      </c>
      <c r="I1700" s="315">
        <v>95.022321473352832</v>
      </c>
      <c r="J1700" s="315">
        <v>3.0493995771892071E-2</v>
      </c>
      <c r="K1700" s="316" t="str">
        <f t="shared" si="42"/>
        <v>Industrial Equipment</v>
      </c>
      <c r="L1700" s="316" t="str">
        <f t="shared" si="43"/>
        <v>Gasoline</v>
      </c>
      <c r="M1700" s="194"/>
      <c r="N1700" s="317"/>
      <c r="O1700" s="317"/>
      <c r="P1700" s="317"/>
      <c r="Q1700" s="317"/>
      <c r="R1700" s="317"/>
      <c r="S1700" s="317"/>
      <c r="T1700" s="317"/>
      <c r="U1700" s="317"/>
      <c r="V1700" s="317"/>
      <c r="W1700" s="317"/>
      <c r="X1700" s="317"/>
      <c r="Y1700" s="317"/>
      <c r="Z1700" s="317"/>
    </row>
    <row r="1701" spans="1:26" x14ac:dyDescent="0.25">
      <c r="A1701" s="314"/>
      <c r="B1701" s="18">
        <v>2023</v>
      </c>
      <c r="C1701" s="18" t="s">
        <v>781</v>
      </c>
      <c r="D1701" s="18" t="s">
        <v>1079</v>
      </c>
      <c r="E1701" s="18" t="s">
        <v>713</v>
      </c>
      <c r="F1701" s="18" t="s">
        <v>714</v>
      </c>
      <c r="G1701" s="18" t="s">
        <v>678</v>
      </c>
      <c r="H1701" s="18" t="s">
        <v>1080</v>
      </c>
      <c r="I1701" s="315">
        <v>94.980344089355512</v>
      </c>
      <c r="J1701" s="315">
        <v>6.8931211156693297E-4</v>
      </c>
      <c r="K1701" s="316" t="str">
        <f t="shared" si="42"/>
        <v>Agricultural Equipment</v>
      </c>
      <c r="L1701" s="316" t="str">
        <f t="shared" si="43"/>
        <v>Diesel</v>
      </c>
      <c r="M1701" s="194"/>
      <c r="N1701" s="317"/>
      <c r="O1701" s="317"/>
      <c r="P1701" s="317"/>
      <c r="Q1701" s="317"/>
      <c r="R1701" s="317"/>
      <c r="S1701" s="317"/>
      <c r="T1701" s="317"/>
      <c r="U1701" s="317"/>
      <c r="V1701" s="317"/>
      <c r="W1701" s="317"/>
      <c r="X1701" s="317"/>
      <c r="Y1701" s="317"/>
      <c r="Z1701" s="317"/>
    </row>
    <row r="1702" spans="1:26" x14ac:dyDescent="0.25">
      <c r="A1702" s="314"/>
      <c r="B1702" s="18">
        <v>2023</v>
      </c>
      <c r="C1702" s="18" t="s">
        <v>732</v>
      </c>
      <c r="D1702" s="18" t="s">
        <v>989</v>
      </c>
      <c r="E1702" s="18" t="s">
        <v>703</v>
      </c>
      <c r="F1702" s="18" t="s">
        <v>795</v>
      </c>
      <c r="G1702" s="18" t="s">
        <v>673</v>
      </c>
      <c r="H1702" s="18" t="s">
        <v>990</v>
      </c>
      <c r="I1702" s="315">
        <v>94.726577962499675</v>
      </c>
      <c r="J1702" s="315">
        <v>0.18235071860402491</v>
      </c>
      <c r="K1702" s="316" t="str">
        <f t="shared" si="42"/>
        <v>Lawn and Garden Equipment</v>
      </c>
      <c r="L1702" s="316" t="str">
        <f t="shared" si="43"/>
        <v>Gasoline</v>
      </c>
      <c r="M1702" s="194"/>
      <c r="N1702" s="317"/>
      <c r="O1702" s="317"/>
      <c r="P1702" s="317"/>
      <c r="Q1702" s="317"/>
      <c r="R1702" s="317"/>
      <c r="S1702" s="317"/>
      <c r="T1702" s="317"/>
      <c r="U1702" s="317"/>
      <c r="V1702" s="317"/>
      <c r="W1702" s="317"/>
      <c r="X1702" s="317"/>
      <c r="Y1702" s="317"/>
      <c r="Z1702" s="317"/>
    </row>
    <row r="1703" spans="1:26" x14ac:dyDescent="0.25">
      <c r="A1703" s="314"/>
      <c r="B1703" s="18">
        <v>2023</v>
      </c>
      <c r="C1703" s="18" t="s">
        <v>792</v>
      </c>
      <c r="D1703" s="18" t="s">
        <v>741</v>
      </c>
      <c r="E1703" s="18" t="s">
        <v>713</v>
      </c>
      <c r="F1703" s="18" t="s">
        <v>714</v>
      </c>
      <c r="G1703" s="18" t="s">
        <v>673</v>
      </c>
      <c r="H1703" s="18" t="s">
        <v>742</v>
      </c>
      <c r="I1703" s="315">
        <v>94.308527982404101</v>
      </c>
      <c r="J1703" s="315">
        <v>1.5620191900297346E-3</v>
      </c>
      <c r="K1703" s="316" t="str">
        <f t="shared" si="42"/>
        <v>Lawn and Garden Equipment</v>
      </c>
      <c r="L1703" s="316" t="str">
        <f t="shared" si="43"/>
        <v>Diesel</v>
      </c>
      <c r="M1703" s="194"/>
      <c r="N1703" s="317"/>
      <c r="O1703" s="317"/>
      <c r="P1703" s="317"/>
      <c r="Q1703" s="317"/>
      <c r="R1703" s="317"/>
      <c r="S1703" s="317"/>
      <c r="T1703" s="317"/>
      <c r="U1703" s="317"/>
      <c r="V1703" s="317"/>
      <c r="W1703" s="317"/>
      <c r="X1703" s="317"/>
      <c r="Y1703" s="317"/>
      <c r="Z1703" s="317"/>
    </row>
    <row r="1704" spans="1:26" x14ac:dyDescent="0.25">
      <c r="A1704" s="314"/>
      <c r="B1704" s="18">
        <v>2023</v>
      </c>
      <c r="C1704" s="18" t="s">
        <v>781</v>
      </c>
      <c r="D1704" s="18" t="s">
        <v>769</v>
      </c>
      <c r="E1704" s="18" t="s">
        <v>713</v>
      </c>
      <c r="F1704" s="18" t="s">
        <v>714</v>
      </c>
      <c r="G1704" s="18" t="s">
        <v>674</v>
      </c>
      <c r="H1704" s="18" t="s">
        <v>770</v>
      </c>
      <c r="I1704" s="315">
        <v>94.095352618034553</v>
      </c>
      <c r="J1704" s="315">
        <v>7.5448781095589052E-4</v>
      </c>
      <c r="K1704" s="316" t="str">
        <f t="shared" si="42"/>
        <v>Construction and Mining Equipment</v>
      </c>
      <c r="L1704" s="316" t="str">
        <f t="shared" si="43"/>
        <v>Diesel</v>
      </c>
      <c r="M1704" s="194"/>
      <c r="N1704" s="317"/>
      <c r="O1704" s="317"/>
      <c r="P1704" s="317"/>
      <c r="Q1704" s="317"/>
      <c r="R1704" s="317"/>
      <c r="S1704" s="317"/>
      <c r="T1704" s="317"/>
      <c r="U1704" s="317"/>
      <c r="V1704" s="317"/>
      <c r="W1704" s="317"/>
      <c r="X1704" s="317"/>
      <c r="Y1704" s="317"/>
      <c r="Z1704" s="317"/>
    </row>
    <row r="1705" spans="1:26" x14ac:dyDescent="0.25">
      <c r="A1705" s="314"/>
      <c r="B1705" s="18">
        <v>2023</v>
      </c>
      <c r="C1705" s="18" t="s">
        <v>786</v>
      </c>
      <c r="D1705" s="18" t="s">
        <v>1079</v>
      </c>
      <c r="E1705" s="18" t="s">
        <v>713</v>
      </c>
      <c r="F1705" s="18" t="s">
        <v>714</v>
      </c>
      <c r="G1705" s="18" t="s">
        <v>678</v>
      </c>
      <c r="H1705" s="18" t="s">
        <v>1080</v>
      </c>
      <c r="I1705" s="315">
        <v>93.996932866745126</v>
      </c>
      <c r="J1705" s="315">
        <v>6.8217500775955009E-4</v>
      </c>
      <c r="K1705" s="316" t="str">
        <f t="shared" si="42"/>
        <v>Agricultural Equipment</v>
      </c>
      <c r="L1705" s="316" t="str">
        <f t="shared" si="43"/>
        <v>Diesel</v>
      </c>
      <c r="M1705" s="194"/>
      <c r="N1705" s="317"/>
      <c r="O1705" s="317"/>
      <c r="P1705" s="317"/>
      <c r="Q1705" s="317"/>
      <c r="R1705" s="317"/>
      <c r="S1705" s="317"/>
      <c r="T1705" s="317"/>
      <c r="U1705" s="317"/>
      <c r="V1705" s="317"/>
      <c r="W1705" s="317"/>
      <c r="X1705" s="317"/>
      <c r="Y1705" s="317"/>
      <c r="Z1705" s="317"/>
    </row>
    <row r="1706" spans="1:26" x14ac:dyDescent="0.25">
      <c r="A1706" s="314"/>
      <c r="B1706" s="18">
        <v>2023</v>
      </c>
      <c r="C1706" s="18" t="s">
        <v>760</v>
      </c>
      <c r="D1706" s="18" t="s">
        <v>995</v>
      </c>
      <c r="E1706" s="18" t="s">
        <v>703</v>
      </c>
      <c r="F1706" s="18" t="s">
        <v>805</v>
      </c>
      <c r="G1706" s="18" t="s">
        <v>673</v>
      </c>
      <c r="H1706" s="18" t="s">
        <v>996</v>
      </c>
      <c r="I1706" s="315">
        <v>93.983233757292638</v>
      </c>
      <c r="J1706" s="315">
        <v>0.17526133473787317</v>
      </c>
      <c r="K1706" s="316" t="str">
        <f t="shared" si="42"/>
        <v>Lawn and Garden Equipment</v>
      </c>
      <c r="L1706" s="316" t="str">
        <f t="shared" si="43"/>
        <v>Gasoline</v>
      </c>
      <c r="M1706" s="194"/>
      <c r="N1706" s="317"/>
      <c r="O1706" s="317"/>
      <c r="P1706" s="317"/>
      <c r="Q1706" s="317"/>
      <c r="R1706" s="317"/>
      <c r="S1706" s="317"/>
      <c r="T1706" s="317"/>
      <c r="U1706" s="317"/>
      <c r="V1706" s="317"/>
      <c r="W1706" s="317"/>
      <c r="X1706" s="317"/>
      <c r="Y1706" s="317"/>
      <c r="Z1706" s="317"/>
    </row>
    <row r="1707" spans="1:26" x14ac:dyDescent="0.25">
      <c r="A1707" s="314"/>
      <c r="B1707" s="18">
        <v>2023</v>
      </c>
      <c r="C1707" s="18" t="s">
        <v>753</v>
      </c>
      <c r="D1707" s="18" t="s">
        <v>925</v>
      </c>
      <c r="E1707" s="18" t="s">
        <v>703</v>
      </c>
      <c r="F1707" s="18" t="s">
        <v>704</v>
      </c>
      <c r="G1707" s="18" t="s">
        <v>675</v>
      </c>
      <c r="H1707" s="18" t="s">
        <v>798</v>
      </c>
      <c r="I1707" s="315">
        <v>93.608317309217526</v>
      </c>
      <c r="J1707" s="315">
        <v>6.9809889211929252E-2</v>
      </c>
      <c r="K1707" s="316" t="str">
        <f t="shared" si="42"/>
        <v>Industrial Equipment</v>
      </c>
      <c r="L1707" s="316" t="str">
        <f t="shared" si="43"/>
        <v>Gasoline</v>
      </c>
      <c r="M1707" s="194"/>
      <c r="N1707" s="317"/>
      <c r="O1707" s="317"/>
      <c r="P1707" s="317"/>
      <c r="Q1707" s="317"/>
      <c r="R1707" s="317"/>
      <c r="S1707" s="317"/>
      <c r="T1707" s="317"/>
      <c r="U1707" s="317"/>
      <c r="V1707" s="317"/>
      <c r="W1707" s="317"/>
      <c r="X1707" s="317"/>
      <c r="Y1707" s="317"/>
      <c r="Z1707" s="317"/>
    </row>
    <row r="1708" spans="1:26" x14ac:dyDescent="0.25">
      <c r="A1708" s="314"/>
      <c r="B1708" s="18">
        <v>2023</v>
      </c>
      <c r="C1708" s="18" t="s">
        <v>773</v>
      </c>
      <c r="D1708" s="18" t="s">
        <v>964</v>
      </c>
      <c r="E1708" s="18" t="s">
        <v>56</v>
      </c>
      <c r="F1708" s="18" t="s">
        <v>601</v>
      </c>
      <c r="G1708" s="18" t="s">
        <v>677</v>
      </c>
      <c r="H1708" s="18" t="s">
        <v>965</v>
      </c>
      <c r="I1708" s="315">
        <v>93.442689523194574</v>
      </c>
      <c r="J1708" s="315">
        <v>0.4465265129726706</v>
      </c>
      <c r="K1708" s="316" t="str">
        <f t="shared" si="42"/>
        <v>Commercial Equipment</v>
      </c>
      <c r="L1708" s="316" t="str">
        <f t="shared" si="43"/>
        <v>CNG</v>
      </c>
      <c r="M1708" s="194"/>
      <c r="N1708" s="317"/>
      <c r="O1708" s="317"/>
      <c r="P1708" s="317"/>
      <c r="Q1708" s="317"/>
      <c r="R1708" s="317"/>
      <c r="S1708" s="317"/>
      <c r="T1708" s="317"/>
      <c r="U1708" s="317"/>
      <c r="V1708" s="317"/>
      <c r="W1708" s="317"/>
      <c r="X1708" s="317"/>
      <c r="Y1708" s="317"/>
      <c r="Z1708" s="317"/>
    </row>
    <row r="1709" spans="1:26" x14ac:dyDescent="0.25">
      <c r="A1709" s="314"/>
      <c r="B1709" s="18">
        <v>2023</v>
      </c>
      <c r="C1709" s="18" t="s">
        <v>711</v>
      </c>
      <c r="D1709" s="18" t="s">
        <v>971</v>
      </c>
      <c r="E1709" s="18" t="s">
        <v>713</v>
      </c>
      <c r="F1709" s="18" t="s">
        <v>714</v>
      </c>
      <c r="G1709" s="18" t="s">
        <v>678</v>
      </c>
      <c r="H1709" s="18" t="s">
        <v>972</v>
      </c>
      <c r="I1709" s="315">
        <v>92.89500927875369</v>
      </c>
      <c r="J1709" s="315">
        <v>5.1600165244042057E-4</v>
      </c>
      <c r="K1709" s="316" t="str">
        <f t="shared" si="42"/>
        <v>Agricultural Equipment</v>
      </c>
      <c r="L1709" s="316" t="str">
        <f t="shared" si="43"/>
        <v>Diesel</v>
      </c>
      <c r="M1709" s="194"/>
      <c r="N1709" s="317"/>
      <c r="O1709" s="317"/>
      <c r="P1709" s="317"/>
      <c r="Q1709" s="317"/>
      <c r="R1709" s="317"/>
      <c r="S1709" s="317"/>
      <c r="T1709" s="317"/>
      <c r="U1709" s="317"/>
      <c r="V1709" s="317"/>
      <c r="W1709" s="317"/>
      <c r="X1709" s="317"/>
      <c r="Y1709" s="317"/>
      <c r="Z1709" s="317"/>
    </row>
    <row r="1710" spans="1:26" x14ac:dyDescent="0.25">
      <c r="A1710" s="314"/>
      <c r="B1710" s="18">
        <v>2023</v>
      </c>
      <c r="C1710" s="18" t="s">
        <v>743</v>
      </c>
      <c r="D1710" s="18" t="s">
        <v>898</v>
      </c>
      <c r="E1710" s="18" t="s">
        <v>703</v>
      </c>
      <c r="F1710" s="18" t="s">
        <v>795</v>
      </c>
      <c r="G1710" s="18" t="s">
        <v>673</v>
      </c>
      <c r="H1710" s="18" t="s">
        <v>899</v>
      </c>
      <c r="I1710" s="315">
        <v>92.293819889430679</v>
      </c>
      <c r="J1710" s="315">
        <v>0.63100681716834628</v>
      </c>
      <c r="K1710" s="316" t="str">
        <f t="shared" si="42"/>
        <v>Lawn and Garden Equipment</v>
      </c>
      <c r="L1710" s="316" t="str">
        <f t="shared" si="43"/>
        <v>Gasoline</v>
      </c>
      <c r="M1710" s="194"/>
      <c r="N1710" s="317"/>
      <c r="O1710" s="317"/>
      <c r="P1710" s="317"/>
      <c r="Q1710" s="317"/>
      <c r="R1710" s="317"/>
      <c r="S1710" s="317"/>
      <c r="T1710" s="317"/>
      <c r="U1710" s="317"/>
      <c r="V1710" s="317"/>
      <c r="W1710" s="317"/>
      <c r="X1710" s="317"/>
      <c r="Y1710" s="317"/>
      <c r="Z1710" s="317"/>
    </row>
    <row r="1711" spans="1:26" x14ac:dyDescent="0.25">
      <c r="A1711" s="314"/>
      <c r="B1711" s="18">
        <v>2023</v>
      </c>
      <c r="C1711" s="18" t="s">
        <v>727</v>
      </c>
      <c r="D1711" s="18" t="s">
        <v>1079</v>
      </c>
      <c r="E1711" s="18" t="s">
        <v>713</v>
      </c>
      <c r="F1711" s="18" t="s">
        <v>714</v>
      </c>
      <c r="G1711" s="18" t="s">
        <v>678</v>
      </c>
      <c r="H1711" s="18" t="s">
        <v>1080</v>
      </c>
      <c r="I1711" s="315">
        <v>92.21741980124068</v>
      </c>
      <c r="J1711" s="315">
        <v>6.692598613692774E-4</v>
      </c>
      <c r="K1711" s="316" t="str">
        <f t="shared" si="42"/>
        <v>Agricultural Equipment</v>
      </c>
      <c r="L1711" s="316" t="str">
        <f t="shared" si="43"/>
        <v>Diesel</v>
      </c>
      <c r="M1711" s="194"/>
      <c r="N1711" s="317"/>
      <c r="O1711" s="317"/>
      <c r="P1711" s="317"/>
      <c r="Q1711" s="317"/>
      <c r="R1711" s="317"/>
      <c r="S1711" s="317"/>
      <c r="T1711" s="317"/>
      <c r="U1711" s="317"/>
      <c r="V1711" s="317"/>
      <c r="W1711" s="317"/>
      <c r="X1711" s="317"/>
      <c r="Y1711" s="317"/>
      <c r="Z1711" s="317"/>
    </row>
    <row r="1712" spans="1:26" x14ac:dyDescent="0.25">
      <c r="A1712" s="314"/>
      <c r="B1712" s="18">
        <v>2023</v>
      </c>
      <c r="C1712" s="18" t="s">
        <v>810</v>
      </c>
      <c r="D1712" s="18" t="s">
        <v>867</v>
      </c>
      <c r="E1712" s="18" t="s">
        <v>713</v>
      </c>
      <c r="F1712" s="18" t="s">
        <v>714</v>
      </c>
      <c r="G1712" s="18" t="s">
        <v>673</v>
      </c>
      <c r="H1712" s="18" t="s">
        <v>724</v>
      </c>
      <c r="I1712" s="315">
        <v>91.935893133072057</v>
      </c>
      <c r="J1712" s="315">
        <v>4.7313548976004715E-3</v>
      </c>
      <c r="K1712" s="316" t="str">
        <f t="shared" si="42"/>
        <v>Lawn and Garden Equipment</v>
      </c>
      <c r="L1712" s="316" t="str">
        <f t="shared" si="43"/>
        <v>Diesel</v>
      </c>
      <c r="M1712" s="194"/>
      <c r="N1712" s="317"/>
      <c r="O1712" s="317"/>
      <c r="P1712" s="317"/>
      <c r="Q1712" s="317"/>
      <c r="R1712" s="317"/>
      <c r="S1712" s="317"/>
      <c r="T1712" s="317"/>
      <c r="U1712" s="317"/>
      <c r="V1712" s="317"/>
      <c r="W1712" s="317"/>
      <c r="X1712" s="317"/>
      <c r="Y1712" s="317"/>
      <c r="Z1712" s="317"/>
    </row>
    <row r="1713" spans="1:26" x14ac:dyDescent="0.25">
      <c r="A1713" s="314"/>
      <c r="B1713" s="18">
        <v>2023</v>
      </c>
      <c r="C1713" s="18" t="s">
        <v>759</v>
      </c>
      <c r="D1713" s="18" t="s">
        <v>867</v>
      </c>
      <c r="E1713" s="18" t="s">
        <v>713</v>
      </c>
      <c r="F1713" s="18" t="s">
        <v>714</v>
      </c>
      <c r="G1713" s="18" t="s">
        <v>673</v>
      </c>
      <c r="H1713" s="18" t="s">
        <v>724</v>
      </c>
      <c r="I1713" s="315">
        <v>91.935893133072057</v>
      </c>
      <c r="J1713" s="315">
        <v>4.7313548976004715E-3</v>
      </c>
      <c r="K1713" s="316" t="str">
        <f t="shared" si="42"/>
        <v>Lawn and Garden Equipment</v>
      </c>
      <c r="L1713" s="316" t="str">
        <f t="shared" si="43"/>
        <v>Diesel</v>
      </c>
      <c r="M1713" s="194"/>
      <c r="N1713" s="317"/>
      <c r="O1713" s="317"/>
      <c r="P1713" s="317"/>
      <c r="Q1713" s="317"/>
      <c r="R1713" s="317"/>
      <c r="S1713" s="317"/>
      <c r="T1713" s="317"/>
      <c r="U1713" s="317"/>
      <c r="V1713" s="317"/>
      <c r="W1713" s="317"/>
      <c r="X1713" s="317"/>
      <c r="Y1713" s="317"/>
      <c r="Z1713" s="317"/>
    </row>
    <row r="1714" spans="1:26" x14ac:dyDescent="0.25">
      <c r="A1714" s="314"/>
      <c r="B1714" s="18">
        <v>2023</v>
      </c>
      <c r="C1714" s="18" t="s">
        <v>727</v>
      </c>
      <c r="D1714" s="18" t="s">
        <v>867</v>
      </c>
      <c r="E1714" s="18" t="s">
        <v>713</v>
      </c>
      <c r="F1714" s="18" t="s">
        <v>714</v>
      </c>
      <c r="G1714" s="18" t="s">
        <v>673</v>
      </c>
      <c r="H1714" s="18" t="s">
        <v>724</v>
      </c>
      <c r="I1714" s="315">
        <v>91.935893133072057</v>
      </c>
      <c r="J1714" s="315">
        <v>4.7313548976004715E-3</v>
      </c>
      <c r="K1714" s="316" t="str">
        <f t="shared" si="42"/>
        <v>Lawn and Garden Equipment</v>
      </c>
      <c r="L1714" s="316" t="str">
        <f t="shared" si="43"/>
        <v>Diesel</v>
      </c>
      <c r="M1714" s="194"/>
      <c r="N1714" s="317"/>
      <c r="O1714" s="317"/>
      <c r="P1714" s="317"/>
      <c r="Q1714" s="317"/>
      <c r="R1714" s="317"/>
      <c r="S1714" s="317"/>
      <c r="T1714" s="317"/>
      <c r="U1714" s="317"/>
      <c r="V1714" s="317"/>
      <c r="W1714" s="317"/>
      <c r="X1714" s="317"/>
      <c r="Y1714" s="317"/>
      <c r="Z1714" s="317"/>
    </row>
    <row r="1715" spans="1:26" x14ac:dyDescent="0.25">
      <c r="A1715" s="314"/>
      <c r="B1715" s="18">
        <v>2023</v>
      </c>
      <c r="C1715" s="18" t="s">
        <v>793</v>
      </c>
      <c r="D1715" s="18" t="s">
        <v>840</v>
      </c>
      <c r="E1715" s="18" t="s">
        <v>703</v>
      </c>
      <c r="F1715" s="18" t="s">
        <v>704</v>
      </c>
      <c r="G1715" s="18" t="s">
        <v>677</v>
      </c>
      <c r="H1715" s="18" t="s">
        <v>841</v>
      </c>
      <c r="I1715" s="315">
        <v>91.835751117242125</v>
      </c>
      <c r="J1715" s="315">
        <v>6.0347505226242965E-2</v>
      </c>
      <c r="K1715" s="316" t="str">
        <f t="shared" si="42"/>
        <v>Commercial Equipment</v>
      </c>
      <c r="L1715" s="316" t="str">
        <f t="shared" si="43"/>
        <v>Gasoline</v>
      </c>
      <c r="M1715" s="194"/>
      <c r="N1715" s="317"/>
      <c r="O1715" s="317"/>
      <c r="P1715" s="317"/>
      <c r="Q1715" s="317"/>
      <c r="R1715" s="317"/>
      <c r="S1715" s="317"/>
      <c r="T1715" s="317"/>
      <c r="U1715" s="317"/>
      <c r="V1715" s="317"/>
      <c r="W1715" s="317"/>
      <c r="X1715" s="317"/>
      <c r="Y1715" s="317"/>
      <c r="Z1715" s="317"/>
    </row>
    <row r="1716" spans="1:26" x14ac:dyDescent="0.25">
      <c r="A1716" s="314"/>
      <c r="B1716" s="18">
        <v>2023</v>
      </c>
      <c r="C1716" s="18" t="s">
        <v>710</v>
      </c>
      <c r="D1716" s="18" t="s">
        <v>868</v>
      </c>
      <c r="E1716" s="18" t="s">
        <v>703</v>
      </c>
      <c r="F1716" s="18" t="s">
        <v>704</v>
      </c>
      <c r="G1716" s="18" t="s">
        <v>673</v>
      </c>
      <c r="H1716" s="18" t="s">
        <v>758</v>
      </c>
      <c r="I1716" s="315">
        <v>91.718285069202125</v>
      </c>
      <c r="J1716" s="315">
        <v>6.0065014854841794E-2</v>
      </c>
      <c r="K1716" s="316" t="str">
        <f t="shared" si="42"/>
        <v>Lawn and Garden Equipment</v>
      </c>
      <c r="L1716" s="316" t="str">
        <f t="shared" si="43"/>
        <v>Gasoline</v>
      </c>
      <c r="M1716" s="194"/>
      <c r="N1716" s="317"/>
      <c r="O1716" s="317"/>
      <c r="P1716" s="317"/>
      <c r="Q1716" s="317"/>
      <c r="R1716" s="317"/>
      <c r="S1716" s="317"/>
      <c r="T1716" s="317"/>
      <c r="U1716" s="317"/>
      <c r="V1716" s="317"/>
      <c r="W1716" s="317"/>
      <c r="X1716" s="317"/>
      <c r="Y1716" s="317"/>
      <c r="Z1716" s="317"/>
    </row>
    <row r="1717" spans="1:26" x14ac:dyDescent="0.25">
      <c r="A1717" s="314"/>
      <c r="B1717" s="18">
        <v>2023</v>
      </c>
      <c r="C1717" s="18" t="s">
        <v>793</v>
      </c>
      <c r="D1717" s="18" t="s">
        <v>920</v>
      </c>
      <c r="E1717" s="18" t="s">
        <v>703</v>
      </c>
      <c r="F1717" s="18" t="s">
        <v>704</v>
      </c>
      <c r="G1717" s="18" t="s">
        <v>673</v>
      </c>
      <c r="H1717" s="18" t="s">
        <v>921</v>
      </c>
      <c r="I1717" s="315">
        <v>91.604891355287791</v>
      </c>
      <c r="J1717" s="315">
        <v>5.800109717917646E-2</v>
      </c>
      <c r="K1717" s="316" t="str">
        <f t="shared" si="42"/>
        <v>Lawn and Garden Equipment</v>
      </c>
      <c r="L1717" s="316" t="str">
        <f t="shared" si="43"/>
        <v>Gasoline</v>
      </c>
      <c r="M1717" s="194"/>
      <c r="N1717" s="317"/>
      <c r="O1717" s="317"/>
      <c r="P1717" s="317"/>
      <c r="Q1717" s="317"/>
      <c r="R1717" s="317"/>
      <c r="S1717" s="317"/>
      <c r="T1717" s="317"/>
      <c r="U1717" s="317"/>
      <c r="V1717" s="317"/>
      <c r="W1717" s="317"/>
      <c r="X1717" s="317"/>
      <c r="Y1717" s="317"/>
      <c r="Z1717" s="317"/>
    </row>
    <row r="1718" spans="1:26" x14ac:dyDescent="0.25">
      <c r="A1718" s="314"/>
      <c r="B1718" s="18">
        <v>2023</v>
      </c>
      <c r="C1718" s="18" t="s">
        <v>701</v>
      </c>
      <c r="D1718" s="18" t="s">
        <v>894</v>
      </c>
      <c r="E1718" s="18" t="s">
        <v>713</v>
      </c>
      <c r="F1718" s="18" t="s">
        <v>714</v>
      </c>
      <c r="G1718" s="18" t="s">
        <v>681</v>
      </c>
      <c r="H1718" s="18" t="s">
        <v>895</v>
      </c>
      <c r="I1718" s="315">
        <v>91.550261306203197</v>
      </c>
      <c r="J1718" s="315">
        <v>1.795263413589963E-4</v>
      </c>
      <c r="K1718" s="316" t="str">
        <f t="shared" si="42"/>
        <v>Logging Equipment</v>
      </c>
      <c r="L1718" s="316" t="str">
        <f t="shared" si="43"/>
        <v>Diesel</v>
      </c>
      <c r="M1718" s="194"/>
      <c r="N1718" s="317"/>
      <c r="O1718" s="317"/>
      <c r="P1718" s="317"/>
      <c r="Q1718" s="317"/>
      <c r="R1718" s="317"/>
      <c r="S1718" s="317"/>
      <c r="T1718" s="317"/>
      <c r="U1718" s="317"/>
      <c r="V1718" s="317"/>
      <c r="W1718" s="317"/>
      <c r="X1718" s="317"/>
      <c r="Y1718" s="317"/>
      <c r="Z1718" s="317"/>
    </row>
    <row r="1719" spans="1:26" x14ac:dyDescent="0.25">
      <c r="A1719" s="314"/>
      <c r="B1719" s="18">
        <v>2023</v>
      </c>
      <c r="C1719" s="18" t="s">
        <v>743</v>
      </c>
      <c r="D1719" s="18" t="s">
        <v>977</v>
      </c>
      <c r="E1719" s="18" t="s">
        <v>703</v>
      </c>
      <c r="F1719" s="18" t="s">
        <v>805</v>
      </c>
      <c r="G1719" s="18" t="s">
        <v>673</v>
      </c>
      <c r="H1719" s="18" t="s">
        <v>978</v>
      </c>
      <c r="I1719" s="315">
        <v>91.399439477213051</v>
      </c>
      <c r="J1719" s="315">
        <v>0.15563296569199747</v>
      </c>
      <c r="K1719" s="316" t="str">
        <f t="shared" si="42"/>
        <v>Lawn and Garden Equipment</v>
      </c>
      <c r="L1719" s="316" t="str">
        <f t="shared" si="43"/>
        <v>Gasoline</v>
      </c>
      <c r="M1719" s="194"/>
      <c r="N1719" s="317"/>
      <c r="O1719" s="317"/>
      <c r="P1719" s="317"/>
      <c r="Q1719" s="317"/>
      <c r="R1719" s="317"/>
      <c r="S1719" s="317"/>
      <c r="T1719" s="317"/>
      <c r="U1719" s="317"/>
      <c r="V1719" s="317"/>
      <c r="W1719" s="317"/>
      <c r="X1719" s="317"/>
      <c r="Y1719" s="317"/>
      <c r="Z1719" s="317"/>
    </row>
    <row r="1720" spans="1:26" x14ac:dyDescent="0.25">
      <c r="A1720" s="314"/>
      <c r="B1720" s="18">
        <v>2023</v>
      </c>
      <c r="C1720" s="18" t="s">
        <v>731</v>
      </c>
      <c r="D1720" s="18" t="s">
        <v>867</v>
      </c>
      <c r="E1720" s="18" t="s">
        <v>713</v>
      </c>
      <c r="F1720" s="18" t="s">
        <v>714</v>
      </c>
      <c r="G1720" s="18" t="s">
        <v>673</v>
      </c>
      <c r="H1720" s="18" t="s">
        <v>724</v>
      </c>
      <c r="I1720" s="315">
        <v>91.364848267943472</v>
      </c>
      <c r="J1720" s="315">
        <v>4.7019712411539814E-3</v>
      </c>
      <c r="K1720" s="316" t="str">
        <f t="shared" si="42"/>
        <v>Lawn and Garden Equipment</v>
      </c>
      <c r="L1720" s="316" t="str">
        <f t="shared" si="43"/>
        <v>Diesel</v>
      </c>
      <c r="M1720" s="194"/>
      <c r="N1720" s="317"/>
      <c r="O1720" s="317"/>
      <c r="P1720" s="317"/>
      <c r="Q1720" s="317"/>
      <c r="R1720" s="317"/>
      <c r="S1720" s="317"/>
      <c r="T1720" s="317"/>
      <c r="U1720" s="317"/>
      <c r="V1720" s="317"/>
      <c r="W1720" s="317"/>
      <c r="X1720" s="317"/>
      <c r="Y1720" s="317"/>
      <c r="Z1720" s="317"/>
    </row>
    <row r="1721" spans="1:26" x14ac:dyDescent="0.25">
      <c r="A1721" s="314"/>
      <c r="B1721" s="18">
        <v>2023</v>
      </c>
      <c r="C1721" s="18" t="s">
        <v>760</v>
      </c>
      <c r="D1721" s="18" t="s">
        <v>998</v>
      </c>
      <c r="E1721" s="18" t="s">
        <v>703</v>
      </c>
      <c r="F1721" s="18" t="s">
        <v>704</v>
      </c>
      <c r="G1721" s="18" t="s">
        <v>674</v>
      </c>
      <c r="H1721" s="18" t="s">
        <v>999</v>
      </c>
      <c r="I1721" s="315">
        <v>91.177823383581142</v>
      </c>
      <c r="J1721" s="315">
        <v>6.0314190391542656E-2</v>
      </c>
      <c r="K1721" s="316" t="str">
        <f t="shared" si="42"/>
        <v>Construction and Mining Equipment</v>
      </c>
      <c r="L1721" s="316" t="str">
        <f t="shared" si="43"/>
        <v>Gasoline</v>
      </c>
      <c r="M1721" s="194"/>
      <c r="N1721" s="317"/>
      <c r="O1721" s="317"/>
      <c r="P1721" s="317"/>
      <c r="Q1721" s="317"/>
      <c r="R1721" s="317"/>
      <c r="S1721" s="317"/>
      <c r="T1721" s="317"/>
      <c r="U1721" s="317"/>
      <c r="V1721" s="317"/>
      <c r="W1721" s="317"/>
      <c r="X1721" s="317"/>
      <c r="Y1721" s="317"/>
      <c r="Z1721" s="317"/>
    </row>
    <row r="1722" spans="1:26" x14ac:dyDescent="0.25">
      <c r="A1722" s="314"/>
      <c r="B1722" s="18">
        <v>2023</v>
      </c>
      <c r="C1722" s="18" t="s">
        <v>786</v>
      </c>
      <c r="D1722" s="18" t="s">
        <v>839</v>
      </c>
      <c r="E1722" s="18" t="s">
        <v>703</v>
      </c>
      <c r="F1722" s="18" t="s">
        <v>704</v>
      </c>
      <c r="G1722" s="18" t="s">
        <v>675</v>
      </c>
      <c r="H1722" s="18" t="s">
        <v>708</v>
      </c>
      <c r="I1722" s="315">
        <v>90.913074662168583</v>
      </c>
      <c r="J1722" s="315">
        <v>6.2551683372878931E-3</v>
      </c>
      <c r="K1722" s="316" t="str">
        <f t="shared" si="42"/>
        <v>Industrial Equipment</v>
      </c>
      <c r="L1722" s="316" t="str">
        <f t="shared" si="43"/>
        <v>Gasoline</v>
      </c>
      <c r="M1722" s="194"/>
      <c r="N1722" s="317"/>
      <c r="O1722" s="317"/>
      <c r="P1722" s="317"/>
      <c r="Q1722" s="317"/>
      <c r="R1722" s="317"/>
      <c r="S1722" s="317"/>
      <c r="T1722" s="317"/>
      <c r="U1722" s="317"/>
      <c r="V1722" s="317"/>
      <c r="W1722" s="317"/>
      <c r="X1722" s="317"/>
      <c r="Y1722" s="317"/>
      <c r="Z1722" s="317"/>
    </row>
    <row r="1723" spans="1:26" x14ac:dyDescent="0.25">
      <c r="A1723" s="314"/>
      <c r="B1723" s="18">
        <v>2023</v>
      </c>
      <c r="C1723" s="18" t="s">
        <v>760</v>
      </c>
      <c r="D1723" s="18" t="s">
        <v>1000</v>
      </c>
      <c r="E1723" s="18" t="s">
        <v>703</v>
      </c>
      <c r="F1723" s="18" t="s">
        <v>704</v>
      </c>
      <c r="G1723" s="18" t="s">
        <v>674</v>
      </c>
      <c r="H1723" s="18" t="s">
        <v>850</v>
      </c>
      <c r="I1723" s="315">
        <v>90.842312889875103</v>
      </c>
      <c r="J1723" s="315">
        <v>5.5365872942653334E-2</v>
      </c>
      <c r="K1723" s="316" t="str">
        <f t="shared" si="42"/>
        <v>Construction and Mining Equipment</v>
      </c>
      <c r="L1723" s="316" t="str">
        <f t="shared" si="43"/>
        <v>Gasoline</v>
      </c>
      <c r="M1723" s="194"/>
      <c r="N1723" s="317"/>
      <c r="O1723" s="317"/>
      <c r="P1723" s="317"/>
      <c r="Q1723" s="317"/>
      <c r="R1723" s="317"/>
      <c r="S1723" s="317"/>
      <c r="T1723" s="317"/>
      <c r="U1723" s="317"/>
      <c r="V1723" s="317"/>
      <c r="W1723" s="317"/>
      <c r="X1723" s="317"/>
      <c r="Y1723" s="317"/>
      <c r="Z1723" s="317"/>
    </row>
    <row r="1724" spans="1:26" x14ac:dyDescent="0.25">
      <c r="A1724" s="314"/>
      <c r="B1724" s="18">
        <v>2023</v>
      </c>
      <c r="C1724" s="18" t="s">
        <v>781</v>
      </c>
      <c r="D1724" s="18" t="s">
        <v>748</v>
      </c>
      <c r="E1724" s="18" t="s">
        <v>703</v>
      </c>
      <c r="F1724" s="18" t="s">
        <v>704</v>
      </c>
      <c r="G1724" s="18" t="s">
        <v>673</v>
      </c>
      <c r="H1724" s="18" t="s">
        <v>749</v>
      </c>
      <c r="I1724" s="315">
        <v>90.488364521438342</v>
      </c>
      <c r="J1724" s="315">
        <v>5.1335852222698902E-2</v>
      </c>
      <c r="K1724" s="316" t="str">
        <f t="shared" si="42"/>
        <v>Lawn and Garden Equipment</v>
      </c>
      <c r="L1724" s="316" t="str">
        <f t="shared" si="43"/>
        <v>Gasoline</v>
      </c>
      <c r="M1724" s="194"/>
      <c r="N1724" s="317"/>
      <c r="O1724" s="317"/>
      <c r="P1724" s="317"/>
      <c r="Q1724" s="317"/>
      <c r="R1724" s="317"/>
      <c r="S1724" s="317"/>
      <c r="T1724" s="317"/>
      <c r="U1724" s="317"/>
      <c r="V1724" s="317"/>
      <c r="W1724" s="317"/>
      <c r="X1724" s="317"/>
      <c r="Y1724" s="317"/>
      <c r="Z1724" s="317"/>
    </row>
    <row r="1725" spans="1:26" x14ac:dyDescent="0.25">
      <c r="A1725" s="314"/>
      <c r="B1725" s="18">
        <v>2023</v>
      </c>
      <c r="C1725" s="18" t="s">
        <v>773</v>
      </c>
      <c r="D1725" s="18" t="s">
        <v>979</v>
      </c>
      <c r="E1725" s="18" t="s">
        <v>703</v>
      </c>
      <c r="F1725" s="18" t="s">
        <v>704</v>
      </c>
      <c r="G1725" s="18" t="s">
        <v>675</v>
      </c>
      <c r="H1725" s="18" t="s">
        <v>802</v>
      </c>
      <c r="I1725" s="315">
        <v>90.38904688806825</v>
      </c>
      <c r="J1725" s="315">
        <v>3.2387733679035885E-2</v>
      </c>
      <c r="K1725" s="316" t="str">
        <f t="shared" si="42"/>
        <v>Industrial Equipment</v>
      </c>
      <c r="L1725" s="316" t="str">
        <f t="shared" si="43"/>
        <v>Gasoline</v>
      </c>
      <c r="M1725" s="194"/>
      <c r="N1725" s="317"/>
      <c r="O1725" s="317"/>
      <c r="P1725" s="317"/>
      <c r="Q1725" s="317"/>
      <c r="R1725" s="317"/>
      <c r="S1725" s="317"/>
      <c r="T1725" s="317"/>
      <c r="U1725" s="317"/>
      <c r="V1725" s="317"/>
      <c r="W1725" s="317"/>
      <c r="X1725" s="317"/>
      <c r="Y1725" s="317"/>
      <c r="Z1725" s="317"/>
    </row>
    <row r="1726" spans="1:26" x14ac:dyDescent="0.25">
      <c r="A1726" s="314"/>
      <c r="B1726" s="18">
        <v>2023</v>
      </c>
      <c r="C1726" s="18" t="s">
        <v>754</v>
      </c>
      <c r="D1726" s="18" t="s">
        <v>966</v>
      </c>
      <c r="E1726" s="18" t="s">
        <v>703</v>
      </c>
      <c r="F1726" s="18" t="s">
        <v>704</v>
      </c>
      <c r="G1726" s="18" t="s">
        <v>674</v>
      </c>
      <c r="H1726" s="18" t="s">
        <v>967</v>
      </c>
      <c r="I1726" s="315">
        <v>90.23732806616654</v>
      </c>
      <c r="J1726" s="315">
        <v>6.2650718212803408E-2</v>
      </c>
      <c r="K1726" s="316" t="str">
        <f t="shared" si="42"/>
        <v>Construction and Mining Equipment</v>
      </c>
      <c r="L1726" s="316" t="str">
        <f t="shared" si="43"/>
        <v>Gasoline</v>
      </c>
      <c r="M1726" s="194"/>
      <c r="N1726" s="317"/>
      <c r="O1726" s="317"/>
      <c r="P1726" s="317"/>
      <c r="Q1726" s="317"/>
      <c r="R1726" s="317"/>
      <c r="S1726" s="317"/>
      <c r="T1726" s="317"/>
      <c r="U1726" s="317"/>
      <c r="V1726" s="317"/>
      <c r="W1726" s="317"/>
      <c r="X1726" s="317"/>
      <c r="Y1726" s="317"/>
      <c r="Z1726" s="317"/>
    </row>
    <row r="1727" spans="1:26" x14ac:dyDescent="0.25">
      <c r="A1727" s="314"/>
      <c r="B1727" s="18">
        <v>2023</v>
      </c>
      <c r="C1727" s="18" t="s">
        <v>753</v>
      </c>
      <c r="D1727" s="18" t="s">
        <v>867</v>
      </c>
      <c r="E1727" s="18" t="s">
        <v>713</v>
      </c>
      <c r="F1727" s="18" t="s">
        <v>714</v>
      </c>
      <c r="G1727" s="18" t="s">
        <v>673</v>
      </c>
      <c r="H1727" s="18" t="s">
        <v>724</v>
      </c>
      <c r="I1727" s="315">
        <v>90.222730011075257</v>
      </c>
      <c r="J1727" s="315">
        <v>4.6431932134362933E-3</v>
      </c>
      <c r="K1727" s="316" t="str">
        <f t="shared" si="42"/>
        <v>Lawn and Garden Equipment</v>
      </c>
      <c r="L1727" s="316" t="str">
        <f t="shared" si="43"/>
        <v>Diesel</v>
      </c>
      <c r="M1727" s="194"/>
      <c r="N1727" s="317"/>
      <c r="O1727" s="317"/>
      <c r="P1727" s="317"/>
      <c r="Q1727" s="317"/>
      <c r="R1727" s="317"/>
      <c r="S1727" s="317"/>
      <c r="T1727" s="317"/>
      <c r="U1727" s="317"/>
      <c r="V1727" s="317"/>
      <c r="W1727" s="317"/>
      <c r="X1727" s="317"/>
      <c r="Y1727" s="317"/>
      <c r="Z1727" s="317"/>
    </row>
    <row r="1728" spans="1:26" x14ac:dyDescent="0.25">
      <c r="A1728" s="314"/>
      <c r="B1728" s="18">
        <v>2023</v>
      </c>
      <c r="C1728" s="18" t="s">
        <v>792</v>
      </c>
      <c r="D1728" s="18" t="s">
        <v>1019</v>
      </c>
      <c r="E1728" s="18" t="s">
        <v>703</v>
      </c>
      <c r="F1728" s="18" t="s">
        <v>805</v>
      </c>
      <c r="G1728" s="18" t="s">
        <v>679</v>
      </c>
      <c r="H1728" s="18" t="s">
        <v>852</v>
      </c>
      <c r="I1728" s="315">
        <v>90.133924134625545</v>
      </c>
      <c r="J1728" s="315">
        <v>0.12547348038335257</v>
      </c>
      <c r="K1728" s="316" t="str">
        <f t="shared" si="42"/>
        <v>Recreational Equipment</v>
      </c>
      <c r="L1728" s="316" t="str">
        <f t="shared" si="43"/>
        <v>Gasoline</v>
      </c>
      <c r="M1728" s="194"/>
      <c r="N1728" s="317"/>
      <c r="O1728" s="317"/>
      <c r="P1728" s="317"/>
      <c r="Q1728" s="317"/>
      <c r="R1728" s="317"/>
      <c r="S1728" s="317"/>
      <c r="T1728" s="317"/>
      <c r="U1728" s="317"/>
      <c r="V1728" s="317"/>
      <c r="W1728" s="317"/>
      <c r="X1728" s="317"/>
      <c r="Y1728" s="317"/>
      <c r="Z1728" s="317"/>
    </row>
    <row r="1729" spans="1:26" x14ac:dyDescent="0.25">
      <c r="A1729" s="314"/>
      <c r="B1729" s="18">
        <v>2023</v>
      </c>
      <c r="C1729" s="18" t="s">
        <v>706</v>
      </c>
      <c r="D1729" s="18" t="s">
        <v>1019</v>
      </c>
      <c r="E1729" s="18" t="s">
        <v>703</v>
      </c>
      <c r="F1729" s="18" t="s">
        <v>805</v>
      </c>
      <c r="G1729" s="18" t="s">
        <v>679</v>
      </c>
      <c r="H1729" s="18" t="s">
        <v>852</v>
      </c>
      <c r="I1729" s="315">
        <v>90.133924134625545</v>
      </c>
      <c r="J1729" s="315">
        <v>0.12547348038335257</v>
      </c>
      <c r="K1729" s="316" t="str">
        <f t="shared" si="42"/>
        <v>Recreational Equipment</v>
      </c>
      <c r="L1729" s="316" t="str">
        <f t="shared" si="43"/>
        <v>Gasoline</v>
      </c>
      <c r="M1729" s="194"/>
      <c r="N1729" s="317"/>
      <c r="O1729" s="317"/>
      <c r="P1729" s="317"/>
      <c r="Q1729" s="317"/>
      <c r="R1729" s="317"/>
      <c r="S1729" s="317"/>
      <c r="T1729" s="317"/>
      <c r="U1729" s="317"/>
      <c r="V1729" s="317"/>
      <c r="W1729" s="317"/>
      <c r="X1729" s="317"/>
      <c r="Y1729" s="317"/>
      <c r="Z1729" s="317"/>
    </row>
    <row r="1730" spans="1:26" x14ac:dyDescent="0.25">
      <c r="A1730" s="314"/>
      <c r="B1730" s="18">
        <v>2023</v>
      </c>
      <c r="C1730" s="18" t="s">
        <v>781</v>
      </c>
      <c r="D1730" s="18" t="s">
        <v>1019</v>
      </c>
      <c r="E1730" s="18" t="s">
        <v>703</v>
      </c>
      <c r="F1730" s="18" t="s">
        <v>805</v>
      </c>
      <c r="G1730" s="18" t="s">
        <v>679</v>
      </c>
      <c r="H1730" s="18" t="s">
        <v>852</v>
      </c>
      <c r="I1730" s="315">
        <v>90.133924134625545</v>
      </c>
      <c r="J1730" s="315">
        <v>0.12547348038335257</v>
      </c>
      <c r="K1730" s="316" t="str">
        <f t="shared" si="42"/>
        <v>Recreational Equipment</v>
      </c>
      <c r="L1730" s="316" t="str">
        <f t="shared" si="43"/>
        <v>Gasoline</v>
      </c>
      <c r="M1730" s="194"/>
      <c r="N1730" s="317"/>
      <c r="O1730" s="317"/>
      <c r="P1730" s="317"/>
      <c r="Q1730" s="317"/>
      <c r="R1730" s="317"/>
      <c r="S1730" s="317"/>
      <c r="T1730" s="317"/>
      <c r="U1730" s="317"/>
      <c r="V1730" s="317"/>
      <c r="W1730" s="317"/>
      <c r="X1730" s="317"/>
      <c r="Y1730" s="317"/>
      <c r="Z1730" s="317"/>
    </row>
    <row r="1731" spans="1:26" x14ac:dyDescent="0.25">
      <c r="A1731" s="314"/>
      <c r="B1731" s="18">
        <v>2023</v>
      </c>
      <c r="C1731" s="18" t="s">
        <v>754</v>
      </c>
      <c r="D1731" s="18" t="s">
        <v>1019</v>
      </c>
      <c r="E1731" s="18" t="s">
        <v>703</v>
      </c>
      <c r="F1731" s="18" t="s">
        <v>805</v>
      </c>
      <c r="G1731" s="18" t="s">
        <v>679</v>
      </c>
      <c r="H1731" s="18" t="s">
        <v>852</v>
      </c>
      <c r="I1731" s="315">
        <v>90.133924134625545</v>
      </c>
      <c r="J1731" s="315">
        <v>0.12547348038335257</v>
      </c>
      <c r="K1731" s="316" t="str">
        <f t="shared" si="42"/>
        <v>Recreational Equipment</v>
      </c>
      <c r="L1731" s="316" t="str">
        <f t="shared" si="43"/>
        <v>Gasoline</v>
      </c>
      <c r="M1731" s="194"/>
      <c r="N1731" s="317"/>
      <c r="O1731" s="317"/>
      <c r="P1731" s="317"/>
      <c r="Q1731" s="317"/>
      <c r="R1731" s="317"/>
      <c r="S1731" s="317"/>
      <c r="T1731" s="317"/>
      <c r="U1731" s="317"/>
      <c r="V1731" s="317"/>
      <c r="W1731" s="317"/>
      <c r="X1731" s="317"/>
      <c r="Y1731" s="317"/>
      <c r="Z1731" s="317"/>
    </row>
    <row r="1732" spans="1:26" x14ac:dyDescent="0.25">
      <c r="A1732" s="314"/>
      <c r="B1732" s="18">
        <v>2023</v>
      </c>
      <c r="C1732" s="18" t="s">
        <v>778</v>
      </c>
      <c r="D1732" s="18" t="s">
        <v>1019</v>
      </c>
      <c r="E1732" s="18" t="s">
        <v>703</v>
      </c>
      <c r="F1732" s="18" t="s">
        <v>805</v>
      </c>
      <c r="G1732" s="18" t="s">
        <v>679</v>
      </c>
      <c r="H1732" s="18" t="s">
        <v>852</v>
      </c>
      <c r="I1732" s="315">
        <v>90.133924134625545</v>
      </c>
      <c r="J1732" s="315">
        <v>0.12547348038335257</v>
      </c>
      <c r="K1732" s="316" t="str">
        <f t="shared" si="42"/>
        <v>Recreational Equipment</v>
      </c>
      <c r="L1732" s="316" t="str">
        <f t="shared" si="43"/>
        <v>Gasoline</v>
      </c>
      <c r="M1732" s="194"/>
      <c r="N1732" s="317"/>
      <c r="O1732" s="317"/>
      <c r="P1732" s="317"/>
      <c r="Q1732" s="317"/>
      <c r="R1732" s="317"/>
      <c r="S1732" s="317"/>
      <c r="T1732" s="317"/>
      <c r="U1732" s="317"/>
      <c r="V1732" s="317"/>
      <c r="W1732" s="317"/>
      <c r="X1732" s="317"/>
      <c r="Y1732" s="317"/>
      <c r="Z1732" s="317"/>
    </row>
    <row r="1733" spans="1:26" x14ac:dyDescent="0.25">
      <c r="A1733" s="314"/>
      <c r="B1733" s="18">
        <v>2023</v>
      </c>
      <c r="C1733" s="18" t="s">
        <v>732</v>
      </c>
      <c r="D1733" s="18" t="s">
        <v>1019</v>
      </c>
      <c r="E1733" s="18" t="s">
        <v>703</v>
      </c>
      <c r="F1733" s="18" t="s">
        <v>805</v>
      </c>
      <c r="G1733" s="18" t="s">
        <v>679</v>
      </c>
      <c r="H1733" s="18" t="s">
        <v>852</v>
      </c>
      <c r="I1733" s="315">
        <v>90.133924134625545</v>
      </c>
      <c r="J1733" s="315">
        <v>0.12547348038335257</v>
      </c>
      <c r="K1733" s="316" t="str">
        <f t="shared" si="42"/>
        <v>Recreational Equipment</v>
      </c>
      <c r="L1733" s="316" t="str">
        <f t="shared" si="43"/>
        <v>Gasoline</v>
      </c>
      <c r="M1733" s="194"/>
      <c r="N1733" s="317"/>
      <c r="O1733" s="317"/>
      <c r="P1733" s="317"/>
      <c r="Q1733" s="317"/>
      <c r="R1733" s="317"/>
      <c r="S1733" s="317"/>
      <c r="T1733" s="317"/>
      <c r="U1733" s="317"/>
      <c r="V1733" s="317"/>
      <c r="W1733" s="317"/>
      <c r="X1733" s="317"/>
      <c r="Y1733" s="317"/>
      <c r="Z1733" s="317"/>
    </row>
    <row r="1734" spans="1:26" ht="12.75" x14ac:dyDescent="0.2">
      <c r="A1734" s="230"/>
      <c r="B1734" s="18">
        <v>2023</v>
      </c>
      <c r="C1734" s="18" t="s">
        <v>810</v>
      </c>
      <c r="D1734" s="18" t="s">
        <v>1019</v>
      </c>
      <c r="E1734" s="18" t="s">
        <v>703</v>
      </c>
      <c r="F1734" s="18" t="s">
        <v>805</v>
      </c>
      <c r="G1734" s="18" t="s">
        <v>679</v>
      </c>
      <c r="H1734" s="18" t="s">
        <v>852</v>
      </c>
      <c r="I1734" s="315">
        <v>90.133924134625545</v>
      </c>
      <c r="J1734" s="315">
        <v>0.12547348038335257</v>
      </c>
      <c r="K1734" s="316" t="str">
        <f t="shared" si="42"/>
        <v>Recreational Equipment</v>
      </c>
      <c r="L1734" s="316" t="str">
        <f t="shared" si="43"/>
        <v>Gasoline</v>
      </c>
      <c r="M1734" s="8"/>
      <c r="N1734" s="2"/>
      <c r="O1734" s="2"/>
      <c r="P1734" s="2"/>
      <c r="Q1734" s="2"/>
      <c r="R1734" s="2"/>
      <c r="S1734" s="2"/>
      <c r="T1734" s="2"/>
      <c r="U1734" s="2"/>
      <c r="V1734" s="2"/>
      <c r="W1734" s="2"/>
      <c r="X1734" s="2"/>
      <c r="Y1734" s="2"/>
      <c r="Z1734" s="2"/>
    </row>
    <row r="1735" spans="1:26" x14ac:dyDescent="0.25">
      <c r="A1735" s="314"/>
      <c r="B1735" s="18">
        <v>2023</v>
      </c>
      <c r="C1735" s="18" t="s">
        <v>786</v>
      </c>
      <c r="D1735" s="18" t="s">
        <v>1019</v>
      </c>
      <c r="E1735" s="18" t="s">
        <v>703</v>
      </c>
      <c r="F1735" s="18" t="s">
        <v>805</v>
      </c>
      <c r="G1735" s="18" t="s">
        <v>679</v>
      </c>
      <c r="H1735" s="18" t="s">
        <v>852</v>
      </c>
      <c r="I1735" s="315">
        <v>90.133924134625545</v>
      </c>
      <c r="J1735" s="315">
        <v>0.12547348038335257</v>
      </c>
      <c r="K1735" s="316" t="str">
        <f t="shared" si="42"/>
        <v>Recreational Equipment</v>
      </c>
      <c r="L1735" s="316" t="str">
        <f t="shared" si="43"/>
        <v>Gasoline</v>
      </c>
      <c r="M1735" s="194"/>
      <c r="N1735" s="317"/>
      <c r="O1735" s="317"/>
      <c r="P1735" s="317"/>
      <c r="Q1735" s="317"/>
      <c r="R1735" s="317"/>
      <c r="S1735" s="317"/>
      <c r="T1735" s="317"/>
      <c r="U1735" s="317"/>
      <c r="V1735" s="317"/>
      <c r="W1735" s="317"/>
      <c r="X1735" s="317"/>
      <c r="Y1735" s="317"/>
      <c r="Z1735" s="317"/>
    </row>
    <row r="1736" spans="1:26" x14ac:dyDescent="0.25">
      <c r="A1736" s="314"/>
      <c r="B1736" s="18">
        <v>2023</v>
      </c>
      <c r="C1736" s="18" t="s">
        <v>709</v>
      </c>
      <c r="D1736" s="18" t="s">
        <v>1019</v>
      </c>
      <c r="E1736" s="18" t="s">
        <v>703</v>
      </c>
      <c r="F1736" s="18" t="s">
        <v>805</v>
      </c>
      <c r="G1736" s="18" t="s">
        <v>679</v>
      </c>
      <c r="H1736" s="18" t="s">
        <v>852</v>
      </c>
      <c r="I1736" s="315">
        <v>90.133924134625545</v>
      </c>
      <c r="J1736" s="315">
        <v>0.12547348038335257</v>
      </c>
      <c r="K1736" s="316" t="str">
        <f t="shared" si="42"/>
        <v>Recreational Equipment</v>
      </c>
      <c r="L1736" s="316" t="str">
        <f t="shared" si="43"/>
        <v>Gasoline</v>
      </c>
      <c r="M1736" s="194"/>
      <c r="N1736" s="317"/>
      <c r="O1736" s="317"/>
      <c r="P1736" s="317"/>
      <c r="Q1736" s="317"/>
      <c r="R1736" s="317"/>
      <c r="S1736" s="317"/>
      <c r="T1736" s="317"/>
      <c r="U1736" s="317"/>
      <c r="V1736" s="317"/>
      <c r="W1736" s="317"/>
      <c r="X1736" s="317"/>
      <c r="Y1736" s="317"/>
      <c r="Z1736" s="317"/>
    </row>
    <row r="1737" spans="1:26" x14ac:dyDescent="0.25">
      <c r="A1737" s="314"/>
      <c r="B1737" s="18">
        <v>2023</v>
      </c>
      <c r="C1737" s="18" t="s">
        <v>743</v>
      </c>
      <c r="D1737" s="18" t="s">
        <v>1019</v>
      </c>
      <c r="E1737" s="18" t="s">
        <v>703</v>
      </c>
      <c r="F1737" s="18" t="s">
        <v>805</v>
      </c>
      <c r="G1737" s="18" t="s">
        <v>679</v>
      </c>
      <c r="H1737" s="18" t="s">
        <v>852</v>
      </c>
      <c r="I1737" s="315">
        <v>90.133924134625545</v>
      </c>
      <c r="J1737" s="315">
        <v>0.12547348038335257</v>
      </c>
      <c r="K1737" s="316" t="str">
        <f t="shared" si="42"/>
        <v>Recreational Equipment</v>
      </c>
      <c r="L1737" s="316" t="str">
        <f t="shared" si="43"/>
        <v>Gasoline</v>
      </c>
      <c r="M1737" s="194"/>
      <c r="N1737" s="317"/>
      <c r="O1737" s="317"/>
      <c r="P1737" s="317"/>
      <c r="Q1737" s="317"/>
      <c r="R1737" s="317"/>
      <c r="S1737" s="317"/>
      <c r="T1737" s="317"/>
      <c r="U1737" s="317"/>
      <c r="V1737" s="317"/>
      <c r="W1737" s="317"/>
      <c r="X1737" s="317"/>
      <c r="Y1737" s="317"/>
      <c r="Z1737" s="317"/>
    </row>
    <row r="1738" spans="1:26" x14ac:dyDescent="0.25">
      <c r="A1738" s="314"/>
      <c r="B1738" s="18">
        <v>2023</v>
      </c>
      <c r="C1738" s="18" t="s">
        <v>773</v>
      </c>
      <c r="D1738" s="18" t="s">
        <v>1019</v>
      </c>
      <c r="E1738" s="18" t="s">
        <v>703</v>
      </c>
      <c r="F1738" s="18" t="s">
        <v>805</v>
      </c>
      <c r="G1738" s="18" t="s">
        <v>679</v>
      </c>
      <c r="H1738" s="18" t="s">
        <v>852</v>
      </c>
      <c r="I1738" s="315">
        <v>90.133924134625545</v>
      </c>
      <c r="J1738" s="315">
        <v>0.12547348038335257</v>
      </c>
      <c r="K1738" s="316" t="str">
        <f t="shared" si="42"/>
        <v>Recreational Equipment</v>
      </c>
      <c r="L1738" s="316" t="str">
        <f t="shared" si="43"/>
        <v>Gasoline</v>
      </c>
      <c r="M1738" s="194"/>
      <c r="N1738" s="317"/>
      <c r="O1738" s="317"/>
      <c r="P1738" s="317"/>
      <c r="Q1738" s="317"/>
      <c r="R1738" s="317"/>
      <c r="S1738" s="317"/>
      <c r="T1738" s="317"/>
      <c r="U1738" s="317"/>
      <c r="V1738" s="317"/>
      <c r="W1738" s="317"/>
      <c r="X1738" s="317"/>
      <c r="Y1738" s="317"/>
      <c r="Z1738" s="317"/>
    </row>
    <row r="1739" spans="1:26" x14ac:dyDescent="0.25">
      <c r="A1739" s="314"/>
      <c r="B1739" s="18">
        <v>2023</v>
      </c>
      <c r="C1739" s="18" t="s">
        <v>701</v>
      </c>
      <c r="D1739" s="18" t="s">
        <v>1075</v>
      </c>
      <c r="E1739" s="18" t="s">
        <v>56</v>
      </c>
      <c r="F1739" s="18" t="s">
        <v>672</v>
      </c>
      <c r="G1739" s="18" t="s">
        <v>675</v>
      </c>
      <c r="H1739" s="18" t="s">
        <v>772</v>
      </c>
      <c r="I1739" s="315">
        <v>89.91391874603184</v>
      </c>
      <c r="J1739" s="315">
        <v>4.1423071436508157E-3</v>
      </c>
      <c r="K1739" s="316" t="str">
        <f t="shared" si="42"/>
        <v>Industrial Equipment</v>
      </c>
      <c r="L1739" s="316" t="str">
        <f t="shared" si="43"/>
        <v>LPG</v>
      </c>
      <c r="M1739" s="194"/>
      <c r="N1739" s="317"/>
      <c r="O1739" s="317"/>
      <c r="P1739" s="317"/>
      <c r="Q1739" s="317"/>
      <c r="R1739" s="317"/>
      <c r="S1739" s="317"/>
      <c r="T1739" s="317"/>
      <c r="U1739" s="317"/>
      <c r="V1739" s="317"/>
      <c r="W1739" s="317"/>
      <c r="X1739" s="317"/>
      <c r="Y1739" s="317"/>
      <c r="Z1739" s="317"/>
    </row>
    <row r="1740" spans="1:26" x14ac:dyDescent="0.25">
      <c r="A1740" s="314"/>
      <c r="B1740" s="18">
        <v>2023</v>
      </c>
      <c r="C1740" s="18" t="s">
        <v>762</v>
      </c>
      <c r="D1740" s="18" t="s">
        <v>839</v>
      </c>
      <c r="E1740" s="18" t="s">
        <v>703</v>
      </c>
      <c r="F1740" s="18" t="s">
        <v>704</v>
      </c>
      <c r="G1740" s="18" t="s">
        <v>675</v>
      </c>
      <c r="H1740" s="18" t="s">
        <v>708</v>
      </c>
      <c r="I1740" s="315">
        <v>89.823965733815143</v>
      </c>
      <c r="J1740" s="315">
        <v>6.1732847711553516E-3</v>
      </c>
      <c r="K1740" s="316" t="str">
        <f t="shared" si="42"/>
        <v>Industrial Equipment</v>
      </c>
      <c r="L1740" s="316" t="str">
        <f t="shared" si="43"/>
        <v>Gasoline</v>
      </c>
      <c r="M1740" s="194"/>
      <c r="N1740" s="317"/>
      <c r="O1740" s="317"/>
      <c r="P1740" s="317"/>
      <c r="Q1740" s="317"/>
      <c r="R1740" s="317"/>
      <c r="S1740" s="317"/>
      <c r="T1740" s="317"/>
      <c r="U1740" s="317"/>
      <c r="V1740" s="317"/>
      <c r="W1740" s="317"/>
      <c r="X1740" s="317"/>
      <c r="Y1740" s="317"/>
      <c r="Z1740" s="317"/>
    </row>
    <row r="1741" spans="1:26" x14ac:dyDescent="0.25">
      <c r="A1741" s="314"/>
      <c r="B1741" s="18">
        <v>2023</v>
      </c>
      <c r="C1741" s="18" t="s">
        <v>793</v>
      </c>
      <c r="D1741" s="18" t="s">
        <v>846</v>
      </c>
      <c r="E1741" s="18" t="s">
        <v>713</v>
      </c>
      <c r="F1741" s="18" t="s">
        <v>714</v>
      </c>
      <c r="G1741" s="18" t="s">
        <v>677</v>
      </c>
      <c r="H1741" s="18" t="s">
        <v>836</v>
      </c>
      <c r="I1741" s="315">
        <v>89.669281694487054</v>
      </c>
      <c r="J1741" s="315">
        <v>3.4673948790669915E-3</v>
      </c>
      <c r="K1741" s="316" t="str">
        <f t="shared" si="42"/>
        <v>Commercial Equipment</v>
      </c>
      <c r="L1741" s="316" t="str">
        <f t="shared" si="43"/>
        <v>Diesel</v>
      </c>
      <c r="M1741" s="194"/>
      <c r="N1741" s="317"/>
      <c r="O1741" s="317"/>
      <c r="P1741" s="317"/>
      <c r="Q1741" s="317"/>
      <c r="R1741" s="317"/>
      <c r="S1741" s="317"/>
      <c r="T1741" s="317"/>
      <c r="U1741" s="317"/>
      <c r="V1741" s="317"/>
      <c r="W1741" s="317"/>
      <c r="X1741" s="317"/>
      <c r="Y1741" s="317"/>
      <c r="Z1741" s="317"/>
    </row>
    <row r="1742" spans="1:26" x14ac:dyDescent="0.25">
      <c r="A1742" s="314"/>
      <c r="B1742" s="18">
        <v>2023</v>
      </c>
      <c r="C1742" s="18" t="s">
        <v>750</v>
      </c>
      <c r="D1742" s="18" t="s">
        <v>840</v>
      </c>
      <c r="E1742" s="18" t="s">
        <v>703</v>
      </c>
      <c r="F1742" s="18" t="s">
        <v>704</v>
      </c>
      <c r="G1742" s="18" t="s">
        <v>677</v>
      </c>
      <c r="H1742" s="18" t="s">
        <v>841</v>
      </c>
      <c r="I1742" s="315">
        <v>89.353853108243413</v>
      </c>
      <c r="J1742" s="315">
        <v>5.8685426587299278E-2</v>
      </c>
      <c r="K1742" s="316" t="str">
        <f t="shared" si="42"/>
        <v>Commercial Equipment</v>
      </c>
      <c r="L1742" s="316" t="str">
        <f t="shared" si="43"/>
        <v>Gasoline</v>
      </c>
      <c r="M1742" s="194"/>
      <c r="N1742" s="317"/>
      <c r="O1742" s="317"/>
      <c r="P1742" s="317"/>
      <c r="Q1742" s="317"/>
      <c r="R1742" s="317"/>
      <c r="S1742" s="317"/>
      <c r="T1742" s="317"/>
      <c r="U1742" s="317"/>
      <c r="V1742" s="317"/>
      <c r="W1742" s="317"/>
      <c r="X1742" s="317"/>
      <c r="Y1742" s="317"/>
      <c r="Z1742" s="317"/>
    </row>
    <row r="1743" spans="1:26" x14ac:dyDescent="0.25">
      <c r="A1743" s="314"/>
      <c r="B1743" s="18">
        <v>2023</v>
      </c>
      <c r="C1743" s="18" t="s">
        <v>786</v>
      </c>
      <c r="D1743" s="18" t="s">
        <v>807</v>
      </c>
      <c r="E1743" s="18" t="s">
        <v>703</v>
      </c>
      <c r="F1743" s="18" t="s">
        <v>805</v>
      </c>
      <c r="G1743" s="18" t="s">
        <v>673</v>
      </c>
      <c r="H1743" s="18" t="s">
        <v>749</v>
      </c>
      <c r="I1743" s="315">
        <v>89.187208586436881</v>
      </c>
      <c r="J1743" s="315">
        <v>0.16683942351877615</v>
      </c>
      <c r="K1743" s="316" t="str">
        <f t="shared" si="42"/>
        <v>Lawn and Garden Equipment</v>
      </c>
      <c r="L1743" s="316" t="str">
        <f t="shared" si="43"/>
        <v>Gasoline</v>
      </c>
      <c r="M1743" s="194"/>
      <c r="N1743" s="317"/>
      <c r="O1743" s="317"/>
      <c r="P1743" s="317"/>
      <c r="Q1743" s="317"/>
      <c r="R1743" s="317"/>
      <c r="S1743" s="317"/>
      <c r="T1743" s="317"/>
      <c r="U1743" s="317"/>
      <c r="V1743" s="317"/>
      <c r="W1743" s="317"/>
      <c r="X1743" s="317"/>
      <c r="Y1743" s="317"/>
      <c r="Z1743" s="317"/>
    </row>
    <row r="1744" spans="1:26" x14ac:dyDescent="0.25">
      <c r="A1744" s="314"/>
      <c r="B1744" s="18">
        <v>2023</v>
      </c>
      <c r="C1744" s="18" t="s">
        <v>711</v>
      </c>
      <c r="D1744" s="18" t="s">
        <v>1035</v>
      </c>
      <c r="E1744" s="18" t="s">
        <v>703</v>
      </c>
      <c r="F1744" s="18" t="s">
        <v>704</v>
      </c>
      <c r="G1744" s="18" t="s">
        <v>674</v>
      </c>
      <c r="H1744" s="18" t="s">
        <v>1036</v>
      </c>
      <c r="I1744" s="315">
        <v>88.991769195764903</v>
      </c>
      <c r="J1744" s="315">
        <v>6.2870309185495202E-2</v>
      </c>
      <c r="K1744" s="316" t="str">
        <f t="shared" si="42"/>
        <v>Construction and Mining Equipment</v>
      </c>
      <c r="L1744" s="316" t="str">
        <f t="shared" si="43"/>
        <v>Gasoline</v>
      </c>
      <c r="M1744" s="194"/>
      <c r="N1744" s="317"/>
      <c r="O1744" s="317"/>
      <c r="P1744" s="317"/>
      <c r="Q1744" s="317"/>
      <c r="R1744" s="317"/>
      <c r="S1744" s="317"/>
      <c r="T1744" s="317"/>
      <c r="U1744" s="317"/>
      <c r="V1744" s="317"/>
      <c r="W1744" s="317"/>
      <c r="X1744" s="317"/>
      <c r="Y1744" s="317"/>
      <c r="Z1744" s="317"/>
    </row>
    <row r="1745" spans="1:26" x14ac:dyDescent="0.25">
      <c r="A1745" s="314"/>
      <c r="B1745" s="18">
        <v>2023</v>
      </c>
      <c r="C1745" s="18" t="s">
        <v>792</v>
      </c>
      <c r="D1745" s="18" t="s">
        <v>744</v>
      </c>
      <c r="E1745" s="18" t="s">
        <v>703</v>
      </c>
      <c r="F1745" s="18" t="s">
        <v>704</v>
      </c>
      <c r="G1745" s="18" t="s">
        <v>673</v>
      </c>
      <c r="H1745" s="18" t="s">
        <v>745</v>
      </c>
      <c r="I1745" s="315">
        <v>88.360351205174581</v>
      </c>
      <c r="J1745" s="315">
        <v>6.5491338937351179E-2</v>
      </c>
      <c r="K1745" s="316" t="str">
        <f t="shared" si="42"/>
        <v>Lawn and Garden Equipment</v>
      </c>
      <c r="L1745" s="316" t="str">
        <f t="shared" si="43"/>
        <v>Gasoline</v>
      </c>
      <c r="M1745" s="194"/>
      <c r="N1745" s="317"/>
      <c r="O1745" s="317"/>
      <c r="P1745" s="317"/>
      <c r="Q1745" s="317"/>
      <c r="R1745" s="317"/>
      <c r="S1745" s="317"/>
      <c r="T1745" s="317"/>
      <c r="U1745" s="317"/>
      <c r="V1745" s="317"/>
      <c r="W1745" s="317"/>
      <c r="X1745" s="317"/>
      <c r="Y1745" s="317"/>
      <c r="Z1745" s="317"/>
    </row>
    <row r="1746" spans="1:26" x14ac:dyDescent="0.25">
      <c r="A1746" s="314"/>
      <c r="B1746" s="18">
        <v>2023</v>
      </c>
      <c r="C1746" s="18" t="s">
        <v>750</v>
      </c>
      <c r="D1746" s="18" t="s">
        <v>803</v>
      </c>
      <c r="E1746" s="18" t="s">
        <v>703</v>
      </c>
      <c r="F1746" s="18" t="s">
        <v>805</v>
      </c>
      <c r="G1746" s="18" t="s">
        <v>673</v>
      </c>
      <c r="H1746" s="18" t="s">
        <v>806</v>
      </c>
      <c r="I1746" s="315">
        <v>88.259704136998607</v>
      </c>
      <c r="J1746" s="315">
        <v>0.17468561756094694</v>
      </c>
      <c r="K1746" s="316" t="str">
        <f t="shared" si="42"/>
        <v>Lawn and Garden Equipment</v>
      </c>
      <c r="L1746" s="316" t="str">
        <f t="shared" si="43"/>
        <v>Gasoline</v>
      </c>
      <c r="M1746" s="194"/>
      <c r="N1746" s="317"/>
      <c r="O1746" s="317"/>
      <c r="P1746" s="317"/>
      <c r="Q1746" s="317"/>
      <c r="R1746" s="317"/>
      <c r="S1746" s="317"/>
      <c r="T1746" s="317"/>
      <c r="U1746" s="317"/>
      <c r="V1746" s="317"/>
      <c r="W1746" s="317"/>
      <c r="X1746" s="317"/>
      <c r="Y1746" s="317"/>
      <c r="Z1746" s="317"/>
    </row>
    <row r="1747" spans="1:26" x14ac:dyDescent="0.25">
      <c r="A1747" s="314"/>
      <c r="B1747" s="18">
        <v>2023</v>
      </c>
      <c r="C1747" s="18" t="s">
        <v>709</v>
      </c>
      <c r="D1747" s="18" t="s">
        <v>1081</v>
      </c>
      <c r="E1747" s="18" t="s">
        <v>703</v>
      </c>
      <c r="F1747" s="18" t="s">
        <v>805</v>
      </c>
      <c r="G1747" s="18" t="s">
        <v>674</v>
      </c>
      <c r="H1747" s="18" t="s">
        <v>1082</v>
      </c>
      <c r="I1747" s="315">
        <v>88.190273130035223</v>
      </c>
      <c r="J1747" s="315">
        <v>0.14304778339809285</v>
      </c>
      <c r="K1747" s="316" t="str">
        <f t="shared" si="42"/>
        <v>Construction and Mining Equipment</v>
      </c>
      <c r="L1747" s="316" t="str">
        <f t="shared" si="43"/>
        <v>Gasoline</v>
      </c>
      <c r="M1747" s="194"/>
      <c r="N1747" s="317"/>
      <c r="O1747" s="317"/>
      <c r="P1747" s="317"/>
      <c r="Q1747" s="317"/>
      <c r="R1747" s="317"/>
      <c r="S1747" s="317"/>
      <c r="T1747" s="317"/>
      <c r="U1747" s="317"/>
      <c r="V1747" s="317"/>
      <c r="W1747" s="317"/>
      <c r="X1747" s="317"/>
      <c r="Y1747" s="317"/>
      <c r="Z1747" s="317"/>
    </row>
    <row r="1748" spans="1:26" x14ac:dyDescent="0.25">
      <c r="A1748" s="314"/>
      <c r="B1748" s="18">
        <v>2023</v>
      </c>
      <c r="C1748" s="18" t="s">
        <v>753</v>
      </c>
      <c r="D1748" s="18" t="s">
        <v>880</v>
      </c>
      <c r="E1748" s="18" t="s">
        <v>703</v>
      </c>
      <c r="F1748" s="18" t="s">
        <v>704</v>
      </c>
      <c r="G1748" s="18" t="s">
        <v>677</v>
      </c>
      <c r="H1748" s="18" t="s">
        <v>785</v>
      </c>
      <c r="I1748" s="315">
        <v>87.994641532440255</v>
      </c>
      <c r="J1748" s="315">
        <v>5.0517289042230538E-2</v>
      </c>
      <c r="K1748" s="316" t="str">
        <f t="shared" si="42"/>
        <v>Commercial Equipment</v>
      </c>
      <c r="L1748" s="316" t="str">
        <f t="shared" si="43"/>
        <v>Gasoline</v>
      </c>
      <c r="M1748" s="194"/>
      <c r="N1748" s="317"/>
      <c r="O1748" s="317"/>
      <c r="P1748" s="317"/>
      <c r="Q1748" s="317"/>
      <c r="R1748" s="317"/>
      <c r="S1748" s="317"/>
      <c r="T1748" s="317"/>
      <c r="U1748" s="317"/>
      <c r="V1748" s="317"/>
      <c r="W1748" s="317"/>
      <c r="X1748" s="317"/>
      <c r="Y1748" s="317"/>
      <c r="Z1748" s="317"/>
    </row>
    <row r="1749" spans="1:26" x14ac:dyDescent="0.25">
      <c r="A1749" s="314"/>
      <c r="B1749" s="18">
        <v>2023</v>
      </c>
      <c r="C1749" s="18" t="s">
        <v>792</v>
      </c>
      <c r="D1749" s="18" t="s">
        <v>968</v>
      </c>
      <c r="E1749" s="18" t="s">
        <v>703</v>
      </c>
      <c r="F1749" s="18" t="s">
        <v>704</v>
      </c>
      <c r="G1749" s="18" t="s">
        <v>675</v>
      </c>
      <c r="H1749" s="18" t="s">
        <v>969</v>
      </c>
      <c r="I1749" s="315">
        <v>87.923015548078993</v>
      </c>
      <c r="J1749" s="315">
        <v>2.8320583365049924E-2</v>
      </c>
      <c r="K1749" s="316" t="str">
        <f t="shared" si="42"/>
        <v>Industrial Equipment</v>
      </c>
      <c r="L1749" s="316" t="str">
        <f t="shared" si="43"/>
        <v>Gasoline</v>
      </c>
      <c r="M1749" s="194"/>
      <c r="N1749" s="317"/>
      <c r="O1749" s="317"/>
      <c r="P1749" s="317"/>
      <c r="Q1749" s="317"/>
      <c r="R1749" s="317"/>
      <c r="S1749" s="317"/>
      <c r="T1749" s="317"/>
      <c r="U1749" s="317"/>
      <c r="V1749" s="317"/>
      <c r="W1749" s="317"/>
      <c r="X1749" s="317"/>
      <c r="Y1749" s="317"/>
      <c r="Z1749" s="317"/>
    </row>
    <row r="1750" spans="1:26" x14ac:dyDescent="0.25">
      <c r="A1750" s="314"/>
      <c r="B1750" s="18">
        <v>2023</v>
      </c>
      <c r="C1750" s="18" t="s">
        <v>792</v>
      </c>
      <c r="D1750" s="18" t="s">
        <v>1021</v>
      </c>
      <c r="E1750" s="18" t="s">
        <v>703</v>
      </c>
      <c r="F1750" s="18" t="s">
        <v>704</v>
      </c>
      <c r="G1750" s="18" t="s">
        <v>679</v>
      </c>
      <c r="H1750" s="18" t="s">
        <v>983</v>
      </c>
      <c r="I1750" s="315">
        <v>87.892115187103457</v>
      </c>
      <c r="J1750" s="315">
        <v>0.12030535310917712</v>
      </c>
      <c r="K1750" s="316" t="str">
        <f t="shared" si="42"/>
        <v>Recreational Equipment</v>
      </c>
      <c r="L1750" s="316" t="str">
        <f t="shared" si="43"/>
        <v>Gasoline</v>
      </c>
      <c r="M1750" s="194"/>
      <c r="N1750" s="317"/>
      <c r="O1750" s="317"/>
      <c r="P1750" s="317"/>
      <c r="Q1750" s="317"/>
      <c r="R1750" s="317"/>
      <c r="S1750" s="317"/>
      <c r="T1750" s="317"/>
      <c r="U1750" s="317"/>
      <c r="V1750" s="317"/>
      <c r="W1750" s="317"/>
      <c r="X1750" s="317"/>
      <c r="Y1750" s="317"/>
      <c r="Z1750" s="317"/>
    </row>
    <row r="1751" spans="1:26" x14ac:dyDescent="0.25">
      <c r="A1751" s="314"/>
      <c r="B1751" s="18">
        <v>2023</v>
      </c>
      <c r="C1751" s="18" t="s">
        <v>706</v>
      </c>
      <c r="D1751" s="18" t="s">
        <v>1021</v>
      </c>
      <c r="E1751" s="18" t="s">
        <v>703</v>
      </c>
      <c r="F1751" s="18" t="s">
        <v>704</v>
      </c>
      <c r="G1751" s="18" t="s">
        <v>679</v>
      </c>
      <c r="H1751" s="18" t="s">
        <v>983</v>
      </c>
      <c r="I1751" s="315">
        <v>87.892115187103457</v>
      </c>
      <c r="J1751" s="315">
        <v>0.11976319740607941</v>
      </c>
      <c r="K1751" s="316" t="str">
        <f t="shared" si="42"/>
        <v>Recreational Equipment</v>
      </c>
      <c r="L1751" s="316" t="str">
        <f t="shared" si="43"/>
        <v>Gasoline</v>
      </c>
      <c r="M1751" s="194"/>
      <c r="N1751" s="317"/>
      <c r="O1751" s="317"/>
      <c r="P1751" s="317"/>
      <c r="Q1751" s="317"/>
      <c r="R1751" s="317"/>
      <c r="S1751" s="317"/>
      <c r="T1751" s="317"/>
      <c r="U1751" s="317"/>
      <c r="V1751" s="317"/>
      <c r="W1751" s="317"/>
      <c r="X1751" s="317"/>
      <c r="Y1751" s="317"/>
      <c r="Z1751" s="317"/>
    </row>
    <row r="1752" spans="1:26" x14ac:dyDescent="0.25">
      <c r="A1752" s="314"/>
      <c r="B1752" s="18">
        <v>2023</v>
      </c>
      <c r="C1752" s="18" t="s">
        <v>781</v>
      </c>
      <c r="D1752" s="18" t="s">
        <v>1021</v>
      </c>
      <c r="E1752" s="18" t="s">
        <v>703</v>
      </c>
      <c r="F1752" s="18" t="s">
        <v>704</v>
      </c>
      <c r="G1752" s="18" t="s">
        <v>679</v>
      </c>
      <c r="H1752" s="18" t="s">
        <v>983</v>
      </c>
      <c r="I1752" s="315">
        <v>87.892115187103457</v>
      </c>
      <c r="J1752" s="315">
        <v>0.11952999954266431</v>
      </c>
      <c r="K1752" s="316" t="str">
        <f t="shared" si="42"/>
        <v>Recreational Equipment</v>
      </c>
      <c r="L1752" s="316" t="str">
        <f t="shared" si="43"/>
        <v>Gasoline</v>
      </c>
      <c r="M1752" s="194"/>
      <c r="N1752" s="317"/>
      <c r="O1752" s="317"/>
      <c r="P1752" s="317"/>
      <c r="Q1752" s="317"/>
      <c r="R1752" s="317"/>
      <c r="S1752" s="317"/>
      <c r="T1752" s="317"/>
      <c r="U1752" s="317"/>
      <c r="V1752" s="317"/>
      <c r="W1752" s="317"/>
      <c r="X1752" s="317"/>
      <c r="Y1752" s="317"/>
      <c r="Z1752" s="317"/>
    </row>
    <row r="1753" spans="1:26" x14ac:dyDescent="0.25">
      <c r="A1753" s="314"/>
      <c r="B1753" s="18">
        <v>2023</v>
      </c>
      <c r="C1753" s="18" t="s">
        <v>754</v>
      </c>
      <c r="D1753" s="18" t="s">
        <v>1021</v>
      </c>
      <c r="E1753" s="18" t="s">
        <v>703</v>
      </c>
      <c r="F1753" s="18" t="s">
        <v>704</v>
      </c>
      <c r="G1753" s="18" t="s">
        <v>679</v>
      </c>
      <c r="H1753" s="18" t="s">
        <v>983</v>
      </c>
      <c r="I1753" s="315">
        <v>87.892115187103457</v>
      </c>
      <c r="J1753" s="315">
        <v>0.11996017447972035</v>
      </c>
      <c r="K1753" s="316" t="str">
        <f t="shared" si="42"/>
        <v>Recreational Equipment</v>
      </c>
      <c r="L1753" s="316" t="str">
        <f t="shared" si="43"/>
        <v>Gasoline</v>
      </c>
      <c r="M1753" s="194"/>
      <c r="N1753" s="317"/>
      <c r="O1753" s="317"/>
      <c r="P1753" s="317"/>
      <c r="Q1753" s="317"/>
      <c r="R1753" s="317"/>
      <c r="S1753" s="317"/>
      <c r="T1753" s="317"/>
      <c r="U1753" s="317"/>
      <c r="V1753" s="317"/>
      <c r="W1753" s="317"/>
      <c r="X1753" s="317"/>
      <c r="Y1753" s="317"/>
      <c r="Z1753" s="317"/>
    </row>
    <row r="1754" spans="1:26" x14ac:dyDescent="0.25">
      <c r="A1754" s="314"/>
      <c r="B1754" s="18">
        <v>2023</v>
      </c>
      <c r="C1754" s="18" t="s">
        <v>778</v>
      </c>
      <c r="D1754" s="18" t="s">
        <v>1021</v>
      </c>
      <c r="E1754" s="18" t="s">
        <v>703</v>
      </c>
      <c r="F1754" s="18" t="s">
        <v>704</v>
      </c>
      <c r="G1754" s="18" t="s">
        <v>679</v>
      </c>
      <c r="H1754" s="18" t="s">
        <v>983</v>
      </c>
      <c r="I1754" s="315">
        <v>87.892115187103457</v>
      </c>
      <c r="J1754" s="315">
        <v>0.11955249234658753</v>
      </c>
      <c r="K1754" s="316" t="str">
        <f t="shared" si="42"/>
        <v>Recreational Equipment</v>
      </c>
      <c r="L1754" s="316" t="str">
        <f t="shared" si="43"/>
        <v>Gasoline</v>
      </c>
      <c r="M1754" s="194"/>
      <c r="N1754" s="317"/>
      <c r="O1754" s="317"/>
      <c r="P1754" s="317"/>
      <c r="Q1754" s="317"/>
      <c r="R1754" s="317"/>
      <c r="S1754" s="317"/>
      <c r="T1754" s="317"/>
      <c r="U1754" s="317"/>
      <c r="V1754" s="317"/>
      <c r="W1754" s="317"/>
      <c r="X1754" s="317"/>
      <c r="Y1754" s="317"/>
      <c r="Z1754" s="317"/>
    </row>
    <row r="1755" spans="1:26" x14ac:dyDescent="0.25">
      <c r="A1755" s="314"/>
      <c r="B1755" s="18">
        <v>2023</v>
      </c>
      <c r="C1755" s="18" t="s">
        <v>732</v>
      </c>
      <c r="D1755" s="18" t="s">
        <v>1021</v>
      </c>
      <c r="E1755" s="18" t="s">
        <v>703</v>
      </c>
      <c r="F1755" s="18" t="s">
        <v>704</v>
      </c>
      <c r="G1755" s="18" t="s">
        <v>679</v>
      </c>
      <c r="H1755" s="18" t="s">
        <v>983</v>
      </c>
      <c r="I1755" s="315">
        <v>87.892115187103457</v>
      </c>
      <c r="J1755" s="315">
        <v>0.12000409810205197</v>
      </c>
      <c r="K1755" s="316" t="str">
        <f t="shared" si="42"/>
        <v>Recreational Equipment</v>
      </c>
      <c r="L1755" s="316" t="str">
        <f t="shared" si="43"/>
        <v>Gasoline</v>
      </c>
      <c r="M1755" s="194"/>
      <c r="N1755" s="317"/>
      <c r="O1755" s="317"/>
      <c r="P1755" s="317"/>
      <c r="Q1755" s="317"/>
      <c r="R1755" s="317"/>
      <c r="S1755" s="317"/>
      <c r="T1755" s="317"/>
      <c r="U1755" s="317"/>
      <c r="V1755" s="317"/>
      <c r="W1755" s="317"/>
      <c r="X1755" s="317"/>
      <c r="Y1755" s="317"/>
      <c r="Z1755" s="317"/>
    </row>
    <row r="1756" spans="1:26" x14ac:dyDescent="0.25">
      <c r="A1756" s="314"/>
      <c r="B1756" s="18">
        <v>2023</v>
      </c>
      <c r="C1756" s="18" t="s">
        <v>810</v>
      </c>
      <c r="D1756" s="18" t="s">
        <v>1021</v>
      </c>
      <c r="E1756" s="18" t="s">
        <v>703</v>
      </c>
      <c r="F1756" s="18" t="s">
        <v>704</v>
      </c>
      <c r="G1756" s="18" t="s">
        <v>679</v>
      </c>
      <c r="H1756" s="18" t="s">
        <v>983</v>
      </c>
      <c r="I1756" s="315">
        <v>87.892115187103457</v>
      </c>
      <c r="J1756" s="315">
        <v>0.12098311424617779</v>
      </c>
      <c r="K1756" s="316" t="str">
        <f t="shared" si="42"/>
        <v>Recreational Equipment</v>
      </c>
      <c r="L1756" s="316" t="str">
        <f t="shared" si="43"/>
        <v>Gasoline</v>
      </c>
      <c r="M1756" s="194"/>
      <c r="N1756" s="317"/>
      <c r="O1756" s="317"/>
      <c r="P1756" s="317"/>
      <c r="Q1756" s="317"/>
      <c r="R1756" s="317"/>
      <c r="S1756" s="317"/>
      <c r="T1756" s="317"/>
      <c r="U1756" s="317"/>
      <c r="V1756" s="317"/>
      <c r="W1756" s="317"/>
      <c r="X1756" s="317"/>
      <c r="Y1756" s="317"/>
      <c r="Z1756" s="317"/>
    </row>
    <row r="1757" spans="1:26" x14ac:dyDescent="0.25">
      <c r="A1757" s="314"/>
      <c r="B1757" s="18">
        <v>2023</v>
      </c>
      <c r="C1757" s="18" t="s">
        <v>786</v>
      </c>
      <c r="D1757" s="18" t="s">
        <v>1021</v>
      </c>
      <c r="E1757" s="18" t="s">
        <v>703</v>
      </c>
      <c r="F1757" s="18" t="s">
        <v>704</v>
      </c>
      <c r="G1757" s="18" t="s">
        <v>679</v>
      </c>
      <c r="H1757" s="18" t="s">
        <v>983</v>
      </c>
      <c r="I1757" s="315">
        <v>87.892115187103457</v>
      </c>
      <c r="J1757" s="315">
        <v>0.11968062478394548</v>
      </c>
      <c r="K1757" s="316" t="str">
        <f t="shared" si="42"/>
        <v>Recreational Equipment</v>
      </c>
      <c r="L1757" s="316" t="str">
        <f t="shared" si="43"/>
        <v>Gasoline</v>
      </c>
      <c r="M1757" s="194"/>
      <c r="N1757" s="317"/>
      <c r="O1757" s="317"/>
      <c r="P1757" s="317"/>
      <c r="Q1757" s="317"/>
      <c r="R1757" s="317"/>
      <c r="S1757" s="317"/>
      <c r="T1757" s="317"/>
      <c r="U1757" s="317"/>
      <c r="V1757" s="317"/>
      <c r="W1757" s="317"/>
      <c r="X1757" s="317"/>
      <c r="Y1757" s="317"/>
      <c r="Z1757" s="317"/>
    </row>
    <row r="1758" spans="1:26" x14ac:dyDescent="0.25">
      <c r="A1758" s="314"/>
      <c r="B1758" s="18">
        <v>2023</v>
      </c>
      <c r="C1758" s="18" t="s">
        <v>709</v>
      </c>
      <c r="D1758" s="18" t="s">
        <v>1021</v>
      </c>
      <c r="E1758" s="18" t="s">
        <v>703</v>
      </c>
      <c r="F1758" s="18" t="s">
        <v>704</v>
      </c>
      <c r="G1758" s="18" t="s">
        <v>679</v>
      </c>
      <c r="H1758" s="18" t="s">
        <v>983</v>
      </c>
      <c r="I1758" s="315">
        <v>87.892115187103457</v>
      </c>
      <c r="J1758" s="315">
        <v>0.11963945309653583</v>
      </c>
      <c r="K1758" s="316" t="str">
        <f t="shared" si="42"/>
        <v>Recreational Equipment</v>
      </c>
      <c r="L1758" s="316" t="str">
        <f t="shared" si="43"/>
        <v>Gasoline</v>
      </c>
      <c r="M1758" s="194"/>
      <c r="N1758" s="317"/>
      <c r="O1758" s="317"/>
      <c r="P1758" s="317"/>
      <c r="Q1758" s="317"/>
      <c r="R1758" s="317"/>
      <c r="S1758" s="317"/>
      <c r="T1758" s="317"/>
      <c r="U1758" s="317"/>
      <c r="V1758" s="317"/>
      <c r="W1758" s="317"/>
      <c r="X1758" s="317"/>
      <c r="Y1758" s="317"/>
      <c r="Z1758" s="317"/>
    </row>
    <row r="1759" spans="1:26" x14ac:dyDescent="0.25">
      <c r="A1759" s="314"/>
      <c r="B1759" s="18">
        <v>2023</v>
      </c>
      <c r="C1759" s="18" t="s">
        <v>743</v>
      </c>
      <c r="D1759" s="18" t="s">
        <v>1021</v>
      </c>
      <c r="E1759" s="18" t="s">
        <v>703</v>
      </c>
      <c r="F1759" s="18" t="s">
        <v>704</v>
      </c>
      <c r="G1759" s="18" t="s">
        <v>679</v>
      </c>
      <c r="H1759" s="18" t="s">
        <v>983</v>
      </c>
      <c r="I1759" s="315">
        <v>87.892115187103457</v>
      </c>
      <c r="J1759" s="315">
        <v>0.12009151856607486</v>
      </c>
      <c r="K1759" s="316" t="str">
        <f t="shared" si="42"/>
        <v>Recreational Equipment</v>
      </c>
      <c r="L1759" s="316" t="str">
        <f t="shared" si="43"/>
        <v>Gasoline</v>
      </c>
      <c r="M1759" s="194"/>
      <c r="N1759" s="317"/>
      <c r="O1759" s="317"/>
      <c r="P1759" s="317"/>
      <c r="Q1759" s="317"/>
      <c r="R1759" s="317"/>
      <c r="S1759" s="317"/>
      <c r="T1759" s="317"/>
      <c r="U1759" s="317"/>
      <c r="V1759" s="317"/>
      <c r="W1759" s="317"/>
      <c r="X1759" s="317"/>
      <c r="Y1759" s="317"/>
      <c r="Z1759" s="317"/>
    </row>
    <row r="1760" spans="1:26" x14ac:dyDescent="0.25">
      <c r="A1760" s="314"/>
      <c r="B1760" s="18">
        <v>2023</v>
      </c>
      <c r="C1760" s="18" t="s">
        <v>773</v>
      </c>
      <c r="D1760" s="18" t="s">
        <v>1021</v>
      </c>
      <c r="E1760" s="18" t="s">
        <v>703</v>
      </c>
      <c r="F1760" s="18" t="s">
        <v>704</v>
      </c>
      <c r="G1760" s="18" t="s">
        <v>679</v>
      </c>
      <c r="H1760" s="18" t="s">
        <v>983</v>
      </c>
      <c r="I1760" s="315">
        <v>87.892115187103457</v>
      </c>
      <c r="J1760" s="315">
        <v>0.11929616418686333</v>
      </c>
      <c r="K1760" s="316" t="str">
        <f t="shared" si="42"/>
        <v>Recreational Equipment</v>
      </c>
      <c r="L1760" s="316" t="str">
        <f t="shared" si="43"/>
        <v>Gasoline</v>
      </c>
      <c r="M1760" s="194"/>
      <c r="N1760" s="317"/>
      <c r="O1760" s="317"/>
      <c r="P1760" s="317"/>
      <c r="Q1760" s="317"/>
      <c r="R1760" s="317"/>
      <c r="S1760" s="317"/>
      <c r="T1760" s="317"/>
      <c r="U1760" s="317"/>
      <c r="V1760" s="317"/>
      <c r="W1760" s="317"/>
      <c r="X1760" s="317"/>
      <c r="Y1760" s="317"/>
      <c r="Z1760" s="317"/>
    </row>
    <row r="1761" spans="1:26" x14ac:dyDescent="0.25">
      <c r="A1761" s="314"/>
      <c r="B1761" s="18">
        <v>2023</v>
      </c>
      <c r="C1761" s="18" t="s">
        <v>786</v>
      </c>
      <c r="D1761" s="18" t="s">
        <v>835</v>
      </c>
      <c r="E1761" s="18" t="s">
        <v>703</v>
      </c>
      <c r="F1761" s="18" t="s">
        <v>704</v>
      </c>
      <c r="G1761" s="18" t="s">
        <v>677</v>
      </c>
      <c r="H1761" s="18" t="s">
        <v>836</v>
      </c>
      <c r="I1761" s="315">
        <v>87.64778935765608</v>
      </c>
      <c r="J1761" s="315">
        <v>5.4489092430180082E-2</v>
      </c>
      <c r="K1761" s="316" t="str">
        <f t="shared" si="42"/>
        <v>Commercial Equipment</v>
      </c>
      <c r="L1761" s="316" t="str">
        <f t="shared" si="43"/>
        <v>Gasoline</v>
      </c>
      <c r="M1761" s="194"/>
      <c r="N1761" s="317"/>
      <c r="O1761" s="317"/>
      <c r="P1761" s="317"/>
      <c r="Q1761" s="317"/>
      <c r="R1761" s="317"/>
      <c r="S1761" s="317"/>
      <c r="T1761" s="317"/>
      <c r="U1761" s="317"/>
      <c r="V1761" s="317"/>
      <c r="W1761" s="317"/>
      <c r="X1761" s="317"/>
      <c r="Y1761" s="317"/>
      <c r="Z1761" s="317"/>
    </row>
    <row r="1762" spans="1:26" x14ac:dyDescent="0.25">
      <c r="A1762" s="314"/>
      <c r="B1762" s="18">
        <v>2023</v>
      </c>
      <c r="C1762" s="18" t="s">
        <v>787</v>
      </c>
      <c r="D1762" s="18" t="s">
        <v>958</v>
      </c>
      <c r="E1762" s="18" t="s">
        <v>713</v>
      </c>
      <c r="F1762" s="18" t="s">
        <v>714</v>
      </c>
      <c r="G1762" s="18" t="s">
        <v>674</v>
      </c>
      <c r="H1762" s="18" t="s">
        <v>959</v>
      </c>
      <c r="I1762" s="315">
        <v>87.607178004338991</v>
      </c>
      <c r="J1762" s="315">
        <v>7.7931140778142829E-4</v>
      </c>
      <c r="K1762" s="316" t="str">
        <f t="shared" si="42"/>
        <v>Construction and Mining Equipment</v>
      </c>
      <c r="L1762" s="316" t="str">
        <f t="shared" si="43"/>
        <v>Diesel</v>
      </c>
      <c r="M1762" s="194"/>
      <c r="N1762" s="317"/>
      <c r="O1762" s="317"/>
      <c r="P1762" s="317"/>
      <c r="Q1762" s="317"/>
      <c r="R1762" s="317"/>
      <c r="S1762" s="317"/>
      <c r="T1762" s="317"/>
      <c r="U1762" s="317"/>
      <c r="V1762" s="317"/>
      <c r="W1762" s="317"/>
      <c r="X1762" s="317"/>
      <c r="Y1762" s="317"/>
      <c r="Z1762" s="317"/>
    </row>
    <row r="1763" spans="1:26" x14ac:dyDescent="0.25">
      <c r="A1763" s="314"/>
      <c r="B1763" s="18">
        <v>2023</v>
      </c>
      <c r="C1763" s="18" t="s">
        <v>793</v>
      </c>
      <c r="D1763" s="18" t="s">
        <v>830</v>
      </c>
      <c r="E1763" s="18" t="s">
        <v>703</v>
      </c>
      <c r="F1763" s="18" t="s">
        <v>704</v>
      </c>
      <c r="G1763" s="18" t="s">
        <v>673</v>
      </c>
      <c r="H1763" s="18" t="s">
        <v>742</v>
      </c>
      <c r="I1763" s="315">
        <v>87.579495272856448</v>
      </c>
      <c r="J1763" s="315">
        <v>3.8080189738312002E-2</v>
      </c>
      <c r="K1763" s="316" t="str">
        <f t="shared" si="42"/>
        <v>Lawn and Garden Equipment</v>
      </c>
      <c r="L1763" s="316" t="str">
        <f t="shared" si="43"/>
        <v>Gasoline</v>
      </c>
      <c r="M1763" s="194"/>
      <c r="N1763" s="317"/>
      <c r="O1763" s="317"/>
      <c r="P1763" s="317"/>
      <c r="Q1763" s="317"/>
      <c r="R1763" s="317"/>
      <c r="S1763" s="317"/>
      <c r="T1763" s="317"/>
      <c r="U1763" s="317"/>
      <c r="V1763" s="317"/>
      <c r="W1763" s="317"/>
      <c r="X1763" s="317"/>
      <c r="Y1763" s="317"/>
      <c r="Z1763" s="317"/>
    </row>
    <row r="1764" spans="1:26" x14ac:dyDescent="0.25">
      <c r="A1764" s="314"/>
      <c r="B1764" s="18">
        <v>2023</v>
      </c>
      <c r="C1764" s="18" t="s">
        <v>810</v>
      </c>
      <c r="D1764" s="18" t="s">
        <v>839</v>
      </c>
      <c r="E1764" s="18" t="s">
        <v>703</v>
      </c>
      <c r="F1764" s="18" t="s">
        <v>704</v>
      </c>
      <c r="G1764" s="18" t="s">
        <v>675</v>
      </c>
      <c r="H1764" s="18" t="s">
        <v>708</v>
      </c>
      <c r="I1764" s="315">
        <v>87.490126873165892</v>
      </c>
      <c r="J1764" s="315">
        <v>6.099747645063938E-3</v>
      </c>
      <c r="K1764" s="316" t="str">
        <f t="shared" si="42"/>
        <v>Industrial Equipment</v>
      </c>
      <c r="L1764" s="316" t="str">
        <f t="shared" si="43"/>
        <v>Gasoline</v>
      </c>
      <c r="M1764" s="194"/>
      <c r="N1764" s="317"/>
      <c r="O1764" s="317"/>
      <c r="P1764" s="317"/>
      <c r="Q1764" s="317"/>
      <c r="R1764" s="317"/>
      <c r="S1764" s="317"/>
      <c r="T1764" s="317"/>
      <c r="U1764" s="317"/>
      <c r="V1764" s="317"/>
      <c r="W1764" s="317"/>
      <c r="X1764" s="317"/>
      <c r="Y1764" s="317"/>
      <c r="Z1764" s="317"/>
    </row>
    <row r="1765" spans="1:26" x14ac:dyDescent="0.25">
      <c r="A1765" s="314"/>
      <c r="B1765" s="18">
        <v>2023</v>
      </c>
      <c r="C1765" s="18" t="s">
        <v>750</v>
      </c>
      <c r="D1765" s="18" t="s">
        <v>846</v>
      </c>
      <c r="E1765" s="18" t="s">
        <v>713</v>
      </c>
      <c r="F1765" s="18" t="s">
        <v>714</v>
      </c>
      <c r="G1765" s="18" t="s">
        <v>677</v>
      </c>
      <c r="H1765" s="18" t="s">
        <v>836</v>
      </c>
      <c r="I1765" s="315">
        <v>87.245767604071489</v>
      </c>
      <c r="J1765" s="315">
        <v>3.3736780024413715E-3</v>
      </c>
      <c r="K1765" s="316" t="str">
        <f t="shared" si="42"/>
        <v>Commercial Equipment</v>
      </c>
      <c r="L1765" s="316" t="str">
        <f t="shared" si="43"/>
        <v>Diesel</v>
      </c>
      <c r="M1765" s="194"/>
      <c r="N1765" s="317"/>
      <c r="O1765" s="317"/>
      <c r="P1765" s="317"/>
      <c r="Q1765" s="317"/>
      <c r="R1765" s="317"/>
      <c r="S1765" s="317"/>
      <c r="T1765" s="317"/>
      <c r="U1765" s="317"/>
      <c r="V1765" s="317"/>
      <c r="W1765" s="317"/>
      <c r="X1765" s="317"/>
      <c r="Y1765" s="317"/>
      <c r="Z1765" s="317"/>
    </row>
    <row r="1766" spans="1:26" x14ac:dyDescent="0.25">
      <c r="A1766" s="314"/>
      <c r="B1766" s="18">
        <v>2023</v>
      </c>
      <c r="C1766" s="18" t="s">
        <v>762</v>
      </c>
      <c r="D1766" s="18" t="s">
        <v>855</v>
      </c>
      <c r="E1766" s="18" t="s">
        <v>713</v>
      </c>
      <c r="F1766" s="18" t="s">
        <v>714</v>
      </c>
      <c r="G1766" s="18" t="s">
        <v>674</v>
      </c>
      <c r="H1766" s="18" t="s">
        <v>856</v>
      </c>
      <c r="I1766" s="315">
        <v>87.093648643163903</v>
      </c>
      <c r="J1766" s="315">
        <v>5.5033579226573587E-4</v>
      </c>
      <c r="K1766" s="316" t="str">
        <f t="shared" si="42"/>
        <v>Construction and Mining Equipment</v>
      </c>
      <c r="L1766" s="316" t="str">
        <f t="shared" si="43"/>
        <v>Diesel</v>
      </c>
      <c r="M1766" s="194"/>
      <c r="N1766" s="317"/>
      <c r="O1766" s="317"/>
      <c r="P1766" s="317"/>
      <c r="Q1766" s="317"/>
      <c r="R1766" s="317"/>
      <c r="S1766" s="317"/>
      <c r="T1766" s="317"/>
      <c r="U1766" s="317"/>
      <c r="V1766" s="317"/>
      <c r="W1766" s="317"/>
      <c r="X1766" s="317"/>
      <c r="Y1766" s="317"/>
      <c r="Z1766" s="317"/>
    </row>
    <row r="1767" spans="1:26" x14ac:dyDescent="0.25">
      <c r="A1767" s="314"/>
      <c r="B1767" s="18">
        <v>2023</v>
      </c>
      <c r="C1767" s="18" t="s">
        <v>701</v>
      </c>
      <c r="D1767" s="18" t="s">
        <v>1077</v>
      </c>
      <c r="E1767" s="18" t="s">
        <v>713</v>
      </c>
      <c r="F1767" s="18" t="s">
        <v>714</v>
      </c>
      <c r="G1767" s="18" t="s">
        <v>675</v>
      </c>
      <c r="H1767" s="18" t="s">
        <v>1078</v>
      </c>
      <c r="I1767" s="315">
        <v>86.936198904756736</v>
      </c>
      <c r="J1767" s="315">
        <v>2.2046384780547933E-3</v>
      </c>
      <c r="K1767" s="316" t="str">
        <f t="shared" si="42"/>
        <v>Industrial Equipment</v>
      </c>
      <c r="L1767" s="316" t="str">
        <f t="shared" si="43"/>
        <v>Diesel</v>
      </c>
      <c r="M1767" s="194"/>
      <c r="N1767" s="317"/>
      <c r="O1767" s="317"/>
      <c r="P1767" s="317"/>
      <c r="Q1767" s="317"/>
      <c r="R1767" s="317"/>
      <c r="S1767" s="317"/>
      <c r="T1767" s="317"/>
      <c r="U1767" s="317"/>
      <c r="V1767" s="317"/>
      <c r="W1767" s="317"/>
      <c r="X1767" s="317"/>
      <c r="Y1767" s="317"/>
      <c r="Z1767" s="317"/>
    </row>
    <row r="1768" spans="1:26" x14ac:dyDescent="0.25">
      <c r="A1768" s="314"/>
      <c r="B1768" s="18">
        <v>2023</v>
      </c>
      <c r="C1768" s="18" t="s">
        <v>810</v>
      </c>
      <c r="D1768" s="18" t="s">
        <v>840</v>
      </c>
      <c r="E1768" s="18" t="s">
        <v>703</v>
      </c>
      <c r="F1768" s="18" t="s">
        <v>704</v>
      </c>
      <c r="G1768" s="18" t="s">
        <v>677</v>
      </c>
      <c r="H1768" s="18" t="s">
        <v>841</v>
      </c>
      <c r="I1768" s="315">
        <v>86.871879039764281</v>
      </c>
      <c r="J1768" s="315">
        <v>5.797765338659696E-2</v>
      </c>
      <c r="K1768" s="316" t="str">
        <f t="shared" si="42"/>
        <v>Commercial Equipment</v>
      </c>
      <c r="L1768" s="316" t="str">
        <f t="shared" si="43"/>
        <v>Gasoline</v>
      </c>
      <c r="M1768" s="194"/>
      <c r="N1768" s="317"/>
      <c r="O1768" s="317"/>
      <c r="P1768" s="317"/>
      <c r="Q1768" s="317"/>
      <c r="R1768" s="317"/>
      <c r="S1768" s="317"/>
      <c r="T1768" s="317"/>
      <c r="U1768" s="317"/>
      <c r="V1768" s="317"/>
      <c r="W1768" s="317"/>
      <c r="X1768" s="317"/>
      <c r="Y1768" s="317"/>
      <c r="Z1768" s="317"/>
    </row>
    <row r="1769" spans="1:26" x14ac:dyDescent="0.25">
      <c r="A1769" s="314"/>
      <c r="B1769" s="18">
        <v>2023</v>
      </c>
      <c r="C1769" s="18" t="s">
        <v>711</v>
      </c>
      <c r="D1769" s="18" t="s">
        <v>1075</v>
      </c>
      <c r="E1769" s="18" t="s">
        <v>56</v>
      </c>
      <c r="F1769" s="18" t="s">
        <v>672</v>
      </c>
      <c r="G1769" s="18" t="s">
        <v>675</v>
      </c>
      <c r="H1769" s="18" t="s">
        <v>772</v>
      </c>
      <c r="I1769" s="315">
        <v>86.83540025155186</v>
      </c>
      <c r="J1769" s="315">
        <v>4.000481088301349E-3</v>
      </c>
      <c r="K1769" s="316" t="str">
        <f t="shared" si="42"/>
        <v>Industrial Equipment</v>
      </c>
      <c r="L1769" s="316" t="str">
        <f t="shared" si="43"/>
        <v>LPG</v>
      </c>
      <c r="M1769" s="194"/>
      <c r="N1769" s="317"/>
      <c r="O1769" s="317"/>
      <c r="P1769" s="317"/>
      <c r="Q1769" s="317"/>
      <c r="R1769" s="317"/>
      <c r="S1769" s="317"/>
      <c r="T1769" s="317"/>
      <c r="U1769" s="317"/>
      <c r="V1769" s="317"/>
      <c r="W1769" s="317"/>
      <c r="X1769" s="317"/>
      <c r="Y1769" s="317"/>
      <c r="Z1769" s="317"/>
    </row>
    <row r="1770" spans="1:26" x14ac:dyDescent="0.25">
      <c r="A1770" s="314"/>
      <c r="B1770" s="18">
        <v>2023</v>
      </c>
      <c r="C1770" s="18" t="s">
        <v>787</v>
      </c>
      <c r="D1770" s="18" t="s">
        <v>968</v>
      </c>
      <c r="E1770" s="18" t="s">
        <v>703</v>
      </c>
      <c r="F1770" s="18" t="s">
        <v>704</v>
      </c>
      <c r="G1770" s="18" t="s">
        <v>675</v>
      </c>
      <c r="H1770" s="18" t="s">
        <v>969</v>
      </c>
      <c r="I1770" s="315">
        <v>86.663998558882298</v>
      </c>
      <c r="J1770" s="315">
        <v>2.7775403618314268E-2</v>
      </c>
      <c r="K1770" s="316" t="str">
        <f t="shared" si="42"/>
        <v>Industrial Equipment</v>
      </c>
      <c r="L1770" s="316" t="str">
        <f t="shared" si="43"/>
        <v>Gasoline</v>
      </c>
      <c r="M1770" s="194"/>
      <c r="N1770" s="317"/>
      <c r="O1770" s="317"/>
      <c r="P1770" s="317"/>
      <c r="Q1770" s="317"/>
      <c r="R1770" s="317"/>
      <c r="S1770" s="317"/>
      <c r="T1770" s="317"/>
      <c r="U1770" s="317"/>
      <c r="V1770" s="317"/>
      <c r="W1770" s="317"/>
      <c r="X1770" s="317"/>
      <c r="Y1770" s="317"/>
      <c r="Z1770" s="317"/>
    </row>
    <row r="1771" spans="1:26" x14ac:dyDescent="0.25">
      <c r="A1771" s="314"/>
      <c r="B1771" s="18">
        <v>2023</v>
      </c>
      <c r="C1771" s="18" t="s">
        <v>754</v>
      </c>
      <c r="D1771" s="18" t="s">
        <v>970</v>
      </c>
      <c r="E1771" s="18" t="s">
        <v>713</v>
      </c>
      <c r="F1771" s="18" t="s">
        <v>714</v>
      </c>
      <c r="G1771" s="18" t="s">
        <v>675</v>
      </c>
      <c r="H1771" s="18" t="s">
        <v>969</v>
      </c>
      <c r="I1771" s="315">
        <v>86.492139407018698</v>
      </c>
      <c r="J1771" s="315">
        <v>2.8102067474295505E-3</v>
      </c>
      <c r="K1771" s="316" t="str">
        <f t="shared" si="42"/>
        <v>Industrial Equipment</v>
      </c>
      <c r="L1771" s="316" t="str">
        <f t="shared" si="43"/>
        <v>Diesel</v>
      </c>
      <c r="M1771" s="194"/>
      <c r="N1771" s="317"/>
      <c r="O1771" s="317"/>
      <c r="P1771" s="317"/>
      <c r="Q1771" s="317"/>
      <c r="R1771" s="317"/>
      <c r="S1771" s="317"/>
      <c r="T1771" s="317"/>
      <c r="U1771" s="317"/>
      <c r="V1771" s="317"/>
      <c r="W1771" s="317"/>
      <c r="X1771" s="317"/>
      <c r="Y1771" s="317"/>
      <c r="Z1771" s="317"/>
    </row>
    <row r="1772" spans="1:26" x14ac:dyDescent="0.25">
      <c r="A1772" s="314"/>
      <c r="B1772" s="18">
        <v>2023</v>
      </c>
      <c r="C1772" s="18" t="s">
        <v>732</v>
      </c>
      <c r="D1772" s="18" t="s">
        <v>1016</v>
      </c>
      <c r="E1772" s="18" t="s">
        <v>56</v>
      </c>
      <c r="F1772" s="18" t="s">
        <v>672</v>
      </c>
      <c r="G1772" s="18" t="s">
        <v>675</v>
      </c>
      <c r="H1772" s="18" t="s">
        <v>802</v>
      </c>
      <c r="I1772" s="315">
        <v>86.425559803838851</v>
      </c>
      <c r="J1772" s="315">
        <v>3.9650188003639997E-3</v>
      </c>
      <c r="K1772" s="316" t="str">
        <f t="shared" si="42"/>
        <v>Industrial Equipment</v>
      </c>
      <c r="L1772" s="316" t="str">
        <f t="shared" si="43"/>
        <v>LPG</v>
      </c>
      <c r="M1772" s="194"/>
      <c r="N1772" s="317"/>
      <c r="O1772" s="317"/>
      <c r="P1772" s="317"/>
      <c r="Q1772" s="317"/>
      <c r="R1772" s="317"/>
      <c r="S1772" s="317"/>
      <c r="T1772" s="317"/>
      <c r="U1772" s="317"/>
      <c r="V1772" s="317"/>
      <c r="W1772" s="317"/>
      <c r="X1772" s="317"/>
      <c r="Y1772" s="317"/>
      <c r="Z1772" s="317"/>
    </row>
    <row r="1773" spans="1:26" x14ac:dyDescent="0.25">
      <c r="A1773" s="314"/>
      <c r="B1773" s="18">
        <v>2023</v>
      </c>
      <c r="C1773" s="18" t="s">
        <v>753</v>
      </c>
      <c r="D1773" s="18" t="s">
        <v>1079</v>
      </c>
      <c r="E1773" s="18" t="s">
        <v>713</v>
      </c>
      <c r="F1773" s="18" t="s">
        <v>714</v>
      </c>
      <c r="G1773" s="18" t="s">
        <v>678</v>
      </c>
      <c r="H1773" s="18" t="s">
        <v>1080</v>
      </c>
      <c r="I1773" s="315">
        <v>86.411358860703217</v>
      </c>
      <c r="J1773" s="315">
        <v>6.271230813930254E-4</v>
      </c>
      <c r="K1773" s="316" t="str">
        <f t="shared" si="42"/>
        <v>Agricultural Equipment</v>
      </c>
      <c r="L1773" s="316" t="str">
        <f t="shared" si="43"/>
        <v>Diesel</v>
      </c>
      <c r="M1773" s="194"/>
      <c r="N1773" s="317"/>
      <c r="O1773" s="317"/>
      <c r="P1773" s="317"/>
      <c r="Q1773" s="317"/>
      <c r="R1773" s="317"/>
      <c r="S1773" s="317"/>
      <c r="T1773" s="317"/>
      <c r="U1773" s="317"/>
      <c r="V1773" s="317"/>
      <c r="W1773" s="317"/>
      <c r="X1773" s="317"/>
      <c r="Y1773" s="317"/>
      <c r="Z1773" s="317"/>
    </row>
    <row r="1774" spans="1:26" x14ac:dyDescent="0.25">
      <c r="A1774" s="314"/>
      <c r="B1774" s="18">
        <v>2023</v>
      </c>
      <c r="C1774" s="18" t="s">
        <v>732</v>
      </c>
      <c r="D1774" s="18" t="s">
        <v>993</v>
      </c>
      <c r="E1774" s="18" t="s">
        <v>703</v>
      </c>
      <c r="F1774" s="18" t="s">
        <v>704</v>
      </c>
      <c r="G1774" s="18" t="s">
        <v>674</v>
      </c>
      <c r="H1774" s="18" t="s">
        <v>994</v>
      </c>
      <c r="I1774" s="315">
        <v>85.845256832693195</v>
      </c>
      <c r="J1774" s="315">
        <v>5.7509552454677836E-2</v>
      </c>
      <c r="K1774" s="316" t="str">
        <f t="shared" si="42"/>
        <v>Construction and Mining Equipment</v>
      </c>
      <c r="L1774" s="316" t="str">
        <f t="shared" si="43"/>
        <v>Gasoline</v>
      </c>
      <c r="M1774" s="194"/>
      <c r="N1774" s="317"/>
      <c r="O1774" s="317"/>
      <c r="P1774" s="317"/>
      <c r="Q1774" s="317"/>
      <c r="R1774" s="317"/>
      <c r="S1774" s="317"/>
      <c r="T1774" s="317"/>
      <c r="U1774" s="317"/>
      <c r="V1774" s="317"/>
      <c r="W1774" s="317"/>
      <c r="X1774" s="317"/>
      <c r="Y1774" s="317"/>
      <c r="Z1774" s="317"/>
    </row>
    <row r="1775" spans="1:26" x14ac:dyDescent="0.25">
      <c r="A1775" s="314"/>
      <c r="B1775" s="18">
        <v>2023</v>
      </c>
      <c r="C1775" s="18" t="s">
        <v>731</v>
      </c>
      <c r="D1775" s="18" t="s">
        <v>1079</v>
      </c>
      <c r="E1775" s="18" t="s">
        <v>713</v>
      </c>
      <c r="F1775" s="18" t="s">
        <v>714</v>
      </c>
      <c r="G1775" s="18" t="s">
        <v>678</v>
      </c>
      <c r="H1775" s="18" t="s">
        <v>1080</v>
      </c>
      <c r="I1775" s="315">
        <v>85.713329211634033</v>
      </c>
      <c r="J1775" s="315">
        <v>6.2205725553458554E-4</v>
      </c>
      <c r="K1775" s="316" t="str">
        <f t="shared" si="42"/>
        <v>Agricultural Equipment</v>
      </c>
      <c r="L1775" s="316" t="str">
        <f t="shared" si="43"/>
        <v>Diesel</v>
      </c>
      <c r="M1775" s="194"/>
      <c r="N1775" s="317"/>
      <c r="O1775" s="317"/>
      <c r="P1775" s="317"/>
      <c r="Q1775" s="317"/>
      <c r="R1775" s="317"/>
      <c r="S1775" s="317"/>
      <c r="T1775" s="317"/>
      <c r="U1775" s="317"/>
      <c r="V1775" s="317"/>
      <c r="W1775" s="317"/>
      <c r="X1775" s="317"/>
      <c r="Y1775" s="317"/>
      <c r="Z1775" s="317"/>
    </row>
    <row r="1776" spans="1:26" x14ac:dyDescent="0.25">
      <c r="A1776" s="314"/>
      <c r="B1776" s="18">
        <v>2023</v>
      </c>
      <c r="C1776" s="18" t="s">
        <v>760</v>
      </c>
      <c r="D1776" s="18" t="s">
        <v>1006</v>
      </c>
      <c r="E1776" s="18" t="s">
        <v>703</v>
      </c>
      <c r="F1776" s="18" t="s">
        <v>805</v>
      </c>
      <c r="G1776" s="18" t="s">
        <v>674</v>
      </c>
      <c r="H1776" s="18" t="s">
        <v>967</v>
      </c>
      <c r="I1776" s="315">
        <v>85.384179852937109</v>
      </c>
      <c r="J1776" s="315">
        <v>0.1529130984148836</v>
      </c>
      <c r="K1776" s="316" t="str">
        <f t="shared" si="42"/>
        <v>Construction and Mining Equipment</v>
      </c>
      <c r="L1776" s="316" t="str">
        <f t="shared" si="43"/>
        <v>Gasoline</v>
      </c>
      <c r="M1776" s="194"/>
      <c r="N1776" s="317"/>
      <c r="O1776" s="317"/>
      <c r="P1776" s="317"/>
      <c r="Q1776" s="317"/>
      <c r="R1776" s="317"/>
      <c r="S1776" s="317"/>
      <c r="T1776" s="317"/>
      <c r="U1776" s="317"/>
      <c r="V1776" s="317"/>
      <c r="W1776" s="317"/>
      <c r="X1776" s="317"/>
      <c r="Y1776" s="317"/>
      <c r="Z1776" s="317"/>
    </row>
    <row r="1777" spans="1:26" x14ac:dyDescent="0.25">
      <c r="A1777" s="314"/>
      <c r="B1777" s="18">
        <v>2023</v>
      </c>
      <c r="C1777" s="18" t="s">
        <v>792</v>
      </c>
      <c r="D1777" s="18" t="s">
        <v>880</v>
      </c>
      <c r="E1777" s="18" t="s">
        <v>703</v>
      </c>
      <c r="F1777" s="18" t="s">
        <v>704</v>
      </c>
      <c r="G1777" s="18" t="s">
        <v>677</v>
      </c>
      <c r="H1777" s="18" t="s">
        <v>785</v>
      </c>
      <c r="I1777" s="315">
        <v>85.367835883130056</v>
      </c>
      <c r="J1777" s="315">
        <v>4.9522568065202235E-2</v>
      </c>
      <c r="K1777" s="316" t="str">
        <f t="shared" si="42"/>
        <v>Commercial Equipment</v>
      </c>
      <c r="L1777" s="316" t="str">
        <f t="shared" si="43"/>
        <v>Gasoline</v>
      </c>
      <c r="M1777" s="194"/>
      <c r="N1777" s="317"/>
      <c r="O1777" s="317"/>
      <c r="P1777" s="317"/>
      <c r="Q1777" s="317"/>
      <c r="R1777" s="317"/>
      <c r="S1777" s="317"/>
      <c r="T1777" s="317"/>
      <c r="U1777" s="317"/>
      <c r="V1777" s="317"/>
      <c r="W1777" s="317"/>
      <c r="X1777" s="317"/>
      <c r="Y1777" s="317"/>
      <c r="Z1777" s="317"/>
    </row>
    <row r="1778" spans="1:26" x14ac:dyDescent="0.25">
      <c r="A1778" s="314"/>
      <c r="B1778" s="18">
        <v>2023</v>
      </c>
      <c r="C1778" s="18" t="s">
        <v>709</v>
      </c>
      <c r="D1778" s="18" t="s">
        <v>971</v>
      </c>
      <c r="E1778" s="18" t="s">
        <v>713</v>
      </c>
      <c r="F1778" s="18" t="s">
        <v>714</v>
      </c>
      <c r="G1778" s="18" t="s">
        <v>678</v>
      </c>
      <c r="H1778" s="18" t="s">
        <v>972</v>
      </c>
      <c r="I1778" s="315">
        <v>85.23817113710902</v>
      </c>
      <c r="J1778" s="315">
        <v>4.7346932038343518E-4</v>
      </c>
      <c r="K1778" s="316" t="str">
        <f t="shared" si="42"/>
        <v>Agricultural Equipment</v>
      </c>
      <c r="L1778" s="316" t="str">
        <f t="shared" si="43"/>
        <v>Diesel</v>
      </c>
      <c r="M1778" s="194"/>
      <c r="N1778" s="317"/>
      <c r="O1778" s="317"/>
      <c r="P1778" s="317"/>
      <c r="Q1778" s="317"/>
      <c r="R1778" s="317"/>
      <c r="S1778" s="317"/>
      <c r="T1778" s="317"/>
      <c r="U1778" s="317"/>
      <c r="V1778" s="317"/>
      <c r="W1778" s="317"/>
      <c r="X1778" s="317"/>
      <c r="Y1778" s="317"/>
      <c r="Z1778" s="317"/>
    </row>
    <row r="1779" spans="1:26" x14ac:dyDescent="0.25">
      <c r="A1779" s="314"/>
      <c r="B1779" s="18">
        <v>2023</v>
      </c>
      <c r="C1779" s="18" t="s">
        <v>810</v>
      </c>
      <c r="D1779" s="18" t="s">
        <v>846</v>
      </c>
      <c r="E1779" s="18" t="s">
        <v>713</v>
      </c>
      <c r="F1779" s="18" t="s">
        <v>714</v>
      </c>
      <c r="G1779" s="18" t="s">
        <v>677</v>
      </c>
      <c r="H1779" s="18" t="s">
        <v>836</v>
      </c>
      <c r="I1779" s="315">
        <v>84.822391302569756</v>
      </c>
      <c r="J1779" s="315">
        <v>3.2799661092473478E-3</v>
      </c>
      <c r="K1779" s="316" t="str">
        <f t="shared" si="42"/>
        <v>Commercial Equipment</v>
      </c>
      <c r="L1779" s="316" t="str">
        <f t="shared" si="43"/>
        <v>Diesel</v>
      </c>
      <c r="M1779" s="194"/>
      <c r="N1779" s="317"/>
      <c r="O1779" s="317"/>
      <c r="P1779" s="317"/>
      <c r="Q1779" s="317"/>
      <c r="R1779" s="317"/>
      <c r="S1779" s="317"/>
      <c r="T1779" s="317"/>
      <c r="U1779" s="317"/>
      <c r="V1779" s="317"/>
      <c r="W1779" s="317"/>
      <c r="X1779" s="317"/>
      <c r="Y1779" s="317"/>
      <c r="Z1779" s="317"/>
    </row>
    <row r="1780" spans="1:26" x14ac:dyDescent="0.25">
      <c r="A1780" s="314"/>
      <c r="B1780" s="18">
        <v>2023</v>
      </c>
      <c r="C1780" s="18" t="s">
        <v>732</v>
      </c>
      <c r="D1780" s="18" t="s">
        <v>995</v>
      </c>
      <c r="E1780" s="18" t="s">
        <v>703</v>
      </c>
      <c r="F1780" s="18" t="s">
        <v>805</v>
      </c>
      <c r="G1780" s="18" t="s">
        <v>673</v>
      </c>
      <c r="H1780" s="18" t="s">
        <v>996</v>
      </c>
      <c r="I1780" s="315">
        <v>84.460001726915337</v>
      </c>
      <c r="J1780" s="315">
        <v>0.15750214552576405</v>
      </c>
      <c r="K1780" s="316" t="str">
        <f t="shared" si="42"/>
        <v>Lawn and Garden Equipment</v>
      </c>
      <c r="L1780" s="316" t="str">
        <f t="shared" si="43"/>
        <v>Gasoline</v>
      </c>
      <c r="M1780" s="194"/>
      <c r="N1780" s="317"/>
      <c r="O1780" s="317"/>
      <c r="P1780" s="317"/>
      <c r="Q1780" s="317"/>
      <c r="R1780" s="317"/>
      <c r="S1780" s="317"/>
      <c r="T1780" s="317"/>
      <c r="U1780" s="317"/>
      <c r="V1780" s="317"/>
      <c r="W1780" s="317"/>
      <c r="X1780" s="317"/>
      <c r="Y1780" s="317"/>
      <c r="Z1780" s="317"/>
    </row>
    <row r="1781" spans="1:26" x14ac:dyDescent="0.25">
      <c r="A1781" s="314"/>
      <c r="B1781" s="18">
        <v>2023</v>
      </c>
      <c r="C1781" s="18" t="s">
        <v>754</v>
      </c>
      <c r="D1781" s="18" t="s">
        <v>984</v>
      </c>
      <c r="E1781" s="18" t="s">
        <v>703</v>
      </c>
      <c r="F1781" s="18" t="s">
        <v>704</v>
      </c>
      <c r="G1781" s="18" t="s">
        <v>673</v>
      </c>
      <c r="H1781" s="18" t="s">
        <v>985</v>
      </c>
      <c r="I1781" s="315">
        <v>84.312639458915498</v>
      </c>
      <c r="J1781" s="315">
        <v>5.7377756578540932E-2</v>
      </c>
      <c r="K1781" s="316" t="str">
        <f t="shared" si="42"/>
        <v>Lawn and Garden Equipment</v>
      </c>
      <c r="L1781" s="316" t="str">
        <f t="shared" si="43"/>
        <v>Gasoline</v>
      </c>
      <c r="M1781" s="194"/>
      <c r="N1781" s="317"/>
      <c r="O1781" s="317"/>
      <c r="P1781" s="317"/>
      <c r="Q1781" s="317"/>
      <c r="R1781" s="317"/>
      <c r="S1781" s="317"/>
      <c r="T1781" s="317"/>
      <c r="U1781" s="317"/>
      <c r="V1781" s="317"/>
      <c r="W1781" s="317"/>
      <c r="X1781" s="317"/>
      <c r="Y1781" s="317"/>
      <c r="Z1781" s="317"/>
    </row>
    <row r="1782" spans="1:26" x14ac:dyDescent="0.25">
      <c r="A1782" s="314"/>
      <c r="B1782" s="18">
        <v>2023</v>
      </c>
      <c r="C1782" s="18" t="s">
        <v>709</v>
      </c>
      <c r="D1782" s="18" t="s">
        <v>1083</v>
      </c>
      <c r="E1782" s="18" t="s">
        <v>703</v>
      </c>
      <c r="F1782" s="18" t="s">
        <v>704</v>
      </c>
      <c r="G1782" s="18" t="s">
        <v>674</v>
      </c>
      <c r="H1782" s="18" t="s">
        <v>861</v>
      </c>
      <c r="I1782" s="315">
        <v>84.284226385906791</v>
      </c>
      <c r="J1782" s="315">
        <v>6.330363354619549E-2</v>
      </c>
      <c r="K1782" s="316" t="str">
        <f t="shared" si="42"/>
        <v>Construction and Mining Equipment</v>
      </c>
      <c r="L1782" s="316" t="str">
        <f t="shared" si="43"/>
        <v>Gasoline</v>
      </c>
      <c r="M1782" s="194"/>
      <c r="N1782" s="317"/>
      <c r="O1782" s="317"/>
      <c r="P1782" s="317"/>
      <c r="Q1782" s="317"/>
      <c r="R1782" s="317"/>
      <c r="S1782" s="317"/>
      <c r="T1782" s="317"/>
      <c r="U1782" s="317"/>
      <c r="V1782" s="317"/>
      <c r="W1782" s="317"/>
      <c r="X1782" s="317"/>
      <c r="Y1782" s="317"/>
      <c r="Z1782" s="317"/>
    </row>
    <row r="1783" spans="1:26" x14ac:dyDescent="0.25">
      <c r="A1783" s="314"/>
      <c r="B1783" s="18">
        <v>2023</v>
      </c>
      <c r="C1783" s="18" t="s">
        <v>787</v>
      </c>
      <c r="D1783" s="18" t="s">
        <v>880</v>
      </c>
      <c r="E1783" s="18" t="s">
        <v>703</v>
      </c>
      <c r="F1783" s="18" t="s">
        <v>704</v>
      </c>
      <c r="G1783" s="18" t="s">
        <v>677</v>
      </c>
      <c r="H1783" s="18" t="s">
        <v>785</v>
      </c>
      <c r="I1783" s="315">
        <v>84.054531164181626</v>
      </c>
      <c r="J1783" s="315">
        <v>4.8503623151230829E-2</v>
      </c>
      <c r="K1783" s="316" t="str">
        <f t="shared" si="42"/>
        <v>Commercial Equipment</v>
      </c>
      <c r="L1783" s="316" t="str">
        <f t="shared" si="43"/>
        <v>Gasoline</v>
      </c>
      <c r="M1783" s="194"/>
      <c r="N1783" s="317"/>
      <c r="O1783" s="317"/>
      <c r="P1783" s="317"/>
      <c r="Q1783" s="317"/>
      <c r="R1783" s="317"/>
      <c r="S1783" s="317"/>
      <c r="T1783" s="317"/>
      <c r="U1783" s="317"/>
      <c r="V1783" s="317"/>
      <c r="W1783" s="317"/>
      <c r="X1783" s="317"/>
      <c r="Y1783" s="317"/>
      <c r="Z1783" s="317"/>
    </row>
    <row r="1784" spans="1:26" x14ac:dyDescent="0.25">
      <c r="A1784" s="314"/>
      <c r="B1784" s="18">
        <v>2023</v>
      </c>
      <c r="C1784" s="18" t="s">
        <v>706</v>
      </c>
      <c r="D1784" s="18" t="s">
        <v>1210</v>
      </c>
      <c r="E1784" s="18" t="s">
        <v>713</v>
      </c>
      <c r="F1784" s="18" t="s">
        <v>714</v>
      </c>
      <c r="G1784" s="18" t="s">
        <v>675</v>
      </c>
      <c r="H1784" s="18" t="s">
        <v>1211</v>
      </c>
      <c r="I1784" s="315">
        <v>84.015410135756909</v>
      </c>
      <c r="J1784" s="315">
        <v>1.4862674744532795E-3</v>
      </c>
      <c r="K1784" s="316" t="str">
        <f t="shared" si="42"/>
        <v>Industrial Equipment</v>
      </c>
      <c r="L1784" s="316" t="str">
        <f t="shared" si="43"/>
        <v>Diesel</v>
      </c>
      <c r="M1784" s="194"/>
      <c r="N1784" s="317"/>
      <c r="O1784" s="317"/>
      <c r="P1784" s="317"/>
      <c r="Q1784" s="317"/>
      <c r="R1784" s="317"/>
      <c r="S1784" s="317"/>
      <c r="T1784" s="317"/>
      <c r="U1784" s="317"/>
      <c r="V1784" s="317"/>
      <c r="W1784" s="317"/>
      <c r="X1784" s="317"/>
      <c r="Y1784" s="317"/>
      <c r="Z1784" s="317"/>
    </row>
    <row r="1785" spans="1:26" x14ac:dyDescent="0.25">
      <c r="A1785" s="314"/>
      <c r="B1785" s="18">
        <v>2023</v>
      </c>
      <c r="C1785" s="18" t="s">
        <v>754</v>
      </c>
      <c r="D1785" s="18" t="s">
        <v>1210</v>
      </c>
      <c r="E1785" s="18" t="s">
        <v>713</v>
      </c>
      <c r="F1785" s="18" t="s">
        <v>714</v>
      </c>
      <c r="G1785" s="18" t="s">
        <v>675</v>
      </c>
      <c r="H1785" s="18" t="s">
        <v>1211</v>
      </c>
      <c r="I1785" s="315">
        <v>84.015410135756909</v>
      </c>
      <c r="J1785" s="315">
        <v>1.4862674744532795E-3</v>
      </c>
      <c r="K1785" s="316" t="str">
        <f t="shared" si="42"/>
        <v>Industrial Equipment</v>
      </c>
      <c r="L1785" s="316" t="str">
        <f t="shared" si="43"/>
        <v>Diesel</v>
      </c>
      <c r="M1785" s="194"/>
      <c r="N1785" s="317"/>
      <c r="O1785" s="317"/>
      <c r="P1785" s="317"/>
      <c r="Q1785" s="317"/>
      <c r="R1785" s="317"/>
      <c r="S1785" s="317"/>
      <c r="T1785" s="317"/>
      <c r="U1785" s="317"/>
      <c r="V1785" s="317"/>
      <c r="W1785" s="317"/>
      <c r="X1785" s="317"/>
      <c r="Y1785" s="317"/>
      <c r="Z1785" s="317"/>
    </row>
    <row r="1786" spans="1:26" x14ac:dyDescent="0.25">
      <c r="A1786" s="314"/>
      <c r="B1786" s="18">
        <v>2023</v>
      </c>
      <c r="C1786" s="18" t="s">
        <v>786</v>
      </c>
      <c r="D1786" s="18" t="s">
        <v>1210</v>
      </c>
      <c r="E1786" s="18" t="s">
        <v>713</v>
      </c>
      <c r="F1786" s="18" t="s">
        <v>714</v>
      </c>
      <c r="G1786" s="18" t="s">
        <v>675</v>
      </c>
      <c r="H1786" s="18" t="s">
        <v>1211</v>
      </c>
      <c r="I1786" s="315">
        <v>84.015410135756909</v>
      </c>
      <c r="J1786" s="315">
        <v>1.4862674744532795E-3</v>
      </c>
      <c r="K1786" s="316" t="str">
        <f t="shared" si="42"/>
        <v>Industrial Equipment</v>
      </c>
      <c r="L1786" s="316" t="str">
        <f t="shared" si="43"/>
        <v>Diesel</v>
      </c>
      <c r="M1786" s="194"/>
      <c r="N1786" s="317"/>
      <c r="O1786" s="317"/>
      <c r="P1786" s="317"/>
      <c r="Q1786" s="317"/>
      <c r="R1786" s="317"/>
      <c r="S1786" s="317"/>
      <c r="T1786" s="317"/>
      <c r="U1786" s="317"/>
      <c r="V1786" s="317"/>
      <c r="W1786" s="317"/>
      <c r="X1786" s="317"/>
      <c r="Y1786" s="317"/>
      <c r="Z1786" s="317"/>
    </row>
    <row r="1787" spans="1:26" x14ac:dyDescent="0.25">
      <c r="A1787" s="314"/>
      <c r="B1787" s="18">
        <v>2023</v>
      </c>
      <c r="C1787" s="18" t="s">
        <v>710</v>
      </c>
      <c r="D1787" s="18" t="s">
        <v>1210</v>
      </c>
      <c r="E1787" s="18" t="s">
        <v>713</v>
      </c>
      <c r="F1787" s="18" t="s">
        <v>714</v>
      </c>
      <c r="G1787" s="18" t="s">
        <v>675</v>
      </c>
      <c r="H1787" s="18" t="s">
        <v>1211</v>
      </c>
      <c r="I1787" s="315">
        <v>84.015410135756909</v>
      </c>
      <c r="J1787" s="315">
        <v>1.4862674744532795E-3</v>
      </c>
      <c r="K1787" s="316" t="str">
        <f t="shared" si="42"/>
        <v>Industrial Equipment</v>
      </c>
      <c r="L1787" s="316" t="str">
        <f t="shared" si="43"/>
        <v>Diesel</v>
      </c>
      <c r="M1787" s="194"/>
      <c r="N1787" s="317"/>
      <c r="O1787" s="317"/>
      <c r="P1787" s="317"/>
      <c r="Q1787" s="317"/>
      <c r="R1787" s="317"/>
      <c r="S1787" s="317"/>
      <c r="T1787" s="317"/>
      <c r="U1787" s="317"/>
      <c r="V1787" s="317"/>
      <c r="W1787" s="317"/>
      <c r="X1787" s="317"/>
      <c r="Y1787" s="317"/>
      <c r="Z1787" s="317"/>
    </row>
    <row r="1788" spans="1:26" x14ac:dyDescent="0.25">
      <c r="A1788" s="314"/>
      <c r="B1788" s="18">
        <v>2023</v>
      </c>
      <c r="C1788" s="18" t="s">
        <v>711</v>
      </c>
      <c r="D1788" s="18" t="s">
        <v>1077</v>
      </c>
      <c r="E1788" s="18" t="s">
        <v>713</v>
      </c>
      <c r="F1788" s="18" t="s">
        <v>714</v>
      </c>
      <c r="G1788" s="18" t="s">
        <v>675</v>
      </c>
      <c r="H1788" s="18" t="s">
        <v>1078</v>
      </c>
      <c r="I1788" s="315">
        <v>83.959746721489168</v>
      </c>
      <c r="J1788" s="315">
        <v>2.1291578701453247E-3</v>
      </c>
      <c r="K1788" s="316" t="str">
        <f t="shared" si="42"/>
        <v>Industrial Equipment</v>
      </c>
      <c r="L1788" s="316" t="str">
        <f t="shared" si="43"/>
        <v>Diesel</v>
      </c>
      <c r="M1788" s="194"/>
      <c r="N1788" s="317"/>
      <c r="O1788" s="317"/>
      <c r="P1788" s="317"/>
      <c r="Q1788" s="317"/>
      <c r="R1788" s="317"/>
      <c r="S1788" s="317"/>
      <c r="T1788" s="317"/>
      <c r="U1788" s="317"/>
      <c r="V1788" s="317"/>
      <c r="W1788" s="317"/>
      <c r="X1788" s="317"/>
      <c r="Y1788" s="317"/>
      <c r="Z1788" s="317"/>
    </row>
    <row r="1789" spans="1:26" x14ac:dyDescent="0.25">
      <c r="A1789" s="314"/>
      <c r="B1789" s="18">
        <v>2023</v>
      </c>
      <c r="C1789" s="18" t="s">
        <v>792</v>
      </c>
      <c r="D1789" s="18" t="s">
        <v>748</v>
      </c>
      <c r="E1789" s="18" t="s">
        <v>703</v>
      </c>
      <c r="F1789" s="18" t="s">
        <v>704</v>
      </c>
      <c r="G1789" s="18" t="s">
        <v>673</v>
      </c>
      <c r="H1789" s="18" t="s">
        <v>749</v>
      </c>
      <c r="I1789" s="315">
        <v>83.78555559129417</v>
      </c>
      <c r="J1789" s="315">
        <v>4.7839709715973983E-2</v>
      </c>
      <c r="K1789" s="316" t="str">
        <f t="shared" si="42"/>
        <v>Lawn and Garden Equipment</v>
      </c>
      <c r="L1789" s="316" t="str">
        <f t="shared" si="43"/>
        <v>Gasoline</v>
      </c>
      <c r="M1789" s="194"/>
      <c r="N1789" s="317"/>
      <c r="O1789" s="317"/>
      <c r="P1789" s="317"/>
      <c r="Q1789" s="317"/>
      <c r="R1789" s="317"/>
      <c r="S1789" s="317"/>
      <c r="T1789" s="317"/>
      <c r="U1789" s="317"/>
      <c r="V1789" s="317"/>
      <c r="W1789" s="317"/>
      <c r="X1789" s="317"/>
      <c r="Y1789" s="317"/>
      <c r="Z1789" s="317"/>
    </row>
    <row r="1790" spans="1:26" x14ac:dyDescent="0.25">
      <c r="A1790" s="314"/>
      <c r="B1790" s="18">
        <v>2023</v>
      </c>
      <c r="C1790" s="18" t="s">
        <v>762</v>
      </c>
      <c r="D1790" s="18" t="s">
        <v>858</v>
      </c>
      <c r="E1790" s="18" t="s">
        <v>713</v>
      </c>
      <c r="F1790" s="18" t="s">
        <v>714</v>
      </c>
      <c r="G1790" s="18" t="s">
        <v>674</v>
      </c>
      <c r="H1790" s="18" t="s">
        <v>859</v>
      </c>
      <c r="I1790" s="315">
        <v>83.783288726836375</v>
      </c>
      <c r="J1790" s="315">
        <v>7.4369585369837409E-4</v>
      </c>
      <c r="K1790" s="316" t="str">
        <f t="shared" si="42"/>
        <v>Construction and Mining Equipment</v>
      </c>
      <c r="L1790" s="316" t="str">
        <f t="shared" si="43"/>
        <v>Diesel</v>
      </c>
      <c r="M1790" s="194"/>
      <c r="N1790" s="317"/>
      <c r="O1790" s="317"/>
      <c r="P1790" s="317"/>
      <c r="Q1790" s="317"/>
      <c r="R1790" s="317"/>
      <c r="S1790" s="317"/>
      <c r="T1790" s="317"/>
      <c r="U1790" s="317"/>
      <c r="V1790" s="317"/>
      <c r="W1790" s="317"/>
      <c r="X1790" s="317"/>
      <c r="Y1790" s="317"/>
      <c r="Z1790" s="317"/>
    </row>
    <row r="1791" spans="1:26" x14ac:dyDescent="0.25">
      <c r="A1791" s="314"/>
      <c r="B1791" s="18">
        <v>2023</v>
      </c>
      <c r="C1791" s="18" t="s">
        <v>711</v>
      </c>
      <c r="D1791" s="18" t="s">
        <v>1051</v>
      </c>
      <c r="E1791" s="18" t="s">
        <v>703</v>
      </c>
      <c r="F1791" s="18" t="s">
        <v>704</v>
      </c>
      <c r="G1791" s="18" t="s">
        <v>674</v>
      </c>
      <c r="H1791" s="18" t="s">
        <v>783</v>
      </c>
      <c r="I1791" s="315">
        <v>83.772813462448681</v>
      </c>
      <c r="J1791" s="315">
        <v>5.1043165477979123E-2</v>
      </c>
      <c r="K1791" s="316" t="str">
        <f t="shared" si="42"/>
        <v>Construction and Mining Equipment</v>
      </c>
      <c r="L1791" s="316" t="str">
        <f t="shared" si="43"/>
        <v>Gasoline</v>
      </c>
      <c r="M1791" s="194"/>
      <c r="N1791" s="317"/>
      <c r="O1791" s="317"/>
      <c r="P1791" s="317"/>
      <c r="Q1791" s="317"/>
      <c r="R1791" s="317"/>
      <c r="S1791" s="317"/>
      <c r="T1791" s="317"/>
      <c r="U1791" s="317"/>
      <c r="V1791" s="317"/>
      <c r="W1791" s="317"/>
      <c r="X1791" s="317"/>
      <c r="Y1791" s="317"/>
      <c r="Z1791" s="317"/>
    </row>
    <row r="1792" spans="1:26" x14ac:dyDescent="0.25">
      <c r="A1792" s="314"/>
      <c r="B1792" s="18">
        <v>2023</v>
      </c>
      <c r="C1792" s="18" t="s">
        <v>722</v>
      </c>
      <c r="D1792" s="18" t="s">
        <v>765</v>
      </c>
      <c r="E1792" s="18" t="s">
        <v>703</v>
      </c>
      <c r="F1792" s="18" t="s">
        <v>676</v>
      </c>
      <c r="G1792" s="18" t="s">
        <v>729</v>
      </c>
      <c r="H1792" s="18" t="s">
        <v>766</v>
      </c>
      <c r="I1792" s="315">
        <v>83.119587988077356</v>
      </c>
      <c r="J1792" s="315">
        <v>9.1424075579302558E-2</v>
      </c>
      <c r="K1792" s="316" t="str">
        <f t="shared" si="42"/>
        <v>Pleasure Craft</v>
      </c>
      <c r="L1792" s="316" t="str">
        <f t="shared" si="43"/>
        <v>Gasoline</v>
      </c>
      <c r="M1792" s="194"/>
      <c r="N1792" s="317"/>
      <c r="O1792" s="317"/>
      <c r="P1792" s="317"/>
      <c r="Q1792" s="317"/>
      <c r="R1792" s="317"/>
      <c r="S1792" s="317"/>
      <c r="T1792" s="317"/>
      <c r="U1792" s="317"/>
      <c r="V1792" s="317"/>
      <c r="W1792" s="317"/>
      <c r="X1792" s="317"/>
      <c r="Y1792" s="317"/>
      <c r="Z1792" s="317"/>
    </row>
    <row r="1793" spans="1:26" x14ac:dyDescent="0.25">
      <c r="A1793" s="314"/>
      <c r="B1793" s="18">
        <v>2023</v>
      </c>
      <c r="C1793" s="18" t="s">
        <v>750</v>
      </c>
      <c r="D1793" s="18" t="s">
        <v>807</v>
      </c>
      <c r="E1793" s="18" t="s">
        <v>703</v>
      </c>
      <c r="F1793" s="18" t="s">
        <v>805</v>
      </c>
      <c r="G1793" s="18" t="s">
        <v>673</v>
      </c>
      <c r="H1793" s="18" t="s">
        <v>749</v>
      </c>
      <c r="I1793" s="315">
        <v>82.413469411216624</v>
      </c>
      <c r="J1793" s="315">
        <v>0.15416808519952052</v>
      </c>
      <c r="K1793" s="316" t="str">
        <f t="shared" si="42"/>
        <v>Lawn and Garden Equipment</v>
      </c>
      <c r="L1793" s="316" t="str">
        <f t="shared" si="43"/>
        <v>Gasoline</v>
      </c>
      <c r="M1793" s="194"/>
      <c r="N1793" s="317"/>
      <c r="O1793" s="317"/>
      <c r="P1793" s="317"/>
      <c r="Q1793" s="317"/>
      <c r="R1793" s="317"/>
      <c r="S1793" s="317"/>
      <c r="T1793" s="317"/>
      <c r="U1793" s="317"/>
      <c r="V1793" s="317"/>
      <c r="W1793" s="317"/>
      <c r="X1793" s="317"/>
      <c r="Y1793" s="317"/>
      <c r="Z1793" s="317"/>
    </row>
    <row r="1794" spans="1:26" x14ac:dyDescent="0.25">
      <c r="A1794" s="314"/>
      <c r="B1794" s="18">
        <v>2023</v>
      </c>
      <c r="C1794" s="18" t="s">
        <v>762</v>
      </c>
      <c r="D1794" s="18" t="s">
        <v>860</v>
      </c>
      <c r="E1794" s="18" t="s">
        <v>713</v>
      </c>
      <c r="F1794" s="18" t="s">
        <v>714</v>
      </c>
      <c r="G1794" s="18" t="s">
        <v>674</v>
      </c>
      <c r="H1794" s="18" t="s">
        <v>861</v>
      </c>
      <c r="I1794" s="315">
        <v>81.962710263402371</v>
      </c>
      <c r="J1794" s="315">
        <v>1.3583824841061235E-3</v>
      </c>
      <c r="K1794" s="316" t="str">
        <f t="shared" si="42"/>
        <v>Construction and Mining Equipment</v>
      </c>
      <c r="L1794" s="316" t="str">
        <f t="shared" si="43"/>
        <v>Diesel</v>
      </c>
      <c r="M1794" s="194"/>
      <c r="N1794" s="317"/>
      <c r="O1794" s="317"/>
      <c r="P1794" s="317"/>
      <c r="Q1794" s="317"/>
      <c r="R1794" s="317"/>
      <c r="S1794" s="317"/>
      <c r="T1794" s="317"/>
      <c r="U1794" s="317"/>
      <c r="V1794" s="317"/>
      <c r="W1794" s="317"/>
      <c r="X1794" s="317"/>
      <c r="Y1794" s="317"/>
      <c r="Z1794" s="317"/>
    </row>
    <row r="1795" spans="1:26" x14ac:dyDescent="0.25">
      <c r="A1795" s="314"/>
      <c r="B1795" s="18">
        <v>2023</v>
      </c>
      <c r="C1795" s="18" t="s">
        <v>760</v>
      </c>
      <c r="D1795" s="18" t="s">
        <v>997</v>
      </c>
      <c r="E1795" s="18" t="s">
        <v>56</v>
      </c>
      <c r="F1795" s="18" t="s">
        <v>672</v>
      </c>
      <c r="G1795" s="18" t="s">
        <v>675</v>
      </c>
      <c r="H1795" s="18" t="s">
        <v>969</v>
      </c>
      <c r="I1795" s="315">
        <v>81.950546258086291</v>
      </c>
      <c r="J1795" s="315">
        <v>1.0196272178198369E-2</v>
      </c>
      <c r="K1795" s="316" t="str">
        <f t="shared" si="42"/>
        <v>Industrial Equipment</v>
      </c>
      <c r="L1795" s="316" t="str">
        <f t="shared" si="43"/>
        <v>LPG</v>
      </c>
      <c r="M1795" s="194"/>
      <c r="N1795" s="317"/>
      <c r="O1795" s="317"/>
      <c r="P1795" s="317"/>
      <c r="Q1795" s="317"/>
      <c r="R1795" s="317"/>
      <c r="S1795" s="317"/>
      <c r="T1795" s="317"/>
      <c r="U1795" s="317"/>
      <c r="V1795" s="317"/>
      <c r="W1795" s="317"/>
      <c r="X1795" s="317"/>
      <c r="Y1795" s="317"/>
      <c r="Z1795" s="317"/>
    </row>
    <row r="1796" spans="1:26" x14ac:dyDescent="0.25">
      <c r="A1796" s="314"/>
      <c r="B1796" s="18">
        <v>2023</v>
      </c>
      <c r="C1796" s="18" t="s">
        <v>750</v>
      </c>
      <c r="D1796" s="18" t="s">
        <v>958</v>
      </c>
      <c r="E1796" s="18" t="s">
        <v>713</v>
      </c>
      <c r="F1796" s="18" t="s">
        <v>714</v>
      </c>
      <c r="G1796" s="18" t="s">
        <v>674</v>
      </c>
      <c r="H1796" s="18" t="s">
        <v>959</v>
      </c>
      <c r="I1796" s="315">
        <v>81.905045051793962</v>
      </c>
      <c r="J1796" s="315">
        <v>7.2858864362638327E-4</v>
      </c>
      <c r="K1796" s="316" t="str">
        <f t="shared" si="42"/>
        <v>Construction and Mining Equipment</v>
      </c>
      <c r="L1796" s="316" t="str">
        <f t="shared" si="43"/>
        <v>Diesel</v>
      </c>
      <c r="M1796" s="194"/>
      <c r="N1796" s="317"/>
      <c r="O1796" s="317"/>
      <c r="P1796" s="317"/>
      <c r="Q1796" s="317"/>
      <c r="R1796" s="317"/>
      <c r="S1796" s="317"/>
      <c r="T1796" s="317"/>
      <c r="U1796" s="317"/>
      <c r="V1796" s="317"/>
      <c r="W1796" s="317"/>
      <c r="X1796" s="317"/>
      <c r="Y1796" s="317"/>
      <c r="Z1796" s="317"/>
    </row>
    <row r="1797" spans="1:26" x14ac:dyDescent="0.25">
      <c r="A1797" s="314"/>
      <c r="B1797" s="18">
        <v>2023</v>
      </c>
      <c r="C1797" s="18" t="s">
        <v>778</v>
      </c>
      <c r="D1797" s="18" t="s">
        <v>973</v>
      </c>
      <c r="E1797" s="18" t="s">
        <v>703</v>
      </c>
      <c r="F1797" s="18" t="s">
        <v>795</v>
      </c>
      <c r="G1797" s="18" t="s">
        <v>673</v>
      </c>
      <c r="H1797" s="18" t="s">
        <v>974</v>
      </c>
      <c r="I1797" s="315">
        <v>81.771562868220187</v>
      </c>
      <c r="J1797" s="315">
        <v>0.15320251193492435</v>
      </c>
      <c r="K1797" s="316" t="str">
        <f t="shared" si="42"/>
        <v>Lawn and Garden Equipment</v>
      </c>
      <c r="L1797" s="316" t="str">
        <f t="shared" si="43"/>
        <v>Gasoline</v>
      </c>
      <c r="M1797" s="194"/>
      <c r="N1797" s="317"/>
      <c r="O1797" s="317"/>
      <c r="P1797" s="317"/>
      <c r="Q1797" s="317"/>
      <c r="R1797" s="317"/>
      <c r="S1797" s="317"/>
      <c r="T1797" s="317"/>
      <c r="U1797" s="317"/>
      <c r="V1797" s="317"/>
      <c r="W1797" s="317"/>
      <c r="X1797" s="317"/>
      <c r="Y1797" s="317"/>
      <c r="Z1797" s="317"/>
    </row>
    <row r="1798" spans="1:26" x14ac:dyDescent="0.25">
      <c r="A1798" s="314"/>
      <c r="B1798" s="18">
        <v>2023</v>
      </c>
      <c r="C1798" s="18" t="s">
        <v>810</v>
      </c>
      <c r="D1798" s="18" t="s">
        <v>868</v>
      </c>
      <c r="E1798" s="18" t="s">
        <v>703</v>
      </c>
      <c r="F1798" s="18" t="s">
        <v>704</v>
      </c>
      <c r="G1798" s="18" t="s">
        <v>673</v>
      </c>
      <c r="H1798" s="18" t="s">
        <v>758</v>
      </c>
      <c r="I1798" s="315">
        <v>81.583713945870358</v>
      </c>
      <c r="J1798" s="315">
        <v>5.4000664994838382E-2</v>
      </c>
      <c r="K1798" s="316" t="str">
        <f t="shared" si="42"/>
        <v>Lawn and Garden Equipment</v>
      </c>
      <c r="L1798" s="316" t="str">
        <f t="shared" si="43"/>
        <v>Gasoline</v>
      </c>
      <c r="M1798" s="194"/>
      <c r="N1798" s="317"/>
      <c r="O1798" s="317"/>
      <c r="P1798" s="317"/>
      <c r="Q1798" s="317"/>
      <c r="R1798" s="317"/>
      <c r="S1798" s="317"/>
      <c r="T1798" s="317"/>
      <c r="U1798" s="317"/>
      <c r="V1798" s="317"/>
      <c r="W1798" s="317"/>
      <c r="X1798" s="317"/>
      <c r="Y1798" s="317"/>
      <c r="Z1798" s="317"/>
    </row>
    <row r="1799" spans="1:26" x14ac:dyDescent="0.25">
      <c r="A1799" s="314"/>
      <c r="B1799" s="18">
        <v>2023</v>
      </c>
      <c r="C1799" s="18" t="s">
        <v>759</v>
      </c>
      <c r="D1799" s="18" t="s">
        <v>868</v>
      </c>
      <c r="E1799" s="18" t="s">
        <v>703</v>
      </c>
      <c r="F1799" s="18" t="s">
        <v>704</v>
      </c>
      <c r="G1799" s="18" t="s">
        <v>673</v>
      </c>
      <c r="H1799" s="18" t="s">
        <v>758</v>
      </c>
      <c r="I1799" s="315">
        <v>81.583713945870358</v>
      </c>
      <c r="J1799" s="315">
        <v>5.3254388116476356E-2</v>
      </c>
      <c r="K1799" s="316" t="str">
        <f t="shared" si="42"/>
        <v>Lawn and Garden Equipment</v>
      </c>
      <c r="L1799" s="316" t="str">
        <f t="shared" si="43"/>
        <v>Gasoline</v>
      </c>
      <c r="M1799" s="194"/>
      <c r="N1799" s="317"/>
      <c r="O1799" s="317"/>
      <c r="P1799" s="317"/>
      <c r="Q1799" s="317"/>
      <c r="R1799" s="317"/>
      <c r="S1799" s="317"/>
      <c r="T1799" s="317"/>
      <c r="U1799" s="317"/>
      <c r="V1799" s="317"/>
      <c r="W1799" s="317"/>
      <c r="X1799" s="317"/>
      <c r="Y1799" s="317"/>
      <c r="Z1799" s="317"/>
    </row>
    <row r="1800" spans="1:26" x14ac:dyDescent="0.25">
      <c r="A1800" s="314"/>
      <c r="B1800" s="18">
        <v>2023</v>
      </c>
      <c r="C1800" s="18" t="s">
        <v>727</v>
      </c>
      <c r="D1800" s="18" t="s">
        <v>868</v>
      </c>
      <c r="E1800" s="18" t="s">
        <v>703</v>
      </c>
      <c r="F1800" s="18" t="s">
        <v>704</v>
      </c>
      <c r="G1800" s="18" t="s">
        <v>673</v>
      </c>
      <c r="H1800" s="18" t="s">
        <v>758</v>
      </c>
      <c r="I1800" s="315">
        <v>81.583713945870358</v>
      </c>
      <c r="J1800" s="315">
        <v>5.328343756474118E-2</v>
      </c>
      <c r="K1800" s="316" t="str">
        <f t="shared" si="42"/>
        <v>Lawn and Garden Equipment</v>
      </c>
      <c r="L1800" s="316" t="str">
        <f t="shared" si="43"/>
        <v>Gasoline</v>
      </c>
      <c r="M1800" s="194"/>
      <c r="N1800" s="317"/>
      <c r="O1800" s="317"/>
      <c r="P1800" s="317"/>
      <c r="Q1800" s="317"/>
      <c r="R1800" s="317"/>
      <c r="S1800" s="317"/>
      <c r="T1800" s="317"/>
      <c r="U1800" s="317"/>
      <c r="V1800" s="317"/>
      <c r="W1800" s="317"/>
      <c r="X1800" s="317"/>
      <c r="Y1800" s="317"/>
      <c r="Z1800" s="317"/>
    </row>
    <row r="1801" spans="1:26" x14ac:dyDescent="0.25">
      <c r="A1801" s="314"/>
      <c r="B1801" s="18">
        <v>2023</v>
      </c>
      <c r="C1801" s="18" t="s">
        <v>787</v>
      </c>
      <c r="D1801" s="18" t="s">
        <v>794</v>
      </c>
      <c r="E1801" s="18" t="s">
        <v>703</v>
      </c>
      <c r="F1801" s="18" t="s">
        <v>795</v>
      </c>
      <c r="G1801" s="18" t="s">
        <v>673</v>
      </c>
      <c r="H1801" s="18" t="s">
        <v>796</v>
      </c>
      <c r="I1801" s="315">
        <v>81.527362331954564</v>
      </c>
      <c r="J1801" s="315">
        <v>0.14893455051862736</v>
      </c>
      <c r="K1801" s="316" t="str">
        <f t="shared" si="42"/>
        <v>Lawn and Garden Equipment</v>
      </c>
      <c r="L1801" s="316" t="str">
        <f t="shared" si="43"/>
        <v>Gasoline</v>
      </c>
      <c r="M1801" s="194"/>
      <c r="N1801" s="317"/>
      <c r="O1801" s="317"/>
      <c r="P1801" s="317"/>
      <c r="Q1801" s="317"/>
      <c r="R1801" s="317"/>
      <c r="S1801" s="317"/>
      <c r="T1801" s="317"/>
      <c r="U1801" s="317"/>
      <c r="V1801" s="317"/>
      <c r="W1801" s="317"/>
      <c r="X1801" s="317"/>
      <c r="Y1801" s="317"/>
      <c r="Z1801" s="317"/>
    </row>
    <row r="1802" spans="1:26" x14ac:dyDescent="0.25">
      <c r="A1802" s="314"/>
      <c r="B1802" s="18">
        <v>2023</v>
      </c>
      <c r="C1802" s="18" t="s">
        <v>710</v>
      </c>
      <c r="D1802" s="18" t="s">
        <v>878</v>
      </c>
      <c r="E1802" s="18" t="s">
        <v>703</v>
      </c>
      <c r="F1802" s="18" t="s">
        <v>704</v>
      </c>
      <c r="G1802" s="18" t="s">
        <v>673</v>
      </c>
      <c r="H1802" s="18" t="s">
        <v>879</v>
      </c>
      <c r="I1802" s="315">
        <v>81.281214877089155</v>
      </c>
      <c r="J1802" s="315">
        <v>5.3425400278389441E-2</v>
      </c>
      <c r="K1802" s="316" t="str">
        <f t="shared" si="42"/>
        <v>Lawn and Garden Equipment</v>
      </c>
      <c r="L1802" s="316" t="str">
        <f t="shared" si="43"/>
        <v>Gasoline</v>
      </c>
      <c r="M1802" s="194"/>
      <c r="N1802" s="317"/>
      <c r="O1802" s="317"/>
      <c r="P1802" s="317"/>
      <c r="Q1802" s="317"/>
      <c r="R1802" s="317"/>
      <c r="S1802" s="317"/>
      <c r="T1802" s="317"/>
      <c r="U1802" s="317"/>
      <c r="V1802" s="317"/>
      <c r="W1802" s="317"/>
      <c r="X1802" s="317"/>
      <c r="Y1802" s="317"/>
      <c r="Z1802" s="317"/>
    </row>
    <row r="1803" spans="1:26" x14ac:dyDescent="0.25">
      <c r="A1803" s="314"/>
      <c r="B1803" s="18">
        <v>2023</v>
      </c>
      <c r="C1803" s="18" t="s">
        <v>727</v>
      </c>
      <c r="D1803" s="18" t="s">
        <v>977</v>
      </c>
      <c r="E1803" s="18" t="s">
        <v>703</v>
      </c>
      <c r="F1803" s="18" t="s">
        <v>805</v>
      </c>
      <c r="G1803" s="18" t="s">
        <v>673</v>
      </c>
      <c r="H1803" s="18" t="s">
        <v>978</v>
      </c>
      <c r="I1803" s="315">
        <v>81.096306172089598</v>
      </c>
      <c r="J1803" s="315">
        <v>0.13808892277614171</v>
      </c>
      <c r="K1803" s="316" t="str">
        <f t="shared" si="42"/>
        <v>Lawn and Garden Equipment</v>
      </c>
      <c r="L1803" s="316" t="str">
        <f t="shared" si="43"/>
        <v>Gasoline</v>
      </c>
      <c r="M1803" s="194"/>
      <c r="N1803" s="317"/>
      <c r="O1803" s="317"/>
      <c r="P1803" s="317"/>
      <c r="Q1803" s="317"/>
      <c r="R1803" s="317"/>
      <c r="S1803" s="317"/>
      <c r="T1803" s="317"/>
      <c r="U1803" s="317"/>
      <c r="V1803" s="317"/>
      <c r="W1803" s="317"/>
      <c r="X1803" s="317"/>
      <c r="Y1803" s="317"/>
      <c r="Z1803" s="317"/>
    </row>
    <row r="1804" spans="1:26" x14ac:dyDescent="0.25">
      <c r="A1804" s="314"/>
      <c r="B1804" s="18">
        <v>2023</v>
      </c>
      <c r="C1804" s="18" t="s">
        <v>731</v>
      </c>
      <c r="D1804" s="18" t="s">
        <v>868</v>
      </c>
      <c r="E1804" s="18" t="s">
        <v>703</v>
      </c>
      <c r="F1804" s="18" t="s">
        <v>704</v>
      </c>
      <c r="G1804" s="18" t="s">
        <v>673</v>
      </c>
      <c r="H1804" s="18" t="s">
        <v>758</v>
      </c>
      <c r="I1804" s="315">
        <v>81.076886336052411</v>
      </c>
      <c r="J1804" s="315">
        <v>5.2975618663882174E-2</v>
      </c>
      <c r="K1804" s="316" t="str">
        <f t="shared" si="42"/>
        <v>Lawn and Garden Equipment</v>
      </c>
      <c r="L1804" s="316" t="str">
        <f t="shared" si="43"/>
        <v>Gasoline</v>
      </c>
      <c r="M1804" s="194"/>
      <c r="N1804" s="317"/>
      <c r="O1804" s="317"/>
      <c r="P1804" s="317"/>
      <c r="Q1804" s="317"/>
      <c r="R1804" s="317"/>
      <c r="S1804" s="317"/>
      <c r="T1804" s="317"/>
      <c r="U1804" s="317"/>
      <c r="V1804" s="317"/>
      <c r="W1804" s="317"/>
      <c r="X1804" s="317"/>
      <c r="Y1804" s="317"/>
      <c r="Z1804" s="317"/>
    </row>
    <row r="1805" spans="1:26" x14ac:dyDescent="0.25">
      <c r="A1805" s="314"/>
      <c r="B1805" s="18">
        <v>2023</v>
      </c>
      <c r="C1805" s="18" t="s">
        <v>706</v>
      </c>
      <c r="D1805" s="18" t="s">
        <v>1212</v>
      </c>
      <c r="E1805" s="18" t="s">
        <v>56</v>
      </c>
      <c r="F1805" s="18" t="s">
        <v>672</v>
      </c>
      <c r="G1805" s="18" t="s">
        <v>675</v>
      </c>
      <c r="H1805" s="18" t="s">
        <v>798</v>
      </c>
      <c r="I1805" s="315">
        <v>80.831939479052537</v>
      </c>
      <c r="J1805" s="315">
        <v>3.6522849197911647E-3</v>
      </c>
      <c r="K1805" s="316" t="str">
        <f t="shared" si="42"/>
        <v>Industrial Equipment</v>
      </c>
      <c r="L1805" s="316" t="str">
        <f t="shared" si="43"/>
        <v>LPG</v>
      </c>
      <c r="M1805" s="194"/>
      <c r="N1805" s="317"/>
      <c r="O1805" s="317"/>
      <c r="P1805" s="317"/>
      <c r="Q1805" s="317"/>
      <c r="R1805" s="317"/>
      <c r="S1805" s="317"/>
      <c r="T1805" s="317"/>
      <c r="U1805" s="317"/>
      <c r="V1805" s="317"/>
      <c r="W1805" s="317"/>
      <c r="X1805" s="317"/>
      <c r="Y1805" s="317"/>
      <c r="Z1805" s="317"/>
    </row>
    <row r="1806" spans="1:26" x14ac:dyDescent="0.25">
      <c r="A1806" s="314"/>
      <c r="B1806" s="18">
        <v>2023</v>
      </c>
      <c r="C1806" s="18" t="s">
        <v>731</v>
      </c>
      <c r="D1806" s="18" t="s">
        <v>866</v>
      </c>
      <c r="E1806" s="18" t="s">
        <v>713</v>
      </c>
      <c r="F1806" s="18" t="s">
        <v>714</v>
      </c>
      <c r="G1806" s="18" t="s">
        <v>677</v>
      </c>
      <c r="H1806" s="18" t="s">
        <v>841</v>
      </c>
      <c r="I1806" s="315">
        <v>80.742650058245019</v>
      </c>
      <c r="J1806" s="315">
        <v>2.0134006558556084E-3</v>
      </c>
      <c r="K1806" s="316" t="str">
        <f t="shared" si="42"/>
        <v>Commercial Equipment</v>
      </c>
      <c r="L1806" s="316" t="str">
        <f t="shared" si="43"/>
        <v>Diesel</v>
      </c>
      <c r="M1806" s="194"/>
      <c r="N1806" s="317"/>
      <c r="O1806" s="317"/>
      <c r="P1806" s="317"/>
      <c r="Q1806" s="317"/>
      <c r="R1806" s="317"/>
      <c r="S1806" s="317"/>
      <c r="T1806" s="317"/>
      <c r="U1806" s="317"/>
      <c r="V1806" s="317"/>
      <c r="W1806" s="317"/>
      <c r="X1806" s="317"/>
      <c r="Y1806" s="317"/>
      <c r="Z1806" s="317"/>
    </row>
    <row r="1807" spans="1:26" x14ac:dyDescent="0.25">
      <c r="A1807" s="314"/>
      <c r="B1807" s="18">
        <v>2023</v>
      </c>
      <c r="C1807" s="18" t="s">
        <v>743</v>
      </c>
      <c r="D1807" s="18" t="s">
        <v>1016</v>
      </c>
      <c r="E1807" s="18" t="s">
        <v>56</v>
      </c>
      <c r="F1807" s="18" t="s">
        <v>672</v>
      </c>
      <c r="G1807" s="18" t="s">
        <v>675</v>
      </c>
      <c r="H1807" s="18" t="s">
        <v>802</v>
      </c>
      <c r="I1807" s="315">
        <v>80.655800052368619</v>
      </c>
      <c r="J1807" s="315">
        <v>3.7003043426071108E-3</v>
      </c>
      <c r="K1807" s="316" t="str">
        <f t="shared" si="42"/>
        <v>Industrial Equipment</v>
      </c>
      <c r="L1807" s="316" t="str">
        <f t="shared" si="43"/>
        <v>LPG</v>
      </c>
      <c r="M1807" s="194"/>
      <c r="N1807" s="317"/>
      <c r="O1807" s="317"/>
      <c r="P1807" s="317"/>
      <c r="Q1807" s="317"/>
      <c r="R1807" s="317"/>
      <c r="S1807" s="317"/>
      <c r="T1807" s="317"/>
      <c r="U1807" s="317"/>
      <c r="V1807" s="317"/>
      <c r="W1807" s="317"/>
      <c r="X1807" s="317"/>
      <c r="Y1807" s="317"/>
      <c r="Z1807" s="317"/>
    </row>
    <row r="1808" spans="1:26" x14ac:dyDescent="0.25">
      <c r="A1808" s="314"/>
      <c r="B1808" s="18">
        <v>2023</v>
      </c>
      <c r="C1808" s="18" t="s">
        <v>762</v>
      </c>
      <c r="D1808" s="18" t="s">
        <v>1004</v>
      </c>
      <c r="E1808" s="18" t="s">
        <v>713</v>
      </c>
      <c r="F1808" s="18" t="s">
        <v>714</v>
      </c>
      <c r="G1808" s="18" t="s">
        <v>679</v>
      </c>
      <c r="H1808" s="18" t="s">
        <v>1005</v>
      </c>
      <c r="I1808" s="315">
        <v>80.554587042064341</v>
      </c>
      <c r="J1808" s="315">
        <v>2.903807492648295E-3</v>
      </c>
      <c r="K1808" s="316" t="str">
        <f t="shared" si="42"/>
        <v>Recreational Equipment</v>
      </c>
      <c r="L1808" s="316" t="str">
        <f t="shared" si="43"/>
        <v>Diesel</v>
      </c>
      <c r="M1808" s="194"/>
      <c r="N1808" s="317"/>
      <c r="O1808" s="317"/>
      <c r="P1808" s="317"/>
      <c r="Q1808" s="317"/>
      <c r="R1808" s="317"/>
      <c r="S1808" s="317"/>
      <c r="T1808" s="317"/>
      <c r="U1808" s="317"/>
      <c r="V1808" s="317"/>
      <c r="W1808" s="317"/>
      <c r="X1808" s="317"/>
      <c r="Y1808" s="317"/>
      <c r="Z1808" s="317"/>
    </row>
    <row r="1809" spans="1:26" x14ac:dyDescent="0.25">
      <c r="A1809" s="314"/>
      <c r="B1809" s="18">
        <v>2023</v>
      </c>
      <c r="C1809" s="18" t="s">
        <v>750</v>
      </c>
      <c r="D1809" s="18" t="s">
        <v>1004</v>
      </c>
      <c r="E1809" s="18" t="s">
        <v>713</v>
      </c>
      <c r="F1809" s="18" t="s">
        <v>714</v>
      </c>
      <c r="G1809" s="18" t="s">
        <v>679</v>
      </c>
      <c r="H1809" s="18" t="s">
        <v>1005</v>
      </c>
      <c r="I1809" s="315">
        <v>80.554587042064341</v>
      </c>
      <c r="J1809" s="315">
        <v>2.903807492648295E-3</v>
      </c>
      <c r="K1809" s="316" t="str">
        <f t="shared" si="42"/>
        <v>Recreational Equipment</v>
      </c>
      <c r="L1809" s="316" t="str">
        <f t="shared" si="43"/>
        <v>Diesel</v>
      </c>
      <c r="M1809" s="194"/>
      <c r="N1809" s="317"/>
      <c r="O1809" s="317"/>
      <c r="P1809" s="317"/>
      <c r="Q1809" s="317"/>
      <c r="R1809" s="317"/>
      <c r="S1809" s="317"/>
      <c r="T1809" s="317"/>
      <c r="U1809" s="317"/>
      <c r="V1809" s="317"/>
      <c r="W1809" s="317"/>
      <c r="X1809" s="317"/>
      <c r="Y1809" s="317"/>
      <c r="Z1809" s="317"/>
    </row>
    <row r="1810" spans="1:26" x14ac:dyDescent="0.25">
      <c r="A1810" s="314"/>
      <c r="B1810" s="18">
        <v>2023</v>
      </c>
      <c r="C1810" s="18" t="s">
        <v>743</v>
      </c>
      <c r="D1810" s="18" t="s">
        <v>984</v>
      </c>
      <c r="E1810" s="18" t="s">
        <v>703</v>
      </c>
      <c r="F1810" s="18" t="s">
        <v>704</v>
      </c>
      <c r="G1810" s="18" t="s">
        <v>673</v>
      </c>
      <c r="H1810" s="18" t="s">
        <v>985</v>
      </c>
      <c r="I1810" s="315">
        <v>80.473224156739832</v>
      </c>
      <c r="J1810" s="315">
        <v>5.4825421096947109E-2</v>
      </c>
      <c r="K1810" s="316" t="str">
        <f t="shared" si="42"/>
        <v>Lawn and Garden Equipment</v>
      </c>
      <c r="L1810" s="316" t="str">
        <f t="shared" si="43"/>
        <v>Gasoline</v>
      </c>
      <c r="M1810" s="194"/>
      <c r="N1810" s="317"/>
      <c r="O1810" s="317"/>
      <c r="P1810" s="317"/>
      <c r="Q1810" s="317"/>
      <c r="R1810" s="317"/>
      <c r="S1810" s="317"/>
      <c r="T1810" s="317"/>
      <c r="U1810" s="317"/>
      <c r="V1810" s="317"/>
      <c r="W1810" s="317"/>
      <c r="X1810" s="317"/>
      <c r="Y1810" s="317"/>
      <c r="Z1810" s="317"/>
    </row>
    <row r="1811" spans="1:26" x14ac:dyDescent="0.25">
      <c r="A1811" s="314"/>
      <c r="B1811" s="18">
        <v>2023</v>
      </c>
      <c r="C1811" s="18" t="s">
        <v>786</v>
      </c>
      <c r="D1811" s="18" t="s">
        <v>830</v>
      </c>
      <c r="E1811" s="18" t="s">
        <v>703</v>
      </c>
      <c r="F1811" s="18" t="s">
        <v>704</v>
      </c>
      <c r="G1811" s="18" t="s">
        <v>673</v>
      </c>
      <c r="H1811" s="18" t="s">
        <v>742</v>
      </c>
      <c r="I1811" s="315">
        <v>80.45095681376182</v>
      </c>
      <c r="J1811" s="315">
        <v>3.5036420286240433E-2</v>
      </c>
      <c r="K1811" s="316" t="str">
        <f t="shared" si="42"/>
        <v>Lawn and Garden Equipment</v>
      </c>
      <c r="L1811" s="316" t="str">
        <f t="shared" si="43"/>
        <v>Gasoline</v>
      </c>
      <c r="M1811" s="194"/>
      <c r="N1811" s="317"/>
      <c r="O1811" s="317"/>
      <c r="P1811" s="317"/>
      <c r="Q1811" s="317"/>
      <c r="R1811" s="317"/>
      <c r="S1811" s="317"/>
      <c r="T1811" s="317"/>
      <c r="U1811" s="317"/>
      <c r="V1811" s="317"/>
      <c r="W1811" s="317"/>
      <c r="X1811" s="317"/>
      <c r="Y1811" s="317"/>
      <c r="Z1811" s="317"/>
    </row>
    <row r="1812" spans="1:26" x14ac:dyDescent="0.25">
      <c r="A1812" s="314"/>
      <c r="B1812" s="18">
        <v>2023</v>
      </c>
      <c r="C1812" s="18" t="s">
        <v>710</v>
      </c>
      <c r="D1812" s="18" t="s">
        <v>882</v>
      </c>
      <c r="E1812" s="18" t="s">
        <v>713</v>
      </c>
      <c r="F1812" s="18" t="s">
        <v>714</v>
      </c>
      <c r="G1812" s="18" t="s">
        <v>673</v>
      </c>
      <c r="H1812" s="18" t="s">
        <v>705</v>
      </c>
      <c r="I1812" s="315">
        <v>80.41833676963499</v>
      </c>
      <c r="J1812" s="315">
        <v>1.3497081538717034E-3</v>
      </c>
      <c r="K1812" s="316" t="str">
        <f t="shared" si="42"/>
        <v>Lawn and Garden Equipment</v>
      </c>
      <c r="L1812" s="316" t="str">
        <f t="shared" si="43"/>
        <v>Diesel</v>
      </c>
      <c r="M1812" s="194"/>
      <c r="N1812" s="317"/>
      <c r="O1812" s="317"/>
      <c r="P1812" s="317"/>
      <c r="Q1812" s="317"/>
      <c r="R1812" s="317"/>
      <c r="S1812" s="317"/>
      <c r="T1812" s="317"/>
      <c r="U1812" s="317"/>
      <c r="V1812" s="317"/>
      <c r="W1812" s="317"/>
      <c r="X1812" s="317"/>
      <c r="Y1812" s="317"/>
      <c r="Z1812" s="317"/>
    </row>
    <row r="1813" spans="1:26" x14ac:dyDescent="0.25">
      <c r="A1813" s="314"/>
      <c r="B1813" s="18">
        <v>2023</v>
      </c>
      <c r="C1813" s="18" t="s">
        <v>762</v>
      </c>
      <c r="D1813" s="18" t="s">
        <v>862</v>
      </c>
      <c r="E1813" s="18" t="s">
        <v>713</v>
      </c>
      <c r="F1813" s="18" t="s">
        <v>714</v>
      </c>
      <c r="G1813" s="18" t="s">
        <v>674</v>
      </c>
      <c r="H1813" s="18" t="s">
        <v>863</v>
      </c>
      <c r="I1813" s="315">
        <v>80.332256801409599</v>
      </c>
      <c r="J1813" s="315">
        <v>5.7953665247545037E-4</v>
      </c>
      <c r="K1813" s="316" t="str">
        <f t="shared" si="42"/>
        <v>Construction and Mining Equipment</v>
      </c>
      <c r="L1813" s="316" t="str">
        <f t="shared" si="43"/>
        <v>Diesel</v>
      </c>
      <c r="M1813" s="194"/>
      <c r="N1813" s="317"/>
      <c r="O1813" s="317"/>
      <c r="P1813" s="317"/>
      <c r="Q1813" s="317"/>
      <c r="R1813" s="317"/>
      <c r="S1813" s="317"/>
      <c r="T1813" s="317"/>
      <c r="U1813" s="317"/>
      <c r="V1813" s="317"/>
      <c r="W1813" s="317"/>
      <c r="X1813" s="317"/>
      <c r="Y1813" s="317"/>
      <c r="Z1813" s="317"/>
    </row>
    <row r="1814" spans="1:26" x14ac:dyDescent="0.25">
      <c r="A1814" s="314"/>
      <c r="B1814" s="18">
        <v>2023</v>
      </c>
      <c r="C1814" s="18" t="s">
        <v>760</v>
      </c>
      <c r="D1814" s="18" t="s">
        <v>962</v>
      </c>
      <c r="E1814" s="18" t="s">
        <v>703</v>
      </c>
      <c r="F1814" s="18" t="s">
        <v>704</v>
      </c>
      <c r="G1814" s="18" t="s">
        <v>673</v>
      </c>
      <c r="H1814" s="18" t="s">
        <v>963</v>
      </c>
      <c r="I1814" s="315">
        <v>80.153208495741467</v>
      </c>
      <c r="J1814" s="315">
        <v>5.5357050850597209E-2</v>
      </c>
      <c r="K1814" s="316" t="str">
        <f t="shared" si="42"/>
        <v>Lawn and Garden Equipment</v>
      </c>
      <c r="L1814" s="316" t="str">
        <f t="shared" si="43"/>
        <v>Gasoline</v>
      </c>
      <c r="M1814" s="194"/>
      <c r="N1814" s="317"/>
      <c r="O1814" s="317"/>
      <c r="P1814" s="317"/>
      <c r="Q1814" s="317"/>
      <c r="R1814" s="317"/>
      <c r="S1814" s="317"/>
      <c r="T1814" s="317"/>
      <c r="U1814" s="317"/>
      <c r="V1814" s="317"/>
      <c r="W1814" s="317"/>
      <c r="X1814" s="317"/>
      <c r="Y1814" s="317"/>
      <c r="Z1814" s="317"/>
    </row>
    <row r="1815" spans="1:26" x14ac:dyDescent="0.25">
      <c r="A1815" s="314"/>
      <c r="B1815" s="18">
        <v>2023</v>
      </c>
      <c r="C1815" s="18" t="s">
        <v>753</v>
      </c>
      <c r="D1815" s="18" t="s">
        <v>868</v>
      </c>
      <c r="E1815" s="18" t="s">
        <v>703</v>
      </c>
      <c r="F1815" s="18" t="s">
        <v>704</v>
      </c>
      <c r="G1815" s="18" t="s">
        <v>673</v>
      </c>
      <c r="H1815" s="18" t="s">
        <v>758</v>
      </c>
      <c r="I1815" s="315">
        <v>80.063490026091586</v>
      </c>
      <c r="J1815" s="315">
        <v>5.2323142892179153E-2</v>
      </c>
      <c r="K1815" s="316" t="str">
        <f t="shared" si="42"/>
        <v>Lawn and Garden Equipment</v>
      </c>
      <c r="L1815" s="316" t="str">
        <f t="shared" si="43"/>
        <v>Gasoline</v>
      </c>
      <c r="M1815" s="194"/>
      <c r="N1815" s="317"/>
      <c r="O1815" s="317"/>
      <c r="P1815" s="317"/>
      <c r="Q1815" s="317"/>
      <c r="R1815" s="317"/>
      <c r="S1815" s="317"/>
      <c r="T1815" s="317"/>
      <c r="U1815" s="317"/>
      <c r="V1815" s="317"/>
      <c r="W1815" s="317"/>
      <c r="X1815" s="317"/>
      <c r="Y1815" s="317"/>
      <c r="Z1815" s="317"/>
    </row>
    <row r="1816" spans="1:26" x14ac:dyDescent="0.25">
      <c r="A1816" s="314"/>
      <c r="B1816" s="18">
        <v>2023</v>
      </c>
      <c r="C1816" s="18" t="s">
        <v>792</v>
      </c>
      <c r="D1816" s="18" t="s">
        <v>970</v>
      </c>
      <c r="E1816" s="18" t="s">
        <v>713</v>
      </c>
      <c r="F1816" s="18" t="s">
        <v>714</v>
      </c>
      <c r="G1816" s="18" t="s">
        <v>675</v>
      </c>
      <c r="H1816" s="18" t="s">
        <v>969</v>
      </c>
      <c r="I1816" s="315">
        <v>80.030216337192797</v>
      </c>
      <c r="J1816" s="315">
        <v>2.6002552623217885E-3</v>
      </c>
      <c r="K1816" s="316" t="str">
        <f t="shared" si="42"/>
        <v>Industrial Equipment</v>
      </c>
      <c r="L1816" s="316" t="str">
        <f t="shared" si="43"/>
        <v>Diesel</v>
      </c>
      <c r="M1816" s="194"/>
      <c r="N1816" s="317"/>
      <c r="O1816" s="317"/>
      <c r="P1816" s="317"/>
      <c r="Q1816" s="317"/>
      <c r="R1816" s="317"/>
      <c r="S1816" s="317"/>
      <c r="T1816" s="317"/>
      <c r="U1816" s="317"/>
      <c r="V1816" s="317"/>
      <c r="W1816" s="317"/>
      <c r="X1816" s="317"/>
      <c r="Y1816" s="317"/>
      <c r="Z1816" s="317"/>
    </row>
    <row r="1817" spans="1:26" x14ac:dyDescent="0.25">
      <c r="A1817" s="314"/>
      <c r="B1817" s="18">
        <v>2023</v>
      </c>
      <c r="C1817" s="18" t="s">
        <v>786</v>
      </c>
      <c r="D1817" s="18" t="s">
        <v>848</v>
      </c>
      <c r="E1817" s="18" t="s">
        <v>56</v>
      </c>
      <c r="F1817" s="18" t="s">
        <v>601</v>
      </c>
      <c r="G1817" s="18" t="s">
        <v>675</v>
      </c>
      <c r="H1817" s="18" t="s">
        <v>708</v>
      </c>
      <c r="I1817" s="315">
        <v>79.80232780370622</v>
      </c>
      <c r="J1817" s="315">
        <v>0.31747334439143227</v>
      </c>
      <c r="K1817" s="316" t="str">
        <f t="shared" si="42"/>
        <v>Industrial Equipment</v>
      </c>
      <c r="L1817" s="316" t="str">
        <f t="shared" si="43"/>
        <v>CNG</v>
      </c>
      <c r="M1817" s="194"/>
      <c r="N1817" s="317"/>
      <c r="O1817" s="317"/>
      <c r="P1817" s="317"/>
      <c r="Q1817" s="317"/>
      <c r="R1817" s="317"/>
      <c r="S1817" s="317"/>
      <c r="T1817" s="317"/>
      <c r="U1817" s="317"/>
      <c r="V1817" s="317"/>
      <c r="W1817" s="317"/>
      <c r="X1817" s="317"/>
      <c r="Y1817" s="317"/>
      <c r="Z1817" s="317"/>
    </row>
    <row r="1818" spans="1:26" x14ac:dyDescent="0.25">
      <c r="A1818" s="314"/>
      <c r="B1818" s="18">
        <v>2023</v>
      </c>
      <c r="C1818" s="18" t="s">
        <v>722</v>
      </c>
      <c r="D1818" s="18" t="s">
        <v>1017</v>
      </c>
      <c r="E1818" s="18" t="s">
        <v>703</v>
      </c>
      <c r="F1818" s="18" t="s">
        <v>704</v>
      </c>
      <c r="G1818" s="18" t="s">
        <v>673</v>
      </c>
      <c r="H1818" s="18" t="s">
        <v>806</v>
      </c>
      <c r="I1818" s="315">
        <v>79.739422951199984</v>
      </c>
      <c r="J1818" s="315">
        <v>5.6262962356486389E-2</v>
      </c>
      <c r="K1818" s="316" t="str">
        <f t="shared" si="42"/>
        <v>Lawn and Garden Equipment</v>
      </c>
      <c r="L1818" s="316" t="str">
        <f t="shared" si="43"/>
        <v>Gasoline</v>
      </c>
      <c r="M1818" s="194"/>
      <c r="N1818" s="317"/>
      <c r="O1818" s="317"/>
      <c r="P1818" s="317"/>
      <c r="Q1818" s="317"/>
      <c r="R1818" s="317"/>
      <c r="S1818" s="317"/>
      <c r="T1818" s="317"/>
      <c r="U1818" s="317"/>
      <c r="V1818" s="317"/>
      <c r="W1818" s="317"/>
      <c r="X1818" s="317"/>
      <c r="Y1818" s="317"/>
      <c r="Z1818" s="317"/>
    </row>
    <row r="1819" spans="1:26" x14ac:dyDescent="0.25">
      <c r="A1819" s="314"/>
      <c r="B1819" s="18">
        <v>2023</v>
      </c>
      <c r="C1819" s="18" t="s">
        <v>754</v>
      </c>
      <c r="D1819" s="18" t="s">
        <v>1001</v>
      </c>
      <c r="E1819" s="18" t="s">
        <v>713</v>
      </c>
      <c r="F1819" s="18" t="s">
        <v>683</v>
      </c>
      <c r="G1819" s="18" t="s">
        <v>79</v>
      </c>
      <c r="H1819" s="18" t="s">
        <v>1002</v>
      </c>
      <c r="I1819" s="315">
        <v>79.622983424109407</v>
      </c>
      <c r="J1819" s="315">
        <v>2.6762593452658513E-3</v>
      </c>
      <c r="K1819" s="316" t="str">
        <f t="shared" si="42"/>
        <v>Railroad Equipment</v>
      </c>
      <c r="L1819" s="316" t="str">
        <f t="shared" si="43"/>
        <v>Diesel</v>
      </c>
      <c r="M1819" s="194"/>
      <c r="N1819" s="317"/>
      <c r="O1819" s="317"/>
      <c r="P1819" s="317"/>
      <c r="Q1819" s="317"/>
      <c r="R1819" s="317"/>
      <c r="S1819" s="317"/>
      <c r="T1819" s="317"/>
      <c r="U1819" s="317"/>
      <c r="V1819" s="317"/>
      <c r="W1819" s="317"/>
      <c r="X1819" s="317"/>
      <c r="Y1819" s="317"/>
      <c r="Z1819" s="317"/>
    </row>
    <row r="1820" spans="1:26" x14ac:dyDescent="0.25">
      <c r="A1820" s="314"/>
      <c r="B1820" s="18">
        <v>2023</v>
      </c>
      <c r="C1820" s="18" t="s">
        <v>787</v>
      </c>
      <c r="D1820" s="18" t="s">
        <v>966</v>
      </c>
      <c r="E1820" s="18" t="s">
        <v>703</v>
      </c>
      <c r="F1820" s="18" t="s">
        <v>704</v>
      </c>
      <c r="G1820" s="18" t="s">
        <v>674</v>
      </c>
      <c r="H1820" s="18" t="s">
        <v>967</v>
      </c>
      <c r="I1820" s="315">
        <v>79.214627850014878</v>
      </c>
      <c r="J1820" s="315">
        <v>5.4928481286003639E-2</v>
      </c>
      <c r="K1820" s="316" t="str">
        <f t="shared" si="42"/>
        <v>Construction and Mining Equipment</v>
      </c>
      <c r="L1820" s="316" t="str">
        <f t="shared" si="43"/>
        <v>Gasoline</v>
      </c>
      <c r="M1820" s="194"/>
      <c r="N1820" s="317"/>
      <c r="O1820" s="317"/>
      <c r="P1820" s="317"/>
      <c r="Q1820" s="317"/>
      <c r="R1820" s="317"/>
      <c r="S1820" s="317"/>
      <c r="T1820" s="317"/>
      <c r="U1820" s="317"/>
      <c r="V1820" s="317"/>
      <c r="W1820" s="317"/>
      <c r="X1820" s="317"/>
      <c r="Y1820" s="317"/>
      <c r="Z1820" s="317"/>
    </row>
    <row r="1821" spans="1:26" x14ac:dyDescent="0.25">
      <c r="A1821" s="314"/>
      <c r="B1821" s="18">
        <v>2023</v>
      </c>
      <c r="C1821" s="18" t="s">
        <v>754</v>
      </c>
      <c r="D1821" s="18" t="s">
        <v>1153</v>
      </c>
      <c r="E1821" s="18" t="s">
        <v>713</v>
      </c>
      <c r="F1821" s="18" t="s">
        <v>714</v>
      </c>
      <c r="G1821" s="18" t="s">
        <v>678</v>
      </c>
      <c r="H1821" s="18" t="s">
        <v>1154</v>
      </c>
      <c r="I1821" s="315">
        <v>79.204504515736801</v>
      </c>
      <c r="J1821" s="315">
        <v>1.0337700987269212E-3</v>
      </c>
      <c r="K1821" s="316" t="str">
        <f t="shared" si="42"/>
        <v>Agricultural Equipment</v>
      </c>
      <c r="L1821" s="316" t="str">
        <f t="shared" si="43"/>
        <v>Diesel</v>
      </c>
      <c r="M1821" s="194"/>
      <c r="N1821" s="317"/>
      <c r="O1821" s="317"/>
      <c r="P1821" s="317"/>
      <c r="Q1821" s="317"/>
      <c r="R1821" s="317"/>
      <c r="S1821" s="317"/>
      <c r="T1821" s="317"/>
      <c r="U1821" s="317"/>
      <c r="V1821" s="317"/>
      <c r="W1821" s="317"/>
      <c r="X1821" s="317"/>
      <c r="Y1821" s="317"/>
      <c r="Z1821" s="317"/>
    </row>
    <row r="1822" spans="1:26" x14ac:dyDescent="0.25">
      <c r="A1822" s="314"/>
      <c r="B1822" s="18">
        <v>2023</v>
      </c>
      <c r="C1822" s="18" t="s">
        <v>754</v>
      </c>
      <c r="D1822" s="18" t="s">
        <v>979</v>
      </c>
      <c r="E1822" s="18" t="s">
        <v>703</v>
      </c>
      <c r="F1822" s="18" t="s">
        <v>704</v>
      </c>
      <c r="G1822" s="18" t="s">
        <v>675</v>
      </c>
      <c r="H1822" s="18" t="s">
        <v>802</v>
      </c>
      <c r="I1822" s="315">
        <v>79.201974892126145</v>
      </c>
      <c r="J1822" s="315">
        <v>2.8618268059072961E-2</v>
      </c>
      <c r="K1822" s="316" t="str">
        <f t="shared" si="42"/>
        <v>Industrial Equipment</v>
      </c>
      <c r="L1822" s="316" t="str">
        <f t="shared" si="43"/>
        <v>Gasoline</v>
      </c>
      <c r="M1822" s="194"/>
      <c r="N1822" s="317"/>
      <c r="O1822" s="317"/>
      <c r="P1822" s="317"/>
      <c r="Q1822" s="317"/>
      <c r="R1822" s="317"/>
      <c r="S1822" s="317"/>
      <c r="T1822" s="317"/>
      <c r="U1822" s="317"/>
      <c r="V1822" s="317"/>
      <c r="W1822" s="317"/>
      <c r="X1822" s="317"/>
      <c r="Y1822" s="317"/>
      <c r="Z1822" s="317"/>
    </row>
    <row r="1823" spans="1:26" x14ac:dyDescent="0.25">
      <c r="A1823" s="314"/>
      <c r="B1823" s="18">
        <v>2023</v>
      </c>
      <c r="C1823" s="18" t="s">
        <v>743</v>
      </c>
      <c r="D1823" s="18" t="s">
        <v>1079</v>
      </c>
      <c r="E1823" s="18" t="s">
        <v>713</v>
      </c>
      <c r="F1823" s="18" t="s">
        <v>714</v>
      </c>
      <c r="G1823" s="18" t="s">
        <v>678</v>
      </c>
      <c r="H1823" s="18" t="s">
        <v>1080</v>
      </c>
      <c r="I1823" s="315">
        <v>78.968949127199011</v>
      </c>
      <c r="J1823" s="315">
        <v>5.7311098610715269E-4</v>
      </c>
      <c r="K1823" s="316" t="str">
        <f t="shared" si="42"/>
        <v>Agricultural Equipment</v>
      </c>
      <c r="L1823" s="316" t="str">
        <f t="shared" si="43"/>
        <v>Diesel</v>
      </c>
      <c r="M1823" s="194"/>
      <c r="N1823" s="317"/>
      <c r="O1823" s="317"/>
      <c r="P1823" s="317"/>
      <c r="Q1823" s="317"/>
      <c r="R1823" s="317"/>
      <c r="S1823" s="317"/>
      <c r="T1823" s="317"/>
      <c r="U1823" s="317"/>
      <c r="V1823" s="317"/>
      <c r="W1823" s="317"/>
      <c r="X1823" s="317"/>
      <c r="Y1823" s="317"/>
      <c r="Z1823" s="317"/>
    </row>
    <row r="1824" spans="1:26" x14ac:dyDescent="0.25">
      <c r="A1824" s="314"/>
      <c r="B1824" s="18">
        <v>2023</v>
      </c>
      <c r="C1824" s="18" t="s">
        <v>781</v>
      </c>
      <c r="D1824" s="18" t="s">
        <v>776</v>
      </c>
      <c r="E1824" s="18" t="s">
        <v>713</v>
      </c>
      <c r="F1824" s="18" t="s">
        <v>714</v>
      </c>
      <c r="G1824" s="18" t="s">
        <v>674</v>
      </c>
      <c r="H1824" s="18" t="s">
        <v>777</v>
      </c>
      <c r="I1824" s="315">
        <v>78.896052242484814</v>
      </c>
      <c r="J1824" s="315">
        <v>3.1379494273239768E-4</v>
      </c>
      <c r="K1824" s="316" t="str">
        <f t="shared" si="42"/>
        <v>Construction and Mining Equipment</v>
      </c>
      <c r="L1824" s="316" t="str">
        <f t="shared" si="43"/>
        <v>Diesel</v>
      </c>
      <c r="M1824" s="194"/>
      <c r="N1824" s="317"/>
      <c r="O1824" s="317"/>
      <c r="P1824" s="317"/>
      <c r="Q1824" s="317"/>
      <c r="R1824" s="317"/>
      <c r="S1824" s="317"/>
      <c r="T1824" s="317"/>
      <c r="U1824" s="317"/>
      <c r="V1824" s="317"/>
      <c r="W1824" s="317"/>
      <c r="X1824" s="317"/>
      <c r="Y1824" s="317"/>
      <c r="Z1824" s="317"/>
    </row>
    <row r="1825" spans="1:26" x14ac:dyDescent="0.25">
      <c r="A1825" s="314"/>
      <c r="B1825" s="18">
        <v>2023</v>
      </c>
      <c r="C1825" s="18" t="s">
        <v>787</v>
      </c>
      <c r="D1825" s="18" t="s">
        <v>970</v>
      </c>
      <c r="E1825" s="18" t="s">
        <v>713</v>
      </c>
      <c r="F1825" s="18" t="s">
        <v>714</v>
      </c>
      <c r="G1825" s="18" t="s">
        <v>675</v>
      </c>
      <c r="H1825" s="18" t="s">
        <v>969</v>
      </c>
      <c r="I1825" s="315">
        <v>78.884209405903363</v>
      </c>
      <c r="J1825" s="315">
        <v>2.5630163733988531E-3</v>
      </c>
      <c r="K1825" s="316" t="str">
        <f t="shared" si="42"/>
        <v>Industrial Equipment</v>
      </c>
      <c r="L1825" s="316" t="str">
        <f t="shared" si="43"/>
        <v>Diesel</v>
      </c>
      <c r="M1825" s="194"/>
      <c r="N1825" s="317"/>
      <c r="O1825" s="317"/>
      <c r="P1825" s="317"/>
      <c r="Q1825" s="317"/>
      <c r="R1825" s="317"/>
      <c r="S1825" s="317"/>
      <c r="T1825" s="317"/>
      <c r="U1825" s="317"/>
      <c r="V1825" s="317"/>
      <c r="W1825" s="317"/>
      <c r="X1825" s="317"/>
      <c r="Y1825" s="317"/>
      <c r="Z1825" s="317"/>
    </row>
    <row r="1826" spans="1:26" x14ac:dyDescent="0.25">
      <c r="A1826" s="314"/>
      <c r="B1826" s="18">
        <v>2023</v>
      </c>
      <c r="C1826" s="18" t="s">
        <v>762</v>
      </c>
      <c r="D1826" s="18" t="s">
        <v>848</v>
      </c>
      <c r="E1826" s="18" t="s">
        <v>56</v>
      </c>
      <c r="F1826" s="18" t="s">
        <v>601</v>
      </c>
      <c r="G1826" s="18" t="s">
        <v>675</v>
      </c>
      <c r="H1826" s="18" t="s">
        <v>708</v>
      </c>
      <c r="I1826" s="315">
        <v>78.846352728552304</v>
      </c>
      <c r="J1826" s="315">
        <v>0.3136702977402604</v>
      </c>
      <c r="K1826" s="316" t="str">
        <f t="shared" si="42"/>
        <v>Industrial Equipment</v>
      </c>
      <c r="L1826" s="316" t="str">
        <f t="shared" si="43"/>
        <v>CNG</v>
      </c>
      <c r="M1826" s="194"/>
      <c r="N1826" s="317"/>
      <c r="O1826" s="317"/>
      <c r="P1826" s="317"/>
      <c r="Q1826" s="317"/>
      <c r="R1826" s="317"/>
      <c r="S1826" s="317"/>
      <c r="T1826" s="317"/>
      <c r="U1826" s="317"/>
      <c r="V1826" s="317"/>
      <c r="W1826" s="317"/>
      <c r="X1826" s="317"/>
      <c r="Y1826" s="317"/>
      <c r="Z1826" s="317"/>
    </row>
    <row r="1827" spans="1:26" x14ac:dyDescent="0.25">
      <c r="A1827" s="314"/>
      <c r="B1827" s="18">
        <v>2023</v>
      </c>
      <c r="C1827" s="18" t="s">
        <v>732</v>
      </c>
      <c r="D1827" s="18" t="s">
        <v>1022</v>
      </c>
      <c r="E1827" s="18" t="s">
        <v>703</v>
      </c>
      <c r="F1827" s="18" t="s">
        <v>704</v>
      </c>
      <c r="G1827" s="18" t="s">
        <v>675</v>
      </c>
      <c r="H1827" s="18" t="s">
        <v>772</v>
      </c>
      <c r="I1827" s="315">
        <v>78.808209450260378</v>
      </c>
      <c r="J1827" s="315">
        <v>5.5825969609843507E-3</v>
      </c>
      <c r="K1827" s="316" t="str">
        <f t="shared" si="42"/>
        <v>Industrial Equipment</v>
      </c>
      <c r="L1827" s="316" t="str">
        <f t="shared" si="43"/>
        <v>Gasoline</v>
      </c>
      <c r="M1827" s="194"/>
      <c r="N1827" s="317"/>
      <c r="O1827" s="317"/>
      <c r="P1827" s="317"/>
      <c r="Q1827" s="317"/>
      <c r="R1827" s="317"/>
      <c r="S1827" s="317"/>
      <c r="T1827" s="317"/>
      <c r="U1827" s="317"/>
      <c r="V1827" s="317"/>
      <c r="W1827" s="317"/>
      <c r="X1827" s="317"/>
      <c r="Y1827" s="317"/>
      <c r="Z1827" s="317"/>
    </row>
    <row r="1828" spans="1:26" x14ac:dyDescent="0.25">
      <c r="A1828" s="314"/>
      <c r="B1828" s="18">
        <v>2023</v>
      </c>
      <c r="C1828" s="18" t="s">
        <v>778</v>
      </c>
      <c r="D1828" s="18" t="s">
        <v>977</v>
      </c>
      <c r="E1828" s="18" t="s">
        <v>703</v>
      </c>
      <c r="F1828" s="18" t="s">
        <v>805</v>
      </c>
      <c r="G1828" s="18" t="s">
        <v>673</v>
      </c>
      <c r="H1828" s="18" t="s">
        <v>978</v>
      </c>
      <c r="I1828" s="315">
        <v>78.510819865677234</v>
      </c>
      <c r="J1828" s="315">
        <v>0.1336864627828403</v>
      </c>
      <c r="K1828" s="316" t="str">
        <f t="shared" si="42"/>
        <v>Lawn and Garden Equipment</v>
      </c>
      <c r="L1828" s="316" t="str">
        <f t="shared" si="43"/>
        <v>Gasoline</v>
      </c>
      <c r="M1828" s="194"/>
      <c r="N1828" s="317"/>
      <c r="O1828" s="317"/>
      <c r="P1828" s="317"/>
      <c r="Q1828" s="317"/>
      <c r="R1828" s="317"/>
      <c r="S1828" s="317"/>
      <c r="T1828" s="317"/>
      <c r="U1828" s="317"/>
      <c r="V1828" s="317"/>
      <c r="W1828" s="317"/>
      <c r="X1828" s="317"/>
      <c r="Y1828" s="317"/>
      <c r="Z1828" s="317"/>
    </row>
    <row r="1829" spans="1:26" x14ac:dyDescent="0.25">
      <c r="A1829" s="314"/>
      <c r="B1829" s="18">
        <v>2023</v>
      </c>
      <c r="C1829" s="18" t="s">
        <v>722</v>
      </c>
      <c r="D1829" s="18" t="s">
        <v>1016</v>
      </c>
      <c r="E1829" s="18" t="s">
        <v>56</v>
      </c>
      <c r="F1829" s="18" t="s">
        <v>672</v>
      </c>
      <c r="G1829" s="18" t="s">
        <v>675</v>
      </c>
      <c r="H1829" s="18" t="s">
        <v>802</v>
      </c>
      <c r="I1829" s="315">
        <v>78.33476343528443</v>
      </c>
      <c r="J1829" s="315">
        <v>3.5938248246019785E-3</v>
      </c>
      <c r="K1829" s="316" t="str">
        <f t="shared" si="42"/>
        <v>Industrial Equipment</v>
      </c>
      <c r="L1829" s="316" t="str">
        <f t="shared" si="43"/>
        <v>LPG</v>
      </c>
      <c r="M1829" s="194"/>
      <c r="N1829" s="317"/>
      <c r="O1829" s="317"/>
      <c r="P1829" s="317"/>
      <c r="Q1829" s="317"/>
      <c r="R1829" s="317"/>
      <c r="S1829" s="317"/>
      <c r="T1829" s="317"/>
      <c r="U1829" s="317"/>
      <c r="V1829" s="317"/>
      <c r="W1829" s="317"/>
      <c r="X1829" s="317"/>
      <c r="Y1829" s="317"/>
      <c r="Z1829" s="317"/>
    </row>
    <row r="1830" spans="1:26" x14ac:dyDescent="0.25">
      <c r="A1830" s="314"/>
      <c r="B1830" s="18">
        <v>2023</v>
      </c>
      <c r="C1830" s="18" t="s">
        <v>762</v>
      </c>
      <c r="D1830" s="18" t="s">
        <v>1007</v>
      </c>
      <c r="E1830" s="18" t="s">
        <v>703</v>
      </c>
      <c r="F1830" s="18" t="s">
        <v>795</v>
      </c>
      <c r="G1830" s="18" t="s">
        <v>679</v>
      </c>
      <c r="H1830" s="18" t="s">
        <v>1008</v>
      </c>
      <c r="I1830" s="315">
        <v>78.146052475348071</v>
      </c>
      <c r="J1830" s="315">
        <v>5.6821952950384093E-2</v>
      </c>
      <c r="K1830" s="316" t="str">
        <f t="shared" si="42"/>
        <v>Recreational Equipment</v>
      </c>
      <c r="L1830" s="316" t="str">
        <f t="shared" si="43"/>
        <v>Gasoline</v>
      </c>
      <c r="M1830" s="194"/>
      <c r="N1830" s="317"/>
      <c r="O1830" s="317"/>
      <c r="P1830" s="317"/>
      <c r="Q1830" s="317"/>
      <c r="R1830" s="317"/>
      <c r="S1830" s="317"/>
      <c r="T1830" s="317"/>
      <c r="U1830" s="317"/>
      <c r="V1830" s="317"/>
      <c r="W1830" s="317"/>
      <c r="X1830" s="317"/>
      <c r="Y1830" s="317"/>
      <c r="Z1830" s="317"/>
    </row>
    <row r="1831" spans="1:26" x14ac:dyDescent="0.25">
      <c r="A1831" s="314"/>
      <c r="B1831" s="18">
        <v>2023</v>
      </c>
      <c r="C1831" s="18" t="s">
        <v>750</v>
      </c>
      <c r="D1831" s="18" t="s">
        <v>1007</v>
      </c>
      <c r="E1831" s="18" t="s">
        <v>703</v>
      </c>
      <c r="F1831" s="18" t="s">
        <v>795</v>
      </c>
      <c r="G1831" s="18" t="s">
        <v>679</v>
      </c>
      <c r="H1831" s="18" t="s">
        <v>1008</v>
      </c>
      <c r="I1831" s="315">
        <v>78.146052475348071</v>
      </c>
      <c r="J1831" s="315">
        <v>5.6821952950384093E-2</v>
      </c>
      <c r="K1831" s="316" t="str">
        <f t="shared" si="42"/>
        <v>Recreational Equipment</v>
      </c>
      <c r="L1831" s="316" t="str">
        <f t="shared" si="43"/>
        <v>Gasoline</v>
      </c>
      <c r="M1831" s="194"/>
      <c r="N1831" s="317"/>
      <c r="O1831" s="317"/>
      <c r="P1831" s="317"/>
      <c r="Q1831" s="317"/>
      <c r="R1831" s="317"/>
      <c r="S1831" s="317"/>
      <c r="T1831" s="317"/>
      <c r="U1831" s="317"/>
      <c r="V1831" s="317"/>
      <c r="W1831" s="317"/>
      <c r="X1831" s="317"/>
      <c r="Y1831" s="317"/>
      <c r="Z1831" s="317"/>
    </row>
    <row r="1832" spans="1:26" x14ac:dyDescent="0.25">
      <c r="A1832" s="314"/>
      <c r="B1832" s="18">
        <v>2023</v>
      </c>
      <c r="C1832" s="18" t="s">
        <v>709</v>
      </c>
      <c r="D1832" s="18" t="s">
        <v>1084</v>
      </c>
      <c r="E1832" s="18" t="s">
        <v>703</v>
      </c>
      <c r="F1832" s="18" t="s">
        <v>704</v>
      </c>
      <c r="G1832" s="18" t="s">
        <v>674</v>
      </c>
      <c r="H1832" s="18" t="s">
        <v>863</v>
      </c>
      <c r="I1832" s="315">
        <v>77.957075600031587</v>
      </c>
      <c r="J1832" s="315">
        <v>4.5565725501321153E-2</v>
      </c>
      <c r="K1832" s="316" t="str">
        <f t="shared" si="42"/>
        <v>Construction and Mining Equipment</v>
      </c>
      <c r="L1832" s="316" t="str">
        <f t="shared" si="43"/>
        <v>Gasoline</v>
      </c>
      <c r="M1832" s="194"/>
      <c r="N1832" s="317"/>
      <c r="O1832" s="317"/>
      <c r="P1832" s="317"/>
      <c r="Q1832" s="317"/>
      <c r="R1832" s="317"/>
      <c r="S1832" s="317"/>
      <c r="T1832" s="317"/>
      <c r="U1832" s="317"/>
      <c r="V1832" s="317"/>
      <c r="W1832" s="317"/>
      <c r="X1832" s="317"/>
      <c r="Y1832" s="317"/>
      <c r="Z1832" s="317"/>
    </row>
    <row r="1833" spans="1:26" x14ac:dyDescent="0.25">
      <c r="A1833" s="314"/>
      <c r="B1833" s="18">
        <v>2023</v>
      </c>
      <c r="C1833" s="18" t="s">
        <v>787</v>
      </c>
      <c r="D1833" s="18" t="s">
        <v>799</v>
      </c>
      <c r="E1833" s="18" t="s">
        <v>703</v>
      </c>
      <c r="F1833" s="18" t="s">
        <v>795</v>
      </c>
      <c r="G1833" s="18" t="s">
        <v>673</v>
      </c>
      <c r="H1833" s="18" t="s">
        <v>800</v>
      </c>
      <c r="I1833" s="315">
        <v>77.9160008798208</v>
      </c>
      <c r="J1833" s="315">
        <v>0.1470282437210467</v>
      </c>
      <c r="K1833" s="316" t="str">
        <f t="shared" ref="K1833:K2087" si="44">IF(F1833="Pleasure Craft","Pleasure Craft",IF(F1833="Railroad Equipment","Railroad Equipment",G1833))</f>
        <v>Lawn and Garden Equipment</v>
      </c>
      <c r="L1833" s="316" t="str">
        <f t="shared" ref="L1833:L2087" si="45">IF(E1833="Non-Road Gasoline","Gasoline",IF(E1833="Non-Road Diesel","Diesel",IF(RIGHT(F1833,3)="LPG","LPG",IF(RIGHT(F1833,3)="CNG","CNG",G1833))))</f>
        <v>Gasoline</v>
      </c>
      <c r="M1833" s="194"/>
      <c r="N1833" s="317"/>
      <c r="O1833" s="317"/>
      <c r="P1833" s="317"/>
      <c r="Q1833" s="317"/>
      <c r="R1833" s="317"/>
      <c r="S1833" s="317"/>
      <c r="T1833" s="317"/>
      <c r="U1833" s="317"/>
      <c r="V1833" s="317"/>
      <c r="W1833" s="317"/>
      <c r="X1833" s="317"/>
      <c r="Y1833" s="317"/>
      <c r="Z1833" s="317"/>
    </row>
    <row r="1834" spans="1:26" ht="12.75" x14ac:dyDescent="0.2">
      <c r="A1834" s="230"/>
      <c r="B1834" s="18">
        <v>2023</v>
      </c>
      <c r="C1834" s="18" t="s">
        <v>732</v>
      </c>
      <c r="D1834" s="18" t="s">
        <v>1009</v>
      </c>
      <c r="E1834" s="18" t="s">
        <v>713</v>
      </c>
      <c r="F1834" s="18" t="s">
        <v>714</v>
      </c>
      <c r="G1834" s="18" t="s">
        <v>673</v>
      </c>
      <c r="H1834" s="18" t="s">
        <v>1010</v>
      </c>
      <c r="I1834" s="315">
        <v>77.673568450897889</v>
      </c>
      <c r="J1834" s="315">
        <v>1.1335284704620001E-3</v>
      </c>
      <c r="K1834" s="316" t="str">
        <f t="shared" si="44"/>
        <v>Lawn and Garden Equipment</v>
      </c>
      <c r="L1834" s="316" t="str">
        <f t="shared" si="45"/>
        <v>Diesel</v>
      </c>
      <c r="M1834" s="8"/>
      <c r="N1834" s="2"/>
      <c r="O1834" s="2"/>
      <c r="P1834" s="2"/>
      <c r="Q1834" s="2"/>
      <c r="R1834" s="2"/>
      <c r="S1834" s="2"/>
      <c r="T1834" s="2"/>
      <c r="U1834" s="2"/>
      <c r="V1834" s="2"/>
      <c r="W1834" s="2"/>
      <c r="X1834" s="2"/>
      <c r="Y1834" s="2"/>
      <c r="Z1834" s="2"/>
    </row>
    <row r="1835" spans="1:26" ht="12.75" x14ac:dyDescent="0.2">
      <c r="A1835" s="230"/>
      <c r="B1835" s="18">
        <v>2023</v>
      </c>
      <c r="C1835" s="18" t="s">
        <v>760</v>
      </c>
      <c r="D1835" s="18" t="s">
        <v>1014</v>
      </c>
      <c r="E1835" s="18" t="s">
        <v>713</v>
      </c>
      <c r="F1835" s="18" t="s">
        <v>714</v>
      </c>
      <c r="G1835" s="18" t="s">
        <v>674</v>
      </c>
      <c r="H1835" s="18" t="s">
        <v>994</v>
      </c>
      <c r="I1835" s="315">
        <v>77.328847672539666</v>
      </c>
      <c r="J1835" s="315">
        <v>1.0072933401248474E-3</v>
      </c>
      <c r="K1835" s="316" t="str">
        <f t="shared" si="44"/>
        <v>Construction and Mining Equipment</v>
      </c>
      <c r="L1835" s="316" t="str">
        <f t="shared" si="45"/>
        <v>Diesel</v>
      </c>
      <c r="M1835" s="8"/>
      <c r="N1835" s="2"/>
      <c r="O1835" s="2"/>
      <c r="P1835" s="2"/>
      <c r="Q1835" s="2"/>
      <c r="R1835" s="2"/>
      <c r="S1835" s="2"/>
      <c r="T1835" s="2"/>
      <c r="U1835" s="2"/>
      <c r="V1835" s="2"/>
      <c r="W1835" s="2"/>
      <c r="X1835" s="2"/>
      <c r="Y1835" s="2"/>
      <c r="Z1835" s="2"/>
    </row>
    <row r="1836" spans="1:26" ht="12.75" x14ac:dyDescent="0.2">
      <c r="A1836" s="230"/>
      <c r="B1836" s="18">
        <v>2023</v>
      </c>
      <c r="C1836" s="18" t="s">
        <v>701</v>
      </c>
      <c r="D1836" s="18" t="s">
        <v>1081</v>
      </c>
      <c r="E1836" s="18" t="s">
        <v>703</v>
      </c>
      <c r="F1836" s="18" t="s">
        <v>805</v>
      </c>
      <c r="G1836" s="18" t="s">
        <v>674</v>
      </c>
      <c r="H1836" s="18" t="s">
        <v>1082</v>
      </c>
      <c r="I1836" s="315">
        <v>77.22225960282357</v>
      </c>
      <c r="J1836" s="315">
        <v>0.12525726693786396</v>
      </c>
      <c r="K1836" s="316" t="str">
        <f t="shared" si="44"/>
        <v>Construction and Mining Equipment</v>
      </c>
      <c r="L1836" s="316" t="str">
        <f t="shared" si="45"/>
        <v>Gasoline</v>
      </c>
      <c r="M1836" s="8"/>
      <c r="N1836" s="2"/>
      <c r="O1836" s="2"/>
      <c r="P1836" s="2"/>
      <c r="Q1836" s="2"/>
      <c r="R1836" s="2"/>
      <c r="S1836" s="2"/>
      <c r="T1836" s="2"/>
      <c r="U1836" s="2"/>
      <c r="V1836" s="2"/>
      <c r="W1836" s="2"/>
      <c r="X1836" s="2"/>
      <c r="Y1836" s="2"/>
      <c r="Z1836" s="2"/>
    </row>
    <row r="1837" spans="1:26" ht="12.75" x14ac:dyDescent="0.2">
      <c r="A1837" s="230"/>
      <c r="B1837" s="18">
        <v>2023</v>
      </c>
      <c r="C1837" s="18" t="s">
        <v>786</v>
      </c>
      <c r="D1837" s="18" t="s">
        <v>840</v>
      </c>
      <c r="E1837" s="18" t="s">
        <v>703</v>
      </c>
      <c r="F1837" s="18" t="s">
        <v>704</v>
      </c>
      <c r="G1837" s="18" t="s">
        <v>677</v>
      </c>
      <c r="H1837" s="18" t="s">
        <v>841</v>
      </c>
      <c r="I1837" s="315">
        <v>76.943609082313273</v>
      </c>
      <c r="J1837" s="315">
        <v>5.0679771270166908E-2</v>
      </c>
      <c r="K1837" s="316" t="str">
        <f t="shared" si="44"/>
        <v>Commercial Equipment</v>
      </c>
      <c r="L1837" s="316" t="str">
        <f t="shared" si="45"/>
        <v>Gasoline</v>
      </c>
      <c r="M1837" s="8"/>
      <c r="N1837" s="2"/>
      <c r="O1837" s="2"/>
      <c r="P1837" s="2"/>
      <c r="Q1837" s="2"/>
      <c r="R1837" s="2"/>
      <c r="S1837" s="2"/>
      <c r="T1837" s="2"/>
      <c r="U1837" s="2"/>
      <c r="V1837" s="2"/>
      <c r="W1837" s="2"/>
      <c r="X1837" s="2"/>
      <c r="Y1837" s="2"/>
      <c r="Z1837" s="2"/>
    </row>
    <row r="1838" spans="1:26" ht="12.75" x14ac:dyDescent="0.2">
      <c r="A1838" s="230"/>
      <c r="B1838" s="18">
        <v>2023</v>
      </c>
      <c r="C1838" s="18" t="s">
        <v>706</v>
      </c>
      <c r="D1838" s="18" t="s">
        <v>1213</v>
      </c>
      <c r="E1838" s="18" t="s">
        <v>56</v>
      </c>
      <c r="F1838" s="18" t="s">
        <v>672</v>
      </c>
      <c r="G1838" s="18" t="s">
        <v>674</v>
      </c>
      <c r="H1838" s="18" t="s">
        <v>715</v>
      </c>
      <c r="I1838" s="315">
        <v>76.860931324748691</v>
      </c>
      <c r="J1838" s="315">
        <v>3.4905137015517418E-3</v>
      </c>
      <c r="K1838" s="316" t="str">
        <f t="shared" si="44"/>
        <v>Construction and Mining Equipment</v>
      </c>
      <c r="L1838" s="316" t="str">
        <f t="shared" si="45"/>
        <v>LPG</v>
      </c>
      <c r="M1838" s="8"/>
      <c r="N1838" s="2"/>
      <c r="O1838" s="2"/>
      <c r="P1838" s="2"/>
      <c r="Q1838" s="2"/>
      <c r="R1838" s="2"/>
      <c r="S1838" s="2"/>
      <c r="T1838" s="2"/>
      <c r="U1838" s="2"/>
      <c r="V1838" s="2"/>
      <c r="W1838" s="2"/>
      <c r="X1838" s="2"/>
      <c r="Y1838" s="2"/>
      <c r="Z1838" s="2"/>
    </row>
    <row r="1839" spans="1:26" ht="12.75" x14ac:dyDescent="0.2">
      <c r="A1839" s="230"/>
      <c r="B1839" s="18">
        <v>2023</v>
      </c>
      <c r="C1839" s="18" t="s">
        <v>810</v>
      </c>
      <c r="D1839" s="18" t="s">
        <v>848</v>
      </c>
      <c r="E1839" s="18" t="s">
        <v>56</v>
      </c>
      <c r="F1839" s="18" t="s">
        <v>601</v>
      </c>
      <c r="G1839" s="18" t="s">
        <v>675</v>
      </c>
      <c r="H1839" s="18" t="s">
        <v>708</v>
      </c>
      <c r="I1839" s="315">
        <v>76.797849355358437</v>
      </c>
      <c r="J1839" s="315">
        <v>0.30552061136197761</v>
      </c>
      <c r="K1839" s="316" t="str">
        <f t="shared" si="44"/>
        <v>Industrial Equipment</v>
      </c>
      <c r="L1839" s="316" t="str">
        <f t="shared" si="45"/>
        <v>CNG</v>
      </c>
      <c r="M1839" s="8"/>
      <c r="N1839" s="2"/>
      <c r="O1839" s="2"/>
      <c r="P1839" s="2"/>
      <c r="Q1839" s="2"/>
      <c r="R1839" s="2"/>
      <c r="S1839" s="2"/>
      <c r="T1839" s="2"/>
      <c r="U1839" s="2"/>
      <c r="V1839" s="2"/>
      <c r="W1839" s="2"/>
      <c r="X1839" s="2"/>
      <c r="Y1839" s="2"/>
      <c r="Z1839" s="2"/>
    </row>
    <row r="1840" spans="1:26" ht="12.75" x14ac:dyDescent="0.2">
      <c r="A1840" s="230"/>
      <c r="B1840" s="18">
        <v>2023</v>
      </c>
      <c r="C1840" s="18" t="s">
        <v>711</v>
      </c>
      <c r="D1840" s="18" t="s">
        <v>1071</v>
      </c>
      <c r="E1840" s="18" t="s">
        <v>713</v>
      </c>
      <c r="F1840" s="18" t="s">
        <v>714</v>
      </c>
      <c r="G1840" s="18" t="s">
        <v>674</v>
      </c>
      <c r="H1840" s="18" t="s">
        <v>1072</v>
      </c>
      <c r="I1840" s="315">
        <v>76.555731791327332</v>
      </c>
      <c r="J1840" s="315">
        <v>1.0250313789531321E-3</v>
      </c>
      <c r="K1840" s="316" t="str">
        <f t="shared" si="44"/>
        <v>Construction and Mining Equipment</v>
      </c>
      <c r="L1840" s="316" t="str">
        <f t="shared" si="45"/>
        <v>Diesel</v>
      </c>
      <c r="M1840" s="8"/>
      <c r="N1840" s="2"/>
      <c r="O1840" s="2"/>
      <c r="P1840" s="2"/>
      <c r="Q1840" s="2"/>
      <c r="R1840" s="2"/>
      <c r="S1840" s="2"/>
      <c r="T1840" s="2"/>
      <c r="U1840" s="2"/>
      <c r="V1840" s="2"/>
      <c r="W1840" s="2"/>
      <c r="X1840" s="2"/>
      <c r="Y1840" s="2"/>
      <c r="Z1840" s="2"/>
    </row>
    <row r="1841" spans="1:26" ht="12.75" x14ac:dyDescent="0.2">
      <c r="A1841" s="230"/>
      <c r="B1841" s="18">
        <v>2023</v>
      </c>
      <c r="C1841" s="18" t="s">
        <v>706</v>
      </c>
      <c r="D1841" s="18" t="s">
        <v>1214</v>
      </c>
      <c r="E1841" s="18" t="s">
        <v>713</v>
      </c>
      <c r="F1841" s="18" t="s">
        <v>714</v>
      </c>
      <c r="G1841" s="18" t="s">
        <v>674</v>
      </c>
      <c r="H1841" s="18" t="s">
        <v>999</v>
      </c>
      <c r="I1841" s="315">
        <v>76.258977857145169</v>
      </c>
      <c r="J1841" s="315">
        <v>2.2576411908115609E-3</v>
      </c>
      <c r="K1841" s="316" t="str">
        <f t="shared" si="44"/>
        <v>Construction and Mining Equipment</v>
      </c>
      <c r="L1841" s="316" t="str">
        <f t="shared" si="45"/>
        <v>Diesel</v>
      </c>
      <c r="M1841" s="8"/>
      <c r="N1841" s="2"/>
      <c r="O1841" s="2"/>
      <c r="P1841" s="2"/>
      <c r="Q1841" s="2"/>
      <c r="R1841" s="2"/>
      <c r="S1841" s="2"/>
      <c r="T1841" s="2"/>
      <c r="U1841" s="2"/>
      <c r="V1841" s="2"/>
      <c r="W1841" s="2"/>
      <c r="X1841" s="2"/>
      <c r="Y1841" s="2"/>
      <c r="Z1841" s="2"/>
    </row>
    <row r="1842" spans="1:26" ht="12.75" x14ac:dyDescent="0.2">
      <c r="A1842" s="230"/>
      <c r="B1842" s="18">
        <v>2023</v>
      </c>
      <c r="C1842" s="18" t="s">
        <v>743</v>
      </c>
      <c r="D1842" s="18" t="s">
        <v>927</v>
      </c>
      <c r="E1842" s="18" t="s">
        <v>56</v>
      </c>
      <c r="F1842" s="18" t="s">
        <v>672</v>
      </c>
      <c r="G1842" s="18" t="s">
        <v>673</v>
      </c>
      <c r="H1842" s="18" t="s">
        <v>742</v>
      </c>
      <c r="I1842" s="315">
        <v>75.83614965247115</v>
      </c>
      <c r="J1842" s="315">
        <v>3.4452175367185333E-3</v>
      </c>
      <c r="K1842" s="316" t="str">
        <f t="shared" si="44"/>
        <v>Lawn and Garden Equipment</v>
      </c>
      <c r="L1842" s="316" t="str">
        <f t="shared" si="45"/>
        <v>LPG</v>
      </c>
      <c r="M1842" s="8"/>
      <c r="N1842" s="2"/>
      <c r="O1842" s="2"/>
      <c r="P1842" s="2"/>
      <c r="Q1842" s="2"/>
      <c r="R1842" s="2"/>
      <c r="S1842" s="2"/>
      <c r="T1842" s="2"/>
      <c r="U1842" s="2"/>
      <c r="V1842" s="2"/>
      <c r="W1842" s="2"/>
      <c r="X1842" s="2"/>
      <c r="Y1842" s="2"/>
      <c r="Z1842" s="2"/>
    </row>
    <row r="1843" spans="1:26" ht="12.75" x14ac:dyDescent="0.2">
      <c r="A1843" s="230"/>
      <c r="B1843" s="18">
        <v>2023</v>
      </c>
      <c r="C1843" s="18" t="s">
        <v>732</v>
      </c>
      <c r="D1843" s="18" t="s">
        <v>998</v>
      </c>
      <c r="E1843" s="18" t="s">
        <v>703</v>
      </c>
      <c r="F1843" s="18" t="s">
        <v>704</v>
      </c>
      <c r="G1843" s="18" t="s">
        <v>674</v>
      </c>
      <c r="H1843" s="18" t="s">
        <v>999</v>
      </c>
      <c r="I1843" s="315">
        <v>75.709395044911147</v>
      </c>
      <c r="J1843" s="315">
        <v>5.0193024724594387E-2</v>
      </c>
      <c r="K1843" s="316" t="str">
        <f t="shared" si="44"/>
        <v>Construction and Mining Equipment</v>
      </c>
      <c r="L1843" s="316" t="str">
        <f t="shared" si="45"/>
        <v>Gasoline</v>
      </c>
      <c r="M1843" s="8"/>
      <c r="N1843" s="2"/>
      <c r="O1843" s="2"/>
      <c r="P1843" s="2"/>
      <c r="Q1843" s="2"/>
      <c r="R1843" s="2"/>
      <c r="S1843" s="2"/>
      <c r="T1843" s="2"/>
      <c r="U1843" s="2"/>
      <c r="V1843" s="2"/>
      <c r="W1843" s="2"/>
      <c r="X1843" s="2"/>
      <c r="Y1843" s="2"/>
      <c r="Z1843" s="2"/>
    </row>
    <row r="1844" spans="1:26" ht="12.75" x14ac:dyDescent="0.2">
      <c r="A1844" s="230"/>
      <c r="B1844" s="18">
        <v>2023</v>
      </c>
      <c r="C1844" s="18" t="s">
        <v>732</v>
      </c>
      <c r="D1844" s="18" t="s">
        <v>1003</v>
      </c>
      <c r="E1844" s="18" t="s">
        <v>703</v>
      </c>
      <c r="F1844" s="18" t="s">
        <v>805</v>
      </c>
      <c r="G1844" s="18" t="s">
        <v>677</v>
      </c>
      <c r="H1844" s="18" t="s">
        <v>841</v>
      </c>
      <c r="I1844" s="315">
        <v>75.523476067289238</v>
      </c>
      <c r="J1844" s="315">
        <v>0.14552122803636922</v>
      </c>
      <c r="K1844" s="316" t="str">
        <f t="shared" si="44"/>
        <v>Commercial Equipment</v>
      </c>
      <c r="L1844" s="316" t="str">
        <f t="shared" si="45"/>
        <v>Gasoline</v>
      </c>
      <c r="M1844" s="8"/>
      <c r="N1844" s="2"/>
      <c r="O1844" s="2"/>
      <c r="P1844" s="2"/>
      <c r="Q1844" s="2"/>
      <c r="R1844" s="2"/>
      <c r="S1844" s="2"/>
      <c r="T1844" s="2"/>
      <c r="U1844" s="2"/>
      <c r="V1844" s="2"/>
      <c r="W1844" s="2"/>
      <c r="X1844" s="2"/>
      <c r="Y1844" s="2"/>
      <c r="Z1844" s="2"/>
    </row>
    <row r="1845" spans="1:26" ht="12.75" x14ac:dyDescent="0.2">
      <c r="A1845" s="230"/>
      <c r="B1845" s="18">
        <v>2023</v>
      </c>
      <c r="C1845" s="18" t="s">
        <v>732</v>
      </c>
      <c r="D1845" s="18" t="s">
        <v>1000</v>
      </c>
      <c r="E1845" s="18" t="s">
        <v>703</v>
      </c>
      <c r="F1845" s="18" t="s">
        <v>704</v>
      </c>
      <c r="G1845" s="18" t="s">
        <v>674</v>
      </c>
      <c r="H1845" s="18" t="s">
        <v>850</v>
      </c>
      <c r="I1845" s="315">
        <v>75.430838530887343</v>
      </c>
      <c r="J1845" s="315">
        <v>4.6074984996895024E-2</v>
      </c>
      <c r="K1845" s="316" t="str">
        <f t="shared" si="44"/>
        <v>Construction and Mining Equipment</v>
      </c>
      <c r="L1845" s="316" t="str">
        <f t="shared" si="45"/>
        <v>Gasoline</v>
      </c>
      <c r="M1845" s="8"/>
      <c r="N1845" s="2"/>
      <c r="O1845" s="2"/>
      <c r="P1845" s="2"/>
      <c r="Q1845" s="2"/>
      <c r="R1845" s="2"/>
      <c r="S1845" s="2"/>
      <c r="T1845" s="2"/>
      <c r="U1845" s="2"/>
      <c r="V1845" s="2"/>
      <c r="W1845" s="2"/>
      <c r="X1845" s="2"/>
      <c r="Y1845" s="2"/>
      <c r="Z1845" s="2"/>
    </row>
    <row r="1846" spans="1:26" ht="12.75" x14ac:dyDescent="0.2">
      <c r="A1846" s="230"/>
      <c r="B1846" s="18">
        <v>2023</v>
      </c>
      <c r="C1846" s="18" t="s">
        <v>754</v>
      </c>
      <c r="D1846" s="18" t="s">
        <v>986</v>
      </c>
      <c r="E1846" s="18" t="s">
        <v>703</v>
      </c>
      <c r="F1846" s="18" t="s">
        <v>704</v>
      </c>
      <c r="G1846" s="18" t="s">
        <v>673</v>
      </c>
      <c r="H1846" s="18" t="s">
        <v>987</v>
      </c>
      <c r="I1846" s="315">
        <v>75.391357081111181</v>
      </c>
      <c r="J1846" s="315">
        <v>5.174549790462156E-2</v>
      </c>
      <c r="K1846" s="316" t="str">
        <f t="shared" si="44"/>
        <v>Lawn and Garden Equipment</v>
      </c>
      <c r="L1846" s="316" t="str">
        <f t="shared" si="45"/>
        <v>Gasoline</v>
      </c>
      <c r="M1846" s="8"/>
      <c r="N1846" s="2"/>
      <c r="O1846" s="2"/>
      <c r="P1846" s="2"/>
      <c r="Q1846" s="2"/>
      <c r="R1846" s="2"/>
      <c r="S1846" s="2"/>
      <c r="T1846" s="2"/>
      <c r="U1846" s="2"/>
      <c r="V1846" s="2"/>
      <c r="W1846" s="2"/>
      <c r="X1846" s="2"/>
      <c r="Y1846" s="2"/>
      <c r="Z1846" s="2"/>
    </row>
    <row r="1847" spans="1:26" ht="12.75" x14ac:dyDescent="0.2">
      <c r="A1847" s="230"/>
      <c r="B1847" s="18">
        <v>2023</v>
      </c>
      <c r="C1847" s="18" t="s">
        <v>786</v>
      </c>
      <c r="D1847" s="18" t="s">
        <v>846</v>
      </c>
      <c r="E1847" s="18" t="s">
        <v>713</v>
      </c>
      <c r="F1847" s="18" t="s">
        <v>714</v>
      </c>
      <c r="G1847" s="18" t="s">
        <v>677</v>
      </c>
      <c r="H1847" s="18" t="s">
        <v>836</v>
      </c>
      <c r="I1847" s="315">
        <v>75.1282941553889</v>
      </c>
      <c r="J1847" s="315">
        <v>2.9051123125693962E-3</v>
      </c>
      <c r="K1847" s="316" t="str">
        <f t="shared" si="44"/>
        <v>Commercial Equipment</v>
      </c>
      <c r="L1847" s="316" t="str">
        <f t="shared" si="45"/>
        <v>Diesel</v>
      </c>
      <c r="M1847" s="8"/>
      <c r="N1847" s="2"/>
      <c r="O1847" s="2"/>
      <c r="P1847" s="2"/>
      <c r="Q1847" s="2"/>
      <c r="R1847" s="2"/>
      <c r="S1847" s="2"/>
      <c r="T1847" s="2"/>
      <c r="U1847" s="2"/>
      <c r="V1847" s="2"/>
      <c r="W1847" s="2"/>
      <c r="X1847" s="2"/>
      <c r="Y1847" s="2"/>
      <c r="Z1847" s="2"/>
    </row>
    <row r="1848" spans="1:26" ht="12.75" x14ac:dyDescent="0.2">
      <c r="A1848" s="230"/>
      <c r="B1848" s="18">
        <v>2023</v>
      </c>
      <c r="C1848" s="18" t="s">
        <v>778</v>
      </c>
      <c r="D1848" s="18" t="s">
        <v>864</v>
      </c>
      <c r="E1848" s="18" t="s">
        <v>703</v>
      </c>
      <c r="F1848" s="18" t="s">
        <v>704</v>
      </c>
      <c r="G1848" s="18" t="s">
        <v>673</v>
      </c>
      <c r="H1848" s="18" t="s">
        <v>865</v>
      </c>
      <c r="I1848" s="315">
        <v>75.055299451310603</v>
      </c>
      <c r="J1848" s="315">
        <v>5.09558200560997E-2</v>
      </c>
      <c r="K1848" s="316" t="str">
        <f t="shared" si="44"/>
        <v>Lawn and Garden Equipment</v>
      </c>
      <c r="L1848" s="316" t="str">
        <f t="shared" si="45"/>
        <v>Gasoline</v>
      </c>
      <c r="M1848" s="8"/>
      <c r="N1848" s="2"/>
      <c r="O1848" s="2"/>
      <c r="P1848" s="2"/>
      <c r="Q1848" s="2"/>
      <c r="R1848" s="2"/>
      <c r="S1848" s="2"/>
      <c r="T1848" s="2"/>
      <c r="U1848" s="2"/>
      <c r="V1848" s="2"/>
      <c r="W1848" s="2"/>
      <c r="X1848" s="2"/>
      <c r="Y1848" s="2"/>
      <c r="Z1848" s="2"/>
    </row>
    <row r="1849" spans="1:26" ht="12.75" x14ac:dyDescent="0.2">
      <c r="A1849" s="230"/>
      <c r="B1849" s="18">
        <v>2023</v>
      </c>
      <c r="C1849" s="18" t="s">
        <v>781</v>
      </c>
      <c r="D1849" s="18" t="s">
        <v>757</v>
      </c>
      <c r="E1849" s="18" t="s">
        <v>713</v>
      </c>
      <c r="F1849" s="18" t="s">
        <v>714</v>
      </c>
      <c r="G1849" s="18" t="s">
        <v>673</v>
      </c>
      <c r="H1849" s="18" t="s">
        <v>758</v>
      </c>
      <c r="I1849" s="315">
        <v>74.709928143501685</v>
      </c>
      <c r="J1849" s="315">
        <v>2.8784080714975829E-3</v>
      </c>
      <c r="K1849" s="316" t="str">
        <f t="shared" si="44"/>
        <v>Lawn and Garden Equipment</v>
      </c>
      <c r="L1849" s="316" t="str">
        <f t="shared" si="45"/>
        <v>Diesel</v>
      </c>
      <c r="M1849" s="8"/>
      <c r="N1849" s="2"/>
      <c r="O1849" s="2"/>
      <c r="P1849" s="2"/>
      <c r="Q1849" s="2"/>
      <c r="R1849" s="2"/>
      <c r="S1849" s="2"/>
      <c r="T1849" s="2"/>
      <c r="U1849" s="2"/>
      <c r="V1849" s="2"/>
      <c r="W1849" s="2"/>
      <c r="X1849" s="2"/>
      <c r="Y1849" s="2"/>
      <c r="Z1849" s="2"/>
    </row>
    <row r="1850" spans="1:26" ht="12.75" x14ac:dyDescent="0.2">
      <c r="A1850" s="230"/>
      <c r="B1850" s="18">
        <v>2023</v>
      </c>
      <c r="C1850" s="18" t="s">
        <v>750</v>
      </c>
      <c r="D1850" s="18" t="s">
        <v>830</v>
      </c>
      <c r="E1850" s="18" t="s">
        <v>703</v>
      </c>
      <c r="F1850" s="18" t="s">
        <v>704</v>
      </c>
      <c r="G1850" s="18" t="s">
        <v>673</v>
      </c>
      <c r="H1850" s="18" t="s">
        <v>742</v>
      </c>
      <c r="I1850" s="315">
        <v>74.340748328019032</v>
      </c>
      <c r="J1850" s="315">
        <v>3.2311416134512501E-2</v>
      </c>
      <c r="K1850" s="316" t="str">
        <f t="shared" si="44"/>
        <v>Lawn and Garden Equipment</v>
      </c>
      <c r="L1850" s="316" t="str">
        <f t="shared" si="45"/>
        <v>Gasoline</v>
      </c>
      <c r="M1850" s="8"/>
      <c r="N1850" s="2"/>
      <c r="O1850" s="2"/>
      <c r="P1850" s="2"/>
      <c r="Q1850" s="2"/>
      <c r="R1850" s="2"/>
      <c r="S1850" s="2"/>
      <c r="T1850" s="2"/>
      <c r="U1850" s="2"/>
      <c r="V1850" s="2"/>
      <c r="W1850" s="2"/>
      <c r="X1850" s="2"/>
      <c r="Y1850" s="2"/>
      <c r="Z1850" s="2"/>
    </row>
    <row r="1851" spans="1:26" ht="12.75" x14ac:dyDescent="0.2">
      <c r="A1851" s="230"/>
      <c r="B1851" s="18">
        <v>2023</v>
      </c>
      <c r="C1851" s="18" t="s">
        <v>727</v>
      </c>
      <c r="D1851" s="18" t="s">
        <v>936</v>
      </c>
      <c r="E1851" s="18" t="s">
        <v>56</v>
      </c>
      <c r="F1851" s="18" t="s">
        <v>672</v>
      </c>
      <c r="G1851" s="18" t="s">
        <v>677</v>
      </c>
      <c r="H1851" s="18" t="s">
        <v>747</v>
      </c>
      <c r="I1851" s="315">
        <v>74.256036317365741</v>
      </c>
      <c r="J1851" s="315">
        <v>1.7118693281974684E-2</v>
      </c>
      <c r="K1851" s="316" t="str">
        <f t="shared" si="44"/>
        <v>Commercial Equipment</v>
      </c>
      <c r="L1851" s="316" t="str">
        <f t="shared" si="45"/>
        <v>LPG</v>
      </c>
      <c r="M1851" s="8"/>
      <c r="N1851" s="2"/>
      <c r="O1851" s="2"/>
      <c r="P1851" s="2"/>
      <c r="Q1851" s="2"/>
      <c r="R1851" s="2"/>
      <c r="S1851" s="2"/>
      <c r="T1851" s="2"/>
      <c r="U1851" s="2"/>
      <c r="V1851" s="2"/>
      <c r="W1851" s="2"/>
      <c r="X1851" s="2"/>
      <c r="Y1851" s="2"/>
      <c r="Z1851" s="2"/>
    </row>
    <row r="1852" spans="1:26" ht="12.75" x14ac:dyDescent="0.2">
      <c r="A1852" s="230"/>
      <c r="B1852" s="18">
        <v>2023</v>
      </c>
      <c r="C1852" s="18" t="s">
        <v>722</v>
      </c>
      <c r="D1852" s="18" t="s">
        <v>993</v>
      </c>
      <c r="E1852" s="18" t="s">
        <v>703</v>
      </c>
      <c r="F1852" s="18" t="s">
        <v>704</v>
      </c>
      <c r="G1852" s="18" t="s">
        <v>674</v>
      </c>
      <c r="H1852" s="18" t="s">
        <v>994</v>
      </c>
      <c r="I1852" s="315">
        <v>74.207855805643277</v>
      </c>
      <c r="J1852" s="315">
        <v>4.9578982121380288E-2</v>
      </c>
      <c r="K1852" s="316" t="str">
        <f t="shared" si="44"/>
        <v>Construction and Mining Equipment</v>
      </c>
      <c r="L1852" s="316" t="str">
        <f t="shared" si="45"/>
        <v>Gasoline</v>
      </c>
      <c r="M1852" s="8"/>
      <c r="N1852" s="2"/>
      <c r="O1852" s="2"/>
      <c r="P1852" s="2"/>
      <c r="Q1852" s="2"/>
      <c r="R1852" s="2"/>
      <c r="S1852" s="2"/>
      <c r="T1852" s="2"/>
      <c r="U1852" s="2"/>
      <c r="V1852" s="2"/>
      <c r="W1852" s="2"/>
      <c r="X1852" s="2"/>
      <c r="Y1852" s="2"/>
      <c r="Z1852" s="2"/>
    </row>
    <row r="1853" spans="1:26" ht="12.75" x14ac:dyDescent="0.2">
      <c r="A1853" s="230"/>
      <c r="B1853" s="18">
        <v>2023</v>
      </c>
      <c r="C1853" s="18" t="s">
        <v>750</v>
      </c>
      <c r="D1853" s="18" t="s">
        <v>966</v>
      </c>
      <c r="E1853" s="18" t="s">
        <v>703</v>
      </c>
      <c r="F1853" s="18" t="s">
        <v>704</v>
      </c>
      <c r="G1853" s="18" t="s">
        <v>674</v>
      </c>
      <c r="H1853" s="18" t="s">
        <v>967</v>
      </c>
      <c r="I1853" s="315">
        <v>74.058747610009931</v>
      </c>
      <c r="J1853" s="315">
        <v>5.1112130015174319E-2</v>
      </c>
      <c r="K1853" s="316" t="str">
        <f t="shared" si="44"/>
        <v>Construction and Mining Equipment</v>
      </c>
      <c r="L1853" s="316" t="str">
        <f t="shared" si="45"/>
        <v>Gasoline</v>
      </c>
      <c r="M1853" s="8"/>
      <c r="N1853" s="2"/>
      <c r="O1853" s="2"/>
      <c r="P1853" s="2"/>
      <c r="Q1853" s="2"/>
      <c r="R1853" s="2"/>
      <c r="S1853" s="2"/>
      <c r="T1853" s="2"/>
      <c r="U1853" s="2"/>
      <c r="V1853" s="2"/>
      <c r="W1853" s="2"/>
      <c r="X1853" s="2"/>
      <c r="Y1853" s="2"/>
      <c r="Z1853" s="2"/>
    </row>
    <row r="1854" spans="1:26" ht="12.75" x14ac:dyDescent="0.2">
      <c r="A1854" s="230"/>
      <c r="B1854" s="18">
        <v>2023</v>
      </c>
      <c r="C1854" s="18" t="s">
        <v>710</v>
      </c>
      <c r="D1854" s="18" t="s">
        <v>898</v>
      </c>
      <c r="E1854" s="18" t="s">
        <v>703</v>
      </c>
      <c r="F1854" s="18" t="s">
        <v>795</v>
      </c>
      <c r="G1854" s="18" t="s">
        <v>673</v>
      </c>
      <c r="H1854" s="18" t="s">
        <v>899</v>
      </c>
      <c r="I1854" s="315">
        <v>73.916653404024402</v>
      </c>
      <c r="J1854" s="315">
        <v>0.50536372209693203</v>
      </c>
      <c r="K1854" s="316" t="str">
        <f t="shared" si="44"/>
        <v>Lawn and Garden Equipment</v>
      </c>
      <c r="L1854" s="316" t="str">
        <f t="shared" si="45"/>
        <v>Gasoline</v>
      </c>
      <c r="M1854" s="8"/>
      <c r="N1854" s="2"/>
      <c r="O1854" s="2"/>
      <c r="P1854" s="2"/>
      <c r="Q1854" s="2"/>
      <c r="R1854" s="2"/>
      <c r="S1854" s="2"/>
      <c r="T1854" s="2"/>
      <c r="U1854" s="2"/>
      <c r="V1854" s="2"/>
      <c r="W1854" s="2"/>
      <c r="X1854" s="2"/>
      <c r="Y1854" s="2"/>
      <c r="Z1854" s="2"/>
    </row>
    <row r="1855" spans="1:26" ht="12.75" x14ac:dyDescent="0.2">
      <c r="A1855" s="230"/>
      <c r="B1855" s="18">
        <v>2023</v>
      </c>
      <c r="C1855" s="18" t="s">
        <v>701</v>
      </c>
      <c r="D1855" s="18" t="s">
        <v>1083</v>
      </c>
      <c r="E1855" s="18" t="s">
        <v>703</v>
      </c>
      <c r="F1855" s="18" t="s">
        <v>704</v>
      </c>
      <c r="G1855" s="18" t="s">
        <v>674</v>
      </c>
      <c r="H1855" s="18" t="s">
        <v>861</v>
      </c>
      <c r="I1855" s="315">
        <v>73.801987243937759</v>
      </c>
      <c r="J1855" s="315">
        <v>5.5527557207606673E-2</v>
      </c>
      <c r="K1855" s="316" t="str">
        <f t="shared" si="44"/>
        <v>Construction and Mining Equipment</v>
      </c>
      <c r="L1855" s="316" t="str">
        <f t="shared" si="45"/>
        <v>Gasoline</v>
      </c>
      <c r="M1855" s="8"/>
      <c r="N1855" s="2"/>
      <c r="O1855" s="2"/>
      <c r="P1855" s="2"/>
      <c r="Q1855" s="2"/>
      <c r="R1855" s="2"/>
      <c r="S1855" s="2"/>
      <c r="T1855" s="2"/>
      <c r="U1855" s="2"/>
      <c r="V1855" s="2"/>
      <c r="W1855" s="2"/>
      <c r="X1855" s="2"/>
      <c r="Y1855" s="2"/>
      <c r="Z1855" s="2"/>
    </row>
    <row r="1856" spans="1:26" ht="12.75" x14ac:dyDescent="0.2">
      <c r="A1856" s="230"/>
      <c r="B1856" s="18">
        <v>2023</v>
      </c>
      <c r="C1856" s="18" t="s">
        <v>743</v>
      </c>
      <c r="D1856" s="18" t="s">
        <v>980</v>
      </c>
      <c r="E1856" s="18" t="s">
        <v>713</v>
      </c>
      <c r="F1856" s="18" t="s">
        <v>714</v>
      </c>
      <c r="G1856" s="18" t="s">
        <v>674</v>
      </c>
      <c r="H1856" s="18" t="s">
        <v>981</v>
      </c>
      <c r="I1856" s="315">
        <v>73.665777072388252</v>
      </c>
      <c r="J1856" s="315">
        <v>3.2335130242907967E-3</v>
      </c>
      <c r="K1856" s="316" t="str">
        <f t="shared" si="44"/>
        <v>Construction and Mining Equipment</v>
      </c>
      <c r="L1856" s="316" t="str">
        <f t="shared" si="45"/>
        <v>Diesel</v>
      </c>
      <c r="M1856" s="8"/>
      <c r="N1856" s="2"/>
      <c r="O1856" s="2"/>
      <c r="P1856" s="2"/>
      <c r="Q1856" s="2"/>
      <c r="R1856" s="2"/>
      <c r="S1856" s="2"/>
      <c r="T1856" s="2"/>
      <c r="U1856" s="2"/>
      <c r="V1856" s="2"/>
      <c r="W1856" s="2"/>
      <c r="X1856" s="2"/>
      <c r="Y1856" s="2"/>
      <c r="Z1856" s="2"/>
    </row>
    <row r="1857" spans="1:26" ht="12.75" x14ac:dyDescent="0.2">
      <c r="A1857" s="230"/>
      <c r="B1857" s="18">
        <v>2023</v>
      </c>
      <c r="C1857" s="18" t="s">
        <v>743</v>
      </c>
      <c r="D1857" s="18" t="s">
        <v>1022</v>
      </c>
      <c r="E1857" s="18" t="s">
        <v>703</v>
      </c>
      <c r="F1857" s="18" t="s">
        <v>704</v>
      </c>
      <c r="G1857" s="18" t="s">
        <v>675</v>
      </c>
      <c r="H1857" s="18" t="s">
        <v>772</v>
      </c>
      <c r="I1857" s="315">
        <v>73.546966850434458</v>
      </c>
      <c r="J1857" s="315">
        <v>5.2150061413515055E-3</v>
      </c>
      <c r="K1857" s="316" t="str">
        <f t="shared" si="44"/>
        <v>Industrial Equipment</v>
      </c>
      <c r="L1857" s="316" t="str">
        <f t="shared" si="45"/>
        <v>Gasoline</v>
      </c>
      <c r="M1857" s="8"/>
      <c r="N1857" s="2"/>
      <c r="O1857" s="2"/>
      <c r="P1857" s="2"/>
      <c r="Q1857" s="2"/>
      <c r="R1857" s="2"/>
      <c r="S1857" s="2"/>
      <c r="T1857" s="2"/>
      <c r="U1857" s="2"/>
      <c r="V1857" s="2"/>
      <c r="W1857" s="2"/>
      <c r="X1857" s="2"/>
      <c r="Y1857" s="2"/>
      <c r="Z1857" s="2"/>
    </row>
    <row r="1858" spans="1:26" ht="12.75" x14ac:dyDescent="0.2">
      <c r="A1858" s="230"/>
      <c r="B1858" s="18">
        <v>2023</v>
      </c>
      <c r="C1858" s="18" t="s">
        <v>781</v>
      </c>
      <c r="D1858" s="18" t="s">
        <v>835</v>
      </c>
      <c r="E1858" s="18" t="s">
        <v>703</v>
      </c>
      <c r="F1858" s="18" t="s">
        <v>704</v>
      </c>
      <c r="G1858" s="18" t="s">
        <v>677</v>
      </c>
      <c r="H1858" s="18" t="s">
        <v>836</v>
      </c>
      <c r="I1858" s="315">
        <v>73.510992920802451</v>
      </c>
      <c r="J1858" s="315">
        <v>4.5618098614184165E-2</v>
      </c>
      <c r="K1858" s="316" t="str">
        <f t="shared" si="44"/>
        <v>Commercial Equipment</v>
      </c>
      <c r="L1858" s="316" t="str">
        <f t="shared" si="45"/>
        <v>Gasoline</v>
      </c>
      <c r="M1858" s="8"/>
      <c r="N1858" s="2"/>
      <c r="O1858" s="2"/>
      <c r="P1858" s="2"/>
      <c r="Q1858" s="2"/>
      <c r="R1858" s="2"/>
      <c r="S1858" s="2"/>
      <c r="T1858" s="2"/>
      <c r="U1858" s="2"/>
      <c r="V1858" s="2"/>
      <c r="W1858" s="2"/>
      <c r="X1858" s="2"/>
      <c r="Y1858" s="2"/>
      <c r="Z1858" s="2"/>
    </row>
    <row r="1859" spans="1:26" ht="12.75" x14ac:dyDescent="0.2">
      <c r="A1859" s="230"/>
      <c r="B1859" s="18">
        <v>2023</v>
      </c>
      <c r="C1859" s="18" t="s">
        <v>792</v>
      </c>
      <c r="D1859" s="18" t="s">
        <v>979</v>
      </c>
      <c r="E1859" s="18" t="s">
        <v>703</v>
      </c>
      <c r="F1859" s="18" t="s">
        <v>704</v>
      </c>
      <c r="G1859" s="18" t="s">
        <v>675</v>
      </c>
      <c r="H1859" s="18" t="s">
        <v>802</v>
      </c>
      <c r="I1859" s="315">
        <v>73.284768877395365</v>
      </c>
      <c r="J1859" s="315">
        <v>2.6583936513773176E-2</v>
      </c>
      <c r="K1859" s="316" t="str">
        <f t="shared" si="44"/>
        <v>Industrial Equipment</v>
      </c>
      <c r="L1859" s="316" t="str">
        <f t="shared" si="45"/>
        <v>Gasoline</v>
      </c>
      <c r="M1859" s="8"/>
      <c r="N1859" s="2"/>
      <c r="O1859" s="2"/>
      <c r="P1859" s="2"/>
      <c r="Q1859" s="2"/>
      <c r="R1859" s="2"/>
      <c r="S1859" s="2"/>
      <c r="T1859" s="2"/>
      <c r="U1859" s="2"/>
      <c r="V1859" s="2"/>
      <c r="W1859" s="2"/>
      <c r="X1859" s="2"/>
      <c r="Y1859" s="2"/>
      <c r="Z1859" s="2"/>
    </row>
    <row r="1860" spans="1:26" ht="12.75" x14ac:dyDescent="0.2">
      <c r="A1860" s="230"/>
      <c r="B1860" s="18">
        <v>2023</v>
      </c>
      <c r="C1860" s="18" t="s">
        <v>781</v>
      </c>
      <c r="D1860" s="18" t="s">
        <v>779</v>
      </c>
      <c r="E1860" s="18" t="s">
        <v>713</v>
      </c>
      <c r="F1860" s="18" t="s">
        <v>714</v>
      </c>
      <c r="G1860" s="18" t="s">
        <v>674</v>
      </c>
      <c r="H1860" s="18" t="s">
        <v>780</v>
      </c>
      <c r="I1860" s="315">
        <v>73.112980015101456</v>
      </c>
      <c r="J1860" s="315">
        <v>2.381251995728603E-4</v>
      </c>
      <c r="K1860" s="316" t="str">
        <f t="shared" si="44"/>
        <v>Construction and Mining Equipment</v>
      </c>
      <c r="L1860" s="316" t="str">
        <f t="shared" si="45"/>
        <v>Diesel</v>
      </c>
      <c r="M1860" s="8"/>
      <c r="N1860" s="2"/>
      <c r="O1860" s="2"/>
      <c r="P1860" s="2"/>
      <c r="Q1860" s="2"/>
      <c r="R1860" s="2"/>
      <c r="S1860" s="2"/>
      <c r="T1860" s="2"/>
      <c r="U1860" s="2"/>
      <c r="V1860" s="2"/>
      <c r="W1860" s="2"/>
      <c r="X1860" s="2"/>
      <c r="Y1860" s="2"/>
      <c r="Z1860" s="2"/>
    </row>
    <row r="1861" spans="1:26" ht="12.75" x14ac:dyDescent="0.2">
      <c r="A1861" s="230"/>
      <c r="B1861" s="18">
        <v>2023</v>
      </c>
      <c r="C1861" s="18" t="s">
        <v>759</v>
      </c>
      <c r="D1861" s="18" t="s">
        <v>769</v>
      </c>
      <c r="E1861" s="18" t="s">
        <v>713</v>
      </c>
      <c r="F1861" s="18" t="s">
        <v>714</v>
      </c>
      <c r="G1861" s="18" t="s">
        <v>674</v>
      </c>
      <c r="H1861" s="18" t="s">
        <v>770</v>
      </c>
      <c r="I1861" s="315">
        <v>73.026031800176668</v>
      </c>
      <c r="J1861" s="315">
        <v>5.8554753385633659E-4</v>
      </c>
      <c r="K1861" s="316" t="str">
        <f t="shared" si="44"/>
        <v>Construction and Mining Equipment</v>
      </c>
      <c r="L1861" s="316" t="str">
        <f t="shared" si="45"/>
        <v>Diesel</v>
      </c>
      <c r="M1861" s="8"/>
      <c r="N1861" s="2"/>
      <c r="O1861" s="2"/>
      <c r="P1861" s="2"/>
      <c r="Q1861" s="2"/>
      <c r="R1861" s="2"/>
      <c r="S1861" s="2"/>
      <c r="T1861" s="2"/>
      <c r="U1861" s="2"/>
      <c r="V1861" s="2"/>
      <c r="W1861" s="2"/>
      <c r="X1861" s="2"/>
      <c r="Y1861" s="2"/>
      <c r="Z1861" s="2"/>
    </row>
    <row r="1862" spans="1:26" ht="12.75" x14ac:dyDescent="0.2">
      <c r="A1862" s="230"/>
      <c r="B1862" s="18">
        <v>2023</v>
      </c>
      <c r="C1862" s="18" t="s">
        <v>750</v>
      </c>
      <c r="D1862" s="18" t="s">
        <v>797</v>
      </c>
      <c r="E1862" s="18" t="s">
        <v>713</v>
      </c>
      <c r="F1862" s="18" t="s">
        <v>714</v>
      </c>
      <c r="G1862" s="18" t="s">
        <v>675</v>
      </c>
      <c r="H1862" s="18" t="s">
        <v>798</v>
      </c>
      <c r="I1862" s="315">
        <v>72.928457769252162</v>
      </c>
      <c r="J1862" s="315">
        <v>6.1522621322466706E-4</v>
      </c>
      <c r="K1862" s="316" t="str">
        <f t="shared" si="44"/>
        <v>Industrial Equipment</v>
      </c>
      <c r="L1862" s="316" t="str">
        <f t="shared" si="45"/>
        <v>Diesel</v>
      </c>
      <c r="M1862" s="8"/>
      <c r="N1862" s="2"/>
      <c r="O1862" s="2"/>
      <c r="P1862" s="2"/>
      <c r="Q1862" s="2"/>
      <c r="R1862" s="2"/>
      <c r="S1862" s="2"/>
      <c r="T1862" s="2"/>
      <c r="U1862" s="2"/>
      <c r="V1862" s="2"/>
      <c r="W1862" s="2"/>
      <c r="X1862" s="2"/>
      <c r="Y1862" s="2"/>
      <c r="Z1862" s="2"/>
    </row>
    <row r="1863" spans="1:26" ht="12.75" x14ac:dyDescent="0.2">
      <c r="A1863" s="230"/>
      <c r="B1863" s="18">
        <v>2023</v>
      </c>
      <c r="C1863" s="18" t="s">
        <v>760</v>
      </c>
      <c r="D1863" s="18" t="s">
        <v>1003</v>
      </c>
      <c r="E1863" s="18" t="s">
        <v>703</v>
      </c>
      <c r="F1863" s="18" t="s">
        <v>805</v>
      </c>
      <c r="G1863" s="18" t="s">
        <v>677</v>
      </c>
      <c r="H1863" s="18" t="s">
        <v>841</v>
      </c>
      <c r="I1863" s="315">
        <v>72.618657584562101</v>
      </c>
      <c r="J1863" s="315">
        <v>0.13992416084574183</v>
      </c>
      <c r="K1863" s="316" t="str">
        <f t="shared" si="44"/>
        <v>Commercial Equipment</v>
      </c>
      <c r="L1863" s="316" t="str">
        <f t="shared" si="45"/>
        <v>Gasoline</v>
      </c>
      <c r="M1863" s="8"/>
      <c r="N1863" s="2"/>
      <c r="O1863" s="2"/>
      <c r="P1863" s="2"/>
      <c r="Q1863" s="2"/>
      <c r="R1863" s="2"/>
      <c r="S1863" s="2"/>
      <c r="T1863" s="2"/>
      <c r="U1863" s="2"/>
      <c r="V1863" s="2"/>
      <c r="W1863" s="2"/>
      <c r="X1863" s="2"/>
      <c r="Y1863" s="2"/>
      <c r="Z1863" s="2"/>
    </row>
    <row r="1864" spans="1:26" ht="12.75" x14ac:dyDescent="0.2">
      <c r="A1864" s="230"/>
      <c r="B1864" s="18">
        <v>2023</v>
      </c>
      <c r="C1864" s="18" t="s">
        <v>762</v>
      </c>
      <c r="D1864" s="18" t="s">
        <v>1012</v>
      </c>
      <c r="E1864" s="18" t="s">
        <v>703</v>
      </c>
      <c r="F1864" s="18" t="s">
        <v>795</v>
      </c>
      <c r="G1864" s="18" t="s">
        <v>679</v>
      </c>
      <c r="H1864" s="18" t="s">
        <v>1013</v>
      </c>
      <c r="I1864" s="315">
        <v>72.564280757053936</v>
      </c>
      <c r="J1864" s="315">
        <v>6.048615624591664E-2</v>
      </c>
      <c r="K1864" s="316" t="str">
        <f t="shared" si="44"/>
        <v>Recreational Equipment</v>
      </c>
      <c r="L1864" s="316" t="str">
        <f t="shared" si="45"/>
        <v>Gasoline</v>
      </c>
      <c r="M1864" s="8"/>
      <c r="N1864" s="2"/>
      <c r="O1864" s="2"/>
      <c r="P1864" s="2"/>
      <c r="Q1864" s="2"/>
      <c r="R1864" s="2"/>
      <c r="S1864" s="2"/>
      <c r="T1864" s="2"/>
      <c r="U1864" s="2"/>
      <c r="V1864" s="2"/>
      <c r="W1864" s="2"/>
      <c r="X1864" s="2"/>
      <c r="Y1864" s="2"/>
      <c r="Z1864" s="2"/>
    </row>
    <row r="1865" spans="1:26" ht="12.75" x14ac:dyDescent="0.2">
      <c r="A1865" s="230"/>
      <c r="B1865" s="18">
        <v>2023</v>
      </c>
      <c r="C1865" s="18" t="s">
        <v>750</v>
      </c>
      <c r="D1865" s="18" t="s">
        <v>1012</v>
      </c>
      <c r="E1865" s="18" t="s">
        <v>703</v>
      </c>
      <c r="F1865" s="18" t="s">
        <v>795</v>
      </c>
      <c r="G1865" s="18" t="s">
        <v>679</v>
      </c>
      <c r="H1865" s="18" t="s">
        <v>1013</v>
      </c>
      <c r="I1865" s="315">
        <v>72.564280757053936</v>
      </c>
      <c r="J1865" s="315">
        <v>6.0411678486993199E-2</v>
      </c>
      <c r="K1865" s="316" t="str">
        <f t="shared" si="44"/>
        <v>Recreational Equipment</v>
      </c>
      <c r="L1865" s="316" t="str">
        <f t="shared" si="45"/>
        <v>Gasoline</v>
      </c>
      <c r="M1865" s="8"/>
      <c r="N1865" s="2"/>
      <c r="O1865" s="2"/>
      <c r="P1865" s="2"/>
      <c r="Q1865" s="2"/>
      <c r="R1865" s="2"/>
      <c r="S1865" s="2"/>
      <c r="T1865" s="2"/>
      <c r="U1865" s="2"/>
      <c r="V1865" s="2"/>
      <c r="W1865" s="2"/>
      <c r="X1865" s="2"/>
      <c r="Y1865" s="2"/>
      <c r="Z1865" s="2"/>
    </row>
    <row r="1866" spans="1:26" ht="12.75" x14ac:dyDescent="0.2">
      <c r="A1866" s="230"/>
      <c r="B1866" s="18">
        <v>2023</v>
      </c>
      <c r="C1866" s="18" t="s">
        <v>781</v>
      </c>
      <c r="D1866" s="18" t="s">
        <v>782</v>
      </c>
      <c r="E1866" s="18" t="s">
        <v>713</v>
      </c>
      <c r="F1866" s="18" t="s">
        <v>714</v>
      </c>
      <c r="G1866" s="18" t="s">
        <v>674</v>
      </c>
      <c r="H1866" s="18" t="s">
        <v>783</v>
      </c>
      <c r="I1866" s="315">
        <v>72.515704386393779</v>
      </c>
      <c r="J1866" s="315">
        <v>6.8843118710874894E-4</v>
      </c>
      <c r="K1866" s="316" t="str">
        <f t="shared" si="44"/>
        <v>Construction and Mining Equipment</v>
      </c>
      <c r="L1866" s="316" t="str">
        <f t="shared" si="45"/>
        <v>Diesel</v>
      </c>
      <c r="M1866" s="8"/>
      <c r="N1866" s="2"/>
      <c r="O1866" s="2"/>
      <c r="P1866" s="2"/>
      <c r="Q1866" s="2"/>
      <c r="R1866" s="2"/>
      <c r="S1866" s="2"/>
      <c r="T1866" s="2"/>
      <c r="U1866" s="2"/>
      <c r="V1866" s="2"/>
      <c r="W1866" s="2"/>
      <c r="X1866" s="2"/>
      <c r="Y1866" s="2"/>
      <c r="Z1866" s="2"/>
    </row>
    <row r="1867" spans="1:26" ht="12.75" x14ac:dyDescent="0.2">
      <c r="A1867" s="230"/>
      <c r="B1867" s="18">
        <v>2023</v>
      </c>
      <c r="C1867" s="18" t="s">
        <v>810</v>
      </c>
      <c r="D1867" s="18" t="s">
        <v>878</v>
      </c>
      <c r="E1867" s="18" t="s">
        <v>703</v>
      </c>
      <c r="F1867" s="18" t="s">
        <v>704</v>
      </c>
      <c r="G1867" s="18" t="s">
        <v>673</v>
      </c>
      <c r="H1867" s="18" t="s">
        <v>879</v>
      </c>
      <c r="I1867" s="315">
        <v>72.299846889768403</v>
      </c>
      <c r="J1867" s="315">
        <v>4.8031958531161843E-2</v>
      </c>
      <c r="K1867" s="316" t="str">
        <f t="shared" si="44"/>
        <v>Lawn and Garden Equipment</v>
      </c>
      <c r="L1867" s="316" t="str">
        <f t="shared" si="45"/>
        <v>Gasoline</v>
      </c>
      <c r="M1867" s="8"/>
      <c r="N1867" s="2"/>
      <c r="O1867" s="2"/>
      <c r="P1867" s="2"/>
      <c r="Q1867" s="2"/>
      <c r="R1867" s="2"/>
      <c r="S1867" s="2"/>
      <c r="T1867" s="2"/>
      <c r="U1867" s="2"/>
      <c r="V1867" s="2"/>
      <c r="W1867" s="2"/>
      <c r="X1867" s="2"/>
      <c r="Y1867" s="2"/>
      <c r="Z1867" s="2"/>
    </row>
    <row r="1868" spans="1:26" ht="12.75" x14ac:dyDescent="0.2">
      <c r="A1868" s="230"/>
      <c r="B1868" s="18">
        <v>2023</v>
      </c>
      <c r="C1868" s="18" t="s">
        <v>759</v>
      </c>
      <c r="D1868" s="18" t="s">
        <v>878</v>
      </c>
      <c r="E1868" s="18" t="s">
        <v>703</v>
      </c>
      <c r="F1868" s="18" t="s">
        <v>704</v>
      </c>
      <c r="G1868" s="18" t="s">
        <v>673</v>
      </c>
      <c r="H1868" s="18" t="s">
        <v>879</v>
      </c>
      <c r="I1868" s="315">
        <v>72.299846889768403</v>
      </c>
      <c r="J1868" s="315">
        <v>4.736734334295456E-2</v>
      </c>
      <c r="K1868" s="316" t="str">
        <f t="shared" si="44"/>
        <v>Lawn and Garden Equipment</v>
      </c>
      <c r="L1868" s="316" t="str">
        <f t="shared" si="45"/>
        <v>Gasoline</v>
      </c>
      <c r="M1868" s="8"/>
      <c r="N1868" s="2"/>
      <c r="O1868" s="2"/>
      <c r="P1868" s="2"/>
      <c r="Q1868" s="2"/>
      <c r="R1868" s="2"/>
      <c r="S1868" s="2"/>
      <c r="T1868" s="2"/>
      <c r="U1868" s="2"/>
      <c r="V1868" s="2"/>
      <c r="W1868" s="2"/>
      <c r="X1868" s="2"/>
      <c r="Y1868" s="2"/>
      <c r="Z1868" s="2"/>
    </row>
    <row r="1869" spans="1:26" ht="12.75" x14ac:dyDescent="0.2">
      <c r="A1869" s="230"/>
      <c r="B1869" s="18">
        <v>2023</v>
      </c>
      <c r="C1869" s="18" t="s">
        <v>727</v>
      </c>
      <c r="D1869" s="18" t="s">
        <v>878</v>
      </c>
      <c r="E1869" s="18" t="s">
        <v>703</v>
      </c>
      <c r="F1869" s="18" t="s">
        <v>704</v>
      </c>
      <c r="G1869" s="18" t="s">
        <v>673</v>
      </c>
      <c r="H1869" s="18" t="s">
        <v>879</v>
      </c>
      <c r="I1869" s="315">
        <v>72.299846889768403</v>
      </c>
      <c r="J1869" s="315">
        <v>4.7393255505261328E-2</v>
      </c>
      <c r="K1869" s="316" t="str">
        <f t="shared" si="44"/>
        <v>Lawn and Garden Equipment</v>
      </c>
      <c r="L1869" s="316" t="str">
        <f t="shared" si="45"/>
        <v>Gasoline</v>
      </c>
      <c r="M1869" s="8"/>
      <c r="N1869" s="2"/>
      <c r="O1869" s="2"/>
      <c r="P1869" s="2"/>
      <c r="Q1869" s="2"/>
      <c r="R1869" s="2"/>
      <c r="S1869" s="2"/>
      <c r="T1869" s="2"/>
      <c r="U1869" s="2"/>
      <c r="V1869" s="2"/>
      <c r="W1869" s="2"/>
      <c r="X1869" s="2"/>
      <c r="Y1869" s="2"/>
      <c r="Z1869" s="2"/>
    </row>
    <row r="1870" spans="1:26" ht="12.75" x14ac:dyDescent="0.2">
      <c r="A1870" s="230"/>
      <c r="B1870" s="18">
        <v>2023</v>
      </c>
      <c r="C1870" s="18" t="s">
        <v>787</v>
      </c>
      <c r="D1870" s="18" t="s">
        <v>979</v>
      </c>
      <c r="E1870" s="18" t="s">
        <v>703</v>
      </c>
      <c r="F1870" s="18" t="s">
        <v>704</v>
      </c>
      <c r="G1870" s="18" t="s">
        <v>675</v>
      </c>
      <c r="H1870" s="18" t="s">
        <v>802</v>
      </c>
      <c r="I1870" s="315">
        <v>72.235335440056005</v>
      </c>
      <c r="J1870" s="315">
        <v>2.6065036672010086E-2</v>
      </c>
      <c r="K1870" s="316" t="str">
        <f t="shared" si="44"/>
        <v>Industrial Equipment</v>
      </c>
      <c r="L1870" s="316" t="str">
        <f t="shared" si="45"/>
        <v>Gasoline</v>
      </c>
      <c r="M1870" s="8"/>
      <c r="N1870" s="2"/>
      <c r="O1870" s="2"/>
      <c r="P1870" s="2"/>
      <c r="Q1870" s="2"/>
      <c r="R1870" s="2"/>
      <c r="S1870" s="2"/>
      <c r="T1870" s="2"/>
      <c r="U1870" s="2"/>
      <c r="V1870" s="2"/>
      <c r="W1870" s="2"/>
      <c r="X1870" s="2"/>
      <c r="Y1870" s="2"/>
      <c r="Z1870" s="2"/>
    </row>
    <row r="1871" spans="1:26" ht="12.75" x14ac:dyDescent="0.2">
      <c r="A1871" s="230"/>
      <c r="B1871" s="18">
        <v>2023</v>
      </c>
      <c r="C1871" s="18" t="s">
        <v>743</v>
      </c>
      <c r="D1871" s="18" t="s">
        <v>986</v>
      </c>
      <c r="E1871" s="18" t="s">
        <v>703</v>
      </c>
      <c r="F1871" s="18" t="s">
        <v>704</v>
      </c>
      <c r="G1871" s="18" t="s">
        <v>673</v>
      </c>
      <c r="H1871" s="18" t="s">
        <v>987</v>
      </c>
      <c r="I1871" s="315">
        <v>71.958057099056248</v>
      </c>
      <c r="J1871" s="315">
        <v>4.9443749987029405E-2</v>
      </c>
      <c r="K1871" s="316" t="str">
        <f t="shared" si="44"/>
        <v>Lawn and Garden Equipment</v>
      </c>
      <c r="L1871" s="316" t="str">
        <f t="shared" si="45"/>
        <v>Gasoline</v>
      </c>
      <c r="M1871" s="8"/>
      <c r="N1871" s="2"/>
      <c r="O1871" s="2"/>
      <c r="P1871" s="2"/>
      <c r="Q1871" s="2"/>
      <c r="R1871" s="2"/>
      <c r="S1871" s="2"/>
      <c r="T1871" s="2"/>
      <c r="U1871" s="2"/>
      <c r="V1871" s="2"/>
      <c r="W1871" s="2"/>
      <c r="X1871" s="2"/>
      <c r="Y1871" s="2"/>
      <c r="Z1871" s="2"/>
    </row>
    <row r="1872" spans="1:26" ht="12.75" x14ac:dyDescent="0.2">
      <c r="A1872" s="230"/>
      <c r="B1872" s="18">
        <v>2023</v>
      </c>
      <c r="C1872" s="18" t="s">
        <v>750</v>
      </c>
      <c r="D1872" s="18" t="s">
        <v>801</v>
      </c>
      <c r="E1872" s="18" t="s">
        <v>713</v>
      </c>
      <c r="F1872" s="18" t="s">
        <v>714</v>
      </c>
      <c r="G1872" s="18" t="s">
        <v>675</v>
      </c>
      <c r="H1872" s="18" t="s">
        <v>802</v>
      </c>
      <c r="I1872" s="315">
        <v>71.905270364225927</v>
      </c>
      <c r="J1872" s="315">
        <v>4.7898282261369421E-4</v>
      </c>
      <c r="K1872" s="316" t="str">
        <f t="shared" si="44"/>
        <v>Industrial Equipment</v>
      </c>
      <c r="L1872" s="316" t="str">
        <f t="shared" si="45"/>
        <v>Diesel</v>
      </c>
      <c r="M1872" s="8"/>
      <c r="N1872" s="2"/>
      <c r="O1872" s="2"/>
      <c r="P1872" s="2"/>
      <c r="Q1872" s="2"/>
      <c r="R1872" s="2"/>
      <c r="S1872" s="2"/>
      <c r="T1872" s="2"/>
      <c r="U1872" s="2"/>
      <c r="V1872" s="2"/>
      <c r="W1872" s="2"/>
      <c r="X1872" s="2"/>
      <c r="Y1872" s="2"/>
      <c r="Z1872" s="2"/>
    </row>
    <row r="1873" spans="1:26" ht="12.75" x14ac:dyDescent="0.2">
      <c r="A1873" s="230"/>
      <c r="B1873" s="18">
        <v>2023</v>
      </c>
      <c r="C1873" s="18" t="s">
        <v>731</v>
      </c>
      <c r="D1873" s="18" t="s">
        <v>878</v>
      </c>
      <c r="E1873" s="18" t="s">
        <v>703</v>
      </c>
      <c r="F1873" s="18" t="s">
        <v>704</v>
      </c>
      <c r="G1873" s="18" t="s">
        <v>673</v>
      </c>
      <c r="H1873" s="18" t="s">
        <v>879</v>
      </c>
      <c r="I1873" s="315">
        <v>71.85079421244042</v>
      </c>
      <c r="J1873" s="315">
        <v>4.7119523057861309E-2</v>
      </c>
      <c r="K1873" s="316" t="str">
        <f t="shared" si="44"/>
        <v>Lawn and Garden Equipment</v>
      </c>
      <c r="L1873" s="316" t="str">
        <f t="shared" si="45"/>
        <v>Gasoline</v>
      </c>
      <c r="M1873" s="8"/>
      <c r="N1873" s="2"/>
      <c r="O1873" s="2"/>
      <c r="P1873" s="2"/>
      <c r="Q1873" s="2"/>
      <c r="R1873" s="2"/>
      <c r="S1873" s="2"/>
      <c r="T1873" s="2"/>
      <c r="U1873" s="2"/>
      <c r="V1873" s="2"/>
      <c r="W1873" s="2"/>
      <c r="X1873" s="2"/>
      <c r="Y1873" s="2"/>
      <c r="Z1873" s="2"/>
    </row>
    <row r="1874" spans="1:26" ht="12.75" x14ac:dyDescent="0.2">
      <c r="A1874" s="230"/>
      <c r="B1874" s="18">
        <v>2023</v>
      </c>
      <c r="C1874" s="18" t="s">
        <v>762</v>
      </c>
      <c r="D1874" s="18" t="s">
        <v>936</v>
      </c>
      <c r="E1874" s="18" t="s">
        <v>56</v>
      </c>
      <c r="F1874" s="18" t="s">
        <v>672</v>
      </c>
      <c r="G1874" s="18" t="s">
        <v>677</v>
      </c>
      <c r="H1874" s="18" t="s">
        <v>747</v>
      </c>
      <c r="I1874" s="315">
        <v>71.539393398526542</v>
      </c>
      <c r="J1874" s="315">
        <v>1.6492404693245772E-2</v>
      </c>
      <c r="K1874" s="316" t="str">
        <f t="shared" si="44"/>
        <v>Commercial Equipment</v>
      </c>
      <c r="L1874" s="316" t="str">
        <f t="shared" si="45"/>
        <v>LPG</v>
      </c>
      <c r="M1874" s="8"/>
      <c r="N1874" s="2"/>
      <c r="O1874" s="2"/>
      <c r="P1874" s="2"/>
      <c r="Q1874" s="2"/>
      <c r="R1874" s="2"/>
      <c r="S1874" s="2"/>
      <c r="T1874" s="2"/>
      <c r="U1874" s="2"/>
      <c r="V1874" s="2"/>
      <c r="W1874" s="2"/>
      <c r="X1874" s="2"/>
      <c r="Y1874" s="2"/>
      <c r="Z1874" s="2"/>
    </row>
    <row r="1875" spans="1:26" ht="12.75" x14ac:dyDescent="0.2">
      <c r="A1875" s="230"/>
      <c r="B1875" s="18">
        <v>2023</v>
      </c>
      <c r="C1875" s="18" t="s">
        <v>810</v>
      </c>
      <c r="D1875" s="18" t="s">
        <v>882</v>
      </c>
      <c r="E1875" s="18" t="s">
        <v>713</v>
      </c>
      <c r="F1875" s="18" t="s">
        <v>714</v>
      </c>
      <c r="G1875" s="18" t="s">
        <v>673</v>
      </c>
      <c r="H1875" s="18" t="s">
        <v>705</v>
      </c>
      <c r="I1875" s="315">
        <v>71.532262714586395</v>
      </c>
      <c r="J1875" s="315">
        <v>1.2005696067727996E-3</v>
      </c>
      <c r="K1875" s="316" t="str">
        <f t="shared" si="44"/>
        <v>Lawn and Garden Equipment</v>
      </c>
      <c r="L1875" s="316" t="str">
        <f t="shared" si="45"/>
        <v>Diesel</v>
      </c>
      <c r="M1875" s="8"/>
      <c r="N1875" s="2"/>
      <c r="O1875" s="2"/>
      <c r="P1875" s="2"/>
      <c r="Q1875" s="2"/>
      <c r="R1875" s="2"/>
      <c r="S1875" s="2"/>
      <c r="T1875" s="2"/>
      <c r="U1875" s="2"/>
      <c r="V1875" s="2"/>
      <c r="W1875" s="2"/>
      <c r="X1875" s="2"/>
      <c r="Y1875" s="2"/>
      <c r="Z1875" s="2"/>
    </row>
    <row r="1876" spans="1:26" ht="12.75" x14ac:dyDescent="0.2">
      <c r="A1876" s="230"/>
      <c r="B1876" s="18">
        <v>2023</v>
      </c>
      <c r="C1876" s="18" t="s">
        <v>759</v>
      </c>
      <c r="D1876" s="18" t="s">
        <v>882</v>
      </c>
      <c r="E1876" s="18" t="s">
        <v>713</v>
      </c>
      <c r="F1876" s="18" t="s">
        <v>714</v>
      </c>
      <c r="G1876" s="18" t="s">
        <v>673</v>
      </c>
      <c r="H1876" s="18" t="s">
        <v>705</v>
      </c>
      <c r="I1876" s="315">
        <v>71.532262714586395</v>
      </c>
      <c r="J1876" s="315">
        <v>1.2005696067727996E-3</v>
      </c>
      <c r="K1876" s="316" t="str">
        <f t="shared" si="44"/>
        <v>Lawn and Garden Equipment</v>
      </c>
      <c r="L1876" s="316" t="str">
        <f t="shared" si="45"/>
        <v>Diesel</v>
      </c>
      <c r="M1876" s="8"/>
      <c r="N1876" s="2"/>
      <c r="O1876" s="2"/>
      <c r="P1876" s="2"/>
      <c r="Q1876" s="2"/>
      <c r="R1876" s="2"/>
      <c r="S1876" s="2"/>
      <c r="T1876" s="2"/>
      <c r="U1876" s="2"/>
      <c r="V1876" s="2"/>
      <c r="W1876" s="2"/>
      <c r="X1876" s="2"/>
      <c r="Y1876" s="2"/>
      <c r="Z1876" s="2"/>
    </row>
    <row r="1877" spans="1:26" ht="12.75" x14ac:dyDescent="0.2">
      <c r="A1877" s="230"/>
      <c r="B1877" s="18">
        <v>2023</v>
      </c>
      <c r="C1877" s="18" t="s">
        <v>727</v>
      </c>
      <c r="D1877" s="18" t="s">
        <v>882</v>
      </c>
      <c r="E1877" s="18" t="s">
        <v>713</v>
      </c>
      <c r="F1877" s="18" t="s">
        <v>714</v>
      </c>
      <c r="G1877" s="18" t="s">
        <v>673</v>
      </c>
      <c r="H1877" s="18" t="s">
        <v>705</v>
      </c>
      <c r="I1877" s="315">
        <v>71.532262714586395</v>
      </c>
      <c r="J1877" s="315">
        <v>1.2005696067727996E-3</v>
      </c>
      <c r="K1877" s="316" t="str">
        <f t="shared" si="44"/>
        <v>Lawn and Garden Equipment</v>
      </c>
      <c r="L1877" s="316" t="str">
        <f t="shared" si="45"/>
        <v>Diesel</v>
      </c>
      <c r="M1877" s="8"/>
      <c r="N1877" s="2"/>
      <c r="O1877" s="2"/>
      <c r="P1877" s="2"/>
      <c r="Q1877" s="2"/>
      <c r="R1877" s="2"/>
      <c r="S1877" s="2"/>
      <c r="T1877" s="2"/>
      <c r="U1877" s="2"/>
      <c r="V1877" s="2"/>
      <c r="W1877" s="2"/>
      <c r="X1877" s="2"/>
      <c r="Y1877" s="2"/>
      <c r="Z1877" s="2"/>
    </row>
    <row r="1878" spans="1:26" x14ac:dyDescent="0.25">
      <c r="A1878" s="314"/>
      <c r="B1878" s="18">
        <v>2023</v>
      </c>
      <c r="C1878" s="18" t="s">
        <v>778</v>
      </c>
      <c r="D1878" s="18" t="s">
        <v>993</v>
      </c>
      <c r="E1878" s="18" t="s">
        <v>703</v>
      </c>
      <c r="F1878" s="18" t="s">
        <v>704</v>
      </c>
      <c r="G1878" s="18" t="s">
        <v>674</v>
      </c>
      <c r="H1878" s="18" t="s">
        <v>994</v>
      </c>
      <c r="I1878" s="315">
        <v>71.532137572111267</v>
      </c>
      <c r="J1878" s="315">
        <v>4.7674894525100805E-2</v>
      </c>
      <c r="K1878" s="316" t="str">
        <f t="shared" si="44"/>
        <v>Construction and Mining Equipment</v>
      </c>
      <c r="L1878" s="316" t="str">
        <f t="shared" si="45"/>
        <v>Gasoline</v>
      </c>
      <c r="M1878" s="194"/>
      <c r="N1878" s="317"/>
      <c r="O1878" s="317"/>
      <c r="P1878" s="317"/>
      <c r="Q1878" s="317"/>
      <c r="R1878" s="317"/>
      <c r="S1878" s="317"/>
      <c r="T1878" s="317"/>
      <c r="U1878" s="317"/>
      <c r="V1878" s="317"/>
      <c r="W1878" s="317"/>
      <c r="X1878" s="317"/>
      <c r="Y1878" s="317"/>
      <c r="Z1878" s="317"/>
    </row>
    <row r="1879" spans="1:26" x14ac:dyDescent="0.25">
      <c r="A1879" s="314"/>
      <c r="B1879" s="18">
        <v>2023</v>
      </c>
      <c r="C1879" s="18" t="s">
        <v>759</v>
      </c>
      <c r="D1879" s="18" t="s">
        <v>784</v>
      </c>
      <c r="E1879" s="18" t="s">
        <v>713</v>
      </c>
      <c r="F1879" s="18" t="s">
        <v>714</v>
      </c>
      <c r="G1879" s="18" t="s">
        <v>677</v>
      </c>
      <c r="H1879" s="18" t="s">
        <v>785</v>
      </c>
      <c r="I1879" s="315">
        <v>71.472441214123592</v>
      </c>
      <c r="J1879" s="315">
        <v>1.0129113015642658E-3</v>
      </c>
      <c r="K1879" s="316" t="str">
        <f t="shared" si="44"/>
        <v>Commercial Equipment</v>
      </c>
      <c r="L1879" s="316" t="str">
        <f t="shared" si="45"/>
        <v>Diesel</v>
      </c>
      <c r="M1879" s="194"/>
      <c r="N1879" s="317"/>
      <c r="O1879" s="317"/>
      <c r="P1879" s="317"/>
      <c r="Q1879" s="317"/>
      <c r="R1879" s="317"/>
      <c r="S1879" s="317"/>
      <c r="T1879" s="317"/>
      <c r="U1879" s="317"/>
      <c r="V1879" s="317"/>
      <c r="W1879" s="317"/>
      <c r="X1879" s="317"/>
      <c r="Y1879" s="317"/>
      <c r="Z1879" s="317"/>
    </row>
    <row r="1880" spans="1:26" x14ac:dyDescent="0.25">
      <c r="A1880" s="314"/>
      <c r="B1880" s="18">
        <v>2023</v>
      </c>
      <c r="C1880" s="18" t="s">
        <v>722</v>
      </c>
      <c r="D1880" s="18" t="s">
        <v>1022</v>
      </c>
      <c r="E1880" s="18" t="s">
        <v>703</v>
      </c>
      <c r="F1880" s="18" t="s">
        <v>704</v>
      </c>
      <c r="G1880" s="18" t="s">
        <v>675</v>
      </c>
      <c r="H1880" s="18" t="s">
        <v>772</v>
      </c>
      <c r="I1880" s="315">
        <v>71.430599681383541</v>
      </c>
      <c r="J1880" s="315">
        <v>5.0449628051109146E-3</v>
      </c>
      <c r="K1880" s="316" t="str">
        <f t="shared" si="44"/>
        <v>Industrial Equipment</v>
      </c>
      <c r="L1880" s="316" t="str">
        <f t="shared" si="45"/>
        <v>Gasoline</v>
      </c>
      <c r="M1880" s="194"/>
      <c r="N1880" s="317"/>
      <c r="O1880" s="317"/>
      <c r="P1880" s="317"/>
      <c r="Q1880" s="317"/>
      <c r="R1880" s="317"/>
      <c r="S1880" s="317"/>
      <c r="T1880" s="317"/>
      <c r="U1880" s="317"/>
      <c r="V1880" s="317"/>
      <c r="W1880" s="317"/>
      <c r="X1880" s="317"/>
      <c r="Y1880" s="317"/>
      <c r="Z1880" s="317"/>
    </row>
    <row r="1881" spans="1:26" x14ac:dyDescent="0.25">
      <c r="A1881" s="314"/>
      <c r="B1881" s="18">
        <v>2023</v>
      </c>
      <c r="C1881" s="18" t="s">
        <v>727</v>
      </c>
      <c r="D1881" s="18" t="s">
        <v>984</v>
      </c>
      <c r="E1881" s="18" t="s">
        <v>703</v>
      </c>
      <c r="F1881" s="18" t="s">
        <v>704</v>
      </c>
      <c r="G1881" s="18" t="s">
        <v>673</v>
      </c>
      <c r="H1881" s="18" t="s">
        <v>985</v>
      </c>
      <c r="I1881" s="315">
        <v>71.401721977698415</v>
      </c>
      <c r="J1881" s="315">
        <v>4.8355164975757405E-2</v>
      </c>
      <c r="K1881" s="316" t="str">
        <f t="shared" si="44"/>
        <v>Lawn and Garden Equipment</v>
      </c>
      <c r="L1881" s="316" t="str">
        <f t="shared" si="45"/>
        <v>Gasoline</v>
      </c>
      <c r="M1881" s="194"/>
      <c r="N1881" s="317"/>
      <c r="O1881" s="317"/>
      <c r="P1881" s="317"/>
      <c r="Q1881" s="317"/>
      <c r="R1881" s="317"/>
      <c r="S1881" s="317"/>
      <c r="T1881" s="317"/>
      <c r="U1881" s="317"/>
      <c r="V1881" s="317"/>
      <c r="W1881" s="317"/>
      <c r="X1881" s="317"/>
      <c r="Y1881" s="317"/>
      <c r="Z1881" s="317"/>
    </row>
    <row r="1882" spans="1:26" x14ac:dyDescent="0.25">
      <c r="A1882" s="314"/>
      <c r="B1882" s="18">
        <v>2023</v>
      </c>
      <c r="C1882" s="18" t="s">
        <v>787</v>
      </c>
      <c r="D1882" s="18" t="s">
        <v>803</v>
      </c>
      <c r="E1882" s="18" t="s">
        <v>703</v>
      </c>
      <c r="F1882" s="18" t="s">
        <v>805</v>
      </c>
      <c r="G1882" s="18" t="s">
        <v>673</v>
      </c>
      <c r="H1882" s="18" t="s">
        <v>806</v>
      </c>
      <c r="I1882" s="315">
        <v>71.33311732529873</v>
      </c>
      <c r="J1882" s="315">
        <v>0.14118427557045327</v>
      </c>
      <c r="K1882" s="316" t="str">
        <f t="shared" si="44"/>
        <v>Lawn and Garden Equipment</v>
      </c>
      <c r="L1882" s="316" t="str">
        <f t="shared" si="45"/>
        <v>Gasoline</v>
      </c>
      <c r="M1882" s="194"/>
      <c r="N1882" s="317"/>
      <c r="O1882" s="317"/>
      <c r="P1882" s="317"/>
      <c r="Q1882" s="317"/>
      <c r="R1882" s="317"/>
      <c r="S1882" s="317"/>
      <c r="T1882" s="317"/>
      <c r="U1882" s="317"/>
      <c r="V1882" s="317"/>
      <c r="W1882" s="317"/>
      <c r="X1882" s="317"/>
      <c r="Y1882" s="317"/>
      <c r="Z1882" s="317"/>
    </row>
    <row r="1883" spans="1:26" x14ac:dyDescent="0.25">
      <c r="A1883" s="314"/>
      <c r="B1883" s="18">
        <v>2023</v>
      </c>
      <c r="C1883" s="18" t="s">
        <v>731</v>
      </c>
      <c r="D1883" s="18" t="s">
        <v>882</v>
      </c>
      <c r="E1883" s="18" t="s">
        <v>713</v>
      </c>
      <c r="F1883" s="18" t="s">
        <v>714</v>
      </c>
      <c r="G1883" s="18" t="s">
        <v>673</v>
      </c>
      <c r="H1883" s="18" t="s">
        <v>705</v>
      </c>
      <c r="I1883" s="315">
        <v>71.087992963883522</v>
      </c>
      <c r="J1883" s="315">
        <v>1.1931130112420073E-3</v>
      </c>
      <c r="K1883" s="316" t="str">
        <f t="shared" si="44"/>
        <v>Lawn and Garden Equipment</v>
      </c>
      <c r="L1883" s="316" t="str">
        <f t="shared" si="45"/>
        <v>Diesel</v>
      </c>
      <c r="M1883" s="194"/>
      <c r="N1883" s="317"/>
      <c r="O1883" s="317"/>
      <c r="P1883" s="317"/>
      <c r="Q1883" s="317"/>
      <c r="R1883" s="317"/>
      <c r="S1883" s="317"/>
      <c r="T1883" s="317"/>
      <c r="U1883" s="317"/>
      <c r="V1883" s="317"/>
      <c r="W1883" s="317"/>
      <c r="X1883" s="317"/>
      <c r="Y1883" s="317"/>
      <c r="Z1883" s="317"/>
    </row>
    <row r="1884" spans="1:26" x14ac:dyDescent="0.25">
      <c r="A1884" s="314"/>
      <c r="B1884" s="18">
        <v>2023</v>
      </c>
      <c r="C1884" s="18" t="s">
        <v>753</v>
      </c>
      <c r="D1884" s="18" t="s">
        <v>878</v>
      </c>
      <c r="E1884" s="18" t="s">
        <v>703</v>
      </c>
      <c r="F1884" s="18" t="s">
        <v>704</v>
      </c>
      <c r="G1884" s="18" t="s">
        <v>673</v>
      </c>
      <c r="H1884" s="18" t="s">
        <v>879</v>
      </c>
      <c r="I1884" s="315">
        <v>70.952632325576559</v>
      </c>
      <c r="J1884" s="315">
        <v>4.6539128792931601E-2</v>
      </c>
      <c r="K1884" s="316" t="str">
        <f t="shared" si="44"/>
        <v>Lawn and Garden Equipment</v>
      </c>
      <c r="L1884" s="316" t="str">
        <f t="shared" si="45"/>
        <v>Gasoline</v>
      </c>
      <c r="M1884" s="194"/>
      <c r="N1884" s="317"/>
      <c r="O1884" s="317"/>
      <c r="P1884" s="317"/>
      <c r="Q1884" s="317"/>
      <c r="R1884" s="317"/>
      <c r="S1884" s="317"/>
      <c r="T1884" s="317"/>
      <c r="U1884" s="317"/>
      <c r="V1884" s="317"/>
      <c r="W1884" s="317"/>
      <c r="X1884" s="317"/>
      <c r="Y1884" s="317"/>
      <c r="Z1884" s="317"/>
    </row>
    <row r="1885" spans="1:26" x14ac:dyDescent="0.25">
      <c r="A1885" s="314"/>
      <c r="B1885" s="18">
        <v>2023</v>
      </c>
      <c r="C1885" s="18" t="s">
        <v>732</v>
      </c>
      <c r="D1885" s="18" t="s">
        <v>1006</v>
      </c>
      <c r="E1885" s="18" t="s">
        <v>703</v>
      </c>
      <c r="F1885" s="18" t="s">
        <v>805</v>
      </c>
      <c r="G1885" s="18" t="s">
        <v>674</v>
      </c>
      <c r="H1885" s="18" t="s">
        <v>967</v>
      </c>
      <c r="I1885" s="315">
        <v>70.898710739722091</v>
      </c>
      <c r="J1885" s="315">
        <v>0.12697127162839275</v>
      </c>
      <c r="K1885" s="316" t="str">
        <f t="shared" si="44"/>
        <v>Construction and Mining Equipment</v>
      </c>
      <c r="L1885" s="316" t="str">
        <f t="shared" si="45"/>
        <v>Gasoline</v>
      </c>
      <c r="M1885" s="194"/>
      <c r="N1885" s="317"/>
      <c r="O1885" s="317"/>
      <c r="P1885" s="317"/>
      <c r="Q1885" s="317"/>
      <c r="R1885" s="317"/>
      <c r="S1885" s="317"/>
      <c r="T1885" s="317"/>
      <c r="U1885" s="317"/>
      <c r="V1885" s="317"/>
      <c r="W1885" s="317"/>
      <c r="X1885" s="317"/>
      <c r="Y1885" s="317"/>
      <c r="Z1885" s="317"/>
    </row>
    <row r="1886" spans="1:26" x14ac:dyDescent="0.25">
      <c r="A1886" s="314"/>
      <c r="B1886" s="18">
        <v>2023</v>
      </c>
      <c r="C1886" s="18" t="s">
        <v>778</v>
      </c>
      <c r="D1886" s="18" t="s">
        <v>867</v>
      </c>
      <c r="E1886" s="18" t="s">
        <v>713</v>
      </c>
      <c r="F1886" s="18" t="s">
        <v>714</v>
      </c>
      <c r="G1886" s="18" t="s">
        <v>673</v>
      </c>
      <c r="H1886" s="18" t="s">
        <v>724</v>
      </c>
      <c r="I1886" s="315">
        <v>70.807757763216188</v>
      </c>
      <c r="J1886" s="315">
        <v>3.6440248845485469E-3</v>
      </c>
      <c r="K1886" s="316" t="str">
        <f t="shared" si="44"/>
        <v>Lawn and Garden Equipment</v>
      </c>
      <c r="L1886" s="316" t="str">
        <f t="shared" si="45"/>
        <v>Diesel</v>
      </c>
      <c r="M1886" s="194"/>
      <c r="N1886" s="317"/>
      <c r="O1886" s="317"/>
      <c r="P1886" s="317"/>
      <c r="Q1886" s="317"/>
      <c r="R1886" s="317"/>
      <c r="S1886" s="317"/>
      <c r="T1886" s="317"/>
      <c r="U1886" s="317"/>
      <c r="V1886" s="317"/>
      <c r="W1886" s="317"/>
      <c r="X1886" s="317"/>
      <c r="Y1886" s="317"/>
      <c r="Z1886" s="317"/>
    </row>
    <row r="1887" spans="1:26" x14ac:dyDescent="0.25">
      <c r="A1887" s="314"/>
      <c r="B1887" s="18">
        <v>2023</v>
      </c>
      <c r="C1887" s="18" t="s">
        <v>793</v>
      </c>
      <c r="D1887" s="18" t="s">
        <v>839</v>
      </c>
      <c r="E1887" s="18" t="s">
        <v>703</v>
      </c>
      <c r="F1887" s="18" t="s">
        <v>704</v>
      </c>
      <c r="G1887" s="18" t="s">
        <v>675</v>
      </c>
      <c r="H1887" s="18" t="s">
        <v>708</v>
      </c>
      <c r="I1887" s="315">
        <v>70.635214829561633</v>
      </c>
      <c r="J1887" s="315">
        <v>4.8485907335217068E-3</v>
      </c>
      <c r="K1887" s="316" t="str">
        <f t="shared" si="44"/>
        <v>Industrial Equipment</v>
      </c>
      <c r="L1887" s="316" t="str">
        <f t="shared" si="45"/>
        <v>Gasoline</v>
      </c>
      <c r="M1887" s="194"/>
      <c r="N1887" s="317"/>
      <c r="O1887" s="317"/>
      <c r="P1887" s="317"/>
      <c r="Q1887" s="317"/>
      <c r="R1887" s="317"/>
      <c r="S1887" s="317"/>
      <c r="T1887" s="317"/>
      <c r="U1887" s="317"/>
      <c r="V1887" s="317"/>
      <c r="W1887" s="317"/>
      <c r="X1887" s="317"/>
      <c r="Y1887" s="317"/>
      <c r="Z1887" s="317"/>
    </row>
    <row r="1888" spans="1:26" x14ac:dyDescent="0.25">
      <c r="A1888" s="314"/>
      <c r="B1888" s="18">
        <v>2023</v>
      </c>
      <c r="C1888" s="18" t="s">
        <v>759</v>
      </c>
      <c r="D1888" s="18" t="s">
        <v>771</v>
      </c>
      <c r="E1888" s="18" t="s">
        <v>713</v>
      </c>
      <c r="F1888" s="18" t="s">
        <v>714</v>
      </c>
      <c r="G1888" s="18" t="s">
        <v>675</v>
      </c>
      <c r="H1888" s="18" t="s">
        <v>772</v>
      </c>
      <c r="I1888" s="315">
        <v>70.606996762313273</v>
      </c>
      <c r="J1888" s="315">
        <v>1.5709367291110305E-4</v>
      </c>
      <c r="K1888" s="316" t="str">
        <f t="shared" si="44"/>
        <v>Industrial Equipment</v>
      </c>
      <c r="L1888" s="316" t="str">
        <f t="shared" si="45"/>
        <v>Diesel</v>
      </c>
      <c r="M1888" s="194"/>
      <c r="N1888" s="317"/>
      <c r="O1888" s="317"/>
      <c r="P1888" s="317"/>
      <c r="Q1888" s="317"/>
      <c r="R1888" s="317"/>
      <c r="S1888" s="317"/>
      <c r="T1888" s="317"/>
      <c r="U1888" s="317"/>
      <c r="V1888" s="317"/>
      <c r="W1888" s="317"/>
      <c r="X1888" s="317"/>
      <c r="Y1888" s="317"/>
      <c r="Z1888" s="317"/>
    </row>
    <row r="1889" spans="1:26" x14ac:dyDescent="0.25">
      <c r="A1889" s="314"/>
      <c r="B1889" s="18">
        <v>2023</v>
      </c>
      <c r="C1889" s="18" t="s">
        <v>711</v>
      </c>
      <c r="D1889" s="18" t="s">
        <v>1073</v>
      </c>
      <c r="E1889" s="18" t="s">
        <v>703</v>
      </c>
      <c r="F1889" s="18" t="s">
        <v>704</v>
      </c>
      <c r="G1889" s="18" t="s">
        <v>674</v>
      </c>
      <c r="H1889" s="18" t="s">
        <v>1072</v>
      </c>
      <c r="I1889" s="315">
        <v>70.390890067978333</v>
      </c>
      <c r="J1889" s="315">
        <v>4.9596320363475783E-2</v>
      </c>
      <c r="K1889" s="316" t="str">
        <f t="shared" si="44"/>
        <v>Construction and Mining Equipment</v>
      </c>
      <c r="L1889" s="316" t="str">
        <f t="shared" si="45"/>
        <v>Gasoline</v>
      </c>
      <c r="M1889" s="194"/>
      <c r="N1889" s="317"/>
      <c r="O1889" s="317"/>
      <c r="P1889" s="317"/>
      <c r="Q1889" s="317"/>
      <c r="R1889" s="317"/>
      <c r="S1889" s="317"/>
      <c r="T1889" s="317"/>
      <c r="U1889" s="317"/>
      <c r="V1889" s="317"/>
      <c r="W1889" s="317"/>
      <c r="X1889" s="317"/>
      <c r="Y1889" s="317"/>
      <c r="Z1889" s="317"/>
    </row>
    <row r="1890" spans="1:26" x14ac:dyDescent="0.25">
      <c r="A1890" s="314"/>
      <c r="B1890" s="18">
        <v>2023</v>
      </c>
      <c r="C1890" s="18" t="s">
        <v>732</v>
      </c>
      <c r="D1890" s="18" t="s">
        <v>1011</v>
      </c>
      <c r="E1890" s="18" t="s">
        <v>56</v>
      </c>
      <c r="F1890" s="18" t="s">
        <v>672</v>
      </c>
      <c r="G1890" s="18" t="s">
        <v>677</v>
      </c>
      <c r="H1890" s="18" t="s">
        <v>836</v>
      </c>
      <c r="I1890" s="315">
        <v>70.326103589440891</v>
      </c>
      <c r="J1890" s="315">
        <v>3.7362285080833231E-3</v>
      </c>
      <c r="K1890" s="316" t="str">
        <f t="shared" si="44"/>
        <v>Commercial Equipment</v>
      </c>
      <c r="L1890" s="316" t="str">
        <f t="shared" si="45"/>
        <v>LPG</v>
      </c>
      <c r="M1890" s="194"/>
      <c r="N1890" s="317"/>
      <c r="O1890" s="317"/>
      <c r="P1890" s="317"/>
      <c r="Q1890" s="317"/>
      <c r="R1890" s="317"/>
      <c r="S1890" s="317"/>
      <c r="T1890" s="317"/>
      <c r="U1890" s="317"/>
      <c r="V1890" s="317"/>
      <c r="W1890" s="317"/>
      <c r="X1890" s="317"/>
      <c r="Y1890" s="317"/>
      <c r="Z1890" s="317"/>
    </row>
    <row r="1891" spans="1:26" x14ac:dyDescent="0.25">
      <c r="A1891" s="314"/>
      <c r="B1891" s="18">
        <v>2023</v>
      </c>
      <c r="C1891" s="18" t="s">
        <v>753</v>
      </c>
      <c r="D1891" s="18" t="s">
        <v>882</v>
      </c>
      <c r="E1891" s="18" t="s">
        <v>713</v>
      </c>
      <c r="F1891" s="18" t="s">
        <v>714</v>
      </c>
      <c r="G1891" s="18" t="s">
        <v>673</v>
      </c>
      <c r="H1891" s="18" t="s">
        <v>705</v>
      </c>
      <c r="I1891" s="315">
        <v>70.199341015959291</v>
      </c>
      <c r="J1891" s="315">
        <v>1.1781985512936662E-3</v>
      </c>
      <c r="K1891" s="316" t="str">
        <f t="shared" si="44"/>
        <v>Lawn and Garden Equipment</v>
      </c>
      <c r="L1891" s="316" t="str">
        <f t="shared" si="45"/>
        <v>Diesel</v>
      </c>
      <c r="M1891" s="194"/>
      <c r="N1891" s="317"/>
      <c r="O1891" s="317"/>
      <c r="P1891" s="317"/>
      <c r="Q1891" s="317"/>
      <c r="R1891" s="317"/>
      <c r="S1891" s="317"/>
      <c r="T1891" s="317"/>
      <c r="U1891" s="317"/>
      <c r="V1891" s="317"/>
      <c r="W1891" s="317"/>
      <c r="X1891" s="317"/>
      <c r="Y1891" s="317"/>
      <c r="Z1891" s="317"/>
    </row>
    <row r="1892" spans="1:26" x14ac:dyDescent="0.25">
      <c r="A1892" s="314"/>
      <c r="B1892" s="18">
        <v>2023</v>
      </c>
      <c r="C1892" s="18" t="s">
        <v>711</v>
      </c>
      <c r="D1892" s="18" t="s">
        <v>1074</v>
      </c>
      <c r="E1892" s="18" t="s">
        <v>713</v>
      </c>
      <c r="F1892" s="18" t="s">
        <v>714</v>
      </c>
      <c r="G1892" s="18" t="s">
        <v>674</v>
      </c>
      <c r="H1892" s="18" t="s">
        <v>967</v>
      </c>
      <c r="I1892" s="315">
        <v>70.180627759319435</v>
      </c>
      <c r="J1892" s="315">
        <v>1.2060200954954082E-3</v>
      </c>
      <c r="K1892" s="316" t="str">
        <f t="shared" si="44"/>
        <v>Construction and Mining Equipment</v>
      </c>
      <c r="L1892" s="316" t="str">
        <f t="shared" si="45"/>
        <v>Diesel</v>
      </c>
      <c r="M1892" s="194"/>
      <c r="N1892" s="317"/>
      <c r="O1892" s="317"/>
      <c r="P1892" s="317"/>
      <c r="Q1892" s="317"/>
      <c r="R1892" s="317"/>
      <c r="S1892" s="317"/>
      <c r="T1892" s="317"/>
      <c r="U1892" s="317"/>
      <c r="V1892" s="317"/>
      <c r="W1892" s="317"/>
      <c r="X1892" s="317"/>
      <c r="Y1892" s="317"/>
      <c r="Z1892" s="317"/>
    </row>
    <row r="1893" spans="1:26" x14ac:dyDescent="0.25">
      <c r="A1893" s="314"/>
      <c r="B1893" s="18">
        <v>2023</v>
      </c>
      <c r="C1893" s="18" t="s">
        <v>781</v>
      </c>
      <c r="D1893" s="18" t="s">
        <v>1153</v>
      </c>
      <c r="E1893" s="18" t="s">
        <v>713</v>
      </c>
      <c r="F1893" s="18" t="s">
        <v>714</v>
      </c>
      <c r="G1893" s="18" t="s">
        <v>678</v>
      </c>
      <c r="H1893" s="18" t="s">
        <v>1154</v>
      </c>
      <c r="I1893" s="315">
        <v>69.9848272755751</v>
      </c>
      <c r="J1893" s="315">
        <v>9.1343383047671068E-4</v>
      </c>
      <c r="K1893" s="316" t="str">
        <f t="shared" si="44"/>
        <v>Agricultural Equipment</v>
      </c>
      <c r="L1893" s="316" t="str">
        <f t="shared" si="45"/>
        <v>Diesel</v>
      </c>
      <c r="M1893" s="194"/>
      <c r="N1893" s="317"/>
      <c r="O1893" s="317"/>
      <c r="P1893" s="317"/>
      <c r="Q1893" s="317"/>
      <c r="R1893" s="317"/>
      <c r="S1893" s="317"/>
      <c r="T1893" s="317"/>
      <c r="U1893" s="317"/>
      <c r="V1893" s="317"/>
      <c r="W1893" s="317"/>
      <c r="X1893" s="317"/>
      <c r="Y1893" s="317"/>
      <c r="Z1893" s="317"/>
    </row>
    <row r="1894" spans="1:26" x14ac:dyDescent="0.25">
      <c r="A1894" s="314"/>
      <c r="B1894" s="18">
        <v>2023</v>
      </c>
      <c r="C1894" s="18" t="s">
        <v>709</v>
      </c>
      <c r="D1894" s="18" t="s">
        <v>1158</v>
      </c>
      <c r="E1894" s="18" t="s">
        <v>703</v>
      </c>
      <c r="F1894" s="18" t="s">
        <v>704</v>
      </c>
      <c r="G1894" s="18" t="s">
        <v>674</v>
      </c>
      <c r="H1894" s="18" t="s">
        <v>715</v>
      </c>
      <c r="I1894" s="315">
        <v>69.532197393512703</v>
      </c>
      <c r="J1894" s="315">
        <v>4.8164840385400802E-3</v>
      </c>
      <c r="K1894" s="316" t="str">
        <f t="shared" si="44"/>
        <v>Construction and Mining Equipment</v>
      </c>
      <c r="L1894" s="316" t="str">
        <f t="shared" si="45"/>
        <v>Gasoline</v>
      </c>
      <c r="M1894" s="194"/>
      <c r="N1894" s="317"/>
      <c r="O1894" s="317"/>
      <c r="P1894" s="317"/>
      <c r="Q1894" s="317"/>
      <c r="R1894" s="317"/>
      <c r="S1894" s="317"/>
      <c r="T1894" s="317"/>
      <c r="U1894" s="317"/>
      <c r="V1894" s="317"/>
      <c r="W1894" s="317"/>
      <c r="X1894" s="317"/>
      <c r="Y1894" s="317"/>
      <c r="Z1894" s="317"/>
    </row>
    <row r="1895" spans="1:26" x14ac:dyDescent="0.25">
      <c r="A1895" s="314"/>
      <c r="B1895" s="18">
        <v>2023</v>
      </c>
      <c r="C1895" s="18" t="s">
        <v>786</v>
      </c>
      <c r="D1895" s="18" t="s">
        <v>1153</v>
      </c>
      <c r="E1895" s="18" t="s">
        <v>713</v>
      </c>
      <c r="F1895" s="18" t="s">
        <v>714</v>
      </c>
      <c r="G1895" s="18" t="s">
        <v>678</v>
      </c>
      <c r="H1895" s="18" t="s">
        <v>1154</v>
      </c>
      <c r="I1895" s="315">
        <v>69.260056919074302</v>
      </c>
      <c r="J1895" s="315">
        <v>9.0397606281779818E-4</v>
      </c>
      <c r="K1895" s="316" t="str">
        <f t="shared" si="44"/>
        <v>Agricultural Equipment</v>
      </c>
      <c r="L1895" s="316" t="str">
        <f t="shared" si="45"/>
        <v>Diesel</v>
      </c>
      <c r="M1895" s="194"/>
      <c r="N1895" s="317"/>
      <c r="O1895" s="317"/>
      <c r="P1895" s="317"/>
      <c r="Q1895" s="317"/>
      <c r="R1895" s="317"/>
      <c r="S1895" s="317"/>
      <c r="T1895" s="317"/>
      <c r="U1895" s="317"/>
      <c r="V1895" s="317"/>
      <c r="W1895" s="317"/>
      <c r="X1895" s="317"/>
      <c r="Y1895" s="317"/>
      <c r="Z1895" s="317"/>
    </row>
    <row r="1896" spans="1:26" x14ac:dyDescent="0.25">
      <c r="A1896" s="314"/>
      <c r="B1896" s="18">
        <v>2023</v>
      </c>
      <c r="C1896" s="18" t="s">
        <v>781</v>
      </c>
      <c r="D1896" s="18" t="s">
        <v>925</v>
      </c>
      <c r="E1896" s="18" t="s">
        <v>703</v>
      </c>
      <c r="F1896" s="18" t="s">
        <v>704</v>
      </c>
      <c r="G1896" s="18" t="s">
        <v>675</v>
      </c>
      <c r="H1896" s="18" t="s">
        <v>798</v>
      </c>
      <c r="I1896" s="315">
        <v>69.230777177479865</v>
      </c>
      <c r="J1896" s="315">
        <v>5.1683991600272809E-2</v>
      </c>
      <c r="K1896" s="316" t="str">
        <f t="shared" si="44"/>
        <v>Industrial Equipment</v>
      </c>
      <c r="L1896" s="316" t="str">
        <f t="shared" si="45"/>
        <v>Gasoline</v>
      </c>
      <c r="M1896" s="194"/>
      <c r="N1896" s="317"/>
      <c r="O1896" s="317"/>
      <c r="P1896" s="317"/>
      <c r="Q1896" s="317"/>
      <c r="R1896" s="317"/>
      <c r="S1896" s="317"/>
      <c r="T1896" s="317"/>
      <c r="U1896" s="317"/>
      <c r="V1896" s="317"/>
      <c r="W1896" s="317"/>
      <c r="X1896" s="317"/>
      <c r="Y1896" s="317"/>
      <c r="Z1896" s="317"/>
    </row>
    <row r="1897" spans="1:26" x14ac:dyDescent="0.25">
      <c r="A1897" s="314"/>
      <c r="B1897" s="18">
        <v>2023</v>
      </c>
      <c r="C1897" s="18" t="s">
        <v>792</v>
      </c>
      <c r="D1897" s="18" t="s">
        <v>757</v>
      </c>
      <c r="E1897" s="18" t="s">
        <v>713</v>
      </c>
      <c r="F1897" s="18" t="s">
        <v>714</v>
      </c>
      <c r="G1897" s="18" t="s">
        <v>673</v>
      </c>
      <c r="H1897" s="18" t="s">
        <v>758</v>
      </c>
      <c r="I1897" s="315">
        <v>69.175917216827713</v>
      </c>
      <c r="J1897" s="315">
        <v>2.6651929549874826E-3</v>
      </c>
      <c r="K1897" s="316" t="str">
        <f t="shared" si="44"/>
        <v>Lawn and Garden Equipment</v>
      </c>
      <c r="L1897" s="316" t="str">
        <f t="shared" si="45"/>
        <v>Diesel</v>
      </c>
      <c r="M1897" s="194"/>
      <c r="N1897" s="317"/>
      <c r="O1897" s="317"/>
      <c r="P1897" s="317"/>
      <c r="Q1897" s="317"/>
      <c r="R1897" s="317"/>
      <c r="S1897" s="317"/>
      <c r="T1897" s="317"/>
      <c r="U1897" s="317"/>
      <c r="V1897" s="317"/>
      <c r="W1897" s="317"/>
      <c r="X1897" s="317"/>
      <c r="Y1897" s="317"/>
      <c r="Z1897" s="317"/>
    </row>
    <row r="1898" spans="1:26" x14ac:dyDescent="0.25">
      <c r="A1898" s="314"/>
      <c r="B1898" s="18">
        <v>2023</v>
      </c>
      <c r="C1898" s="18" t="s">
        <v>778</v>
      </c>
      <c r="D1898" s="18" t="s">
        <v>984</v>
      </c>
      <c r="E1898" s="18" t="s">
        <v>703</v>
      </c>
      <c r="F1898" s="18" t="s">
        <v>704</v>
      </c>
      <c r="G1898" s="18" t="s">
        <v>673</v>
      </c>
      <c r="H1898" s="18" t="s">
        <v>985</v>
      </c>
      <c r="I1898" s="315">
        <v>69.125361560090695</v>
      </c>
      <c r="J1898" s="315">
        <v>4.6882799906209673E-2</v>
      </c>
      <c r="K1898" s="316" t="str">
        <f t="shared" si="44"/>
        <v>Lawn and Garden Equipment</v>
      </c>
      <c r="L1898" s="316" t="str">
        <f t="shared" si="45"/>
        <v>Gasoline</v>
      </c>
      <c r="M1898" s="194"/>
      <c r="N1898" s="317"/>
      <c r="O1898" s="317"/>
      <c r="P1898" s="317"/>
      <c r="Q1898" s="317"/>
      <c r="R1898" s="317"/>
      <c r="S1898" s="317"/>
      <c r="T1898" s="317"/>
      <c r="U1898" s="317"/>
      <c r="V1898" s="317"/>
      <c r="W1898" s="317"/>
      <c r="X1898" s="317"/>
      <c r="Y1898" s="317"/>
      <c r="Z1898" s="317"/>
    </row>
    <row r="1899" spans="1:26" x14ac:dyDescent="0.25">
      <c r="A1899" s="314"/>
      <c r="B1899" s="18">
        <v>2023</v>
      </c>
      <c r="C1899" s="18" t="s">
        <v>754</v>
      </c>
      <c r="D1899" s="18" t="s">
        <v>989</v>
      </c>
      <c r="E1899" s="18" t="s">
        <v>703</v>
      </c>
      <c r="F1899" s="18" t="s">
        <v>795</v>
      </c>
      <c r="G1899" s="18" t="s">
        <v>673</v>
      </c>
      <c r="H1899" s="18" t="s">
        <v>990</v>
      </c>
      <c r="I1899" s="315">
        <v>69.12268828507851</v>
      </c>
      <c r="J1899" s="315">
        <v>0.1330628055721437</v>
      </c>
      <c r="K1899" s="316" t="str">
        <f t="shared" si="44"/>
        <v>Lawn and Garden Equipment</v>
      </c>
      <c r="L1899" s="316" t="str">
        <f t="shared" si="45"/>
        <v>Gasoline</v>
      </c>
      <c r="M1899" s="194"/>
      <c r="N1899" s="317"/>
      <c r="O1899" s="317"/>
      <c r="P1899" s="317"/>
      <c r="Q1899" s="317"/>
      <c r="R1899" s="317"/>
      <c r="S1899" s="317"/>
      <c r="T1899" s="317"/>
      <c r="U1899" s="317"/>
      <c r="V1899" s="317"/>
      <c r="W1899" s="317"/>
      <c r="X1899" s="317"/>
      <c r="Y1899" s="317"/>
      <c r="Z1899" s="317"/>
    </row>
    <row r="1900" spans="1:26" x14ac:dyDescent="0.25">
      <c r="A1900" s="314"/>
      <c r="B1900" s="18">
        <v>2023</v>
      </c>
      <c r="C1900" s="18" t="s">
        <v>778</v>
      </c>
      <c r="D1900" s="18" t="s">
        <v>936</v>
      </c>
      <c r="E1900" s="18" t="s">
        <v>56</v>
      </c>
      <c r="F1900" s="18" t="s">
        <v>672</v>
      </c>
      <c r="G1900" s="18" t="s">
        <v>677</v>
      </c>
      <c r="H1900" s="18" t="s">
        <v>747</v>
      </c>
      <c r="I1900" s="315">
        <v>68.822594278729824</v>
      </c>
      <c r="J1900" s="315">
        <v>1.5866107803878551E-2</v>
      </c>
      <c r="K1900" s="316" t="str">
        <f t="shared" si="44"/>
        <v>Commercial Equipment</v>
      </c>
      <c r="L1900" s="316" t="str">
        <f t="shared" si="45"/>
        <v>LPG</v>
      </c>
      <c r="M1900" s="194"/>
      <c r="N1900" s="317"/>
      <c r="O1900" s="317"/>
      <c r="P1900" s="317"/>
      <c r="Q1900" s="317"/>
      <c r="R1900" s="317"/>
      <c r="S1900" s="317"/>
      <c r="T1900" s="317"/>
      <c r="U1900" s="317"/>
      <c r="V1900" s="317"/>
      <c r="W1900" s="317"/>
      <c r="X1900" s="317"/>
      <c r="Y1900" s="317"/>
      <c r="Z1900" s="317"/>
    </row>
    <row r="1901" spans="1:26" x14ac:dyDescent="0.25">
      <c r="A1901" s="314"/>
      <c r="B1901" s="18">
        <v>2023</v>
      </c>
      <c r="C1901" s="18" t="s">
        <v>701</v>
      </c>
      <c r="D1901" s="18" t="s">
        <v>1084</v>
      </c>
      <c r="E1901" s="18" t="s">
        <v>703</v>
      </c>
      <c r="F1901" s="18" t="s">
        <v>704</v>
      </c>
      <c r="G1901" s="18" t="s">
        <v>674</v>
      </c>
      <c r="H1901" s="18" t="s">
        <v>863</v>
      </c>
      <c r="I1901" s="315">
        <v>68.261829680840435</v>
      </c>
      <c r="J1901" s="315">
        <v>3.9972795623830847E-2</v>
      </c>
      <c r="K1901" s="316" t="str">
        <f t="shared" si="44"/>
        <v>Construction and Mining Equipment</v>
      </c>
      <c r="L1901" s="316" t="str">
        <f t="shared" si="45"/>
        <v>Gasoline</v>
      </c>
      <c r="M1901" s="194"/>
      <c r="N1901" s="317"/>
      <c r="O1901" s="317"/>
      <c r="P1901" s="317"/>
      <c r="Q1901" s="317"/>
      <c r="R1901" s="317"/>
      <c r="S1901" s="317"/>
      <c r="T1901" s="317"/>
      <c r="U1901" s="317"/>
      <c r="V1901" s="317"/>
      <c r="W1901" s="317"/>
      <c r="X1901" s="317"/>
      <c r="Y1901" s="317"/>
      <c r="Z1901" s="317"/>
    </row>
    <row r="1902" spans="1:26" x14ac:dyDescent="0.25">
      <c r="A1902" s="314"/>
      <c r="B1902" s="18">
        <v>2023</v>
      </c>
      <c r="C1902" s="18" t="s">
        <v>727</v>
      </c>
      <c r="D1902" s="18" t="s">
        <v>1153</v>
      </c>
      <c r="E1902" s="18" t="s">
        <v>713</v>
      </c>
      <c r="F1902" s="18" t="s">
        <v>714</v>
      </c>
      <c r="G1902" s="18" t="s">
        <v>678</v>
      </c>
      <c r="H1902" s="18" t="s">
        <v>1154</v>
      </c>
      <c r="I1902" s="315">
        <v>67.948890371891068</v>
      </c>
      <c r="J1902" s="315">
        <v>8.8686255158852212E-4</v>
      </c>
      <c r="K1902" s="316" t="str">
        <f t="shared" si="44"/>
        <v>Agricultural Equipment</v>
      </c>
      <c r="L1902" s="316" t="str">
        <f t="shared" si="45"/>
        <v>Diesel</v>
      </c>
      <c r="M1902" s="194"/>
      <c r="N1902" s="317"/>
      <c r="O1902" s="317"/>
      <c r="P1902" s="317"/>
      <c r="Q1902" s="317"/>
      <c r="R1902" s="317"/>
      <c r="S1902" s="317"/>
      <c r="T1902" s="317"/>
      <c r="U1902" s="317"/>
      <c r="V1902" s="317"/>
      <c r="W1902" s="317"/>
      <c r="X1902" s="317"/>
      <c r="Y1902" s="317"/>
      <c r="Z1902" s="317"/>
    </row>
    <row r="1903" spans="1:26" x14ac:dyDescent="0.25">
      <c r="A1903" s="314"/>
      <c r="B1903" s="18">
        <v>2023</v>
      </c>
      <c r="C1903" s="18" t="s">
        <v>711</v>
      </c>
      <c r="D1903" s="18" t="s">
        <v>1076</v>
      </c>
      <c r="E1903" s="18" t="s">
        <v>703</v>
      </c>
      <c r="F1903" s="18" t="s">
        <v>704</v>
      </c>
      <c r="G1903" s="18" t="s">
        <v>674</v>
      </c>
      <c r="H1903" s="18" t="s">
        <v>756</v>
      </c>
      <c r="I1903" s="315">
        <v>67.863915552567065</v>
      </c>
      <c r="J1903" s="315">
        <v>2.9786579309412579E-2</v>
      </c>
      <c r="K1903" s="316" t="str">
        <f t="shared" si="44"/>
        <v>Construction and Mining Equipment</v>
      </c>
      <c r="L1903" s="316" t="str">
        <f t="shared" si="45"/>
        <v>Gasoline</v>
      </c>
      <c r="M1903" s="194"/>
      <c r="N1903" s="317"/>
      <c r="O1903" s="317"/>
      <c r="P1903" s="317"/>
      <c r="Q1903" s="317"/>
      <c r="R1903" s="317"/>
      <c r="S1903" s="317"/>
      <c r="T1903" s="317"/>
      <c r="U1903" s="317"/>
      <c r="V1903" s="317"/>
      <c r="W1903" s="317"/>
      <c r="X1903" s="317"/>
      <c r="Y1903" s="317"/>
      <c r="Z1903" s="317"/>
    </row>
    <row r="1904" spans="1:26" x14ac:dyDescent="0.25">
      <c r="A1904" s="314"/>
      <c r="B1904" s="18">
        <v>2023</v>
      </c>
      <c r="C1904" s="18" t="s">
        <v>760</v>
      </c>
      <c r="D1904" s="18" t="s">
        <v>1011</v>
      </c>
      <c r="E1904" s="18" t="s">
        <v>56</v>
      </c>
      <c r="F1904" s="18" t="s">
        <v>672</v>
      </c>
      <c r="G1904" s="18" t="s">
        <v>677</v>
      </c>
      <c r="H1904" s="18" t="s">
        <v>836</v>
      </c>
      <c r="I1904" s="315">
        <v>67.621112385347786</v>
      </c>
      <c r="J1904" s="315">
        <v>3.5925276375151686E-3</v>
      </c>
      <c r="K1904" s="316" t="str">
        <f t="shared" si="44"/>
        <v>Commercial Equipment</v>
      </c>
      <c r="L1904" s="316" t="str">
        <f t="shared" si="45"/>
        <v>LPG</v>
      </c>
      <c r="M1904" s="194"/>
      <c r="N1904" s="317"/>
      <c r="O1904" s="317"/>
      <c r="P1904" s="317"/>
      <c r="Q1904" s="317"/>
      <c r="R1904" s="317"/>
      <c r="S1904" s="317"/>
      <c r="T1904" s="317"/>
      <c r="U1904" s="317"/>
      <c r="V1904" s="317"/>
      <c r="W1904" s="317"/>
      <c r="X1904" s="317"/>
      <c r="Y1904" s="317"/>
      <c r="Z1904" s="317"/>
    </row>
    <row r="1905" spans="1:26" x14ac:dyDescent="0.25">
      <c r="A1905" s="314"/>
      <c r="B1905" s="18">
        <v>2023</v>
      </c>
      <c r="C1905" s="18" t="s">
        <v>754</v>
      </c>
      <c r="D1905" s="18" t="s">
        <v>980</v>
      </c>
      <c r="E1905" s="18" t="s">
        <v>713</v>
      </c>
      <c r="F1905" s="18" t="s">
        <v>714</v>
      </c>
      <c r="G1905" s="18" t="s">
        <v>674</v>
      </c>
      <c r="H1905" s="18" t="s">
        <v>981</v>
      </c>
      <c r="I1905" s="315">
        <v>67.554903150156605</v>
      </c>
      <c r="J1905" s="315">
        <v>2.9652834265005258E-3</v>
      </c>
      <c r="K1905" s="316" t="str">
        <f t="shared" si="44"/>
        <v>Construction and Mining Equipment</v>
      </c>
      <c r="L1905" s="316" t="str">
        <f t="shared" si="45"/>
        <v>Diesel</v>
      </c>
      <c r="M1905" s="194"/>
      <c r="N1905" s="317"/>
      <c r="O1905" s="317"/>
      <c r="P1905" s="317"/>
      <c r="Q1905" s="317"/>
      <c r="R1905" s="317"/>
      <c r="S1905" s="317"/>
      <c r="T1905" s="317"/>
      <c r="U1905" s="317"/>
      <c r="V1905" s="317"/>
      <c r="W1905" s="317"/>
      <c r="X1905" s="317"/>
      <c r="Y1905" s="317"/>
      <c r="Z1905" s="317"/>
    </row>
    <row r="1906" spans="1:26" x14ac:dyDescent="0.25">
      <c r="A1906" s="314"/>
      <c r="B1906" s="18">
        <v>2023</v>
      </c>
      <c r="C1906" s="18" t="s">
        <v>781</v>
      </c>
      <c r="D1906" s="18" t="s">
        <v>790</v>
      </c>
      <c r="E1906" s="18" t="s">
        <v>713</v>
      </c>
      <c r="F1906" s="18" t="s">
        <v>714</v>
      </c>
      <c r="G1906" s="18" t="s">
        <v>674</v>
      </c>
      <c r="H1906" s="18" t="s">
        <v>791</v>
      </c>
      <c r="I1906" s="315">
        <v>67.190674811588011</v>
      </c>
      <c r="J1906" s="315">
        <v>3.8625383709062894E-4</v>
      </c>
      <c r="K1906" s="316" t="str">
        <f t="shared" si="44"/>
        <v>Construction and Mining Equipment</v>
      </c>
      <c r="L1906" s="316" t="str">
        <f t="shared" si="45"/>
        <v>Diesel</v>
      </c>
      <c r="M1906" s="194"/>
      <c r="N1906" s="317"/>
      <c r="O1906" s="317"/>
      <c r="P1906" s="317"/>
      <c r="Q1906" s="317"/>
      <c r="R1906" s="317"/>
      <c r="S1906" s="317"/>
      <c r="T1906" s="317"/>
      <c r="U1906" s="317"/>
      <c r="V1906" s="317"/>
      <c r="W1906" s="317"/>
      <c r="X1906" s="317"/>
      <c r="Y1906" s="317"/>
      <c r="Z1906" s="317"/>
    </row>
    <row r="1907" spans="1:26" x14ac:dyDescent="0.25">
      <c r="A1907" s="314"/>
      <c r="B1907" s="18">
        <v>2023</v>
      </c>
      <c r="C1907" s="18" t="s">
        <v>759</v>
      </c>
      <c r="D1907" s="18" t="s">
        <v>788</v>
      </c>
      <c r="E1907" s="18" t="s">
        <v>703</v>
      </c>
      <c r="F1907" s="18" t="s">
        <v>704</v>
      </c>
      <c r="G1907" s="18" t="s">
        <v>677</v>
      </c>
      <c r="H1907" s="18" t="s">
        <v>789</v>
      </c>
      <c r="I1907" s="315">
        <v>67.108617052464979</v>
      </c>
      <c r="J1907" s="315">
        <v>4.6134781592617156E-2</v>
      </c>
      <c r="K1907" s="316" t="str">
        <f t="shared" si="44"/>
        <v>Commercial Equipment</v>
      </c>
      <c r="L1907" s="316" t="str">
        <f t="shared" si="45"/>
        <v>Gasoline</v>
      </c>
      <c r="M1907" s="194"/>
      <c r="N1907" s="317"/>
      <c r="O1907" s="317"/>
      <c r="P1907" s="317"/>
      <c r="Q1907" s="317"/>
      <c r="R1907" s="317"/>
      <c r="S1907" s="317"/>
      <c r="T1907" s="317"/>
      <c r="U1907" s="317"/>
      <c r="V1907" s="317"/>
      <c r="W1907" s="317"/>
      <c r="X1907" s="317"/>
      <c r="Y1907" s="317"/>
      <c r="Z1907" s="317"/>
    </row>
    <row r="1908" spans="1:26" x14ac:dyDescent="0.25">
      <c r="A1908" s="314"/>
      <c r="B1908" s="18">
        <v>2023</v>
      </c>
      <c r="C1908" s="18" t="s">
        <v>793</v>
      </c>
      <c r="D1908" s="18" t="s">
        <v>971</v>
      </c>
      <c r="E1908" s="18" t="s">
        <v>713</v>
      </c>
      <c r="F1908" s="18" t="s">
        <v>714</v>
      </c>
      <c r="G1908" s="18" t="s">
        <v>678</v>
      </c>
      <c r="H1908" s="18" t="s">
        <v>972</v>
      </c>
      <c r="I1908" s="315">
        <v>66.873370476871528</v>
      </c>
      <c r="J1908" s="315">
        <v>3.7146027985903021E-4</v>
      </c>
      <c r="K1908" s="316" t="str">
        <f t="shared" si="44"/>
        <v>Agricultural Equipment</v>
      </c>
      <c r="L1908" s="316" t="str">
        <f t="shared" si="45"/>
        <v>Diesel</v>
      </c>
      <c r="M1908" s="194"/>
      <c r="N1908" s="317"/>
      <c r="O1908" s="317"/>
      <c r="P1908" s="317"/>
      <c r="Q1908" s="317"/>
      <c r="R1908" s="317"/>
      <c r="S1908" s="317"/>
      <c r="T1908" s="317"/>
      <c r="U1908" s="317"/>
      <c r="V1908" s="317"/>
      <c r="W1908" s="317"/>
      <c r="X1908" s="317"/>
      <c r="Y1908" s="317"/>
      <c r="Z1908" s="317"/>
    </row>
    <row r="1909" spans="1:26" x14ac:dyDescent="0.25">
      <c r="A1909" s="314"/>
      <c r="B1909" s="18">
        <v>2023</v>
      </c>
      <c r="C1909" s="18" t="s">
        <v>787</v>
      </c>
      <c r="D1909" s="18" t="s">
        <v>807</v>
      </c>
      <c r="E1909" s="18" t="s">
        <v>703</v>
      </c>
      <c r="F1909" s="18" t="s">
        <v>805</v>
      </c>
      <c r="G1909" s="18" t="s">
        <v>673</v>
      </c>
      <c r="H1909" s="18" t="s">
        <v>749</v>
      </c>
      <c r="I1909" s="315">
        <v>66.608077547378883</v>
      </c>
      <c r="J1909" s="315">
        <v>0.12460157371638897</v>
      </c>
      <c r="K1909" s="316" t="str">
        <f t="shared" si="44"/>
        <v>Lawn and Garden Equipment</v>
      </c>
      <c r="L1909" s="316" t="str">
        <f t="shared" si="45"/>
        <v>Gasoline</v>
      </c>
      <c r="M1909" s="194"/>
      <c r="N1909" s="317"/>
      <c r="O1909" s="317"/>
      <c r="P1909" s="317"/>
      <c r="Q1909" s="317"/>
      <c r="R1909" s="317"/>
      <c r="S1909" s="317"/>
      <c r="T1909" s="317"/>
      <c r="U1909" s="317"/>
      <c r="V1909" s="317"/>
      <c r="W1909" s="317"/>
      <c r="X1909" s="317"/>
      <c r="Y1909" s="317"/>
      <c r="Z1909" s="317"/>
    </row>
    <row r="1910" spans="1:26" x14ac:dyDescent="0.25">
      <c r="A1910" s="314"/>
      <c r="B1910" s="18">
        <v>2023</v>
      </c>
      <c r="C1910" s="18" t="s">
        <v>709</v>
      </c>
      <c r="D1910" s="18" t="s">
        <v>1075</v>
      </c>
      <c r="E1910" s="18" t="s">
        <v>56</v>
      </c>
      <c r="F1910" s="18" t="s">
        <v>672</v>
      </c>
      <c r="G1910" s="18" t="s">
        <v>675</v>
      </c>
      <c r="H1910" s="18" t="s">
        <v>772</v>
      </c>
      <c r="I1910" s="315">
        <v>66.017121663182394</v>
      </c>
      <c r="J1910" s="315">
        <v>3.0413913854257604E-3</v>
      </c>
      <c r="K1910" s="316" t="str">
        <f t="shared" si="44"/>
        <v>Industrial Equipment</v>
      </c>
      <c r="L1910" s="316" t="str">
        <f t="shared" si="45"/>
        <v>LPG</v>
      </c>
      <c r="M1910" s="194"/>
      <c r="N1910" s="317"/>
      <c r="O1910" s="317"/>
      <c r="P1910" s="317"/>
      <c r="Q1910" s="317"/>
      <c r="R1910" s="317"/>
      <c r="S1910" s="317"/>
      <c r="T1910" s="317"/>
      <c r="U1910" s="317"/>
      <c r="V1910" s="317"/>
      <c r="W1910" s="317"/>
      <c r="X1910" s="317"/>
      <c r="Y1910" s="317"/>
      <c r="Z1910" s="317"/>
    </row>
    <row r="1911" spans="1:26" x14ac:dyDescent="0.25">
      <c r="A1911" s="314"/>
      <c r="B1911" s="18">
        <v>2023</v>
      </c>
      <c r="C1911" s="18" t="s">
        <v>743</v>
      </c>
      <c r="D1911" s="18" t="s">
        <v>989</v>
      </c>
      <c r="E1911" s="18" t="s">
        <v>703</v>
      </c>
      <c r="F1911" s="18" t="s">
        <v>795</v>
      </c>
      <c r="G1911" s="18" t="s">
        <v>673</v>
      </c>
      <c r="H1911" s="18" t="s">
        <v>990</v>
      </c>
      <c r="I1911" s="315">
        <v>65.974949049517747</v>
      </c>
      <c r="J1911" s="315">
        <v>0.12700325414757038</v>
      </c>
      <c r="K1911" s="316" t="str">
        <f t="shared" si="44"/>
        <v>Lawn and Garden Equipment</v>
      </c>
      <c r="L1911" s="316" t="str">
        <f t="shared" si="45"/>
        <v>Gasoline</v>
      </c>
      <c r="M1911" s="194"/>
      <c r="N1911" s="317"/>
      <c r="O1911" s="317"/>
      <c r="P1911" s="317"/>
      <c r="Q1911" s="317"/>
      <c r="R1911" s="317"/>
      <c r="S1911" s="317"/>
      <c r="T1911" s="317"/>
      <c r="U1911" s="317"/>
      <c r="V1911" s="317"/>
      <c r="W1911" s="317"/>
      <c r="X1911" s="317"/>
      <c r="Y1911" s="317"/>
      <c r="Z1911" s="317"/>
    </row>
    <row r="1912" spans="1:26" x14ac:dyDescent="0.25">
      <c r="A1912" s="314"/>
      <c r="B1912" s="18">
        <v>2023</v>
      </c>
      <c r="C1912" s="18" t="s">
        <v>732</v>
      </c>
      <c r="D1912" s="18" t="s">
        <v>1015</v>
      </c>
      <c r="E1912" s="18" t="s">
        <v>56</v>
      </c>
      <c r="F1912" s="18" t="s">
        <v>601</v>
      </c>
      <c r="G1912" s="18" t="s">
        <v>677</v>
      </c>
      <c r="H1912" s="18" t="s">
        <v>747</v>
      </c>
      <c r="I1912" s="315">
        <v>65.694747680334643</v>
      </c>
      <c r="J1912" s="315">
        <v>1.4697477624008741</v>
      </c>
      <c r="K1912" s="316" t="str">
        <f t="shared" si="44"/>
        <v>Commercial Equipment</v>
      </c>
      <c r="L1912" s="316" t="str">
        <f t="shared" si="45"/>
        <v>CNG</v>
      </c>
      <c r="M1912" s="194"/>
      <c r="N1912" s="317"/>
      <c r="O1912" s="317"/>
      <c r="P1912" s="317"/>
      <c r="Q1912" s="317"/>
      <c r="R1912" s="317"/>
      <c r="S1912" s="317"/>
      <c r="T1912" s="317"/>
      <c r="U1912" s="317"/>
      <c r="V1912" s="317"/>
      <c r="W1912" s="317"/>
      <c r="X1912" s="317"/>
      <c r="Y1912" s="317"/>
      <c r="Z1912" s="317"/>
    </row>
    <row r="1913" spans="1:26" x14ac:dyDescent="0.25">
      <c r="A1913" s="314"/>
      <c r="B1913" s="18">
        <v>2023</v>
      </c>
      <c r="C1913" s="18" t="s">
        <v>722</v>
      </c>
      <c r="D1913" s="18" t="s">
        <v>998</v>
      </c>
      <c r="E1913" s="18" t="s">
        <v>703</v>
      </c>
      <c r="F1913" s="18" t="s">
        <v>704</v>
      </c>
      <c r="G1913" s="18" t="s">
        <v>674</v>
      </c>
      <c r="H1913" s="18" t="s">
        <v>999</v>
      </c>
      <c r="I1913" s="315">
        <v>65.44600804999763</v>
      </c>
      <c r="J1913" s="315">
        <v>4.3271215570028894E-2</v>
      </c>
      <c r="K1913" s="316" t="str">
        <f t="shared" si="44"/>
        <v>Construction and Mining Equipment</v>
      </c>
      <c r="L1913" s="316" t="str">
        <f t="shared" si="45"/>
        <v>Gasoline</v>
      </c>
      <c r="M1913" s="194"/>
      <c r="N1913" s="317"/>
      <c r="O1913" s="317"/>
      <c r="P1913" s="317"/>
      <c r="Q1913" s="317"/>
      <c r="R1913" s="317"/>
      <c r="S1913" s="317"/>
      <c r="T1913" s="317"/>
      <c r="U1913" s="317"/>
      <c r="V1913" s="317"/>
      <c r="W1913" s="317"/>
      <c r="X1913" s="317"/>
      <c r="Y1913" s="317"/>
      <c r="Z1913" s="317"/>
    </row>
    <row r="1914" spans="1:26" x14ac:dyDescent="0.25">
      <c r="A1914" s="314"/>
      <c r="B1914" s="18">
        <v>2023</v>
      </c>
      <c r="C1914" s="18" t="s">
        <v>727</v>
      </c>
      <c r="D1914" s="18" t="s">
        <v>958</v>
      </c>
      <c r="E1914" s="18" t="s">
        <v>713</v>
      </c>
      <c r="F1914" s="18" t="s">
        <v>714</v>
      </c>
      <c r="G1914" s="18" t="s">
        <v>674</v>
      </c>
      <c r="H1914" s="18" t="s">
        <v>959</v>
      </c>
      <c r="I1914" s="315">
        <v>65.381681975892249</v>
      </c>
      <c r="J1914" s="315">
        <v>5.8160403237142617E-4</v>
      </c>
      <c r="K1914" s="316" t="str">
        <f t="shared" si="44"/>
        <v>Construction and Mining Equipment</v>
      </c>
      <c r="L1914" s="316" t="str">
        <f t="shared" si="45"/>
        <v>Diesel</v>
      </c>
      <c r="M1914" s="194"/>
      <c r="N1914" s="317"/>
      <c r="O1914" s="317"/>
      <c r="P1914" s="317"/>
      <c r="Q1914" s="317"/>
      <c r="R1914" s="317"/>
      <c r="S1914" s="317"/>
      <c r="T1914" s="317"/>
      <c r="U1914" s="317"/>
      <c r="V1914" s="317"/>
      <c r="W1914" s="317"/>
      <c r="X1914" s="317"/>
      <c r="Y1914" s="317"/>
      <c r="Z1914" s="317"/>
    </row>
    <row r="1915" spans="1:26" x14ac:dyDescent="0.25">
      <c r="A1915" s="314"/>
      <c r="B1915" s="18">
        <v>2023</v>
      </c>
      <c r="C1915" s="18" t="s">
        <v>754</v>
      </c>
      <c r="D1915" s="18" t="s">
        <v>988</v>
      </c>
      <c r="E1915" s="18" t="s">
        <v>703</v>
      </c>
      <c r="F1915" s="18" t="s">
        <v>805</v>
      </c>
      <c r="G1915" s="18" t="s">
        <v>673</v>
      </c>
      <c r="H1915" s="18" t="s">
        <v>768</v>
      </c>
      <c r="I1915" s="315">
        <v>65.221398063774629</v>
      </c>
      <c r="J1915" s="315">
        <v>0.12142274027991569</v>
      </c>
      <c r="K1915" s="316" t="str">
        <f t="shared" si="44"/>
        <v>Lawn and Garden Equipment</v>
      </c>
      <c r="L1915" s="316" t="str">
        <f t="shared" si="45"/>
        <v>Gasoline</v>
      </c>
      <c r="M1915" s="194"/>
      <c r="N1915" s="317"/>
      <c r="O1915" s="317"/>
      <c r="P1915" s="317"/>
      <c r="Q1915" s="317"/>
      <c r="R1915" s="317"/>
      <c r="S1915" s="317"/>
      <c r="T1915" s="317"/>
      <c r="U1915" s="317"/>
      <c r="V1915" s="317"/>
      <c r="W1915" s="317"/>
      <c r="X1915" s="317"/>
      <c r="Y1915" s="317"/>
      <c r="Z1915" s="317"/>
    </row>
    <row r="1916" spans="1:26" x14ac:dyDescent="0.25">
      <c r="A1916" s="314"/>
      <c r="B1916" s="18">
        <v>2023</v>
      </c>
      <c r="C1916" s="18" t="s">
        <v>722</v>
      </c>
      <c r="D1916" s="18" t="s">
        <v>1000</v>
      </c>
      <c r="E1916" s="18" t="s">
        <v>703</v>
      </c>
      <c r="F1916" s="18" t="s">
        <v>704</v>
      </c>
      <c r="G1916" s="18" t="s">
        <v>674</v>
      </c>
      <c r="H1916" s="18" t="s">
        <v>850</v>
      </c>
      <c r="I1916" s="315">
        <v>65.205256723330137</v>
      </c>
      <c r="J1916" s="315">
        <v>3.9721105716980905E-2</v>
      </c>
      <c r="K1916" s="316" t="str">
        <f t="shared" si="44"/>
        <v>Construction and Mining Equipment</v>
      </c>
      <c r="L1916" s="316" t="str">
        <f t="shared" si="45"/>
        <v>Gasoline</v>
      </c>
      <c r="M1916" s="194"/>
      <c r="N1916" s="317"/>
      <c r="O1916" s="317"/>
      <c r="P1916" s="317"/>
      <c r="Q1916" s="317"/>
      <c r="R1916" s="317"/>
      <c r="S1916" s="317"/>
      <c r="T1916" s="317"/>
      <c r="U1916" s="317"/>
      <c r="V1916" s="317"/>
      <c r="W1916" s="317"/>
      <c r="X1916" s="317"/>
      <c r="Y1916" s="317"/>
      <c r="Z1916" s="317"/>
    </row>
    <row r="1917" spans="1:26" x14ac:dyDescent="0.25">
      <c r="A1917" s="314"/>
      <c r="B1917" s="18">
        <v>2023</v>
      </c>
      <c r="C1917" s="18" t="s">
        <v>706</v>
      </c>
      <c r="D1917" s="18" t="s">
        <v>1215</v>
      </c>
      <c r="E1917" s="18" t="s">
        <v>56</v>
      </c>
      <c r="F1917" s="18" t="s">
        <v>672</v>
      </c>
      <c r="G1917" s="18" t="s">
        <v>674</v>
      </c>
      <c r="H1917" s="18" t="s">
        <v>756</v>
      </c>
      <c r="I1917" s="315">
        <v>64.973357662657534</v>
      </c>
      <c r="J1917" s="315">
        <v>1.2020347448276389E-2</v>
      </c>
      <c r="K1917" s="316" t="str">
        <f t="shared" si="44"/>
        <v>Construction and Mining Equipment</v>
      </c>
      <c r="L1917" s="316" t="str">
        <f t="shared" si="45"/>
        <v>LPG</v>
      </c>
      <c r="M1917" s="194"/>
      <c r="N1917" s="317"/>
      <c r="O1917" s="317"/>
      <c r="P1917" s="317"/>
      <c r="Q1917" s="317"/>
      <c r="R1917" s="317"/>
      <c r="S1917" s="317"/>
      <c r="T1917" s="317"/>
      <c r="U1917" s="317"/>
      <c r="V1917" s="317"/>
      <c r="W1917" s="317"/>
      <c r="X1917" s="317"/>
      <c r="Y1917" s="317"/>
      <c r="Z1917" s="317"/>
    </row>
    <row r="1918" spans="1:26" x14ac:dyDescent="0.25">
      <c r="A1918" s="314"/>
      <c r="B1918" s="18">
        <v>2023</v>
      </c>
      <c r="C1918" s="18" t="s">
        <v>731</v>
      </c>
      <c r="D1918" s="18" t="s">
        <v>982</v>
      </c>
      <c r="E1918" s="18" t="s">
        <v>703</v>
      </c>
      <c r="F1918" s="18" t="s">
        <v>805</v>
      </c>
      <c r="G1918" s="18" t="s">
        <v>679</v>
      </c>
      <c r="H1918" s="18" t="s">
        <v>983</v>
      </c>
      <c r="I1918" s="315">
        <v>64.914569144152495</v>
      </c>
      <c r="J1918" s="315">
        <v>0.19919976137840556</v>
      </c>
      <c r="K1918" s="316" t="str">
        <f t="shared" si="44"/>
        <v>Recreational Equipment</v>
      </c>
      <c r="L1918" s="316" t="str">
        <f t="shared" si="45"/>
        <v>Gasoline</v>
      </c>
      <c r="M1918" s="194"/>
      <c r="N1918" s="317"/>
      <c r="O1918" s="317"/>
      <c r="P1918" s="317"/>
      <c r="Q1918" s="317"/>
      <c r="R1918" s="317"/>
      <c r="S1918" s="317"/>
      <c r="T1918" s="317"/>
      <c r="U1918" s="317"/>
      <c r="V1918" s="317"/>
      <c r="W1918" s="317"/>
      <c r="X1918" s="317"/>
      <c r="Y1918" s="317"/>
      <c r="Z1918" s="317"/>
    </row>
    <row r="1919" spans="1:26" x14ac:dyDescent="0.25">
      <c r="A1919" s="314"/>
      <c r="B1919" s="18">
        <v>2023</v>
      </c>
      <c r="C1919" s="18" t="s">
        <v>722</v>
      </c>
      <c r="D1919" s="18" t="s">
        <v>982</v>
      </c>
      <c r="E1919" s="18" t="s">
        <v>703</v>
      </c>
      <c r="F1919" s="18" t="s">
        <v>805</v>
      </c>
      <c r="G1919" s="18" t="s">
        <v>679</v>
      </c>
      <c r="H1919" s="18" t="s">
        <v>983</v>
      </c>
      <c r="I1919" s="315">
        <v>64.914569144152495</v>
      </c>
      <c r="J1919" s="315">
        <v>0.19919976137840556</v>
      </c>
      <c r="K1919" s="316" t="str">
        <f t="shared" si="44"/>
        <v>Recreational Equipment</v>
      </c>
      <c r="L1919" s="316" t="str">
        <f t="shared" si="45"/>
        <v>Gasoline</v>
      </c>
      <c r="M1919" s="194"/>
      <c r="N1919" s="317"/>
      <c r="O1919" s="317"/>
      <c r="P1919" s="317"/>
      <c r="Q1919" s="317"/>
      <c r="R1919" s="317"/>
      <c r="S1919" s="317"/>
      <c r="T1919" s="317"/>
      <c r="U1919" s="317"/>
      <c r="V1919" s="317"/>
      <c r="W1919" s="317"/>
      <c r="X1919" s="317"/>
      <c r="Y1919" s="317"/>
      <c r="Z1919" s="317"/>
    </row>
    <row r="1920" spans="1:26" x14ac:dyDescent="0.25">
      <c r="A1920" s="314"/>
      <c r="B1920" s="18">
        <v>2023</v>
      </c>
      <c r="C1920" s="18" t="s">
        <v>781</v>
      </c>
      <c r="D1920" s="18" t="s">
        <v>840</v>
      </c>
      <c r="E1920" s="18" t="s">
        <v>703</v>
      </c>
      <c r="F1920" s="18" t="s">
        <v>704</v>
      </c>
      <c r="G1920" s="18" t="s">
        <v>677</v>
      </c>
      <c r="H1920" s="18" t="s">
        <v>841</v>
      </c>
      <c r="I1920" s="315">
        <v>64.533409682767612</v>
      </c>
      <c r="J1920" s="315">
        <v>4.2429216220616919E-2</v>
      </c>
      <c r="K1920" s="316" t="str">
        <f t="shared" si="44"/>
        <v>Commercial Equipment</v>
      </c>
      <c r="L1920" s="316" t="str">
        <f t="shared" si="45"/>
        <v>Gasoline</v>
      </c>
      <c r="M1920" s="194"/>
      <c r="N1920" s="317"/>
      <c r="O1920" s="317"/>
      <c r="P1920" s="317"/>
      <c r="Q1920" s="317"/>
      <c r="R1920" s="317"/>
      <c r="S1920" s="317"/>
      <c r="T1920" s="317"/>
      <c r="U1920" s="317"/>
      <c r="V1920" s="317"/>
      <c r="W1920" s="317"/>
      <c r="X1920" s="317"/>
      <c r="Y1920" s="317"/>
      <c r="Z1920" s="317"/>
    </row>
    <row r="1921" spans="1:26" x14ac:dyDescent="0.25">
      <c r="A1921" s="314"/>
      <c r="B1921" s="18">
        <v>2023</v>
      </c>
      <c r="C1921" s="18" t="s">
        <v>743</v>
      </c>
      <c r="D1921" s="18" t="s">
        <v>737</v>
      </c>
      <c r="E1921" s="18" t="s">
        <v>713</v>
      </c>
      <c r="F1921" s="18" t="s">
        <v>714</v>
      </c>
      <c r="G1921" s="18" t="s">
        <v>680</v>
      </c>
      <c r="H1921" s="18" t="s">
        <v>680</v>
      </c>
      <c r="I1921" s="315">
        <v>64.332565823362515</v>
      </c>
      <c r="J1921" s="315">
        <v>5.1944652081892554E-4</v>
      </c>
      <c r="K1921" s="316" t="str">
        <f t="shared" si="44"/>
        <v>Airport Ground Support Equipment</v>
      </c>
      <c r="L1921" s="316" t="str">
        <f t="shared" si="45"/>
        <v>Diesel</v>
      </c>
      <c r="M1921" s="194"/>
      <c r="N1921" s="317"/>
      <c r="O1921" s="317"/>
      <c r="P1921" s="317"/>
      <c r="Q1921" s="317"/>
      <c r="R1921" s="317"/>
      <c r="S1921" s="317"/>
      <c r="T1921" s="317"/>
      <c r="U1921" s="317"/>
      <c r="V1921" s="317"/>
      <c r="W1921" s="317"/>
      <c r="X1921" s="317"/>
      <c r="Y1921" s="317"/>
      <c r="Z1921" s="317"/>
    </row>
    <row r="1922" spans="1:26" x14ac:dyDescent="0.25">
      <c r="A1922" s="314"/>
      <c r="B1922" s="18">
        <v>2023</v>
      </c>
      <c r="C1922" s="18" t="s">
        <v>732</v>
      </c>
      <c r="D1922" s="18" t="s">
        <v>1014</v>
      </c>
      <c r="E1922" s="18" t="s">
        <v>713</v>
      </c>
      <c r="F1922" s="18" t="s">
        <v>714</v>
      </c>
      <c r="G1922" s="18" t="s">
        <v>674</v>
      </c>
      <c r="H1922" s="18" t="s">
        <v>994</v>
      </c>
      <c r="I1922" s="315">
        <v>64.209912203563405</v>
      </c>
      <c r="J1922" s="315">
        <v>8.3640511052087308E-4</v>
      </c>
      <c r="K1922" s="316" t="str">
        <f t="shared" si="44"/>
        <v>Construction and Mining Equipment</v>
      </c>
      <c r="L1922" s="316" t="str">
        <f t="shared" si="45"/>
        <v>Diesel</v>
      </c>
      <c r="M1922" s="194"/>
      <c r="N1922" s="317"/>
      <c r="O1922" s="317"/>
      <c r="P1922" s="317"/>
      <c r="Q1922" s="317"/>
      <c r="R1922" s="317"/>
      <c r="S1922" s="317"/>
      <c r="T1922" s="317"/>
      <c r="U1922" s="317"/>
      <c r="V1922" s="317"/>
      <c r="W1922" s="317"/>
      <c r="X1922" s="317"/>
      <c r="Y1922" s="317"/>
      <c r="Z1922" s="317"/>
    </row>
    <row r="1923" spans="1:26" x14ac:dyDescent="0.25">
      <c r="A1923" s="314"/>
      <c r="B1923" s="18">
        <v>2023</v>
      </c>
      <c r="C1923" s="18" t="s">
        <v>727</v>
      </c>
      <c r="D1923" s="18" t="s">
        <v>986</v>
      </c>
      <c r="E1923" s="18" t="s">
        <v>703</v>
      </c>
      <c r="F1923" s="18" t="s">
        <v>704</v>
      </c>
      <c r="G1923" s="18" t="s">
        <v>673</v>
      </c>
      <c r="H1923" s="18" t="s">
        <v>987</v>
      </c>
      <c r="I1923" s="315">
        <v>63.846499446187778</v>
      </c>
      <c r="J1923" s="315">
        <v>4.3608591181083262E-2</v>
      </c>
      <c r="K1923" s="316" t="str">
        <f t="shared" si="44"/>
        <v>Lawn and Garden Equipment</v>
      </c>
      <c r="L1923" s="316" t="str">
        <f t="shared" si="45"/>
        <v>Gasoline</v>
      </c>
      <c r="M1923" s="194"/>
      <c r="N1923" s="317"/>
      <c r="O1923" s="317"/>
      <c r="P1923" s="317"/>
      <c r="Q1923" s="317"/>
      <c r="R1923" s="317"/>
      <c r="S1923" s="317"/>
      <c r="T1923" s="317"/>
      <c r="U1923" s="317"/>
      <c r="V1923" s="317"/>
      <c r="W1923" s="317"/>
      <c r="X1923" s="317"/>
      <c r="Y1923" s="317"/>
      <c r="Z1923" s="317"/>
    </row>
    <row r="1924" spans="1:26" x14ac:dyDescent="0.25">
      <c r="A1924" s="314"/>
      <c r="B1924" s="18">
        <v>2023</v>
      </c>
      <c r="C1924" s="18" t="s">
        <v>793</v>
      </c>
      <c r="D1924" s="18" t="s">
        <v>958</v>
      </c>
      <c r="E1924" s="18" t="s">
        <v>713</v>
      </c>
      <c r="F1924" s="18" t="s">
        <v>714</v>
      </c>
      <c r="G1924" s="18" t="s">
        <v>674</v>
      </c>
      <c r="H1924" s="18" t="s">
        <v>959</v>
      </c>
      <c r="I1924" s="315">
        <v>63.836075844030958</v>
      </c>
      <c r="J1924" s="315">
        <v>5.6785509604213142E-4</v>
      </c>
      <c r="K1924" s="316" t="str">
        <f t="shared" si="44"/>
        <v>Construction and Mining Equipment</v>
      </c>
      <c r="L1924" s="316" t="str">
        <f t="shared" si="45"/>
        <v>Diesel</v>
      </c>
      <c r="M1924" s="194"/>
      <c r="N1924" s="317"/>
      <c r="O1924" s="317"/>
      <c r="P1924" s="317"/>
      <c r="Q1924" s="317"/>
      <c r="R1924" s="317"/>
      <c r="S1924" s="317"/>
      <c r="T1924" s="317"/>
      <c r="U1924" s="317"/>
      <c r="V1924" s="317"/>
      <c r="W1924" s="317"/>
      <c r="X1924" s="317"/>
      <c r="Y1924" s="317"/>
      <c r="Z1924" s="317"/>
    </row>
    <row r="1925" spans="1:26" x14ac:dyDescent="0.25">
      <c r="A1925" s="314"/>
      <c r="B1925" s="18">
        <v>2023</v>
      </c>
      <c r="C1925" s="18" t="s">
        <v>709</v>
      </c>
      <c r="D1925" s="18" t="s">
        <v>1077</v>
      </c>
      <c r="E1925" s="18" t="s">
        <v>713</v>
      </c>
      <c r="F1925" s="18" t="s">
        <v>714</v>
      </c>
      <c r="G1925" s="18" t="s">
        <v>675</v>
      </c>
      <c r="H1925" s="18" t="s">
        <v>1078</v>
      </c>
      <c r="I1925" s="315">
        <v>63.830909741507</v>
      </c>
      <c r="J1925" s="315">
        <v>1.6187050182622357E-3</v>
      </c>
      <c r="K1925" s="316" t="str">
        <f t="shared" si="44"/>
        <v>Industrial Equipment</v>
      </c>
      <c r="L1925" s="316" t="str">
        <f t="shared" si="45"/>
        <v>Diesel</v>
      </c>
      <c r="M1925" s="194"/>
      <c r="N1925" s="317"/>
      <c r="O1925" s="317"/>
      <c r="P1925" s="317"/>
      <c r="Q1925" s="317"/>
      <c r="R1925" s="317"/>
      <c r="S1925" s="317"/>
      <c r="T1925" s="317"/>
      <c r="U1925" s="317"/>
      <c r="V1925" s="317"/>
      <c r="W1925" s="317"/>
      <c r="X1925" s="317"/>
      <c r="Y1925" s="317"/>
      <c r="Z1925" s="317"/>
    </row>
    <row r="1926" spans="1:26" x14ac:dyDescent="0.25">
      <c r="A1926" s="314"/>
      <c r="B1926" s="18">
        <v>2023</v>
      </c>
      <c r="C1926" s="18" t="s">
        <v>753</v>
      </c>
      <c r="D1926" s="18" t="s">
        <v>1153</v>
      </c>
      <c r="E1926" s="18" t="s">
        <v>713</v>
      </c>
      <c r="F1926" s="18" t="s">
        <v>714</v>
      </c>
      <c r="G1926" s="18" t="s">
        <v>678</v>
      </c>
      <c r="H1926" s="18" t="s">
        <v>1154</v>
      </c>
      <c r="I1926" s="315">
        <v>63.67082678806139</v>
      </c>
      <c r="J1926" s="315">
        <v>8.3102515843283293E-4</v>
      </c>
      <c r="K1926" s="316" t="str">
        <f t="shared" si="44"/>
        <v>Agricultural Equipment</v>
      </c>
      <c r="L1926" s="316" t="str">
        <f t="shared" si="45"/>
        <v>Diesel</v>
      </c>
      <c r="M1926" s="194"/>
      <c r="N1926" s="317"/>
      <c r="O1926" s="317"/>
      <c r="P1926" s="317"/>
      <c r="Q1926" s="317"/>
      <c r="R1926" s="317"/>
      <c r="S1926" s="317"/>
      <c r="T1926" s="317"/>
      <c r="U1926" s="317"/>
      <c r="V1926" s="317"/>
      <c r="W1926" s="317"/>
      <c r="X1926" s="317"/>
      <c r="Y1926" s="317"/>
      <c r="Z1926" s="317"/>
    </row>
    <row r="1927" spans="1:26" x14ac:dyDescent="0.25">
      <c r="A1927" s="314"/>
      <c r="B1927" s="18">
        <v>2023</v>
      </c>
      <c r="C1927" s="18" t="s">
        <v>793</v>
      </c>
      <c r="D1927" s="18" t="s">
        <v>866</v>
      </c>
      <c r="E1927" s="18" t="s">
        <v>713</v>
      </c>
      <c r="F1927" s="18" t="s">
        <v>714</v>
      </c>
      <c r="G1927" s="18" t="s">
        <v>677</v>
      </c>
      <c r="H1927" s="18" t="s">
        <v>841</v>
      </c>
      <c r="I1927" s="315">
        <v>63.563413061337997</v>
      </c>
      <c r="J1927" s="315">
        <v>1.5850168177813189E-3</v>
      </c>
      <c r="K1927" s="316" t="str">
        <f t="shared" si="44"/>
        <v>Commercial Equipment</v>
      </c>
      <c r="L1927" s="316" t="str">
        <f t="shared" si="45"/>
        <v>Diesel</v>
      </c>
      <c r="M1927" s="194"/>
      <c r="N1927" s="317"/>
      <c r="O1927" s="317"/>
      <c r="P1927" s="317"/>
      <c r="Q1927" s="317"/>
      <c r="R1927" s="317"/>
      <c r="S1927" s="317"/>
      <c r="T1927" s="317"/>
      <c r="U1927" s="317"/>
      <c r="V1927" s="317"/>
      <c r="W1927" s="317"/>
      <c r="X1927" s="317"/>
      <c r="Y1927" s="317"/>
      <c r="Z1927" s="317"/>
    </row>
    <row r="1928" spans="1:26" x14ac:dyDescent="0.25">
      <c r="A1928" s="314"/>
      <c r="B1928" s="18">
        <v>2023</v>
      </c>
      <c r="C1928" s="18" t="s">
        <v>787</v>
      </c>
      <c r="D1928" s="18" t="s">
        <v>973</v>
      </c>
      <c r="E1928" s="18" t="s">
        <v>703</v>
      </c>
      <c r="F1928" s="18" t="s">
        <v>795</v>
      </c>
      <c r="G1928" s="18" t="s">
        <v>673</v>
      </c>
      <c r="H1928" s="18" t="s">
        <v>974</v>
      </c>
      <c r="I1928" s="315">
        <v>63.282984676307493</v>
      </c>
      <c r="J1928" s="315">
        <v>0.119298512897465</v>
      </c>
      <c r="K1928" s="316" t="str">
        <f t="shared" si="44"/>
        <v>Lawn and Garden Equipment</v>
      </c>
      <c r="L1928" s="316" t="str">
        <f t="shared" si="45"/>
        <v>Gasoline</v>
      </c>
      <c r="M1928" s="194"/>
      <c r="N1928" s="317"/>
      <c r="O1928" s="317"/>
      <c r="P1928" s="317"/>
      <c r="Q1928" s="317"/>
      <c r="R1928" s="317"/>
      <c r="S1928" s="317"/>
      <c r="T1928" s="317"/>
      <c r="U1928" s="317"/>
      <c r="V1928" s="317"/>
      <c r="W1928" s="317"/>
      <c r="X1928" s="317"/>
      <c r="Y1928" s="317"/>
      <c r="Z1928" s="317"/>
    </row>
    <row r="1929" spans="1:26" x14ac:dyDescent="0.25">
      <c r="A1929" s="314"/>
      <c r="B1929" s="18">
        <v>2023</v>
      </c>
      <c r="C1929" s="18" t="s">
        <v>760</v>
      </c>
      <c r="D1929" s="18" t="s">
        <v>1015</v>
      </c>
      <c r="E1929" s="18" t="s">
        <v>56</v>
      </c>
      <c r="F1929" s="18" t="s">
        <v>601</v>
      </c>
      <c r="G1929" s="18" t="s">
        <v>677</v>
      </c>
      <c r="H1929" s="18" t="s">
        <v>747</v>
      </c>
      <c r="I1929" s="315">
        <v>63.167871098393931</v>
      </c>
      <c r="J1929" s="315">
        <v>1.4132181351658011</v>
      </c>
      <c r="K1929" s="316" t="str">
        <f t="shared" si="44"/>
        <v>Commercial Equipment</v>
      </c>
      <c r="L1929" s="316" t="str">
        <f t="shared" si="45"/>
        <v>CNG</v>
      </c>
      <c r="M1929" s="194"/>
      <c r="N1929" s="317"/>
      <c r="O1929" s="317"/>
      <c r="P1929" s="317"/>
      <c r="Q1929" s="317"/>
      <c r="R1929" s="317"/>
      <c r="S1929" s="317"/>
      <c r="T1929" s="317"/>
      <c r="U1929" s="317"/>
      <c r="V1929" s="317"/>
      <c r="W1929" s="317"/>
      <c r="X1929" s="317"/>
      <c r="Y1929" s="317"/>
      <c r="Z1929" s="317"/>
    </row>
    <row r="1930" spans="1:26" x14ac:dyDescent="0.25">
      <c r="A1930" s="314"/>
      <c r="B1930" s="18">
        <v>2023</v>
      </c>
      <c r="C1930" s="18" t="s">
        <v>731</v>
      </c>
      <c r="D1930" s="18" t="s">
        <v>1153</v>
      </c>
      <c r="E1930" s="18" t="s">
        <v>713</v>
      </c>
      <c r="F1930" s="18" t="s">
        <v>714</v>
      </c>
      <c r="G1930" s="18" t="s">
        <v>678</v>
      </c>
      <c r="H1930" s="18" t="s">
        <v>1154</v>
      </c>
      <c r="I1930" s="315">
        <v>63.156440020299087</v>
      </c>
      <c r="J1930" s="315">
        <v>8.2431261838515103E-4</v>
      </c>
      <c r="K1930" s="316" t="str">
        <f t="shared" si="44"/>
        <v>Agricultural Equipment</v>
      </c>
      <c r="L1930" s="316" t="str">
        <f t="shared" si="45"/>
        <v>Diesel</v>
      </c>
      <c r="M1930" s="194"/>
      <c r="N1930" s="317"/>
      <c r="O1930" s="317"/>
      <c r="P1930" s="317"/>
      <c r="Q1930" s="317"/>
      <c r="R1930" s="317"/>
      <c r="S1930" s="317"/>
      <c r="T1930" s="317"/>
      <c r="U1930" s="317"/>
      <c r="V1930" s="317"/>
      <c r="W1930" s="317"/>
      <c r="X1930" s="317"/>
      <c r="Y1930" s="317"/>
      <c r="Z1930" s="317"/>
    </row>
    <row r="1931" spans="1:26" x14ac:dyDescent="0.25">
      <c r="A1931" s="314"/>
      <c r="B1931" s="18">
        <v>2023</v>
      </c>
      <c r="C1931" s="18" t="s">
        <v>778</v>
      </c>
      <c r="D1931" s="18" t="s">
        <v>998</v>
      </c>
      <c r="E1931" s="18" t="s">
        <v>703</v>
      </c>
      <c r="F1931" s="18" t="s">
        <v>704</v>
      </c>
      <c r="G1931" s="18" t="s">
        <v>674</v>
      </c>
      <c r="H1931" s="18" t="s">
        <v>999</v>
      </c>
      <c r="I1931" s="315">
        <v>63.086243438753719</v>
      </c>
      <c r="J1931" s="315">
        <v>4.1609307312829615E-2</v>
      </c>
      <c r="K1931" s="316" t="str">
        <f t="shared" si="44"/>
        <v>Construction and Mining Equipment</v>
      </c>
      <c r="L1931" s="316" t="str">
        <f t="shared" si="45"/>
        <v>Gasoline</v>
      </c>
      <c r="M1931" s="194"/>
      <c r="N1931" s="317"/>
      <c r="O1931" s="317"/>
      <c r="P1931" s="317"/>
      <c r="Q1931" s="317"/>
      <c r="R1931" s="317"/>
      <c r="S1931" s="317"/>
      <c r="T1931" s="317"/>
      <c r="U1931" s="317"/>
      <c r="V1931" s="317"/>
      <c r="W1931" s="317"/>
      <c r="X1931" s="317"/>
      <c r="Y1931" s="317"/>
      <c r="Z1931" s="317"/>
    </row>
    <row r="1932" spans="1:26" x14ac:dyDescent="0.25">
      <c r="A1932" s="314"/>
      <c r="B1932" s="18">
        <v>2023</v>
      </c>
      <c r="C1932" s="18" t="s">
        <v>781</v>
      </c>
      <c r="D1932" s="18" t="s">
        <v>846</v>
      </c>
      <c r="E1932" s="18" t="s">
        <v>713</v>
      </c>
      <c r="F1932" s="18" t="s">
        <v>714</v>
      </c>
      <c r="G1932" s="18" t="s">
        <v>677</v>
      </c>
      <c r="H1932" s="18" t="s">
        <v>836</v>
      </c>
      <c r="I1932" s="315">
        <v>63.010895973900539</v>
      </c>
      <c r="J1932" s="315">
        <v>2.4365453157358477E-3</v>
      </c>
      <c r="K1932" s="316" t="str">
        <f t="shared" si="44"/>
        <v>Commercial Equipment</v>
      </c>
      <c r="L1932" s="316" t="str">
        <f t="shared" si="45"/>
        <v>Diesel</v>
      </c>
      <c r="M1932" s="194"/>
      <c r="N1932" s="317"/>
      <c r="O1932" s="317"/>
      <c r="P1932" s="317"/>
      <c r="Q1932" s="317"/>
      <c r="R1932" s="317"/>
      <c r="S1932" s="317"/>
      <c r="T1932" s="317"/>
      <c r="U1932" s="317"/>
      <c r="V1932" s="317"/>
      <c r="W1932" s="317"/>
      <c r="X1932" s="317"/>
      <c r="Y1932" s="317"/>
      <c r="Z1932" s="317"/>
    </row>
    <row r="1933" spans="1:26" x14ac:dyDescent="0.25">
      <c r="A1933" s="314"/>
      <c r="B1933" s="18">
        <v>2023</v>
      </c>
      <c r="C1933" s="18" t="s">
        <v>750</v>
      </c>
      <c r="D1933" s="18" t="s">
        <v>973</v>
      </c>
      <c r="E1933" s="18" t="s">
        <v>703</v>
      </c>
      <c r="F1933" s="18" t="s">
        <v>795</v>
      </c>
      <c r="G1933" s="18" t="s">
        <v>673</v>
      </c>
      <c r="H1933" s="18" t="s">
        <v>974</v>
      </c>
      <c r="I1933" s="315">
        <v>62.874194731273811</v>
      </c>
      <c r="J1933" s="315">
        <v>0.11753866918918836</v>
      </c>
      <c r="K1933" s="316" t="str">
        <f t="shared" si="44"/>
        <v>Lawn and Garden Equipment</v>
      </c>
      <c r="L1933" s="316" t="str">
        <f t="shared" si="45"/>
        <v>Gasoline</v>
      </c>
      <c r="M1933" s="194"/>
      <c r="N1933" s="317"/>
      <c r="O1933" s="317"/>
      <c r="P1933" s="317"/>
      <c r="Q1933" s="317"/>
      <c r="R1933" s="317"/>
      <c r="S1933" s="317"/>
      <c r="T1933" s="317"/>
      <c r="U1933" s="317"/>
      <c r="V1933" s="317"/>
      <c r="W1933" s="317"/>
      <c r="X1933" s="317"/>
      <c r="Y1933" s="317"/>
      <c r="Z1933" s="317"/>
    </row>
    <row r="1934" spans="1:26" x14ac:dyDescent="0.25">
      <c r="A1934" s="314"/>
      <c r="B1934" s="18">
        <v>2023</v>
      </c>
      <c r="C1934" s="18" t="s">
        <v>778</v>
      </c>
      <c r="D1934" s="18" t="s">
        <v>1000</v>
      </c>
      <c r="E1934" s="18" t="s">
        <v>703</v>
      </c>
      <c r="F1934" s="18" t="s">
        <v>704</v>
      </c>
      <c r="G1934" s="18" t="s">
        <v>674</v>
      </c>
      <c r="H1934" s="18" t="s">
        <v>850</v>
      </c>
      <c r="I1934" s="315">
        <v>62.854228790406026</v>
      </c>
      <c r="J1934" s="315">
        <v>3.8195630615339003E-2</v>
      </c>
      <c r="K1934" s="316" t="str">
        <f t="shared" si="44"/>
        <v>Construction and Mining Equipment</v>
      </c>
      <c r="L1934" s="316" t="str">
        <f t="shared" si="45"/>
        <v>Gasoline</v>
      </c>
      <c r="M1934" s="194"/>
      <c r="N1934" s="317"/>
      <c r="O1934" s="317"/>
      <c r="P1934" s="317"/>
      <c r="Q1934" s="317"/>
      <c r="R1934" s="317"/>
      <c r="S1934" s="317"/>
      <c r="T1934" s="317"/>
      <c r="U1934" s="317"/>
      <c r="V1934" s="317"/>
      <c r="W1934" s="317"/>
      <c r="X1934" s="317"/>
      <c r="Y1934" s="317"/>
      <c r="Z1934" s="317"/>
    </row>
    <row r="1935" spans="1:26" x14ac:dyDescent="0.25">
      <c r="A1935" s="314"/>
      <c r="B1935" s="18">
        <v>2023</v>
      </c>
      <c r="C1935" s="18" t="s">
        <v>778</v>
      </c>
      <c r="D1935" s="18" t="s">
        <v>868</v>
      </c>
      <c r="E1935" s="18" t="s">
        <v>703</v>
      </c>
      <c r="F1935" s="18" t="s">
        <v>704</v>
      </c>
      <c r="G1935" s="18" t="s">
        <v>673</v>
      </c>
      <c r="H1935" s="18" t="s">
        <v>758</v>
      </c>
      <c r="I1935" s="315">
        <v>62.83466315001548</v>
      </c>
      <c r="J1935" s="315">
        <v>4.1098804798772086E-2</v>
      </c>
      <c r="K1935" s="316" t="str">
        <f t="shared" si="44"/>
        <v>Lawn and Garden Equipment</v>
      </c>
      <c r="L1935" s="316" t="str">
        <f t="shared" si="45"/>
        <v>Gasoline</v>
      </c>
      <c r="M1935" s="194"/>
      <c r="N1935" s="317"/>
      <c r="O1935" s="317"/>
      <c r="P1935" s="317"/>
      <c r="Q1935" s="317"/>
      <c r="R1935" s="317"/>
      <c r="S1935" s="317"/>
      <c r="T1935" s="317"/>
      <c r="U1935" s="317"/>
      <c r="V1935" s="317"/>
      <c r="W1935" s="317"/>
      <c r="X1935" s="317"/>
      <c r="Y1935" s="317"/>
      <c r="Z1935" s="317"/>
    </row>
    <row r="1936" spans="1:26" x14ac:dyDescent="0.25">
      <c r="A1936" s="314"/>
      <c r="B1936" s="18">
        <v>2023</v>
      </c>
      <c r="C1936" s="18" t="s">
        <v>760</v>
      </c>
      <c r="D1936" s="18" t="s">
        <v>1023</v>
      </c>
      <c r="E1936" s="18" t="s">
        <v>703</v>
      </c>
      <c r="F1936" s="18" t="s">
        <v>704</v>
      </c>
      <c r="G1936" s="18" t="s">
        <v>674</v>
      </c>
      <c r="H1936" s="18" t="s">
        <v>736</v>
      </c>
      <c r="I1936" s="315">
        <v>62.411692850524034</v>
      </c>
      <c r="J1936" s="315">
        <v>4.1625017317862389E-2</v>
      </c>
      <c r="K1936" s="316" t="str">
        <f t="shared" si="44"/>
        <v>Construction and Mining Equipment</v>
      </c>
      <c r="L1936" s="316" t="str">
        <f t="shared" si="45"/>
        <v>Gasoline</v>
      </c>
      <c r="M1936" s="194"/>
      <c r="N1936" s="317"/>
      <c r="O1936" s="317"/>
      <c r="P1936" s="317"/>
      <c r="Q1936" s="317"/>
      <c r="R1936" s="317"/>
      <c r="S1936" s="317"/>
      <c r="T1936" s="317"/>
      <c r="U1936" s="317"/>
      <c r="V1936" s="317"/>
      <c r="W1936" s="317"/>
      <c r="X1936" s="317"/>
      <c r="Y1936" s="317"/>
      <c r="Z1936" s="317"/>
    </row>
    <row r="1937" spans="1:26" x14ac:dyDescent="0.25">
      <c r="A1937" s="314"/>
      <c r="B1937" s="18">
        <v>2023</v>
      </c>
      <c r="C1937" s="18" t="s">
        <v>793</v>
      </c>
      <c r="D1937" s="18" t="s">
        <v>848</v>
      </c>
      <c r="E1937" s="18" t="s">
        <v>56</v>
      </c>
      <c r="F1937" s="18" t="s">
        <v>601</v>
      </c>
      <c r="G1937" s="18" t="s">
        <v>675</v>
      </c>
      <c r="H1937" s="18" t="s">
        <v>708</v>
      </c>
      <c r="I1937" s="315">
        <v>62.002904050860685</v>
      </c>
      <c r="J1937" s="315">
        <v>0.24666201831328871</v>
      </c>
      <c r="K1937" s="316" t="str">
        <f t="shared" si="44"/>
        <v>Industrial Equipment</v>
      </c>
      <c r="L1937" s="316" t="str">
        <f t="shared" si="45"/>
        <v>CNG</v>
      </c>
      <c r="M1937" s="194"/>
      <c r="N1937" s="317"/>
      <c r="O1937" s="317"/>
      <c r="P1937" s="317"/>
      <c r="Q1937" s="317"/>
      <c r="R1937" s="317"/>
      <c r="S1937" s="317"/>
      <c r="T1937" s="317"/>
      <c r="U1937" s="317"/>
      <c r="V1937" s="317"/>
      <c r="W1937" s="317"/>
      <c r="X1937" s="317"/>
      <c r="Y1937" s="317"/>
      <c r="Z1937" s="317"/>
    </row>
    <row r="1938" spans="1:26" x14ac:dyDescent="0.25">
      <c r="A1938" s="314"/>
      <c r="B1938" s="18">
        <v>2023</v>
      </c>
      <c r="C1938" s="18" t="s">
        <v>750</v>
      </c>
      <c r="D1938" s="18" t="s">
        <v>866</v>
      </c>
      <c r="E1938" s="18" t="s">
        <v>713</v>
      </c>
      <c r="F1938" s="18" t="s">
        <v>714</v>
      </c>
      <c r="G1938" s="18" t="s">
        <v>677</v>
      </c>
      <c r="H1938" s="18" t="s">
        <v>841</v>
      </c>
      <c r="I1938" s="315">
        <v>61.845343409601433</v>
      </c>
      <c r="J1938" s="315">
        <v>1.5421787764435518E-3</v>
      </c>
      <c r="K1938" s="316" t="str">
        <f t="shared" si="44"/>
        <v>Commercial Equipment</v>
      </c>
      <c r="L1938" s="316" t="str">
        <f t="shared" si="45"/>
        <v>Diesel</v>
      </c>
      <c r="M1938" s="194"/>
      <c r="N1938" s="317"/>
      <c r="O1938" s="317"/>
      <c r="P1938" s="317"/>
      <c r="Q1938" s="317"/>
      <c r="R1938" s="317"/>
      <c r="S1938" s="317"/>
      <c r="T1938" s="317"/>
      <c r="U1938" s="317"/>
      <c r="V1938" s="317"/>
      <c r="W1938" s="317"/>
      <c r="X1938" s="317"/>
      <c r="Y1938" s="317"/>
      <c r="Z1938" s="317"/>
    </row>
    <row r="1939" spans="1:26" x14ac:dyDescent="0.25">
      <c r="A1939" s="314"/>
      <c r="B1939" s="18">
        <v>2023</v>
      </c>
      <c r="C1939" s="18" t="s">
        <v>778</v>
      </c>
      <c r="D1939" s="18" t="s">
        <v>986</v>
      </c>
      <c r="E1939" s="18" t="s">
        <v>703</v>
      </c>
      <c r="F1939" s="18" t="s">
        <v>704</v>
      </c>
      <c r="G1939" s="18" t="s">
        <v>673</v>
      </c>
      <c r="H1939" s="18" t="s">
        <v>987</v>
      </c>
      <c r="I1939" s="315">
        <v>61.810917329580377</v>
      </c>
      <c r="J1939" s="315">
        <v>4.2280773727631116E-2</v>
      </c>
      <c r="K1939" s="316" t="str">
        <f t="shared" si="44"/>
        <v>Lawn and Garden Equipment</v>
      </c>
      <c r="L1939" s="316" t="str">
        <f t="shared" si="45"/>
        <v>Gasoline</v>
      </c>
      <c r="M1939" s="194"/>
      <c r="N1939" s="317"/>
      <c r="O1939" s="317"/>
      <c r="P1939" s="317"/>
      <c r="Q1939" s="317"/>
      <c r="R1939" s="317"/>
      <c r="S1939" s="317"/>
      <c r="T1939" s="317"/>
      <c r="U1939" s="317"/>
      <c r="V1939" s="317"/>
      <c r="W1939" s="317"/>
      <c r="X1939" s="317"/>
      <c r="Y1939" s="317"/>
      <c r="Z1939" s="317"/>
    </row>
    <row r="1940" spans="1:26" x14ac:dyDescent="0.25">
      <c r="A1940" s="314"/>
      <c r="B1940" s="18">
        <v>2023</v>
      </c>
      <c r="C1940" s="18" t="s">
        <v>731</v>
      </c>
      <c r="D1940" s="18" t="s">
        <v>968</v>
      </c>
      <c r="E1940" s="18" t="s">
        <v>703</v>
      </c>
      <c r="F1940" s="18" t="s">
        <v>704</v>
      </c>
      <c r="G1940" s="18" t="s">
        <v>675</v>
      </c>
      <c r="H1940" s="18" t="s">
        <v>969</v>
      </c>
      <c r="I1940" s="315">
        <v>61.763125229735451</v>
      </c>
      <c r="J1940" s="315">
        <v>1.9693705449337125E-2</v>
      </c>
      <c r="K1940" s="316" t="str">
        <f t="shared" si="44"/>
        <v>Industrial Equipment</v>
      </c>
      <c r="L1940" s="316" t="str">
        <f t="shared" si="45"/>
        <v>Gasoline</v>
      </c>
      <c r="M1940" s="194"/>
      <c r="N1940" s="317"/>
      <c r="O1940" s="317"/>
      <c r="P1940" s="317"/>
      <c r="Q1940" s="317"/>
      <c r="R1940" s="317"/>
      <c r="S1940" s="317"/>
      <c r="T1940" s="317"/>
      <c r="U1940" s="317"/>
      <c r="V1940" s="317"/>
      <c r="W1940" s="317"/>
      <c r="X1940" s="317"/>
      <c r="Y1940" s="317"/>
      <c r="Z1940" s="317"/>
    </row>
    <row r="1941" spans="1:26" x14ac:dyDescent="0.25">
      <c r="A1941" s="314"/>
      <c r="B1941" s="18">
        <v>2023</v>
      </c>
      <c r="C1941" s="18" t="s">
        <v>773</v>
      </c>
      <c r="D1941" s="18" t="s">
        <v>864</v>
      </c>
      <c r="E1941" s="18" t="s">
        <v>703</v>
      </c>
      <c r="F1941" s="18" t="s">
        <v>704</v>
      </c>
      <c r="G1941" s="18" t="s">
        <v>673</v>
      </c>
      <c r="H1941" s="18" t="s">
        <v>865</v>
      </c>
      <c r="I1941" s="315">
        <v>61.738989972876141</v>
      </c>
      <c r="J1941" s="315">
        <v>4.1827080841001181E-2</v>
      </c>
      <c r="K1941" s="316" t="str">
        <f t="shared" si="44"/>
        <v>Lawn and Garden Equipment</v>
      </c>
      <c r="L1941" s="316" t="str">
        <f t="shared" si="45"/>
        <v>Gasoline</v>
      </c>
      <c r="M1941" s="194"/>
      <c r="N1941" s="317"/>
      <c r="O1941" s="317"/>
      <c r="P1941" s="317"/>
      <c r="Q1941" s="317"/>
      <c r="R1941" s="317"/>
      <c r="S1941" s="317"/>
      <c r="T1941" s="317"/>
      <c r="U1941" s="317"/>
      <c r="V1941" s="317"/>
      <c r="W1941" s="317"/>
      <c r="X1941" s="317"/>
      <c r="Y1941" s="317"/>
      <c r="Z1941" s="317"/>
    </row>
    <row r="1942" spans="1:26" x14ac:dyDescent="0.25">
      <c r="A1942" s="314"/>
      <c r="B1942" s="18">
        <v>2023</v>
      </c>
      <c r="C1942" s="18" t="s">
        <v>732</v>
      </c>
      <c r="D1942" s="18" t="s">
        <v>1017</v>
      </c>
      <c r="E1942" s="18" t="s">
        <v>703</v>
      </c>
      <c r="F1942" s="18" t="s">
        <v>704</v>
      </c>
      <c r="G1942" s="18" t="s">
        <v>673</v>
      </c>
      <c r="H1942" s="18" t="s">
        <v>806</v>
      </c>
      <c r="I1942" s="315">
        <v>61.728443284313165</v>
      </c>
      <c r="J1942" s="315">
        <v>4.3640546094541342E-2</v>
      </c>
      <c r="K1942" s="316" t="str">
        <f t="shared" si="44"/>
        <v>Lawn and Garden Equipment</v>
      </c>
      <c r="L1942" s="316" t="str">
        <f t="shared" si="45"/>
        <v>Gasoline</v>
      </c>
      <c r="M1942" s="194"/>
      <c r="N1942" s="317"/>
      <c r="O1942" s="317"/>
      <c r="P1942" s="317"/>
      <c r="Q1942" s="317"/>
      <c r="R1942" s="317"/>
      <c r="S1942" s="317"/>
      <c r="T1942" s="317"/>
      <c r="U1942" s="317"/>
      <c r="V1942" s="317"/>
      <c r="W1942" s="317"/>
      <c r="X1942" s="317"/>
      <c r="Y1942" s="317"/>
      <c r="Z1942" s="317"/>
    </row>
    <row r="1943" spans="1:26" x14ac:dyDescent="0.25">
      <c r="A1943" s="314"/>
      <c r="B1943" s="18">
        <v>2023</v>
      </c>
      <c r="C1943" s="18" t="s">
        <v>731</v>
      </c>
      <c r="D1943" s="18" t="s">
        <v>880</v>
      </c>
      <c r="E1943" s="18" t="s">
        <v>703</v>
      </c>
      <c r="F1943" s="18" t="s">
        <v>704</v>
      </c>
      <c r="G1943" s="18" t="s">
        <v>677</v>
      </c>
      <c r="H1943" s="18" t="s">
        <v>785</v>
      </c>
      <c r="I1943" s="315">
        <v>61.727580245604109</v>
      </c>
      <c r="J1943" s="315">
        <v>3.5428037468492046E-2</v>
      </c>
      <c r="K1943" s="316" t="str">
        <f t="shared" si="44"/>
        <v>Commercial Equipment</v>
      </c>
      <c r="L1943" s="316" t="str">
        <f t="shared" si="45"/>
        <v>Gasoline</v>
      </c>
      <c r="M1943" s="194"/>
      <c r="N1943" s="317"/>
      <c r="O1943" s="317"/>
      <c r="P1943" s="317"/>
      <c r="Q1943" s="317"/>
      <c r="R1943" s="317"/>
      <c r="S1943" s="317"/>
      <c r="T1943" s="317"/>
      <c r="U1943" s="317"/>
      <c r="V1943" s="317"/>
      <c r="W1943" s="317"/>
      <c r="X1943" s="317"/>
      <c r="Y1943" s="317"/>
      <c r="Z1943" s="317"/>
    </row>
    <row r="1944" spans="1:26" x14ac:dyDescent="0.25">
      <c r="A1944" s="314"/>
      <c r="B1944" s="18">
        <v>2023</v>
      </c>
      <c r="C1944" s="18" t="s">
        <v>754</v>
      </c>
      <c r="D1944" s="18" t="s">
        <v>995</v>
      </c>
      <c r="E1944" s="18" t="s">
        <v>703</v>
      </c>
      <c r="F1944" s="18" t="s">
        <v>805</v>
      </c>
      <c r="G1944" s="18" t="s">
        <v>673</v>
      </c>
      <c r="H1944" s="18" t="s">
        <v>996</v>
      </c>
      <c r="I1944" s="315">
        <v>61.631144215472169</v>
      </c>
      <c r="J1944" s="315">
        <v>0.1149305550749502</v>
      </c>
      <c r="K1944" s="316" t="str">
        <f t="shared" si="44"/>
        <v>Lawn and Garden Equipment</v>
      </c>
      <c r="L1944" s="316" t="str">
        <f t="shared" si="45"/>
        <v>Gasoline</v>
      </c>
      <c r="M1944" s="194"/>
      <c r="N1944" s="317"/>
      <c r="O1944" s="317"/>
      <c r="P1944" s="317"/>
      <c r="Q1944" s="317"/>
      <c r="R1944" s="317"/>
      <c r="S1944" s="317"/>
      <c r="T1944" s="317"/>
      <c r="U1944" s="317"/>
      <c r="V1944" s="317"/>
      <c r="W1944" s="317"/>
      <c r="X1944" s="317"/>
      <c r="Y1944" s="317"/>
      <c r="Z1944" s="317"/>
    </row>
    <row r="1945" spans="1:26" ht="12.75" x14ac:dyDescent="0.2">
      <c r="A1945" s="230"/>
      <c r="B1945" s="18">
        <v>2023</v>
      </c>
      <c r="C1945" s="18" t="s">
        <v>710</v>
      </c>
      <c r="D1945" s="18" t="s">
        <v>1212</v>
      </c>
      <c r="E1945" s="18" t="s">
        <v>56</v>
      </c>
      <c r="F1945" s="18" t="s">
        <v>672</v>
      </c>
      <c r="G1945" s="18" t="s">
        <v>675</v>
      </c>
      <c r="H1945" s="18" t="s">
        <v>798</v>
      </c>
      <c r="I1945" s="315">
        <v>61.328917088183168</v>
      </c>
      <c r="J1945" s="315">
        <v>2.7710736251976981E-3</v>
      </c>
      <c r="K1945" s="316" t="str">
        <f t="shared" si="44"/>
        <v>Industrial Equipment</v>
      </c>
      <c r="L1945" s="316" t="str">
        <f t="shared" si="45"/>
        <v>LPG</v>
      </c>
      <c r="M1945" s="8"/>
      <c r="N1945" s="2"/>
      <c r="O1945" s="2"/>
      <c r="P1945" s="2"/>
      <c r="Q1945" s="2"/>
      <c r="R1945" s="2"/>
      <c r="S1945" s="2"/>
      <c r="T1945" s="2"/>
      <c r="U1945" s="2"/>
      <c r="V1945" s="2"/>
      <c r="W1945" s="2"/>
      <c r="X1945" s="2"/>
      <c r="Y1945" s="2"/>
      <c r="Z1945" s="2"/>
    </row>
    <row r="1946" spans="1:26" x14ac:dyDescent="0.25">
      <c r="A1946" s="314"/>
      <c r="B1946" s="18">
        <v>2023</v>
      </c>
      <c r="C1946" s="18" t="s">
        <v>722</v>
      </c>
      <c r="D1946" s="18" t="s">
        <v>1006</v>
      </c>
      <c r="E1946" s="18" t="s">
        <v>703</v>
      </c>
      <c r="F1946" s="18" t="s">
        <v>805</v>
      </c>
      <c r="G1946" s="18" t="s">
        <v>674</v>
      </c>
      <c r="H1946" s="18" t="s">
        <v>967</v>
      </c>
      <c r="I1946" s="315">
        <v>61.287487148152429</v>
      </c>
      <c r="J1946" s="315">
        <v>0.10975856917715353</v>
      </c>
      <c r="K1946" s="316" t="str">
        <f t="shared" si="44"/>
        <v>Construction and Mining Equipment</v>
      </c>
      <c r="L1946" s="316" t="str">
        <f t="shared" si="45"/>
        <v>Gasoline</v>
      </c>
      <c r="M1946" s="194"/>
      <c r="N1946" s="317"/>
      <c r="O1946" s="317"/>
      <c r="P1946" s="317"/>
      <c r="Q1946" s="317"/>
      <c r="R1946" s="317"/>
      <c r="S1946" s="317"/>
      <c r="T1946" s="317"/>
      <c r="U1946" s="317"/>
      <c r="V1946" s="317"/>
      <c r="W1946" s="317"/>
      <c r="X1946" s="317"/>
      <c r="Y1946" s="317"/>
      <c r="Z1946" s="317"/>
    </row>
    <row r="1947" spans="1:26" x14ac:dyDescent="0.25">
      <c r="A1947" s="314"/>
      <c r="B1947" s="18">
        <v>2023</v>
      </c>
      <c r="C1947" s="18" t="s">
        <v>759</v>
      </c>
      <c r="D1947" s="18" t="s">
        <v>776</v>
      </c>
      <c r="E1947" s="18" t="s">
        <v>713</v>
      </c>
      <c r="F1947" s="18" t="s">
        <v>714</v>
      </c>
      <c r="G1947" s="18" t="s">
        <v>674</v>
      </c>
      <c r="H1947" s="18" t="s">
        <v>777</v>
      </c>
      <c r="I1947" s="315">
        <v>61.230049357146378</v>
      </c>
      <c r="J1947" s="315">
        <v>2.4353200504973033E-4</v>
      </c>
      <c r="K1947" s="316" t="str">
        <f t="shared" si="44"/>
        <v>Construction and Mining Equipment</v>
      </c>
      <c r="L1947" s="316" t="str">
        <f t="shared" si="45"/>
        <v>Diesel</v>
      </c>
      <c r="M1947" s="194"/>
      <c r="N1947" s="317"/>
      <c r="O1947" s="317"/>
      <c r="P1947" s="317"/>
      <c r="Q1947" s="317"/>
      <c r="R1947" s="317"/>
      <c r="S1947" s="317"/>
      <c r="T1947" s="317"/>
      <c r="U1947" s="317"/>
      <c r="V1947" s="317"/>
      <c r="W1947" s="317"/>
      <c r="X1947" s="317"/>
      <c r="Y1947" s="317"/>
      <c r="Z1947" s="317"/>
    </row>
    <row r="1948" spans="1:26" x14ac:dyDescent="0.25">
      <c r="A1948" s="314"/>
      <c r="B1948" s="18">
        <v>2023</v>
      </c>
      <c r="C1948" s="18" t="s">
        <v>701</v>
      </c>
      <c r="D1948" s="18" t="s">
        <v>1158</v>
      </c>
      <c r="E1948" s="18" t="s">
        <v>703</v>
      </c>
      <c r="F1948" s="18" t="s">
        <v>704</v>
      </c>
      <c r="G1948" s="18" t="s">
        <v>674</v>
      </c>
      <c r="H1948" s="18" t="s">
        <v>715</v>
      </c>
      <c r="I1948" s="315">
        <v>60.884607107423349</v>
      </c>
      <c r="J1948" s="315">
        <v>4.2253070110758592E-3</v>
      </c>
      <c r="K1948" s="316" t="str">
        <f t="shared" si="44"/>
        <v>Construction and Mining Equipment</v>
      </c>
      <c r="L1948" s="316" t="str">
        <f t="shared" si="45"/>
        <v>Gasoline</v>
      </c>
      <c r="M1948" s="194"/>
      <c r="N1948" s="317"/>
      <c r="O1948" s="317"/>
      <c r="P1948" s="317"/>
      <c r="Q1948" s="317"/>
      <c r="R1948" s="317"/>
      <c r="S1948" s="317"/>
      <c r="T1948" s="317"/>
      <c r="U1948" s="317"/>
      <c r="V1948" s="317"/>
      <c r="W1948" s="317"/>
      <c r="X1948" s="317"/>
      <c r="Y1948" s="317"/>
      <c r="Z1948" s="317"/>
    </row>
    <row r="1949" spans="1:26" x14ac:dyDescent="0.25">
      <c r="A1949" s="314"/>
      <c r="B1949" s="18">
        <v>2023</v>
      </c>
      <c r="C1949" s="18" t="s">
        <v>787</v>
      </c>
      <c r="D1949" s="18" t="s">
        <v>977</v>
      </c>
      <c r="E1949" s="18" t="s">
        <v>703</v>
      </c>
      <c r="F1949" s="18" t="s">
        <v>805</v>
      </c>
      <c r="G1949" s="18" t="s">
        <v>673</v>
      </c>
      <c r="H1949" s="18" t="s">
        <v>978</v>
      </c>
      <c r="I1949" s="315">
        <v>60.759476731897514</v>
      </c>
      <c r="J1949" s="315">
        <v>0.10345986791941214</v>
      </c>
      <c r="K1949" s="316" t="str">
        <f t="shared" si="44"/>
        <v>Lawn and Garden Equipment</v>
      </c>
      <c r="L1949" s="316" t="str">
        <f t="shared" si="45"/>
        <v>Gasoline</v>
      </c>
      <c r="M1949" s="194"/>
      <c r="N1949" s="317"/>
      <c r="O1949" s="317"/>
      <c r="P1949" s="317"/>
      <c r="Q1949" s="317"/>
      <c r="R1949" s="317"/>
      <c r="S1949" s="317"/>
      <c r="T1949" s="317"/>
      <c r="U1949" s="317"/>
      <c r="V1949" s="317"/>
      <c r="W1949" s="317"/>
      <c r="X1949" s="317"/>
      <c r="Y1949" s="317"/>
      <c r="Z1949" s="317"/>
    </row>
    <row r="1950" spans="1:26" x14ac:dyDescent="0.25">
      <c r="A1950" s="314"/>
      <c r="B1950" s="18">
        <v>2023</v>
      </c>
      <c r="C1950" s="18" t="s">
        <v>710</v>
      </c>
      <c r="D1950" s="18" t="s">
        <v>927</v>
      </c>
      <c r="E1950" s="18" t="s">
        <v>56</v>
      </c>
      <c r="F1950" s="18" t="s">
        <v>672</v>
      </c>
      <c r="G1950" s="18" t="s">
        <v>673</v>
      </c>
      <c r="H1950" s="18" t="s">
        <v>742</v>
      </c>
      <c r="I1950" s="315">
        <v>60.736015721405749</v>
      </c>
      <c r="J1950" s="315">
        <v>2.7592228970040964E-3</v>
      </c>
      <c r="K1950" s="316" t="str">
        <f t="shared" si="44"/>
        <v>Lawn and Garden Equipment</v>
      </c>
      <c r="L1950" s="316" t="str">
        <f t="shared" si="45"/>
        <v>LPG</v>
      </c>
      <c r="M1950" s="194"/>
      <c r="N1950" s="317"/>
      <c r="O1950" s="317"/>
      <c r="P1950" s="317"/>
      <c r="Q1950" s="317"/>
      <c r="R1950" s="317"/>
      <c r="S1950" s="317"/>
      <c r="T1950" s="317"/>
      <c r="U1950" s="317"/>
      <c r="V1950" s="317"/>
      <c r="W1950" s="317"/>
      <c r="X1950" s="317"/>
      <c r="Y1950" s="317"/>
      <c r="Z1950" s="317"/>
    </row>
    <row r="1951" spans="1:26" x14ac:dyDescent="0.25">
      <c r="A1951" s="314"/>
      <c r="B1951" s="18">
        <v>2023</v>
      </c>
      <c r="C1951" s="18" t="s">
        <v>753</v>
      </c>
      <c r="D1951" s="18" t="s">
        <v>936</v>
      </c>
      <c r="E1951" s="18" t="s">
        <v>56</v>
      </c>
      <c r="F1951" s="18" t="s">
        <v>672</v>
      </c>
      <c r="G1951" s="18" t="s">
        <v>677</v>
      </c>
      <c r="H1951" s="18" t="s">
        <v>747</v>
      </c>
      <c r="I1951" s="315">
        <v>60.672635794253992</v>
      </c>
      <c r="J1951" s="315">
        <v>1.3987223176236331E-2</v>
      </c>
      <c r="K1951" s="316" t="str">
        <f t="shared" si="44"/>
        <v>Commercial Equipment</v>
      </c>
      <c r="L1951" s="316" t="str">
        <f t="shared" si="45"/>
        <v>LPG</v>
      </c>
      <c r="M1951" s="194"/>
      <c r="N1951" s="317"/>
      <c r="O1951" s="317"/>
      <c r="P1951" s="317"/>
      <c r="Q1951" s="317"/>
      <c r="R1951" s="317"/>
      <c r="S1951" s="317"/>
      <c r="T1951" s="317"/>
      <c r="U1951" s="317"/>
      <c r="V1951" s="317"/>
      <c r="W1951" s="317"/>
      <c r="X1951" s="317"/>
      <c r="Y1951" s="317"/>
      <c r="Z1951" s="317"/>
    </row>
    <row r="1952" spans="1:26" x14ac:dyDescent="0.25">
      <c r="A1952" s="314"/>
      <c r="B1952" s="18">
        <v>2023</v>
      </c>
      <c r="C1952" s="18" t="s">
        <v>773</v>
      </c>
      <c r="D1952" s="18" t="s">
        <v>1079</v>
      </c>
      <c r="E1952" s="18" t="s">
        <v>713</v>
      </c>
      <c r="F1952" s="18" t="s">
        <v>714</v>
      </c>
      <c r="G1952" s="18" t="s">
        <v>678</v>
      </c>
      <c r="H1952" s="18" t="s">
        <v>1080</v>
      </c>
      <c r="I1952" s="315">
        <v>60.657855745842902</v>
      </c>
      <c r="J1952" s="315">
        <v>4.4021858210552685E-4</v>
      </c>
      <c r="K1952" s="316" t="str">
        <f t="shared" si="44"/>
        <v>Agricultural Equipment</v>
      </c>
      <c r="L1952" s="316" t="str">
        <f t="shared" si="45"/>
        <v>Diesel</v>
      </c>
      <c r="M1952" s="194"/>
      <c r="N1952" s="317"/>
      <c r="O1952" s="317"/>
      <c r="P1952" s="317"/>
      <c r="Q1952" s="317"/>
      <c r="R1952" s="317"/>
      <c r="S1952" s="317"/>
      <c r="T1952" s="317"/>
      <c r="U1952" s="317"/>
      <c r="V1952" s="317"/>
      <c r="W1952" s="317"/>
      <c r="X1952" s="317"/>
      <c r="Y1952" s="317"/>
      <c r="Z1952" s="317"/>
    </row>
    <row r="1953" spans="1:26" x14ac:dyDescent="0.25">
      <c r="A1953" s="314"/>
      <c r="B1953" s="18">
        <v>2023</v>
      </c>
      <c r="C1953" s="18" t="s">
        <v>750</v>
      </c>
      <c r="D1953" s="18" t="s">
        <v>977</v>
      </c>
      <c r="E1953" s="18" t="s">
        <v>703</v>
      </c>
      <c r="F1953" s="18" t="s">
        <v>805</v>
      </c>
      <c r="G1953" s="18" t="s">
        <v>673</v>
      </c>
      <c r="H1953" s="18" t="s">
        <v>978</v>
      </c>
      <c r="I1953" s="315">
        <v>60.367077966597527</v>
      </c>
      <c r="J1953" s="315">
        <v>0.10279163776537831</v>
      </c>
      <c r="K1953" s="316" t="str">
        <f t="shared" si="44"/>
        <v>Lawn and Garden Equipment</v>
      </c>
      <c r="L1953" s="316" t="str">
        <f t="shared" si="45"/>
        <v>Gasoline</v>
      </c>
      <c r="M1953" s="194"/>
      <c r="N1953" s="317"/>
      <c r="O1953" s="317"/>
      <c r="P1953" s="317"/>
      <c r="Q1953" s="317"/>
      <c r="R1953" s="317"/>
      <c r="S1953" s="317"/>
      <c r="T1953" s="317"/>
      <c r="U1953" s="317"/>
      <c r="V1953" s="317"/>
      <c r="W1953" s="317"/>
      <c r="X1953" s="317"/>
      <c r="Y1953" s="317"/>
      <c r="Z1953" s="317"/>
    </row>
    <row r="1954" spans="1:26" x14ac:dyDescent="0.25">
      <c r="A1954" s="314"/>
      <c r="B1954" s="18">
        <v>2023</v>
      </c>
      <c r="C1954" s="18" t="s">
        <v>810</v>
      </c>
      <c r="D1954" s="18" t="s">
        <v>866</v>
      </c>
      <c r="E1954" s="18" t="s">
        <v>713</v>
      </c>
      <c r="F1954" s="18" t="s">
        <v>714</v>
      </c>
      <c r="G1954" s="18" t="s">
        <v>677</v>
      </c>
      <c r="H1954" s="18" t="s">
        <v>841</v>
      </c>
      <c r="I1954" s="315">
        <v>60.12751762701884</v>
      </c>
      <c r="J1954" s="315">
        <v>1.4993407096130682E-3</v>
      </c>
      <c r="K1954" s="316" t="str">
        <f t="shared" si="44"/>
        <v>Commercial Equipment</v>
      </c>
      <c r="L1954" s="316" t="str">
        <f t="shared" si="45"/>
        <v>Diesel</v>
      </c>
      <c r="M1954" s="194"/>
      <c r="N1954" s="317"/>
      <c r="O1954" s="317"/>
      <c r="P1954" s="317"/>
      <c r="Q1954" s="317"/>
      <c r="R1954" s="317"/>
      <c r="S1954" s="317"/>
      <c r="T1954" s="317"/>
      <c r="U1954" s="317"/>
      <c r="V1954" s="317"/>
      <c r="W1954" s="317"/>
      <c r="X1954" s="317"/>
      <c r="Y1954" s="317"/>
      <c r="Z1954" s="317"/>
    </row>
    <row r="1955" spans="1:26" x14ac:dyDescent="0.25">
      <c r="A1955" s="314"/>
      <c r="B1955" s="18">
        <v>2023</v>
      </c>
      <c r="C1955" s="18" t="s">
        <v>762</v>
      </c>
      <c r="D1955" s="18" t="s">
        <v>1019</v>
      </c>
      <c r="E1955" s="18" t="s">
        <v>703</v>
      </c>
      <c r="F1955" s="18" t="s">
        <v>805</v>
      </c>
      <c r="G1955" s="18" t="s">
        <v>679</v>
      </c>
      <c r="H1955" s="18" t="s">
        <v>852</v>
      </c>
      <c r="I1955" s="315">
        <v>60.089255893320036</v>
      </c>
      <c r="J1955" s="315">
        <v>8.3649036555062187E-2</v>
      </c>
      <c r="K1955" s="316" t="str">
        <f t="shared" si="44"/>
        <v>Recreational Equipment</v>
      </c>
      <c r="L1955" s="316" t="str">
        <f t="shared" si="45"/>
        <v>Gasoline</v>
      </c>
      <c r="M1955" s="194"/>
      <c r="N1955" s="317"/>
      <c r="O1955" s="317"/>
      <c r="P1955" s="317"/>
      <c r="Q1955" s="317"/>
      <c r="R1955" s="317"/>
      <c r="S1955" s="317"/>
      <c r="T1955" s="317"/>
      <c r="U1955" s="317"/>
      <c r="V1955" s="317"/>
      <c r="W1955" s="317"/>
      <c r="X1955" s="317"/>
      <c r="Y1955" s="317"/>
      <c r="Z1955" s="317"/>
    </row>
    <row r="1956" spans="1:26" x14ac:dyDescent="0.25">
      <c r="A1956" s="314"/>
      <c r="B1956" s="18">
        <v>2023</v>
      </c>
      <c r="C1956" s="18" t="s">
        <v>750</v>
      </c>
      <c r="D1956" s="18" t="s">
        <v>1019</v>
      </c>
      <c r="E1956" s="18" t="s">
        <v>703</v>
      </c>
      <c r="F1956" s="18" t="s">
        <v>805</v>
      </c>
      <c r="G1956" s="18" t="s">
        <v>679</v>
      </c>
      <c r="H1956" s="18" t="s">
        <v>852</v>
      </c>
      <c r="I1956" s="315">
        <v>60.089255893320036</v>
      </c>
      <c r="J1956" s="315">
        <v>8.3649036555062187E-2</v>
      </c>
      <c r="K1956" s="316" t="str">
        <f t="shared" si="44"/>
        <v>Recreational Equipment</v>
      </c>
      <c r="L1956" s="316" t="str">
        <f t="shared" si="45"/>
        <v>Gasoline</v>
      </c>
      <c r="M1956" s="194"/>
      <c r="N1956" s="317"/>
      <c r="O1956" s="317"/>
      <c r="P1956" s="317"/>
      <c r="Q1956" s="317"/>
      <c r="R1956" s="317"/>
      <c r="S1956" s="317"/>
      <c r="T1956" s="317"/>
      <c r="U1956" s="317"/>
      <c r="V1956" s="317"/>
      <c r="W1956" s="317"/>
      <c r="X1956" s="317"/>
      <c r="Y1956" s="317"/>
      <c r="Z1956" s="317"/>
    </row>
    <row r="1957" spans="1:26" x14ac:dyDescent="0.25">
      <c r="A1957" s="314"/>
      <c r="B1957" s="18">
        <v>2023</v>
      </c>
      <c r="C1957" s="18" t="s">
        <v>787</v>
      </c>
      <c r="D1957" s="18" t="s">
        <v>830</v>
      </c>
      <c r="E1957" s="18" t="s">
        <v>703</v>
      </c>
      <c r="F1957" s="18" t="s">
        <v>704</v>
      </c>
      <c r="G1957" s="18" t="s">
        <v>673</v>
      </c>
      <c r="H1957" s="18" t="s">
        <v>742</v>
      </c>
      <c r="I1957" s="315">
        <v>60.083566552466337</v>
      </c>
      <c r="J1957" s="315">
        <v>2.6204466134080111E-2</v>
      </c>
      <c r="K1957" s="316" t="str">
        <f t="shared" si="44"/>
        <v>Lawn and Garden Equipment</v>
      </c>
      <c r="L1957" s="316" t="str">
        <f t="shared" si="45"/>
        <v>Gasoline</v>
      </c>
      <c r="M1957" s="194"/>
      <c r="N1957" s="317"/>
      <c r="O1957" s="317"/>
      <c r="P1957" s="317"/>
      <c r="Q1957" s="317"/>
      <c r="R1957" s="317"/>
      <c r="S1957" s="317"/>
      <c r="T1957" s="317"/>
      <c r="U1957" s="317"/>
      <c r="V1957" s="317"/>
      <c r="W1957" s="317"/>
      <c r="X1957" s="317"/>
      <c r="Y1957" s="317"/>
      <c r="Z1957" s="317"/>
    </row>
    <row r="1958" spans="1:26" x14ac:dyDescent="0.25">
      <c r="A1958" s="314"/>
      <c r="B1958" s="18">
        <v>2023</v>
      </c>
      <c r="C1958" s="18" t="s">
        <v>773</v>
      </c>
      <c r="D1958" s="18" t="s">
        <v>977</v>
      </c>
      <c r="E1958" s="18" t="s">
        <v>703</v>
      </c>
      <c r="F1958" s="18" t="s">
        <v>805</v>
      </c>
      <c r="G1958" s="18" t="s">
        <v>673</v>
      </c>
      <c r="H1958" s="18" t="s">
        <v>978</v>
      </c>
      <c r="I1958" s="315">
        <v>59.982953987495563</v>
      </c>
      <c r="J1958" s="315">
        <v>0.10213769416623754</v>
      </c>
      <c r="K1958" s="316" t="str">
        <f t="shared" si="44"/>
        <v>Lawn and Garden Equipment</v>
      </c>
      <c r="L1958" s="316" t="str">
        <f t="shared" si="45"/>
        <v>Gasoline</v>
      </c>
      <c r="M1958" s="194"/>
      <c r="N1958" s="317"/>
      <c r="O1958" s="317"/>
      <c r="P1958" s="317"/>
      <c r="Q1958" s="317"/>
      <c r="R1958" s="317"/>
      <c r="S1958" s="317"/>
      <c r="T1958" s="317"/>
      <c r="U1958" s="317"/>
      <c r="V1958" s="317"/>
      <c r="W1958" s="317"/>
      <c r="X1958" s="317"/>
      <c r="Y1958" s="317"/>
      <c r="Z1958" s="317"/>
    </row>
    <row r="1959" spans="1:26" x14ac:dyDescent="0.25">
      <c r="A1959" s="314"/>
      <c r="B1959" s="18">
        <v>2023</v>
      </c>
      <c r="C1959" s="18" t="s">
        <v>722</v>
      </c>
      <c r="D1959" s="18" t="s">
        <v>738</v>
      </c>
      <c r="E1959" s="18" t="s">
        <v>703</v>
      </c>
      <c r="F1959" s="18" t="s">
        <v>676</v>
      </c>
      <c r="G1959" s="18" t="s">
        <v>739</v>
      </c>
      <c r="H1959" s="18" t="s">
        <v>740</v>
      </c>
      <c r="I1959" s="315">
        <v>59.871011015916913</v>
      </c>
      <c r="J1959" s="315">
        <v>2.6030188041295487E-2</v>
      </c>
      <c r="K1959" s="316" t="str">
        <f t="shared" si="44"/>
        <v>Pleasure Craft</v>
      </c>
      <c r="L1959" s="316" t="str">
        <f t="shared" si="45"/>
        <v>Gasoline</v>
      </c>
      <c r="M1959" s="194"/>
      <c r="N1959" s="317"/>
      <c r="O1959" s="317"/>
      <c r="P1959" s="317"/>
      <c r="Q1959" s="317"/>
      <c r="R1959" s="317"/>
      <c r="S1959" s="317"/>
      <c r="T1959" s="317"/>
      <c r="U1959" s="317"/>
      <c r="V1959" s="317"/>
      <c r="W1959" s="317"/>
      <c r="X1959" s="317"/>
      <c r="Y1959" s="317"/>
      <c r="Z1959" s="317"/>
    </row>
    <row r="1960" spans="1:26" x14ac:dyDescent="0.25">
      <c r="A1960" s="314"/>
      <c r="B1960" s="18">
        <v>2023</v>
      </c>
      <c r="C1960" s="18" t="s">
        <v>753</v>
      </c>
      <c r="D1960" s="18" t="s">
        <v>968</v>
      </c>
      <c r="E1960" s="18" t="s">
        <v>703</v>
      </c>
      <c r="F1960" s="18" t="s">
        <v>704</v>
      </c>
      <c r="G1960" s="18" t="s">
        <v>675</v>
      </c>
      <c r="H1960" s="18" t="s">
        <v>969</v>
      </c>
      <c r="I1960" s="315">
        <v>59.767333487802055</v>
      </c>
      <c r="J1960" s="315">
        <v>1.9062142927696243E-2</v>
      </c>
      <c r="K1960" s="316" t="str">
        <f t="shared" si="44"/>
        <v>Industrial Equipment</v>
      </c>
      <c r="L1960" s="316" t="str">
        <f t="shared" si="45"/>
        <v>Gasoline</v>
      </c>
      <c r="M1960" s="194"/>
      <c r="N1960" s="317"/>
      <c r="O1960" s="317"/>
      <c r="P1960" s="317"/>
      <c r="Q1960" s="317"/>
      <c r="R1960" s="317"/>
      <c r="S1960" s="317"/>
      <c r="T1960" s="317"/>
      <c r="U1960" s="317"/>
      <c r="V1960" s="317"/>
      <c r="W1960" s="317"/>
      <c r="X1960" s="317"/>
      <c r="Y1960" s="317"/>
      <c r="Z1960" s="317"/>
    </row>
    <row r="1961" spans="1:26" x14ac:dyDescent="0.25">
      <c r="A1961" s="314"/>
      <c r="B1961" s="18">
        <v>2023</v>
      </c>
      <c r="C1961" s="18" t="s">
        <v>773</v>
      </c>
      <c r="D1961" s="18" t="s">
        <v>958</v>
      </c>
      <c r="E1961" s="18" t="s">
        <v>713</v>
      </c>
      <c r="F1961" s="18" t="s">
        <v>714</v>
      </c>
      <c r="G1961" s="18" t="s">
        <v>674</v>
      </c>
      <c r="H1961" s="18" t="s">
        <v>959</v>
      </c>
      <c r="I1961" s="315">
        <v>59.541438475709491</v>
      </c>
      <c r="J1961" s="315">
        <v>5.2965233754589459E-4</v>
      </c>
      <c r="K1961" s="316" t="str">
        <f t="shared" si="44"/>
        <v>Construction and Mining Equipment</v>
      </c>
      <c r="L1961" s="316" t="str">
        <f t="shared" si="45"/>
        <v>Diesel</v>
      </c>
      <c r="M1961" s="194"/>
      <c r="N1961" s="317"/>
      <c r="O1961" s="317"/>
      <c r="P1961" s="317"/>
      <c r="Q1961" s="317"/>
      <c r="R1961" s="317"/>
      <c r="S1961" s="317"/>
      <c r="T1961" s="317"/>
      <c r="U1961" s="317"/>
      <c r="V1961" s="317"/>
      <c r="W1961" s="317"/>
      <c r="X1961" s="317"/>
      <c r="Y1961" s="317"/>
      <c r="Z1961" s="317"/>
    </row>
    <row r="1962" spans="1:26" x14ac:dyDescent="0.25">
      <c r="A1962" s="314"/>
      <c r="B1962" s="18">
        <v>2023</v>
      </c>
      <c r="C1962" s="18" t="s">
        <v>792</v>
      </c>
      <c r="D1962" s="18" t="s">
        <v>849</v>
      </c>
      <c r="E1962" s="18" t="s">
        <v>713</v>
      </c>
      <c r="F1962" s="18" t="s">
        <v>714</v>
      </c>
      <c r="G1962" s="18" t="s">
        <v>674</v>
      </c>
      <c r="H1962" s="18" t="s">
        <v>850</v>
      </c>
      <c r="I1962" s="315">
        <v>59.489615341812851</v>
      </c>
      <c r="J1962" s="315">
        <v>8.3110376321608606E-4</v>
      </c>
      <c r="K1962" s="316" t="str">
        <f t="shared" si="44"/>
        <v>Construction and Mining Equipment</v>
      </c>
      <c r="L1962" s="316" t="str">
        <f t="shared" si="45"/>
        <v>Diesel</v>
      </c>
      <c r="M1962" s="194"/>
      <c r="N1962" s="317"/>
      <c r="O1962" s="317"/>
      <c r="P1962" s="317"/>
      <c r="Q1962" s="317"/>
      <c r="R1962" s="317"/>
      <c r="S1962" s="317"/>
      <c r="T1962" s="317"/>
      <c r="U1962" s="317"/>
      <c r="V1962" s="317"/>
      <c r="W1962" s="317"/>
      <c r="X1962" s="317"/>
      <c r="Y1962" s="317"/>
      <c r="Z1962" s="317"/>
    </row>
    <row r="1963" spans="1:26" x14ac:dyDescent="0.25">
      <c r="A1963" s="314"/>
      <c r="B1963" s="18">
        <v>2023</v>
      </c>
      <c r="C1963" s="18" t="s">
        <v>787</v>
      </c>
      <c r="D1963" s="18" t="s">
        <v>980</v>
      </c>
      <c r="E1963" s="18" t="s">
        <v>713</v>
      </c>
      <c r="F1963" s="18" t="s">
        <v>714</v>
      </c>
      <c r="G1963" s="18" t="s">
        <v>674</v>
      </c>
      <c r="H1963" s="18" t="s">
        <v>981</v>
      </c>
      <c r="I1963" s="315">
        <v>59.302909270855913</v>
      </c>
      <c r="J1963" s="315">
        <v>2.6030651369290999E-3</v>
      </c>
      <c r="K1963" s="316" t="str">
        <f t="shared" si="44"/>
        <v>Construction and Mining Equipment</v>
      </c>
      <c r="L1963" s="316" t="str">
        <f t="shared" si="45"/>
        <v>Diesel</v>
      </c>
      <c r="M1963" s="194"/>
      <c r="N1963" s="317"/>
      <c r="O1963" s="317"/>
      <c r="P1963" s="317"/>
      <c r="Q1963" s="317"/>
      <c r="R1963" s="317"/>
      <c r="S1963" s="317"/>
      <c r="T1963" s="317"/>
      <c r="U1963" s="317"/>
      <c r="V1963" s="317"/>
      <c r="W1963" s="317"/>
      <c r="X1963" s="317"/>
      <c r="Y1963" s="317"/>
      <c r="Z1963" s="317"/>
    </row>
    <row r="1964" spans="1:26" x14ac:dyDescent="0.25">
      <c r="A1964" s="314"/>
      <c r="B1964" s="18">
        <v>2023</v>
      </c>
      <c r="C1964" s="18" t="s">
        <v>727</v>
      </c>
      <c r="D1964" s="18" t="s">
        <v>966</v>
      </c>
      <c r="E1964" s="18" t="s">
        <v>703</v>
      </c>
      <c r="F1964" s="18" t="s">
        <v>704</v>
      </c>
      <c r="G1964" s="18" t="s">
        <v>674</v>
      </c>
      <c r="H1964" s="18" t="s">
        <v>967</v>
      </c>
      <c r="I1964" s="315">
        <v>59.118308347536797</v>
      </c>
      <c r="J1964" s="315">
        <v>4.0762877878273519E-2</v>
      </c>
      <c r="K1964" s="316" t="str">
        <f t="shared" si="44"/>
        <v>Construction and Mining Equipment</v>
      </c>
      <c r="L1964" s="316" t="str">
        <f t="shared" si="45"/>
        <v>Gasoline</v>
      </c>
      <c r="M1964" s="194"/>
      <c r="N1964" s="317"/>
      <c r="O1964" s="317"/>
      <c r="P1964" s="317"/>
      <c r="Q1964" s="317"/>
      <c r="R1964" s="317"/>
      <c r="S1964" s="317"/>
      <c r="T1964" s="317"/>
      <c r="U1964" s="317"/>
      <c r="V1964" s="317"/>
      <c r="W1964" s="317"/>
      <c r="X1964" s="317"/>
      <c r="Y1964" s="317"/>
      <c r="Z1964" s="317"/>
    </row>
    <row r="1965" spans="1:26" x14ac:dyDescent="0.25">
      <c r="A1965" s="314"/>
      <c r="B1965" s="18">
        <v>2023</v>
      </c>
      <c r="C1965" s="18" t="s">
        <v>778</v>
      </c>
      <c r="D1965" s="18" t="s">
        <v>1006</v>
      </c>
      <c r="E1965" s="18" t="s">
        <v>703</v>
      </c>
      <c r="F1965" s="18" t="s">
        <v>805</v>
      </c>
      <c r="G1965" s="18" t="s">
        <v>674</v>
      </c>
      <c r="H1965" s="18" t="s">
        <v>967</v>
      </c>
      <c r="I1965" s="315">
        <v>59.077686987299856</v>
      </c>
      <c r="J1965" s="315">
        <v>0.1058012672482115</v>
      </c>
      <c r="K1965" s="316" t="str">
        <f t="shared" si="44"/>
        <v>Construction and Mining Equipment</v>
      </c>
      <c r="L1965" s="316" t="str">
        <f t="shared" si="45"/>
        <v>Gasoline</v>
      </c>
      <c r="M1965" s="194"/>
      <c r="N1965" s="317"/>
      <c r="O1965" s="317"/>
      <c r="P1965" s="317"/>
      <c r="Q1965" s="317"/>
      <c r="R1965" s="317"/>
      <c r="S1965" s="317"/>
      <c r="T1965" s="317"/>
      <c r="U1965" s="317"/>
      <c r="V1965" s="317"/>
      <c r="W1965" s="317"/>
      <c r="X1965" s="317"/>
      <c r="Y1965" s="317"/>
      <c r="Z1965" s="317"/>
    </row>
    <row r="1966" spans="1:26" x14ac:dyDescent="0.25">
      <c r="A1966" s="314"/>
      <c r="B1966" s="18">
        <v>2023</v>
      </c>
      <c r="C1966" s="18" t="s">
        <v>792</v>
      </c>
      <c r="D1966" s="18" t="s">
        <v>936</v>
      </c>
      <c r="E1966" s="18" t="s">
        <v>56</v>
      </c>
      <c r="F1966" s="18" t="s">
        <v>672</v>
      </c>
      <c r="G1966" s="18" t="s">
        <v>677</v>
      </c>
      <c r="H1966" s="18" t="s">
        <v>747</v>
      </c>
      <c r="I1966" s="315">
        <v>58.861567676667484</v>
      </c>
      <c r="J1966" s="315">
        <v>1.3569692388317222E-2</v>
      </c>
      <c r="K1966" s="316" t="str">
        <f t="shared" si="44"/>
        <v>Commercial Equipment</v>
      </c>
      <c r="L1966" s="316" t="str">
        <f t="shared" si="45"/>
        <v>LPG</v>
      </c>
      <c r="M1966" s="194"/>
      <c r="N1966" s="317"/>
      <c r="O1966" s="317"/>
      <c r="P1966" s="317"/>
      <c r="Q1966" s="317"/>
      <c r="R1966" s="317"/>
      <c r="S1966" s="317"/>
      <c r="T1966" s="317"/>
      <c r="U1966" s="317"/>
      <c r="V1966" s="317"/>
      <c r="W1966" s="317"/>
      <c r="X1966" s="317"/>
      <c r="Y1966" s="317"/>
      <c r="Z1966" s="317"/>
    </row>
    <row r="1967" spans="1:26" x14ac:dyDescent="0.25">
      <c r="A1967" s="314"/>
      <c r="B1967" s="18">
        <v>2023</v>
      </c>
      <c r="C1967" s="18" t="s">
        <v>743</v>
      </c>
      <c r="D1967" s="18" t="s">
        <v>995</v>
      </c>
      <c r="E1967" s="18" t="s">
        <v>703</v>
      </c>
      <c r="F1967" s="18" t="s">
        <v>805</v>
      </c>
      <c r="G1967" s="18" t="s">
        <v>673</v>
      </c>
      <c r="H1967" s="18" t="s">
        <v>996</v>
      </c>
      <c r="I1967" s="315">
        <v>58.824492667212965</v>
      </c>
      <c r="J1967" s="315">
        <v>0.10969679402295136</v>
      </c>
      <c r="K1967" s="316" t="str">
        <f t="shared" si="44"/>
        <v>Lawn and Garden Equipment</v>
      </c>
      <c r="L1967" s="316" t="str">
        <f t="shared" si="45"/>
        <v>Gasoline</v>
      </c>
      <c r="M1967" s="194"/>
      <c r="N1967" s="317"/>
      <c r="O1967" s="317"/>
      <c r="P1967" s="317"/>
      <c r="Q1967" s="317"/>
      <c r="R1967" s="317"/>
      <c r="S1967" s="317"/>
      <c r="T1967" s="317"/>
      <c r="U1967" s="317"/>
      <c r="V1967" s="317"/>
      <c r="W1967" s="317"/>
      <c r="X1967" s="317"/>
      <c r="Y1967" s="317"/>
      <c r="Z1967" s="317"/>
    </row>
    <row r="1968" spans="1:26" x14ac:dyDescent="0.25">
      <c r="A1968" s="314"/>
      <c r="B1968" s="18">
        <v>2023</v>
      </c>
      <c r="C1968" s="18" t="s">
        <v>762</v>
      </c>
      <c r="D1968" s="18" t="s">
        <v>1021</v>
      </c>
      <c r="E1968" s="18" t="s">
        <v>703</v>
      </c>
      <c r="F1968" s="18" t="s">
        <v>704</v>
      </c>
      <c r="G1968" s="18" t="s">
        <v>679</v>
      </c>
      <c r="H1968" s="18" t="s">
        <v>983</v>
      </c>
      <c r="I1968" s="315">
        <v>58.594718905806872</v>
      </c>
      <c r="J1968" s="315">
        <v>7.9725607680848964E-2</v>
      </c>
      <c r="K1968" s="316" t="str">
        <f t="shared" si="44"/>
        <v>Recreational Equipment</v>
      </c>
      <c r="L1968" s="316" t="str">
        <f t="shared" si="45"/>
        <v>Gasoline</v>
      </c>
      <c r="M1968" s="194"/>
      <c r="N1968" s="317"/>
      <c r="O1968" s="317"/>
      <c r="P1968" s="317"/>
      <c r="Q1968" s="317"/>
      <c r="R1968" s="317"/>
      <c r="S1968" s="317"/>
      <c r="T1968" s="317"/>
      <c r="U1968" s="317"/>
      <c r="V1968" s="317"/>
      <c r="W1968" s="317"/>
      <c r="X1968" s="317"/>
      <c r="Y1968" s="317"/>
      <c r="Z1968" s="317"/>
    </row>
    <row r="1969" spans="1:26" x14ac:dyDescent="0.25">
      <c r="A1969" s="314"/>
      <c r="B1969" s="18">
        <v>2023</v>
      </c>
      <c r="C1969" s="18" t="s">
        <v>750</v>
      </c>
      <c r="D1969" s="18" t="s">
        <v>1021</v>
      </c>
      <c r="E1969" s="18" t="s">
        <v>703</v>
      </c>
      <c r="F1969" s="18" t="s">
        <v>704</v>
      </c>
      <c r="G1969" s="18" t="s">
        <v>679</v>
      </c>
      <c r="H1969" s="18" t="s">
        <v>983</v>
      </c>
      <c r="I1969" s="315">
        <v>58.594718905806872</v>
      </c>
      <c r="J1969" s="315">
        <v>7.9622583421277732E-2</v>
      </c>
      <c r="K1969" s="316" t="str">
        <f t="shared" si="44"/>
        <v>Recreational Equipment</v>
      </c>
      <c r="L1969" s="316" t="str">
        <f t="shared" si="45"/>
        <v>Gasoline</v>
      </c>
      <c r="M1969" s="194"/>
      <c r="N1969" s="317"/>
      <c r="O1969" s="317"/>
      <c r="P1969" s="317"/>
      <c r="Q1969" s="317"/>
      <c r="R1969" s="317"/>
      <c r="S1969" s="317"/>
      <c r="T1969" s="317"/>
      <c r="U1969" s="317"/>
      <c r="V1969" s="317"/>
      <c r="W1969" s="317"/>
      <c r="X1969" s="317"/>
      <c r="Y1969" s="317"/>
      <c r="Z1969" s="317"/>
    </row>
    <row r="1970" spans="1:26" x14ac:dyDescent="0.25">
      <c r="A1970" s="314"/>
      <c r="B1970" s="18">
        <v>2023</v>
      </c>
      <c r="C1970" s="18" t="s">
        <v>727</v>
      </c>
      <c r="D1970" s="18" t="s">
        <v>989</v>
      </c>
      <c r="E1970" s="18" t="s">
        <v>703</v>
      </c>
      <c r="F1970" s="18" t="s">
        <v>795</v>
      </c>
      <c r="G1970" s="18" t="s">
        <v>673</v>
      </c>
      <c r="H1970" s="18" t="s">
        <v>990</v>
      </c>
      <c r="I1970" s="315">
        <v>58.537765968153302</v>
      </c>
      <c r="J1970" s="315">
        <v>0.11268660850712132</v>
      </c>
      <c r="K1970" s="316" t="str">
        <f t="shared" si="44"/>
        <v>Lawn and Garden Equipment</v>
      </c>
      <c r="L1970" s="316" t="str">
        <f t="shared" si="45"/>
        <v>Gasoline</v>
      </c>
      <c r="M1970" s="194"/>
      <c r="N1970" s="317"/>
      <c r="O1970" s="317"/>
      <c r="P1970" s="317"/>
      <c r="Q1970" s="317"/>
      <c r="R1970" s="317"/>
      <c r="S1970" s="317"/>
      <c r="T1970" s="317"/>
      <c r="U1970" s="317"/>
      <c r="V1970" s="317"/>
      <c r="W1970" s="317"/>
      <c r="X1970" s="317"/>
      <c r="Y1970" s="317"/>
      <c r="Z1970" s="317"/>
    </row>
    <row r="1971" spans="1:26" x14ac:dyDescent="0.25">
      <c r="A1971" s="314"/>
      <c r="B1971" s="18">
        <v>2023</v>
      </c>
      <c r="C1971" s="18" t="s">
        <v>727</v>
      </c>
      <c r="D1971" s="18" t="s">
        <v>964</v>
      </c>
      <c r="E1971" s="18" t="s">
        <v>56</v>
      </c>
      <c r="F1971" s="18" t="s">
        <v>601</v>
      </c>
      <c r="G1971" s="18" t="s">
        <v>677</v>
      </c>
      <c r="H1971" s="18" t="s">
        <v>965</v>
      </c>
      <c r="I1971" s="315">
        <v>58.490874816192353</v>
      </c>
      <c r="J1971" s="315">
        <v>0.27950533625550239</v>
      </c>
      <c r="K1971" s="316" t="str">
        <f t="shared" si="44"/>
        <v>Commercial Equipment</v>
      </c>
      <c r="L1971" s="316" t="str">
        <f t="shared" si="45"/>
        <v>CNG</v>
      </c>
      <c r="M1971" s="194"/>
      <c r="N1971" s="317"/>
      <c r="O1971" s="317"/>
      <c r="P1971" s="317"/>
      <c r="Q1971" s="317"/>
      <c r="R1971" s="317"/>
      <c r="S1971" s="317"/>
      <c r="T1971" s="317"/>
      <c r="U1971" s="317"/>
      <c r="V1971" s="317"/>
      <c r="W1971" s="317"/>
      <c r="X1971" s="317"/>
      <c r="Y1971" s="317"/>
      <c r="Z1971" s="317"/>
    </row>
    <row r="1972" spans="1:26" x14ac:dyDescent="0.25">
      <c r="A1972" s="314"/>
      <c r="B1972" s="18">
        <v>2023</v>
      </c>
      <c r="C1972" s="18" t="s">
        <v>773</v>
      </c>
      <c r="D1972" s="18" t="s">
        <v>867</v>
      </c>
      <c r="E1972" s="18" t="s">
        <v>713</v>
      </c>
      <c r="F1972" s="18" t="s">
        <v>714</v>
      </c>
      <c r="G1972" s="18" t="s">
        <v>673</v>
      </c>
      <c r="H1972" s="18" t="s">
        <v>724</v>
      </c>
      <c r="I1972" s="315">
        <v>58.245180234733667</v>
      </c>
      <c r="J1972" s="315">
        <v>2.9975038239851773E-3</v>
      </c>
      <c r="K1972" s="316" t="str">
        <f t="shared" si="44"/>
        <v>Lawn and Garden Equipment</v>
      </c>
      <c r="L1972" s="316" t="str">
        <f t="shared" si="45"/>
        <v>Diesel</v>
      </c>
      <c r="M1972" s="194"/>
      <c r="N1972" s="317"/>
      <c r="O1972" s="317"/>
      <c r="P1972" s="317"/>
      <c r="Q1972" s="317"/>
      <c r="R1972" s="317"/>
      <c r="S1972" s="317"/>
      <c r="T1972" s="317"/>
      <c r="U1972" s="317"/>
      <c r="V1972" s="317"/>
      <c r="W1972" s="317"/>
      <c r="X1972" s="317"/>
      <c r="Y1972" s="317"/>
      <c r="Z1972" s="317"/>
    </row>
    <row r="1973" spans="1:26" x14ac:dyDescent="0.25">
      <c r="A1973" s="314"/>
      <c r="B1973" s="18">
        <v>2023</v>
      </c>
      <c r="C1973" s="18" t="s">
        <v>743</v>
      </c>
      <c r="D1973" s="18" t="s">
        <v>1153</v>
      </c>
      <c r="E1973" s="18" t="s">
        <v>713</v>
      </c>
      <c r="F1973" s="18" t="s">
        <v>714</v>
      </c>
      <c r="G1973" s="18" t="s">
        <v>678</v>
      </c>
      <c r="H1973" s="18" t="s">
        <v>1154</v>
      </c>
      <c r="I1973" s="315">
        <v>58.187035773906295</v>
      </c>
      <c r="J1973" s="315">
        <v>7.5945171615069286E-4</v>
      </c>
      <c r="K1973" s="316" t="str">
        <f t="shared" si="44"/>
        <v>Agricultural Equipment</v>
      </c>
      <c r="L1973" s="316" t="str">
        <f t="shared" si="45"/>
        <v>Diesel</v>
      </c>
      <c r="M1973" s="194"/>
      <c r="N1973" s="317"/>
      <c r="O1973" s="317"/>
      <c r="P1973" s="317"/>
      <c r="Q1973" s="317"/>
      <c r="R1973" s="317"/>
      <c r="S1973" s="317"/>
      <c r="T1973" s="317"/>
      <c r="U1973" s="317"/>
      <c r="V1973" s="317"/>
      <c r="W1973" s="317"/>
      <c r="X1973" s="317"/>
      <c r="Y1973" s="317"/>
      <c r="Z1973" s="317"/>
    </row>
    <row r="1974" spans="1:26" x14ac:dyDescent="0.25">
      <c r="A1974" s="314"/>
      <c r="B1974" s="18">
        <v>2023</v>
      </c>
      <c r="C1974" s="18" t="s">
        <v>787</v>
      </c>
      <c r="D1974" s="18" t="s">
        <v>936</v>
      </c>
      <c r="E1974" s="18" t="s">
        <v>56</v>
      </c>
      <c r="F1974" s="18" t="s">
        <v>672</v>
      </c>
      <c r="G1974" s="18" t="s">
        <v>677</v>
      </c>
      <c r="H1974" s="18" t="s">
        <v>747</v>
      </c>
      <c r="I1974" s="315">
        <v>57.9558504791841</v>
      </c>
      <c r="J1974" s="315">
        <v>1.3360917998845763E-2</v>
      </c>
      <c r="K1974" s="316" t="str">
        <f t="shared" si="44"/>
        <v>Commercial Equipment</v>
      </c>
      <c r="L1974" s="316" t="str">
        <f t="shared" si="45"/>
        <v>LPG</v>
      </c>
      <c r="M1974" s="194"/>
      <c r="N1974" s="317"/>
      <c r="O1974" s="317"/>
      <c r="P1974" s="317"/>
      <c r="Q1974" s="317"/>
      <c r="R1974" s="317"/>
      <c r="S1974" s="317"/>
      <c r="T1974" s="317"/>
      <c r="U1974" s="317"/>
      <c r="V1974" s="317"/>
      <c r="W1974" s="317"/>
      <c r="X1974" s="317"/>
      <c r="Y1974" s="317"/>
      <c r="Z1974" s="317"/>
    </row>
    <row r="1975" spans="1:26" x14ac:dyDescent="0.25">
      <c r="A1975" s="314"/>
      <c r="B1975" s="18">
        <v>2023</v>
      </c>
      <c r="C1975" s="18" t="s">
        <v>773</v>
      </c>
      <c r="D1975" s="18" t="s">
        <v>997</v>
      </c>
      <c r="E1975" s="18" t="s">
        <v>56</v>
      </c>
      <c r="F1975" s="18" t="s">
        <v>672</v>
      </c>
      <c r="G1975" s="18" t="s">
        <v>675</v>
      </c>
      <c r="H1975" s="18" t="s">
        <v>969</v>
      </c>
      <c r="I1975" s="315">
        <v>57.914727145322132</v>
      </c>
      <c r="J1975" s="315">
        <v>7.2057369744978972E-3</v>
      </c>
      <c r="K1975" s="316" t="str">
        <f t="shared" si="44"/>
        <v>Industrial Equipment</v>
      </c>
      <c r="L1975" s="316" t="str">
        <f t="shared" si="45"/>
        <v>LPG</v>
      </c>
      <c r="M1975" s="194"/>
      <c r="N1975" s="317"/>
      <c r="O1975" s="317"/>
      <c r="P1975" s="317"/>
      <c r="Q1975" s="317"/>
      <c r="R1975" s="317"/>
      <c r="S1975" s="317"/>
      <c r="T1975" s="317"/>
      <c r="U1975" s="317"/>
      <c r="V1975" s="317"/>
      <c r="W1975" s="317"/>
      <c r="X1975" s="317"/>
      <c r="Y1975" s="317"/>
      <c r="Z1975" s="317"/>
    </row>
    <row r="1976" spans="1:26" x14ac:dyDescent="0.25">
      <c r="A1976" s="314"/>
      <c r="B1976" s="18">
        <v>2023</v>
      </c>
      <c r="C1976" s="18" t="s">
        <v>793</v>
      </c>
      <c r="D1976" s="18" t="s">
        <v>966</v>
      </c>
      <c r="E1976" s="18" t="s">
        <v>703</v>
      </c>
      <c r="F1976" s="18" t="s">
        <v>704</v>
      </c>
      <c r="G1976" s="18" t="s">
        <v>674</v>
      </c>
      <c r="H1976" s="18" t="s">
        <v>967</v>
      </c>
      <c r="I1976" s="315">
        <v>57.720689868802246</v>
      </c>
      <c r="J1976" s="315">
        <v>3.9856276540563403E-2</v>
      </c>
      <c r="K1976" s="316" t="str">
        <f t="shared" si="44"/>
        <v>Construction and Mining Equipment</v>
      </c>
      <c r="L1976" s="316" t="str">
        <f t="shared" si="45"/>
        <v>Gasoline</v>
      </c>
      <c r="M1976" s="194"/>
      <c r="N1976" s="317"/>
      <c r="O1976" s="317"/>
      <c r="P1976" s="317"/>
      <c r="Q1976" s="317"/>
      <c r="R1976" s="317"/>
      <c r="S1976" s="317"/>
      <c r="T1976" s="317"/>
      <c r="U1976" s="317"/>
      <c r="V1976" s="317"/>
      <c r="W1976" s="317"/>
      <c r="X1976" s="317"/>
      <c r="Y1976" s="317"/>
      <c r="Z1976" s="317"/>
    </row>
    <row r="1977" spans="1:26" x14ac:dyDescent="0.25">
      <c r="A1977" s="314"/>
      <c r="B1977" s="18">
        <v>2023</v>
      </c>
      <c r="C1977" s="18" t="s">
        <v>760</v>
      </c>
      <c r="D1977" s="18" t="s">
        <v>1016</v>
      </c>
      <c r="E1977" s="18" t="s">
        <v>56</v>
      </c>
      <c r="F1977" s="18" t="s">
        <v>672</v>
      </c>
      <c r="G1977" s="18" t="s">
        <v>675</v>
      </c>
      <c r="H1977" s="18" t="s">
        <v>802</v>
      </c>
      <c r="I1977" s="315">
        <v>57.677373443528154</v>
      </c>
      <c r="J1977" s="315">
        <v>2.6461151509818434E-3</v>
      </c>
      <c r="K1977" s="316" t="str">
        <f t="shared" si="44"/>
        <v>Industrial Equipment</v>
      </c>
      <c r="L1977" s="316" t="str">
        <f t="shared" si="45"/>
        <v>LPG</v>
      </c>
      <c r="M1977" s="194"/>
      <c r="N1977" s="317"/>
      <c r="O1977" s="317"/>
      <c r="P1977" s="317"/>
      <c r="Q1977" s="317"/>
      <c r="R1977" s="317"/>
      <c r="S1977" s="317"/>
      <c r="T1977" s="317"/>
      <c r="U1977" s="317"/>
      <c r="V1977" s="317"/>
      <c r="W1977" s="317"/>
      <c r="X1977" s="317"/>
      <c r="Y1977" s="317"/>
      <c r="Z1977" s="317"/>
    </row>
    <row r="1978" spans="1:26" x14ac:dyDescent="0.25">
      <c r="A1978" s="314"/>
      <c r="B1978" s="18">
        <v>2023</v>
      </c>
      <c r="C1978" s="18" t="s">
        <v>762</v>
      </c>
      <c r="D1978" s="18" t="s">
        <v>864</v>
      </c>
      <c r="E1978" s="18" t="s">
        <v>703</v>
      </c>
      <c r="F1978" s="18" t="s">
        <v>704</v>
      </c>
      <c r="G1978" s="18" t="s">
        <v>673</v>
      </c>
      <c r="H1978" s="18" t="s">
        <v>865</v>
      </c>
      <c r="I1978" s="315">
        <v>57.502098982445126</v>
      </c>
      <c r="J1978" s="315">
        <v>3.904926519106542E-2</v>
      </c>
      <c r="K1978" s="316" t="str">
        <f t="shared" si="44"/>
        <v>Lawn and Garden Equipment</v>
      </c>
      <c r="L1978" s="316" t="str">
        <f t="shared" si="45"/>
        <v>Gasoline</v>
      </c>
      <c r="M1978" s="194"/>
      <c r="N1978" s="317"/>
      <c r="O1978" s="317"/>
      <c r="P1978" s="317"/>
      <c r="Q1978" s="317"/>
      <c r="R1978" s="317"/>
      <c r="S1978" s="317"/>
      <c r="T1978" s="317"/>
      <c r="U1978" s="317"/>
      <c r="V1978" s="317"/>
      <c r="W1978" s="317"/>
      <c r="X1978" s="317"/>
      <c r="Y1978" s="317"/>
      <c r="Z1978" s="317"/>
    </row>
    <row r="1979" spans="1:26" x14ac:dyDescent="0.25">
      <c r="A1979" s="314"/>
      <c r="B1979" s="18">
        <v>2023</v>
      </c>
      <c r="C1979" s="18" t="s">
        <v>792</v>
      </c>
      <c r="D1979" s="18" t="s">
        <v>973</v>
      </c>
      <c r="E1979" s="18" t="s">
        <v>703</v>
      </c>
      <c r="F1979" s="18" t="s">
        <v>795</v>
      </c>
      <c r="G1979" s="18" t="s">
        <v>673</v>
      </c>
      <c r="H1979" s="18" t="s">
        <v>974</v>
      </c>
      <c r="I1979" s="315">
        <v>57.29552615710886</v>
      </c>
      <c r="J1979" s="315">
        <v>0.10884278439419454</v>
      </c>
      <c r="K1979" s="316" t="str">
        <f t="shared" si="44"/>
        <v>Lawn and Garden Equipment</v>
      </c>
      <c r="L1979" s="316" t="str">
        <f t="shared" si="45"/>
        <v>Gasoline</v>
      </c>
      <c r="M1979" s="194"/>
      <c r="N1979" s="317"/>
      <c r="O1979" s="317"/>
      <c r="P1979" s="317"/>
      <c r="Q1979" s="317"/>
      <c r="R1979" s="317"/>
      <c r="S1979" s="317"/>
      <c r="T1979" s="317"/>
      <c r="U1979" s="317"/>
      <c r="V1979" s="317"/>
      <c r="W1979" s="317"/>
      <c r="X1979" s="317"/>
      <c r="Y1979" s="317"/>
      <c r="Z1979" s="317"/>
    </row>
    <row r="1980" spans="1:26" x14ac:dyDescent="0.25">
      <c r="A1980" s="314"/>
      <c r="B1980" s="18">
        <v>2023</v>
      </c>
      <c r="C1980" s="18" t="s">
        <v>759</v>
      </c>
      <c r="D1980" s="18" t="s">
        <v>779</v>
      </c>
      <c r="E1980" s="18" t="s">
        <v>713</v>
      </c>
      <c r="F1980" s="18" t="s">
        <v>714</v>
      </c>
      <c r="G1980" s="18" t="s">
        <v>674</v>
      </c>
      <c r="H1980" s="18" t="s">
        <v>780</v>
      </c>
      <c r="I1980" s="315">
        <v>56.741882481676221</v>
      </c>
      <c r="J1980" s="315">
        <v>1.8480551442011362E-4</v>
      </c>
      <c r="K1980" s="316" t="str">
        <f t="shared" si="44"/>
        <v>Construction and Mining Equipment</v>
      </c>
      <c r="L1980" s="316" t="str">
        <f t="shared" si="45"/>
        <v>Diesel</v>
      </c>
      <c r="M1980" s="194"/>
      <c r="N1980" s="317"/>
      <c r="O1980" s="317"/>
      <c r="P1980" s="317"/>
      <c r="Q1980" s="317"/>
      <c r="R1980" s="317"/>
      <c r="S1980" s="317"/>
      <c r="T1980" s="317"/>
      <c r="U1980" s="317"/>
      <c r="V1980" s="317"/>
      <c r="W1980" s="317"/>
      <c r="X1980" s="317"/>
      <c r="Y1980" s="317"/>
      <c r="Z1980" s="317"/>
    </row>
    <row r="1981" spans="1:26" x14ac:dyDescent="0.25">
      <c r="A1981" s="314"/>
      <c r="B1981" s="18">
        <v>2023</v>
      </c>
      <c r="C1981" s="18" t="s">
        <v>781</v>
      </c>
      <c r="D1981" s="18" t="s">
        <v>767</v>
      </c>
      <c r="E1981" s="18" t="s">
        <v>703</v>
      </c>
      <c r="F1981" s="18" t="s">
        <v>704</v>
      </c>
      <c r="G1981" s="18" t="s">
        <v>673</v>
      </c>
      <c r="H1981" s="18" t="s">
        <v>768</v>
      </c>
      <c r="I1981" s="315">
        <v>56.739180813535988</v>
      </c>
      <c r="J1981" s="315">
        <v>3.9400814844257517E-2</v>
      </c>
      <c r="K1981" s="316" t="str">
        <f t="shared" si="44"/>
        <v>Lawn and Garden Equipment</v>
      </c>
      <c r="L1981" s="316" t="str">
        <f t="shared" si="45"/>
        <v>Gasoline</v>
      </c>
      <c r="M1981" s="194"/>
      <c r="N1981" s="317"/>
      <c r="O1981" s="317"/>
      <c r="P1981" s="317"/>
      <c r="Q1981" s="317"/>
      <c r="R1981" s="317"/>
      <c r="S1981" s="317"/>
      <c r="T1981" s="317"/>
      <c r="U1981" s="317"/>
      <c r="V1981" s="317"/>
      <c r="W1981" s="317"/>
      <c r="X1981" s="317"/>
      <c r="Y1981" s="317"/>
      <c r="Z1981" s="317"/>
    </row>
    <row r="1982" spans="1:26" x14ac:dyDescent="0.25">
      <c r="A1982" s="314"/>
      <c r="B1982" s="18">
        <v>2023</v>
      </c>
      <c r="C1982" s="18" t="s">
        <v>778</v>
      </c>
      <c r="D1982" s="18" t="s">
        <v>989</v>
      </c>
      <c r="E1982" s="18" t="s">
        <v>703</v>
      </c>
      <c r="F1982" s="18" t="s">
        <v>795</v>
      </c>
      <c r="G1982" s="18" t="s">
        <v>673</v>
      </c>
      <c r="H1982" s="18" t="s">
        <v>990</v>
      </c>
      <c r="I1982" s="315">
        <v>56.671540793333889</v>
      </c>
      <c r="J1982" s="315">
        <v>0.10909386496102622</v>
      </c>
      <c r="K1982" s="316" t="str">
        <f t="shared" si="44"/>
        <v>Lawn and Garden Equipment</v>
      </c>
      <c r="L1982" s="316" t="str">
        <f t="shared" si="45"/>
        <v>Gasoline</v>
      </c>
      <c r="M1982" s="194"/>
      <c r="N1982" s="317"/>
      <c r="O1982" s="317"/>
      <c r="P1982" s="317"/>
      <c r="Q1982" s="317"/>
      <c r="R1982" s="317"/>
      <c r="S1982" s="317"/>
      <c r="T1982" s="317"/>
      <c r="U1982" s="317"/>
      <c r="V1982" s="317"/>
      <c r="W1982" s="317"/>
      <c r="X1982" s="317"/>
      <c r="Y1982" s="317"/>
      <c r="Z1982" s="317"/>
    </row>
    <row r="1983" spans="1:26" x14ac:dyDescent="0.25">
      <c r="A1983" s="314"/>
      <c r="B1983" s="18">
        <v>2023</v>
      </c>
      <c r="C1983" s="18" t="s">
        <v>732</v>
      </c>
      <c r="D1983" s="18" t="s">
        <v>1018</v>
      </c>
      <c r="E1983" s="18" t="s">
        <v>56</v>
      </c>
      <c r="F1983" s="18" t="s">
        <v>672</v>
      </c>
      <c r="G1983" s="18" t="s">
        <v>677</v>
      </c>
      <c r="H1983" s="18" t="s">
        <v>785</v>
      </c>
      <c r="I1983" s="315">
        <v>56.560208289617513</v>
      </c>
      <c r="J1983" s="315">
        <v>2.7755318401075347E-3</v>
      </c>
      <c r="K1983" s="316" t="str">
        <f t="shared" si="44"/>
        <v>Commercial Equipment</v>
      </c>
      <c r="L1983" s="316" t="str">
        <f t="shared" si="45"/>
        <v>LPG</v>
      </c>
      <c r="M1983" s="194"/>
      <c r="N1983" s="317"/>
      <c r="O1983" s="317"/>
      <c r="P1983" s="317"/>
      <c r="Q1983" s="317"/>
      <c r="R1983" s="317"/>
      <c r="S1983" s="317"/>
      <c r="T1983" s="317"/>
      <c r="U1983" s="317"/>
      <c r="V1983" s="317"/>
      <c r="W1983" s="317"/>
      <c r="X1983" s="317"/>
      <c r="Y1983" s="317"/>
      <c r="Z1983" s="317"/>
    </row>
    <row r="1984" spans="1:26" x14ac:dyDescent="0.25">
      <c r="A1984" s="314"/>
      <c r="B1984" s="18">
        <v>2023</v>
      </c>
      <c r="C1984" s="18" t="s">
        <v>762</v>
      </c>
      <c r="D1984" s="18" t="s">
        <v>964</v>
      </c>
      <c r="E1984" s="18" t="s">
        <v>56</v>
      </c>
      <c r="F1984" s="18" t="s">
        <v>601</v>
      </c>
      <c r="G1984" s="18" t="s">
        <v>677</v>
      </c>
      <c r="H1984" s="18" t="s">
        <v>965</v>
      </c>
      <c r="I1984" s="315">
        <v>56.35096559308581</v>
      </c>
      <c r="J1984" s="315">
        <v>0.26927946603421898</v>
      </c>
      <c r="K1984" s="316" t="str">
        <f t="shared" si="44"/>
        <v>Commercial Equipment</v>
      </c>
      <c r="L1984" s="316" t="str">
        <f t="shared" si="45"/>
        <v>CNG</v>
      </c>
      <c r="M1984" s="194"/>
      <c r="N1984" s="317"/>
      <c r="O1984" s="317"/>
      <c r="P1984" s="317"/>
      <c r="Q1984" s="317"/>
      <c r="R1984" s="317"/>
      <c r="S1984" s="317"/>
      <c r="T1984" s="317"/>
      <c r="U1984" s="317"/>
      <c r="V1984" s="317"/>
      <c r="W1984" s="317"/>
      <c r="X1984" s="317"/>
      <c r="Y1984" s="317"/>
      <c r="Z1984" s="317"/>
    </row>
    <row r="1985" spans="1:26" x14ac:dyDescent="0.25">
      <c r="A1985" s="314"/>
      <c r="B1985" s="18">
        <v>2023</v>
      </c>
      <c r="C1985" s="18" t="s">
        <v>759</v>
      </c>
      <c r="D1985" s="18" t="s">
        <v>782</v>
      </c>
      <c r="E1985" s="18" t="s">
        <v>713</v>
      </c>
      <c r="F1985" s="18" t="s">
        <v>714</v>
      </c>
      <c r="G1985" s="18" t="s">
        <v>674</v>
      </c>
      <c r="H1985" s="18" t="s">
        <v>783</v>
      </c>
      <c r="I1985" s="315">
        <v>56.278382259962839</v>
      </c>
      <c r="J1985" s="315">
        <v>5.3428214037350684E-4</v>
      </c>
      <c r="K1985" s="316" t="str">
        <f t="shared" si="44"/>
        <v>Construction and Mining Equipment</v>
      </c>
      <c r="L1985" s="316" t="str">
        <f t="shared" si="45"/>
        <v>Diesel</v>
      </c>
      <c r="M1985" s="194"/>
      <c r="N1985" s="317"/>
      <c r="O1985" s="317"/>
      <c r="P1985" s="317"/>
      <c r="Q1985" s="317"/>
      <c r="R1985" s="317"/>
      <c r="S1985" s="317"/>
      <c r="T1985" s="317"/>
      <c r="U1985" s="317"/>
      <c r="V1985" s="317"/>
      <c r="W1985" s="317"/>
      <c r="X1985" s="317"/>
      <c r="Y1985" s="317"/>
      <c r="Z1985" s="317"/>
    </row>
    <row r="1986" spans="1:26" x14ac:dyDescent="0.25">
      <c r="A1986" s="314"/>
      <c r="B1986" s="18">
        <v>2023</v>
      </c>
      <c r="C1986" s="18" t="s">
        <v>731</v>
      </c>
      <c r="D1986" s="18" t="s">
        <v>970</v>
      </c>
      <c r="E1986" s="18" t="s">
        <v>713</v>
      </c>
      <c r="F1986" s="18" t="s">
        <v>714</v>
      </c>
      <c r="G1986" s="18" t="s">
        <v>675</v>
      </c>
      <c r="H1986" s="18" t="s">
        <v>969</v>
      </c>
      <c r="I1986" s="315">
        <v>56.218684584368688</v>
      </c>
      <c r="J1986" s="315">
        <v>1.8265956722765943E-3</v>
      </c>
      <c r="K1986" s="316" t="str">
        <f t="shared" si="44"/>
        <v>Industrial Equipment</v>
      </c>
      <c r="L1986" s="316" t="str">
        <f t="shared" si="45"/>
        <v>Diesel</v>
      </c>
      <c r="M1986" s="194"/>
      <c r="N1986" s="317"/>
      <c r="O1986" s="317"/>
      <c r="P1986" s="317"/>
      <c r="Q1986" s="317"/>
      <c r="R1986" s="317"/>
      <c r="S1986" s="317"/>
      <c r="T1986" s="317"/>
      <c r="U1986" s="317"/>
      <c r="V1986" s="317"/>
      <c r="W1986" s="317"/>
      <c r="X1986" s="317"/>
      <c r="Y1986" s="317"/>
      <c r="Z1986" s="317"/>
    </row>
    <row r="1987" spans="1:26" x14ac:dyDescent="0.25">
      <c r="A1987" s="314"/>
      <c r="B1987" s="18">
        <v>2023</v>
      </c>
      <c r="C1987" s="18" t="s">
        <v>701</v>
      </c>
      <c r="D1987" s="18" t="s">
        <v>1218</v>
      </c>
      <c r="E1987" s="18" t="s">
        <v>703</v>
      </c>
      <c r="F1987" s="18" t="s">
        <v>704</v>
      </c>
      <c r="G1987" s="18" t="s">
        <v>673</v>
      </c>
      <c r="H1987" s="18" t="s">
        <v>996</v>
      </c>
      <c r="I1987" s="315">
        <v>56.199101720363892</v>
      </c>
      <c r="J1987" s="315">
        <v>3.9167313708990376E-2</v>
      </c>
      <c r="K1987" s="316" t="str">
        <f t="shared" si="44"/>
        <v>Lawn and Garden Equipment</v>
      </c>
      <c r="L1987" s="316" t="str">
        <f t="shared" si="45"/>
        <v>Gasoline</v>
      </c>
      <c r="M1987" s="194"/>
      <c r="N1987" s="317"/>
      <c r="O1987" s="317"/>
      <c r="P1987" s="317"/>
      <c r="Q1987" s="317"/>
      <c r="R1987" s="317"/>
      <c r="S1987" s="317"/>
      <c r="T1987" s="317"/>
      <c r="U1987" s="317"/>
      <c r="V1987" s="317"/>
      <c r="W1987" s="317"/>
      <c r="X1987" s="317"/>
      <c r="Y1987" s="317"/>
      <c r="Z1987" s="317"/>
    </row>
    <row r="1988" spans="1:26" x14ac:dyDescent="0.25">
      <c r="A1988" s="314"/>
      <c r="B1988" s="18">
        <v>2023</v>
      </c>
      <c r="C1988" s="18" t="s">
        <v>778</v>
      </c>
      <c r="D1988" s="18" t="s">
        <v>878</v>
      </c>
      <c r="E1988" s="18" t="s">
        <v>703</v>
      </c>
      <c r="F1988" s="18" t="s">
        <v>704</v>
      </c>
      <c r="G1988" s="18" t="s">
        <v>673</v>
      </c>
      <c r="H1988" s="18" t="s">
        <v>879</v>
      </c>
      <c r="I1988" s="315">
        <v>55.684336515349671</v>
      </c>
      <c r="J1988" s="315">
        <v>3.6555683687834878E-2</v>
      </c>
      <c r="K1988" s="316" t="str">
        <f t="shared" si="44"/>
        <v>Lawn and Garden Equipment</v>
      </c>
      <c r="L1988" s="316" t="str">
        <f t="shared" si="45"/>
        <v>Gasoline</v>
      </c>
      <c r="M1988" s="194"/>
      <c r="N1988" s="317"/>
      <c r="O1988" s="317"/>
      <c r="P1988" s="317"/>
      <c r="Q1988" s="317"/>
      <c r="R1988" s="317"/>
      <c r="S1988" s="317"/>
      <c r="T1988" s="317"/>
      <c r="U1988" s="317"/>
      <c r="V1988" s="317"/>
      <c r="W1988" s="317"/>
      <c r="X1988" s="317"/>
      <c r="Y1988" s="317"/>
      <c r="Z1988" s="317"/>
    </row>
    <row r="1989" spans="1:26" x14ac:dyDescent="0.25">
      <c r="A1989" s="314"/>
      <c r="B1989" s="18">
        <v>2023</v>
      </c>
      <c r="C1989" s="18" t="s">
        <v>722</v>
      </c>
      <c r="D1989" s="18" t="s">
        <v>1014</v>
      </c>
      <c r="E1989" s="18" t="s">
        <v>713</v>
      </c>
      <c r="F1989" s="18" t="s">
        <v>714</v>
      </c>
      <c r="G1989" s="18" t="s">
        <v>674</v>
      </c>
      <c r="H1989" s="18" t="s">
        <v>994</v>
      </c>
      <c r="I1989" s="315">
        <v>55.505441310388449</v>
      </c>
      <c r="J1989" s="315">
        <v>7.2302056394040219E-4</v>
      </c>
      <c r="K1989" s="316" t="str">
        <f t="shared" si="44"/>
        <v>Construction and Mining Equipment</v>
      </c>
      <c r="L1989" s="316" t="str">
        <f t="shared" si="45"/>
        <v>Diesel</v>
      </c>
      <c r="M1989" s="194"/>
      <c r="N1989" s="317"/>
      <c r="O1989" s="317"/>
      <c r="P1989" s="317"/>
      <c r="Q1989" s="317"/>
      <c r="R1989" s="317"/>
      <c r="S1989" s="317"/>
      <c r="T1989" s="317"/>
      <c r="U1989" s="317"/>
      <c r="V1989" s="317"/>
      <c r="W1989" s="317"/>
      <c r="X1989" s="317"/>
      <c r="Y1989" s="317"/>
      <c r="Z1989" s="317"/>
    </row>
    <row r="1990" spans="1:26" x14ac:dyDescent="0.25">
      <c r="A1990" s="314"/>
      <c r="B1990" s="18">
        <v>2023</v>
      </c>
      <c r="C1990" s="18" t="s">
        <v>750</v>
      </c>
      <c r="D1990" s="18" t="s">
        <v>980</v>
      </c>
      <c r="E1990" s="18" t="s">
        <v>713</v>
      </c>
      <c r="F1990" s="18" t="s">
        <v>714</v>
      </c>
      <c r="G1990" s="18" t="s">
        <v>674</v>
      </c>
      <c r="H1990" s="18" t="s">
        <v>981</v>
      </c>
      <c r="I1990" s="315">
        <v>55.443093953980636</v>
      </c>
      <c r="J1990" s="315">
        <v>2.4336396949581974E-3</v>
      </c>
      <c r="K1990" s="316" t="str">
        <f t="shared" si="44"/>
        <v>Construction and Mining Equipment</v>
      </c>
      <c r="L1990" s="316" t="str">
        <f t="shared" si="45"/>
        <v>Diesel</v>
      </c>
      <c r="M1990" s="194"/>
      <c r="N1990" s="317"/>
      <c r="O1990" s="317"/>
      <c r="P1990" s="317"/>
      <c r="Q1990" s="317"/>
      <c r="R1990" s="317"/>
      <c r="S1990" s="317"/>
      <c r="T1990" s="317"/>
      <c r="U1990" s="317"/>
      <c r="V1990" s="317"/>
      <c r="W1990" s="317"/>
      <c r="X1990" s="317"/>
      <c r="Y1990" s="317"/>
      <c r="Z1990" s="317"/>
    </row>
    <row r="1991" spans="1:26" x14ac:dyDescent="0.25">
      <c r="A1991" s="314"/>
      <c r="B1991" s="18">
        <v>2023</v>
      </c>
      <c r="C1991" s="18" t="s">
        <v>731</v>
      </c>
      <c r="D1991" s="18" t="s">
        <v>849</v>
      </c>
      <c r="E1991" s="18" t="s">
        <v>713</v>
      </c>
      <c r="F1991" s="18" t="s">
        <v>714</v>
      </c>
      <c r="G1991" s="18" t="s">
        <v>674</v>
      </c>
      <c r="H1991" s="18" t="s">
        <v>850</v>
      </c>
      <c r="I1991" s="315">
        <v>55.208023181970631</v>
      </c>
      <c r="J1991" s="315">
        <v>7.7128780617100978E-4</v>
      </c>
      <c r="K1991" s="316" t="str">
        <f t="shared" si="44"/>
        <v>Construction and Mining Equipment</v>
      </c>
      <c r="L1991" s="316" t="str">
        <f t="shared" si="45"/>
        <v>Diesel</v>
      </c>
      <c r="M1991" s="194"/>
      <c r="N1991" s="317"/>
      <c r="O1991" s="317"/>
      <c r="P1991" s="317"/>
      <c r="Q1991" s="317"/>
      <c r="R1991" s="317"/>
      <c r="S1991" s="317"/>
      <c r="T1991" s="317"/>
      <c r="U1991" s="317"/>
      <c r="V1991" s="317"/>
      <c r="W1991" s="317"/>
      <c r="X1991" s="317"/>
      <c r="Y1991" s="317"/>
      <c r="Z1991" s="317"/>
    </row>
    <row r="1992" spans="1:26" x14ac:dyDescent="0.25">
      <c r="A1992" s="314"/>
      <c r="B1992" s="18">
        <v>2023</v>
      </c>
      <c r="C1992" s="18" t="s">
        <v>760</v>
      </c>
      <c r="D1992" s="18" t="s">
        <v>1035</v>
      </c>
      <c r="E1992" s="18" t="s">
        <v>703</v>
      </c>
      <c r="F1992" s="18" t="s">
        <v>704</v>
      </c>
      <c r="G1992" s="18" t="s">
        <v>674</v>
      </c>
      <c r="H1992" s="18" t="s">
        <v>1036</v>
      </c>
      <c r="I1992" s="315">
        <v>55.103958630093913</v>
      </c>
      <c r="J1992" s="315">
        <v>3.9007553531155099E-2</v>
      </c>
      <c r="K1992" s="316" t="str">
        <f t="shared" si="44"/>
        <v>Construction and Mining Equipment</v>
      </c>
      <c r="L1992" s="316" t="str">
        <f t="shared" si="45"/>
        <v>Gasoline</v>
      </c>
      <c r="M1992" s="194"/>
      <c r="N1992" s="317"/>
      <c r="O1992" s="317"/>
      <c r="P1992" s="317"/>
      <c r="Q1992" s="317"/>
      <c r="R1992" s="317"/>
      <c r="S1992" s="317"/>
      <c r="T1992" s="317"/>
      <c r="U1992" s="317"/>
      <c r="V1992" s="317"/>
      <c r="W1992" s="317"/>
      <c r="X1992" s="317"/>
      <c r="Y1992" s="317"/>
      <c r="Z1992" s="317"/>
    </row>
    <row r="1993" spans="1:26" x14ac:dyDescent="0.25">
      <c r="A1993" s="314"/>
      <c r="B1993" s="18">
        <v>2023</v>
      </c>
      <c r="C1993" s="18" t="s">
        <v>778</v>
      </c>
      <c r="D1993" s="18" t="s">
        <v>882</v>
      </c>
      <c r="E1993" s="18" t="s">
        <v>713</v>
      </c>
      <c r="F1993" s="18" t="s">
        <v>714</v>
      </c>
      <c r="G1993" s="18" t="s">
        <v>673</v>
      </c>
      <c r="H1993" s="18" t="s">
        <v>705</v>
      </c>
      <c r="I1993" s="315">
        <v>55.093249533613466</v>
      </c>
      <c r="J1993" s="315">
        <v>9.2466204157925168E-4</v>
      </c>
      <c r="K1993" s="316" t="str">
        <f t="shared" si="44"/>
        <v>Lawn and Garden Equipment</v>
      </c>
      <c r="L1993" s="316" t="str">
        <f t="shared" si="45"/>
        <v>Diesel</v>
      </c>
      <c r="M1993" s="194"/>
      <c r="N1993" s="317"/>
      <c r="O1993" s="317"/>
      <c r="P1993" s="317"/>
      <c r="Q1993" s="317"/>
      <c r="R1993" s="317"/>
      <c r="S1993" s="317"/>
      <c r="T1993" s="317"/>
      <c r="U1993" s="317"/>
      <c r="V1993" s="317"/>
      <c r="W1993" s="317"/>
      <c r="X1993" s="317"/>
      <c r="Y1993" s="317"/>
      <c r="Z1993" s="317"/>
    </row>
    <row r="1994" spans="1:26" x14ac:dyDescent="0.25">
      <c r="A1994" s="314"/>
      <c r="B1994" s="18">
        <v>2023</v>
      </c>
      <c r="C1994" s="18" t="s">
        <v>792</v>
      </c>
      <c r="D1994" s="18" t="s">
        <v>977</v>
      </c>
      <c r="E1994" s="18" t="s">
        <v>703</v>
      </c>
      <c r="F1994" s="18" t="s">
        <v>805</v>
      </c>
      <c r="G1994" s="18" t="s">
        <v>673</v>
      </c>
      <c r="H1994" s="18" t="s">
        <v>978</v>
      </c>
      <c r="I1994" s="315">
        <v>55.010783025830406</v>
      </c>
      <c r="J1994" s="315">
        <v>9.3671187288479979E-2</v>
      </c>
      <c r="K1994" s="316" t="str">
        <f t="shared" si="44"/>
        <v>Lawn and Garden Equipment</v>
      </c>
      <c r="L1994" s="316" t="str">
        <f t="shared" si="45"/>
        <v>Gasoline</v>
      </c>
      <c r="M1994" s="194"/>
      <c r="N1994" s="317"/>
      <c r="O1994" s="317"/>
      <c r="P1994" s="317"/>
      <c r="Q1994" s="317"/>
      <c r="R1994" s="317"/>
      <c r="S1994" s="317"/>
      <c r="T1994" s="317"/>
      <c r="U1994" s="317"/>
      <c r="V1994" s="317"/>
      <c r="W1994" s="317"/>
      <c r="X1994" s="317"/>
      <c r="Y1994" s="317"/>
      <c r="Z1994" s="317"/>
    </row>
    <row r="1995" spans="1:26" x14ac:dyDescent="0.25">
      <c r="A1995" s="314"/>
      <c r="B1995" s="18">
        <v>2023</v>
      </c>
      <c r="C1995" s="18" t="s">
        <v>786</v>
      </c>
      <c r="D1995" s="18" t="s">
        <v>849</v>
      </c>
      <c r="E1995" s="18" t="s">
        <v>713</v>
      </c>
      <c r="F1995" s="18" t="s">
        <v>714</v>
      </c>
      <c r="G1995" s="18" t="s">
        <v>674</v>
      </c>
      <c r="H1995" s="18" t="s">
        <v>850</v>
      </c>
      <c r="I1995" s="315">
        <v>54.832089821569866</v>
      </c>
      <c r="J1995" s="315">
        <v>7.6603509318489197E-4</v>
      </c>
      <c r="K1995" s="316" t="str">
        <f t="shared" si="44"/>
        <v>Construction and Mining Equipment</v>
      </c>
      <c r="L1995" s="316" t="str">
        <f t="shared" si="45"/>
        <v>Diesel</v>
      </c>
      <c r="M1995" s="194"/>
      <c r="N1995" s="317"/>
      <c r="O1995" s="317"/>
      <c r="P1995" s="317"/>
      <c r="Q1995" s="317"/>
      <c r="R1995" s="317"/>
      <c r="S1995" s="317"/>
      <c r="T1995" s="317"/>
      <c r="U1995" s="317"/>
      <c r="V1995" s="317"/>
      <c r="W1995" s="317"/>
      <c r="X1995" s="317"/>
      <c r="Y1995" s="317"/>
      <c r="Z1995" s="317"/>
    </row>
    <row r="1996" spans="1:26" x14ac:dyDescent="0.25">
      <c r="A1996" s="314"/>
      <c r="B1996" s="18">
        <v>2023</v>
      </c>
      <c r="C1996" s="18" t="s">
        <v>709</v>
      </c>
      <c r="D1996" s="18" t="s">
        <v>1213</v>
      </c>
      <c r="E1996" s="18" t="s">
        <v>56</v>
      </c>
      <c r="F1996" s="18" t="s">
        <v>672</v>
      </c>
      <c r="G1996" s="18" t="s">
        <v>674</v>
      </c>
      <c r="H1996" s="18" t="s">
        <v>715</v>
      </c>
      <c r="I1996" s="315">
        <v>54.825472991242663</v>
      </c>
      <c r="J1996" s="315">
        <v>2.4898085185751464E-3</v>
      </c>
      <c r="K1996" s="316" t="str">
        <f t="shared" si="44"/>
        <v>Construction and Mining Equipment</v>
      </c>
      <c r="L1996" s="316" t="str">
        <f t="shared" si="45"/>
        <v>LPG</v>
      </c>
      <c r="M1996" s="194"/>
      <c r="N1996" s="317"/>
      <c r="O1996" s="317"/>
      <c r="P1996" s="317"/>
      <c r="Q1996" s="317"/>
      <c r="R1996" s="317"/>
      <c r="S1996" s="317"/>
      <c r="T1996" s="317"/>
      <c r="U1996" s="317"/>
      <c r="V1996" s="317"/>
      <c r="W1996" s="317"/>
      <c r="X1996" s="317"/>
      <c r="Y1996" s="317"/>
      <c r="Z1996" s="317"/>
    </row>
    <row r="1997" spans="1:26" x14ac:dyDescent="0.25">
      <c r="A1997" s="314"/>
      <c r="B1997" s="18">
        <v>2023</v>
      </c>
      <c r="C1997" s="18" t="s">
        <v>743</v>
      </c>
      <c r="D1997" s="18" t="s">
        <v>962</v>
      </c>
      <c r="E1997" s="18" t="s">
        <v>703</v>
      </c>
      <c r="F1997" s="18" t="s">
        <v>704</v>
      </c>
      <c r="G1997" s="18" t="s">
        <v>673</v>
      </c>
      <c r="H1997" s="18" t="s">
        <v>963</v>
      </c>
      <c r="I1997" s="315">
        <v>54.726943501848083</v>
      </c>
      <c r="J1997" s="315">
        <v>3.7885470225938279E-2</v>
      </c>
      <c r="K1997" s="316" t="str">
        <f t="shared" si="44"/>
        <v>Lawn and Garden Equipment</v>
      </c>
      <c r="L1997" s="316" t="str">
        <f t="shared" si="45"/>
        <v>Gasoline</v>
      </c>
      <c r="M1997" s="194"/>
      <c r="N1997" s="317"/>
      <c r="O1997" s="317"/>
      <c r="P1997" s="317"/>
      <c r="Q1997" s="317"/>
      <c r="R1997" s="317"/>
      <c r="S1997" s="317"/>
      <c r="T1997" s="317"/>
      <c r="U1997" s="317"/>
      <c r="V1997" s="317"/>
      <c r="W1997" s="317"/>
      <c r="X1997" s="317"/>
      <c r="Y1997" s="317"/>
      <c r="Z1997" s="317"/>
    </row>
    <row r="1998" spans="1:26" x14ac:dyDescent="0.25">
      <c r="A1998" s="314"/>
      <c r="B1998" s="18">
        <v>2023</v>
      </c>
      <c r="C1998" s="18" t="s">
        <v>762</v>
      </c>
      <c r="D1998" s="18" t="s">
        <v>920</v>
      </c>
      <c r="E1998" s="18" t="s">
        <v>703</v>
      </c>
      <c r="F1998" s="18" t="s">
        <v>704</v>
      </c>
      <c r="G1998" s="18" t="s">
        <v>673</v>
      </c>
      <c r="H1998" s="18" t="s">
        <v>921</v>
      </c>
      <c r="I1998" s="315">
        <v>54.606811759339116</v>
      </c>
      <c r="J1998" s="315">
        <v>3.4604460174762125E-2</v>
      </c>
      <c r="K1998" s="316" t="str">
        <f t="shared" si="44"/>
        <v>Lawn and Garden Equipment</v>
      </c>
      <c r="L1998" s="316" t="str">
        <f t="shared" si="45"/>
        <v>Gasoline</v>
      </c>
      <c r="M1998" s="194"/>
      <c r="N1998" s="317"/>
      <c r="O1998" s="317"/>
      <c r="P1998" s="317"/>
      <c r="Q1998" s="317"/>
      <c r="R1998" s="317"/>
      <c r="S1998" s="317"/>
      <c r="T1998" s="317"/>
      <c r="U1998" s="317"/>
      <c r="V1998" s="317"/>
      <c r="W1998" s="317"/>
      <c r="X1998" s="317"/>
      <c r="Y1998" s="317"/>
      <c r="Z1998" s="317"/>
    </row>
    <row r="1999" spans="1:26" x14ac:dyDescent="0.25">
      <c r="A1999" s="314"/>
      <c r="B1999" s="18">
        <v>2023</v>
      </c>
      <c r="C1999" s="18" t="s">
        <v>732</v>
      </c>
      <c r="D1999" s="18" t="s">
        <v>1020</v>
      </c>
      <c r="E1999" s="18" t="s">
        <v>713</v>
      </c>
      <c r="F1999" s="18" t="s">
        <v>714</v>
      </c>
      <c r="G1999" s="18" t="s">
        <v>677</v>
      </c>
      <c r="H1999" s="18" t="s">
        <v>789</v>
      </c>
      <c r="I1999" s="315">
        <v>54.469004459265378</v>
      </c>
      <c r="J1999" s="315">
        <v>1.2535194013506546E-3</v>
      </c>
      <c r="K1999" s="316" t="str">
        <f t="shared" si="44"/>
        <v>Commercial Equipment</v>
      </c>
      <c r="L1999" s="316" t="str">
        <f t="shared" si="45"/>
        <v>Diesel</v>
      </c>
      <c r="M1999" s="194"/>
      <c r="N1999" s="317"/>
      <c r="O1999" s="317"/>
      <c r="P1999" s="317"/>
      <c r="Q1999" s="317"/>
      <c r="R1999" s="317"/>
      <c r="S1999" s="317"/>
      <c r="T1999" s="317"/>
      <c r="U1999" s="317"/>
      <c r="V1999" s="317"/>
      <c r="W1999" s="317"/>
      <c r="X1999" s="317"/>
      <c r="Y1999" s="317"/>
      <c r="Z1999" s="317"/>
    </row>
    <row r="2000" spans="1:26" x14ac:dyDescent="0.25">
      <c r="A2000" s="314"/>
      <c r="B2000" s="18">
        <v>2023</v>
      </c>
      <c r="C2000" s="18" t="s">
        <v>753</v>
      </c>
      <c r="D2000" s="18" t="s">
        <v>970</v>
      </c>
      <c r="E2000" s="18" t="s">
        <v>713</v>
      </c>
      <c r="F2000" s="18" t="s">
        <v>714</v>
      </c>
      <c r="G2000" s="18" t="s">
        <v>675</v>
      </c>
      <c r="H2000" s="18" t="s">
        <v>969</v>
      </c>
      <c r="I2000" s="315">
        <v>54.401964313864568</v>
      </c>
      <c r="J2000" s="315">
        <v>1.7675705326327912E-3</v>
      </c>
      <c r="K2000" s="316" t="str">
        <f t="shared" si="44"/>
        <v>Industrial Equipment</v>
      </c>
      <c r="L2000" s="316" t="str">
        <f t="shared" si="45"/>
        <v>Diesel</v>
      </c>
      <c r="M2000" s="194"/>
      <c r="N2000" s="317"/>
      <c r="O2000" s="317"/>
      <c r="P2000" s="317"/>
      <c r="Q2000" s="317"/>
      <c r="R2000" s="317"/>
      <c r="S2000" s="317"/>
      <c r="T2000" s="317"/>
      <c r="U2000" s="317"/>
      <c r="V2000" s="317"/>
      <c r="W2000" s="317"/>
      <c r="X2000" s="317"/>
      <c r="Y2000" s="317"/>
      <c r="Z2000" s="317"/>
    </row>
    <row r="2001" spans="1:26" x14ac:dyDescent="0.25">
      <c r="A2001" s="314"/>
      <c r="B2001" s="18">
        <v>2023</v>
      </c>
      <c r="C2001" s="18" t="s">
        <v>709</v>
      </c>
      <c r="D2001" s="18" t="s">
        <v>1214</v>
      </c>
      <c r="E2001" s="18" t="s">
        <v>713</v>
      </c>
      <c r="F2001" s="18" t="s">
        <v>714</v>
      </c>
      <c r="G2001" s="18" t="s">
        <v>674</v>
      </c>
      <c r="H2001" s="18" t="s">
        <v>999</v>
      </c>
      <c r="I2001" s="315">
        <v>54.396087840595179</v>
      </c>
      <c r="J2001" s="315">
        <v>1.6103914246647501E-3</v>
      </c>
      <c r="K2001" s="316" t="str">
        <f t="shared" si="44"/>
        <v>Construction and Mining Equipment</v>
      </c>
      <c r="L2001" s="316" t="str">
        <f t="shared" si="45"/>
        <v>Diesel</v>
      </c>
      <c r="M2001" s="194"/>
      <c r="N2001" s="317"/>
      <c r="O2001" s="317"/>
      <c r="P2001" s="317"/>
      <c r="Q2001" s="317"/>
      <c r="R2001" s="317"/>
      <c r="S2001" s="317"/>
      <c r="T2001" s="317"/>
      <c r="U2001" s="317"/>
      <c r="V2001" s="317"/>
      <c r="W2001" s="317"/>
      <c r="X2001" s="317"/>
      <c r="Y2001" s="317"/>
      <c r="Z2001" s="317"/>
    </row>
    <row r="2002" spans="1:26" x14ac:dyDescent="0.25">
      <c r="A2002" s="314"/>
      <c r="B2002" s="18">
        <v>2023</v>
      </c>
      <c r="C2002" s="18" t="s">
        <v>760</v>
      </c>
      <c r="D2002" s="18" t="s">
        <v>1018</v>
      </c>
      <c r="E2002" s="18" t="s">
        <v>56</v>
      </c>
      <c r="F2002" s="18" t="s">
        <v>672</v>
      </c>
      <c r="G2002" s="18" t="s">
        <v>677</v>
      </c>
      <c r="H2002" s="18" t="s">
        <v>785</v>
      </c>
      <c r="I2002" s="315">
        <v>54.384722106739801</v>
      </c>
      <c r="J2002" s="315">
        <v>2.6687804496539594E-3</v>
      </c>
      <c r="K2002" s="316" t="str">
        <f t="shared" si="44"/>
        <v>Commercial Equipment</v>
      </c>
      <c r="L2002" s="316" t="str">
        <f t="shared" si="45"/>
        <v>LPG</v>
      </c>
      <c r="M2002" s="194"/>
      <c r="N2002" s="317"/>
      <c r="O2002" s="317"/>
      <c r="P2002" s="317"/>
      <c r="Q2002" s="317"/>
      <c r="R2002" s="317"/>
      <c r="S2002" s="317"/>
      <c r="T2002" s="317"/>
      <c r="U2002" s="317"/>
      <c r="V2002" s="317"/>
      <c r="W2002" s="317"/>
      <c r="X2002" s="317"/>
      <c r="Y2002" s="317"/>
      <c r="Z2002" s="317"/>
    </row>
    <row r="2003" spans="1:26" x14ac:dyDescent="0.25">
      <c r="A2003" s="314"/>
      <c r="B2003" s="18">
        <v>2023</v>
      </c>
      <c r="C2003" s="18" t="s">
        <v>792</v>
      </c>
      <c r="D2003" s="18" t="s">
        <v>855</v>
      </c>
      <c r="E2003" s="18" t="s">
        <v>713</v>
      </c>
      <c r="F2003" s="18" t="s">
        <v>714</v>
      </c>
      <c r="G2003" s="18" t="s">
        <v>674</v>
      </c>
      <c r="H2003" s="18" t="s">
        <v>856</v>
      </c>
      <c r="I2003" s="315">
        <v>54.318882051107906</v>
      </c>
      <c r="J2003" s="315">
        <v>3.4323462960439308E-4</v>
      </c>
      <c r="K2003" s="316" t="str">
        <f t="shared" si="44"/>
        <v>Construction and Mining Equipment</v>
      </c>
      <c r="L2003" s="316" t="str">
        <f t="shared" si="45"/>
        <v>Diesel</v>
      </c>
      <c r="M2003" s="194"/>
      <c r="N2003" s="317"/>
      <c r="O2003" s="317"/>
      <c r="P2003" s="317"/>
      <c r="Q2003" s="317"/>
      <c r="R2003" s="317"/>
      <c r="S2003" s="317"/>
      <c r="T2003" s="317"/>
      <c r="U2003" s="317"/>
      <c r="V2003" s="317"/>
      <c r="W2003" s="317"/>
      <c r="X2003" s="317"/>
      <c r="Y2003" s="317"/>
      <c r="Z2003" s="317"/>
    </row>
    <row r="2004" spans="1:26" x14ac:dyDescent="0.25">
      <c r="A2004" s="314"/>
      <c r="B2004" s="18">
        <v>2023</v>
      </c>
      <c r="C2004" s="18" t="s">
        <v>762</v>
      </c>
      <c r="D2004" s="18" t="s">
        <v>867</v>
      </c>
      <c r="E2004" s="18" t="s">
        <v>713</v>
      </c>
      <c r="F2004" s="18" t="s">
        <v>714</v>
      </c>
      <c r="G2004" s="18" t="s">
        <v>673</v>
      </c>
      <c r="H2004" s="18" t="s">
        <v>724</v>
      </c>
      <c r="I2004" s="315">
        <v>54.24790734327167</v>
      </c>
      <c r="J2004" s="315">
        <v>2.7917914538873015E-3</v>
      </c>
      <c r="K2004" s="316" t="str">
        <f t="shared" si="44"/>
        <v>Lawn and Garden Equipment</v>
      </c>
      <c r="L2004" s="316" t="str">
        <f t="shared" si="45"/>
        <v>Diesel</v>
      </c>
      <c r="M2004" s="194"/>
      <c r="N2004" s="317"/>
      <c r="O2004" s="317"/>
      <c r="P2004" s="317"/>
      <c r="Q2004" s="317"/>
      <c r="R2004" s="317"/>
      <c r="S2004" s="317"/>
      <c r="T2004" s="317"/>
      <c r="U2004" s="317"/>
      <c r="V2004" s="317"/>
      <c r="W2004" s="317"/>
      <c r="X2004" s="317"/>
      <c r="Y2004" s="317"/>
      <c r="Z2004" s="317"/>
    </row>
    <row r="2005" spans="1:26" x14ac:dyDescent="0.25">
      <c r="A2005" s="314"/>
      <c r="B2005" s="18">
        <v>2023</v>
      </c>
      <c r="C2005" s="18" t="s">
        <v>778</v>
      </c>
      <c r="D2005" s="18" t="s">
        <v>964</v>
      </c>
      <c r="E2005" s="18" t="s">
        <v>56</v>
      </c>
      <c r="F2005" s="18" t="s">
        <v>601</v>
      </c>
      <c r="G2005" s="18" t="s">
        <v>677</v>
      </c>
      <c r="H2005" s="18" t="s">
        <v>965</v>
      </c>
      <c r="I2005" s="315">
        <v>54.210998395293785</v>
      </c>
      <c r="J2005" s="315">
        <v>0.25905397469880886</v>
      </c>
      <c r="K2005" s="316" t="str">
        <f t="shared" si="44"/>
        <v>Commercial Equipment</v>
      </c>
      <c r="L2005" s="316" t="str">
        <f t="shared" si="45"/>
        <v>CNG</v>
      </c>
      <c r="M2005" s="194"/>
      <c r="N2005" s="317"/>
      <c r="O2005" s="317"/>
      <c r="P2005" s="317"/>
      <c r="Q2005" s="317"/>
      <c r="R2005" s="317"/>
      <c r="S2005" s="317"/>
      <c r="T2005" s="317"/>
      <c r="U2005" s="317"/>
      <c r="V2005" s="317"/>
      <c r="W2005" s="317"/>
      <c r="X2005" s="317"/>
      <c r="Y2005" s="317"/>
      <c r="Z2005" s="317"/>
    </row>
    <row r="2006" spans="1:26" x14ac:dyDescent="0.25">
      <c r="A2006" s="314"/>
      <c r="B2006" s="18">
        <v>2023</v>
      </c>
      <c r="C2006" s="18" t="s">
        <v>810</v>
      </c>
      <c r="D2006" s="18" t="s">
        <v>927</v>
      </c>
      <c r="E2006" s="18" t="s">
        <v>56</v>
      </c>
      <c r="F2006" s="18" t="s">
        <v>672</v>
      </c>
      <c r="G2006" s="18" t="s">
        <v>673</v>
      </c>
      <c r="H2006" s="18" t="s">
        <v>742</v>
      </c>
      <c r="I2006" s="315">
        <v>54.024888689826696</v>
      </c>
      <c r="J2006" s="315">
        <v>2.4543388645571736E-3</v>
      </c>
      <c r="K2006" s="316" t="str">
        <f t="shared" si="44"/>
        <v>Lawn and Garden Equipment</v>
      </c>
      <c r="L2006" s="316" t="str">
        <f t="shared" si="45"/>
        <v>LPG</v>
      </c>
      <c r="M2006" s="194"/>
      <c r="N2006" s="317"/>
      <c r="O2006" s="317"/>
      <c r="P2006" s="317"/>
      <c r="Q2006" s="317"/>
      <c r="R2006" s="317"/>
      <c r="S2006" s="317"/>
      <c r="T2006" s="317"/>
      <c r="U2006" s="317"/>
      <c r="V2006" s="317"/>
      <c r="W2006" s="317"/>
      <c r="X2006" s="317"/>
      <c r="Y2006" s="317"/>
      <c r="Z2006" s="317"/>
    </row>
    <row r="2007" spans="1:26" x14ac:dyDescent="0.25">
      <c r="A2007" s="314"/>
      <c r="B2007" s="18">
        <v>2023</v>
      </c>
      <c r="C2007" s="18" t="s">
        <v>759</v>
      </c>
      <c r="D2007" s="18" t="s">
        <v>927</v>
      </c>
      <c r="E2007" s="18" t="s">
        <v>56</v>
      </c>
      <c r="F2007" s="18" t="s">
        <v>672</v>
      </c>
      <c r="G2007" s="18" t="s">
        <v>673</v>
      </c>
      <c r="H2007" s="18" t="s">
        <v>742</v>
      </c>
      <c r="I2007" s="315">
        <v>54.024888689826696</v>
      </c>
      <c r="J2007" s="315">
        <v>2.4543388645571736E-3</v>
      </c>
      <c r="K2007" s="316" t="str">
        <f t="shared" si="44"/>
        <v>Lawn and Garden Equipment</v>
      </c>
      <c r="L2007" s="316" t="str">
        <f t="shared" si="45"/>
        <v>LPG</v>
      </c>
      <c r="M2007" s="194"/>
      <c r="N2007" s="317"/>
      <c r="O2007" s="317"/>
      <c r="P2007" s="317"/>
      <c r="Q2007" s="317"/>
      <c r="R2007" s="317"/>
      <c r="S2007" s="317"/>
      <c r="T2007" s="317"/>
      <c r="U2007" s="317"/>
      <c r="V2007" s="317"/>
      <c r="W2007" s="317"/>
      <c r="X2007" s="317"/>
      <c r="Y2007" s="317"/>
      <c r="Z2007" s="317"/>
    </row>
    <row r="2008" spans="1:26" x14ac:dyDescent="0.25">
      <c r="A2008" s="314"/>
      <c r="B2008" s="18">
        <v>2023</v>
      </c>
      <c r="C2008" s="18" t="s">
        <v>727</v>
      </c>
      <c r="D2008" s="18" t="s">
        <v>927</v>
      </c>
      <c r="E2008" s="18" t="s">
        <v>56</v>
      </c>
      <c r="F2008" s="18" t="s">
        <v>672</v>
      </c>
      <c r="G2008" s="18" t="s">
        <v>673</v>
      </c>
      <c r="H2008" s="18" t="s">
        <v>742</v>
      </c>
      <c r="I2008" s="315">
        <v>54.024888689826696</v>
      </c>
      <c r="J2008" s="315">
        <v>2.4543388645571736E-3</v>
      </c>
      <c r="K2008" s="316" t="str">
        <f t="shared" si="44"/>
        <v>Lawn and Garden Equipment</v>
      </c>
      <c r="L2008" s="316" t="str">
        <f t="shared" si="45"/>
        <v>LPG</v>
      </c>
      <c r="M2008" s="194"/>
      <c r="N2008" s="317"/>
      <c r="O2008" s="317"/>
      <c r="P2008" s="317"/>
      <c r="Q2008" s="317"/>
      <c r="R2008" s="317"/>
      <c r="S2008" s="317"/>
      <c r="T2008" s="317"/>
      <c r="U2008" s="317"/>
      <c r="V2008" s="317"/>
      <c r="W2008" s="317"/>
      <c r="X2008" s="317"/>
      <c r="Y2008" s="317"/>
      <c r="Z2008" s="317"/>
    </row>
    <row r="2009" spans="1:26" x14ac:dyDescent="0.25">
      <c r="A2009" s="314"/>
      <c r="B2009" s="18">
        <v>2023</v>
      </c>
      <c r="C2009" s="18" t="s">
        <v>773</v>
      </c>
      <c r="D2009" s="18" t="s">
        <v>966</v>
      </c>
      <c r="E2009" s="18" t="s">
        <v>703</v>
      </c>
      <c r="F2009" s="18" t="s">
        <v>704</v>
      </c>
      <c r="G2009" s="18" t="s">
        <v>674</v>
      </c>
      <c r="H2009" s="18" t="s">
        <v>967</v>
      </c>
      <c r="I2009" s="315">
        <v>53.837519856347022</v>
      </c>
      <c r="J2009" s="315">
        <v>3.7094430042513352E-2</v>
      </c>
      <c r="K2009" s="316" t="str">
        <f t="shared" si="44"/>
        <v>Construction and Mining Equipment</v>
      </c>
      <c r="L2009" s="316" t="str">
        <f t="shared" si="45"/>
        <v>Gasoline</v>
      </c>
      <c r="M2009" s="194"/>
      <c r="N2009" s="317"/>
      <c r="O2009" s="317"/>
      <c r="P2009" s="317"/>
      <c r="Q2009" s="317"/>
      <c r="R2009" s="317"/>
      <c r="S2009" s="317"/>
      <c r="T2009" s="317"/>
      <c r="U2009" s="317"/>
      <c r="V2009" s="317"/>
      <c r="W2009" s="317"/>
      <c r="X2009" s="317"/>
      <c r="Y2009" s="317"/>
      <c r="Z2009" s="317"/>
    </row>
    <row r="2010" spans="1:26" x14ac:dyDescent="0.25">
      <c r="A2010" s="314"/>
      <c r="B2010" s="18">
        <v>2023</v>
      </c>
      <c r="C2010" s="18" t="s">
        <v>731</v>
      </c>
      <c r="D2010" s="18" t="s">
        <v>927</v>
      </c>
      <c r="E2010" s="18" t="s">
        <v>56</v>
      </c>
      <c r="F2010" s="18" t="s">
        <v>672</v>
      </c>
      <c r="G2010" s="18" t="s">
        <v>673</v>
      </c>
      <c r="H2010" s="18" t="s">
        <v>742</v>
      </c>
      <c r="I2010" s="315">
        <v>53.689309047615403</v>
      </c>
      <c r="J2010" s="315">
        <v>2.4390933056514241E-3</v>
      </c>
      <c r="K2010" s="316" t="str">
        <f t="shared" si="44"/>
        <v>Lawn and Garden Equipment</v>
      </c>
      <c r="L2010" s="316" t="str">
        <f t="shared" si="45"/>
        <v>LPG</v>
      </c>
      <c r="M2010" s="194"/>
      <c r="N2010" s="317"/>
      <c r="O2010" s="317"/>
      <c r="P2010" s="317"/>
      <c r="Q2010" s="317"/>
      <c r="R2010" s="317"/>
      <c r="S2010" s="317"/>
      <c r="T2010" s="317"/>
      <c r="U2010" s="317"/>
      <c r="V2010" s="317"/>
      <c r="W2010" s="317"/>
      <c r="X2010" s="317"/>
      <c r="Y2010" s="317"/>
      <c r="Z2010" s="317"/>
    </row>
    <row r="2011" spans="1:26" x14ac:dyDescent="0.25">
      <c r="A2011" s="314"/>
      <c r="B2011" s="18">
        <v>2023</v>
      </c>
      <c r="C2011" s="18" t="s">
        <v>732</v>
      </c>
      <c r="D2011" s="18" t="s">
        <v>1075</v>
      </c>
      <c r="E2011" s="18" t="s">
        <v>56</v>
      </c>
      <c r="F2011" s="18" t="s">
        <v>672</v>
      </c>
      <c r="G2011" s="18" t="s">
        <v>675</v>
      </c>
      <c r="H2011" s="18" t="s">
        <v>772</v>
      </c>
      <c r="I2011" s="315">
        <v>53.594320614894826</v>
      </c>
      <c r="J2011" s="315">
        <v>2.4690728723173279E-3</v>
      </c>
      <c r="K2011" s="316" t="str">
        <f t="shared" si="44"/>
        <v>Industrial Equipment</v>
      </c>
      <c r="L2011" s="316" t="str">
        <f t="shared" si="45"/>
        <v>LPG</v>
      </c>
      <c r="M2011" s="194"/>
      <c r="N2011" s="317"/>
      <c r="O2011" s="317"/>
      <c r="P2011" s="317"/>
      <c r="Q2011" s="317"/>
      <c r="R2011" s="317"/>
      <c r="S2011" s="317"/>
      <c r="T2011" s="317"/>
      <c r="U2011" s="317"/>
      <c r="V2011" s="317"/>
      <c r="W2011" s="317"/>
      <c r="X2011" s="317"/>
      <c r="Y2011" s="317"/>
      <c r="Z2011" s="317"/>
    </row>
    <row r="2012" spans="1:26" x14ac:dyDescent="0.25">
      <c r="A2012" s="314"/>
      <c r="B2012" s="18">
        <v>2023</v>
      </c>
      <c r="C2012" s="18" t="s">
        <v>754</v>
      </c>
      <c r="D2012" s="18" t="s">
        <v>1003</v>
      </c>
      <c r="E2012" s="18" t="s">
        <v>703</v>
      </c>
      <c r="F2012" s="18" t="s">
        <v>805</v>
      </c>
      <c r="G2012" s="18" t="s">
        <v>677</v>
      </c>
      <c r="H2012" s="18" t="s">
        <v>841</v>
      </c>
      <c r="I2012" s="315">
        <v>53.576501554482164</v>
      </c>
      <c r="J2012" s="315">
        <v>0.1032329382741824</v>
      </c>
      <c r="K2012" s="316" t="str">
        <f t="shared" si="44"/>
        <v>Commercial Equipment</v>
      </c>
      <c r="L2012" s="316" t="str">
        <f t="shared" si="45"/>
        <v>Gasoline</v>
      </c>
      <c r="M2012" s="194"/>
      <c r="N2012" s="317"/>
      <c r="O2012" s="317"/>
      <c r="P2012" s="317"/>
      <c r="Q2012" s="317"/>
      <c r="R2012" s="317"/>
      <c r="S2012" s="317"/>
      <c r="T2012" s="317"/>
      <c r="U2012" s="317"/>
      <c r="V2012" s="317"/>
      <c r="W2012" s="317"/>
      <c r="X2012" s="317"/>
      <c r="Y2012" s="317"/>
      <c r="Z2012" s="317"/>
    </row>
    <row r="2013" spans="1:26" x14ac:dyDescent="0.25">
      <c r="A2013" s="314"/>
      <c r="B2013" s="18">
        <v>2023</v>
      </c>
      <c r="C2013" s="18" t="s">
        <v>778</v>
      </c>
      <c r="D2013" s="18" t="s">
        <v>1014</v>
      </c>
      <c r="E2013" s="18" t="s">
        <v>713</v>
      </c>
      <c r="F2013" s="18" t="s">
        <v>714</v>
      </c>
      <c r="G2013" s="18" t="s">
        <v>674</v>
      </c>
      <c r="H2013" s="18" t="s">
        <v>994</v>
      </c>
      <c r="I2013" s="315">
        <v>53.504132724250859</v>
      </c>
      <c r="J2013" s="315">
        <v>6.9695012400121218E-4</v>
      </c>
      <c r="K2013" s="316" t="str">
        <f t="shared" si="44"/>
        <v>Construction and Mining Equipment</v>
      </c>
      <c r="L2013" s="316" t="str">
        <f t="shared" si="45"/>
        <v>Diesel</v>
      </c>
      <c r="M2013" s="194"/>
      <c r="N2013" s="317"/>
      <c r="O2013" s="317"/>
      <c r="P2013" s="317"/>
      <c r="Q2013" s="317"/>
      <c r="R2013" s="317"/>
      <c r="S2013" s="317"/>
      <c r="T2013" s="317"/>
      <c r="U2013" s="317"/>
      <c r="V2013" s="317"/>
      <c r="W2013" s="317"/>
      <c r="X2013" s="317"/>
      <c r="Y2013" s="317"/>
      <c r="Z2013" s="317"/>
    </row>
    <row r="2014" spans="1:26" x14ac:dyDescent="0.25">
      <c r="A2014" s="314"/>
      <c r="B2014" s="18">
        <v>2023</v>
      </c>
      <c r="C2014" s="18" t="s">
        <v>743</v>
      </c>
      <c r="D2014" s="18" t="s">
        <v>993</v>
      </c>
      <c r="E2014" s="18" t="s">
        <v>703</v>
      </c>
      <c r="F2014" s="18" t="s">
        <v>704</v>
      </c>
      <c r="G2014" s="18" t="s">
        <v>674</v>
      </c>
      <c r="H2014" s="18" t="s">
        <v>994</v>
      </c>
      <c r="I2014" s="315">
        <v>53.50359521830967</v>
      </c>
      <c r="J2014" s="315">
        <v>3.5876067877488621E-2</v>
      </c>
      <c r="K2014" s="316" t="str">
        <f t="shared" si="44"/>
        <v>Construction and Mining Equipment</v>
      </c>
      <c r="L2014" s="316" t="str">
        <f t="shared" si="45"/>
        <v>Gasoline</v>
      </c>
      <c r="M2014" s="194"/>
      <c r="N2014" s="317"/>
      <c r="O2014" s="317"/>
      <c r="P2014" s="317"/>
      <c r="Q2014" s="317"/>
      <c r="R2014" s="317"/>
      <c r="S2014" s="317"/>
      <c r="T2014" s="317"/>
      <c r="U2014" s="317"/>
      <c r="V2014" s="317"/>
      <c r="W2014" s="317"/>
      <c r="X2014" s="317"/>
      <c r="Y2014" s="317"/>
      <c r="Z2014" s="317"/>
    </row>
    <row r="2015" spans="1:26" x14ac:dyDescent="0.25">
      <c r="A2015" s="314"/>
      <c r="B2015" s="18">
        <v>2023</v>
      </c>
      <c r="C2015" s="18" t="s">
        <v>787</v>
      </c>
      <c r="D2015" s="18" t="s">
        <v>984</v>
      </c>
      <c r="E2015" s="18" t="s">
        <v>703</v>
      </c>
      <c r="F2015" s="18" t="s">
        <v>704</v>
      </c>
      <c r="G2015" s="18" t="s">
        <v>673</v>
      </c>
      <c r="H2015" s="18" t="s">
        <v>985</v>
      </c>
      <c r="I2015" s="315">
        <v>53.496074307553663</v>
      </c>
      <c r="J2015" s="315">
        <v>3.6372530591418345E-2</v>
      </c>
      <c r="K2015" s="316" t="str">
        <f t="shared" si="44"/>
        <v>Lawn and Garden Equipment</v>
      </c>
      <c r="L2015" s="316" t="str">
        <f t="shared" si="45"/>
        <v>Gasoline</v>
      </c>
      <c r="M2015" s="194"/>
      <c r="N2015" s="317"/>
      <c r="O2015" s="317"/>
      <c r="P2015" s="317"/>
      <c r="Q2015" s="317"/>
      <c r="R2015" s="317"/>
      <c r="S2015" s="317"/>
      <c r="T2015" s="317"/>
      <c r="U2015" s="317"/>
      <c r="V2015" s="317"/>
      <c r="W2015" s="317"/>
      <c r="X2015" s="317"/>
      <c r="Y2015" s="317"/>
      <c r="Z2015" s="317"/>
    </row>
    <row r="2016" spans="1:26" x14ac:dyDescent="0.25">
      <c r="A2016" s="314"/>
      <c r="B2016" s="18">
        <v>2023</v>
      </c>
      <c r="C2016" s="18" t="s">
        <v>711</v>
      </c>
      <c r="D2016" s="18" t="s">
        <v>1081</v>
      </c>
      <c r="E2016" s="18" t="s">
        <v>703</v>
      </c>
      <c r="F2016" s="18" t="s">
        <v>805</v>
      </c>
      <c r="G2016" s="18" t="s">
        <v>674</v>
      </c>
      <c r="H2016" s="18" t="s">
        <v>1082</v>
      </c>
      <c r="I2016" s="315">
        <v>53.376014258338941</v>
      </c>
      <c r="J2016" s="315">
        <v>8.65778155080658E-2</v>
      </c>
      <c r="K2016" s="316" t="str">
        <f t="shared" si="44"/>
        <v>Construction and Mining Equipment</v>
      </c>
      <c r="L2016" s="316" t="str">
        <f t="shared" si="45"/>
        <v>Gasoline</v>
      </c>
      <c r="M2016" s="194"/>
      <c r="N2016" s="317"/>
      <c r="O2016" s="317"/>
      <c r="P2016" s="317"/>
      <c r="Q2016" s="317"/>
      <c r="R2016" s="317"/>
      <c r="S2016" s="317"/>
      <c r="T2016" s="317"/>
      <c r="U2016" s="317"/>
      <c r="V2016" s="317"/>
      <c r="W2016" s="317"/>
      <c r="X2016" s="317"/>
      <c r="Y2016" s="317"/>
      <c r="Z2016" s="317"/>
    </row>
    <row r="2017" spans="1:26" x14ac:dyDescent="0.25">
      <c r="A2017" s="314"/>
      <c r="B2017" s="18">
        <v>2023</v>
      </c>
      <c r="C2017" s="18" t="s">
        <v>810</v>
      </c>
      <c r="D2017" s="18" t="s">
        <v>920</v>
      </c>
      <c r="E2017" s="18" t="s">
        <v>703</v>
      </c>
      <c r="F2017" s="18" t="s">
        <v>704</v>
      </c>
      <c r="G2017" s="18" t="s">
        <v>673</v>
      </c>
      <c r="H2017" s="18" t="s">
        <v>921</v>
      </c>
      <c r="I2017" s="315">
        <v>53.293266999185029</v>
      </c>
      <c r="J2017" s="315">
        <v>3.4166015993811409E-2</v>
      </c>
      <c r="K2017" s="316" t="str">
        <f t="shared" si="44"/>
        <v>Lawn and Garden Equipment</v>
      </c>
      <c r="L2017" s="316" t="str">
        <f t="shared" si="45"/>
        <v>Gasoline</v>
      </c>
      <c r="M2017" s="194"/>
      <c r="N2017" s="317"/>
      <c r="O2017" s="317"/>
      <c r="P2017" s="317"/>
      <c r="Q2017" s="317"/>
      <c r="R2017" s="317"/>
      <c r="S2017" s="317"/>
      <c r="T2017" s="317"/>
      <c r="U2017" s="317"/>
      <c r="V2017" s="317"/>
      <c r="W2017" s="317"/>
      <c r="X2017" s="317"/>
      <c r="Y2017" s="317"/>
      <c r="Z2017" s="317"/>
    </row>
    <row r="2018" spans="1:26" x14ac:dyDescent="0.25">
      <c r="A2018" s="314"/>
      <c r="B2018" s="18">
        <v>2023</v>
      </c>
      <c r="C2018" s="18" t="s">
        <v>786</v>
      </c>
      <c r="D2018" s="18" t="s">
        <v>866</v>
      </c>
      <c r="E2018" s="18" t="s">
        <v>713</v>
      </c>
      <c r="F2018" s="18" t="s">
        <v>714</v>
      </c>
      <c r="G2018" s="18" t="s">
        <v>677</v>
      </c>
      <c r="H2018" s="18" t="s">
        <v>841</v>
      </c>
      <c r="I2018" s="315">
        <v>53.255698537488634</v>
      </c>
      <c r="J2018" s="315">
        <v>1.3279885842093443E-3</v>
      </c>
      <c r="K2018" s="316" t="str">
        <f t="shared" si="44"/>
        <v>Commercial Equipment</v>
      </c>
      <c r="L2018" s="316" t="str">
        <f t="shared" si="45"/>
        <v>Diesel</v>
      </c>
      <c r="M2018" s="194"/>
      <c r="N2018" s="317"/>
      <c r="O2018" s="317"/>
      <c r="P2018" s="317"/>
      <c r="Q2018" s="317"/>
      <c r="R2018" s="317"/>
      <c r="S2018" s="317"/>
      <c r="T2018" s="317"/>
      <c r="U2018" s="317"/>
      <c r="V2018" s="317"/>
      <c r="W2018" s="317"/>
      <c r="X2018" s="317"/>
      <c r="Y2018" s="317"/>
      <c r="Z2018" s="317"/>
    </row>
    <row r="2019" spans="1:26" x14ac:dyDescent="0.25">
      <c r="A2019" s="314"/>
      <c r="B2019" s="18">
        <v>2023</v>
      </c>
      <c r="C2019" s="18" t="s">
        <v>753</v>
      </c>
      <c r="D2019" s="18" t="s">
        <v>920</v>
      </c>
      <c r="E2019" s="18" t="s">
        <v>703</v>
      </c>
      <c r="F2019" s="18" t="s">
        <v>704</v>
      </c>
      <c r="G2019" s="18" t="s">
        <v>673</v>
      </c>
      <c r="H2019" s="18" t="s">
        <v>921</v>
      </c>
      <c r="I2019" s="315">
        <v>53.15627116386046</v>
      </c>
      <c r="J2019" s="315">
        <v>3.3647236605915877E-2</v>
      </c>
      <c r="K2019" s="316" t="str">
        <f t="shared" si="44"/>
        <v>Lawn and Garden Equipment</v>
      </c>
      <c r="L2019" s="316" t="str">
        <f t="shared" si="45"/>
        <v>Gasoline</v>
      </c>
      <c r="M2019" s="194"/>
      <c r="N2019" s="317"/>
      <c r="O2019" s="317"/>
      <c r="P2019" s="317"/>
      <c r="Q2019" s="317"/>
      <c r="R2019" s="317"/>
      <c r="S2019" s="317"/>
      <c r="T2019" s="317"/>
      <c r="U2019" s="317"/>
      <c r="V2019" s="317"/>
      <c r="W2019" s="317"/>
      <c r="X2019" s="317"/>
      <c r="Y2019" s="317"/>
      <c r="Z2019" s="317"/>
    </row>
    <row r="2020" spans="1:26" x14ac:dyDescent="0.25">
      <c r="A2020" s="314"/>
      <c r="B2020" s="18">
        <v>2023</v>
      </c>
      <c r="C2020" s="18" t="s">
        <v>750</v>
      </c>
      <c r="D2020" s="18" t="s">
        <v>984</v>
      </c>
      <c r="E2020" s="18" t="s">
        <v>703</v>
      </c>
      <c r="F2020" s="18" t="s">
        <v>704</v>
      </c>
      <c r="G2020" s="18" t="s">
        <v>673</v>
      </c>
      <c r="H2020" s="18" t="s">
        <v>985</v>
      </c>
      <c r="I2020" s="315">
        <v>53.150535452731361</v>
      </c>
      <c r="J2020" s="315">
        <v>3.6013637192375186E-2</v>
      </c>
      <c r="K2020" s="316" t="str">
        <f t="shared" si="44"/>
        <v>Lawn and Garden Equipment</v>
      </c>
      <c r="L2020" s="316" t="str">
        <f t="shared" si="45"/>
        <v>Gasoline</v>
      </c>
      <c r="M2020" s="194"/>
      <c r="N2020" s="317"/>
      <c r="O2020" s="317"/>
      <c r="P2020" s="317"/>
      <c r="Q2020" s="317"/>
      <c r="R2020" s="317"/>
      <c r="S2020" s="317"/>
      <c r="T2020" s="317"/>
      <c r="U2020" s="317"/>
      <c r="V2020" s="317"/>
      <c r="W2020" s="317"/>
      <c r="X2020" s="317"/>
      <c r="Y2020" s="317"/>
      <c r="Z2020" s="317"/>
    </row>
    <row r="2021" spans="1:26" x14ac:dyDescent="0.25">
      <c r="A2021" s="314"/>
      <c r="B2021" s="18">
        <v>2023</v>
      </c>
      <c r="C2021" s="18" t="s">
        <v>753</v>
      </c>
      <c r="D2021" s="18" t="s">
        <v>927</v>
      </c>
      <c r="E2021" s="18" t="s">
        <v>56</v>
      </c>
      <c r="F2021" s="18" t="s">
        <v>672</v>
      </c>
      <c r="G2021" s="18" t="s">
        <v>673</v>
      </c>
      <c r="H2021" s="18" t="s">
        <v>742</v>
      </c>
      <c r="I2021" s="315">
        <v>53.018224924892372</v>
      </c>
      <c r="J2021" s="315">
        <v>2.4086009396824259E-3</v>
      </c>
      <c r="K2021" s="316" t="str">
        <f t="shared" si="44"/>
        <v>Lawn and Garden Equipment</v>
      </c>
      <c r="L2021" s="316" t="str">
        <f t="shared" si="45"/>
        <v>LPG</v>
      </c>
      <c r="M2021" s="194"/>
      <c r="N2021" s="317"/>
      <c r="O2021" s="317"/>
      <c r="P2021" s="317"/>
      <c r="Q2021" s="317"/>
      <c r="R2021" s="317"/>
      <c r="S2021" s="317"/>
      <c r="T2021" s="317"/>
      <c r="U2021" s="317"/>
      <c r="V2021" s="317"/>
      <c r="W2021" s="317"/>
      <c r="X2021" s="317"/>
      <c r="Y2021" s="317"/>
      <c r="Z2021" s="317"/>
    </row>
    <row r="2022" spans="1:26" x14ac:dyDescent="0.25">
      <c r="A2022" s="314"/>
      <c r="B2022" s="18">
        <v>2023</v>
      </c>
      <c r="C2022" s="18" t="s">
        <v>773</v>
      </c>
      <c r="D2022" s="18" t="s">
        <v>984</v>
      </c>
      <c r="E2022" s="18" t="s">
        <v>703</v>
      </c>
      <c r="F2022" s="18" t="s">
        <v>704</v>
      </c>
      <c r="G2022" s="18" t="s">
        <v>673</v>
      </c>
      <c r="H2022" s="18" t="s">
        <v>985</v>
      </c>
      <c r="I2022" s="315">
        <v>52.812411288483119</v>
      </c>
      <c r="J2022" s="315">
        <v>3.5743398617776638E-2</v>
      </c>
      <c r="K2022" s="316" t="str">
        <f t="shared" si="44"/>
        <v>Lawn and Garden Equipment</v>
      </c>
      <c r="L2022" s="316" t="str">
        <f t="shared" si="45"/>
        <v>Gasoline</v>
      </c>
      <c r="M2022" s="194"/>
      <c r="N2022" s="317"/>
      <c r="O2022" s="317"/>
      <c r="P2022" s="317"/>
      <c r="Q2022" s="317"/>
      <c r="R2022" s="317"/>
      <c r="S2022" s="317"/>
      <c r="T2022" s="317"/>
      <c r="U2022" s="317"/>
      <c r="V2022" s="317"/>
      <c r="W2022" s="317"/>
      <c r="X2022" s="317"/>
      <c r="Y2022" s="317"/>
      <c r="Z2022" s="317"/>
    </row>
    <row r="2023" spans="1:26" x14ac:dyDescent="0.25">
      <c r="A2023" s="314"/>
      <c r="B2023" s="18">
        <v>2023</v>
      </c>
      <c r="C2023" s="18" t="s">
        <v>760</v>
      </c>
      <c r="D2023" s="18" t="s">
        <v>1022</v>
      </c>
      <c r="E2023" s="18" t="s">
        <v>703</v>
      </c>
      <c r="F2023" s="18" t="s">
        <v>704</v>
      </c>
      <c r="G2023" s="18" t="s">
        <v>675</v>
      </c>
      <c r="H2023" s="18" t="s">
        <v>772</v>
      </c>
      <c r="I2023" s="315">
        <v>52.593898797559142</v>
      </c>
      <c r="J2023" s="315">
        <v>3.7165821114050548E-3</v>
      </c>
      <c r="K2023" s="316" t="str">
        <f t="shared" si="44"/>
        <v>Industrial Equipment</v>
      </c>
      <c r="L2023" s="316" t="str">
        <f t="shared" si="45"/>
        <v>Gasoline</v>
      </c>
      <c r="M2023" s="194"/>
      <c r="N2023" s="317"/>
      <c r="O2023" s="317"/>
      <c r="P2023" s="317"/>
      <c r="Q2023" s="317"/>
      <c r="R2023" s="317"/>
      <c r="S2023" s="317"/>
      <c r="T2023" s="317"/>
      <c r="U2023" s="317"/>
      <c r="V2023" s="317"/>
      <c r="W2023" s="317"/>
      <c r="X2023" s="317"/>
      <c r="Y2023" s="317"/>
      <c r="Z2023" s="317"/>
    </row>
    <row r="2024" spans="1:26" x14ac:dyDescent="0.25">
      <c r="A2024" s="314"/>
      <c r="B2024" s="18">
        <v>2023</v>
      </c>
      <c r="C2024" s="18" t="s">
        <v>792</v>
      </c>
      <c r="D2024" s="18" t="s">
        <v>767</v>
      </c>
      <c r="E2024" s="18" t="s">
        <v>703</v>
      </c>
      <c r="F2024" s="18" t="s">
        <v>704</v>
      </c>
      <c r="G2024" s="18" t="s">
        <v>673</v>
      </c>
      <c r="H2024" s="18" t="s">
        <v>768</v>
      </c>
      <c r="I2024" s="315">
        <v>52.536330576428398</v>
      </c>
      <c r="J2024" s="315">
        <v>3.6717715934131971E-2</v>
      </c>
      <c r="K2024" s="316" t="str">
        <f t="shared" si="44"/>
        <v>Lawn and Garden Equipment</v>
      </c>
      <c r="L2024" s="316" t="str">
        <f t="shared" si="45"/>
        <v>Gasoline</v>
      </c>
      <c r="M2024" s="194"/>
      <c r="N2024" s="317"/>
      <c r="O2024" s="317"/>
      <c r="P2024" s="317"/>
      <c r="Q2024" s="317"/>
      <c r="R2024" s="317"/>
      <c r="S2024" s="317"/>
      <c r="T2024" s="317"/>
      <c r="U2024" s="317"/>
      <c r="V2024" s="317"/>
      <c r="W2024" s="317"/>
      <c r="X2024" s="317"/>
      <c r="Y2024" s="317"/>
      <c r="Z2024" s="317"/>
    </row>
    <row r="2025" spans="1:26" x14ac:dyDescent="0.25">
      <c r="A2025" s="314"/>
      <c r="B2025" s="18">
        <v>2023</v>
      </c>
      <c r="C2025" s="18" t="s">
        <v>706</v>
      </c>
      <c r="D2025" s="18" t="s">
        <v>1219</v>
      </c>
      <c r="E2025" s="18" t="s">
        <v>703</v>
      </c>
      <c r="F2025" s="18" t="s">
        <v>704</v>
      </c>
      <c r="G2025" s="18" t="s">
        <v>674</v>
      </c>
      <c r="H2025" s="18" t="s">
        <v>1220</v>
      </c>
      <c r="I2025" s="315">
        <v>52.503982437193557</v>
      </c>
      <c r="J2025" s="315">
        <v>3.5406592109249201E-2</v>
      </c>
      <c r="K2025" s="316" t="str">
        <f t="shared" si="44"/>
        <v>Construction and Mining Equipment</v>
      </c>
      <c r="L2025" s="316" t="str">
        <f t="shared" si="45"/>
        <v>Gasoline</v>
      </c>
      <c r="M2025" s="194"/>
      <c r="N2025" s="317"/>
      <c r="O2025" s="317"/>
      <c r="P2025" s="317"/>
      <c r="Q2025" s="317"/>
      <c r="R2025" s="317"/>
      <c r="S2025" s="317"/>
      <c r="T2025" s="317"/>
      <c r="U2025" s="317"/>
      <c r="V2025" s="317"/>
      <c r="W2025" s="317"/>
      <c r="X2025" s="317"/>
      <c r="Y2025" s="317"/>
      <c r="Z2025" s="317"/>
    </row>
    <row r="2026" spans="1:26" x14ac:dyDescent="0.25">
      <c r="A2026" s="314"/>
      <c r="B2026" s="18">
        <v>2023</v>
      </c>
      <c r="C2026" s="18" t="s">
        <v>722</v>
      </c>
      <c r="D2026" s="18" t="s">
        <v>1065</v>
      </c>
      <c r="E2026" s="18" t="s">
        <v>703</v>
      </c>
      <c r="F2026" s="18" t="s">
        <v>795</v>
      </c>
      <c r="G2026" s="18" t="s">
        <v>673</v>
      </c>
      <c r="H2026" s="18" t="s">
        <v>1066</v>
      </c>
      <c r="I2026" s="315">
        <v>52.436557740157753</v>
      </c>
      <c r="J2026" s="315">
        <v>0.35816567264699306</v>
      </c>
      <c r="K2026" s="316" t="str">
        <f t="shared" si="44"/>
        <v>Lawn and Garden Equipment</v>
      </c>
      <c r="L2026" s="316" t="str">
        <f t="shared" si="45"/>
        <v>Gasoline</v>
      </c>
      <c r="M2026" s="194"/>
      <c r="N2026" s="317"/>
      <c r="O2026" s="317"/>
      <c r="P2026" s="317"/>
      <c r="Q2026" s="317"/>
      <c r="R2026" s="317"/>
      <c r="S2026" s="317"/>
      <c r="T2026" s="317"/>
      <c r="U2026" s="317"/>
      <c r="V2026" s="317"/>
      <c r="W2026" s="317"/>
      <c r="X2026" s="317"/>
      <c r="Y2026" s="317"/>
      <c r="Z2026" s="317"/>
    </row>
    <row r="2027" spans="1:26" x14ac:dyDescent="0.25">
      <c r="A2027" s="314"/>
      <c r="B2027" s="18">
        <v>2023</v>
      </c>
      <c r="C2027" s="18" t="s">
        <v>760</v>
      </c>
      <c r="D2027" s="18" t="s">
        <v>1020</v>
      </c>
      <c r="E2027" s="18" t="s">
        <v>713</v>
      </c>
      <c r="F2027" s="18" t="s">
        <v>714</v>
      </c>
      <c r="G2027" s="18" t="s">
        <v>677</v>
      </c>
      <c r="H2027" s="18" t="s">
        <v>789</v>
      </c>
      <c r="I2027" s="315">
        <v>52.374106964558294</v>
      </c>
      <c r="J2027" s="315">
        <v>1.2053069246995235E-3</v>
      </c>
      <c r="K2027" s="316" t="str">
        <f t="shared" si="44"/>
        <v>Commercial Equipment</v>
      </c>
      <c r="L2027" s="316" t="str">
        <f t="shared" si="45"/>
        <v>Diesel</v>
      </c>
      <c r="M2027" s="194"/>
      <c r="N2027" s="317"/>
      <c r="O2027" s="317"/>
      <c r="P2027" s="317"/>
      <c r="Q2027" s="317"/>
      <c r="R2027" s="317"/>
      <c r="S2027" s="317"/>
      <c r="T2027" s="317"/>
      <c r="U2027" s="317"/>
      <c r="V2027" s="317"/>
      <c r="W2027" s="317"/>
      <c r="X2027" s="317"/>
      <c r="Y2027" s="317"/>
      <c r="Z2027" s="317"/>
    </row>
    <row r="2028" spans="1:26" x14ac:dyDescent="0.25">
      <c r="A2028" s="314"/>
      <c r="B2028" s="18">
        <v>2023</v>
      </c>
      <c r="C2028" s="18" t="s">
        <v>787</v>
      </c>
      <c r="D2028" s="18" t="s">
        <v>1079</v>
      </c>
      <c r="E2028" s="18" t="s">
        <v>713</v>
      </c>
      <c r="F2028" s="18" t="s">
        <v>714</v>
      </c>
      <c r="G2028" s="18" t="s">
        <v>678</v>
      </c>
      <c r="H2028" s="18" t="s">
        <v>1080</v>
      </c>
      <c r="I2028" s="315">
        <v>52.270813158653745</v>
      </c>
      <c r="J2028" s="315">
        <v>3.7935066319244712E-4</v>
      </c>
      <c r="K2028" s="316" t="str">
        <f t="shared" si="44"/>
        <v>Agricultural Equipment</v>
      </c>
      <c r="L2028" s="316" t="str">
        <f t="shared" si="45"/>
        <v>Diesel</v>
      </c>
      <c r="M2028" s="194"/>
      <c r="N2028" s="317"/>
      <c r="O2028" s="317"/>
      <c r="P2028" s="317"/>
      <c r="Q2028" s="317"/>
      <c r="R2028" s="317"/>
      <c r="S2028" s="317"/>
      <c r="T2028" s="317"/>
      <c r="U2028" s="317"/>
      <c r="V2028" s="317"/>
      <c r="W2028" s="317"/>
      <c r="X2028" s="317"/>
      <c r="Y2028" s="317"/>
      <c r="Z2028" s="317"/>
    </row>
    <row r="2029" spans="1:26" x14ac:dyDescent="0.25">
      <c r="A2029" s="314"/>
      <c r="B2029" s="18">
        <v>2023</v>
      </c>
      <c r="C2029" s="18" t="s">
        <v>792</v>
      </c>
      <c r="D2029" s="18" t="s">
        <v>858</v>
      </c>
      <c r="E2029" s="18" t="s">
        <v>713</v>
      </c>
      <c r="F2029" s="18" t="s">
        <v>714</v>
      </c>
      <c r="G2029" s="18" t="s">
        <v>674</v>
      </c>
      <c r="H2029" s="18" t="s">
        <v>859</v>
      </c>
      <c r="I2029" s="315">
        <v>52.254282245890735</v>
      </c>
      <c r="J2029" s="315">
        <v>4.6383011428691872E-4</v>
      </c>
      <c r="K2029" s="316" t="str">
        <f t="shared" si="44"/>
        <v>Construction and Mining Equipment</v>
      </c>
      <c r="L2029" s="316" t="str">
        <f t="shared" si="45"/>
        <v>Diesel</v>
      </c>
      <c r="M2029" s="194"/>
      <c r="N2029" s="317"/>
      <c r="O2029" s="317"/>
      <c r="P2029" s="317"/>
      <c r="Q2029" s="317"/>
      <c r="R2029" s="317"/>
      <c r="S2029" s="317"/>
      <c r="T2029" s="317"/>
      <c r="U2029" s="317"/>
      <c r="V2029" s="317"/>
      <c r="W2029" s="317"/>
      <c r="X2029" s="317"/>
      <c r="Y2029" s="317"/>
      <c r="Z2029" s="317"/>
    </row>
    <row r="2030" spans="1:26" x14ac:dyDescent="0.25">
      <c r="A2030" s="314"/>
      <c r="B2030" s="18">
        <v>2023</v>
      </c>
      <c r="C2030" s="18" t="s">
        <v>727</v>
      </c>
      <c r="D2030" s="18" t="s">
        <v>995</v>
      </c>
      <c r="E2030" s="18" t="s">
        <v>703</v>
      </c>
      <c r="F2030" s="18" t="s">
        <v>805</v>
      </c>
      <c r="G2030" s="18" t="s">
        <v>673</v>
      </c>
      <c r="H2030" s="18" t="s">
        <v>996</v>
      </c>
      <c r="I2030" s="315">
        <v>52.193437983532306</v>
      </c>
      <c r="J2030" s="315">
        <v>9.7331076114901952E-2</v>
      </c>
      <c r="K2030" s="316" t="str">
        <f t="shared" si="44"/>
        <v>Lawn and Garden Equipment</v>
      </c>
      <c r="L2030" s="316" t="str">
        <f t="shared" si="45"/>
        <v>Gasoline</v>
      </c>
      <c r="M2030" s="194"/>
      <c r="N2030" s="317"/>
      <c r="O2030" s="317"/>
      <c r="P2030" s="317"/>
      <c r="Q2030" s="317"/>
      <c r="R2030" s="317"/>
      <c r="S2030" s="317"/>
      <c r="T2030" s="317"/>
      <c r="U2030" s="317"/>
      <c r="V2030" s="317"/>
      <c r="W2030" s="317"/>
      <c r="X2030" s="317"/>
      <c r="Y2030" s="317"/>
      <c r="Z2030" s="317"/>
    </row>
    <row r="2031" spans="1:26" x14ac:dyDescent="0.25">
      <c r="A2031" s="314"/>
      <c r="B2031" s="18">
        <v>2023</v>
      </c>
      <c r="C2031" s="18" t="s">
        <v>759</v>
      </c>
      <c r="D2031" s="18" t="s">
        <v>790</v>
      </c>
      <c r="E2031" s="18" t="s">
        <v>713</v>
      </c>
      <c r="F2031" s="18" t="s">
        <v>714</v>
      </c>
      <c r="G2031" s="18" t="s">
        <v>674</v>
      </c>
      <c r="H2031" s="18" t="s">
        <v>791</v>
      </c>
      <c r="I2031" s="315">
        <v>52.145729508640379</v>
      </c>
      <c r="J2031" s="315">
        <v>2.9976653535156568E-4</v>
      </c>
      <c r="K2031" s="316" t="str">
        <f t="shared" si="44"/>
        <v>Construction and Mining Equipment</v>
      </c>
      <c r="L2031" s="316" t="str">
        <f t="shared" si="45"/>
        <v>Diesel</v>
      </c>
      <c r="M2031" s="194"/>
      <c r="N2031" s="317"/>
      <c r="O2031" s="317"/>
      <c r="P2031" s="317"/>
      <c r="Q2031" s="317"/>
      <c r="R2031" s="317"/>
      <c r="S2031" s="317"/>
      <c r="T2031" s="317"/>
      <c r="U2031" s="317"/>
      <c r="V2031" s="317"/>
      <c r="W2031" s="317"/>
      <c r="X2031" s="317"/>
      <c r="Y2031" s="317"/>
      <c r="Z2031" s="317"/>
    </row>
    <row r="2032" spans="1:26" x14ac:dyDescent="0.25">
      <c r="A2032" s="314"/>
      <c r="B2032" s="18">
        <v>2023</v>
      </c>
      <c r="C2032" s="18" t="s">
        <v>762</v>
      </c>
      <c r="D2032" s="18" t="s">
        <v>1221</v>
      </c>
      <c r="E2032" s="18" t="s">
        <v>713</v>
      </c>
      <c r="F2032" s="18" t="s">
        <v>714</v>
      </c>
      <c r="G2032" s="18" t="s">
        <v>678</v>
      </c>
      <c r="H2032" s="18" t="s">
        <v>1222</v>
      </c>
      <c r="I2032" s="315">
        <v>52.141266336260514</v>
      </c>
      <c r="J2032" s="315">
        <v>3.4736572393155184E-4</v>
      </c>
      <c r="K2032" s="316" t="str">
        <f t="shared" si="44"/>
        <v>Agricultural Equipment</v>
      </c>
      <c r="L2032" s="316" t="str">
        <f t="shared" si="45"/>
        <v>Diesel</v>
      </c>
      <c r="M2032" s="194"/>
      <c r="N2032" s="317"/>
      <c r="O2032" s="317"/>
      <c r="P2032" s="317"/>
      <c r="Q2032" s="317"/>
      <c r="R2032" s="317"/>
      <c r="S2032" s="317"/>
      <c r="T2032" s="317"/>
      <c r="U2032" s="317"/>
      <c r="V2032" s="317"/>
      <c r="W2032" s="317"/>
      <c r="X2032" s="317"/>
      <c r="Y2032" s="317"/>
      <c r="Z2032" s="317"/>
    </row>
    <row r="2033" spans="1:26" x14ac:dyDescent="0.25">
      <c r="A2033" s="314"/>
      <c r="B2033" s="18">
        <v>2023</v>
      </c>
      <c r="C2033" s="18" t="s">
        <v>793</v>
      </c>
      <c r="D2033" s="18" t="s">
        <v>864</v>
      </c>
      <c r="E2033" s="18" t="s">
        <v>703</v>
      </c>
      <c r="F2033" s="18" t="s">
        <v>704</v>
      </c>
      <c r="G2033" s="18" t="s">
        <v>673</v>
      </c>
      <c r="H2033" s="18" t="s">
        <v>865</v>
      </c>
      <c r="I2033" s="315">
        <v>52.054469465234</v>
      </c>
      <c r="J2033" s="315">
        <v>3.5320050830627947E-2</v>
      </c>
      <c r="K2033" s="316" t="str">
        <f t="shared" si="44"/>
        <v>Lawn and Garden Equipment</v>
      </c>
      <c r="L2033" s="316" t="str">
        <f t="shared" si="45"/>
        <v>Gasoline</v>
      </c>
      <c r="M2033" s="194"/>
      <c r="N2033" s="317"/>
      <c r="O2033" s="317"/>
      <c r="P2033" s="317"/>
      <c r="Q2033" s="317"/>
      <c r="R2033" s="317"/>
      <c r="S2033" s="317"/>
      <c r="T2033" s="317"/>
      <c r="U2033" s="317"/>
      <c r="V2033" s="317"/>
      <c r="W2033" s="317"/>
      <c r="X2033" s="317"/>
      <c r="Y2033" s="317"/>
      <c r="Z2033" s="317"/>
    </row>
    <row r="2034" spans="1:26" x14ac:dyDescent="0.25">
      <c r="A2034" s="314"/>
      <c r="B2034" s="18">
        <v>2023</v>
      </c>
      <c r="C2034" s="18" t="s">
        <v>706</v>
      </c>
      <c r="D2034" s="18" t="s">
        <v>1218</v>
      </c>
      <c r="E2034" s="18" t="s">
        <v>703</v>
      </c>
      <c r="F2034" s="18" t="s">
        <v>704</v>
      </c>
      <c r="G2034" s="18" t="s">
        <v>673</v>
      </c>
      <c r="H2034" s="18" t="s">
        <v>996</v>
      </c>
      <c r="I2034" s="315">
        <v>51.923061736817516</v>
      </c>
      <c r="J2034" s="315">
        <v>3.6179635632090222E-2</v>
      </c>
      <c r="K2034" s="316" t="str">
        <f t="shared" si="44"/>
        <v>Lawn and Garden Equipment</v>
      </c>
      <c r="L2034" s="316" t="str">
        <f t="shared" si="45"/>
        <v>Gasoline</v>
      </c>
      <c r="M2034" s="194"/>
      <c r="N2034" s="317"/>
      <c r="O2034" s="317"/>
      <c r="P2034" s="317"/>
      <c r="Q2034" s="317"/>
      <c r="R2034" s="317"/>
      <c r="S2034" s="317"/>
      <c r="T2034" s="317"/>
      <c r="U2034" s="317"/>
      <c r="V2034" s="317"/>
      <c r="W2034" s="317"/>
      <c r="X2034" s="317"/>
      <c r="Y2034" s="317"/>
      <c r="Z2034" s="317"/>
    </row>
    <row r="2035" spans="1:26" x14ac:dyDescent="0.25">
      <c r="A2035" s="314"/>
      <c r="B2035" s="18">
        <v>2023</v>
      </c>
      <c r="C2035" s="18" t="s">
        <v>760</v>
      </c>
      <c r="D2035" s="18" t="s">
        <v>1051</v>
      </c>
      <c r="E2035" s="18" t="s">
        <v>703</v>
      </c>
      <c r="F2035" s="18" t="s">
        <v>704</v>
      </c>
      <c r="G2035" s="18" t="s">
        <v>674</v>
      </c>
      <c r="H2035" s="18" t="s">
        <v>783</v>
      </c>
      <c r="I2035" s="315">
        <v>51.87236940208976</v>
      </c>
      <c r="J2035" s="315">
        <v>3.1669477726686004E-2</v>
      </c>
      <c r="K2035" s="316" t="str">
        <f t="shared" si="44"/>
        <v>Construction and Mining Equipment</v>
      </c>
      <c r="L2035" s="316" t="str">
        <f t="shared" si="45"/>
        <v>Gasoline</v>
      </c>
      <c r="M2035" s="194"/>
      <c r="N2035" s="317"/>
      <c r="O2035" s="317"/>
      <c r="P2035" s="317"/>
      <c r="Q2035" s="317"/>
      <c r="R2035" s="317"/>
      <c r="S2035" s="317"/>
      <c r="T2035" s="317"/>
      <c r="U2035" s="317"/>
      <c r="V2035" s="317"/>
      <c r="W2035" s="317"/>
      <c r="X2035" s="317"/>
      <c r="Y2035" s="317"/>
      <c r="Z2035" s="317"/>
    </row>
    <row r="2036" spans="1:26" x14ac:dyDescent="0.25">
      <c r="A2036" s="314"/>
      <c r="B2036" s="18">
        <v>2023</v>
      </c>
      <c r="C2036" s="18" t="s">
        <v>732</v>
      </c>
      <c r="D2036" s="18" t="s">
        <v>1023</v>
      </c>
      <c r="E2036" s="18" t="s">
        <v>703</v>
      </c>
      <c r="F2036" s="18" t="s">
        <v>704</v>
      </c>
      <c r="G2036" s="18" t="s">
        <v>674</v>
      </c>
      <c r="H2036" s="18" t="s">
        <v>736</v>
      </c>
      <c r="I2036" s="315">
        <v>51.823505155941291</v>
      </c>
      <c r="J2036" s="315">
        <v>3.464009862892492E-2</v>
      </c>
      <c r="K2036" s="316" t="str">
        <f t="shared" si="44"/>
        <v>Construction and Mining Equipment</v>
      </c>
      <c r="L2036" s="316" t="str">
        <f t="shared" si="45"/>
        <v>Gasoline</v>
      </c>
      <c r="M2036" s="194"/>
      <c r="N2036" s="317"/>
      <c r="O2036" s="317"/>
      <c r="P2036" s="317"/>
      <c r="Q2036" s="317"/>
      <c r="R2036" s="317"/>
      <c r="S2036" s="317"/>
      <c r="T2036" s="317"/>
      <c r="U2036" s="317"/>
      <c r="V2036" s="317"/>
      <c r="W2036" s="317"/>
      <c r="X2036" s="317"/>
      <c r="Y2036" s="317"/>
      <c r="Z2036" s="317"/>
    </row>
    <row r="2037" spans="1:26" x14ac:dyDescent="0.25">
      <c r="A2037" s="314"/>
      <c r="B2037" s="18">
        <v>2023</v>
      </c>
      <c r="C2037" s="18" t="s">
        <v>732</v>
      </c>
      <c r="D2037" s="18" t="s">
        <v>1077</v>
      </c>
      <c r="E2037" s="18" t="s">
        <v>713</v>
      </c>
      <c r="F2037" s="18" t="s">
        <v>714</v>
      </c>
      <c r="G2037" s="18" t="s">
        <v>675</v>
      </c>
      <c r="H2037" s="18" t="s">
        <v>1078</v>
      </c>
      <c r="I2037" s="315">
        <v>51.819387519404273</v>
      </c>
      <c r="J2037" s="315">
        <v>1.3141031833390176E-3</v>
      </c>
      <c r="K2037" s="316" t="str">
        <f t="shared" si="44"/>
        <v>Industrial Equipment</v>
      </c>
      <c r="L2037" s="316" t="str">
        <f t="shared" si="45"/>
        <v>Diesel</v>
      </c>
      <c r="M2037" s="194"/>
      <c r="N2037" s="317"/>
      <c r="O2037" s="317"/>
      <c r="P2037" s="317"/>
      <c r="Q2037" s="317"/>
      <c r="R2037" s="317"/>
      <c r="S2037" s="317"/>
      <c r="T2037" s="317"/>
      <c r="U2037" s="317"/>
      <c r="V2037" s="317"/>
      <c r="W2037" s="317"/>
      <c r="X2037" s="317"/>
      <c r="Y2037" s="317"/>
      <c r="Z2037" s="317"/>
    </row>
    <row r="2038" spans="1:26" x14ac:dyDescent="0.25">
      <c r="A2038" s="314"/>
      <c r="B2038" s="18">
        <v>2023</v>
      </c>
      <c r="C2038" s="18" t="s">
        <v>773</v>
      </c>
      <c r="D2038" s="18" t="s">
        <v>868</v>
      </c>
      <c r="E2038" s="18" t="s">
        <v>703</v>
      </c>
      <c r="F2038" s="18" t="s">
        <v>704</v>
      </c>
      <c r="G2038" s="18" t="s">
        <v>673</v>
      </c>
      <c r="H2038" s="18" t="s">
        <v>758</v>
      </c>
      <c r="I2038" s="315">
        <v>51.686513994675039</v>
      </c>
      <c r="J2038" s="315">
        <v>3.3736000918681168E-2</v>
      </c>
      <c r="K2038" s="316" t="str">
        <f t="shared" si="44"/>
        <v>Lawn and Garden Equipment</v>
      </c>
      <c r="L2038" s="316" t="str">
        <f t="shared" si="45"/>
        <v>Gasoline</v>
      </c>
      <c r="M2038" s="194"/>
      <c r="N2038" s="317"/>
      <c r="O2038" s="317"/>
      <c r="P2038" s="317"/>
      <c r="Q2038" s="317"/>
      <c r="R2038" s="317"/>
      <c r="S2038" s="317"/>
      <c r="T2038" s="317"/>
      <c r="U2038" s="317"/>
      <c r="V2038" s="317"/>
      <c r="W2038" s="317"/>
      <c r="X2038" s="317"/>
      <c r="Y2038" s="317"/>
      <c r="Z2038" s="317"/>
    </row>
    <row r="2039" spans="1:26" x14ac:dyDescent="0.25">
      <c r="A2039" s="314"/>
      <c r="B2039" s="18">
        <v>2023</v>
      </c>
      <c r="C2039" s="18" t="s">
        <v>706</v>
      </c>
      <c r="D2039" s="18" t="s">
        <v>1223</v>
      </c>
      <c r="E2039" s="18" t="s">
        <v>713</v>
      </c>
      <c r="F2039" s="18" t="s">
        <v>714</v>
      </c>
      <c r="G2039" s="18" t="s">
        <v>674</v>
      </c>
      <c r="H2039" s="18" t="s">
        <v>1036</v>
      </c>
      <c r="I2039" s="315">
        <v>51.660184283585117</v>
      </c>
      <c r="J2039" s="315">
        <v>5.0523258450051907E-3</v>
      </c>
      <c r="K2039" s="316" t="str">
        <f t="shared" si="44"/>
        <v>Construction and Mining Equipment</v>
      </c>
      <c r="L2039" s="316" t="str">
        <f t="shared" si="45"/>
        <v>Diesel</v>
      </c>
      <c r="M2039" s="194"/>
      <c r="N2039" s="317"/>
      <c r="O2039" s="317"/>
      <c r="P2039" s="317"/>
      <c r="Q2039" s="317"/>
      <c r="R2039" s="317"/>
      <c r="S2039" s="317"/>
      <c r="T2039" s="317"/>
      <c r="U2039" s="317"/>
      <c r="V2039" s="317"/>
      <c r="W2039" s="317"/>
      <c r="X2039" s="317"/>
      <c r="Y2039" s="317"/>
      <c r="Z2039" s="317"/>
    </row>
    <row r="2040" spans="1:26" x14ac:dyDescent="0.25">
      <c r="A2040" s="314"/>
      <c r="B2040" s="18">
        <v>2023</v>
      </c>
      <c r="C2040" s="18" t="s">
        <v>793</v>
      </c>
      <c r="D2040" s="18" t="s">
        <v>973</v>
      </c>
      <c r="E2040" s="18" t="s">
        <v>703</v>
      </c>
      <c r="F2040" s="18" t="s">
        <v>795</v>
      </c>
      <c r="G2040" s="18" t="s">
        <v>673</v>
      </c>
      <c r="H2040" s="18" t="s">
        <v>974</v>
      </c>
      <c r="I2040" s="315">
        <v>51.627366439166515</v>
      </c>
      <c r="J2040" s="315">
        <v>9.6595892183920007E-2</v>
      </c>
      <c r="K2040" s="316" t="str">
        <f t="shared" si="44"/>
        <v>Lawn and Garden Equipment</v>
      </c>
      <c r="L2040" s="316" t="str">
        <f t="shared" si="45"/>
        <v>Gasoline</v>
      </c>
      <c r="M2040" s="194"/>
      <c r="N2040" s="317"/>
      <c r="O2040" s="317"/>
      <c r="P2040" s="317"/>
      <c r="Q2040" s="317"/>
      <c r="R2040" s="317"/>
      <c r="S2040" s="317"/>
      <c r="T2040" s="317"/>
      <c r="U2040" s="317"/>
      <c r="V2040" s="317"/>
      <c r="W2040" s="317"/>
      <c r="X2040" s="317"/>
      <c r="Y2040" s="317"/>
      <c r="Z2040" s="317"/>
    </row>
    <row r="2041" spans="1:26" x14ac:dyDescent="0.25">
      <c r="A2041" s="314"/>
      <c r="B2041" s="18">
        <v>2023</v>
      </c>
      <c r="C2041" s="18" t="s">
        <v>731</v>
      </c>
      <c r="D2041" s="18" t="s">
        <v>979</v>
      </c>
      <c r="E2041" s="18" t="s">
        <v>703</v>
      </c>
      <c r="F2041" s="18" t="s">
        <v>704</v>
      </c>
      <c r="G2041" s="18" t="s">
        <v>675</v>
      </c>
      <c r="H2041" s="18" t="s">
        <v>802</v>
      </c>
      <c r="I2041" s="315">
        <v>51.480254296798485</v>
      </c>
      <c r="J2041" s="315">
        <v>1.8475791167664679E-2</v>
      </c>
      <c r="K2041" s="316" t="str">
        <f t="shared" si="44"/>
        <v>Industrial Equipment</v>
      </c>
      <c r="L2041" s="316" t="str">
        <f t="shared" si="45"/>
        <v>Gasoline</v>
      </c>
      <c r="M2041" s="194"/>
      <c r="N2041" s="317"/>
      <c r="O2041" s="317"/>
      <c r="P2041" s="317"/>
      <c r="Q2041" s="317"/>
      <c r="R2041" s="317"/>
      <c r="S2041" s="317"/>
      <c r="T2041" s="317"/>
      <c r="U2041" s="317"/>
      <c r="V2041" s="317"/>
      <c r="W2041" s="317"/>
      <c r="X2041" s="317"/>
      <c r="Y2041" s="317"/>
      <c r="Z2041" s="317"/>
    </row>
    <row r="2042" spans="1:26" x14ac:dyDescent="0.25">
      <c r="A2042" s="314"/>
      <c r="B2042" s="18">
        <v>2023</v>
      </c>
      <c r="C2042" s="18" t="s">
        <v>792</v>
      </c>
      <c r="D2042" s="18" t="s">
        <v>860</v>
      </c>
      <c r="E2042" s="18" t="s">
        <v>713</v>
      </c>
      <c r="F2042" s="18" t="s">
        <v>714</v>
      </c>
      <c r="G2042" s="18" t="s">
        <v>674</v>
      </c>
      <c r="H2042" s="18" t="s">
        <v>861</v>
      </c>
      <c r="I2042" s="315">
        <v>51.118753610345124</v>
      </c>
      <c r="J2042" s="315">
        <v>8.4720018498554944E-4</v>
      </c>
      <c r="K2042" s="316" t="str">
        <f t="shared" si="44"/>
        <v>Construction and Mining Equipment</v>
      </c>
      <c r="L2042" s="316" t="str">
        <f t="shared" si="45"/>
        <v>Diesel</v>
      </c>
      <c r="M2042" s="194"/>
      <c r="N2042" s="317"/>
      <c r="O2042" s="317"/>
      <c r="P2042" s="317"/>
      <c r="Q2042" s="317"/>
      <c r="R2042" s="317"/>
      <c r="S2042" s="317"/>
      <c r="T2042" s="317"/>
      <c r="U2042" s="317"/>
      <c r="V2042" s="317"/>
      <c r="W2042" s="317"/>
      <c r="X2042" s="317"/>
      <c r="Y2042" s="317"/>
      <c r="Z2042" s="317"/>
    </row>
    <row r="2043" spans="1:26" x14ac:dyDescent="0.25">
      <c r="A2043" s="314"/>
      <c r="B2043" s="18">
        <v>2023</v>
      </c>
      <c r="C2043" s="18" t="s">
        <v>711</v>
      </c>
      <c r="D2043" s="18" t="s">
        <v>1083</v>
      </c>
      <c r="E2043" s="18" t="s">
        <v>703</v>
      </c>
      <c r="F2043" s="18" t="s">
        <v>704</v>
      </c>
      <c r="G2043" s="18" t="s">
        <v>674</v>
      </c>
      <c r="H2043" s="18" t="s">
        <v>861</v>
      </c>
      <c r="I2043" s="315">
        <v>51.011995655510034</v>
      </c>
      <c r="J2043" s="315">
        <v>3.8315824829343301E-2</v>
      </c>
      <c r="K2043" s="316" t="str">
        <f t="shared" si="44"/>
        <v>Construction and Mining Equipment</v>
      </c>
      <c r="L2043" s="316" t="str">
        <f t="shared" si="45"/>
        <v>Gasoline</v>
      </c>
      <c r="M2043" s="194"/>
      <c r="N2043" s="317"/>
      <c r="O2043" s="317"/>
      <c r="P2043" s="317"/>
      <c r="Q2043" s="317"/>
      <c r="R2043" s="317"/>
      <c r="S2043" s="317"/>
      <c r="T2043" s="317"/>
      <c r="U2043" s="317"/>
      <c r="V2043" s="317"/>
      <c r="W2043" s="317"/>
      <c r="X2043" s="317"/>
      <c r="Y2043" s="317"/>
      <c r="Z2043" s="317"/>
    </row>
    <row r="2044" spans="1:26" x14ac:dyDescent="0.25">
      <c r="A2044" s="314"/>
      <c r="B2044" s="18">
        <v>2023</v>
      </c>
      <c r="C2044" s="18" t="s">
        <v>732</v>
      </c>
      <c r="D2044" s="18" t="s">
        <v>1221</v>
      </c>
      <c r="E2044" s="18" t="s">
        <v>713</v>
      </c>
      <c r="F2044" s="18" t="s">
        <v>714</v>
      </c>
      <c r="G2044" s="18" t="s">
        <v>678</v>
      </c>
      <c r="H2044" s="18" t="s">
        <v>1222</v>
      </c>
      <c r="I2044" s="315">
        <v>50.861821735828315</v>
      </c>
      <c r="J2044" s="315">
        <v>3.3884271290241869E-4</v>
      </c>
      <c r="K2044" s="316" t="str">
        <f t="shared" si="44"/>
        <v>Agricultural Equipment</v>
      </c>
      <c r="L2044" s="316" t="str">
        <f t="shared" si="45"/>
        <v>Diesel</v>
      </c>
      <c r="M2044" s="194"/>
      <c r="N2044" s="317"/>
      <c r="O2044" s="317"/>
      <c r="P2044" s="317"/>
      <c r="Q2044" s="317"/>
      <c r="R2044" s="317"/>
      <c r="S2044" s="317"/>
      <c r="T2044" s="317"/>
      <c r="U2044" s="317"/>
      <c r="V2044" s="317"/>
      <c r="W2044" s="317"/>
      <c r="X2044" s="317"/>
      <c r="Y2044" s="317"/>
      <c r="Z2044" s="317"/>
    </row>
    <row r="2045" spans="1:26" ht="12.75" x14ac:dyDescent="0.2">
      <c r="A2045" s="230"/>
      <c r="B2045" s="18">
        <v>2023</v>
      </c>
      <c r="C2045" s="18" t="s">
        <v>754</v>
      </c>
      <c r="D2045" s="18" t="s">
        <v>997</v>
      </c>
      <c r="E2045" s="18" t="s">
        <v>56</v>
      </c>
      <c r="F2045" s="18" t="s">
        <v>672</v>
      </c>
      <c r="G2045" s="18" t="s">
        <v>675</v>
      </c>
      <c r="H2045" s="18" t="s">
        <v>969</v>
      </c>
      <c r="I2045" s="315">
        <v>50.74685874827987</v>
      </c>
      <c r="J2045" s="315">
        <v>6.313934858067023E-3</v>
      </c>
      <c r="K2045" s="316" t="str">
        <f t="shared" si="44"/>
        <v>Industrial Equipment</v>
      </c>
      <c r="L2045" s="316" t="str">
        <f t="shared" si="45"/>
        <v>LPG</v>
      </c>
      <c r="M2045" s="8"/>
      <c r="N2045" s="2"/>
      <c r="O2045" s="2"/>
      <c r="P2045" s="2"/>
      <c r="Q2045" s="2"/>
      <c r="R2045" s="2"/>
      <c r="S2045" s="2"/>
      <c r="T2045" s="2"/>
      <c r="U2045" s="2"/>
      <c r="V2045" s="2"/>
      <c r="W2045" s="2"/>
      <c r="X2045" s="2"/>
      <c r="Y2045" s="2"/>
      <c r="Z2045" s="2"/>
    </row>
    <row r="2046" spans="1:26" ht="12.75" x14ac:dyDescent="0.2">
      <c r="A2046" s="230"/>
      <c r="B2046" s="18">
        <v>2023</v>
      </c>
      <c r="C2046" s="18" t="s">
        <v>778</v>
      </c>
      <c r="D2046" s="18" t="s">
        <v>898</v>
      </c>
      <c r="E2046" s="18" t="s">
        <v>703</v>
      </c>
      <c r="F2046" s="18" t="s">
        <v>795</v>
      </c>
      <c r="G2046" s="18" t="s">
        <v>673</v>
      </c>
      <c r="H2046" s="18" t="s">
        <v>899</v>
      </c>
      <c r="I2046" s="315">
        <v>50.639018685433363</v>
      </c>
      <c r="J2046" s="315">
        <v>0.34621614008127771</v>
      </c>
      <c r="K2046" s="316" t="str">
        <f t="shared" si="44"/>
        <v>Lawn and Garden Equipment</v>
      </c>
      <c r="L2046" s="316" t="str">
        <f t="shared" si="45"/>
        <v>Gasoline</v>
      </c>
      <c r="M2046" s="8"/>
      <c r="N2046" s="2"/>
      <c r="O2046" s="2"/>
      <c r="P2046" s="2"/>
      <c r="Q2046" s="2"/>
      <c r="R2046" s="2"/>
      <c r="S2046" s="2"/>
      <c r="T2046" s="2"/>
      <c r="U2046" s="2"/>
      <c r="V2046" s="2"/>
      <c r="W2046" s="2"/>
      <c r="X2046" s="2"/>
      <c r="Y2046" s="2"/>
      <c r="Z2046" s="2"/>
    </row>
    <row r="2047" spans="1:26" ht="12.75" x14ac:dyDescent="0.2">
      <c r="A2047" s="230"/>
      <c r="B2047" s="18">
        <v>2023</v>
      </c>
      <c r="C2047" s="18" t="s">
        <v>778</v>
      </c>
      <c r="D2047" s="18" t="s">
        <v>995</v>
      </c>
      <c r="E2047" s="18" t="s">
        <v>703</v>
      </c>
      <c r="F2047" s="18" t="s">
        <v>805</v>
      </c>
      <c r="G2047" s="18" t="s">
        <v>673</v>
      </c>
      <c r="H2047" s="18" t="s">
        <v>996</v>
      </c>
      <c r="I2047" s="315">
        <v>50.529456321446169</v>
      </c>
      <c r="J2047" s="315">
        <v>9.4228015896190523E-2</v>
      </c>
      <c r="K2047" s="316" t="str">
        <f t="shared" si="44"/>
        <v>Lawn and Garden Equipment</v>
      </c>
      <c r="L2047" s="316" t="str">
        <f t="shared" si="45"/>
        <v>Gasoline</v>
      </c>
      <c r="M2047" s="8"/>
      <c r="N2047" s="2"/>
      <c r="O2047" s="2"/>
      <c r="P2047" s="2"/>
      <c r="Q2047" s="2"/>
      <c r="R2047" s="2"/>
      <c r="S2047" s="2"/>
      <c r="T2047" s="2"/>
      <c r="U2047" s="2"/>
      <c r="V2047" s="2"/>
      <c r="W2047" s="2"/>
      <c r="X2047" s="2"/>
      <c r="Y2047" s="2"/>
      <c r="Z2047" s="2"/>
    </row>
    <row r="2048" spans="1:26" ht="12.75" x14ac:dyDescent="0.2">
      <c r="A2048" s="230"/>
      <c r="B2048" s="18">
        <v>2023</v>
      </c>
      <c r="C2048" s="18" t="s">
        <v>731</v>
      </c>
      <c r="D2048" s="18" t="s">
        <v>855</v>
      </c>
      <c r="E2048" s="18" t="s">
        <v>713</v>
      </c>
      <c r="F2048" s="18" t="s">
        <v>714</v>
      </c>
      <c r="G2048" s="18" t="s">
        <v>674</v>
      </c>
      <c r="H2048" s="18" t="s">
        <v>856</v>
      </c>
      <c r="I2048" s="315">
        <v>50.409393120310028</v>
      </c>
      <c r="J2048" s="315">
        <v>3.1853129374277461E-4</v>
      </c>
      <c r="K2048" s="316" t="str">
        <f t="shared" si="44"/>
        <v>Construction and Mining Equipment</v>
      </c>
      <c r="L2048" s="316" t="str">
        <f t="shared" si="45"/>
        <v>Diesel</v>
      </c>
      <c r="M2048" s="8"/>
      <c r="N2048" s="2"/>
      <c r="O2048" s="2"/>
      <c r="P2048" s="2"/>
      <c r="Q2048" s="2"/>
      <c r="R2048" s="2"/>
      <c r="S2048" s="2"/>
      <c r="T2048" s="2"/>
      <c r="U2048" s="2"/>
      <c r="V2048" s="2"/>
      <c r="W2048" s="2"/>
      <c r="X2048" s="2"/>
      <c r="Y2048" s="2"/>
      <c r="Z2048" s="2"/>
    </row>
    <row r="2049" spans="1:26" ht="12.75" x14ac:dyDescent="0.2">
      <c r="A2049" s="230"/>
      <c r="B2049" s="18">
        <v>2023</v>
      </c>
      <c r="C2049" s="18" t="s">
        <v>709</v>
      </c>
      <c r="D2049" s="18" t="s">
        <v>1218</v>
      </c>
      <c r="E2049" s="18" t="s">
        <v>703</v>
      </c>
      <c r="F2049" s="18" t="s">
        <v>704</v>
      </c>
      <c r="G2049" s="18" t="s">
        <v>673</v>
      </c>
      <c r="H2049" s="18" t="s">
        <v>996</v>
      </c>
      <c r="I2049" s="315">
        <v>50.308443525808904</v>
      </c>
      <c r="J2049" s="315">
        <v>3.501615899265758E-2</v>
      </c>
      <c r="K2049" s="316" t="str">
        <f t="shared" si="44"/>
        <v>Lawn and Garden Equipment</v>
      </c>
      <c r="L2049" s="316" t="str">
        <f t="shared" si="45"/>
        <v>Gasoline</v>
      </c>
      <c r="M2049" s="8"/>
      <c r="N2049" s="2"/>
      <c r="O2049" s="2"/>
      <c r="P2049" s="2"/>
      <c r="Q2049" s="2"/>
      <c r="R2049" s="2"/>
      <c r="S2049" s="2"/>
      <c r="T2049" s="2"/>
      <c r="U2049" s="2"/>
      <c r="V2049" s="2"/>
      <c r="W2049" s="2"/>
      <c r="X2049" s="2"/>
      <c r="Y2049" s="2"/>
      <c r="Z2049" s="2"/>
    </row>
    <row r="2050" spans="1:26" ht="12.75" x14ac:dyDescent="0.2">
      <c r="A2050" s="230"/>
      <c r="B2050" s="18">
        <v>2023</v>
      </c>
      <c r="C2050" s="18" t="s">
        <v>792</v>
      </c>
      <c r="D2050" s="18" t="s">
        <v>862</v>
      </c>
      <c r="E2050" s="18" t="s">
        <v>713</v>
      </c>
      <c r="F2050" s="18" t="s">
        <v>714</v>
      </c>
      <c r="G2050" s="18" t="s">
        <v>674</v>
      </c>
      <c r="H2050" s="18" t="s">
        <v>863</v>
      </c>
      <c r="I2050" s="315">
        <v>50.101897119343896</v>
      </c>
      <c r="J2050" s="315">
        <v>3.614470378618883E-4</v>
      </c>
      <c r="K2050" s="316" t="str">
        <f t="shared" si="44"/>
        <v>Construction and Mining Equipment</v>
      </c>
      <c r="L2050" s="316" t="str">
        <f t="shared" si="45"/>
        <v>Diesel</v>
      </c>
      <c r="M2050" s="8"/>
      <c r="N2050" s="2"/>
      <c r="O2050" s="2"/>
      <c r="P2050" s="2"/>
      <c r="Q2050" s="2"/>
      <c r="R2050" s="2"/>
      <c r="S2050" s="2"/>
      <c r="T2050" s="2"/>
      <c r="U2050" s="2"/>
      <c r="V2050" s="2"/>
      <c r="W2050" s="2"/>
      <c r="X2050" s="2"/>
      <c r="Y2050" s="2"/>
      <c r="Z2050" s="2"/>
    </row>
    <row r="2051" spans="1:26" ht="12.75" x14ac:dyDescent="0.2">
      <c r="A2051" s="230"/>
      <c r="B2051" s="18">
        <v>2023</v>
      </c>
      <c r="C2051" s="18" t="s">
        <v>810</v>
      </c>
      <c r="D2051" s="18" t="s">
        <v>1224</v>
      </c>
      <c r="E2051" s="18" t="s">
        <v>703</v>
      </c>
      <c r="F2051" s="18" t="s">
        <v>704</v>
      </c>
      <c r="G2051" s="18" t="s">
        <v>681</v>
      </c>
      <c r="H2051" s="18" t="s">
        <v>1225</v>
      </c>
      <c r="I2051" s="315">
        <v>50.090348397505011</v>
      </c>
      <c r="J2051" s="315">
        <v>3.4401011685496696E-2</v>
      </c>
      <c r="K2051" s="316" t="str">
        <f t="shared" si="44"/>
        <v>Logging Equipment</v>
      </c>
      <c r="L2051" s="316" t="str">
        <f t="shared" si="45"/>
        <v>Gasoline</v>
      </c>
      <c r="M2051" s="8"/>
      <c r="N2051" s="2"/>
      <c r="O2051" s="2"/>
      <c r="P2051" s="2"/>
      <c r="Q2051" s="2"/>
      <c r="R2051" s="2"/>
      <c r="S2051" s="2"/>
      <c r="T2051" s="2"/>
      <c r="U2051" s="2"/>
      <c r="V2051" s="2"/>
      <c r="W2051" s="2"/>
      <c r="X2051" s="2"/>
      <c r="Y2051" s="2"/>
      <c r="Z2051" s="2"/>
    </row>
    <row r="2052" spans="1:26" ht="12.75" x14ac:dyDescent="0.2">
      <c r="A2052" s="230"/>
      <c r="B2052" s="18">
        <v>2023</v>
      </c>
      <c r="C2052" s="18" t="s">
        <v>786</v>
      </c>
      <c r="D2052" s="18" t="s">
        <v>855</v>
      </c>
      <c r="E2052" s="18" t="s">
        <v>713</v>
      </c>
      <c r="F2052" s="18" t="s">
        <v>714</v>
      </c>
      <c r="G2052" s="18" t="s">
        <v>674</v>
      </c>
      <c r="H2052" s="18" t="s">
        <v>856</v>
      </c>
      <c r="I2052" s="315">
        <v>50.066041257587457</v>
      </c>
      <c r="J2052" s="315">
        <v>3.1636162800658687E-4</v>
      </c>
      <c r="K2052" s="316" t="str">
        <f t="shared" si="44"/>
        <v>Construction and Mining Equipment</v>
      </c>
      <c r="L2052" s="316" t="str">
        <f t="shared" si="45"/>
        <v>Diesel</v>
      </c>
      <c r="M2052" s="8"/>
      <c r="N2052" s="2"/>
      <c r="O2052" s="2"/>
      <c r="P2052" s="2"/>
      <c r="Q2052" s="2"/>
      <c r="R2052" s="2"/>
      <c r="S2052" s="2"/>
      <c r="T2052" s="2"/>
      <c r="U2052" s="2"/>
      <c r="V2052" s="2"/>
      <c r="W2052" s="2"/>
      <c r="X2052" s="2"/>
      <c r="Y2052" s="2"/>
      <c r="Z2052" s="2"/>
    </row>
    <row r="2053" spans="1:26" ht="12.75" x14ac:dyDescent="0.2">
      <c r="A2053" s="230"/>
      <c r="B2053" s="18">
        <v>2023</v>
      </c>
      <c r="C2053" s="18" t="s">
        <v>743</v>
      </c>
      <c r="D2053" s="18" t="s">
        <v>1075</v>
      </c>
      <c r="E2053" s="18" t="s">
        <v>56</v>
      </c>
      <c r="F2053" s="18" t="s">
        <v>672</v>
      </c>
      <c r="G2053" s="18" t="s">
        <v>675</v>
      </c>
      <c r="H2053" s="18" t="s">
        <v>772</v>
      </c>
      <c r="I2053" s="315">
        <v>50.016308721680545</v>
      </c>
      <c r="J2053" s="315">
        <v>2.3042372092170228E-3</v>
      </c>
      <c r="K2053" s="316" t="str">
        <f t="shared" si="44"/>
        <v>Industrial Equipment</v>
      </c>
      <c r="L2053" s="316" t="str">
        <f t="shared" si="45"/>
        <v>LPG</v>
      </c>
      <c r="M2053" s="8"/>
      <c r="N2053" s="2"/>
      <c r="O2053" s="2"/>
      <c r="P2053" s="2"/>
      <c r="Q2053" s="2"/>
      <c r="R2053" s="2"/>
      <c r="S2053" s="2"/>
      <c r="T2053" s="2"/>
      <c r="U2053" s="2"/>
      <c r="V2053" s="2"/>
      <c r="W2053" s="2"/>
      <c r="X2053" s="2"/>
      <c r="Y2053" s="2"/>
      <c r="Z2053" s="2"/>
    </row>
    <row r="2054" spans="1:26" ht="12.75" x14ac:dyDescent="0.2">
      <c r="A2054" s="230"/>
      <c r="B2054" s="18">
        <v>2023</v>
      </c>
      <c r="C2054" s="18" t="s">
        <v>792</v>
      </c>
      <c r="D2054" s="18" t="s">
        <v>971</v>
      </c>
      <c r="E2054" s="18" t="s">
        <v>713</v>
      </c>
      <c r="F2054" s="18" t="s">
        <v>714</v>
      </c>
      <c r="G2054" s="18" t="s">
        <v>678</v>
      </c>
      <c r="H2054" s="18" t="s">
        <v>972</v>
      </c>
      <c r="I2054" s="315">
        <v>49.974863512915789</v>
      </c>
      <c r="J2054" s="315">
        <v>2.7759394139909775E-4</v>
      </c>
      <c r="K2054" s="316" t="str">
        <f t="shared" si="44"/>
        <v>Agricultural Equipment</v>
      </c>
      <c r="L2054" s="316" t="str">
        <f t="shared" si="45"/>
        <v>Diesel</v>
      </c>
      <c r="M2054" s="8"/>
      <c r="N2054" s="2"/>
      <c r="O2054" s="2"/>
      <c r="P2054" s="2"/>
      <c r="Q2054" s="2"/>
      <c r="R2054" s="2"/>
      <c r="S2054" s="2"/>
      <c r="T2054" s="2"/>
      <c r="U2054" s="2"/>
      <c r="V2054" s="2"/>
      <c r="W2054" s="2"/>
      <c r="X2054" s="2"/>
      <c r="Y2054" s="2"/>
      <c r="Z2054" s="2"/>
    </row>
    <row r="2055" spans="1:26" ht="12.75" x14ac:dyDescent="0.2">
      <c r="A2055" s="230"/>
      <c r="B2055" s="18">
        <v>2023</v>
      </c>
      <c r="C2055" s="18" t="s">
        <v>754</v>
      </c>
      <c r="D2055" s="18" t="s">
        <v>1011</v>
      </c>
      <c r="E2055" s="18" t="s">
        <v>56</v>
      </c>
      <c r="F2055" s="18" t="s">
        <v>672</v>
      </c>
      <c r="G2055" s="18" t="s">
        <v>677</v>
      </c>
      <c r="H2055" s="18" t="s">
        <v>836</v>
      </c>
      <c r="I2055" s="315">
        <v>49.88941657710204</v>
      </c>
      <c r="J2055" s="315">
        <v>2.6504873663484984E-3</v>
      </c>
      <c r="K2055" s="316" t="str">
        <f t="shared" si="44"/>
        <v>Commercial Equipment</v>
      </c>
      <c r="L2055" s="316" t="str">
        <f t="shared" si="45"/>
        <v>LPG</v>
      </c>
      <c r="M2055" s="8"/>
      <c r="N2055" s="2"/>
      <c r="O2055" s="2"/>
      <c r="P2055" s="2"/>
      <c r="Q2055" s="2"/>
      <c r="R2055" s="2"/>
      <c r="S2055" s="2"/>
      <c r="T2055" s="2"/>
      <c r="U2055" s="2"/>
      <c r="V2055" s="2"/>
      <c r="W2055" s="2"/>
      <c r="X2055" s="2"/>
      <c r="Y2055" s="2"/>
      <c r="Z2055" s="2"/>
    </row>
    <row r="2056" spans="1:26" ht="12.75" x14ac:dyDescent="0.2">
      <c r="A2056" s="230"/>
      <c r="B2056" s="18">
        <v>2023</v>
      </c>
      <c r="C2056" s="18" t="s">
        <v>810</v>
      </c>
      <c r="D2056" s="18" t="s">
        <v>898</v>
      </c>
      <c r="E2056" s="18" t="s">
        <v>703</v>
      </c>
      <c r="F2056" s="18" t="s">
        <v>795</v>
      </c>
      <c r="G2056" s="18" t="s">
        <v>673</v>
      </c>
      <c r="H2056" s="18" t="s">
        <v>899</v>
      </c>
      <c r="I2056" s="315">
        <v>49.822277654273599</v>
      </c>
      <c r="J2056" s="315">
        <v>0.34063194670129293</v>
      </c>
      <c r="K2056" s="316" t="str">
        <f t="shared" si="44"/>
        <v>Lawn and Garden Equipment</v>
      </c>
      <c r="L2056" s="316" t="str">
        <f t="shared" si="45"/>
        <v>Gasoline</v>
      </c>
      <c r="M2056" s="8"/>
      <c r="N2056" s="2"/>
      <c r="O2056" s="2"/>
      <c r="P2056" s="2"/>
      <c r="Q2056" s="2"/>
      <c r="R2056" s="2"/>
      <c r="S2056" s="2"/>
      <c r="T2056" s="2"/>
      <c r="U2056" s="2"/>
      <c r="V2056" s="2"/>
      <c r="W2056" s="2"/>
      <c r="X2056" s="2"/>
      <c r="Y2056" s="2"/>
      <c r="Z2056" s="2"/>
    </row>
    <row r="2057" spans="1:26" ht="12.75" x14ac:dyDescent="0.2">
      <c r="A2057" s="230"/>
      <c r="B2057" s="18">
        <v>2023</v>
      </c>
      <c r="C2057" s="18" t="s">
        <v>753</v>
      </c>
      <c r="D2057" s="18" t="s">
        <v>979</v>
      </c>
      <c r="E2057" s="18" t="s">
        <v>703</v>
      </c>
      <c r="F2057" s="18" t="s">
        <v>704</v>
      </c>
      <c r="G2057" s="18" t="s">
        <v>675</v>
      </c>
      <c r="H2057" s="18" t="s">
        <v>802</v>
      </c>
      <c r="I2057" s="315">
        <v>49.816830686272347</v>
      </c>
      <c r="J2057" s="315">
        <v>1.7883540180993772E-2</v>
      </c>
      <c r="K2057" s="316" t="str">
        <f t="shared" si="44"/>
        <v>Industrial Equipment</v>
      </c>
      <c r="L2057" s="316" t="str">
        <f t="shared" si="45"/>
        <v>Gasoline</v>
      </c>
      <c r="M2057" s="8"/>
      <c r="N2057" s="2"/>
      <c r="O2057" s="2"/>
      <c r="P2057" s="2"/>
      <c r="Q2057" s="2"/>
      <c r="R2057" s="2"/>
      <c r="S2057" s="2"/>
      <c r="T2057" s="2"/>
      <c r="U2057" s="2"/>
      <c r="V2057" s="2"/>
      <c r="W2057" s="2"/>
      <c r="X2057" s="2"/>
      <c r="Y2057" s="2"/>
      <c r="Z2057" s="2"/>
    </row>
    <row r="2058" spans="1:26" ht="12.75" x14ac:dyDescent="0.2">
      <c r="A2058" s="230"/>
      <c r="B2058" s="18">
        <v>2023</v>
      </c>
      <c r="C2058" s="18" t="s">
        <v>759</v>
      </c>
      <c r="D2058" s="18" t="s">
        <v>797</v>
      </c>
      <c r="E2058" s="18" t="s">
        <v>713</v>
      </c>
      <c r="F2058" s="18" t="s">
        <v>714</v>
      </c>
      <c r="G2058" s="18" t="s">
        <v>675</v>
      </c>
      <c r="H2058" s="18" t="s">
        <v>798</v>
      </c>
      <c r="I2058" s="315">
        <v>49.635052584148958</v>
      </c>
      <c r="J2058" s="315">
        <v>4.1872155553508732E-4</v>
      </c>
      <c r="K2058" s="316" t="str">
        <f t="shared" si="44"/>
        <v>Industrial Equipment</v>
      </c>
      <c r="L2058" s="316" t="str">
        <f t="shared" si="45"/>
        <v>Diesel</v>
      </c>
      <c r="M2058" s="8"/>
      <c r="N2058" s="2"/>
      <c r="O2058" s="2"/>
      <c r="P2058" s="2"/>
      <c r="Q2058" s="2"/>
      <c r="R2058" s="2"/>
      <c r="S2058" s="2"/>
      <c r="T2058" s="2"/>
      <c r="U2058" s="2"/>
      <c r="V2058" s="2"/>
      <c r="W2058" s="2"/>
      <c r="X2058" s="2"/>
      <c r="Y2058" s="2"/>
      <c r="Z2058" s="2"/>
    </row>
    <row r="2059" spans="1:26" ht="12.75" x14ac:dyDescent="0.2">
      <c r="A2059" s="230"/>
      <c r="B2059" s="18">
        <v>2023</v>
      </c>
      <c r="C2059" s="18" t="s">
        <v>793</v>
      </c>
      <c r="D2059" s="18" t="s">
        <v>977</v>
      </c>
      <c r="E2059" s="18" t="s">
        <v>703</v>
      </c>
      <c r="F2059" s="18" t="s">
        <v>805</v>
      </c>
      <c r="G2059" s="18" t="s">
        <v>673</v>
      </c>
      <c r="H2059" s="18" t="s">
        <v>978</v>
      </c>
      <c r="I2059" s="315">
        <v>49.568672292633025</v>
      </c>
      <c r="J2059" s="315">
        <v>8.4404380453180133E-2</v>
      </c>
      <c r="K2059" s="316" t="str">
        <f t="shared" si="44"/>
        <v>Lawn and Garden Equipment</v>
      </c>
      <c r="L2059" s="316" t="str">
        <f t="shared" si="45"/>
        <v>Gasoline</v>
      </c>
      <c r="M2059" s="8"/>
      <c r="N2059" s="2"/>
      <c r="O2059" s="2"/>
      <c r="P2059" s="2"/>
      <c r="Q2059" s="2"/>
      <c r="R2059" s="2"/>
      <c r="S2059" s="2"/>
      <c r="T2059" s="2"/>
      <c r="U2059" s="2"/>
      <c r="V2059" s="2"/>
      <c r="W2059" s="2"/>
      <c r="X2059" s="2"/>
      <c r="Y2059" s="2"/>
      <c r="Z2059" s="2"/>
    </row>
    <row r="2060" spans="1:26" ht="12.75" x14ac:dyDescent="0.2">
      <c r="A2060" s="230"/>
      <c r="B2060" s="18">
        <v>2023</v>
      </c>
      <c r="C2060" s="18" t="s">
        <v>793</v>
      </c>
      <c r="D2060" s="18" t="s">
        <v>867</v>
      </c>
      <c r="E2060" s="18" t="s">
        <v>713</v>
      </c>
      <c r="F2060" s="18" t="s">
        <v>714</v>
      </c>
      <c r="G2060" s="18" t="s">
        <v>673</v>
      </c>
      <c r="H2060" s="18" t="s">
        <v>724</v>
      </c>
      <c r="I2060" s="315">
        <v>49.108559712555753</v>
      </c>
      <c r="J2060" s="315">
        <v>2.5273068158484916E-3</v>
      </c>
      <c r="K2060" s="316" t="str">
        <f t="shared" si="44"/>
        <v>Lawn and Garden Equipment</v>
      </c>
      <c r="L2060" s="316" t="str">
        <f t="shared" si="45"/>
        <v>Diesel</v>
      </c>
      <c r="M2060" s="8"/>
      <c r="N2060" s="2"/>
      <c r="O2060" s="2"/>
      <c r="P2060" s="2"/>
      <c r="Q2060" s="2"/>
      <c r="R2060" s="2"/>
      <c r="S2060" s="2"/>
      <c r="T2060" s="2"/>
      <c r="U2060" s="2"/>
      <c r="V2060" s="2"/>
      <c r="W2060" s="2"/>
      <c r="X2060" s="2"/>
      <c r="Y2060" s="2"/>
      <c r="Z2060" s="2"/>
    </row>
    <row r="2061" spans="1:26" ht="12.75" x14ac:dyDescent="0.2">
      <c r="A2061" s="230"/>
      <c r="B2061" s="18">
        <v>2023</v>
      </c>
      <c r="C2061" s="18" t="s">
        <v>732</v>
      </c>
      <c r="D2061" s="18" t="s">
        <v>1030</v>
      </c>
      <c r="E2061" s="18" t="s">
        <v>703</v>
      </c>
      <c r="F2061" s="18" t="s">
        <v>704</v>
      </c>
      <c r="G2061" s="18" t="s">
        <v>677</v>
      </c>
      <c r="H2061" s="18" t="s">
        <v>1031</v>
      </c>
      <c r="I2061" s="315">
        <v>49.106362937443144</v>
      </c>
      <c r="J2061" s="315">
        <v>3.4257262274170766E-2</v>
      </c>
      <c r="K2061" s="316" t="str">
        <f t="shared" si="44"/>
        <v>Commercial Equipment</v>
      </c>
      <c r="L2061" s="316" t="str">
        <f t="shared" si="45"/>
        <v>Gasoline</v>
      </c>
      <c r="M2061" s="8"/>
      <c r="N2061" s="2"/>
      <c r="O2061" s="2"/>
      <c r="P2061" s="2"/>
      <c r="Q2061" s="2"/>
      <c r="R2061" s="2"/>
      <c r="S2061" s="2"/>
      <c r="T2061" s="2"/>
      <c r="U2061" s="2"/>
      <c r="V2061" s="2"/>
      <c r="W2061" s="2"/>
      <c r="X2061" s="2"/>
      <c r="Y2061" s="2"/>
      <c r="Z2061" s="2"/>
    </row>
    <row r="2062" spans="1:26" ht="12.75" x14ac:dyDescent="0.2">
      <c r="A2062" s="230"/>
      <c r="B2062" s="18">
        <v>2023</v>
      </c>
      <c r="C2062" s="18" t="s">
        <v>754</v>
      </c>
      <c r="D2062" s="18" t="s">
        <v>993</v>
      </c>
      <c r="E2062" s="18" t="s">
        <v>703</v>
      </c>
      <c r="F2062" s="18" t="s">
        <v>704</v>
      </c>
      <c r="G2062" s="18" t="s">
        <v>674</v>
      </c>
      <c r="H2062" s="18" t="s">
        <v>994</v>
      </c>
      <c r="I2062" s="315">
        <v>49.065317932272805</v>
      </c>
      <c r="J2062" s="315">
        <v>3.2854738493585431E-2</v>
      </c>
      <c r="K2062" s="316" t="str">
        <f t="shared" si="44"/>
        <v>Construction and Mining Equipment</v>
      </c>
      <c r="L2062" s="316" t="str">
        <f t="shared" si="45"/>
        <v>Gasoline</v>
      </c>
      <c r="M2062" s="8"/>
      <c r="N2062" s="2"/>
      <c r="O2062" s="2"/>
      <c r="P2062" s="2"/>
      <c r="Q2062" s="2"/>
      <c r="R2062" s="2"/>
      <c r="S2062" s="2"/>
      <c r="T2062" s="2"/>
      <c r="U2062" s="2"/>
      <c r="V2062" s="2"/>
      <c r="W2062" s="2"/>
      <c r="X2062" s="2"/>
      <c r="Y2062" s="2"/>
      <c r="Z2062" s="2"/>
    </row>
    <row r="2063" spans="1:26" ht="12.75" x14ac:dyDescent="0.2">
      <c r="A2063" s="230"/>
      <c r="B2063" s="18">
        <v>2023</v>
      </c>
      <c r="C2063" s="18" t="s">
        <v>722</v>
      </c>
      <c r="D2063" s="18" t="s">
        <v>751</v>
      </c>
      <c r="E2063" s="18" t="s">
        <v>713</v>
      </c>
      <c r="F2063" s="18" t="s">
        <v>676</v>
      </c>
      <c r="G2063" s="18" t="s">
        <v>79</v>
      </c>
      <c r="H2063" s="18" t="s">
        <v>740</v>
      </c>
      <c r="I2063" s="315">
        <v>48.971138227899694</v>
      </c>
      <c r="J2063" s="315">
        <v>1.9220728659560715E-3</v>
      </c>
      <c r="K2063" s="316" t="str">
        <f t="shared" si="44"/>
        <v>Pleasure Craft</v>
      </c>
      <c r="L2063" s="316" t="str">
        <f t="shared" si="45"/>
        <v>Diesel</v>
      </c>
      <c r="M2063" s="8"/>
      <c r="N2063" s="2"/>
      <c r="O2063" s="2"/>
      <c r="P2063" s="2"/>
      <c r="Q2063" s="2"/>
      <c r="R2063" s="2"/>
      <c r="S2063" s="2"/>
      <c r="T2063" s="2"/>
      <c r="U2063" s="2"/>
      <c r="V2063" s="2"/>
      <c r="W2063" s="2"/>
      <c r="X2063" s="2"/>
      <c r="Y2063" s="2"/>
      <c r="Z2063" s="2"/>
    </row>
    <row r="2064" spans="1:26" ht="12.75" x14ac:dyDescent="0.2">
      <c r="A2064" s="230"/>
      <c r="B2064" s="18">
        <v>2023</v>
      </c>
      <c r="C2064" s="18" t="s">
        <v>760</v>
      </c>
      <c r="D2064" s="18" t="s">
        <v>1079</v>
      </c>
      <c r="E2064" s="18" t="s">
        <v>713</v>
      </c>
      <c r="F2064" s="18" t="s">
        <v>714</v>
      </c>
      <c r="G2064" s="18" t="s">
        <v>678</v>
      </c>
      <c r="H2064" s="18" t="s">
        <v>1080</v>
      </c>
      <c r="I2064" s="315">
        <v>48.965970614003616</v>
      </c>
      <c r="J2064" s="315">
        <v>3.5536601844934538E-4</v>
      </c>
      <c r="K2064" s="316" t="str">
        <f t="shared" si="44"/>
        <v>Agricultural Equipment</v>
      </c>
      <c r="L2064" s="316" t="str">
        <f t="shared" si="45"/>
        <v>Diesel</v>
      </c>
      <c r="M2064" s="8"/>
      <c r="N2064" s="2"/>
      <c r="O2064" s="2"/>
      <c r="P2064" s="2"/>
      <c r="Q2064" s="2"/>
      <c r="R2064" s="2"/>
      <c r="S2064" s="2"/>
      <c r="T2064" s="2"/>
      <c r="U2064" s="2"/>
      <c r="V2064" s="2"/>
      <c r="W2064" s="2"/>
      <c r="X2064" s="2"/>
      <c r="Y2064" s="2"/>
      <c r="Z2064" s="2"/>
    </row>
    <row r="2065" spans="1:26" ht="12.75" x14ac:dyDescent="0.2">
      <c r="A2065" s="230"/>
      <c r="B2065" s="18">
        <v>2023</v>
      </c>
      <c r="C2065" s="18" t="s">
        <v>759</v>
      </c>
      <c r="D2065" s="18" t="s">
        <v>801</v>
      </c>
      <c r="E2065" s="18" t="s">
        <v>713</v>
      </c>
      <c r="F2065" s="18" t="s">
        <v>714</v>
      </c>
      <c r="G2065" s="18" t="s">
        <v>675</v>
      </c>
      <c r="H2065" s="18" t="s">
        <v>802</v>
      </c>
      <c r="I2065" s="315">
        <v>48.93875255840944</v>
      </c>
      <c r="J2065" s="315">
        <v>3.2599624398533709E-4</v>
      </c>
      <c r="K2065" s="316" t="str">
        <f t="shared" si="44"/>
        <v>Industrial Equipment</v>
      </c>
      <c r="L2065" s="316" t="str">
        <f t="shared" si="45"/>
        <v>Diesel</v>
      </c>
      <c r="M2065" s="8"/>
      <c r="N2065" s="2"/>
      <c r="O2065" s="2"/>
      <c r="P2065" s="2"/>
      <c r="Q2065" s="2"/>
      <c r="R2065" s="2"/>
      <c r="S2065" s="2"/>
      <c r="T2065" s="2"/>
      <c r="U2065" s="2"/>
      <c r="V2065" s="2"/>
      <c r="W2065" s="2"/>
      <c r="X2065" s="2"/>
      <c r="Y2065" s="2"/>
      <c r="Z2065" s="2"/>
    </row>
    <row r="2066" spans="1:26" ht="12.75" x14ac:dyDescent="0.2">
      <c r="A2066" s="230"/>
      <c r="B2066" s="18">
        <v>2023</v>
      </c>
      <c r="C2066" s="18" t="s">
        <v>706</v>
      </c>
      <c r="D2066" s="18" t="s">
        <v>1226</v>
      </c>
      <c r="E2066" s="18" t="s">
        <v>703</v>
      </c>
      <c r="F2066" s="18" t="s">
        <v>805</v>
      </c>
      <c r="G2066" s="18" t="s">
        <v>677</v>
      </c>
      <c r="H2066" s="18" t="s">
        <v>747</v>
      </c>
      <c r="I2066" s="315">
        <v>48.765756337981379</v>
      </c>
      <c r="J2066" s="315">
        <v>9.860781749750594E-2</v>
      </c>
      <c r="K2066" s="316" t="str">
        <f t="shared" si="44"/>
        <v>Commercial Equipment</v>
      </c>
      <c r="L2066" s="316" t="str">
        <f t="shared" si="45"/>
        <v>Gasoline</v>
      </c>
      <c r="M2066" s="8"/>
      <c r="N2066" s="2"/>
      <c r="O2066" s="2"/>
      <c r="P2066" s="2"/>
      <c r="Q2066" s="2"/>
      <c r="R2066" s="2"/>
      <c r="S2066" s="2"/>
      <c r="T2066" s="2"/>
      <c r="U2066" s="2"/>
      <c r="V2066" s="2"/>
      <c r="W2066" s="2"/>
      <c r="X2066" s="2"/>
      <c r="Y2066" s="2"/>
      <c r="Z2066" s="2"/>
    </row>
    <row r="2067" spans="1:26" ht="12.75" x14ac:dyDescent="0.2">
      <c r="A2067" s="230"/>
      <c r="B2067" s="18">
        <v>2023</v>
      </c>
      <c r="C2067" s="18" t="s">
        <v>743</v>
      </c>
      <c r="D2067" s="18" t="s">
        <v>1003</v>
      </c>
      <c r="E2067" s="18" t="s">
        <v>703</v>
      </c>
      <c r="F2067" s="18" t="s">
        <v>805</v>
      </c>
      <c r="G2067" s="18" t="s">
        <v>677</v>
      </c>
      <c r="H2067" s="18" t="s">
        <v>841</v>
      </c>
      <c r="I2067" s="315">
        <v>48.735174966953259</v>
      </c>
      <c r="J2067" s="315">
        <v>9.3904596107529603E-2</v>
      </c>
      <c r="K2067" s="316" t="str">
        <f t="shared" si="44"/>
        <v>Commercial Equipment</v>
      </c>
      <c r="L2067" s="316" t="str">
        <f t="shared" si="45"/>
        <v>Gasoline</v>
      </c>
      <c r="M2067" s="8"/>
      <c r="N2067" s="2"/>
      <c r="O2067" s="2"/>
      <c r="P2067" s="2"/>
      <c r="Q2067" s="2"/>
      <c r="R2067" s="2"/>
      <c r="S2067" s="2"/>
      <c r="T2067" s="2"/>
      <c r="U2067" s="2"/>
      <c r="V2067" s="2"/>
      <c r="W2067" s="2"/>
      <c r="X2067" s="2"/>
      <c r="Y2067" s="2"/>
      <c r="Z2067" s="2"/>
    </row>
    <row r="2068" spans="1:26" ht="12.75" x14ac:dyDescent="0.2">
      <c r="A2068" s="230"/>
      <c r="B2068" s="18">
        <v>2023</v>
      </c>
      <c r="C2068" s="18" t="s">
        <v>793</v>
      </c>
      <c r="D2068" s="18" t="s">
        <v>880</v>
      </c>
      <c r="E2068" s="18" t="s">
        <v>703</v>
      </c>
      <c r="F2068" s="18" t="s">
        <v>704</v>
      </c>
      <c r="G2068" s="18" t="s">
        <v>677</v>
      </c>
      <c r="H2068" s="18" t="s">
        <v>785</v>
      </c>
      <c r="I2068" s="315">
        <v>48.594071101562513</v>
      </c>
      <c r="J2068" s="315">
        <v>2.7911729281867102E-2</v>
      </c>
      <c r="K2068" s="316" t="str">
        <f t="shared" si="44"/>
        <v>Commercial Equipment</v>
      </c>
      <c r="L2068" s="316" t="str">
        <f t="shared" si="45"/>
        <v>Gasoline</v>
      </c>
      <c r="M2068" s="8"/>
      <c r="N2068" s="2"/>
      <c r="O2068" s="2"/>
      <c r="P2068" s="2"/>
      <c r="Q2068" s="2"/>
      <c r="R2068" s="2"/>
      <c r="S2068" s="2"/>
      <c r="T2068" s="2"/>
      <c r="U2068" s="2"/>
      <c r="V2068" s="2"/>
      <c r="W2068" s="2"/>
      <c r="X2068" s="2"/>
      <c r="Y2068" s="2"/>
      <c r="Z2068" s="2"/>
    </row>
    <row r="2069" spans="1:26" ht="12.75" x14ac:dyDescent="0.2">
      <c r="A2069" s="230"/>
      <c r="B2069" s="18">
        <v>2023</v>
      </c>
      <c r="C2069" s="18" t="s">
        <v>722</v>
      </c>
      <c r="D2069" s="18" t="s">
        <v>1075</v>
      </c>
      <c r="E2069" s="18" t="s">
        <v>56</v>
      </c>
      <c r="F2069" s="18" t="s">
        <v>672</v>
      </c>
      <c r="G2069" s="18" t="s">
        <v>675</v>
      </c>
      <c r="H2069" s="18" t="s">
        <v>772</v>
      </c>
      <c r="I2069" s="315">
        <v>48.577166425605888</v>
      </c>
      <c r="J2069" s="315">
        <v>2.2379272615655338E-3</v>
      </c>
      <c r="K2069" s="316" t="str">
        <f t="shared" si="44"/>
        <v>Industrial Equipment</v>
      </c>
      <c r="L2069" s="316" t="str">
        <f t="shared" si="45"/>
        <v>LPG</v>
      </c>
      <c r="M2069" s="8"/>
      <c r="N2069" s="2"/>
      <c r="O2069" s="2"/>
      <c r="P2069" s="2"/>
      <c r="Q2069" s="2"/>
      <c r="R2069" s="2"/>
      <c r="S2069" s="2"/>
      <c r="T2069" s="2"/>
      <c r="U2069" s="2"/>
      <c r="V2069" s="2"/>
      <c r="W2069" s="2"/>
      <c r="X2069" s="2"/>
      <c r="Y2069" s="2"/>
      <c r="Z2069" s="2"/>
    </row>
    <row r="2070" spans="1:26" ht="12.75" x14ac:dyDescent="0.2">
      <c r="A2070" s="230"/>
      <c r="B2070" s="18">
        <v>2023</v>
      </c>
      <c r="C2070" s="18" t="s">
        <v>706</v>
      </c>
      <c r="D2070" s="18" t="s">
        <v>1227</v>
      </c>
      <c r="E2070" s="18" t="s">
        <v>56</v>
      </c>
      <c r="F2070" s="18" t="s">
        <v>672</v>
      </c>
      <c r="G2070" s="18" t="s">
        <v>674</v>
      </c>
      <c r="H2070" s="18" t="s">
        <v>850</v>
      </c>
      <c r="I2070" s="315">
        <v>48.535949287634885</v>
      </c>
      <c r="J2070" s="315">
        <v>3.1167855664605542E-3</v>
      </c>
      <c r="K2070" s="316" t="str">
        <f t="shared" si="44"/>
        <v>Construction and Mining Equipment</v>
      </c>
      <c r="L2070" s="316" t="str">
        <f t="shared" si="45"/>
        <v>LPG</v>
      </c>
      <c r="M2070" s="8"/>
      <c r="N2070" s="2"/>
      <c r="O2070" s="2"/>
      <c r="P2070" s="2"/>
      <c r="Q2070" s="2"/>
      <c r="R2070" s="2"/>
      <c r="S2070" s="2"/>
      <c r="T2070" s="2"/>
      <c r="U2070" s="2"/>
      <c r="V2070" s="2"/>
      <c r="W2070" s="2"/>
      <c r="X2070" s="2"/>
      <c r="Y2070" s="2"/>
      <c r="Z2070" s="2"/>
    </row>
    <row r="2071" spans="1:26" ht="12.75" x14ac:dyDescent="0.2">
      <c r="A2071" s="230"/>
      <c r="B2071" s="18">
        <v>2023</v>
      </c>
      <c r="C2071" s="18" t="s">
        <v>731</v>
      </c>
      <c r="D2071" s="18" t="s">
        <v>858</v>
      </c>
      <c r="E2071" s="18" t="s">
        <v>713</v>
      </c>
      <c r="F2071" s="18" t="s">
        <v>714</v>
      </c>
      <c r="G2071" s="18" t="s">
        <v>674</v>
      </c>
      <c r="H2071" s="18" t="s">
        <v>859</v>
      </c>
      <c r="I2071" s="315">
        <v>48.493343263247581</v>
      </c>
      <c r="J2071" s="315">
        <v>4.3044719774280339E-4</v>
      </c>
      <c r="K2071" s="316" t="str">
        <f t="shared" si="44"/>
        <v>Construction and Mining Equipment</v>
      </c>
      <c r="L2071" s="316" t="str">
        <f t="shared" si="45"/>
        <v>Diesel</v>
      </c>
      <c r="M2071" s="8"/>
      <c r="N2071" s="2"/>
      <c r="O2071" s="2"/>
      <c r="P2071" s="2"/>
      <c r="Q2071" s="2"/>
      <c r="R2071" s="2"/>
      <c r="S2071" s="2"/>
      <c r="T2071" s="2"/>
      <c r="U2071" s="2"/>
      <c r="V2071" s="2"/>
      <c r="W2071" s="2"/>
      <c r="X2071" s="2"/>
      <c r="Y2071" s="2"/>
      <c r="Z2071" s="2"/>
    </row>
    <row r="2072" spans="1:26" ht="12.75" x14ac:dyDescent="0.2">
      <c r="A2072" s="230"/>
      <c r="B2072" s="18">
        <v>2023</v>
      </c>
      <c r="C2072" s="18" t="s">
        <v>792</v>
      </c>
      <c r="D2072" s="18" t="s">
        <v>984</v>
      </c>
      <c r="E2072" s="18" t="s">
        <v>703</v>
      </c>
      <c r="F2072" s="18" t="s">
        <v>704</v>
      </c>
      <c r="G2072" s="18" t="s">
        <v>673</v>
      </c>
      <c r="H2072" s="18" t="s">
        <v>985</v>
      </c>
      <c r="I2072" s="315">
        <v>48.434614695837737</v>
      </c>
      <c r="J2072" s="315">
        <v>3.3055385612035131E-2</v>
      </c>
      <c r="K2072" s="316" t="str">
        <f t="shared" si="44"/>
        <v>Lawn and Garden Equipment</v>
      </c>
      <c r="L2072" s="316" t="str">
        <f t="shared" si="45"/>
        <v>Gasoline</v>
      </c>
      <c r="M2072" s="8"/>
      <c r="N2072" s="2"/>
      <c r="O2072" s="2"/>
      <c r="P2072" s="2"/>
      <c r="Q2072" s="2"/>
      <c r="R2072" s="2"/>
      <c r="S2072" s="2"/>
      <c r="T2072" s="2"/>
      <c r="U2072" s="2"/>
      <c r="V2072" s="2"/>
      <c r="W2072" s="2"/>
      <c r="X2072" s="2"/>
      <c r="Y2072" s="2"/>
      <c r="Z2072" s="2"/>
    </row>
    <row r="2073" spans="1:26" ht="12.75" x14ac:dyDescent="0.2">
      <c r="A2073" s="230"/>
      <c r="B2073" s="18">
        <v>2023</v>
      </c>
      <c r="C2073" s="18" t="s">
        <v>750</v>
      </c>
      <c r="D2073" s="18" t="s">
        <v>839</v>
      </c>
      <c r="E2073" s="18" t="s">
        <v>703</v>
      </c>
      <c r="F2073" s="18" t="s">
        <v>704</v>
      </c>
      <c r="G2073" s="18" t="s">
        <v>675</v>
      </c>
      <c r="H2073" s="18" t="s">
        <v>708</v>
      </c>
      <c r="I2073" s="315">
        <v>48.386691802019286</v>
      </c>
      <c r="J2073" s="315">
        <v>3.3196250358120891E-3</v>
      </c>
      <c r="K2073" s="316" t="str">
        <f t="shared" si="44"/>
        <v>Industrial Equipment</v>
      </c>
      <c r="L2073" s="316" t="str">
        <f t="shared" si="45"/>
        <v>Gasoline</v>
      </c>
      <c r="M2073" s="8"/>
      <c r="N2073" s="2"/>
      <c r="O2073" s="2"/>
      <c r="P2073" s="2"/>
      <c r="Q2073" s="2"/>
      <c r="R2073" s="2"/>
      <c r="S2073" s="2"/>
      <c r="T2073" s="2"/>
      <c r="U2073" s="2"/>
      <c r="V2073" s="2"/>
      <c r="W2073" s="2"/>
      <c r="X2073" s="2"/>
      <c r="Y2073" s="2"/>
      <c r="Z2073" s="2"/>
    </row>
    <row r="2074" spans="1:26" ht="12.75" x14ac:dyDescent="0.2">
      <c r="A2074" s="230"/>
      <c r="B2074" s="18">
        <v>2023</v>
      </c>
      <c r="C2074" s="18" t="s">
        <v>743</v>
      </c>
      <c r="D2074" s="18" t="s">
        <v>1077</v>
      </c>
      <c r="E2074" s="18" t="s">
        <v>713</v>
      </c>
      <c r="F2074" s="18" t="s">
        <v>714</v>
      </c>
      <c r="G2074" s="18" t="s">
        <v>675</v>
      </c>
      <c r="H2074" s="18" t="s">
        <v>1078</v>
      </c>
      <c r="I2074" s="315">
        <v>48.359960942189126</v>
      </c>
      <c r="J2074" s="315">
        <v>1.2263739660047528E-3</v>
      </c>
      <c r="K2074" s="316" t="str">
        <f t="shared" si="44"/>
        <v>Industrial Equipment</v>
      </c>
      <c r="L2074" s="316" t="str">
        <f t="shared" si="45"/>
        <v>Diesel</v>
      </c>
      <c r="M2074" s="8"/>
      <c r="N2074" s="2"/>
      <c r="O2074" s="2"/>
      <c r="P2074" s="2"/>
      <c r="Q2074" s="2"/>
      <c r="R2074" s="2"/>
      <c r="S2074" s="2"/>
      <c r="T2074" s="2"/>
      <c r="U2074" s="2"/>
      <c r="V2074" s="2"/>
      <c r="W2074" s="2"/>
      <c r="X2074" s="2"/>
      <c r="Y2074" s="2"/>
      <c r="Z2074" s="2"/>
    </row>
    <row r="2075" spans="1:26" ht="12.75" x14ac:dyDescent="0.2">
      <c r="A2075" s="230"/>
      <c r="B2075" s="18">
        <v>2023</v>
      </c>
      <c r="C2075" s="18" t="s">
        <v>706</v>
      </c>
      <c r="D2075" s="18" t="s">
        <v>1228</v>
      </c>
      <c r="E2075" s="18" t="s">
        <v>703</v>
      </c>
      <c r="F2075" s="18" t="s">
        <v>704</v>
      </c>
      <c r="G2075" s="18" t="s">
        <v>675</v>
      </c>
      <c r="H2075" s="18" t="s">
        <v>1078</v>
      </c>
      <c r="I2075" s="315">
        <v>48.262946153406965</v>
      </c>
      <c r="J2075" s="315">
        <v>1.6291578844056031E-2</v>
      </c>
      <c r="K2075" s="316" t="str">
        <f t="shared" si="44"/>
        <v>Industrial Equipment</v>
      </c>
      <c r="L2075" s="316" t="str">
        <f t="shared" si="45"/>
        <v>Gasoline</v>
      </c>
      <c r="M2075" s="8"/>
      <c r="N2075" s="2"/>
      <c r="O2075" s="2"/>
      <c r="P2075" s="2"/>
      <c r="Q2075" s="2"/>
      <c r="R2075" s="2"/>
      <c r="S2075" s="2"/>
      <c r="T2075" s="2"/>
      <c r="U2075" s="2"/>
      <c r="V2075" s="2"/>
      <c r="W2075" s="2"/>
      <c r="X2075" s="2"/>
      <c r="Y2075" s="2"/>
      <c r="Z2075" s="2"/>
    </row>
    <row r="2076" spans="1:26" ht="12.75" x14ac:dyDescent="0.2">
      <c r="A2076" s="230"/>
      <c r="B2076" s="18">
        <v>2023</v>
      </c>
      <c r="C2076" s="18" t="s">
        <v>710</v>
      </c>
      <c r="D2076" s="18" t="s">
        <v>1218</v>
      </c>
      <c r="E2076" s="18" t="s">
        <v>703</v>
      </c>
      <c r="F2076" s="18" t="s">
        <v>704</v>
      </c>
      <c r="G2076" s="18" t="s">
        <v>673</v>
      </c>
      <c r="H2076" s="18" t="s">
        <v>996</v>
      </c>
      <c r="I2076" s="315">
        <v>48.246341650599199</v>
      </c>
      <c r="J2076" s="315">
        <v>3.3599221101093708E-2</v>
      </c>
      <c r="K2076" s="316" t="str">
        <f t="shared" si="44"/>
        <v>Lawn and Garden Equipment</v>
      </c>
      <c r="L2076" s="316" t="str">
        <f t="shared" si="45"/>
        <v>Gasoline</v>
      </c>
      <c r="M2076" s="8"/>
      <c r="N2076" s="2"/>
      <c r="O2076" s="2"/>
      <c r="P2076" s="2"/>
      <c r="Q2076" s="2"/>
      <c r="R2076" s="2"/>
      <c r="S2076" s="2"/>
      <c r="T2076" s="2"/>
      <c r="U2076" s="2"/>
      <c r="V2076" s="2"/>
      <c r="W2076" s="2"/>
      <c r="X2076" s="2"/>
      <c r="Y2076" s="2"/>
      <c r="Z2076" s="2"/>
    </row>
    <row r="2077" spans="1:26" ht="12.75" x14ac:dyDescent="0.2">
      <c r="A2077" s="230"/>
      <c r="B2077" s="18">
        <v>2023</v>
      </c>
      <c r="C2077" s="18" t="s">
        <v>762</v>
      </c>
      <c r="D2077" s="18" t="s">
        <v>1229</v>
      </c>
      <c r="E2077" s="18" t="s">
        <v>713</v>
      </c>
      <c r="F2077" s="18" t="s">
        <v>714</v>
      </c>
      <c r="G2077" s="18" t="s">
        <v>678</v>
      </c>
      <c r="H2077" s="18" t="s">
        <v>1230</v>
      </c>
      <c r="I2077" s="315">
        <v>48.202433279845245</v>
      </c>
      <c r="J2077" s="315">
        <v>3.6345740773535641E-4</v>
      </c>
      <c r="K2077" s="316" t="str">
        <f t="shared" si="44"/>
        <v>Agricultural Equipment</v>
      </c>
      <c r="L2077" s="316" t="str">
        <f t="shared" si="45"/>
        <v>Diesel</v>
      </c>
      <c r="M2077" s="8"/>
      <c r="N2077" s="2"/>
      <c r="O2077" s="2"/>
      <c r="P2077" s="2"/>
      <c r="Q2077" s="2"/>
      <c r="R2077" s="2"/>
      <c r="S2077" s="2"/>
      <c r="T2077" s="2"/>
      <c r="U2077" s="2"/>
      <c r="V2077" s="2"/>
      <c r="W2077" s="2"/>
      <c r="X2077" s="2"/>
      <c r="Y2077" s="2"/>
      <c r="Z2077" s="2"/>
    </row>
    <row r="2078" spans="1:26" ht="12.75" x14ac:dyDescent="0.2">
      <c r="A2078" s="230"/>
      <c r="B2078" s="18">
        <v>2023</v>
      </c>
      <c r="C2078" s="18" t="s">
        <v>732</v>
      </c>
      <c r="D2078" s="18" t="s">
        <v>1034</v>
      </c>
      <c r="E2078" s="18" t="s">
        <v>713</v>
      </c>
      <c r="F2078" s="18" t="s">
        <v>714</v>
      </c>
      <c r="G2078" s="18" t="s">
        <v>677</v>
      </c>
      <c r="H2078" s="18" t="s">
        <v>1031</v>
      </c>
      <c r="I2078" s="315">
        <v>48.188325705922381</v>
      </c>
      <c r="J2078" s="315">
        <v>8.3741004662439707E-4</v>
      </c>
      <c r="K2078" s="316" t="str">
        <f t="shared" si="44"/>
        <v>Commercial Equipment</v>
      </c>
      <c r="L2078" s="316" t="str">
        <f t="shared" si="45"/>
        <v>Diesel</v>
      </c>
      <c r="M2078" s="8"/>
      <c r="N2078" s="2"/>
      <c r="O2078" s="2"/>
      <c r="P2078" s="2"/>
      <c r="Q2078" s="2"/>
      <c r="R2078" s="2"/>
      <c r="S2078" s="2"/>
      <c r="T2078" s="2"/>
      <c r="U2078" s="2"/>
      <c r="V2078" s="2"/>
      <c r="W2078" s="2"/>
      <c r="X2078" s="2"/>
      <c r="Y2078" s="2"/>
      <c r="Z2078" s="2"/>
    </row>
    <row r="2079" spans="1:26" ht="12.75" x14ac:dyDescent="0.2">
      <c r="A2079" s="230"/>
      <c r="B2079" s="18">
        <v>2023</v>
      </c>
      <c r="C2079" s="18" t="s">
        <v>786</v>
      </c>
      <c r="D2079" s="18" t="s">
        <v>858</v>
      </c>
      <c r="E2079" s="18" t="s">
        <v>713</v>
      </c>
      <c r="F2079" s="18" t="s">
        <v>714</v>
      </c>
      <c r="G2079" s="18" t="s">
        <v>674</v>
      </c>
      <c r="H2079" s="18" t="s">
        <v>859</v>
      </c>
      <c r="I2079" s="315">
        <v>48.163149285888558</v>
      </c>
      <c r="J2079" s="315">
        <v>4.2751532531609497E-4</v>
      </c>
      <c r="K2079" s="316" t="str">
        <f t="shared" si="44"/>
        <v>Construction and Mining Equipment</v>
      </c>
      <c r="L2079" s="316" t="str">
        <f t="shared" si="45"/>
        <v>Diesel</v>
      </c>
      <c r="M2079" s="8"/>
      <c r="N2079" s="2"/>
      <c r="O2079" s="2"/>
      <c r="P2079" s="2"/>
      <c r="Q2079" s="2"/>
      <c r="R2079" s="2"/>
      <c r="S2079" s="2"/>
      <c r="T2079" s="2"/>
      <c r="U2079" s="2"/>
      <c r="V2079" s="2"/>
      <c r="W2079" s="2"/>
      <c r="X2079" s="2"/>
      <c r="Y2079" s="2"/>
      <c r="Z2079" s="2"/>
    </row>
    <row r="2080" spans="1:26" ht="12.75" x14ac:dyDescent="0.2">
      <c r="A2080" s="230"/>
      <c r="B2080" s="18">
        <v>2023</v>
      </c>
      <c r="C2080" s="18" t="s">
        <v>762</v>
      </c>
      <c r="D2080" s="18" t="s">
        <v>868</v>
      </c>
      <c r="E2080" s="18" t="s">
        <v>703</v>
      </c>
      <c r="F2080" s="18" t="s">
        <v>704</v>
      </c>
      <c r="G2080" s="18" t="s">
        <v>673</v>
      </c>
      <c r="H2080" s="18" t="s">
        <v>758</v>
      </c>
      <c r="I2080" s="315">
        <v>48.139495398905737</v>
      </c>
      <c r="J2080" s="315">
        <v>3.1495510055014511E-2</v>
      </c>
      <c r="K2080" s="316" t="str">
        <f t="shared" si="44"/>
        <v>Lawn and Garden Equipment</v>
      </c>
      <c r="L2080" s="316" t="str">
        <f t="shared" si="45"/>
        <v>Gasoline</v>
      </c>
      <c r="M2080" s="8"/>
      <c r="N2080" s="2"/>
      <c r="O2080" s="2"/>
      <c r="P2080" s="2"/>
      <c r="Q2080" s="2"/>
      <c r="R2080" s="2"/>
      <c r="S2080" s="2"/>
      <c r="T2080" s="2"/>
      <c r="U2080" s="2"/>
      <c r="V2080" s="2"/>
      <c r="W2080" s="2"/>
      <c r="X2080" s="2"/>
      <c r="Y2080" s="2"/>
      <c r="Z2080" s="2"/>
    </row>
    <row r="2081" spans="1:26" ht="12.75" x14ac:dyDescent="0.2">
      <c r="A2081" s="230"/>
      <c r="B2081" s="18">
        <v>2023</v>
      </c>
      <c r="C2081" s="18" t="s">
        <v>701</v>
      </c>
      <c r="D2081" s="18" t="s">
        <v>1213</v>
      </c>
      <c r="E2081" s="18" t="s">
        <v>56</v>
      </c>
      <c r="F2081" s="18" t="s">
        <v>672</v>
      </c>
      <c r="G2081" s="18" t="s">
        <v>674</v>
      </c>
      <c r="H2081" s="18" t="s">
        <v>715</v>
      </c>
      <c r="I2081" s="315">
        <v>48.006937193341138</v>
      </c>
      <c r="J2081" s="315">
        <v>2.1801578565396342E-3</v>
      </c>
      <c r="K2081" s="316" t="str">
        <f t="shared" si="44"/>
        <v>Construction and Mining Equipment</v>
      </c>
      <c r="L2081" s="316" t="str">
        <f t="shared" si="45"/>
        <v>LPG</v>
      </c>
      <c r="M2081" s="8"/>
      <c r="N2081" s="2"/>
      <c r="O2081" s="2"/>
      <c r="P2081" s="2"/>
      <c r="Q2081" s="2"/>
      <c r="R2081" s="2"/>
      <c r="S2081" s="2"/>
      <c r="T2081" s="2"/>
      <c r="U2081" s="2"/>
      <c r="V2081" s="2"/>
      <c r="W2081" s="2"/>
      <c r="X2081" s="2"/>
      <c r="Y2081" s="2"/>
      <c r="Z2081" s="2"/>
    </row>
    <row r="2082" spans="1:26" ht="12.75" x14ac:dyDescent="0.2">
      <c r="A2082" s="230"/>
      <c r="B2082" s="18">
        <v>2023</v>
      </c>
      <c r="C2082" s="18" t="s">
        <v>787</v>
      </c>
      <c r="D2082" s="18" t="s">
        <v>986</v>
      </c>
      <c r="E2082" s="18" t="s">
        <v>703</v>
      </c>
      <c r="F2082" s="18" t="s">
        <v>704</v>
      </c>
      <c r="G2082" s="18" t="s">
        <v>673</v>
      </c>
      <c r="H2082" s="18" t="s">
        <v>987</v>
      </c>
      <c r="I2082" s="315">
        <v>47.835415839611663</v>
      </c>
      <c r="J2082" s="315">
        <v>3.2802178881274534E-2</v>
      </c>
      <c r="K2082" s="316" t="str">
        <f t="shared" si="44"/>
        <v>Lawn and Garden Equipment</v>
      </c>
      <c r="L2082" s="316" t="str">
        <f t="shared" si="45"/>
        <v>Gasoline</v>
      </c>
      <c r="M2082" s="8"/>
      <c r="N2082" s="2"/>
      <c r="O2082" s="2"/>
      <c r="P2082" s="2"/>
      <c r="Q2082" s="2"/>
      <c r="R2082" s="2"/>
      <c r="S2082" s="2"/>
      <c r="T2082" s="2"/>
      <c r="U2082" s="2"/>
      <c r="V2082" s="2"/>
      <c r="W2082" s="2"/>
      <c r="X2082" s="2"/>
      <c r="Y2082" s="2"/>
      <c r="Z2082" s="2"/>
    </row>
    <row r="2083" spans="1:26" ht="12.75" x14ac:dyDescent="0.2">
      <c r="A2083" s="230"/>
      <c r="B2083" s="18">
        <v>2023</v>
      </c>
      <c r="C2083" s="18" t="s">
        <v>786</v>
      </c>
      <c r="D2083" s="18" t="s">
        <v>864</v>
      </c>
      <c r="E2083" s="18" t="s">
        <v>703</v>
      </c>
      <c r="F2083" s="18" t="s">
        <v>704</v>
      </c>
      <c r="G2083" s="18" t="s">
        <v>673</v>
      </c>
      <c r="H2083" s="18" t="s">
        <v>865</v>
      </c>
      <c r="I2083" s="315">
        <v>47.817494018810592</v>
      </c>
      <c r="J2083" s="315">
        <v>3.2496944848171713E-2</v>
      </c>
      <c r="K2083" s="316" t="str">
        <f t="shared" si="44"/>
        <v>Lawn and Garden Equipment</v>
      </c>
      <c r="L2083" s="316" t="str">
        <f t="shared" si="45"/>
        <v>Gasoline</v>
      </c>
      <c r="M2083" s="8"/>
      <c r="N2083" s="2"/>
      <c r="O2083" s="2"/>
      <c r="P2083" s="2"/>
      <c r="Q2083" s="2"/>
      <c r="R2083" s="2"/>
      <c r="S2083" s="2"/>
      <c r="T2083" s="2"/>
      <c r="U2083" s="2"/>
      <c r="V2083" s="2"/>
      <c r="W2083" s="2"/>
      <c r="X2083" s="2"/>
      <c r="Y2083" s="2"/>
      <c r="Z2083" s="2"/>
    </row>
    <row r="2084" spans="1:26" ht="12.75" x14ac:dyDescent="0.2">
      <c r="A2084" s="230"/>
      <c r="B2084" s="18">
        <v>2023</v>
      </c>
      <c r="C2084" s="18" t="s">
        <v>753</v>
      </c>
      <c r="D2084" s="18" t="s">
        <v>964</v>
      </c>
      <c r="E2084" s="18" t="s">
        <v>56</v>
      </c>
      <c r="F2084" s="18" t="s">
        <v>601</v>
      </c>
      <c r="G2084" s="18" t="s">
        <v>677</v>
      </c>
      <c r="H2084" s="18" t="s">
        <v>965</v>
      </c>
      <c r="I2084" s="315">
        <v>47.791247181293521</v>
      </c>
      <c r="J2084" s="315">
        <v>0.22837636457319646</v>
      </c>
      <c r="K2084" s="316" t="str">
        <f t="shared" si="44"/>
        <v>Commercial Equipment</v>
      </c>
      <c r="L2084" s="316" t="str">
        <f t="shared" si="45"/>
        <v>CNG</v>
      </c>
      <c r="M2084" s="8"/>
      <c r="N2084" s="2"/>
      <c r="O2084" s="2"/>
      <c r="P2084" s="2"/>
      <c r="Q2084" s="2"/>
      <c r="R2084" s="2"/>
      <c r="S2084" s="2"/>
      <c r="T2084" s="2"/>
      <c r="U2084" s="2"/>
      <c r="V2084" s="2"/>
      <c r="W2084" s="2"/>
      <c r="X2084" s="2"/>
      <c r="Y2084" s="2"/>
      <c r="Z2084" s="2"/>
    </row>
    <row r="2085" spans="1:26" ht="12.75" x14ac:dyDescent="0.2">
      <c r="A2085" s="230"/>
      <c r="B2085" s="18">
        <v>2023</v>
      </c>
      <c r="C2085" s="18" t="s">
        <v>701</v>
      </c>
      <c r="D2085" s="18" t="s">
        <v>1214</v>
      </c>
      <c r="E2085" s="18" t="s">
        <v>713</v>
      </c>
      <c r="F2085" s="18" t="s">
        <v>714</v>
      </c>
      <c r="G2085" s="18" t="s">
        <v>674</v>
      </c>
      <c r="H2085" s="18" t="s">
        <v>999</v>
      </c>
      <c r="I2085" s="315">
        <v>47.630910941682899</v>
      </c>
      <c r="J2085" s="315">
        <v>1.4101118666210817E-3</v>
      </c>
      <c r="K2085" s="316" t="str">
        <f t="shared" si="44"/>
        <v>Construction and Mining Equipment</v>
      </c>
      <c r="L2085" s="316" t="str">
        <f t="shared" si="45"/>
        <v>Diesel</v>
      </c>
      <c r="M2085" s="8"/>
      <c r="N2085" s="2"/>
      <c r="O2085" s="2"/>
      <c r="P2085" s="2"/>
      <c r="Q2085" s="2"/>
      <c r="R2085" s="2"/>
      <c r="S2085" s="2"/>
      <c r="T2085" s="2"/>
      <c r="U2085" s="2"/>
      <c r="V2085" s="2"/>
      <c r="W2085" s="2"/>
      <c r="X2085" s="2"/>
      <c r="Y2085" s="2"/>
      <c r="Z2085" s="2"/>
    </row>
    <row r="2086" spans="1:26" ht="12.75" x14ac:dyDescent="0.2">
      <c r="A2086" s="230"/>
      <c r="B2086" s="18">
        <v>2023</v>
      </c>
      <c r="C2086" s="18" t="s">
        <v>701</v>
      </c>
      <c r="D2086" s="18" t="s">
        <v>1079</v>
      </c>
      <c r="E2086" s="18" t="s">
        <v>713</v>
      </c>
      <c r="F2086" s="18" t="s">
        <v>714</v>
      </c>
      <c r="G2086" s="18" t="s">
        <v>678</v>
      </c>
      <c r="H2086" s="18" t="s">
        <v>1080</v>
      </c>
      <c r="I2086" s="315">
        <v>47.569936003763274</v>
      </c>
      <c r="J2086" s="315">
        <v>3.4523455358322639E-4</v>
      </c>
      <c r="K2086" s="316" t="str">
        <f t="shared" si="44"/>
        <v>Agricultural Equipment</v>
      </c>
      <c r="L2086" s="316" t="str">
        <f t="shared" si="45"/>
        <v>Diesel</v>
      </c>
      <c r="M2086" s="8"/>
      <c r="N2086" s="2"/>
      <c r="O2086" s="2"/>
      <c r="P2086" s="2"/>
      <c r="Q2086" s="2"/>
      <c r="R2086" s="2"/>
      <c r="S2086" s="2"/>
      <c r="T2086" s="2"/>
      <c r="U2086" s="2"/>
      <c r="V2086" s="2"/>
      <c r="W2086" s="2"/>
      <c r="X2086" s="2"/>
      <c r="Y2086" s="2"/>
      <c r="Z2086" s="2"/>
    </row>
    <row r="2087" spans="1:26" ht="12.75" x14ac:dyDescent="0.2">
      <c r="A2087" s="230"/>
      <c r="B2087" s="18">
        <v>2023</v>
      </c>
      <c r="C2087" s="18" t="s">
        <v>760</v>
      </c>
      <c r="D2087" s="18" t="s">
        <v>988</v>
      </c>
      <c r="E2087" s="18" t="s">
        <v>703</v>
      </c>
      <c r="F2087" s="18" t="s">
        <v>805</v>
      </c>
      <c r="G2087" s="18" t="s">
        <v>673</v>
      </c>
      <c r="H2087" s="18" t="s">
        <v>768</v>
      </c>
      <c r="I2087" s="315">
        <v>47.551250845297076</v>
      </c>
      <c r="J2087" s="315">
        <v>8.8526178019445512E-2</v>
      </c>
      <c r="K2087" s="316" t="str">
        <f t="shared" si="44"/>
        <v>Lawn and Garden Equipment</v>
      </c>
      <c r="L2087" s="316" t="str">
        <f t="shared" si="45"/>
        <v>Gasoline</v>
      </c>
      <c r="M2087" s="8"/>
      <c r="N2087" s="2"/>
      <c r="O2087" s="2"/>
      <c r="P2087" s="2"/>
      <c r="Q2087" s="2"/>
      <c r="R2087" s="2"/>
      <c r="S2087" s="2"/>
      <c r="T2087" s="2"/>
      <c r="U2087" s="2"/>
      <c r="V2087" s="2"/>
      <c r="W2087" s="2"/>
      <c r="X2087" s="2"/>
      <c r="Y2087" s="2"/>
      <c r="Z2087" s="2"/>
    </row>
    <row r="2088" spans="1:26" ht="12.75" x14ac:dyDescent="0.2">
      <c r="A2088" s="230"/>
      <c r="B2088" s="18">
        <v>2023</v>
      </c>
      <c r="C2088" s="18" t="s">
        <v>750</v>
      </c>
      <c r="D2088" s="18" t="s">
        <v>986</v>
      </c>
      <c r="E2088" s="18" t="s">
        <v>703</v>
      </c>
      <c r="F2088" s="18" t="s">
        <v>704</v>
      </c>
      <c r="G2088" s="18" t="s">
        <v>673</v>
      </c>
      <c r="H2088" s="18" t="s">
        <v>987</v>
      </c>
      <c r="I2088" s="315">
        <v>47.526502972467874</v>
      </c>
      <c r="J2088" s="315">
        <v>3.2478527350692253E-2</v>
      </c>
      <c r="K2088" s="316" t="str">
        <f t="shared" ref="K2088:K2342" si="46">IF(F2088="Pleasure Craft","Pleasure Craft",IF(F2088="Railroad Equipment","Railroad Equipment",G2088))</f>
        <v>Lawn and Garden Equipment</v>
      </c>
      <c r="L2088" s="316" t="str">
        <f t="shared" ref="L2088:L2342" si="47">IF(E2088="Non-Road Gasoline","Gasoline",IF(E2088="Non-Road Diesel","Diesel",IF(RIGHT(F2088,3)="LPG","LPG",IF(RIGHT(F2088,3)="CNG","CNG",G2088))))</f>
        <v>Gasoline</v>
      </c>
      <c r="M2088" s="8"/>
      <c r="N2088" s="2"/>
      <c r="O2088" s="2"/>
      <c r="P2088" s="2"/>
      <c r="Q2088" s="2"/>
      <c r="R2088" s="2"/>
      <c r="S2088" s="2"/>
      <c r="T2088" s="2"/>
      <c r="U2088" s="2"/>
      <c r="V2088" s="2"/>
      <c r="W2088" s="2"/>
      <c r="X2088" s="2"/>
      <c r="Y2088" s="2"/>
      <c r="Z2088" s="2"/>
    </row>
    <row r="2089" spans="1:26" x14ac:dyDescent="0.25">
      <c r="A2089" s="314"/>
      <c r="B2089" s="18">
        <v>2023</v>
      </c>
      <c r="C2089" s="18" t="s">
        <v>731</v>
      </c>
      <c r="D2089" s="18" t="s">
        <v>860</v>
      </c>
      <c r="E2089" s="18" t="s">
        <v>713</v>
      </c>
      <c r="F2089" s="18" t="s">
        <v>714</v>
      </c>
      <c r="G2089" s="18" t="s">
        <v>674</v>
      </c>
      <c r="H2089" s="18" t="s">
        <v>861</v>
      </c>
      <c r="I2089" s="315">
        <v>47.439606979541452</v>
      </c>
      <c r="J2089" s="315">
        <v>7.8622464967595136E-4</v>
      </c>
      <c r="K2089" s="316" t="str">
        <f t="shared" si="46"/>
        <v>Construction and Mining Equipment</v>
      </c>
      <c r="L2089" s="316" t="str">
        <f t="shared" si="47"/>
        <v>Diesel</v>
      </c>
      <c r="M2089" s="194"/>
      <c r="N2089" s="317"/>
      <c r="O2089" s="317"/>
      <c r="P2089" s="317"/>
      <c r="Q2089" s="317"/>
      <c r="R2089" s="317"/>
      <c r="S2089" s="317"/>
      <c r="T2089" s="317"/>
      <c r="U2089" s="317"/>
      <c r="V2089" s="317"/>
      <c r="W2089" s="317"/>
      <c r="X2089" s="317"/>
      <c r="Y2089" s="317"/>
      <c r="Z2089" s="317"/>
    </row>
    <row r="2090" spans="1:26" x14ac:dyDescent="0.25">
      <c r="A2090" s="314"/>
      <c r="B2090" s="18">
        <v>2023</v>
      </c>
      <c r="C2090" s="18" t="s">
        <v>760</v>
      </c>
      <c r="D2090" s="18" t="s">
        <v>1071</v>
      </c>
      <c r="E2090" s="18" t="s">
        <v>713</v>
      </c>
      <c r="F2090" s="18" t="s">
        <v>714</v>
      </c>
      <c r="G2090" s="18" t="s">
        <v>674</v>
      </c>
      <c r="H2090" s="18" t="s">
        <v>1072</v>
      </c>
      <c r="I2090" s="315">
        <v>47.403518099508048</v>
      </c>
      <c r="J2090" s="315">
        <v>6.3470235522788184E-4</v>
      </c>
      <c r="K2090" s="316" t="str">
        <f t="shared" si="46"/>
        <v>Construction and Mining Equipment</v>
      </c>
      <c r="L2090" s="316" t="str">
        <f t="shared" si="47"/>
        <v>Diesel</v>
      </c>
      <c r="M2090" s="194"/>
      <c r="N2090" s="317"/>
      <c r="O2090" s="317"/>
      <c r="P2090" s="317"/>
      <c r="Q2090" s="317"/>
      <c r="R2090" s="317"/>
      <c r="S2090" s="317"/>
      <c r="T2090" s="317"/>
      <c r="U2090" s="317"/>
      <c r="V2090" s="317"/>
      <c r="W2090" s="317"/>
      <c r="X2090" s="317"/>
      <c r="Y2090" s="317"/>
      <c r="Z2090" s="317"/>
    </row>
    <row r="2091" spans="1:26" x14ac:dyDescent="0.25">
      <c r="A2091" s="314"/>
      <c r="B2091" s="18">
        <v>2023</v>
      </c>
      <c r="C2091" s="18" t="s">
        <v>732</v>
      </c>
      <c r="D2091" s="18" t="s">
        <v>1037</v>
      </c>
      <c r="E2091" s="18" t="s">
        <v>56</v>
      </c>
      <c r="F2091" s="18" t="s">
        <v>672</v>
      </c>
      <c r="G2091" s="18" t="s">
        <v>677</v>
      </c>
      <c r="H2091" s="18" t="s">
        <v>841</v>
      </c>
      <c r="I2091" s="315">
        <v>47.400129594538257</v>
      </c>
      <c r="J2091" s="315">
        <v>4.798185248282974E-3</v>
      </c>
      <c r="K2091" s="316" t="str">
        <f t="shared" si="46"/>
        <v>Commercial Equipment</v>
      </c>
      <c r="L2091" s="316" t="str">
        <f t="shared" si="47"/>
        <v>LPG</v>
      </c>
      <c r="M2091" s="194"/>
      <c r="N2091" s="317"/>
      <c r="O2091" s="317"/>
      <c r="P2091" s="317"/>
      <c r="Q2091" s="317"/>
      <c r="R2091" s="317"/>
      <c r="S2091" s="317"/>
      <c r="T2091" s="317"/>
      <c r="U2091" s="317"/>
      <c r="V2091" s="317"/>
      <c r="W2091" s="317"/>
      <c r="X2091" s="317"/>
      <c r="Y2091" s="317"/>
      <c r="Z2091" s="317"/>
    </row>
    <row r="2092" spans="1:26" x14ac:dyDescent="0.25">
      <c r="A2092" s="314"/>
      <c r="B2092" s="18">
        <v>2023</v>
      </c>
      <c r="C2092" s="18" t="s">
        <v>750</v>
      </c>
      <c r="D2092" s="18" t="s">
        <v>880</v>
      </c>
      <c r="E2092" s="18" t="s">
        <v>703</v>
      </c>
      <c r="F2092" s="18" t="s">
        <v>704</v>
      </c>
      <c r="G2092" s="18" t="s">
        <v>677</v>
      </c>
      <c r="H2092" s="18" t="s">
        <v>785</v>
      </c>
      <c r="I2092" s="315">
        <v>47.280677009279835</v>
      </c>
      <c r="J2092" s="315">
        <v>2.7142940691871505E-2</v>
      </c>
      <c r="K2092" s="316" t="str">
        <f t="shared" si="46"/>
        <v>Commercial Equipment</v>
      </c>
      <c r="L2092" s="316" t="str">
        <f t="shared" si="47"/>
        <v>Gasoline</v>
      </c>
      <c r="M2092" s="194"/>
      <c r="N2092" s="317"/>
      <c r="O2092" s="317"/>
      <c r="P2092" s="317"/>
      <c r="Q2092" s="317"/>
      <c r="R2092" s="317"/>
      <c r="S2092" s="317"/>
      <c r="T2092" s="317"/>
      <c r="U2092" s="317"/>
      <c r="V2092" s="317"/>
      <c r="W2092" s="317"/>
      <c r="X2092" s="317"/>
      <c r="Y2092" s="317"/>
      <c r="Z2092" s="317"/>
    </row>
    <row r="2093" spans="1:26" x14ac:dyDescent="0.25">
      <c r="A2093" s="314"/>
      <c r="B2093" s="18">
        <v>2023</v>
      </c>
      <c r="C2093" s="18" t="s">
        <v>773</v>
      </c>
      <c r="D2093" s="18" t="s">
        <v>986</v>
      </c>
      <c r="E2093" s="18" t="s">
        <v>703</v>
      </c>
      <c r="F2093" s="18" t="s">
        <v>704</v>
      </c>
      <c r="G2093" s="18" t="s">
        <v>673</v>
      </c>
      <c r="H2093" s="18" t="s">
        <v>987</v>
      </c>
      <c r="I2093" s="315">
        <v>47.224148846859329</v>
      </c>
      <c r="J2093" s="315">
        <v>3.2234778954442114E-2</v>
      </c>
      <c r="K2093" s="316" t="str">
        <f t="shared" si="46"/>
        <v>Lawn and Garden Equipment</v>
      </c>
      <c r="L2093" s="316" t="str">
        <f t="shared" si="47"/>
        <v>Gasoline</v>
      </c>
      <c r="M2093" s="194"/>
      <c r="N2093" s="317"/>
      <c r="O2093" s="317"/>
      <c r="P2093" s="317"/>
      <c r="Q2093" s="317"/>
      <c r="R2093" s="317"/>
      <c r="S2093" s="317"/>
      <c r="T2093" s="317"/>
      <c r="U2093" s="317"/>
      <c r="V2093" s="317"/>
      <c r="W2093" s="317"/>
      <c r="X2093" s="317"/>
      <c r="Y2093" s="317"/>
      <c r="Z2093" s="317"/>
    </row>
    <row r="2094" spans="1:26" x14ac:dyDescent="0.25">
      <c r="A2094" s="314"/>
      <c r="B2094" s="18">
        <v>2023</v>
      </c>
      <c r="C2094" s="18" t="s">
        <v>760</v>
      </c>
      <c r="D2094" s="18" t="s">
        <v>1030</v>
      </c>
      <c r="E2094" s="18" t="s">
        <v>703</v>
      </c>
      <c r="F2094" s="18" t="s">
        <v>704</v>
      </c>
      <c r="G2094" s="18" t="s">
        <v>677</v>
      </c>
      <c r="H2094" s="18" t="s">
        <v>1031</v>
      </c>
      <c r="I2094" s="315">
        <v>47.217640630796431</v>
      </c>
      <c r="J2094" s="315">
        <v>3.2859698881869639E-2</v>
      </c>
      <c r="K2094" s="316" t="str">
        <f t="shared" si="46"/>
        <v>Commercial Equipment</v>
      </c>
      <c r="L2094" s="316" t="str">
        <f t="shared" si="47"/>
        <v>Gasoline</v>
      </c>
      <c r="M2094" s="194"/>
      <c r="N2094" s="317"/>
      <c r="O2094" s="317"/>
      <c r="P2094" s="317"/>
      <c r="Q2094" s="317"/>
      <c r="R2094" s="317"/>
      <c r="S2094" s="317"/>
      <c r="T2094" s="317"/>
      <c r="U2094" s="317"/>
      <c r="V2094" s="317"/>
      <c r="W2094" s="317"/>
      <c r="X2094" s="317"/>
      <c r="Y2094" s="317"/>
      <c r="Z2094" s="317"/>
    </row>
    <row r="2095" spans="1:26" x14ac:dyDescent="0.25">
      <c r="A2095" s="314"/>
      <c r="B2095" s="18">
        <v>2023</v>
      </c>
      <c r="C2095" s="18" t="s">
        <v>743</v>
      </c>
      <c r="D2095" s="18" t="s">
        <v>998</v>
      </c>
      <c r="E2095" s="18" t="s">
        <v>703</v>
      </c>
      <c r="F2095" s="18" t="s">
        <v>704</v>
      </c>
      <c r="G2095" s="18" t="s">
        <v>674</v>
      </c>
      <c r="H2095" s="18" t="s">
        <v>999</v>
      </c>
      <c r="I2095" s="315">
        <v>47.18633111425298</v>
      </c>
      <c r="J2095" s="315">
        <v>3.1311789005082899E-2</v>
      </c>
      <c r="K2095" s="316" t="str">
        <f t="shared" si="46"/>
        <v>Construction and Mining Equipment</v>
      </c>
      <c r="L2095" s="316" t="str">
        <f t="shared" si="47"/>
        <v>Gasoline</v>
      </c>
      <c r="M2095" s="194"/>
      <c r="N2095" s="317"/>
      <c r="O2095" s="317"/>
      <c r="P2095" s="317"/>
      <c r="Q2095" s="317"/>
      <c r="R2095" s="317"/>
      <c r="S2095" s="317"/>
      <c r="T2095" s="317"/>
      <c r="U2095" s="317"/>
      <c r="V2095" s="317"/>
      <c r="W2095" s="317"/>
      <c r="X2095" s="317"/>
      <c r="Y2095" s="317"/>
      <c r="Z2095" s="317"/>
    </row>
    <row r="2096" spans="1:26" x14ac:dyDescent="0.25">
      <c r="A2096" s="314"/>
      <c r="B2096" s="18">
        <v>2023</v>
      </c>
      <c r="C2096" s="18" t="s">
        <v>711</v>
      </c>
      <c r="D2096" s="18" t="s">
        <v>1084</v>
      </c>
      <c r="E2096" s="18" t="s">
        <v>703</v>
      </c>
      <c r="F2096" s="18" t="s">
        <v>704</v>
      </c>
      <c r="G2096" s="18" t="s">
        <v>674</v>
      </c>
      <c r="H2096" s="18" t="s">
        <v>863</v>
      </c>
      <c r="I2096" s="315">
        <v>47.182541225871205</v>
      </c>
      <c r="J2096" s="315">
        <v>2.7579657482238108E-2</v>
      </c>
      <c r="K2096" s="316" t="str">
        <f t="shared" si="46"/>
        <v>Construction and Mining Equipment</v>
      </c>
      <c r="L2096" s="316" t="str">
        <f t="shared" si="47"/>
        <v>Gasoline</v>
      </c>
      <c r="M2096" s="194"/>
      <c r="N2096" s="317"/>
      <c r="O2096" s="317"/>
      <c r="P2096" s="317"/>
      <c r="Q2096" s="317"/>
      <c r="R2096" s="317"/>
      <c r="S2096" s="317"/>
      <c r="T2096" s="317"/>
      <c r="U2096" s="317"/>
      <c r="V2096" s="317"/>
      <c r="W2096" s="317"/>
      <c r="X2096" s="317"/>
      <c r="Y2096" s="317"/>
      <c r="Z2096" s="317"/>
    </row>
    <row r="2097" spans="1:26" x14ac:dyDescent="0.25">
      <c r="A2097" s="314"/>
      <c r="B2097" s="18">
        <v>2023</v>
      </c>
      <c r="C2097" s="18" t="s">
        <v>778</v>
      </c>
      <c r="D2097" s="18" t="s">
        <v>925</v>
      </c>
      <c r="E2097" s="18" t="s">
        <v>703</v>
      </c>
      <c r="F2097" s="18" t="s">
        <v>704</v>
      </c>
      <c r="G2097" s="18" t="s">
        <v>675</v>
      </c>
      <c r="H2097" s="18" t="s">
        <v>798</v>
      </c>
      <c r="I2097" s="315">
        <v>47.181736069270727</v>
      </c>
      <c r="J2097" s="315">
        <v>3.5233830314489421E-2</v>
      </c>
      <c r="K2097" s="316" t="str">
        <f t="shared" si="46"/>
        <v>Industrial Equipment</v>
      </c>
      <c r="L2097" s="316" t="str">
        <f t="shared" si="47"/>
        <v>Gasoline</v>
      </c>
      <c r="M2097" s="194"/>
      <c r="N2097" s="317"/>
      <c r="O2097" s="317"/>
      <c r="P2097" s="317"/>
      <c r="Q2097" s="317"/>
      <c r="R2097" s="317"/>
      <c r="S2097" s="317"/>
      <c r="T2097" s="317"/>
      <c r="U2097" s="317"/>
      <c r="V2097" s="317"/>
      <c r="W2097" s="317"/>
      <c r="X2097" s="317"/>
      <c r="Y2097" s="317"/>
      <c r="Z2097" s="317"/>
    </row>
    <row r="2098" spans="1:26" x14ac:dyDescent="0.25">
      <c r="A2098" s="314"/>
      <c r="B2098" s="18">
        <v>2023</v>
      </c>
      <c r="C2098" s="18" t="s">
        <v>786</v>
      </c>
      <c r="D2098" s="18" t="s">
        <v>860</v>
      </c>
      <c r="E2098" s="18" t="s">
        <v>713</v>
      </c>
      <c r="F2098" s="18" t="s">
        <v>714</v>
      </c>
      <c r="G2098" s="18" t="s">
        <v>674</v>
      </c>
      <c r="H2098" s="18" t="s">
        <v>861</v>
      </c>
      <c r="I2098" s="315">
        <v>47.116492463093849</v>
      </c>
      <c r="J2098" s="315">
        <v>7.8086984828675855E-4</v>
      </c>
      <c r="K2098" s="316" t="str">
        <f t="shared" si="46"/>
        <v>Construction and Mining Equipment</v>
      </c>
      <c r="L2098" s="316" t="str">
        <f t="shared" si="47"/>
        <v>Diesel</v>
      </c>
      <c r="M2098" s="194"/>
      <c r="N2098" s="317"/>
      <c r="O2098" s="317"/>
      <c r="P2098" s="317"/>
      <c r="Q2098" s="317"/>
      <c r="R2098" s="317"/>
      <c r="S2098" s="317"/>
      <c r="T2098" s="317"/>
      <c r="U2098" s="317"/>
      <c r="V2098" s="317"/>
      <c r="W2098" s="317"/>
      <c r="X2098" s="317"/>
      <c r="Y2098" s="317"/>
      <c r="Z2098" s="317"/>
    </row>
    <row r="2099" spans="1:26" x14ac:dyDescent="0.25">
      <c r="A2099" s="314"/>
      <c r="B2099" s="18">
        <v>2023</v>
      </c>
      <c r="C2099" s="18" t="s">
        <v>760</v>
      </c>
      <c r="D2099" s="18" t="s">
        <v>1065</v>
      </c>
      <c r="E2099" s="18" t="s">
        <v>703</v>
      </c>
      <c r="F2099" s="18" t="s">
        <v>795</v>
      </c>
      <c r="G2099" s="18" t="s">
        <v>673</v>
      </c>
      <c r="H2099" s="18" t="s">
        <v>1066</v>
      </c>
      <c r="I2099" s="315">
        <v>47.043965929144704</v>
      </c>
      <c r="J2099" s="315">
        <v>0.32133198971034554</v>
      </c>
      <c r="K2099" s="316" t="str">
        <f t="shared" si="46"/>
        <v>Lawn and Garden Equipment</v>
      </c>
      <c r="L2099" s="316" t="str">
        <f t="shared" si="47"/>
        <v>Gasoline</v>
      </c>
      <c r="M2099" s="194"/>
      <c r="N2099" s="317"/>
      <c r="O2099" s="317"/>
      <c r="P2099" s="317"/>
      <c r="Q2099" s="317"/>
      <c r="R2099" s="317"/>
      <c r="S2099" s="317"/>
      <c r="T2099" s="317"/>
      <c r="U2099" s="317"/>
      <c r="V2099" s="317"/>
      <c r="W2099" s="317"/>
      <c r="X2099" s="317"/>
      <c r="Y2099" s="317"/>
      <c r="Z2099" s="317"/>
    </row>
    <row r="2100" spans="1:26" x14ac:dyDescent="0.25">
      <c r="A2100" s="314"/>
      <c r="B2100" s="18">
        <v>2023</v>
      </c>
      <c r="C2100" s="18" t="s">
        <v>732</v>
      </c>
      <c r="D2100" s="18" t="s">
        <v>1229</v>
      </c>
      <c r="E2100" s="18" t="s">
        <v>713</v>
      </c>
      <c r="F2100" s="18" t="s">
        <v>714</v>
      </c>
      <c r="G2100" s="18" t="s">
        <v>678</v>
      </c>
      <c r="H2100" s="18" t="s">
        <v>1230</v>
      </c>
      <c r="I2100" s="315">
        <v>47.019638708645914</v>
      </c>
      <c r="J2100" s="315">
        <v>3.5454014349739531E-4</v>
      </c>
      <c r="K2100" s="316" t="str">
        <f t="shared" si="46"/>
        <v>Agricultural Equipment</v>
      </c>
      <c r="L2100" s="316" t="str">
        <f t="shared" si="47"/>
        <v>Diesel</v>
      </c>
      <c r="M2100" s="194"/>
      <c r="N2100" s="317"/>
      <c r="O2100" s="317"/>
      <c r="P2100" s="317"/>
      <c r="Q2100" s="317"/>
      <c r="R2100" s="317"/>
      <c r="S2100" s="317"/>
      <c r="T2100" s="317"/>
      <c r="U2100" s="317"/>
      <c r="V2100" s="317"/>
      <c r="W2100" s="317"/>
      <c r="X2100" s="317"/>
      <c r="Y2100" s="317"/>
      <c r="Z2100" s="317"/>
    </row>
    <row r="2101" spans="1:26" x14ac:dyDescent="0.25">
      <c r="A2101" s="314"/>
      <c r="B2101" s="18">
        <v>2023</v>
      </c>
      <c r="C2101" s="18" t="s">
        <v>743</v>
      </c>
      <c r="D2101" s="18" t="s">
        <v>1000</v>
      </c>
      <c r="E2101" s="18" t="s">
        <v>703</v>
      </c>
      <c r="F2101" s="18" t="s">
        <v>704</v>
      </c>
      <c r="G2101" s="18" t="s">
        <v>674</v>
      </c>
      <c r="H2101" s="18" t="s">
        <v>850</v>
      </c>
      <c r="I2101" s="315">
        <v>47.012809082717816</v>
      </c>
      <c r="J2101" s="315">
        <v>2.8742824254301441E-2</v>
      </c>
      <c r="K2101" s="316" t="str">
        <f t="shared" si="46"/>
        <v>Construction and Mining Equipment</v>
      </c>
      <c r="L2101" s="316" t="str">
        <f t="shared" si="47"/>
        <v>Gasoline</v>
      </c>
      <c r="M2101" s="194"/>
      <c r="N2101" s="317"/>
      <c r="O2101" s="317"/>
      <c r="P2101" s="317"/>
      <c r="Q2101" s="317"/>
      <c r="R2101" s="317"/>
      <c r="S2101" s="317"/>
      <c r="T2101" s="317"/>
      <c r="U2101" s="317"/>
      <c r="V2101" s="317"/>
      <c r="W2101" s="317"/>
      <c r="X2101" s="317"/>
      <c r="Y2101" s="317"/>
      <c r="Z2101" s="317"/>
    </row>
    <row r="2102" spans="1:26" x14ac:dyDescent="0.25">
      <c r="A2102" s="314"/>
      <c r="B2102" s="18">
        <v>2023</v>
      </c>
      <c r="C2102" s="18" t="s">
        <v>722</v>
      </c>
      <c r="D2102" s="18" t="s">
        <v>1077</v>
      </c>
      <c r="E2102" s="18" t="s">
        <v>713</v>
      </c>
      <c r="F2102" s="18" t="s">
        <v>714</v>
      </c>
      <c r="G2102" s="18" t="s">
        <v>675</v>
      </c>
      <c r="H2102" s="18" t="s">
        <v>1078</v>
      </c>
      <c r="I2102" s="315">
        <v>46.968316749629182</v>
      </c>
      <c r="J2102" s="315">
        <v>1.1910813649382191E-3</v>
      </c>
      <c r="K2102" s="316" t="str">
        <f t="shared" si="46"/>
        <v>Industrial Equipment</v>
      </c>
      <c r="L2102" s="316" t="str">
        <f t="shared" si="47"/>
        <v>Diesel</v>
      </c>
      <c r="M2102" s="194"/>
      <c r="N2102" s="317"/>
      <c r="O2102" s="317"/>
      <c r="P2102" s="317"/>
      <c r="Q2102" s="317"/>
      <c r="R2102" s="317"/>
      <c r="S2102" s="317"/>
      <c r="T2102" s="317"/>
      <c r="U2102" s="317"/>
      <c r="V2102" s="317"/>
      <c r="W2102" s="317"/>
      <c r="X2102" s="317"/>
      <c r="Y2102" s="317"/>
      <c r="Z2102" s="317"/>
    </row>
    <row r="2103" spans="1:26" x14ac:dyDescent="0.25">
      <c r="A2103" s="314"/>
      <c r="B2103" s="18">
        <v>2023</v>
      </c>
      <c r="C2103" s="18" t="s">
        <v>792</v>
      </c>
      <c r="D2103" s="18" t="s">
        <v>997</v>
      </c>
      <c r="E2103" s="18" t="s">
        <v>56</v>
      </c>
      <c r="F2103" s="18" t="s">
        <v>672</v>
      </c>
      <c r="G2103" s="18" t="s">
        <v>675</v>
      </c>
      <c r="H2103" s="18" t="s">
        <v>969</v>
      </c>
      <c r="I2103" s="315">
        <v>46.955577010560177</v>
      </c>
      <c r="J2103" s="315">
        <v>5.842202533551554E-3</v>
      </c>
      <c r="K2103" s="316" t="str">
        <f t="shared" si="46"/>
        <v>Industrial Equipment</v>
      </c>
      <c r="L2103" s="316" t="str">
        <f t="shared" si="47"/>
        <v>LPG</v>
      </c>
      <c r="M2103" s="194"/>
      <c r="N2103" s="317"/>
      <c r="O2103" s="317"/>
      <c r="P2103" s="317"/>
      <c r="Q2103" s="317"/>
      <c r="R2103" s="317"/>
      <c r="S2103" s="317"/>
      <c r="T2103" s="317"/>
      <c r="U2103" s="317"/>
      <c r="V2103" s="317"/>
      <c r="W2103" s="317"/>
      <c r="X2103" s="317"/>
      <c r="Y2103" s="317"/>
      <c r="Z2103" s="317"/>
    </row>
    <row r="2104" spans="1:26" x14ac:dyDescent="0.25">
      <c r="A2104" s="314"/>
      <c r="B2104" s="18">
        <v>2023</v>
      </c>
      <c r="C2104" s="18" t="s">
        <v>754</v>
      </c>
      <c r="D2104" s="18" t="s">
        <v>1009</v>
      </c>
      <c r="E2104" s="18" t="s">
        <v>713</v>
      </c>
      <c r="F2104" s="18" t="s">
        <v>714</v>
      </c>
      <c r="G2104" s="18" t="s">
        <v>673</v>
      </c>
      <c r="H2104" s="18" t="s">
        <v>1010</v>
      </c>
      <c r="I2104" s="315">
        <v>46.768950280182182</v>
      </c>
      <c r="J2104" s="315">
        <v>6.8252161351509068E-4</v>
      </c>
      <c r="K2104" s="316" t="str">
        <f t="shared" si="46"/>
        <v>Lawn and Garden Equipment</v>
      </c>
      <c r="L2104" s="316" t="str">
        <f t="shared" si="47"/>
        <v>Diesel</v>
      </c>
      <c r="M2104" s="194"/>
      <c r="N2104" s="317"/>
      <c r="O2104" s="317"/>
      <c r="P2104" s="317"/>
      <c r="Q2104" s="317"/>
      <c r="R2104" s="317"/>
      <c r="S2104" s="317"/>
      <c r="T2104" s="317"/>
      <c r="U2104" s="317"/>
      <c r="V2104" s="317"/>
      <c r="W2104" s="317"/>
      <c r="X2104" s="317"/>
      <c r="Y2104" s="317"/>
      <c r="Z2104" s="317"/>
    </row>
    <row r="2105" spans="1:26" x14ac:dyDescent="0.25">
      <c r="A2105" s="314"/>
      <c r="B2105" s="18">
        <v>2023</v>
      </c>
      <c r="C2105" s="18" t="s">
        <v>754</v>
      </c>
      <c r="D2105" s="18" t="s">
        <v>1015</v>
      </c>
      <c r="E2105" s="18" t="s">
        <v>56</v>
      </c>
      <c r="F2105" s="18" t="s">
        <v>601</v>
      </c>
      <c r="G2105" s="18" t="s">
        <v>677</v>
      </c>
      <c r="H2105" s="18" t="s">
        <v>747</v>
      </c>
      <c r="I2105" s="315">
        <v>46.603866441732151</v>
      </c>
      <c r="J2105" s="315">
        <v>1.0426408127133251</v>
      </c>
      <c r="K2105" s="316" t="str">
        <f t="shared" si="46"/>
        <v>Commercial Equipment</v>
      </c>
      <c r="L2105" s="316" t="str">
        <f t="shared" si="47"/>
        <v>CNG</v>
      </c>
      <c r="M2105" s="194"/>
      <c r="N2105" s="317"/>
      <c r="O2105" s="317"/>
      <c r="P2105" s="317"/>
      <c r="Q2105" s="317"/>
      <c r="R2105" s="317"/>
      <c r="S2105" s="317"/>
      <c r="T2105" s="317"/>
      <c r="U2105" s="317"/>
      <c r="V2105" s="317"/>
      <c r="W2105" s="317"/>
      <c r="X2105" s="317"/>
      <c r="Y2105" s="317"/>
      <c r="Z2105" s="317"/>
    </row>
    <row r="2106" spans="1:26" x14ac:dyDescent="0.25">
      <c r="A2106" s="314"/>
      <c r="B2106" s="18">
        <v>2023</v>
      </c>
      <c r="C2106" s="18" t="s">
        <v>731</v>
      </c>
      <c r="D2106" s="18" t="s">
        <v>862</v>
      </c>
      <c r="E2106" s="18" t="s">
        <v>713</v>
      </c>
      <c r="F2106" s="18" t="s">
        <v>714</v>
      </c>
      <c r="G2106" s="18" t="s">
        <v>674</v>
      </c>
      <c r="H2106" s="18" t="s">
        <v>863</v>
      </c>
      <c r="I2106" s="315">
        <v>46.495888314393945</v>
      </c>
      <c r="J2106" s="315">
        <v>3.3543299579152783E-4</v>
      </c>
      <c r="K2106" s="316" t="str">
        <f t="shared" si="46"/>
        <v>Construction and Mining Equipment</v>
      </c>
      <c r="L2106" s="316" t="str">
        <f t="shared" si="47"/>
        <v>Diesel</v>
      </c>
      <c r="M2106" s="194"/>
      <c r="N2106" s="317"/>
      <c r="O2106" s="317"/>
      <c r="P2106" s="317"/>
      <c r="Q2106" s="317"/>
      <c r="R2106" s="317"/>
      <c r="S2106" s="317"/>
      <c r="T2106" s="317"/>
      <c r="U2106" s="317"/>
      <c r="V2106" s="317"/>
      <c r="W2106" s="317"/>
      <c r="X2106" s="317"/>
      <c r="Y2106" s="317"/>
      <c r="Z2106" s="317"/>
    </row>
    <row r="2107" spans="1:26" x14ac:dyDescent="0.25">
      <c r="A2107" s="314"/>
      <c r="B2107" s="18">
        <v>2023</v>
      </c>
      <c r="C2107" s="18" t="s">
        <v>792</v>
      </c>
      <c r="D2107" s="18" t="s">
        <v>964</v>
      </c>
      <c r="E2107" s="18" t="s">
        <v>56</v>
      </c>
      <c r="F2107" s="18" t="s">
        <v>601</v>
      </c>
      <c r="G2107" s="18" t="s">
        <v>677</v>
      </c>
      <c r="H2107" s="18" t="s">
        <v>965</v>
      </c>
      <c r="I2107" s="315">
        <v>46.364735194054852</v>
      </c>
      <c r="J2107" s="315">
        <v>0.22155927286124197</v>
      </c>
      <c r="K2107" s="316" t="str">
        <f t="shared" si="46"/>
        <v>Commercial Equipment</v>
      </c>
      <c r="L2107" s="316" t="str">
        <f t="shared" si="47"/>
        <v>CNG</v>
      </c>
      <c r="M2107" s="194"/>
      <c r="N2107" s="317"/>
      <c r="O2107" s="317"/>
      <c r="P2107" s="317"/>
      <c r="Q2107" s="317"/>
      <c r="R2107" s="317"/>
      <c r="S2107" s="317"/>
      <c r="T2107" s="317"/>
      <c r="U2107" s="317"/>
      <c r="V2107" s="317"/>
      <c r="W2107" s="317"/>
      <c r="X2107" s="317"/>
      <c r="Y2107" s="317"/>
      <c r="Z2107" s="317"/>
    </row>
    <row r="2108" spans="1:26" x14ac:dyDescent="0.25">
      <c r="A2108" s="314"/>
      <c r="B2108" s="18">
        <v>2023</v>
      </c>
      <c r="C2108" s="18" t="s">
        <v>709</v>
      </c>
      <c r="D2108" s="18" t="s">
        <v>1215</v>
      </c>
      <c r="E2108" s="18" t="s">
        <v>56</v>
      </c>
      <c r="F2108" s="18" t="s">
        <v>672</v>
      </c>
      <c r="G2108" s="18" t="s">
        <v>674</v>
      </c>
      <c r="H2108" s="18" t="s">
        <v>756</v>
      </c>
      <c r="I2108" s="315">
        <v>46.345978122693346</v>
      </c>
      <c r="J2108" s="315">
        <v>8.5742060692267138E-3</v>
      </c>
      <c r="K2108" s="316" t="str">
        <f t="shared" si="46"/>
        <v>Construction and Mining Equipment</v>
      </c>
      <c r="L2108" s="316" t="str">
        <f t="shared" si="47"/>
        <v>LPG</v>
      </c>
      <c r="M2108" s="194"/>
      <c r="N2108" s="317"/>
      <c r="O2108" s="317"/>
      <c r="P2108" s="317"/>
      <c r="Q2108" s="317"/>
      <c r="R2108" s="317"/>
      <c r="S2108" s="317"/>
      <c r="T2108" s="317"/>
      <c r="U2108" s="317"/>
      <c r="V2108" s="317"/>
      <c r="W2108" s="317"/>
      <c r="X2108" s="317"/>
      <c r="Y2108" s="317"/>
      <c r="Z2108" s="317"/>
    </row>
    <row r="2109" spans="1:26" x14ac:dyDescent="0.25">
      <c r="A2109" s="314"/>
      <c r="B2109" s="18">
        <v>2023</v>
      </c>
      <c r="C2109" s="18" t="s">
        <v>760</v>
      </c>
      <c r="D2109" s="18" t="s">
        <v>1034</v>
      </c>
      <c r="E2109" s="18" t="s">
        <v>713</v>
      </c>
      <c r="F2109" s="18" t="s">
        <v>714</v>
      </c>
      <c r="G2109" s="18" t="s">
        <v>677</v>
      </c>
      <c r="H2109" s="18" t="s">
        <v>1031</v>
      </c>
      <c r="I2109" s="315">
        <v>46.334893361962855</v>
      </c>
      <c r="J2109" s="315">
        <v>8.0520062598751893E-4</v>
      </c>
      <c r="K2109" s="316" t="str">
        <f t="shared" si="46"/>
        <v>Commercial Equipment</v>
      </c>
      <c r="L2109" s="316" t="str">
        <f t="shared" si="47"/>
        <v>Diesel</v>
      </c>
      <c r="M2109" s="194"/>
      <c r="N2109" s="317"/>
      <c r="O2109" s="317"/>
      <c r="P2109" s="317"/>
      <c r="Q2109" s="317"/>
      <c r="R2109" s="317"/>
      <c r="S2109" s="317"/>
      <c r="T2109" s="317"/>
      <c r="U2109" s="317"/>
      <c r="V2109" s="317"/>
      <c r="W2109" s="317"/>
      <c r="X2109" s="317"/>
      <c r="Y2109" s="317"/>
      <c r="Z2109" s="317"/>
    </row>
    <row r="2110" spans="1:26" x14ac:dyDescent="0.25">
      <c r="A2110" s="314"/>
      <c r="B2110" s="18">
        <v>2023</v>
      </c>
      <c r="C2110" s="18" t="s">
        <v>787</v>
      </c>
      <c r="D2110" s="18" t="s">
        <v>997</v>
      </c>
      <c r="E2110" s="18" t="s">
        <v>56</v>
      </c>
      <c r="F2110" s="18" t="s">
        <v>672</v>
      </c>
      <c r="G2110" s="18" t="s">
        <v>675</v>
      </c>
      <c r="H2110" s="18" t="s">
        <v>969</v>
      </c>
      <c r="I2110" s="315">
        <v>46.283244505206845</v>
      </c>
      <c r="J2110" s="315">
        <v>5.7585432352882347E-3</v>
      </c>
      <c r="K2110" s="316" t="str">
        <f t="shared" si="46"/>
        <v>Industrial Equipment</v>
      </c>
      <c r="L2110" s="316" t="str">
        <f t="shared" si="47"/>
        <v>LPG</v>
      </c>
      <c r="M2110" s="194"/>
      <c r="N2110" s="317"/>
      <c r="O2110" s="317"/>
      <c r="P2110" s="317"/>
      <c r="Q2110" s="317"/>
      <c r="R2110" s="317"/>
      <c r="S2110" s="317"/>
      <c r="T2110" s="317"/>
      <c r="U2110" s="317"/>
      <c r="V2110" s="317"/>
      <c r="W2110" s="317"/>
      <c r="X2110" s="317"/>
      <c r="Y2110" s="317"/>
      <c r="Z2110" s="317"/>
    </row>
    <row r="2111" spans="1:26" x14ac:dyDescent="0.25">
      <c r="A2111" s="314"/>
      <c r="B2111" s="18">
        <v>2023</v>
      </c>
      <c r="C2111" s="18" t="s">
        <v>786</v>
      </c>
      <c r="D2111" s="18" t="s">
        <v>862</v>
      </c>
      <c r="E2111" s="18" t="s">
        <v>713</v>
      </c>
      <c r="F2111" s="18" t="s">
        <v>714</v>
      </c>
      <c r="G2111" s="18" t="s">
        <v>674</v>
      </c>
      <c r="H2111" s="18" t="s">
        <v>863</v>
      </c>
      <c r="I2111" s="315">
        <v>46.179254264613739</v>
      </c>
      <c r="J2111" s="315">
        <v>3.331482899403524E-4</v>
      </c>
      <c r="K2111" s="316" t="str">
        <f t="shared" si="46"/>
        <v>Construction and Mining Equipment</v>
      </c>
      <c r="L2111" s="316" t="str">
        <f t="shared" si="47"/>
        <v>Diesel</v>
      </c>
      <c r="M2111" s="194"/>
      <c r="N2111" s="317"/>
      <c r="O2111" s="317"/>
      <c r="P2111" s="317"/>
      <c r="Q2111" s="317"/>
      <c r="R2111" s="317"/>
      <c r="S2111" s="317"/>
      <c r="T2111" s="317"/>
      <c r="U2111" s="317"/>
      <c r="V2111" s="317"/>
      <c r="W2111" s="317"/>
      <c r="X2111" s="317"/>
      <c r="Y2111" s="317"/>
      <c r="Z2111" s="317"/>
    </row>
    <row r="2112" spans="1:26" x14ac:dyDescent="0.25">
      <c r="A2112" s="314"/>
      <c r="B2112" s="18">
        <v>2023</v>
      </c>
      <c r="C2112" s="18" t="s">
        <v>706</v>
      </c>
      <c r="D2112" s="18" t="s">
        <v>1247</v>
      </c>
      <c r="E2112" s="18" t="s">
        <v>56</v>
      </c>
      <c r="F2112" s="18" t="s">
        <v>672</v>
      </c>
      <c r="G2112" s="18" t="s">
        <v>674</v>
      </c>
      <c r="H2112" s="18" t="s">
        <v>967</v>
      </c>
      <c r="I2112" s="315">
        <v>46.054869611301548</v>
      </c>
      <c r="J2112" s="315">
        <v>2.1758648733201263E-3</v>
      </c>
      <c r="K2112" s="316" t="str">
        <f t="shared" si="46"/>
        <v>Construction and Mining Equipment</v>
      </c>
      <c r="L2112" s="316" t="str">
        <f t="shared" si="47"/>
        <v>LPG</v>
      </c>
      <c r="M2112" s="194"/>
      <c r="N2112" s="317"/>
      <c r="O2112" s="317"/>
      <c r="P2112" s="317"/>
      <c r="Q2112" s="317"/>
      <c r="R2112" s="317"/>
      <c r="S2112" s="317"/>
      <c r="T2112" s="317"/>
      <c r="U2112" s="317"/>
      <c r="V2112" s="317"/>
      <c r="W2112" s="317"/>
      <c r="X2112" s="317"/>
      <c r="Y2112" s="317"/>
      <c r="Z2112" s="317"/>
    </row>
    <row r="2113" spans="1:26" x14ac:dyDescent="0.25">
      <c r="A2113" s="314"/>
      <c r="B2113" s="18">
        <v>2023</v>
      </c>
      <c r="C2113" s="18" t="s">
        <v>706</v>
      </c>
      <c r="D2113" s="18" t="s">
        <v>1248</v>
      </c>
      <c r="E2113" s="18" t="s">
        <v>703</v>
      </c>
      <c r="F2113" s="18" t="s">
        <v>704</v>
      </c>
      <c r="G2113" s="18" t="s">
        <v>674</v>
      </c>
      <c r="H2113" s="18" t="s">
        <v>959</v>
      </c>
      <c r="I2113" s="315">
        <v>45.982049539600929</v>
      </c>
      <c r="J2113" s="315">
        <v>3.0773342560371723E-2</v>
      </c>
      <c r="K2113" s="316" t="str">
        <f t="shared" si="46"/>
        <v>Construction and Mining Equipment</v>
      </c>
      <c r="L2113" s="316" t="str">
        <f t="shared" si="47"/>
        <v>Gasoline</v>
      </c>
      <c r="M2113" s="194"/>
      <c r="N2113" s="317"/>
      <c r="O2113" s="317"/>
      <c r="P2113" s="317"/>
      <c r="Q2113" s="317"/>
      <c r="R2113" s="317"/>
      <c r="S2113" s="317"/>
      <c r="T2113" s="317"/>
      <c r="U2113" s="317"/>
      <c r="V2113" s="317"/>
      <c r="W2113" s="317"/>
      <c r="X2113" s="317"/>
      <c r="Y2113" s="317"/>
      <c r="Z2113" s="317"/>
    </row>
    <row r="2114" spans="1:26" x14ac:dyDescent="0.25">
      <c r="A2114" s="314"/>
      <c r="B2114" s="18">
        <v>2023</v>
      </c>
      <c r="C2114" s="18" t="s">
        <v>810</v>
      </c>
      <c r="D2114" s="18" t="s">
        <v>880</v>
      </c>
      <c r="E2114" s="18" t="s">
        <v>703</v>
      </c>
      <c r="F2114" s="18" t="s">
        <v>704</v>
      </c>
      <c r="G2114" s="18" t="s">
        <v>677</v>
      </c>
      <c r="H2114" s="18" t="s">
        <v>785</v>
      </c>
      <c r="I2114" s="315">
        <v>45.967311534032198</v>
      </c>
      <c r="J2114" s="315">
        <v>2.6816862697380706E-2</v>
      </c>
      <c r="K2114" s="316" t="str">
        <f t="shared" si="46"/>
        <v>Commercial Equipment</v>
      </c>
      <c r="L2114" s="316" t="str">
        <f t="shared" si="47"/>
        <v>Gasoline</v>
      </c>
      <c r="M2114" s="194"/>
      <c r="N2114" s="317"/>
      <c r="O2114" s="317"/>
      <c r="P2114" s="317"/>
      <c r="Q2114" s="317"/>
      <c r="R2114" s="317"/>
      <c r="S2114" s="317"/>
      <c r="T2114" s="317"/>
      <c r="U2114" s="317"/>
      <c r="V2114" s="317"/>
      <c r="W2114" s="317"/>
      <c r="X2114" s="317"/>
      <c r="Y2114" s="317"/>
      <c r="Z2114" s="317"/>
    </row>
    <row r="2115" spans="1:26" x14ac:dyDescent="0.25">
      <c r="A2115" s="314"/>
      <c r="B2115" s="18">
        <v>2023</v>
      </c>
      <c r="C2115" s="18" t="s">
        <v>731</v>
      </c>
      <c r="D2115" s="18" t="s">
        <v>920</v>
      </c>
      <c r="E2115" s="18" t="s">
        <v>703</v>
      </c>
      <c r="F2115" s="18" t="s">
        <v>704</v>
      </c>
      <c r="G2115" s="18" t="s">
        <v>673</v>
      </c>
      <c r="H2115" s="18" t="s">
        <v>921</v>
      </c>
      <c r="I2115" s="315">
        <v>45.881836525880203</v>
      </c>
      <c r="J2115" s="315">
        <v>2.9037250568290061E-2</v>
      </c>
      <c r="K2115" s="316" t="str">
        <f t="shared" si="46"/>
        <v>Lawn and Garden Equipment</v>
      </c>
      <c r="L2115" s="316" t="str">
        <f t="shared" si="47"/>
        <v>Gasoline</v>
      </c>
      <c r="M2115" s="194"/>
      <c r="N2115" s="317"/>
      <c r="O2115" s="317"/>
      <c r="P2115" s="317"/>
      <c r="Q2115" s="317"/>
      <c r="R2115" s="317"/>
      <c r="S2115" s="317"/>
      <c r="T2115" s="317"/>
      <c r="U2115" s="317"/>
      <c r="V2115" s="317"/>
      <c r="W2115" s="317"/>
      <c r="X2115" s="317"/>
      <c r="Y2115" s="317"/>
      <c r="Z2115" s="317"/>
    </row>
    <row r="2116" spans="1:26" x14ac:dyDescent="0.25">
      <c r="A2116" s="314"/>
      <c r="B2116" s="18">
        <v>2023</v>
      </c>
      <c r="C2116" s="18" t="s">
        <v>773</v>
      </c>
      <c r="D2116" s="18" t="s">
        <v>878</v>
      </c>
      <c r="E2116" s="18" t="s">
        <v>703</v>
      </c>
      <c r="F2116" s="18" t="s">
        <v>704</v>
      </c>
      <c r="G2116" s="18" t="s">
        <v>673</v>
      </c>
      <c r="H2116" s="18" t="s">
        <v>879</v>
      </c>
      <c r="I2116" s="315">
        <v>45.804902193470944</v>
      </c>
      <c r="J2116" s="315">
        <v>3.0006643518356135E-2</v>
      </c>
      <c r="K2116" s="316" t="str">
        <f t="shared" si="46"/>
        <v>Lawn and Garden Equipment</v>
      </c>
      <c r="L2116" s="316" t="str">
        <f t="shared" si="47"/>
        <v>Gasoline</v>
      </c>
      <c r="M2116" s="194"/>
      <c r="N2116" s="317"/>
      <c r="O2116" s="317"/>
      <c r="P2116" s="317"/>
      <c r="Q2116" s="317"/>
      <c r="R2116" s="317"/>
      <c r="S2116" s="317"/>
      <c r="T2116" s="317"/>
      <c r="U2116" s="317"/>
      <c r="V2116" s="317"/>
      <c r="W2116" s="317"/>
      <c r="X2116" s="317"/>
      <c r="Y2116" s="317"/>
      <c r="Z2116" s="317"/>
    </row>
    <row r="2117" spans="1:26" x14ac:dyDescent="0.25">
      <c r="A2117" s="314"/>
      <c r="B2117" s="18">
        <v>2023</v>
      </c>
      <c r="C2117" s="18" t="s">
        <v>732</v>
      </c>
      <c r="D2117" s="18" t="s">
        <v>1035</v>
      </c>
      <c r="E2117" s="18" t="s">
        <v>703</v>
      </c>
      <c r="F2117" s="18" t="s">
        <v>704</v>
      </c>
      <c r="G2117" s="18" t="s">
        <v>674</v>
      </c>
      <c r="H2117" s="18" t="s">
        <v>1036</v>
      </c>
      <c r="I2117" s="315">
        <v>45.755598953995865</v>
      </c>
      <c r="J2117" s="315">
        <v>3.2461823002567544E-2</v>
      </c>
      <c r="K2117" s="316" t="str">
        <f t="shared" si="46"/>
        <v>Construction and Mining Equipment</v>
      </c>
      <c r="L2117" s="316" t="str">
        <f t="shared" si="47"/>
        <v>Gasoline</v>
      </c>
      <c r="M2117" s="194"/>
      <c r="N2117" s="317"/>
      <c r="O2117" s="317"/>
      <c r="P2117" s="317"/>
      <c r="Q2117" s="317"/>
      <c r="R2117" s="317"/>
      <c r="S2117" s="317"/>
      <c r="T2117" s="317"/>
      <c r="U2117" s="317"/>
      <c r="V2117" s="317"/>
      <c r="W2117" s="317"/>
      <c r="X2117" s="317"/>
      <c r="Y2117" s="317"/>
      <c r="Z2117" s="317"/>
    </row>
    <row r="2118" spans="1:26" x14ac:dyDescent="0.25">
      <c r="A2118" s="314"/>
      <c r="B2118" s="18">
        <v>2023</v>
      </c>
      <c r="C2118" s="18" t="s">
        <v>701</v>
      </c>
      <c r="D2118" s="18" t="s">
        <v>1212</v>
      </c>
      <c r="E2118" s="18" t="s">
        <v>56</v>
      </c>
      <c r="F2118" s="18" t="s">
        <v>672</v>
      </c>
      <c r="G2118" s="18" t="s">
        <v>675</v>
      </c>
      <c r="H2118" s="18" t="s">
        <v>798</v>
      </c>
      <c r="I2118" s="315">
        <v>45.734330907892037</v>
      </c>
      <c r="J2118" s="315">
        <v>2.0664484321112437E-3</v>
      </c>
      <c r="K2118" s="316" t="str">
        <f t="shared" si="46"/>
        <v>Industrial Equipment</v>
      </c>
      <c r="L2118" s="316" t="str">
        <f t="shared" si="47"/>
        <v>LPG</v>
      </c>
      <c r="M2118" s="194"/>
      <c r="N2118" s="317"/>
      <c r="O2118" s="317"/>
      <c r="P2118" s="317"/>
      <c r="Q2118" s="317"/>
      <c r="R2118" s="317"/>
      <c r="S2118" s="317"/>
      <c r="T2118" s="317"/>
      <c r="U2118" s="317"/>
      <c r="V2118" s="317"/>
      <c r="W2118" s="317"/>
      <c r="X2118" s="317"/>
      <c r="Y2118" s="317"/>
      <c r="Z2118" s="317"/>
    </row>
    <row r="2119" spans="1:26" x14ac:dyDescent="0.25">
      <c r="A2119" s="314"/>
      <c r="B2119" s="18">
        <v>2023</v>
      </c>
      <c r="C2119" s="18" t="s">
        <v>787</v>
      </c>
      <c r="D2119" s="18" t="s">
        <v>964</v>
      </c>
      <c r="E2119" s="18" t="s">
        <v>56</v>
      </c>
      <c r="F2119" s="18" t="s">
        <v>601</v>
      </c>
      <c r="G2119" s="18" t="s">
        <v>677</v>
      </c>
      <c r="H2119" s="18" t="s">
        <v>965</v>
      </c>
      <c r="I2119" s="315">
        <v>45.651338190705786</v>
      </c>
      <c r="J2119" s="315">
        <v>0.21815062551377226</v>
      </c>
      <c r="K2119" s="316" t="str">
        <f t="shared" si="46"/>
        <v>Commercial Equipment</v>
      </c>
      <c r="L2119" s="316" t="str">
        <f t="shared" si="47"/>
        <v>CNG</v>
      </c>
      <c r="M2119" s="194"/>
      <c r="N2119" s="317"/>
      <c r="O2119" s="317"/>
      <c r="P2119" s="317"/>
      <c r="Q2119" s="317"/>
      <c r="R2119" s="317"/>
      <c r="S2119" s="317"/>
      <c r="T2119" s="317"/>
      <c r="U2119" s="317"/>
      <c r="V2119" s="317"/>
      <c r="W2119" s="317"/>
      <c r="X2119" s="317"/>
      <c r="Y2119" s="317"/>
      <c r="Z2119" s="317"/>
    </row>
    <row r="2120" spans="1:26" x14ac:dyDescent="0.25">
      <c r="A2120" s="314"/>
      <c r="B2120" s="18">
        <v>2023</v>
      </c>
      <c r="C2120" s="18" t="s">
        <v>760</v>
      </c>
      <c r="D2120" s="18" t="s">
        <v>1037</v>
      </c>
      <c r="E2120" s="18" t="s">
        <v>56</v>
      </c>
      <c r="F2120" s="18" t="s">
        <v>672</v>
      </c>
      <c r="G2120" s="18" t="s">
        <v>677</v>
      </c>
      <c r="H2120" s="18" t="s">
        <v>841</v>
      </c>
      <c r="I2120" s="315">
        <v>45.577034821347411</v>
      </c>
      <c r="J2120" s="315">
        <v>4.6136483594559456E-3</v>
      </c>
      <c r="K2120" s="316" t="str">
        <f t="shared" si="46"/>
        <v>Commercial Equipment</v>
      </c>
      <c r="L2120" s="316" t="str">
        <f t="shared" si="47"/>
        <v>LPG</v>
      </c>
      <c r="M2120" s="194"/>
      <c r="N2120" s="317"/>
      <c r="O2120" s="317"/>
      <c r="P2120" s="317"/>
      <c r="Q2120" s="317"/>
      <c r="R2120" s="317"/>
      <c r="S2120" s="317"/>
      <c r="T2120" s="317"/>
      <c r="U2120" s="317"/>
      <c r="V2120" s="317"/>
      <c r="W2120" s="317"/>
      <c r="X2120" s="317"/>
      <c r="Y2120" s="317"/>
      <c r="Z2120" s="317"/>
    </row>
    <row r="2121" spans="1:26" x14ac:dyDescent="0.25">
      <c r="A2121" s="314"/>
      <c r="B2121" s="18">
        <v>2023</v>
      </c>
      <c r="C2121" s="18" t="s">
        <v>743</v>
      </c>
      <c r="D2121" s="18" t="s">
        <v>1011</v>
      </c>
      <c r="E2121" s="18" t="s">
        <v>56</v>
      </c>
      <c r="F2121" s="18" t="s">
        <v>672</v>
      </c>
      <c r="G2121" s="18" t="s">
        <v>677</v>
      </c>
      <c r="H2121" s="18" t="s">
        <v>836</v>
      </c>
      <c r="I2121" s="315">
        <v>45.381415168328886</v>
      </c>
      <c r="J2121" s="315">
        <v>2.4109852895597994E-3</v>
      </c>
      <c r="K2121" s="316" t="str">
        <f t="shared" si="46"/>
        <v>Commercial Equipment</v>
      </c>
      <c r="L2121" s="316" t="str">
        <f t="shared" si="47"/>
        <v>LPG</v>
      </c>
      <c r="M2121" s="194"/>
      <c r="N2121" s="317"/>
      <c r="O2121" s="317"/>
      <c r="P2121" s="317"/>
      <c r="Q2121" s="317"/>
      <c r="R2121" s="317"/>
      <c r="S2121" s="317"/>
      <c r="T2121" s="317"/>
      <c r="U2121" s="317"/>
      <c r="V2121" s="317"/>
      <c r="W2121" s="317"/>
      <c r="X2121" s="317"/>
      <c r="Y2121" s="317"/>
      <c r="Z2121" s="317"/>
    </row>
    <row r="2122" spans="1:26" x14ac:dyDescent="0.25">
      <c r="A2122" s="314"/>
      <c r="B2122" s="18">
        <v>2023</v>
      </c>
      <c r="C2122" s="18" t="s">
        <v>773</v>
      </c>
      <c r="D2122" s="18" t="s">
        <v>882</v>
      </c>
      <c r="E2122" s="18" t="s">
        <v>713</v>
      </c>
      <c r="F2122" s="18" t="s">
        <v>714</v>
      </c>
      <c r="G2122" s="18" t="s">
        <v>673</v>
      </c>
      <c r="H2122" s="18" t="s">
        <v>705</v>
      </c>
      <c r="I2122" s="315">
        <v>45.318629619492533</v>
      </c>
      <c r="J2122" s="315">
        <v>7.6060878193730773E-4</v>
      </c>
      <c r="K2122" s="316" t="str">
        <f t="shared" si="46"/>
        <v>Lawn and Garden Equipment</v>
      </c>
      <c r="L2122" s="316" t="str">
        <f t="shared" si="47"/>
        <v>Diesel</v>
      </c>
      <c r="M2122" s="194"/>
      <c r="N2122" s="317"/>
      <c r="O2122" s="317"/>
      <c r="P2122" s="317"/>
      <c r="Q2122" s="317"/>
      <c r="R2122" s="317"/>
      <c r="S2122" s="317"/>
      <c r="T2122" s="317"/>
      <c r="U2122" s="317"/>
      <c r="V2122" s="317"/>
      <c r="W2122" s="317"/>
      <c r="X2122" s="317"/>
      <c r="Y2122" s="317"/>
      <c r="Z2122" s="317"/>
    </row>
    <row r="2123" spans="1:26" x14ac:dyDescent="0.25">
      <c r="A2123" s="314"/>
      <c r="B2123" s="18">
        <v>2023</v>
      </c>
      <c r="C2123" s="18" t="s">
        <v>786</v>
      </c>
      <c r="D2123" s="18" t="s">
        <v>867</v>
      </c>
      <c r="E2123" s="18" t="s">
        <v>713</v>
      </c>
      <c r="F2123" s="18" t="s">
        <v>714</v>
      </c>
      <c r="G2123" s="18" t="s">
        <v>673</v>
      </c>
      <c r="H2123" s="18" t="s">
        <v>724</v>
      </c>
      <c r="I2123" s="315">
        <v>45.111354111601621</v>
      </c>
      <c r="J2123" s="315">
        <v>2.3215941940429056E-3</v>
      </c>
      <c r="K2123" s="316" t="str">
        <f t="shared" si="46"/>
        <v>Lawn and Garden Equipment</v>
      </c>
      <c r="L2123" s="316" t="str">
        <f t="shared" si="47"/>
        <v>Diesel</v>
      </c>
      <c r="M2123" s="194"/>
      <c r="N2123" s="317"/>
      <c r="O2123" s="317"/>
      <c r="P2123" s="317"/>
      <c r="Q2123" s="317"/>
      <c r="R2123" s="317"/>
      <c r="S2123" s="317"/>
      <c r="T2123" s="317"/>
      <c r="U2123" s="317"/>
      <c r="V2123" s="317"/>
      <c r="W2123" s="317"/>
      <c r="X2123" s="317"/>
      <c r="Y2123" s="317"/>
      <c r="Z2123" s="317"/>
    </row>
    <row r="2124" spans="1:26" x14ac:dyDescent="0.25">
      <c r="A2124" s="314"/>
      <c r="B2124" s="18">
        <v>2023</v>
      </c>
      <c r="C2124" s="18" t="s">
        <v>722</v>
      </c>
      <c r="D2124" s="18" t="s">
        <v>1023</v>
      </c>
      <c r="E2124" s="18" t="s">
        <v>703</v>
      </c>
      <c r="F2124" s="18" t="s">
        <v>704</v>
      </c>
      <c r="G2124" s="18" t="s">
        <v>674</v>
      </c>
      <c r="H2124" s="18" t="s">
        <v>736</v>
      </c>
      <c r="I2124" s="315">
        <v>44.798196097198726</v>
      </c>
      <c r="J2124" s="315">
        <v>2.9863055756074213E-2</v>
      </c>
      <c r="K2124" s="316" t="str">
        <f t="shared" si="46"/>
        <v>Construction and Mining Equipment</v>
      </c>
      <c r="L2124" s="316" t="str">
        <f t="shared" si="47"/>
        <v>Gasoline</v>
      </c>
      <c r="M2124" s="194"/>
      <c r="N2124" s="317"/>
      <c r="O2124" s="317"/>
      <c r="P2124" s="317"/>
      <c r="Q2124" s="317"/>
      <c r="R2124" s="317"/>
      <c r="S2124" s="317"/>
      <c r="T2124" s="317"/>
      <c r="U2124" s="317"/>
      <c r="V2124" s="317"/>
      <c r="W2124" s="317"/>
      <c r="X2124" s="317"/>
      <c r="Y2124" s="317"/>
      <c r="Z2124" s="317"/>
    </row>
    <row r="2125" spans="1:26" x14ac:dyDescent="0.25">
      <c r="A2125" s="314"/>
      <c r="B2125" s="18">
        <v>2023</v>
      </c>
      <c r="C2125" s="18" t="s">
        <v>773</v>
      </c>
      <c r="D2125" s="18" t="s">
        <v>1153</v>
      </c>
      <c r="E2125" s="18" t="s">
        <v>713</v>
      </c>
      <c r="F2125" s="18" t="s">
        <v>714</v>
      </c>
      <c r="G2125" s="18" t="s">
        <v>678</v>
      </c>
      <c r="H2125" s="18" t="s">
        <v>1154</v>
      </c>
      <c r="I2125" s="315">
        <v>44.694680995839661</v>
      </c>
      <c r="J2125" s="315">
        <v>5.8335100903159434E-4</v>
      </c>
      <c r="K2125" s="316" t="str">
        <f t="shared" si="46"/>
        <v>Agricultural Equipment</v>
      </c>
      <c r="L2125" s="316" t="str">
        <f t="shared" si="47"/>
        <v>Diesel</v>
      </c>
      <c r="M2125" s="194"/>
      <c r="N2125" s="317"/>
      <c r="O2125" s="317"/>
      <c r="P2125" s="317"/>
      <c r="Q2125" s="317"/>
      <c r="R2125" s="317"/>
      <c r="S2125" s="317"/>
      <c r="T2125" s="317"/>
      <c r="U2125" s="317"/>
      <c r="V2125" s="317"/>
      <c r="W2125" s="317"/>
      <c r="X2125" s="317"/>
      <c r="Y2125" s="317"/>
      <c r="Z2125" s="317"/>
    </row>
    <row r="2126" spans="1:26" x14ac:dyDescent="0.25">
      <c r="A2126" s="314"/>
      <c r="B2126" s="18">
        <v>2023</v>
      </c>
      <c r="C2126" s="18" t="s">
        <v>781</v>
      </c>
      <c r="D2126" s="18" t="s">
        <v>866</v>
      </c>
      <c r="E2126" s="18" t="s">
        <v>713</v>
      </c>
      <c r="F2126" s="18" t="s">
        <v>714</v>
      </c>
      <c r="G2126" s="18" t="s">
        <v>677</v>
      </c>
      <c r="H2126" s="18" t="s">
        <v>841</v>
      </c>
      <c r="I2126" s="315">
        <v>44.666244907776459</v>
      </c>
      <c r="J2126" s="315">
        <v>1.1137957931636544E-3</v>
      </c>
      <c r="K2126" s="316" t="str">
        <f t="shared" si="46"/>
        <v>Commercial Equipment</v>
      </c>
      <c r="L2126" s="316" t="str">
        <f t="shared" si="47"/>
        <v>Diesel</v>
      </c>
      <c r="M2126" s="194"/>
      <c r="N2126" s="317"/>
      <c r="O2126" s="317"/>
      <c r="P2126" s="317"/>
      <c r="Q2126" s="317"/>
      <c r="R2126" s="317"/>
      <c r="S2126" s="317"/>
      <c r="T2126" s="317"/>
      <c r="U2126" s="317"/>
      <c r="V2126" s="317"/>
      <c r="W2126" s="317"/>
      <c r="X2126" s="317"/>
      <c r="Y2126" s="317"/>
      <c r="Z2126" s="317"/>
    </row>
    <row r="2127" spans="1:26" x14ac:dyDescent="0.25">
      <c r="A2127" s="314"/>
      <c r="B2127" s="18">
        <v>2023</v>
      </c>
      <c r="C2127" s="18" t="s">
        <v>727</v>
      </c>
      <c r="D2127" s="18" t="s">
        <v>925</v>
      </c>
      <c r="E2127" s="18" t="s">
        <v>703</v>
      </c>
      <c r="F2127" s="18" t="s">
        <v>704</v>
      </c>
      <c r="G2127" s="18" t="s">
        <v>675</v>
      </c>
      <c r="H2127" s="18" t="s">
        <v>798</v>
      </c>
      <c r="I2127" s="315">
        <v>44.433537301757298</v>
      </c>
      <c r="J2127" s="315">
        <v>3.3102829123403885E-2</v>
      </c>
      <c r="K2127" s="316" t="str">
        <f t="shared" si="46"/>
        <v>Industrial Equipment</v>
      </c>
      <c r="L2127" s="316" t="str">
        <f t="shared" si="47"/>
        <v>Gasoline</v>
      </c>
      <c r="M2127" s="194"/>
      <c r="N2127" s="317"/>
      <c r="O2127" s="317"/>
      <c r="P2127" s="317"/>
      <c r="Q2127" s="317"/>
      <c r="R2127" s="317"/>
      <c r="S2127" s="317"/>
      <c r="T2127" s="317"/>
      <c r="U2127" s="317"/>
      <c r="V2127" s="317"/>
      <c r="W2127" s="317"/>
      <c r="X2127" s="317"/>
      <c r="Y2127" s="317"/>
      <c r="Z2127" s="317"/>
    </row>
    <row r="2128" spans="1:26" x14ac:dyDescent="0.25">
      <c r="A2128" s="314"/>
      <c r="B2128" s="18">
        <v>2023</v>
      </c>
      <c r="C2128" s="18" t="s">
        <v>727</v>
      </c>
      <c r="D2128" s="18" t="s">
        <v>980</v>
      </c>
      <c r="E2128" s="18" t="s">
        <v>713</v>
      </c>
      <c r="F2128" s="18" t="s">
        <v>714</v>
      </c>
      <c r="G2128" s="18" t="s">
        <v>674</v>
      </c>
      <c r="H2128" s="18" t="s">
        <v>981</v>
      </c>
      <c r="I2128" s="315">
        <v>44.258068971672472</v>
      </c>
      <c r="J2128" s="315">
        <v>1.9426820209092293E-3</v>
      </c>
      <c r="K2128" s="316" t="str">
        <f t="shared" si="46"/>
        <v>Construction and Mining Equipment</v>
      </c>
      <c r="L2128" s="316" t="str">
        <f t="shared" si="47"/>
        <v>Diesel</v>
      </c>
      <c r="M2128" s="194"/>
      <c r="N2128" s="317"/>
      <c r="O2128" s="317"/>
      <c r="P2128" s="317"/>
      <c r="Q2128" s="317"/>
      <c r="R2128" s="317"/>
      <c r="S2128" s="317"/>
      <c r="T2128" s="317"/>
      <c r="U2128" s="317"/>
      <c r="V2128" s="317"/>
      <c r="W2128" s="317"/>
      <c r="X2128" s="317"/>
      <c r="Y2128" s="317"/>
      <c r="Z2128" s="317"/>
    </row>
    <row r="2129" spans="1:26" x14ac:dyDescent="0.25">
      <c r="A2129" s="314"/>
      <c r="B2129" s="18">
        <v>2023</v>
      </c>
      <c r="C2129" s="18" t="s">
        <v>781</v>
      </c>
      <c r="D2129" s="18" t="s">
        <v>968</v>
      </c>
      <c r="E2129" s="18" t="s">
        <v>703</v>
      </c>
      <c r="F2129" s="18" t="s">
        <v>704</v>
      </c>
      <c r="G2129" s="18" t="s">
        <v>675</v>
      </c>
      <c r="H2129" s="18" t="s">
        <v>969</v>
      </c>
      <c r="I2129" s="315">
        <v>44.20253530289073</v>
      </c>
      <c r="J2129" s="315">
        <v>1.4111954387101536E-2</v>
      </c>
      <c r="K2129" s="316" t="str">
        <f t="shared" si="46"/>
        <v>Industrial Equipment</v>
      </c>
      <c r="L2129" s="316" t="str">
        <f t="shared" si="47"/>
        <v>Gasoline</v>
      </c>
      <c r="M2129" s="194"/>
      <c r="N2129" s="317"/>
      <c r="O2129" s="317"/>
      <c r="P2129" s="317"/>
      <c r="Q2129" s="317"/>
      <c r="R2129" s="317"/>
      <c r="S2129" s="317"/>
      <c r="T2129" s="317"/>
      <c r="U2129" s="317"/>
      <c r="V2129" s="317"/>
      <c r="W2129" s="317"/>
      <c r="X2129" s="317"/>
      <c r="Y2129" s="317"/>
      <c r="Z2129" s="317"/>
    </row>
    <row r="2130" spans="1:26" x14ac:dyDescent="0.25">
      <c r="A2130" s="314"/>
      <c r="B2130" s="18">
        <v>2023</v>
      </c>
      <c r="C2130" s="18" t="s">
        <v>743</v>
      </c>
      <c r="D2130" s="18" t="s">
        <v>1006</v>
      </c>
      <c r="E2130" s="18" t="s">
        <v>703</v>
      </c>
      <c r="F2130" s="18" t="s">
        <v>805</v>
      </c>
      <c r="G2130" s="18" t="s">
        <v>674</v>
      </c>
      <c r="H2130" s="18" t="s">
        <v>967</v>
      </c>
      <c r="I2130" s="315">
        <v>44.188093978383058</v>
      </c>
      <c r="J2130" s="315">
        <v>7.9135559380404799E-2</v>
      </c>
      <c r="K2130" s="316" t="str">
        <f t="shared" si="46"/>
        <v>Construction and Mining Equipment</v>
      </c>
      <c r="L2130" s="316" t="str">
        <f t="shared" si="47"/>
        <v>Gasoline</v>
      </c>
      <c r="M2130" s="194"/>
      <c r="N2130" s="317"/>
      <c r="O2130" s="317"/>
      <c r="P2130" s="317"/>
      <c r="Q2130" s="317"/>
      <c r="R2130" s="317"/>
      <c r="S2130" s="317"/>
      <c r="T2130" s="317"/>
      <c r="U2130" s="317"/>
      <c r="V2130" s="317"/>
      <c r="W2130" s="317"/>
      <c r="X2130" s="317"/>
      <c r="Y2130" s="317"/>
      <c r="Z2130" s="317"/>
    </row>
    <row r="2131" spans="1:26" x14ac:dyDescent="0.25">
      <c r="A2131" s="314"/>
      <c r="B2131" s="18">
        <v>2023</v>
      </c>
      <c r="C2131" s="18" t="s">
        <v>750</v>
      </c>
      <c r="D2131" s="18" t="s">
        <v>864</v>
      </c>
      <c r="E2131" s="18" t="s">
        <v>703</v>
      </c>
      <c r="F2131" s="18" t="s">
        <v>704</v>
      </c>
      <c r="G2131" s="18" t="s">
        <v>673</v>
      </c>
      <c r="H2131" s="18" t="s">
        <v>865</v>
      </c>
      <c r="I2131" s="315">
        <v>44.185728657287463</v>
      </c>
      <c r="J2131" s="315">
        <v>2.9969444395966351E-2</v>
      </c>
      <c r="K2131" s="316" t="str">
        <f t="shared" si="46"/>
        <v>Lawn and Garden Equipment</v>
      </c>
      <c r="L2131" s="316" t="str">
        <f t="shared" si="47"/>
        <v>Gasoline</v>
      </c>
      <c r="M2131" s="194"/>
      <c r="N2131" s="317"/>
      <c r="O2131" s="317"/>
      <c r="P2131" s="317"/>
      <c r="Q2131" s="317"/>
      <c r="R2131" s="317"/>
      <c r="S2131" s="317"/>
      <c r="T2131" s="317"/>
      <c r="U2131" s="317"/>
      <c r="V2131" s="317"/>
      <c r="W2131" s="317"/>
      <c r="X2131" s="317"/>
      <c r="Y2131" s="317"/>
      <c r="Z2131" s="317"/>
    </row>
    <row r="2132" spans="1:26" x14ac:dyDescent="0.25">
      <c r="A2132" s="314"/>
      <c r="B2132" s="18">
        <v>2023</v>
      </c>
      <c r="C2132" s="18" t="s">
        <v>711</v>
      </c>
      <c r="D2132" s="18" t="s">
        <v>1212</v>
      </c>
      <c r="E2132" s="18" t="s">
        <v>56</v>
      </c>
      <c r="F2132" s="18" t="s">
        <v>672</v>
      </c>
      <c r="G2132" s="18" t="s">
        <v>675</v>
      </c>
      <c r="H2132" s="18" t="s">
        <v>798</v>
      </c>
      <c r="I2132" s="315">
        <v>44.168500730691854</v>
      </c>
      <c r="J2132" s="315">
        <v>1.9956979501933444E-3</v>
      </c>
      <c r="K2132" s="316" t="str">
        <f t="shared" si="46"/>
        <v>Industrial Equipment</v>
      </c>
      <c r="L2132" s="316" t="str">
        <f t="shared" si="47"/>
        <v>LPG</v>
      </c>
      <c r="M2132" s="194"/>
      <c r="N2132" s="317"/>
      <c r="O2132" s="317"/>
      <c r="P2132" s="317"/>
      <c r="Q2132" s="317"/>
      <c r="R2132" s="317"/>
      <c r="S2132" s="317"/>
      <c r="T2132" s="317"/>
      <c r="U2132" s="317"/>
      <c r="V2132" s="317"/>
      <c r="W2132" s="317"/>
      <c r="X2132" s="317"/>
      <c r="Y2132" s="317"/>
      <c r="Z2132" s="317"/>
    </row>
    <row r="2133" spans="1:26" x14ac:dyDescent="0.25">
      <c r="A2133" s="314"/>
      <c r="B2133" s="18">
        <v>2023</v>
      </c>
      <c r="C2133" s="18" t="s">
        <v>787</v>
      </c>
      <c r="D2133" s="18" t="s">
        <v>989</v>
      </c>
      <c r="E2133" s="18" t="s">
        <v>703</v>
      </c>
      <c r="F2133" s="18" t="s">
        <v>795</v>
      </c>
      <c r="G2133" s="18" t="s">
        <v>673</v>
      </c>
      <c r="H2133" s="18" t="s">
        <v>990</v>
      </c>
      <c r="I2133" s="315">
        <v>43.858108088119423</v>
      </c>
      <c r="J2133" s="315">
        <v>8.4427789935193148E-2</v>
      </c>
      <c r="K2133" s="316" t="str">
        <f t="shared" si="46"/>
        <v>Lawn and Garden Equipment</v>
      </c>
      <c r="L2133" s="316" t="str">
        <f t="shared" si="47"/>
        <v>Gasoline</v>
      </c>
      <c r="M2133" s="194"/>
      <c r="N2133" s="317"/>
      <c r="O2133" s="317"/>
      <c r="P2133" s="317"/>
      <c r="Q2133" s="317"/>
      <c r="R2133" s="317"/>
      <c r="S2133" s="317"/>
      <c r="T2133" s="317"/>
      <c r="U2133" s="317"/>
      <c r="V2133" s="317"/>
      <c r="W2133" s="317"/>
      <c r="X2133" s="317"/>
      <c r="Y2133" s="317"/>
      <c r="Z2133" s="317"/>
    </row>
    <row r="2134" spans="1:26" x14ac:dyDescent="0.25">
      <c r="A2134" s="314"/>
      <c r="B2134" s="18">
        <v>2023</v>
      </c>
      <c r="C2134" s="18" t="s">
        <v>710</v>
      </c>
      <c r="D2134" s="18" t="s">
        <v>962</v>
      </c>
      <c r="E2134" s="18" t="s">
        <v>703</v>
      </c>
      <c r="F2134" s="18" t="s">
        <v>704</v>
      </c>
      <c r="G2134" s="18" t="s">
        <v>673</v>
      </c>
      <c r="H2134" s="18" t="s">
        <v>963</v>
      </c>
      <c r="I2134" s="315">
        <v>43.829982548279659</v>
      </c>
      <c r="J2134" s="315">
        <v>3.0242931869411783E-2</v>
      </c>
      <c r="K2134" s="316" t="str">
        <f t="shared" si="46"/>
        <v>Lawn and Garden Equipment</v>
      </c>
      <c r="L2134" s="316" t="str">
        <f t="shared" si="47"/>
        <v>Gasoline</v>
      </c>
      <c r="M2134" s="194"/>
      <c r="N2134" s="317"/>
      <c r="O2134" s="317"/>
      <c r="P2134" s="317"/>
      <c r="Q2134" s="317"/>
      <c r="R2134" s="317"/>
      <c r="S2134" s="317"/>
      <c r="T2134" s="317"/>
      <c r="U2134" s="317"/>
      <c r="V2134" s="317"/>
      <c r="W2134" s="317"/>
      <c r="X2134" s="317"/>
      <c r="Y2134" s="317"/>
      <c r="Z2134" s="317"/>
    </row>
    <row r="2135" spans="1:26" x14ac:dyDescent="0.25">
      <c r="A2135" s="314"/>
      <c r="B2135" s="18">
        <v>2023</v>
      </c>
      <c r="C2135" s="18" t="s">
        <v>793</v>
      </c>
      <c r="D2135" s="18" t="s">
        <v>984</v>
      </c>
      <c r="E2135" s="18" t="s">
        <v>703</v>
      </c>
      <c r="F2135" s="18" t="s">
        <v>704</v>
      </c>
      <c r="G2135" s="18" t="s">
        <v>673</v>
      </c>
      <c r="H2135" s="18" t="s">
        <v>985</v>
      </c>
      <c r="I2135" s="315">
        <v>43.64305249929027</v>
      </c>
      <c r="J2135" s="315">
        <v>2.9582980437306384E-2</v>
      </c>
      <c r="K2135" s="316" t="str">
        <f t="shared" si="46"/>
        <v>Lawn and Garden Equipment</v>
      </c>
      <c r="L2135" s="316" t="str">
        <f t="shared" si="47"/>
        <v>Gasoline</v>
      </c>
      <c r="M2135" s="194"/>
      <c r="N2135" s="317"/>
      <c r="O2135" s="317"/>
      <c r="P2135" s="317"/>
      <c r="Q2135" s="317"/>
      <c r="R2135" s="317"/>
      <c r="S2135" s="317"/>
      <c r="T2135" s="317"/>
      <c r="U2135" s="317"/>
      <c r="V2135" s="317"/>
      <c r="W2135" s="317"/>
      <c r="X2135" s="317"/>
      <c r="Y2135" s="317"/>
      <c r="Z2135" s="317"/>
    </row>
    <row r="2136" spans="1:26" x14ac:dyDescent="0.25">
      <c r="A2136" s="314"/>
      <c r="B2136" s="18">
        <v>2023</v>
      </c>
      <c r="C2136" s="18" t="s">
        <v>760</v>
      </c>
      <c r="D2136" s="18" t="s">
        <v>1073</v>
      </c>
      <c r="E2136" s="18" t="s">
        <v>703</v>
      </c>
      <c r="F2136" s="18" t="s">
        <v>704</v>
      </c>
      <c r="G2136" s="18" t="s">
        <v>674</v>
      </c>
      <c r="H2136" s="18" t="s">
        <v>1072</v>
      </c>
      <c r="I2136" s="315">
        <v>43.586227748385632</v>
      </c>
      <c r="J2136" s="315">
        <v>3.0771754237016599E-2</v>
      </c>
      <c r="K2136" s="316" t="str">
        <f t="shared" si="46"/>
        <v>Construction and Mining Equipment</v>
      </c>
      <c r="L2136" s="316" t="str">
        <f t="shared" si="47"/>
        <v>Gasoline</v>
      </c>
      <c r="M2136" s="194"/>
      <c r="N2136" s="317"/>
      <c r="O2136" s="317"/>
      <c r="P2136" s="317"/>
      <c r="Q2136" s="317"/>
      <c r="R2136" s="317"/>
      <c r="S2136" s="317"/>
      <c r="T2136" s="317"/>
      <c r="U2136" s="317"/>
      <c r="V2136" s="317"/>
      <c r="W2136" s="317"/>
      <c r="X2136" s="317"/>
      <c r="Y2136" s="317"/>
      <c r="Z2136" s="317"/>
    </row>
    <row r="2137" spans="1:26" x14ac:dyDescent="0.25">
      <c r="A2137" s="314"/>
      <c r="B2137" s="18">
        <v>2023</v>
      </c>
      <c r="C2137" s="18" t="s">
        <v>793</v>
      </c>
      <c r="D2137" s="18" t="s">
        <v>868</v>
      </c>
      <c r="E2137" s="18" t="s">
        <v>703</v>
      </c>
      <c r="F2137" s="18" t="s">
        <v>704</v>
      </c>
      <c r="G2137" s="18" t="s">
        <v>673</v>
      </c>
      <c r="H2137" s="18" t="s">
        <v>758</v>
      </c>
      <c r="I2137" s="315">
        <v>43.578820638354763</v>
      </c>
      <c r="J2137" s="315">
        <v>2.8487689808572896E-2</v>
      </c>
      <c r="K2137" s="316" t="str">
        <f t="shared" si="46"/>
        <v>Lawn and Garden Equipment</v>
      </c>
      <c r="L2137" s="316" t="str">
        <f t="shared" si="47"/>
        <v>Gasoline</v>
      </c>
      <c r="M2137" s="194"/>
      <c r="N2137" s="317"/>
      <c r="O2137" s="317"/>
      <c r="P2137" s="317"/>
      <c r="Q2137" s="317"/>
      <c r="R2137" s="317"/>
      <c r="S2137" s="317"/>
      <c r="T2137" s="317"/>
      <c r="U2137" s="317"/>
      <c r="V2137" s="317"/>
      <c r="W2137" s="317"/>
      <c r="X2137" s="317"/>
      <c r="Y2137" s="317"/>
      <c r="Z2137" s="317"/>
    </row>
    <row r="2138" spans="1:26" x14ac:dyDescent="0.25">
      <c r="A2138" s="314"/>
      <c r="B2138" s="18">
        <v>2023</v>
      </c>
      <c r="C2138" s="18" t="s">
        <v>750</v>
      </c>
      <c r="D2138" s="18" t="s">
        <v>989</v>
      </c>
      <c r="E2138" s="18" t="s">
        <v>703</v>
      </c>
      <c r="F2138" s="18" t="s">
        <v>795</v>
      </c>
      <c r="G2138" s="18" t="s">
        <v>673</v>
      </c>
      <c r="H2138" s="18" t="s">
        <v>990</v>
      </c>
      <c r="I2138" s="315">
        <v>43.574816578635918</v>
      </c>
      <c r="J2138" s="315">
        <v>8.3882328719447244E-2</v>
      </c>
      <c r="K2138" s="316" t="str">
        <f t="shared" si="46"/>
        <v>Lawn and Garden Equipment</v>
      </c>
      <c r="L2138" s="316" t="str">
        <f t="shared" si="47"/>
        <v>Gasoline</v>
      </c>
      <c r="M2138" s="194"/>
      <c r="N2138" s="317"/>
      <c r="O2138" s="317"/>
      <c r="P2138" s="317"/>
      <c r="Q2138" s="317"/>
      <c r="R2138" s="317"/>
      <c r="S2138" s="317"/>
      <c r="T2138" s="317"/>
      <c r="U2138" s="317"/>
      <c r="V2138" s="317"/>
      <c r="W2138" s="317"/>
      <c r="X2138" s="317"/>
      <c r="Y2138" s="317"/>
      <c r="Z2138" s="317"/>
    </row>
    <row r="2139" spans="1:26" x14ac:dyDescent="0.25">
      <c r="A2139" s="314"/>
      <c r="B2139" s="18">
        <v>2023</v>
      </c>
      <c r="C2139" s="18" t="s">
        <v>753</v>
      </c>
      <c r="D2139" s="18" t="s">
        <v>958</v>
      </c>
      <c r="E2139" s="18" t="s">
        <v>713</v>
      </c>
      <c r="F2139" s="18" t="s">
        <v>714</v>
      </c>
      <c r="G2139" s="18" t="s">
        <v>674</v>
      </c>
      <c r="H2139" s="18" t="s">
        <v>959</v>
      </c>
      <c r="I2139" s="315">
        <v>43.555475071290324</v>
      </c>
      <c r="J2139" s="315">
        <v>3.8744861103790699E-4</v>
      </c>
      <c r="K2139" s="316" t="str">
        <f t="shared" si="46"/>
        <v>Construction and Mining Equipment</v>
      </c>
      <c r="L2139" s="316" t="str">
        <f t="shared" si="47"/>
        <v>Diesel</v>
      </c>
      <c r="M2139" s="194"/>
      <c r="N2139" s="317"/>
      <c r="O2139" s="317"/>
      <c r="P2139" s="317"/>
      <c r="Q2139" s="317"/>
      <c r="R2139" s="317"/>
      <c r="S2139" s="317"/>
      <c r="T2139" s="317"/>
      <c r="U2139" s="317"/>
      <c r="V2139" s="317"/>
      <c r="W2139" s="317"/>
      <c r="X2139" s="317"/>
      <c r="Y2139" s="317"/>
      <c r="Z2139" s="317"/>
    </row>
    <row r="2140" spans="1:26" x14ac:dyDescent="0.25">
      <c r="A2140" s="314"/>
      <c r="B2140" s="18">
        <v>2023</v>
      </c>
      <c r="C2140" s="18" t="s">
        <v>760</v>
      </c>
      <c r="D2140" s="18" t="s">
        <v>1074</v>
      </c>
      <c r="E2140" s="18" t="s">
        <v>713</v>
      </c>
      <c r="F2140" s="18" t="s">
        <v>714</v>
      </c>
      <c r="G2140" s="18" t="s">
        <v>674</v>
      </c>
      <c r="H2140" s="18" t="s">
        <v>967</v>
      </c>
      <c r="I2140" s="315">
        <v>43.456042422930317</v>
      </c>
      <c r="J2140" s="315">
        <v>7.4677101029593329E-4</v>
      </c>
      <c r="K2140" s="316" t="str">
        <f t="shared" si="46"/>
        <v>Construction and Mining Equipment</v>
      </c>
      <c r="L2140" s="316" t="str">
        <f t="shared" si="47"/>
        <v>Diesel</v>
      </c>
      <c r="M2140" s="194"/>
      <c r="N2140" s="317"/>
      <c r="O2140" s="317"/>
      <c r="P2140" s="317"/>
      <c r="Q2140" s="317"/>
      <c r="R2140" s="317"/>
      <c r="S2140" s="317"/>
      <c r="T2140" s="317"/>
      <c r="U2140" s="317"/>
      <c r="V2140" s="317"/>
      <c r="W2140" s="317"/>
      <c r="X2140" s="317"/>
      <c r="Y2140" s="317"/>
      <c r="Z2140" s="317"/>
    </row>
    <row r="2141" spans="1:26" x14ac:dyDescent="0.25">
      <c r="A2141" s="314"/>
      <c r="B2141" s="18">
        <v>2023</v>
      </c>
      <c r="C2141" s="18" t="s">
        <v>792</v>
      </c>
      <c r="D2141" s="18" t="s">
        <v>986</v>
      </c>
      <c r="E2141" s="18" t="s">
        <v>703</v>
      </c>
      <c r="F2141" s="18" t="s">
        <v>704</v>
      </c>
      <c r="G2141" s="18" t="s">
        <v>673</v>
      </c>
      <c r="H2141" s="18" t="s">
        <v>987</v>
      </c>
      <c r="I2141" s="315">
        <v>43.309582413962076</v>
      </c>
      <c r="J2141" s="315">
        <v>2.9810694858689545E-2</v>
      </c>
      <c r="K2141" s="316" t="str">
        <f t="shared" si="46"/>
        <v>Lawn and Garden Equipment</v>
      </c>
      <c r="L2141" s="316" t="str">
        <f t="shared" si="47"/>
        <v>Gasoline</v>
      </c>
      <c r="M2141" s="194"/>
      <c r="N2141" s="317"/>
      <c r="O2141" s="317"/>
      <c r="P2141" s="317"/>
      <c r="Q2141" s="317"/>
      <c r="R2141" s="317"/>
      <c r="S2141" s="317"/>
      <c r="T2141" s="317"/>
      <c r="U2141" s="317"/>
      <c r="V2141" s="317"/>
      <c r="W2141" s="317"/>
      <c r="X2141" s="317"/>
      <c r="Y2141" s="317"/>
      <c r="Z2141" s="317"/>
    </row>
    <row r="2142" spans="1:26" x14ac:dyDescent="0.25">
      <c r="A2142" s="314"/>
      <c r="B2142" s="18">
        <v>2023</v>
      </c>
      <c r="C2142" s="18" t="s">
        <v>773</v>
      </c>
      <c r="D2142" s="18" t="s">
        <v>989</v>
      </c>
      <c r="E2142" s="18" t="s">
        <v>703</v>
      </c>
      <c r="F2142" s="18" t="s">
        <v>795</v>
      </c>
      <c r="G2142" s="18" t="s">
        <v>673</v>
      </c>
      <c r="H2142" s="18" t="s">
        <v>990</v>
      </c>
      <c r="I2142" s="315">
        <v>43.297604505491904</v>
      </c>
      <c r="J2142" s="315">
        <v>8.3348828563709149E-2</v>
      </c>
      <c r="K2142" s="316" t="str">
        <f t="shared" si="46"/>
        <v>Lawn and Garden Equipment</v>
      </c>
      <c r="L2142" s="316" t="str">
        <f t="shared" si="47"/>
        <v>Gasoline</v>
      </c>
      <c r="M2142" s="194"/>
      <c r="N2142" s="317"/>
      <c r="O2142" s="317"/>
      <c r="P2142" s="317"/>
      <c r="Q2142" s="317"/>
      <c r="R2142" s="317"/>
      <c r="S2142" s="317"/>
      <c r="T2142" s="317"/>
      <c r="U2142" s="317"/>
      <c r="V2142" s="317"/>
      <c r="W2142" s="317"/>
      <c r="X2142" s="317"/>
      <c r="Y2142" s="317"/>
      <c r="Z2142" s="317"/>
    </row>
    <row r="2143" spans="1:26" x14ac:dyDescent="0.25">
      <c r="A2143" s="314"/>
      <c r="B2143" s="18">
        <v>2023</v>
      </c>
      <c r="C2143" s="18" t="s">
        <v>754</v>
      </c>
      <c r="D2143" s="18" t="s">
        <v>998</v>
      </c>
      <c r="E2143" s="18" t="s">
        <v>703</v>
      </c>
      <c r="F2143" s="18" t="s">
        <v>704</v>
      </c>
      <c r="G2143" s="18" t="s">
        <v>674</v>
      </c>
      <c r="H2143" s="18" t="s">
        <v>999</v>
      </c>
      <c r="I2143" s="315">
        <v>43.272053157517561</v>
      </c>
      <c r="J2143" s="315">
        <v>2.867481503899846E-2</v>
      </c>
      <c r="K2143" s="316" t="str">
        <f t="shared" si="46"/>
        <v>Construction and Mining Equipment</v>
      </c>
      <c r="L2143" s="316" t="str">
        <f t="shared" si="47"/>
        <v>Gasoline</v>
      </c>
      <c r="M2143" s="194"/>
      <c r="N2143" s="317"/>
      <c r="O2143" s="317"/>
      <c r="P2143" s="317"/>
      <c r="Q2143" s="317"/>
      <c r="R2143" s="317"/>
      <c r="S2143" s="317"/>
      <c r="T2143" s="317"/>
      <c r="U2143" s="317"/>
      <c r="V2143" s="317"/>
      <c r="W2143" s="317"/>
      <c r="X2143" s="317"/>
      <c r="Y2143" s="317"/>
      <c r="Z2143" s="317"/>
    </row>
    <row r="2144" spans="1:26" x14ac:dyDescent="0.25">
      <c r="A2144" s="314"/>
      <c r="B2144" s="18">
        <v>2023</v>
      </c>
      <c r="C2144" s="18" t="s">
        <v>793</v>
      </c>
      <c r="D2144" s="18" t="s">
        <v>980</v>
      </c>
      <c r="E2144" s="18" t="s">
        <v>713</v>
      </c>
      <c r="F2144" s="18" t="s">
        <v>714</v>
      </c>
      <c r="G2144" s="18" t="s">
        <v>674</v>
      </c>
      <c r="H2144" s="18" t="s">
        <v>981</v>
      </c>
      <c r="I2144" s="315">
        <v>43.211828267091718</v>
      </c>
      <c r="J2144" s="315">
        <v>1.8967565176797171E-3</v>
      </c>
      <c r="K2144" s="316" t="str">
        <f t="shared" si="46"/>
        <v>Construction and Mining Equipment</v>
      </c>
      <c r="L2144" s="316" t="str">
        <f t="shared" si="47"/>
        <v>Diesel</v>
      </c>
      <c r="M2144" s="194"/>
      <c r="N2144" s="317"/>
      <c r="O2144" s="317"/>
      <c r="P2144" s="317"/>
      <c r="Q2144" s="317"/>
      <c r="R2144" s="317"/>
      <c r="S2144" s="317"/>
      <c r="T2144" s="317"/>
      <c r="U2144" s="317"/>
      <c r="V2144" s="317"/>
      <c r="W2144" s="317"/>
      <c r="X2144" s="317"/>
      <c r="Y2144" s="317"/>
      <c r="Z2144" s="317"/>
    </row>
    <row r="2145" spans="1:26" x14ac:dyDescent="0.25">
      <c r="A2145" s="314"/>
      <c r="B2145" s="18">
        <v>2023</v>
      </c>
      <c r="C2145" s="18" t="s">
        <v>778</v>
      </c>
      <c r="D2145" s="18" t="s">
        <v>1023</v>
      </c>
      <c r="E2145" s="18" t="s">
        <v>703</v>
      </c>
      <c r="F2145" s="18" t="s">
        <v>704</v>
      </c>
      <c r="G2145" s="18" t="s">
        <v>674</v>
      </c>
      <c r="H2145" s="18" t="s">
        <v>736</v>
      </c>
      <c r="I2145" s="315">
        <v>43.182898274666755</v>
      </c>
      <c r="J2145" s="315">
        <v>2.8716054624283845E-2</v>
      </c>
      <c r="K2145" s="316" t="str">
        <f t="shared" si="46"/>
        <v>Construction and Mining Equipment</v>
      </c>
      <c r="L2145" s="316" t="str">
        <f t="shared" si="47"/>
        <v>Gasoline</v>
      </c>
      <c r="M2145" s="194"/>
      <c r="N2145" s="317"/>
      <c r="O2145" s="317"/>
      <c r="P2145" s="317"/>
      <c r="Q2145" s="317"/>
      <c r="R2145" s="317"/>
      <c r="S2145" s="317"/>
      <c r="T2145" s="317"/>
      <c r="U2145" s="317"/>
      <c r="V2145" s="317"/>
      <c r="W2145" s="317"/>
      <c r="X2145" s="317"/>
      <c r="Y2145" s="317"/>
      <c r="Z2145" s="317"/>
    </row>
    <row r="2146" spans="1:26" x14ac:dyDescent="0.25">
      <c r="A2146" s="314"/>
      <c r="B2146" s="18">
        <v>2023</v>
      </c>
      <c r="C2146" s="18" t="s">
        <v>754</v>
      </c>
      <c r="D2146" s="18" t="s">
        <v>1000</v>
      </c>
      <c r="E2146" s="18" t="s">
        <v>703</v>
      </c>
      <c r="F2146" s="18" t="s">
        <v>704</v>
      </c>
      <c r="G2146" s="18" t="s">
        <v>674</v>
      </c>
      <c r="H2146" s="18" t="s">
        <v>850</v>
      </c>
      <c r="I2146" s="315">
        <v>43.112894203610601</v>
      </c>
      <c r="J2146" s="315">
        <v>2.632222683241783E-2</v>
      </c>
      <c r="K2146" s="316" t="str">
        <f t="shared" si="46"/>
        <v>Construction and Mining Equipment</v>
      </c>
      <c r="L2146" s="316" t="str">
        <f t="shared" si="47"/>
        <v>Gasoline</v>
      </c>
      <c r="M2146" s="194"/>
      <c r="N2146" s="317"/>
      <c r="O2146" s="317"/>
      <c r="P2146" s="317"/>
      <c r="Q2146" s="317"/>
      <c r="R2146" s="317"/>
      <c r="S2146" s="317"/>
      <c r="T2146" s="317"/>
      <c r="U2146" s="317"/>
      <c r="V2146" s="317"/>
      <c r="W2146" s="317"/>
      <c r="X2146" s="317"/>
      <c r="Y2146" s="317"/>
      <c r="Z2146" s="317"/>
    </row>
    <row r="2147" spans="1:26" x14ac:dyDescent="0.25">
      <c r="A2147" s="314"/>
      <c r="B2147" s="18">
        <v>2023</v>
      </c>
      <c r="C2147" s="18" t="s">
        <v>732</v>
      </c>
      <c r="D2147" s="18" t="s">
        <v>1051</v>
      </c>
      <c r="E2147" s="18" t="s">
        <v>703</v>
      </c>
      <c r="F2147" s="18" t="s">
        <v>704</v>
      </c>
      <c r="G2147" s="18" t="s">
        <v>674</v>
      </c>
      <c r="H2147" s="18" t="s">
        <v>783</v>
      </c>
      <c r="I2147" s="315">
        <v>43.07214597423124</v>
      </c>
      <c r="J2147" s="315">
        <v>2.6355104281508265E-2</v>
      </c>
      <c r="K2147" s="316" t="str">
        <f t="shared" si="46"/>
        <v>Construction and Mining Equipment</v>
      </c>
      <c r="L2147" s="316" t="str">
        <f t="shared" si="47"/>
        <v>Gasoline</v>
      </c>
      <c r="M2147" s="194"/>
      <c r="N2147" s="317"/>
      <c r="O2147" s="317"/>
      <c r="P2147" s="317"/>
      <c r="Q2147" s="317"/>
      <c r="R2147" s="317"/>
      <c r="S2147" s="317"/>
      <c r="T2147" s="317"/>
      <c r="U2147" s="317"/>
      <c r="V2147" s="317"/>
      <c r="W2147" s="317"/>
      <c r="X2147" s="317"/>
      <c r="Y2147" s="317"/>
      <c r="Z2147" s="317"/>
    </row>
    <row r="2148" spans="1:26" x14ac:dyDescent="0.25">
      <c r="A2148" s="314"/>
      <c r="B2148" s="18">
        <v>2023</v>
      </c>
      <c r="C2148" s="18" t="s">
        <v>787</v>
      </c>
      <c r="D2148" s="18" t="s">
        <v>993</v>
      </c>
      <c r="E2148" s="18" t="s">
        <v>703</v>
      </c>
      <c r="F2148" s="18" t="s">
        <v>704</v>
      </c>
      <c r="G2148" s="18" t="s">
        <v>674</v>
      </c>
      <c r="H2148" s="18" t="s">
        <v>994</v>
      </c>
      <c r="I2148" s="315">
        <v>43.071807250327808</v>
      </c>
      <c r="J2148" s="315">
        <v>2.8805172875803895E-2</v>
      </c>
      <c r="K2148" s="316" t="str">
        <f t="shared" si="46"/>
        <v>Construction and Mining Equipment</v>
      </c>
      <c r="L2148" s="316" t="str">
        <f t="shared" si="47"/>
        <v>Gasoline</v>
      </c>
      <c r="M2148" s="194"/>
      <c r="N2148" s="317"/>
      <c r="O2148" s="317"/>
      <c r="P2148" s="317"/>
      <c r="Q2148" s="317"/>
      <c r="R2148" s="317"/>
      <c r="S2148" s="317"/>
      <c r="T2148" s="317"/>
      <c r="U2148" s="317"/>
      <c r="V2148" s="317"/>
      <c r="W2148" s="317"/>
      <c r="X2148" s="317"/>
      <c r="Y2148" s="317"/>
      <c r="Z2148" s="317"/>
    </row>
    <row r="2149" spans="1:26" x14ac:dyDescent="0.25">
      <c r="A2149" s="314"/>
      <c r="B2149" s="18">
        <v>2023</v>
      </c>
      <c r="C2149" s="18" t="s">
        <v>762</v>
      </c>
      <c r="D2149" s="18" t="s">
        <v>878</v>
      </c>
      <c r="E2149" s="18" t="s">
        <v>703</v>
      </c>
      <c r="F2149" s="18" t="s">
        <v>704</v>
      </c>
      <c r="G2149" s="18" t="s">
        <v>673</v>
      </c>
      <c r="H2149" s="18" t="s">
        <v>879</v>
      </c>
      <c r="I2149" s="315">
        <v>42.661421580494462</v>
      </c>
      <c r="J2149" s="315">
        <v>2.8013900279762676E-2</v>
      </c>
      <c r="K2149" s="316" t="str">
        <f t="shared" si="46"/>
        <v>Lawn and Garden Equipment</v>
      </c>
      <c r="L2149" s="316" t="str">
        <f t="shared" si="47"/>
        <v>Gasoline</v>
      </c>
      <c r="M2149" s="194"/>
      <c r="N2149" s="317"/>
      <c r="O2149" s="317"/>
      <c r="P2149" s="317"/>
      <c r="Q2149" s="317"/>
      <c r="R2149" s="317"/>
      <c r="S2149" s="317"/>
      <c r="T2149" s="317"/>
      <c r="U2149" s="317"/>
      <c r="V2149" s="317"/>
      <c r="W2149" s="317"/>
      <c r="X2149" s="317"/>
      <c r="Y2149" s="317"/>
      <c r="Z2149" s="317"/>
    </row>
    <row r="2150" spans="1:26" x14ac:dyDescent="0.25">
      <c r="A2150" s="314"/>
      <c r="B2150" s="18">
        <v>2023</v>
      </c>
      <c r="C2150" s="18" t="s">
        <v>701</v>
      </c>
      <c r="D2150" s="18" t="s">
        <v>1226</v>
      </c>
      <c r="E2150" s="18" t="s">
        <v>703</v>
      </c>
      <c r="F2150" s="18" t="s">
        <v>805</v>
      </c>
      <c r="G2150" s="18" t="s">
        <v>677</v>
      </c>
      <c r="H2150" s="18" t="s">
        <v>747</v>
      </c>
      <c r="I2150" s="315">
        <v>42.621675309037663</v>
      </c>
      <c r="J2150" s="315">
        <v>8.6184082383149979E-2</v>
      </c>
      <c r="K2150" s="316" t="str">
        <f t="shared" si="46"/>
        <v>Commercial Equipment</v>
      </c>
      <c r="L2150" s="316" t="str">
        <f t="shared" si="47"/>
        <v>Gasoline</v>
      </c>
      <c r="M2150" s="194"/>
      <c r="N2150" s="317"/>
      <c r="O2150" s="317"/>
      <c r="P2150" s="317"/>
      <c r="Q2150" s="317"/>
      <c r="R2150" s="317"/>
      <c r="S2150" s="317"/>
      <c r="T2150" s="317"/>
      <c r="U2150" s="317"/>
      <c r="V2150" s="317"/>
      <c r="W2150" s="317"/>
      <c r="X2150" s="317"/>
      <c r="Y2150" s="317"/>
      <c r="Z2150" s="317"/>
    </row>
    <row r="2151" spans="1:26" x14ac:dyDescent="0.25">
      <c r="A2151" s="314"/>
      <c r="B2151" s="18">
        <v>2023</v>
      </c>
      <c r="C2151" s="18" t="s">
        <v>731</v>
      </c>
      <c r="D2151" s="18" t="s">
        <v>936</v>
      </c>
      <c r="E2151" s="18" t="s">
        <v>56</v>
      </c>
      <c r="F2151" s="18" t="s">
        <v>672</v>
      </c>
      <c r="G2151" s="18" t="s">
        <v>677</v>
      </c>
      <c r="H2151" s="18" t="s">
        <v>747</v>
      </c>
      <c r="I2151" s="315">
        <v>42.561378221526859</v>
      </c>
      <c r="J2151" s="315">
        <v>9.8119270783589684E-3</v>
      </c>
      <c r="K2151" s="316" t="str">
        <f t="shared" si="46"/>
        <v>Commercial Equipment</v>
      </c>
      <c r="L2151" s="316" t="str">
        <f t="shared" si="47"/>
        <v>LPG</v>
      </c>
      <c r="M2151" s="194"/>
      <c r="N2151" s="317"/>
      <c r="O2151" s="317"/>
      <c r="P2151" s="317"/>
      <c r="Q2151" s="317"/>
      <c r="R2151" s="317"/>
      <c r="S2151" s="317"/>
      <c r="T2151" s="317"/>
      <c r="U2151" s="317"/>
      <c r="V2151" s="317"/>
      <c r="W2151" s="317"/>
      <c r="X2151" s="317"/>
      <c r="Y2151" s="317"/>
      <c r="Z2151" s="317"/>
    </row>
    <row r="2152" spans="1:26" x14ac:dyDescent="0.25">
      <c r="A2152" s="314"/>
      <c r="B2152" s="18">
        <v>2023</v>
      </c>
      <c r="C2152" s="18" t="s">
        <v>750</v>
      </c>
      <c r="D2152" s="18" t="s">
        <v>848</v>
      </c>
      <c r="E2152" s="18" t="s">
        <v>56</v>
      </c>
      <c r="F2152" s="18" t="s">
        <v>601</v>
      </c>
      <c r="G2152" s="18" t="s">
        <v>675</v>
      </c>
      <c r="H2152" s="18" t="s">
        <v>708</v>
      </c>
      <c r="I2152" s="315">
        <v>42.473196998200443</v>
      </c>
      <c r="J2152" s="315">
        <v>0.16896892189906007</v>
      </c>
      <c r="K2152" s="316" t="str">
        <f t="shared" si="46"/>
        <v>Industrial Equipment</v>
      </c>
      <c r="L2152" s="316" t="str">
        <f t="shared" si="47"/>
        <v>CNG</v>
      </c>
      <c r="M2152" s="194"/>
      <c r="N2152" s="317"/>
      <c r="O2152" s="317"/>
      <c r="P2152" s="317"/>
      <c r="Q2152" s="317"/>
      <c r="R2152" s="317"/>
      <c r="S2152" s="317"/>
      <c r="T2152" s="317"/>
      <c r="U2152" s="317"/>
      <c r="V2152" s="317"/>
      <c r="W2152" s="317"/>
      <c r="X2152" s="317"/>
      <c r="Y2152" s="317"/>
      <c r="Z2152" s="317"/>
    </row>
    <row r="2153" spans="1:26" x14ac:dyDescent="0.25">
      <c r="A2153" s="314"/>
      <c r="B2153" s="18">
        <v>2023</v>
      </c>
      <c r="C2153" s="18" t="s">
        <v>759</v>
      </c>
      <c r="D2153" s="18" t="s">
        <v>835</v>
      </c>
      <c r="E2153" s="18" t="s">
        <v>703</v>
      </c>
      <c r="F2153" s="18" t="s">
        <v>704</v>
      </c>
      <c r="G2153" s="18" t="s">
        <v>677</v>
      </c>
      <c r="H2153" s="18" t="s">
        <v>836</v>
      </c>
      <c r="I2153" s="315">
        <v>42.410196896954524</v>
      </c>
      <c r="J2153" s="315">
        <v>2.6243014745146988E-2</v>
      </c>
      <c r="K2153" s="316" t="str">
        <f t="shared" si="46"/>
        <v>Commercial Equipment</v>
      </c>
      <c r="L2153" s="316" t="str">
        <f t="shared" si="47"/>
        <v>Gasoline</v>
      </c>
      <c r="M2153" s="194"/>
      <c r="N2153" s="317"/>
      <c r="O2153" s="317"/>
      <c r="P2153" s="317"/>
      <c r="Q2153" s="317"/>
      <c r="R2153" s="317"/>
      <c r="S2153" s="317"/>
      <c r="T2153" s="317"/>
      <c r="U2153" s="317"/>
      <c r="V2153" s="317"/>
      <c r="W2153" s="317"/>
      <c r="X2153" s="317"/>
      <c r="Y2153" s="317"/>
      <c r="Z2153" s="317"/>
    </row>
    <row r="2154" spans="1:26" x14ac:dyDescent="0.25">
      <c r="A2154" s="314"/>
      <c r="B2154" s="18">
        <v>2023</v>
      </c>
      <c r="C2154" s="18" t="s">
        <v>743</v>
      </c>
      <c r="D2154" s="18" t="s">
        <v>1015</v>
      </c>
      <c r="E2154" s="18" t="s">
        <v>56</v>
      </c>
      <c r="F2154" s="18" t="s">
        <v>601</v>
      </c>
      <c r="G2154" s="18" t="s">
        <v>677</v>
      </c>
      <c r="H2154" s="18" t="s">
        <v>747</v>
      </c>
      <c r="I2154" s="315">
        <v>42.392722610239787</v>
      </c>
      <c r="J2154" s="315">
        <v>0.94842652022796303</v>
      </c>
      <c r="K2154" s="316" t="str">
        <f t="shared" si="46"/>
        <v>Commercial Equipment</v>
      </c>
      <c r="L2154" s="316" t="str">
        <f t="shared" si="47"/>
        <v>CNG</v>
      </c>
      <c r="M2154" s="194"/>
      <c r="N2154" s="317"/>
      <c r="O2154" s="317"/>
      <c r="P2154" s="317"/>
      <c r="Q2154" s="317"/>
      <c r="R2154" s="317"/>
      <c r="S2154" s="317"/>
      <c r="T2154" s="317"/>
      <c r="U2154" s="317"/>
      <c r="V2154" s="317"/>
      <c r="W2154" s="317"/>
      <c r="X2154" s="317"/>
      <c r="Y2154" s="317"/>
      <c r="Z2154" s="317"/>
    </row>
    <row r="2155" spans="1:26" x14ac:dyDescent="0.25">
      <c r="A2155" s="314"/>
      <c r="B2155" s="18">
        <v>2023</v>
      </c>
      <c r="C2155" s="18" t="s">
        <v>773</v>
      </c>
      <c r="D2155" s="18" t="s">
        <v>1003</v>
      </c>
      <c r="E2155" s="18" t="s">
        <v>703</v>
      </c>
      <c r="F2155" s="18" t="s">
        <v>805</v>
      </c>
      <c r="G2155" s="18" t="s">
        <v>677</v>
      </c>
      <c r="H2155" s="18" t="s">
        <v>841</v>
      </c>
      <c r="I2155" s="315">
        <v>42.280138836784772</v>
      </c>
      <c r="J2155" s="315">
        <v>8.146677140393345E-2</v>
      </c>
      <c r="K2155" s="316" t="str">
        <f t="shared" si="46"/>
        <v>Commercial Equipment</v>
      </c>
      <c r="L2155" s="316" t="str">
        <f t="shared" si="47"/>
        <v>Gasoline</v>
      </c>
      <c r="M2155" s="194"/>
      <c r="N2155" s="317"/>
      <c r="O2155" s="317"/>
      <c r="P2155" s="317"/>
      <c r="Q2155" s="317"/>
      <c r="R2155" s="317"/>
      <c r="S2155" s="317"/>
      <c r="T2155" s="317"/>
      <c r="U2155" s="317"/>
      <c r="V2155" s="317"/>
      <c r="W2155" s="317"/>
      <c r="X2155" s="317"/>
      <c r="Y2155" s="317"/>
      <c r="Z2155" s="317"/>
    </row>
    <row r="2156" spans="1:26" ht="12.75" x14ac:dyDescent="0.2">
      <c r="A2156" s="230"/>
      <c r="B2156" s="18">
        <v>2023</v>
      </c>
      <c r="C2156" s="18" t="s">
        <v>732</v>
      </c>
      <c r="D2156" s="18" t="s">
        <v>1065</v>
      </c>
      <c r="E2156" s="18" t="s">
        <v>703</v>
      </c>
      <c r="F2156" s="18" t="s">
        <v>795</v>
      </c>
      <c r="G2156" s="18" t="s">
        <v>673</v>
      </c>
      <c r="H2156" s="18" t="s">
        <v>1066</v>
      </c>
      <c r="I2156" s="315">
        <v>42.277000823448596</v>
      </c>
      <c r="J2156" s="315">
        <v>0.28877132964506841</v>
      </c>
      <c r="K2156" s="316" t="str">
        <f t="shared" si="46"/>
        <v>Lawn and Garden Equipment</v>
      </c>
      <c r="L2156" s="316" t="str">
        <f t="shared" si="47"/>
        <v>Gasoline</v>
      </c>
      <c r="M2156" s="8"/>
      <c r="N2156" s="2"/>
      <c r="O2156" s="2"/>
      <c r="P2156" s="2"/>
      <c r="Q2156" s="2"/>
      <c r="R2156" s="2"/>
      <c r="S2156" s="2"/>
      <c r="T2156" s="2"/>
      <c r="U2156" s="2"/>
      <c r="V2156" s="2"/>
      <c r="W2156" s="2"/>
      <c r="X2156" s="2"/>
      <c r="Y2156" s="2"/>
      <c r="Z2156" s="2"/>
    </row>
    <row r="2157" spans="1:26" x14ac:dyDescent="0.25">
      <c r="A2157" s="314"/>
      <c r="B2157" s="18">
        <v>2023</v>
      </c>
      <c r="C2157" s="18" t="s">
        <v>762</v>
      </c>
      <c r="D2157" s="18" t="s">
        <v>882</v>
      </c>
      <c r="E2157" s="18" t="s">
        <v>713</v>
      </c>
      <c r="F2157" s="18" t="s">
        <v>714</v>
      </c>
      <c r="G2157" s="18" t="s">
        <v>673</v>
      </c>
      <c r="H2157" s="18" t="s">
        <v>705</v>
      </c>
      <c r="I2157" s="315">
        <v>42.208517298268951</v>
      </c>
      <c r="J2157" s="315">
        <v>7.0841038487593454E-4</v>
      </c>
      <c r="K2157" s="316" t="str">
        <f t="shared" si="46"/>
        <v>Lawn and Garden Equipment</v>
      </c>
      <c r="L2157" s="316" t="str">
        <f t="shared" si="47"/>
        <v>Diesel</v>
      </c>
      <c r="M2157" s="194"/>
      <c r="N2157" s="317"/>
      <c r="O2157" s="317"/>
      <c r="P2157" s="317"/>
      <c r="Q2157" s="317"/>
      <c r="R2157" s="317"/>
      <c r="S2157" s="317"/>
      <c r="T2157" s="317"/>
      <c r="U2157" s="317"/>
      <c r="V2157" s="317"/>
      <c r="W2157" s="317"/>
      <c r="X2157" s="317"/>
      <c r="Y2157" s="317"/>
      <c r="Z2157" s="317"/>
    </row>
    <row r="2158" spans="1:26" x14ac:dyDescent="0.25">
      <c r="A2158" s="314"/>
      <c r="B2158" s="18">
        <v>2023</v>
      </c>
      <c r="C2158" s="18" t="s">
        <v>711</v>
      </c>
      <c r="D2158" s="18" t="s">
        <v>1158</v>
      </c>
      <c r="E2158" s="18" t="s">
        <v>703</v>
      </c>
      <c r="F2158" s="18" t="s">
        <v>704</v>
      </c>
      <c r="G2158" s="18" t="s">
        <v>674</v>
      </c>
      <c r="H2158" s="18" t="s">
        <v>715</v>
      </c>
      <c r="I2158" s="315">
        <v>42.083451784721376</v>
      </c>
      <c r="J2158" s="315">
        <v>2.9152853708288725E-3</v>
      </c>
      <c r="K2158" s="316" t="str">
        <f t="shared" si="46"/>
        <v>Construction and Mining Equipment</v>
      </c>
      <c r="L2158" s="316" t="str">
        <f t="shared" si="47"/>
        <v>Gasoline</v>
      </c>
      <c r="M2158" s="194"/>
      <c r="N2158" s="317"/>
      <c r="O2158" s="317"/>
      <c r="P2158" s="317"/>
      <c r="Q2158" s="317"/>
      <c r="R2158" s="317"/>
      <c r="S2158" s="317"/>
      <c r="T2158" s="317"/>
      <c r="U2158" s="317"/>
      <c r="V2158" s="317"/>
      <c r="W2158" s="317"/>
      <c r="X2158" s="317"/>
      <c r="Y2158" s="317"/>
      <c r="Z2158" s="317"/>
    </row>
    <row r="2159" spans="1:26" x14ac:dyDescent="0.25">
      <c r="A2159" s="314"/>
      <c r="B2159" s="18">
        <v>2023</v>
      </c>
      <c r="C2159" s="18" t="s">
        <v>760</v>
      </c>
      <c r="D2159" s="18" t="s">
        <v>1076</v>
      </c>
      <c r="E2159" s="18" t="s">
        <v>703</v>
      </c>
      <c r="F2159" s="18" t="s">
        <v>704</v>
      </c>
      <c r="G2159" s="18" t="s">
        <v>674</v>
      </c>
      <c r="H2159" s="18" t="s">
        <v>756</v>
      </c>
      <c r="I2159" s="315">
        <v>42.021487998202552</v>
      </c>
      <c r="J2159" s="315">
        <v>1.847882945358326E-2</v>
      </c>
      <c r="K2159" s="316" t="str">
        <f t="shared" si="46"/>
        <v>Construction and Mining Equipment</v>
      </c>
      <c r="L2159" s="316" t="str">
        <f t="shared" si="47"/>
        <v>Gasoline</v>
      </c>
      <c r="M2159" s="194"/>
      <c r="N2159" s="317"/>
      <c r="O2159" s="317"/>
      <c r="P2159" s="317"/>
      <c r="Q2159" s="317"/>
      <c r="R2159" s="317"/>
      <c r="S2159" s="317"/>
      <c r="T2159" s="317"/>
      <c r="U2159" s="317"/>
      <c r="V2159" s="317"/>
      <c r="W2159" s="317"/>
      <c r="X2159" s="317"/>
      <c r="Y2159" s="317"/>
      <c r="Z2159" s="317"/>
    </row>
    <row r="2160" spans="1:26" x14ac:dyDescent="0.25">
      <c r="A2160" s="314"/>
      <c r="B2160" s="18">
        <v>2023</v>
      </c>
      <c r="C2160" s="18" t="s">
        <v>773</v>
      </c>
      <c r="D2160" s="18" t="s">
        <v>1224</v>
      </c>
      <c r="E2160" s="18" t="s">
        <v>703</v>
      </c>
      <c r="F2160" s="18" t="s">
        <v>704</v>
      </c>
      <c r="G2160" s="18" t="s">
        <v>681</v>
      </c>
      <c r="H2160" s="18" t="s">
        <v>1225</v>
      </c>
      <c r="I2160" s="315">
        <v>41.922256564715802</v>
      </c>
      <c r="J2160" s="315">
        <v>2.8281196693324354E-2</v>
      </c>
      <c r="K2160" s="316" t="str">
        <f t="shared" si="46"/>
        <v>Logging Equipment</v>
      </c>
      <c r="L2160" s="316" t="str">
        <f t="shared" si="47"/>
        <v>Gasoline</v>
      </c>
      <c r="M2160" s="194"/>
      <c r="N2160" s="317"/>
      <c r="O2160" s="317"/>
      <c r="P2160" s="317"/>
      <c r="Q2160" s="317"/>
      <c r="R2160" s="317"/>
      <c r="S2160" s="317"/>
      <c r="T2160" s="317"/>
      <c r="U2160" s="317"/>
      <c r="V2160" s="317"/>
      <c r="W2160" s="317"/>
      <c r="X2160" s="317"/>
      <c r="Y2160" s="317"/>
      <c r="Z2160" s="317"/>
    </row>
    <row r="2161" spans="1:26" x14ac:dyDescent="0.25">
      <c r="A2161" s="314"/>
      <c r="B2161" s="18">
        <v>2023</v>
      </c>
      <c r="C2161" s="18" t="s">
        <v>754</v>
      </c>
      <c r="D2161" s="18" t="s">
        <v>1221</v>
      </c>
      <c r="E2161" s="18" t="s">
        <v>713</v>
      </c>
      <c r="F2161" s="18" t="s">
        <v>714</v>
      </c>
      <c r="G2161" s="18" t="s">
        <v>678</v>
      </c>
      <c r="H2161" s="18" t="s">
        <v>1222</v>
      </c>
      <c r="I2161" s="315">
        <v>41.804315470018672</v>
      </c>
      <c r="J2161" s="315">
        <v>2.7850112770671029E-4</v>
      </c>
      <c r="K2161" s="316" t="str">
        <f t="shared" si="46"/>
        <v>Agricultural Equipment</v>
      </c>
      <c r="L2161" s="316" t="str">
        <f t="shared" si="47"/>
        <v>Diesel</v>
      </c>
      <c r="M2161" s="194"/>
      <c r="N2161" s="317"/>
      <c r="O2161" s="317"/>
      <c r="P2161" s="317"/>
      <c r="Q2161" s="317"/>
      <c r="R2161" s="317"/>
      <c r="S2161" s="317"/>
      <c r="T2161" s="317"/>
      <c r="U2161" s="317"/>
      <c r="V2161" s="317"/>
      <c r="W2161" s="317"/>
      <c r="X2161" s="317"/>
      <c r="Y2161" s="317"/>
      <c r="Z2161" s="317"/>
    </row>
    <row r="2162" spans="1:26" x14ac:dyDescent="0.25">
      <c r="A2162" s="314"/>
      <c r="B2162" s="18">
        <v>2023</v>
      </c>
      <c r="C2162" s="18" t="s">
        <v>750</v>
      </c>
      <c r="D2162" s="18" t="s">
        <v>867</v>
      </c>
      <c r="E2162" s="18" t="s">
        <v>713</v>
      </c>
      <c r="F2162" s="18" t="s">
        <v>714</v>
      </c>
      <c r="G2162" s="18" t="s">
        <v>673</v>
      </c>
      <c r="H2162" s="18" t="s">
        <v>724</v>
      </c>
      <c r="I2162" s="315">
        <v>41.685224279245894</v>
      </c>
      <c r="J2162" s="315">
        <v>2.1452719339906268E-3</v>
      </c>
      <c r="K2162" s="316" t="str">
        <f t="shared" si="46"/>
        <v>Lawn and Garden Equipment</v>
      </c>
      <c r="L2162" s="316" t="str">
        <f t="shared" si="47"/>
        <v>Diesel</v>
      </c>
      <c r="M2162" s="194"/>
      <c r="N2162" s="317"/>
      <c r="O2162" s="317"/>
      <c r="P2162" s="317"/>
      <c r="Q2162" s="317"/>
      <c r="R2162" s="317"/>
      <c r="S2162" s="317"/>
      <c r="T2162" s="317"/>
      <c r="U2162" s="317"/>
      <c r="V2162" s="317"/>
      <c r="W2162" s="317"/>
      <c r="X2162" s="317"/>
      <c r="Y2162" s="317"/>
      <c r="Z2162" s="317"/>
    </row>
    <row r="2163" spans="1:26" x14ac:dyDescent="0.25">
      <c r="A2163" s="314"/>
      <c r="B2163" s="18">
        <v>2023</v>
      </c>
      <c r="C2163" s="18" t="s">
        <v>778</v>
      </c>
      <c r="D2163" s="18" t="s">
        <v>927</v>
      </c>
      <c r="E2163" s="18" t="s">
        <v>56</v>
      </c>
      <c r="F2163" s="18" t="s">
        <v>672</v>
      </c>
      <c r="G2163" s="18" t="s">
        <v>673</v>
      </c>
      <c r="H2163" s="18" t="s">
        <v>742</v>
      </c>
      <c r="I2163" s="315">
        <v>41.6092419196778</v>
      </c>
      <c r="J2163" s="315">
        <v>1.8902958196394622E-3</v>
      </c>
      <c r="K2163" s="316" t="str">
        <f t="shared" si="46"/>
        <v>Lawn and Garden Equipment</v>
      </c>
      <c r="L2163" s="316" t="str">
        <f t="shared" si="47"/>
        <v>LPG</v>
      </c>
      <c r="M2163" s="194"/>
      <c r="N2163" s="317"/>
      <c r="O2163" s="317"/>
      <c r="P2163" s="317"/>
      <c r="Q2163" s="317"/>
      <c r="R2163" s="317"/>
      <c r="S2163" s="317"/>
      <c r="T2163" s="317"/>
      <c r="U2163" s="317"/>
      <c r="V2163" s="317"/>
      <c r="W2163" s="317"/>
      <c r="X2163" s="317"/>
      <c r="Y2163" s="317"/>
      <c r="Z2163" s="317"/>
    </row>
    <row r="2164" spans="1:26" x14ac:dyDescent="0.25">
      <c r="A2164" s="314"/>
      <c r="B2164" s="18">
        <v>2023</v>
      </c>
      <c r="C2164" s="18" t="s">
        <v>706</v>
      </c>
      <c r="D2164" s="18" t="s">
        <v>1079</v>
      </c>
      <c r="E2164" s="18" t="s">
        <v>713</v>
      </c>
      <c r="F2164" s="18" t="s">
        <v>714</v>
      </c>
      <c r="G2164" s="18" t="s">
        <v>678</v>
      </c>
      <c r="H2164" s="18" t="s">
        <v>1080</v>
      </c>
      <c r="I2164" s="315">
        <v>41.466536755495227</v>
      </c>
      <c r="J2164" s="315">
        <v>3.0093972394182219E-4</v>
      </c>
      <c r="K2164" s="316" t="str">
        <f t="shared" si="46"/>
        <v>Agricultural Equipment</v>
      </c>
      <c r="L2164" s="316" t="str">
        <f t="shared" si="47"/>
        <v>Diesel</v>
      </c>
      <c r="M2164" s="194"/>
      <c r="N2164" s="317"/>
      <c r="O2164" s="317"/>
      <c r="P2164" s="317"/>
      <c r="Q2164" s="317"/>
      <c r="R2164" s="317"/>
      <c r="S2164" s="317"/>
      <c r="T2164" s="317"/>
      <c r="U2164" s="317"/>
      <c r="V2164" s="317"/>
      <c r="W2164" s="317"/>
      <c r="X2164" s="317"/>
      <c r="Y2164" s="317"/>
      <c r="Z2164" s="317"/>
    </row>
    <row r="2165" spans="1:26" x14ac:dyDescent="0.25">
      <c r="A2165" s="314"/>
      <c r="B2165" s="18">
        <v>2023</v>
      </c>
      <c r="C2165" s="18" t="s">
        <v>810</v>
      </c>
      <c r="D2165" s="18" t="s">
        <v>958</v>
      </c>
      <c r="E2165" s="18" t="s">
        <v>713</v>
      </c>
      <c r="F2165" s="18" t="s">
        <v>714</v>
      </c>
      <c r="G2165" s="18" t="s">
        <v>674</v>
      </c>
      <c r="H2165" s="18" t="s">
        <v>959</v>
      </c>
      <c r="I2165" s="315">
        <v>41.051706986281815</v>
      </c>
      <c r="J2165" s="315">
        <v>3.6517570172369903E-4</v>
      </c>
      <c r="K2165" s="316" t="str">
        <f t="shared" si="46"/>
        <v>Construction and Mining Equipment</v>
      </c>
      <c r="L2165" s="316" t="str">
        <f t="shared" si="47"/>
        <v>Diesel</v>
      </c>
      <c r="M2165" s="194"/>
      <c r="N2165" s="317"/>
      <c r="O2165" s="317"/>
      <c r="P2165" s="317"/>
      <c r="Q2165" s="317"/>
      <c r="R2165" s="317"/>
      <c r="S2165" s="317"/>
      <c r="T2165" s="317"/>
      <c r="U2165" s="317"/>
      <c r="V2165" s="317"/>
      <c r="W2165" s="317"/>
      <c r="X2165" s="317"/>
      <c r="Y2165" s="317"/>
      <c r="Z2165" s="317"/>
    </row>
    <row r="2166" spans="1:26" x14ac:dyDescent="0.25">
      <c r="A2166" s="314"/>
      <c r="B2166" s="18">
        <v>2023</v>
      </c>
      <c r="C2166" s="18" t="s">
        <v>773</v>
      </c>
      <c r="D2166" s="18" t="s">
        <v>1016</v>
      </c>
      <c r="E2166" s="18" t="s">
        <v>56</v>
      </c>
      <c r="F2166" s="18" t="s">
        <v>672</v>
      </c>
      <c r="G2166" s="18" t="s">
        <v>675</v>
      </c>
      <c r="H2166" s="18" t="s">
        <v>802</v>
      </c>
      <c r="I2166" s="315">
        <v>40.760898648038882</v>
      </c>
      <c r="J2166" s="315">
        <v>1.8700198760239672E-3</v>
      </c>
      <c r="K2166" s="316" t="str">
        <f t="shared" si="46"/>
        <v>Industrial Equipment</v>
      </c>
      <c r="L2166" s="316" t="str">
        <f t="shared" si="47"/>
        <v>LPG</v>
      </c>
      <c r="M2166" s="194"/>
      <c r="N2166" s="317"/>
      <c r="O2166" s="317"/>
      <c r="P2166" s="317"/>
      <c r="Q2166" s="317"/>
      <c r="R2166" s="317"/>
      <c r="S2166" s="317"/>
      <c r="T2166" s="317"/>
      <c r="U2166" s="317"/>
      <c r="V2166" s="317"/>
      <c r="W2166" s="317"/>
      <c r="X2166" s="317"/>
      <c r="Y2166" s="317"/>
      <c r="Z2166" s="317"/>
    </row>
    <row r="2167" spans="1:26" x14ac:dyDescent="0.25">
      <c r="A2167" s="314"/>
      <c r="B2167" s="18">
        <v>2023</v>
      </c>
      <c r="C2167" s="18" t="s">
        <v>786</v>
      </c>
      <c r="D2167" s="18" t="s">
        <v>880</v>
      </c>
      <c r="E2167" s="18" t="s">
        <v>703</v>
      </c>
      <c r="F2167" s="18" t="s">
        <v>704</v>
      </c>
      <c r="G2167" s="18" t="s">
        <v>677</v>
      </c>
      <c r="H2167" s="18" t="s">
        <v>785</v>
      </c>
      <c r="I2167" s="315">
        <v>40.713925873370066</v>
      </c>
      <c r="J2167" s="315">
        <v>2.3440393703600855E-2</v>
      </c>
      <c r="K2167" s="316" t="str">
        <f t="shared" si="46"/>
        <v>Commercial Equipment</v>
      </c>
      <c r="L2167" s="316" t="str">
        <f t="shared" si="47"/>
        <v>Gasoline</v>
      </c>
      <c r="M2167" s="194"/>
      <c r="N2167" s="317"/>
      <c r="O2167" s="317"/>
      <c r="P2167" s="317"/>
      <c r="Q2167" s="317"/>
      <c r="R2167" s="317"/>
      <c r="S2167" s="317"/>
      <c r="T2167" s="317"/>
      <c r="U2167" s="317"/>
      <c r="V2167" s="317"/>
      <c r="W2167" s="317"/>
      <c r="X2167" s="317"/>
      <c r="Y2167" s="317"/>
      <c r="Z2167" s="317"/>
    </row>
    <row r="2168" spans="1:26" x14ac:dyDescent="0.25">
      <c r="A2168" s="314"/>
      <c r="B2168" s="18">
        <v>2023</v>
      </c>
      <c r="C2168" s="18" t="s">
        <v>701</v>
      </c>
      <c r="D2168" s="18" t="s">
        <v>1215</v>
      </c>
      <c r="E2168" s="18" t="s">
        <v>56</v>
      </c>
      <c r="F2168" s="18" t="s">
        <v>672</v>
      </c>
      <c r="G2168" s="18" t="s">
        <v>674</v>
      </c>
      <c r="H2168" s="18" t="s">
        <v>756</v>
      </c>
      <c r="I2168" s="315">
        <v>40.58211424258802</v>
      </c>
      <c r="J2168" s="315">
        <v>7.507844922668639E-3</v>
      </c>
      <c r="K2168" s="316" t="str">
        <f t="shared" si="46"/>
        <v>Construction and Mining Equipment</v>
      </c>
      <c r="L2168" s="316" t="str">
        <f t="shared" si="47"/>
        <v>LPG</v>
      </c>
      <c r="M2168" s="194"/>
      <c r="N2168" s="317"/>
      <c r="O2168" s="317"/>
      <c r="P2168" s="317"/>
      <c r="Q2168" s="317"/>
      <c r="R2168" s="317"/>
      <c r="S2168" s="317"/>
      <c r="T2168" s="317"/>
      <c r="U2168" s="317"/>
      <c r="V2168" s="317"/>
      <c r="W2168" s="317"/>
      <c r="X2168" s="317"/>
      <c r="Y2168" s="317"/>
      <c r="Z2168" s="317"/>
    </row>
    <row r="2169" spans="1:26" x14ac:dyDescent="0.25">
      <c r="A2169" s="314"/>
      <c r="B2169" s="18">
        <v>2023</v>
      </c>
      <c r="C2169" s="18" t="s">
        <v>754</v>
      </c>
      <c r="D2169" s="18" t="s">
        <v>1006</v>
      </c>
      <c r="E2169" s="18" t="s">
        <v>703</v>
      </c>
      <c r="F2169" s="18" t="s">
        <v>805</v>
      </c>
      <c r="G2169" s="18" t="s">
        <v>674</v>
      </c>
      <c r="H2169" s="18" t="s">
        <v>967</v>
      </c>
      <c r="I2169" s="315">
        <v>40.522564272403599</v>
      </c>
      <c r="J2169" s="315">
        <v>7.2571102590776759E-2</v>
      </c>
      <c r="K2169" s="316" t="str">
        <f t="shared" si="46"/>
        <v>Construction and Mining Equipment</v>
      </c>
      <c r="L2169" s="316" t="str">
        <f t="shared" si="47"/>
        <v>Gasoline</v>
      </c>
      <c r="M2169" s="194"/>
      <c r="N2169" s="317"/>
      <c r="O2169" s="317"/>
      <c r="P2169" s="317"/>
      <c r="Q2169" s="317"/>
      <c r="R2169" s="317"/>
      <c r="S2169" s="317"/>
      <c r="T2169" s="317"/>
      <c r="U2169" s="317"/>
      <c r="V2169" s="317"/>
      <c r="W2169" s="317"/>
      <c r="X2169" s="317"/>
      <c r="Y2169" s="317"/>
      <c r="Z2169" s="317"/>
    </row>
    <row r="2170" spans="1:26" x14ac:dyDescent="0.25">
      <c r="A2170" s="314"/>
      <c r="B2170" s="18">
        <v>2023</v>
      </c>
      <c r="C2170" s="18" t="s">
        <v>773</v>
      </c>
      <c r="D2170" s="18" t="s">
        <v>980</v>
      </c>
      <c r="E2170" s="18" t="s">
        <v>713</v>
      </c>
      <c r="F2170" s="18" t="s">
        <v>714</v>
      </c>
      <c r="G2170" s="18" t="s">
        <v>674</v>
      </c>
      <c r="H2170" s="18" t="s">
        <v>981</v>
      </c>
      <c r="I2170" s="315">
        <v>40.30468447157191</v>
      </c>
      <c r="J2170" s="315">
        <v>1.7691505069923029E-3</v>
      </c>
      <c r="K2170" s="316" t="str">
        <f t="shared" si="46"/>
        <v>Construction and Mining Equipment</v>
      </c>
      <c r="L2170" s="316" t="str">
        <f t="shared" si="47"/>
        <v>Diesel</v>
      </c>
      <c r="M2170" s="194"/>
      <c r="N2170" s="317"/>
      <c r="O2170" s="317"/>
      <c r="P2170" s="317"/>
      <c r="Q2170" s="317"/>
      <c r="R2170" s="317"/>
      <c r="S2170" s="317"/>
      <c r="T2170" s="317"/>
      <c r="U2170" s="317"/>
      <c r="V2170" s="317"/>
      <c r="W2170" s="317"/>
      <c r="X2170" s="317"/>
      <c r="Y2170" s="317"/>
      <c r="Z2170" s="317"/>
    </row>
    <row r="2171" spans="1:26" x14ac:dyDescent="0.25">
      <c r="A2171" s="314"/>
      <c r="B2171" s="18">
        <v>2023</v>
      </c>
      <c r="C2171" s="18" t="s">
        <v>731</v>
      </c>
      <c r="D2171" s="18" t="s">
        <v>1004</v>
      </c>
      <c r="E2171" s="18" t="s">
        <v>713</v>
      </c>
      <c r="F2171" s="18" t="s">
        <v>714</v>
      </c>
      <c r="G2171" s="18" t="s">
        <v>679</v>
      </c>
      <c r="H2171" s="18" t="s">
        <v>1005</v>
      </c>
      <c r="I2171" s="315">
        <v>40.27727762363623</v>
      </c>
      <c r="J2171" s="315">
        <v>1.4519026919244237E-3</v>
      </c>
      <c r="K2171" s="316" t="str">
        <f t="shared" si="46"/>
        <v>Recreational Equipment</v>
      </c>
      <c r="L2171" s="316" t="str">
        <f t="shared" si="47"/>
        <v>Diesel</v>
      </c>
      <c r="M2171" s="194"/>
      <c r="N2171" s="317"/>
      <c r="O2171" s="317"/>
      <c r="P2171" s="317"/>
      <c r="Q2171" s="317"/>
      <c r="R2171" s="317"/>
      <c r="S2171" s="317"/>
      <c r="T2171" s="317"/>
      <c r="U2171" s="317"/>
      <c r="V2171" s="317"/>
      <c r="W2171" s="317"/>
      <c r="X2171" s="317"/>
      <c r="Y2171" s="317"/>
      <c r="Z2171" s="317"/>
    </row>
    <row r="2172" spans="1:26" x14ac:dyDescent="0.25">
      <c r="A2172" s="314"/>
      <c r="B2172" s="18">
        <v>2023</v>
      </c>
      <c r="C2172" s="18" t="s">
        <v>722</v>
      </c>
      <c r="D2172" s="18" t="s">
        <v>1004</v>
      </c>
      <c r="E2172" s="18" t="s">
        <v>713</v>
      </c>
      <c r="F2172" s="18" t="s">
        <v>714</v>
      </c>
      <c r="G2172" s="18" t="s">
        <v>679</v>
      </c>
      <c r="H2172" s="18" t="s">
        <v>1005</v>
      </c>
      <c r="I2172" s="315">
        <v>40.27727762363623</v>
      </c>
      <c r="J2172" s="315">
        <v>1.4519026919244237E-3</v>
      </c>
      <c r="K2172" s="316" t="str">
        <f t="shared" si="46"/>
        <v>Recreational Equipment</v>
      </c>
      <c r="L2172" s="316" t="str">
        <f t="shared" si="47"/>
        <v>Diesel</v>
      </c>
      <c r="M2172" s="194"/>
      <c r="N2172" s="317"/>
      <c r="O2172" s="317"/>
      <c r="P2172" s="317"/>
      <c r="Q2172" s="317"/>
      <c r="R2172" s="317"/>
      <c r="S2172" s="317"/>
      <c r="T2172" s="317"/>
      <c r="U2172" s="317"/>
      <c r="V2172" s="317"/>
      <c r="W2172" s="317"/>
      <c r="X2172" s="317"/>
      <c r="Y2172" s="317"/>
      <c r="Z2172" s="317"/>
    </row>
    <row r="2173" spans="1:26" x14ac:dyDescent="0.25">
      <c r="A2173" s="314"/>
      <c r="B2173" s="18">
        <v>2023</v>
      </c>
      <c r="C2173" s="18" t="s">
        <v>750</v>
      </c>
      <c r="D2173" s="18" t="s">
        <v>993</v>
      </c>
      <c r="E2173" s="18" t="s">
        <v>703</v>
      </c>
      <c r="F2173" s="18" t="s">
        <v>704</v>
      </c>
      <c r="G2173" s="18" t="s">
        <v>674</v>
      </c>
      <c r="H2173" s="18" t="s">
        <v>994</v>
      </c>
      <c r="I2173" s="315">
        <v>40.268476843330163</v>
      </c>
      <c r="J2173" s="315">
        <v>2.6804044367296331E-2</v>
      </c>
      <c r="K2173" s="316" t="str">
        <f t="shared" si="46"/>
        <v>Construction and Mining Equipment</v>
      </c>
      <c r="L2173" s="316" t="str">
        <f t="shared" si="47"/>
        <v>Gasoline</v>
      </c>
      <c r="M2173" s="194"/>
      <c r="N2173" s="317"/>
      <c r="O2173" s="317"/>
      <c r="P2173" s="317"/>
      <c r="Q2173" s="317"/>
      <c r="R2173" s="317"/>
      <c r="S2173" s="317"/>
      <c r="T2173" s="317"/>
      <c r="U2173" s="317"/>
      <c r="V2173" s="317"/>
      <c r="W2173" s="317"/>
      <c r="X2173" s="317"/>
      <c r="Y2173" s="317"/>
      <c r="Z2173" s="317"/>
    </row>
    <row r="2174" spans="1:26" x14ac:dyDescent="0.25">
      <c r="A2174" s="314"/>
      <c r="B2174" s="18">
        <v>2023</v>
      </c>
      <c r="C2174" s="18" t="s">
        <v>781</v>
      </c>
      <c r="D2174" s="18" t="s">
        <v>970</v>
      </c>
      <c r="E2174" s="18" t="s">
        <v>713</v>
      </c>
      <c r="F2174" s="18" t="s">
        <v>714</v>
      </c>
      <c r="G2174" s="18" t="s">
        <v>675</v>
      </c>
      <c r="H2174" s="18" t="s">
        <v>969</v>
      </c>
      <c r="I2174" s="315">
        <v>40.234648958808002</v>
      </c>
      <c r="J2174" s="315">
        <v>1.307257296680195E-3</v>
      </c>
      <c r="K2174" s="316" t="str">
        <f t="shared" si="46"/>
        <v>Industrial Equipment</v>
      </c>
      <c r="L2174" s="316" t="str">
        <f t="shared" si="47"/>
        <v>Diesel</v>
      </c>
      <c r="M2174" s="194"/>
      <c r="N2174" s="317"/>
      <c r="O2174" s="317"/>
      <c r="P2174" s="317"/>
      <c r="Q2174" s="317"/>
      <c r="R2174" s="317"/>
      <c r="S2174" s="317"/>
      <c r="T2174" s="317"/>
      <c r="U2174" s="317"/>
      <c r="V2174" s="317"/>
      <c r="W2174" s="317"/>
      <c r="X2174" s="317"/>
      <c r="Y2174" s="317"/>
      <c r="Z2174" s="317"/>
    </row>
    <row r="2175" spans="1:26" x14ac:dyDescent="0.25">
      <c r="A2175" s="314"/>
      <c r="B2175" s="18">
        <v>2023</v>
      </c>
      <c r="C2175" s="18" t="s">
        <v>762</v>
      </c>
      <c r="D2175" s="18" t="s">
        <v>1278</v>
      </c>
      <c r="E2175" s="18" t="s">
        <v>703</v>
      </c>
      <c r="F2175" s="18" t="s">
        <v>704</v>
      </c>
      <c r="G2175" s="18" t="s">
        <v>678</v>
      </c>
      <c r="H2175" s="18" t="s">
        <v>1279</v>
      </c>
      <c r="I2175" s="315">
        <v>40.214511709720092</v>
      </c>
      <c r="J2175" s="315">
        <v>5.3603346561847717E-2</v>
      </c>
      <c r="K2175" s="316" t="str">
        <f t="shared" si="46"/>
        <v>Agricultural Equipment</v>
      </c>
      <c r="L2175" s="316" t="str">
        <f t="shared" si="47"/>
        <v>Gasoline</v>
      </c>
      <c r="M2175" s="194"/>
      <c r="N2175" s="317"/>
      <c r="O2175" s="317"/>
      <c r="P2175" s="317"/>
      <c r="Q2175" s="317"/>
      <c r="R2175" s="317"/>
      <c r="S2175" s="317"/>
      <c r="T2175" s="317"/>
      <c r="U2175" s="317"/>
      <c r="V2175" s="317"/>
      <c r="W2175" s="317"/>
      <c r="X2175" s="317"/>
      <c r="Y2175" s="317"/>
      <c r="Z2175" s="317"/>
    </row>
    <row r="2176" spans="1:26" x14ac:dyDescent="0.25">
      <c r="A2176" s="314"/>
      <c r="B2176" s="18">
        <v>2023</v>
      </c>
      <c r="C2176" s="18" t="s">
        <v>754</v>
      </c>
      <c r="D2176" s="18" t="s">
        <v>1018</v>
      </c>
      <c r="E2176" s="18" t="s">
        <v>56</v>
      </c>
      <c r="F2176" s="18" t="s">
        <v>672</v>
      </c>
      <c r="G2176" s="18" t="s">
        <v>677</v>
      </c>
      <c r="H2176" s="18" t="s">
        <v>785</v>
      </c>
      <c r="I2176" s="315">
        <v>40.123812477957912</v>
      </c>
      <c r="J2176" s="315">
        <v>1.9689684667343246E-3</v>
      </c>
      <c r="K2176" s="316" t="str">
        <f t="shared" si="46"/>
        <v>Commercial Equipment</v>
      </c>
      <c r="L2176" s="316" t="str">
        <f t="shared" si="47"/>
        <v>LPG</v>
      </c>
      <c r="M2176" s="194"/>
      <c r="N2176" s="317"/>
      <c r="O2176" s="317"/>
      <c r="P2176" s="317"/>
      <c r="Q2176" s="317"/>
      <c r="R2176" s="317"/>
      <c r="S2176" s="317"/>
      <c r="T2176" s="317"/>
      <c r="U2176" s="317"/>
      <c r="V2176" s="317"/>
      <c r="W2176" s="317"/>
      <c r="X2176" s="317"/>
      <c r="Y2176" s="317"/>
      <c r="Z2176" s="317"/>
    </row>
    <row r="2177" spans="1:26" x14ac:dyDescent="0.25">
      <c r="A2177" s="314"/>
      <c r="B2177" s="18">
        <v>2023</v>
      </c>
      <c r="C2177" s="18" t="s">
        <v>706</v>
      </c>
      <c r="D2177" s="18" t="s">
        <v>1281</v>
      </c>
      <c r="E2177" s="18" t="s">
        <v>703</v>
      </c>
      <c r="F2177" s="18" t="s">
        <v>704</v>
      </c>
      <c r="G2177" s="18" t="s">
        <v>674</v>
      </c>
      <c r="H2177" s="18" t="s">
        <v>770</v>
      </c>
      <c r="I2177" s="315">
        <v>40.066313556039034</v>
      </c>
      <c r="J2177" s="315">
        <v>4.4236962371158707E-3</v>
      </c>
      <c r="K2177" s="316" t="str">
        <f t="shared" si="46"/>
        <v>Construction and Mining Equipment</v>
      </c>
      <c r="L2177" s="316" t="str">
        <f t="shared" si="47"/>
        <v>Gasoline</v>
      </c>
      <c r="M2177" s="194"/>
      <c r="N2177" s="317"/>
      <c r="O2177" s="317"/>
      <c r="P2177" s="317"/>
      <c r="Q2177" s="317"/>
      <c r="R2177" s="317"/>
      <c r="S2177" s="317"/>
      <c r="T2177" s="317"/>
      <c r="U2177" s="317"/>
      <c r="V2177" s="317"/>
      <c r="W2177" s="317"/>
      <c r="X2177" s="317"/>
      <c r="Y2177" s="317"/>
      <c r="Z2177" s="317"/>
    </row>
    <row r="2178" spans="1:26" x14ac:dyDescent="0.25">
      <c r="A2178" s="314"/>
      <c r="B2178" s="18">
        <v>2023</v>
      </c>
      <c r="C2178" s="18" t="s">
        <v>786</v>
      </c>
      <c r="D2178" s="18" t="s">
        <v>868</v>
      </c>
      <c r="E2178" s="18" t="s">
        <v>703</v>
      </c>
      <c r="F2178" s="18" t="s">
        <v>704</v>
      </c>
      <c r="G2178" s="18" t="s">
        <v>673</v>
      </c>
      <c r="H2178" s="18" t="s">
        <v>758</v>
      </c>
      <c r="I2178" s="315">
        <v>40.0318021437742</v>
      </c>
      <c r="J2178" s="315">
        <v>2.6210638352482052E-2</v>
      </c>
      <c r="K2178" s="316" t="str">
        <f t="shared" si="46"/>
        <v>Lawn and Garden Equipment</v>
      </c>
      <c r="L2178" s="316" t="str">
        <f t="shared" si="47"/>
        <v>Gasoline</v>
      </c>
      <c r="M2178" s="194"/>
      <c r="N2178" s="317"/>
      <c r="O2178" s="317"/>
      <c r="P2178" s="317"/>
      <c r="Q2178" s="317"/>
      <c r="R2178" s="317"/>
      <c r="S2178" s="317"/>
      <c r="T2178" s="317"/>
      <c r="U2178" s="317"/>
      <c r="V2178" s="317"/>
      <c r="W2178" s="317"/>
      <c r="X2178" s="317"/>
      <c r="Y2178" s="317"/>
      <c r="Z2178" s="317"/>
    </row>
    <row r="2179" spans="1:26" x14ac:dyDescent="0.25">
      <c r="A2179" s="314"/>
      <c r="B2179" s="18">
        <v>2023</v>
      </c>
      <c r="C2179" s="18" t="s">
        <v>743</v>
      </c>
      <c r="D2179" s="18" t="s">
        <v>1014</v>
      </c>
      <c r="E2179" s="18" t="s">
        <v>713</v>
      </c>
      <c r="F2179" s="18" t="s">
        <v>714</v>
      </c>
      <c r="G2179" s="18" t="s">
        <v>674</v>
      </c>
      <c r="H2179" s="18" t="s">
        <v>994</v>
      </c>
      <c r="I2179" s="315">
        <v>40.01926706430131</v>
      </c>
      <c r="J2179" s="315">
        <v>5.2129503511140084E-4</v>
      </c>
      <c r="K2179" s="316" t="str">
        <f t="shared" si="46"/>
        <v>Construction and Mining Equipment</v>
      </c>
      <c r="L2179" s="316" t="str">
        <f t="shared" si="47"/>
        <v>Diesel</v>
      </c>
      <c r="M2179" s="194"/>
      <c r="N2179" s="317"/>
      <c r="O2179" s="317"/>
      <c r="P2179" s="317"/>
      <c r="Q2179" s="317"/>
      <c r="R2179" s="317"/>
      <c r="S2179" s="317"/>
      <c r="T2179" s="317"/>
      <c r="U2179" s="317"/>
      <c r="V2179" s="317"/>
      <c r="W2179" s="317"/>
      <c r="X2179" s="317"/>
      <c r="Y2179" s="317"/>
      <c r="Z2179" s="317"/>
    </row>
    <row r="2180" spans="1:26" x14ac:dyDescent="0.25">
      <c r="A2180" s="314"/>
      <c r="B2180" s="18">
        <v>2023</v>
      </c>
      <c r="C2180" s="18" t="s">
        <v>810</v>
      </c>
      <c r="D2180" s="18" t="s">
        <v>1079</v>
      </c>
      <c r="E2180" s="18" t="s">
        <v>713</v>
      </c>
      <c r="F2180" s="18" t="s">
        <v>714</v>
      </c>
      <c r="G2180" s="18" t="s">
        <v>678</v>
      </c>
      <c r="H2180" s="18" t="s">
        <v>1080</v>
      </c>
      <c r="I2180" s="315">
        <v>40.002609779727706</v>
      </c>
      <c r="J2180" s="315">
        <v>2.9031583536724806E-4</v>
      </c>
      <c r="K2180" s="316" t="str">
        <f t="shared" si="46"/>
        <v>Agricultural Equipment</v>
      </c>
      <c r="L2180" s="316" t="str">
        <f t="shared" si="47"/>
        <v>Diesel</v>
      </c>
      <c r="M2180" s="194"/>
      <c r="N2180" s="317"/>
      <c r="O2180" s="317"/>
      <c r="P2180" s="317"/>
      <c r="Q2180" s="317"/>
      <c r="R2180" s="317"/>
      <c r="S2180" s="317"/>
      <c r="T2180" s="317"/>
      <c r="U2180" s="317"/>
      <c r="V2180" s="317"/>
      <c r="W2180" s="317"/>
      <c r="X2180" s="317"/>
      <c r="Y2180" s="317"/>
      <c r="Z2180" s="317"/>
    </row>
    <row r="2181" spans="1:26" x14ac:dyDescent="0.25">
      <c r="A2181" s="314"/>
      <c r="B2181" s="18">
        <v>2023</v>
      </c>
      <c r="C2181" s="18" t="s">
        <v>792</v>
      </c>
      <c r="D2181" s="18" t="s">
        <v>989</v>
      </c>
      <c r="E2181" s="18" t="s">
        <v>703</v>
      </c>
      <c r="F2181" s="18" t="s">
        <v>795</v>
      </c>
      <c r="G2181" s="18" t="s">
        <v>673</v>
      </c>
      <c r="H2181" s="18" t="s">
        <v>990</v>
      </c>
      <c r="I2181" s="315">
        <v>39.708464288720847</v>
      </c>
      <c r="J2181" s="315">
        <v>7.6439770808498592E-2</v>
      </c>
      <c r="K2181" s="316" t="str">
        <f t="shared" si="46"/>
        <v>Lawn and Garden Equipment</v>
      </c>
      <c r="L2181" s="316" t="str">
        <f t="shared" si="47"/>
        <v>Gasoline</v>
      </c>
      <c r="M2181" s="194"/>
      <c r="N2181" s="317"/>
      <c r="O2181" s="317"/>
      <c r="P2181" s="317"/>
      <c r="Q2181" s="317"/>
      <c r="R2181" s="317"/>
      <c r="S2181" s="317"/>
      <c r="T2181" s="317"/>
      <c r="U2181" s="317"/>
      <c r="V2181" s="317"/>
      <c r="W2181" s="317"/>
      <c r="X2181" s="317"/>
      <c r="Y2181" s="317"/>
      <c r="Z2181" s="317"/>
    </row>
    <row r="2182" spans="1:26" x14ac:dyDescent="0.25">
      <c r="A2182" s="314"/>
      <c r="B2182" s="18">
        <v>2023</v>
      </c>
      <c r="C2182" s="18" t="s">
        <v>722</v>
      </c>
      <c r="D2182" s="18" t="s">
        <v>1035</v>
      </c>
      <c r="E2182" s="18" t="s">
        <v>703</v>
      </c>
      <c r="F2182" s="18" t="s">
        <v>704</v>
      </c>
      <c r="G2182" s="18" t="s">
        <v>674</v>
      </c>
      <c r="H2182" s="18" t="s">
        <v>1036</v>
      </c>
      <c r="I2182" s="315">
        <v>39.552788302695944</v>
      </c>
      <c r="J2182" s="315">
        <v>2.7985201225451159E-2</v>
      </c>
      <c r="K2182" s="316" t="str">
        <f t="shared" si="46"/>
        <v>Construction and Mining Equipment</v>
      </c>
      <c r="L2182" s="316" t="str">
        <f t="shared" si="47"/>
        <v>Gasoline</v>
      </c>
      <c r="M2182" s="194"/>
      <c r="N2182" s="317"/>
      <c r="O2182" s="317"/>
      <c r="P2182" s="317"/>
      <c r="Q2182" s="317"/>
      <c r="R2182" s="317"/>
      <c r="S2182" s="317"/>
      <c r="T2182" s="317"/>
      <c r="U2182" s="317"/>
      <c r="V2182" s="317"/>
      <c r="W2182" s="317"/>
      <c r="X2182" s="317"/>
      <c r="Y2182" s="317"/>
      <c r="Z2182" s="317"/>
    </row>
    <row r="2183" spans="1:26" x14ac:dyDescent="0.25">
      <c r="A2183" s="314"/>
      <c r="B2183" s="18">
        <v>2023</v>
      </c>
      <c r="C2183" s="18" t="s">
        <v>753</v>
      </c>
      <c r="D2183" s="18" t="s">
        <v>966</v>
      </c>
      <c r="E2183" s="18" t="s">
        <v>703</v>
      </c>
      <c r="F2183" s="18" t="s">
        <v>704</v>
      </c>
      <c r="G2183" s="18" t="s">
        <v>674</v>
      </c>
      <c r="H2183" s="18" t="s">
        <v>967</v>
      </c>
      <c r="I2183" s="315">
        <v>39.382900135127109</v>
      </c>
      <c r="J2183" s="315">
        <v>2.7181668455228059E-2</v>
      </c>
      <c r="K2183" s="316" t="str">
        <f t="shared" si="46"/>
        <v>Construction and Mining Equipment</v>
      </c>
      <c r="L2183" s="316" t="str">
        <f t="shared" si="47"/>
        <v>Gasoline</v>
      </c>
      <c r="M2183" s="194"/>
      <c r="N2183" s="317"/>
      <c r="O2183" s="317"/>
      <c r="P2183" s="317"/>
      <c r="Q2183" s="317"/>
      <c r="R2183" s="317"/>
      <c r="S2183" s="317"/>
      <c r="T2183" s="317"/>
      <c r="U2183" s="317"/>
      <c r="V2183" s="317"/>
      <c r="W2183" s="317"/>
      <c r="X2183" s="317"/>
      <c r="Y2183" s="317"/>
      <c r="Z2183" s="317"/>
    </row>
    <row r="2184" spans="1:26" x14ac:dyDescent="0.25">
      <c r="A2184" s="314"/>
      <c r="B2184" s="18">
        <v>2023</v>
      </c>
      <c r="C2184" s="18" t="s">
        <v>773</v>
      </c>
      <c r="D2184" s="18" t="s">
        <v>1011</v>
      </c>
      <c r="E2184" s="18" t="s">
        <v>56</v>
      </c>
      <c r="F2184" s="18" t="s">
        <v>672</v>
      </c>
      <c r="G2184" s="18" t="s">
        <v>677</v>
      </c>
      <c r="H2184" s="18" t="s">
        <v>836</v>
      </c>
      <c r="I2184" s="315">
        <v>39.370650472471574</v>
      </c>
      <c r="J2184" s="315">
        <v>2.0916492099518624E-3</v>
      </c>
      <c r="K2184" s="316" t="str">
        <f t="shared" si="46"/>
        <v>Commercial Equipment</v>
      </c>
      <c r="L2184" s="316" t="str">
        <f t="shared" si="47"/>
        <v>LPG</v>
      </c>
      <c r="M2184" s="194"/>
      <c r="N2184" s="317"/>
      <c r="O2184" s="317"/>
      <c r="P2184" s="317"/>
      <c r="Q2184" s="317"/>
      <c r="R2184" s="317"/>
      <c r="S2184" s="317"/>
      <c r="T2184" s="317"/>
      <c r="U2184" s="317"/>
      <c r="V2184" s="317"/>
      <c r="W2184" s="317"/>
      <c r="X2184" s="317"/>
      <c r="Y2184" s="317"/>
      <c r="Z2184" s="317"/>
    </row>
    <row r="2185" spans="1:26" x14ac:dyDescent="0.25">
      <c r="A2185" s="314"/>
      <c r="B2185" s="18">
        <v>2023</v>
      </c>
      <c r="C2185" s="18" t="s">
        <v>732</v>
      </c>
      <c r="D2185" s="18" t="s">
        <v>1071</v>
      </c>
      <c r="E2185" s="18" t="s">
        <v>713</v>
      </c>
      <c r="F2185" s="18" t="s">
        <v>714</v>
      </c>
      <c r="G2185" s="18" t="s">
        <v>674</v>
      </c>
      <c r="H2185" s="18" t="s">
        <v>1072</v>
      </c>
      <c r="I2185" s="315">
        <v>39.361434689180562</v>
      </c>
      <c r="J2185" s="315">
        <v>5.2702450628612334E-4</v>
      </c>
      <c r="K2185" s="316" t="str">
        <f t="shared" si="46"/>
        <v>Construction and Mining Equipment</v>
      </c>
      <c r="L2185" s="316" t="str">
        <f t="shared" si="47"/>
        <v>Diesel</v>
      </c>
      <c r="M2185" s="194"/>
      <c r="N2185" s="317"/>
      <c r="O2185" s="317"/>
      <c r="P2185" s="317"/>
      <c r="Q2185" s="317"/>
      <c r="R2185" s="317"/>
      <c r="S2185" s="317"/>
      <c r="T2185" s="317"/>
      <c r="U2185" s="317"/>
      <c r="V2185" s="317"/>
      <c r="W2185" s="317"/>
      <c r="X2185" s="317"/>
      <c r="Y2185" s="317"/>
      <c r="Z2185" s="317"/>
    </row>
    <row r="2186" spans="1:26" x14ac:dyDescent="0.25">
      <c r="A2186" s="314"/>
      <c r="B2186" s="18">
        <v>2023</v>
      </c>
      <c r="C2186" s="18" t="s">
        <v>732</v>
      </c>
      <c r="D2186" s="18" t="s">
        <v>1278</v>
      </c>
      <c r="E2186" s="18" t="s">
        <v>703</v>
      </c>
      <c r="F2186" s="18" t="s">
        <v>704</v>
      </c>
      <c r="G2186" s="18" t="s">
        <v>678</v>
      </c>
      <c r="H2186" s="18" t="s">
        <v>1279</v>
      </c>
      <c r="I2186" s="315">
        <v>39.227750771872138</v>
      </c>
      <c r="J2186" s="315">
        <v>5.2442314006257568E-2</v>
      </c>
      <c r="K2186" s="316" t="str">
        <f t="shared" si="46"/>
        <v>Agricultural Equipment</v>
      </c>
      <c r="L2186" s="316" t="str">
        <f t="shared" si="47"/>
        <v>Gasoline</v>
      </c>
      <c r="M2186" s="194"/>
      <c r="N2186" s="317"/>
      <c r="O2186" s="317"/>
      <c r="P2186" s="317"/>
      <c r="Q2186" s="317"/>
      <c r="R2186" s="317"/>
      <c r="S2186" s="317"/>
      <c r="T2186" s="317"/>
      <c r="U2186" s="317"/>
      <c r="V2186" s="317"/>
      <c r="W2186" s="317"/>
      <c r="X2186" s="317"/>
      <c r="Y2186" s="317"/>
      <c r="Z2186" s="317"/>
    </row>
    <row r="2187" spans="1:26" x14ac:dyDescent="0.25">
      <c r="A2187" s="314"/>
      <c r="B2187" s="18">
        <v>2023</v>
      </c>
      <c r="C2187" s="18" t="s">
        <v>787</v>
      </c>
      <c r="D2187" s="18" t="s">
        <v>995</v>
      </c>
      <c r="E2187" s="18" t="s">
        <v>703</v>
      </c>
      <c r="F2187" s="18" t="s">
        <v>805</v>
      </c>
      <c r="G2187" s="18" t="s">
        <v>673</v>
      </c>
      <c r="H2187" s="18" t="s">
        <v>996</v>
      </c>
      <c r="I2187" s="315">
        <v>39.104660783194639</v>
      </c>
      <c r="J2187" s="315">
        <v>7.2923056588917415E-2</v>
      </c>
      <c r="K2187" s="316" t="str">
        <f t="shared" si="46"/>
        <v>Lawn and Garden Equipment</v>
      </c>
      <c r="L2187" s="316" t="str">
        <f t="shared" si="47"/>
        <v>Gasoline</v>
      </c>
      <c r="M2187" s="194"/>
      <c r="N2187" s="317"/>
      <c r="O2187" s="317"/>
      <c r="P2187" s="317"/>
      <c r="Q2187" s="317"/>
      <c r="R2187" s="317"/>
      <c r="S2187" s="317"/>
      <c r="T2187" s="317"/>
      <c r="U2187" s="317"/>
      <c r="V2187" s="317"/>
      <c r="W2187" s="317"/>
      <c r="X2187" s="317"/>
      <c r="Y2187" s="317"/>
      <c r="Z2187" s="317"/>
    </row>
    <row r="2188" spans="1:26" x14ac:dyDescent="0.25">
      <c r="A2188" s="314"/>
      <c r="B2188" s="18">
        <v>2023</v>
      </c>
      <c r="C2188" s="18" t="s">
        <v>731</v>
      </c>
      <c r="D2188" s="18" t="s">
        <v>1007</v>
      </c>
      <c r="E2188" s="18" t="s">
        <v>703</v>
      </c>
      <c r="F2188" s="18" t="s">
        <v>795</v>
      </c>
      <c r="G2188" s="18" t="s">
        <v>679</v>
      </c>
      <c r="H2188" s="18" t="s">
        <v>1008</v>
      </c>
      <c r="I2188" s="315">
        <v>39.073047689685566</v>
      </c>
      <c r="J2188" s="315">
        <v>2.8410976626571466E-2</v>
      </c>
      <c r="K2188" s="316" t="str">
        <f t="shared" si="46"/>
        <v>Recreational Equipment</v>
      </c>
      <c r="L2188" s="316" t="str">
        <f t="shared" si="47"/>
        <v>Gasoline</v>
      </c>
      <c r="M2188" s="194"/>
      <c r="N2188" s="317"/>
      <c r="O2188" s="317"/>
      <c r="P2188" s="317"/>
      <c r="Q2188" s="317"/>
      <c r="R2188" s="317"/>
      <c r="S2188" s="317"/>
      <c r="T2188" s="317"/>
      <c r="U2188" s="317"/>
      <c r="V2188" s="317"/>
      <c r="W2188" s="317"/>
      <c r="X2188" s="317"/>
      <c r="Y2188" s="317"/>
      <c r="Z2188" s="317"/>
    </row>
    <row r="2189" spans="1:26" x14ac:dyDescent="0.25">
      <c r="A2189" s="314"/>
      <c r="B2189" s="18">
        <v>2023</v>
      </c>
      <c r="C2189" s="18" t="s">
        <v>722</v>
      </c>
      <c r="D2189" s="18" t="s">
        <v>1007</v>
      </c>
      <c r="E2189" s="18" t="s">
        <v>703</v>
      </c>
      <c r="F2189" s="18" t="s">
        <v>795</v>
      </c>
      <c r="G2189" s="18" t="s">
        <v>679</v>
      </c>
      <c r="H2189" s="18" t="s">
        <v>1008</v>
      </c>
      <c r="I2189" s="315">
        <v>39.073047689685566</v>
      </c>
      <c r="J2189" s="315">
        <v>2.8410976626571466E-2</v>
      </c>
      <c r="K2189" s="316" t="str">
        <f t="shared" si="46"/>
        <v>Recreational Equipment</v>
      </c>
      <c r="L2189" s="316" t="str">
        <f t="shared" si="47"/>
        <v>Gasoline</v>
      </c>
      <c r="M2189" s="194"/>
      <c r="N2189" s="317"/>
      <c r="O2189" s="317"/>
      <c r="P2189" s="317"/>
      <c r="Q2189" s="317"/>
      <c r="R2189" s="317"/>
      <c r="S2189" s="317"/>
      <c r="T2189" s="317"/>
      <c r="U2189" s="317"/>
      <c r="V2189" s="317"/>
      <c r="W2189" s="317"/>
      <c r="X2189" s="317"/>
      <c r="Y2189" s="317"/>
      <c r="Z2189" s="317"/>
    </row>
    <row r="2190" spans="1:26" x14ac:dyDescent="0.25">
      <c r="A2190" s="314"/>
      <c r="B2190" s="18">
        <v>2023</v>
      </c>
      <c r="C2190" s="18" t="s">
        <v>793</v>
      </c>
      <c r="D2190" s="18" t="s">
        <v>986</v>
      </c>
      <c r="E2190" s="18" t="s">
        <v>703</v>
      </c>
      <c r="F2190" s="18" t="s">
        <v>704</v>
      </c>
      <c r="G2190" s="18" t="s">
        <v>673</v>
      </c>
      <c r="H2190" s="18" t="s">
        <v>987</v>
      </c>
      <c r="I2190" s="315">
        <v>39.025069759960772</v>
      </c>
      <c r="J2190" s="315">
        <v>2.6679084540915332E-2</v>
      </c>
      <c r="K2190" s="316" t="str">
        <f t="shared" si="46"/>
        <v>Lawn and Garden Equipment</v>
      </c>
      <c r="L2190" s="316" t="str">
        <f t="shared" si="47"/>
        <v>Gasoline</v>
      </c>
      <c r="M2190" s="194"/>
      <c r="N2190" s="317"/>
      <c r="O2190" s="317"/>
      <c r="P2190" s="317"/>
      <c r="Q2190" s="317"/>
      <c r="R2190" s="317"/>
      <c r="S2190" s="317"/>
      <c r="T2190" s="317"/>
      <c r="U2190" s="317"/>
      <c r="V2190" s="317"/>
      <c r="W2190" s="317"/>
      <c r="X2190" s="317"/>
      <c r="Y2190" s="317"/>
      <c r="Z2190" s="317"/>
    </row>
    <row r="2191" spans="1:26" x14ac:dyDescent="0.25">
      <c r="A2191" s="314"/>
      <c r="B2191" s="18">
        <v>2023</v>
      </c>
      <c r="C2191" s="18" t="s">
        <v>810</v>
      </c>
      <c r="D2191" s="18" t="s">
        <v>962</v>
      </c>
      <c r="E2191" s="18" t="s">
        <v>703</v>
      </c>
      <c r="F2191" s="18" t="s">
        <v>704</v>
      </c>
      <c r="G2191" s="18" t="s">
        <v>673</v>
      </c>
      <c r="H2191" s="18" t="s">
        <v>963</v>
      </c>
      <c r="I2191" s="315">
        <v>38.98688570368568</v>
      </c>
      <c r="J2191" s="315">
        <v>2.7189834726424642E-2</v>
      </c>
      <c r="K2191" s="316" t="str">
        <f t="shared" si="46"/>
        <v>Lawn and Garden Equipment</v>
      </c>
      <c r="L2191" s="316" t="str">
        <f t="shared" si="47"/>
        <v>Gasoline</v>
      </c>
      <c r="M2191" s="194"/>
      <c r="N2191" s="317"/>
      <c r="O2191" s="317"/>
      <c r="P2191" s="317"/>
      <c r="Q2191" s="317"/>
      <c r="R2191" s="317"/>
      <c r="S2191" s="317"/>
      <c r="T2191" s="317"/>
      <c r="U2191" s="317"/>
      <c r="V2191" s="317"/>
      <c r="W2191" s="317"/>
      <c r="X2191" s="317"/>
      <c r="Y2191" s="317"/>
      <c r="Z2191" s="317"/>
    </row>
    <row r="2192" spans="1:26" x14ac:dyDescent="0.25">
      <c r="A2192" s="314"/>
      <c r="B2192" s="18">
        <v>2023</v>
      </c>
      <c r="C2192" s="18" t="s">
        <v>759</v>
      </c>
      <c r="D2192" s="18" t="s">
        <v>962</v>
      </c>
      <c r="E2192" s="18" t="s">
        <v>703</v>
      </c>
      <c r="F2192" s="18" t="s">
        <v>704</v>
      </c>
      <c r="G2192" s="18" t="s">
        <v>673</v>
      </c>
      <c r="H2192" s="18" t="s">
        <v>963</v>
      </c>
      <c r="I2192" s="315">
        <v>38.98688570368568</v>
      </c>
      <c r="J2192" s="315">
        <v>2.6813648403449197E-2</v>
      </c>
      <c r="K2192" s="316" t="str">
        <f t="shared" si="46"/>
        <v>Lawn and Garden Equipment</v>
      </c>
      <c r="L2192" s="316" t="str">
        <f t="shared" si="47"/>
        <v>Gasoline</v>
      </c>
      <c r="M2192" s="194"/>
      <c r="N2192" s="317"/>
      <c r="O2192" s="317"/>
      <c r="P2192" s="317"/>
      <c r="Q2192" s="317"/>
      <c r="R2192" s="317"/>
      <c r="S2192" s="317"/>
      <c r="T2192" s="317"/>
      <c r="U2192" s="317"/>
      <c r="V2192" s="317"/>
      <c r="W2192" s="317"/>
      <c r="X2192" s="317"/>
      <c r="Y2192" s="317"/>
      <c r="Z2192" s="317"/>
    </row>
    <row r="2193" spans="1:26" x14ac:dyDescent="0.25">
      <c r="A2193" s="314"/>
      <c r="B2193" s="18">
        <v>2023</v>
      </c>
      <c r="C2193" s="18" t="s">
        <v>727</v>
      </c>
      <c r="D2193" s="18" t="s">
        <v>962</v>
      </c>
      <c r="E2193" s="18" t="s">
        <v>703</v>
      </c>
      <c r="F2193" s="18" t="s">
        <v>704</v>
      </c>
      <c r="G2193" s="18" t="s">
        <v>673</v>
      </c>
      <c r="H2193" s="18" t="s">
        <v>963</v>
      </c>
      <c r="I2193" s="315">
        <v>38.98688570368568</v>
      </c>
      <c r="J2193" s="315">
        <v>2.6828315351702284E-2</v>
      </c>
      <c r="K2193" s="316" t="str">
        <f t="shared" si="46"/>
        <v>Lawn and Garden Equipment</v>
      </c>
      <c r="L2193" s="316" t="str">
        <f t="shared" si="47"/>
        <v>Gasoline</v>
      </c>
      <c r="M2193" s="194"/>
      <c r="N2193" s="317"/>
      <c r="O2193" s="317"/>
      <c r="P2193" s="317"/>
      <c r="Q2193" s="317"/>
      <c r="R2193" s="317"/>
      <c r="S2193" s="317"/>
      <c r="T2193" s="317"/>
      <c r="U2193" s="317"/>
      <c r="V2193" s="317"/>
      <c r="W2193" s="317"/>
      <c r="X2193" s="317"/>
      <c r="Y2193" s="317"/>
      <c r="Z2193" s="317"/>
    </row>
    <row r="2194" spans="1:26" x14ac:dyDescent="0.25">
      <c r="A2194" s="314"/>
      <c r="B2194" s="18">
        <v>2023</v>
      </c>
      <c r="C2194" s="18" t="s">
        <v>750</v>
      </c>
      <c r="D2194" s="18" t="s">
        <v>995</v>
      </c>
      <c r="E2194" s="18" t="s">
        <v>703</v>
      </c>
      <c r="F2194" s="18" t="s">
        <v>805</v>
      </c>
      <c r="G2194" s="18" t="s">
        <v>673</v>
      </c>
      <c r="H2194" s="18" t="s">
        <v>996</v>
      </c>
      <c r="I2194" s="315">
        <v>38.852085473344431</v>
      </c>
      <c r="J2194" s="315">
        <v>7.245198364583165E-2</v>
      </c>
      <c r="K2194" s="316" t="str">
        <f t="shared" si="46"/>
        <v>Lawn and Garden Equipment</v>
      </c>
      <c r="L2194" s="316" t="str">
        <f t="shared" si="47"/>
        <v>Gasoline</v>
      </c>
      <c r="M2194" s="194"/>
      <c r="N2194" s="317"/>
      <c r="O2194" s="317"/>
      <c r="P2194" s="317"/>
      <c r="Q2194" s="317"/>
      <c r="R2194" s="317"/>
      <c r="S2194" s="317"/>
      <c r="T2194" s="317"/>
      <c r="U2194" s="317"/>
      <c r="V2194" s="317"/>
      <c r="W2194" s="317"/>
      <c r="X2194" s="317"/>
      <c r="Y2194" s="317"/>
      <c r="Z2194" s="317"/>
    </row>
    <row r="2195" spans="1:26" x14ac:dyDescent="0.25">
      <c r="A2195" s="314"/>
      <c r="B2195" s="18">
        <v>2023</v>
      </c>
      <c r="C2195" s="18" t="s">
        <v>731</v>
      </c>
      <c r="D2195" s="18" t="s">
        <v>962</v>
      </c>
      <c r="E2195" s="18" t="s">
        <v>703</v>
      </c>
      <c r="F2195" s="18" t="s">
        <v>704</v>
      </c>
      <c r="G2195" s="18" t="s">
        <v>673</v>
      </c>
      <c r="H2195" s="18" t="s">
        <v>963</v>
      </c>
      <c r="I2195" s="315">
        <v>38.74474016527563</v>
      </c>
      <c r="J2195" s="315">
        <v>2.6673315660368273E-2</v>
      </c>
      <c r="K2195" s="316" t="str">
        <f t="shared" si="46"/>
        <v>Lawn and Garden Equipment</v>
      </c>
      <c r="L2195" s="316" t="str">
        <f t="shared" si="47"/>
        <v>Gasoline</v>
      </c>
      <c r="M2195" s="194"/>
      <c r="N2195" s="317"/>
      <c r="O2195" s="317"/>
      <c r="P2195" s="317"/>
      <c r="Q2195" s="317"/>
      <c r="R2195" s="317"/>
      <c r="S2195" s="317"/>
      <c r="T2195" s="317"/>
      <c r="U2195" s="317"/>
      <c r="V2195" s="317"/>
      <c r="W2195" s="317"/>
      <c r="X2195" s="317"/>
      <c r="Y2195" s="317"/>
      <c r="Z2195" s="317"/>
    </row>
    <row r="2196" spans="1:26" x14ac:dyDescent="0.25">
      <c r="A2196" s="314"/>
      <c r="B2196" s="18">
        <v>2023</v>
      </c>
      <c r="C2196" s="18" t="s">
        <v>754</v>
      </c>
      <c r="D2196" s="18" t="s">
        <v>1229</v>
      </c>
      <c r="E2196" s="18" t="s">
        <v>713</v>
      </c>
      <c r="F2196" s="18" t="s">
        <v>714</v>
      </c>
      <c r="G2196" s="18" t="s">
        <v>678</v>
      </c>
      <c r="H2196" s="18" t="s">
        <v>1230</v>
      </c>
      <c r="I2196" s="315">
        <v>38.646314870135349</v>
      </c>
      <c r="J2196" s="315">
        <v>2.9140292361790195E-4</v>
      </c>
      <c r="K2196" s="316" t="str">
        <f t="shared" si="46"/>
        <v>Agricultural Equipment</v>
      </c>
      <c r="L2196" s="316" t="str">
        <f t="shared" si="47"/>
        <v>Diesel</v>
      </c>
      <c r="M2196" s="194"/>
      <c r="N2196" s="317"/>
      <c r="O2196" s="317"/>
      <c r="P2196" s="317"/>
      <c r="Q2196" s="317"/>
      <c r="R2196" s="317"/>
      <c r="S2196" s="317"/>
      <c r="T2196" s="317"/>
      <c r="U2196" s="317"/>
      <c r="V2196" s="317"/>
      <c r="W2196" s="317"/>
      <c r="X2196" s="317"/>
      <c r="Y2196" s="317"/>
      <c r="Z2196" s="317"/>
    </row>
    <row r="2197" spans="1:26" x14ac:dyDescent="0.25">
      <c r="A2197" s="314"/>
      <c r="B2197" s="18">
        <v>2023</v>
      </c>
      <c r="C2197" s="18" t="s">
        <v>754</v>
      </c>
      <c r="D2197" s="18" t="s">
        <v>1020</v>
      </c>
      <c r="E2197" s="18" t="s">
        <v>713</v>
      </c>
      <c r="F2197" s="18" t="s">
        <v>714</v>
      </c>
      <c r="G2197" s="18" t="s">
        <v>677</v>
      </c>
      <c r="H2197" s="18" t="s">
        <v>789</v>
      </c>
      <c r="I2197" s="315">
        <v>38.640494651343012</v>
      </c>
      <c r="J2197" s="315">
        <v>8.89249468050119E-4</v>
      </c>
      <c r="K2197" s="316" t="str">
        <f t="shared" si="46"/>
        <v>Commercial Equipment</v>
      </c>
      <c r="L2197" s="316" t="str">
        <f t="shared" si="47"/>
        <v>Diesel</v>
      </c>
      <c r="M2197" s="194"/>
      <c r="N2197" s="317"/>
      <c r="O2197" s="317"/>
      <c r="P2197" s="317"/>
      <c r="Q2197" s="317"/>
      <c r="R2197" s="317"/>
      <c r="S2197" s="317"/>
      <c r="T2197" s="317"/>
      <c r="U2197" s="317"/>
      <c r="V2197" s="317"/>
      <c r="W2197" s="317"/>
      <c r="X2197" s="317"/>
      <c r="Y2197" s="317"/>
      <c r="Z2197" s="317"/>
    </row>
    <row r="2198" spans="1:26" x14ac:dyDescent="0.25">
      <c r="A2198" s="314"/>
      <c r="B2198" s="18">
        <v>2023</v>
      </c>
      <c r="C2198" s="18" t="s">
        <v>793</v>
      </c>
      <c r="D2198" s="18" t="s">
        <v>878</v>
      </c>
      <c r="E2198" s="18" t="s">
        <v>703</v>
      </c>
      <c r="F2198" s="18" t="s">
        <v>704</v>
      </c>
      <c r="G2198" s="18" t="s">
        <v>673</v>
      </c>
      <c r="H2198" s="18" t="s">
        <v>879</v>
      </c>
      <c r="I2198" s="315">
        <v>38.619865816622422</v>
      </c>
      <c r="J2198" s="315">
        <v>2.5338571969715822E-2</v>
      </c>
      <c r="K2198" s="316" t="str">
        <f t="shared" si="46"/>
        <v>Lawn and Garden Equipment</v>
      </c>
      <c r="L2198" s="316" t="str">
        <f t="shared" si="47"/>
        <v>Gasoline</v>
      </c>
      <c r="M2198" s="194"/>
      <c r="N2198" s="317"/>
      <c r="O2198" s="317"/>
      <c r="P2198" s="317"/>
      <c r="Q2198" s="317"/>
      <c r="R2198" s="317"/>
      <c r="S2198" s="317"/>
      <c r="T2198" s="317"/>
      <c r="U2198" s="317"/>
      <c r="V2198" s="317"/>
      <c r="W2198" s="317"/>
      <c r="X2198" s="317"/>
      <c r="Y2198" s="317"/>
      <c r="Z2198" s="317"/>
    </row>
    <row r="2199" spans="1:26" x14ac:dyDescent="0.25">
      <c r="A2199" s="314"/>
      <c r="B2199" s="18">
        <v>2023</v>
      </c>
      <c r="C2199" s="18" t="s">
        <v>773</v>
      </c>
      <c r="D2199" s="18" t="s">
        <v>995</v>
      </c>
      <c r="E2199" s="18" t="s">
        <v>703</v>
      </c>
      <c r="F2199" s="18" t="s">
        <v>805</v>
      </c>
      <c r="G2199" s="18" t="s">
        <v>673</v>
      </c>
      <c r="H2199" s="18" t="s">
        <v>996</v>
      </c>
      <c r="I2199" s="315">
        <v>38.604957702027697</v>
      </c>
      <c r="J2199" s="315">
        <v>7.199102159084339E-2</v>
      </c>
      <c r="K2199" s="316" t="str">
        <f t="shared" si="46"/>
        <v>Lawn and Garden Equipment</v>
      </c>
      <c r="L2199" s="316" t="str">
        <f t="shared" si="47"/>
        <v>Gasoline</v>
      </c>
      <c r="M2199" s="194"/>
      <c r="N2199" s="317"/>
      <c r="O2199" s="317"/>
      <c r="P2199" s="317"/>
      <c r="Q2199" s="317"/>
      <c r="R2199" s="317"/>
      <c r="S2199" s="317"/>
      <c r="T2199" s="317"/>
      <c r="U2199" s="317"/>
      <c r="V2199" s="317"/>
      <c r="W2199" s="317"/>
      <c r="X2199" s="317"/>
      <c r="Y2199" s="317"/>
      <c r="Z2199" s="317"/>
    </row>
    <row r="2200" spans="1:26" x14ac:dyDescent="0.25">
      <c r="A2200" s="314"/>
      <c r="B2200" s="18">
        <v>2023</v>
      </c>
      <c r="C2200" s="18" t="s">
        <v>787</v>
      </c>
      <c r="D2200" s="18" t="s">
        <v>1153</v>
      </c>
      <c r="E2200" s="18" t="s">
        <v>713</v>
      </c>
      <c r="F2200" s="18" t="s">
        <v>714</v>
      </c>
      <c r="G2200" s="18" t="s">
        <v>678</v>
      </c>
      <c r="H2200" s="18" t="s">
        <v>1154</v>
      </c>
      <c r="I2200" s="315">
        <v>38.514832978988927</v>
      </c>
      <c r="J2200" s="315">
        <v>5.0269247366046719E-4</v>
      </c>
      <c r="K2200" s="316" t="str">
        <f t="shared" si="46"/>
        <v>Agricultural Equipment</v>
      </c>
      <c r="L2200" s="316" t="str">
        <f t="shared" si="47"/>
        <v>Diesel</v>
      </c>
      <c r="M2200" s="194"/>
      <c r="N2200" s="317"/>
      <c r="O2200" s="317"/>
      <c r="P2200" s="317"/>
      <c r="Q2200" s="317"/>
      <c r="R2200" s="317"/>
      <c r="S2200" s="317"/>
      <c r="T2200" s="317"/>
      <c r="U2200" s="317"/>
      <c r="V2200" s="317"/>
      <c r="W2200" s="317"/>
      <c r="X2200" s="317"/>
      <c r="Y2200" s="317"/>
      <c r="Z2200" s="317"/>
    </row>
    <row r="2201" spans="1:26" x14ac:dyDescent="0.25">
      <c r="A2201" s="314"/>
      <c r="B2201" s="18">
        <v>2023</v>
      </c>
      <c r="C2201" s="18" t="s">
        <v>753</v>
      </c>
      <c r="D2201" s="18" t="s">
        <v>962</v>
      </c>
      <c r="E2201" s="18" t="s">
        <v>703</v>
      </c>
      <c r="F2201" s="18" t="s">
        <v>704</v>
      </c>
      <c r="G2201" s="18" t="s">
        <v>673</v>
      </c>
      <c r="H2201" s="18" t="s">
        <v>963</v>
      </c>
      <c r="I2201" s="315">
        <v>38.260463775892553</v>
      </c>
      <c r="J2201" s="315">
        <v>2.6344808901842744E-2</v>
      </c>
      <c r="K2201" s="316" t="str">
        <f t="shared" si="46"/>
        <v>Lawn and Garden Equipment</v>
      </c>
      <c r="L2201" s="316" t="str">
        <f t="shared" si="47"/>
        <v>Gasoline</v>
      </c>
      <c r="M2201" s="194"/>
      <c r="N2201" s="317"/>
      <c r="O2201" s="317"/>
      <c r="P2201" s="317"/>
      <c r="Q2201" s="317"/>
      <c r="R2201" s="317"/>
      <c r="S2201" s="317"/>
      <c r="T2201" s="317"/>
      <c r="U2201" s="317"/>
      <c r="V2201" s="317"/>
      <c r="W2201" s="317"/>
      <c r="X2201" s="317"/>
      <c r="Y2201" s="317"/>
      <c r="Z2201" s="317"/>
    </row>
    <row r="2202" spans="1:26" x14ac:dyDescent="0.25">
      <c r="A2202" s="314"/>
      <c r="B2202" s="18">
        <v>2023</v>
      </c>
      <c r="C2202" s="18" t="s">
        <v>793</v>
      </c>
      <c r="D2202" s="18" t="s">
        <v>882</v>
      </c>
      <c r="E2202" s="18" t="s">
        <v>713</v>
      </c>
      <c r="F2202" s="18" t="s">
        <v>714</v>
      </c>
      <c r="G2202" s="18" t="s">
        <v>673</v>
      </c>
      <c r="H2202" s="18" t="s">
        <v>705</v>
      </c>
      <c r="I2202" s="315">
        <v>38.209883649782078</v>
      </c>
      <c r="J2202" s="315">
        <v>6.4129722918095469E-4</v>
      </c>
      <c r="K2202" s="316" t="str">
        <f t="shared" si="46"/>
        <v>Lawn and Garden Equipment</v>
      </c>
      <c r="L2202" s="316" t="str">
        <f t="shared" si="47"/>
        <v>Diesel</v>
      </c>
      <c r="M2202" s="194"/>
      <c r="N2202" s="317"/>
      <c r="O2202" s="317"/>
      <c r="P2202" s="317"/>
      <c r="Q2202" s="317"/>
      <c r="R2202" s="317"/>
      <c r="S2202" s="317"/>
      <c r="T2202" s="317"/>
      <c r="U2202" s="317"/>
      <c r="V2202" s="317"/>
      <c r="W2202" s="317"/>
      <c r="X2202" s="317"/>
      <c r="Y2202" s="317"/>
      <c r="Z2202" s="317"/>
    </row>
    <row r="2203" spans="1:26" x14ac:dyDescent="0.25">
      <c r="A2203" s="314"/>
      <c r="B2203" s="18">
        <v>2023</v>
      </c>
      <c r="C2203" s="18" t="s">
        <v>760</v>
      </c>
      <c r="D2203" s="18" t="s">
        <v>1210</v>
      </c>
      <c r="E2203" s="18" t="s">
        <v>713</v>
      </c>
      <c r="F2203" s="18" t="s">
        <v>714</v>
      </c>
      <c r="G2203" s="18" t="s">
        <v>675</v>
      </c>
      <c r="H2203" s="18" t="s">
        <v>1211</v>
      </c>
      <c r="I2203" s="315">
        <v>38.188808761129522</v>
      </c>
      <c r="J2203" s="315">
        <v>6.7557641446532729E-4</v>
      </c>
      <c r="K2203" s="316" t="str">
        <f t="shared" si="46"/>
        <v>Industrial Equipment</v>
      </c>
      <c r="L2203" s="316" t="str">
        <f t="shared" si="47"/>
        <v>Diesel</v>
      </c>
      <c r="M2203" s="194"/>
      <c r="N2203" s="317"/>
      <c r="O2203" s="317"/>
      <c r="P2203" s="317"/>
      <c r="Q2203" s="317"/>
      <c r="R2203" s="317"/>
      <c r="S2203" s="317"/>
      <c r="T2203" s="317"/>
      <c r="U2203" s="317"/>
      <c r="V2203" s="317"/>
      <c r="W2203" s="317"/>
      <c r="X2203" s="317"/>
      <c r="Y2203" s="317"/>
      <c r="Z2203" s="317"/>
    </row>
    <row r="2204" spans="1:26" x14ac:dyDescent="0.25">
      <c r="A2204" s="314"/>
      <c r="B2204" s="18">
        <v>2023</v>
      </c>
      <c r="C2204" s="18" t="s">
        <v>781</v>
      </c>
      <c r="D2204" s="18" t="s">
        <v>920</v>
      </c>
      <c r="E2204" s="18" t="s">
        <v>703</v>
      </c>
      <c r="F2204" s="18" t="s">
        <v>704</v>
      </c>
      <c r="G2204" s="18" t="s">
        <v>673</v>
      </c>
      <c r="H2204" s="18" t="s">
        <v>921</v>
      </c>
      <c r="I2204" s="315">
        <v>38.180920132668483</v>
      </c>
      <c r="J2204" s="315">
        <v>2.4184582138842413E-2</v>
      </c>
      <c r="K2204" s="316" t="str">
        <f t="shared" si="46"/>
        <v>Lawn and Garden Equipment</v>
      </c>
      <c r="L2204" s="316" t="str">
        <f t="shared" si="47"/>
        <v>Gasoline</v>
      </c>
      <c r="M2204" s="194"/>
      <c r="N2204" s="317"/>
      <c r="O2204" s="317"/>
      <c r="P2204" s="317"/>
      <c r="Q2204" s="317"/>
      <c r="R2204" s="317"/>
      <c r="S2204" s="317"/>
      <c r="T2204" s="317"/>
      <c r="U2204" s="317"/>
      <c r="V2204" s="317"/>
      <c r="W2204" s="317"/>
      <c r="X2204" s="317"/>
      <c r="Y2204" s="317"/>
      <c r="Z2204" s="317"/>
    </row>
    <row r="2205" spans="1:26" x14ac:dyDescent="0.25">
      <c r="A2205" s="314"/>
      <c r="B2205" s="18">
        <v>2023</v>
      </c>
      <c r="C2205" s="18" t="s">
        <v>701</v>
      </c>
      <c r="D2205" s="18" t="s">
        <v>1292</v>
      </c>
      <c r="E2205" s="18" t="s">
        <v>703</v>
      </c>
      <c r="F2205" s="18" t="s">
        <v>795</v>
      </c>
      <c r="G2205" s="18" t="s">
        <v>675</v>
      </c>
      <c r="H2205" s="18" t="s">
        <v>1293</v>
      </c>
      <c r="I2205" s="315">
        <v>38.139572441854561</v>
      </c>
      <c r="J2205" s="315">
        <v>2.5617015059839921E-2</v>
      </c>
      <c r="K2205" s="316" t="str">
        <f t="shared" si="46"/>
        <v>Industrial Equipment</v>
      </c>
      <c r="L2205" s="316" t="str">
        <f t="shared" si="47"/>
        <v>Gasoline</v>
      </c>
      <c r="M2205" s="194"/>
      <c r="N2205" s="317"/>
      <c r="O2205" s="317"/>
      <c r="P2205" s="317"/>
      <c r="Q2205" s="317"/>
      <c r="R2205" s="317"/>
      <c r="S2205" s="317"/>
      <c r="T2205" s="317"/>
      <c r="U2205" s="317"/>
      <c r="V2205" s="317"/>
      <c r="W2205" s="317"/>
      <c r="X2205" s="317"/>
      <c r="Y2205" s="317"/>
      <c r="Z2205" s="317"/>
    </row>
    <row r="2206" spans="1:26" x14ac:dyDescent="0.25">
      <c r="A2206" s="314"/>
      <c r="B2206" s="18">
        <v>2023</v>
      </c>
      <c r="C2206" s="18" t="s">
        <v>778</v>
      </c>
      <c r="D2206" s="18" t="s">
        <v>1035</v>
      </c>
      <c r="E2206" s="18" t="s">
        <v>703</v>
      </c>
      <c r="F2206" s="18" t="s">
        <v>704</v>
      </c>
      <c r="G2206" s="18" t="s">
        <v>674</v>
      </c>
      <c r="H2206" s="18" t="s">
        <v>1036</v>
      </c>
      <c r="I2206" s="315">
        <v>38.12664359611307</v>
      </c>
      <c r="J2206" s="315">
        <v>2.691032588312002E-2</v>
      </c>
      <c r="K2206" s="316" t="str">
        <f t="shared" si="46"/>
        <v>Construction and Mining Equipment</v>
      </c>
      <c r="L2206" s="316" t="str">
        <f t="shared" si="47"/>
        <v>Gasoline</v>
      </c>
      <c r="M2206" s="194"/>
      <c r="N2206" s="317"/>
      <c r="O2206" s="317"/>
      <c r="P2206" s="317"/>
      <c r="Q2206" s="317"/>
      <c r="R2206" s="317"/>
      <c r="S2206" s="317"/>
      <c r="T2206" s="317"/>
      <c r="U2206" s="317"/>
      <c r="V2206" s="317"/>
      <c r="W2206" s="317"/>
      <c r="X2206" s="317"/>
      <c r="Y2206" s="317"/>
      <c r="Z2206" s="317"/>
    </row>
    <row r="2207" spans="1:26" x14ac:dyDescent="0.25">
      <c r="A2207" s="314"/>
      <c r="B2207" s="18">
        <v>2023</v>
      </c>
      <c r="C2207" s="18" t="s">
        <v>787</v>
      </c>
      <c r="D2207" s="18" t="s">
        <v>998</v>
      </c>
      <c r="E2207" s="18" t="s">
        <v>703</v>
      </c>
      <c r="F2207" s="18" t="s">
        <v>704</v>
      </c>
      <c r="G2207" s="18" t="s">
        <v>674</v>
      </c>
      <c r="H2207" s="18" t="s">
        <v>999</v>
      </c>
      <c r="I2207" s="315">
        <v>37.986332482014646</v>
      </c>
      <c r="J2207" s="315">
        <v>2.5140421477434224E-2</v>
      </c>
      <c r="K2207" s="316" t="str">
        <f t="shared" si="46"/>
        <v>Construction and Mining Equipment</v>
      </c>
      <c r="L2207" s="316" t="str">
        <f t="shared" si="47"/>
        <v>Gasoline</v>
      </c>
      <c r="M2207" s="194"/>
      <c r="N2207" s="317"/>
      <c r="O2207" s="317"/>
      <c r="P2207" s="317"/>
      <c r="Q2207" s="317"/>
      <c r="R2207" s="317"/>
      <c r="S2207" s="317"/>
      <c r="T2207" s="317"/>
      <c r="U2207" s="317"/>
      <c r="V2207" s="317"/>
      <c r="W2207" s="317"/>
      <c r="X2207" s="317"/>
      <c r="Y2207" s="317"/>
      <c r="Z2207" s="317"/>
    </row>
    <row r="2208" spans="1:26" x14ac:dyDescent="0.25">
      <c r="A2208" s="314"/>
      <c r="B2208" s="18">
        <v>2023</v>
      </c>
      <c r="C2208" s="18" t="s">
        <v>787</v>
      </c>
      <c r="D2208" s="18" t="s">
        <v>1000</v>
      </c>
      <c r="E2208" s="18" t="s">
        <v>703</v>
      </c>
      <c r="F2208" s="18" t="s">
        <v>704</v>
      </c>
      <c r="G2208" s="18" t="s">
        <v>674</v>
      </c>
      <c r="H2208" s="18" t="s">
        <v>850</v>
      </c>
      <c r="I2208" s="315">
        <v>37.846611074326219</v>
      </c>
      <c r="J2208" s="315">
        <v>2.3077815578047497E-2</v>
      </c>
      <c r="K2208" s="316" t="str">
        <f t="shared" si="46"/>
        <v>Construction and Mining Equipment</v>
      </c>
      <c r="L2208" s="316" t="str">
        <f t="shared" si="47"/>
        <v>Gasoline</v>
      </c>
      <c r="M2208" s="194"/>
      <c r="N2208" s="317"/>
      <c r="O2208" s="317"/>
      <c r="P2208" s="317"/>
      <c r="Q2208" s="317"/>
      <c r="R2208" s="317"/>
      <c r="S2208" s="317"/>
      <c r="T2208" s="317"/>
      <c r="U2208" s="317"/>
      <c r="V2208" s="317"/>
      <c r="W2208" s="317"/>
      <c r="X2208" s="317"/>
      <c r="Y2208" s="317"/>
      <c r="Z2208" s="317"/>
    </row>
    <row r="2209" spans="1:26" x14ac:dyDescent="0.25">
      <c r="A2209" s="314"/>
      <c r="B2209" s="18">
        <v>2023</v>
      </c>
      <c r="C2209" s="18" t="s">
        <v>759</v>
      </c>
      <c r="D2209" s="18" t="s">
        <v>1079</v>
      </c>
      <c r="E2209" s="18" t="s">
        <v>713</v>
      </c>
      <c r="F2209" s="18" t="s">
        <v>714</v>
      </c>
      <c r="G2209" s="18" t="s">
        <v>678</v>
      </c>
      <c r="H2209" s="18" t="s">
        <v>1080</v>
      </c>
      <c r="I2209" s="315">
        <v>37.477665025271264</v>
      </c>
      <c r="J2209" s="315">
        <v>2.7199098064857255E-4</v>
      </c>
      <c r="K2209" s="316" t="str">
        <f t="shared" si="46"/>
        <v>Agricultural Equipment</v>
      </c>
      <c r="L2209" s="316" t="str">
        <f t="shared" si="47"/>
        <v>Diesel</v>
      </c>
      <c r="M2209" s="194"/>
      <c r="N2209" s="317"/>
      <c r="O2209" s="317"/>
      <c r="P2209" s="317"/>
      <c r="Q2209" s="317"/>
      <c r="R2209" s="317"/>
      <c r="S2209" s="317"/>
      <c r="T2209" s="317"/>
      <c r="U2209" s="317"/>
      <c r="V2209" s="317"/>
      <c r="W2209" s="317"/>
      <c r="X2209" s="317"/>
      <c r="Y2209" s="317"/>
      <c r="Z2209" s="317"/>
    </row>
    <row r="2210" spans="1:26" x14ac:dyDescent="0.25">
      <c r="A2210" s="314"/>
      <c r="B2210" s="18">
        <v>2023</v>
      </c>
      <c r="C2210" s="18" t="s">
        <v>709</v>
      </c>
      <c r="D2210" s="18" t="s">
        <v>1219</v>
      </c>
      <c r="E2210" s="18" t="s">
        <v>703</v>
      </c>
      <c r="F2210" s="18" t="s">
        <v>704</v>
      </c>
      <c r="G2210" s="18" t="s">
        <v>674</v>
      </c>
      <c r="H2210" s="18" t="s">
        <v>1220</v>
      </c>
      <c r="I2210" s="315">
        <v>37.451459045396582</v>
      </c>
      <c r="J2210" s="315">
        <v>2.5217863901417364E-2</v>
      </c>
      <c r="K2210" s="316" t="str">
        <f t="shared" si="46"/>
        <v>Construction and Mining Equipment</v>
      </c>
      <c r="L2210" s="316" t="str">
        <f t="shared" si="47"/>
        <v>Gasoline</v>
      </c>
      <c r="M2210" s="194"/>
      <c r="N2210" s="317"/>
      <c r="O2210" s="317"/>
      <c r="P2210" s="317"/>
      <c r="Q2210" s="317"/>
      <c r="R2210" s="317"/>
      <c r="S2210" s="317"/>
      <c r="T2210" s="317"/>
      <c r="U2210" s="317"/>
      <c r="V2210" s="317"/>
      <c r="W2210" s="317"/>
      <c r="X2210" s="317"/>
      <c r="Y2210" s="317"/>
      <c r="Z2210" s="317"/>
    </row>
    <row r="2211" spans="1:26" x14ac:dyDescent="0.25">
      <c r="A2211" s="314"/>
      <c r="B2211" s="18">
        <v>2023</v>
      </c>
      <c r="C2211" s="18" t="s">
        <v>781</v>
      </c>
      <c r="D2211" s="18" t="s">
        <v>794</v>
      </c>
      <c r="E2211" s="18" t="s">
        <v>703</v>
      </c>
      <c r="F2211" s="18" t="s">
        <v>795</v>
      </c>
      <c r="G2211" s="18" t="s">
        <v>673</v>
      </c>
      <c r="H2211" s="18" t="s">
        <v>796</v>
      </c>
      <c r="I2211" s="315">
        <v>37.309127054498852</v>
      </c>
      <c r="J2211" s="315">
        <v>6.8156522912858286E-2</v>
      </c>
      <c r="K2211" s="316" t="str">
        <f t="shared" si="46"/>
        <v>Lawn and Garden Equipment</v>
      </c>
      <c r="L2211" s="316" t="str">
        <f t="shared" si="47"/>
        <v>Gasoline</v>
      </c>
      <c r="M2211" s="194"/>
      <c r="N2211" s="317"/>
      <c r="O2211" s="317"/>
      <c r="P2211" s="317"/>
      <c r="Q2211" s="317"/>
      <c r="R2211" s="317"/>
      <c r="S2211" s="317"/>
      <c r="T2211" s="317"/>
      <c r="U2211" s="317"/>
      <c r="V2211" s="317"/>
      <c r="W2211" s="317"/>
      <c r="X2211" s="317"/>
      <c r="Y2211" s="317"/>
      <c r="Z2211" s="317"/>
    </row>
    <row r="2212" spans="1:26" x14ac:dyDescent="0.25">
      <c r="A2212" s="314"/>
      <c r="B2212" s="18">
        <v>2023</v>
      </c>
      <c r="C2212" s="18" t="s">
        <v>722</v>
      </c>
      <c r="D2212" s="18" t="s">
        <v>1051</v>
      </c>
      <c r="E2212" s="18" t="s">
        <v>703</v>
      </c>
      <c r="F2212" s="18" t="s">
        <v>704</v>
      </c>
      <c r="G2212" s="18" t="s">
        <v>674</v>
      </c>
      <c r="H2212" s="18" t="s">
        <v>783</v>
      </c>
      <c r="I2212" s="315">
        <v>37.233210176959105</v>
      </c>
      <c r="J2212" s="315">
        <v>2.2720631055044155E-2</v>
      </c>
      <c r="K2212" s="316" t="str">
        <f t="shared" si="46"/>
        <v>Construction and Mining Equipment</v>
      </c>
      <c r="L2212" s="316" t="str">
        <f t="shared" si="47"/>
        <v>Gasoline</v>
      </c>
      <c r="M2212" s="194"/>
      <c r="N2212" s="317"/>
      <c r="O2212" s="317"/>
      <c r="P2212" s="317"/>
      <c r="Q2212" s="317"/>
      <c r="R2212" s="317"/>
      <c r="S2212" s="317"/>
      <c r="T2212" s="317"/>
      <c r="U2212" s="317"/>
      <c r="V2212" s="317"/>
      <c r="W2212" s="317"/>
      <c r="X2212" s="317"/>
      <c r="Y2212" s="317"/>
      <c r="Z2212" s="317"/>
    </row>
    <row r="2213" spans="1:26" x14ac:dyDescent="0.25">
      <c r="A2213" s="314"/>
      <c r="B2213" s="18">
        <v>2023</v>
      </c>
      <c r="C2213" s="18" t="s">
        <v>759</v>
      </c>
      <c r="D2213" s="18" t="s">
        <v>840</v>
      </c>
      <c r="E2213" s="18" t="s">
        <v>703</v>
      </c>
      <c r="F2213" s="18" t="s">
        <v>704</v>
      </c>
      <c r="G2213" s="18" t="s">
        <v>677</v>
      </c>
      <c r="H2213" s="18" t="s">
        <v>841</v>
      </c>
      <c r="I2213" s="315">
        <v>37.230876213606166</v>
      </c>
      <c r="J2213" s="315">
        <v>2.4408736522001772E-2</v>
      </c>
      <c r="K2213" s="316" t="str">
        <f t="shared" si="46"/>
        <v>Commercial Equipment</v>
      </c>
      <c r="L2213" s="316" t="str">
        <f t="shared" si="47"/>
        <v>Gasoline</v>
      </c>
      <c r="M2213" s="194"/>
      <c r="N2213" s="317"/>
      <c r="O2213" s="317"/>
      <c r="P2213" s="317"/>
      <c r="Q2213" s="317"/>
      <c r="R2213" s="317"/>
      <c r="S2213" s="317"/>
      <c r="T2213" s="317"/>
      <c r="U2213" s="317"/>
      <c r="V2213" s="317"/>
      <c r="W2213" s="317"/>
      <c r="X2213" s="317"/>
      <c r="Y2213" s="317"/>
      <c r="Z2213" s="317"/>
    </row>
    <row r="2214" spans="1:26" x14ac:dyDescent="0.25">
      <c r="A2214" s="314"/>
      <c r="B2214" s="18">
        <v>2023</v>
      </c>
      <c r="C2214" s="18" t="s">
        <v>773</v>
      </c>
      <c r="D2214" s="18" t="s">
        <v>1022</v>
      </c>
      <c r="E2214" s="18" t="s">
        <v>703</v>
      </c>
      <c r="F2214" s="18" t="s">
        <v>704</v>
      </c>
      <c r="G2214" s="18" t="s">
        <v>675</v>
      </c>
      <c r="H2214" s="18" t="s">
        <v>772</v>
      </c>
      <c r="I2214" s="315">
        <v>37.16839521056373</v>
      </c>
      <c r="J2214" s="315">
        <v>2.6096568101009569E-3</v>
      </c>
      <c r="K2214" s="316" t="str">
        <f t="shared" si="46"/>
        <v>Industrial Equipment</v>
      </c>
      <c r="L2214" s="316" t="str">
        <f t="shared" si="47"/>
        <v>Gasoline</v>
      </c>
      <c r="M2214" s="194"/>
      <c r="N2214" s="317"/>
      <c r="O2214" s="317"/>
      <c r="P2214" s="317"/>
      <c r="Q2214" s="317"/>
      <c r="R2214" s="317"/>
      <c r="S2214" s="317"/>
      <c r="T2214" s="317"/>
      <c r="U2214" s="317"/>
      <c r="V2214" s="317"/>
      <c r="W2214" s="317"/>
      <c r="X2214" s="317"/>
      <c r="Y2214" s="317"/>
      <c r="Z2214" s="317"/>
    </row>
    <row r="2215" spans="1:26" x14ac:dyDescent="0.25">
      <c r="A2215" s="314"/>
      <c r="B2215" s="18">
        <v>2023</v>
      </c>
      <c r="C2215" s="18" t="s">
        <v>754</v>
      </c>
      <c r="D2215" s="18" t="s">
        <v>1017</v>
      </c>
      <c r="E2215" s="18" t="s">
        <v>703</v>
      </c>
      <c r="F2215" s="18" t="s">
        <v>704</v>
      </c>
      <c r="G2215" s="18" t="s">
        <v>673</v>
      </c>
      <c r="H2215" s="18" t="s">
        <v>806</v>
      </c>
      <c r="I2215" s="315">
        <v>37.168083711812038</v>
      </c>
      <c r="J2215" s="315">
        <v>2.6267402682771359E-2</v>
      </c>
      <c r="K2215" s="316" t="str">
        <f t="shared" si="46"/>
        <v>Lawn and Garden Equipment</v>
      </c>
      <c r="L2215" s="316" t="str">
        <f t="shared" si="47"/>
        <v>Gasoline</v>
      </c>
      <c r="M2215" s="194"/>
      <c r="N2215" s="317"/>
      <c r="O2215" s="317"/>
      <c r="P2215" s="317"/>
      <c r="Q2215" s="317"/>
      <c r="R2215" s="317"/>
      <c r="S2215" s="317"/>
      <c r="T2215" s="317"/>
      <c r="U2215" s="317"/>
      <c r="V2215" s="317"/>
      <c r="W2215" s="317"/>
      <c r="X2215" s="317"/>
      <c r="Y2215" s="317"/>
      <c r="Z2215" s="317"/>
    </row>
    <row r="2216" spans="1:26" x14ac:dyDescent="0.25">
      <c r="A2216" s="314"/>
      <c r="B2216" s="18">
        <v>2023</v>
      </c>
      <c r="C2216" s="18" t="s">
        <v>810</v>
      </c>
      <c r="D2216" s="18" t="s">
        <v>966</v>
      </c>
      <c r="E2216" s="18" t="s">
        <v>703</v>
      </c>
      <c r="F2216" s="18" t="s">
        <v>704</v>
      </c>
      <c r="G2216" s="18" t="s">
        <v>674</v>
      </c>
      <c r="H2216" s="18" t="s">
        <v>967</v>
      </c>
      <c r="I2216" s="315">
        <v>37.118955407204325</v>
      </c>
      <c r="J2216" s="315">
        <v>2.6012114060255276E-2</v>
      </c>
      <c r="K2216" s="316" t="str">
        <f t="shared" si="46"/>
        <v>Construction and Mining Equipment</v>
      </c>
      <c r="L2216" s="316" t="str">
        <f t="shared" si="47"/>
        <v>Gasoline</v>
      </c>
      <c r="M2216" s="194"/>
      <c r="N2216" s="317"/>
      <c r="O2216" s="317"/>
      <c r="P2216" s="317"/>
      <c r="Q2216" s="317"/>
      <c r="R2216" s="317"/>
      <c r="S2216" s="317"/>
      <c r="T2216" s="317"/>
      <c r="U2216" s="317"/>
      <c r="V2216" s="317"/>
      <c r="W2216" s="317"/>
      <c r="X2216" s="317"/>
      <c r="Y2216" s="317"/>
      <c r="Z2216" s="317"/>
    </row>
    <row r="2217" spans="1:26" x14ac:dyDescent="0.25">
      <c r="A2217" s="314"/>
      <c r="B2217" s="18">
        <v>2023</v>
      </c>
      <c r="C2217" s="18" t="s">
        <v>750</v>
      </c>
      <c r="D2217" s="18" t="s">
        <v>868</v>
      </c>
      <c r="E2217" s="18" t="s">
        <v>703</v>
      </c>
      <c r="F2217" s="18" t="s">
        <v>704</v>
      </c>
      <c r="G2217" s="18" t="s">
        <v>673</v>
      </c>
      <c r="H2217" s="18" t="s">
        <v>758</v>
      </c>
      <c r="I2217" s="315">
        <v>36.991419330895809</v>
      </c>
      <c r="J2217" s="315">
        <v>2.4172119756443886E-2</v>
      </c>
      <c r="K2217" s="316" t="str">
        <f t="shared" si="46"/>
        <v>Lawn and Garden Equipment</v>
      </c>
      <c r="L2217" s="316" t="str">
        <f t="shared" si="47"/>
        <v>Gasoline</v>
      </c>
      <c r="M2217" s="194"/>
      <c r="N2217" s="317"/>
      <c r="O2217" s="317"/>
      <c r="P2217" s="317"/>
      <c r="Q2217" s="317"/>
      <c r="R2217" s="317"/>
      <c r="S2217" s="317"/>
      <c r="T2217" s="317"/>
      <c r="U2217" s="317"/>
      <c r="V2217" s="317"/>
      <c r="W2217" s="317"/>
      <c r="X2217" s="317"/>
      <c r="Y2217" s="317"/>
      <c r="Z2217" s="317"/>
    </row>
    <row r="2218" spans="1:26" x14ac:dyDescent="0.25">
      <c r="A2218" s="314"/>
      <c r="B2218" s="18">
        <v>2023</v>
      </c>
      <c r="C2218" s="18" t="s">
        <v>781</v>
      </c>
      <c r="D2218" s="18" t="s">
        <v>1221</v>
      </c>
      <c r="E2218" s="18" t="s">
        <v>713</v>
      </c>
      <c r="F2218" s="18" t="s">
        <v>714</v>
      </c>
      <c r="G2218" s="18" t="s">
        <v>678</v>
      </c>
      <c r="H2218" s="18" t="s">
        <v>1222</v>
      </c>
      <c r="I2218" s="315">
        <v>36.938093588440431</v>
      </c>
      <c r="J2218" s="315">
        <v>2.4608255091387643E-4</v>
      </c>
      <c r="K2218" s="316" t="str">
        <f t="shared" si="46"/>
        <v>Agricultural Equipment</v>
      </c>
      <c r="L2218" s="316" t="str">
        <f t="shared" si="47"/>
        <v>Diesel</v>
      </c>
      <c r="M2218" s="194"/>
      <c r="N2218" s="317"/>
      <c r="O2218" s="317"/>
      <c r="P2218" s="317"/>
      <c r="Q2218" s="317"/>
      <c r="R2218" s="317"/>
      <c r="S2218" s="317"/>
      <c r="T2218" s="317"/>
      <c r="U2218" s="317"/>
      <c r="V2218" s="317"/>
      <c r="W2218" s="317"/>
      <c r="X2218" s="317"/>
      <c r="Y2218" s="317"/>
      <c r="Z2218" s="317"/>
    </row>
    <row r="2219" spans="1:26" x14ac:dyDescent="0.25">
      <c r="A2219" s="314"/>
      <c r="B2219" s="18">
        <v>2023</v>
      </c>
      <c r="C2219" s="18" t="s">
        <v>709</v>
      </c>
      <c r="D2219" s="18" t="s">
        <v>1223</v>
      </c>
      <c r="E2219" s="18" t="s">
        <v>713</v>
      </c>
      <c r="F2219" s="18" t="s">
        <v>714</v>
      </c>
      <c r="G2219" s="18" t="s">
        <v>674</v>
      </c>
      <c r="H2219" s="18" t="s">
        <v>1036</v>
      </c>
      <c r="I2219" s="315">
        <v>36.849573804834947</v>
      </c>
      <c r="J2219" s="315">
        <v>3.6038579583413687E-3</v>
      </c>
      <c r="K2219" s="316" t="str">
        <f t="shared" si="46"/>
        <v>Construction and Mining Equipment</v>
      </c>
      <c r="L2219" s="316" t="str">
        <f t="shared" si="47"/>
        <v>Diesel</v>
      </c>
      <c r="M2219" s="194"/>
      <c r="N2219" s="317"/>
      <c r="O2219" s="317"/>
      <c r="P2219" s="317"/>
      <c r="Q2219" s="317"/>
      <c r="R2219" s="317"/>
      <c r="S2219" s="317"/>
      <c r="T2219" s="317"/>
      <c r="U2219" s="317"/>
      <c r="V2219" s="317"/>
      <c r="W2219" s="317"/>
      <c r="X2219" s="317"/>
      <c r="Y2219" s="317"/>
      <c r="Z2219" s="317"/>
    </row>
    <row r="2220" spans="1:26" x14ac:dyDescent="0.25">
      <c r="A2220" s="314"/>
      <c r="B2220" s="18">
        <v>2023</v>
      </c>
      <c r="C2220" s="18" t="s">
        <v>781</v>
      </c>
      <c r="D2220" s="18" t="s">
        <v>979</v>
      </c>
      <c r="E2220" s="18" t="s">
        <v>703</v>
      </c>
      <c r="F2220" s="18" t="s">
        <v>704</v>
      </c>
      <c r="G2220" s="18" t="s">
        <v>675</v>
      </c>
      <c r="H2220" s="18" t="s">
        <v>802</v>
      </c>
      <c r="I2220" s="315">
        <v>36.843314386032603</v>
      </c>
      <c r="J2220" s="315">
        <v>1.3240142019005374E-2</v>
      </c>
      <c r="K2220" s="316" t="str">
        <f t="shared" si="46"/>
        <v>Industrial Equipment</v>
      </c>
      <c r="L2220" s="316" t="str">
        <f t="shared" si="47"/>
        <v>Gasoline</v>
      </c>
      <c r="M2220" s="194"/>
      <c r="N2220" s="317"/>
      <c r="O2220" s="317"/>
      <c r="P2220" s="317"/>
      <c r="Q2220" s="317"/>
      <c r="R2220" s="317"/>
      <c r="S2220" s="317"/>
      <c r="T2220" s="317"/>
      <c r="U2220" s="317"/>
      <c r="V2220" s="317"/>
      <c r="W2220" s="317"/>
      <c r="X2220" s="317"/>
      <c r="Y2220" s="317"/>
      <c r="Z2220" s="317"/>
    </row>
    <row r="2221" spans="1:26" x14ac:dyDescent="0.25">
      <c r="A2221" s="314"/>
      <c r="B2221" s="18">
        <v>2023</v>
      </c>
      <c r="C2221" s="18" t="s">
        <v>773</v>
      </c>
      <c r="D2221" s="18" t="s">
        <v>1015</v>
      </c>
      <c r="E2221" s="18" t="s">
        <v>56</v>
      </c>
      <c r="F2221" s="18" t="s">
        <v>601</v>
      </c>
      <c r="G2221" s="18" t="s">
        <v>677</v>
      </c>
      <c r="H2221" s="18" t="s">
        <v>747</v>
      </c>
      <c r="I2221" s="315">
        <v>36.777691899095714</v>
      </c>
      <c r="J2221" s="315">
        <v>0.82280633000684866</v>
      </c>
      <c r="K2221" s="316" t="str">
        <f t="shared" si="46"/>
        <v>Commercial Equipment</v>
      </c>
      <c r="L2221" s="316" t="str">
        <f t="shared" si="47"/>
        <v>CNG</v>
      </c>
      <c r="M2221" s="194"/>
      <c r="N2221" s="317"/>
      <c r="O2221" s="317"/>
      <c r="P2221" s="317"/>
      <c r="Q2221" s="317"/>
      <c r="R2221" s="317"/>
      <c r="S2221" s="317"/>
      <c r="T2221" s="317"/>
      <c r="U2221" s="317"/>
      <c r="V2221" s="317"/>
      <c r="W2221" s="317"/>
      <c r="X2221" s="317"/>
      <c r="Y2221" s="317"/>
      <c r="Z2221" s="317"/>
    </row>
    <row r="2222" spans="1:26" x14ac:dyDescent="0.25">
      <c r="A2222" s="314"/>
      <c r="B2222" s="18">
        <v>2023</v>
      </c>
      <c r="C2222" s="18" t="s">
        <v>786</v>
      </c>
      <c r="D2222" s="18" t="s">
        <v>925</v>
      </c>
      <c r="E2222" s="18" t="s">
        <v>703</v>
      </c>
      <c r="F2222" s="18" t="s">
        <v>704</v>
      </c>
      <c r="G2222" s="18" t="s">
        <v>675</v>
      </c>
      <c r="H2222" s="18" t="s">
        <v>798</v>
      </c>
      <c r="I2222" s="315">
        <v>36.776257555255505</v>
      </c>
      <c r="J2222" s="315">
        <v>2.7504763341599587E-2</v>
      </c>
      <c r="K2222" s="316" t="str">
        <f t="shared" si="46"/>
        <v>Industrial Equipment</v>
      </c>
      <c r="L2222" s="316" t="str">
        <f t="shared" si="47"/>
        <v>Gasoline</v>
      </c>
      <c r="M2222" s="194"/>
      <c r="N2222" s="317"/>
      <c r="O2222" s="317"/>
      <c r="P2222" s="317"/>
      <c r="Q2222" s="317"/>
      <c r="R2222" s="317"/>
      <c r="S2222" s="317"/>
      <c r="T2222" s="317"/>
      <c r="U2222" s="317"/>
      <c r="V2222" s="317"/>
      <c r="W2222" s="317"/>
      <c r="X2222" s="317"/>
      <c r="Y2222" s="317"/>
      <c r="Z2222" s="317"/>
    </row>
    <row r="2223" spans="1:26" x14ac:dyDescent="0.25">
      <c r="A2223" s="314"/>
      <c r="B2223" s="18">
        <v>2023</v>
      </c>
      <c r="C2223" s="18" t="s">
        <v>750</v>
      </c>
      <c r="D2223" s="18" t="s">
        <v>1079</v>
      </c>
      <c r="E2223" s="18" t="s">
        <v>713</v>
      </c>
      <c r="F2223" s="18" t="s">
        <v>714</v>
      </c>
      <c r="G2223" s="18" t="s">
        <v>678</v>
      </c>
      <c r="H2223" s="18" t="s">
        <v>1080</v>
      </c>
      <c r="I2223" s="315">
        <v>36.768904717909564</v>
      </c>
      <c r="J2223" s="315">
        <v>2.668473250051309E-4</v>
      </c>
      <c r="K2223" s="316" t="str">
        <f t="shared" si="46"/>
        <v>Agricultural Equipment</v>
      </c>
      <c r="L2223" s="316" t="str">
        <f t="shared" si="47"/>
        <v>Diesel</v>
      </c>
      <c r="M2223" s="194"/>
      <c r="N2223" s="317"/>
      <c r="O2223" s="317"/>
      <c r="P2223" s="317"/>
      <c r="Q2223" s="317"/>
      <c r="R2223" s="317"/>
      <c r="S2223" s="317"/>
      <c r="T2223" s="317"/>
      <c r="U2223" s="317"/>
      <c r="V2223" s="317"/>
      <c r="W2223" s="317"/>
      <c r="X2223" s="317"/>
      <c r="Y2223" s="317"/>
      <c r="Z2223" s="317"/>
    </row>
    <row r="2224" spans="1:26" x14ac:dyDescent="0.25">
      <c r="A2224" s="314"/>
      <c r="B2224" s="18">
        <v>2023</v>
      </c>
      <c r="C2224" s="18" t="s">
        <v>754</v>
      </c>
      <c r="D2224" s="18" t="s">
        <v>1014</v>
      </c>
      <c r="E2224" s="18" t="s">
        <v>713</v>
      </c>
      <c r="F2224" s="18" t="s">
        <v>714</v>
      </c>
      <c r="G2224" s="18" t="s">
        <v>674</v>
      </c>
      <c r="H2224" s="18" t="s">
        <v>994</v>
      </c>
      <c r="I2224" s="315">
        <v>36.699585293054525</v>
      </c>
      <c r="J2224" s="315">
        <v>4.7805242090181733E-4</v>
      </c>
      <c r="K2224" s="316" t="str">
        <f t="shared" si="46"/>
        <v>Construction and Mining Equipment</v>
      </c>
      <c r="L2224" s="316" t="str">
        <f t="shared" si="47"/>
        <v>Diesel</v>
      </c>
      <c r="M2224" s="194"/>
      <c r="N2224" s="317"/>
      <c r="O2224" s="317"/>
      <c r="P2224" s="317"/>
      <c r="Q2224" s="317"/>
      <c r="R2224" s="317"/>
      <c r="S2224" s="317"/>
      <c r="T2224" s="317"/>
      <c r="U2224" s="317"/>
      <c r="V2224" s="317"/>
      <c r="W2224" s="317"/>
      <c r="X2224" s="317"/>
      <c r="Y2224" s="317"/>
      <c r="Z2224" s="317"/>
    </row>
    <row r="2225" spans="1:26" x14ac:dyDescent="0.25">
      <c r="A2225" s="314"/>
      <c r="B2225" s="18">
        <v>2023</v>
      </c>
      <c r="C2225" s="18" t="s">
        <v>710</v>
      </c>
      <c r="D2225" s="18" t="s">
        <v>1228</v>
      </c>
      <c r="E2225" s="18" t="s">
        <v>703</v>
      </c>
      <c r="F2225" s="18" t="s">
        <v>704</v>
      </c>
      <c r="G2225" s="18" t="s">
        <v>675</v>
      </c>
      <c r="H2225" s="18" t="s">
        <v>1078</v>
      </c>
      <c r="I2225" s="315">
        <v>36.618178827680126</v>
      </c>
      <c r="J2225" s="315">
        <v>1.2348216014286303E-2</v>
      </c>
      <c r="K2225" s="316" t="str">
        <f t="shared" si="46"/>
        <v>Industrial Equipment</v>
      </c>
      <c r="L2225" s="316" t="str">
        <f t="shared" si="47"/>
        <v>Gasoline</v>
      </c>
      <c r="M2225" s="194"/>
      <c r="N2225" s="317"/>
      <c r="O2225" s="317"/>
      <c r="P2225" s="317"/>
      <c r="Q2225" s="317"/>
      <c r="R2225" s="317"/>
      <c r="S2225" s="317"/>
      <c r="T2225" s="317"/>
      <c r="U2225" s="317"/>
      <c r="V2225" s="317"/>
      <c r="W2225" s="317"/>
      <c r="X2225" s="317"/>
      <c r="Y2225" s="317"/>
      <c r="Z2225" s="317"/>
    </row>
    <row r="2226" spans="1:26" x14ac:dyDescent="0.25">
      <c r="A2226" s="314"/>
      <c r="B2226" s="18">
        <v>2023</v>
      </c>
      <c r="C2226" s="18" t="s">
        <v>786</v>
      </c>
      <c r="D2226" s="18" t="s">
        <v>1221</v>
      </c>
      <c r="E2226" s="18" t="s">
        <v>713</v>
      </c>
      <c r="F2226" s="18" t="s">
        <v>714</v>
      </c>
      <c r="G2226" s="18" t="s">
        <v>678</v>
      </c>
      <c r="H2226" s="18" t="s">
        <v>1222</v>
      </c>
      <c r="I2226" s="315">
        <v>36.555611103740013</v>
      </c>
      <c r="J2226" s="315">
        <v>2.4353421196820772E-4</v>
      </c>
      <c r="K2226" s="316" t="str">
        <f t="shared" si="46"/>
        <v>Agricultural Equipment</v>
      </c>
      <c r="L2226" s="316" t="str">
        <f t="shared" si="47"/>
        <v>Diesel</v>
      </c>
      <c r="M2226" s="194"/>
      <c r="N2226" s="317"/>
      <c r="O2226" s="317"/>
      <c r="P2226" s="317"/>
      <c r="Q2226" s="317"/>
      <c r="R2226" s="317"/>
      <c r="S2226" s="317"/>
      <c r="T2226" s="317"/>
      <c r="U2226" s="317"/>
      <c r="V2226" s="317"/>
      <c r="W2226" s="317"/>
      <c r="X2226" s="317"/>
      <c r="Y2226" s="317"/>
      <c r="Z2226" s="317"/>
    </row>
    <row r="2227" spans="1:26" x14ac:dyDescent="0.25">
      <c r="A2227" s="314"/>
      <c r="B2227" s="18">
        <v>2023</v>
      </c>
      <c r="C2227" s="18" t="s">
        <v>743</v>
      </c>
      <c r="D2227" s="18" t="s">
        <v>1018</v>
      </c>
      <c r="E2227" s="18" t="s">
        <v>56</v>
      </c>
      <c r="F2227" s="18" t="s">
        <v>672</v>
      </c>
      <c r="G2227" s="18" t="s">
        <v>677</v>
      </c>
      <c r="H2227" s="18" t="s">
        <v>785</v>
      </c>
      <c r="I2227" s="315">
        <v>36.498185911807774</v>
      </c>
      <c r="J2227" s="315">
        <v>1.7910495112038818E-3</v>
      </c>
      <c r="K2227" s="316" t="str">
        <f t="shared" si="46"/>
        <v>Commercial Equipment</v>
      </c>
      <c r="L2227" s="316" t="str">
        <f t="shared" si="47"/>
        <v>LPG</v>
      </c>
      <c r="M2227" s="194"/>
      <c r="N2227" s="317"/>
      <c r="O2227" s="317"/>
      <c r="P2227" s="317"/>
      <c r="Q2227" s="317"/>
      <c r="R2227" s="317"/>
      <c r="S2227" s="317"/>
      <c r="T2227" s="317"/>
      <c r="U2227" s="317"/>
      <c r="V2227" s="317"/>
      <c r="W2227" s="317"/>
      <c r="X2227" s="317"/>
      <c r="Y2227" s="317"/>
      <c r="Z2227" s="317"/>
    </row>
    <row r="2228" spans="1:26" x14ac:dyDescent="0.25">
      <c r="A2228" s="314"/>
      <c r="B2228" s="18">
        <v>2023</v>
      </c>
      <c r="C2228" s="18" t="s">
        <v>759</v>
      </c>
      <c r="D2228" s="18" t="s">
        <v>846</v>
      </c>
      <c r="E2228" s="18" t="s">
        <v>713</v>
      </c>
      <c r="F2228" s="18" t="s">
        <v>714</v>
      </c>
      <c r="G2228" s="18" t="s">
        <v>677</v>
      </c>
      <c r="H2228" s="18" t="s">
        <v>836</v>
      </c>
      <c r="I2228" s="315">
        <v>36.352441113420568</v>
      </c>
      <c r="J2228" s="315">
        <v>1.405698936365986E-3</v>
      </c>
      <c r="K2228" s="316" t="str">
        <f t="shared" si="46"/>
        <v>Commercial Equipment</v>
      </c>
      <c r="L2228" s="316" t="str">
        <f t="shared" si="47"/>
        <v>Diesel</v>
      </c>
      <c r="M2228" s="194"/>
      <c r="N2228" s="317"/>
      <c r="O2228" s="317"/>
      <c r="P2228" s="317"/>
      <c r="Q2228" s="317"/>
      <c r="R2228" s="317"/>
      <c r="S2228" s="317"/>
      <c r="T2228" s="317"/>
      <c r="U2228" s="317"/>
      <c r="V2228" s="317"/>
      <c r="W2228" s="317"/>
      <c r="X2228" s="317"/>
      <c r="Y2228" s="317"/>
      <c r="Z2228" s="317"/>
    </row>
    <row r="2229" spans="1:26" x14ac:dyDescent="0.25">
      <c r="A2229" s="314"/>
      <c r="B2229" s="18">
        <v>2023</v>
      </c>
      <c r="C2229" s="18" t="s">
        <v>762</v>
      </c>
      <c r="D2229" s="18" t="s">
        <v>925</v>
      </c>
      <c r="E2229" s="18" t="s">
        <v>703</v>
      </c>
      <c r="F2229" s="18" t="s">
        <v>704</v>
      </c>
      <c r="G2229" s="18" t="s">
        <v>675</v>
      </c>
      <c r="H2229" s="18" t="s">
        <v>798</v>
      </c>
      <c r="I2229" s="315">
        <v>36.335661295749425</v>
      </c>
      <c r="J2229" s="315">
        <v>2.714473003027907E-2</v>
      </c>
      <c r="K2229" s="316" t="str">
        <f t="shared" si="46"/>
        <v>Industrial Equipment</v>
      </c>
      <c r="L2229" s="316" t="str">
        <f t="shared" si="47"/>
        <v>Gasoline</v>
      </c>
      <c r="M2229" s="194"/>
      <c r="N2229" s="317"/>
      <c r="O2229" s="317"/>
      <c r="P2229" s="317"/>
      <c r="Q2229" s="317"/>
      <c r="R2229" s="317"/>
      <c r="S2229" s="317"/>
      <c r="T2229" s="317"/>
      <c r="U2229" s="317"/>
      <c r="V2229" s="317"/>
      <c r="W2229" s="317"/>
      <c r="X2229" s="317"/>
      <c r="Y2229" s="317"/>
      <c r="Z2229" s="317"/>
    </row>
    <row r="2230" spans="1:26" x14ac:dyDescent="0.25">
      <c r="A2230" s="314"/>
      <c r="B2230" s="18">
        <v>2023</v>
      </c>
      <c r="C2230" s="18" t="s">
        <v>731</v>
      </c>
      <c r="D2230" s="18" t="s">
        <v>1012</v>
      </c>
      <c r="E2230" s="18" t="s">
        <v>703</v>
      </c>
      <c r="F2230" s="18" t="s">
        <v>795</v>
      </c>
      <c r="G2230" s="18" t="s">
        <v>679</v>
      </c>
      <c r="H2230" s="18" t="s">
        <v>1013</v>
      </c>
      <c r="I2230" s="315">
        <v>36.282131288764568</v>
      </c>
      <c r="J2230" s="315">
        <v>3.0203748094468966E-2</v>
      </c>
      <c r="K2230" s="316" t="str">
        <f t="shared" si="46"/>
        <v>Recreational Equipment</v>
      </c>
      <c r="L2230" s="316" t="str">
        <f t="shared" si="47"/>
        <v>Gasoline</v>
      </c>
      <c r="M2230" s="194"/>
      <c r="N2230" s="317"/>
      <c r="O2230" s="317"/>
      <c r="P2230" s="317"/>
      <c r="Q2230" s="317"/>
      <c r="R2230" s="317"/>
      <c r="S2230" s="317"/>
      <c r="T2230" s="317"/>
      <c r="U2230" s="317"/>
      <c r="V2230" s="317"/>
      <c r="W2230" s="317"/>
      <c r="X2230" s="317"/>
      <c r="Y2230" s="317"/>
      <c r="Z2230" s="317"/>
    </row>
    <row r="2231" spans="1:26" x14ac:dyDescent="0.25">
      <c r="A2231" s="314"/>
      <c r="B2231" s="18">
        <v>2023</v>
      </c>
      <c r="C2231" s="18" t="s">
        <v>722</v>
      </c>
      <c r="D2231" s="18" t="s">
        <v>1012</v>
      </c>
      <c r="E2231" s="18" t="s">
        <v>703</v>
      </c>
      <c r="F2231" s="18" t="s">
        <v>795</v>
      </c>
      <c r="G2231" s="18" t="s">
        <v>679</v>
      </c>
      <c r="H2231" s="18" t="s">
        <v>1013</v>
      </c>
      <c r="I2231" s="315">
        <v>36.282131288764568</v>
      </c>
      <c r="J2231" s="315">
        <v>3.0286438794654542E-2</v>
      </c>
      <c r="K2231" s="316" t="str">
        <f t="shared" si="46"/>
        <v>Recreational Equipment</v>
      </c>
      <c r="L2231" s="316" t="str">
        <f t="shared" si="47"/>
        <v>Gasoline</v>
      </c>
      <c r="M2231" s="194"/>
      <c r="N2231" s="317"/>
      <c r="O2231" s="317"/>
      <c r="P2231" s="317"/>
      <c r="Q2231" s="317"/>
      <c r="R2231" s="317"/>
      <c r="S2231" s="317"/>
      <c r="T2231" s="317"/>
      <c r="U2231" s="317"/>
      <c r="V2231" s="317"/>
      <c r="W2231" s="317"/>
      <c r="X2231" s="317"/>
      <c r="Y2231" s="317"/>
      <c r="Z2231" s="317"/>
    </row>
    <row r="2232" spans="1:26" x14ac:dyDescent="0.25">
      <c r="A2232" s="314"/>
      <c r="B2232" s="18">
        <v>2023</v>
      </c>
      <c r="C2232" s="18" t="s">
        <v>732</v>
      </c>
      <c r="D2232" s="18" t="s">
        <v>1073</v>
      </c>
      <c r="E2232" s="18" t="s">
        <v>703</v>
      </c>
      <c r="F2232" s="18" t="s">
        <v>704</v>
      </c>
      <c r="G2232" s="18" t="s">
        <v>674</v>
      </c>
      <c r="H2232" s="18" t="s">
        <v>1072</v>
      </c>
      <c r="I2232" s="315">
        <v>36.191776802711921</v>
      </c>
      <c r="J2232" s="315">
        <v>2.5608036552893534E-2</v>
      </c>
      <c r="K2232" s="316" t="str">
        <f t="shared" si="46"/>
        <v>Construction and Mining Equipment</v>
      </c>
      <c r="L2232" s="316" t="str">
        <f t="shared" si="47"/>
        <v>Gasoline</v>
      </c>
      <c r="M2232" s="194"/>
      <c r="N2232" s="317"/>
      <c r="O2232" s="317"/>
      <c r="P2232" s="317"/>
      <c r="Q2232" s="317"/>
      <c r="R2232" s="317"/>
      <c r="S2232" s="317"/>
      <c r="T2232" s="317"/>
      <c r="U2232" s="317"/>
      <c r="V2232" s="317"/>
      <c r="W2232" s="317"/>
      <c r="X2232" s="317"/>
      <c r="Y2232" s="317"/>
      <c r="Z2232" s="317"/>
    </row>
    <row r="2233" spans="1:26" x14ac:dyDescent="0.25">
      <c r="A2233" s="314"/>
      <c r="B2233" s="18">
        <v>2023</v>
      </c>
      <c r="C2233" s="18" t="s">
        <v>732</v>
      </c>
      <c r="D2233" s="18" t="s">
        <v>1074</v>
      </c>
      <c r="E2233" s="18" t="s">
        <v>713</v>
      </c>
      <c r="F2233" s="18" t="s">
        <v>714</v>
      </c>
      <c r="G2233" s="18" t="s">
        <v>674</v>
      </c>
      <c r="H2233" s="18" t="s">
        <v>967</v>
      </c>
      <c r="I2233" s="315">
        <v>36.083650974269865</v>
      </c>
      <c r="J2233" s="315">
        <v>6.200802468210745E-4</v>
      </c>
      <c r="K2233" s="316" t="str">
        <f t="shared" si="46"/>
        <v>Construction and Mining Equipment</v>
      </c>
      <c r="L2233" s="316" t="str">
        <f t="shared" si="47"/>
        <v>Diesel</v>
      </c>
      <c r="M2233" s="194"/>
      <c r="N2233" s="317"/>
      <c r="O2233" s="317"/>
      <c r="P2233" s="317"/>
      <c r="Q2233" s="317"/>
      <c r="R2233" s="317"/>
      <c r="S2233" s="317"/>
      <c r="T2233" s="317"/>
      <c r="U2233" s="317"/>
      <c r="V2233" s="317"/>
      <c r="W2233" s="317"/>
      <c r="X2233" s="317"/>
      <c r="Y2233" s="317"/>
      <c r="Z2233" s="317"/>
    </row>
    <row r="2234" spans="1:26" x14ac:dyDescent="0.25">
      <c r="A2234" s="314"/>
      <c r="B2234" s="18">
        <v>2023</v>
      </c>
      <c r="C2234" s="18" t="s">
        <v>760</v>
      </c>
      <c r="D2234" s="18" t="s">
        <v>1153</v>
      </c>
      <c r="E2234" s="18" t="s">
        <v>713</v>
      </c>
      <c r="F2234" s="18" t="s">
        <v>714</v>
      </c>
      <c r="G2234" s="18" t="s">
        <v>678</v>
      </c>
      <c r="H2234" s="18" t="s">
        <v>1154</v>
      </c>
      <c r="I2234" s="315">
        <v>36.079796652347241</v>
      </c>
      <c r="J2234" s="315">
        <v>4.7090905603759935E-4</v>
      </c>
      <c r="K2234" s="316" t="str">
        <f t="shared" si="46"/>
        <v>Agricultural Equipment</v>
      </c>
      <c r="L2234" s="316" t="str">
        <f t="shared" si="47"/>
        <v>Diesel</v>
      </c>
      <c r="M2234" s="194"/>
      <c r="N2234" s="317"/>
      <c r="O2234" s="317"/>
      <c r="P2234" s="317"/>
      <c r="Q2234" s="317"/>
      <c r="R2234" s="317"/>
      <c r="S2234" s="317"/>
      <c r="T2234" s="317"/>
      <c r="U2234" s="317"/>
      <c r="V2234" s="317"/>
      <c r="W2234" s="317"/>
      <c r="X2234" s="317"/>
      <c r="Y2234" s="317"/>
      <c r="Z2234" s="317"/>
    </row>
    <row r="2235" spans="1:26" x14ac:dyDescent="0.25">
      <c r="A2235" s="314"/>
      <c r="B2235" s="18">
        <v>2023</v>
      </c>
      <c r="C2235" s="18" t="s">
        <v>778</v>
      </c>
      <c r="D2235" s="18" t="s">
        <v>1051</v>
      </c>
      <c r="E2235" s="18" t="s">
        <v>703</v>
      </c>
      <c r="F2235" s="18" t="s">
        <v>704</v>
      </c>
      <c r="G2235" s="18" t="s">
        <v>674</v>
      </c>
      <c r="H2235" s="18" t="s">
        <v>783</v>
      </c>
      <c r="I2235" s="315">
        <v>35.890687331743209</v>
      </c>
      <c r="J2235" s="315">
        <v>2.1847958576404737E-2</v>
      </c>
      <c r="K2235" s="316" t="str">
        <f t="shared" si="46"/>
        <v>Construction and Mining Equipment</v>
      </c>
      <c r="L2235" s="316" t="str">
        <f t="shared" si="47"/>
        <v>Gasoline</v>
      </c>
      <c r="M2235" s="194"/>
      <c r="N2235" s="317"/>
      <c r="O2235" s="317"/>
      <c r="P2235" s="317"/>
      <c r="Q2235" s="317"/>
      <c r="R2235" s="317"/>
      <c r="S2235" s="317"/>
      <c r="T2235" s="317"/>
      <c r="U2235" s="317"/>
      <c r="V2235" s="317"/>
      <c r="W2235" s="317"/>
      <c r="X2235" s="317"/>
      <c r="Y2235" s="317"/>
      <c r="Z2235" s="317"/>
    </row>
    <row r="2236" spans="1:26" x14ac:dyDescent="0.25">
      <c r="A2236" s="314"/>
      <c r="B2236" s="18">
        <v>2023</v>
      </c>
      <c r="C2236" s="18" t="s">
        <v>727</v>
      </c>
      <c r="D2236" s="18" t="s">
        <v>1221</v>
      </c>
      <c r="E2236" s="18" t="s">
        <v>713</v>
      </c>
      <c r="F2236" s="18" t="s">
        <v>714</v>
      </c>
      <c r="G2236" s="18" t="s">
        <v>678</v>
      </c>
      <c r="H2236" s="18" t="s">
        <v>1222</v>
      </c>
      <c r="I2236" s="315">
        <v>35.863597880570609</v>
      </c>
      <c r="J2236" s="315">
        <v>2.3892373403951015E-4</v>
      </c>
      <c r="K2236" s="316" t="str">
        <f t="shared" si="46"/>
        <v>Agricultural Equipment</v>
      </c>
      <c r="L2236" s="316" t="str">
        <f t="shared" si="47"/>
        <v>Diesel</v>
      </c>
      <c r="M2236" s="194"/>
      <c r="N2236" s="317"/>
      <c r="O2236" s="317"/>
      <c r="P2236" s="317"/>
      <c r="Q2236" s="317"/>
      <c r="R2236" s="317"/>
      <c r="S2236" s="317"/>
      <c r="T2236" s="317"/>
      <c r="U2236" s="317"/>
      <c r="V2236" s="317"/>
      <c r="W2236" s="317"/>
      <c r="X2236" s="317"/>
      <c r="Y2236" s="317"/>
      <c r="Z2236" s="317"/>
    </row>
    <row r="2237" spans="1:26" x14ac:dyDescent="0.25">
      <c r="A2237" s="314"/>
      <c r="B2237" s="18">
        <v>2023</v>
      </c>
      <c r="C2237" s="18" t="s">
        <v>793</v>
      </c>
      <c r="D2237" s="18" t="s">
        <v>989</v>
      </c>
      <c r="E2237" s="18" t="s">
        <v>703</v>
      </c>
      <c r="F2237" s="18" t="s">
        <v>795</v>
      </c>
      <c r="G2237" s="18" t="s">
        <v>673</v>
      </c>
      <c r="H2237" s="18" t="s">
        <v>990</v>
      </c>
      <c r="I2237" s="315">
        <v>35.780168053890549</v>
      </c>
      <c r="J2237" s="315">
        <v>6.8877718674607777E-2</v>
      </c>
      <c r="K2237" s="316" t="str">
        <f t="shared" si="46"/>
        <v>Lawn and Garden Equipment</v>
      </c>
      <c r="L2237" s="316" t="str">
        <f t="shared" si="47"/>
        <v>Gasoline</v>
      </c>
      <c r="M2237" s="194"/>
      <c r="N2237" s="317"/>
      <c r="O2237" s="317"/>
      <c r="P2237" s="317"/>
      <c r="Q2237" s="317"/>
      <c r="R2237" s="317"/>
      <c r="S2237" s="317"/>
      <c r="T2237" s="317"/>
      <c r="U2237" s="317"/>
      <c r="V2237" s="317"/>
      <c r="W2237" s="317"/>
      <c r="X2237" s="317"/>
      <c r="Y2237" s="317"/>
      <c r="Z2237" s="317"/>
    </row>
    <row r="2238" spans="1:26" x14ac:dyDescent="0.25">
      <c r="A2238" s="314"/>
      <c r="B2238" s="18">
        <v>2023</v>
      </c>
      <c r="C2238" s="18" t="s">
        <v>760</v>
      </c>
      <c r="D2238" s="18" t="s">
        <v>1075</v>
      </c>
      <c r="E2238" s="18" t="s">
        <v>56</v>
      </c>
      <c r="F2238" s="18" t="s">
        <v>672</v>
      </c>
      <c r="G2238" s="18" t="s">
        <v>675</v>
      </c>
      <c r="H2238" s="18" t="s">
        <v>772</v>
      </c>
      <c r="I2238" s="315">
        <v>35.766958545049206</v>
      </c>
      <c r="J2238" s="315">
        <v>1.64777374848093E-3</v>
      </c>
      <c r="K2238" s="316" t="str">
        <f t="shared" si="46"/>
        <v>Industrial Equipment</v>
      </c>
      <c r="L2238" s="316" t="str">
        <f t="shared" si="47"/>
        <v>LPG</v>
      </c>
      <c r="M2238" s="194"/>
      <c r="N2238" s="317"/>
      <c r="O2238" s="317"/>
      <c r="P2238" s="317"/>
      <c r="Q2238" s="317"/>
      <c r="R2238" s="317"/>
      <c r="S2238" s="317"/>
      <c r="T2238" s="317"/>
      <c r="U2238" s="317"/>
      <c r="V2238" s="317"/>
      <c r="W2238" s="317"/>
      <c r="X2238" s="317"/>
      <c r="Y2238" s="317"/>
      <c r="Z2238" s="317"/>
    </row>
    <row r="2239" spans="1:26" x14ac:dyDescent="0.25">
      <c r="A2239" s="314"/>
      <c r="B2239" s="18">
        <v>2023</v>
      </c>
      <c r="C2239" s="18" t="s">
        <v>754</v>
      </c>
      <c r="D2239" s="18" t="s">
        <v>1016</v>
      </c>
      <c r="E2239" s="18" t="s">
        <v>56</v>
      </c>
      <c r="F2239" s="18" t="s">
        <v>672</v>
      </c>
      <c r="G2239" s="18" t="s">
        <v>675</v>
      </c>
      <c r="H2239" s="18" t="s">
        <v>802</v>
      </c>
      <c r="I2239" s="315">
        <v>35.716027366156979</v>
      </c>
      <c r="J2239" s="315">
        <v>1.6385772591090766E-3</v>
      </c>
      <c r="K2239" s="316" t="str">
        <f t="shared" si="46"/>
        <v>Industrial Equipment</v>
      </c>
      <c r="L2239" s="316" t="str">
        <f t="shared" si="47"/>
        <v>LPG</v>
      </c>
      <c r="M2239" s="194"/>
      <c r="N2239" s="317"/>
      <c r="O2239" s="317"/>
      <c r="P2239" s="317"/>
      <c r="Q2239" s="317"/>
      <c r="R2239" s="317"/>
      <c r="S2239" s="317"/>
      <c r="T2239" s="317"/>
      <c r="U2239" s="317"/>
      <c r="V2239" s="317"/>
      <c r="W2239" s="317"/>
      <c r="X2239" s="317"/>
      <c r="Y2239" s="317"/>
      <c r="Z2239" s="317"/>
    </row>
    <row r="2240" spans="1:26" x14ac:dyDescent="0.25">
      <c r="A2240" s="314"/>
      <c r="B2240" s="18">
        <v>2023</v>
      </c>
      <c r="C2240" s="18" t="s">
        <v>787</v>
      </c>
      <c r="D2240" s="18" t="s">
        <v>864</v>
      </c>
      <c r="E2240" s="18" t="s">
        <v>703</v>
      </c>
      <c r="F2240" s="18" t="s">
        <v>704</v>
      </c>
      <c r="G2240" s="18" t="s">
        <v>673</v>
      </c>
      <c r="H2240" s="18" t="s">
        <v>865</v>
      </c>
      <c r="I2240" s="315">
        <v>35.711761270677066</v>
      </c>
      <c r="J2240" s="315">
        <v>2.4305046079439303E-2</v>
      </c>
      <c r="K2240" s="316" t="str">
        <f t="shared" si="46"/>
        <v>Lawn and Garden Equipment</v>
      </c>
      <c r="L2240" s="316" t="str">
        <f t="shared" si="47"/>
        <v>Gasoline</v>
      </c>
      <c r="M2240" s="194"/>
      <c r="N2240" s="317"/>
      <c r="O2240" s="317"/>
      <c r="P2240" s="317"/>
      <c r="Q2240" s="317"/>
      <c r="R2240" s="317"/>
      <c r="S2240" s="317"/>
      <c r="T2240" s="317"/>
      <c r="U2240" s="317"/>
      <c r="V2240" s="317"/>
      <c r="W2240" s="317"/>
      <c r="X2240" s="317"/>
      <c r="Y2240" s="317"/>
      <c r="Z2240" s="317"/>
    </row>
    <row r="2241" spans="1:26" x14ac:dyDescent="0.25">
      <c r="A2241" s="314"/>
      <c r="B2241" s="18">
        <v>2023</v>
      </c>
      <c r="C2241" s="18" t="s">
        <v>706</v>
      </c>
      <c r="D2241" s="18" t="s">
        <v>1295</v>
      </c>
      <c r="E2241" s="18" t="s">
        <v>703</v>
      </c>
      <c r="F2241" s="18" t="s">
        <v>704</v>
      </c>
      <c r="G2241" s="18" t="s">
        <v>674</v>
      </c>
      <c r="H2241" s="18" t="s">
        <v>859</v>
      </c>
      <c r="I2241" s="315">
        <v>35.62104213918159</v>
      </c>
      <c r="J2241" s="315">
        <v>1.1508855262864087E-2</v>
      </c>
      <c r="K2241" s="316" t="str">
        <f t="shared" si="46"/>
        <v>Construction and Mining Equipment</v>
      </c>
      <c r="L2241" s="316" t="str">
        <f t="shared" si="47"/>
        <v>Gasoline</v>
      </c>
      <c r="M2241" s="194"/>
      <c r="N2241" s="317"/>
      <c r="O2241" s="317"/>
      <c r="P2241" s="317"/>
      <c r="Q2241" s="317"/>
      <c r="R2241" s="317"/>
      <c r="S2241" s="317"/>
      <c r="T2241" s="317"/>
      <c r="U2241" s="317"/>
      <c r="V2241" s="317"/>
      <c r="W2241" s="317"/>
      <c r="X2241" s="317"/>
      <c r="Y2241" s="317"/>
      <c r="Z2241" s="317"/>
    </row>
    <row r="2242" spans="1:26" x14ac:dyDescent="0.25">
      <c r="A2242" s="314"/>
      <c r="B2242" s="18">
        <v>2023</v>
      </c>
      <c r="C2242" s="18" t="s">
        <v>787</v>
      </c>
      <c r="D2242" s="18" t="s">
        <v>1006</v>
      </c>
      <c r="E2242" s="18" t="s">
        <v>703</v>
      </c>
      <c r="F2242" s="18" t="s">
        <v>805</v>
      </c>
      <c r="G2242" s="18" t="s">
        <v>674</v>
      </c>
      <c r="H2242" s="18" t="s">
        <v>967</v>
      </c>
      <c r="I2242" s="315">
        <v>35.57261917064158</v>
      </c>
      <c r="J2242" s="315">
        <v>6.3706359239524016E-2</v>
      </c>
      <c r="K2242" s="316" t="str">
        <f t="shared" si="46"/>
        <v>Construction and Mining Equipment</v>
      </c>
      <c r="L2242" s="316" t="str">
        <f t="shared" si="47"/>
        <v>Gasoline</v>
      </c>
      <c r="M2242" s="194"/>
      <c r="N2242" s="317"/>
      <c r="O2242" s="317"/>
      <c r="P2242" s="317"/>
      <c r="Q2242" s="317"/>
      <c r="R2242" s="317"/>
      <c r="S2242" s="317"/>
      <c r="T2242" s="317"/>
      <c r="U2242" s="317"/>
      <c r="V2242" s="317"/>
      <c r="W2242" s="317"/>
      <c r="X2242" s="317"/>
      <c r="Y2242" s="317"/>
      <c r="Z2242" s="317"/>
    </row>
    <row r="2243" spans="1:26" x14ac:dyDescent="0.25">
      <c r="A2243" s="314"/>
      <c r="B2243" s="18">
        <v>2023</v>
      </c>
      <c r="C2243" s="18" t="s">
        <v>750</v>
      </c>
      <c r="D2243" s="18" t="s">
        <v>998</v>
      </c>
      <c r="E2243" s="18" t="s">
        <v>703</v>
      </c>
      <c r="F2243" s="18" t="s">
        <v>704</v>
      </c>
      <c r="G2243" s="18" t="s">
        <v>674</v>
      </c>
      <c r="H2243" s="18" t="s">
        <v>999</v>
      </c>
      <c r="I2243" s="315">
        <v>35.513878167782288</v>
      </c>
      <c r="J2243" s="315">
        <v>2.3393765141247788E-2</v>
      </c>
      <c r="K2243" s="316" t="str">
        <f t="shared" si="46"/>
        <v>Construction and Mining Equipment</v>
      </c>
      <c r="L2243" s="316" t="str">
        <f t="shared" si="47"/>
        <v>Gasoline</v>
      </c>
      <c r="M2243" s="194"/>
      <c r="N2243" s="317"/>
      <c r="O2243" s="317"/>
      <c r="P2243" s="317"/>
      <c r="Q2243" s="317"/>
      <c r="R2243" s="317"/>
      <c r="S2243" s="317"/>
      <c r="T2243" s="317"/>
      <c r="U2243" s="317"/>
      <c r="V2243" s="317"/>
      <c r="W2243" s="317"/>
      <c r="X2243" s="317"/>
      <c r="Y2243" s="317"/>
      <c r="Z2243" s="317"/>
    </row>
    <row r="2244" spans="1:26" x14ac:dyDescent="0.25">
      <c r="A2244" s="314"/>
      <c r="B2244" s="18">
        <v>2023</v>
      </c>
      <c r="C2244" s="18" t="s">
        <v>786</v>
      </c>
      <c r="D2244" s="18" t="s">
        <v>878</v>
      </c>
      <c r="E2244" s="18" t="s">
        <v>703</v>
      </c>
      <c r="F2244" s="18" t="s">
        <v>704</v>
      </c>
      <c r="G2244" s="18" t="s">
        <v>673</v>
      </c>
      <c r="H2244" s="18" t="s">
        <v>879</v>
      </c>
      <c r="I2244" s="315">
        <v>35.47629248570108</v>
      </c>
      <c r="J2244" s="315">
        <v>2.3313270159630563E-2</v>
      </c>
      <c r="K2244" s="316" t="str">
        <f t="shared" si="46"/>
        <v>Lawn and Garden Equipment</v>
      </c>
      <c r="L2244" s="316" t="str">
        <f t="shared" si="47"/>
        <v>Gasoline</v>
      </c>
      <c r="M2244" s="194"/>
      <c r="N2244" s="317"/>
      <c r="O2244" s="317"/>
      <c r="P2244" s="317"/>
      <c r="Q2244" s="317"/>
      <c r="R2244" s="317"/>
      <c r="S2244" s="317"/>
      <c r="T2244" s="317"/>
      <c r="U2244" s="317"/>
      <c r="V2244" s="317"/>
      <c r="W2244" s="317"/>
      <c r="X2244" s="317"/>
      <c r="Y2244" s="317"/>
      <c r="Z2244" s="317"/>
    </row>
    <row r="2245" spans="1:26" x14ac:dyDescent="0.25">
      <c r="A2245" s="314"/>
      <c r="B2245" s="18">
        <v>2023</v>
      </c>
      <c r="C2245" s="18" t="s">
        <v>792</v>
      </c>
      <c r="D2245" s="18" t="s">
        <v>995</v>
      </c>
      <c r="E2245" s="18" t="s">
        <v>703</v>
      </c>
      <c r="F2245" s="18" t="s">
        <v>805</v>
      </c>
      <c r="G2245" s="18" t="s">
        <v>673</v>
      </c>
      <c r="H2245" s="18" t="s">
        <v>996</v>
      </c>
      <c r="I2245" s="315">
        <v>35.4048493396932</v>
      </c>
      <c r="J2245" s="315">
        <v>6.6023482447529536E-2</v>
      </c>
      <c r="K2245" s="316" t="str">
        <f t="shared" si="46"/>
        <v>Lawn and Garden Equipment</v>
      </c>
      <c r="L2245" s="316" t="str">
        <f t="shared" si="47"/>
        <v>Gasoline</v>
      </c>
      <c r="M2245" s="194"/>
      <c r="N2245" s="317"/>
      <c r="O2245" s="317"/>
      <c r="P2245" s="317"/>
      <c r="Q2245" s="317"/>
      <c r="R2245" s="317"/>
      <c r="S2245" s="317"/>
      <c r="T2245" s="317"/>
      <c r="U2245" s="317"/>
      <c r="V2245" s="317"/>
      <c r="W2245" s="317"/>
      <c r="X2245" s="317"/>
      <c r="Y2245" s="317"/>
      <c r="Z2245" s="317"/>
    </row>
    <row r="2246" spans="1:26" x14ac:dyDescent="0.25">
      <c r="A2246" s="314"/>
      <c r="B2246" s="18">
        <v>2023</v>
      </c>
      <c r="C2246" s="18" t="s">
        <v>810</v>
      </c>
      <c r="D2246" s="18" t="s">
        <v>925</v>
      </c>
      <c r="E2246" s="18" t="s">
        <v>703</v>
      </c>
      <c r="F2246" s="18" t="s">
        <v>704</v>
      </c>
      <c r="G2246" s="18" t="s">
        <v>675</v>
      </c>
      <c r="H2246" s="18" t="s">
        <v>798</v>
      </c>
      <c r="I2246" s="315">
        <v>35.391594149521019</v>
      </c>
      <c r="J2246" s="315">
        <v>2.6821354095395704E-2</v>
      </c>
      <c r="K2246" s="316" t="str">
        <f t="shared" si="46"/>
        <v>Industrial Equipment</v>
      </c>
      <c r="L2246" s="316" t="str">
        <f t="shared" si="47"/>
        <v>Gasoline</v>
      </c>
      <c r="M2246" s="194"/>
      <c r="N2246" s="317"/>
      <c r="O2246" s="317"/>
      <c r="P2246" s="317"/>
      <c r="Q2246" s="317"/>
      <c r="R2246" s="317"/>
      <c r="S2246" s="317"/>
      <c r="T2246" s="317"/>
      <c r="U2246" s="317"/>
      <c r="V2246" s="317"/>
      <c r="W2246" s="317"/>
      <c r="X2246" s="317"/>
      <c r="Y2246" s="317"/>
      <c r="Z2246" s="317"/>
    </row>
    <row r="2247" spans="1:26" x14ac:dyDescent="0.25">
      <c r="A2247" s="314"/>
      <c r="B2247" s="18">
        <v>2023</v>
      </c>
      <c r="C2247" s="18" t="s">
        <v>750</v>
      </c>
      <c r="D2247" s="18" t="s">
        <v>1000</v>
      </c>
      <c r="E2247" s="18" t="s">
        <v>703</v>
      </c>
      <c r="F2247" s="18" t="s">
        <v>704</v>
      </c>
      <c r="G2247" s="18" t="s">
        <v>674</v>
      </c>
      <c r="H2247" s="18" t="s">
        <v>850</v>
      </c>
      <c r="I2247" s="315">
        <v>35.38325380809426</v>
      </c>
      <c r="J2247" s="315">
        <v>2.1474546522072251E-2</v>
      </c>
      <c r="K2247" s="316" t="str">
        <f t="shared" si="46"/>
        <v>Construction and Mining Equipment</v>
      </c>
      <c r="L2247" s="316" t="str">
        <f t="shared" si="47"/>
        <v>Gasoline</v>
      </c>
      <c r="M2247" s="194"/>
      <c r="N2247" s="317"/>
      <c r="O2247" s="317"/>
      <c r="P2247" s="317"/>
      <c r="Q2247" s="317"/>
      <c r="R2247" s="317"/>
      <c r="S2247" s="317"/>
      <c r="T2247" s="317"/>
      <c r="U2247" s="317"/>
      <c r="V2247" s="317"/>
      <c r="W2247" s="317"/>
      <c r="X2247" s="317"/>
      <c r="Y2247" s="317"/>
      <c r="Z2247" s="317"/>
    </row>
    <row r="2248" spans="1:26" x14ac:dyDescent="0.25">
      <c r="A2248" s="314"/>
      <c r="B2248" s="18">
        <v>2023</v>
      </c>
      <c r="C2248" s="18" t="s">
        <v>727</v>
      </c>
      <c r="D2248" s="18" t="s">
        <v>1224</v>
      </c>
      <c r="E2248" s="18" t="s">
        <v>703</v>
      </c>
      <c r="F2248" s="18" t="s">
        <v>704</v>
      </c>
      <c r="G2248" s="18" t="s">
        <v>681</v>
      </c>
      <c r="H2248" s="18" t="s">
        <v>1225</v>
      </c>
      <c r="I2248" s="315">
        <v>35.303563029992659</v>
      </c>
      <c r="J2248" s="315">
        <v>2.3836168213661836E-2</v>
      </c>
      <c r="K2248" s="316" t="str">
        <f t="shared" si="46"/>
        <v>Logging Equipment</v>
      </c>
      <c r="L2248" s="316" t="str">
        <f t="shared" si="47"/>
        <v>Gasoline</v>
      </c>
      <c r="M2248" s="194"/>
      <c r="N2248" s="317"/>
      <c r="O2248" s="317"/>
      <c r="P2248" s="317"/>
      <c r="Q2248" s="317"/>
      <c r="R2248" s="317"/>
      <c r="S2248" s="317"/>
      <c r="T2248" s="317"/>
      <c r="U2248" s="317"/>
      <c r="V2248" s="317"/>
      <c r="W2248" s="317"/>
      <c r="X2248" s="317"/>
      <c r="Y2248" s="317"/>
      <c r="Z2248" s="317"/>
    </row>
    <row r="2249" spans="1:26" x14ac:dyDescent="0.25">
      <c r="A2249" s="314"/>
      <c r="B2249" s="18">
        <v>2023</v>
      </c>
      <c r="C2249" s="18" t="s">
        <v>743</v>
      </c>
      <c r="D2249" s="18" t="s">
        <v>1020</v>
      </c>
      <c r="E2249" s="18" t="s">
        <v>713</v>
      </c>
      <c r="F2249" s="18" t="s">
        <v>714</v>
      </c>
      <c r="G2249" s="18" t="s">
        <v>677</v>
      </c>
      <c r="H2249" s="18" t="s">
        <v>789</v>
      </c>
      <c r="I2249" s="315">
        <v>35.148791133008366</v>
      </c>
      <c r="J2249" s="315">
        <v>8.0889588125189742E-4</v>
      </c>
      <c r="K2249" s="316" t="str">
        <f t="shared" si="46"/>
        <v>Commercial Equipment</v>
      </c>
      <c r="L2249" s="316" t="str">
        <f t="shared" si="47"/>
        <v>Diesel</v>
      </c>
      <c r="M2249" s="194"/>
      <c r="N2249" s="317"/>
      <c r="O2249" s="317"/>
      <c r="P2249" s="317"/>
      <c r="Q2249" s="317"/>
      <c r="R2249" s="317"/>
      <c r="S2249" s="317"/>
      <c r="T2249" s="317"/>
      <c r="U2249" s="317"/>
      <c r="V2249" s="317"/>
      <c r="W2249" s="317"/>
      <c r="X2249" s="317"/>
      <c r="Y2249" s="317"/>
      <c r="Z2249" s="317"/>
    </row>
    <row r="2250" spans="1:26" x14ac:dyDescent="0.25">
      <c r="A2250" s="314"/>
      <c r="B2250" s="18">
        <v>2023</v>
      </c>
      <c r="C2250" s="18" t="s">
        <v>793</v>
      </c>
      <c r="D2250" s="18" t="s">
        <v>898</v>
      </c>
      <c r="E2250" s="18" t="s">
        <v>703</v>
      </c>
      <c r="F2250" s="18" t="s">
        <v>795</v>
      </c>
      <c r="G2250" s="18" t="s">
        <v>673</v>
      </c>
      <c r="H2250" s="18" t="s">
        <v>899</v>
      </c>
      <c r="I2250" s="315">
        <v>35.120626036985584</v>
      </c>
      <c r="J2250" s="315">
        <v>0.24011745877601476</v>
      </c>
      <c r="K2250" s="316" t="str">
        <f t="shared" si="46"/>
        <v>Lawn and Garden Equipment</v>
      </c>
      <c r="L2250" s="316" t="str">
        <f t="shared" si="47"/>
        <v>Gasoline</v>
      </c>
      <c r="M2250" s="194"/>
      <c r="N2250" s="317"/>
      <c r="O2250" s="317"/>
      <c r="P2250" s="317"/>
      <c r="Q2250" s="317"/>
      <c r="R2250" s="317"/>
      <c r="S2250" s="317"/>
      <c r="T2250" s="317"/>
      <c r="U2250" s="317"/>
      <c r="V2250" s="317"/>
      <c r="W2250" s="317"/>
      <c r="X2250" s="317"/>
      <c r="Y2250" s="317"/>
      <c r="Z2250" s="317"/>
    </row>
    <row r="2251" spans="1:26" x14ac:dyDescent="0.25">
      <c r="A2251" s="314"/>
      <c r="B2251" s="18">
        <v>2023</v>
      </c>
      <c r="C2251" s="18" t="s">
        <v>786</v>
      </c>
      <c r="D2251" s="18" t="s">
        <v>882</v>
      </c>
      <c r="E2251" s="18" t="s">
        <v>713</v>
      </c>
      <c r="F2251" s="18" t="s">
        <v>714</v>
      </c>
      <c r="G2251" s="18" t="s">
        <v>673</v>
      </c>
      <c r="H2251" s="18" t="s">
        <v>705</v>
      </c>
      <c r="I2251" s="315">
        <v>35.099764190446891</v>
      </c>
      <c r="J2251" s="315">
        <v>5.8909957034064932E-4</v>
      </c>
      <c r="K2251" s="316" t="str">
        <f t="shared" si="46"/>
        <v>Lawn and Garden Equipment</v>
      </c>
      <c r="L2251" s="316" t="str">
        <f t="shared" si="47"/>
        <v>Diesel</v>
      </c>
      <c r="M2251" s="194"/>
      <c r="N2251" s="317"/>
      <c r="O2251" s="317"/>
      <c r="P2251" s="317"/>
      <c r="Q2251" s="317"/>
      <c r="R2251" s="317"/>
      <c r="S2251" s="317"/>
      <c r="T2251" s="317"/>
      <c r="U2251" s="317"/>
      <c r="V2251" s="317"/>
      <c r="W2251" s="317"/>
      <c r="X2251" s="317"/>
      <c r="Y2251" s="317"/>
      <c r="Z2251" s="317"/>
    </row>
    <row r="2252" spans="1:26" x14ac:dyDescent="0.25">
      <c r="A2252" s="314"/>
      <c r="B2252" s="18">
        <v>2023</v>
      </c>
      <c r="C2252" s="18" t="s">
        <v>778</v>
      </c>
      <c r="D2252" s="18" t="s">
        <v>1224</v>
      </c>
      <c r="E2252" s="18" t="s">
        <v>703</v>
      </c>
      <c r="F2252" s="18" t="s">
        <v>704</v>
      </c>
      <c r="G2252" s="18" t="s">
        <v>681</v>
      </c>
      <c r="H2252" s="18" t="s">
        <v>1225</v>
      </c>
      <c r="I2252" s="315">
        <v>35.084397951396049</v>
      </c>
      <c r="J2252" s="315">
        <v>2.3744251684091756E-2</v>
      </c>
      <c r="K2252" s="316" t="str">
        <f t="shared" si="46"/>
        <v>Logging Equipment</v>
      </c>
      <c r="L2252" s="316" t="str">
        <f t="shared" si="47"/>
        <v>Gasoline</v>
      </c>
      <c r="M2252" s="194"/>
      <c r="N2252" s="317"/>
      <c r="O2252" s="317"/>
      <c r="P2252" s="317"/>
      <c r="Q2252" s="317"/>
      <c r="R2252" s="317"/>
      <c r="S2252" s="317"/>
      <c r="T2252" s="317"/>
      <c r="U2252" s="317"/>
      <c r="V2252" s="317"/>
      <c r="W2252" s="317"/>
      <c r="X2252" s="317"/>
      <c r="Y2252" s="317"/>
      <c r="Z2252" s="317"/>
    </row>
    <row r="2253" spans="1:26" x14ac:dyDescent="0.25">
      <c r="A2253" s="314"/>
      <c r="B2253" s="18">
        <v>2023</v>
      </c>
      <c r="C2253" s="18" t="s">
        <v>701</v>
      </c>
      <c r="D2253" s="18" t="s">
        <v>1153</v>
      </c>
      <c r="E2253" s="18" t="s">
        <v>713</v>
      </c>
      <c r="F2253" s="18" t="s">
        <v>714</v>
      </c>
      <c r="G2253" s="18" t="s">
        <v>678</v>
      </c>
      <c r="H2253" s="18" t="s">
        <v>1154</v>
      </c>
      <c r="I2253" s="315">
        <v>35.051152972109215</v>
      </c>
      <c r="J2253" s="315">
        <v>4.5748416375390131E-4</v>
      </c>
      <c r="K2253" s="316" t="str">
        <f t="shared" si="46"/>
        <v>Agricultural Equipment</v>
      </c>
      <c r="L2253" s="316" t="str">
        <f t="shared" si="47"/>
        <v>Diesel</v>
      </c>
      <c r="M2253" s="194"/>
      <c r="N2253" s="317"/>
      <c r="O2253" s="317"/>
      <c r="P2253" s="317"/>
      <c r="Q2253" s="317"/>
      <c r="R2253" s="317"/>
      <c r="S2253" s="317"/>
      <c r="T2253" s="317"/>
      <c r="U2253" s="317"/>
      <c r="V2253" s="317"/>
      <c r="W2253" s="317"/>
      <c r="X2253" s="317"/>
      <c r="Y2253" s="317"/>
      <c r="Z2253" s="317"/>
    </row>
    <row r="2254" spans="1:26" x14ac:dyDescent="0.25">
      <c r="A2254" s="314"/>
      <c r="B2254" s="18">
        <v>2023</v>
      </c>
      <c r="C2254" s="18" t="s">
        <v>732</v>
      </c>
      <c r="D2254" s="18" t="s">
        <v>1076</v>
      </c>
      <c r="E2254" s="18" t="s">
        <v>703</v>
      </c>
      <c r="F2254" s="18" t="s">
        <v>704</v>
      </c>
      <c r="G2254" s="18" t="s">
        <v>674</v>
      </c>
      <c r="H2254" s="18" t="s">
        <v>756</v>
      </c>
      <c r="I2254" s="315">
        <v>34.892569022104588</v>
      </c>
      <c r="J2254" s="315">
        <v>1.5376027500780673E-2</v>
      </c>
      <c r="K2254" s="316" t="str">
        <f t="shared" si="46"/>
        <v>Construction and Mining Equipment</v>
      </c>
      <c r="L2254" s="316" t="str">
        <f t="shared" si="47"/>
        <v>Gasoline</v>
      </c>
      <c r="M2254" s="194"/>
      <c r="N2254" s="317"/>
      <c r="O2254" s="317"/>
      <c r="P2254" s="317"/>
      <c r="Q2254" s="317"/>
      <c r="R2254" s="317"/>
      <c r="S2254" s="317"/>
      <c r="T2254" s="317"/>
      <c r="U2254" s="317"/>
      <c r="V2254" s="317"/>
      <c r="W2254" s="317"/>
      <c r="X2254" s="317"/>
      <c r="Y2254" s="317"/>
      <c r="Z2254" s="317"/>
    </row>
    <row r="2255" spans="1:26" x14ac:dyDescent="0.25">
      <c r="A2255" s="314"/>
      <c r="B2255" s="18">
        <v>2023</v>
      </c>
      <c r="C2255" s="18" t="s">
        <v>709</v>
      </c>
      <c r="D2255" s="18" t="s">
        <v>1292</v>
      </c>
      <c r="E2255" s="18" t="s">
        <v>703</v>
      </c>
      <c r="F2255" s="18" t="s">
        <v>795</v>
      </c>
      <c r="G2255" s="18" t="s">
        <v>675</v>
      </c>
      <c r="H2255" s="18" t="s">
        <v>1293</v>
      </c>
      <c r="I2255" s="315">
        <v>34.84376393907101</v>
      </c>
      <c r="J2255" s="315">
        <v>2.3354923557385839E-2</v>
      </c>
      <c r="K2255" s="316" t="str">
        <f t="shared" si="46"/>
        <v>Industrial Equipment</v>
      </c>
      <c r="L2255" s="316" t="str">
        <f t="shared" si="47"/>
        <v>Gasoline</v>
      </c>
      <c r="M2255" s="194"/>
      <c r="N2255" s="317"/>
      <c r="O2255" s="317"/>
      <c r="P2255" s="317"/>
      <c r="Q2255" s="317"/>
      <c r="R2255" s="317"/>
      <c r="S2255" s="317"/>
      <c r="T2255" s="317"/>
      <c r="U2255" s="317"/>
      <c r="V2255" s="317"/>
      <c r="W2255" s="317"/>
      <c r="X2255" s="317"/>
      <c r="Y2255" s="317"/>
      <c r="Z2255" s="317"/>
    </row>
    <row r="2256" spans="1:26" ht="12.75" x14ac:dyDescent="0.2">
      <c r="A2256" s="230"/>
      <c r="B2256" s="18">
        <v>2023</v>
      </c>
      <c r="C2256" s="18" t="s">
        <v>754</v>
      </c>
      <c r="D2256" s="18" t="s">
        <v>1030</v>
      </c>
      <c r="E2256" s="18" t="s">
        <v>703</v>
      </c>
      <c r="F2256" s="18" t="s">
        <v>704</v>
      </c>
      <c r="G2256" s="18" t="s">
        <v>677</v>
      </c>
      <c r="H2256" s="18" t="s">
        <v>1031</v>
      </c>
      <c r="I2256" s="315">
        <v>34.836108059767966</v>
      </c>
      <c r="J2256" s="315">
        <v>2.4290338365969371E-2</v>
      </c>
      <c r="K2256" s="316" t="str">
        <f t="shared" si="46"/>
        <v>Commercial Equipment</v>
      </c>
      <c r="L2256" s="316" t="str">
        <f t="shared" si="47"/>
        <v>Gasoline</v>
      </c>
      <c r="M2256" s="8"/>
      <c r="N2256" s="2"/>
      <c r="O2256" s="2"/>
      <c r="P2256" s="2"/>
      <c r="Q2256" s="2"/>
      <c r="R2256" s="2"/>
      <c r="S2256" s="2"/>
      <c r="T2256" s="2"/>
      <c r="U2256" s="2"/>
      <c r="V2256" s="2"/>
      <c r="W2256" s="2"/>
      <c r="X2256" s="2"/>
      <c r="Y2256" s="2"/>
      <c r="Z2256" s="2"/>
    </row>
    <row r="2257" spans="1:26" ht="12.75" x14ac:dyDescent="0.2">
      <c r="A2257" s="230"/>
      <c r="B2257" s="18">
        <v>2023</v>
      </c>
      <c r="C2257" s="18" t="s">
        <v>709</v>
      </c>
      <c r="D2257" s="18" t="s">
        <v>1227</v>
      </c>
      <c r="E2257" s="18" t="s">
        <v>56</v>
      </c>
      <c r="F2257" s="18" t="s">
        <v>672</v>
      </c>
      <c r="G2257" s="18" t="s">
        <v>674</v>
      </c>
      <c r="H2257" s="18" t="s">
        <v>850</v>
      </c>
      <c r="I2257" s="315">
        <v>34.620994582371395</v>
      </c>
      <c r="J2257" s="315">
        <v>2.22322666555655E-3</v>
      </c>
      <c r="K2257" s="316" t="str">
        <f t="shared" si="46"/>
        <v>Construction and Mining Equipment</v>
      </c>
      <c r="L2257" s="316" t="str">
        <f t="shared" si="47"/>
        <v>LPG</v>
      </c>
      <c r="M2257" s="8"/>
      <c r="N2257" s="2"/>
      <c r="O2257" s="2"/>
      <c r="P2257" s="2"/>
      <c r="Q2257" s="2"/>
      <c r="R2257" s="2"/>
      <c r="S2257" s="2"/>
      <c r="T2257" s="2"/>
      <c r="U2257" s="2"/>
      <c r="V2257" s="2"/>
      <c r="W2257" s="2"/>
      <c r="X2257" s="2"/>
      <c r="Y2257" s="2"/>
      <c r="Z2257" s="2"/>
    </row>
    <row r="2258" spans="1:26" ht="12.75" x14ac:dyDescent="0.2">
      <c r="A2258" s="230"/>
      <c r="B2258" s="18">
        <v>2023</v>
      </c>
      <c r="C2258" s="18" t="s">
        <v>760</v>
      </c>
      <c r="D2258" s="18" t="s">
        <v>1077</v>
      </c>
      <c r="E2258" s="18" t="s">
        <v>713</v>
      </c>
      <c r="F2258" s="18" t="s">
        <v>714</v>
      </c>
      <c r="G2258" s="18" t="s">
        <v>675</v>
      </c>
      <c r="H2258" s="18" t="s">
        <v>1078</v>
      </c>
      <c r="I2258" s="315">
        <v>34.58252329757002</v>
      </c>
      <c r="J2258" s="315">
        <v>8.7698672974786496E-4</v>
      </c>
      <c r="K2258" s="316" t="str">
        <f t="shared" si="46"/>
        <v>Industrial Equipment</v>
      </c>
      <c r="L2258" s="316" t="str">
        <f t="shared" si="47"/>
        <v>Diesel</v>
      </c>
      <c r="M2258" s="8"/>
      <c r="N2258" s="2"/>
      <c r="O2258" s="2"/>
      <c r="P2258" s="2"/>
      <c r="Q2258" s="2"/>
      <c r="R2258" s="2"/>
      <c r="S2258" s="2"/>
      <c r="T2258" s="2"/>
      <c r="U2258" s="2"/>
      <c r="V2258" s="2"/>
      <c r="W2258" s="2"/>
      <c r="X2258" s="2"/>
      <c r="Y2258" s="2"/>
      <c r="Z2258" s="2"/>
    </row>
    <row r="2259" spans="1:26" ht="12.75" x14ac:dyDescent="0.2">
      <c r="A2259" s="230"/>
      <c r="B2259" s="18">
        <v>2023</v>
      </c>
      <c r="C2259" s="18" t="s">
        <v>792</v>
      </c>
      <c r="D2259" s="18" t="s">
        <v>794</v>
      </c>
      <c r="E2259" s="18" t="s">
        <v>703</v>
      </c>
      <c r="F2259" s="18" t="s">
        <v>795</v>
      </c>
      <c r="G2259" s="18" t="s">
        <v>673</v>
      </c>
      <c r="H2259" s="18" t="s">
        <v>796</v>
      </c>
      <c r="I2259" s="315">
        <v>34.545450639138835</v>
      </c>
      <c r="J2259" s="315">
        <v>6.310784234530642E-2</v>
      </c>
      <c r="K2259" s="316" t="str">
        <f t="shared" si="46"/>
        <v>Lawn and Garden Equipment</v>
      </c>
      <c r="L2259" s="316" t="str">
        <f t="shared" si="47"/>
        <v>Gasoline</v>
      </c>
      <c r="M2259" s="8"/>
      <c r="N2259" s="2"/>
      <c r="O2259" s="2"/>
      <c r="P2259" s="2"/>
      <c r="Q2259" s="2"/>
      <c r="R2259" s="2"/>
      <c r="S2259" s="2"/>
      <c r="T2259" s="2"/>
      <c r="U2259" s="2"/>
      <c r="V2259" s="2"/>
      <c r="W2259" s="2"/>
      <c r="X2259" s="2"/>
      <c r="Y2259" s="2"/>
      <c r="Z2259" s="2"/>
    </row>
    <row r="2260" spans="1:26" ht="12.75" x14ac:dyDescent="0.2">
      <c r="A2260" s="230"/>
      <c r="B2260" s="18">
        <v>2023</v>
      </c>
      <c r="C2260" s="18" t="s">
        <v>781</v>
      </c>
      <c r="D2260" s="18" t="s">
        <v>849</v>
      </c>
      <c r="E2260" s="18" t="s">
        <v>713</v>
      </c>
      <c r="F2260" s="18" t="s">
        <v>714</v>
      </c>
      <c r="G2260" s="18" t="s">
        <v>674</v>
      </c>
      <c r="H2260" s="18" t="s">
        <v>850</v>
      </c>
      <c r="I2260" s="315">
        <v>34.395219351904004</v>
      </c>
      <c r="J2260" s="315">
        <v>4.805206722324924E-4</v>
      </c>
      <c r="K2260" s="316" t="str">
        <f t="shared" si="46"/>
        <v>Construction and Mining Equipment</v>
      </c>
      <c r="L2260" s="316" t="str">
        <f t="shared" si="47"/>
        <v>Diesel</v>
      </c>
      <c r="M2260" s="8"/>
      <c r="N2260" s="2"/>
      <c r="O2260" s="2"/>
      <c r="P2260" s="2"/>
      <c r="Q2260" s="2"/>
      <c r="R2260" s="2"/>
      <c r="S2260" s="2"/>
      <c r="T2260" s="2"/>
      <c r="U2260" s="2"/>
      <c r="V2260" s="2"/>
      <c r="W2260" s="2"/>
      <c r="X2260" s="2"/>
      <c r="Y2260" s="2"/>
      <c r="Z2260" s="2"/>
    </row>
    <row r="2261" spans="1:26" ht="12.75" x14ac:dyDescent="0.2">
      <c r="A2261" s="230"/>
      <c r="B2261" s="18">
        <v>2023</v>
      </c>
      <c r="C2261" s="18" t="s">
        <v>773</v>
      </c>
      <c r="D2261" s="18" t="s">
        <v>927</v>
      </c>
      <c r="E2261" s="18" t="s">
        <v>56</v>
      </c>
      <c r="F2261" s="18" t="s">
        <v>672</v>
      </c>
      <c r="G2261" s="18" t="s">
        <v>673</v>
      </c>
      <c r="H2261" s="18" t="s">
        <v>742</v>
      </c>
      <c r="I2261" s="315">
        <v>34.226937819217987</v>
      </c>
      <c r="J2261" s="315">
        <v>1.5549209219428884E-3</v>
      </c>
      <c r="K2261" s="316" t="str">
        <f t="shared" si="46"/>
        <v>Lawn and Garden Equipment</v>
      </c>
      <c r="L2261" s="316" t="str">
        <f t="shared" si="47"/>
        <v>LPG</v>
      </c>
      <c r="M2261" s="8"/>
      <c r="N2261" s="2"/>
      <c r="O2261" s="2"/>
      <c r="P2261" s="2"/>
      <c r="Q2261" s="2"/>
      <c r="R2261" s="2"/>
      <c r="S2261" s="2"/>
      <c r="T2261" s="2"/>
      <c r="U2261" s="2"/>
      <c r="V2261" s="2"/>
      <c r="W2261" s="2"/>
      <c r="X2261" s="2"/>
      <c r="Y2261" s="2"/>
      <c r="Z2261" s="2"/>
    </row>
    <row r="2262" spans="1:26" ht="12.75" x14ac:dyDescent="0.2">
      <c r="A2262" s="230"/>
      <c r="B2262" s="18">
        <v>2023</v>
      </c>
      <c r="C2262" s="18" t="s">
        <v>754</v>
      </c>
      <c r="D2262" s="18" t="s">
        <v>1034</v>
      </c>
      <c r="E2262" s="18" t="s">
        <v>713</v>
      </c>
      <c r="F2262" s="18" t="s">
        <v>714</v>
      </c>
      <c r="G2262" s="18" t="s">
        <v>677</v>
      </c>
      <c r="H2262" s="18" t="s">
        <v>1031</v>
      </c>
      <c r="I2262" s="315">
        <v>34.184843005695285</v>
      </c>
      <c r="J2262" s="315">
        <v>5.9405998304990068E-4</v>
      </c>
      <c r="K2262" s="316" t="str">
        <f t="shared" si="46"/>
        <v>Commercial Equipment</v>
      </c>
      <c r="L2262" s="316" t="str">
        <f t="shared" si="47"/>
        <v>Diesel</v>
      </c>
      <c r="M2262" s="8"/>
      <c r="N2262" s="2"/>
      <c r="O2262" s="2"/>
      <c r="P2262" s="2"/>
      <c r="Q2262" s="2"/>
      <c r="R2262" s="2"/>
      <c r="S2262" s="2"/>
      <c r="T2262" s="2"/>
      <c r="U2262" s="2"/>
      <c r="V2262" s="2"/>
      <c r="W2262" s="2"/>
      <c r="X2262" s="2"/>
      <c r="Y2262" s="2"/>
      <c r="Z2262" s="2"/>
    </row>
    <row r="2263" spans="1:26" ht="12.75" x14ac:dyDescent="0.2">
      <c r="A2263" s="230"/>
      <c r="B2263" s="18">
        <v>2023</v>
      </c>
      <c r="C2263" s="18" t="s">
        <v>781</v>
      </c>
      <c r="D2263" s="18" t="s">
        <v>1229</v>
      </c>
      <c r="E2263" s="18" t="s">
        <v>713</v>
      </c>
      <c r="F2263" s="18" t="s">
        <v>714</v>
      </c>
      <c r="G2263" s="18" t="s">
        <v>678</v>
      </c>
      <c r="H2263" s="18" t="s">
        <v>1230</v>
      </c>
      <c r="I2263" s="315">
        <v>34.147745289058349</v>
      </c>
      <c r="J2263" s="315">
        <v>2.5748237493413697E-4</v>
      </c>
      <c r="K2263" s="316" t="str">
        <f t="shared" si="46"/>
        <v>Agricultural Equipment</v>
      </c>
      <c r="L2263" s="316" t="str">
        <f t="shared" si="47"/>
        <v>Diesel</v>
      </c>
      <c r="M2263" s="8"/>
      <c r="N2263" s="2"/>
      <c r="O2263" s="2"/>
      <c r="P2263" s="2"/>
      <c r="Q2263" s="2"/>
      <c r="R2263" s="2"/>
      <c r="S2263" s="2"/>
      <c r="T2263" s="2"/>
      <c r="U2263" s="2"/>
      <c r="V2263" s="2"/>
      <c r="W2263" s="2"/>
      <c r="X2263" s="2"/>
      <c r="Y2263" s="2"/>
      <c r="Z2263" s="2"/>
    </row>
    <row r="2264" spans="1:26" ht="12.75" x14ac:dyDescent="0.2">
      <c r="A2264" s="230"/>
      <c r="B2264" s="18">
        <v>2023</v>
      </c>
      <c r="C2264" s="18" t="s">
        <v>781</v>
      </c>
      <c r="D2264" s="18" t="s">
        <v>880</v>
      </c>
      <c r="E2264" s="18" t="s">
        <v>703</v>
      </c>
      <c r="F2264" s="18" t="s">
        <v>704</v>
      </c>
      <c r="G2264" s="18" t="s">
        <v>677</v>
      </c>
      <c r="H2264" s="18" t="s">
        <v>785</v>
      </c>
      <c r="I2264" s="315">
        <v>34.147109072431043</v>
      </c>
      <c r="J2264" s="315">
        <v>1.9624250375535016E-2</v>
      </c>
      <c r="K2264" s="316" t="str">
        <f t="shared" si="46"/>
        <v>Commercial Equipment</v>
      </c>
      <c r="L2264" s="316" t="str">
        <f t="shared" si="47"/>
        <v>Gasoline</v>
      </c>
      <c r="M2264" s="8"/>
      <c r="N2264" s="2"/>
      <c r="O2264" s="2"/>
      <c r="P2264" s="2"/>
      <c r="Q2264" s="2"/>
      <c r="R2264" s="2"/>
      <c r="S2264" s="2"/>
      <c r="T2264" s="2"/>
      <c r="U2264" s="2"/>
      <c r="V2264" s="2"/>
      <c r="W2264" s="2"/>
      <c r="X2264" s="2"/>
      <c r="Y2264" s="2"/>
      <c r="Z2264" s="2"/>
    </row>
    <row r="2265" spans="1:26" ht="12.75" x14ac:dyDescent="0.2">
      <c r="A2265" s="230"/>
      <c r="B2265" s="18">
        <v>2023</v>
      </c>
      <c r="C2265" s="18" t="s">
        <v>760</v>
      </c>
      <c r="D2265" s="18" t="s">
        <v>1009</v>
      </c>
      <c r="E2265" s="18" t="s">
        <v>713</v>
      </c>
      <c r="F2265" s="18" t="s">
        <v>714</v>
      </c>
      <c r="G2265" s="18" t="s">
        <v>673</v>
      </c>
      <c r="H2265" s="18" t="s">
        <v>1010</v>
      </c>
      <c r="I2265" s="315">
        <v>34.098069154029204</v>
      </c>
      <c r="J2265" s="315">
        <v>4.9760956364214423E-4</v>
      </c>
      <c r="K2265" s="316" t="str">
        <f t="shared" si="46"/>
        <v>Lawn and Garden Equipment</v>
      </c>
      <c r="L2265" s="316" t="str">
        <f t="shared" si="47"/>
        <v>Diesel</v>
      </c>
      <c r="M2265" s="8"/>
      <c r="N2265" s="2"/>
      <c r="O2265" s="2"/>
      <c r="P2265" s="2"/>
      <c r="Q2265" s="2"/>
      <c r="R2265" s="2"/>
      <c r="S2265" s="2"/>
      <c r="T2265" s="2"/>
      <c r="U2265" s="2"/>
      <c r="V2265" s="2"/>
      <c r="W2265" s="2"/>
      <c r="X2265" s="2"/>
      <c r="Y2265" s="2"/>
      <c r="Z2265" s="2"/>
    </row>
    <row r="2266" spans="1:26" ht="12.75" x14ac:dyDescent="0.2">
      <c r="A2266" s="230"/>
      <c r="B2266" s="18">
        <v>2023</v>
      </c>
      <c r="C2266" s="18" t="s">
        <v>722</v>
      </c>
      <c r="D2266" s="18" t="s">
        <v>1071</v>
      </c>
      <c r="E2266" s="18" t="s">
        <v>713</v>
      </c>
      <c r="F2266" s="18" t="s">
        <v>714</v>
      </c>
      <c r="G2266" s="18" t="s">
        <v>674</v>
      </c>
      <c r="H2266" s="18" t="s">
        <v>1072</v>
      </c>
      <c r="I2266" s="315">
        <v>34.025545750471949</v>
      </c>
      <c r="J2266" s="315">
        <v>4.5557932311017491E-4</v>
      </c>
      <c r="K2266" s="316" t="str">
        <f t="shared" si="46"/>
        <v>Construction and Mining Equipment</v>
      </c>
      <c r="L2266" s="316" t="str">
        <f t="shared" si="47"/>
        <v>Diesel</v>
      </c>
      <c r="M2266" s="8"/>
      <c r="N2266" s="2"/>
      <c r="O2266" s="2"/>
      <c r="P2266" s="2"/>
      <c r="Q2266" s="2"/>
      <c r="R2266" s="2"/>
      <c r="S2266" s="2"/>
      <c r="T2266" s="2"/>
      <c r="U2266" s="2"/>
      <c r="V2266" s="2"/>
      <c r="W2266" s="2"/>
      <c r="X2266" s="2"/>
      <c r="Y2266" s="2"/>
      <c r="Z2266" s="2"/>
    </row>
    <row r="2267" spans="1:26" ht="12.75" x14ac:dyDescent="0.2">
      <c r="A2267" s="230"/>
      <c r="B2267" s="18">
        <v>2023</v>
      </c>
      <c r="C2267" s="18" t="s">
        <v>786</v>
      </c>
      <c r="D2267" s="18" t="s">
        <v>1229</v>
      </c>
      <c r="E2267" s="18" t="s">
        <v>713</v>
      </c>
      <c r="F2267" s="18" t="s">
        <v>714</v>
      </c>
      <c r="G2267" s="18" t="s">
        <v>678</v>
      </c>
      <c r="H2267" s="18" t="s">
        <v>1230</v>
      </c>
      <c r="I2267" s="315">
        <v>33.794141202369993</v>
      </c>
      <c r="J2267" s="315">
        <v>2.5481639240530659E-4</v>
      </c>
      <c r="K2267" s="316" t="str">
        <f t="shared" si="46"/>
        <v>Agricultural Equipment</v>
      </c>
      <c r="L2267" s="316" t="str">
        <f t="shared" si="47"/>
        <v>Diesel</v>
      </c>
      <c r="M2267" s="8"/>
      <c r="N2267" s="2"/>
      <c r="O2267" s="2"/>
      <c r="P2267" s="2"/>
      <c r="Q2267" s="2"/>
      <c r="R2267" s="2"/>
      <c r="S2267" s="2"/>
      <c r="T2267" s="2"/>
      <c r="U2267" s="2"/>
      <c r="V2267" s="2"/>
      <c r="W2267" s="2"/>
      <c r="X2267" s="2"/>
      <c r="Y2267" s="2"/>
      <c r="Z2267" s="2"/>
    </row>
    <row r="2268" spans="1:26" ht="12.75" x14ac:dyDescent="0.2">
      <c r="A2268" s="230"/>
      <c r="B2268" s="18">
        <v>2023</v>
      </c>
      <c r="C2268" s="18" t="s">
        <v>787</v>
      </c>
      <c r="D2268" s="18" t="s">
        <v>867</v>
      </c>
      <c r="E2268" s="18" t="s">
        <v>713</v>
      </c>
      <c r="F2268" s="18" t="s">
        <v>714</v>
      </c>
      <c r="G2268" s="18" t="s">
        <v>673</v>
      </c>
      <c r="H2268" s="18" t="s">
        <v>724</v>
      </c>
      <c r="I2268" s="315">
        <v>33.690809884510124</v>
      </c>
      <c r="J2268" s="315">
        <v>1.733850513104076E-3</v>
      </c>
      <c r="K2268" s="316" t="str">
        <f t="shared" si="46"/>
        <v>Lawn and Garden Equipment</v>
      </c>
      <c r="L2268" s="316" t="str">
        <f t="shared" si="47"/>
        <v>Diesel</v>
      </c>
      <c r="M2268" s="8"/>
      <c r="N2268" s="2"/>
      <c r="O2268" s="2"/>
      <c r="P2268" s="2"/>
      <c r="Q2268" s="2"/>
      <c r="R2268" s="2"/>
      <c r="S2268" s="2"/>
      <c r="T2268" s="2"/>
      <c r="U2268" s="2"/>
      <c r="V2268" s="2"/>
      <c r="W2268" s="2"/>
      <c r="X2268" s="2"/>
      <c r="Y2268" s="2"/>
      <c r="Z2268" s="2"/>
    </row>
    <row r="2269" spans="1:26" ht="12.75" x14ac:dyDescent="0.2">
      <c r="A2269" s="230"/>
      <c r="B2269" s="18">
        <v>2023</v>
      </c>
      <c r="C2269" s="18" t="s">
        <v>754</v>
      </c>
      <c r="D2269" s="18" t="s">
        <v>1037</v>
      </c>
      <c r="E2269" s="18" t="s">
        <v>56</v>
      </c>
      <c r="F2269" s="18" t="s">
        <v>672</v>
      </c>
      <c r="G2269" s="18" t="s">
        <v>677</v>
      </c>
      <c r="H2269" s="18" t="s">
        <v>841</v>
      </c>
      <c r="I2269" s="315">
        <v>33.625711490624823</v>
      </c>
      <c r="J2269" s="315">
        <v>3.4038378823667342E-3</v>
      </c>
      <c r="K2269" s="316" t="str">
        <f t="shared" si="46"/>
        <v>Commercial Equipment</v>
      </c>
      <c r="L2269" s="316" t="str">
        <f t="shared" si="47"/>
        <v>LPG</v>
      </c>
      <c r="M2269" s="8"/>
      <c r="N2269" s="2"/>
      <c r="O2269" s="2"/>
      <c r="P2269" s="2"/>
      <c r="Q2269" s="2"/>
      <c r="R2269" s="2"/>
      <c r="S2269" s="2"/>
      <c r="T2269" s="2"/>
      <c r="U2269" s="2"/>
      <c r="V2269" s="2"/>
      <c r="W2269" s="2"/>
      <c r="X2269" s="2"/>
      <c r="Y2269" s="2"/>
      <c r="Z2269" s="2"/>
    </row>
    <row r="2270" spans="1:26" ht="12.75" x14ac:dyDescent="0.2">
      <c r="A2270" s="230"/>
      <c r="B2270" s="18">
        <v>2023</v>
      </c>
      <c r="C2270" s="18" t="s">
        <v>701</v>
      </c>
      <c r="D2270" s="18" t="s">
        <v>1317</v>
      </c>
      <c r="E2270" s="18" t="s">
        <v>713</v>
      </c>
      <c r="F2270" s="18" t="s">
        <v>714</v>
      </c>
      <c r="G2270" s="18" t="s">
        <v>673</v>
      </c>
      <c r="H2270" s="18" t="s">
        <v>865</v>
      </c>
      <c r="I2270" s="315">
        <v>33.612056711525973</v>
      </c>
      <c r="J2270" s="315">
        <v>1.0615741587696828E-3</v>
      </c>
      <c r="K2270" s="316" t="str">
        <f t="shared" si="46"/>
        <v>Lawn and Garden Equipment</v>
      </c>
      <c r="L2270" s="316" t="str">
        <f t="shared" si="47"/>
        <v>Diesel</v>
      </c>
      <c r="M2270" s="8"/>
      <c r="N2270" s="2"/>
      <c r="O2270" s="2"/>
      <c r="P2270" s="2"/>
      <c r="Q2270" s="2"/>
      <c r="R2270" s="2"/>
      <c r="S2270" s="2"/>
      <c r="T2270" s="2"/>
      <c r="U2270" s="2"/>
      <c r="V2270" s="2"/>
      <c r="W2270" s="2"/>
      <c r="X2270" s="2"/>
      <c r="Y2270" s="2"/>
      <c r="Z2270" s="2"/>
    </row>
    <row r="2271" spans="1:26" ht="12.75" x14ac:dyDescent="0.2">
      <c r="A2271" s="230"/>
      <c r="B2271" s="18">
        <v>2023</v>
      </c>
      <c r="C2271" s="18" t="s">
        <v>753</v>
      </c>
      <c r="D2271" s="18" t="s">
        <v>1221</v>
      </c>
      <c r="E2271" s="18" t="s">
        <v>713</v>
      </c>
      <c r="F2271" s="18" t="s">
        <v>714</v>
      </c>
      <c r="G2271" s="18" t="s">
        <v>678</v>
      </c>
      <c r="H2271" s="18" t="s">
        <v>1222</v>
      </c>
      <c r="I2271" s="315">
        <v>33.605628373203508</v>
      </c>
      <c r="J2271" s="315">
        <v>2.2388120525228803E-4</v>
      </c>
      <c r="K2271" s="316" t="str">
        <f t="shared" si="46"/>
        <v>Agricultural Equipment</v>
      </c>
      <c r="L2271" s="316" t="str">
        <f t="shared" si="47"/>
        <v>Diesel</v>
      </c>
      <c r="M2271" s="8"/>
      <c r="N2271" s="2"/>
      <c r="O2271" s="2"/>
      <c r="P2271" s="2"/>
      <c r="Q2271" s="2"/>
      <c r="R2271" s="2"/>
      <c r="S2271" s="2"/>
      <c r="T2271" s="2"/>
      <c r="U2271" s="2"/>
      <c r="V2271" s="2"/>
      <c r="W2271" s="2"/>
      <c r="X2271" s="2"/>
      <c r="Y2271" s="2"/>
      <c r="Z2271" s="2"/>
    </row>
    <row r="2272" spans="1:26" ht="12.75" x14ac:dyDescent="0.2">
      <c r="A2272" s="230"/>
      <c r="B2272" s="18">
        <v>2023</v>
      </c>
      <c r="C2272" s="18" t="s">
        <v>709</v>
      </c>
      <c r="D2272" s="18" t="s">
        <v>1212</v>
      </c>
      <c r="E2272" s="18" t="s">
        <v>56</v>
      </c>
      <c r="F2272" s="18" t="s">
        <v>672</v>
      </c>
      <c r="G2272" s="18" t="s">
        <v>675</v>
      </c>
      <c r="H2272" s="18" t="s">
        <v>798</v>
      </c>
      <c r="I2272" s="315">
        <v>33.579373806589551</v>
      </c>
      <c r="J2272" s="315">
        <v>1.5172415391385015E-3</v>
      </c>
      <c r="K2272" s="316" t="str">
        <f t="shared" si="46"/>
        <v>Industrial Equipment</v>
      </c>
      <c r="L2272" s="316" t="str">
        <f t="shared" si="47"/>
        <v>LPG</v>
      </c>
      <c r="M2272" s="8"/>
      <c r="N2272" s="2"/>
      <c r="O2272" s="2"/>
      <c r="P2272" s="2"/>
      <c r="Q2272" s="2"/>
      <c r="R2272" s="2"/>
      <c r="S2272" s="2"/>
      <c r="T2272" s="2"/>
      <c r="U2272" s="2"/>
      <c r="V2272" s="2"/>
      <c r="W2272" s="2"/>
      <c r="X2272" s="2"/>
      <c r="Y2272" s="2"/>
      <c r="Z2272" s="2"/>
    </row>
    <row r="2273" spans="1:26" ht="12.75" x14ac:dyDescent="0.2">
      <c r="A2273" s="230"/>
      <c r="B2273" s="18">
        <v>2023</v>
      </c>
      <c r="C2273" s="18" t="s">
        <v>731</v>
      </c>
      <c r="D2273" s="18" t="s">
        <v>964</v>
      </c>
      <c r="E2273" s="18" t="s">
        <v>56</v>
      </c>
      <c r="F2273" s="18" t="s">
        <v>601</v>
      </c>
      <c r="G2273" s="18" t="s">
        <v>677</v>
      </c>
      <c r="H2273" s="18" t="s">
        <v>965</v>
      </c>
      <c r="I2273" s="315">
        <v>33.525235013736015</v>
      </c>
      <c r="J2273" s="315">
        <v>0.1602043411055557</v>
      </c>
      <c r="K2273" s="316" t="str">
        <f t="shared" si="46"/>
        <v>Commercial Equipment</v>
      </c>
      <c r="L2273" s="316" t="str">
        <f t="shared" si="47"/>
        <v>CNG</v>
      </c>
      <c r="M2273" s="8"/>
      <c r="N2273" s="2"/>
      <c r="O2273" s="2"/>
      <c r="P2273" s="2"/>
      <c r="Q2273" s="2"/>
      <c r="R2273" s="2"/>
      <c r="S2273" s="2"/>
      <c r="T2273" s="2"/>
      <c r="U2273" s="2"/>
      <c r="V2273" s="2"/>
      <c r="W2273" s="2"/>
      <c r="X2273" s="2"/>
      <c r="Y2273" s="2"/>
      <c r="Z2273" s="2"/>
    </row>
    <row r="2274" spans="1:26" ht="12.75" x14ac:dyDescent="0.2">
      <c r="A2274" s="230"/>
      <c r="B2274" s="18">
        <v>2023</v>
      </c>
      <c r="C2274" s="18" t="s">
        <v>793</v>
      </c>
      <c r="D2274" s="18" t="s">
        <v>936</v>
      </c>
      <c r="E2274" s="18" t="s">
        <v>56</v>
      </c>
      <c r="F2274" s="18" t="s">
        <v>672</v>
      </c>
      <c r="G2274" s="18" t="s">
        <v>677</v>
      </c>
      <c r="H2274" s="18" t="s">
        <v>747</v>
      </c>
      <c r="I2274" s="315">
        <v>33.50578754671568</v>
      </c>
      <c r="J2274" s="315">
        <v>7.7242962703800815E-3</v>
      </c>
      <c r="K2274" s="316" t="str">
        <f t="shared" si="46"/>
        <v>Commercial Equipment</v>
      </c>
      <c r="L2274" s="316" t="str">
        <f t="shared" si="47"/>
        <v>LPG</v>
      </c>
      <c r="M2274" s="8"/>
      <c r="N2274" s="2"/>
      <c r="O2274" s="2"/>
      <c r="P2274" s="2"/>
      <c r="Q2274" s="2"/>
      <c r="R2274" s="2"/>
      <c r="S2274" s="2"/>
      <c r="T2274" s="2"/>
      <c r="U2274" s="2"/>
      <c r="V2274" s="2"/>
      <c r="W2274" s="2"/>
      <c r="X2274" s="2"/>
      <c r="Y2274" s="2"/>
      <c r="Z2274" s="2"/>
    </row>
    <row r="2275" spans="1:26" ht="12.75" x14ac:dyDescent="0.2">
      <c r="A2275" s="230"/>
      <c r="B2275" s="18">
        <v>2023</v>
      </c>
      <c r="C2275" s="18" t="s">
        <v>731</v>
      </c>
      <c r="D2275" s="18" t="s">
        <v>1221</v>
      </c>
      <c r="E2275" s="18" t="s">
        <v>713</v>
      </c>
      <c r="F2275" s="18" t="s">
        <v>714</v>
      </c>
      <c r="G2275" s="18" t="s">
        <v>678</v>
      </c>
      <c r="H2275" s="18" t="s">
        <v>1222</v>
      </c>
      <c r="I2275" s="315">
        <v>33.334142974173524</v>
      </c>
      <c r="J2275" s="315">
        <v>2.220724156566626E-4</v>
      </c>
      <c r="K2275" s="316" t="str">
        <f t="shared" si="46"/>
        <v>Agricultural Equipment</v>
      </c>
      <c r="L2275" s="316" t="str">
        <f t="shared" si="47"/>
        <v>Diesel</v>
      </c>
      <c r="M2275" s="8"/>
      <c r="N2275" s="2"/>
      <c r="O2275" s="2"/>
      <c r="P2275" s="2"/>
      <c r="Q2275" s="2"/>
      <c r="R2275" s="2"/>
      <c r="S2275" s="2"/>
      <c r="T2275" s="2"/>
      <c r="U2275" s="2"/>
      <c r="V2275" s="2"/>
      <c r="W2275" s="2"/>
      <c r="X2275" s="2"/>
      <c r="Y2275" s="2"/>
      <c r="Z2275" s="2"/>
    </row>
    <row r="2276" spans="1:26" ht="12.75" x14ac:dyDescent="0.2">
      <c r="A2276" s="230"/>
      <c r="B2276" s="18">
        <v>2023</v>
      </c>
      <c r="C2276" s="18" t="s">
        <v>750</v>
      </c>
      <c r="D2276" s="18" t="s">
        <v>1006</v>
      </c>
      <c r="E2276" s="18" t="s">
        <v>703</v>
      </c>
      <c r="F2276" s="18" t="s">
        <v>805</v>
      </c>
      <c r="G2276" s="18" t="s">
        <v>674</v>
      </c>
      <c r="H2276" s="18" t="s">
        <v>967</v>
      </c>
      <c r="I2276" s="315">
        <v>33.257317814719578</v>
      </c>
      <c r="J2276" s="315">
        <v>5.9559883181756194E-2</v>
      </c>
      <c r="K2276" s="316" t="str">
        <f t="shared" si="46"/>
        <v>Construction and Mining Equipment</v>
      </c>
      <c r="L2276" s="316" t="str">
        <f t="shared" si="47"/>
        <v>Gasoline</v>
      </c>
      <c r="M2276" s="8"/>
      <c r="N2276" s="2"/>
      <c r="O2276" s="2"/>
      <c r="P2276" s="2"/>
      <c r="Q2276" s="2"/>
      <c r="R2276" s="2"/>
      <c r="S2276" s="2"/>
      <c r="T2276" s="2"/>
      <c r="U2276" s="2"/>
      <c r="V2276" s="2"/>
      <c r="W2276" s="2"/>
      <c r="X2276" s="2"/>
      <c r="Y2276" s="2"/>
      <c r="Z2276" s="2"/>
    </row>
    <row r="2277" spans="1:26" ht="12.75" x14ac:dyDescent="0.2">
      <c r="A2277" s="230"/>
      <c r="B2277" s="18">
        <v>2023</v>
      </c>
      <c r="C2277" s="18" t="s">
        <v>711</v>
      </c>
      <c r="D2277" s="18" t="s">
        <v>1213</v>
      </c>
      <c r="E2277" s="18" t="s">
        <v>56</v>
      </c>
      <c r="F2277" s="18" t="s">
        <v>672</v>
      </c>
      <c r="G2277" s="18" t="s">
        <v>674</v>
      </c>
      <c r="H2277" s="18" t="s">
        <v>715</v>
      </c>
      <c r="I2277" s="315">
        <v>33.182438082946312</v>
      </c>
      <c r="J2277" s="315">
        <v>1.5069254219376271E-3</v>
      </c>
      <c r="K2277" s="316" t="str">
        <f t="shared" si="46"/>
        <v>Construction and Mining Equipment</v>
      </c>
      <c r="L2277" s="316" t="str">
        <f t="shared" si="47"/>
        <v>LPG</v>
      </c>
      <c r="M2277" s="8"/>
      <c r="N2277" s="2"/>
      <c r="O2277" s="2"/>
      <c r="P2277" s="2"/>
      <c r="Q2277" s="2"/>
      <c r="R2277" s="2"/>
      <c r="S2277" s="2"/>
      <c r="T2277" s="2"/>
      <c r="U2277" s="2"/>
      <c r="V2277" s="2"/>
      <c r="W2277" s="2"/>
      <c r="X2277" s="2"/>
      <c r="Y2277" s="2"/>
      <c r="Z2277" s="2"/>
    </row>
    <row r="2278" spans="1:26" ht="12.75" x14ac:dyDescent="0.2">
      <c r="A2278" s="230"/>
      <c r="B2278" s="18">
        <v>2023</v>
      </c>
      <c r="C2278" s="18" t="s">
        <v>727</v>
      </c>
      <c r="D2278" s="18" t="s">
        <v>1320</v>
      </c>
      <c r="E2278" s="18" t="s">
        <v>713</v>
      </c>
      <c r="F2278" s="18" t="s">
        <v>676</v>
      </c>
      <c r="G2278" s="18" t="s">
        <v>79</v>
      </c>
      <c r="H2278" s="18" t="s">
        <v>730</v>
      </c>
      <c r="I2278" s="315">
        <v>33.16802179672959</v>
      </c>
      <c r="J2278" s="315">
        <v>2.1687471518113313E-3</v>
      </c>
      <c r="K2278" s="316" t="str">
        <f t="shared" si="46"/>
        <v>Pleasure Craft</v>
      </c>
      <c r="L2278" s="316" t="str">
        <f t="shared" si="47"/>
        <v>Diesel</v>
      </c>
      <c r="M2278" s="8"/>
      <c r="N2278" s="2"/>
      <c r="O2278" s="2"/>
      <c r="P2278" s="2"/>
      <c r="Q2278" s="2"/>
      <c r="R2278" s="2"/>
      <c r="S2278" s="2"/>
      <c r="T2278" s="2"/>
      <c r="U2278" s="2"/>
      <c r="V2278" s="2"/>
      <c r="W2278" s="2"/>
      <c r="X2278" s="2"/>
      <c r="Y2278" s="2"/>
      <c r="Z2278" s="2"/>
    </row>
    <row r="2279" spans="1:26" ht="12.75" x14ac:dyDescent="0.2">
      <c r="A2279" s="230"/>
      <c r="B2279" s="18">
        <v>2023</v>
      </c>
      <c r="C2279" s="18" t="s">
        <v>727</v>
      </c>
      <c r="D2279" s="18" t="s">
        <v>1229</v>
      </c>
      <c r="E2279" s="18" t="s">
        <v>713</v>
      </c>
      <c r="F2279" s="18" t="s">
        <v>714</v>
      </c>
      <c r="G2279" s="18" t="s">
        <v>678</v>
      </c>
      <c r="H2279" s="18" t="s">
        <v>1230</v>
      </c>
      <c r="I2279" s="315">
        <v>33.154398423276568</v>
      </c>
      <c r="J2279" s="315">
        <v>2.4999245801826501E-4</v>
      </c>
      <c r="K2279" s="316" t="str">
        <f t="shared" si="46"/>
        <v>Agricultural Equipment</v>
      </c>
      <c r="L2279" s="316" t="str">
        <f t="shared" si="47"/>
        <v>Diesel</v>
      </c>
      <c r="M2279" s="8"/>
      <c r="N2279" s="2"/>
      <c r="O2279" s="2"/>
      <c r="P2279" s="2"/>
      <c r="Q2279" s="2"/>
      <c r="R2279" s="2"/>
      <c r="S2279" s="2"/>
      <c r="T2279" s="2"/>
      <c r="U2279" s="2"/>
      <c r="V2279" s="2"/>
      <c r="W2279" s="2"/>
      <c r="X2279" s="2"/>
      <c r="Y2279" s="2"/>
      <c r="Z2279" s="2"/>
    </row>
    <row r="2280" spans="1:26" ht="12.75" x14ac:dyDescent="0.2">
      <c r="A2280" s="230"/>
      <c r="B2280" s="18">
        <v>2023</v>
      </c>
      <c r="C2280" s="18" t="s">
        <v>760</v>
      </c>
      <c r="D2280" s="18" t="s">
        <v>1081</v>
      </c>
      <c r="E2280" s="18" t="s">
        <v>703</v>
      </c>
      <c r="F2280" s="18" t="s">
        <v>805</v>
      </c>
      <c r="G2280" s="18" t="s">
        <v>674</v>
      </c>
      <c r="H2280" s="18" t="s">
        <v>1082</v>
      </c>
      <c r="I2280" s="315">
        <v>33.050585916388158</v>
      </c>
      <c r="J2280" s="315">
        <v>5.3609246787170751E-2</v>
      </c>
      <c r="K2280" s="316" t="str">
        <f t="shared" si="46"/>
        <v>Construction and Mining Equipment</v>
      </c>
      <c r="L2280" s="316" t="str">
        <f t="shared" si="47"/>
        <v>Gasoline</v>
      </c>
      <c r="M2280" s="8"/>
      <c r="N2280" s="2"/>
      <c r="O2280" s="2"/>
      <c r="P2280" s="2"/>
      <c r="Q2280" s="2"/>
      <c r="R2280" s="2"/>
      <c r="S2280" s="2"/>
      <c r="T2280" s="2"/>
      <c r="U2280" s="2"/>
      <c r="V2280" s="2"/>
      <c r="W2280" s="2"/>
      <c r="X2280" s="2"/>
      <c r="Y2280" s="2"/>
      <c r="Z2280" s="2"/>
    </row>
    <row r="2281" spans="1:26" ht="12.75" x14ac:dyDescent="0.2">
      <c r="A2281" s="230"/>
      <c r="B2281" s="18">
        <v>2023</v>
      </c>
      <c r="C2281" s="18" t="s">
        <v>792</v>
      </c>
      <c r="D2281" s="18" t="s">
        <v>1016</v>
      </c>
      <c r="E2281" s="18" t="s">
        <v>56</v>
      </c>
      <c r="F2281" s="18" t="s">
        <v>672</v>
      </c>
      <c r="G2281" s="18" t="s">
        <v>675</v>
      </c>
      <c r="H2281" s="18" t="s">
        <v>802</v>
      </c>
      <c r="I2281" s="315">
        <v>33.047699949116755</v>
      </c>
      <c r="J2281" s="315">
        <v>1.5161574682594902E-3</v>
      </c>
      <c r="K2281" s="316" t="str">
        <f t="shared" si="46"/>
        <v>Industrial Equipment</v>
      </c>
      <c r="L2281" s="316" t="str">
        <f t="shared" si="47"/>
        <v>LPG</v>
      </c>
      <c r="M2281" s="8"/>
      <c r="N2281" s="2"/>
      <c r="O2281" s="2"/>
      <c r="P2281" s="2"/>
      <c r="Q2281" s="2"/>
      <c r="R2281" s="2"/>
      <c r="S2281" s="2"/>
      <c r="T2281" s="2"/>
      <c r="U2281" s="2"/>
      <c r="V2281" s="2"/>
      <c r="W2281" s="2"/>
      <c r="X2281" s="2"/>
      <c r="Y2281" s="2"/>
      <c r="Z2281" s="2"/>
    </row>
    <row r="2282" spans="1:26" ht="12.75" x14ac:dyDescent="0.2">
      <c r="A2282" s="230"/>
      <c r="B2282" s="18">
        <v>2023</v>
      </c>
      <c r="C2282" s="18" t="s">
        <v>792</v>
      </c>
      <c r="D2282" s="18" t="s">
        <v>799</v>
      </c>
      <c r="E2282" s="18" t="s">
        <v>703</v>
      </c>
      <c r="F2282" s="18" t="s">
        <v>795</v>
      </c>
      <c r="G2282" s="18" t="s">
        <v>673</v>
      </c>
      <c r="H2282" s="18" t="s">
        <v>800</v>
      </c>
      <c r="I2282" s="315">
        <v>33.015255525572449</v>
      </c>
      <c r="J2282" s="315">
        <v>6.2778175312920029E-2</v>
      </c>
      <c r="K2282" s="316" t="str">
        <f t="shared" si="46"/>
        <v>Lawn and Garden Equipment</v>
      </c>
      <c r="L2282" s="316" t="str">
        <f t="shared" si="47"/>
        <v>Gasoline</v>
      </c>
      <c r="M2282" s="8"/>
      <c r="N2282" s="2"/>
      <c r="O2282" s="2"/>
      <c r="P2282" s="2"/>
      <c r="Q2282" s="2"/>
      <c r="R2282" s="2"/>
      <c r="S2282" s="2"/>
      <c r="T2282" s="2"/>
      <c r="U2282" s="2"/>
      <c r="V2282" s="2"/>
      <c r="W2282" s="2"/>
      <c r="X2282" s="2"/>
      <c r="Y2282" s="2"/>
      <c r="Z2282" s="2"/>
    </row>
    <row r="2283" spans="1:26" ht="12.75" x14ac:dyDescent="0.2">
      <c r="A2283" s="230"/>
      <c r="B2283" s="18">
        <v>2023</v>
      </c>
      <c r="C2283" s="18" t="s">
        <v>731</v>
      </c>
      <c r="D2283" s="18" t="s">
        <v>997</v>
      </c>
      <c r="E2283" s="18" t="s">
        <v>56</v>
      </c>
      <c r="F2283" s="18" t="s">
        <v>672</v>
      </c>
      <c r="G2283" s="18" t="s">
        <v>675</v>
      </c>
      <c r="H2283" s="18" t="s">
        <v>969</v>
      </c>
      <c r="I2283" s="315">
        <v>32.984793363484322</v>
      </c>
      <c r="J2283" s="315">
        <v>4.1039633079432676E-3</v>
      </c>
      <c r="K2283" s="316" t="str">
        <f t="shared" si="46"/>
        <v>Industrial Equipment</v>
      </c>
      <c r="L2283" s="316" t="str">
        <f t="shared" si="47"/>
        <v>LPG</v>
      </c>
      <c r="M2283" s="8"/>
      <c r="N2283" s="2"/>
      <c r="O2283" s="2"/>
      <c r="P2283" s="2"/>
      <c r="Q2283" s="2"/>
      <c r="R2283" s="2"/>
      <c r="S2283" s="2"/>
      <c r="T2283" s="2"/>
      <c r="U2283" s="2"/>
      <c r="V2283" s="2"/>
      <c r="W2283" s="2"/>
      <c r="X2283" s="2"/>
      <c r="Y2283" s="2"/>
      <c r="Z2283" s="2"/>
    </row>
    <row r="2284" spans="1:26" ht="12.75" x14ac:dyDescent="0.2">
      <c r="A2284" s="230"/>
      <c r="B2284" s="18">
        <v>2023</v>
      </c>
      <c r="C2284" s="18" t="s">
        <v>759</v>
      </c>
      <c r="D2284" s="18" t="s">
        <v>839</v>
      </c>
      <c r="E2284" s="18" t="s">
        <v>703</v>
      </c>
      <c r="F2284" s="18" t="s">
        <v>704</v>
      </c>
      <c r="G2284" s="18" t="s">
        <v>675</v>
      </c>
      <c r="H2284" s="18" t="s">
        <v>708</v>
      </c>
      <c r="I2284" s="315">
        <v>32.931992535431654</v>
      </c>
      <c r="J2284" s="315">
        <v>2.2553025779532168E-3</v>
      </c>
      <c r="K2284" s="316" t="str">
        <f t="shared" si="46"/>
        <v>Industrial Equipment</v>
      </c>
      <c r="L2284" s="316" t="str">
        <f t="shared" si="47"/>
        <v>Gasoline</v>
      </c>
      <c r="M2284" s="8"/>
      <c r="N2284" s="2"/>
      <c r="O2284" s="2"/>
      <c r="P2284" s="2"/>
      <c r="Q2284" s="2"/>
      <c r="R2284" s="2"/>
      <c r="S2284" s="2"/>
      <c r="T2284" s="2"/>
      <c r="U2284" s="2"/>
      <c r="V2284" s="2"/>
      <c r="W2284" s="2"/>
      <c r="X2284" s="2"/>
      <c r="Y2284" s="2"/>
      <c r="Z2284" s="2"/>
    </row>
    <row r="2285" spans="1:26" ht="12.75" x14ac:dyDescent="0.2">
      <c r="A2285" s="230"/>
      <c r="B2285" s="18">
        <v>2023</v>
      </c>
      <c r="C2285" s="18" t="s">
        <v>711</v>
      </c>
      <c r="D2285" s="18" t="s">
        <v>1214</v>
      </c>
      <c r="E2285" s="18" t="s">
        <v>713</v>
      </c>
      <c r="F2285" s="18" t="s">
        <v>714</v>
      </c>
      <c r="G2285" s="18" t="s">
        <v>674</v>
      </c>
      <c r="H2285" s="18" t="s">
        <v>999</v>
      </c>
      <c r="I2285" s="315">
        <v>32.922542424869</v>
      </c>
      <c r="J2285" s="315">
        <v>9.7466922134333152E-4</v>
      </c>
      <c r="K2285" s="316" t="str">
        <f t="shared" si="46"/>
        <v>Construction and Mining Equipment</v>
      </c>
      <c r="L2285" s="316" t="str">
        <f t="shared" si="47"/>
        <v>Diesel</v>
      </c>
      <c r="M2285" s="8"/>
      <c r="N2285" s="2"/>
      <c r="O2285" s="2"/>
      <c r="P2285" s="2"/>
      <c r="Q2285" s="2"/>
      <c r="R2285" s="2"/>
      <c r="S2285" s="2"/>
      <c r="T2285" s="2"/>
      <c r="U2285" s="2"/>
      <c r="V2285" s="2"/>
      <c r="W2285" s="2"/>
      <c r="X2285" s="2"/>
      <c r="Y2285" s="2"/>
      <c r="Z2285" s="2"/>
    </row>
    <row r="2286" spans="1:26" ht="12.75" x14ac:dyDescent="0.2">
      <c r="A2286" s="230"/>
      <c r="B2286" s="18">
        <v>2023</v>
      </c>
      <c r="C2286" s="18" t="s">
        <v>709</v>
      </c>
      <c r="D2286" s="18" t="s">
        <v>1247</v>
      </c>
      <c r="E2286" s="18" t="s">
        <v>56</v>
      </c>
      <c r="F2286" s="18" t="s">
        <v>672</v>
      </c>
      <c r="G2286" s="18" t="s">
        <v>674</v>
      </c>
      <c r="H2286" s="18" t="s">
        <v>967</v>
      </c>
      <c r="I2286" s="315">
        <v>32.851265235919591</v>
      </c>
      <c r="J2286" s="315">
        <v>1.5520596353622014E-3</v>
      </c>
      <c r="K2286" s="316" t="str">
        <f t="shared" si="46"/>
        <v>Construction and Mining Equipment</v>
      </c>
      <c r="L2286" s="316" t="str">
        <f t="shared" si="47"/>
        <v>LPG</v>
      </c>
      <c r="M2286" s="8"/>
      <c r="N2286" s="2"/>
      <c r="O2286" s="2"/>
      <c r="P2286" s="2"/>
      <c r="Q2286" s="2"/>
      <c r="R2286" s="2"/>
      <c r="S2286" s="2"/>
      <c r="T2286" s="2"/>
      <c r="U2286" s="2"/>
      <c r="V2286" s="2"/>
      <c r="W2286" s="2"/>
      <c r="X2286" s="2"/>
      <c r="Y2286" s="2"/>
      <c r="Z2286" s="2"/>
    </row>
    <row r="2287" spans="1:26" ht="12.75" x14ac:dyDescent="0.2">
      <c r="A2287" s="230"/>
      <c r="B2287" s="18">
        <v>2023</v>
      </c>
      <c r="C2287" s="18" t="s">
        <v>762</v>
      </c>
      <c r="D2287" s="18" t="s">
        <v>958</v>
      </c>
      <c r="E2287" s="18" t="s">
        <v>713</v>
      </c>
      <c r="F2287" s="18" t="s">
        <v>714</v>
      </c>
      <c r="G2287" s="18" t="s">
        <v>674</v>
      </c>
      <c r="H2287" s="18" t="s">
        <v>959</v>
      </c>
      <c r="I2287" s="315">
        <v>32.811912183881638</v>
      </c>
      <c r="J2287" s="315">
        <v>2.9187915826957988E-4</v>
      </c>
      <c r="K2287" s="316" t="str">
        <f t="shared" si="46"/>
        <v>Construction and Mining Equipment</v>
      </c>
      <c r="L2287" s="316" t="str">
        <f t="shared" si="47"/>
        <v>Diesel</v>
      </c>
      <c r="M2287" s="8"/>
      <c r="N2287" s="2"/>
      <c r="O2287" s="2"/>
      <c r="P2287" s="2"/>
      <c r="Q2287" s="2"/>
      <c r="R2287" s="2"/>
      <c r="S2287" s="2"/>
      <c r="T2287" s="2"/>
      <c r="U2287" s="2"/>
      <c r="V2287" s="2"/>
      <c r="W2287" s="2"/>
      <c r="X2287" s="2"/>
      <c r="Y2287" s="2"/>
      <c r="Z2287" s="2"/>
    </row>
    <row r="2288" spans="1:26" ht="12.75" x14ac:dyDescent="0.2">
      <c r="A2288" s="230"/>
      <c r="B2288" s="18">
        <v>2023</v>
      </c>
      <c r="C2288" s="18" t="s">
        <v>709</v>
      </c>
      <c r="D2288" s="18" t="s">
        <v>1248</v>
      </c>
      <c r="E2288" s="18" t="s">
        <v>703</v>
      </c>
      <c r="F2288" s="18" t="s">
        <v>704</v>
      </c>
      <c r="G2288" s="18" t="s">
        <v>674</v>
      </c>
      <c r="H2288" s="18" t="s">
        <v>959</v>
      </c>
      <c r="I2288" s="315">
        <v>32.799297501169661</v>
      </c>
      <c r="J2288" s="315">
        <v>2.1917770260177664E-2</v>
      </c>
      <c r="K2288" s="316" t="str">
        <f t="shared" si="46"/>
        <v>Construction and Mining Equipment</v>
      </c>
      <c r="L2288" s="316" t="str">
        <f t="shared" si="47"/>
        <v>Gasoline</v>
      </c>
      <c r="M2288" s="8"/>
      <c r="N2288" s="2"/>
      <c r="O2288" s="2"/>
      <c r="P2288" s="2"/>
      <c r="Q2288" s="2"/>
      <c r="R2288" s="2"/>
      <c r="S2288" s="2"/>
      <c r="T2288" s="2"/>
      <c r="U2288" s="2"/>
      <c r="V2288" s="2"/>
      <c r="W2288" s="2"/>
      <c r="X2288" s="2"/>
      <c r="Y2288" s="2"/>
      <c r="Z2288" s="2"/>
    </row>
    <row r="2289" spans="1:26" ht="12.75" x14ac:dyDescent="0.2">
      <c r="A2289" s="230"/>
      <c r="B2289" s="18">
        <v>2023</v>
      </c>
      <c r="C2289" s="18" t="s">
        <v>778</v>
      </c>
      <c r="D2289" s="18" t="s">
        <v>1071</v>
      </c>
      <c r="E2289" s="18" t="s">
        <v>713</v>
      </c>
      <c r="F2289" s="18" t="s">
        <v>714</v>
      </c>
      <c r="G2289" s="18" t="s">
        <v>674</v>
      </c>
      <c r="H2289" s="18" t="s">
        <v>1072</v>
      </c>
      <c r="I2289" s="315">
        <v>32.798695406675101</v>
      </c>
      <c r="J2289" s="315">
        <v>4.391530834250915E-4</v>
      </c>
      <c r="K2289" s="316" t="str">
        <f t="shared" si="46"/>
        <v>Construction and Mining Equipment</v>
      </c>
      <c r="L2289" s="316" t="str">
        <f t="shared" si="47"/>
        <v>Diesel</v>
      </c>
      <c r="M2289" s="8"/>
      <c r="N2289" s="2"/>
      <c r="O2289" s="2"/>
      <c r="P2289" s="2"/>
      <c r="Q2289" s="2"/>
      <c r="R2289" s="2"/>
      <c r="S2289" s="2"/>
      <c r="T2289" s="2"/>
      <c r="U2289" s="2"/>
      <c r="V2289" s="2"/>
      <c r="W2289" s="2"/>
      <c r="X2289" s="2"/>
      <c r="Y2289" s="2"/>
      <c r="Z2289" s="2"/>
    </row>
    <row r="2290" spans="1:26" ht="12.75" x14ac:dyDescent="0.2">
      <c r="A2290" s="230"/>
      <c r="B2290" s="18">
        <v>2023</v>
      </c>
      <c r="C2290" s="18" t="s">
        <v>701</v>
      </c>
      <c r="D2290" s="18" t="s">
        <v>1219</v>
      </c>
      <c r="E2290" s="18" t="s">
        <v>703</v>
      </c>
      <c r="F2290" s="18" t="s">
        <v>704</v>
      </c>
      <c r="G2290" s="18" t="s">
        <v>674</v>
      </c>
      <c r="H2290" s="18" t="s">
        <v>1220</v>
      </c>
      <c r="I2290" s="315">
        <v>32.793743583135829</v>
      </c>
      <c r="J2290" s="315">
        <v>2.2122232316670383E-2</v>
      </c>
      <c r="K2290" s="316" t="str">
        <f t="shared" si="46"/>
        <v>Construction and Mining Equipment</v>
      </c>
      <c r="L2290" s="316" t="str">
        <f t="shared" si="47"/>
        <v>Gasoline</v>
      </c>
      <c r="M2290" s="8"/>
      <c r="N2290" s="2"/>
      <c r="O2290" s="2"/>
      <c r="P2290" s="2"/>
      <c r="Q2290" s="2"/>
      <c r="R2290" s="2"/>
      <c r="S2290" s="2"/>
      <c r="T2290" s="2"/>
      <c r="U2290" s="2"/>
      <c r="V2290" s="2"/>
      <c r="W2290" s="2"/>
      <c r="X2290" s="2"/>
      <c r="Y2290" s="2"/>
      <c r="Z2290" s="2"/>
    </row>
    <row r="2291" spans="1:26" ht="12.75" x14ac:dyDescent="0.2">
      <c r="A2291" s="230"/>
      <c r="B2291" s="18">
        <v>2023</v>
      </c>
      <c r="C2291" s="18" t="s">
        <v>750</v>
      </c>
      <c r="D2291" s="18" t="s">
        <v>878</v>
      </c>
      <c r="E2291" s="18" t="s">
        <v>703</v>
      </c>
      <c r="F2291" s="18" t="s">
        <v>704</v>
      </c>
      <c r="G2291" s="18" t="s">
        <v>673</v>
      </c>
      <c r="H2291" s="18" t="s">
        <v>879</v>
      </c>
      <c r="I2291" s="315">
        <v>32.781935092594118</v>
      </c>
      <c r="J2291" s="315">
        <v>2.1500050543381218E-2</v>
      </c>
      <c r="K2291" s="316" t="str">
        <f t="shared" si="46"/>
        <v>Lawn and Garden Equipment</v>
      </c>
      <c r="L2291" s="316" t="str">
        <f t="shared" si="47"/>
        <v>Gasoline</v>
      </c>
      <c r="M2291" s="8"/>
      <c r="N2291" s="2"/>
      <c r="O2291" s="2"/>
      <c r="P2291" s="2"/>
      <c r="Q2291" s="2"/>
      <c r="R2291" s="2"/>
      <c r="S2291" s="2"/>
      <c r="T2291" s="2"/>
      <c r="U2291" s="2"/>
      <c r="V2291" s="2"/>
      <c r="W2291" s="2"/>
      <c r="X2291" s="2"/>
      <c r="Y2291" s="2"/>
      <c r="Z2291" s="2"/>
    </row>
    <row r="2292" spans="1:26" ht="12.75" x14ac:dyDescent="0.2">
      <c r="A2292" s="230"/>
      <c r="B2292" s="18">
        <v>2023</v>
      </c>
      <c r="C2292" s="18" t="s">
        <v>781</v>
      </c>
      <c r="D2292" s="18" t="s">
        <v>803</v>
      </c>
      <c r="E2292" s="18" t="s">
        <v>703</v>
      </c>
      <c r="F2292" s="18" t="s">
        <v>805</v>
      </c>
      <c r="G2292" s="18" t="s">
        <v>673</v>
      </c>
      <c r="H2292" s="18" t="s">
        <v>806</v>
      </c>
      <c r="I2292" s="315">
        <v>32.643982823512331</v>
      </c>
      <c r="J2292" s="315">
        <v>6.460983475195986E-2</v>
      </c>
      <c r="K2292" s="316" t="str">
        <f t="shared" si="46"/>
        <v>Lawn and Garden Equipment</v>
      </c>
      <c r="L2292" s="316" t="str">
        <f t="shared" si="47"/>
        <v>Gasoline</v>
      </c>
      <c r="M2292" s="8"/>
      <c r="N2292" s="2"/>
      <c r="O2292" s="2"/>
      <c r="P2292" s="2"/>
      <c r="Q2292" s="2"/>
      <c r="R2292" s="2"/>
      <c r="S2292" s="2"/>
      <c r="T2292" s="2"/>
      <c r="U2292" s="2"/>
      <c r="V2292" s="2"/>
      <c r="W2292" s="2"/>
      <c r="X2292" s="2"/>
      <c r="Y2292" s="2"/>
      <c r="Z2292" s="2"/>
    </row>
    <row r="2293" spans="1:26" ht="12.75" x14ac:dyDescent="0.2">
      <c r="A2293" s="230"/>
      <c r="B2293" s="18">
        <v>2023</v>
      </c>
      <c r="C2293" s="18" t="s">
        <v>750</v>
      </c>
      <c r="D2293" s="18" t="s">
        <v>936</v>
      </c>
      <c r="E2293" s="18" t="s">
        <v>56</v>
      </c>
      <c r="F2293" s="18" t="s">
        <v>672</v>
      </c>
      <c r="G2293" s="18" t="s">
        <v>677</v>
      </c>
      <c r="H2293" s="18" t="s">
        <v>747</v>
      </c>
      <c r="I2293" s="315">
        <v>32.600222636123434</v>
      </c>
      <c r="J2293" s="315">
        <v>7.51552377210015E-3</v>
      </c>
      <c r="K2293" s="316" t="str">
        <f t="shared" si="46"/>
        <v>Commercial Equipment</v>
      </c>
      <c r="L2293" s="316" t="str">
        <f t="shared" si="47"/>
        <v>LPG</v>
      </c>
      <c r="M2293" s="8"/>
      <c r="N2293" s="2"/>
      <c r="O2293" s="2"/>
      <c r="P2293" s="2"/>
      <c r="Q2293" s="2"/>
      <c r="R2293" s="2"/>
      <c r="S2293" s="2"/>
      <c r="T2293" s="2"/>
      <c r="U2293" s="2"/>
      <c r="V2293" s="2"/>
      <c r="W2293" s="2"/>
      <c r="X2293" s="2"/>
      <c r="Y2293" s="2"/>
      <c r="Z2293" s="2"/>
    </row>
    <row r="2294" spans="1:26" ht="12.75" x14ac:dyDescent="0.2">
      <c r="A2294" s="230"/>
      <c r="B2294" s="18">
        <v>2023</v>
      </c>
      <c r="C2294" s="18" t="s">
        <v>787</v>
      </c>
      <c r="D2294" s="18" t="s">
        <v>1016</v>
      </c>
      <c r="E2294" s="18" t="s">
        <v>56</v>
      </c>
      <c r="F2294" s="18" t="s">
        <v>672</v>
      </c>
      <c r="G2294" s="18" t="s">
        <v>675</v>
      </c>
      <c r="H2294" s="18" t="s">
        <v>802</v>
      </c>
      <c r="I2294" s="315">
        <v>32.574465069815879</v>
      </c>
      <c r="J2294" s="315">
        <v>1.4944460786049595E-3</v>
      </c>
      <c r="K2294" s="316" t="str">
        <f t="shared" si="46"/>
        <v>Industrial Equipment</v>
      </c>
      <c r="L2294" s="316" t="str">
        <f t="shared" si="47"/>
        <v>LPG</v>
      </c>
      <c r="M2294" s="8"/>
      <c r="N2294" s="2"/>
      <c r="O2294" s="2"/>
      <c r="P2294" s="2"/>
      <c r="Q2294" s="2"/>
      <c r="R2294" s="2"/>
      <c r="S2294" s="2"/>
      <c r="T2294" s="2"/>
      <c r="U2294" s="2"/>
      <c r="V2294" s="2"/>
      <c r="W2294" s="2"/>
      <c r="X2294" s="2"/>
      <c r="Y2294" s="2"/>
      <c r="Z2294" s="2"/>
    </row>
    <row r="2295" spans="1:26" ht="12.75" x14ac:dyDescent="0.2">
      <c r="A2295" s="230"/>
      <c r="B2295" s="18">
        <v>2023</v>
      </c>
      <c r="C2295" s="18" t="s">
        <v>754</v>
      </c>
      <c r="D2295" s="18" t="s">
        <v>1022</v>
      </c>
      <c r="E2295" s="18" t="s">
        <v>703</v>
      </c>
      <c r="F2295" s="18" t="s">
        <v>704</v>
      </c>
      <c r="G2295" s="18" t="s">
        <v>675</v>
      </c>
      <c r="H2295" s="18" t="s">
        <v>772</v>
      </c>
      <c r="I2295" s="315">
        <v>32.568199631360358</v>
      </c>
      <c r="J2295" s="315">
        <v>2.3059309869991737E-3</v>
      </c>
      <c r="K2295" s="316" t="str">
        <f t="shared" si="46"/>
        <v>Industrial Equipment</v>
      </c>
      <c r="L2295" s="316" t="str">
        <f t="shared" si="47"/>
        <v>Gasoline</v>
      </c>
      <c r="M2295" s="8"/>
      <c r="N2295" s="2"/>
      <c r="O2295" s="2"/>
      <c r="P2295" s="2"/>
      <c r="Q2295" s="2"/>
      <c r="R2295" s="2"/>
      <c r="S2295" s="2"/>
      <c r="T2295" s="2"/>
      <c r="U2295" s="2"/>
      <c r="V2295" s="2"/>
      <c r="W2295" s="2"/>
      <c r="X2295" s="2"/>
      <c r="Y2295" s="2"/>
      <c r="Z2295" s="2"/>
    </row>
    <row r="2296" spans="1:26" ht="12.75" x14ac:dyDescent="0.2">
      <c r="A2296" s="230"/>
      <c r="B2296" s="18">
        <v>2023</v>
      </c>
      <c r="C2296" s="18" t="s">
        <v>709</v>
      </c>
      <c r="D2296" s="18" t="s">
        <v>1226</v>
      </c>
      <c r="E2296" s="18" t="s">
        <v>703</v>
      </c>
      <c r="F2296" s="18" t="s">
        <v>805</v>
      </c>
      <c r="G2296" s="18" t="s">
        <v>677</v>
      </c>
      <c r="H2296" s="18" t="s">
        <v>747</v>
      </c>
      <c r="I2296" s="315">
        <v>32.558944776300471</v>
      </c>
      <c r="J2296" s="315">
        <v>6.583632867892919E-2</v>
      </c>
      <c r="K2296" s="316" t="str">
        <f t="shared" si="46"/>
        <v>Commercial Equipment</v>
      </c>
      <c r="L2296" s="316" t="str">
        <f t="shared" si="47"/>
        <v>Gasoline</v>
      </c>
      <c r="M2296" s="8"/>
      <c r="N2296" s="2"/>
      <c r="O2296" s="2"/>
      <c r="P2296" s="2"/>
      <c r="Q2296" s="2"/>
      <c r="R2296" s="2"/>
      <c r="S2296" s="2"/>
      <c r="T2296" s="2"/>
      <c r="U2296" s="2"/>
      <c r="V2296" s="2"/>
      <c r="W2296" s="2"/>
      <c r="X2296" s="2"/>
      <c r="Y2296" s="2"/>
      <c r="Z2296" s="2"/>
    </row>
    <row r="2297" spans="1:26" ht="12.75" x14ac:dyDescent="0.2">
      <c r="A2297" s="230"/>
      <c r="B2297" s="18">
        <v>2023</v>
      </c>
      <c r="C2297" s="18" t="s">
        <v>743</v>
      </c>
      <c r="D2297" s="18" t="s">
        <v>988</v>
      </c>
      <c r="E2297" s="18" t="s">
        <v>703</v>
      </c>
      <c r="F2297" s="18" t="s">
        <v>805</v>
      </c>
      <c r="G2297" s="18" t="s">
        <v>673</v>
      </c>
      <c r="H2297" s="18" t="s">
        <v>768</v>
      </c>
      <c r="I2297" s="315">
        <v>32.466987741667488</v>
      </c>
      <c r="J2297" s="315">
        <v>6.0443878672959715E-2</v>
      </c>
      <c r="K2297" s="316" t="str">
        <f t="shared" si="46"/>
        <v>Lawn and Garden Equipment</v>
      </c>
      <c r="L2297" s="316" t="str">
        <f t="shared" si="47"/>
        <v>Gasoline</v>
      </c>
      <c r="M2297" s="8"/>
      <c r="N2297" s="2"/>
      <c r="O2297" s="2"/>
      <c r="P2297" s="2"/>
      <c r="Q2297" s="2"/>
      <c r="R2297" s="2"/>
      <c r="S2297" s="2"/>
      <c r="T2297" s="2"/>
      <c r="U2297" s="2"/>
      <c r="V2297" s="2"/>
      <c r="W2297" s="2"/>
      <c r="X2297" s="2"/>
      <c r="Y2297" s="2"/>
      <c r="Z2297" s="2"/>
    </row>
    <row r="2298" spans="1:26" ht="12.75" x14ac:dyDescent="0.2">
      <c r="A2298" s="230"/>
      <c r="B2298" s="18">
        <v>2023</v>
      </c>
      <c r="C2298" s="18" t="s">
        <v>750</v>
      </c>
      <c r="D2298" s="18" t="s">
        <v>882</v>
      </c>
      <c r="E2298" s="18" t="s">
        <v>713</v>
      </c>
      <c r="F2298" s="18" t="s">
        <v>714</v>
      </c>
      <c r="G2298" s="18" t="s">
        <v>673</v>
      </c>
      <c r="H2298" s="18" t="s">
        <v>705</v>
      </c>
      <c r="I2298" s="315">
        <v>32.433897578990148</v>
      </c>
      <c r="J2298" s="315">
        <v>5.4435716716885003E-4</v>
      </c>
      <c r="K2298" s="316" t="str">
        <f t="shared" si="46"/>
        <v>Lawn and Garden Equipment</v>
      </c>
      <c r="L2298" s="316" t="str">
        <f t="shared" si="47"/>
        <v>Diesel</v>
      </c>
      <c r="M2298" s="8"/>
      <c r="N2298" s="2"/>
      <c r="O2298" s="2"/>
      <c r="P2298" s="2"/>
      <c r="Q2298" s="2"/>
      <c r="R2298" s="2"/>
      <c r="S2298" s="2"/>
      <c r="T2298" s="2"/>
      <c r="U2298" s="2"/>
      <c r="V2298" s="2"/>
      <c r="W2298" s="2"/>
      <c r="X2298" s="2"/>
      <c r="Y2298" s="2"/>
      <c r="Z2298" s="2"/>
    </row>
    <row r="2299" spans="1:26" ht="12.75" x14ac:dyDescent="0.2">
      <c r="A2299" s="230"/>
      <c r="B2299" s="18">
        <v>2023</v>
      </c>
      <c r="C2299" s="18" t="s">
        <v>706</v>
      </c>
      <c r="D2299" s="18" t="s">
        <v>1292</v>
      </c>
      <c r="E2299" s="18" t="s">
        <v>703</v>
      </c>
      <c r="F2299" s="18" t="s">
        <v>795</v>
      </c>
      <c r="G2299" s="18" t="s">
        <v>675</v>
      </c>
      <c r="H2299" s="18" t="s">
        <v>1293</v>
      </c>
      <c r="I2299" s="315">
        <v>32.356624319223556</v>
      </c>
      <c r="J2299" s="315">
        <v>2.1724670406699412E-2</v>
      </c>
      <c r="K2299" s="316" t="str">
        <f t="shared" si="46"/>
        <v>Industrial Equipment</v>
      </c>
      <c r="L2299" s="316" t="str">
        <f t="shared" si="47"/>
        <v>Gasoline</v>
      </c>
      <c r="M2299" s="8"/>
      <c r="N2299" s="2"/>
      <c r="O2299" s="2"/>
      <c r="P2299" s="2"/>
      <c r="Q2299" s="2"/>
      <c r="R2299" s="2"/>
      <c r="S2299" s="2"/>
      <c r="T2299" s="2"/>
      <c r="U2299" s="2"/>
      <c r="V2299" s="2"/>
      <c r="W2299" s="2"/>
      <c r="X2299" s="2"/>
      <c r="Y2299" s="2"/>
      <c r="Z2299" s="2"/>
    </row>
    <row r="2300" spans="1:26" x14ac:dyDescent="0.25">
      <c r="A2300" s="314"/>
      <c r="B2300" s="18">
        <v>2023</v>
      </c>
      <c r="C2300" s="18" t="s">
        <v>743</v>
      </c>
      <c r="D2300" s="18" t="s">
        <v>1023</v>
      </c>
      <c r="E2300" s="18" t="s">
        <v>703</v>
      </c>
      <c r="F2300" s="18" t="s">
        <v>704</v>
      </c>
      <c r="G2300" s="18" t="s">
        <v>674</v>
      </c>
      <c r="H2300" s="18" t="s">
        <v>736</v>
      </c>
      <c r="I2300" s="315">
        <v>32.299407744012818</v>
      </c>
      <c r="J2300" s="315">
        <v>2.1609460126786904E-2</v>
      </c>
      <c r="K2300" s="316" t="str">
        <f t="shared" si="46"/>
        <v>Construction and Mining Equipment</v>
      </c>
      <c r="L2300" s="316" t="str">
        <f t="shared" si="47"/>
        <v>Gasoline</v>
      </c>
      <c r="M2300" s="194"/>
      <c r="N2300" s="317"/>
      <c r="O2300" s="317"/>
      <c r="P2300" s="317"/>
      <c r="Q2300" s="317"/>
      <c r="R2300" s="317"/>
      <c r="S2300" s="317"/>
      <c r="T2300" s="317"/>
      <c r="U2300" s="317"/>
      <c r="V2300" s="317"/>
      <c r="W2300" s="317"/>
      <c r="X2300" s="317"/>
      <c r="Y2300" s="317"/>
      <c r="Z2300" s="317"/>
    </row>
    <row r="2301" spans="1:26" x14ac:dyDescent="0.25">
      <c r="A2301" s="314"/>
      <c r="B2301" s="18">
        <v>2023</v>
      </c>
      <c r="C2301" s="18" t="s">
        <v>701</v>
      </c>
      <c r="D2301" s="18" t="s">
        <v>1223</v>
      </c>
      <c r="E2301" s="18" t="s">
        <v>713</v>
      </c>
      <c r="F2301" s="18" t="s">
        <v>714</v>
      </c>
      <c r="G2301" s="18" t="s">
        <v>674</v>
      </c>
      <c r="H2301" s="18" t="s">
        <v>1036</v>
      </c>
      <c r="I2301" s="315">
        <v>32.266697715113402</v>
      </c>
      <c r="J2301" s="315">
        <v>3.1556531791731048E-3</v>
      </c>
      <c r="K2301" s="316" t="str">
        <f t="shared" si="46"/>
        <v>Construction and Mining Equipment</v>
      </c>
      <c r="L2301" s="316" t="str">
        <f t="shared" si="47"/>
        <v>Diesel</v>
      </c>
      <c r="M2301" s="194"/>
      <c r="N2301" s="317"/>
      <c r="O2301" s="317"/>
      <c r="P2301" s="317"/>
      <c r="Q2301" s="317"/>
      <c r="R2301" s="317"/>
      <c r="S2301" s="317"/>
      <c r="T2301" s="317"/>
      <c r="U2301" s="317"/>
      <c r="V2301" s="317"/>
      <c r="W2301" s="317"/>
      <c r="X2301" s="317"/>
      <c r="Y2301" s="317"/>
      <c r="Z2301" s="317"/>
    </row>
    <row r="2302" spans="1:26" x14ac:dyDescent="0.25">
      <c r="A2302" s="314"/>
      <c r="B2302" s="18">
        <v>2023</v>
      </c>
      <c r="C2302" s="18" t="s">
        <v>786</v>
      </c>
      <c r="D2302" s="18" t="s">
        <v>898</v>
      </c>
      <c r="E2302" s="18" t="s">
        <v>703</v>
      </c>
      <c r="F2302" s="18" t="s">
        <v>795</v>
      </c>
      <c r="G2302" s="18" t="s">
        <v>673</v>
      </c>
      <c r="H2302" s="18" t="s">
        <v>899</v>
      </c>
      <c r="I2302" s="315">
        <v>32.261953612667689</v>
      </c>
      <c r="J2302" s="315">
        <v>0.22057321872616009</v>
      </c>
      <c r="K2302" s="316" t="str">
        <f t="shared" si="46"/>
        <v>Lawn and Garden Equipment</v>
      </c>
      <c r="L2302" s="316" t="str">
        <f t="shared" si="47"/>
        <v>Gasoline</v>
      </c>
      <c r="M2302" s="194"/>
      <c r="N2302" s="317"/>
      <c r="O2302" s="317"/>
      <c r="P2302" s="317"/>
      <c r="Q2302" s="317"/>
      <c r="R2302" s="317"/>
      <c r="S2302" s="317"/>
      <c r="T2302" s="317"/>
      <c r="U2302" s="317"/>
      <c r="V2302" s="317"/>
      <c r="W2302" s="317"/>
      <c r="X2302" s="317"/>
      <c r="Y2302" s="317"/>
      <c r="Z2302" s="317"/>
    </row>
    <row r="2303" spans="1:26" x14ac:dyDescent="0.25">
      <c r="A2303" s="314"/>
      <c r="B2303" s="18">
        <v>2023</v>
      </c>
      <c r="C2303" s="18" t="s">
        <v>754</v>
      </c>
      <c r="D2303" s="18" t="s">
        <v>1278</v>
      </c>
      <c r="E2303" s="18" t="s">
        <v>703</v>
      </c>
      <c r="F2303" s="18" t="s">
        <v>704</v>
      </c>
      <c r="G2303" s="18" t="s">
        <v>678</v>
      </c>
      <c r="H2303" s="18" t="s">
        <v>1279</v>
      </c>
      <c r="I2303" s="315">
        <v>32.242024949083486</v>
      </c>
      <c r="J2303" s="315">
        <v>4.3090000100778694E-2</v>
      </c>
      <c r="K2303" s="316" t="str">
        <f t="shared" si="46"/>
        <v>Agricultural Equipment</v>
      </c>
      <c r="L2303" s="316" t="str">
        <f t="shared" si="47"/>
        <v>Gasoline</v>
      </c>
      <c r="M2303" s="194"/>
      <c r="N2303" s="317"/>
      <c r="O2303" s="317"/>
      <c r="P2303" s="317"/>
      <c r="Q2303" s="317"/>
      <c r="R2303" s="317"/>
      <c r="S2303" s="317"/>
      <c r="T2303" s="317"/>
      <c r="U2303" s="317"/>
      <c r="V2303" s="317"/>
      <c r="W2303" s="317"/>
      <c r="X2303" s="317"/>
      <c r="Y2303" s="317"/>
      <c r="Z2303" s="317"/>
    </row>
    <row r="2304" spans="1:26" x14ac:dyDescent="0.25">
      <c r="A2304" s="314"/>
      <c r="B2304" s="18">
        <v>2023</v>
      </c>
      <c r="C2304" s="18" t="s">
        <v>787</v>
      </c>
      <c r="D2304" s="18" t="s">
        <v>1014</v>
      </c>
      <c r="E2304" s="18" t="s">
        <v>713</v>
      </c>
      <c r="F2304" s="18" t="s">
        <v>714</v>
      </c>
      <c r="G2304" s="18" t="s">
        <v>674</v>
      </c>
      <c r="H2304" s="18" t="s">
        <v>994</v>
      </c>
      <c r="I2304" s="315">
        <v>32.216599797454158</v>
      </c>
      <c r="J2304" s="315">
        <v>4.1965591374263788E-4</v>
      </c>
      <c r="K2304" s="316" t="str">
        <f t="shared" si="46"/>
        <v>Construction and Mining Equipment</v>
      </c>
      <c r="L2304" s="316" t="str">
        <f t="shared" si="47"/>
        <v>Diesel</v>
      </c>
      <c r="M2304" s="194"/>
      <c r="N2304" s="317"/>
      <c r="O2304" s="317"/>
      <c r="P2304" s="317"/>
      <c r="Q2304" s="317"/>
      <c r="R2304" s="317"/>
      <c r="S2304" s="317"/>
      <c r="T2304" s="317"/>
      <c r="U2304" s="317"/>
      <c r="V2304" s="317"/>
      <c r="W2304" s="317"/>
      <c r="X2304" s="317"/>
      <c r="Y2304" s="317"/>
      <c r="Z2304" s="317"/>
    </row>
    <row r="2305" spans="1:26" x14ac:dyDescent="0.25">
      <c r="A2305" s="314"/>
      <c r="B2305" s="18">
        <v>2023</v>
      </c>
      <c r="C2305" s="18" t="s">
        <v>727</v>
      </c>
      <c r="D2305" s="18" t="s">
        <v>993</v>
      </c>
      <c r="E2305" s="18" t="s">
        <v>703</v>
      </c>
      <c r="F2305" s="18" t="s">
        <v>704</v>
      </c>
      <c r="G2305" s="18" t="s">
        <v>674</v>
      </c>
      <c r="H2305" s="18" t="s">
        <v>994</v>
      </c>
      <c r="I2305" s="315">
        <v>32.14478274292842</v>
      </c>
      <c r="J2305" s="315">
        <v>2.1376747098020468E-2</v>
      </c>
      <c r="K2305" s="316" t="str">
        <f t="shared" si="46"/>
        <v>Construction and Mining Equipment</v>
      </c>
      <c r="L2305" s="316" t="str">
        <f t="shared" si="47"/>
        <v>Gasoline</v>
      </c>
      <c r="M2305" s="194"/>
      <c r="N2305" s="317"/>
      <c r="O2305" s="317"/>
      <c r="P2305" s="317"/>
      <c r="Q2305" s="317"/>
      <c r="R2305" s="317"/>
      <c r="S2305" s="317"/>
      <c r="T2305" s="317"/>
      <c r="U2305" s="317"/>
      <c r="V2305" s="317"/>
      <c r="W2305" s="317"/>
      <c r="X2305" s="317"/>
      <c r="Y2305" s="317"/>
      <c r="Z2305" s="317"/>
    </row>
    <row r="2306" spans="1:26" x14ac:dyDescent="0.25">
      <c r="A2306" s="314"/>
      <c r="B2306" s="18">
        <v>2023</v>
      </c>
      <c r="C2306" s="18" t="s">
        <v>731</v>
      </c>
      <c r="D2306" s="18" t="s">
        <v>1320</v>
      </c>
      <c r="E2306" s="18" t="s">
        <v>713</v>
      </c>
      <c r="F2306" s="18" t="s">
        <v>676</v>
      </c>
      <c r="G2306" s="18" t="s">
        <v>79</v>
      </c>
      <c r="H2306" s="18" t="s">
        <v>730</v>
      </c>
      <c r="I2306" s="315">
        <v>32.144314002805302</v>
      </c>
      <c r="J2306" s="315">
        <v>2.1018139077998441E-3</v>
      </c>
      <c r="K2306" s="316" t="str">
        <f t="shared" si="46"/>
        <v>Pleasure Craft</v>
      </c>
      <c r="L2306" s="316" t="str">
        <f t="shared" si="47"/>
        <v>Diesel</v>
      </c>
      <c r="M2306" s="194"/>
      <c r="N2306" s="317"/>
      <c r="O2306" s="317"/>
      <c r="P2306" s="317"/>
      <c r="Q2306" s="317"/>
      <c r="R2306" s="317"/>
      <c r="S2306" s="317"/>
      <c r="T2306" s="317"/>
      <c r="U2306" s="317"/>
      <c r="V2306" s="317"/>
      <c r="W2306" s="317"/>
      <c r="X2306" s="317"/>
      <c r="Y2306" s="317"/>
      <c r="Z2306" s="317"/>
    </row>
    <row r="2307" spans="1:26" x14ac:dyDescent="0.25">
      <c r="A2307" s="314"/>
      <c r="B2307" s="18">
        <v>2023</v>
      </c>
      <c r="C2307" s="18" t="s">
        <v>753</v>
      </c>
      <c r="D2307" s="18" t="s">
        <v>997</v>
      </c>
      <c r="E2307" s="18" t="s">
        <v>56</v>
      </c>
      <c r="F2307" s="18" t="s">
        <v>672</v>
      </c>
      <c r="G2307" s="18" t="s">
        <v>675</v>
      </c>
      <c r="H2307" s="18" t="s">
        <v>969</v>
      </c>
      <c r="I2307" s="315">
        <v>31.918925937118107</v>
      </c>
      <c r="J2307" s="315">
        <v>3.9713392654748773E-3</v>
      </c>
      <c r="K2307" s="316" t="str">
        <f t="shared" si="46"/>
        <v>Industrial Equipment</v>
      </c>
      <c r="L2307" s="316" t="str">
        <f t="shared" si="47"/>
        <v>LPG</v>
      </c>
      <c r="M2307" s="194"/>
      <c r="N2307" s="317"/>
      <c r="O2307" s="317"/>
      <c r="P2307" s="317"/>
      <c r="Q2307" s="317"/>
      <c r="R2307" s="317"/>
      <c r="S2307" s="317"/>
      <c r="T2307" s="317"/>
      <c r="U2307" s="317"/>
      <c r="V2307" s="317"/>
      <c r="W2307" s="317"/>
      <c r="X2307" s="317"/>
      <c r="Y2307" s="317"/>
      <c r="Z2307" s="317"/>
    </row>
    <row r="2308" spans="1:26" x14ac:dyDescent="0.25">
      <c r="A2308" s="314"/>
      <c r="B2308" s="18">
        <v>2023</v>
      </c>
      <c r="C2308" s="18" t="s">
        <v>793</v>
      </c>
      <c r="D2308" s="18" t="s">
        <v>995</v>
      </c>
      <c r="E2308" s="18" t="s">
        <v>703</v>
      </c>
      <c r="F2308" s="18" t="s">
        <v>805</v>
      </c>
      <c r="G2308" s="18" t="s">
        <v>673</v>
      </c>
      <c r="H2308" s="18" t="s">
        <v>996</v>
      </c>
      <c r="I2308" s="315">
        <v>31.902300481783623</v>
      </c>
      <c r="J2308" s="315">
        <v>5.9491861086587411E-2</v>
      </c>
      <c r="K2308" s="316" t="str">
        <f t="shared" si="46"/>
        <v>Lawn and Garden Equipment</v>
      </c>
      <c r="L2308" s="316" t="str">
        <f t="shared" si="47"/>
        <v>Gasoline</v>
      </c>
      <c r="M2308" s="194"/>
      <c r="N2308" s="317"/>
      <c r="O2308" s="317"/>
      <c r="P2308" s="317"/>
      <c r="Q2308" s="317"/>
      <c r="R2308" s="317"/>
      <c r="S2308" s="317"/>
      <c r="T2308" s="317"/>
      <c r="U2308" s="317"/>
      <c r="V2308" s="317"/>
      <c r="W2308" s="317"/>
      <c r="X2308" s="317"/>
      <c r="Y2308" s="317"/>
      <c r="Z2308" s="317"/>
    </row>
    <row r="2309" spans="1:26" x14ac:dyDescent="0.25">
      <c r="A2309" s="314"/>
      <c r="B2309" s="18">
        <v>2023</v>
      </c>
      <c r="C2309" s="18" t="s">
        <v>711</v>
      </c>
      <c r="D2309" s="18" t="s">
        <v>1226</v>
      </c>
      <c r="E2309" s="18" t="s">
        <v>703</v>
      </c>
      <c r="F2309" s="18" t="s">
        <v>805</v>
      </c>
      <c r="G2309" s="18" t="s">
        <v>677</v>
      </c>
      <c r="H2309" s="18" t="s">
        <v>747</v>
      </c>
      <c r="I2309" s="315">
        <v>31.881643141981478</v>
      </c>
      <c r="J2309" s="315">
        <v>6.4466788216315046E-2</v>
      </c>
      <c r="K2309" s="316" t="str">
        <f t="shared" si="46"/>
        <v>Commercial Equipment</v>
      </c>
      <c r="L2309" s="316" t="str">
        <f t="shared" si="47"/>
        <v>Gasoline</v>
      </c>
      <c r="M2309" s="194"/>
      <c r="N2309" s="317"/>
      <c r="O2309" s="317"/>
      <c r="P2309" s="317"/>
      <c r="Q2309" s="317"/>
      <c r="R2309" s="317"/>
      <c r="S2309" s="317"/>
      <c r="T2309" s="317"/>
      <c r="U2309" s="317"/>
      <c r="V2309" s="317"/>
      <c r="W2309" s="317"/>
      <c r="X2309" s="317"/>
      <c r="Y2309" s="317"/>
      <c r="Z2309" s="317"/>
    </row>
    <row r="2310" spans="1:26" x14ac:dyDescent="0.25">
      <c r="A2310" s="314"/>
      <c r="B2310" s="18">
        <v>2023</v>
      </c>
      <c r="C2310" s="18" t="s">
        <v>762</v>
      </c>
      <c r="D2310" s="18" t="s">
        <v>927</v>
      </c>
      <c r="E2310" s="18" t="s">
        <v>56</v>
      </c>
      <c r="F2310" s="18" t="s">
        <v>672</v>
      </c>
      <c r="G2310" s="18" t="s">
        <v>673</v>
      </c>
      <c r="H2310" s="18" t="s">
        <v>742</v>
      </c>
      <c r="I2310" s="315">
        <v>31.878051900001509</v>
      </c>
      <c r="J2310" s="315">
        <v>1.4482100812664314E-3</v>
      </c>
      <c r="K2310" s="316" t="str">
        <f t="shared" si="46"/>
        <v>Lawn and Garden Equipment</v>
      </c>
      <c r="L2310" s="316" t="str">
        <f t="shared" si="47"/>
        <v>LPG</v>
      </c>
      <c r="M2310" s="194"/>
      <c r="N2310" s="317"/>
      <c r="O2310" s="317"/>
      <c r="P2310" s="317"/>
      <c r="Q2310" s="317"/>
      <c r="R2310" s="317"/>
      <c r="S2310" s="317"/>
      <c r="T2310" s="317"/>
      <c r="U2310" s="317"/>
      <c r="V2310" s="317"/>
      <c r="W2310" s="317"/>
      <c r="X2310" s="317"/>
      <c r="Y2310" s="317"/>
      <c r="Z2310" s="317"/>
    </row>
    <row r="2311" spans="1:26" x14ac:dyDescent="0.25">
      <c r="A2311" s="314"/>
      <c r="B2311" s="18">
        <v>2023</v>
      </c>
      <c r="C2311" s="18" t="s">
        <v>810</v>
      </c>
      <c r="D2311" s="18" t="s">
        <v>936</v>
      </c>
      <c r="E2311" s="18" t="s">
        <v>56</v>
      </c>
      <c r="F2311" s="18" t="s">
        <v>672</v>
      </c>
      <c r="G2311" s="18" t="s">
        <v>677</v>
      </c>
      <c r="H2311" s="18" t="s">
        <v>747</v>
      </c>
      <c r="I2311" s="315">
        <v>31.694663572948215</v>
      </c>
      <c r="J2311" s="315">
        <v>7.3067622067784751E-3</v>
      </c>
      <c r="K2311" s="316" t="str">
        <f t="shared" si="46"/>
        <v>Commercial Equipment</v>
      </c>
      <c r="L2311" s="316" t="str">
        <f t="shared" si="47"/>
        <v>LPG</v>
      </c>
      <c r="M2311" s="194"/>
      <c r="N2311" s="317"/>
      <c r="O2311" s="317"/>
      <c r="P2311" s="317"/>
      <c r="Q2311" s="317"/>
      <c r="R2311" s="317"/>
      <c r="S2311" s="317"/>
      <c r="T2311" s="317"/>
      <c r="U2311" s="317"/>
      <c r="V2311" s="317"/>
      <c r="W2311" s="317"/>
      <c r="X2311" s="317"/>
      <c r="Y2311" s="317"/>
      <c r="Z2311" s="317"/>
    </row>
    <row r="2312" spans="1:26" x14ac:dyDescent="0.25">
      <c r="A2312" s="314"/>
      <c r="B2312" s="18">
        <v>2023</v>
      </c>
      <c r="C2312" s="18" t="s">
        <v>743</v>
      </c>
      <c r="D2312" s="18" t="s">
        <v>1030</v>
      </c>
      <c r="E2312" s="18" t="s">
        <v>703</v>
      </c>
      <c r="F2312" s="18" t="s">
        <v>704</v>
      </c>
      <c r="G2312" s="18" t="s">
        <v>677</v>
      </c>
      <c r="H2312" s="18" t="s">
        <v>1031</v>
      </c>
      <c r="I2312" s="315">
        <v>31.688307047408827</v>
      </c>
      <c r="J2312" s="315">
        <v>2.212786686900535E-2</v>
      </c>
      <c r="K2312" s="316" t="str">
        <f t="shared" si="46"/>
        <v>Commercial Equipment</v>
      </c>
      <c r="L2312" s="316" t="str">
        <f t="shared" si="47"/>
        <v>Gasoline</v>
      </c>
      <c r="M2312" s="194"/>
      <c r="N2312" s="317"/>
      <c r="O2312" s="317"/>
      <c r="P2312" s="317"/>
      <c r="Q2312" s="317"/>
      <c r="R2312" s="317"/>
      <c r="S2312" s="317"/>
      <c r="T2312" s="317"/>
      <c r="U2312" s="317"/>
      <c r="V2312" s="317"/>
      <c r="W2312" s="317"/>
      <c r="X2312" s="317"/>
      <c r="Y2312" s="317"/>
      <c r="Z2312" s="317"/>
    </row>
    <row r="2313" spans="1:26" x14ac:dyDescent="0.25">
      <c r="A2313" s="314"/>
      <c r="B2313" s="18">
        <v>2023</v>
      </c>
      <c r="C2313" s="18" t="s">
        <v>773</v>
      </c>
      <c r="D2313" s="18" t="s">
        <v>1018</v>
      </c>
      <c r="E2313" s="18" t="s">
        <v>56</v>
      </c>
      <c r="F2313" s="18" t="s">
        <v>672</v>
      </c>
      <c r="G2313" s="18" t="s">
        <v>677</v>
      </c>
      <c r="H2313" s="18" t="s">
        <v>785</v>
      </c>
      <c r="I2313" s="315">
        <v>31.663995532693264</v>
      </c>
      <c r="J2313" s="315">
        <v>1.5538231367715565E-3</v>
      </c>
      <c r="K2313" s="316" t="str">
        <f t="shared" si="46"/>
        <v>Commercial Equipment</v>
      </c>
      <c r="L2313" s="316" t="str">
        <f t="shared" si="47"/>
        <v>LPG</v>
      </c>
      <c r="M2313" s="194"/>
      <c r="N2313" s="317"/>
      <c r="O2313" s="317"/>
      <c r="P2313" s="317"/>
      <c r="Q2313" s="317"/>
      <c r="R2313" s="317"/>
      <c r="S2313" s="317"/>
      <c r="T2313" s="317"/>
      <c r="U2313" s="317"/>
      <c r="V2313" s="317"/>
      <c r="W2313" s="317"/>
      <c r="X2313" s="317"/>
      <c r="Y2313" s="317"/>
      <c r="Z2313" s="317"/>
    </row>
    <row r="2314" spans="1:26" x14ac:dyDescent="0.25">
      <c r="A2314" s="314"/>
      <c r="B2314" s="18">
        <v>2023</v>
      </c>
      <c r="C2314" s="18" t="s">
        <v>760</v>
      </c>
      <c r="D2314" s="18" t="s">
        <v>1083</v>
      </c>
      <c r="E2314" s="18" t="s">
        <v>703</v>
      </c>
      <c r="F2314" s="18" t="s">
        <v>704</v>
      </c>
      <c r="G2314" s="18" t="s">
        <v>674</v>
      </c>
      <c r="H2314" s="18" t="s">
        <v>861</v>
      </c>
      <c r="I2314" s="315">
        <v>31.586752367963111</v>
      </c>
      <c r="J2314" s="315">
        <v>2.3770000386057678E-2</v>
      </c>
      <c r="K2314" s="316" t="str">
        <f t="shared" si="46"/>
        <v>Construction and Mining Equipment</v>
      </c>
      <c r="L2314" s="316" t="str">
        <f t="shared" si="47"/>
        <v>Gasoline</v>
      </c>
      <c r="M2314" s="194"/>
      <c r="N2314" s="317"/>
      <c r="O2314" s="317"/>
      <c r="P2314" s="317"/>
      <c r="Q2314" s="317"/>
      <c r="R2314" s="317"/>
      <c r="S2314" s="317"/>
      <c r="T2314" s="317"/>
      <c r="U2314" s="317"/>
      <c r="V2314" s="317"/>
      <c r="W2314" s="317"/>
      <c r="X2314" s="317"/>
      <c r="Y2314" s="317"/>
      <c r="Z2314" s="317"/>
    </row>
    <row r="2315" spans="1:26" x14ac:dyDescent="0.25">
      <c r="A2315" s="314"/>
      <c r="B2315" s="18">
        <v>2023</v>
      </c>
      <c r="C2315" s="18" t="s">
        <v>781</v>
      </c>
      <c r="D2315" s="18" t="s">
        <v>855</v>
      </c>
      <c r="E2315" s="18" t="s">
        <v>713</v>
      </c>
      <c r="F2315" s="18" t="s">
        <v>714</v>
      </c>
      <c r="G2315" s="18" t="s">
        <v>674</v>
      </c>
      <c r="H2315" s="18" t="s">
        <v>856</v>
      </c>
      <c r="I2315" s="315">
        <v>31.405628362731555</v>
      </c>
      <c r="J2315" s="315">
        <v>1.984484683833699E-4</v>
      </c>
      <c r="K2315" s="316" t="str">
        <f t="shared" si="46"/>
        <v>Construction and Mining Equipment</v>
      </c>
      <c r="L2315" s="316" t="str">
        <f t="shared" si="47"/>
        <v>Diesel</v>
      </c>
      <c r="M2315" s="194"/>
      <c r="N2315" s="317"/>
      <c r="O2315" s="317"/>
      <c r="P2315" s="317"/>
      <c r="Q2315" s="317"/>
      <c r="R2315" s="317"/>
      <c r="S2315" s="317"/>
      <c r="T2315" s="317"/>
      <c r="U2315" s="317"/>
      <c r="V2315" s="317"/>
      <c r="W2315" s="317"/>
      <c r="X2315" s="317"/>
      <c r="Y2315" s="317"/>
      <c r="Z2315" s="317"/>
    </row>
    <row r="2316" spans="1:26" x14ac:dyDescent="0.25">
      <c r="A2316" s="314"/>
      <c r="B2316" s="18">
        <v>2023</v>
      </c>
      <c r="C2316" s="18" t="s">
        <v>793</v>
      </c>
      <c r="D2316" s="18" t="s">
        <v>993</v>
      </c>
      <c r="E2316" s="18" t="s">
        <v>703</v>
      </c>
      <c r="F2316" s="18" t="s">
        <v>704</v>
      </c>
      <c r="G2316" s="18" t="s">
        <v>674</v>
      </c>
      <c r="H2316" s="18" t="s">
        <v>994</v>
      </c>
      <c r="I2316" s="315">
        <v>31.384865114925489</v>
      </c>
      <c r="J2316" s="315">
        <v>2.0901237465863306E-2</v>
      </c>
      <c r="K2316" s="316" t="str">
        <f t="shared" si="46"/>
        <v>Construction and Mining Equipment</v>
      </c>
      <c r="L2316" s="316" t="str">
        <f t="shared" si="47"/>
        <v>Gasoline</v>
      </c>
      <c r="M2316" s="194"/>
      <c r="N2316" s="317"/>
      <c r="O2316" s="317"/>
      <c r="P2316" s="317"/>
      <c r="Q2316" s="317"/>
      <c r="R2316" s="317"/>
      <c r="S2316" s="317"/>
      <c r="T2316" s="317"/>
      <c r="U2316" s="317"/>
      <c r="V2316" s="317"/>
      <c r="W2316" s="317"/>
      <c r="X2316" s="317"/>
      <c r="Y2316" s="317"/>
      <c r="Z2316" s="317"/>
    </row>
    <row r="2317" spans="1:26" x14ac:dyDescent="0.25">
      <c r="A2317" s="314"/>
      <c r="B2317" s="18">
        <v>2023</v>
      </c>
      <c r="C2317" s="18" t="s">
        <v>701</v>
      </c>
      <c r="D2317" s="18" t="s">
        <v>1338</v>
      </c>
      <c r="E2317" s="18" t="s">
        <v>703</v>
      </c>
      <c r="F2317" s="18" t="s">
        <v>805</v>
      </c>
      <c r="G2317" s="18" t="s">
        <v>673</v>
      </c>
      <c r="H2317" s="18" t="s">
        <v>987</v>
      </c>
      <c r="I2317" s="315">
        <v>31.347771611615187</v>
      </c>
      <c r="J2317" s="315">
        <v>5.7243268827267692E-2</v>
      </c>
      <c r="K2317" s="316" t="str">
        <f t="shared" si="46"/>
        <v>Lawn and Garden Equipment</v>
      </c>
      <c r="L2317" s="316" t="str">
        <f t="shared" si="47"/>
        <v>Gasoline</v>
      </c>
      <c r="M2317" s="194"/>
      <c r="N2317" s="317"/>
      <c r="O2317" s="317"/>
      <c r="P2317" s="317"/>
      <c r="Q2317" s="317"/>
      <c r="R2317" s="317"/>
      <c r="S2317" s="317"/>
      <c r="T2317" s="317"/>
      <c r="U2317" s="317"/>
      <c r="V2317" s="317"/>
      <c r="W2317" s="317"/>
      <c r="X2317" s="317"/>
      <c r="Y2317" s="317"/>
      <c r="Z2317" s="317"/>
    </row>
    <row r="2318" spans="1:26" x14ac:dyDescent="0.25">
      <c r="A2318" s="314"/>
      <c r="B2318" s="18">
        <v>2023</v>
      </c>
      <c r="C2318" s="18" t="s">
        <v>711</v>
      </c>
      <c r="D2318" s="18" t="s">
        <v>1218</v>
      </c>
      <c r="E2318" s="18" t="s">
        <v>703</v>
      </c>
      <c r="F2318" s="18" t="s">
        <v>704</v>
      </c>
      <c r="G2318" s="18" t="s">
        <v>673</v>
      </c>
      <c r="H2318" s="18" t="s">
        <v>996</v>
      </c>
      <c r="I2318" s="315">
        <v>31.337648817727988</v>
      </c>
      <c r="J2318" s="315">
        <v>2.181195880163786E-2</v>
      </c>
      <c r="K2318" s="316" t="str">
        <f t="shared" si="46"/>
        <v>Lawn and Garden Equipment</v>
      </c>
      <c r="L2318" s="316" t="str">
        <f t="shared" si="47"/>
        <v>Gasoline</v>
      </c>
      <c r="M2318" s="194"/>
      <c r="N2318" s="317"/>
      <c r="O2318" s="317"/>
      <c r="P2318" s="317"/>
      <c r="Q2318" s="317"/>
      <c r="R2318" s="317"/>
      <c r="S2318" s="317"/>
      <c r="T2318" s="317"/>
      <c r="U2318" s="317"/>
      <c r="V2318" s="317"/>
      <c r="W2318" s="317"/>
      <c r="X2318" s="317"/>
      <c r="Y2318" s="317"/>
      <c r="Z2318" s="317"/>
    </row>
    <row r="2319" spans="1:26" x14ac:dyDescent="0.25">
      <c r="A2319" s="314"/>
      <c r="B2319" s="18">
        <v>2023</v>
      </c>
      <c r="C2319" s="18" t="s">
        <v>759</v>
      </c>
      <c r="D2319" s="18" t="s">
        <v>920</v>
      </c>
      <c r="E2319" s="18" t="s">
        <v>703</v>
      </c>
      <c r="F2319" s="18" t="s">
        <v>704</v>
      </c>
      <c r="G2319" s="18" t="s">
        <v>673</v>
      </c>
      <c r="H2319" s="18" t="s">
        <v>921</v>
      </c>
      <c r="I2319" s="315">
        <v>31.29864032839869</v>
      </c>
      <c r="J2319" s="315">
        <v>1.9788462669476536E-2</v>
      </c>
      <c r="K2319" s="316" t="str">
        <f t="shared" si="46"/>
        <v>Lawn and Garden Equipment</v>
      </c>
      <c r="L2319" s="316" t="str">
        <f t="shared" si="47"/>
        <v>Gasoline</v>
      </c>
      <c r="M2319" s="194"/>
      <c r="N2319" s="317"/>
      <c r="O2319" s="317"/>
      <c r="P2319" s="317"/>
      <c r="Q2319" s="317"/>
      <c r="R2319" s="317"/>
      <c r="S2319" s="317"/>
      <c r="T2319" s="317"/>
      <c r="U2319" s="317"/>
      <c r="V2319" s="317"/>
      <c r="W2319" s="317"/>
      <c r="X2319" s="317"/>
      <c r="Y2319" s="317"/>
      <c r="Z2319" s="317"/>
    </row>
    <row r="2320" spans="1:26" x14ac:dyDescent="0.25">
      <c r="A2320" s="314"/>
      <c r="B2320" s="18">
        <v>2023</v>
      </c>
      <c r="C2320" s="18" t="s">
        <v>722</v>
      </c>
      <c r="D2320" s="18" t="s">
        <v>1073</v>
      </c>
      <c r="E2320" s="18" t="s">
        <v>703</v>
      </c>
      <c r="F2320" s="18" t="s">
        <v>704</v>
      </c>
      <c r="G2320" s="18" t="s">
        <v>674</v>
      </c>
      <c r="H2320" s="18" t="s">
        <v>1072</v>
      </c>
      <c r="I2320" s="315">
        <v>31.285496159490897</v>
      </c>
      <c r="J2320" s="315">
        <v>2.2076586772336239E-2</v>
      </c>
      <c r="K2320" s="316" t="str">
        <f t="shared" si="46"/>
        <v>Construction and Mining Equipment</v>
      </c>
      <c r="L2320" s="316" t="str">
        <f t="shared" si="47"/>
        <v>Gasoline</v>
      </c>
      <c r="M2320" s="194"/>
      <c r="N2320" s="317"/>
      <c r="O2320" s="317"/>
      <c r="P2320" s="317"/>
      <c r="Q2320" s="317"/>
      <c r="R2320" s="317"/>
      <c r="S2320" s="317"/>
      <c r="T2320" s="317"/>
      <c r="U2320" s="317"/>
      <c r="V2320" s="317"/>
      <c r="W2320" s="317"/>
      <c r="X2320" s="317"/>
      <c r="Y2320" s="317"/>
      <c r="Z2320" s="317"/>
    </row>
    <row r="2321" spans="1:26" x14ac:dyDescent="0.25">
      <c r="A2321" s="314"/>
      <c r="B2321" s="18">
        <v>2023</v>
      </c>
      <c r="C2321" s="18" t="s">
        <v>722</v>
      </c>
      <c r="D2321" s="18" t="s">
        <v>1074</v>
      </c>
      <c r="E2321" s="18" t="s">
        <v>713</v>
      </c>
      <c r="F2321" s="18" t="s">
        <v>714</v>
      </c>
      <c r="G2321" s="18" t="s">
        <v>674</v>
      </c>
      <c r="H2321" s="18" t="s">
        <v>967</v>
      </c>
      <c r="I2321" s="315">
        <v>31.192093666404155</v>
      </c>
      <c r="J2321" s="315">
        <v>5.3602073454601473E-4</v>
      </c>
      <c r="K2321" s="316" t="str">
        <f t="shared" si="46"/>
        <v>Construction and Mining Equipment</v>
      </c>
      <c r="L2321" s="316" t="str">
        <f t="shared" si="47"/>
        <v>Diesel</v>
      </c>
      <c r="M2321" s="194"/>
      <c r="N2321" s="317"/>
      <c r="O2321" s="317"/>
      <c r="P2321" s="317"/>
      <c r="Q2321" s="317"/>
      <c r="R2321" s="317"/>
      <c r="S2321" s="317"/>
      <c r="T2321" s="317"/>
      <c r="U2321" s="317"/>
      <c r="V2321" s="317"/>
      <c r="W2321" s="317"/>
      <c r="X2321" s="317"/>
      <c r="Y2321" s="317"/>
      <c r="Z2321" s="317"/>
    </row>
    <row r="2322" spans="1:26" x14ac:dyDescent="0.25">
      <c r="A2322" s="314"/>
      <c r="B2322" s="18">
        <v>2023</v>
      </c>
      <c r="C2322" s="18" t="s">
        <v>786</v>
      </c>
      <c r="D2322" s="18" t="s">
        <v>920</v>
      </c>
      <c r="E2322" s="18" t="s">
        <v>703</v>
      </c>
      <c r="F2322" s="18" t="s">
        <v>704</v>
      </c>
      <c r="G2322" s="18" t="s">
        <v>673</v>
      </c>
      <c r="H2322" s="18" t="s">
        <v>921</v>
      </c>
      <c r="I2322" s="315">
        <v>31.170996325693956</v>
      </c>
      <c r="J2322" s="315">
        <v>1.9767935519988841E-2</v>
      </c>
      <c r="K2322" s="316" t="str">
        <f t="shared" si="46"/>
        <v>Lawn and Garden Equipment</v>
      </c>
      <c r="L2322" s="316" t="str">
        <f t="shared" si="47"/>
        <v>Gasoline</v>
      </c>
      <c r="M2322" s="194"/>
      <c r="N2322" s="317"/>
      <c r="O2322" s="317"/>
      <c r="P2322" s="317"/>
      <c r="Q2322" s="317"/>
      <c r="R2322" s="317"/>
      <c r="S2322" s="317"/>
      <c r="T2322" s="317"/>
      <c r="U2322" s="317"/>
      <c r="V2322" s="317"/>
      <c r="W2322" s="317"/>
      <c r="X2322" s="317"/>
      <c r="Y2322" s="317"/>
      <c r="Z2322" s="317"/>
    </row>
    <row r="2323" spans="1:26" x14ac:dyDescent="0.25">
      <c r="A2323" s="314"/>
      <c r="B2323" s="18">
        <v>2023</v>
      </c>
      <c r="C2323" s="18" t="s">
        <v>743</v>
      </c>
      <c r="D2323" s="18" t="s">
        <v>1034</v>
      </c>
      <c r="E2323" s="18" t="s">
        <v>713</v>
      </c>
      <c r="F2323" s="18" t="s">
        <v>714</v>
      </c>
      <c r="G2323" s="18" t="s">
        <v>677</v>
      </c>
      <c r="H2323" s="18" t="s">
        <v>1031</v>
      </c>
      <c r="I2323" s="315">
        <v>31.095880774653462</v>
      </c>
      <c r="J2323" s="315">
        <v>5.4037862116707047E-4</v>
      </c>
      <c r="K2323" s="316" t="str">
        <f t="shared" si="46"/>
        <v>Commercial Equipment</v>
      </c>
      <c r="L2323" s="316" t="str">
        <f t="shared" si="47"/>
        <v>Diesel</v>
      </c>
      <c r="M2323" s="194"/>
      <c r="N2323" s="317"/>
      <c r="O2323" s="317"/>
      <c r="P2323" s="317"/>
      <c r="Q2323" s="317"/>
      <c r="R2323" s="317"/>
      <c r="S2323" s="317"/>
      <c r="T2323" s="317"/>
      <c r="U2323" s="317"/>
      <c r="V2323" s="317"/>
      <c r="W2323" s="317"/>
      <c r="X2323" s="317"/>
      <c r="Y2323" s="317"/>
      <c r="Z2323" s="317"/>
    </row>
    <row r="2324" spans="1:26" x14ac:dyDescent="0.25">
      <c r="A2324" s="314"/>
      <c r="B2324" s="18">
        <v>2023</v>
      </c>
      <c r="C2324" s="18" t="s">
        <v>753</v>
      </c>
      <c r="D2324" s="18" t="s">
        <v>1229</v>
      </c>
      <c r="E2324" s="18" t="s">
        <v>713</v>
      </c>
      <c r="F2324" s="18" t="s">
        <v>714</v>
      </c>
      <c r="G2324" s="18" t="s">
        <v>678</v>
      </c>
      <c r="H2324" s="18" t="s">
        <v>1230</v>
      </c>
      <c r="I2324" s="315">
        <v>31.066987143431088</v>
      </c>
      <c r="J2324" s="315">
        <v>2.3425279822321838E-4</v>
      </c>
      <c r="K2324" s="316" t="str">
        <f t="shared" si="46"/>
        <v>Agricultural Equipment</v>
      </c>
      <c r="L2324" s="316" t="str">
        <f t="shared" si="47"/>
        <v>Diesel</v>
      </c>
      <c r="M2324" s="194"/>
      <c r="N2324" s="317"/>
      <c r="O2324" s="317"/>
      <c r="P2324" s="317"/>
      <c r="Q2324" s="317"/>
      <c r="R2324" s="317"/>
      <c r="S2324" s="317"/>
      <c r="T2324" s="317"/>
      <c r="U2324" s="317"/>
      <c r="V2324" s="317"/>
      <c r="W2324" s="317"/>
      <c r="X2324" s="317"/>
      <c r="Y2324" s="317"/>
      <c r="Z2324" s="317"/>
    </row>
    <row r="2325" spans="1:26" x14ac:dyDescent="0.25">
      <c r="A2325" s="314"/>
      <c r="B2325" s="18">
        <v>2023</v>
      </c>
      <c r="C2325" s="18" t="s">
        <v>706</v>
      </c>
      <c r="D2325" s="18" t="s">
        <v>1339</v>
      </c>
      <c r="E2325" s="18" t="s">
        <v>56</v>
      </c>
      <c r="F2325" s="18" t="s">
        <v>672</v>
      </c>
      <c r="G2325" s="18" t="s">
        <v>674</v>
      </c>
      <c r="H2325" s="18" t="s">
        <v>770</v>
      </c>
      <c r="I2325" s="315">
        <v>30.971066551484594</v>
      </c>
      <c r="J2325" s="315">
        <v>2.2869829254078128E-3</v>
      </c>
      <c r="K2325" s="316" t="str">
        <f t="shared" si="46"/>
        <v>Construction and Mining Equipment</v>
      </c>
      <c r="L2325" s="316" t="str">
        <f t="shared" si="47"/>
        <v>LPG</v>
      </c>
      <c r="M2325" s="194"/>
      <c r="N2325" s="317"/>
      <c r="O2325" s="317"/>
      <c r="P2325" s="317"/>
      <c r="Q2325" s="317"/>
      <c r="R2325" s="317"/>
      <c r="S2325" s="317"/>
      <c r="T2325" s="317"/>
      <c r="U2325" s="317"/>
      <c r="V2325" s="317"/>
      <c r="W2325" s="317"/>
      <c r="X2325" s="317"/>
      <c r="Y2325" s="317"/>
      <c r="Z2325" s="317"/>
    </row>
    <row r="2326" spans="1:26" x14ac:dyDescent="0.25">
      <c r="A2326" s="314"/>
      <c r="B2326" s="18">
        <v>2023</v>
      </c>
      <c r="C2326" s="18" t="s">
        <v>754</v>
      </c>
      <c r="D2326" s="18" t="s">
        <v>1065</v>
      </c>
      <c r="E2326" s="18" t="s">
        <v>703</v>
      </c>
      <c r="F2326" s="18" t="s">
        <v>795</v>
      </c>
      <c r="G2326" s="18" t="s">
        <v>673</v>
      </c>
      <c r="H2326" s="18" t="s">
        <v>1066</v>
      </c>
      <c r="I2326" s="315">
        <v>30.849874084081264</v>
      </c>
      <c r="J2326" s="315">
        <v>0.21071892012814419</v>
      </c>
      <c r="K2326" s="316" t="str">
        <f t="shared" si="46"/>
        <v>Lawn and Garden Equipment</v>
      </c>
      <c r="L2326" s="316" t="str">
        <f t="shared" si="47"/>
        <v>Gasoline</v>
      </c>
      <c r="M2326" s="194"/>
      <c r="N2326" s="317"/>
      <c r="O2326" s="317"/>
      <c r="P2326" s="317"/>
      <c r="Q2326" s="317"/>
      <c r="R2326" s="317"/>
      <c r="S2326" s="317"/>
      <c r="T2326" s="317"/>
      <c r="U2326" s="317"/>
      <c r="V2326" s="317"/>
      <c r="W2326" s="317"/>
      <c r="X2326" s="317"/>
      <c r="Y2326" s="317"/>
      <c r="Z2326" s="317"/>
    </row>
    <row r="2327" spans="1:26" x14ac:dyDescent="0.25">
      <c r="A2327" s="314"/>
      <c r="B2327" s="18">
        <v>2023</v>
      </c>
      <c r="C2327" s="18" t="s">
        <v>731</v>
      </c>
      <c r="D2327" s="18" t="s">
        <v>1229</v>
      </c>
      <c r="E2327" s="18" t="s">
        <v>713</v>
      </c>
      <c r="F2327" s="18" t="s">
        <v>714</v>
      </c>
      <c r="G2327" s="18" t="s">
        <v>678</v>
      </c>
      <c r="H2327" s="18" t="s">
        <v>1230</v>
      </c>
      <c r="I2327" s="315">
        <v>30.816030518534806</v>
      </c>
      <c r="J2327" s="315">
        <v>2.3236030777337867E-4</v>
      </c>
      <c r="K2327" s="316" t="str">
        <f t="shared" si="46"/>
        <v>Agricultural Equipment</v>
      </c>
      <c r="L2327" s="316" t="str">
        <f t="shared" si="47"/>
        <v>Diesel</v>
      </c>
      <c r="M2327" s="194"/>
      <c r="N2327" s="317"/>
      <c r="O2327" s="317"/>
      <c r="P2327" s="317"/>
      <c r="Q2327" s="317"/>
      <c r="R2327" s="317"/>
      <c r="S2327" s="317"/>
      <c r="T2327" s="317"/>
      <c r="U2327" s="317"/>
      <c r="V2327" s="317"/>
      <c r="W2327" s="317"/>
      <c r="X2327" s="317"/>
      <c r="Y2327" s="317"/>
      <c r="Z2327" s="317"/>
    </row>
    <row r="2328" spans="1:26" x14ac:dyDescent="0.25">
      <c r="A2328" s="314"/>
      <c r="B2328" s="18">
        <v>2023</v>
      </c>
      <c r="C2328" s="18" t="s">
        <v>710</v>
      </c>
      <c r="D2328" s="18" t="s">
        <v>1226</v>
      </c>
      <c r="E2328" s="18" t="s">
        <v>703</v>
      </c>
      <c r="F2328" s="18" t="s">
        <v>805</v>
      </c>
      <c r="G2328" s="18" t="s">
        <v>677</v>
      </c>
      <c r="H2328" s="18" t="s">
        <v>747</v>
      </c>
      <c r="I2328" s="315">
        <v>30.768917340192196</v>
      </c>
      <c r="J2328" s="315">
        <v>6.2216828500421852E-2</v>
      </c>
      <c r="K2328" s="316" t="str">
        <f t="shared" si="46"/>
        <v>Commercial Equipment</v>
      </c>
      <c r="L2328" s="316" t="str">
        <f t="shared" si="47"/>
        <v>Gasoline</v>
      </c>
      <c r="M2328" s="194"/>
      <c r="N2328" s="317"/>
      <c r="O2328" s="317"/>
      <c r="P2328" s="317"/>
      <c r="Q2328" s="317"/>
      <c r="R2328" s="317"/>
      <c r="S2328" s="317"/>
      <c r="T2328" s="317"/>
      <c r="U2328" s="317"/>
      <c r="V2328" s="317"/>
      <c r="W2328" s="317"/>
      <c r="X2328" s="317"/>
      <c r="Y2328" s="317"/>
      <c r="Z2328" s="317"/>
    </row>
    <row r="2329" spans="1:26" x14ac:dyDescent="0.25">
      <c r="A2329" s="314"/>
      <c r="B2329" s="18">
        <v>2023</v>
      </c>
      <c r="C2329" s="18" t="s">
        <v>743</v>
      </c>
      <c r="D2329" s="18" t="s">
        <v>1221</v>
      </c>
      <c r="E2329" s="18" t="s">
        <v>713</v>
      </c>
      <c r="F2329" s="18" t="s">
        <v>714</v>
      </c>
      <c r="G2329" s="18" t="s">
        <v>678</v>
      </c>
      <c r="H2329" s="18" t="s">
        <v>1222</v>
      </c>
      <c r="I2329" s="315">
        <v>30.711235255900718</v>
      </c>
      <c r="J2329" s="315">
        <v>2.0459892755384946E-4</v>
      </c>
      <c r="K2329" s="316" t="str">
        <f t="shared" si="46"/>
        <v>Agricultural Equipment</v>
      </c>
      <c r="L2329" s="316" t="str">
        <f t="shared" si="47"/>
        <v>Diesel</v>
      </c>
      <c r="M2329" s="194"/>
      <c r="N2329" s="317"/>
      <c r="O2329" s="317"/>
      <c r="P2329" s="317"/>
      <c r="Q2329" s="317"/>
      <c r="R2329" s="317"/>
      <c r="S2329" s="317"/>
      <c r="T2329" s="317"/>
      <c r="U2329" s="317"/>
      <c r="V2329" s="317"/>
      <c r="W2329" s="317"/>
      <c r="X2329" s="317"/>
      <c r="Y2329" s="317"/>
      <c r="Z2329" s="317"/>
    </row>
    <row r="2330" spans="1:26" x14ac:dyDescent="0.25">
      <c r="A2330" s="314"/>
      <c r="B2330" s="18">
        <v>2023</v>
      </c>
      <c r="C2330" s="18" t="s">
        <v>743</v>
      </c>
      <c r="D2330" s="18" t="s">
        <v>1037</v>
      </c>
      <c r="E2330" s="18" t="s">
        <v>56</v>
      </c>
      <c r="F2330" s="18" t="s">
        <v>672</v>
      </c>
      <c r="G2330" s="18" t="s">
        <v>677</v>
      </c>
      <c r="H2330" s="18" t="s">
        <v>841</v>
      </c>
      <c r="I2330" s="315">
        <v>30.587237571988361</v>
      </c>
      <c r="J2330" s="315">
        <v>3.0962638487608682E-3</v>
      </c>
      <c r="K2330" s="316" t="str">
        <f t="shared" si="46"/>
        <v>Commercial Equipment</v>
      </c>
      <c r="L2330" s="316" t="str">
        <f t="shared" si="47"/>
        <v>LPG</v>
      </c>
      <c r="M2330" s="194"/>
      <c r="N2330" s="317"/>
      <c r="O2330" s="317"/>
      <c r="P2330" s="317"/>
      <c r="Q2330" s="317"/>
      <c r="R2330" s="317"/>
      <c r="S2330" s="317"/>
      <c r="T2330" s="317"/>
      <c r="U2330" s="317"/>
      <c r="V2330" s="317"/>
      <c r="W2330" s="317"/>
      <c r="X2330" s="317"/>
      <c r="Y2330" s="317"/>
      <c r="Z2330" s="317"/>
    </row>
    <row r="2331" spans="1:26" x14ac:dyDescent="0.25">
      <c r="A2331" s="314"/>
      <c r="B2331" s="18">
        <v>2023</v>
      </c>
      <c r="C2331" s="18" t="s">
        <v>706</v>
      </c>
      <c r="D2331" s="18" t="s">
        <v>1153</v>
      </c>
      <c r="E2331" s="18" t="s">
        <v>713</v>
      </c>
      <c r="F2331" s="18" t="s">
        <v>714</v>
      </c>
      <c r="G2331" s="18" t="s">
        <v>678</v>
      </c>
      <c r="H2331" s="18" t="s">
        <v>1154</v>
      </c>
      <c r="I2331" s="315">
        <v>30.553979424171981</v>
      </c>
      <c r="J2331" s="315">
        <v>3.9878708703624773E-4</v>
      </c>
      <c r="K2331" s="316" t="str">
        <f t="shared" si="46"/>
        <v>Agricultural Equipment</v>
      </c>
      <c r="L2331" s="316" t="str">
        <f t="shared" si="47"/>
        <v>Diesel</v>
      </c>
      <c r="M2331" s="194"/>
      <c r="N2331" s="317"/>
      <c r="O2331" s="317"/>
      <c r="P2331" s="317"/>
      <c r="Q2331" s="317"/>
      <c r="R2331" s="317"/>
      <c r="S2331" s="317"/>
      <c r="T2331" s="317"/>
      <c r="U2331" s="317"/>
      <c r="V2331" s="317"/>
      <c r="W2331" s="317"/>
      <c r="X2331" s="317"/>
      <c r="Y2331" s="317"/>
      <c r="Z2331" s="317"/>
    </row>
    <row r="2332" spans="1:26" x14ac:dyDescent="0.25">
      <c r="A2332" s="314"/>
      <c r="B2332" s="18">
        <v>2023</v>
      </c>
      <c r="C2332" s="18" t="s">
        <v>722</v>
      </c>
      <c r="D2332" s="18" t="s">
        <v>1210</v>
      </c>
      <c r="E2332" s="18" t="s">
        <v>713</v>
      </c>
      <c r="F2332" s="18" t="s">
        <v>714</v>
      </c>
      <c r="G2332" s="18" t="s">
        <v>675</v>
      </c>
      <c r="H2332" s="18" t="s">
        <v>1211</v>
      </c>
      <c r="I2332" s="315">
        <v>30.551004625033698</v>
      </c>
      <c r="J2332" s="315">
        <v>5.4046107380629506E-4</v>
      </c>
      <c r="K2332" s="316" t="str">
        <f t="shared" si="46"/>
        <v>Industrial Equipment</v>
      </c>
      <c r="L2332" s="316" t="str">
        <f t="shared" si="47"/>
        <v>Diesel</v>
      </c>
      <c r="M2332" s="194"/>
      <c r="N2332" s="317"/>
      <c r="O2332" s="317"/>
      <c r="P2332" s="317"/>
      <c r="Q2332" s="317"/>
      <c r="R2332" s="317"/>
      <c r="S2332" s="317"/>
      <c r="T2332" s="317"/>
      <c r="U2332" s="317"/>
      <c r="V2332" s="317"/>
      <c r="W2332" s="317"/>
      <c r="X2332" s="317"/>
      <c r="Y2332" s="317"/>
      <c r="Z2332" s="317"/>
    </row>
    <row r="2333" spans="1:26" x14ac:dyDescent="0.25">
      <c r="A2333" s="314"/>
      <c r="B2333" s="18">
        <v>2023</v>
      </c>
      <c r="C2333" s="18" t="s">
        <v>743</v>
      </c>
      <c r="D2333" s="18" t="s">
        <v>1210</v>
      </c>
      <c r="E2333" s="18" t="s">
        <v>713</v>
      </c>
      <c r="F2333" s="18" t="s">
        <v>714</v>
      </c>
      <c r="G2333" s="18" t="s">
        <v>675</v>
      </c>
      <c r="H2333" s="18" t="s">
        <v>1211</v>
      </c>
      <c r="I2333" s="315">
        <v>30.551004625033698</v>
      </c>
      <c r="J2333" s="315">
        <v>5.4046107380629506E-4</v>
      </c>
      <c r="K2333" s="316" t="str">
        <f t="shared" si="46"/>
        <v>Industrial Equipment</v>
      </c>
      <c r="L2333" s="316" t="str">
        <f t="shared" si="47"/>
        <v>Diesel</v>
      </c>
      <c r="M2333" s="194"/>
      <c r="N2333" s="317"/>
      <c r="O2333" s="317"/>
      <c r="P2333" s="317"/>
      <c r="Q2333" s="317"/>
      <c r="R2333" s="317"/>
      <c r="S2333" s="317"/>
      <c r="T2333" s="317"/>
      <c r="U2333" s="317"/>
      <c r="V2333" s="317"/>
      <c r="W2333" s="317"/>
      <c r="X2333" s="317"/>
      <c r="Y2333" s="317"/>
      <c r="Z2333" s="317"/>
    </row>
    <row r="2334" spans="1:26" x14ac:dyDescent="0.25">
      <c r="A2334" s="314"/>
      <c r="B2334" s="18">
        <v>2023</v>
      </c>
      <c r="C2334" s="18" t="s">
        <v>773</v>
      </c>
      <c r="D2334" s="18" t="s">
        <v>1020</v>
      </c>
      <c r="E2334" s="18" t="s">
        <v>713</v>
      </c>
      <c r="F2334" s="18" t="s">
        <v>714</v>
      </c>
      <c r="G2334" s="18" t="s">
        <v>677</v>
      </c>
      <c r="H2334" s="18" t="s">
        <v>789</v>
      </c>
      <c r="I2334" s="315">
        <v>30.493386989353731</v>
      </c>
      <c r="J2334" s="315">
        <v>7.0175607327770963E-4</v>
      </c>
      <c r="K2334" s="316" t="str">
        <f t="shared" si="46"/>
        <v>Commercial Equipment</v>
      </c>
      <c r="L2334" s="316" t="str">
        <f t="shared" si="47"/>
        <v>Diesel</v>
      </c>
      <c r="M2334" s="194"/>
      <c r="N2334" s="317"/>
      <c r="O2334" s="317"/>
      <c r="P2334" s="317"/>
      <c r="Q2334" s="317"/>
      <c r="R2334" s="317"/>
      <c r="S2334" s="317"/>
      <c r="T2334" s="317"/>
      <c r="U2334" s="317"/>
      <c r="V2334" s="317"/>
      <c r="W2334" s="317"/>
      <c r="X2334" s="317"/>
      <c r="Y2334" s="317"/>
      <c r="Z2334" s="317"/>
    </row>
    <row r="2335" spans="1:26" x14ac:dyDescent="0.25">
      <c r="A2335" s="314"/>
      <c r="B2335" s="18">
        <v>2023</v>
      </c>
      <c r="C2335" s="18" t="s">
        <v>781</v>
      </c>
      <c r="D2335" s="18" t="s">
        <v>807</v>
      </c>
      <c r="E2335" s="18" t="s">
        <v>703</v>
      </c>
      <c r="F2335" s="18" t="s">
        <v>805</v>
      </c>
      <c r="G2335" s="18" t="s">
        <v>673</v>
      </c>
      <c r="H2335" s="18" t="s">
        <v>749</v>
      </c>
      <c r="I2335" s="315">
        <v>30.481704018053698</v>
      </c>
      <c r="J2335" s="315">
        <v>5.7021044386666525E-2</v>
      </c>
      <c r="K2335" s="316" t="str">
        <f t="shared" si="46"/>
        <v>Lawn and Garden Equipment</v>
      </c>
      <c r="L2335" s="316" t="str">
        <f t="shared" si="47"/>
        <v>Gasoline</v>
      </c>
      <c r="M2335" s="194"/>
      <c r="N2335" s="317"/>
      <c r="O2335" s="317"/>
      <c r="P2335" s="317"/>
      <c r="Q2335" s="317"/>
      <c r="R2335" s="317"/>
      <c r="S2335" s="317"/>
      <c r="T2335" s="317"/>
      <c r="U2335" s="317"/>
      <c r="V2335" s="317"/>
      <c r="W2335" s="317"/>
      <c r="X2335" s="317"/>
      <c r="Y2335" s="317"/>
      <c r="Z2335" s="317"/>
    </row>
    <row r="2336" spans="1:26" x14ac:dyDescent="0.25">
      <c r="A2336" s="314"/>
      <c r="B2336" s="18">
        <v>2023</v>
      </c>
      <c r="C2336" s="18" t="s">
        <v>701</v>
      </c>
      <c r="D2336" s="18" t="s">
        <v>1227</v>
      </c>
      <c r="E2336" s="18" t="s">
        <v>56</v>
      </c>
      <c r="F2336" s="18" t="s">
        <v>672</v>
      </c>
      <c r="G2336" s="18" t="s">
        <v>674</v>
      </c>
      <c r="H2336" s="18" t="s">
        <v>850</v>
      </c>
      <c r="I2336" s="315">
        <v>30.315318522181602</v>
      </c>
      <c r="J2336" s="315">
        <v>1.9467298354308303E-3</v>
      </c>
      <c r="K2336" s="316" t="str">
        <f t="shared" si="46"/>
        <v>Construction and Mining Equipment</v>
      </c>
      <c r="L2336" s="316" t="str">
        <f t="shared" si="47"/>
        <v>LPG</v>
      </c>
      <c r="M2336" s="194"/>
      <c r="N2336" s="317"/>
      <c r="O2336" s="317"/>
      <c r="P2336" s="317"/>
      <c r="Q2336" s="317"/>
      <c r="R2336" s="317"/>
      <c r="S2336" s="317"/>
      <c r="T2336" s="317"/>
      <c r="U2336" s="317"/>
      <c r="V2336" s="317"/>
      <c r="W2336" s="317"/>
      <c r="X2336" s="317"/>
      <c r="Y2336" s="317"/>
      <c r="Z2336" s="317"/>
    </row>
    <row r="2337" spans="1:26" x14ac:dyDescent="0.25">
      <c r="A2337" s="314"/>
      <c r="B2337" s="18">
        <v>2023</v>
      </c>
      <c r="C2337" s="18" t="s">
        <v>792</v>
      </c>
      <c r="D2337" s="18" t="s">
        <v>803</v>
      </c>
      <c r="E2337" s="18" t="s">
        <v>703</v>
      </c>
      <c r="F2337" s="18" t="s">
        <v>805</v>
      </c>
      <c r="G2337" s="18" t="s">
        <v>673</v>
      </c>
      <c r="H2337" s="18" t="s">
        <v>806</v>
      </c>
      <c r="I2337" s="315">
        <v>30.22589732242513</v>
      </c>
      <c r="J2337" s="315">
        <v>5.9823863625925865E-2</v>
      </c>
      <c r="K2337" s="316" t="str">
        <f t="shared" si="46"/>
        <v>Lawn and Garden Equipment</v>
      </c>
      <c r="L2337" s="316" t="str">
        <f t="shared" si="47"/>
        <v>Gasoline</v>
      </c>
      <c r="M2337" s="194"/>
      <c r="N2337" s="317"/>
      <c r="O2337" s="317"/>
      <c r="P2337" s="317"/>
      <c r="Q2337" s="317"/>
      <c r="R2337" s="317"/>
      <c r="S2337" s="317"/>
      <c r="T2337" s="317"/>
      <c r="U2337" s="317"/>
      <c r="V2337" s="317"/>
      <c r="W2337" s="317"/>
      <c r="X2337" s="317"/>
      <c r="Y2337" s="317"/>
      <c r="Z2337" s="317"/>
    </row>
    <row r="2338" spans="1:26" x14ac:dyDescent="0.25">
      <c r="A2338" s="314"/>
      <c r="B2338" s="18">
        <v>2023</v>
      </c>
      <c r="C2338" s="18" t="s">
        <v>781</v>
      </c>
      <c r="D2338" s="18" t="s">
        <v>858</v>
      </c>
      <c r="E2338" s="18" t="s">
        <v>713</v>
      </c>
      <c r="F2338" s="18" t="s">
        <v>714</v>
      </c>
      <c r="G2338" s="18" t="s">
        <v>674</v>
      </c>
      <c r="H2338" s="18" t="s">
        <v>859</v>
      </c>
      <c r="I2338" s="315">
        <v>30.211884638775445</v>
      </c>
      <c r="J2338" s="315">
        <v>2.6817328707630345E-4</v>
      </c>
      <c r="K2338" s="316" t="str">
        <f t="shared" si="46"/>
        <v>Construction and Mining Equipment</v>
      </c>
      <c r="L2338" s="316" t="str">
        <f t="shared" si="47"/>
        <v>Diesel</v>
      </c>
      <c r="M2338" s="194"/>
      <c r="N2338" s="317"/>
      <c r="O2338" s="317"/>
      <c r="P2338" s="317"/>
      <c r="Q2338" s="317"/>
      <c r="R2338" s="317"/>
      <c r="S2338" s="317"/>
      <c r="T2338" s="317"/>
      <c r="U2338" s="317"/>
      <c r="V2338" s="317"/>
      <c r="W2338" s="317"/>
      <c r="X2338" s="317"/>
      <c r="Y2338" s="317"/>
      <c r="Z2338" s="317"/>
    </row>
    <row r="2339" spans="1:26" x14ac:dyDescent="0.25">
      <c r="A2339" s="314"/>
      <c r="B2339" s="18">
        <v>2023</v>
      </c>
      <c r="C2339" s="18" t="s">
        <v>722</v>
      </c>
      <c r="D2339" s="18" t="s">
        <v>1076</v>
      </c>
      <c r="E2339" s="18" t="s">
        <v>703</v>
      </c>
      <c r="F2339" s="18" t="s">
        <v>704</v>
      </c>
      <c r="G2339" s="18" t="s">
        <v>674</v>
      </c>
      <c r="H2339" s="18" t="s">
        <v>756</v>
      </c>
      <c r="I2339" s="315">
        <v>30.162399278956403</v>
      </c>
      <c r="J2339" s="315">
        <v>1.3257641803969034E-2</v>
      </c>
      <c r="K2339" s="316" t="str">
        <f t="shared" si="46"/>
        <v>Construction and Mining Equipment</v>
      </c>
      <c r="L2339" s="316" t="str">
        <f t="shared" si="47"/>
        <v>Gasoline</v>
      </c>
      <c r="M2339" s="194"/>
      <c r="N2339" s="317"/>
      <c r="O2339" s="317"/>
      <c r="P2339" s="317"/>
      <c r="Q2339" s="317"/>
      <c r="R2339" s="317"/>
      <c r="S2339" s="317"/>
      <c r="T2339" s="317"/>
      <c r="U2339" s="317"/>
      <c r="V2339" s="317"/>
      <c r="W2339" s="317"/>
      <c r="X2339" s="317"/>
      <c r="Y2339" s="317"/>
      <c r="Z2339" s="317"/>
    </row>
    <row r="2340" spans="1:26" x14ac:dyDescent="0.25">
      <c r="A2340" s="314"/>
      <c r="B2340" s="18">
        <v>2023</v>
      </c>
      <c r="C2340" s="18" t="s">
        <v>778</v>
      </c>
      <c r="D2340" s="18" t="s">
        <v>1073</v>
      </c>
      <c r="E2340" s="18" t="s">
        <v>703</v>
      </c>
      <c r="F2340" s="18" t="s">
        <v>704</v>
      </c>
      <c r="G2340" s="18" t="s">
        <v>674</v>
      </c>
      <c r="H2340" s="18" t="s">
        <v>1072</v>
      </c>
      <c r="I2340" s="315">
        <v>30.157510618716422</v>
      </c>
      <c r="J2340" s="315">
        <v>2.1228665617623654E-2</v>
      </c>
      <c r="K2340" s="316" t="str">
        <f t="shared" si="46"/>
        <v>Construction and Mining Equipment</v>
      </c>
      <c r="L2340" s="316" t="str">
        <f t="shared" si="47"/>
        <v>Gasoline</v>
      </c>
      <c r="M2340" s="194"/>
      <c r="N2340" s="317"/>
      <c r="O2340" s="317"/>
      <c r="P2340" s="317"/>
      <c r="Q2340" s="317"/>
      <c r="R2340" s="317"/>
      <c r="S2340" s="317"/>
      <c r="T2340" s="317"/>
      <c r="U2340" s="317"/>
      <c r="V2340" s="317"/>
      <c r="W2340" s="317"/>
      <c r="X2340" s="317"/>
      <c r="Y2340" s="317"/>
      <c r="Z2340" s="317"/>
    </row>
    <row r="2341" spans="1:26" x14ac:dyDescent="0.25">
      <c r="A2341" s="314"/>
      <c r="B2341" s="18">
        <v>2023</v>
      </c>
      <c r="C2341" s="18" t="s">
        <v>792</v>
      </c>
      <c r="D2341" s="18" t="s">
        <v>1022</v>
      </c>
      <c r="E2341" s="18" t="s">
        <v>703</v>
      </c>
      <c r="F2341" s="18" t="s">
        <v>704</v>
      </c>
      <c r="G2341" s="18" t="s">
        <v>675</v>
      </c>
      <c r="H2341" s="18" t="s">
        <v>772</v>
      </c>
      <c r="I2341" s="315">
        <v>30.134997395727524</v>
      </c>
      <c r="J2341" s="315">
        <v>2.1420137943630219E-3</v>
      </c>
      <c r="K2341" s="316" t="str">
        <f t="shared" si="46"/>
        <v>Industrial Equipment</v>
      </c>
      <c r="L2341" s="316" t="str">
        <f t="shared" si="47"/>
        <v>Gasoline</v>
      </c>
      <c r="M2341" s="194"/>
      <c r="N2341" s="317"/>
      <c r="O2341" s="317"/>
      <c r="P2341" s="317"/>
      <c r="Q2341" s="317"/>
      <c r="R2341" s="317"/>
      <c r="S2341" s="317"/>
      <c r="T2341" s="317"/>
      <c r="U2341" s="317"/>
      <c r="V2341" s="317"/>
      <c r="W2341" s="317"/>
      <c r="X2341" s="317"/>
      <c r="Y2341" s="317"/>
      <c r="Z2341" s="317"/>
    </row>
    <row r="2342" spans="1:26" x14ac:dyDescent="0.25">
      <c r="A2342" s="314"/>
      <c r="B2342" s="18">
        <v>2023</v>
      </c>
      <c r="C2342" s="18" t="s">
        <v>778</v>
      </c>
      <c r="D2342" s="18" t="s">
        <v>968</v>
      </c>
      <c r="E2342" s="18" t="s">
        <v>703</v>
      </c>
      <c r="F2342" s="18" t="s">
        <v>704</v>
      </c>
      <c r="G2342" s="18" t="s">
        <v>675</v>
      </c>
      <c r="H2342" s="18" t="s">
        <v>969</v>
      </c>
      <c r="I2342" s="315">
        <v>30.124743842314029</v>
      </c>
      <c r="J2342" s="315">
        <v>9.6201943461067408E-3</v>
      </c>
      <c r="K2342" s="316" t="str">
        <f t="shared" si="46"/>
        <v>Industrial Equipment</v>
      </c>
      <c r="L2342" s="316" t="str">
        <f t="shared" si="47"/>
        <v>Gasoline</v>
      </c>
      <c r="M2342" s="194"/>
      <c r="N2342" s="317"/>
      <c r="O2342" s="317"/>
      <c r="P2342" s="317"/>
      <c r="Q2342" s="317"/>
      <c r="R2342" s="317"/>
      <c r="S2342" s="317"/>
      <c r="T2342" s="317"/>
      <c r="U2342" s="317"/>
      <c r="V2342" s="317"/>
      <c r="W2342" s="317"/>
      <c r="X2342" s="317"/>
      <c r="Y2342" s="317"/>
      <c r="Z2342" s="317"/>
    </row>
    <row r="2343" spans="1:26" x14ac:dyDescent="0.25">
      <c r="A2343" s="314"/>
      <c r="B2343" s="18">
        <v>2023</v>
      </c>
      <c r="C2343" s="18" t="s">
        <v>750</v>
      </c>
      <c r="D2343" s="18" t="s">
        <v>1014</v>
      </c>
      <c r="E2343" s="18" t="s">
        <v>713</v>
      </c>
      <c r="F2343" s="18" t="s">
        <v>714</v>
      </c>
      <c r="G2343" s="18" t="s">
        <v>674</v>
      </c>
      <c r="H2343" s="18" t="s">
        <v>994</v>
      </c>
      <c r="I2343" s="315">
        <v>30.119706649930801</v>
      </c>
      <c r="J2343" s="315">
        <v>3.9234259405141971E-4</v>
      </c>
      <c r="K2343" s="316" t="str">
        <f t="shared" ref="K2343:K2597" si="48">IF(F2343="Pleasure Craft","Pleasure Craft",IF(F2343="Railroad Equipment","Railroad Equipment",G2343))</f>
        <v>Construction and Mining Equipment</v>
      </c>
      <c r="L2343" s="316" t="str">
        <f t="shared" ref="L2343:L2597" si="49">IF(E2343="Non-Road Gasoline","Gasoline",IF(E2343="Non-Road Diesel","Diesel",IF(RIGHT(F2343,3)="LPG","LPG",IF(RIGHT(F2343,3)="CNG","CNG",G2343))))</f>
        <v>Diesel</v>
      </c>
      <c r="M2343" s="194"/>
      <c r="N2343" s="317"/>
      <c r="O2343" s="317"/>
      <c r="P2343" s="317"/>
      <c r="Q2343" s="317"/>
      <c r="R2343" s="317"/>
      <c r="S2343" s="317"/>
      <c r="T2343" s="317"/>
      <c r="U2343" s="317"/>
      <c r="V2343" s="317"/>
      <c r="W2343" s="317"/>
      <c r="X2343" s="317"/>
      <c r="Y2343" s="317"/>
      <c r="Z2343" s="317"/>
    </row>
    <row r="2344" spans="1:26" x14ac:dyDescent="0.25">
      <c r="A2344" s="314"/>
      <c r="B2344" s="18">
        <v>2023</v>
      </c>
      <c r="C2344" s="18" t="s">
        <v>778</v>
      </c>
      <c r="D2344" s="18" t="s">
        <v>1074</v>
      </c>
      <c r="E2344" s="18" t="s">
        <v>713</v>
      </c>
      <c r="F2344" s="18" t="s">
        <v>714</v>
      </c>
      <c r="G2344" s="18" t="s">
        <v>674</v>
      </c>
      <c r="H2344" s="18" t="s">
        <v>967</v>
      </c>
      <c r="I2344" s="315">
        <v>30.067444098576054</v>
      </c>
      <c r="J2344" s="315">
        <v>5.1669420856533302E-4</v>
      </c>
      <c r="K2344" s="316" t="str">
        <f t="shared" si="48"/>
        <v>Construction and Mining Equipment</v>
      </c>
      <c r="L2344" s="316" t="str">
        <f t="shared" si="49"/>
        <v>Diesel</v>
      </c>
      <c r="M2344" s="194"/>
      <c r="N2344" s="317"/>
      <c r="O2344" s="317"/>
      <c r="P2344" s="317"/>
      <c r="Q2344" s="317"/>
      <c r="R2344" s="317"/>
      <c r="S2344" s="317"/>
      <c r="T2344" s="317"/>
      <c r="U2344" s="317"/>
      <c r="V2344" s="317"/>
      <c r="W2344" s="317"/>
      <c r="X2344" s="317"/>
      <c r="Y2344" s="317"/>
      <c r="Z2344" s="317"/>
    </row>
    <row r="2345" spans="1:26" x14ac:dyDescent="0.25">
      <c r="A2345" s="314"/>
      <c r="B2345" s="18">
        <v>2023</v>
      </c>
      <c r="C2345" s="18" t="s">
        <v>731</v>
      </c>
      <c r="D2345" s="18" t="s">
        <v>1019</v>
      </c>
      <c r="E2345" s="18" t="s">
        <v>703</v>
      </c>
      <c r="F2345" s="18" t="s">
        <v>805</v>
      </c>
      <c r="G2345" s="18" t="s">
        <v>679</v>
      </c>
      <c r="H2345" s="18" t="s">
        <v>852</v>
      </c>
      <c r="I2345" s="315">
        <v>30.044646354397731</v>
      </c>
      <c r="J2345" s="315">
        <v>4.1824520859391229E-2</v>
      </c>
      <c r="K2345" s="316" t="str">
        <f t="shared" si="48"/>
        <v>Recreational Equipment</v>
      </c>
      <c r="L2345" s="316" t="str">
        <f t="shared" si="49"/>
        <v>Gasoline</v>
      </c>
      <c r="M2345" s="194"/>
      <c r="N2345" s="317"/>
      <c r="O2345" s="317"/>
      <c r="P2345" s="317"/>
      <c r="Q2345" s="317"/>
      <c r="R2345" s="317"/>
      <c r="S2345" s="317"/>
      <c r="T2345" s="317"/>
      <c r="U2345" s="317"/>
      <c r="V2345" s="317"/>
      <c r="W2345" s="317"/>
      <c r="X2345" s="317"/>
      <c r="Y2345" s="317"/>
      <c r="Z2345" s="317"/>
    </row>
    <row r="2346" spans="1:26" x14ac:dyDescent="0.25">
      <c r="A2346" s="314"/>
      <c r="B2346" s="18">
        <v>2023</v>
      </c>
      <c r="C2346" s="18" t="s">
        <v>722</v>
      </c>
      <c r="D2346" s="18" t="s">
        <v>1019</v>
      </c>
      <c r="E2346" s="18" t="s">
        <v>703</v>
      </c>
      <c r="F2346" s="18" t="s">
        <v>805</v>
      </c>
      <c r="G2346" s="18" t="s">
        <v>679</v>
      </c>
      <c r="H2346" s="18" t="s">
        <v>852</v>
      </c>
      <c r="I2346" s="315">
        <v>30.044646354397731</v>
      </c>
      <c r="J2346" s="315">
        <v>4.1824520859391229E-2</v>
      </c>
      <c r="K2346" s="316" t="str">
        <f t="shared" si="48"/>
        <v>Recreational Equipment</v>
      </c>
      <c r="L2346" s="316" t="str">
        <f t="shared" si="49"/>
        <v>Gasoline</v>
      </c>
      <c r="M2346" s="194"/>
      <c r="N2346" s="317"/>
      <c r="O2346" s="317"/>
      <c r="P2346" s="317"/>
      <c r="Q2346" s="317"/>
      <c r="R2346" s="317"/>
      <c r="S2346" s="317"/>
      <c r="T2346" s="317"/>
      <c r="U2346" s="317"/>
      <c r="V2346" s="317"/>
      <c r="W2346" s="317"/>
      <c r="X2346" s="317"/>
      <c r="Y2346" s="317"/>
      <c r="Z2346" s="317"/>
    </row>
    <row r="2347" spans="1:26" x14ac:dyDescent="0.25">
      <c r="A2347" s="314"/>
      <c r="B2347" s="18">
        <v>2023</v>
      </c>
      <c r="C2347" s="18" t="s">
        <v>810</v>
      </c>
      <c r="D2347" s="18" t="s">
        <v>973</v>
      </c>
      <c r="E2347" s="18" t="s">
        <v>703</v>
      </c>
      <c r="F2347" s="18" t="s">
        <v>795</v>
      </c>
      <c r="G2347" s="18" t="s">
        <v>673</v>
      </c>
      <c r="H2347" s="18" t="s">
        <v>974</v>
      </c>
      <c r="I2347" s="315">
        <v>30.035433576627401</v>
      </c>
      <c r="J2347" s="315">
        <v>5.7356040399409683E-2</v>
      </c>
      <c r="K2347" s="316" t="str">
        <f t="shared" si="48"/>
        <v>Lawn and Garden Equipment</v>
      </c>
      <c r="L2347" s="316" t="str">
        <f t="shared" si="49"/>
        <v>Gasoline</v>
      </c>
      <c r="M2347" s="194"/>
      <c r="N2347" s="317"/>
      <c r="O2347" s="317"/>
      <c r="P2347" s="317"/>
      <c r="Q2347" s="317"/>
      <c r="R2347" s="317"/>
      <c r="S2347" s="317"/>
      <c r="T2347" s="317"/>
      <c r="U2347" s="317"/>
      <c r="V2347" s="317"/>
      <c r="W2347" s="317"/>
      <c r="X2347" s="317"/>
      <c r="Y2347" s="317"/>
      <c r="Z2347" s="317"/>
    </row>
    <row r="2348" spans="1:26" x14ac:dyDescent="0.25">
      <c r="A2348" s="314"/>
      <c r="B2348" s="18">
        <v>2023</v>
      </c>
      <c r="C2348" s="18" t="s">
        <v>778</v>
      </c>
      <c r="D2348" s="18" t="s">
        <v>962</v>
      </c>
      <c r="E2348" s="18" t="s">
        <v>703</v>
      </c>
      <c r="F2348" s="18" t="s">
        <v>704</v>
      </c>
      <c r="G2348" s="18" t="s">
        <v>673</v>
      </c>
      <c r="H2348" s="18" t="s">
        <v>963</v>
      </c>
      <c r="I2348" s="315">
        <v>30.027175067821286</v>
      </c>
      <c r="J2348" s="315">
        <v>2.069337124990157E-2</v>
      </c>
      <c r="K2348" s="316" t="str">
        <f t="shared" si="48"/>
        <v>Lawn and Garden Equipment</v>
      </c>
      <c r="L2348" s="316" t="str">
        <f t="shared" si="49"/>
        <v>Gasoline</v>
      </c>
      <c r="M2348" s="194"/>
      <c r="N2348" s="317"/>
      <c r="O2348" s="317"/>
      <c r="P2348" s="317"/>
      <c r="Q2348" s="317"/>
      <c r="R2348" s="317"/>
      <c r="S2348" s="317"/>
      <c r="T2348" s="317"/>
      <c r="U2348" s="317"/>
      <c r="V2348" s="317"/>
      <c r="W2348" s="317"/>
      <c r="X2348" s="317"/>
      <c r="Y2348" s="317"/>
      <c r="Z2348" s="317"/>
    </row>
    <row r="2349" spans="1:26" x14ac:dyDescent="0.25">
      <c r="A2349" s="314"/>
      <c r="B2349" s="18">
        <v>2023</v>
      </c>
      <c r="C2349" s="18" t="s">
        <v>787</v>
      </c>
      <c r="D2349" s="18" t="s">
        <v>868</v>
      </c>
      <c r="E2349" s="18" t="s">
        <v>703</v>
      </c>
      <c r="F2349" s="18" t="s">
        <v>704</v>
      </c>
      <c r="G2349" s="18" t="s">
        <v>673</v>
      </c>
      <c r="H2349" s="18" t="s">
        <v>758</v>
      </c>
      <c r="I2349" s="315">
        <v>29.897115241154602</v>
      </c>
      <c r="J2349" s="315">
        <v>1.960342783854023E-2</v>
      </c>
      <c r="K2349" s="316" t="str">
        <f t="shared" si="48"/>
        <v>Lawn and Garden Equipment</v>
      </c>
      <c r="L2349" s="316" t="str">
        <f t="shared" si="49"/>
        <v>Gasoline</v>
      </c>
      <c r="M2349" s="194"/>
      <c r="N2349" s="317"/>
      <c r="O2349" s="317"/>
      <c r="P2349" s="317"/>
      <c r="Q2349" s="317"/>
      <c r="R2349" s="317"/>
      <c r="S2349" s="317"/>
      <c r="T2349" s="317"/>
      <c r="U2349" s="317"/>
      <c r="V2349" s="317"/>
      <c r="W2349" s="317"/>
      <c r="X2349" s="317"/>
      <c r="Y2349" s="317"/>
      <c r="Z2349" s="317"/>
    </row>
    <row r="2350" spans="1:26" x14ac:dyDescent="0.25">
      <c r="A2350" s="314"/>
      <c r="B2350" s="18">
        <v>2023</v>
      </c>
      <c r="C2350" s="18" t="s">
        <v>750</v>
      </c>
      <c r="D2350" s="18" t="s">
        <v>898</v>
      </c>
      <c r="E2350" s="18" t="s">
        <v>703</v>
      </c>
      <c r="F2350" s="18" t="s">
        <v>795</v>
      </c>
      <c r="G2350" s="18" t="s">
        <v>673</v>
      </c>
      <c r="H2350" s="18" t="s">
        <v>899</v>
      </c>
      <c r="I2350" s="315">
        <v>29.811686426735967</v>
      </c>
      <c r="J2350" s="315">
        <v>0.20382090232279859</v>
      </c>
      <c r="K2350" s="316" t="str">
        <f t="shared" si="48"/>
        <v>Lawn and Garden Equipment</v>
      </c>
      <c r="L2350" s="316" t="str">
        <f t="shared" si="49"/>
        <v>Gasoline</v>
      </c>
      <c r="M2350" s="194"/>
      <c r="N2350" s="317"/>
      <c r="O2350" s="317"/>
      <c r="P2350" s="317"/>
      <c r="Q2350" s="317"/>
      <c r="R2350" s="317"/>
      <c r="S2350" s="317"/>
      <c r="T2350" s="317"/>
      <c r="U2350" s="317"/>
      <c r="V2350" s="317"/>
      <c r="W2350" s="317"/>
      <c r="X2350" s="317"/>
      <c r="Y2350" s="317"/>
      <c r="Z2350" s="317"/>
    </row>
    <row r="2351" spans="1:26" x14ac:dyDescent="0.25">
      <c r="A2351" s="314"/>
      <c r="B2351" s="18">
        <v>2023</v>
      </c>
      <c r="C2351" s="18" t="s">
        <v>787</v>
      </c>
      <c r="D2351" s="18" t="s">
        <v>1022</v>
      </c>
      <c r="E2351" s="18" t="s">
        <v>703</v>
      </c>
      <c r="F2351" s="18" t="s">
        <v>704</v>
      </c>
      <c r="G2351" s="18" t="s">
        <v>675</v>
      </c>
      <c r="H2351" s="18" t="s">
        <v>772</v>
      </c>
      <c r="I2351" s="315">
        <v>29.703455443823113</v>
      </c>
      <c r="J2351" s="315">
        <v>2.1002036936760933E-3</v>
      </c>
      <c r="K2351" s="316" t="str">
        <f t="shared" si="48"/>
        <v>Industrial Equipment</v>
      </c>
      <c r="L2351" s="316" t="str">
        <f t="shared" si="49"/>
        <v>Gasoline</v>
      </c>
      <c r="M2351" s="194"/>
      <c r="N2351" s="317"/>
      <c r="O2351" s="317"/>
      <c r="P2351" s="317"/>
      <c r="Q2351" s="317"/>
      <c r="R2351" s="317"/>
      <c r="S2351" s="317"/>
      <c r="T2351" s="317"/>
      <c r="U2351" s="317"/>
      <c r="V2351" s="317"/>
      <c r="W2351" s="317"/>
      <c r="X2351" s="317"/>
      <c r="Y2351" s="317"/>
      <c r="Z2351" s="317"/>
    </row>
    <row r="2352" spans="1:26" x14ac:dyDescent="0.25">
      <c r="A2352" s="314"/>
      <c r="B2352" s="18">
        <v>2023</v>
      </c>
      <c r="C2352" s="18" t="s">
        <v>762</v>
      </c>
      <c r="D2352" s="18" t="s">
        <v>966</v>
      </c>
      <c r="E2352" s="18" t="s">
        <v>703</v>
      </c>
      <c r="F2352" s="18" t="s">
        <v>704</v>
      </c>
      <c r="G2352" s="18" t="s">
        <v>674</v>
      </c>
      <c r="H2352" s="18" t="s">
        <v>967</v>
      </c>
      <c r="I2352" s="315">
        <v>29.668612257383213</v>
      </c>
      <c r="J2352" s="315">
        <v>2.0509216988857888E-2</v>
      </c>
      <c r="K2352" s="316" t="str">
        <f t="shared" si="48"/>
        <v>Construction and Mining Equipment</v>
      </c>
      <c r="L2352" s="316" t="str">
        <f t="shared" si="49"/>
        <v>Gasoline</v>
      </c>
      <c r="M2352" s="194"/>
      <c r="N2352" s="317"/>
      <c r="O2352" s="317"/>
      <c r="P2352" s="317"/>
      <c r="Q2352" s="317"/>
      <c r="R2352" s="317"/>
      <c r="S2352" s="317"/>
      <c r="T2352" s="317"/>
      <c r="U2352" s="317"/>
      <c r="V2352" s="317"/>
      <c r="W2352" s="317"/>
      <c r="X2352" s="317"/>
      <c r="Y2352" s="317"/>
      <c r="Z2352" s="317"/>
    </row>
    <row r="2353" spans="1:26" x14ac:dyDescent="0.25">
      <c r="A2353" s="314"/>
      <c r="B2353" s="18">
        <v>2023</v>
      </c>
      <c r="C2353" s="18" t="s">
        <v>754</v>
      </c>
      <c r="D2353" s="18" t="s">
        <v>1023</v>
      </c>
      <c r="E2353" s="18" t="s">
        <v>703</v>
      </c>
      <c r="F2353" s="18" t="s">
        <v>704</v>
      </c>
      <c r="G2353" s="18" t="s">
        <v>674</v>
      </c>
      <c r="H2353" s="18" t="s">
        <v>736</v>
      </c>
      <c r="I2353" s="315">
        <v>29.620038702783958</v>
      </c>
      <c r="J2353" s="315">
        <v>1.9789565362389752E-2</v>
      </c>
      <c r="K2353" s="316" t="str">
        <f t="shared" si="48"/>
        <v>Construction and Mining Equipment</v>
      </c>
      <c r="L2353" s="316" t="str">
        <f t="shared" si="49"/>
        <v>Gasoline</v>
      </c>
      <c r="M2353" s="194"/>
      <c r="N2353" s="317"/>
      <c r="O2353" s="317"/>
      <c r="P2353" s="317"/>
      <c r="Q2353" s="317"/>
      <c r="R2353" s="317"/>
      <c r="S2353" s="317"/>
      <c r="T2353" s="317"/>
      <c r="U2353" s="317"/>
      <c r="V2353" s="317"/>
      <c r="W2353" s="317"/>
      <c r="X2353" s="317"/>
      <c r="Y2353" s="317"/>
      <c r="Z2353" s="317"/>
    </row>
    <row r="2354" spans="1:26" x14ac:dyDescent="0.25">
      <c r="A2354" s="314"/>
      <c r="B2354" s="18">
        <v>2023</v>
      </c>
      <c r="C2354" s="18" t="s">
        <v>781</v>
      </c>
      <c r="D2354" s="18" t="s">
        <v>860</v>
      </c>
      <c r="E2354" s="18" t="s">
        <v>713</v>
      </c>
      <c r="F2354" s="18" t="s">
        <v>714</v>
      </c>
      <c r="G2354" s="18" t="s">
        <v>674</v>
      </c>
      <c r="H2354" s="18" t="s">
        <v>861</v>
      </c>
      <c r="I2354" s="315">
        <v>29.555390258596894</v>
      </c>
      <c r="J2354" s="315">
        <v>4.8982672232959171E-4</v>
      </c>
      <c r="K2354" s="316" t="str">
        <f t="shared" si="48"/>
        <v>Construction and Mining Equipment</v>
      </c>
      <c r="L2354" s="316" t="str">
        <f t="shared" si="49"/>
        <v>Diesel</v>
      </c>
      <c r="M2354" s="194"/>
      <c r="N2354" s="317"/>
      <c r="O2354" s="317"/>
      <c r="P2354" s="317"/>
      <c r="Q2354" s="317"/>
      <c r="R2354" s="317"/>
      <c r="S2354" s="317"/>
      <c r="T2354" s="317"/>
      <c r="U2354" s="317"/>
      <c r="V2354" s="317"/>
      <c r="W2354" s="317"/>
      <c r="X2354" s="317"/>
      <c r="Y2354" s="317"/>
      <c r="Z2354" s="317"/>
    </row>
    <row r="2355" spans="1:26" x14ac:dyDescent="0.25">
      <c r="A2355" s="314"/>
      <c r="B2355" s="18">
        <v>2023</v>
      </c>
      <c r="C2355" s="18" t="s">
        <v>762</v>
      </c>
      <c r="D2355" s="18" t="s">
        <v>977</v>
      </c>
      <c r="E2355" s="18" t="s">
        <v>703</v>
      </c>
      <c r="F2355" s="18" t="s">
        <v>805</v>
      </c>
      <c r="G2355" s="18" t="s">
        <v>673</v>
      </c>
      <c r="H2355" s="18" t="s">
        <v>978</v>
      </c>
      <c r="I2355" s="315">
        <v>29.548526577277546</v>
      </c>
      <c r="J2355" s="315">
        <v>5.0314557258838426E-2</v>
      </c>
      <c r="K2355" s="316" t="str">
        <f t="shared" si="48"/>
        <v>Lawn and Garden Equipment</v>
      </c>
      <c r="L2355" s="316" t="str">
        <f t="shared" si="49"/>
        <v>Gasoline</v>
      </c>
      <c r="M2355" s="194"/>
      <c r="N2355" s="317"/>
      <c r="O2355" s="317"/>
      <c r="P2355" s="317"/>
      <c r="Q2355" s="317"/>
      <c r="R2355" s="317"/>
      <c r="S2355" s="317"/>
      <c r="T2355" s="317"/>
      <c r="U2355" s="317"/>
      <c r="V2355" s="317"/>
      <c r="W2355" s="317"/>
      <c r="X2355" s="317"/>
      <c r="Y2355" s="317"/>
      <c r="Z2355" s="317"/>
    </row>
    <row r="2356" spans="1:26" x14ac:dyDescent="0.25">
      <c r="A2356" s="314"/>
      <c r="B2356" s="18">
        <v>2023</v>
      </c>
      <c r="C2356" s="18" t="s">
        <v>753</v>
      </c>
      <c r="D2356" s="18" t="s">
        <v>980</v>
      </c>
      <c r="E2356" s="18" t="s">
        <v>713</v>
      </c>
      <c r="F2356" s="18" t="s">
        <v>714</v>
      </c>
      <c r="G2356" s="18" t="s">
        <v>674</v>
      </c>
      <c r="H2356" s="18" t="s">
        <v>981</v>
      </c>
      <c r="I2356" s="315">
        <v>29.483481750985472</v>
      </c>
      <c r="J2356" s="315">
        <v>1.2941601037557929E-3</v>
      </c>
      <c r="K2356" s="316" t="str">
        <f t="shared" si="48"/>
        <v>Construction and Mining Equipment</v>
      </c>
      <c r="L2356" s="316" t="str">
        <f t="shared" si="49"/>
        <v>Diesel</v>
      </c>
      <c r="M2356" s="194"/>
      <c r="N2356" s="317"/>
      <c r="O2356" s="317"/>
      <c r="P2356" s="317"/>
      <c r="Q2356" s="317"/>
      <c r="R2356" s="317"/>
      <c r="S2356" s="317"/>
      <c r="T2356" s="317"/>
      <c r="U2356" s="317"/>
      <c r="V2356" s="317"/>
      <c r="W2356" s="317"/>
      <c r="X2356" s="317"/>
      <c r="Y2356" s="317"/>
      <c r="Z2356" s="317"/>
    </row>
    <row r="2357" spans="1:26" x14ac:dyDescent="0.25">
      <c r="A2357" s="314"/>
      <c r="B2357" s="18">
        <v>2023</v>
      </c>
      <c r="C2357" s="18" t="s">
        <v>810</v>
      </c>
      <c r="D2357" s="18" t="s">
        <v>1153</v>
      </c>
      <c r="E2357" s="18" t="s">
        <v>713</v>
      </c>
      <c r="F2357" s="18" t="s">
        <v>714</v>
      </c>
      <c r="G2357" s="18" t="s">
        <v>678</v>
      </c>
      <c r="H2357" s="18" t="s">
        <v>1154</v>
      </c>
      <c r="I2357" s="315">
        <v>29.475300229582032</v>
      </c>
      <c r="J2357" s="315">
        <v>3.8470904543755672E-4</v>
      </c>
      <c r="K2357" s="316" t="str">
        <f t="shared" si="48"/>
        <v>Agricultural Equipment</v>
      </c>
      <c r="L2357" s="316" t="str">
        <f t="shared" si="49"/>
        <v>Diesel</v>
      </c>
      <c r="M2357" s="194"/>
      <c r="N2357" s="317"/>
      <c r="O2357" s="317"/>
      <c r="P2357" s="317"/>
      <c r="Q2357" s="317"/>
      <c r="R2357" s="317"/>
      <c r="S2357" s="317"/>
      <c r="T2357" s="317"/>
      <c r="U2357" s="317"/>
      <c r="V2357" s="317"/>
      <c r="W2357" s="317"/>
      <c r="X2357" s="317"/>
      <c r="Y2357" s="317"/>
      <c r="Z2357" s="317"/>
    </row>
    <row r="2358" spans="1:26" x14ac:dyDescent="0.25">
      <c r="A2358" s="314"/>
      <c r="B2358" s="18">
        <v>2023</v>
      </c>
      <c r="C2358" s="18" t="s">
        <v>701</v>
      </c>
      <c r="D2358" s="18" t="s">
        <v>1349</v>
      </c>
      <c r="E2358" s="18" t="s">
        <v>703</v>
      </c>
      <c r="F2358" s="18" t="s">
        <v>704</v>
      </c>
      <c r="G2358" s="18" t="s">
        <v>673</v>
      </c>
      <c r="H2358" s="18" t="s">
        <v>978</v>
      </c>
      <c r="I2358" s="315">
        <v>29.459083874915191</v>
      </c>
      <c r="J2358" s="315">
        <v>2.0525306400130682E-2</v>
      </c>
      <c r="K2358" s="316" t="str">
        <f t="shared" si="48"/>
        <v>Lawn and Garden Equipment</v>
      </c>
      <c r="L2358" s="316" t="str">
        <f t="shared" si="49"/>
        <v>Gasoline</v>
      </c>
      <c r="M2358" s="194"/>
      <c r="N2358" s="317"/>
      <c r="O2358" s="317"/>
      <c r="P2358" s="317"/>
      <c r="Q2358" s="317"/>
      <c r="R2358" s="317"/>
      <c r="S2358" s="317"/>
      <c r="T2358" s="317"/>
      <c r="U2358" s="317"/>
      <c r="V2358" s="317"/>
      <c r="W2358" s="317"/>
      <c r="X2358" s="317"/>
      <c r="Y2358" s="317"/>
      <c r="Z2358" s="317"/>
    </row>
    <row r="2359" spans="1:26" x14ac:dyDescent="0.25">
      <c r="A2359" s="314"/>
      <c r="B2359" s="18">
        <v>2023</v>
      </c>
      <c r="C2359" s="18" t="s">
        <v>743</v>
      </c>
      <c r="D2359" s="18" t="s">
        <v>1065</v>
      </c>
      <c r="E2359" s="18" t="s">
        <v>703</v>
      </c>
      <c r="F2359" s="18" t="s">
        <v>795</v>
      </c>
      <c r="G2359" s="18" t="s">
        <v>673</v>
      </c>
      <c r="H2359" s="18" t="s">
        <v>1066</v>
      </c>
      <c r="I2359" s="315">
        <v>29.445038945430234</v>
      </c>
      <c r="J2359" s="315">
        <v>0.20112283445616563</v>
      </c>
      <c r="K2359" s="316" t="str">
        <f t="shared" si="48"/>
        <v>Lawn and Garden Equipment</v>
      </c>
      <c r="L2359" s="316" t="str">
        <f t="shared" si="49"/>
        <v>Gasoline</v>
      </c>
      <c r="M2359" s="194"/>
      <c r="N2359" s="317"/>
      <c r="O2359" s="317"/>
      <c r="P2359" s="317"/>
      <c r="Q2359" s="317"/>
      <c r="R2359" s="317"/>
      <c r="S2359" s="317"/>
      <c r="T2359" s="317"/>
      <c r="U2359" s="317"/>
      <c r="V2359" s="317"/>
      <c r="W2359" s="317"/>
      <c r="X2359" s="317"/>
      <c r="Y2359" s="317"/>
      <c r="Z2359" s="317"/>
    </row>
    <row r="2360" spans="1:26" x14ac:dyDescent="0.25">
      <c r="A2360" s="314"/>
      <c r="B2360" s="18">
        <v>2023</v>
      </c>
      <c r="C2360" s="18" t="s">
        <v>731</v>
      </c>
      <c r="D2360" s="18" t="s">
        <v>1021</v>
      </c>
      <c r="E2360" s="18" t="s">
        <v>703</v>
      </c>
      <c r="F2360" s="18" t="s">
        <v>704</v>
      </c>
      <c r="G2360" s="18" t="s">
        <v>679</v>
      </c>
      <c r="H2360" s="18" t="s">
        <v>983</v>
      </c>
      <c r="I2360" s="315">
        <v>29.297363410028812</v>
      </c>
      <c r="J2360" s="315">
        <v>3.9808405632524094E-2</v>
      </c>
      <c r="K2360" s="316" t="str">
        <f t="shared" si="48"/>
        <v>Recreational Equipment</v>
      </c>
      <c r="L2360" s="316" t="str">
        <f t="shared" si="49"/>
        <v>Gasoline</v>
      </c>
      <c r="M2360" s="194"/>
      <c r="N2360" s="317"/>
      <c r="O2360" s="317"/>
      <c r="P2360" s="317"/>
      <c r="Q2360" s="317"/>
      <c r="R2360" s="317"/>
      <c r="S2360" s="317"/>
      <c r="T2360" s="317"/>
      <c r="U2360" s="317"/>
      <c r="V2360" s="317"/>
      <c r="W2360" s="317"/>
      <c r="X2360" s="317"/>
      <c r="Y2360" s="317"/>
      <c r="Z2360" s="317"/>
    </row>
    <row r="2361" spans="1:26" x14ac:dyDescent="0.25">
      <c r="A2361" s="314"/>
      <c r="B2361" s="18">
        <v>2023</v>
      </c>
      <c r="C2361" s="18" t="s">
        <v>722</v>
      </c>
      <c r="D2361" s="18" t="s">
        <v>1021</v>
      </c>
      <c r="E2361" s="18" t="s">
        <v>703</v>
      </c>
      <c r="F2361" s="18" t="s">
        <v>704</v>
      </c>
      <c r="G2361" s="18" t="s">
        <v>679</v>
      </c>
      <c r="H2361" s="18" t="s">
        <v>983</v>
      </c>
      <c r="I2361" s="315">
        <v>29.297363410028812</v>
      </c>
      <c r="J2361" s="315">
        <v>3.992272804058937E-2</v>
      </c>
      <c r="K2361" s="316" t="str">
        <f t="shared" si="48"/>
        <v>Recreational Equipment</v>
      </c>
      <c r="L2361" s="316" t="str">
        <f t="shared" si="49"/>
        <v>Gasoline</v>
      </c>
      <c r="M2361" s="194"/>
      <c r="N2361" s="317"/>
      <c r="O2361" s="317"/>
      <c r="P2361" s="317"/>
      <c r="Q2361" s="317"/>
      <c r="R2361" s="317"/>
      <c r="S2361" s="317"/>
      <c r="T2361" s="317"/>
      <c r="U2361" s="317"/>
      <c r="V2361" s="317"/>
      <c r="W2361" s="317"/>
      <c r="X2361" s="317"/>
      <c r="Y2361" s="317"/>
      <c r="Z2361" s="317"/>
    </row>
    <row r="2362" spans="1:26" x14ac:dyDescent="0.25">
      <c r="A2362" s="314"/>
      <c r="B2362" s="18">
        <v>2023</v>
      </c>
      <c r="C2362" s="18" t="s">
        <v>773</v>
      </c>
      <c r="D2362" s="18" t="s">
        <v>993</v>
      </c>
      <c r="E2362" s="18" t="s">
        <v>703</v>
      </c>
      <c r="F2362" s="18" t="s">
        <v>704</v>
      </c>
      <c r="G2362" s="18" t="s">
        <v>674</v>
      </c>
      <c r="H2362" s="18" t="s">
        <v>994</v>
      </c>
      <c r="I2362" s="315">
        <v>29.273408088267384</v>
      </c>
      <c r="J2362" s="315">
        <v>1.9452978183722325E-2</v>
      </c>
      <c r="K2362" s="316" t="str">
        <f t="shared" si="48"/>
        <v>Construction and Mining Equipment</v>
      </c>
      <c r="L2362" s="316" t="str">
        <f t="shared" si="49"/>
        <v>Gasoline</v>
      </c>
      <c r="M2362" s="194"/>
      <c r="N2362" s="317"/>
      <c r="O2362" s="317"/>
      <c r="P2362" s="317"/>
      <c r="Q2362" s="317"/>
      <c r="R2362" s="317"/>
      <c r="S2362" s="317"/>
      <c r="T2362" s="317"/>
      <c r="U2362" s="317"/>
      <c r="V2362" s="317"/>
      <c r="W2362" s="317"/>
      <c r="X2362" s="317"/>
      <c r="Y2362" s="317"/>
      <c r="Z2362" s="317"/>
    </row>
    <row r="2363" spans="1:26" x14ac:dyDescent="0.25">
      <c r="A2363" s="314"/>
      <c r="B2363" s="18">
        <v>2023</v>
      </c>
      <c r="C2363" s="18" t="s">
        <v>760</v>
      </c>
      <c r="D2363" s="18" t="s">
        <v>1084</v>
      </c>
      <c r="E2363" s="18" t="s">
        <v>703</v>
      </c>
      <c r="F2363" s="18" t="s">
        <v>704</v>
      </c>
      <c r="G2363" s="18" t="s">
        <v>674</v>
      </c>
      <c r="H2363" s="18" t="s">
        <v>863</v>
      </c>
      <c r="I2363" s="315">
        <v>29.215573650343252</v>
      </c>
      <c r="J2363" s="315">
        <v>1.7111602411243029E-2</v>
      </c>
      <c r="K2363" s="316" t="str">
        <f t="shared" si="48"/>
        <v>Construction and Mining Equipment</v>
      </c>
      <c r="L2363" s="316" t="str">
        <f t="shared" si="49"/>
        <v>Gasoline</v>
      </c>
      <c r="M2363" s="194"/>
      <c r="N2363" s="317"/>
      <c r="O2363" s="317"/>
      <c r="P2363" s="317"/>
      <c r="Q2363" s="317"/>
      <c r="R2363" s="317"/>
      <c r="S2363" s="317"/>
      <c r="T2363" s="317"/>
      <c r="U2363" s="317"/>
      <c r="V2363" s="317"/>
      <c r="W2363" s="317"/>
      <c r="X2363" s="317"/>
      <c r="Y2363" s="317"/>
      <c r="Z2363" s="317"/>
    </row>
    <row r="2364" spans="1:26" x14ac:dyDescent="0.25">
      <c r="A2364" s="314"/>
      <c r="B2364" s="18">
        <v>2023</v>
      </c>
      <c r="C2364" s="18" t="s">
        <v>778</v>
      </c>
      <c r="D2364" s="18" t="s">
        <v>1076</v>
      </c>
      <c r="E2364" s="18" t="s">
        <v>703</v>
      </c>
      <c r="F2364" s="18" t="s">
        <v>704</v>
      </c>
      <c r="G2364" s="18" t="s">
        <v>674</v>
      </c>
      <c r="H2364" s="18" t="s">
        <v>756</v>
      </c>
      <c r="I2364" s="315">
        <v>29.07485003068394</v>
      </c>
      <c r="J2364" s="315">
        <v>1.2750203550015911E-2</v>
      </c>
      <c r="K2364" s="316" t="str">
        <f t="shared" si="48"/>
        <v>Construction and Mining Equipment</v>
      </c>
      <c r="L2364" s="316" t="str">
        <f t="shared" si="49"/>
        <v>Gasoline</v>
      </c>
      <c r="M2364" s="194"/>
      <c r="N2364" s="317"/>
      <c r="O2364" s="317"/>
      <c r="P2364" s="317"/>
      <c r="Q2364" s="317"/>
      <c r="R2364" s="317"/>
      <c r="S2364" s="317"/>
      <c r="T2364" s="317"/>
      <c r="U2364" s="317"/>
      <c r="V2364" s="317"/>
      <c r="W2364" s="317"/>
      <c r="X2364" s="317"/>
      <c r="Y2364" s="317"/>
      <c r="Z2364" s="317"/>
    </row>
    <row r="2365" spans="1:26" x14ac:dyDescent="0.25">
      <c r="A2365" s="314"/>
      <c r="B2365" s="18">
        <v>2023</v>
      </c>
      <c r="C2365" s="18" t="s">
        <v>781</v>
      </c>
      <c r="D2365" s="18" t="s">
        <v>862</v>
      </c>
      <c r="E2365" s="18" t="s">
        <v>713</v>
      </c>
      <c r="F2365" s="18" t="s">
        <v>714</v>
      </c>
      <c r="G2365" s="18" t="s">
        <v>674</v>
      </c>
      <c r="H2365" s="18" t="s">
        <v>863</v>
      </c>
      <c r="I2365" s="315">
        <v>28.967453402703566</v>
      </c>
      <c r="J2365" s="315">
        <v>2.0897844830809805E-4</v>
      </c>
      <c r="K2365" s="316" t="str">
        <f t="shared" si="48"/>
        <v>Construction and Mining Equipment</v>
      </c>
      <c r="L2365" s="316" t="str">
        <f t="shared" si="49"/>
        <v>Diesel</v>
      </c>
      <c r="M2365" s="194"/>
      <c r="N2365" s="317"/>
      <c r="O2365" s="317"/>
      <c r="P2365" s="317"/>
      <c r="Q2365" s="317"/>
      <c r="R2365" s="317"/>
      <c r="S2365" s="317"/>
      <c r="T2365" s="317"/>
      <c r="U2365" s="317"/>
      <c r="V2365" s="317"/>
      <c r="W2365" s="317"/>
      <c r="X2365" s="317"/>
      <c r="Y2365" s="317"/>
      <c r="Z2365" s="317"/>
    </row>
    <row r="2366" spans="1:26" x14ac:dyDescent="0.25">
      <c r="A2366" s="314"/>
      <c r="B2366" s="18">
        <v>2023</v>
      </c>
      <c r="C2366" s="18" t="s">
        <v>706</v>
      </c>
      <c r="D2366" s="18" t="s">
        <v>1338</v>
      </c>
      <c r="E2366" s="18" t="s">
        <v>703</v>
      </c>
      <c r="F2366" s="18" t="s">
        <v>805</v>
      </c>
      <c r="G2366" s="18" t="s">
        <v>673</v>
      </c>
      <c r="H2366" s="18" t="s">
        <v>987</v>
      </c>
      <c r="I2366" s="315">
        <v>28.962587188062361</v>
      </c>
      <c r="J2366" s="315">
        <v>5.288776198743992E-2</v>
      </c>
      <c r="K2366" s="316" t="str">
        <f t="shared" si="48"/>
        <v>Lawn and Garden Equipment</v>
      </c>
      <c r="L2366" s="316" t="str">
        <f t="shared" si="49"/>
        <v>Gasoline</v>
      </c>
      <c r="M2366" s="194"/>
      <c r="N2366" s="317"/>
      <c r="O2366" s="317"/>
      <c r="P2366" s="317"/>
      <c r="Q2366" s="317"/>
      <c r="R2366" s="317"/>
      <c r="S2366" s="317"/>
      <c r="T2366" s="317"/>
      <c r="U2366" s="317"/>
      <c r="V2366" s="317"/>
      <c r="W2366" s="317"/>
      <c r="X2366" s="317"/>
      <c r="Y2366" s="317"/>
      <c r="Z2366" s="317"/>
    </row>
    <row r="2367" spans="1:26" ht="12.75" x14ac:dyDescent="0.2">
      <c r="A2367" s="230"/>
      <c r="B2367" s="18">
        <v>2023</v>
      </c>
      <c r="C2367" s="18" t="s">
        <v>722</v>
      </c>
      <c r="D2367" s="18" t="s">
        <v>1226</v>
      </c>
      <c r="E2367" s="18" t="s">
        <v>703</v>
      </c>
      <c r="F2367" s="18" t="s">
        <v>805</v>
      </c>
      <c r="G2367" s="18" t="s">
        <v>677</v>
      </c>
      <c r="H2367" s="18" t="s">
        <v>747</v>
      </c>
      <c r="I2367" s="315">
        <v>28.930531270048977</v>
      </c>
      <c r="J2367" s="315">
        <v>5.8499533918613546E-2</v>
      </c>
      <c r="K2367" s="316" t="str">
        <f t="shared" si="48"/>
        <v>Commercial Equipment</v>
      </c>
      <c r="L2367" s="316" t="str">
        <f t="shared" si="49"/>
        <v>Gasoline</v>
      </c>
      <c r="M2367" s="8"/>
      <c r="N2367" s="2"/>
      <c r="O2367" s="2"/>
      <c r="P2367" s="2"/>
      <c r="Q2367" s="2"/>
      <c r="R2367" s="2"/>
      <c r="S2367" s="2"/>
      <c r="T2367" s="2"/>
      <c r="U2367" s="2"/>
      <c r="V2367" s="2"/>
      <c r="W2367" s="2"/>
      <c r="X2367" s="2"/>
      <c r="Y2367" s="2"/>
      <c r="Z2367" s="2"/>
    </row>
    <row r="2368" spans="1:26" x14ac:dyDescent="0.25">
      <c r="A2368" s="314"/>
      <c r="B2368" s="18">
        <v>2023</v>
      </c>
      <c r="C2368" s="18" t="s">
        <v>731</v>
      </c>
      <c r="D2368" s="18" t="s">
        <v>1224</v>
      </c>
      <c r="E2368" s="18" t="s">
        <v>703</v>
      </c>
      <c r="F2368" s="18" t="s">
        <v>704</v>
      </c>
      <c r="G2368" s="18" t="s">
        <v>681</v>
      </c>
      <c r="H2368" s="18" t="s">
        <v>1225</v>
      </c>
      <c r="I2368" s="315">
        <v>28.916670118680845</v>
      </c>
      <c r="J2368" s="315">
        <v>1.9538734289870421E-2</v>
      </c>
      <c r="K2368" s="316" t="str">
        <f t="shared" si="48"/>
        <v>Logging Equipment</v>
      </c>
      <c r="L2368" s="316" t="str">
        <f t="shared" si="49"/>
        <v>Gasoline</v>
      </c>
      <c r="M2368" s="194"/>
      <c r="N2368" s="317"/>
      <c r="O2368" s="317"/>
      <c r="P2368" s="317"/>
      <c r="Q2368" s="317"/>
      <c r="R2368" s="317"/>
      <c r="S2368" s="317"/>
      <c r="T2368" s="317"/>
      <c r="U2368" s="317"/>
      <c r="V2368" s="317"/>
      <c r="W2368" s="317"/>
      <c r="X2368" s="317"/>
      <c r="Y2368" s="317"/>
      <c r="Z2368" s="317"/>
    </row>
    <row r="2369" spans="1:26" x14ac:dyDescent="0.25">
      <c r="A2369" s="314"/>
      <c r="B2369" s="18">
        <v>2023</v>
      </c>
      <c r="C2369" s="18" t="s">
        <v>759</v>
      </c>
      <c r="D2369" s="18" t="s">
        <v>848</v>
      </c>
      <c r="E2369" s="18" t="s">
        <v>56</v>
      </c>
      <c r="F2369" s="18" t="s">
        <v>601</v>
      </c>
      <c r="G2369" s="18" t="s">
        <v>675</v>
      </c>
      <c r="H2369" s="18" t="s">
        <v>708</v>
      </c>
      <c r="I2369" s="315">
        <v>28.907323892347442</v>
      </c>
      <c r="J2369" s="315">
        <v>0.11500020732465438</v>
      </c>
      <c r="K2369" s="316" t="str">
        <f t="shared" si="48"/>
        <v>Industrial Equipment</v>
      </c>
      <c r="L2369" s="316" t="str">
        <f t="shared" si="49"/>
        <v>CNG</v>
      </c>
      <c r="M2369" s="194"/>
      <c r="N2369" s="317"/>
      <c r="O2369" s="317"/>
      <c r="P2369" s="317"/>
      <c r="Q2369" s="317"/>
      <c r="R2369" s="317"/>
      <c r="S2369" s="317"/>
      <c r="T2369" s="317"/>
      <c r="U2369" s="317"/>
      <c r="V2369" s="317"/>
      <c r="W2369" s="317"/>
      <c r="X2369" s="317"/>
      <c r="Y2369" s="317"/>
      <c r="Z2369" s="317"/>
    </row>
    <row r="2370" spans="1:26" x14ac:dyDescent="0.25">
      <c r="A2370" s="314"/>
      <c r="B2370" s="18">
        <v>2023</v>
      </c>
      <c r="C2370" s="18" t="s">
        <v>793</v>
      </c>
      <c r="D2370" s="18" t="s">
        <v>927</v>
      </c>
      <c r="E2370" s="18" t="s">
        <v>56</v>
      </c>
      <c r="F2370" s="18" t="s">
        <v>672</v>
      </c>
      <c r="G2370" s="18" t="s">
        <v>673</v>
      </c>
      <c r="H2370" s="18" t="s">
        <v>742</v>
      </c>
      <c r="I2370" s="315">
        <v>28.858015270492899</v>
      </c>
      <c r="J2370" s="315">
        <v>1.3110111124563562E-3</v>
      </c>
      <c r="K2370" s="316" t="str">
        <f t="shared" si="48"/>
        <v>Lawn and Garden Equipment</v>
      </c>
      <c r="L2370" s="316" t="str">
        <f t="shared" si="49"/>
        <v>LPG</v>
      </c>
      <c r="M2370" s="194"/>
      <c r="N2370" s="317"/>
      <c r="O2370" s="317"/>
      <c r="P2370" s="317"/>
      <c r="Q2370" s="317"/>
      <c r="R2370" s="317"/>
      <c r="S2370" s="317"/>
      <c r="T2370" s="317"/>
      <c r="U2370" s="317"/>
      <c r="V2370" s="317"/>
      <c r="W2370" s="317"/>
      <c r="X2370" s="317"/>
      <c r="Y2370" s="317"/>
      <c r="Z2370" s="317"/>
    </row>
    <row r="2371" spans="1:26" x14ac:dyDescent="0.25">
      <c r="A2371" s="314"/>
      <c r="B2371" s="18">
        <v>2023</v>
      </c>
      <c r="C2371" s="18" t="s">
        <v>810</v>
      </c>
      <c r="D2371" s="18" t="s">
        <v>977</v>
      </c>
      <c r="E2371" s="18" t="s">
        <v>703</v>
      </c>
      <c r="F2371" s="18" t="s">
        <v>805</v>
      </c>
      <c r="G2371" s="18" t="s">
        <v>673</v>
      </c>
      <c r="H2371" s="18" t="s">
        <v>978</v>
      </c>
      <c r="I2371" s="315">
        <v>28.837700546054503</v>
      </c>
      <c r="J2371" s="315">
        <v>4.9104237314830206E-2</v>
      </c>
      <c r="K2371" s="316" t="str">
        <f t="shared" si="48"/>
        <v>Lawn and Garden Equipment</v>
      </c>
      <c r="L2371" s="316" t="str">
        <f t="shared" si="49"/>
        <v>Gasoline</v>
      </c>
      <c r="M2371" s="194"/>
      <c r="N2371" s="317"/>
      <c r="O2371" s="317"/>
      <c r="P2371" s="317"/>
      <c r="Q2371" s="317"/>
      <c r="R2371" s="317"/>
      <c r="S2371" s="317"/>
      <c r="T2371" s="317"/>
      <c r="U2371" s="317"/>
      <c r="V2371" s="317"/>
      <c r="W2371" s="317"/>
      <c r="X2371" s="317"/>
      <c r="Y2371" s="317"/>
      <c r="Z2371" s="317"/>
    </row>
    <row r="2372" spans="1:26" x14ac:dyDescent="0.25">
      <c r="A2372" s="314"/>
      <c r="B2372" s="18">
        <v>2023</v>
      </c>
      <c r="C2372" s="18" t="s">
        <v>701</v>
      </c>
      <c r="D2372" s="18" t="s">
        <v>1247</v>
      </c>
      <c r="E2372" s="18" t="s">
        <v>56</v>
      </c>
      <c r="F2372" s="18" t="s">
        <v>672</v>
      </c>
      <c r="G2372" s="18" t="s">
        <v>674</v>
      </c>
      <c r="H2372" s="18" t="s">
        <v>967</v>
      </c>
      <c r="I2372" s="315">
        <v>28.765641136976406</v>
      </c>
      <c r="J2372" s="315">
        <v>1.3590342503099131E-3</v>
      </c>
      <c r="K2372" s="316" t="str">
        <f t="shared" si="48"/>
        <v>Construction and Mining Equipment</v>
      </c>
      <c r="L2372" s="316" t="str">
        <f t="shared" si="49"/>
        <v>LPG</v>
      </c>
      <c r="M2372" s="194"/>
      <c r="N2372" s="317"/>
      <c r="O2372" s="317"/>
      <c r="P2372" s="317"/>
      <c r="Q2372" s="317"/>
      <c r="R2372" s="317"/>
      <c r="S2372" s="317"/>
      <c r="T2372" s="317"/>
      <c r="U2372" s="317"/>
      <c r="V2372" s="317"/>
      <c r="W2372" s="317"/>
      <c r="X2372" s="317"/>
      <c r="Y2372" s="317"/>
      <c r="Z2372" s="317"/>
    </row>
    <row r="2373" spans="1:26" x14ac:dyDescent="0.25">
      <c r="A2373" s="314"/>
      <c r="B2373" s="18">
        <v>2023</v>
      </c>
      <c r="C2373" s="18" t="s">
        <v>753</v>
      </c>
      <c r="D2373" s="18" t="s">
        <v>977</v>
      </c>
      <c r="E2373" s="18" t="s">
        <v>703</v>
      </c>
      <c r="F2373" s="18" t="s">
        <v>805</v>
      </c>
      <c r="G2373" s="18" t="s">
        <v>673</v>
      </c>
      <c r="H2373" s="18" t="s">
        <v>978</v>
      </c>
      <c r="I2373" s="315">
        <v>28.763602117252464</v>
      </c>
      <c r="J2373" s="315">
        <v>4.897799569896235E-2</v>
      </c>
      <c r="K2373" s="316" t="str">
        <f t="shared" si="48"/>
        <v>Lawn and Garden Equipment</v>
      </c>
      <c r="L2373" s="316" t="str">
        <f t="shared" si="49"/>
        <v>Gasoline</v>
      </c>
      <c r="M2373" s="194"/>
      <c r="N2373" s="317"/>
      <c r="O2373" s="317"/>
      <c r="P2373" s="317"/>
      <c r="Q2373" s="317"/>
      <c r="R2373" s="317"/>
      <c r="S2373" s="317"/>
      <c r="T2373" s="317"/>
      <c r="U2373" s="317"/>
      <c r="V2373" s="317"/>
      <c r="W2373" s="317"/>
      <c r="X2373" s="317"/>
      <c r="Y2373" s="317"/>
      <c r="Z2373" s="317"/>
    </row>
    <row r="2374" spans="1:26" x14ac:dyDescent="0.25">
      <c r="A2374" s="314"/>
      <c r="B2374" s="18">
        <v>2023</v>
      </c>
      <c r="C2374" s="18" t="s">
        <v>701</v>
      </c>
      <c r="D2374" s="18" t="s">
        <v>1248</v>
      </c>
      <c r="E2374" s="18" t="s">
        <v>703</v>
      </c>
      <c r="F2374" s="18" t="s">
        <v>704</v>
      </c>
      <c r="G2374" s="18" t="s">
        <v>674</v>
      </c>
      <c r="H2374" s="18" t="s">
        <v>959</v>
      </c>
      <c r="I2374" s="315">
        <v>28.720146889024225</v>
      </c>
      <c r="J2374" s="315">
        <v>1.9227386709455375E-2</v>
      </c>
      <c r="K2374" s="316" t="str">
        <f t="shared" si="48"/>
        <v>Construction and Mining Equipment</v>
      </c>
      <c r="L2374" s="316" t="str">
        <f t="shared" si="49"/>
        <v>Gasoline</v>
      </c>
      <c r="M2374" s="194"/>
      <c r="N2374" s="317"/>
      <c r="O2374" s="317"/>
      <c r="P2374" s="317"/>
      <c r="Q2374" s="317"/>
      <c r="R2374" s="317"/>
      <c r="S2374" s="317"/>
      <c r="T2374" s="317"/>
      <c r="U2374" s="317"/>
      <c r="V2374" s="317"/>
      <c r="W2374" s="317"/>
      <c r="X2374" s="317"/>
      <c r="Y2374" s="317"/>
      <c r="Z2374" s="317"/>
    </row>
    <row r="2375" spans="1:26" x14ac:dyDescent="0.25">
      <c r="A2375" s="314"/>
      <c r="B2375" s="18">
        <v>2023</v>
      </c>
      <c r="C2375" s="18" t="s">
        <v>709</v>
      </c>
      <c r="D2375" s="18" t="s">
        <v>1281</v>
      </c>
      <c r="E2375" s="18" t="s">
        <v>703</v>
      </c>
      <c r="F2375" s="18" t="s">
        <v>704</v>
      </c>
      <c r="G2375" s="18" t="s">
        <v>674</v>
      </c>
      <c r="H2375" s="18" t="s">
        <v>770</v>
      </c>
      <c r="I2375" s="315">
        <v>28.579631541614116</v>
      </c>
      <c r="J2375" s="315">
        <v>3.1509568139463733E-3</v>
      </c>
      <c r="K2375" s="316" t="str">
        <f t="shared" si="48"/>
        <v>Construction and Mining Equipment</v>
      </c>
      <c r="L2375" s="316" t="str">
        <f t="shared" si="49"/>
        <v>Gasoline</v>
      </c>
      <c r="M2375" s="194"/>
      <c r="N2375" s="317"/>
      <c r="O2375" s="317"/>
      <c r="P2375" s="317"/>
      <c r="Q2375" s="317"/>
      <c r="R2375" s="317"/>
      <c r="S2375" s="317"/>
      <c r="T2375" s="317"/>
      <c r="U2375" s="317"/>
      <c r="V2375" s="317"/>
      <c r="W2375" s="317"/>
      <c r="X2375" s="317"/>
      <c r="Y2375" s="317"/>
      <c r="Z2375" s="317"/>
    </row>
    <row r="2376" spans="1:26" x14ac:dyDescent="0.25">
      <c r="A2376" s="314"/>
      <c r="B2376" s="18">
        <v>2023</v>
      </c>
      <c r="C2376" s="18" t="s">
        <v>793</v>
      </c>
      <c r="D2376" s="18" t="s">
        <v>925</v>
      </c>
      <c r="E2376" s="18" t="s">
        <v>703</v>
      </c>
      <c r="F2376" s="18" t="s">
        <v>704</v>
      </c>
      <c r="G2376" s="18" t="s">
        <v>675</v>
      </c>
      <c r="H2376" s="18" t="s">
        <v>798</v>
      </c>
      <c r="I2376" s="315">
        <v>28.573388549833851</v>
      </c>
      <c r="J2376" s="315">
        <v>2.1319864730678116E-2</v>
      </c>
      <c r="K2376" s="316" t="str">
        <f t="shared" si="48"/>
        <v>Industrial Equipment</v>
      </c>
      <c r="L2376" s="316" t="str">
        <f t="shared" si="49"/>
        <v>Gasoline</v>
      </c>
      <c r="M2376" s="194"/>
      <c r="N2376" s="317"/>
      <c r="O2376" s="317"/>
      <c r="P2376" s="317"/>
      <c r="Q2376" s="317"/>
      <c r="R2376" s="317"/>
      <c r="S2376" s="317"/>
      <c r="T2376" s="317"/>
      <c r="U2376" s="317"/>
      <c r="V2376" s="317"/>
      <c r="W2376" s="317"/>
      <c r="X2376" s="317"/>
      <c r="Y2376" s="317"/>
      <c r="Z2376" s="317"/>
    </row>
    <row r="2377" spans="1:26" x14ac:dyDescent="0.25">
      <c r="A2377" s="314"/>
      <c r="B2377" s="18">
        <v>2023</v>
      </c>
      <c r="C2377" s="18" t="s">
        <v>743</v>
      </c>
      <c r="D2377" s="18" t="s">
        <v>1035</v>
      </c>
      <c r="E2377" s="18" t="s">
        <v>703</v>
      </c>
      <c r="F2377" s="18" t="s">
        <v>704</v>
      </c>
      <c r="G2377" s="18" t="s">
        <v>674</v>
      </c>
      <c r="H2377" s="18" t="s">
        <v>1036</v>
      </c>
      <c r="I2377" s="315">
        <v>28.517426340306386</v>
      </c>
      <c r="J2377" s="315">
        <v>2.02505974261557E-2</v>
      </c>
      <c r="K2377" s="316" t="str">
        <f t="shared" si="48"/>
        <v>Construction and Mining Equipment</v>
      </c>
      <c r="L2377" s="316" t="str">
        <f t="shared" si="49"/>
        <v>Gasoline</v>
      </c>
      <c r="M2377" s="194"/>
      <c r="N2377" s="317"/>
      <c r="O2377" s="317"/>
      <c r="P2377" s="317"/>
      <c r="Q2377" s="317"/>
      <c r="R2377" s="317"/>
      <c r="S2377" s="317"/>
      <c r="T2377" s="317"/>
      <c r="U2377" s="317"/>
      <c r="V2377" s="317"/>
      <c r="W2377" s="317"/>
      <c r="X2377" s="317"/>
      <c r="Y2377" s="317"/>
      <c r="Z2377" s="317"/>
    </row>
    <row r="2378" spans="1:26" x14ac:dyDescent="0.25">
      <c r="A2378" s="314"/>
      <c r="B2378" s="18">
        <v>2023</v>
      </c>
      <c r="C2378" s="18" t="s">
        <v>781</v>
      </c>
      <c r="D2378" s="18" t="s">
        <v>1278</v>
      </c>
      <c r="E2378" s="18" t="s">
        <v>703</v>
      </c>
      <c r="F2378" s="18" t="s">
        <v>704</v>
      </c>
      <c r="G2378" s="18" t="s">
        <v>678</v>
      </c>
      <c r="H2378" s="18" t="s">
        <v>1279</v>
      </c>
      <c r="I2378" s="315">
        <v>28.488930668226207</v>
      </c>
      <c r="J2378" s="315">
        <v>3.7959590172265488E-2</v>
      </c>
      <c r="K2378" s="316" t="str">
        <f t="shared" si="48"/>
        <v>Agricultural Equipment</v>
      </c>
      <c r="L2378" s="316" t="str">
        <f t="shared" si="49"/>
        <v>Gasoline</v>
      </c>
      <c r="M2378" s="194"/>
      <c r="N2378" s="317"/>
      <c r="O2378" s="317"/>
      <c r="P2378" s="317"/>
      <c r="Q2378" s="317"/>
      <c r="R2378" s="317"/>
      <c r="S2378" s="317"/>
      <c r="T2378" s="317"/>
      <c r="U2378" s="317"/>
      <c r="V2378" s="317"/>
      <c r="W2378" s="317"/>
      <c r="X2378" s="317"/>
      <c r="Y2378" s="317"/>
      <c r="Z2378" s="317"/>
    </row>
    <row r="2379" spans="1:26" x14ac:dyDescent="0.25">
      <c r="A2379" s="314"/>
      <c r="B2379" s="18">
        <v>2023</v>
      </c>
      <c r="C2379" s="18" t="s">
        <v>743</v>
      </c>
      <c r="D2379" s="18" t="s">
        <v>1229</v>
      </c>
      <c r="E2379" s="18" t="s">
        <v>713</v>
      </c>
      <c r="F2379" s="18" t="s">
        <v>714</v>
      </c>
      <c r="G2379" s="18" t="s">
        <v>678</v>
      </c>
      <c r="H2379" s="18" t="s">
        <v>1230</v>
      </c>
      <c r="I2379" s="315">
        <v>28.391268488996996</v>
      </c>
      <c r="J2379" s="315">
        <v>2.1407721998577652E-4</v>
      </c>
      <c r="K2379" s="316" t="str">
        <f t="shared" si="48"/>
        <v>Agricultural Equipment</v>
      </c>
      <c r="L2379" s="316" t="str">
        <f t="shared" si="49"/>
        <v>Diesel</v>
      </c>
      <c r="M2379" s="194"/>
      <c r="N2379" s="317"/>
      <c r="O2379" s="317"/>
      <c r="P2379" s="317"/>
      <c r="Q2379" s="317"/>
      <c r="R2379" s="317"/>
      <c r="S2379" s="317"/>
      <c r="T2379" s="317"/>
      <c r="U2379" s="317"/>
      <c r="V2379" s="317"/>
      <c r="W2379" s="317"/>
      <c r="X2379" s="317"/>
      <c r="Y2379" s="317"/>
      <c r="Z2379" s="317"/>
    </row>
    <row r="2380" spans="1:26" x14ac:dyDescent="0.25">
      <c r="A2380" s="314"/>
      <c r="B2380" s="18">
        <v>2023</v>
      </c>
      <c r="C2380" s="18" t="s">
        <v>727</v>
      </c>
      <c r="D2380" s="18" t="s">
        <v>968</v>
      </c>
      <c r="E2380" s="18" t="s">
        <v>703</v>
      </c>
      <c r="F2380" s="18" t="s">
        <v>704</v>
      </c>
      <c r="G2380" s="18" t="s">
        <v>675</v>
      </c>
      <c r="H2380" s="18" t="s">
        <v>969</v>
      </c>
      <c r="I2380" s="315">
        <v>28.370051141678161</v>
      </c>
      <c r="J2380" s="315">
        <v>9.039465522142005E-3</v>
      </c>
      <c r="K2380" s="316" t="str">
        <f t="shared" si="48"/>
        <v>Industrial Equipment</v>
      </c>
      <c r="L2380" s="316" t="str">
        <f t="shared" si="49"/>
        <v>Gasoline</v>
      </c>
      <c r="M2380" s="194"/>
      <c r="N2380" s="317"/>
      <c r="O2380" s="317"/>
      <c r="P2380" s="317"/>
      <c r="Q2380" s="317"/>
      <c r="R2380" s="317"/>
      <c r="S2380" s="317"/>
      <c r="T2380" s="317"/>
      <c r="U2380" s="317"/>
      <c r="V2380" s="317"/>
      <c r="W2380" s="317"/>
      <c r="X2380" s="317"/>
      <c r="Y2380" s="317"/>
      <c r="Z2380" s="317"/>
    </row>
    <row r="2381" spans="1:26" x14ac:dyDescent="0.25">
      <c r="A2381" s="314"/>
      <c r="B2381" s="18">
        <v>2023</v>
      </c>
      <c r="C2381" s="18" t="s">
        <v>727</v>
      </c>
      <c r="D2381" s="18" t="s">
        <v>998</v>
      </c>
      <c r="E2381" s="18" t="s">
        <v>703</v>
      </c>
      <c r="F2381" s="18" t="s">
        <v>704</v>
      </c>
      <c r="G2381" s="18" t="s">
        <v>674</v>
      </c>
      <c r="H2381" s="18" t="s">
        <v>999</v>
      </c>
      <c r="I2381" s="315">
        <v>28.349374855900354</v>
      </c>
      <c r="J2381" s="315">
        <v>1.8656957955815755E-2</v>
      </c>
      <c r="K2381" s="316" t="str">
        <f t="shared" si="48"/>
        <v>Construction and Mining Equipment</v>
      </c>
      <c r="L2381" s="316" t="str">
        <f t="shared" si="49"/>
        <v>Gasoline</v>
      </c>
      <c r="M2381" s="194"/>
      <c r="N2381" s="317"/>
      <c r="O2381" s="317"/>
      <c r="P2381" s="317"/>
      <c r="Q2381" s="317"/>
      <c r="R2381" s="317"/>
      <c r="S2381" s="317"/>
      <c r="T2381" s="317"/>
      <c r="U2381" s="317"/>
      <c r="V2381" s="317"/>
      <c r="W2381" s="317"/>
      <c r="X2381" s="317"/>
      <c r="Y2381" s="317"/>
      <c r="Z2381" s="317"/>
    </row>
    <row r="2382" spans="1:26" x14ac:dyDescent="0.25">
      <c r="A2382" s="314"/>
      <c r="B2382" s="18">
        <v>2023</v>
      </c>
      <c r="C2382" s="18" t="s">
        <v>727</v>
      </c>
      <c r="D2382" s="18" t="s">
        <v>1000</v>
      </c>
      <c r="E2382" s="18" t="s">
        <v>703</v>
      </c>
      <c r="F2382" s="18" t="s">
        <v>704</v>
      </c>
      <c r="G2382" s="18" t="s">
        <v>674</v>
      </c>
      <c r="H2382" s="18" t="s">
        <v>850</v>
      </c>
      <c r="I2382" s="315">
        <v>28.245092993682849</v>
      </c>
      <c r="J2382" s="315">
        <v>1.7126356652860296E-2</v>
      </c>
      <c r="K2382" s="316" t="str">
        <f t="shared" si="48"/>
        <v>Construction and Mining Equipment</v>
      </c>
      <c r="L2382" s="316" t="str">
        <f t="shared" si="49"/>
        <v>Gasoline</v>
      </c>
      <c r="M2382" s="194"/>
      <c r="N2382" s="317"/>
      <c r="O2382" s="317"/>
      <c r="P2382" s="317"/>
      <c r="Q2382" s="317"/>
      <c r="R2382" s="317"/>
      <c r="S2382" s="317"/>
      <c r="T2382" s="317"/>
      <c r="U2382" s="317"/>
      <c r="V2382" s="317"/>
      <c r="W2382" s="317"/>
      <c r="X2382" s="317"/>
      <c r="Y2382" s="317"/>
      <c r="Z2382" s="317"/>
    </row>
    <row r="2383" spans="1:26" x14ac:dyDescent="0.25">
      <c r="A2383" s="314"/>
      <c r="B2383" s="18">
        <v>2023</v>
      </c>
      <c r="C2383" s="18" t="s">
        <v>792</v>
      </c>
      <c r="D2383" s="18" t="s">
        <v>807</v>
      </c>
      <c r="E2383" s="18" t="s">
        <v>703</v>
      </c>
      <c r="F2383" s="18" t="s">
        <v>805</v>
      </c>
      <c r="G2383" s="18" t="s">
        <v>673</v>
      </c>
      <c r="H2383" s="18" t="s">
        <v>749</v>
      </c>
      <c r="I2383" s="315">
        <v>28.2237714833275</v>
      </c>
      <c r="J2383" s="315">
        <v>5.2797192314226984E-2</v>
      </c>
      <c r="K2383" s="316" t="str">
        <f t="shared" si="48"/>
        <v>Lawn and Garden Equipment</v>
      </c>
      <c r="L2383" s="316" t="str">
        <f t="shared" si="49"/>
        <v>Gasoline</v>
      </c>
      <c r="M2383" s="194"/>
      <c r="N2383" s="317"/>
      <c r="O2383" s="317"/>
      <c r="P2383" s="317"/>
      <c r="Q2383" s="317"/>
      <c r="R2383" s="317"/>
      <c r="S2383" s="317"/>
      <c r="T2383" s="317"/>
      <c r="U2383" s="317"/>
      <c r="V2383" s="317"/>
      <c r="W2383" s="317"/>
      <c r="X2383" s="317"/>
      <c r="Y2383" s="317"/>
      <c r="Z2383" s="317"/>
    </row>
    <row r="2384" spans="1:26" x14ac:dyDescent="0.25">
      <c r="A2384" s="314"/>
      <c r="B2384" s="18">
        <v>2023</v>
      </c>
      <c r="C2384" s="18" t="s">
        <v>786</v>
      </c>
      <c r="D2384" s="18" t="s">
        <v>1278</v>
      </c>
      <c r="E2384" s="18" t="s">
        <v>703</v>
      </c>
      <c r="F2384" s="18" t="s">
        <v>704</v>
      </c>
      <c r="G2384" s="18" t="s">
        <v>678</v>
      </c>
      <c r="H2384" s="18" t="s">
        <v>1279</v>
      </c>
      <c r="I2384" s="315">
        <v>28.19395421641531</v>
      </c>
      <c r="J2384" s="315">
        <v>3.7604545376366795E-2</v>
      </c>
      <c r="K2384" s="316" t="str">
        <f t="shared" si="48"/>
        <v>Agricultural Equipment</v>
      </c>
      <c r="L2384" s="316" t="str">
        <f t="shared" si="49"/>
        <v>Gasoline</v>
      </c>
      <c r="M2384" s="194"/>
      <c r="N2384" s="317"/>
      <c r="O2384" s="317"/>
      <c r="P2384" s="317"/>
      <c r="Q2384" s="317"/>
      <c r="R2384" s="317"/>
      <c r="S2384" s="317"/>
      <c r="T2384" s="317"/>
      <c r="U2384" s="317"/>
      <c r="V2384" s="317"/>
      <c r="W2384" s="317"/>
      <c r="X2384" s="317"/>
      <c r="Y2384" s="317"/>
      <c r="Z2384" s="317"/>
    </row>
    <row r="2385" spans="1:26" x14ac:dyDescent="0.25">
      <c r="A2385" s="314"/>
      <c r="B2385" s="18">
        <v>2023</v>
      </c>
      <c r="C2385" s="18" t="s">
        <v>786</v>
      </c>
      <c r="D2385" s="18" t="s">
        <v>936</v>
      </c>
      <c r="E2385" s="18" t="s">
        <v>56</v>
      </c>
      <c r="F2385" s="18" t="s">
        <v>672</v>
      </c>
      <c r="G2385" s="18" t="s">
        <v>677</v>
      </c>
      <c r="H2385" s="18" t="s">
        <v>747</v>
      </c>
      <c r="I2385" s="315">
        <v>28.072409536865667</v>
      </c>
      <c r="J2385" s="315">
        <v>6.471710272968432E-3</v>
      </c>
      <c r="K2385" s="316" t="str">
        <f t="shared" si="48"/>
        <v>Commercial Equipment</v>
      </c>
      <c r="L2385" s="316" t="str">
        <f t="shared" si="49"/>
        <v>LPG</v>
      </c>
      <c r="M2385" s="194"/>
      <c r="N2385" s="317"/>
      <c r="O2385" s="317"/>
      <c r="P2385" s="317"/>
      <c r="Q2385" s="317"/>
      <c r="R2385" s="317"/>
      <c r="S2385" s="317"/>
      <c r="T2385" s="317"/>
      <c r="U2385" s="317"/>
      <c r="V2385" s="317"/>
      <c r="W2385" s="317"/>
      <c r="X2385" s="317"/>
      <c r="Y2385" s="317"/>
      <c r="Z2385" s="317"/>
    </row>
    <row r="2386" spans="1:26" x14ac:dyDescent="0.25">
      <c r="A2386" s="314"/>
      <c r="B2386" s="18">
        <v>2023</v>
      </c>
      <c r="C2386" s="18" t="s">
        <v>709</v>
      </c>
      <c r="D2386" s="18" t="s">
        <v>1338</v>
      </c>
      <c r="E2386" s="18" t="s">
        <v>703</v>
      </c>
      <c r="F2386" s="18" t="s">
        <v>805</v>
      </c>
      <c r="G2386" s="18" t="s">
        <v>673</v>
      </c>
      <c r="H2386" s="18" t="s">
        <v>987</v>
      </c>
      <c r="I2386" s="315">
        <v>28.061958499644323</v>
      </c>
      <c r="J2386" s="315">
        <v>5.1243148101738648E-2</v>
      </c>
      <c r="K2386" s="316" t="str">
        <f t="shared" si="48"/>
        <v>Lawn and Garden Equipment</v>
      </c>
      <c r="L2386" s="316" t="str">
        <f t="shared" si="49"/>
        <v>Gasoline</v>
      </c>
      <c r="M2386" s="194"/>
      <c r="N2386" s="317"/>
      <c r="O2386" s="317"/>
      <c r="P2386" s="317"/>
      <c r="Q2386" s="317"/>
      <c r="R2386" s="317"/>
      <c r="S2386" s="317"/>
      <c r="T2386" s="317"/>
      <c r="U2386" s="317"/>
      <c r="V2386" s="317"/>
      <c r="W2386" s="317"/>
      <c r="X2386" s="317"/>
      <c r="Y2386" s="317"/>
      <c r="Z2386" s="317"/>
    </row>
    <row r="2387" spans="1:26" x14ac:dyDescent="0.25">
      <c r="A2387" s="314"/>
      <c r="B2387" s="18">
        <v>2023</v>
      </c>
      <c r="C2387" s="18" t="s">
        <v>711</v>
      </c>
      <c r="D2387" s="18" t="s">
        <v>1215</v>
      </c>
      <c r="E2387" s="18" t="s">
        <v>56</v>
      </c>
      <c r="F2387" s="18" t="s">
        <v>672</v>
      </c>
      <c r="G2387" s="18" t="s">
        <v>674</v>
      </c>
      <c r="H2387" s="18" t="s">
        <v>756</v>
      </c>
      <c r="I2387" s="315">
        <v>28.050328286427639</v>
      </c>
      <c r="J2387" s="315">
        <v>5.189425458454645E-3</v>
      </c>
      <c r="K2387" s="316" t="str">
        <f t="shared" si="48"/>
        <v>Construction and Mining Equipment</v>
      </c>
      <c r="L2387" s="316" t="str">
        <f t="shared" si="49"/>
        <v>LPG</v>
      </c>
      <c r="M2387" s="194"/>
      <c r="N2387" s="317"/>
      <c r="O2387" s="317"/>
      <c r="P2387" s="317"/>
      <c r="Q2387" s="317"/>
      <c r="R2387" s="317"/>
      <c r="S2387" s="317"/>
      <c r="T2387" s="317"/>
      <c r="U2387" s="317"/>
      <c r="V2387" s="317"/>
      <c r="W2387" s="317"/>
      <c r="X2387" s="317"/>
      <c r="Y2387" s="317"/>
      <c r="Z2387" s="317"/>
    </row>
    <row r="2388" spans="1:26" x14ac:dyDescent="0.25">
      <c r="A2388" s="314"/>
      <c r="B2388" s="18">
        <v>2023</v>
      </c>
      <c r="C2388" s="18" t="s">
        <v>810</v>
      </c>
      <c r="D2388" s="18" t="s">
        <v>980</v>
      </c>
      <c r="E2388" s="18" t="s">
        <v>713</v>
      </c>
      <c r="F2388" s="18" t="s">
        <v>714</v>
      </c>
      <c r="G2388" s="18" t="s">
        <v>674</v>
      </c>
      <c r="H2388" s="18" t="s">
        <v>981</v>
      </c>
      <c r="I2388" s="315">
        <v>27.788624566528483</v>
      </c>
      <c r="J2388" s="315">
        <v>1.2197649037788249E-3</v>
      </c>
      <c r="K2388" s="316" t="str">
        <f t="shared" si="48"/>
        <v>Construction and Mining Equipment</v>
      </c>
      <c r="L2388" s="316" t="str">
        <f t="shared" si="49"/>
        <v>Diesel</v>
      </c>
      <c r="M2388" s="194"/>
      <c r="N2388" s="317"/>
      <c r="O2388" s="317"/>
      <c r="P2388" s="317"/>
      <c r="Q2388" s="317"/>
      <c r="R2388" s="317"/>
      <c r="S2388" s="317"/>
      <c r="T2388" s="317"/>
      <c r="U2388" s="317"/>
      <c r="V2388" s="317"/>
      <c r="W2388" s="317"/>
      <c r="X2388" s="317"/>
      <c r="Y2388" s="317"/>
      <c r="Z2388" s="317"/>
    </row>
    <row r="2389" spans="1:26" x14ac:dyDescent="0.25">
      <c r="A2389" s="314"/>
      <c r="B2389" s="18">
        <v>2023</v>
      </c>
      <c r="C2389" s="18" t="s">
        <v>793</v>
      </c>
      <c r="D2389" s="18" t="s">
        <v>998</v>
      </c>
      <c r="E2389" s="18" t="s">
        <v>703</v>
      </c>
      <c r="F2389" s="18" t="s">
        <v>704</v>
      </c>
      <c r="G2389" s="18" t="s">
        <v>674</v>
      </c>
      <c r="H2389" s="18" t="s">
        <v>999</v>
      </c>
      <c r="I2389" s="315">
        <v>27.679194643522941</v>
      </c>
      <c r="J2389" s="315">
        <v>1.8241988568688666E-2</v>
      </c>
      <c r="K2389" s="316" t="str">
        <f t="shared" si="48"/>
        <v>Construction and Mining Equipment</v>
      </c>
      <c r="L2389" s="316" t="str">
        <f t="shared" si="49"/>
        <v>Gasoline</v>
      </c>
      <c r="M2389" s="194"/>
      <c r="N2389" s="317"/>
      <c r="O2389" s="317"/>
      <c r="P2389" s="317"/>
      <c r="Q2389" s="317"/>
      <c r="R2389" s="317"/>
      <c r="S2389" s="317"/>
      <c r="T2389" s="317"/>
      <c r="U2389" s="317"/>
      <c r="V2389" s="317"/>
      <c r="W2389" s="317"/>
      <c r="X2389" s="317"/>
      <c r="Y2389" s="317"/>
      <c r="Z2389" s="317"/>
    </row>
    <row r="2390" spans="1:26" x14ac:dyDescent="0.25">
      <c r="A2390" s="314"/>
      <c r="B2390" s="18">
        <v>2023</v>
      </c>
      <c r="C2390" s="18" t="s">
        <v>727</v>
      </c>
      <c r="D2390" s="18" t="s">
        <v>1278</v>
      </c>
      <c r="E2390" s="18" t="s">
        <v>703</v>
      </c>
      <c r="F2390" s="18" t="s">
        <v>704</v>
      </c>
      <c r="G2390" s="18" t="s">
        <v>678</v>
      </c>
      <c r="H2390" s="18" t="s">
        <v>1279</v>
      </c>
      <c r="I2390" s="315">
        <v>27.660145968837131</v>
      </c>
      <c r="J2390" s="315">
        <v>3.6814764401664958E-2</v>
      </c>
      <c r="K2390" s="316" t="str">
        <f t="shared" si="48"/>
        <v>Agricultural Equipment</v>
      </c>
      <c r="L2390" s="316" t="str">
        <f t="shared" si="49"/>
        <v>Gasoline</v>
      </c>
      <c r="M2390" s="194"/>
      <c r="N2390" s="317"/>
      <c r="O2390" s="317"/>
      <c r="P2390" s="317"/>
      <c r="Q2390" s="317"/>
      <c r="R2390" s="317"/>
      <c r="S2390" s="317"/>
      <c r="T2390" s="317"/>
      <c r="U2390" s="317"/>
      <c r="V2390" s="317"/>
      <c r="W2390" s="317"/>
      <c r="X2390" s="317"/>
      <c r="Y2390" s="317"/>
      <c r="Z2390" s="317"/>
    </row>
    <row r="2391" spans="1:26" x14ac:dyDescent="0.25">
      <c r="A2391" s="314"/>
      <c r="B2391" s="18">
        <v>2023</v>
      </c>
      <c r="C2391" s="18" t="s">
        <v>759</v>
      </c>
      <c r="D2391" s="18" t="s">
        <v>1153</v>
      </c>
      <c r="E2391" s="18" t="s">
        <v>713</v>
      </c>
      <c r="F2391" s="18" t="s">
        <v>714</v>
      </c>
      <c r="G2391" s="18" t="s">
        <v>678</v>
      </c>
      <c r="H2391" s="18" t="s">
        <v>1154</v>
      </c>
      <c r="I2391" s="315">
        <v>27.61481927435716</v>
      </c>
      <c r="J2391" s="315">
        <v>3.6042554002667208E-4</v>
      </c>
      <c r="K2391" s="316" t="str">
        <f t="shared" si="48"/>
        <v>Agricultural Equipment</v>
      </c>
      <c r="L2391" s="316" t="str">
        <f t="shared" si="49"/>
        <v>Diesel</v>
      </c>
      <c r="M2391" s="194"/>
      <c r="N2391" s="317"/>
      <c r="O2391" s="317"/>
      <c r="P2391" s="317"/>
      <c r="Q2391" s="317"/>
      <c r="R2391" s="317"/>
      <c r="S2391" s="317"/>
      <c r="T2391" s="317"/>
      <c r="U2391" s="317"/>
      <c r="V2391" s="317"/>
      <c r="W2391" s="317"/>
      <c r="X2391" s="317"/>
      <c r="Y2391" s="317"/>
      <c r="Z2391" s="317"/>
    </row>
    <row r="2392" spans="1:26" x14ac:dyDescent="0.25">
      <c r="A2392" s="314"/>
      <c r="B2392" s="18">
        <v>2023</v>
      </c>
      <c r="C2392" s="18" t="s">
        <v>793</v>
      </c>
      <c r="D2392" s="18" t="s">
        <v>1000</v>
      </c>
      <c r="E2392" s="18" t="s">
        <v>703</v>
      </c>
      <c r="F2392" s="18" t="s">
        <v>704</v>
      </c>
      <c r="G2392" s="18" t="s">
        <v>674</v>
      </c>
      <c r="H2392" s="18" t="s">
        <v>850</v>
      </c>
      <c r="I2392" s="315">
        <v>27.577380735765296</v>
      </c>
      <c r="J2392" s="315">
        <v>1.6745408218157291E-2</v>
      </c>
      <c r="K2392" s="316" t="str">
        <f t="shared" si="48"/>
        <v>Construction and Mining Equipment</v>
      </c>
      <c r="L2392" s="316" t="str">
        <f t="shared" si="49"/>
        <v>Gasoline</v>
      </c>
      <c r="M2392" s="194"/>
      <c r="N2392" s="317"/>
      <c r="O2392" s="317"/>
      <c r="P2392" s="317"/>
      <c r="Q2392" s="317"/>
      <c r="R2392" s="317"/>
      <c r="S2392" s="317"/>
      <c r="T2392" s="317"/>
      <c r="U2392" s="317"/>
      <c r="V2392" s="317"/>
      <c r="W2392" s="317"/>
      <c r="X2392" s="317"/>
      <c r="Y2392" s="317"/>
      <c r="Z2392" s="317"/>
    </row>
    <row r="2393" spans="1:26" x14ac:dyDescent="0.25">
      <c r="A2393" s="314"/>
      <c r="B2393" s="18">
        <v>2023</v>
      </c>
      <c r="C2393" s="18" t="s">
        <v>781</v>
      </c>
      <c r="D2393" s="18" t="s">
        <v>830</v>
      </c>
      <c r="E2393" s="18" t="s">
        <v>703</v>
      </c>
      <c r="F2393" s="18" t="s">
        <v>704</v>
      </c>
      <c r="G2393" s="18" t="s">
        <v>673</v>
      </c>
      <c r="H2393" s="18" t="s">
        <v>742</v>
      </c>
      <c r="I2393" s="315">
        <v>27.495907642992186</v>
      </c>
      <c r="J2393" s="315">
        <v>1.1960191698042532E-2</v>
      </c>
      <c r="K2393" s="316" t="str">
        <f t="shared" si="48"/>
        <v>Lawn and Garden Equipment</v>
      </c>
      <c r="L2393" s="316" t="str">
        <f t="shared" si="49"/>
        <v>Gasoline</v>
      </c>
      <c r="M2393" s="194"/>
      <c r="N2393" s="317"/>
      <c r="O2393" s="317"/>
      <c r="P2393" s="317"/>
      <c r="Q2393" s="317"/>
      <c r="R2393" s="317"/>
      <c r="S2393" s="317"/>
      <c r="T2393" s="317"/>
      <c r="U2393" s="317"/>
      <c r="V2393" s="317"/>
      <c r="W2393" s="317"/>
      <c r="X2393" s="317"/>
      <c r="Y2393" s="317"/>
      <c r="Z2393" s="317"/>
    </row>
    <row r="2394" spans="1:26" x14ac:dyDescent="0.25">
      <c r="A2394" s="314"/>
      <c r="B2394" s="18">
        <v>2023</v>
      </c>
      <c r="C2394" s="18" t="s">
        <v>773</v>
      </c>
      <c r="D2394" s="18" t="s">
        <v>1030</v>
      </c>
      <c r="E2394" s="18" t="s">
        <v>703</v>
      </c>
      <c r="F2394" s="18" t="s">
        <v>704</v>
      </c>
      <c r="G2394" s="18" t="s">
        <v>677</v>
      </c>
      <c r="H2394" s="18" t="s">
        <v>1031</v>
      </c>
      <c r="I2394" s="315">
        <v>27.491171779892927</v>
      </c>
      <c r="J2394" s="315">
        <v>1.9008801785479559E-2</v>
      </c>
      <c r="K2394" s="316" t="str">
        <f t="shared" si="48"/>
        <v>Commercial Equipment</v>
      </c>
      <c r="L2394" s="316" t="str">
        <f t="shared" si="49"/>
        <v>Gasoline</v>
      </c>
      <c r="M2394" s="194"/>
      <c r="N2394" s="317"/>
      <c r="O2394" s="317"/>
      <c r="P2394" s="317"/>
      <c r="Q2394" s="317"/>
      <c r="R2394" s="317"/>
      <c r="S2394" s="317"/>
      <c r="T2394" s="317"/>
      <c r="U2394" s="317"/>
      <c r="V2394" s="317"/>
      <c r="W2394" s="317"/>
      <c r="X2394" s="317"/>
      <c r="Y2394" s="317"/>
      <c r="Z2394" s="317"/>
    </row>
    <row r="2395" spans="1:26" x14ac:dyDescent="0.25">
      <c r="A2395" s="314"/>
      <c r="B2395" s="18">
        <v>2023</v>
      </c>
      <c r="C2395" s="18" t="s">
        <v>732</v>
      </c>
      <c r="D2395" s="18" t="s">
        <v>1081</v>
      </c>
      <c r="E2395" s="18" t="s">
        <v>703</v>
      </c>
      <c r="F2395" s="18" t="s">
        <v>805</v>
      </c>
      <c r="G2395" s="18" t="s">
        <v>674</v>
      </c>
      <c r="H2395" s="18" t="s">
        <v>1082</v>
      </c>
      <c r="I2395" s="315">
        <v>27.443517845728422</v>
      </c>
      <c r="J2395" s="315">
        <v>4.4514366741944068E-2</v>
      </c>
      <c r="K2395" s="316" t="str">
        <f t="shared" si="48"/>
        <v>Construction and Mining Equipment</v>
      </c>
      <c r="L2395" s="316" t="str">
        <f t="shared" si="49"/>
        <v>Gasoline</v>
      </c>
      <c r="M2395" s="194"/>
      <c r="N2395" s="317"/>
      <c r="O2395" s="317"/>
      <c r="P2395" s="317"/>
      <c r="Q2395" s="317"/>
      <c r="R2395" s="317"/>
      <c r="S2395" s="317"/>
      <c r="T2395" s="317"/>
      <c r="U2395" s="317"/>
      <c r="V2395" s="317"/>
      <c r="W2395" s="317"/>
      <c r="X2395" s="317"/>
      <c r="Y2395" s="317"/>
      <c r="Z2395" s="317"/>
    </row>
    <row r="2396" spans="1:26" x14ac:dyDescent="0.25">
      <c r="A2396" s="314"/>
      <c r="B2396" s="18">
        <v>2023</v>
      </c>
      <c r="C2396" s="18" t="s">
        <v>778</v>
      </c>
      <c r="D2396" s="18" t="s">
        <v>970</v>
      </c>
      <c r="E2396" s="18" t="s">
        <v>713</v>
      </c>
      <c r="F2396" s="18" t="s">
        <v>714</v>
      </c>
      <c r="G2396" s="18" t="s">
        <v>675</v>
      </c>
      <c r="H2396" s="18" t="s">
        <v>969</v>
      </c>
      <c r="I2396" s="315">
        <v>27.420463461086218</v>
      </c>
      <c r="J2396" s="315">
        <v>8.9091691409140885E-4</v>
      </c>
      <c r="K2396" s="316" t="str">
        <f t="shared" si="48"/>
        <v>Industrial Equipment</v>
      </c>
      <c r="L2396" s="316" t="str">
        <f t="shared" si="49"/>
        <v>Diesel</v>
      </c>
      <c r="M2396" s="194"/>
      <c r="N2396" s="317"/>
      <c r="O2396" s="317"/>
      <c r="P2396" s="317"/>
      <c r="Q2396" s="317"/>
      <c r="R2396" s="317"/>
      <c r="S2396" s="317"/>
      <c r="T2396" s="317"/>
      <c r="U2396" s="317"/>
      <c r="V2396" s="317"/>
      <c r="W2396" s="317"/>
      <c r="X2396" s="317"/>
      <c r="Y2396" s="317"/>
      <c r="Z2396" s="317"/>
    </row>
    <row r="2397" spans="1:26" x14ac:dyDescent="0.25">
      <c r="A2397" s="314"/>
      <c r="B2397" s="18">
        <v>2023</v>
      </c>
      <c r="C2397" s="18" t="s">
        <v>701</v>
      </c>
      <c r="D2397" s="18" t="s">
        <v>1228</v>
      </c>
      <c r="E2397" s="18" t="s">
        <v>703</v>
      </c>
      <c r="F2397" s="18" t="s">
        <v>704</v>
      </c>
      <c r="G2397" s="18" t="s">
        <v>675</v>
      </c>
      <c r="H2397" s="18" t="s">
        <v>1078</v>
      </c>
      <c r="I2397" s="315">
        <v>27.306924117207647</v>
      </c>
      <c r="J2397" s="315">
        <v>9.2210408749430119E-3</v>
      </c>
      <c r="K2397" s="316" t="str">
        <f t="shared" si="48"/>
        <v>Industrial Equipment</v>
      </c>
      <c r="L2397" s="316" t="str">
        <f t="shared" si="49"/>
        <v>Gasoline</v>
      </c>
      <c r="M2397" s="194"/>
      <c r="N2397" s="317"/>
      <c r="O2397" s="317"/>
      <c r="P2397" s="317"/>
      <c r="Q2397" s="317"/>
      <c r="R2397" s="317"/>
      <c r="S2397" s="317"/>
      <c r="T2397" s="317"/>
      <c r="U2397" s="317"/>
      <c r="V2397" s="317"/>
      <c r="W2397" s="317"/>
      <c r="X2397" s="317"/>
      <c r="Y2397" s="317"/>
      <c r="Z2397" s="317"/>
    </row>
    <row r="2398" spans="1:26" x14ac:dyDescent="0.25">
      <c r="A2398" s="314"/>
      <c r="B2398" s="18">
        <v>2023</v>
      </c>
      <c r="C2398" s="18" t="s">
        <v>732</v>
      </c>
      <c r="D2398" s="18" t="s">
        <v>1212</v>
      </c>
      <c r="E2398" s="18" t="s">
        <v>56</v>
      </c>
      <c r="F2398" s="18" t="s">
        <v>672</v>
      </c>
      <c r="G2398" s="18" t="s">
        <v>675</v>
      </c>
      <c r="H2398" s="18" t="s">
        <v>798</v>
      </c>
      <c r="I2398" s="315">
        <v>27.260514696819083</v>
      </c>
      <c r="J2398" s="315">
        <v>1.2317314502394044E-3</v>
      </c>
      <c r="K2398" s="316" t="str">
        <f t="shared" si="48"/>
        <v>Industrial Equipment</v>
      </c>
      <c r="L2398" s="316" t="str">
        <f t="shared" si="49"/>
        <v>LPG</v>
      </c>
      <c r="M2398" s="194"/>
      <c r="N2398" s="317"/>
      <c r="O2398" s="317"/>
      <c r="P2398" s="317"/>
      <c r="Q2398" s="317"/>
      <c r="R2398" s="317"/>
      <c r="S2398" s="317"/>
      <c r="T2398" s="317"/>
      <c r="U2398" s="317"/>
      <c r="V2398" s="317"/>
      <c r="W2398" s="317"/>
      <c r="X2398" s="317"/>
      <c r="Y2398" s="317"/>
      <c r="Z2398" s="317"/>
    </row>
    <row r="2399" spans="1:26" x14ac:dyDescent="0.25">
      <c r="A2399" s="314"/>
      <c r="B2399" s="18">
        <v>2023</v>
      </c>
      <c r="C2399" s="18" t="s">
        <v>706</v>
      </c>
      <c r="D2399" s="18" t="s">
        <v>1349</v>
      </c>
      <c r="E2399" s="18" t="s">
        <v>703</v>
      </c>
      <c r="F2399" s="18" t="s">
        <v>704</v>
      </c>
      <c r="G2399" s="18" t="s">
        <v>673</v>
      </c>
      <c r="H2399" s="18" t="s">
        <v>978</v>
      </c>
      <c r="I2399" s="315">
        <v>27.217593492132526</v>
      </c>
      <c r="J2399" s="315">
        <v>1.8959628690627551E-2</v>
      </c>
      <c r="K2399" s="316" t="str">
        <f t="shared" si="48"/>
        <v>Lawn and Garden Equipment</v>
      </c>
      <c r="L2399" s="316" t="str">
        <f t="shared" si="49"/>
        <v>Gasoline</v>
      </c>
      <c r="M2399" s="194"/>
      <c r="N2399" s="317"/>
      <c r="O2399" s="317"/>
      <c r="P2399" s="317"/>
      <c r="Q2399" s="317"/>
      <c r="R2399" s="317"/>
      <c r="S2399" s="317"/>
      <c r="T2399" s="317"/>
      <c r="U2399" s="317"/>
      <c r="V2399" s="317"/>
      <c r="W2399" s="317"/>
      <c r="X2399" s="317"/>
      <c r="Y2399" s="317"/>
      <c r="Z2399" s="317"/>
    </row>
    <row r="2400" spans="1:26" x14ac:dyDescent="0.25">
      <c r="A2400" s="314"/>
      <c r="B2400" s="18">
        <v>2023</v>
      </c>
      <c r="C2400" s="18" t="s">
        <v>706</v>
      </c>
      <c r="D2400" s="18" t="s">
        <v>1360</v>
      </c>
      <c r="E2400" s="18" t="s">
        <v>713</v>
      </c>
      <c r="F2400" s="18" t="s">
        <v>714</v>
      </c>
      <c r="G2400" s="18" t="s">
        <v>674</v>
      </c>
      <c r="H2400" s="18" t="s">
        <v>1220</v>
      </c>
      <c r="I2400" s="315">
        <v>27.209543051045202</v>
      </c>
      <c r="J2400" s="315">
        <v>1.2103849085134536E-3</v>
      </c>
      <c r="K2400" s="316" t="str">
        <f t="shared" si="48"/>
        <v>Construction and Mining Equipment</v>
      </c>
      <c r="L2400" s="316" t="str">
        <f t="shared" si="49"/>
        <v>Diesel</v>
      </c>
      <c r="M2400" s="194"/>
      <c r="N2400" s="317"/>
      <c r="O2400" s="317"/>
      <c r="P2400" s="317"/>
      <c r="Q2400" s="317"/>
      <c r="R2400" s="317"/>
      <c r="S2400" s="317"/>
      <c r="T2400" s="317"/>
      <c r="U2400" s="317"/>
      <c r="V2400" s="317"/>
      <c r="W2400" s="317"/>
      <c r="X2400" s="317"/>
      <c r="Y2400" s="317"/>
      <c r="Z2400" s="317"/>
    </row>
    <row r="2401" spans="1:26" x14ac:dyDescent="0.25">
      <c r="A2401" s="314"/>
      <c r="B2401" s="18">
        <v>2023</v>
      </c>
      <c r="C2401" s="18" t="s">
        <v>760</v>
      </c>
      <c r="D2401" s="18" t="s">
        <v>1017</v>
      </c>
      <c r="E2401" s="18" t="s">
        <v>703</v>
      </c>
      <c r="F2401" s="18" t="s">
        <v>704</v>
      </c>
      <c r="G2401" s="18" t="s">
        <v>673</v>
      </c>
      <c r="H2401" s="18" t="s">
        <v>806</v>
      </c>
      <c r="I2401" s="315">
        <v>27.098326202821916</v>
      </c>
      <c r="J2401" s="315">
        <v>1.9127319716274599E-2</v>
      </c>
      <c r="K2401" s="316" t="str">
        <f t="shared" si="48"/>
        <v>Lawn and Garden Equipment</v>
      </c>
      <c r="L2401" s="316" t="str">
        <f t="shared" si="49"/>
        <v>Gasoline</v>
      </c>
      <c r="M2401" s="194"/>
      <c r="N2401" s="317"/>
      <c r="O2401" s="317"/>
      <c r="P2401" s="317"/>
      <c r="Q2401" s="317"/>
      <c r="R2401" s="317"/>
      <c r="S2401" s="317"/>
      <c r="T2401" s="317"/>
      <c r="U2401" s="317"/>
      <c r="V2401" s="317"/>
      <c r="W2401" s="317"/>
      <c r="X2401" s="317"/>
      <c r="Y2401" s="317"/>
      <c r="Z2401" s="317"/>
    </row>
    <row r="2402" spans="1:26" x14ac:dyDescent="0.25">
      <c r="A2402" s="314"/>
      <c r="B2402" s="18">
        <v>2023</v>
      </c>
      <c r="C2402" s="18" t="s">
        <v>750</v>
      </c>
      <c r="D2402" s="18" t="s">
        <v>1153</v>
      </c>
      <c r="E2402" s="18" t="s">
        <v>713</v>
      </c>
      <c r="F2402" s="18" t="s">
        <v>714</v>
      </c>
      <c r="G2402" s="18" t="s">
        <v>678</v>
      </c>
      <c r="H2402" s="18" t="s">
        <v>1154</v>
      </c>
      <c r="I2402" s="315">
        <v>27.092549343401934</v>
      </c>
      <c r="J2402" s="315">
        <v>3.5360933961001313E-4</v>
      </c>
      <c r="K2402" s="316" t="str">
        <f t="shared" si="48"/>
        <v>Agricultural Equipment</v>
      </c>
      <c r="L2402" s="316" t="str">
        <f t="shared" si="49"/>
        <v>Diesel</v>
      </c>
      <c r="M2402" s="194"/>
      <c r="N2402" s="317"/>
      <c r="O2402" s="317"/>
      <c r="P2402" s="317"/>
      <c r="Q2402" s="317"/>
      <c r="R2402" s="317"/>
      <c r="S2402" s="317"/>
      <c r="T2402" s="317"/>
      <c r="U2402" s="317"/>
      <c r="V2402" s="317"/>
      <c r="W2402" s="317"/>
      <c r="X2402" s="317"/>
      <c r="Y2402" s="317"/>
      <c r="Z2402" s="317"/>
    </row>
    <row r="2403" spans="1:26" x14ac:dyDescent="0.25">
      <c r="A2403" s="314"/>
      <c r="B2403" s="18">
        <v>2023</v>
      </c>
      <c r="C2403" s="18" t="s">
        <v>773</v>
      </c>
      <c r="D2403" s="18" t="s">
        <v>1034</v>
      </c>
      <c r="E2403" s="18" t="s">
        <v>713</v>
      </c>
      <c r="F2403" s="18" t="s">
        <v>714</v>
      </c>
      <c r="G2403" s="18" t="s">
        <v>677</v>
      </c>
      <c r="H2403" s="18" t="s">
        <v>1031</v>
      </c>
      <c r="I2403" s="315">
        <v>26.977228139124673</v>
      </c>
      <c r="J2403" s="315">
        <v>4.6880503578407051E-4</v>
      </c>
      <c r="K2403" s="316" t="str">
        <f t="shared" si="48"/>
        <v>Commercial Equipment</v>
      </c>
      <c r="L2403" s="316" t="str">
        <f t="shared" si="49"/>
        <v>Diesel</v>
      </c>
      <c r="M2403" s="194"/>
      <c r="N2403" s="317"/>
      <c r="O2403" s="317"/>
      <c r="P2403" s="317"/>
      <c r="Q2403" s="317"/>
      <c r="R2403" s="317"/>
      <c r="S2403" s="317"/>
      <c r="T2403" s="317"/>
      <c r="U2403" s="317"/>
      <c r="V2403" s="317"/>
      <c r="W2403" s="317"/>
      <c r="X2403" s="317"/>
      <c r="Y2403" s="317"/>
      <c r="Z2403" s="317"/>
    </row>
    <row r="2404" spans="1:26" x14ac:dyDescent="0.25">
      <c r="A2404" s="314"/>
      <c r="B2404" s="18">
        <v>2023</v>
      </c>
      <c r="C2404" s="18" t="s">
        <v>710</v>
      </c>
      <c r="D2404" s="18" t="s">
        <v>1338</v>
      </c>
      <c r="E2404" s="18" t="s">
        <v>703</v>
      </c>
      <c r="F2404" s="18" t="s">
        <v>805</v>
      </c>
      <c r="G2404" s="18" t="s">
        <v>673</v>
      </c>
      <c r="H2404" s="18" t="s">
        <v>987</v>
      </c>
      <c r="I2404" s="315">
        <v>26.911701343359034</v>
      </c>
      <c r="J2404" s="315">
        <v>4.9142656348265618E-2</v>
      </c>
      <c r="K2404" s="316" t="str">
        <f t="shared" si="48"/>
        <v>Lawn and Garden Equipment</v>
      </c>
      <c r="L2404" s="316" t="str">
        <f t="shared" si="49"/>
        <v>Gasoline</v>
      </c>
      <c r="M2404" s="194"/>
      <c r="N2404" s="317"/>
      <c r="O2404" s="317"/>
      <c r="P2404" s="317"/>
      <c r="Q2404" s="317"/>
      <c r="R2404" s="317"/>
      <c r="S2404" s="317"/>
      <c r="T2404" s="317"/>
      <c r="U2404" s="317"/>
      <c r="V2404" s="317"/>
      <c r="W2404" s="317"/>
      <c r="X2404" s="317"/>
      <c r="Y2404" s="317"/>
      <c r="Z2404" s="317"/>
    </row>
    <row r="2405" spans="1:26" x14ac:dyDescent="0.25">
      <c r="A2405" s="314"/>
      <c r="B2405" s="18">
        <v>2023</v>
      </c>
      <c r="C2405" s="18" t="s">
        <v>706</v>
      </c>
      <c r="D2405" s="18" t="s">
        <v>1361</v>
      </c>
      <c r="E2405" s="18" t="s">
        <v>56</v>
      </c>
      <c r="F2405" s="18" t="s">
        <v>672</v>
      </c>
      <c r="G2405" s="18" t="s">
        <v>674</v>
      </c>
      <c r="H2405" s="18" t="s">
        <v>783</v>
      </c>
      <c r="I2405" s="315">
        <v>26.876115004253435</v>
      </c>
      <c r="J2405" s="315">
        <v>1.2337873872571203E-3</v>
      </c>
      <c r="K2405" s="316" t="str">
        <f t="shared" si="48"/>
        <v>Construction and Mining Equipment</v>
      </c>
      <c r="L2405" s="316" t="str">
        <f t="shared" si="49"/>
        <v>LPG</v>
      </c>
      <c r="M2405" s="194"/>
      <c r="N2405" s="317"/>
      <c r="O2405" s="317"/>
      <c r="P2405" s="317"/>
      <c r="Q2405" s="317"/>
      <c r="R2405" s="317"/>
      <c r="S2405" s="317"/>
      <c r="T2405" s="317"/>
      <c r="U2405" s="317"/>
      <c r="V2405" s="317"/>
      <c r="W2405" s="317"/>
      <c r="X2405" s="317"/>
      <c r="Y2405" s="317"/>
      <c r="Z2405" s="317"/>
    </row>
    <row r="2406" spans="1:26" x14ac:dyDescent="0.25">
      <c r="A2406" s="314"/>
      <c r="B2406" s="18">
        <v>2023</v>
      </c>
      <c r="C2406" s="18" t="s">
        <v>743</v>
      </c>
      <c r="D2406" s="18" t="s">
        <v>1051</v>
      </c>
      <c r="E2406" s="18" t="s">
        <v>703</v>
      </c>
      <c r="F2406" s="18" t="s">
        <v>704</v>
      </c>
      <c r="G2406" s="18" t="s">
        <v>674</v>
      </c>
      <c r="H2406" s="18" t="s">
        <v>783</v>
      </c>
      <c r="I2406" s="315">
        <v>26.845016472678434</v>
      </c>
      <c r="J2406" s="315">
        <v>1.6441062610908348E-2</v>
      </c>
      <c r="K2406" s="316" t="str">
        <f t="shared" si="48"/>
        <v>Construction and Mining Equipment</v>
      </c>
      <c r="L2406" s="316" t="str">
        <f t="shared" si="49"/>
        <v>Gasoline</v>
      </c>
      <c r="M2406" s="194"/>
      <c r="N2406" s="317"/>
      <c r="O2406" s="317"/>
      <c r="P2406" s="317"/>
      <c r="Q2406" s="317"/>
      <c r="R2406" s="317"/>
      <c r="S2406" s="317"/>
      <c r="T2406" s="317"/>
      <c r="U2406" s="317"/>
      <c r="V2406" s="317"/>
      <c r="W2406" s="317"/>
      <c r="X2406" s="317"/>
      <c r="Y2406" s="317"/>
      <c r="Z2406" s="317"/>
    </row>
    <row r="2407" spans="1:26" x14ac:dyDescent="0.25">
      <c r="A2407" s="314"/>
      <c r="B2407" s="18">
        <v>2023</v>
      </c>
      <c r="C2407" s="18" t="s">
        <v>710</v>
      </c>
      <c r="D2407" s="18" t="s">
        <v>1292</v>
      </c>
      <c r="E2407" s="18" t="s">
        <v>703</v>
      </c>
      <c r="F2407" s="18" t="s">
        <v>795</v>
      </c>
      <c r="G2407" s="18" t="s">
        <v>675</v>
      </c>
      <c r="H2407" s="18" t="s">
        <v>1293</v>
      </c>
      <c r="I2407" s="315">
        <v>26.779558669329028</v>
      </c>
      <c r="J2407" s="315">
        <v>1.7961342541090029E-2</v>
      </c>
      <c r="K2407" s="316" t="str">
        <f t="shared" si="48"/>
        <v>Industrial Equipment</v>
      </c>
      <c r="L2407" s="316" t="str">
        <f t="shared" si="49"/>
        <v>Gasoline</v>
      </c>
      <c r="M2407" s="194"/>
      <c r="N2407" s="317"/>
      <c r="O2407" s="317"/>
      <c r="P2407" s="317"/>
      <c r="Q2407" s="317"/>
      <c r="R2407" s="317"/>
      <c r="S2407" s="317"/>
      <c r="T2407" s="317"/>
      <c r="U2407" s="317"/>
      <c r="V2407" s="317"/>
      <c r="W2407" s="317"/>
      <c r="X2407" s="317"/>
      <c r="Y2407" s="317"/>
      <c r="Z2407" s="317"/>
    </row>
    <row r="2408" spans="1:26" x14ac:dyDescent="0.25">
      <c r="A2408" s="314"/>
      <c r="B2408" s="18">
        <v>2023</v>
      </c>
      <c r="C2408" s="18" t="s">
        <v>759</v>
      </c>
      <c r="D2408" s="18" t="s">
        <v>849</v>
      </c>
      <c r="E2408" s="18" t="s">
        <v>713</v>
      </c>
      <c r="F2408" s="18" t="s">
        <v>714</v>
      </c>
      <c r="G2408" s="18" t="s">
        <v>674</v>
      </c>
      <c r="H2408" s="18" t="s">
        <v>850</v>
      </c>
      <c r="I2408" s="315">
        <v>26.693627612166406</v>
      </c>
      <c r="J2408" s="315">
        <v>3.7292519393277172E-4</v>
      </c>
      <c r="K2408" s="316" t="str">
        <f t="shared" si="48"/>
        <v>Construction and Mining Equipment</v>
      </c>
      <c r="L2408" s="316" t="str">
        <f t="shared" si="49"/>
        <v>Diesel</v>
      </c>
      <c r="M2408" s="194"/>
      <c r="N2408" s="317"/>
      <c r="O2408" s="317"/>
      <c r="P2408" s="317"/>
      <c r="Q2408" s="317"/>
      <c r="R2408" s="317"/>
      <c r="S2408" s="317"/>
      <c r="T2408" s="317"/>
      <c r="U2408" s="317"/>
      <c r="V2408" s="317"/>
      <c r="W2408" s="317"/>
      <c r="X2408" s="317"/>
      <c r="Y2408" s="317"/>
      <c r="Z2408" s="317"/>
    </row>
    <row r="2409" spans="1:26" x14ac:dyDescent="0.25">
      <c r="A2409" s="314"/>
      <c r="B2409" s="18">
        <v>2023</v>
      </c>
      <c r="C2409" s="18" t="s">
        <v>706</v>
      </c>
      <c r="D2409" s="18" t="s">
        <v>1362</v>
      </c>
      <c r="E2409" s="18" t="s">
        <v>56</v>
      </c>
      <c r="F2409" s="18" t="s">
        <v>672</v>
      </c>
      <c r="G2409" s="18" t="s">
        <v>674</v>
      </c>
      <c r="H2409" s="18" t="s">
        <v>859</v>
      </c>
      <c r="I2409" s="315">
        <v>26.555345405377405</v>
      </c>
      <c r="J2409" s="315">
        <v>6.5862914809754966E-3</v>
      </c>
      <c r="K2409" s="316" t="str">
        <f t="shared" si="48"/>
        <v>Construction and Mining Equipment</v>
      </c>
      <c r="L2409" s="316" t="str">
        <f t="shared" si="49"/>
        <v>LPG</v>
      </c>
      <c r="M2409" s="194"/>
      <c r="N2409" s="317"/>
      <c r="O2409" s="317"/>
      <c r="P2409" s="317"/>
      <c r="Q2409" s="317"/>
      <c r="R2409" s="317"/>
      <c r="S2409" s="317"/>
      <c r="T2409" s="317"/>
      <c r="U2409" s="317"/>
      <c r="V2409" s="317"/>
      <c r="W2409" s="317"/>
      <c r="X2409" s="317"/>
      <c r="Y2409" s="317"/>
      <c r="Z2409" s="317"/>
    </row>
    <row r="2410" spans="1:26" x14ac:dyDescent="0.25">
      <c r="A2410" s="314"/>
      <c r="B2410" s="18">
        <v>2023</v>
      </c>
      <c r="C2410" s="18" t="s">
        <v>727</v>
      </c>
      <c r="D2410" s="18" t="s">
        <v>1006</v>
      </c>
      <c r="E2410" s="18" t="s">
        <v>703</v>
      </c>
      <c r="F2410" s="18" t="s">
        <v>805</v>
      </c>
      <c r="G2410" s="18" t="s">
        <v>674</v>
      </c>
      <c r="H2410" s="18" t="s">
        <v>967</v>
      </c>
      <c r="I2410" s="315">
        <v>26.548032706587968</v>
      </c>
      <c r="J2410" s="315">
        <v>4.7544429852268304E-2</v>
      </c>
      <c r="K2410" s="316" t="str">
        <f t="shared" si="48"/>
        <v>Construction and Mining Equipment</v>
      </c>
      <c r="L2410" s="316" t="str">
        <f t="shared" si="49"/>
        <v>Gasoline</v>
      </c>
      <c r="M2410" s="194"/>
      <c r="N2410" s="317"/>
      <c r="O2410" s="317"/>
      <c r="P2410" s="317"/>
      <c r="Q2410" s="317"/>
      <c r="R2410" s="317"/>
      <c r="S2410" s="317"/>
      <c r="T2410" s="317"/>
      <c r="U2410" s="317"/>
      <c r="V2410" s="317"/>
      <c r="W2410" s="317"/>
      <c r="X2410" s="317"/>
      <c r="Y2410" s="317"/>
      <c r="Z2410" s="317"/>
    </row>
    <row r="2411" spans="1:26" x14ac:dyDescent="0.25">
      <c r="A2411" s="314"/>
      <c r="B2411" s="18">
        <v>2023</v>
      </c>
      <c r="C2411" s="18" t="s">
        <v>773</v>
      </c>
      <c r="D2411" s="18" t="s">
        <v>1037</v>
      </c>
      <c r="E2411" s="18" t="s">
        <v>56</v>
      </c>
      <c r="F2411" s="18" t="s">
        <v>672</v>
      </c>
      <c r="G2411" s="18" t="s">
        <v>677</v>
      </c>
      <c r="H2411" s="18" t="s">
        <v>841</v>
      </c>
      <c r="I2411" s="315">
        <v>26.535932665469275</v>
      </c>
      <c r="J2411" s="315">
        <v>2.6861632593230302E-3</v>
      </c>
      <c r="K2411" s="316" t="str">
        <f t="shared" si="48"/>
        <v>Commercial Equipment</v>
      </c>
      <c r="L2411" s="316" t="str">
        <f t="shared" si="49"/>
        <v>LPG</v>
      </c>
      <c r="M2411" s="194"/>
      <c r="N2411" s="317"/>
      <c r="O2411" s="317"/>
      <c r="P2411" s="317"/>
      <c r="Q2411" s="317"/>
      <c r="R2411" s="317"/>
      <c r="S2411" s="317"/>
      <c r="T2411" s="317"/>
      <c r="U2411" s="317"/>
      <c r="V2411" s="317"/>
      <c r="W2411" s="317"/>
      <c r="X2411" s="317"/>
      <c r="Y2411" s="317"/>
      <c r="Z2411" s="317"/>
    </row>
    <row r="2412" spans="1:26" x14ac:dyDescent="0.25">
      <c r="A2412" s="314"/>
      <c r="B2412" s="18">
        <v>2023</v>
      </c>
      <c r="C2412" s="18" t="s">
        <v>786</v>
      </c>
      <c r="D2412" s="18" t="s">
        <v>927</v>
      </c>
      <c r="E2412" s="18" t="s">
        <v>56</v>
      </c>
      <c r="F2412" s="18" t="s">
        <v>672</v>
      </c>
      <c r="G2412" s="18" t="s">
        <v>673</v>
      </c>
      <c r="H2412" s="18" t="s">
        <v>742</v>
      </c>
      <c r="I2412" s="315">
        <v>26.509123392982364</v>
      </c>
      <c r="J2412" s="315">
        <v>1.2043015854760154E-3</v>
      </c>
      <c r="K2412" s="316" t="str">
        <f t="shared" si="48"/>
        <v>Lawn and Garden Equipment</v>
      </c>
      <c r="L2412" s="316" t="str">
        <f t="shared" si="49"/>
        <v>LPG</v>
      </c>
      <c r="M2412" s="194"/>
      <c r="N2412" s="317"/>
      <c r="O2412" s="317"/>
      <c r="P2412" s="317"/>
      <c r="Q2412" s="317"/>
      <c r="R2412" s="317"/>
      <c r="S2412" s="317"/>
      <c r="T2412" s="317"/>
      <c r="U2412" s="317"/>
      <c r="V2412" s="317"/>
      <c r="W2412" s="317"/>
      <c r="X2412" s="317"/>
      <c r="Y2412" s="317"/>
      <c r="Z2412" s="317"/>
    </row>
    <row r="2413" spans="1:26" x14ac:dyDescent="0.25">
      <c r="A2413" s="314"/>
      <c r="B2413" s="18">
        <v>2023</v>
      </c>
      <c r="C2413" s="18" t="s">
        <v>787</v>
      </c>
      <c r="D2413" s="18" t="s">
        <v>878</v>
      </c>
      <c r="E2413" s="18" t="s">
        <v>703</v>
      </c>
      <c r="F2413" s="18" t="s">
        <v>704</v>
      </c>
      <c r="G2413" s="18" t="s">
        <v>673</v>
      </c>
      <c r="H2413" s="18" t="s">
        <v>879</v>
      </c>
      <c r="I2413" s="315">
        <v>26.494974075477447</v>
      </c>
      <c r="J2413" s="315">
        <v>1.7436470157741302E-2</v>
      </c>
      <c r="K2413" s="316" t="str">
        <f t="shared" si="48"/>
        <v>Lawn and Garden Equipment</v>
      </c>
      <c r="L2413" s="316" t="str">
        <f t="shared" si="49"/>
        <v>Gasoline</v>
      </c>
      <c r="M2413" s="194"/>
      <c r="N2413" s="317"/>
      <c r="O2413" s="317"/>
      <c r="P2413" s="317"/>
      <c r="Q2413" s="317"/>
      <c r="R2413" s="317"/>
      <c r="S2413" s="317"/>
      <c r="T2413" s="317"/>
      <c r="U2413" s="317"/>
      <c r="V2413" s="317"/>
      <c r="W2413" s="317"/>
      <c r="X2413" s="317"/>
      <c r="Y2413" s="317"/>
      <c r="Z2413" s="317"/>
    </row>
    <row r="2414" spans="1:26" x14ac:dyDescent="0.25">
      <c r="A2414" s="314"/>
      <c r="B2414" s="18">
        <v>2023</v>
      </c>
      <c r="C2414" s="18" t="s">
        <v>727</v>
      </c>
      <c r="D2414" s="18" t="s">
        <v>1003</v>
      </c>
      <c r="E2414" s="18" t="s">
        <v>703</v>
      </c>
      <c r="F2414" s="18" t="s">
        <v>805</v>
      </c>
      <c r="G2414" s="18" t="s">
        <v>677</v>
      </c>
      <c r="H2414" s="18" t="s">
        <v>841</v>
      </c>
      <c r="I2414" s="315">
        <v>26.465473731678951</v>
      </c>
      <c r="J2414" s="315">
        <v>5.0994610402232285E-2</v>
      </c>
      <c r="K2414" s="316" t="str">
        <f t="shared" si="48"/>
        <v>Commercial Equipment</v>
      </c>
      <c r="L2414" s="316" t="str">
        <f t="shared" si="49"/>
        <v>Gasoline</v>
      </c>
      <c r="M2414" s="194"/>
      <c r="N2414" s="317"/>
      <c r="O2414" s="317"/>
      <c r="P2414" s="317"/>
      <c r="Q2414" s="317"/>
      <c r="R2414" s="317"/>
      <c r="S2414" s="317"/>
      <c r="T2414" s="317"/>
      <c r="U2414" s="317"/>
      <c r="V2414" s="317"/>
      <c r="W2414" s="317"/>
      <c r="X2414" s="317"/>
      <c r="Y2414" s="317"/>
      <c r="Z2414" s="317"/>
    </row>
    <row r="2415" spans="1:26" x14ac:dyDescent="0.25">
      <c r="A2415" s="314"/>
      <c r="B2415" s="18">
        <v>2023</v>
      </c>
      <c r="C2415" s="18" t="s">
        <v>793</v>
      </c>
      <c r="D2415" s="18" t="s">
        <v>964</v>
      </c>
      <c r="E2415" s="18" t="s">
        <v>56</v>
      </c>
      <c r="F2415" s="18" t="s">
        <v>601</v>
      </c>
      <c r="G2415" s="18" t="s">
        <v>677</v>
      </c>
      <c r="H2415" s="18" t="s">
        <v>965</v>
      </c>
      <c r="I2415" s="315">
        <v>26.392208511362583</v>
      </c>
      <c r="J2415" s="315">
        <v>0.12611839327067131</v>
      </c>
      <c r="K2415" s="316" t="str">
        <f t="shared" si="48"/>
        <v>Commercial Equipment</v>
      </c>
      <c r="L2415" s="316" t="str">
        <f t="shared" si="49"/>
        <v>CNG</v>
      </c>
      <c r="M2415" s="194"/>
      <c r="N2415" s="317"/>
      <c r="O2415" s="317"/>
      <c r="P2415" s="317"/>
      <c r="Q2415" s="317"/>
      <c r="R2415" s="317"/>
      <c r="S2415" s="317"/>
      <c r="T2415" s="317"/>
      <c r="U2415" s="317"/>
      <c r="V2415" s="317"/>
      <c r="W2415" s="317"/>
      <c r="X2415" s="317"/>
      <c r="Y2415" s="317"/>
      <c r="Z2415" s="317"/>
    </row>
    <row r="2416" spans="1:26" x14ac:dyDescent="0.25">
      <c r="A2416" s="314"/>
      <c r="B2416" s="18">
        <v>2023</v>
      </c>
      <c r="C2416" s="18" t="s">
        <v>711</v>
      </c>
      <c r="D2416" s="18" t="s">
        <v>1228</v>
      </c>
      <c r="E2416" s="18" t="s">
        <v>703</v>
      </c>
      <c r="F2416" s="18" t="s">
        <v>704</v>
      </c>
      <c r="G2416" s="18" t="s">
        <v>675</v>
      </c>
      <c r="H2416" s="18" t="s">
        <v>1078</v>
      </c>
      <c r="I2416" s="315">
        <v>26.372012372584667</v>
      </c>
      <c r="J2416" s="315">
        <v>8.8881675128647079E-3</v>
      </c>
      <c r="K2416" s="316" t="str">
        <f t="shared" si="48"/>
        <v>Industrial Equipment</v>
      </c>
      <c r="L2416" s="316" t="str">
        <f t="shared" si="49"/>
        <v>Gasoline</v>
      </c>
      <c r="M2416" s="194"/>
      <c r="N2416" s="317"/>
      <c r="O2416" s="317"/>
      <c r="P2416" s="317"/>
      <c r="Q2416" s="317"/>
      <c r="R2416" s="317"/>
      <c r="S2416" s="317"/>
      <c r="T2416" s="317"/>
      <c r="U2416" s="317"/>
      <c r="V2416" s="317"/>
      <c r="W2416" s="317"/>
      <c r="X2416" s="317"/>
      <c r="Y2416" s="317"/>
      <c r="Z2416" s="317"/>
    </row>
    <row r="2417" spans="1:26" x14ac:dyDescent="0.25">
      <c r="A2417" s="314"/>
      <c r="B2417" s="18">
        <v>2023</v>
      </c>
      <c r="C2417" s="18" t="s">
        <v>709</v>
      </c>
      <c r="D2417" s="18" t="s">
        <v>1349</v>
      </c>
      <c r="E2417" s="18" t="s">
        <v>703</v>
      </c>
      <c r="F2417" s="18" t="s">
        <v>704</v>
      </c>
      <c r="G2417" s="18" t="s">
        <v>673</v>
      </c>
      <c r="H2417" s="18" t="s">
        <v>978</v>
      </c>
      <c r="I2417" s="315">
        <v>26.371232316172524</v>
      </c>
      <c r="J2417" s="315">
        <v>1.834991815122811E-2</v>
      </c>
      <c r="K2417" s="316" t="str">
        <f t="shared" si="48"/>
        <v>Lawn and Garden Equipment</v>
      </c>
      <c r="L2417" s="316" t="str">
        <f t="shared" si="49"/>
        <v>Gasoline</v>
      </c>
      <c r="M2417" s="194"/>
      <c r="N2417" s="317"/>
      <c r="O2417" s="317"/>
      <c r="P2417" s="317"/>
      <c r="Q2417" s="317"/>
      <c r="R2417" s="317"/>
      <c r="S2417" s="317"/>
      <c r="T2417" s="317"/>
      <c r="U2417" s="317"/>
      <c r="V2417" s="317"/>
      <c r="W2417" s="317"/>
      <c r="X2417" s="317"/>
      <c r="Y2417" s="317"/>
      <c r="Z2417" s="317"/>
    </row>
    <row r="2418" spans="1:26" x14ac:dyDescent="0.25">
      <c r="A2418" s="314"/>
      <c r="B2418" s="18">
        <v>2023</v>
      </c>
      <c r="C2418" s="18" t="s">
        <v>732</v>
      </c>
      <c r="D2418" s="18" t="s">
        <v>1083</v>
      </c>
      <c r="E2418" s="18" t="s">
        <v>703</v>
      </c>
      <c r="F2418" s="18" t="s">
        <v>704</v>
      </c>
      <c r="G2418" s="18" t="s">
        <v>674</v>
      </c>
      <c r="H2418" s="18" t="s">
        <v>861</v>
      </c>
      <c r="I2418" s="315">
        <v>26.228015196204005</v>
      </c>
      <c r="J2418" s="315">
        <v>1.9778615760809814E-2</v>
      </c>
      <c r="K2418" s="316" t="str">
        <f t="shared" si="48"/>
        <v>Construction and Mining Equipment</v>
      </c>
      <c r="L2418" s="316" t="str">
        <f t="shared" si="49"/>
        <v>Gasoline</v>
      </c>
      <c r="M2418" s="194"/>
      <c r="N2418" s="317"/>
      <c r="O2418" s="317"/>
      <c r="P2418" s="317"/>
      <c r="Q2418" s="317"/>
      <c r="R2418" s="317"/>
      <c r="S2418" s="317"/>
      <c r="T2418" s="317"/>
      <c r="U2418" s="317"/>
      <c r="V2418" s="317"/>
      <c r="W2418" s="317"/>
      <c r="X2418" s="317"/>
      <c r="Y2418" s="317"/>
      <c r="Z2418" s="317"/>
    </row>
    <row r="2419" spans="1:26" x14ac:dyDescent="0.25">
      <c r="A2419" s="314"/>
      <c r="B2419" s="18">
        <v>2023</v>
      </c>
      <c r="C2419" s="18" t="s">
        <v>787</v>
      </c>
      <c r="D2419" s="18" t="s">
        <v>882</v>
      </c>
      <c r="E2419" s="18" t="s">
        <v>713</v>
      </c>
      <c r="F2419" s="18" t="s">
        <v>714</v>
      </c>
      <c r="G2419" s="18" t="s">
        <v>673</v>
      </c>
      <c r="H2419" s="18" t="s">
        <v>705</v>
      </c>
      <c r="I2419" s="315">
        <v>26.21372597989248</v>
      </c>
      <c r="J2419" s="315">
        <v>4.3996050749060985E-4</v>
      </c>
      <c r="K2419" s="316" t="str">
        <f t="shared" si="48"/>
        <v>Lawn and Garden Equipment</v>
      </c>
      <c r="L2419" s="316" t="str">
        <f t="shared" si="49"/>
        <v>Diesel</v>
      </c>
      <c r="M2419" s="194"/>
      <c r="N2419" s="317"/>
      <c r="O2419" s="317"/>
      <c r="P2419" s="317"/>
      <c r="Q2419" s="317"/>
      <c r="R2419" s="317"/>
      <c r="S2419" s="317"/>
      <c r="T2419" s="317"/>
      <c r="U2419" s="317"/>
      <c r="V2419" s="317"/>
      <c r="W2419" s="317"/>
      <c r="X2419" s="317"/>
      <c r="Y2419" s="317"/>
      <c r="Z2419" s="317"/>
    </row>
    <row r="2420" spans="1:26" x14ac:dyDescent="0.25">
      <c r="A2420" s="314"/>
      <c r="B2420" s="18">
        <v>2023</v>
      </c>
      <c r="C2420" s="18" t="s">
        <v>754</v>
      </c>
      <c r="D2420" s="18" t="s">
        <v>1035</v>
      </c>
      <c r="E2420" s="18" t="s">
        <v>703</v>
      </c>
      <c r="F2420" s="18" t="s">
        <v>704</v>
      </c>
      <c r="G2420" s="18" t="s">
        <v>674</v>
      </c>
      <c r="H2420" s="18" t="s">
        <v>1036</v>
      </c>
      <c r="I2420" s="315">
        <v>26.151822282257804</v>
      </c>
      <c r="J2420" s="315">
        <v>1.8545147138405205E-2</v>
      </c>
      <c r="K2420" s="316" t="str">
        <f t="shared" si="48"/>
        <v>Construction and Mining Equipment</v>
      </c>
      <c r="L2420" s="316" t="str">
        <f t="shared" si="49"/>
        <v>Gasoline</v>
      </c>
      <c r="M2420" s="194"/>
      <c r="N2420" s="317"/>
      <c r="O2420" s="317"/>
      <c r="P2420" s="317"/>
      <c r="Q2420" s="317"/>
      <c r="R2420" s="317"/>
      <c r="S2420" s="317"/>
      <c r="T2420" s="317"/>
      <c r="U2420" s="317"/>
      <c r="V2420" s="317"/>
      <c r="W2420" s="317"/>
      <c r="X2420" s="317"/>
      <c r="Y2420" s="317"/>
      <c r="Z2420" s="317"/>
    </row>
    <row r="2421" spans="1:26" x14ac:dyDescent="0.25">
      <c r="A2421" s="314"/>
      <c r="B2421" s="18">
        <v>2023</v>
      </c>
      <c r="C2421" s="18" t="s">
        <v>760</v>
      </c>
      <c r="D2421" s="18" t="s">
        <v>1158</v>
      </c>
      <c r="E2421" s="18" t="s">
        <v>703</v>
      </c>
      <c r="F2421" s="18" t="s">
        <v>704</v>
      </c>
      <c r="G2421" s="18" t="s">
        <v>674</v>
      </c>
      <c r="H2421" s="18" t="s">
        <v>715</v>
      </c>
      <c r="I2421" s="315">
        <v>26.058206321849212</v>
      </c>
      <c r="J2421" s="315">
        <v>1.8087738488804207E-3</v>
      </c>
      <c r="K2421" s="316" t="str">
        <f t="shared" si="48"/>
        <v>Construction and Mining Equipment</v>
      </c>
      <c r="L2421" s="316" t="str">
        <f t="shared" si="49"/>
        <v>Gasoline</v>
      </c>
      <c r="M2421" s="194"/>
      <c r="N2421" s="317"/>
      <c r="O2421" s="317"/>
      <c r="P2421" s="317"/>
      <c r="Q2421" s="317"/>
      <c r="R2421" s="317"/>
      <c r="S2421" s="317"/>
      <c r="T2421" s="317"/>
      <c r="U2421" s="317"/>
      <c r="V2421" s="317"/>
      <c r="W2421" s="317"/>
      <c r="X2421" s="317"/>
      <c r="Y2421" s="317"/>
      <c r="Z2421" s="317"/>
    </row>
    <row r="2422" spans="1:26" x14ac:dyDescent="0.25">
      <c r="A2422" s="314"/>
      <c r="B2422" s="18">
        <v>2023</v>
      </c>
      <c r="C2422" s="18" t="s">
        <v>706</v>
      </c>
      <c r="D2422" s="18" t="s">
        <v>1366</v>
      </c>
      <c r="E2422" s="18" t="s">
        <v>703</v>
      </c>
      <c r="F2422" s="18" t="s">
        <v>704</v>
      </c>
      <c r="G2422" s="18" t="s">
        <v>674</v>
      </c>
      <c r="H2422" s="18" t="s">
        <v>791</v>
      </c>
      <c r="I2422" s="315">
        <v>26.018217031654434</v>
      </c>
      <c r="J2422" s="315">
        <v>8.1484454643936596E-3</v>
      </c>
      <c r="K2422" s="316" t="str">
        <f t="shared" si="48"/>
        <v>Construction and Mining Equipment</v>
      </c>
      <c r="L2422" s="316" t="str">
        <f t="shared" si="49"/>
        <v>Gasoline</v>
      </c>
      <c r="M2422" s="194"/>
      <c r="N2422" s="317"/>
      <c r="O2422" s="317"/>
      <c r="P2422" s="317"/>
      <c r="Q2422" s="317"/>
      <c r="R2422" s="317"/>
      <c r="S2422" s="317"/>
      <c r="T2422" s="317"/>
      <c r="U2422" s="317"/>
      <c r="V2422" s="317"/>
      <c r="W2422" s="317"/>
      <c r="X2422" s="317"/>
      <c r="Y2422" s="317"/>
      <c r="Z2422" s="317"/>
    </row>
    <row r="2423" spans="1:26" x14ac:dyDescent="0.25">
      <c r="A2423" s="314"/>
      <c r="B2423" s="18">
        <v>2023</v>
      </c>
      <c r="C2423" s="18" t="s">
        <v>762</v>
      </c>
      <c r="D2423" s="18" t="s">
        <v>984</v>
      </c>
      <c r="E2423" s="18" t="s">
        <v>703</v>
      </c>
      <c r="F2423" s="18" t="s">
        <v>704</v>
      </c>
      <c r="G2423" s="18" t="s">
        <v>673</v>
      </c>
      <c r="H2423" s="18" t="s">
        <v>985</v>
      </c>
      <c r="I2423" s="315">
        <v>26.016157499682414</v>
      </c>
      <c r="J2423" s="315">
        <v>1.7649712994425394E-2</v>
      </c>
      <c r="K2423" s="316" t="str">
        <f t="shared" si="48"/>
        <v>Lawn and Garden Equipment</v>
      </c>
      <c r="L2423" s="316" t="str">
        <f t="shared" si="49"/>
        <v>Gasoline</v>
      </c>
      <c r="M2423" s="194"/>
      <c r="N2423" s="317"/>
      <c r="O2423" s="317"/>
      <c r="P2423" s="317"/>
      <c r="Q2423" s="317"/>
      <c r="R2423" s="317"/>
      <c r="S2423" s="317"/>
      <c r="T2423" s="317"/>
      <c r="U2423" s="317"/>
      <c r="V2423" s="317"/>
      <c r="W2423" s="317"/>
      <c r="X2423" s="317"/>
      <c r="Y2423" s="317"/>
      <c r="Z2423" s="317"/>
    </row>
    <row r="2424" spans="1:26" x14ac:dyDescent="0.25">
      <c r="A2424" s="314"/>
      <c r="B2424" s="18">
        <v>2023</v>
      </c>
      <c r="C2424" s="18" t="s">
        <v>710</v>
      </c>
      <c r="D2424" s="18" t="s">
        <v>988</v>
      </c>
      <c r="E2424" s="18" t="s">
        <v>703</v>
      </c>
      <c r="F2424" s="18" t="s">
        <v>805</v>
      </c>
      <c r="G2424" s="18" t="s">
        <v>673</v>
      </c>
      <c r="H2424" s="18" t="s">
        <v>768</v>
      </c>
      <c r="I2424" s="315">
        <v>26.002364608726911</v>
      </c>
      <c r="J2424" s="315">
        <v>4.8408599378210487E-2</v>
      </c>
      <c r="K2424" s="316" t="str">
        <f t="shared" si="48"/>
        <v>Lawn and Garden Equipment</v>
      </c>
      <c r="L2424" s="316" t="str">
        <f t="shared" si="49"/>
        <v>Gasoline</v>
      </c>
      <c r="M2424" s="194"/>
      <c r="N2424" s="317"/>
      <c r="O2424" s="317"/>
      <c r="P2424" s="317"/>
      <c r="Q2424" s="317"/>
      <c r="R2424" s="317"/>
      <c r="S2424" s="317"/>
      <c r="T2424" s="317"/>
      <c r="U2424" s="317"/>
      <c r="V2424" s="317"/>
      <c r="W2424" s="317"/>
      <c r="X2424" s="317"/>
      <c r="Y2424" s="317"/>
      <c r="Z2424" s="317"/>
    </row>
    <row r="2425" spans="1:26" x14ac:dyDescent="0.25">
      <c r="A2425" s="314"/>
      <c r="B2425" s="18">
        <v>2023</v>
      </c>
      <c r="C2425" s="18" t="s">
        <v>787</v>
      </c>
      <c r="D2425" s="18" t="s">
        <v>1023</v>
      </c>
      <c r="E2425" s="18" t="s">
        <v>703</v>
      </c>
      <c r="F2425" s="18" t="s">
        <v>704</v>
      </c>
      <c r="G2425" s="18" t="s">
        <v>674</v>
      </c>
      <c r="H2425" s="18" t="s">
        <v>736</v>
      </c>
      <c r="I2425" s="315">
        <v>26.001853332197257</v>
      </c>
      <c r="J2425" s="315">
        <v>1.7350323457993394E-2</v>
      </c>
      <c r="K2425" s="316" t="str">
        <f t="shared" si="48"/>
        <v>Construction and Mining Equipment</v>
      </c>
      <c r="L2425" s="316" t="str">
        <f t="shared" si="49"/>
        <v>Gasoline</v>
      </c>
      <c r="M2425" s="194"/>
      <c r="N2425" s="317"/>
      <c r="O2425" s="317"/>
      <c r="P2425" s="317"/>
      <c r="Q2425" s="317"/>
      <c r="R2425" s="317"/>
      <c r="S2425" s="317"/>
      <c r="T2425" s="317"/>
      <c r="U2425" s="317"/>
      <c r="V2425" s="317"/>
      <c r="W2425" s="317"/>
      <c r="X2425" s="317"/>
      <c r="Y2425" s="317"/>
      <c r="Z2425" s="317"/>
    </row>
    <row r="2426" spans="1:26" x14ac:dyDescent="0.25">
      <c r="A2426" s="314"/>
      <c r="B2426" s="18">
        <v>2023</v>
      </c>
      <c r="C2426" s="18" t="s">
        <v>793</v>
      </c>
      <c r="D2426" s="18" t="s">
        <v>1006</v>
      </c>
      <c r="E2426" s="18" t="s">
        <v>703</v>
      </c>
      <c r="F2426" s="18" t="s">
        <v>805</v>
      </c>
      <c r="G2426" s="18" t="s">
        <v>674</v>
      </c>
      <c r="H2426" s="18" t="s">
        <v>967</v>
      </c>
      <c r="I2426" s="315">
        <v>25.920435163376972</v>
      </c>
      <c r="J2426" s="315">
        <v>4.6420453993108041E-2</v>
      </c>
      <c r="K2426" s="316" t="str">
        <f t="shared" si="48"/>
        <v>Construction and Mining Equipment</v>
      </c>
      <c r="L2426" s="316" t="str">
        <f t="shared" si="49"/>
        <v>Gasoline</v>
      </c>
      <c r="M2426" s="194"/>
      <c r="N2426" s="317"/>
      <c r="O2426" s="317"/>
      <c r="P2426" s="317"/>
      <c r="Q2426" s="317"/>
      <c r="R2426" s="317"/>
      <c r="S2426" s="317"/>
      <c r="T2426" s="317"/>
      <c r="U2426" s="317"/>
      <c r="V2426" s="317"/>
      <c r="W2426" s="317"/>
      <c r="X2426" s="317"/>
      <c r="Y2426" s="317"/>
      <c r="Z2426" s="317"/>
    </row>
    <row r="2427" spans="1:26" x14ac:dyDescent="0.25">
      <c r="A2427" s="314"/>
      <c r="B2427" s="18">
        <v>2023</v>
      </c>
      <c r="C2427" s="18" t="s">
        <v>753</v>
      </c>
      <c r="D2427" s="18" t="s">
        <v>1278</v>
      </c>
      <c r="E2427" s="18" t="s">
        <v>703</v>
      </c>
      <c r="F2427" s="18" t="s">
        <v>704</v>
      </c>
      <c r="G2427" s="18" t="s">
        <v>678</v>
      </c>
      <c r="H2427" s="18" t="s">
        <v>1279</v>
      </c>
      <c r="I2427" s="315">
        <v>25.918654590443449</v>
      </c>
      <c r="J2427" s="315">
        <v>3.4514994922710825E-2</v>
      </c>
      <c r="K2427" s="316" t="str">
        <f t="shared" si="48"/>
        <v>Agricultural Equipment</v>
      </c>
      <c r="L2427" s="316" t="str">
        <f t="shared" si="49"/>
        <v>Gasoline</v>
      </c>
      <c r="M2427" s="194"/>
      <c r="N2427" s="317"/>
      <c r="O2427" s="317"/>
      <c r="P2427" s="317"/>
      <c r="Q2427" s="317"/>
      <c r="R2427" s="317"/>
      <c r="S2427" s="317"/>
      <c r="T2427" s="317"/>
      <c r="U2427" s="317"/>
      <c r="V2427" s="317"/>
      <c r="W2427" s="317"/>
      <c r="X2427" s="317"/>
      <c r="Y2427" s="317"/>
      <c r="Z2427" s="317"/>
    </row>
    <row r="2428" spans="1:26" x14ac:dyDescent="0.25">
      <c r="A2428" s="314"/>
      <c r="B2428" s="18">
        <v>2023</v>
      </c>
      <c r="C2428" s="18" t="s">
        <v>727</v>
      </c>
      <c r="D2428" s="18" t="s">
        <v>970</v>
      </c>
      <c r="E2428" s="18" t="s">
        <v>713</v>
      </c>
      <c r="F2428" s="18" t="s">
        <v>714</v>
      </c>
      <c r="G2428" s="18" t="s">
        <v>675</v>
      </c>
      <c r="H2428" s="18" t="s">
        <v>969</v>
      </c>
      <c r="I2428" s="315">
        <v>25.823287210221373</v>
      </c>
      <c r="J2428" s="315">
        <v>8.3902099318736243E-4</v>
      </c>
      <c r="K2428" s="316" t="str">
        <f t="shared" si="48"/>
        <v>Industrial Equipment</v>
      </c>
      <c r="L2428" s="316" t="str">
        <f t="shared" si="49"/>
        <v>Diesel</v>
      </c>
      <c r="M2428" s="194"/>
      <c r="N2428" s="317"/>
      <c r="O2428" s="317"/>
      <c r="P2428" s="317"/>
      <c r="Q2428" s="317"/>
      <c r="R2428" s="317"/>
      <c r="S2428" s="317"/>
      <c r="T2428" s="317"/>
      <c r="U2428" s="317"/>
      <c r="V2428" s="317"/>
      <c r="W2428" s="317"/>
      <c r="X2428" s="317"/>
      <c r="Y2428" s="317"/>
      <c r="Z2428" s="317"/>
    </row>
    <row r="2429" spans="1:26" x14ac:dyDescent="0.25">
      <c r="A2429" s="314"/>
      <c r="B2429" s="18">
        <v>2023</v>
      </c>
      <c r="C2429" s="18" t="s">
        <v>773</v>
      </c>
      <c r="D2429" s="18" t="s">
        <v>998</v>
      </c>
      <c r="E2429" s="18" t="s">
        <v>703</v>
      </c>
      <c r="F2429" s="18" t="s">
        <v>704</v>
      </c>
      <c r="G2429" s="18" t="s">
        <v>674</v>
      </c>
      <c r="H2429" s="18" t="s">
        <v>999</v>
      </c>
      <c r="I2429" s="315">
        <v>25.817048369332142</v>
      </c>
      <c r="J2429" s="315">
        <v>1.6977950474115811E-2</v>
      </c>
      <c r="K2429" s="316" t="str">
        <f t="shared" si="48"/>
        <v>Construction and Mining Equipment</v>
      </c>
      <c r="L2429" s="316" t="str">
        <f t="shared" si="49"/>
        <v>Gasoline</v>
      </c>
      <c r="M2429" s="194"/>
      <c r="N2429" s="317"/>
      <c r="O2429" s="317"/>
      <c r="P2429" s="317"/>
      <c r="Q2429" s="317"/>
      <c r="R2429" s="317"/>
      <c r="S2429" s="317"/>
      <c r="T2429" s="317"/>
      <c r="U2429" s="317"/>
      <c r="V2429" s="317"/>
      <c r="W2429" s="317"/>
      <c r="X2429" s="317"/>
      <c r="Y2429" s="317"/>
      <c r="Z2429" s="317"/>
    </row>
    <row r="2430" spans="1:26" x14ac:dyDescent="0.25">
      <c r="A2430" s="314"/>
      <c r="B2430" s="18">
        <v>2023</v>
      </c>
      <c r="C2430" s="18" t="s">
        <v>759</v>
      </c>
      <c r="D2430" s="18" t="s">
        <v>866</v>
      </c>
      <c r="E2430" s="18" t="s">
        <v>713</v>
      </c>
      <c r="F2430" s="18" t="s">
        <v>714</v>
      </c>
      <c r="G2430" s="18" t="s">
        <v>677</v>
      </c>
      <c r="H2430" s="18" t="s">
        <v>841</v>
      </c>
      <c r="I2430" s="315">
        <v>25.768936889855539</v>
      </c>
      <c r="J2430" s="315">
        <v>6.4257505612746969E-4</v>
      </c>
      <c r="K2430" s="316" t="str">
        <f t="shared" si="48"/>
        <v>Commercial Equipment</v>
      </c>
      <c r="L2430" s="316" t="str">
        <f t="shared" si="49"/>
        <v>Diesel</v>
      </c>
      <c r="M2430" s="194"/>
      <c r="N2430" s="317"/>
      <c r="O2430" s="317"/>
      <c r="P2430" s="317"/>
      <c r="Q2430" s="317"/>
      <c r="R2430" s="317"/>
      <c r="S2430" s="317"/>
      <c r="T2430" s="317"/>
      <c r="U2430" s="317"/>
      <c r="V2430" s="317"/>
      <c r="W2430" s="317"/>
      <c r="X2430" s="317"/>
      <c r="Y2430" s="317"/>
      <c r="Z2430" s="317"/>
    </row>
    <row r="2431" spans="1:26" x14ac:dyDescent="0.25">
      <c r="A2431" s="314"/>
      <c r="B2431" s="18">
        <v>2023</v>
      </c>
      <c r="C2431" s="18" t="s">
        <v>773</v>
      </c>
      <c r="D2431" s="18" t="s">
        <v>1000</v>
      </c>
      <c r="E2431" s="18" t="s">
        <v>703</v>
      </c>
      <c r="F2431" s="18" t="s">
        <v>704</v>
      </c>
      <c r="G2431" s="18" t="s">
        <v>674</v>
      </c>
      <c r="H2431" s="18" t="s">
        <v>850</v>
      </c>
      <c r="I2431" s="315">
        <v>25.722080025804622</v>
      </c>
      <c r="J2431" s="315">
        <v>1.5585093558450922E-2</v>
      </c>
      <c r="K2431" s="316" t="str">
        <f t="shared" si="48"/>
        <v>Construction and Mining Equipment</v>
      </c>
      <c r="L2431" s="316" t="str">
        <f t="shared" si="49"/>
        <v>Gasoline</v>
      </c>
      <c r="M2431" s="194"/>
      <c r="N2431" s="317"/>
      <c r="O2431" s="317"/>
      <c r="P2431" s="317"/>
      <c r="Q2431" s="317"/>
      <c r="R2431" s="317"/>
      <c r="S2431" s="317"/>
      <c r="T2431" s="317"/>
      <c r="U2431" s="317"/>
      <c r="V2431" s="317"/>
      <c r="W2431" s="317"/>
      <c r="X2431" s="317"/>
      <c r="Y2431" s="317"/>
      <c r="Z2431" s="317"/>
    </row>
    <row r="2432" spans="1:26" x14ac:dyDescent="0.25">
      <c r="A2432" s="314"/>
      <c r="B2432" s="18">
        <v>2023</v>
      </c>
      <c r="C2432" s="18" t="s">
        <v>731</v>
      </c>
      <c r="D2432" s="18" t="s">
        <v>1278</v>
      </c>
      <c r="E2432" s="18" t="s">
        <v>703</v>
      </c>
      <c r="F2432" s="18" t="s">
        <v>704</v>
      </c>
      <c r="G2432" s="18" t="s">
        <v>678</v>
      </c>
      <c r="H2432" s="18" t="s">
        <v>1279</v>
      </c>
      <c r="I2432" s="315">
        <v>25.709304642465931</v>
      </c>
      <c r="J2432" s="315">
        <v>3.4230789979619078E-2</v>
      </c>
      <c r="K2432" s="316" t="str">
        <f t="shared" si="48"/>
        <v>Agricultural Equipment</v>
      </c>
      <c r="L2432" s="316" t="str">
        <f t="shared" si="49"/>
        <v>Gasoline</v>
      </c>
      <c r="M2432" s="194"/>
      <c r="N2432" s="317"/>
      <c r="O2432" s="317"/>
      <c r="P2432" s="317"/>
      <c r="Q2432" s="317"/>
      <c r="R2432" s="317"/>
      <c r="S2432" s="317"/>
      <c r="T2432" s="317"/>
      <c r="U2432" s="317"/>
      <c r="V2432" s="317"/>
      <c r="W2432" s="317"/>
      <c r="X2432" s="317"/>
      <c r="Y2432" s="317"/>
      <c r="Z2432" s="317"/>
    </row>
    <row r="2433" spans="1:26" x14ac:dyDescent="0.25">
      <c r="A2433" s="314"/>
      <c r="B2433" s="18">
        <v>2023</v>
      </c>
      <c r="C2433" s="18" t="s">
        <v>750</v>
      </c>
      <c r="D2433" s="18" t="s">
        <v>964</v>
      </c>
      <c r="E2433" s="18" t="s">
        <v>56</v>
      </c>
      <c r="F2433" s="18" t="s">
        <v>601</v>
      </c>
      <c r="G2433" s="18" t="s">
        <v>677</v>
      </c>
      <c r="H2433" s="18" t="s">
        <v>965</v>
      </c>
      <c r="I2433" s="315">
        <v>25.678906956977695</v>
      </c>
      <c r="J2433" s="315">
        <v>0.12270981488493823</v>
      </c>
      <c r="K2433" s="316" t="str">
        <f t="shared" si="48"/>
        <v>Commercial Equipment</v>
      </c>
      <c r="L2433" s="316" t="str">
        <f t="shared" si="49"/>
        <v>CNG</v>
      </c>
      <c r="M2433" s="194"/>
      <c r="N2433" s="317"/>
      <c r="O2433" s="317"/>
      <c r="P2433" s="317"/>
      <c r="Q2433" s="317"/>
      <c r="R2433" s="317"/>
      <c r="S2433" s="317"/>
      <c r="T2433" s="317"/>
      <c r="U2433" s="317"/>
      <c r="V2433" s="317"/>
      <c r="W2433" s="317"/>
      <c r="X2433" s="317"/>
      <c r="Y2433" s="317"/>
      <c r="Z2433" s="317"/>
    </row>
    <row r="2434" spans="1:26" x14ac:dyDescent="0.25">
      <c r="A2434" s="314"/>
      <c r="B2434" s="18">
        <v>2023</v>
      </c>
      <c r="C2434" s="18" t="s">
        <v>762</v>
      </c>
      <c r="D2434" s="18" t="s">
        <v>1003</v>
      </c>
      <c r="E2434" s="18" t="s">
        <v>703</v>
      </c>
      <c r="F2434" s="18" t="s">
        <v>805</v>
      </c>
      <c r="G2434" s="18" t="s">
        <v>677</v>
      </c>
      <c r="H2434" s="18" t="s">
        <v>841</v>
      </c>
      <c r="I2434" s="315">
        <v>25.497218986027583</v>
      </c>
      <c r="J2434" s="315">
        <v>4.9128823460680239E-2</v>
      </c>
      <c r="K2434" s="316" t="str">
        <f t="shared" si="48"/>
        <v>Commercial Equipment</v>
      </c>
      <c r="L2434" s="316" t="str">
        <f t="shared" si="49"/>
        <v>Gasoline</v>
      </c>
      <c r="M2434" s="194"/>
      <c r="N2434" s="317"/>
      <c r="O2434" s="317"/>
      <c r="P2434" s="317"/>
      <c r="Q2434" s="317"/>
      <c r="R2434" s="317"/>
      <c r="S2434" s="317"/>
      <c r="T2434" s="317"/>
      <c r="U2434" s="317"/>
      <c r="V2434" s="317"/>
      <c r="W2434" s="317"/>
      <c r="X2434" s="317"/>
      <c r="Y2434" s="317"/>
      <c r="Z2434" s="317"/>
    </row>
    <row r="2435" spans="1:26" x14ac:dyDescent="0.25">
      <c r="A2435" s="314"/>
      <c r="B2435" s="18">
        <v>2023</v>
      </c>
      <c r="C2435" s="18" t="s">
        <v>792</v>
      </c>
      <c r="D2435" s="18" t="s">
        <v>830</v>
      </c>
      <c r="E2435" s="18" t="s">
        <v>703</v>
      </c>
      <c r="F2435" s="18" t="s">
        <v>704</v>
      </c>
      <c r="G2435" s="18" t="s">
        <v>673</v>
      </c>
      <c r="H2435" s="18" t="s">
        <v>742</v>
      </c>
      <c r="I2435" s="315">
        <v>25.459174236497365</v>
      </c>
      <c r="J2435" s="315">
        <v>1.1145747893300972E-2</v>
      </c>
      <c r="K2435" s="316" t="str">
        <f t="shared" si="48"/>
        <v>Lawn and Garden Equipment</v>
      </c>
      <c r="L2435" s="316" t="str">
        <f t="shared" si="49"/>
        <v>Gasoline</v>
      </c>
      <c r="M2435" s="194"/>
      <c r="N2435" s="317"/>
      <c r="O2435" s="317"/>
      <c r="P2435" s="317"/>
      <c r="Q2435" s="317"/>
      <c r="R2435" s="317"/>
      <c r="S2435" s="317"/>
      <c r="T2435" s="317"/>
      <c r="U2435" s="317"/>
      <c r="V2435" s="317"/>
      <c r="W2435" s="317"/>
      <c r="X2435" s="317"/>
      <c r="Y2435" s="317"/>
      <c r="Z2435" s="317"/>
    </row>
    <row r="2436" spans="1:26" x14ac:dyDescent="0.25">
      <c r="A2436" s="314"/>
      <c r="B2436" s="18">
        <v>2023</v>
      </c>
      <c r="C2436" s="18" t="s">
        <v>743</v>
      </c>
      <c r="D2436" s="18" t="s">
        <v>1212</v>
      </c>
      <c r="E2436" s="18" t="s">
        <v>56</v>
      </c>
      <c r="F2436" s="18" t="s">
        <v>672</v>
      </c>
      <c r="G2436" s="18" t="s">
        <v>675</v>
      </c>
      <c r="H2436" s="18" t="s">
        <v>798</v>
      </c>
      <c r="I2436" s="315">
        <v>25.440618740628565</v>
      </c>
      <c r="J2436" s="315">
        <v>1.1495028622833608E-3</v>
      </c>
      <c r="K2436" s="316" t="str">
        <f t="shared" si="48"/>
        <v>Industrial Equipment</v>
      </c>
      <c r="L2436" s="316" t="str">
        <f t="shared" si="49"/>
        <v>LPG</v>
      </c>
      <c r="M2436" s="194"/>
      <c r="N2436" s="317"/>
      <c r="O2436" s="317"/>
      <c r="P2436" s="317"/>
      <c r="Q2436" s="317"/>
      <c r="R2436" s="317"/>
      <c r="S2436" s="317"/>
      <c r="T2436" s="317"/>
      <c r="U2436" s="317"/>
      <c r="V2436" s="317"/>
      <c r="W2436" s="317"/>
      <c r="X2436" s="317"/>
      <c r="Y2436" s="317"/>
      <c r="Z2436" s="317"/>
    </row>
    <row r="2437" spans="1:26" x14ac:dyDescent="0.25">
      <c r="A2437" s="314"/>
      <c r="B2437" s="18">
        <v>2023</v>
      </c>
      <c r="C2437" s="18" t="s">
        <v>709</v>
      </c>
      <c r="D2437" s="18" t="s">
        <v>1295</v>
      </c>
      <c r="E2437" s="18" t="s">
        <v>703</v>
      </c>
      <c r="F2437" s="18" t="s">
        <v>704</v>
      </c>
      <c r="G2437" s="18" t="s">
        <v>674</v>
      </c>
      <c r="H2437" s="18" t="s">
        <v>859</v>
      </c>
      <c r="I2437" s="315">
        <v>25.408744666304827</v>
      </c>
      <c r="J2437" s="315">
        <v>8.199552253700778E-3</v>
      </c>
      <c r="K2437" s="316" t="str">
        <f t="shared" si="48"/>
        <v>Construction and Mining Equipment</v>
      </c>
      <c r="L2437" s="316" t="str">
        <f t="shared" si="49"/>
        <v>Gasoline</v>
      </c>
      <c r="M2437" s="194"/>
      <c r="N2437" s="317"/>
      <c r="O2437" s="317"/>
      <c r="P2437" s="317"/>
      <c r="Q2437" s="317"/>
      <c r="R2437" s="317"/>
      <c r="S2437" s="317"/>
      <c r="T2437" s="317"/>
      <c r="U2437" s="317"/>
      <c r="V2437" s="317"/>
      <c r="W2437" s="317"/>
      <c r="X2437" s="317"/>
      <c r="Y2437" s="317"/>
      <c r="Z2437" s="317"/>
    </row>
    <row r="2438" spans="1:26" x14ac:dyDescent="0.25">
      <c r="A2438" s="314"/>
      <c r="B2438" s="18">
        <v>2023</v>
      </c>
      <c r="C2438" s="18" t="s">
        <v>810</v>
      </c>
      <c r="D2438" s="18" t="s">
        <v>984</v>
      </c>
      <c r="E2438" s="18" t="s">
        <v>703</v>
      </c>
      <c r="F2438" s="18" t="s">
        <v>704</v>
      </c>
      <c r="G2438" s="18" t="s">
        <v>673</v>
      </c>
      <c r="H2438" s="18" t="s">
        <v>985</v>
      </c>
      <c r="I2438" s="315">
        <v>25.390346948430672</v>
      </c>
      <c r="J2438" s="315">
        <v>1.742608397249875E-2</v>
      </c>
      <c r="K2438" s="316" t="str">
        <f t="shared" si="48"/>
        <v>Lawn and Garden Equipment</v>
      </c>
      <c r="L2438" s="316" t="str">
        <f t="shared" si="49"/>
        <v>Gasoline</v>
      </c>
      <c r="M2438" s="194"/>
      <c r="N2438" s="317"/>
      <c r="O2438" s="317"/>
      <c r="P2438" s="317"/>
      <c r="Q2438" s="317"/>
      <c r="R2438" s="317"/>
      <c r="S2438" s="317"/>
      <c r="T2438" s="317"/>
      <c r="U2438" s="317"/>
      <c r="V2438" s="317"/>
      <c r="W2438" s="317"/>
      <c r="X2438" s="317"/>
      <c r="Y2438" s="317"/>
      <c r="Z2438" s="317"/>
    </row>
    <row r="2439" spans="1:26" x14ac:dyDescent="0.25">
      <c r="A2439" s="314"/>
      <c r="B2439" s="18">
        <v>2023</v>
      </c>
      <c r="C2439" s="18" t="s">
        <v>753</v>
      </c>
      <c r="D2439" s="18" t="s">
        <v>984</v>
      </c>
      <c r="E2439" s="18" t="s">
        <v>703</v>
      </c>
      <c r="F2439" s="18" t="s">
        <v>704</v>
      </c>
      <c r="G2439" s="18" t="s">
        <v>673</v>
      </c>
      <c r="H2439" s="18" t="s">
        <v>985</v>
      </c>
      <c r="I2439" s="315">
        <v>25.325102799709924</v>
      </c>
      <c r="J2439" s="315">
        <v>1.716150871758158E-2</v>
      </c>
      <c r="K2439" s="316" t="str">
        <f t="shared" si="48"/>
        <v>Lawn and Garden Equipment</v>
      </c>
      <c r="L2439" s="316" t="str">
        <f t="shared" si="49"/>
        <v>Gasoline</v>
      </c>
      <c r="M2439" s="194"/>
      <c r="N2439" s="317"/>
      <c r="O2439" s="317"/>
      <c r="P2439" s="317"/>
      <c r="Q2439" s="317"/>
      <c r="R2439" s="317"/>
      <c r="S2439" s="317"/>
      <c r="T2439" s="317"/>
      <c r="U2439" s="317"/>
      <c r="V2439" s="317"/>
      <c r="W2439" s="317"/>
      <c r="X2439" s="317"/>
      <c r="Y2439" s="317"/>
      <c r="Z2439" s="317"/>
    </row>
    <row r="2440" spans="1:26" x14ac:dyDescent="0.25">
      <c r="A2440" s="314"/>
      <c r="B2440" s="18">
        <v>2023</v>
      </c>
      <c r="C2440" s="18" t="s">
        <v>778</v>
      </c>
      <c r="D2440" s="18" t="s">
        <v>1065</v>
      </c>
      <c r="E2440" s="18" t="s">
        <v>703</v>
      </c>
      <c r="F2440" s="18" t="s">
        <v>795</v>
      </c>
      <c r="G2440" s="18" t="s">
        <v>673</v>
      </c>
      <c r="H2440" s="18" t="s">
        <v>1066</v>
      </c>
      <c r="I2440" s="315">
        <v>25.292854904062867</v>
      </c>
      <c r="J2440" s="315">
        <v>0.17276166144496863</v>
      </c>
      <c r="K2440" s="316" t="str">
        <f t="shared" si="48"/>
        <v>Lawn and Garden Equipment</v>
      </c>
      <c r="L2440" s="316" t="str">
        <f t="shared" si="49"/>
        <v>Gasoline</v>
      </c>
      <c r="M2440" s="194"/>
      <c r="N2440" s="317"/>
      <c r="O2440" s="317"/>
      <c r="P2440" s="317"/>
      <c r="Q2440" s="317"/>
      <c r="R2440" s="317"/>
      <c r="S2440" s="317"/>
      <c r="T2440" s="317"/>
      <c r="U2440" s="317"/>
      <c r="V2440" s="317"/>
      <c r="W2440" s="317"/>
      <c r="X2440" s="317"/>
      <c r="Y2440" s="317"/>
      <c r="Z2440" s="317"/>
    </row>
    <row r="2441" spans="1:26" x14ac:dyDescent="0.25">
      <c r="A2441" s="314"/>
      <c r="B2441" s="18">
        <v>2023</v>
      </c>
      <c r="C2441" s="18" t="s">
        <v>710</v>
      </c>
      <c r="D2441" s="18" t="s">
        <v>1349</v>
      </c>
      <c r="E2441" s="18" t="s">
        <v>703</v>
      </c>
      <c r="F2441" s="18" t="s">
        <v>704</v>
      </c>
      <c r="G2441" s="18" t="s">
        <v>673</v>
      </c>
      <c r="H2441" s="18" t="s">
        <v>978</v>
      </c>
      <c r="I2441" s="315">
        <v>25.290273195166328</v>
      </c>
      <c r="J2441" s="315">
        <v>1.7607380140647052E-2</v>
      </c>
      <c r="K2441" s="316" t="str">
        <f t="shared" si="48"/>
        <v>Lawn and Garden Equipment</v>
      </c>
      <c r="L2441" s="316" t="str">
        <f t="shared" si="49"/>
        <v>Gasoline</v>
      </c>
      <c r="M2441" s="194"/>
      <c r="N2441" s="317"/>
      <c r="O2441" s="317"/>
      <c r="P2441" s="317"/>
      <c r="Q2441" s="317"/>
      <c r="R2441" s="317"/>
      <c r="S2441" s="317"/>
      <c r="T2441" s="317"/>
      <c r="U2441" s="317"/>
      <c r="V2441" s="317"/>
      <c r="W2441" s="317"/>
      <c r="X2441" s="317"/>
      <c r="Y2441" s="317"/>
      <c r="Z2441" s="317"/>
    </row>
    <row r="2442" spans="1:26" x14ac:dyDescent="0.25">
      <c r="A2442" s="314"/>
      <c r="B2442" s="18">
        <v>2023</v>
      </c>
      <c r="C2442" s="18" t="s">
        <v>773</v>
      </c>
      <c r="D2442" s="18" t="s">
        <v>1075</v>
      </c>
      <c r="E2442" s="18" t="s">
        <v>56</v>
      </c>
      <c r="F2442" s="18" t="s">
        <v>672</v>
      </c>
      <c r="G2442" s="18" t="s">
        <v>675</v>
      </c>
      <c r="H2442" s="18" t="s">
        <v>772</v>
      </c>
      <c r="I2442" s="315">
        <v>25.276678072208313</v>
      </c>
      <c r="J2442" s="315">
        <v>1.1644878777558466E-3</v>
      </c>
      <c r="K2442" s="316" t="str">
        <f t="shared" si="48"/>
        <v>Industrial Equipment</v>
      </c>
      <c r="L2442" s="316" t="str">
        <f t="shared" si="49"/>
        <v>LPG</v>
      </c>
      <c r="M2442" s="194"/>
      <c r="N2442" s="317"/>
      <c r="O2442" s="317"/>
      <c r="P2442" s="317"/>
      <c r="Q2442" s="317"/>
      <c r="R2442" s="317"/>
      <c r="S2442" s="317"/>
      <c r="T2442" s="317"/>
      <c r="U2442" s="317"/>
      <c r="V2442" s="317"/>
      <c r="W2442" s="317"/>
      <c r="X2442" s="317"/>
      <c r="Y2442" s="317"/>
      <c r="Z2442" s="317"/>
    </row>
    <row r="2443" spans="1:26" x14ac:dyDescent="0.25">
      <c r="A2443" s="314"/>
      <c r="B2443" s="18">
        <v>2023</v>
      </c>
      <c r="C2443" s="18" t="s">
        <v>778</v>
      </c>
      <c r="D2443" s="18" t="s">
        <v>979</v>
      </c>
      <c r="E2443" s="18" t="s">
        <v>703</v>
      </c>
      <c r="F2443" s="18" t="s">
        <v>704</v>
      </c>
      <c r="G2443" s="18" t="s">
        <v>675</v>
      </c>
      <c r="H2443" s="18" t="s">
        <v>802</v>
      </c>
      <c r="I2443" s="315">
        <v>25.109319231142763</v>
      </c>
      <c r="J2443" s="315">
        <v>9.0260153753489204E-3</v>
      </c>
      <c r="K2443" s="316" t="str">
        <f t="shared" si="48"/>
        <v>Industrial Equipment</v>
      </c>
      <c r="L2443" s="316" t="str">
        <f t="shared" si="49"/>
        <v>Gasoline</v>
      </c>
      <c r="M2443" s="194"/>
      <c r="N2443" s="317"/>
      <c r="O2443" s="317"/>
      <c r="P2443" s="317"/>
      <c r="Q2443" s="317"/>
      <c r="R2443" s="317"/>
      <c r="S2443" s="317"/>
      <c r="T2443" s="317"/>
      <c r="U2443" s="317"/>
      <c r="V2443" s="317"/>
      <c r="W2443" s="317"/>
      <c r="X2443" s="317"/>
      <c r="Y2443" s="317"/>
      <c r="Z2443" s="317"/>
    </row>
    <row r="2444" spans="1:26" x14ac:dyDescent="0.25">
      <c r="A2444" s="314"/>
      <c r="B2444" s="18">
        <v>2023</v>
      </c>
      <c r="C2444" s="18" t="s">
        <v>701</v>
      </c>
      <c r="D2444" s="18" t="s">
        <v>1281</v>
      </c>
      <c r="E2444" s="18" t="s">
        <v>703</v>
      </c>
      <c r="F2444" s="18" t="s">
        <v>704</v>
      </c>
      <c r="G2444" s="18" t="s">
        <v>674</v>
      </c>
      <c r="H2444" s="18" t="s">
        <v>770</v>
      </c>
      <c r="I2444" s="315">
        <v>25.025257487280101</v>
      </c>
      <c r="J2444" s="315">
        <v>2.7639014726520365E-3</v>
      </c>
      <c r="K2444" s="316" t="str">
        <f t="shared" si="48"/>
        <v>Construction and Mining Equipment</v>
      </c>
      <c r="L2444" s="316" t="str">
        <f t="shared" si="49"/>
        <v>Gasoline</v>
      </c>
      <c r="M2444" s="194"/>
      <c r="N2444" s="317"/>
      <c r="O2444" s="317"/>
      <c r="P2444" s="317"/>
      <c r="Q2444" s="317"/>
      <c r="R2444" s="317"/>
      <c r="S2444" s="317"/>
      <c r="T2444" s="317"/>
      <c r="U2444" s="317"/>
      <c r="V2444" s="317"/>
      <c r="W2444" s="317"/>
      <c r="X2444" s="317"/>
      <c r="Y2444" s="317"/>
      <c r="Z2444" s="317"/>
    </row>
    <row r="2445" spans="1:26" x14ac:dyDescent="0.25">
      <c r="A2445" s="314"/>
      <c r="B2445" s="18">
        <v>2023</v>
      </c>
      <c r="C2445" s="18" t="s">
        <v>810</v>
      </c>
      <c r="D2445" s="18" t="s">
        <v>964</v>
      </c>
      <c r="E2445" s="18" t="s">
        <v>56</v>
      </c>
      <c r="F2445" s="18" t="s">
        <v>601</v>
      </c>
      <c r="G2445" s="18" t="s">
        <v>677</v>
      </c>
      <c r="H2445" s="18" t="s">
        <v>965</v>
      </c>
      <c r="I2445" s="315">
        <v>24.965617769147826</v>
      </c>
      <c r="J2445" s="315">
        <v>0.11930109760017554</v>
      </c>
      <c r="K2445" s="316" t="str">
        <f t="shared" si="48"/>
        <v>Commercial Equipment</v>
      </c>
      <c r="L2445" s="316" t="str">
        <f t="shared" si="49"/>
        <v>CNG</v>
      </c>
      <c r="M2445" s="194"/>
      <c r="N2445" s="317"/>
      <c r="O2445" s="317"/>
      <c r="P2445" s="317"/>
      <c r="Q2445" s="317"/>
      <c r="R2445" s="317"/>
      <c r="S2445" s="317"/>
      <c r="T2445" s="317"/>
      <c r="U2445" s="317"/>
      <c r="V2445" s="317"/>
      <c r="W2445" s="317"/>
      <c r="X2445" s="317"/>
      <c r="Y2445" s="317"/>
      <c r="Z2445" s="317"/>
    </row>
    <row r="2446" spans="1:26" x14ac:dyDescent="0.25">
      <c r="A2446" s="314"/>
      <c r="B2446" s="18">
        <v>2023</v>
      </c>
      <c r="C2446" s="18" t="s">
        <v>731</v>
      </c>
      <c r="D2446" s="18" t="s">
        <v>977</v>
      </c>
      <c r="E2446" s="18" t="s">
        <v>703</v>
      </c>
      <c r="F2446" s="18" t="s">
        <v>805</v>
      </c>
      <c r="G2446" s="18" t="s">
        <v>673</v>
      </c>
      <c r="H2446" s="18" t="s">
        <v>978</v>
      </c>
      <c r="I2446" s="315">
        <v>24.827290408501163</v>
      </c>
      <c r="J2446" s="315">
        <v>4.2275341184827273E-2</v>
      </c>
      <c r="K2446" s="316" t="str">
        <f t="shared" si="48"/>
        <v>Lawn and Garden Equipment</v>
      </c>
      <c r="L2446" s="316" t="str">
        <f t="shared" si="49"/>
        <v>Gasoline</v>
      </c>
      <c r="M2446" s="194"/>
      <c r="N2446" s="317"/>
      <c r="O2446" s="317"/>
      <c r="P2446" s="317"/>
      <c r="Q2446" s="317"/>
      <c r="R2446" s="317"/>
      <c r="S2446" s="317"/>
      <c r="T2446" s="317"/>
      <c r="U2446" s="317"/>
      <c r="V2446" s="317"/>
      <c r="W2446" s="317"/>
      <c r="X2446" s="317"/>
      <c r="Y2446" s="317"/>
      <c r="Z2446" s="317"/>
    </row>
    <row r="2447" spans="1:26" x14ac:dyDescent="0.25">
      <c r="A2447" s="314"/>
      <c r="B2447" s="18">
        <v>2023</v>
      </c>
      <c r="C2447" s="18" t="s">
        <v>722</v>
      </c>
      <c r="D2447" s="18" t="s">
        <v>1212</v>
      </c>
      <c r="E2447" s="18" t="s">
        <v>56</v>
      </c>
      <c r="F2447" s="18" t="s">
        <v>672</v>
      </c>
      <c r="G2447" s="18" t="s">
        <v>675</v>
      </c>
      <c r="H2447" s="18" t="s">
        <v>798</v>
      </c>
      <c r="I2447" s="315">
        <v>24.708525831278038</v>
      </c>
      <c r="J2447" s="315">
        <v>1.1164247782973014E-3</v>
      </c>
      <c r="K2447" s="316" t="str">
        <f t="shared" si="48"/>
        <v>Industrial Equipment</v>
      </c>
      <c r="L2447" s="316" t="str">
        <f t="shared" si="49"/>
        <v>LPG</v>
      </c>
      <c r="M2447" s="194"/>
      <c r="N2447" s="317"/>
      <c r="O2447" s="317"/>
      <c r="P2447" s="317"/>
      <c r="Q2447" s="317"/>
      <c r="R2447" s="317"/>
      <c r="S2447" s="317"/>
      <c r="T2447" s="317"/>
      <c r="U2447" s="317"/>
      <c r="V2447" s="317"/>
      <c r="W2447" s="317"/>
      <c r="X2447" s="317"/>
      <c r="Y2447" s="317"/>
      <c r="Z2447" s="317"/>
    </row>
    <row r="2448" spans="1:26" x14ac:dyDescent="0.25">
      <c r="A2448" s="314"/>
      <c r="B2448" s="18">
        <v>2023</v>
      </c>
      <c r="C2448" s="18" t="s">
        <v>773</v>
      </c>
      <c r="D2448" s="18" t="s">
        <v>962</v>
      </c>
      <c r="E2448" s="18" t="s">
        <v>703</v>
      </c>
      <c r="F2448" s="18" t="s">
        <v>704</v>
      </c>
      <c r="G2448" s="18" t="s">
        <v>673</v>
      </c>
      <c r="H2448" s="18" t="s">
        <v>963</v>
      </c>
      <c r="I2448" s="315">
        <v>24.699801380647884</v>
      </c>
      <c r="J2448" s="315">
        <v>1.6986112859381609E-2</v>
      </c>
      <c r="K2448" s="316" t="str">
        <f t="shared" si="48"/>
        <v>Lawn and Garden Equipment</v>
      </c>
      <c r="L2448" s="316" t="str">
        <f t="shared" si="49"/>
        <v>Gasoline</v>
      </c>
      <c r="M2448" s="194"/>
      <c r="N2448" s="317"/>
      <c r="O2448" s="317"/>
      <c r="P2448" s="317"/>
      <c r="Q2448" s="317"/>
      <c r="R2448" s="317"/>
      <c r="S2448" s="317"/>
      <c r="T2448" s="317"/>
      <c r="U2448" s="317"/>
      <c r="V2448" s="317"/>
      <c r="W2448" s="317"/>
      <c r="X2448" s="317"/>
      <c r="Y2448" s="317"/>
      <c r="Z2448" s="317"/>
    </row>
    <row r="2449" spans="1:26" x14ac:dyDescent="0.25">
      <c r="A2449" s="314"/>
      <c r="B2449" s="18">
        <v>2023</v>
      </c>
      <c r="C2449" s="18" t="s">
        <v>727</v>
      </c>
      <c r="D2449" s="18" t="s">
        <v>1011</v>
      </c>
      <c r="E2449" s="18" t="s">
        <v>56</v>
      </c>
      <c r="F2449" s="18" t="s">
        <v>672</v>
      </c>
      <c r="G2449" s="18" t="s">
        <v>677</v>
      </c>
      <c r="H2449" s="18" t="s">
        <v>836</v>
      </c>
      <c r="I2449" s="315">
        <v>24.644150820578727</v>
      </c>
      <c r="J2449" s="315">
        <v>1.309277627207934E-3</v>
      </c>
      <c r="K2449" s="316" t="str">
        <f t="shared" si="48"/>
        <v>Commercial Equipment</v>
      </c>
      <c r="L2449" s="316" t="str">
        <f t="shared" si="49"/>
        <v>LPG</v>
      </c>
      <c r="M2449" s="194"/>
      <c r="N2449" s="317"/>
      <c r="O2449" s="317"/>
      <c r="P2449" s="317"/>
      <c r="Q2449" s="317"/>
      <c r="R2449" s="317"/>
      <c r="S2449" s="317"/>
      <c r="T2449" s="317"/>
      <c r="U2449" s="317"/>
      <c r="V2449" s="317"/>
      <c r="W2449" s="317"/>
      <c r="X2449" s="317"/>
      <c r="Y2449" s="317"/>
      <c r="Z2449" s="317"/>
    </row>
    <row r="2450" spans="1:26" x14ac:dyDescent="0.25">
      <c r="A2450" s="314"/>
      <c r="B2450" s="18">
        <v>2023</v>
      </c>
      <c r="C2450" s="18" t="s">
        <v>754</v>
      </c>
      <c r="D2450" s="18" t="s">
        <v>1051</v>
      </c>
      <c r="E2450" s="18" t="s">
        <v>703</v>
      </c>
      <c r="F2450" s="18" t="s">
        <v>704</v>
      </c>
      <c r="G2450" s="18" t="s">
        <v>674</v>
      </c>
      <c r="H2450" s="18" t="s">
        <v>783</v>
      </c>
      <c r="I2450" s="315">
        <v>24.618148592830991</v>
      </c>
      <c r="J2450" s="315">
        <v>1.505643576550768E-2</v>
      </c>
      <c r="K2450" s="316" t="str">
        <f t="shared" si="48"/>
        <v>Construction and Mining Equipment</v>
      </c>
      <c r="L2450" s="316" t="str">
        <f t="shared" si="49"/>
        <v>Gasoline</v>
      </c>
      <c r="M2450" s="194"/>
      <c r="N2450" s="317"/>
      <c r="O2450" s="317"/>
      <c r="P2450" s="317"/>
      <c r="Q2450" s="317"/>
      <c r="R2450" s="317"/>
      <c r="S2450" s="317"/>
      <c r="T2450" s="317"/>
      <c r="U2450" s="317"/>
      <c r="V2450" s="317"/>
      <c r="W2450" s="317"/>
      <c r="X2450" s="317"/>
      <c r="Y2450" s="317"/>
      <c r="Z2450" s="317"/>
    </row>
    <row r="2451" spans="1:26" x14ac:dyDescent="0.25">
      <c r="A2451" s="314"/>
      <c r="B2451" s="18">
        <v>2023</v>
      </c>
      <c r="C2451" s="18" t="s">
        <v>778</v>
      </c>
      <c r="D2451" s="18" t="s">
        <v>1079</v>
      </c>
      <c r="E2451" s="18" t="s">
        <v>713</v>
      </c>
      <c r="F2451" s="18" t="s">
        <v>714</v>
      </c>
      <c r="G2451" s="18" t="s">
        <v>678</v>
      </c>
      <c r="H2451" s="18" t="s">
        <v>1080</v>
      </c>
      <c r="I2451" s="315">
        <v>24.570784107962535</v>
      </c>
      <c r="J2451" s="315">
        <v>1.7832025802937934E-4</v>
      </c>
      <c r="K2451" s="316" t="str">
        <f t="shared" si="48"/>
        <v>Agricultural Equipment</v>
      </c>
      <c r="L2451" s="316" t="str">
        <f t="shared" si="49"/>
        <v>Diesel</v>
      </c>
      <c r="M2451" s="194"/>
      <c r="N2451" s="317"/>
      <c r="O2451" s="317"/>
      <c r="P2451" s="317"/>
      <c r="Q2451" s="317"/>
      <c r="R2451" s="317"/>
      <c r="S2451" s="317"/>
      <c r="T2451" s="317"/>
      <c r="U2451" s="317"/>
      <c r="V2451" s="317"/>
      <c r="W2451" s="317"/>
      <c r="X2451" s="317"/>
      <c r="Y2451" s="317"/>
      <c r="Z2451" s="317"/>
    </row>
    <row r="2452" spans="1:26" x14ac:dyDescent="0.25">
      <c r="A2452" s="314"/>
      <c r="B2452" s="18">
        <v>2023</v>
      </c>
      <c r="C2452" s="18" t="s">
        <v>743</v>
      </c>
      <c r="D2452" s="18" t="s">
        <v>1071</v>
      </c>
      <c r="E2452" s="18" t="s">
        <v>713</v>
      </c>
      <c r="F2452" s="18" t="s">
        <v>714</v>
      </c>
      <c r="G2452" s="18" t="s">
        <v>674</v>
      </c>
      <c r="H2452" s="18" t="s">
        <v>1072</v>
      </c>
      <c r="I2452" s="315">
        <v>24.532309574356926</v>
      </c>
      <c r="J2452" s="315">
        <v>3.2847132963042397E-4</v>
      </c>
      <c r="K2452" s="316" t="str">
        <f t="shared" si="48"/>
        <v>Construction and Mining Equipment</v>
      </c>
      <c r="L2452" s="316" t="str">
        <f t="shared" si="49"/>
        <v>Diesel</v>
      </c>
      <c r="M2452" s="194"/>
      <c r="N2452" s="317"/>
      <c r="O2452" s="317"/>
      <c r="P2452" s="317"/>
      <c r="Q2452" s="317"/>
      <c r="R2452" s="317"/>
      <c r="S2452" s="317"/>
      <c r="T2452" s="317"/>
      <c r="U2452" s="317"/>
      <c r="V2452" s="317"/>
      <c r="W2452" s="317"/>
      <c r="X2452" s="317"/>
      <c r="Y2452" s="317"/>
      <c r="Z2452" s="317"/>
    </row>
    <row r="2453" spans="1:26" x14ac:dyDescent="0.25">
      <c r="A2453" s="314"/>
      <c r="B2453" s="18">
        <v>2023</v>
      </c>
      <c r="C2453" s="18" t="s">
        <v>778</v>
      </c>
      <c r="D2453" s="18" t="s">
        <v>1003</v>
      </c>
      <c r="E2453" s="18" t="s">
        <v>703</v>
      </c>
      <c r="F2453" s="18" t="s">
        <v>805</v>
      </c>
      <c r="G2453" s="18" t="s">
        <v>677</v>
      </c>
      <c r="H2453" s="18" t="s">
        <v>841</v>
      </c>
      <c r="I2453" s="315">
        <v>24.528965919678608</v>
      </c>
      <c r="J2453" s="315">
        <v>4.7263219419109832E-2</v>
      </c>
      <c r="K2453" s="316" t="str">
        <f t="shared" si="48"/>
        <v>Commercial Equipment</v>
      </c>
      <c r="L2453" s="316" t="str">
        <f t="shared" si="49"/>
        <v>Gasoline</v>
      </c>
      <c r="M2453" s="194"/>
      <c r="N2453" s="317"/>
      <c r="O2453" s="317"/>
      <c r="P2453" s="317"/>
      <c r="Q2453" s="317"/>
      <c r="R2453" s="317"/>
      <c r="S2453" s="317"/>
      <c r="T2453" s="317"/>
      <c r="U2453" s="317"/>
      <c r="V2453" s="317"/>
      <c r="W2453" s="317"/>
      <c r="X2453" s="317"/>
      <c r="Y2453" s="317"/>
      <c r="Z2453" s="317"/>
    </row>
    <row r="2454" spans="1:26" x14ac:dyDescent="0.25">
      <c r="A2454" s="314"/>
      <c r="B2454" s="18">
        <v>2023</v>
      </c>
      <c r="C2454" s="18" t="s">
        <v>750</v>
      </c>
      <c r="D2454" s="18" t="s">
        <v>927</v>
      </c>
      <c r="E2454" s="18" t="s">
        <v>56</v>
      </c>
      <c r="F2454" s="18" t="s">
        <v>672</v>
      </c>
      <c r="G2454" s="18" t="s">
        <v>673</v>
      </c>
      <c r="H2454" s="18" t="s">
        <v>742</v>
      </c>
      <c r="I2454" s="315">
        <v>24.495762619385278</v>
      </c>
      <c r="J2454" s="315">
        <v>1.1128356158290669E-3</v>
      </c>
      <c r="K2454" s="316" t="str">
        <f t="shared" si="48"/>
        <v>Lawn and Garden Equipment</v>
      </c>
      <c r="L2454" s="316" t="str">
        <f t="shared" si="49"/>
        <v>LPG</v>
      </c>
      <c r="M2454" s="194"/>
      <c r="N2454" s="317"/>
      <c r="O2454" s="317"/>
      <c r="P2454" s="317"/>
      <c r="Q2454" s="317"/>
      <c r="R2454" s="317"/>
      <c r="S2454" s="317"/>
      <c r="T2454" s="317"/>
      <c r="U2454" s="317"/>
      <c r="V2454" s="317"/>
      <c r="W2454" s="317"/>
      <c r="X2454" s="317"/>
      <c r="Y2454" s="317"/>
      <c r="Z2454" s="317"/>
    </row>
    <row r="2455" spans="1:26" x14ac:dyDescent="0.25">
      <c r="A2455" s="314"/>
      <c r="B2455" s="18">
        <v>2023</v>
      </c>
      <c r="C2455" s="18" t="s">
        <v>773</v>
      </c>
      <c r="D2455" s="18" t="s">
        <v>1077</v>
      </c>
      <c r="E2455" s="18" t="s">
        <v>713</v>
      </c>
      <c r="F2455" s="18" t="s">
        <v>714</v>
      </c>
      <c r="G2455" s="18" t="s">
        <v>675</v>
      </c>
      <c r="H2455" s="18" t="s">
        <v>1078</v>
      </c>
      <c r="I2455" s="315">
        <v>24.439581708710175</v>
      </c>
      <c r="J2455" s="315">
        <v>6.1977025369647394E-4</v>
      </c>
      <c r="K2455" s="316" t="str">
        <f t="shared" si="48"/>
        <v>Industrial Equipment</v>
      </c>
      <c r="L2455" s="316" t="str">
        <f t="shared" si="49"/>
        <v>Diesel</v>
      </c>
      <c r="M2455" s="194"/>
      <c r="N2455" s="317"/>
      <c r="O2455" s="317"/>
      <c r="P2455" s="317"/>
      <c r="Q2455" s="317"/>
      <c r="R2455" s="317"/>
      <c r="S2455" s="317"/>
      <c r="T2455" s="317"/>
      <c r="U2455" s="317"/>
      <c r="V2455" s="317"/>
      <c r="W2455" s="317"/>
      <c r="X2455" s="317"/>
      <c r="Y2455" s="317"/>
      <c r="Z2455" s="317"/>
    </row>
    <row r="2456" spans="1:26" x14ac:dyDescent="0.25">
      <c r="A2456" s="314"/>
      <c r="B2456" s="18">
        <v>2023</v>
      </c>
      <c r="C2456" s="18" t="s">
        <v>759</v>
      </c>
      <c r="D2456" s="18" t="s">
        <v>855</v>
      </c>
      <c r="E2456" s="18" t="s">
        <v>713</v>
      </c>
      <c r="F2456" s="18" t="s">
        <v>714</v>
      </c>
      <c r="G2456" s="18" t="s">
        <v>674</v>
      </c>
      <c r="H2456" s="18" t="s">
        <v>856</v>
      </c>
      <c r="I2456" s="315">
        <v>24.373452388936094</v>
      </c>
      <c r="J2456" s="315">
        <v>1.5401299610589157E-4</v>
      </c>
      <c r="K2456" s="316" t="str">
        <f t="shared" si="48"/>
        <v>Construction and Mining Equipment</v>
      </c>
      <c r="L2456" s="316" t="str">
        <f t="shared" si="49"/>
        <v>Diesel</v>
      </c>
      <c r="M2456" s="194"/>
      <c r="N2456" s="317"/>
      <c r="O2456" s="317"/>
      <c r="P2456" s="317"/>
      <c r="Q2456" s="317"/>
      <c r="R2456" s="317"/>
      <c r="S2456" s="317"/>
      <c r="T2456" s="317"/>
      <c r="U2456" s="317"/>
      <c r="V2456" s="317"/>
      <c r="W2456" s="317"/>
      <c r="X2456" s="317"/>
      <c r="Y2456" s="317"/>
      <c r="Z2456" s="317"/>
    </row>
    <row r="2457" spans="1:26" x14ac:dyDescent="0.25">
      <c r="A2457" s="314"/>
      <c r="B2457" s="18">
        <v>2023</v>
      </c>
      <c r="C2457" s="18" t="s">
        <v>750</v>
      </c>
      <c r="D2457" s="18" t="s">
        <v>1023</v>
      </c>
      <c r="E2457" s="18" t="s">
        <v>703</v>
      </c>
      <c r="F2457" s="18" t="s">
        <v>704</v>
      </c>
      <c r="G2457" s="18" t="s">
        <v>674</v>
      </c>
      <c r="H2457" s="18" t="s">
        <v>736</v>
      </c>
      <c r="I2457" s="315">
        <v>24.309479476428773</v>
      </c>
      <c r="J2457" s="315">
        <v>1.6144875805753259E-2</v>
      </c>
      <c r="K2457" s="316" t="str">
        <f t="shared" si="48"/>
        <v>Construction and Mining Equipment</v>
      </c>
      <c r="L2457" s="316" t="str">
        <f t="shared" si="49"/>
        <v>Gasoline</v>
      </c>
      <c r="M2457" s="194"/>
      <c r="N2457" s="317"/>
      <c r="O2457" s="317"/>
      <c r="P2457" s="317"/>
      <c r="Q2457" s="317"/>
      <c r="R2457" s="317"/>
      <c r="S2457" s="317"/>
      <c r="T2457" s="317"/>
      <c r="U2457" s="317"/>
      <c r="V2457" s="317"/>
      <c r="W2457" s="317"/>
      <c r="X2457" s="317"/>
      <c r="Y2457" s="317"/>
      <c r="Z2457" s="317"/>
    </row>
    <row r="2458" spans="1:26" x14ac:dyDescent="0.25">
      <c r="A2458" s="314"/>
      <c r="B2458" s="18">
        <v>2023</v>
      </c>
      <c r="C2458" s="18" t="s">
        <v>732</v>
      </c>
      <c r="D2458" s="18" t="s">
        <v>1084</v>
      </c>
      <c r="E2458" s="18" t="s">
        <v>703</v>
      </c>
      <c r="F2458" s="18" t="s">
        <v>704</v>
      </c>
      <c r="G2458" s="18" t="s">
        <v>674</v>
      </c>
      <c r="H2458" s="18" t="s">
        <v>863</v>
      </c>
      <c r="I2458" s="315">
        <v>24.259128993843365</v>
      </c>
      <c r="J2458" s="315">
        <v>1.4240107628617523E-2</v>
      </c>
      <c r="K2458" s="316" t="str">
        <f t="shared" si="48"/>
        <v>Construction and Mining Equipment</v>
      </c>
      <c r="L2458" s="316" t="str">
        <f t="shared" si="49"/>
        <v>Gasoline</v>
      </c>
      <c r="M2458" s="194"/>
      <c r="N2458" s="317"/>
      <c r="O2458" s="317"/>
      <c r="P2458" s="317"/>
      <c r="Q2458" s="317"/>
      <c r="R2458" s="317"/>
      <c r="S2458" s="317"/>
      <c r="T2458" s="317"/>
      <c r="U2458" s="317"/>
      <c r="V2458" s="317"/>
      <c r="W2458" s="317"/>
      <c r="X2458" s="317"/>
      <c r="Y2458" s="317"/>
      <c r="Z2458" s="317"/>
    </row>
    <row r="2459" spans="1:26" x14ac:dyDescent="0.25">
      <c r="A2459" s="314"/>
      <c r="B2459" s="18">
        <v>2023</v>
      </c>
      <c r="C2459" s="18" t="s">
        <v>773</v>
      </c>
      <c r="D2459" s="18" t="s">
        <v>1006</v>
      </c>
      <c r="E2459" s="18" t="s">
        <v>703</v>
      </c>
      <c r="F2459" s="18" t="s">
        <v>805</v>
      </c>
      <c r="G2459" s="18" t="s">
        <v>674</v>
      </c>
      <c r="H2459" s="18" t="s">
        <v>967</v>
      </c>
      <c r="I2459" s="315">
        <v>24.176612057470781</v>
      </c>
      <c r="J2459" s="315">
        <v>4.3297447306910389E-2</v>
      </c>
      <c r="K2459" s="316" t="str">
        <f t="shared" si="48"/>
        <v>Construction and Mining Equipment</v>
      </c>
      <c r="L2459" s="316" t="str">
        <f t="shared" si="49"/>
        <v>Gasoline</v>
      </c>
      <c r="M2459" s="194"/>
      <c r="N2459" s="317"/>
      <c r="O2459" s="317"/>
      <c r="P2459" s="317"/>
      <c r="Q2459" s="317"/>
      <c r="R2459" s="317"/>
      <c r="S2459" s="317"/>
      <c r="T2459" s="317"/>
      <c r="U2459" s="317"/>
      <c r="V2459" s="317"/>
      <c r="W2459" s="317"/>
      <c r="X2459" s="317"/>
      <c r="Y2459" s="317"/>
      <c r="Z2459" s="317"/>
    </row>
    <row r="2460" spans="1:26" x14ac:dyDescent="0.25">
      <c r="A2460" s="314"/>
      <c r="B2460" s="18">
        <v>2023</v>
      </c>
      <c r="C2460" s="18" t="s">
        <v>787</v>
      </c>
      <c r="D2460" s="18" t="s">
        <v>898</v>
      </c>
      <c r="E2460" s="18" t="s">
        <v>703</v>
      </c>
      <c r="F2460" s="18" t="s">
        <v>795</v>
      </c>
      <c r="G2460" s="18" t="s">
        <v>673</v>
      </c>
      <c r="H2460" s="18" t="s">
        <v>899</v>
      </c>
      <c r="I2460" s="315">
        <v>24.094375749750817</v>
      </c>
      <c r="J2460" s="315">
        <v>0.16473203630648284</v>
      </c>
      <c r="K2460" s="316" t="str">
        <f t="shared" si="48"/>
        <v>Lawn and Garden Equipment</v>
      </c>
      <c r="L2460" s="316" t="str">
        <f t="shared" si="49"/>
        <v>Gasoline</v>
      </c>
      <c r="M2460" s="194"/>
      <c r="N2460" s="317"/>
      <c r="O2460" s="317"/>
      <c r="P2460" s="317"/>
      <c r="Q2460" s="317"/>
      <c r="R2460" s="317"/>
      <c r="S2460" s="317"/>
      <c r="T2460" s="317"/>
      <c r="U2460" s="317"/>
      <c r="V2460" s="317"/>
      <c r="W2460" s="317"/>
      <c r="X2460" s="317"/>
      <c r="Y2460" s="317"/>
      <c r="Z2460" s="317"/>
    </row>
    <row r="2461" spans="1:26" x14ac:dyDescent="0.25">
      <c r="A2461" s="314"/>
      <c r="B2461" s="18">
        <v>2023</v>
      </c>
      <c r="C2461" s="18" t="s">
        <v>727</v>
      </c>
      <c r="D2461" s="18" t="s">
        <v>1014</v>
      </c>
      <c r="E2461" s="18" t="s">
        <v>713</v>
      </c>
      <c r="F2461" s="18" t="s">
        <v>714</v>
      </c>
      <c r="G2461" s="18" t="s">
        <v>674</v>
      </c>
      <c r="H2461" s="18" t="s">
        <v>994</v>
      </c>
      <c r="I2461" s="315">
        <v>24.043416440390629</v>
      </c>
      <c r="J2461" s="315">
        <v>3.1319201360634652E-4</v>
      </c>
      <c r="K2461" s="316" t="str">
        <f t="shared" si="48"/>
        <v>Construction and Mining Equipment</v>
      </c>
      <c r="L2461" s="316" t="str">
        <f t="shared" si="49"/>
        <v>Diesel</v>
      </c>
      <c r="M2461" s="194"/>
      <c r="N2461" s="317"/>
      <c r="O2461" s="317"/>
      <c r="P2461" s="317"/>
      <c r="Q2461" s="317"/>
      <c r="R2461" s="317"/>
      <c r="S2461" s="317"/>
      <c r="T2461" s="317"/>
      <c r="U2461" s="317"/>
      <c r="V2461" s="317"/>
      <c r="W2461" s="317"/>
      <c r="X2461" s="317"/>
      <c r="Y2461" s="317"/>
      <c r="Z2461" s="317"/>
    </row>
    <row r="2462" spans="1:26" x14ac:dyDescent="0.25">
      <c r="A2462" s="314"/>
      <c r="B2462" s="18">
        <v>2023</v>
      </c>
      <c r="C2462" s="18" t="s">
        <v>762</v>
      </c>
      <c r="D2462" s="18" t="s">
        <v>1011</v>
      </c>
      <c r="E2462" s="18" t="s">
        <v>56</v>
      </c>
      <c r="F2462" s="18" t="s">
        <v>672</v>
      </c>
      <c r="G2462" s="18" t="s">
        <v>677</v>
      </c>
      <c r="H2462" s="18" t="s">
        <v>836</v>
      </c>
      <c r="I2462" s="315">
        <v>23.742553119782691</v>
      </c>
      <c r="J2462" s="315">
        <v>1.2613767756093908E-3</v>
      </c>
      <c r="K2462" s="316" t="str">
        <f t="shared" si="48"/>
        <v>Commercial Equipment</v>
      </c>
      <c r="L2462" s="316" t="str">
        <f t="shared" si="49"/>
        <v>LPG</v>
      </c>
      <c r="M2462" s="194"/>
      <c r="N2462" s="317"/>
      <c r="O2462" s="317"/>
      <c r="P2462" s="317"/>
      <c r="Q2462" s="317"/>
      <c r="R2462" s="317"/>
      <c r="S2462" s="317"/>
      <c r="T2462" s="317"/>
      <c r="U2462" s="317"/>
      <c r="V2462" s="317"/>
      <c r="W2462" s="317"/>
      <c r="X2462" s="317"/>
      <c r="Y2462" s="317"/>
      <c r="Z2462" s="317"/>
    </row>
    <row r="2463" spans="1:26" x14ac:dyDescent="0.25">
      <c r="A2463" s="314"/>
      <c r="B2463" s="18">
        <v>2023</v>
      </c>
      <c r="C2463" s="18" t="s">
        <v>722</v>
      </c>
      <c r="D2463" s="18" t="s">
        <v>1081</v>
      </c>
      <c r="E2463" s="18" t="s">
        <v>703</v>
      </c>
      <c r="F2463" s="18" t="s">
        <v>805</v>
      </c>
      <c r="G2463" s="18" t="s">
        <v>674</v>
      </c>
      <c r="H2463" s="18" t="s">
        <v>1082</v>
      </c>
      <c r="I2463" s="315">
        <v>23.723206783366283</v>
      </c>
      <c r="J2463" s="315">
        <v>3.8479890322039134E-2</v>
      </c>
      <c r="K2463" s="316" t="str">
        <f t="shared" si="48"/>
        <v>Construction and Mining Equipment</v>
      </c>
      <c r="L2463" s="316" t="str">
        <f t="shared" si="49"/>
        <v>Gasoline</v>
      </c>
      <c r="M2463" s="194"/>
      <c r="N2463" s="317"/>
      <c r="O2463" s="317"/>
      <c r="P2463" s="317"/>
      <c r="Q2463" s="317"/>
      <c r="R2463" s="317"/>
      <c r="S2463" s="317"/>
      <c r="T2463" s="317"/>
      <c r="U2463" s="317"/>
      <c r="V2463" s="317"/>
      <c r="W2463" s="317"/>
      <c r="X2463" s="317"/>
      <c r="Y2463" s="317"/>
      <c r="Z2463" s="317"/>
    </row>
    <row r="2464" spans="1:26" x14ac:dyDescent="0.25">
      <c r="A2464" s="314"/>
      <c r="B2464" s="18">
        <v>2023</v>
      </c>
      <c r="C2464" s="18" t="s">
        <v>743</v>
      </c>
      <c r="D2464" s="18" t="s">
        <v>1278</v>
      </c>
      <c r="E2464" s="18" t="s">
        <v>703</v>
      </c>
      <c r="F2464" s="18" t="s">
        <v>704</v>
      </c>
      <c r="G2464" s="18" t="s">
        <v>678</v>
      </c>
      <c r="H2464" s="18" t="s">
        <v>1279</v>
      </c>
      <c r="I2464" s="315">
        <v>23.686399742669664</v>
      </c>
      <c r="J2464" s="315">
        <v>3.168570109192731E-2</v>
      </c>
      <c r="K2464" s="316" t="str">
        <f t="shared" si="48"/>
        <v>Agricultural Equipment</v>
      </c>
      <c r="L2464" s="316" t="str">
        <f t="shared" si="49"/>
        <v>Gasoline</v>
      </c>
      <c r="M2464" s="194"/>
      <c r="N2464" s="317"/>
      <c r="O2464" s="317"/>
      <c r="P2464" s="317"/>
      <c r="Q2464" s="317"/>
      <c r="R2464" s="317"/>
      <c r="S2464" s="317"/>
      <c r="T2464" s="317"/>
      <c r="U2464" s="317"/>
      <c r="V2464" s="317"/>
      <c r="W2464" s="317"/>
      <c r="X2464" s="317"/>
      <c r="Y2464" s="317"/>
      <c r="Z2464" s="317"/>
    </row>
    <row r="2465" spans="1:26" x14ac:dyDescent="0.25">
      <c r="A2465" s="314"/>
      <c r="B2465" s="18">
        <v>2023</v>
      </c>
      <c r="C2465" s="18" t="s">
        <v>727</v>
      </c>
      <c r="D2465" s="18" t="s">
        <v>979</v>
      </c>
      <c r="E2465" s="18" t="s">
        <v>703</v>
      </c>
      <c r="F2465" s="18" t="s">
        <v>704</v>
      </c>
      <c r="G2465" s="18" t="s">
        <v>675</v>
      </c>
      <c r="H2465" s="18" t="s">
        <v>802</v>
      </c>
      <c r="I2465" s="315">
        <v>23.646749883084734</v>
      </c>
      <c r="J2465" s="315">
        <v>8.4801055172511221E-3</v>
      </c>
      <c r="K2465" s="316" t="str">
        <f t="shared" si="48"/>
        <v>Industrial Equipment</v>
      </c>
      <c r="L2465" s="316" t="str">
        <f t="shared" si="49"/>
        <v>Gasoline</v>
      </c>
      <c r="M2465" s="194"/>
      <c r="N2465" s="317"/>
      <c r="O2465" s="317"/>
      <c r="P2465" s="317"/>
      <c r="Q2465" s="317"/>
      <c r="R2465" s="317"/>
      <c r="S2465" s="317"/>
      <c r="T2465" s="317"/>
      <c r="U2465" s="317"/>
      <c r="V2465" s="317"/>
      <c r="W2465" s="317"/>
      <c r="X2465" s="317"/>
      <c r="Y2465" s="317"/>
      <c r="Z2465" s="317"/>
    </row>
    <row r="2466" spans="1:26" x14ac:dyDescent="0.25">
      <c r="A2466" s="314"/>
      <c r="B2466" s="18">
        <v>2023</v>
      </c>
      <c r="C2466" s="18" t="s">
        <v>781</v>
      </c>
      <c r="D2466" s="18" t="s">
        <v>997</v>
      </c>
      <c r="E2466" s="18" t="s">
        <v>56</v>
      </c>
      <c r="F2466" s="18" t="s">
        <v>672</v>
      </c>
      <c r="G2466" s="18" t="s">
        <v>675</v>
      </c>
      <c r="H2466" s="18" t="s">
        <v>969</v>
      </c>
      <c r="I2466" s="315">
        <v>23.60655197832142</v>
      </c>
      <c r="J2466" s="315">
        <v>2.9371234440346734E-3</v>
      </c>
      <c r="K2466" s="316" t="str">
        <f t="shared" si="48"/>
        <v>Industrial Equipment</v>
      </c>
      <c r="L2466" s="316" t="str">
        <f t="shared" si="49"/>
        <v>LPG</v>
      </c>
      <c r="M2466" s="194"/>
      <c r="N2466" s="317"/>
      <c r="O2466" s="317"/>
      <c r="P2466" s="317"/>
      <c r="Q2466" s="317"/>
      <c r="R2466" s="317"/>
      <c r="S2466" s="317"/>
      <c r="T2466" s="317"/>
      <c r="U2466" s="317"/>
      <c r="V2466" s="317"/>
      <c r="W2466" s="317"/>
      <c r="X2466" s="317"/>
      <c r="Y2466" s="317"/>
      <c r="Z2466" s="317"/>
    </row>
    <row r="2467" spans="1:26" ht="12.75" x14ac:dyDescent="0.2">
      <c r="A2467" s="230"/>
      <c r="B2467" s="18">
        <v>2023</v>
      </c>
      <c r="C2467" s="18" t="s">
        <v>773</v>
      </c>
      <c r="D2467" s="18" t="s">
        <v>1221</v>
      </c>
      <c r="E2467" s="18" t="s">
        <v>713</v>
      </c>
      <c r="F2467" s="18" t="s">
        <v>714</v>
      </c>
      <c r="G2467" s="18" t="s">
        <v>678</v>
      </c>
      <c r="H2467" s="18" t="s">
        <v>1222</v>
      </c>
      <c r="I2467" s="315">
        <v>23.589980351625549</v>
      </c>
      <c r="J2467" s="315">
        <v>1.5715682646032318E-4</v>
      </c>
      <c r="K2467" s="316" t="str">
        <f t="shared" si="48"/>
        <v>Agricultural Equipment</v>
      </c>
      <c r="L2467" s="316" t="str">
        <f t="shared" si="49"/>
        <v>Diesel</v>
      </c>
      <c r="M2467" s="8"/>
      <c r="N2467" s="2"/>
      <c r="O2467" s="2"/>
      <c r="P2467" s="2"/>
      <c r="Q2467" s="2"/>
      <c r="R2467" s="2"/>
      <c r="S2467" s="2"/>
      <c r="T2467" s="2"/>
      <c r="U2467" s="2"/>
      <c r="V2467" s="2"/>
      <c r="W2467" s="2"/>
      <c r="X2467" s="2"/>
      <c r="Y2467" s="2"/>
      <c r="Z2467" s="2"/>
    </row>
    <row r="2468" spans="1:26" ht="12.75" x14ac:dyDescent="0.2">
      <c r="A2468" s="230"/>
      <c r="B2468" s="18">
        <v>2023</v>
      </c>
      <c r="C2468" s="18" t="s">
        <v>781</v>
      </c>
      <c r="D2468" s="18" t="s">
        <v>936</v>
      </c>
      <c r="E2468" s="18" t="s">
        <v>56</v>
      </c>
      <c r="F2468" s="18" t="s">
        <v>672</v>
      </c>
      <c r="G2468" s="18" t="s">
        <v>677</v>
      </c>
      <c r="H2468" s="18" t="s">
        <v>747</v>
      </c>
      <c r="I2468" s="315">
        <v>23.544607576980408</v>
      </c>
      <c r="J2468" s="315">
        <v>5.4278731838767903E-3</v>
      </c>
      <c r="K2468" s="316" t="str">
        <f t="shared" si="48"/>
        <v>Commercial Equipment</v>
      </c>
      <c r="L2468" s="316" t="str">
        <f t="shared" si="49"/>
        <v>LPG</v>
      </c>
      <c r="M2468" s="8"/>
      <c r="N2468" s="2"/>
      <c r="O2468" s="2"/>
      <c r="P2468" s="2"/>
      <c r="Q2468" s="2"/>
      <c r="R2468" s="2"/>
      <c r="S2468" s="2"/>
      <c r="T2468" s="2"/>
      <c r="U2468" s="2"/>
      <c r="V2468" s="2"/>
      <c r="W2468" s="2"/>
      <c r="X2468" s="2"/>
      <c r="Y2468" s="2"/>
      <c r="Z2468" s="2"/>
    </row>
    <row r="2469" spans="1:26" ht="12.75" x14ac:dyDescent="0.2">
      <c r="A2469" s="230"/>
      <c r="B2469" s="18">
        <v>2023</v>
      </c>
      <c r="C2469" s="18" t="s">
        <v>786</v>
      </c>
      <c r="D2469" s="18" t="s">
        <v>968</v>
      </c>
      <c r="E2469" s="18" t="s">
        <v>703</v>
      </c>
      <c r="F2469" s="18" t="s">
        <v>704</v>
      </c>
      <c r="G2469" s="18" t="s">
        <v>675</v>
      </c>
      <c r="H2469" s="18" t="s">
        <v>969</v>
      </c>
      <c r="I2469" s="315">
        <v>23.480962916419049</v>
      </c>
      <c r="J2469" s="315">
        <v>7.5092762729219087E-3</v>
      </c>
      <c r="K2469" s="316" t="str">
        <f t="shared" si="48"/>
        <v>Industrial Equipment</v>
      </c>
      <c r="L2469" s="316" t="str">
        <f t="shared" si="49"/>
        <v>Gasoline</v>
      </c>
      <c r="M2469" s="8"/>
      <c r="N2469" s="2"/>
      <c r="O2469" s="2"/>
      <c r="P2469" s="2"/>
      <c r="Q2469" s="2"/>
      <c r="R2469" s="2"/>
      <c r="S2469" s="2"/>
      <c r="T2469" s="2"/>
      <c r="U2469" s="2"/>
      <c r="V2469" s="2"/>
      <c r="W2469" s="2"/>
      <c r="X2469" s="2"/>
      <c r="Y2469" s="2"/>
      <c r="Z2469" s="2"/>
    </row>
    <row r="2470" spans="1:26" ht="12.75" x14ac:dyDescent="0.2">
      <c r="A2470" s="230"/>
      <c r="B2470" s="18">
        <v>2023</v>
      </c>
      <c r="C2470" s="18" t="s">
        <v>793</v>
      </c>
      <c r="D2470" s="18" t="s">
        <v>1014</v>
      </c>
      <c r="E2470" s="18" t="s">
        <v>713</v>
      </c>
      <c r="F2470" s="18" t="s">
        <v>714</v>
      </c>
      <c r="G2470" s="18" t="s">
        <v>674</v>
      </c>
      <c r="H2470" s="18" t="s">
        <v>994</v>
      </c>
      <c r="I2470" s="315">
        <v>23.475026634149234</v>
      </c>
      <c r="J2470" s="315">
        <v>3.0578830406005912E-4</v>
      </c>
      <c r="K2470" s="316" t="str">
        <f t="shared" si="48"/>
        <v>Construction and Mining Equipment</v>
      </c>
      <c r="L2470" s="316" t="str">
        <f t="shared" si="49"/>
        <v>Diesel</v>
      </c>
      <c r="M2470" s="8"/>
      <c r="N2470" s="2"/>
      <c r="O2470" s="2"/>
      <c r="P2470" s="2"/>
      <c r="Q2470" s="2"/>
      <c r="R2470" s="2"/>
      <c r="S2470" s="2"/>
      <c r="T2470" s="2"/>
      <c r="U2470" s="2"/>
      <c r="V2470" s="2"/>
      <c r="W2470" s="2"/>
      <c r="X2470" s="2"/>
      <c r="Y2470" s="2"/>
      <c r="Z2470" s="2"/>
    </row>
    <row r="2471" spans="1:26" ht="12.75" x14ac:dyDescent="0.2">
      <c r="A2471" s="230"/>
      <c r="B2471" s="18">
        <v>2023</v>
      </c>
      <c r="C2471" s="18" t="s">
        <v>759</v>
      </c>
      <c r="D2471" s="18" t="s">
        <v>858</v>
      </c>
      <c r="E2471" s="18" t="s">
        <v>713</v>
      </c>
      <c r="F2471" s="18" t="s">
        <v>714</v>
      </c>
      <c r="G2471" s="18" t="s">
        <v>674</v>
      </c>
      <c r="H2471" s="18" t="s">
        <v>859</v>
      </c>
      <c r="I2471" s="315">
        <v>23.447024258221926</v>
      </c>
      <c r="J2471" s="315">
        <v>2.0812550847797915E-4</v>
      </c>
      <c r="K2471" s="316" t="str">
        <f t="shared" si="48"/>
        <v>Construction and Mining Equipment</v>
      </c>
      <c r="L2471" s="316" t="str">
        <f t="shared" si="49"/>
        <v>Diesel</v>
      </c>
      <c r="M2471" s="8"/>
      <c r="N2471" s="2"/>
      <c r="O2471" s="2"/>
      <c r="P2471" s="2"/>
      <c r="Q2471" s="2"/>
      <c r="R2471" s="2"/>
      <c r="S2471" s="2"/>
      <c r="T2471" s="2"/>
      <c r="U2471" s="2"/>
      <c r="V2471" s="2"/>
      <c r="W2471" s="2"/>
      <c r="X2471" s="2"/>
      <c r="Y2471" s="2"/>
      <c r="Z2471" s="2"/>
    </row>
    <row r="2472" spans="1:26" ht="12.75" x14ac:dyDescent="0.2">
      <c r="A2472" s="230"/>
      <c r="B2472" s="18">
        <v>2023</v>
      </c>
      <c r="C2472" s="18" t="s">
        <v>743</v>
      </c>
      <c r="D2472" s="18" t="s">
        <v>1009</v>
      </c>
      <c r="E2472" s="18" t="s">
        <v>713</v>
      </c>
      <c r="F2472" s="18" t="s">
        <v>714</v>
      </c>
      <c r="G2472" s="18" t="s">
        <v>673</v>
      </c>
      <c r="H2472" s="18" t="s">
        <v>1010</v>
      </c>
      <c r="I2472" s="315">
        <v>23.281482887377493</v>
      </c>
      <c r="J2472" s="315">
        <v>3.397576448397326E-4</v>
      </c>
      <c r="K2472" s="316" t="str">
        <f t="shared" si="48"/>
        <v>Lawn and Garden Equipment</v>
      </c>
      <c r="L2472" s="316" t="str">
        <f t="shared" si="49"/>
        <v>Diesel</v>
      </c>
      <c r="M2472" s="8"/>
      <c r="N2472" s="2"/>
      <c r="O2472" s="2"/>
      <c r="P2472" s="2"/>
      <c r="Q2472" s="2"/>
      <c r="R2472" s="2"/>
      <c r="S2472" s="2"/>
      <c r="T2472" s="2"/>
      <c r="U2472" s="2"/>
      <c r="V2472" s="2"/>
      <c r="W2472" s="2"/>
      <c r="X2472" s="2"/>
      <c r="Y2472" s="2"/>
      <c r="Z2472" s="2"/>
    </row>
    <row r="2473" spans="1:26" ht="12.75" x14ac:dyDescent="0.2">
      <c r="A2473" s="230"/>
      <c r="B2473" s="18">
        <v>2023</v>
      </c>
      <c r="C2473" s="18" t="s">
        <v>762</v>
      </c>
      <c r="D2473" s="18" t="s">
        <v>986</v>
      </c>
      <c r="E2473" s="18" t="s">
        <v>703</v>
      </c>
      <c r="F2473" s="18" t="s">
        <v>704</v>
      </c>
      <c r="G2473" s="18" t="s">
        <v>673</v>
      </c>
      <c r="H2473" s="18" t="s">
        <v>987</v>
      </c>
      <c r="I2473" s="315">
        <v>23.263310584631103</v>
      </c>
      <c r="J2473" s="315">
        <v>1.5917211166649375E-2</v>
      </c>
      <c r="K2473" s="316" t="str">
        <f t="shared" si="48"/>
        <v>Lawn and Garden Equipment</v>
      </c>
      <c r="L2473" s="316" t="str">
        <f t="shared" si="49"/>
        <v>Gasoline</v>
      </c>
      <c r="M2473" s="8"/>
      <c r="N2473" s="2"/>
      <c r="O2473" s="2"/>
      <c r="P2473" s="2"/>
      <c r="Q2473" s="2"/>
      <c r="R2473" s="2"/>
      <c r="S2473" s="2"/>
      <c r="T2473" s="2"/>
      <c r="U2473" s="2"/>
      <c r="V2473" s="2"/>
      <c r="W2473" s="2"/>
      <c r="X2473" s="2"/>
      <c r="Y2473" s="2"/>
      <c r="Z2473" s="2"/>
    </row>
    <row r="2474" spans="1:26" ht="12.75" x14ac:dyDescent="0.2">
      <c r="A2474" s="230"/>
      <c r="B2474" s="18">
        <v>2023</v>
      </c>
      <c r="C2474" s="18" t="s">
        <v>731</v>
      </c>
      <c r="D2474" s="18" t="s">
        <v>1016</v>
      </c>
      <c r="E2474" s="18" t="s">
        <v>56</v>
      </c>
      <c r="F2474" s="18" t="s">
        <v>672</v>
      </c>
      <c r="G2474" s="18" t="s">
        <v>675</v>
      </c>
      <c r="H2474" s="18" t="s">
        <v>802</v>
      </c>
      <c r="I2474" s="315">
        <v>23.214961452648836</v>
      </c>
      <c r="J2474" s="315">
        <v>1.0650526727687382E-3</v>
      </c>
      <c r="K2474" s="316" t="str">
        <f t="shared" si="48"/>
        <v>Industrial Equipment</v>
      </c>
      <c r="L2474" s="316" t="str">
        <f t="shared" si="49"/>
        <v>LPG</v>
      </c>
      <c r="M2474" s="8"/>
      <c r="N2474" s="2"/>
      <c r="O2474" s="2"/>
      <c r="P2474" s="2"/>
      <c r="Q2474" s="2"/>
      <c r="R2474" s="2"/>
      <c r="S2474" s="2"/>
      <c r="T2474" s="2"/>
      <c r="U2474" s="2"/>
      <c r="V2474" s="2"/>
      <c r="W2474" s="2"/>
      <c r="X2474" s="2"/>
      <c r="Y2474" s="2"/>
      <c r="Z2474" s="2"/>
    </row>
    <row r="2475" spans="1:26" ht="12.75" x14ac:dyDescent="0.2">
      <c r="A2475" s="230"/>
      <c r="B2475" s="18">
        <v>2023</v>
      </c>
      <c r="C2475" s="18" t="s">
        <v>762</v>
      </c>
      <c r="D2475" s="18" t="s">
        <v>968</v>
      </c>
      <c r="E2475" s="18" t="s">
        <v>703</v>
      </c>
      <c r="F2475" s="18" t="s">
        <v>704</v>
      </c>
      <c r="G2475" s="18" t="s">
        <v>675</v>
      </c>
      <c r="H2475" s="18" t="s">
        <v>969</v>
      </c>
      <c r="I2475" s="315">
        <v>23.199679533954406</v>
      </c>
      <c r="J2475" s="315">
        <v>7.4114100695201156E-3</v>
      </c>
      <c r="K2475" s="316" t="str">
        <f t="shared" si="48"/>
        <v>Industrial Equipment</v>
      </c>
      <c r="L2475" s="316" t="str">
        <f t="shared" si="49"/>
        <v>Gasoline</v>
      </c>
      <c r="M2475" s="8"/>
      <c r="N2475" s="2"/>
      <c r="O2475" s="2"/>
      <c r="P2475" s="2"/>
      <c r="Q2475" s="2"/>
      <c r="R2475" s="2"/>
      <c r="S2475" s="2"/>
      <c r="T2475" s="2"/>
      <c r="U2475" s="2"/>
      <c r="V2475" s="2"/>
      <c r="W2475" s="2"/>
      <c r="X2475" s="2"/>
      <c r="Y2475" s="2"/>
      <c r="Z2475" s="2"/>
    </row>
    <row r="2476" spans="1:26" ht="12.75" x14ac:dyDescent="0.2">
      <c r="A2476" s="230"/>
      <c r="B2476" s="18">
        <v>2023</v>
      </c>
      <c r="C2476" s="18" t="s">
        <v>810</v>
      </c>
      <c r="D2476" s="18" t="s">
        <v>988</v>
      </c>
      <c r="E2476" s="18" t="s">
        <v>703</v>
      </c>
      <c r="F2476" s="18" t="s">
        <v>805</v>
      </c>
      <c r="G2476" s="18" t="s">
        <v>673</v>
      </c>
      <c r="H2476" s="18" t="s">
        <v>768</v>
      </c>
      <c r="I2476" s="315">
        <v>23.129166101419226</v>
      </c>
      <c r="J2476" s="315">
        <v>4.3059609506524925E-2</v>
      </c>
      <c r="K2476" s="316" t="str">
        <f t="shared" si="48"/>
        <v>Lawn and Garden Equipment</v>
      </c>
      <c r="L2476" s="316" t="str">
        <f t="shared" si="49"/>
        <v>Gasoline</v>
      </c>
      <c r="M2476" s="8"/>
      <c r="N2476" s="2"/>
      <c r="O2476" s="2"/>
      <c r="P2476" s="2"/>
      <c r="Q2476" s="2"/>
      <c r="R2476" s="2"/>
      <c r="S2476" s="2"/>
      <c r="T2476" s="2"/>
      <c r="U2476" s="2"/>
      <c r="V2476" s="2"/>
      <c r="W2476" s="2"/>
      <c r="X2476" s="2"/>
      <c r="Y2476" s="2"/>
      <c r="Z2476" s="2"/>
    </row>
    <row r="2477" spans="1:26" ht="12.75" x14ac:dyDescent="0.2">
      <c r="A2477" s="230"/>
      <c r="B2477" s="18">
        <v>2023</v>
      </c>
      <c r="C2477" s="18" t="s">
        <v>759</v>
      </c>
      <c r="D2477" s="18" t="s">
        <v>988</v>
      </c>
      <c r="E2477" s="18" t="s">
        <v>703</v>
      </c>
      <c r="F2477" s="18" t="s">
        <v>805</v>
      </c>
      <c r="G2477" s="18" t="s">
        <v>673</v>
      </c>
      <c r="H2477" s="18" t="s">
        <v>768</v>
      </c>
      <c r="I2477" s="315">
        <v>23.129166101419226</v>
      </c>
      <c r="J2477" s="315">
        <v>4.3059609506524925E-2</v>
      </c>
      <c r="K2477" s="316" t="str">
        <f t="shared" si="48"/>
        <v>Lawn and Garden Equipment</v>
      </c>
      <c r="L2477" s="316" t="str">
        <f t="shared" si="49"/>
        <v>Gasoline</v>
      </c>
      <c r="M2477" s="8"/>
      <c r="N2477" s="2"/>
      <c r="O2477" s="2"/>
      <c r="P2477" s="2"/>
      <c r="Q2477" s="2"/>
      <c r="R2477" s="2"/>
      <c r="S2477" s="2"/>
      <c r="T2477" s="2"/>
      <c r="U2477" s="2"/>
      <c r="V2477" s="2"/>
      <c r="W2477" s="2"/>
      <c r="X2477" s="2"/>
      <c r="Y2477" s="2"/>
      <c r="Z2477" s="2"/>
    </row>
    <row r="2478" spans="1:26" ht="12.75" x14ac:dyDescent="0.2">
      <c r="A2478" s="230"/>
      <c r="B2478" s="18">
        <v>2023</v>
      </c>
      <c r="C2478" s="18" t="s">
        <v>727</v>
      </c>
      <c r="D2478" s="18" t="s">
        <v>988</v>
      </c>
      <c r="E2478" s="18" t="s">
        <v>703</v>
      </c>
      <c r="F2478" s="18" t="s">
        <v>805</v>
      </c>
      <c r="G2478" s="18" t="s">
        <v>673</v>
      </c>
      <c r="H2478" s="18" t="s">
        <v>768</v>
      </c>
      <c r="I2478" s="315">
        <v>23.129166101419226</v>
      </c>
      <c r="J2478" s="315">
        <v>4.3059609506524925E-2</v>
      </c>
      <c r="K2478" s="316" t="str">
        <f t="shared" si="48"/>
        <v>Lawn and Garden Equipment</v>
      </c>
      <c r="L2478" s="316" t="str">
        <f t="shared" si="49"/>
        <v>Gasoline</v>
      </c>
      <c r="M2478" s="8"/>
      <c r="N2478" s="2"/>
      <c r="O2478" s="2"/>
      <c r="P2478" s="2"/>
      <c r="Q2478" s="2"/>
      <c r="R2478" s="2"/>
      <c r="S2478" s="2"/>
      <c r="T2478" s="2"/>
      <c r="U2478" s="2"/>
      <c r="V2478" s="2"/>
      <c r="W2478" s="2"/>
      <c r="X2478" s="2"/>
      <c r="Y2478" s="2"/>
      <c r="Z2478" s="2"/>
    </row>
    <row r="2479" spans="1:26" ht="12.75" x14ac:dyDescent="0.2">
      <c r="A2479" s="230"/>
      <c r="B2479" s="18">
        <v>2023</v>
      </c>
      <c r="C2479" s="18" t="s">
        <v>727</v>
      </c>
      <c r="D2479" s="18" t="s">
        <v>1015</v>
      </c>
      <c r="E2479" s="18" t="s">
        <v>56</v>
      </c>
      <c r="F2479" s="18" t="s">
        <v>601</v>
      </c>
      <c r="G2479" s="18" t="s">
        <v>677</v>
      </c>
      <c r="H2479" s="18" t="s">
        <v>747</v>
      </c>
      <c r="I2479" s="315">
        <v>23.021210673728099</v>
      </c>
      <c r="J2479" s="315">
        <v>0.51504063684491197</v>
      </c>
      <c r="K2479" s="316" t="str">
        <f t="shared" si="48"/>
        <v>Commercial Equipment</v>
      </c>
      <c r="L2479" s="316" t="str">
        <f t="shared" si="49"/>
        <v>CNG</v>
      </c>
      <c r="M2479" s="8"/>
      <c r="N2479" s="2"/>
      <c r="O2479" s="2"/>
      <c r="P2479" s="2"/>
      <c r="Q2479" s="2"/>
      <c r="R2479" s="2"/>
      <c r="S2479" s="2"/>
      <c r="T2479" s="2"/>
      <c r="U2479" s="2"/>
      <c r="V2479" s="2"/>
      <c r="W2479" s="2"/>
      <c r="X2479" s="2"/>
      <c r="Y2479" s="2"/>
      <c r="Z2479" s="2"/>
    </row>
    <row r="2480" spans="1:26" ht="12.75" x14ac:dyDescent="0.2">
      <c r="A2480" s="230"/>
      <c r="B2480" s="18">
        <v>2023</v>
      </c>
      <c r="C2480" s="18" t="s">
        <v>762</v>
      </c>
      <c r="D2480" s="18" t="s">
        <v>962</v>
      </c>
      <c r="E2480" s="18" t="s">
        <v>703</v>
      </c>
      <c r="F2480" s="18" t="s">
        <v>704</v>
      </c>
      <c r="G2480" s="18" t="s">
        <v>673</v>
      </c>
      <c r="H2480" s="18" t="s">
        <v>963</v>
      </c>
      <c r="I2480" s="315">
        <v>23.004700069759213</v>
      </c>
      <c r="J2480" s="315">
        <v>1.5858069961301575E-2</v>
      </c>
      <c r="K2480" s="316" t="str">
        <f t="shared" si="48"/>
        <v>Lawn and Garden Equipment</v>
      </c>
      <c r="L2480" s="316" t="str">
        <f t="shared" si="49"/>
        <v>Gasoline</v>
      </c>
      <c r="M2480" s="8"/>
      <c r="N2480" s="2"/>
      <c r="O2480" s="2"/>
      <c r="P2480" s="2"/>
      <c r="Q2480" s="2"/>
      <c r="R2480" s="2"/>
      <c r="S2480" s="2"/>
      <c r="T2480" s="2"/>
      <c r="U2480" s="2"/>
      <c r="V2480" s="2"/>
      <c r="W2480" s="2"/>
      <c r="X2480" s="2"/>
      <c r="Y2480" s="2"/>
      <c r="Z2480" s="2"/>
    </row>
    <row r="2481" spans="1:26" ht="12.75" x14ac:dyDescent="0.2">
      <c r="A2481" s="230"/>
      <c r="B2481" s="18">
        <v>2023</v>
      </c>
      <c r="C2481" s="18" t="s">
        <v>731</v>
      </c>
      <c r="D2481" s="18" t="s">
        <v>988</v>
      </c>
      <c r="E2481" s="18" t="s">
        <v>703</v>
      </c>
      <c r="F2481" s="18" t="s">
        <v>805</v>
      </c>
      <c r="G2481" s="18" t="s">
        <v>673</v>
      </c>
      <c r="H2481" s="18" t="s">
        <v>768</v>
      </c>
      <c r="I2481" s="315">
        <v>22.98550400830052</v>
      </c>
      <c r="J2481" s="315">
        <v>4.27920996006722E-2</v>
      </c>
      <c r="K2481" s="316" t="str">
        <f t="shared" si="48"/>
        <v>Lawn and Garden Equipment</v>
      </c>
      <c r="L2481" s="316" t="str">
        <f t="shared" si="49"/>
        <v>Gasoline</v>
      </c>
      <c r="M2481" s="8"/>
      <c r="N2481" s="2"/>
      <c r="O2481" s="2"/>
      <c r="P2481" s="2"/>
      <c r="Q2481" s="2"/>
      <c r="R2481" s="2"/>
      <c r="S2481" s="2"/>
      <c r="T2481" s="2"/>
      <c r="U2481" s="2"/>
      <c r="V2481" s="2"/>
      <c r="W2481" s="2"/>
      <c r="X2481" s="2"/>
      <c r="Y2481" s="2"/>
      <c r="Z2481" s="2"/>
    </row>
    <row r="2482" spans="1:26" ht="12.75" x14ac:dyDescent="0.2">
      <c r="A2482" s="230"/>
      <c r="B2482" s="18">
        <v>2023</v>
      </c>
      <c r="C2482" s="18" t="s">
        <v>787</v>
      </c>
      <c r="D2482" s="18" t="s">
        <v>1035</v>
      </c>
      <c r="E2482" s="18" t="s">
        <v>703</v>
      </c>
      <c r="F2482" s="18" t="s">
        <v>704</v>
      </c>
      <c r="G2482" s="18" t="s">
        <v>674</v>
      </c>
      <c r="H2482" s="18" t="s">
        <v>1036</v>
      </c>
      <c r="I2482" s="315">
        <v>22.957293576495651</v>
      </c>
      <c r="J2482" s="315">
        <v>1.6259297499796911E-2</v>
      </c>
      <c r="K2482" s="316" t="str">
        <f t="shared" si="48"/>
        <v>Construction and Mining Equipment</v>
      </c>
      <c r="L2482" s="316" t="str">
        <f t="shared" si="49"/>
        <v>Gasoline</v>
      </c>
      <c r="M2482" s="8"/>
      <c r="N2482" s="2"/>
      <c r="O2482" s="2"/>
      <c r="P2482" s="2"/>
      <c r="Q2482" s="2"/>
      <c r="R2482" s="2"/>
      <c r="S2482" s="2"/>
      <c r="T2482" s="2"/>
      <c r="U2482" s="2"/>
      <c r="V2482" s="2"/>
      <c r="W2482" s="2"/>
      <c r="X2482" s="2"/>
      <c r="Y2482" s="2"/>
      <c r="Z2482" s="2"/>
    </row>
    <row r="2483" spans="1:26" ht="12.75" x14ac:dyDescent="0.2">
      <c r="A2483" s="230"/>
      <c r="B2483" s="18">
        <v>2023</v>
      </c>
      <c r="C2483" s="18" t="s">
        <v>759</v>
      </c>
      <c r="D2483" s="18" t="s">
        <v>860</v>
      </c>
      <c r="E2483" s="18" t="s">
        <v>713</v>
      </c>
      <c r="F2483" s="18" t="s">
        <v>714</v>
      </c>
      <c r="G2483" s="18" t="s">
        <v>674</v>
      </c>
      <c r="H2483" s="18" t="s">
        <v>861</v>
      </c>
      <c r="I2483" s="315">
        <v>22.937519780115295</v>
      </c>
      <c r="J2483" s="315">
        <v>3.8014732954570285E-4</v>
      </c>
      <c r="K2483" s="316" t="str">
        <f t="shared" si="48"/>
        <v>Construction and Mining Equipment</v>
      </c>
      <c r="L2483" s="316" t="str">
        <f t="shared" si="49"/>
        <v>Diesel</v>
      </c>
      <c r="M2483" s="8"/>
      <c r="N2483" s="2"/>
      <c r="O2483" s="2"/>
      <c r="P2483" s="2"/>
      <c r="Q2483" s="2"/>
      <c r="R2483" s="2"/>
      <c r="S2483" s="2"/>
      <c r="T2483" s="2"/>
      <c r="U2483" s="2"/>
      <c r="V2483" s="2"/>
      <c r="W2483" s="2"/>
      <c r="X2483" s="2"/>
      <c r="Y2483" s="2"/>
      <c r="Z2483" s="2"/>
    </row>
    <row r="2484" spans="1:26" ht="12.75" x14ac:dyDescent="0.2">
      <c r="A2484" s="230"/>
      <c r="B2484" s="18">
        <v>2023</v>
      </c>
      <c r="C2484" s="18" t="s">
        <v>778</v>
      </c>
      <c r="D2484" s="18" t="s">
        <v>1081</v>
      </c>
      <c r="E2484" s="18" t="s">
        <v>703</v>
      </c>
      <c r="F2484" s="18" t="s">
        <v>805</v>
      </c>
      <c r="G2484" s="18" t="s">
        <v>674</v>
      </c>
      <c r="H2484" s="18" t="s">
        <v>1082</v>
      </c>
      <c r="I2484" s="315">
        <v>22.867829618040371</v>
      </c>
      <c r="J2484" s="315">
        <v>3.7092508335416219E-2</v>
      </c>
      <c r="K2484" s="316" t="str">
        <f t="shared" si="48"/>
        <v>Construction and Mining Equipment</v>
      </c>
      <c r="L2484" s="316" t="str">
        <f t="shared" si="49"/>
        <v>Gasoline</v>
      </c>
      <c r="M2484" s="8"/>
      <c r="N2484" s="2"/>
      <c r="O2484" s="2"/>
      <c r="P2484" s="2"/>
      <c r="Q2484" s="2"/>
      <c r="R2484" s="2"/>
      <c r="S2484" s="2"/>
      <c r="T2484" s="2"/>
      <c r="U2484" s="2"/>
      <c r="V2484" s="2"/>
      <c r="W2484" s="2"/>
      <c r="X2484" s="2"/>
      <c r="Y2484" s="2"/>
      <c r="Z2484" s="2"/>
    </row>
    <row r="2485" spans="1:26" ht="12.75" x14ac:dyDescent="0.2">
      <c r="A2485" s="230"/>
      <c r="B2485" s="18">
        <v>2023</v>
      </c>
      <c r="C2485" s="18" t="s">
        <v>792</v>
      </c>
      <c r="D2485" s="18" t="s">
        <v>1224</v>
      </c>
      <c r="E2485" s="18" t="s">
        <v>703</v>
      </c>
      <c r="F2485" s="18" t="s">
        <v>704</v>
      </c>
      <c r="G2485" s="18" t="s">
        <v>681</v>
      </c>
      <c r="H2485" s="18" t="s">
        <v>1225</v>
      </c>
      <c r="I2485" s="315">
        <v>22.865929319458406</v>
      </c>
      <c r="J2485" s="315">
        <v>1.5615774902114497E-2</v>
      </c>
      <c r="K2485" s="316" t="str">
        <f t="shared" si="48"/>
        <v>Logging Equipment</v>
      </c>
      <c r="L2485" s="316" t="str">
        <f t="shared" si="49"/>
        <v>Gasoline</v>
      </c>
      <c r="M2485" s="8"/>
      <c r="N2485" s="2"/>
      <c r="O2485" s="2"/>
      <c r="P2485" s="2"/>
      <c r="Q2485" s="2"/>
      <c r="R2485" s="2"/>
      <c r="S2485" s="2"/>
      <c r="T2485" s="2"/>
      <c r="U2485" s="2"/>
      <c r="V2485" s="2"/>
      <c r="W2485" s="2"/>
      <c r="X2485" s="2"/>
      <c r="Y2485" s="2"/>
      <c r="Z2485" s="2"/>
    </row>
    <row r="2486" spans="1:26" ht="12.75" x14ac:dyDescent="0.2">
      <c r="A2486" s="230"/>
      <c r="B2486" s="18">
        <v>2023</v>
      </c>
      <c r="C2486" s="18" t="s">
        <v>778</v>
      </c>
      <c r="D2486" s="18" t="s">
        <v>1011</v>
      </c>
      <c r="E2486" s="18" t="s">
        <v>56</v>
      </c>
      <c r="F2486" s="18" t="s">
        <v>672</v>
      </c>
      <c r="G2486" s="18" t="s">
        <v>677</v>
      </c>
      <c r="H2486" s="18" t="s">
        <v>836</v>
      </c>
      <c r="I2486" s="315">
        <v>22.840927788003526</v>
      </c>
      <c r="J2486" s="315">
        <v>1.213476289056017E-3</v>
      </c>
      <c r="K2486" s="316" t="str">
        <f t="shared" si="48"/>
        <v>Commercial Equipment</v>
      </c>
      <c r="L2486" s="316" t="str">
        <f t="shared" si="49"/>
        <v>LPG</v>
      </c>
      <c r="M2486" s="8"/>
      <c r="N2486" s="2"/>
      <c r="O2486" s="2"/>
      <c r="P2486" s="2"/>
      <c r="Q2486" s="2"/>
      <c r="R2486" s="2"/>
      <c r="S2486" s="2"/>
      <c r="T2486" s="2"/>
      <c r="U2486" s="2"/>
      <c r="V2486" s="2"/>
      <c r="W2486" s="2"/>
      <c r="X2486" s="2"/>
      <c r="Y2486" s="2"/>
      <c r="Z2486" s="2"/>
    </row>
    <row r="2487" spans="1:26" ht="12.75" x14ac:dyDescent="0.2">
      <c r="A2487" s="230"/>
      <c r="B2487" s="18">
        <v>2023</v>
      </c>
      <c r="C2487" s="18" t="s">
        <v>810</v>
      </c>
      <c r="D2487" s="18" t="s">
        <v>986</v>
      </c>
      <c r="E2487" s="18" t="s">
        <v>703</v>
      </c>
      <c r="F2487" s="18" t="s">
        <v>704</v>
      </c>
      <c r="G2487" s="18" t="s">
        <v>673</v>
      </c>
      <c r="H2487" s="18" t="s">
        <v>987</v>
      </c>
      <c r="I2487" s="315">
        <v>22.703720806239119</v>
      </c>
      <c r="J2487" s="315">
        <v>1.5715563631534046E-2</v>
      </c>
      <c r="K2487" s="316" t="str">
        <f t="shared" si="48"/>
        <v>Lawn and Garden Equipment</v>
      </c>
      <c r="L2487" s="316" t="str">
        <f t="shared" si="49"/>
        <v>Gasoline</v>
      </c>
      <c r="M2487" s="8"/>
      <c r="N2487" s="2"/>
      <c r="O2487" s="2"/>
      <c r="P2487" s="2"/>
      <c r="Q2487" s="2"/>
      <c r="R2487" s="2"/>
      <c r="S2487" s="2"/>
      <c r="T2487" s="2"/>
      <c r="U2487" s="2"/>
      <c r="V2487" s="2"/>
      <c r="W2487" s="2"/>
      <c r="X2487" s="2"/>
      <c r="Y2487" s="2"/>
      <c r="Z2487" s="2"/>
    </row>
    <row r="2488" spans="1:26" ht="12.75" x14ac:dyDescent="0.2">
      <c r="A2488" s="230"/>
      <c r="B2488" s="18">
        <v>2023</v>
      </c>
      <c r="C2488" s="18" t="s">
        <v>753</v>
      </c>
      <c r="D2488" s="18" t="s">
        <v>988</v>
      </c>
      <c r="E2488" s="18" t="s">
        <v>703</v>
      </c>
      <c r="F2488" s="18" t="s">
        <v>805</v>
      </c>
      <c r="G2488" s="18" t="s">
        <v>673</v>
      </c>
      <c r="H2488" s="18" t="s">
        <v>768</v>
      </c>
      <c r="I2488" s="315">
        <v>22.698187092581264</v>
      </c>
      <c r="J2488" s="315">
        <v>4.2257280335163495E-2</v>
      </c>
      <c r="K2488" s="316" t="str">
        <f t="shared" si="48"/>
        <v>Lawn and Garden Equipment</v>
      </c>
      <c r="L2488" s="316" t="str">
        <f t="shared" si="49"/>
        <v>Gasoline</v>
      </c>
      <c r="M2488" s="8"/>
      <c r="N2488" s="2"/>
      <c r="O2488" s="2"/>
      <c r="P2488" s="2"/>
      <c r="Q2488" s="2"/>
      <c r="R2488" s="2"/>
      <c r="S2488" s="2"/>
      <c r="T2488" s="2"/>
      <c r="U2488" s="2"/>
      <c r="V2488" s="2"/>
      <c r="W2488" s="2"/>
      <c r="X2488" s="2"/>
      <c r="Y2488" s="2"/>
      <c r="Z2488" s="2"/>
    </row>
    <row r="2489" spans="1:26" ht="12.75" x14ac:dyDescent="0.2">
      <c r="A2489" s="230"/>
      <c r="B2489" s="18">
        <v>2023</v>
      </c>
      <c r="C2489" s="18" t="s">
        <v>722</v>
      </c>
      <c r="D2489" s="18" t="s">
        <v>1083</v>
      </c>
      <c r="E2489" s="18" t="s">
        <v>703</v>
      </c>
      <c r="F2489" s="18" t="s">
        <v>704</v>
      </c>
      <c r="G2489" s="18" t="s">
        <v>674</v>
      </c>
      <c r="H2489" s="18" t="s">
        <v>861</v>
      </c>
      <c r="I2489" s="315">
        <v>22.672480715931687</v>
      </c>
      <c r="J2489" s="315">
        <v>1.7053816794427155E-2</v>
      </c>
      <c r="K2489" s="316" t="str">
        <f t="shared" si="48"/>
        <v>Construction and Mining Equipment</v>
      </c>
      <c r="L2489" s="316" t="str">
        <f t="shared" si="49"/>
        <v>Gasoline</v>
      </c>
      <c r="M2489" s="8"/>
      <c r="N2489" s="2"/>
      <c r="O2489" s="2"/>
      <c r="P2489" s="2"/>
      <c r="Q2489" s="2"/>
      <c r="R2489" s="2"/>
      <c r="S2489" s="2"/>
      <c r="T2489" s="2"/>
      <c r="U2489" s="2"/>
      <c r="V2489" s="2"/>
      <c r="W2489" s="2"/>
      <c r="X2489" s="2"/>
      <c r="Y2489" s="2"/>
      <c r="Z2489" s="2"/>
    </row>
    <row r="2490" spans="1:26" ht="12.75" x14ac:dyDescent="0.2">
      <c r="A2490" s="230"/>
      <c r="B2490" s="18">
        <v>2023</v>
      </c>
      <c r="C2490" s="18" t="s">
        <v>711</v>
      </c>
      <c r="D2490" s="18" t="s">
        <v>1219</v>
      </c>
      <c r="E2490" s="18" t="s">
        <v>703</v>
      </c>
      <c r="F2490" s="18" t="s">
        <v>704</v>
      </c>
      <c r="G2490" s="18" t="s">
        <v>674</v>
      </c>
      <c r="H2490" s="18" t="s">
        <v>1220</v>
      </c>
      <c r="I2490" s="315">
        <v>22.667030122359641</v>
      </c>
      <c r="J2490" s="315">
        <v>1.5263664934811922E-2</v>
      </c>
      <c r="K2490" s="316" t="str">
        <f t="shared" si="48"/>
        <v>Construction and Mining Equipment</v>
      </c>
      <c r="L2490" s="316" t="str">
        <f t="shared" si="49"/>
        <v>Gasoline</v>
      </c>
      <c r="M2490" s="8"/>
      <c r="N2490" s="2"/>
      <c r="O2490" s="2"/>
      <c r="P2490" s="2"/>
      <c r="Q2490" s="2"/>
      <c r="R2490" s="2"/>
      <c r="S2490" s="2"/>
      <c r="T2490" s="2"/>
      <c r="U2490" s="2"/>
      <c r="V2490" s="2"/>
      <c r="W2490" s="2"/>
      <c r="X2490" s="2"/>
      <c r="Y2490" s="2"/>
      <c r="Z2490" s="2"/>
    </row>
    <row r="2491" spans="1:26" ht="12.75" x14ac:dyDescent="0.2">
      <c r="A2491" s="230"/>
      <c r="B2491" s="18">
        <v>2023</v>
      </c>
      <c r="C2491" s="18" t="s">
        <v>753</v>
      </c>
      <c r="D2491" s="18" t="s">
        <v>986</v>
      </c>
      <c r="E2491" s="18" t="s">
        <v>703</v>
      </c>
      <c r="F2491" s="18" t="s">
        <v>704</v>
      </c>
      <c r="G2491" s="18" t="s">
        <v>673</v>
      </c>
      <c r="H2491" s="18" t="s">
        <v>987</v>
      </c>
      <c r="I2491" s="315">
        <v>22.645371085142067</v>
      </c>
      <c r="J2491" s="315">
        <v>1.547691847160329E-2</v>
      </c>
      <c r="K2491" s="316" t="str">
        <f t="shared" si="48"/>
        <v>Lawn and Garden Equipment</v>
      </c>
      <c r="L2491" s="316" t="str">
        <f t="shared" si="49"/>
        <v>Gasoline</v>
      </c>
      <c r="M2491" s="8"/>
      <c r="N2491" s="2"/>
      <c r="O2491" s="2"/>
      <c r="P2491" s="2"/>
      <c r="Q2491" s="2"/>
      <c r="R2491" s="2"/>
      <c r="S2491" s="2"/>
      <c r="T2491" s="2"/>
      <c r="U2491" s="2"/>
      <c r="V2491" s="2"/>
      <c r="W2491" s="2"/>
      <c r="X2491" s="2"/>
      <c r="Y2491" s="2"/>
      <c r="Z2491" s="2"/>
    </row>
    <row r="2492" spans="1:26" ht="12.75" x14ac:dyDescent="0.2">
      <c r="A2492" s="230"/>
      <c r="B2492" s="18">
        <v>2023</v>
      </c>
      <c r="C2492" s="18" t="s">
        <v>810</v>
      </c>
      <c r="D2492" s="18" t="s">
        <v>968</v>
      </c>
      <c r="E2492" s="18" t="s">
        <v>703</v>
      </c>
      <c r="F2492" s="18" t="s">
        <v>704</v>
      </c>
      <c r="G2492" s="18" t="s">
        <v>675</v>
      </c>
      <c r="H2492" s="18" t="s">
        <v>969</v>
      </c>
      <c r="I2492" s="315">
        <v>22.596909869413697</v>
      </c>
      <c r="J2492" s="315">
        <v>7.3176792733463973E-3</v>
      </c>
      <c r="K2492" s="316" t="str">
        <f t="shared" si="48"/>
        <v>Industrial Equipment</v>
      </c>
      <c r="L2492" s="316" t="str">
        <f t="shared" si="49"/>
        <v>Gasoline</v>
      </c>
      <c r="M2492" s="8"/>
      <c r="N2492" s="2"/>
      <c r="O2492" s="2"/>
      <c r="P2492" s="2"/>
      <c r="Q2492" s="2"/>
      <c r="R2492" s="2"/>
      <c r="S2492" s="2"/>
      <c r="T2492" s="2"/>
      <c r="U2492" s="2"/>
      <c r="V2492" s="2"/>
      <c r="W2492" s="2"/>
      <c r="X2492" s="2"/>
      <c r="Y2492" s="2"/>
      <c r="Z2492" s="2"/>
    </row>
    <row r="2493" spans="1:26" ht="12.75" x14ac:dyDescent="0.2">
      <c r="A2493" s="230"/>
      <c r="B2493" s="18">
        <v>2023</v>
      </c>
      <c r="C2493" s="18" t="s">
        <v>743</v>
      </c>
      <c r="D2493" s="18" t="s">
        <v>1073</v>
      </c>
      <c r="E2493" s="18" t="s">
        <v>703</v>
      </c>
      <c r="F2493" s="18" t="s">
        <v>704</v>
      </c>
      <c r="G2493" s="18" t="s">
        <v>674</v>
      </c>
      <c r="H2493" s="18" t="s">
        <v>1072</v>
      </c>
      <c r="I2493" s="315">
        <v>22.556779659913179</v>
      </c>
      <c r="J2493" s="315">
        <v>1.5975007956633213E-2</v>
      </c>
      <c r="K2493" s="316" t="str">
        <f t="shared" si="48"/>
        <v>Construction and Mining Equipment</v>
      </c>
      <c r="L2493" s="316" t="str">
        <f t="shared" si="49"/>
        <v>Gasoline</v>
      </c>
      <c r="M2493" s="8"/>
      <c r="N2493" s="2"/>
      <c r="O2493" s="2"/>
      <c r="P2493" s="2"/>
      <c r="Q2493" s="2"/>
      <c r="R2493" s="2"/>
      <c r="S2493" s="2"/>
      <c r="T2493" s="2"/>
      <c r="U2493" s="2"/>
      <c r="V2493" s="2"/>
      <c r="W2493" s="2"/>
      <c r="X2493" s="2"/>
      <c r="Y2493" s="2"/>
      <c r="Z2493" s="2"/>
    </row>
    <row r="2494" spans="1:26" ht="12.75" x14ac:dyDescent="0.2">
      <c r="A2494" s="230"/>
      <c r="B2494" s="18">
        <v>2023</v>
      </c>
      <c r="C2494" s="18" t="s">
        <v>754</v>
      </c>
      <c r="D2494" s="18" t="s">
        <v>1071</v>
      </c>
      <c r="E2494" s="18" t="s">
        <v>713</v>
      </c>
      <c r="F2494" s="18" t="s">
        <v>714</v>
      </c>
      <c r="G2494" s="18" t="s">
        <v>674</v>
      </c>
      <c r="H2494" s="18" t="s">
        <v>1072</v>
      </c>
      <c r="I2494" s="315">
        <v>22.497283586723608</v>
      </c>
      <c r="J2494" s="315">
        <v>3.0122369855580157E-4</v>
      </c>
      <c r="K2494" s="316" t="str">
        <f t="shared" si="48"/>
        <v>Construction and Mining Equipment</v>
      </c>
      <c r="L2494" s="316" t="str">
        <f t="shared" si="49"/>
        <v>Diesel</v>
      </c>
      <c r="M2494" s="8"/>
      <c r="N2494" s="2"/>
      <c r="O2494" s="2"/>
      <c r="P2494" s="2"/>
      <c r="Q2494" s="2"/>
      <c r="R2494" s="2"/>
      <c r="S2494" s="2"/>
      <c r="T2494" s="2"/>
      <c r="U2494" s="2"/>
      <c r="V2494" s="2"/>
      <c r="W2494" s="2"/>
      <c r="X2494" s="2"/>
      <c r="Y2494" s="2"/>
      <c r="Z2494" s="2"/>
    </row>
    <row r="2495" spans="1:26" ht="12.75" x14ac:dyDescent="0.2">
      <c r="A2495" s="230"/>
      <c r="B2495" s="18">
        <v>2023</v>
      </c>
      <c r="C2495" s="18" t="s">
        <v>743</v>
      </c>
      <c r="D2495" s="18" t="s">
        <v>1074</v>
      </c>
      <c r="E2495" s="18" t="s">
        <v>713</v>
      </c>
      <c r="F2495" s="18" t="s">
        <v>714</v>
      </c>
      <c r="G2495" s="18" t="s">
        <v>674</v>
      </c>
      <c r="H2495" s="18" t="s">
        <v>967</v>
      </c>
      <c r="I2495" s="315">
        <v>22.489411770663025</v>
      </c>
      <c r="J2495" s="315">
        <v>3.8646977947470534E-4</v>
      </c>
      <c r="K2495" s="316" t="str">
        <f t="shared" si="48"/>
        <v>Construction and Mining Equipment</v>
      </c>
      <c r="L2495" s="316" t="str">
        <f t="shared" si="49"/>
        <v>Diesel</v>
      </c>
      <c r="M2495" s="8"/>
      <c r="N2495" s="2"/>
      <c r="O2495" s="2"/>
      <c r="P2495" s="2"/>
      <c r="Q2495" s="2"/>
      <c r="R2495" s="2"/>
      <c r="S2495" s="2"/>
      <c r="T2495" s="2"/>
      <c r="U2495" s="2"/>
      <c r="V2495" s="2"/>
      <c r="W2495" s="2"/>
      <c r="X2495" s="2"/>
      <c r="Y2495" s="2"/>
      <c r="Z2495" s="2"/>
    </row>
    <row r="2496" spans="1:26" ht="12.75" x14ac:dyDescent="0.2">
      <c r="A2496" s="230"/>
      <c r="B2496" s="18">
        <v>2023</v>
      </c>
      <c r="C2496" s="18" t="s">
        <v>759</v>
      </c>
      <c r="D2496" s="18" t="s">
        <v>862</v>
      </c>
      <c r="E2496" s="18" t="s">
        <v>713</v>
      </c>
      <c r="F2496" s="18" t="s">
        <v>714</v>
      </c>
      <c r="G2496" s="18" t="s">
        <v>674</v>
      </c>
      <c r="H2496" s="18" t="s">
        <v>863</v>
      </c>
      <c r="I2496" s="315">
        <v>22.481242952751554</v>
      </c>
      <c r="J2496" s="315">
        <v>1.6218518102106757E-4</v>
      </c>
      <c r="K2496" s="316" t="str">
        <f t="shared" si="48"/>
        <v>Construction and Mining Equipment</v>
      </c>
      <c r="L2496" s="316" t="str">
        <f t="shared" si="49"/>
        <v>Diesel</v>
      </c>
      <c r="M2496" s="8"/>
      <c r="N2496" s="2"/>
      <c r="O2496" s="2"/>
      <c r="P2496" s="2"/>
      <c r="Q2496" s="2"/>
      <c r="R2496" s="2"/>
      <c r="S2496" s="2"/>
      <c r="T2496" s="2"/>
      <c r="U2496" s="2"/>
      <c r="V2496" s="2"/>
      <c r="W2496" s="2"/>
      <c r="X2496" s="2"/>
      <c r="Y2496" s="2"/>
      <c r="Z2496" s="2"/>
    </row>
    <row r="2497" spans="1:26" ht="12.75" x14ac:dyDescent="0.2">
      <c r="A2497" s="230"/>
      <c r="B2497" s="18">
        <v>2023</v>
      </c>
      <c r="C2497" s="18" t="s">
        <v>810</v>
      </c>
      <c r="D2497" s="18" t="s">
        <v>1394</v>
      </c>
      <c r="E2497" s="18" t="s">
        <v>703</v>
      </c>
      <c r="F2497" s="18" t="s">
        <v>805</v>
      </c>
      <c r="G2497" s="18" t="s">
        <v>681</v>
      </c>
      <c r="H2497" s="18" t="s">
        <v>1395</v>
      </c>
      <c r="I2497" s="315">
        <v>22.469780168135873</v>
      </c>
      <c r="J2497" s="315">
        <v>3.892033230347644E-2</v>
      </c>
      <c r="K2497" s="316" t="str">
        <f t="shared" si="48"/>
        <v>Logging Equipment</v>
      </c>
      <c r="L2497" s="316" t="str">
        <f t="shared" si="49"/>
        <v>Gasoline</v>
      </c>
      <c r="M2497" s="8"/>
      <c r="N2497" s="2"/>
      <c r="O2497" s="2"/>
      <c r="P2497" s="2"/>
      <c r="Q2497" s="2"/>
      <c r="R2497" s="2"/>
      <c r="S2497" s="2"/>
      <c r="T2497" s="2"/>
      <c r="U2497" s="2"/>
      <c r="V2497" s="2"/>
      <c r="W2497" s="2"/>
      <c r="X2497" s="2"/>
      <c r="Y2497" s="2"/>
      <c r="Z2497" s="2"/>
    </row>
    <row r="2498" spans="1:26" ht="12.75" x14ac:dyDescent="0.2">
      <c r="A2498" s="230"/>
      <c r="B2498" s="18">
        <v>2023</v>
      </c>
      <c r="C2498" s="18" t="s">
        <v>753</v>
      </c>
      <c r="D2498" s="18" t="s">
        <v>1016</v>
      </c>
      <c r="E2498" s="18" t="s">
        <v>56</v>
      </c>
      <c r="F2498" s="18" t="s">
        <v>672</v>
      </c>
      <c r="G2498" s="18" t="s">
        <v>675</v>
      </c>
      <c r="H2498" s="18" t="s">
        <v>802</v>
      </c>
      <c r="I2498" s="315">
        <v>22.464793755273323</v>
      </c>
      <c r="J2498" s="315">
        <v>1.0306362664404408E-3</v>
      </c>
      <c r="K2498" s="316" t="str">
        <f t="shared" si="48"/>
        <v>Industrial Equipment</v>
      </c>
      <c r="L2498" s="316" t="str">
        <f t="shared" si="49"/>
        <v>LPG</v>
      </c>
      <c r="M2498" s="8"/>
      <c r="N2498" s="2"/>
      <c r="O2498" s="2"/>
      <c r="P2498" s="2"/>
      <c r="Q2498" s="2"/>
      <c r="R2498" s="2"/>
      <c r="S2498" s="2"/>
      <c r="T2498" s="2"/>
      <c r="U2498" s="2"/>
      <c r="V2498" s="2"/>
      <c r="W2498" s="2"/>
      <c r="X2498" s="2"/>
      <c r="Y2498" s="2"/>
      <c r="Z2498" s="2"/>
    </row>
    <row r="2499" spans="1:26" ht="12.75" x14ac:dyDescent="0.2">
      <c r="A2499" s="230"/>
      <c r="B2499" s="18">
        <v>2023</v>
      </c>
      <c r="C2499" s="18" t="s">
        <v>711</v>
      </c>
      <c r="D2499" s="18" t="s">
        <v>1223</v>
      </c>
      <c r="E2499" s="18" t="s">
        <v>713</v>
      </c>
      <c r="F2499" s="18" t="s">
        <v>714</v>
      </c>
      <c r="G2499" s="18" t="s">
        <v>674</v>
      </c>
      <c r="H2499" s="18" t="s">
        <v>1036</v>
      </c>
      <c r="I2499" s="315">
        <v>22.302751555426021</v>
      </c>
      <c r="J2499" s="315">
        <v>2.1811888965264526E-3</v>
      </c>
      <c r="K2499" s="316" t="str">
        <f t="shared" si="48"/>
        <v>Construction and Mining Equipment</v>
      </c>
      <c r="L2499" s="316" t="str">
        <f t="shared" si="49"/>
        <v>Diesel</v>
      </c>
      <c r="M2499" s="8"/>
      <c r="N2499" s="2"/>
      <c r="O2499" s="2"/>
      <c r="P2499" s="2"/>
      <c r="Q2499" s="2"/>
      <c r="R2499" s="2"/>
      <c r="S2499" s="2"/>
      <c r="T2499" s="2"/>
      <c r="U2499" s="2"/>
      <c r="V2499" s="2"/>
      <c r="W2499" s="2"/>
      <c r="X2499" s="2"/>
      <c r="Y2499" s="2"/>
      <c r="Z2499" s="2"/>
    </row>
    <row r="2500" spans="1:26" ht="12.75" x14ac:dyDescent="0.2">
      <c r="A2500" s="230"/>
      <c r="B2500" s="18">
        <v>2023</v>
      </c>
      <c r="C2500" s="18" t="s">
        <v>701</v>
      </c>
      <c r="D2500" s="18" t="s">
        <v>1295</v>
      </c>
      <c r="E2500" s="18" t="s">
        <v>703</v>
      </c>
      <c r="F2500" s="18" t="s">
        <v>704</v>
      </c>
      <c r="G2500" s="18" t="s">
        <v>674</v>
      </c>
      <c r="H2500" s="18" t="s">
        <v>859</v>
      </c>
      <c r="I2500" s="315">
        <v>22.248726924993527</v>
      </c>
      <c r="J2500" s="315">
        <v>7.1902991675370101E-3</v>
      </c>
      <c r="K2500" s="316" t="str">
        <f t="shared" si="48"/>
        <v>Construction and Mining Equipment</v>
      </c>
      <c r="L2500" s="316" t="str">
        <f t="shared" si="49"/>
        <v>Gasoline</v>
      </c>
      <c r="M2500" s="8"/>
      <c r="N2500" s="2"/>
      <c r="O2500" s="2"/>
      <c r="P2500" s="2"/>
      <c r="Q2500" s="2"/>
      <c r="R2500" s="2"/>
      <c r="S2500" s="2"/>
      <c r="T2500" s="2"/>
      <c r="U2500" s="2"/>
      <c r="V2500" s="2"/>
      <c r="W2500" s="2"/>
      <c r="X2500" s="2"/>
      <c r="Y2500" s="2"/>
      <c r="Z2500" s="2"/>
    </row>
    <row r="2501" spans="1:26" ht="12.75" x14ac:dyDescent="0.2">
      <c r="A2501" s="230"/>
      <c r="B2501" s="18">
        <v>2023</v>
      </c>
      <c r="C2501" s="18" t="s">
        <v>722</v>
      </c>
      <c r="D2501" s="18" t="s">
        <v>1079</v>
      </c>
      <c r="E2501" s="18" t="s">
        <v>713</v>
      </c>
      <c r="F2501" s="18" t="s">
        <v>714</v>
      </c>
      <c r="G2501" s="18" t="s">
        <v>678</v>
      </c>
      <c r="H2501" s="18" t="s">
        <v>1080</v>
      </c>
      <c r="I2501" s="315">
        <v>22.212772522095907</v>
      </c>
      <c r="J2501" s="315">
        <v>1.6120744272083969E-4</v>
      </c>
      <c r="K2501" s="316" t="str">
        <f t="shared" si="48"/>
        <v>Agricultural Equipment</v>
      </c>
      <c r="L2501" s="316" t="str">
        <f t="shared" si="49"/>
        <v>Diesel</v>
      </c>
      <c r="M2501" s="8"/>
      <c r="N2501" s="2"/>
      <c r="O2501" s="2"/>
      <c r="P2501" s="2"/>
      <c r="Q2501" s="2"/>
      <c r="R2501" s="2"/>
      <c r="S2501" s="2"/>
      <c r="T2501" s="2"/>
      <c r="U2501" s="2"/>
      <c r="V2501" s="2"/>
      <c r="W2501" s="2"/>
      <c r="X2501" s="2"/>
      <c r="Y2501" s="2"/>
      <c r="Z2501" s="2"/>
    </row>
    <row r="2502" spans="1:26" ht="12.75" x14ac:dyDescent="0.2">
      <c r="A2502" s="230"/>
      <c r="B2502" s="18">
        <v>2023</v>
      </c>
      <c r="C2502" s="18" t="s">
        <v>762</v>
      </c>
      <c r="D2502" s="18" t="s">
        <v>980</v>
      </c>
      <c r="E2502" s="18" t="s">
        <v>713</v>
      </c>
      <c r="F2502" s="18" t="s">
        <v>714</v>
      </c>
      <c r="G2502" s="18" t="s">
        <v>674</v>
      </c>
      <c r="H2502" s="18" t="s">
        <v>981</v>
      </c>
      <c r="I2502" s="315">
        <v>22.210990520140641</v>
      </c>
      <c r="J2502" s="315">
        <v>9.7493802021132226E-4</v>
      </c>
      <c r="K2502" s="316" t="str">
        <f t="shared" si="48"/>
        <v>Construction and Mining Equipment</v>
      </c>
      <c r="L2502" s="316" t="str">
        <f t="shared" si="49"/>
        <v>Diesel</v>
      </c>
      <c r="M2502" s="8"/>
      <c r="N2502" s="2"/>
      <c r="O2502" s="2"/>
      <c r="P2502" s="2"/>
      <c r="Q2502" s="2"/>
      <c r="R2502" s="2"/>
      <c r="S2502" s="2"/>
      <c r="T2502" s="2"/>
      <c r="U2502" s="2"/>
      <c r="V2502" s="2"/>
      <c r="W2502" s="2"/>
      <c r="X2502" s="2"/>
      <c r="Y2502" s="2"/>
      <c r="Z2502" s="2"/>
    </row>
    <row r="2503" spans="1:26" ht="12.75" x14ac:dyDescent="0.2">
      <c r="A2503" s="230"/>
      <c r="B2503" s="18">
        <v>2023</v>
      </c>
      <c r="C2503" s="18" t="s">
        <v>762</v>
      </c>
      <c r="D2503" s="18" t="s">
        <v>1015</v>
      </c>
      <c r="E2503" s="18" t="s">
        <v>56</v>
      </c>
      <c r="F2503" s="18" t="s">
        <v>601</v>
      </c>
      <c r="G2503" s="18" t="s">
        <v>677</v>
      </c>
      <c r="H2503" s="18" t="s">
        <v>747</v>
      </c>
      <c r="I2503" s="315">
        <v>22.178974107715916</v>
      </c>
      <c r="J2503" s="315">
        <v>0.4961966150945375</v>
      </c>
      <c r="K2503" s="316" t="str">
        <f t="shared" si="48"/>
        <v>Commercial Equipment</v>
      </c>
      <c r="L2503" s="316" t="str">
        <f t="shared" si="49"/>
        <v>CNG</v>
      </c>
      <c r="M2503" s="8"/>
      <c r="N2503" s="2"/>
      <c r="O2503" s="2"/>
      <c r="P2503" s="2"/>
      <c r="Q2503" s="2"/>
      <c r="R2503" s="2"/>
      <c r="S2503" s="2"/>
      <c r="T2503" s="2"/>
      <c r="U2503" s="2"/>
      <c r="V2503" s="2"/>
      <c r="W2503" s="2"/>
      <c r="X2503" s="2"/>
      <c r="Y2503" s="2"/>
      <c r="Z2503" s="2"/>
    </row>
    <row r="2504" spans="1:26" ht="12.75" x14ac:dyDescent="0.2">
      <c r="A2504" s="230"/>
      <c r="B2504" s="18">
        <v>2023</v>
      </c>
      <c r="C2504" s="18" t="s">
        <v>754</v>
      </c>
      <c r="D2504" s="18" t="s">
        <v>1075</v>
      </c>
      <c r="E2504" s="18" t="s">
        <v>56</v>
      </c>
      <c r="F2504" s="18" t="s">
        <v>672</v>
      </c>
      <c r="G2504" s="18" t="s">
        <v>675</v>
      </c>
      <c r="H2504" s="18" t="s">
        <v>772</v>
      </c>
      <c r="I2504" s="315">
        <v>22.148308569190934</v>
      </c>
      <c r="J2504" s="315">
        <v>1.0203643752895993E-3</v>
      </c>
      <c r="K2504" s="316" t="str">
        <f t="shared" si="48"/>
        <v>Industrial Equipment</v>
      </c>
      <c r="L2504" s="316" t="str">
        <f t="shared" si="49"/>
        <v>LPG</v>
      </c>
      <c r="M2504" s="8"/>
      <c r="N2504" s="2"/>
      <c r="O2504" s="2"/>
      <c r="P2504" s="2"/>
      <c r="Q2504" s="2"/>
      <c r="R2504" s="2"/>
      <c r="S2504" s="2"/>
      <c r="T2504" s="2"/>
      <c r="U2504" s="2"/>
      <c r="V2504" s="2"/>
      <c r="W2504" s="2"/>
      <c r="X2504" s="2"/>
      <c r="Y2504" s="2"/>
      <c r="Z2504" s="2"/>
    </row>
    <row r="2505" spans="1:26" ht="12.75" x14ac:dyDescent="0.2">
      <c r="A2505" s="230"/>
      <c r="B2505" s="18">
        <v>2023</v>
      </c>
      <c r="C2505" s="18" t="s">
        <v>786</v>
      </c>
      <c r="D2505" s="18" t="s">
        <v>964</v>
      </c>
      <c r="E2505" s="18" t="s">
        <v>56</v>
      </c>
      <c r="F2505" s="18" t="s">
        <v>601</v>
      </c>
      <c r="G2505" s="18" t="s">
        <v>677</v>
      </c>
      <c r="H2505" s="18" t="s">
        <v>965</v>
      </c>
      <c r="I2505" s="315">
        <v>22.112384721523203</v>
      </c>
      <c r="J2505" s="315">
        <v>0.10566661716984059</v>
      </c>
      <c r="K2505" s="316" t="str">
        <f t="shared" si="48"/>
        <v>Commercial Equipment</v>
      </c>
      <c r="L2505" s="316" t="str">
        <f t="shared" si="49"/>
        <v>CNG</v>
      </c>
      <c r="M2505" s="8"/>
      <c r="N2505" s="2"/>
      <c r="O2505" s="2"/>
      <c r="P2505" s="2"/>
      <c r="Q2505" s="2"/>
      <c r="R2505" s="2"/>
      <c r="S2505" s="2"/>
      <c r="T2505" s="2"/>
      <c r="U2505" s="2"/>
      <c r="V2505" s="2"/>
      <c r="W2505" s="2"/>
      <c r="X2505" s="2"/>
      <c r="Y2505" s="2"/>
      <c r="Z2505" s="2"/>
    </row>
    <row r="2506" spans="1:26" ht="12.75" x14ac:dyDescent="0.2">
      <c r="A2506" s="230"/>
      <c r="B2506" s="18">
        <v>2023</v>
      </c>
      <c r="C2506" s="18" t="s">
        <v>709</v>
      </c>
      <c r="D2506" s="18" t="s">
        <v>1339</v>
      </c>
      <c r="E2506" s="18" t="s">
        <v>56</v>
      </c>
      <c r="F2506" s="18" t="s">
        <v>672</v>
      </c>
      <c r="G2506" s="18" t="s">
        <v>674</v>
      </c>
      <c r="H2506" s="18" t="s">
        <v>770</v>
      </c>
      <c r="I2506" s="315">
        <v>22.091897835219317</v>
      </c>
      <c r="J2506" s="315">
        <v>1.6313214421003798E-3</v>
      </c>
      <c r="K2506" s="316" t="str">
        <f t="shared" si="48"/>
        <v>Construction and Mining Equipment</v>
      </c>
      <c r="L2506" s="316" t="str">
        <f t="shared" si="49"/>
        <v>LPG</v>
      </c>
      <c r="M2506" s="8"/>
      <c r="N2506" s="2"/>
      <c r="O2506" s="2"/>
      <c r="P2506" s="2"/>
      <c r="Q2506" s="2"/>
      <c r="R2506" s="2"/>
      <c r="S2506" s="2"/>
      <c r="T2506" s="2"/>
      <c r="U2506" s="2"/>
      <c r="V2506" s="2"/>
      <c r="W2506" s="2"/>
      <c r="X2506" s="2"/>
      <c r="Y2506" s="2"/>
      <c r="Z2506" s="2"/>
    </row>
    <row r="2507" spans="1:26" ht="12.75" x14ac:dyDescent="0.2">
      <c r="A2507" s="230"/>
      <c r="B2507" s="18">
        <v>2023</v>
      </c>
      <c r="C2507" s="18" t="s">
        <v>773</v>
      </c>
      <c r="D2507" s="18" t="s">
        <v>1014</v>
      </c>
      <c r="E2507" s="18" t="s">
        <v>713</v>
      </c>
      <c r="F2507" s="18" t="s">
        <v>714</v>
      </c>
      <c r="G2507" s="18" t="s">
        <v>674</v>
      </c>
      <c r="H2507" s="18" t="s">
        <v>994</v>
      </c>
      <c r="I2507" s="315">
        <v>21.895723609810862</v>
      </c>
      <c r="J2507" s="315">
        <v>2.8521588470077066E-4</v>
      </c>
      <c r="K2507" s="316" t="str">
        <f t="shared" si="48"/>
        <v>Construction and Mining Equipment</v>
      </c>
      <c r="L2507" s="316" t="str">
        <f t="shared" si="49"/>
        <v>Diesel</v>
      </c>
      <c r="M2507" s="8"/>
      <c r="N2507" s="2"/>
      <c r="O2507" s="2"/>
      <c r="P2507" s="2"/>
      <c r="Q2507" s="2"/>
      <c r="R2507" s="2"/>
      <c r="S2507" s="2"/>
      <c r="T2507" s="2"/>
      <c r="U2507" s="2"/>
      <c r="V2507" s="2"/>
      <c r="W2507" s="2"/>
      <c r="X2507" s="2"/>
      <c r="Y2507" s="2"/>
      <c r="Z2507" s="2"/>
    </row>
    <row r="2508" spans="1:26" ht="12.75" x14ac:dyDescent="0.2">
      <c r="A2508" s="230"/>
      <c r="B2508" s="18">
        <v>2023</v>
      </c>
      <c r="C2508" s="18" t="s">
        <v>731</v>
      </c>
      <c r="D2508" s="18" t="s">
        <v>984</v>
      </c>
      <c r="E2508" s="18" t="s">
        <v>703</v>
      </c>
      <c r="F2508" s="18" t="s">
        <v>704</v>
      </c>
      <c r="G2508" s="18" t="s">
        <v>673</v>
      </c>
      <c r="H2508" s="18" t="s">
        <v>985</v>
      </c>
      <c r="I2508" s="315">
        <v>21.85934267540976</v>
      </c>
      <c r="J2508" s="315">
        <v>1.4810211605066027E-2</v>
      </c>
      <c r="K2508" s="316" t="str">
        <f t="shared" si="48"/>
        <v>Lawn and Garden Equipment</v>
      </c>
      <c r="L2508" s="316" t="str">
        <f t="shared" si="49"/>
        <v>Gasoline</v>
      </c>
      <c r="M2508" s="8"/>
      <c r="N2508" s="2"/>
      <c r="O2508" s="2"/>
      <c r="P2508" s="2"/>
      <c r="Q2508" s="2"/>
      <c r="R2508" s="2"/>
      <c r="S2508" s="2"/>
      <c r="T2508" s="2"/>
      <c r="U2508" s="2"/>
      <c r="V2508" s="2"/>
      <c r="W2508" s="2"/>
      <c r="X2508" s="2"/>
      <c r="Y2508" s="2"/>
      <c r="Z2508" s="2"/>
    </row>
    <row r="2509" spans="1:26" ht="12.75" x14ac:dyDescent="0.2">
      <c r="A2509" s="230"/>
      <c r="B2509" s="18">
        <v>2023</v>
      </c>
      <c r="C2509" s="18" t="s">
        <v>778</v>
      </c>
      <c r="D2509" s="18" t="s">
        <v>1083</v>
      </c>
      <c r="E2509" s="18" t="s">
        <v>703</v>
      </c>
      <c r="F2509" s="18" t="s">
        <v>704</v>
      </c>
      <c r="G2509" s="18" t="s">
        <v>674</v>
      </c>
      <c r="H2509" s="18" t="s">
        <v>861</v>
      </c>
      <c r="I2509" s="315">
        <v>21.854998128519963</v>
      </c>
      <c r="J2509" s="315">
        <v>1.6401199430402282E-2</v>
      </c>
      <c r="K2509" s="316" t="str">
        <f t="shared" si="48"/>
        <v>Construction and Mining Equipment</v>
      </c>
      <c r="L2509" s="316" t="str">
        <f t="shared" si="49"/>
        <v>Gasoline</v>
      </c>
      <c r="M2509" s="8"/>
      <c r="N2509" s="2"/>
      <c r="O2509" s="2"/>
      <c r="P2509" s="2"/>
      <c r="Q2509" s="2"/>
      <c r="R2509" s="2"/>
      <c r="S2509" s="2"/>
      <c r="T2509" s="2"/>
      <c r="U2509" s="2"/>
      <c r="V2509" s="2"/>
      <c r="W2509" s="2"/>
      <c r="X2509" s="2"/>
      <c r="Y2509" s="2"/>
      <c r="Z2509" s="2"/>
    </row>
    <row r="2510" spans="1:26" ht="12.75" x14ac:dyDescent="0.2">
      <c r="A2510" s="230"/>
      <c r="B2510" s="18">
        <v>2023</v>
      </c>
      <c r="C2510" s="18" t="s">
        <v>773</v>
      </c>
      <c r="D2510" s="18" t="s">
        <v>1229</v>
      </c>
      <c r="E2510" s="18" t="s">
        <v>713</v>
      </c>
      <c r="F2510" s="18" t="s">
        <v>714</v>
      </c>
      <c r="G2510" s="18" t="s">
        <v>678</v>
      </c>
      <c r="H2510" s="18" t="s">
        <v>1230</v>
      </c>
      <c r="I2510" s="315">
        <v>21.807949731419921</v>
      </c>
      <c r="J2510" s="315">
        <v>1.6443724935552855E-4</v>
      </c>
      <c r="K2510" s="316" t="str">
        <f t="shared" si="48"/>
        <v>Agricultural Equipment</v>
      </c>
      <c r="L2510" s="316" t="str">
        <f t="shared" si="49"/>
        <v>Diesel</v>
      </c>
      <c r="M2510" s="8"/>
      <c r="N2510" s="2"/>
      <c r="O2510" s="2"/>
      <c r="P2510" s="2"/>
      <c r="Q2510" s="2"/>
      <c r="R2510" s="2"/>
      <c r="S2510" s="2"/>
      <c r="T2510" s="2"/>
      <c r="U2510" s="2"/>
      <c r="V2510" s="2"/>
      <c r="W2510" s="2"/>
      <c r="X2510" s="2"/>
      <c r="Y2510" s="2"/>
      <c r="Z2510" s="2"/>
    </row>
    <row r="2511" spans="1:26" x14ac:dyDescent="0.25">
      <c r="A2511" s="314"/>
      <c r="B2511" s="18">
        <v>2023</v>
      </c>
      <c r="C2511" s="18" t="s">
        <v>787</v>
      </c>
      <c r="D2511" s="18" t="s">
        <v>894</v>
      </c>
      <c r="E2511" s="18" t="s">
        <v>713</v>
      </c>
      <c r="F2511" s="18" t="s">
        <v>714</v>
      </c>
      <c r="G2511" s="18" t="s">
        <v>681</v>
      </c>
      <c r="H2511" s="18" t="s">
        <v>895</v>
      </c>
      <c r="I2511" s="315">
        <v>21.750987083953817</v>
      </c>
      <c r="J2511" s="315">
        <v>4.2652884454215952E-5</v>
      </c>
      <c r="K2511" s="316" t="str">
        <f t="shared" si="48"/>
        <v>Logging Equipment</v>
      </c>
      <c r="L2511" s="316" t="str">
        <f t="shared" si="49"/>
        <v>Diesel</v>
      </c>
      <c r="M2511" s="194"/>
      <c r="N2511" s="317"/>
      <c r="O2511" s="317"/>
      <c r="P2511" s="317"/>
      <c r="Q2511" s="317"/>
      <c r="R2511" s="317"/>
      <c r="S2511" s="317"/>
      <c r="T2511" s="317"/>
      <c r="U2511" s="317"/>
      <c r="V2511" s="317"/>
      <c r="W2511" s="317"/>
      <c r="X2511" s="317"/>
      <c r="Y2511" s="317"/>
      <c r="Z2511" s="317"/>
    </row>
    <row r="2512" spans="1:26" x14ac:dyDescent="0.25">
      <c r="A2512" s="314"/>
      <c r="B2512" s="18">
        <v>2023</v>
      </c>
      <c r="C2512" s="18" t="s">
        <v>743</v>
      </c>
      <c r="D2512" s="18" t="s">
        <v>1076</v>
      </c>
      <c r="E2512" s="18" t="s">
        <v>703</v>
      </c>
      <c r="F2512" s="18" t="s">
        <v>704</v>
      </c>
      <c r="G2512" s="18" t="s">
        <v>674</v>
      </c>
      <c r="H2512" s="18" t="s">
        <v>756</v>
      </c>
      <c r="I2512" s="315">
        <v>21.74700271513192</v>
      </c>
      <c r="J2512" s="315">
        <v>9.591502450780387E-3</v>
      </c>
      <c r="K2512" s="316" t="str">
        <f t="shared" si="48"/>
        <v>Construction and Mining Equipment</v>
      </c>
      <c r="L2512" s="316" t="str">
        <f t="shared" si="49"/>
        <v>Gasoline</v>
      </c>
      <c r="M2512" s="194"/>
      <c r="N2512" s="317"/>
      <c r="O2512" s="317"/>
      <c r="P2512" s="317"/>
      <c r="Q2512" s="317"/>
      <c r="R2512" s="317"/>
      <c r="S2512" s="317"/>
      <c r="T2512" s="317"/>
      <c r="U2512" s="317"/>
      <c r="V2512" s="317"/>
      <c r="W2512" s="317"/>
      <c r="X2512" s="317"/>
      <c r="Y2512" s="317"/>
      <c r="Z2512" s="317"/>
    </row>
    <row r="2513" spans="1:26" x14ac:dyDescent="0.25">
      <c r="A2513" s="314"/>
      <c r="B2513" s="18">
        <v>2023</v>
      </c>
      <c r="C2513" s="18" t="s">
        <v>732</v>
      </c>
      <c r="D2513" s="18" t="s">
        <v>1158</v>
      </c>
      <c r="E2513" s="18" t="s">
        <v>703</v>
      </c>
      <c r="F2513" s="18" t="s">
        <v>704</v>
      </c>
      <c r="G2513" s="18" t="s">
        <v>674</v>
      </c>
      <c r="H2513" s="18" t="s">
        <v>715</v>
      </c>
      <c r="I2513" s="315">
        <v>21.637402134097712</v>
      </c>
      <c r="J2513" s="315">
        <v>1.5052485488479582E-3</v>
      </c>
      <c r="K2513" s="316" t="str">
        <f t="shared" si="48"/>
        <v>Construction and Mining Equipment</v>
      </c>
      <c r="L2513" s="316" t="str">
        <f t="shared" si="49"/>
        <v>Gasoline</v>
      </c>
      <c r="M2513" s="194"/>
      <c r="N2513" s="317"/>
      <c r="O2513" s="317"/>
      <c r="P2513" s="317"/>
      <c r="Q2513" s="317"/>
      <c r="R2513" s="317"/>
      <c r="S2513" s="317"/>
      <c r="T2513" s="317"/>
      <c r="U2513" s="317"/>
      <c r="V2513" s="317"/>
      <c r="W2513" s="317"/>
      <c r="X2513" s="317"/>
      <c r="Y2513" s="317"/>
      <c r="Z2513" s="317"/>
    </row>
    <row r="2514" spans="1:26" x14ac:dyDescent="0.25">
      <c r="A2514" s="314"/>
      <c r="B2514" s="18">
        <v>2023</v>
      </c>
      <c r="C2514" s="18" t="s">
        <v>753</v>
      </c>
      <c r="D2514" s="18" t="s">
        <v>1003</v>
      </c>
      <c r="E2514" s="18" t="s">
        <v>703</v>
      </c>
      <c r="F2514" s="18" t="s">
        <v>805</v>
      </c>
      <c r="G2514" s="18" t="s">
        <v>677</v>
      </c>
      <c r="H2514" s="18" t="s">
        <v>841</v>
      </c>
      <c r="I2514" s="315">
        <v>21.624226588070695</v>
      </c>
      <c r="J2514" s="315">
        <v>4.1666330048843472E-2</v>
      </c>
      <c r="K2514" s="316" t="str">
        <f t="shared" si="48"/>
        <v>Commercial Equipment</v>
      </c>
      <c r="L2514" s="316" t="str">
        <f t="shared" si="49"/>
        <v>Gasoline</v>
      </c>
      <c r="M2514" s="194"/>
      <c r="N2514" s="317"/>
      <c r="O2514" s="317"/>
      <c r="P2514" s="317"/>
      <c r="Q2514" s="317"/>
      <c r="R2514" s="317"/>
      <c r="S2514" s="317"/>
      <c r="T2514" s="317"/>
      <c r="U2514" s="317"/>
      <c r="V2514" s="317"/>
      <c r="W2514" s="317"/>
      <c r="X2514" s="317"/>
      <c r="Y2514" s="317"/>
      <c r="Z2514" s="317"/>
    </row>
    <row r="2515" spans="1:26" x14ac:dyDescent="0.25">
      <c r="A2515" s="314"/>
      <c r="B2515" s="18">
        <v>2023</v>
      </c>
      <c r="C2515" s="18" t="s">
        <v>787</v>
      </c>
      <c r="D2515" s="18" t="s">
        <v>1051</v>
      </c>
      <c r="E2515" s="18" t="s">
        <v>703</v>
      </c>
      <c r="F2515" s="18" t="s">
        <v>704</v>
      </c>
      <c r="G2515" s="18" t="s">
        <v>674</v>
      </c>
      <c r="H2515" s="18" t="s">
        <v>783</v>
      </c>
      <c r="I2515" s="315">
        <v>21.61094909762399</v>
      </c>
      <c r="J2515" s="315">
        <v>1.3200603065888774E-2</v>
      </c>
      <c r="K2515" s="316" t="str">
        <f t="shared" si="48"/>
        <v>Construction and Mining Equipment</v>
      </c>
      <c r="L2515" s="316" t="str">
        <f t="shared" si="49"/>
        <v>Gasoline</v>
      </c>
      <c r="M2515" s="194"/>
      <c r="N2515" s="317"/>
      <c r="O2515" s="317"/>
      <c r="P2515" s="317"/>
      <c r="Q2515" s="317"/>
      <c r="R2515" s="317"/>
      <c r="S2515" s="317"/>
      <c r="T2515" s="317"/>
      <c r="U2515" s="317"/>
      <c r="V2515" s="317"/>
      <c r="W2515" s="317"/>
      <c r="X2515" s="317"/>
      <c r="Y2515" s="317"/>
      <c r="Z2515" s="317"/>
    </row>
    <row r="2516" spans="1:26" x14ac:dyDescent="0.25">
      <c r="A2516" s="314"/>
      <c r="B2516" s="18">
        <v>2023</v>
      </c>
      <c r="C2516" s="18" t="s">
        <v>750</v>
      </c>
      <c r="D2516" s="18" t="s">
        <v>1035</v>
      </c>
      <c r="E2516" s="18" t="s">
        <v>703</v>
      </c>
      <c r="F2516" s="18" t="s">
        <v>704</v>
      </c>
      <c r="G2516" s="18" t="s">
        <v>674</v>
      </c>
      <c r="H2516" s="18" t="s">
        <v>1036</v>
      </c>
      <c r="I2516" s="315">
        <v>21.463072625080056</v>
      </c>
      <c r="J2516" s="315">
        <v>1.5129646529129034E-2</v>
      </c>
      <c r="K2516" s="316" t="str">
        <f t="shared" si="48"/>
        <v>Construction and Mining Equipment</v>
      </c>
      <c r="L2516" s="316" t="str">
        <f t="shared" si="49"/>
        <v>Gasoline</v>
      </c>
      <c r="M2516" s="194"/>
      <c r="N2516" s="317"/>
      <c r="O2516" s="317"/>
      <c r="P2516" s="317"/>
      <c r="Q2516" s="317"/>
      <c r="R2516" s="317"/>
      <c r="S2516" s="317"/>
      <c r="T2516" s="317"/>
      <c r="U2516" s="317"/>
      <c r="V2516" s="317"/>
      <c r="W2516" s="317"/>
      <c r="X2516" s="317"/>
      <c r="Y2516" s="317"/>
      <c r="Z2516" s="317"/>
    </row>
    <row r="2517" spans="1:26" x14ac:dyDescent="0.25">
      <c r="A2517" s="314"/>
      <c r="B2517" s="18">
        <v>2023</v>
      </c>
      <c r="C2517" s="18" t="s">
        <v>754</v>
      </c>
      <c r="D2517" s="18" t="s">
        <v>1077</v>
      </c>
      <c r="E2517" s="18" t="s">
        <v>713</v>
      </c>
      <c r="F2517" s="18" t="s">
        <v>714</v>
      </c>
      <c r="G2517" s="18" t="s">
        <v>675</v>
      </c>
      <c r="H2517" s="18" t="s">
        <v>1078</v>
      </c>
      <c r="I2517" s="315">
        <v>21.414840235831541</v>
      </c>
      <c r="J2517" s="315">
        <v>5.4306373758013487E-4</v>
      </c>
      <c r="K2517" s="316" t="str">
        <f t="shared" si="48"/>
        <v>Industrial Equipment</v>
      </c>
      <c r="L2517" s="316" t="str">
        <f t="shared" si="49"/>
        <v>Diesel</v>
      </c>
      <c r="M2517" s="194"/>
      <c r="N2517" s="317"/>
      <c r="O2517" s="317"/>
      <c r="P2517" s="317"/>
      <c r="Q2517" s="317"/>
      <c r="R2517" s="317"/>
      <c r="S2517" s="317"/>
      <c r="T2517" s="317"/>
      <c r="U2517" s="317"/>
      <c r="V2517" s="317"/>
      <c r="W2517" s="317"/>
      <c r="X2517" s="317"/>
      <c r="Y2517" s="317"/>
      <c r="Z2517" s="317"/>
    </row>
    <row r="2518" spans="1:26" x14ac:dyDescent="0.25">
      <c r="A2518" s="314"/>
      <c r="B2518" s="18">
        <v>2023</v>
      </c>
      <c r="C2518" s="18" t="s">
        <v>753</v>
      </c>
      <c r="D2518" s="18" t="s">
        <v>993</v>
      </c>
      <c r="E2518" s="18" t="s">
        <v>703</v>
      </c>
      <c r="F2518" s="18" t="s">
        <v>704</v>
      </c>
      <c r="G2518" s="18" t="s">
        <v>674</v>
      </c>
      <c r="H2518" s="18" t="s">
        <v>994</v>
      </c>
      <c r="I2518" s="315">
        <v>21.413945875980012</v>
      </c>
      <c r="J2518" s="315">
        <v>1.4254495010615613E-2</v>
      </c>
      <c r="K2518" s="316" t="str">
        <f t="shared" si="48"/>
        <v>Construction and Mining Equipment</v>
      </c>
      <c r="L2518" s="316" t="str">
        <f t="shared" si="49"/>
        <v>Gasoline</v>
      </c>
      <c r="M2518" s="194"/>
      <c r="N2518" s="317"/>
      <c r="O2518" s="317"/>
      <c r="P2518" s="317"/>
      <c r="Q2518" s="317"/>
      <c r="R2518" s="317"/>
      <c r="S2518" s="317"/>
      <c r="T2518" s="317"/>
      <c r="U2518" s="317"/>
      <c r="V2518" s="317"/>
      <c r="W2518" s="317"/>
      <c r="X2518" s="317"/>
      <c r="Y2518" s="317"/>
      <c r="Z2518" s="317"/>
    </row>
    <row r="2519" spans="1:26" x14ac:dyDescent="0.25">
      <c r="A2519" s="314"/>
      <c r="B2519" s="18">
        <v>2023</v>
      </c>
      <c r="C2519" s="18" t="s">
        <v>786</v>
      </c>
      <c r="D2519" s="18" t="s">
        <v>970</v>
      </c>
      <c r="E2519" s="18" t="s">
        <v>713</v>
      </c>
      <c r="F2519" s="18" t="s">
        <v>714</v>
      </c>
      <c r="G2519" s="18" t="s">
        <v>675</v>
      </c>
      <c r="H2519" s="18" t="s">
        <v>969</v>
      </c>
      <c r="I2519" s="315">
        <v>21.37309255671838</v>
      </c>
      <c r="J2519" s="315">
        <v>6.9443143158853229E-4</v>
      </c>
      <c r="K2519" s="316" t="str">
        <f t="shared" si="48"/>
        <v>Industrial Equipment</v>
      </c>
      <c r="L2519" s="316" t="str">
        <f t="shared" si="49"/>
        <v>Diesel</v>
      </c>
      <c r="M2519" s="194"/>
      <c r="N2519" s="317"/>
      <c r="O2519" s="317"/>
      <c r="P2519" s="317"/>
      <c r="Q2519" s="317"/>
      <c r="R2519" s="317"/>
      <c r="S2519" s="317"/>
      <c r="T2519" s="317"/>
      <c r="U2519" s="317"/>
      <c r="V2519" s="317"/>
      <c r="W2519" s="317"/>
      <c r="X2519" s="317"/>
      <c r="Y2519" s="317"/>
      <c r="Z2519" s="317"/>
    </row>
    <row r="2520" spans="1:26" x14ac:dyDescent="0.25">
      <c r="A2520" s="314"/>
      <c r="B2520" s="18">
        <v>2023</v>
      </c>
      <c r="C2520" s="18" t="s">
        <v>778</v>
      </c>
      <c r="D2520" s="18" t="s">
        <v>1015</v>
      </c>
      <c r="E2520" s="18" t="s">
        <v>56</v>
      </c>
      <c r="F2520" s="18" t="s">
        <v>601</v>
      </c>
      <c r="G2520" s="18" t="s">
        <v>677</v>
      </c>
      <c r="H2520" s="18" t="s">
        <v>747</v>
      </c>
      <c r="I2520" s="315">
        <v>21.336728163445795</v>
      </c>
      <c r="J2520" s="315">
        <v>0.4773531823783137</v>
      </c>
      <c r="K2520" s="316" t="str">
        <f t="shared" si="48"/>
        <v>Commercial Equipment</v>
      </c>
      <c r="L2520" s="316" t="str">
        <f t="shared" si="49"/>
        <v>CNG</v>
      </c>
      <c r="M2520" s="194"/>
      <c r="N2520" s="317"/>
      <c r="O2520" s="317"/>
      <c r="P2520" s="317"/>
      <c r="Q2520" s="317"/>
      <c r="R2520" s="317"/>
      <c r="S2520" s="317"/>
      <c r="T2520" s="317"/>
      <c r="U2520" s="317"/>
      <c r="V2520" s="317"/>
      <c r="W2520" s="317"/>
      <c r="X2520" s="317"/>
      <c r="Y2520" s="317"/>
      <c r="Z2520" s="317"/>
    </row>
    <row r="2521" spans="1:26" x14ac:dyDescent="0.25">
      <c r="A2521" s="314"/>
      <c r="B2521" s="18">
        <v>2023</v>
      </c>
      <c r="C2521" s="18" t="s">
        <v>762</v>
      </c>
      <c r="D2521" s="18" t="s">
        <v>989</v>
      </c>
      <c r="E2521" s="18" t="s">
        <v>703</v>
      </c>
      <c r="F2521" s="18" t="s">
        <v>795</v>
      </c>
      <c r="G2521" s="18" t="s">
        <v>673</v>
      </c>
      <c r="H2521" s="18" t="s">
        <v>990</v>
      </c>
      <c r="I2521" s="315">
        <v>21.329028867717177</v>
      </c>
      <c r="J2521" s="315">
        <v>4.1058854327004339E-2</v>
      </c>
      <c r="K2521" s="316" t="str">
        <f t="shared" si="48"/>
        <v>Lawn and Garden Equipment</v>
      </c>
      <c r="L2521" s="316" t="str">
        <f t="shared" si="49"/>
        <v>Gasoline</v>
      </c>
      <c r="M2521" s="194"/>
      <c r="N2521" s="317"/>
      <c r="O2521" s="317"/>
      <c r="P2521" s="317"/>
      <c r="Q2521" s="317"/>
      <c r="R2521" s="317"/>
      <c r="S2521" s="317"/>
      <c r="T2521" s="317"/>
      <c r="U2521" s="317"/>
      <c r="V2521" s="317"/>
      <c r="W2521" s="317"/>
      <c r="X2521" s="317"/>
      <c r="Y2521" s="317"/>
      <c r="Z2521" s="317"/>
    </row>
    <row r="2522" spans="1:26" x14ac:dyDescent="0.25">
      <c r="A2522" s="314"/>
      <c r="B2522" s="18">
        <v>2023</v>
      </c>
      <c r="C2522" s="18" t="s">
        <v>731</v>
      </c>
      <c r="D2522" s="18" t="s">
        <v>1022</v>
      </c>
      <c r="E2522" s="18" t="s">
        <v>703</v>
      </c>
      <c r="F2522" s="18" t="s">
        <v>704</v>
      </c>
      <c r="G2522" s="18" t="s">
        <v>675</v>
      </c>
      <c r="H2522" s="18" t="s">
        <v>772</v>
      </c>
      <c r="I2522" s="315">
        <v>21.168874709697359</v>
      </c>
      <c r="J2522" s="315">
        <v>1.4886965606949088E-3</v>
      </c>
      <c r="K2522" s="316" t="str">
        <f t="shared" si="48"/>
        <v>Industrial Equipment</v>
      </c>
      <c r="L2522" s="316" t="str">
        <f t="shared" si="49"/>
        <v>Gasoline</v>
      </c>
      <c r="M2522" s="194"/>
      <c r="N2522" s="317"/>
      <c r="O2522" s="317"/>
      <c r="P2522" s="317"/>
      <c r="Q2522" s="317"/>
      <c r="R2522" s="317"/>
      <c r="S2522" s="317"/>
      <c r="T2522" s="317"/>
      <c r="U2522" s="317"/>
      <c r="V2522" s="317"/>
      <c r="W2522" s="317"/>
      <c r="X2522" s="317"/>
      <c r="Y2522" s="317"/>
      <c r="Z2522" s="317"/>
    </row>
    <row r="2523" spans="1:26" x14ac:dyDescent="0.25">
      <c r="A2523" s="314"/>
      <c r="B2523" s="18">
        <v>2023</v>
      </c>
      <c r="C2523" s="18" t="s">
        <v>711</v>
      </c>
      <c r="D2523" s="18" t="s">
        <v>1292</v>
      </c>
      <c r="E2523" s="18" t="s">
        <v>703</v>
      </c>
      <c r="F2523" s="18" t="s">
        <v>795</v>
      </c>
      <c r="G2523" s="18" t="s">
        <v>675</v>
      </c>
      <c r="H2523" s="18" t="s">
        <v>1293</v>
      </c>
      <c r="I2523" s="315">
        <v>21.136038662071467</v>
      </c>
      <c r="J2523" s="315">
        <v>1.4168210489365219E-2</v>
      </c>
      <c r="K2523" s="316" t="str">
        <f t="shared" si="48"/>
        <v>Industrial Equipment</v>
      </c>
      <c r="L2523" s="316" t="str">
        <f t="shared" si="49"/>
        <v>Gasoline</v>
      </c>
      <c r="M2523" s="194"/>
      <c r="N2523" s="317"/>
      <c r="O2523" s="317"/>
      <c r="P2523" s="317"/>
      <c r="Q2523" s="317"/>
      <c r="R2523" s="317"/>
      <c r="S2523" s="317"/>
      <c r="T2523" s="317"/>
      <c r="U2523" s="317"/>
      <c r="V2523" s="317"/>
      <c r="W2523" s="317"/>
      <c r="X2523" s="317"/>
      <c r="Y2523" s="317"/>
      <c r="Z2523" s="317"/>
    </row>
    <row r="2524" spans="1:26" x14ac:dyDescent="0.25">
      <c r="A2524" s="314"/>
      <c r="B2524" s="18">
        <v>2023</v>
      </c>
      <c r="C2524" s="18" t="s">
        <v>762</v>
      </c>
      <c r="D2524" s="18" t="s">
        <v>970</v>
      </c>
      <c r="E2524" s="18" t="s">
        <v>713</v>
      </c>
      <c r="F2524" s="18" t="s">
        <v>714</v>
      </c>
      <c r="G2524" s="18" t="s">
        <v>675</v>
      </c>
      <c r="H2524" s="18" t="s">
        <v>969</v>
      </c>
      <c r="I2524" s="315">
        <v>21.117061277001444</v>
      </c>
      <c r="J2524" s="315">
        <v>6.8611238925169609E-4</v>
      </c>
      <c r="K2524" s="316" t="str">
        <f t="shared" si="48"/>
        <v>Industrial Equipment</v>
      </c>
      <c r="L2524" s="316" t="str">
        <f t="shared" si="49"/>
        <v>Diesel</v>
      </c>
      <c r="M2524" s="194"/>
      <c r="N2524" s="317"/>
      <c r="O2524" s="317"/>
      <c r="P2524" s="317"/>
      <c r="Q2524" s="317"/>
      <c r="R2524" s="317"/>
      <c r="S2524" s="317"/>
      <c r="T2524" s="317"/>
      <c r="U2524" s="317"/>
      <c r="V2524" s="317"/>
      <c r="W2524" s="317"/>
      <c r="X2524" s="317"/>
      <c r="Y2524" s="317"/>
      <c r="Z2524" s="317"/>
    </row>
    <row r="2525" spans="1:26" x14ac:dyDescent="0.25">
      <c r="A2525" s="314"/>
      <c r="B2525" s="18">
        <v>2023</v>
      </c>
      <c r="C2525" s="18" t="s">
        <v>792</v>
      </c>
      <c r="D2525" s="18" t="s">
        <v>1003</v>
      </c>
      <c r="E2525" s="18" t="s">
        <v>703</v>
      </c>
      <c r="F2525" s="18" t="s">
        <v>805</v>
      </c>
      <c r="G2525" s="18" t="s">
        <v>677</v>
      </c>
      <c r="H2525" s="18" t="s">
        <v>841</v>
      </c>
      <c r="I2525" s="315">
        <v>20.978738472000753</v>
      </c>
      <c r="J2525" s="315">
        <v>4.0422497042986831E-2</v>
      </c>
      <c r="K2525" s="316" t="str">
        <f t="shared" si="48"/>
        <v>Commercial Equipment</v>
      </c>
      <c r="L2525" s="316" t="str">
        <f t="shared" si="49"/>
        <v>Gasoline</v>
      </c>
      <c r="M2525" s="194"/>
      <c r="N2525" s="317"/>
      <c r="O2525" s="317"/>
      <c r="P2525" s="317"/>
      <c r="Q2525" s="317"/>
      <c r="R2525" s="317"/>
      <c r="S2525" s="317"/>
      <c r="T2525" s="317"/>
      <c r="U2525" s="317"/>
      <c r="V2525" s="317"/>
      <c r="W2525" s="317"/>
      <c r="X2525" s="317"/>
      <c r="Y2525" s="317"/>
      <c r="Z2525" s="317"/>
    </row>
    <row r="2526" spans="1:26" x14ac:dyDescent="0.25">
      <c r="A2526" s="314"/>
      <c r="B2526" s="18">
        <v>2023</v>
      </c>
      <c r="C2526" s="18" t="s">
        <v>722</v>
      </c>
      <c r="D2526" s="18" t="s">
        <v>1084</v>
      </c>
      <c r="E2526" s="18" t="s">
        <v>703</v>
      </c>
      <c r="F2526" s="18" t="s">
        <v>704</v>
      </c>
      <c r="G2526" s="18" t="s">
        <v>674</v>
      </c>
      <c r="H2526" s="18" t="s">
        <v>863</v>
      </c>
      <c r="I2526" s="315">
        <v>20.970493846504183</v>
      </c>
      <c r="J2526" s="315">
        <v>1.2276385385265031E-2</v>
      </c>
      <c r="K2526" s="316" t="str">
        <f t="shared" si="48"/>
        <v>Construction and Mining Equipment</v>
      </c>
      <c r="L2526" s="316" t="str">
        <f t="shared" si="49"/>
        <v>Gasoline</v>
      </c>
      <c r="M2526" s="194"/>
      <c r="N2526" s="317"/>
      <c r="O2526" s="317"/>
      <c r="P2526" s="317"/>
      <c r="Q2526" s="317"/>
      <c r="R2526" s="317"/>
      <c r="S2526" s="317"/>
      <c r="T2526" s="317"/>
      <c r="U2526" s="317"/>
      <c r="V2526" s="317"/>
      <c r="W2526" s="317"/>
      <c r="X2526" s="317"/>
      <c r="Y2526" s="317"/>
      <c r="Z2526" s="317"/>
    </row>
    <row r="2527" spans="1:26" x14ac:dyDescent="0.25">
      <c r="A2527" s="314"/>
      <c r="B2527" s="18">
        <v>2023</v>
      </c>
      <c r="C2527" s="18" t="s">
        <v>711</v>
      </c>
      <c r="D2527" s="18" t="s">
        <v>1227</v>
      </c>
      <c r="E2527" s="18" t="s">
        <v>56</v>
      </c>
      <c r="F2527" s="18" t="s">
        <v>672</v>
      </c>
      <c r="G2527" s="18" t="s">
        <v>674</v>
      </c>
      <c r="H2527" s="18" t="s">
        <v>850</v>
      </c>
      <c r="I2527" s="315">
        <v>20.953958025011119</v>
      </c>
      <c r="J2527" s="315">
        <v>1.3455795135140407E-3</v>
      </c>
      <c r="K2527" s="316" t="str">
        <f t="shared" si="48"/>
        <v>Construction and Mining Equipment</v>
      </c>
      <c r="L2527" s="316" t="str">
        <f t="shared" si="49"/>
        <v>LPG</v>
      </c>
      <c r="M2527" s="194"/>
      <c r="N2527" s="317"/>
      <c r="O2527" s="317"/>
      <c r="P2527" s="317"/>
      <c r="Q2527" s="317"/>
      <c r="R2527" s="317"/>
      <c r="S2527" s="317"/>
      <c r="T2527" s="317"/>
      <c r="U2527" s="317"/>
      <c r="V2527" s="317"/>
      <c r="W2527" s="317"/>
      <c r="X2527" s="317"/>
      <c r="Y2527" s="317"/>
      <c r="Z2527" s="317"/>
    </row>
    <row r="2528" spans="1:26" x14ac:dyDescent="0.25">
      <c r="A2528" s="314"/>
      <c r="B2528" s="18">
        <v>2023</v>
      </c>
      <c r="C2528" s="18" t="s">
        <v>711</v>
      </c>
      <c r="D2528" s="18" t="s">
        <v>1224</v>
      </c>
      <c r="E2528" s="18" t="s">
        <v>703</v>
      </c>
      <c r="F2528" s="18" t="s">
        <v>704</v>
      </c>
      <c r="G2528" s="18" t="s">
        <v>681</v>
      </c>
      <c r="H2528" s="18" t="s">
        <v>1225</v>
      </c>
      <c r="I2528" s="315">
        <v>20.92146676830675</v>
      </c>
      <c r="J2528" s="315">
        <v>1.4173578292236253E-2</v>
      </c>
      <c r="K2528" s="316" t="str">
        <f t="shared" si="48"/>
        <v>Logging Equipment</v>
      </c>
      <c r="L2528" s="316" t="str">
        <f t="shared" si="49"/>
        <v>Gasoline</v>
      </c>
      <c r="M2528" s="194"/>
      <c r="N2528" s="317"/>
      <c r="O2528" s="317"/>
      <c r="P2528" s="317"/>
      <c r="Q2528" s="317"/>
      <c r="R2528" s="317"/>
      <c r="S2528" s="317"/>
      <c r="T2528" s="317"/>
      <c r="U2528" s="317"/>
      <c r="V2528" s="317"/>
      <c r="W2528" s="317"/>
      <c r="X2528" s="317"/>
      <c r="Y2528" s="317"/>
      <c r="Z2528" s="317"/>
    </row>
    <row r="2529" spans="1:26" x14ac:dyDescent="0.25">
      <c r="A2529" s="314"/>
      <c r="B2529" s="18">
        <v>2023</v>
      </c>
      <c r="C2529" s="18" t="s">
        <v>793</v>
      </c>
      <c r="D2529" s="18" t="s">
        <v>962</v>
      </c>
      <c r="E2529" s="18" t="s">
        <v>703</v>
      </c>
      <c r="F2529" s="18" t="s">
        <v>704</v>
      </c>
      <c r="G2529" s="18" t="s">
        <v>673</v>
      </c>
      <c r="H2529" s="18" t="s">
        <v>963</v>
      </c>
      <c r="I2529" s="315">
        <v>20.825307072765092</v>
      </c>
      <c r="J2529" s="315">
        <v>1.4343606759653618E-2</v>
      </c>
      <c r="K2529" s="316" t="str">
        <f t="shared" si="48"/>
        <v>Lawn and Garden Equipment</v>
      </c>
      <c r="L2529" s="316" t="str">
        <f t="shared" si="49"/>
        <v>Gasoline</v>
      </c>
      <c r="M2529" s="194"/>
      <c r="N2529" s="317"/>
      <c r="O2529" s="317"/>
      <c r="P2529" s="317"/>
      <c r="Q2529" s="317"/>
      <c r="R2529" s="317"/>
      <c r="S2529" s="317"/>
      <c r="T2529" s="317"/>
      <c r="U2529" s="317"/>
      <c r="V2529" s="317"/>
      <c r="W2529" s="317"/>
      <c r="X2529" s="317"/>
      <c r="Y2529" s="317"/>
      <c r="Z2529" s="317"/>
    </row>
    <row r="2530" spans="1:26" x14ac:dyDescent="0.25">
      <c r="A2530" s="314"/>
      <c r="B2530" s="18">
        <v>2023</v>
      </c>
      <c r="C2530" s="18" t="s">
        <v>810</v>
      </c>
      <c r="D2530" s="18" t="s">
        <v>989</v>
      </c>
      <c r="E2530" s="18" t="s">
        <v>703</v>
      </c>
      <c r="F2530" s="18" t="s">
        <v>795</v>
      </c>
      <c r="G2530" s="18" t="s">
        <v>673</v>
      </c>
      <c r="H2530" s="18" t="s">
        <v>990</v>
      </c>
      <c r="I2530" s="315">
        <v>20.815957577174416</v>
      </c>
      <c r="J2530" s="315">
        <v>4.0071159154888632E-2</v>
      </c>
      <c r="K2530" s="316" t="str">
        <f t="shared" si="48"/>
        <v>Lawn and Garden Equipment</v>
      </c>
      <c r="L2530" s="316" t="str">
        <f t="shared" si="49"/>
        <v>Gasoline</v>
      </c>
      <c r="M2530" s="194"/>
      <c r="N2530" s="317"/>
      <c r="O2530" s="317"/>
      <c r="P2530" s="317"/>
      <c r="Q2530" s="317"/>
      <c r="R2530" s="317"/>
      <c r="S2530" s="317"/>
      <c r="T2530" s="317"/>
      <c r="U2530" s="317"/>
      <c r="V2530" s="317"/>
      <c r="W2530" s="317"/>
      <c r="X2530" s="317"/>
      <c r="Y2530" s="317"/>
      <c r="Z2530" s="317"/>
    </row>
    <row r="2531" spans="1:26" x14ac:dyDescent="0.25">
      <c r="A2531" s="314"/>
      <c r="B2531" s="18">
        <v>2023</v>
      </c>
      <c r="C2531" s="18" t="s">
        <v>753</v>
      </c>
      <c r="D2531" s="18" t="s">
        <v>989</v>
      </c>
      <c r="E2531" s="18" t="s">
        <v>703</v>
      </c>
      <c r="F2531" s="18" t="s">
        <v>795</v>
      </c>
      <c r="G2531" s="18" t="s">
        <v>673</v>
      </c>
      <c r="H2531" s="18" t="s">
        <v>990</v>
      </c>
      <c r="I2531" s="315">
        <v>20.762465561176654</v>
      </c>
      <c r="J2531" s="315">
        <v>3.9968189248939884E-2</v>
      </c>
      <c r="K2531" s="316" t="str">
        <f t="shared" si="48"/>
        <v>Lawn and Garden Equipment</v>
      </c>
      <c r="L2531" s="316" t="str">
        <f t="shared" si="49"/>
        <v>Gasoline</v>
      </c>
      <c r="M2531" s="194"/>
      <c r="N2531" s="317"/>
      <c r="O2531" s="317"/>
      <c r="P2531" s="317"/>
      <c r="Q2531" s="317"/>
      <c r="R2531" s="317"/>
      <c r="S2531" s="317"/>
      <c r="T2531" s="317"/>
      <c r="U2531" s="317"/>
      <c r="V2531" s="317"/>
      <c r="W2531" s="317"/>
      <c r="X2531" s="317"/>
      <c r="Y2531" s="317"/>
      <c r="Z2531" s="317"/>
    </row>
    <row r="2532" spans="1:26" x14ac:dyDescent="0.25">
      <c r="A2532" s="314"/>
      <c r="B2532" s="18">
        <v>2023</v>
      </c>
      <c r="C2532" s="18" t="s">
        <v>754</v>
      </c>
      <c r="D2532" s="18" t="s">
        <v>1073</v>
      </c>
      <c r="E2532" s="18" t="s">
        <v>703</v>
      </c>
      <c r="F2532" s="18" t="s">
        <v>704</v>
      </c>
      <c r="G2532" s="18" t="s">
        <v>674</v>
      </c>
      <c r="H2532" s="18" t="s">
        <v>1072</v>
      </c>
      <c r="I2532" s="315">
        <v>20.68562401883614</v>
      </c>
      <c r="J2532" s="315">
        <v>1.4629639028452258E-2</v>
      </c>
      <c r="K2532" s="316" t="str">
        <f t="shared" si="48"/>
        <v>Construction and Mining Equipment</v>
      </c>
      <c r="L2532" s="316" t="str">
        <f t="shared" si="49"/>
        <v>Gasoline</v>
      </c>
      <c r="M2532" s="194"/>
      <c r="N2532" s="317"/>
      <c r="O2532" s="317"/>
      <c r="P2532" s="317"/>
      <c r="Q2532" s="317"/>
      <c r="R2532" s="317"/>
      <c r="S2532" s="317"/>
      <c r="T2532" s="317"/>
      <c r="U2532" s="317"/>
      <c r="V2532" s="317"/>
      <c r="W2532" s="317"/>
      <c r="X2532" s="317"/>
      <c r="Y2532" s="317"/>
      <c r="Z2532" s="317"/>
    </row>
    <row r="2533" spans="1:26" x14ac:dyDescent="0.25">
      <c r="A2533" s="314"/>
      <c r="B2533" s="18">
        <v>2023</v>
      </c>
      <c r="C2533" s="18" t="s">
        <v>781</v>
      </c>
      <c r="D2533" s="18" t="s">
        <v>977</v>
      </c>
      <c r="E2533" s="18" t="s">
        <v>703</v>
      </c>
      <c r="F2533" s="18" t="s">
        <v>805</v>
      </c>
      <c r="G2533" s="18" t="s">
        <v>673</v>
      </c>
      <c r="H2533" s="18" t="s">
        <v>978</v>
      </c>
      <c r="I2533" s="315">
        <v>20.660209032368638</v>
      </c>
      <c r="J2533" s="315">
        <v>3.5179740870150043E-2</v>
      </c>
      <c r="K2533" s="316" t="str">
        <f t="shared" si="48"/>
        <v>Lawn and Garden Equipment</v>
      </c>
      <c r="L2533" s="316" t="str">
        <f t="shared" si="49"/>
        <v>Gasoline</v>
      </c>
      <c r="M2533" s="194"/>
      <c r="N2533" s="317"/>
      <c r="O2533" s="317"/>
      <c r="P2533" s="317"/>
      <c r="Q2533" s="317"/>
      <c r="R2533" s="317"/>
      <c r="S2533" s="317"/>
      <c r="T2533" s="317"/>
      <c r="U2533" s="317"/>
      <c r="V2533" s="317"/>
      <c r="W2533" s="317"/>
      <c r="X2533" s="317"/>
      <c r="Y2533" s="317"/>
      <c r="Z2533" s="317"/>
    </row>
    <row r="2534" spans="1:26" x14ac:dyDescent="0.25">
      <c r="A2534" s="314"/>
      <c r="B2534" s="18">
        <v>2023</v>
      </c>
      <c r="C2534" s="18" t="s">
        <v>787</v>
      </c>
      <c r="D2534" s="18" t="s">
        <v>1003</v>
      </c>
      <c r="E2534" s="18" t="s">
        <v>703</v>
      </c>
      <c r="F2534" s="18" t="s">
        <v>805</v>
      </c>
      <c r="G2534" s="18" t="s">
        <v>677</v>
      </c>
      <c r="H2534" s="18" t="s">
        <v>841</v>
      </c>
      <c r="I2534" s="315">
        <v>20.655986870022744</v>
      </c>
      <c r="J2534" s="315">
        <v>3.9800725666669354E-2</v>
      </c>
      <c r="K2534" s="316" t="str">
        <f t="shared" si="48"/>
        <v>Commercial Equipment</v>
      </c>
      <c r="L2534" s="316" t="str">
        <f t="shared" si="49"/>
        <v>Gasoline</v>
      </c>
      <c r="M2534" s="194"/>
      <c r="N2534" s="317"/>
      <c r="O2534" s="317"/>
      <c r="P2534" s="317"/>
      <c r="Q2534" s="317"/>
      <c r="R2534" s="317"/>
      <c r="S2534" s="317"/>
      <c r="T2534" s="317"/>
      <c r="U2534" s="317"/>
      <c r="V2534" s="317"/>
      <c r="W2534" s="317"/>
      <c r="X2534" s="317"/>
      <c r="Y2534" s="317"/>
      <c r="Z2534" s="317"/>
    </row>
    <row r="2535" spans="1:26" x14ac:dyDescent="0.25">
      <c r="A2535" s="314"/>
      <c r="B2535" s="18">
        <v>2023</v>
      </c>
      <c r="C2535" s="18" t="s">
        <v>754</v>
      </c>
      <c r="D2535" s="18" t="s">
        <v>1074</v>
      </c>
      <c r="E2535" s="18" t="s">
        <v>713</v>
      </c>
      <c r="F2535" s="18" t="s">
        <v>714</v>
      </c>
      <c r="G2535" s="18" t="s">
        <v>674</v>
      </c>
      <c r="H2535" s="18" t="s">
        <v>967</v>
      </c>
      <c r="I2535" s="315">
        <v>20.623844098705163</v>
      </c>
      <c r="J2535" s="315">
        <v>3.5441092794625211E-4</v>
      </c>
      <c r="K2535" s="316" t="str">
        <f t="shared" si="48"/>
        <v>Construction and Mining Equipment</v>
      </c>
      <c r="L2535" s="316" t="str">
        <f t="shared" si="49"/>
        <v>Diesel</v>
      </c>
      <c r="M2535" s="194"/>
      <c r="N2535" s="317"/>
      <c r="O2535" s="317"/>
      <c r="P2535" s="317"/>
      <c r="Q2535" s="317"/>
      <c r="R2535" s="317"/>
      <c r="S2535" s="317"/>
      <c r="T2535" s="317"/>
      <c r="U2535" s="317"/>
      <c r="V2535" s="317"/>
      <c r="W2535" s="317"/>
      <c r="X2535" s="317"/>
      <c r="Y2535" s="317"/>
      <c r="Z2535" s="317"/>
    </row>
    <row r="2536" spans="1:26" x14ac:dyDescent="0.25">
      <c r="A2536" s="314"/>
      <c r="B2536" s="18">
        <v>2023</v>
      </c>
      <c r="C2536" s="18" t="s">
        <v>810</v>
      </c>
      <c r="D2536" s="18" t="s">
        <v>970</v>
      </c>
      <c r="E2536" s="18" t="s">
        <v>713</v>
      </c>
      <c r="F2536" s="18" t="s">
        <v>714</v>
      </c>
      <c r="G2536" s="18" t="s">
        <v>675</v>
      </c>
      <c r="H2536" s="18" t="s">
        <v>969</v>
      </c>
      <c r="I2536" s="315">
        <v>20.568400285518884</v>
      </c>
      <c r="J2536" s="315">
        <v>6.6828567532779002E-4</v>
      </c>
      <c r="K2536" s="316" t="str">
        <f t="shared" si="48"/>
        <v>Industrial Equipment</v>
      </c>
      <c r="L2536" s="316" t="str">
        <f t="shared" si="49"/>
        <v>Diesel</v>
      </c>
      <c r="M2536" s="194"/>
      <c r="N2536" s="317"/>
      <c r="O2536" s="317"/>
      <c r="P2536" s="317"/>
      <c r="Q2536" s="317"/>
      <c r="R2536" s="317"/>
      <c r="S2536" s="317"/>
      <c r="T2536" s="317"/>
      <c r="U2536" s="317"/>
      <c r="V2536" s="317"/>
      <c r="W2536" s="317"/>
      <c r="X2536" s="317"/>
      <c r="Y2536" s="317"/>
      <c r="Z2536" s="317"/>
    </row>
    <row r="2537" spans="1:26" x14ac:dyDescent="0.25">
      <c r="A2537" s="314"/>
      <c r="B2537" s="18">
        <v>2023</v>
      </c>
      <c r="C2537" s="18" t="s">
        <v>760</v>
      </c>
      <c r="D2537" s="18" t="s">
        <v>1213</v>
      </c>
      <c r="E2537" s="18" t="s">
        <v>56</v>
      </c>
      <c r="F2537" s="18" t="s">
        <v>672</v>
      </c>
      <c r="G2537" s="18" t="s">
        <v>674</v>
      </c>
      <c r="H2537" s="18" t="s">
        <v>715</v>
      </c>
      <c r="I2537" s="315">
        <v>20.546649388307753</v>
      </c>
      <c r="J2537" s="315">
        <v>9.3309288425520416E-4</v>
      </c>
      <c r="K2537" s="316" t="str">
        <f t="shared" si="48"/>
        <v>Construction and Mining Equipment</v>
      </c>
      <c r="L2537" s="316" t="str">
        <f t="shared" si="49"/>
        <v>LPG</v>
      </c>
      <c r="M2537" s="194"/>
      <c r="N2537" s="317"/>
      <c r="O2537" s="317"/>
      <c r="P2537" s="317"/>
      <c r="Q2537" s="317"/>
      <c r="R2537" s="317"/>
      <c r="S2537" s="317"/>
      <c r="T2537" s="317"/>
      <c r="U2537" s="317"/>
      <c r="V2537" s="317"/>
      <c r="W2537" s="317"/>
      <c r="X2537" s="317"/>
      <c r="Y2537" s="317"/>
      <c r="Z2537" s="317"/>
    </row>
    <row r="2538" spans="1:26" x14ac:dyDescent="0.25">
      <c r="A2538" s="314"/>
      <c r="B2538" s="18">
        <v>2023</v>
      </c>
      <c r="C2538" s="18" t="s">
        <v>792</v>
      </c>
      <c r="D2538" s="18" t="s">
        <v>1075</v>
      </c>
      <c r="E2538" s="18" t="s">
        <v>56</v>
      </c>
      <c r="F2538" s="18" t="s">
        <v>672</v>
      </c>
      <c r="G2538" s="18" t="s">
        <v>675</v>
      </c>
      <c r="H2538" s="18" t="s">
        <v>772</v>
      </c>
      <c r="I2538" s="315">
        <v>20.493583874210394</v>
      </c>
      <c r="J2538" s="315">
        <v>9.4413229469956204E-4</v>
      </c>
      <c r="K2538" s="316" t="str">
        <f t="shared" si="48"/>
        <v>Industrial Equipment</v>
      </c>
      <c r="L2538" s="316" t="str">
        <f t="shared" si="49"/>
        <v>LPG</v>
      </c>
      <c r="M2538" s="194"/>
      <c r="N2538" s="317"/>
      <c r="O2538" s="317"/>
      <c r="P2538" s="317"/>
      <c r="Q2538" s="317"/>
      <c r="R2538" s="317"/>
      <c r="S2538" s="317"/>
      <c r="T2538" s="317"/>
      <c r="U2538" s="317"/>
      <c r="V2538" s="317"/>
      <c r="W2538" s="317"/>
      <c r="X2538" s="317"/>
      <c r="Y2538" s="317"/>
      <c r="Z2538" s="317"/>
    </row>
    <row r="2539" spans="1:26" x14ac:dyDescent="0.25">
      <c r="A2539" s="314"/>
      <c r="B2539" s="18">
        <v>2023</v>
      </c>
      <c r="C2539" s="18" t="s">
        <v>753</v>
      </c>
      <c r="D2539" s="18" t="s">
        <v>1022</v>
      </c>
      <c r="E2539" s="18" t="s">
        <v>703</v>
      </c>
      <c r="F2539" s="18" t="s">
        <v>704</v>
      </c>
      <c r="G2539" s="18" t="s">
        <v>675</v>
      </c>
      <c r="H2539" s="18" t="s">
        <v>772</v>
      </c>
      <c r="I2539" s="315">
        <v>20.484810541886567</v>
      </c>
      <c r="J2539" s="315">
        <v>1.4409745829372586E-3</v>
      </c>
      <c r="K2539" s="316" t="str">
        <f t="shared" si="48"/>
        <v>Industrial Equipment</v>
      </c>
      <c r="L2539" s="316" t="str">
        <f t="shared" si="49"/>
        <v>Gasoline</v>
      </c>
      <c r="M2539" s="194"/>
      <c r="N2539" s="317"/>
      <c r="O2539" s="317"/>
      <c r="P2539" s="317"/>
      <c r="Q2539" s="317"/>
      <c r="R2539" s="317"/>
      <c r="S2539" s="317"/>
      <c r="T2539" s="317"/>
      <c r="U2539" s="317"/>
      <c r="V2539" s="317"/>
      <c r="W2539" s="317"/>
      <c r="X2539" s="317"/>
      <c r="Y2539" s="317"/>
      <c r="Z2539" s="317"/>
    </row>
    <row r="2540" spans="1:26" x14ac:dyDescent="0.25">
      <c r="A2540" s="314"/>
      <c r="B2540" s="18">
        <v>2023</v>
      </c>
      <c r="C2540" s="18" t="s">
        <v>792</v>
      </c>
      <c r="D2540" s="18" t="s">
        <v>958</v>
      </c>
      <c r="E2540" s="18" t="s">
        <v>713</v>
      </c>
      <c r="F2540" s="18" t="s">
        <v>714</v>
      </c>
      <c r="G2540" s="18" t="s">
        <v>674</v>
      </c>
      <c r="H2540" s="18" t="s">
        <v>959</v>
      </c>
      <c r="I2540" s="315">
        <v>20.464243585153067</v>
      </c>
      <c r="J2540" s="315">
        <v>1.8204004674284761E-4</v>
      </c>
      <c r="K2540" s="316" t="str">
        <f t="shared" si="48"/>
        <v>Construction and Mining Equipment</v>
      </c>
      <c r="L2540" s="316" t="str">
        <f t="shared" si="49"/>
        <v>Diesel</v>
      </c>
      <c r="M2540" s="194"/>
      <c r="N2540" s="317"/>
      <c r="O2540" s="317"/>
      <c r="P2540" s="317"/>
      <c r="Q2540" s="317"/>
      <c r="R2540" s="317"/>
      <c r="S2540" s="317"/>
      <c r="T2540" s="317"/>
      <c r="U2540" s="317"/>
      <c r="V2540" s="317"/>
      <c r="W2540" s="317"/>
      <c r="X2540" s="317"/>
      <c r="Y2540" s="317"/>
      <c r="Z2540" s="317"/>
    </row>
    <row r="2541" spans="1:26" x14ac:dyDescent="0.25">
      <c r="A2541" s="314"/>
      <c r="B2541" s="18">
        <v>2023</v>
      </c>
      <c r="C2541" s="18" t="s">
        <v>760</v>
      </c>
      <c r="D2541" s="18" t="s">
        <v>1214</v>
      </c>
      <c r="E2541" s="18" t="s">
        <v>713</v>
      </c>
      <c r="F2541" s="18" t="s">
        <v>714</v>
      </c>
      <c r="G2541" s="18" t="s">
        <v>674</v>
      </c>
      <c r="H2541" s="18" t="s">
        <v>999</v>
      </c>
      <c r="I2541" s="315">
        <v>20.385723330333597</v>
      </c>
      <c r="J2541" s="315">
        <v>6.0351830041190926E-4</v>
      </c>
      <c r="K2541" s="316" t="str">
        <f t="shared" si="48"/>
        <v>Construction and Mining Equipment</v>
      </c>
      <c r="L2541" s="316" t="str">
        <f t="shared" si="49"/>
        <v>Diesel</v>
      </c>
      <c r="M2541" s="194"/>
      <c r="N2541" s="317"/>
      <c r="O2541" s="317"/>
      <c r="P2541" s="317"/>
      <c r="Q2541" s="317"/>
      <c r="R2541" s="317"/>
      <c r="S2541" s="317"/>
      <c r="T2541" s="317"/>
      <c r="U2541" s="317"/>
      <c r="V2541" s="317"/>
      <c r="W2541" s="317"/>
      <c r="X2541" s="317"/>
      <c r="Y2541" s="317"/>
      <c r="Z2541" s="317"/>
    </row>
    <row r="2542" spans="1:26" x14ac:dyDescent="0.25">
      <c r="A2542" s="314"/>
      <c r="B2542" s="18">
        <v>2023</v>
      </c>
      <c r="C2542" s="18" t="s">
        <v>750</v>
      </c>
      <c r="D2542" s="18" t="s">
        <v>1320</v>
      </c>
      <c r="E2542" s="18" t="s">
        <v>713</v>
      </c>
      <c r="F2542" s="18" t="s">
        <v>676</v>
      </c>
      <c r="G2542" s="18" t="s">
        <v>79</v>
      </c>
      <c r="H2542" s="18" t="s">
        <v>730</v>
      </c>
      <c r="I2542" s="315">
        <v>20.371719260105753</v>
      </c>
      <c r="J2542" s="315">
        <v>1.3320400478603603E-3</v>
      </c>
      <c r="K2542" s="316" t="str">
        <f t="shared" si="48"/>
        <v>Pleasure Craft</v>
      </c>
      <c r="L2542" s="316" t="str">
        <f t="shared" si="49"/>
        <v>Diesel</v>
      </c>
      <c r="M2542" s="194"/>
      <c r="N2542" s="317"/>
      <c r="O2542" s="317"/>
      <c r="P2542" s="317"/>
      <c r="Q2542" s="317"/>
      <c r="R2542" s="317"/>
      <c r="S2542" s="317"/>
      <c r="T2542" s="317"/>
      <c r="U2542" s="317"/>
      <c r="V2542" s="317"/>
      <c r="W2542" s="317"/>
      <c r="X2542" s="317"/>
      <c r="Y2542" s="317"/>
      <c r="Z2542" s="317"/>
    </row>
    <row r="2543" spans="1:26" x14ac:dyDescent="0.25">
      <c r="A2543" s="314"/>
      <c r="B2543" s="18">
        <v>2023</v>
      </c>
      <c r="C2543" s="18" t="s">
        <v>787</v>
      </c>
      <c r="D2543" s="18" t="s">
        <v>1221</v>
      </c>
      <c r="E2543" s="18" t="s">
        <v>713</v>
      </c>
      <c r="F2543" s="18" t="s">
        <v>714</v>
      </c>
      <c r="G2543" s="18" t="s">
        <v>678</v>
      </c>
      <c r="H2543" s="18" t="s">
        <v>1222</v>
      </c>
      <c r="I2543" s="315">
        <v>20.328232459377908</v>
      </c>
      <c r="J2543" s="315">
        <v>1.3542711407281668E-4</v>
      </c>
      <c r="K2543" s="316" t="str">
        <f t="shared" si="48"/>
        <v>Agricultural Equipment</v>
      </c>
      <c r="L2543" s="316" t="str">
        <f t="shared" si="49"/>
        <v>Diesel</v>
      </c>
      <c r="M2543" s="194"/>
      <c r="N2543" s="317"/>
      <c r="O2543" s="317"/>
      <c r="P2543" s="317"/>
      <c r="Q2543" s="317"/>
      <c r="R2543" s="317"/>
      <c r="S2543" s="317"/>
      <c r="T2543" s="317"/>
      <c r="U2543" s="317"/>
      <c r="V2543" s="317"/>
      <c r="W2543" s="317"/>
      <c r="X2543" s="317"/>
      <c r="Y2543" s="317"/>
      <c r="Z2543" s="317"/>
    </row>
    <row r="2544" spans="1:26" x14ac:dyDescent="0.25">
      <c r="A2544" s="314"/>
      <c r="B2544" s="18">
        <v>2023</v>
      </c>
      <c r="C2544" s="18" t="s">
        <v>711</v>
      </c>
      <c r="D2544" s="18" t="s">
        <v>1079</v>
      </c>
      <c r="E2544" s="18" t="s">
        <v>713</v>
      </c>
      <c r="F2544" s="18" t="s">
        <v>714</v>
      </c>
      <c r="G2544" s="18" t="s">
        <v>678</v>
      </c>
      <c r="H2544" s="18" t="s">
        <v>1080</v>
      </c>
      <c r="I2544" s="315">
        <v>20.269535257246087</v>
      </c>
      <c r="J2544" s="315">
        <v>1.4710442265927962E-4</v>
      </c>
      <c r="K2544" s="316" t="str">
        <f t="shared" si="48"/>
        <v>Agricultural Equipment</v>
      </c>
      <c r="L2544" s="316" t="str">
        <f t="shared" si="49"/>
        <v>Diesel</v>
      </c>
      <c r="M2544" s="194"/>
      <c r="N2544" s="317"/>
      <c r="O2544" s="317"/>
      <c r="P2544" s="317"/>
      <c r="Q2544" s="317"/>
      <c r="R2544" s="317"/>
      <c r="S2544" s="317"/>
      <c r="T2544" s="317"/>
      <c r="U2544" s="317"/>
      <c r="V2544" s="317"/>
      <c r="W2544" s="317"/>
      <c r="X2544" s="317"/>
      <c r="Y2544" s="317"/>
      <c r="Z2544" s="317"/>
    </row>
    <row r="2545" spans="1:26" x14ac:dyDescent="0.25">
      <c r="A2545" s="314"/>
      <c r="B2545" s="18">
        <v>2023</v>
      </c>
      <c r="C2545" s="18" t="s">
        <v>778</v>
      </c>
      <c r="D2545" s="18" t="s">
        <v>1084</v>
      </c>
      <c r="E2545" s="18" t="s">
        <v>703</v>
      </c>
      <c r="F2545" s="18" t="s">
        <v>704</v>
      </c>
      <c r="G2545" s="18" t="s">
        <v>674</v>
      </c>
      <c r="H2545" s="18" t="s">
        <v>863</v>
      </c>
      <c r="I2545" s="315">
        <v>20.214379506854907</v>
      </c>
      <c r="J2545" s="315">
        <v>1.1804913001293254E-2</v>
      </c>
      <c r="K2545" s="316" t="str">
        <f t="shared" si="48"/>
        <v>Construction and Mining Equipment</v>
      </c>
      <c r="L2545" s="316" t="str">
        <f t="shared" si="49"/>
        <v>Gasoline</v>
      </c>
      <c r="M2545" s="194"/>
      <c r="N2545" s="317"/>
      <c r="O2545" s="317"/>
      <c r="P2545" s="317"/>
      <c r="Q2545" s="317"/>
      <c r="R2545" s="317"/>
      <c r="S2545" s="317"/>
      <c r="T2545" s="317"/>
      <c r="U2545" s="317"/>
      <c r="V2545" s="317"/>
      <c r="W2545" s="317"/>
      <c r="X2545" s="317"/>
      <c r="Y2545" s="317"/>
      <c r="Z2545" s="317"/>
    </row>
    <row r="2546" spans="1:26" x14ac:dyDescent="0.25">
      <c r="A2546" s="314"/>
      <c r="B2546" s="18">
        <v>2023</v>
      </c>
      <c r="C2546" s="18" t="s">
        <v>750</v>
      </c>
      <c r="D2546" s="18" t="s">
        <v>1051</v>
      </c>
      <c r="E2546" s="18" t="s">
        <v>703</v>
      </c>
      <c r="F2546" s="18" t="s">
        <v>704</v>
      </c>
      <c r="G2546" s="18" t="s">
        <v>674</v>
      </c>
      <c r="H2546" s="18" t="s">
        <v>783</v>
      </c>
      <c r="I2546" s="315">
        <v>20.204369538405707</v>
      </c>
      <c r="J2546" s="315">
        <v>1.228345610571363E-2</v>
      </c>
      <c r="K2546" s="316" t="str">
        <f t="shared" si="48"/>
        <v>Construction and Mining Equipment</v>
      </c>
      <c r="L2546" s="316" t="str">
        <f t="shared" si="49"/>
        <v>Gasoline</v>
      </c>
      <c r="M2546" s="194"/>
      <c r="N2546" s="317"/>
      <c r="O2546" s="317"/>
      <c r="P2546" s="317"/>
      <c r="Q2546" s="317"/>
      <c r="R2546" s="317"/>
      <c r="S2546" s="317"/>
      <c r="T2546" s="317"/>
      <c r="U2546" s="317"/>
      <c r="V2546" s="317"/>
      <c r="W2546" s="317"/>
      <c r="X2546" s="317"/>
      <c r="Y2546" s="317"/>
      <c r="Z2546" s="317"/>
    </row>
    <row r="2547" spans="1:26" x14ac:dyDescent="0.25">
      <c r="A2547" s="314"/>
      <c r="B2547" s="18">
        <v>2023</v>
      </c>
      <c r="C2547" s="18" t="s">
        <v>787</v>
      </c>
      <c r="D2547" s="18" t="s">
        <v>1075</v>
      </c>
      <c r="E2547" s="18" t="s">
        <v>56</v>
      </c>
      <c r="F2547" s="18" t="s">
        <v>672</v>
      </c>
      <c r="G2547" s="18" t="s">
        <v>675</v>
      </c>
      <c r="H2547" s="18" t="s">
        <v>772</v>
      </c>
      <c r="I2547" s="315">
        <v>20.200120763422866</v>
      </c>
      <c r="J2547" s="315">
        <v>9.306133058804367E-4</v>
      </c>
      <c r="K2547" s="316" t="str">
        <f t="shared" si="48"/>
        <v>Industrial Equipment</v>
      </c>
      <c r="L2547" s="316" t="str">
        <f t="shared" si="49"/>
        <v>LPG</v>
      </c>
      <c r="M2547" s="194"/>
      <c r="N2547" s="317"/>
      <c r="O2547" s="317"/>
      <c r="P2547" s="317"/>
      <c r="Q2547" s="317"/>
      <c r="R2547" s="317"/>
      <c r="S2547" s="317"/>
      <c r="T2547" s="317"/>
      <c r="U2547" s="317"/>
      <c r="V2547" s="317"/>
      <c r="W2547" s="317"/>
      <c r="X2547" s="317"/>
      <c r="Y2547" s="317"/>
      <c r="Z2547" s="317"/>
    </row>
    <row r="2548" spans="1:26" x14ac:dyDescent="0.25">
      <c r="A2548" s="314"/>
      <c r="B2548" s="18">
        <v>2023</v>
      </c>
      <c r="C2548" s="18" t="s">
        <v>810</v>
      </c>
      <c r="D2548" s="18" t="s">
        <v>993</v>
      </c>
      <c r="E2548" s="18" t="s">
        <v>703</v>
      </c>
      <c r="F2548" s="18" t="s">
        <v>704</v>
      </c>
      <c r="G2548" s="18" t="s">
        <v>674</v>
      </c>
      <c r="H2548" s="18" t="s">
        <v>994</v>
      </c>
      <c r="I2548" s="315">
        <v>20.18296396389519</v>
      </c>
      <c r="J2548" s="315">
        <v>1.3640864272963842E-2</v>
      </c>
      <c r="K2548" s="316" t="str">
        <f t="shared" si="48"/>
        <v>Construction and Mining Equipment</v>
      </c>
      <c r="L2548" s="316" t="str">
        <f t="shared" si="49"/>
        <v>Gasoline</v>
      </c>
      <c r="M2548" s="194"/>
      <c r="N2548" s="317"/>
      <c r="O2548" s="317"/>
      <c r="P2548" s="317"/>
      <c r="Q2548" s="317"/>
      <c r="R2548" s="317"/>
      <c r="S2548" s="317"/>
      <c r="T2548" s="317"/>
      <c r="U2548" s="317"/>
      <c r="V2548" s="317"/>
      <c r="W2548" s="317"/>
      <c r="X2548" s="317"/>
      <c r="Y2548" s="317"/>
      <c r="Z2548" s="317"/>
    </row>
    <row r="2549" spans="1:26" x14ac:dyDescent="0.25">
      <c r="A2549" s="314"/>
      <c r="B2549" s="18">
        <v>2023</v>
      </c>
      <c r="C2549" s="18" t="s">
        <v>706</v>
      </c>
      <c r="D2549" s="18" t="s">
        <v>1401</v>
      </c>
      <c r="E2549" s="18" t="s">
        <v>56</v>
      </c>
      <c r="F2549" s="18" t="s">
        <v>601</v>
      </c>
      <c r="G2549" s="18" t="s">
        <v>677</v>
      </c>
      <c r="H2549" s="18" t="s">
        <v>785</v>
      </c>
      <c r="I2549" s="315">
        <v>20.178961172264927</v>
      </c>
      <c r="J2549" s="315">
        <v>8.7466653265349553E-2</v>
      </c>
      <c r="K2549" s="316" t="str">
        <f t="shared" si="48"/>
        <v>Commercial Equipment</v>
      </c>
      <c r="L2549" s="316" t="str">
        <f t="shared" si="49"/>
        <v>CNG</v>
      </c>
      <c r="M2549" s="194"/>
      <c r="N2549" s="317"/>
      <c r="O2549" s="317"/>
      <c r="P2549" s="317"/>
      <c r="Q2549" s="317"/>
      <c r="R2549" s="317"/>
      <c r="S2549" s="317"/>
      <c r="T2549" s="317"/>
      <c r="U2549" s="317"/>
      <c r="V2549" s="317"/>
      <c r="W2549" s="317"/>
      <c r="X2549" s="317"/>
      <c r="Y2549" s="317"/>
      <c r="Z2549" s="317"/>
    </row>
    <row r="2550" spans="1:26" x14ac:dyDescent="0.25">
      <c r="A2550" s="314"/>
      <c r="B2550" s="18">
        <v>2023</v>
      </c>
      <c r="C2550" s="18" t="s">
        <v>753</v>
      </c>
      <c r="D2550" s="18" t="s">
        <v>1011</v>
      </c>
      <c r="E2550" s="18" t="s">
        <v>56</v>
      </c>
      <c r="F2550" s="18" t="s">
        <v>672</v>
      </c>
      <c r="G2550" s="18" t="s">
        <v>677</v>
      </c>
      <c r="H2550" s="18" t="s">
        <v>836</v>
      </c>
      <c r="I2550" s="315">
        <v>20.136082808089341</v>
      </c>
      <c r="J2550" s="315">
        <v>1.0697746722346186E-3</v>
      </c>
      <c r="K2550" s="316" t="str">
        <f t="shared" si="48"/>
        <v>Commercial Equipment</v>
      </c>
      <c r="L2550" s="316" t="str">
        <f t="shared" si="49"/>
        <v>LPG</v>
      </c>
      <c r="M2550" s="194"/>
      <c r="N2550" s="317"/>
      <c r="O2550" s="317"/>
      <c r="P2550" s="317"/>
      <c r="Q2550" s="317"/>
      <c r="R2550" s="317"/>
      <c r="S2550" s="317"/>
      <c r="T2550" s="317"/>
      <c r="U2550" s="317"/>
      <c r="V2550" s="317"/>
      <c r="W2550" s="317"/>
      <c r="X2550" s="317"/>
      <c r="Y2550" s="317"/>
      <c r="Z2550" s="317"/>
    </row>
    <row r="2551" spans="1:26" x14ac:dyDescent="0.25">
      <c r="A2551" s="314"/>
      <c r="B2551" s="18">
        <v>2023</v>
      </c>
      <c r="C2551" s="18" t="s">
        <v>750</v>
      </c>
      <c r="D2551" s="18" t="s">
        <v>1224</v>
      </c>
      <c r="E2551" s="18" t="s">
        <v>703</v>
      </c>
      <c r="F2551" s="18" t="s">
        <v>704</v>
      </c>
      <c r="G2551" s="18" t="s">
        <v>681</v>
      </c>
      <c r="H2551" s="18" t="s">
        <v>1225</v>
      </c>
      <c r="I2551" s="315">
        <v>20.090032140514595</v>
      </c>
      <c r="J2551" s="315">
        <v>1.3577929169735818E-2</v>
      </c>
      <c r="K2551" s="316" t="str">
        <f t="shared" si="48"/>
        <v>Logging Equipment</v>
      </c>
      <c r="L2551" s="316" t="str">
        <f t="shared" si="49"/>
        <v>Gasoline</v>
      </c>
      <c r="M2551" s="194"/>
      <c r="N2551" s="317"/>
      <c r="O2551" s="317"/>
      <c r="P2551" s="317"/>
      <c r="Q2551" s="317"/>
      <c r="R2551" s="317"/>
      <c r="S2551" s="317"/>
      <c r="T2551" s="317"/>
      <c r="U2551" s="317"/>
      <c r="V2551" s="317"/>
      <c r="W2551" s="317"/>
      <c r="X2551" s="317"/>
      <c r="Y2551" s="317"/>
      <c r="Z2551" s="317"/>
    </row>
    <row r="2552" spans="1:26" x14ac:dyDescent="0.25">
      <c r="A2552" s="314"/>
      <c r="B2552" s="18">
        <v>2023</v>
      </c>
      <c r="C2552" s="18" t="s">
        <v>709</v>
      </c>
      <c r="D2552" s="18" t="s">
        <v>1228</v>
      </c>
      <c r="E2552" s="18" t="s">
        <v>703</v>
      </c>
      <c r="F2552" s="18" t="s">
        <v>704</v>
      </c>
      <c r="G2552" s="18" t="s">
        <v>675</v>
      </c>
      <c r="H2552" s="18" t="s">
        <v>1078</v>
      </c>
      <c r="I2552" s="315">
        <v>20.049471013409576</v>
      </c>
      <c r="J2552" s="315">
        <v>6.7567032605373454E-3</v>
      </c>
      <c r="K2552" s="316" t="str">
        <f t="shared" si="48"/>
        <v>Industrial Equipment</v>
      </c>
      <c r="L2552" s="316" t="str">
        <f t="shared" si="49"/>
        <v>Gasoline</v>
      </c>
      <c r="M2552" s="194"/>
      <c r="N2552" s="317"/>
      <c r="O2552" s="317"/>
      <c r="P2552" s="317"/>
      <c r="Q2552" s="317"/>
      <c r="R2552" s="317"/>
      <c r="S2552" s="317"/>
      <c r="T2552" s="317"/>
      <c r="U2552" s="317"/>
      <c r="V2552" s="317"/>
      <c r="W2552" s="317"/>
      <c r="X2552" s="317"/>
      <c r="Y2552" s="317"/>
      <c r="Z2552" s="317"/>
    </row>
    <row r="2553" spans="1:26" x14ac:dyDescent="0.25">
      <c r="A2553" s="314"/>
      <c r="B2553" s="18">
        <v>2023</v>
      </c>
      <c r="C2553" s="18" t="s">
        <v>754</v>
      </c>
      <c r="D2553" s="18" t="s">
        <v>1076</v>
      </c>
      <c r="E2553" s="18" t="s">
        <v>703</v>
      </c>
      <c r="F2553" s="18" t="s">
        <v>704</v>
      </c>
      <c r="G2553" s="18" t="s">
        <v>674</v>
      </c>
      <c r="H2553" s="18" t="s">
        <v>756</v>
      </c>
      <c r="I2553" s="315">
        <v>19.943017612980206</v>
      </c>
      <c r="J2553" s="315">
        <v>8.7844142793795082E-3</v>
      </c>
      <c r="K2553" s="316" t="str">
        <f t="shared" si="48"/>
        <v>Construction and Mining Equipment</v>
      </c>
      <c r="L2553" s="316" t="str">
        <f t="shared" si="49"/>
        <v>Gasoline</v>
      </c>
      <c r="M2553" s="194"/>
      <c r="N2553" s="317"/>
      <c r="O2553" s="317"/>
      <c r="P2553" s="317"/>
      <c r="Q2553" s="317"/>
      <c r="R2553" s="317"/>
      <c r="S2553" s="317"/>
      <c r="T2553" s="317"/>
      <c r="U2553" s="317"/>
      <c r="V2553" s="317"/>
      <c r="W2553" s="317"/>
      <c r="X2553" s="317"/>
      <c r="Y2553" s="317"/>
      <c r="Z2553" s="317"/>
    </row>
    <row r="2554" spans="1:26" x14ac:dyDescent="0.25">
      <c r="A2554" s="314"/>
      <c r="B2554" s="18">
        <v>2023</v>
      </c>
      <c r="C2554" s="18" t="s">
        <v>711</v>
      </c>
      <c r="D2554" s="18" t="s">
        <v>1247</v>
      </c>
      <c r="E2554" s="18" t="s">
        <v>56</v>
      </c>
      <c r="F2554" s="18" t="s">
        <v>672</v>
      </c>
      <c r="G2554" s="18" t="s">
        <v>674</v>
      </c>
      <c r="H2554" s="18" t="s">
        <v>967</v>
      </c>
      <c r="I2554" s="315">
        <v>19.882821666838087</v>
      </c>
      <c r="J2554" s="315">
        <v>9.3936496051335054E-4</v>
      </c>
      <c r="K2554" s="316" t="str">
        <f t="shared" si="48"/>
        <v>Construction and Mining Equipment</v>
      </c>
      <c r="L2554" s="316" t="str">
        <f t="shared" si="49"/>
        <v>LPG</v>
      </c>
      <c r="M2554" s="194"/>
      <c r="N2554" s="317"/>
      <c r="O2554" s="317"/>
      <c r="P2554" s="317"/>
      <c r="Q2554" s="317"/>
      <c r="R2554" s="317"/>
      <c r="S2554" s="317"/>
      <c r="T2554" s="317"/>
      <c r="U2554" s="317"/>
      <c r="V2554" s="317"/>
      <c r="W2554" s="317"/>
      <c r="X2554" s="317"/>
      <c r="Y2554" s="317"/>
      <c r="Z2554" s="317"/>
    </row>
    <row r="2555" spans="1:26" x14ac:dyDescent="0.25">
      <c r="A2555" s="314"/>
      <c r="B2555" s="18">
        <v>2023</v>
      </c>
      <c r="C2555" s="18" t="s">
        <v>711</v>
      </c>
      <c r="D2555" s="18" t="s">
        <v>1248</v>
      </c>
      <c r="E2555" s="18" t="s">
        <v>703</v>
      </c>
      <c r="F2555" s="18" t="s">
        <v>704</v>
      </c>
      <c r="G2555" s="18" t="s">
        <v>674</v>
      </c>
      <c r="H2555" s="18" t="s">
        <v>959</v>
      </c>
      <c r="I2555" s="315">
        <v>19.851363796846385</v>
      </c>
      <c r="J2555" s="315">
        <v>1.3266215007230533E-2</v>
      </c>
      <c r="K2555" s="316" t="str">
        <f t="shared" si="48"/>
        <v>Construction and Mining Equipment</v>
      </c>
      <c r="L2555" s="316" t="str">
        <f t="shared" si="49"/>
        <v>Gasoline</v>
      </c>
      <c r="M2555" s="194"/>
      <c r="N2555" s="317"/>
      <c r="O2555" s="317"/>
      <c r="P2555" s="317"/>
      <c r="Q2555" s="317"/>
      <c r="R2555" s="317"/>
      <c r="S2555" s="317"/>
      <c r="T2555" s="317"/>
      <c r="U2555" s="317"/>
      <c r="V2555" s="317"/>
      <c r="W2555" s="317"/>
      <c r="X2555" s="317"/>
      <c r="Y2555" s="317"/>
      <c r="Z2555" s="317"/>
    </row>
    <row r="2556" spans="1:26" x14ac:dyDescent="0.25">
      <c r="A2556" s="314"/>
      <c r="B2556" s="18">
        <v>2023</v>
      </c>
      <c r="C2556" s="18" t="s">
        <v>727</v>
      </c>
      <c r="D2556" s="18" t="s">
        <v>1018</v>
      </c>
      <c r="E2556" s="18" t="s">
        <v>56</v>
      </c>
      <c r="F2556" s="18" t="s">
        <v>672</v>
      </c>
      <c r="G2556" s="18" t="s">
        <v>677</v>
      </c>
      <c r="H2556" s="18" t="s">
        <v>785</v>
      </c>
      <c r="I2556" s="315">
        <v>19.820215600979736</v>
      </c>
      <c r="J2556" s="315">
        <v>9.726226828589465E-4</v>
      </c>
      <c r="K2556" s="316" t="str">
        <f t="shared" si="48"/>
        <v>Commercial Equipment</v>
      </c>
      <c r="L2556" s="316" t="str">
        <f t="shared" si="49"/>
        <v>LPG</v>
      </c>
      <c r="M2556" s="194"/>
      <c r="N2556" s="317"/>
      <c r="O2556" s="317"/>
      <c r="P2556" s="317"/>
      <c r="Q2556" s="317"/>
      <c r="R2556" s="317"/>
      <c r="S2556" s="317"/>
      <c r="T2556" s="317"/>
      <c r="U2556" s="317"/>
      <c r="V2556" s="317"/>
      <c r="W2556" s="317"/>
      <c r="X2556" s="317"/>
      <c r="Y2556" s="317"/>
      <c r="Z2556" s="317"/>
    </row>
    <row r="2557" spans="1:26" x14ac:dyDescent="0.25">
      <c r="A2557" s="314"/>
      <c r="B2557" s="18">
        <v>2023</v>
      </c>
      <c r="C2557" s="18" t="s">
        <v>792</v>
      </c>
      <c r="D2557" s="18" t="s">
        <v>1077</v>
      </c>
      <c r="E2557" s="18" t="s">
        <v>713</v>
      </c>
      <c r="F2557" s="18" t="s">
        <v>714</v>
      </c>
      <c r="G2557" s="18" t="s">
        <v>675</v>
      </c>
      <c r="H2557" s="18" t="s">
        <v>1078</v>
      </c>
      <c r="I2557" s="315">
        <v>19.814901986811698</v>
      </c>
      <c r="J2557" s="315">
        <v>5.0249063062040515E-4</v>
      </c>
      <c r="K2557" s="316" t="str">
        <f t="shared" si="48"/>
        <v>Industrial Equipment</v>
      </c>
      <c r="L2557" s="316" t="str">
        <f t="shared" si="49"/>
        <v>Diesel</v>
      </c>
      <c r="M2557" s="194"/>
      <c r="N2557" s="317"/>
      <c r="O2557" s="317"/>
      <c r="P2557" s="317"/>
      <c r="Q2557" s="317"/>
      <c r="R2557" s="317"/>
      <c r="S2557" s="317"/>
      <c r="T2557" s="317"/>
      <c r="U2557" s="317"/>
      <c r="V2557" s="317"/>
      <c r="W2557" s="317"/>
      <c r="X2557" s="317"/>
      <c r="Y2557" s="317"/>
      <c r="Z2557" s="317"/>
    </row>
    <row r="2558" spans="1:26" x14ac:dyDescent="0.25">
      <c r="A2558" s="314"/>
      <c r="B2558" s="18">
        <v>2023</v>
      </c>
      <c r="C2558" s="18" t="s">
        <v>787</v>
      </c>
      <c r="D2558" s="18" t="s">
        <v>927</v>
      </c>
      <c r="E2558" s="18" t="s">
        <v>56</v>
      </c>
      <c r="F2558" s="18" t="s">
        <v>672</v>
      </c>
      <c r="G2558" s="18" t="s">
        <v>673</v>
      </c>
      <c r="H2558" s="18" t="s">
        <v>742</v>
      </c>
      <c r="I2558" s="315">
        <v>19.79793987494574</v>
      </c>
      <c r="J2558" s="315">
        <v>8.9941438394951397E-4</v>
      </c>
      <c r="K2558" s="316" t="str">
        <f t="shared" si="48"/>
        <v>Lawn and Garden Equipment</v>
      </c>
      <c r="L2558" s="316" t="str">
        <f t="shared" si="49"/>
        <v>LPG</v>
      </c>
      <c r="M2558" s="194"/>
      <c r="N2558" s="317"/>
      <c r="O2558" s="317"/>
      <c r="P2558" s="317"/>
      <c r="Q2558" s="317"/>
      <c r="R2558" s="317"/>
      <c r="S2558" s="317"/>
      <c r="T2558" s="317"/>
      <c r="U2558" s="317"/>
      <c r="V2558" s="317"/>
      <c r="W2558" s="317"/>
      <c r="X2558" s="317"/>
      <c r="Y2558" s="317"/>
      <c r="Z2558" s="317"/>
    </row>
    <row r="2559" spans="1:26" x14ac:dyDescent="0.25">
      <c r="A2559" s="314"/>
      <c r="B2559" s="18">
        <v>2023</v>
      </c>
      <c r="C2559" s="18" t="s">
        <v>787</v>
      </c>
      <c r="D2559" s="18" t="s">
        <v>1071</v>
      </c>
      <c r="E2559" s="18" t="s">
        <v>713</v>
      </c>
      <c r="F2559" s="18" t="s">
        <v>714</v>
      </c>
      <c r="G2559" s="18" t="s">
        <v>674</v>
      </c>
      <c r="H2559" s="18" t="s">
        <v>1072</v>
      </c>
      <c r="I2559" s="315">
        <v>19.749165272865206</v>
      </c>
      <c r="J2559" s="315">
        <v>2.6442824923697615E-4</v>
      </c>
      <c r="K2559" s="316" t="str">
        <f t="shared" si="48"/>
        <v>Construction and Mining Equipment</v>
      </c>
      <c r="L2559" s="316" t="str">
        <f t="shared" si="49"/>
        <v>Diesel</v>
      </c>
      <c r="M2559" s="194"/>
      <c r="N2559" s="317"/>
      <c r="O2559" s="317"/>
      <c r="P2559" s="317"/>
      <c r="Q2559" s="317"/>
      <c r="R2559" s="317"/>
      <c r="S2559" s="317"/>
      <c r="T2559" s="317"/>
      <c r="U2559" s="317"/>
      <c r="V2559" s="317"/>
      <c r="W2559" s="317"/>
      <c r="X2559" s="317"/>
      <c r="Y2559" s="317"/>
      <c r="Z2559" s="317"/>
    </row>
    <row r="2560" spans="1:26" x14ac:dyDescent="0.25">
      <c r="A2560" s="314"/>
      <c r="B2560" s="18">
        <v>2023</v>
      </c>
      <c r="C2560" s="18" t="s">
        <v>732</v>
      </c>
      <c r="D2560" s="18" t="s">
        <v>1403</v>
      </c>
      <c r="E2560" s="18" t="s">
        <v>703</v>
      </c>
      <c r="F2560" s="18" t="s">
        <v>683</v>
      </c>
      <c r="G2560" s="18" t="s">
        <v>1404</v>
      </c>
      <c r="H2560" s="18" t="s">
        <v>1002</v>
      </c>
      <c r="I2560" s="315">
        <v>19.748495969674959</v>
      </c>
      <c r="J2560" s="315">
        <v>1.2832332508498948E-2</v>
      </c>
      <c r="K2560" s="316" t="str">
        <f t="shared" si="48"/>
        <v>Railroad Equipment</v>
      </c>
      <c r="L2560" s="316" t="str">
        <f t="shared" si="49"/>
        <v>Gasoline</v>
      </c>
      <c r="M2560" s="194"/>
      <c r="N2560" s="317"/>
      <c r="O2560" s="317"/>
      <c r="P2560" s="317"/>
      <c r="Q2560" s="317"/>
      <c r="R2560" s="317"/>
      <c r="S2560" s="317"/>
      <c r="T2560" s="317"/>
      <c r="U2560" s="317"/>
      <c r="V2560" s="317"/>
      <c r="W2560" s="317"/>
      <c r="X2560" s="317"/>
      <c r="Y2560" s="317"/>
      <c r="Z2560" s="317"/>
    </row>
    <row r="2561" spans="1:26" x14ac:dyDescent="0.25">
      <c r="A2561" s="314"/>
      <c r="B2561" s="18">
        <v>2023</v>
      </c>
      <c r="C2561" s="18" t="s">
        <v>759</v>
      </c>
      <c r="D2561" s="18" t="s">
        <v>880</v>
      </c>
      <c r="E2561" s="18" t="s">
        <v>703</v>
      </c>
      <c r="F2561" s="18" t="s">
        <v>704</v>
      </c>
      <c r="G2561" s="18" t="s">
        <v>677</v>
      </c>
      <c r="H2561" s="18" t="s">
        <v>785</v>
      </c>
      <c r="I2561" s="315">
        <v>19.70027054522544</v>
      </c>
      <c r="J2561" s="315">
        <v>1.1289376063901723E-2</v>
      </c>
      <c r="K2561" s="316" t="str">
        <f t="shared" si="48"/>
        <v>Commercial Equipment</v>
      </c>
      <c r="L2561" s="316" t="str">
        <f t="shared" si="49"/>
        <v>Gasoline</v>
      </c>
      <c r="M2561" s="194"/>
      <c r="N2561" s="317"/>
      <c r="O2561" s="317"/>
      <c r="P2561" s="317"/>
      <c r="Q2561" s="317"/>
      <c r="R2561" s="317"/>
      <c r="S2561" s="317"/>
      <c r="T2561" s="317"/>
      <c r="U2561" s="317"/>
      <c r="V2561" s="317"/>
      <c r="W2561" s="317"/>
      <c r="X2561" s="317"/>
      <c r="Y2561" s="317"/>
      <c r="Z2561" s="317"/>
    </row>
    <row r="2562" spans="1:26" x14ac:dyDescent="0.25">
      <c r="A2562" s="314"/>
      <c r="B2562" s="18">
        <v>2023</v>
      </c>
      <c r="C2562" s="18" t="s">
        <v>787</v>
      </c>
      <c r="D2562" s="18" t="s">
        <v>1405</v>
      </c>
      <c r="E2562" s="18" t="s">
        <v>56</v>
      </c>
      <c r="F2562" s="18" t="s">
        <v>1025</v>
      </c>
      <c r="G2562" s="18" t="s">
        <v>679</v>
      </c>
      <c r="H2562" s="18" t="s">
        <v>1406</v>
      </c>
      <c r="I2562" s="315">
        <v>19.668362729841419</v>
      </c>
      <c r="J2562" s="315">
        <v>6.8035402008697447E-3</v>
      </c>
      <c r="K2562" s="316" t="str">
        <f t="shared" si="48"/>
        <v>Recreational Equipment</v>
      </c>
      <c r="L2562" s="316" t="str">
        <f t="shared" si="49"/>
        <v>LPG</v>
      </c>
      <c r="M2562" s="194"/>
      <c r="N2562" s="317"/>
      <c r="O2562" s="317"/>
      <c r="P2562" s="317"/>
      <c r="Q2562" s="317"/>
      <c r="R2562" s="317"/>
      <c r="S2562" s="317"/>
      <c r="T2562" s="317"/>
      <c r="U2562" s="317"/>
      <c r="V2562" s="317"/>
      <c r="W2562" s="317"/>
      <c r="X2562" s="317"/>
      <c r="Y2562" s="317"/>
      <c r="Z2562" s="317"/>
    </row>
    <row r="2563" spans="1:26" x14ac:dyDescent="0.25">
      <c r="A2563" s="314"/>
      <c r="B2563" s="18">
        <v>2023</v>
      </c>
      <c r="C2563" s="18" t="s">
        <v>787</v>
      </c>
      <c r="D2563" s="18" t="s">
        <v>1065</v>
      </c>
      <c r="E2563" s="18" t="s">
        <v>703</v>
      </c>
      <c r="F2563" s="18" t="s">
        <v>795</v>
      </c>
      <c r="G2563" s="18" t="s">
        <v>673</v>
      </c>
      <c r="H2563" s="18" t="s">
        <v>1066</v>
      </c>
      <c r="I2563" s="315">
        <v>19.574111222373514</v>
      </c>
      <c r="J2563" s="315">
        <v>0.1337002557230782</v>
      </c>
      <c r="K2563" s="316" t="str">
        <f t="shared" si="48"/>
        <v>Lawn and Garden Equipment</v>
      </c>
      <c r="L2563" s="316" t="str">
        <f t="shared" si="49"/>
        <v>Gasoline</v>
      </c>
      <c r="M2563" s="194"/>
      <c r="N2563" s="317"/>
      <c r="O2563" s="317"/>
      <c r="P2563" s="317"/>
      <c r="Q2563" s="317"/>
      <c r="R2563" s="317"/>
      <c r="S2563" s="317"/>
      <c r="T2563" s="317"/>
      <c r="U2563" s="317"/>
      <c r="V2563" s="317"/>
      <c r="W2563" s="317"/>
      <c r="X2563" s="317"/>
      <c r="Y2563" s="317"/>
      <c r="Z2563" s="317"/>
    </row>
    <row r="2564" spans="1:26" x14ac:dyDescent="0.25">
      <c r="A2564" s="314"/>
      <c r="B2564" s="18">
        <v>2023</v>
      </c>
      <c r="C2564" s="18" t="s">
        <v>750</v>
      </c>
      <c r="D2564" s="18" t="s">
        <v>925</v>
      </c>
      <c r="E2564" s="18" t="s">
        <v>703</v>
      </c>
      <c r="F2564" s="18" t="s">
        <v>704</v>
      </c>
      <c r="G2564" s="18" t="s">
        <v>675</v>
      </c>
      <c r="H2564" s="18" t="s">
        <v>798</v>
      </c>
      <c r="I2564" s="315">
        <v>19.573399419915148</v>
      </c>
      <c r="J2564" s="315">
        <v>1.4596817425753561E-2</v>
      </c>
      <c r="K2564" s="316" t="str">
        <f t="shared" si="48"/>
        <v>Industrial Equipment</v>
      </c>
      <c r="L2564" s="316" t="str">
        <f t="shared" si="49"/>
        <v>Gasoline</v>
      </c>
      <c r="M2564" s="194"/>
      <c r="N2564" s="317"/>
      <c r="O2564" s="317"/>
      <c r="P2564" s="317"/>
      <c r="Q2564" s="317"/>
      <c r="R2564" s="317"/>
      <c r="S2564" s="317"/>
      <c r="T2564" s="317"/>
      <c r="U2564" s="317"/>
      <c r="V2564" s="317"/>
      <c r="W2564" s="317"/>
      <c r="X2564" s="317"/>
      <c r="Y2564" s="317"/>
      <c r="Z2564" s="317"/>
    </row>
    <row r="2565" spans="1:26" x14ac:dyDescent="0.25">
      <c r="A2565" s="314"/>
      <c r="B2565" s="18">
        <v>2023</v>
      </c>
      <c r="C2565" s="18" t="s">
        <v>786</v>
      </c>
      <c r="D2565" s="18" t="s">
        <v>979</v>
      </c>
      <c r="E2565" s="18" t="s">
        <v>703</v>
      </c>
      <c r="F2565" s="18" t="s">
        <v>704</v>
      </c>
      <c r="G2565" s="18" t="s">
        <v>675</v>
      </c>
      <c r="H2565" s="18" t="s">
        <v>802</v>
      </c>
      <c r="I2565" s="315">
        <v>19.571640525053088</v>
      </c>
      <c r="J2565" s="315">
        <v>7.0460337973224747E-3</v>
      </c>
      <c r="K2565" s="316" t="str">
        <f t="shared" si="48"/>
        <v>Industrial Equipment</v>
      </c>
      <c r="L2565" s="316" t="str">
        <f t="shared" si="49"/>
        <v>Gasoline</v>
      </c>
      <c r="M2565" s="194"/>
      <c r="N2565" s="317"/>
      <c r="O2565" s="317"/>
      <c r="P2565" s="317"/>
      <c r="Q2565" s="317"/>
      <c r="R2565" s="317"/>
      <c r="S2565" s="317"/>
      <c r="T2565" s="317"/>
      <c r="U2565" s="317"/>
      <c r="V2565" s="317"/>
      <c r="W2565" s="317"/>
      <c r="X2565" s="317"/>
      <c r="Y2565" s="317"/>
      <c r="Z2565" s="317"/>
    </row>
    <row r="2566" spans="1:26" x14ac:dyDescent="0.25">
      <c r="A2566" s="314"/>
      <c r="B2566" s="18">
        <v>2023</v>
      </c>
      <c r="C2566" s="18" t="s">
        <v>731</v>
      </c>
      <c r="D2566" s="18" t="s">
        <v>986</v>
      </c>
      <c r="E2566" s="18" t="s">
        <v>703</v>
      </c>
      <c r="F2566" s="18" t="s">
        <v>704</v>
      </c>
      <c r="G2566" s="18" t="s">
        <v>673</v>
      </c>
      <c r="H2566" s="18" t="s">
        <v>987</v>
      </c>
      <c r="I2566" s="315">
        <v>19.546330091306356</v>
      </c>
      <c r="J2566" s="315">
        <v>1.3356433812378221E-2</v>
      </c>
      <c r="K2566" s="316" t="str">
        <f t="shared" si="48"/>
        <v>Lawn and Garden Equipment</v>
      </c>
      <c r="L2566" s="316" t="str">
        <f t="shared" si="49"/>
        <v>Gasoline</v>
      </c>
      <c r="M2566" s="194"/>
      <c r="N2566" s="317"/>
      <c r="O2566" s="317"/>
      <c r="P2566" s="317"/>
      <c r="Q2566" s="317"/>
      <c r="R2566" s="317"/>
      <c r="S2566" s="317"/>
      <c r="T2566" s="317"/>
      <c r="U2566" s="317"/>
      <c r="V2566" s="317"/>
      <c r="W2566" s="317"/>
      <c r="X2566" s="317"/>
      <c r="Y2566" s="317"/>
      <c r="Z2566" s="317"/>
    </row>
    <row r="2567" spans="1:26" x14ac:dyDescent="0.25">
      <c r="A2567" s="314"/>
      <c r="B2567" s="18">
        <v>2023</v>
      </c>
      <c r="C2567" s="18" t="s">
        <v>792</v>
      </c>
      <c r="D2567" s="18" t="s">
        <v>1011</v>
      </c>
      <c r="E2567" s="18" t="s">
        <v>56</v>
      </c>
      <c r="F2567" s="18" t="s">
        <v>672</v>
      </c>
      <c r="G2567" s="18" t="s">
        <v>677</v>
      </c>
      <c r="H2567" s="18" t="s">
        <v>836</v>
      </c>
      <c r="I2567" s="315">
        <v>19.535014356526631</v>
      </c>
      <c r="J2567" s="315">
        <v>1.0378410219348928E-3</v>
      </c>
      <c r="K2567" s="316" t="str">
        <f t="shared" si="48"/>
        <v>Commercial Equipment</v>
      </c>
      <c r="L2567" s="316" t="str">
        <f t="shared" si="49"/>
        <v>LPG</v>
      </c>
      <c r="M2567" s="194"/>
      <c r="N2567" s="317"/>
      <c r="O2567" s="317"/>
      <c r="P2567" s="317"/>
      <c r="Q2567" s="317"/>
      <c r="R2567" s="317"/>
      <c r="S2567" s="317"/>
      <c r="T2567" s="317"/>
      <c r="U2567" s="317"/>
      <c r="V2567" s="317"/>
      <c r="W2567" s="317"/>
      <c r="X2567" s="317"/>
      <c r="Y2567" s="317"/>
      <c r="Z2567" s="317"/>
    </row>
    <row r="2568" spans="1:26" x14ac:dyDescent="0.25">
      <c r="A2568" s="314"/>
      <c r="B2568" s="18">
        <v>2023</v>
      </c>
      <c r="C2568" s="18" t="s">
        <v>787</v>
      </c>
      <c r="D2568" s="18" t="s">
        <v>1077</v>
      </c>
      <c r="E2568" s="18" t="s">
        <v>713</v>
      </c>
      <c r="F2568" s="18" t="s">
        <v>714</v>
      </c>
      <c r="G2568" s="18" t="s">
        <v>675</v>
      </c>
      <c r="H2568" s="18" t="s">
        <v>1078</v>
      </c>
      <c r="I2568" s="315">
        <v>19.531147965156329</v>
      </c>
      <c r="J2568" s="315">
        <v>4.9529581216004091E-4</v>
      </c>
      <c r="K2568" s="316" t="str">
        <f t="shared" si="48"/>
        <v>Industrial Equipment</v>
      </c>
      <c r="L2568" s="316" t="str">
        <f t="shared" si="49"/>
        <v>Diesel</v>
      </c>
      <c r="M2568" s="194"/>
      <c r="N2568" s="317"/>
      <c r="O2568" s="317"/>
      <c r="P2568" s="317"/>
      <c r="Q2568" s="317"/>
      <c r="R2568" s="317"/>
      <c r="S2568" s="317"/>
      <c r="T2568" s="317"/>
      <c r="U2568" s="317"/>
      <c r="V2568" s="317"/>
      <c r="W2568" s="317"/>
      <c r="X2568" s="317"/>
      <c r="Y2568" s="317"/>
      <c r="Z2568" s="317"/>
    </row>
    <row r="2569" spans="1:26" x14ac:dyDescent="0.25">
      <c r="A2569" s="314"/>
      <c r="B2569" s="18">
        <v>2023</v>
      </c>
      <c r="C2569" s="18" t="s">
        <v>706</v>
      </c>
      <c r="D2569" s="18" t="s">
        <v>1407</v>
      </c>
      <c r="E2569" s="18" t="s">
        <v>56</v>
      </c>
      <c r="F2569" s="18" t="s">
        <v>672</v>
      </c>
      <c r="G2569" s="18" t="s">
        <v>675</v>
      </c>
      <c r="H2569" s="18" t="s">
        <v>1078</v>
      </c>
      <c r="I2569" s="315">
        <v>19.455121467923799</v>
      </c>
      <c r="J2569" s="315">
        <v>1.748057530134544E-3</v>
      </c>
      <c r="K2569" s="316" t="str">
        <f t="shared" si="48"/>
        <v>Industrial Equipment</v>
      </c>
      <c r="L2569" s="316" t="str">
        <f t="shared" si="49"/>
        <v>LPG</v>
      </c>
      <c r="M2569" s="194"/>
      <c r="N2569" s="317"/>
      <c r="O2569" s="317"/>
      <c r="P2569" s="317"/>
      <c r="Q2569" s="317"/>
      <c r="R2569" s="317"/>
      <c r="S2569" s="317"/>
      <c r="T2569" s="317"/>
      <c r="U2569" s="317"/>
      <c r="V2569" s="317"/>
      <c r="W2569" s="317"/>
      <c r="X2569" s="317"/>
      <c r="Y2569" s="317"/>
      <c r="Z2569" s="317"/>
    </row>
    <row r="2570" spans="1:26" x14ac:dyDescent="0.25">
      <c r="A2570" s="314"/>
      <c r="B2570" s="18">
        <v>2023</v>
      </c>
      <c r="C2570" s="18" t="s">
        <v>750</v>
      </c>
      <c r="D2570" s="18" t="s">
        <v>1065</v>
      </c>
      <c r="E2570" s="18" t="s">
        <v>703</v>
      </c>
      <c r="F2570" s="18" t="s">
        <v>795</v>
      </c>
      <c r="G2570" s="18" t="s">
        <v>673</v>
      </c>
      <c r="H2570" s="18" t="s">
        <v>1066</v>
      </c>
      <c r="I2570" s="315">
        <v>19.447679421944422</v>
      </c>
      <c r="J2570" s="315">
        <v>0.13283665455538082</v>
      </c>
      <c r="K2570" s="316" t="str">
        <f t="shared" si="48"/>
        <v>Lawn and Garden Equipment</v>
      </c>
      <c r="L2570" s="316" t="str">
        <f t="shared" si="49"/>
        <v>Gasoline</v>
      </c>
      <c r="M2570" s="194"/>
      <c r="N2570" s="317"/>
      <c r="O2570" s="317"/>
      <c r="P2570" s="317"/>
      <c r="Q2570" s="317"/>
      <c r="R2570" s="317"/>
      <c r="S2570" s="317"/>
      <c r="T2570" s="317"/>
      <c r="U2570" s="317"/>
      <c r="V2570" s="317"/>
      <c r="W2570" s="317"/>
      <c r="X2570" s="317"/>
      <c r="Y2570" s="317"/>
      <c r="Z2570" s="317"/>
    </row>
    <row r="2571" spans="1:26" x14ac:dyDescent="0.25">
      <c r="A2571" s="314"/>
      <c r="B2571" s="18">
        <v>2023</v>
      </c>
      <c r="C2571" s="18" t="s">
        <v>709</v>
      </c>
      <c r="D2571" s="18" t="s">
        <v>1360</v>
      </c>
      <c r="E2571" s="18" t="s">
        <v>713</v>
      </c>
      <c r="F2571" s="18" t="s">
        <v>714</v>
      </c>
      <c r="G2571" s="18" t="s">
        <v>674</v>
      </c>
      <c r="H2571" s="18" t="s">
        <v>1220</v>
      </c>
      <c r="I2571" s="315">
        <v>19.408765832576588</v>
      </c>
      <c r="J2571" s="315">
        <v>8.6337610184506115E-4</v>
      </c>
      <c r="K2571" s="316" t="str">
        <f t="shared" si="48"/>
        <v>Construction and Mining Equipment</v>
      </c>
      <c r="L2571" s="316" t="str">
        <f t="shared" si="49"/>
        <v>Diesel</v>
      </c>
      <c r="M2571" s="194"/>
      <c r="N2571" s="317"/>
      <c r="O2571" s="317"/>
      <c r="P2571" s="317"/>
      <c r="Q2571" s="317"/>
      <c r="R2571" s="317"/>
      <c r="S2571" s="317"/>
      <c r="T2571" s="317"/>
      <c r="U2571" s="317"/>
      <c r="V2571" s="317"/>
      <c r="W2571" s="317"/>
      <c r="X2571" s="317"/>
      <c r="Y2571" s="317"/>
      <c r="Z2571" s="317"/>
    </row>
    <row r="2572" spans="1:26" x14ac:dyDescent="0.25">
      <c r="A2572" s="314"/>
      <c r="B2572" s="18">
        <v>2023</v>
      </c>
      <c r="C2572" s="18" t="s">
        <v>727</v>
      </c>
      <c r="D2572" s="18" t="s">
        <v>1023</v>
      </c>
      <c r="E2572" s="18" t="s">
        <v>703</v>
      </c>
      <c r="F2572" s="18" t="s">
        <v>704</v>
      </c>
      <c r="G2572" s="18" t="s">
        <v>674</v>
      </c>
      <c r="H2572" s="18" t="s">
        <v>736</v>
      </c>
      <c r="I2572" s="315">
        <v>19.40532919621683</v>
      </c>
      <c r="J2572" s="315">
        <v>1.2875824342054327E-2</v>
      </c>
      <c r="K2572" s="316" t="str">
        <f t="shared" si="48"/>
        <v>Construction and Mining Equipment</v>
      </c>
      <c r="L2572" s="316" t="str">
        <f t="shared" si="49"/>
        <v>Gasoline</v>
      </c>
      <c r="M2572" s="194"/>
      <c r="N2572" s="317"/>
      <c r="O2572" s="317"/>
      <c r="P2572" s="317"/>
      <c r="Q2572" s="317"/>
      <c r="R2572" s="317"/>
      <c r="S2572" s="317"/>
      <c r="T2572" s="317"/>
      <c r="U2572" s="317"/>
      <c r="V2572" s="317"/>
      <c r="W2572" s="317"/>
      <c r="X2572" s="317"/>
      <c r="Y2572" s="317"/>
      <c r="Z2572" s="317"/>
    </row>
    <row r="2573" spans="1:26" x14ac:dyDescent="0.25">
      <c r="A2573" s="314"/>
      <c r="B2573" s="18">
        <v>2023</v>
      </c>
      <c r="C2573" s="18" t="s">
        <v>701</v>
      </c>
      <c r="D2573" s="18" t="s">
        <v>1339</v>
      </c>
      <c r="E2573" s="18" t="s">
        <v>56</v>
      </c>
      <c r="F2573" s="18" t="s">
        <v>672</v>
      </c>
      <c r="G2573" s="18" t="s">
        <v>674</v>
      </c>
      <c r="H2573" s="18" t="s">
        <v>770</v>
      </c>
      <c r="I2573" s="315">
        <v>19.344385484709818</v>
      </c>
      <c r="J2573" s="315">
        <v>1.42843868099368E-3</v>
      </c>
      <c r="K2573" s="316" t="str">
        <f t="shared" si="48"/>
        <v>Construction and Mining Equipment</v>
      </c>
      <c r="L2573" s="316" t="str">
        <f t="shared" si="49"/>
        <v>LPG</v>
      </c>
      <c r="M2573" s="194"/>
      <c r="N2573" s="317"/>
      <c r="O2573" s="317"/>
      <c r="P2573" s="317"/>
      <c r="Q2573" s="317"/>
      <c r="R2573" s="317"/>
      <c r="S2573" s="317"/>
      <c r="T2573" s="317"/>
      <c r="U2573" s="317"/>
      <c r="V2573" s="317"/>
      <c r="W2573" s="317"/>
      <c r="X2573" s="317"/>
      <c r="Y2573" s="317"/>
      <c r="Z2573" s="317"/>
    </row>
    <row r="2574" spans="1:26" x14ac:dyDescent="0.25">
      <c r="A2574" s="314"/>
      <c r="B2574" s="18">
        <v>2023</v>
      </c>
      <c r="C2574" s="18" t="s">
        <v>762</v>
      </c>
      <c r="D2574" s="18" t="s">
        <v>979</v>
      </c>
      <c r="E2574" s="18" t="s">
        <v>703</v>
      </c>
      <c r="F2574" s="18" t="s">
        <v>704</v>
      </c>
      <c r="G2574" s="18" t="s">
        <v>675</v>
      </c>
      <c r="H2574" s="18" t="s">
        <v>802</v>
      </c>
      <c r="I2574" s="315">
        <v>19.337190126098239</v>
      </c>
      <c r="J2574" s="315">
        <v>6.9537914277515833E-3</v>
      </c>
      <c r="K2574" s="316" t="str">
        <f t="shared" si="48"/>
        <v>Industrial Equipment</v>
      </c>
      <c r="L2574" s="316" t="str">
        <f t="shared" si="49"/>
        <v>Gasoline</v>
      </c>
      <c r="M2574" s="194"/>
      <c r="N2574" s="317"/>
      <c r="O2574" s="317"/>
      <c r="P2574" s="317"/>
      <c r="Q2574" s="317"/>
      <c r="R2574" s="317"/>
      <c r="S2574" s="317"/>
      <c r="T2574" s="317"/>
      <c r="U2574" s="317"/>
      <c r="V2574" s="317"/>
      <c r="W2574" s="317"/>
      <c r="X2574" s="317"/>
      <c r="Y2574" s="317"/>
      <c r="Z2574" s="317"/>
    </row>
    <row r="2575" spans="1:26" x14ac:dyDescent="0.25">
      <c r="A2575" s="314"/>
      <c r="B2575" s="18">
        <v>2023</v>
      </c>
      <c r="C2575" s="18" t="s">
        <v>787</v>
      </c>
      <c r="D2575" s="18" t="s">
        <v>1011</v>
      </c>
      <c r="E2575" s="18" t="s">
        <v>56</v>
      </c>
      <c r="F2575" s="18" t="s">
        <v>672</v>
      </c>
      <c r="G2575" s="18" t="s">
        <v>677</v>
      </c>
      <c r="H2575" s="18" t="s">
        <v>836</v>
      </c>
      <c r="I2575" s="315">
        <v>19.234468568317737</v>
      </c>
      <c r="J2575" s="315">
        <v>1.0218747854170791E-3</v>
      </c>
      <c r="K2575" s="316" t="str">
        <f t="shared" si="48"/>
        <v>Commercial Equipment</v>
      </c>
      <c r="L2575" s="316" t="str">
        <f t="shared" si="49"/>
        <v>LPG</v>
      </c>
      <c r="M2575" s="194"/>
      <c r="N2575" s="317"/>
      <c r="O2575" s="317"/>
      <c r="P2575" s="317"/>
      <c r="Q2575" s="317"/>
      <c r="R2575" s="317"/>
      <c r="S2575" s="317"/>
      <c r="T2575" s="317"/>
      <c r="U2575" s="317"/>
      <c r="V2575" s="317"/>
      <c r="W2575" s="317"/>
      <c r="X2575" s="317"/>
      <c r="Y2575" s="317"/>
      <c r="Z2575" s="317"/>
    </row>
    <row r="2576" spans="1:26" x14ac:dyDescent="0.25">
      <c r="A2576" s="314"/>
      <c r="B2576" s="18">
        <v>2023</v>
      </c>
      <c r="C2576" s="18" t="s">
        <v>709</v>
      </c>
      <c r="D2576" s="18" t="s">
        <v>1361</v>
      </c>
      <c r="E2576" s="18" t="s">
        <v>56</v>
      </c>
      <c r="F2576" s="18" t="s">
        <v>672</v>
      </c>
      <c r="G2576" s="18" t="s">
        <v>674</v>
      </c>
      <c r="H2576" s="18" t="s">
        <v>783</v>
      </c>
      <c r="I2576" s="315">
        <v>19.170925983506127</v>
      </c>
      <c r="J2576" s="315">
        <v>8.800694807435354E-4</v>
      </c>
      <c r="K2576" s="316" t="str">
        <f t="shared" si="48"/>
        <v>Construction and Mining Equipment</v>
      </c>
      <c r="L2576" s="316" t="str">
        <f t="shared" si="49"/>
        <v>LPG</v>
      </c>
      <c r="M2576" s="194"/>
      <c r="N2576" s="317"/>
      <c r="O2576" s="317"/>
      <c r="P2576" s="317"/>
      <c r="Q2576" s="317"/>
      <c r="R2576" s="317"/>
      <c r="S2576" s="317"/>
      <c r="T2576" s="317"/>
      <c r="U2576" s="317"/>
      <c r="V2576" s="317"/>
      <c r="W2576" s="317"/>
      <c r="X2576" s="317"/>
      <c r="Y2576" s="317"/>
      <c r="Z2576" s="317"/>
    </row>
    <row r="2577" spans="1:26" x14ac:dyDescent="0.25">
      <c r="A2577" s="314"/>
      <c r="B2577" s="18">
        <v>2023</v>
      </c>
      <c r="C2577" s="18" t="s">
        <v>786</v>
      </c>
      <c r="D2577" s="18" t="s">
        <v>962</v>
      </c>
      <c r="E2577" s="18" t="s">
        <v>703</v>
      </c>
      <c r="F2577" s="18" t="s">
        <v>704</v>
      </c>
      <c r="G2577" s="18" t="s">
        <v>673</v>
      </c>
      <c r="H2577" s="18" t="s">
        <v>963</v>
      </c>
      <c r="I2577" s="315">
        <v>19.130228444838146</v>
      </c>
      <c r="J2577" s="315">
        <v>1.3197138625872422E-2</v>
      </c>
      <c r="K2577" s="316" t="str">
        <f t="shared" si="48"/>
        <v>Lawn and Garden Equipment</v>
      </c>
      <c r="L2577" s="316" t="str">
        <f t="shared" si="49"/>
        <v>Gasoline</v>
      </c>
      <c r="M2577" s="194"/>
      <c r="N2577" s="317"/>
      <c r="O2577" s="317"/>
      <c r="P2577" s="317"/>
      <c r="Q2577" s="317"/>
      <c r="R2577" s="317"/>
      <c r="S2577" s="317"/>
      <c r="T2577" s="317"/>
      <c r="U2577" s="317"/>
      <c r="V2577" s="317"/>
      <c r="W2577" s="317"/>
      <c r="X2577" s="317"/>
      <c r="Y2577" s="317"/>
      <c r="Z2577" s="317"/>
    </row>
    <row r="2578" spans="1:26" ht="12.75" x14ac:dyDescent="0.2">
      <c r="A2578" s="230"/>
      <c r="B2578" s="18">
        <v>2023</v>
      </c>
      <c r="C2578" s="18" t="s">
        <v>762</v>
      </c>
      <c r="D2578" s="18" t="s">
        <v>1018</v>
      </c>
      <c r="E2578" s="18" t="s">
        <v>56</v>
      </c>
      <c r="F2578" s="18" t="s">
        <v>672</v>
      </c>
      <c r="G2578" s="18" t="s">
        <v>677</v>
      </c>
      <c r="H2578" s="18" t="s">
        <v>785</v>
      </c>
      <c r="I2578" s="315">
        <v>19.095088231250173</v>
      </c>
      <c r="J2578" s="315">
        <v>9.3703795630161726E-4</v>
      </c>
      <c r="K2578" s="316" t="str">
        <f t="shared" si="48"/>
        <v>Commercial Equipment</v>
      </c>
      <c r="L2578" s="316" t="str">
        <f t="shared" si="49"/>
        <v>LPG</v>
      </c>
      <c r="M2578" s="8"/>
      <c r="N2578" s="2"/>
      <c r="O2578" s="2"/>
      <c r="P2578" s="2"/>
      <c r="Q2578" s="2"/>
      <c r="R2578" s="2"/>
      <c r="S2578" s="2"/>
      <c r="T2578" s="2"/>
      <c r="U2578" s="2"/>
      <c r="V2578" s="2"/>
      <c r="W2578" s="2"/>
      <c r="X2578" s="2"/>
      <c r="Y2578" s="2"/>
      <c r="Z2578" s="2"/>
    </row>
    <row r="2579" spans="1:26" x14ac:dyDescent="0.25">
      <c r="A2579" s="314"/>
      <c r="B2579" s="18">
        <v>2023</v>
      </c>
      <c r="C2579" s="18" t="s">
        <v>727</v>
      </c>
      <c r="D2579" s="18" t="s">
        <v>1020</v>
      </c>
      <c r="E2579" s="18" t="s">
        <v>713</v>
      </c>
      <c r="F2579" s="18" t="s">
        <v>714</v>
      </c>
      <c r="G2579" s="18" t="s">
        <v>677</v>
      </c>
      <c r="H2579" s="18" t="s">
        <v>789</v>
      </c>
      <c r="I2579" s="315">
        <v>19.087467126424269</v>
      </c>
      <c r="J2579" s="315">
        <v>4.392680136520222E-4</v>
      </c>
      <c r="K2579" s="316" t="str">
        <f t="shared" si="48"/>
        <v>Commercial Equipment</v>
      </c>
      <c r="L2579" s="316" t="str">
        <f t="shared" si="49"/>
        <v>Diesel</v>
      </c>
      <c r="M2579" s="194"/>
      <c r="N2579" s="317"/>
      <c r="O2579" s="317"/>
      <c r="P2579" s="317"/>
      <c r="Q2579" s="317"/>
      <c r="R2579" s="317"/>
      <c r="S2579" s="317"/>
      <c r="T2579" s="317"/>
      <c r="U2579" s="317"/>
      <c r="V2579" s="317"/>
      <c r="W2579" s="317"/>
      <c r="X2579" s="317"/>
      <c r="Y2579" s="317"/>
      <c r="Z2579" s="317"/>
    </row>
    <row r="2580" spans="1:26" x14ac:dyDescent="0.25">
      <c r="A2580" s="314"/>
      <c r="B2580" s="18">
        <v>2023</v>
      </c>
      <c r="C2580" s="18" t="s">
        <v>760</v>
      </c>
      <c r="D2580" s="18" t="s">
        <v>1221</v>
      </c>
      <c r="E2580" s="18" t="s">
        <v>713</v>
      </c>
      <c r="F2580" s="18" t="s">
        <v>714</v>
      </c>
      <c r="G2580" s="18" t="s">
        <v>678</v>
      </c>
      <c r="H2580" s="18" t="s">
        <v>1222</v>
      </c>
      <c r="I2580" s="315">
        <v>19.042978147634518</v>
      </c>
      <c r="J2580" s="315">
        <v>1.2686466449927599E-4</v>
      </c>
      <c r="K2580" s="316" t="str">
        <f t="shared" si="48"/>
        <v>Agricultural Equipment</v>
      </c>
      <c r="L2580" s="316" t="str">
        <f t="shared" si="49"/>
        <v>Diesel</v>
      </c>
      <c r="M2580" s="194"/>
      <c r="N2580" s="317"/>
      <c r="O2580" s="317"/>
      <c r="P2580" s="317"/>
      <c r="Q2580" s="317"/>
      <c r="R2580" s="317"/>
      <c r="S2580" s="317"/>
      <c r="T2580" s="317"/>
      <c r="U2580" s="317"/>
      <c r="V2580" s="317"/>
      <c r="W2580" s="317"/>
      <c r="X2580" s="317"/>
      <c r="Y2580" s="317"/>
      <c r="Z2580" s="317"/>
    </row>
    <row r="2581" spans="1:26" x14ac:dyDescent="0.25">
      <c r="A2581" s="314"/>
      <c r="B2581" s="18">
        <v>2023</v>
      </c>
      <c r="C2581" s="18" t="s">
        <v>762</v>
      </c>
      <c r="D2581" s="18" t="s">
        <v>995</v>
      </c>
      <c r="E2581" s="18" t="s">
        <v>703</v>
      </c>
      <c r="F2581" s="18" t="s">
        <v>805</v>
      </c>
      <c r="G2581" s="18" t="s">
        <v>673</v>
      </c>
      <c r="H2581" s="18" t="s">
        <v>996</v>
      </c>
      <c r="I2581" s="315">
        <v>19.01736383120301</v>
      </c>
      <c r="J2581" s="315">
        <v>3.5463890389450921E-2</v>
      </c>
      <c r="K2581" s="316" t="str">
        <f t="shared" si="48"/>
        <v>Lawn and Garden Equipment</v>
      </c>
      <c r="L2581" s="316" t="str">
        <f t="shared" si="49"/>
        <v>Gasoline</v>
      </c>
      <c r="M2581" s="194"/>
      <c r="N2581" s="317"/>
      <c r="O2581" s="317"/>
      <c r="P2581" s="317"/>
      <c r="Q2581" s="317"/>
      <c r="R2581" s="317"/>
      <c r="S2581" s="317"/>
      <c r="T2581" s="317"/>
      <c r="U2581" s="317"/>
      <c r="V2581" s="317"/>
      <c r="W2581" s="317"/>
      <c r="X2581" s="317"/>
      <c r="Y2581" s="317"/>
      <c r="Z2581" s="317"/>
    </row>
    <row r="2582" spans="1:26" x14ac:dyDescent="0.25">
      <c r="A2582" s="314"/>
      <c r="B2582" s="18">
        <v>2023</v>
      </c>
      <c r="C2582" s="18" t="s">
        <v>731</v>
      </c>
      <c r="D2582" s="18" t="s">
        <v>958</v>
      </c>
      <c r="E2582" s="18" t="s">
        <v>713</v>
      </c>
      <c r="F2582" s="18" t="s">
        <v>714</v>
      </c>
      <c r="G2582" s="18" t="s">
        <v>674</v>
      </c>
      <c r="H2582" s="18" t="s">
        <v>959</v>
      </c>
      <c r="I2582" s="315">
        <v>18.991368513354015</v>
      </c>
      <c r="J2582" s="315">
        <v>1.6893813975220733E-4</v>
      </c>
      <c r="K2582" s="316" t="str">
        <f t="shared" si="48"/>
        <v>Construction and Mining Equipment</v>
      </c>
      <c r="L2582" s="316" t="str">
        <f t="shared" si="49"/>
        <v>Diesel</v>
      </c>
      <c r="M2582" s="194"/>
      <c r="N2582" s="317"/>
      <c r="O2582" s="317"/>
      <c r="P2582" s="317"/>
      <c r="Q2582" s="317"/>
      <c r="R2582" s="317"/>
      <c r="S2582" s="317"/>
      <c r="T2582" s="317"/>
      <c r="U2582" s="317"/>
      <c r="V2582" s="317"/>
      <c r="W2582" s="317"/>
      <c r="X2582" s="317"/>
      <c r="Y2582" s="317"/>
      <c r="Z2582" s="317"/>
    </row>
    <row r="2583" spans="1:26" x14ac:dyDescent="0.25">
      <c r="A2583" s="314"/>
      <c r="B2583" s="18">
        <v>2023</v>
      </c>
      <c r="C2583" s="18" t="s">
        <v>793</v>
      </c>
      <c r="D2583" s="18" t="s">
        <v>1023</v>
      </c>
      <c r="E2583" s="18" t="s">
        <v>703</v>
      </c>
      <c r="F2583" s="18" t="s">
        <v>704</v>
      </c>
      <c r="G2583" s="18" t="s">
        <v>674</v>
      </c>
      <c r="H2583" s="18" t="s">
        <v>736</v>
      </c>
      <c r="I2583" s="315">
        <v>18.946588621261011</v>
      </c>
      <c r="J2583" s="315">
        <v>1.2589448897682952E-2</v>
      </c>
      <c r="K2583" s="316" t="str">
        <f t="shared" si="48"/>
        <v>Construction and Mining Equipment</v>
      </c>
      <c r="L2583" s="316" t="str">
        <f t="shared" si="49"/>
        <v>Gasoline</v>
      </c>
      <c r="M2583" s="194"/>
      <c r="N2583" s="317"/>
      <c r="O2583" s="317"/>
      <c r="P2583" s="317"/>
      <c r="Q2583" s="317"/>
      <c r="R2583" s="317"/>
      <c r="S2583" s="317"/>
      <c r="T2583" s="317"/>
      <c r="U2583" s="317"/>
      <c r="V2583" s="317"/>
      <c r="W2583" s="317"/>
      <c r="X2583" s="317"/>
      <c r="Y2583" s="317"/>
      <c r="Z2583" s="317"/>
    </row>
    <row r="2584" spans="1:26" x14ac:dyDescent="0.25">
      <c r="A2584" s="314"/>
      <c r="B2584" s="18">
        <v>2023</v>
      </c>
      <c r="C2584" s="18" t="s">
        <v>709</v>
      </c>
      <c r="D2584" s="18" t="s">
        <v>1362</v>
      </c>
      <c r="E2584" s="18" t="s">
        <v>56</v>
      </c>
      <c r="F2584" s="18" t="s">
        <v>672</v>
      </c>
      <c r="G2584" s="18" t="s">
        <v>674</v>
      </c>
      <c r="H2584" s="18" t="s">
        <v>859</v>
      </c>
      <c r="I2584" s="315">
        <v>18.942120393750368</v>
      </c>
      <c r="J2584" s="315">
        <v>4.6980455961333888E-3</v>
      </c>
      <c r="K2584" s="316" t="str">
        <f t="shared" si="48"/>
        <v>Construction and Mining Equipment</v>
      </c>
      <c r="L2584" s="316" t="str">
        <f t="shared" si="49"/>
        <v>LPG</v>
      </c>
      <c r="M2584" s="194"/>
      <c r="N2584" s="317"/>
      <c r="O2584" s="317"/>
      <c r="P2584" s="317"/>
      <c r="Q2584" s="317"/>
      <c r="R2584" s="317"/>
      <c r="S2584" s="317"/>
      <c r="T2584" s="317"/>
      <c r="U2584" s="317"/>
      <c r="V2584" s="317"/>
      <c r="W2584" s="317"/>
      <c r="X2584" s="317"/>
      <c r="Y2584" s="317"/>
      <c r="Z2584" s="317"/>
    </row>
    <row r="2585" spans="1:26" x14ac:dyDescent="0.25">
      <c r="A2585" s="314"/>
      <c r="B2585" s="18">
        <v>2023</v>
      </c>
      <c r="C2585" s="18" t="s">
        <v>753</v>
      </c>
      <c r="D2585" s="18" t="s">
        <v>998</v>
      </c>
      <c r="E2585" s="18" t="s">
        <v>703</v>
      </c>
      <c r="F2585" s="18" t="s">
        <v>704</v>
      </c>
      <c r="G2585" s="18" t="s">
        <v>674</v>
      </c>
      <c r="H2585" s="18" t="s">
        <v>999</v>
      </c>
      <c r="I2585" s="315">
        <v>18.885564817794858</v>
      </c>
      <c r="J2585" s="315">
        <v>1.2440901843566381E-2</v>
      </c>
      <c r="K2585" s="316" t="str">
        <f t="shared" si="48"/>
        <v>Construction and Mining Equipment</v>
      </c>
      <c r="L2585" s="316" t="str">
        <f t="shared" si="49"/>
        <v>Gasoline</v>
      </c>
      <c r="M2585" s="194"/>
      <c r="N2585" s="317"/>
      <c r="O2585" s="317"/>
      <c r="P2585" s="317"/>
      <c r="Q2585" s="317"/>
      <c r="R2585" s="317"/>
      <c r="S2585" s="317"/>
      <c r="T2585" s="317"/>
      <c r="U2585" s="317"/>
      <c r="V2585" s="317"/>
      <c r="W2585" s="317"/>
      <c r="X2585" s="317"/>
      <c r="Y2585" s="317"/>
      <c r="Z2585" s="317"/>
    </row>
    <row r="2586" spans="1:26" x14ac:dyDescent="0.25">
      <c r="A2586" s="314"/>
      <c r="B2586" s="18">
        <v>2023</v>
      </c>
      <c r="C2586" s="18" t="s">
        <v>762</v>
      </c>
      <c r="D2586" s="18" t="s">
        <v>1409</v>
      </c>
      <c r="E2586" s="18" t="s">
        <v>703</v>
      </c>
      <c r="F2586" s="18" t="s">
        <v>704</v>
      </c>
      <c r="G2586" s="18" t="s">
        <v>678</v>
      </c>
      <c r="H2586" s="18" t="s">
        <v>1222</v>
      </c>
      <c r="I2586" s="315">
        <v>18.872880301938967</v>
      </c>
      <c r="J2586" s="315">
        <v>1.2457534823126734E-2</v>
      </c>
      <c r="K2586" s="316" t="str">
        <f t="shared" si="48"/>
        <v>Agricultural Equipment</v>
      </c>
      <c r="L2586" s="316" t="str">
        <f t="shared" si="49"/>
        <v>Gasoline</v>
      </c>
      <c r="M2586" s="194"/>
      <c r="N2586" s="317"/>
      <c r="O2586" s="317"/>
      <c r="P2586" s="317"/>
      <c r="Q2586" s="317"/>
      <c r="R2586" s="317"/>
      <c r="S2586" s="317"/>
      <c r="T2586" s="317"/>
      <c r="U2586" s="317"/>
      <c r="V2586" s="317"/>
      <c r="W2586" s="317"/>
      <c r="X2586" s="317"/>
      <c r="Y2586" s="317"/>
      <c r="Z2586" s="317"/>
    </row>
    <row r="2587" spans="1:26" x14ac:dyDescent="0.25">
      <c r="A2587" s="314"/>
      <c r="B2587" s="18">
        <v>2023</v>
      </c>
      <c r="C2587" s="18" t="s">
        <v>786</v>
      </c>
      <c r="D2587" s="18" t="s">
        <v>958</v>
      </c>
      <c r="E2587" s="18" t="s">
        <v>713</v>
      </c>
      <c r="F2587" s="18" t="s">
        <v>714</v>
      </c>
      <c r="G2587" s="18" t="s">
        <v>674</v>
      </c>
      <c r="H2587" s="18" t="s">
        <v>959</v>
      </c>
      <c r="I2587" s="315">
        <v>18.862028886734112</v>
      </c>
      <c r="J2587" s="315">
        <v>1.6778743860300824E-4</v>
      </c>
      <c r="K2587" s="316" t="str">
        <f t="shared" si="48"/>
        <v>Construction and Mining Equipment</v>
      </c>
      <c r="L2587" s="316" t="str">
        <f t="shared" si="49"/>
        <v>Diesel</v>
      </c>
      <c r="M2587" s="194"/>
      <c r="N2587" s="317"/>
      <c r="O2587" s="317"/>
      <c r="P2587" s="317"/>
      <c r="Q2587" s="317"/>
      <c r="R2587" s="317"/>
      <c r="S2587" s="317"/>
      <c r="T2587" s="317"/>
      <c r="U2587" s="317"/>
      <c r="V2587" s="317"/>
      <c r="W2587" s="317"/>
      <c r="X2587" s="317"/>
      <c r="Y2587" s="317"/>
      <c r="Z2587" s="317"/>
    </row>
    <row r="2588" spans="1:26" x14ac:dyDescent="0.25">
      <c r="A2588" s="314"/>
      <c r="B2588" s="18">
        <v>2023</v>
      </c>
      <c r="C2588" s="18" t="s">
        <v>810</v>
      </c>
      <c r="D2588" s="18" t="s">
        <v>979</v>
      </c>
      <c r="E2588" s="18" t="s">
        <v>703</v>
      </c>
      <c r="F2588" s="18" t="s">
        <v>704</v>
      </c>
      <c r="G2588" s="18" t="s">
        <v>675</v>
      </c>
      <c r="H2588" s="18" t="s">
        <v>802</v>
      </c>
      <c r="I2588" s="315">
        <v>18.834773757310309</v>
      </c>
      <c r="J2588" s="315">
        <v>6.870952480857076E-3</v>
      </c>
      <c r="K2588" s="316" t="str">
        <f t="shared" si="48"/>
        <v>Industrial Equipment</v>
      </c>
      <c r="L2588" s="316" t="str">
        <f t="shared" si="49"/>
        <v>Gasoline</v>
      </c>
      <c r="M2588" s="194"/>
      <c r="N2588" s="317"/>
      <c r="O2588" s="317"/>
      <c r="P2588" s="317"/>
      <c r="Q2588" s="317"/>
      <c r="R2588" s="317"/>
      <c r="S2588" s="317"/>
      <c r="T2588" s="317"/>
      <c r="U2588" s="317"/>
      <c r="V2588" s="317"/>
      <c r="W2588" s="317"/>
      <c r="X2588" s="317"/>
      <c r="Y2588" s="317"/>
      <c r="Z2588" s="317"/>
    </row>
    <row r="2589" spans="1:26" x14ac:dyDescent="0.25">
      <c r="A2589" s="314"/>
      <c r="B2589" s="18">
        <v>2023</v>
      </c>
      <c r="C2589" s="18" t="s">
        <v>753</v>
      </c>
      <c r="D2589" s="18" t="s">
        <v>1000</v>
      </c>
      <c r="E2589" s="18" t="s">
        <v>703</v>
      </c>
      <c r="F2589" s="18" t="s">
        <v>704</v>
      </c>
      <c r="G2589" s="18" t="s">
        <v>674</v>
      </c>
      <c r="H2589" s="18" t="s">
        <v>850</v>
      </c>
      <c r="I2589" s="315">
        <v>18.816093160948956</v>
      </c>
      <c r="J2589" s="315">
        <v>1.1420246584964527E-2</v>
      </c>
      <c r="K2589" s="316" t="str">
        <f t="shared" si="48"/>
        <v>Construction and Mining Equipment</v>
      </c>
      <c r="L2589" s="316" t="str">
        <f t="shared" si="49"/>
        <v>Gasoline</v>
      </c>
      <c r="M2589" s="194"/>
      <c r="N2589" s="317"/>
      <c r="O2589" s="317"/>
      <c r="P2589" s="317"/>
      <c r="Q2589" s="317"/>
      <c r="R2589" s="317"/>
      <c r="S2589" s="317"/>
      <c r="T2589" s="317"/>
      <c r="U2589" s="317"/>
      <c r="V2589" s="317"/>
      <c r="W2589" s="317"/>
      <c r="X2589" s="317"/>
      <c r="Y2589" s="317"/>
      <c r="Z2589" s="317"/>
    </row>
    <row r="2590" spans="1:26" x14ac:dyDescent="0.25">
      <c r="A2590" s="314"/>
      <c r="B2590" s="18">
        <v>2023</v>
      </c>
      <c r="C2590" s="18" t="s">
        <v>753</v>
      </c>
      <c r="D2590" s="18" t="s">
        <v>1015</v>
      </c>
      <c r="E2590" s="18" t="s">
        <v>56</v>
      </c>
      <c r="F2590" s="18" t="s">
        <v>601</v>
      </c>
      <c r="G2590" s="18" t="s">
        <v>677</v>
      </c>
      <c r="H2590" s="18" t="s">
        <v>747</v>
      </c>
      <c r="I2590" s="315">
        <v>18.81001531348786</v>
      </c>
      <c r="J2590" s="315">
        <v>0.42082437272667833</v>
      </c>
      <c r="K2590" s="316" t="str">
        <f t="shared" si="48"/>
        <v>Commercial Equipment</v>
      </c>
      <c r="L2590" s="316" t="str">
        <f t="shared" si="49"/>
        <v>CNG</v>
      </c>
      <c r="M2590" s="194"/>
      <c r="N2590" s="317"/>
      <c r="O2590" s="317"/>
      <c r="P2590" s="317"/>
      <c r="Q2590" s="317"/>
      <c r="R2590" s="317"/>
      <c r="S2590" s="317"/>
      <c r="T2590" s="317"/>
      <c r="U2590" s="317"/>
      <c r="V2590" s="317"/>
      <c r="W2590" s="317"/>
      <c r="X2590" s="317"/>
      <c r="Y2590" s="317"/>
      <c r="Z2590" s="317"/>
    </row>
    <row r="2591" spans="1:26" x14ac:dyDescent="0.25">
      <c r="A2591" s="314"/>
      <c r="B2591" s="18">
        <v>2023</v>
      </c>
      <c r="C2591" s="18" t="s">
        <v>773</v>
      </c>
      <c r="D2591" s="18" t="s">
        <v>1394</v>
      </c>
      <c r="E2591" s="18" t="s">
        <v>703</v>
      </c>
      <c r="F2591" s="18" t="s">
        <v>805</v>
      </c>
      <c r="G2591" s="18" t="s">
        <v>681</v>
      </c>
      <c r="H2591" s="18" t="s">
        <v>1395</v>
      </c>
      <c r="I2591" s="315">
        <v>18.805742291962087</v>
      </c>
      <c r="J2591" s="315">
        <v>3.2573689086082061E-2</v>
      </c>
      <c r="K2591" s="316" t="str">
        <f t="shared" si="48"/>
        <v>Logging Equipment</v>
      </c>
      <c r="L2591" s="316" t="str">
        <f t="shared" si="49"/>
        <v>Gasoline</v>
      </c>
      <c r="M2591" s="194"/>
      <c r="N2591" s="317"/>
      <c r="O2591" s="317"/>
      <c r="P2591" s="317"/>
      <c r="Q2591" s="317"/>
      <c r="R2591" s="317"/>
      <c r="S2591" s="317"/>
      <c r="T2591" s="317"/>
      <c r="U2591" s="317"/>
      <c r="V2591" s="317"/>
      <c r="W2591" s="317"/>
      <c r="X2591" s="317"/>
      <c r="Y2591" s="317"/>
      <c r="Z2591" s="317"/>
    </row>
    <row r="2592" spans="1:26" x14ac:dyDescent="0.25">
      <c r="A2592" s="314"/>
      <c r="B2592" s="18">
        <v>2023</v>
      </c>
      <c r="C2592" s="18" t="s">
        <v>787</v>
      </c>
      <c r="D2592" s="18" t="s">
        <v>1229</v>
      </c>
      <c r="E2592" s="18" t="s">
        <v>713</v>
      </c>
      <c r="F2592" s="18" t="s">
        <v>714</v>
      </c>
      <c r="G2592" s="18" t="s">
        <v>678</v>
      </c>
      <c r="H2592" s="18" t="s">
        <v>1230</v>
      </c>
      <c r="I2592" s="315">
        <v>18.792611479967139</v>
      </c>
      <c r="J2592" s="315">
        <v>1.4170089695901206E-4</v>
      </c>
      <c r="K2592" s="316" t="str">
        <f t="shared" si="48"/>
        <v>Agricultural Equipment</v>
      </c>
      <c r="L2592" s="316" t="str">
        <f t="shared" si="49"/>
        <v>Diesel</v>
      </c>
      <c r="M2592" s="194"/>
      <c r="N2592" s="317"/>
      <c r="O2592" s="317"/>
      <c r="P2592" s="317"/>
      <c r="Q2592" s="317"/>
      <c r="R2592" s="317"/>
      <c r="S2592" s="317"/>
      <c r="T2592" s="317"/>
      <c r="U2592" s="317"/>
      <c r="V2592" s="317"/>
      <c r="W2592" s="317"/>
      <c r="X2592" s="317"/>
      <c r="Y2592" s="317"/>
      <c r="Z2592" s="317"/>
    </row>
    <row r="2593" spans="1:26" x14ac:dyDescent="0.25">
      <c r="A2593" s="314"/>
      <c r="B2593" s="18">
        <v>2023</v>
      </c>
      <c r="C2593" s="18" t="s">
        <v>722</v>
      </c>
      <c r="D2593" s="18" t="s">
        <v>1158</v>
      </c>
      <c r="E2593" s="18" t="s">
        <v>703</v>
      </c>
      <c r="F2593" s="18" t="s">
        <v>704</v>
      </c>
      <c r="G2593" s="18" t="s">
        <v>674</v>
      </c>
      <c r="H2593" s="18" t="s">
        <v>715</v>
      </c>
      <c r="I2593" s="315">
        <v>18.704175245961341</v>
      </c>
      <c r="J2593" s="315">
        <v>1.2976683991265604E-3</v>
      </c>
      <c r="K2593" s="316" t="str">
        <f t="shared" si="48"/>
        <v>Construction and Mining Equipment</v>
      </c>
      <c r="L2593" s="316" t="str">
        <f t="shared" si="49"/>
        <v>Gasoline</v>
      </c>
      <c r="M2593" s="194"/>
      <c r="N2593" s="317"/>
      <c r="O2593" s="317"/>
      <c r="P2593" s="317"/>
      <c r="Q2593" s="317"/>
      <c r="R2593" s="317"/>
      <c r="S2593" s="317"/>
      <c r="T2593" s="317"/>
      <c r="U2593" s="317"/>
      <c r="V2593" s="317"/>
      <c r="W2593" s="317"/>
      <c r="X2593" s="317"/>
      <c r="Y2593" s="317"/>
      <c r="Z2593" s="317"/>
    </row>
    <row r="2594" spans="1:26" x14ac:dyDescent="0.25">
      <c r="A2594" s="314"/>
      <c r="B2594" s="18">
        <v>2023</v>
      </c>
      <c r="C2594" s="18" t="s">
        <v>710</v>
      </c>
      <c r="D2594" s="18" t="s">
        <v>1009</v>
      </c>
      <c r="E2594" s="18" t="s">
        <v>713</v>
      </c>
      <c r="F2594" s="18" t="s">
        <v>714</v>
      </c>
      <c r="G2594" s="18" t="s">
        <v>673</v>
      </c>
      <c r="H2594" s="18" t="s">
        <v>1010</v>
      </c>
      <c r="I2594" s="315">
        <v>18.645771091784461</v>
      </c>
      <c r="J2594" s="315">
        <v>2.7210654016120574E-4</v>
      </c>
      <c r="K2594" s="316" t="str">
        <f t="shared" si="48"/>
        <v>Lawn and Garden Equipment</v>
      </c>
      <c r="L2594" s="316" t="str">
        <f t="shared" si="49"/>
        <v>Diesel</v>
      </c>
      <c r="M2594" s="194"/>
      <c r="N2594" s="317"/>
      <c r="O2594" s="317"/>
      <c r="P2594" s="317"/>
      <c r="Q2594" s="317"/>
      <c r="R2594" s="317"/>
      <c r="S2594" s="317"/>
      <c r="T2594" s="317"/>
      <c r="U2594" s="317"/>
      <c r="V2594" s="317"/>
      <c r="W2594" s="317"/>
      <c r="X2594" s="317"/>
      <c r="Y2594" s="317"/>
      <c r="Z2594" s="317"/>
    </row>
    <row r="2595" spans="1:26" x14ac:dyDescent="0.25">
      <c r="A2595" s="314"/>
      <c r="B2595" s="18">
        <v>2023</v>
      </c>
      <c r="C2595" s="18" t="s">
        <v>753</v>
      </c>
      <c r="D2595" s="18" t="s">
        <v>1320</v>
      </c>
      <c r="E2595" s="18" t="s">
        <v>713</v>
      </c>
      <c r="F2595" s="18" t="s">
        <v>676</v>
      </c>
      <c r="G2595" s="18" t="s">
        <v>79</v>
      </c>
      <c r="H2595" s="18" t="s">
        <v>730</v>
      </c>
      <c r="I2595" s="315">
        <v>18.63142094236256</v>
      </c>
      <c r="J2595" s="315">
        <v>1.2182476105361236E-3</v>
      </c>
      <c r="K2595" s="316" t="str">
        <f t="shared" si="48"/>
        <v>Pleasure Craft</v>
      </c>
      <c r="L2595" s="316" t="str">
        <f t="shared" si="49"/>
        <v>Diesel</v>
      </c>
      <c r="M2595" s="194"/>
      <c r="N2595" s="317"/>
      <c r="O2595" s="317"/>
      <c r="P2595" s="317"/>
      <c r="Q2595" s="317"/>
      <c r="R2595" s="317"/>
      <c r="S2595" s="317"/>
      <c r="T2595" s="317"/>
      <c r="U2595" s="317"/>
      <c r="V2595" s="317"/>
      <c r="W2595" s="317"/>
      <c r="X2595" s="317"/>
      <c r="Y2595" s="317"/>
      <c r="Z2595" s="317"/>
    </row>
    <row r="2596" spans="1:26" x14ac:dyDescent="0.25">
      <c r="A2596" s="314"/>
      <c r="B2596" s="18">
        <v>2023</v>
      </c>
      <c r="C2596" s="18" t="s">
        <v>709</v>
      </c>
      <c r="D2596" s="18" t="s">
        <v>1079</v>
      </c>
      <c r="E2596" s="18" t="s">
        <v>713</v>
      </c>
      <c r="F2596" s="18" t="s">
        <v>714</v>
      </c>
      <c r="G2596" s="18" t="s">
        <v>678</v>
      </c>
      <c r="H2596" s="18" t="s">
        <v>1080</v>
      </c>
      <c r="I2596" s="315">
        <v>18.59881410417281</v>
      </c>
      <c r="J2596" s="315">
        <v>1.3497926404419501E-4</v>
      </c>
      <c r="K2596" s="316" t="str">
        <f t="shared" si="48"/>
        <v>Agricultural Equipment</v>
      </c>
      <c r="L2596" s="316" t="str">
        <f t="shared" si="49"/>
        <v>Diesel</v>
      </c>
      <c r="M2596" s="194"/>
      <c r="N2596" s="317"/>
      <c r="O2596" s="317"/>
      <c r="P2596" s="317"/>
      <c r="Q2596" s="317"/>
      <c r="R2596" s="317"/>
      <c r="S2596" s="317"/>
      <c r="T2596" s="317"/>
      <c r="U2596" s="317"/>
      <c r="V2596" s="317"/>
      <c r="W2596" s="317"/>
      <c r="X2596" s="317"/>
      <c r="Y2596" s="317"/>
      <c r="Z2596" s="317"/>
    </row>
    <row r="2597" spans="1:26" x14ac:dyDescent="0.25">
      <c r="A2597" s="314"/>
      <c r="B2597" s="18">
        <v>2023</v>
      </c>
      <c r="C2597" s="18" t="s">
        <v>810</v>
      </c>
      <c r="D2597" s="18" t="s">
        <v>995</v>
      </c>
      <c r="E2597" s="18" t="s">
        <v>703</v>
      </c>
      <c r="F2597" s="18" t="s">
        <v>805</v>
      </c>
      <c r="G2597" s="18" t="s">
        <v>673</v>
      </c>
      <c r="H2597" s="18" t="s">
        <v>996</v>
      </c>
      <c r="I2597" s="315">
        <v>18.55989333847846</v>
      </c>
      <c r="J2597" s="315">
        <v>3.4610789494517943E-2</v>
      </c>
      <c r="K2597" s="316" t="str">
        <f t="shared" si="48"/>
        <v>Lawn and Garden Equipment</v>
      </c>
      <c r="L2597" s="316" t="str">
        <f t="shared" si="49"/>
        <v>Gasoline</v>
      </c>
      <c r="M2597" s="194"/>
      <c r="N2597" s="317"/>
      <c r="O2597" s="317"/>
      <c r="P2597" s="317"/>
      <c r="Q2597" s="317"/>
      <c r="R2597" s="317"/>
      <c r="S2597" s="317"/>
      <c r="T2597" s="317"/>
      <c r="U2597" s="317"/>
      <c r="V2597" s="317"/>
      <c r="W2597" s="317"/>
      <c r="X2597" s="317"/>
      <c r="Y2597" s="317"/>
      <c r="Z2597" s="317"/>
    </row>
    <row r="2598" spans="1:26" x14ac:dyDescent="0.25">
      <c r="A2598" s="314"/>
      <c r="B2598" s="18">
        <v>2023</v>
      </c>
      <c r="C2598" s="18" t="s">
        <v>709</v>
      </c>
      <c r="D2598" s="18" t="s">
        <v>1366</v>
      </c>
      <c r="E2598" s="18" t="s">
        <v>703</v>
      </c>
      <c r="F2598" s="18" t="s">
        <v>704</v>
      </c>
      <c r="G2598" s="18" t="s">
        <v>674</v>
      </c>
      <c r="H2598" s="18" t="s">
        <v>791</v>
      </c>
      <c r="I2598" s="315">
        <v>18.558976425380568</v>
      </c>
      <c r="J2598" s="315">
        <v>5.8047317355591418E-3</v>
      </c>
      <c r="K2598" s="316" t="str">
        <f t="shared" ref="K2598:K2852" si="50">IF(F2598="Pleasure Craft","Pleasure Craft",IF(F2598="Railroad Equipment","Railroad Equipment",G2598))</f>
        <v>Construction and Mining Equipment</v>
      </c>
      <c r="L2598" s="316" t="str">
        <f t="shared" ref="L2598:L2852" si="51">IF(E2598="Non-Road Gasoline","Gasoline",IF(E2598="Non-Road Diesel","Diesel",IF(RIGHT(F2598,3)="LPG","LPG",IF(RIGHT(F2598,3)="CNG","CNG",G2598))))</f>
        <v>Gasoline</v>
      </c>
      <c r="M2598" s="194"/>
      <c r="N2598" s="317"/>
      <c r="O2598" s="317"/>
      <c r="P2598" s="317"/>
      <c r="Q2598" s="317"/>
      <c r="R2598" s="317"/>
      <c r="S2598" s="317"/>
      <c r="T2598" s="317"/>
      <c r="U2598" s="317"/>
      <c r="V2598" s="317"/>
      <c r="W2598" s="317"/>
      <c r="X2598" s="317"/>
      <c r="Y2598" s="317"/>
      <c r="Z2598" s="317"/>
    </row>
    <row r="2599" spans="1:26" x14ac:dyDescent="0.25">
      <c r="A2599" s="314"/>
      <c r="B2599" s="18">
        <v>2023</v>
      </c>
      <c r="C2599" s="18" t="s">
        <v>781</v>
      </c>
      <c r="D2599" s="18" t="s">
        <v>964</v>
      </c>
      <c r="E2599" s="18" t="s">
        <v>56</v>
      </c>
      <c r="F2599" s="18" t="s">
        <v>601</v>
      </c>
      <c r="G2599" s="18" t="s">
        <v>677</v>
      </c>
      <c r="H2599" s="18" t="s">
        <v>965</v>
      </c>
      <c r="I2599" s="315">
        <v>18.545873670653208</v>
      </c>
      <c r="J2599" s="315">
        <v>8.862370191192441E-2</v>
      </c>
      <c r="K2599" s="316" t="str">
        <f t="shared" si="50"/>
        <v>Commercial Equipment</v>
      </c>
      <c r="L2599" s="316" t="str">
        <f t="shared" si="51"/>
        <v>CNG</v>
      </c>
      <c r="M2599" s="194"/>
      <c r="N2599" s="317"/>
      <c r="O2599" s="317"/>
      <c r="P2599" s="317"/>
      <c r="Q2599" s="317"/>
      <c r="R2599" s="317"/>
      <c r="S2599" s="317"/>
      <c r="T2599" s="317"/>
      <c r="U2599" s="317"/>
      <c r="V2599" s="317"/>
      <c r="W2599" s="317"/>
      <c r="X2599" s="317"/>
      <c r="Y2599" s="317"/>
      <c r="Z2599" s="317"/>
    </row>
    <row r="2600" spans="1:26" x14ac:dyDescent="0.25">
      <c r="A2600" s="314"/>
      <c r="B2600" s="18">
        <v>2023</v>
      </c>
      <c r="C2600" s="18" t="s">
        <v>753</v>
      </c>
      <c r="D2600" s="18" t="s">
        <v>995</v>
      </c>
      <c r="E2600" s="18" t="s">
        <v>703</v>
      </c>
      <c r="F2600" s="18" t="s">
        <v>805</v>
      </c>
      <c r="G2600" s="18" t="s">
        <v>673</v>
      </c>
      <c r="H2600" s="18" t="s">
        <v>996</v>
      </c>
      <c r="I2600" s="315">
        <v>18.512208757045379</v>
      </c>
      <c r="J2600" s="315">
        <v>3.4521850808427242E-2</v>
      </c>
      <c r="K2600" s="316" t="str">
        <f t="shared" si="50"/>
        <v>Lawn and Garden Equipment</v>
      </c>
      <c r="L2600" s="316" t="str">
        <f t="shared" si="51"/>
        <v>Gasoline</v>
      </c>
      <c r="M2600" s="194"/>
      <c r="N2600" s="317"/>
      <c r="O2600" s="317"/>
      <c r="P2600" s="317"/>
      <c r="Q2600" s="317"/>
      <c r="R2600" s="317"/>
      <c r="S2600" s="317"/>
      <c r="T2600" s="317"/>
      <c r="U2600" s="317"/>
      <c r="V2600" s="317"/>
      <c r="W2600" s="317"/>
      <c r="X2600" s="317"/>
      <c r="Y2600" s="317"/>
      <c r="Z2600" s="317"/>
    </row>
    <row r="2601" spans="1:26" x14ac:dyDescent="0.25">
      <c r="A2601" s="314"/>
      <c r="B2601" s="18">
        <v>2023</v>
      </c>
      <c r="C2601" s="18" t="s">
        <v>792</v>
      </c>
      <c r="D2601" s="18" t="s">
        <v>966</v>
      </c>
      <c r="E2601" s="18" t="s">
        <v>703</v>
      </c>
      <c r="F2601" s="18" t="s">
        <v>704</v>
      </c>
      <c r="G2601" s="18" t="s">
        <v>674</v>
      </c>
      <c r="H2601" s="18" t="s">
        <v>967</v>
      </c>
      <c r="I2601" s="315">
        <v>18.503809436581108</v>
      </c>
      <c r="J2601" s="315">
        <v>1.289418799891937E-2</v>
      </c>
      <c r="K2601" s="316" t="str">
        <f t="shared" si="50"/>
        <v>Construction and Mining Equipment</v>
      </c>
      <c r="L2601" s="316" t="str">
        <f t="shared" si="51"/>
        <v>Gasoline</v>
      </c>
      <c r="M2601" s="194"/>
      <c r="N2601" s="317"/>
      <c r="O2601" s="317"/>
      <c r="P2601" s="317"/>
      <c r="Q2601" s="317"/>
      <c r="R2601" s="317"/>
      <c r="S2601" s="317"/>
      <c r="T2601" s="317"/>
      <c r="U2601" s="317"/>
      <c r="V2601" s="317"/>
      <c r="W2601" s="317"/>
      <c r="X2601" s="317"/>
      <c r="Y2601" s="317"/>
      <c r="Z2601" s="317"/>
    </row>
    <row r="2602" spans="1:26" x14ac:dyDescent="0.25">
      <c r="A2602" s="314"/>
      <c r="B2602" s="18">
        <v>2023</v>
      </c>
      <c r="C2602" s="18" t="s">
        <v>743</v>
      </c>
      <c r="D2602" s="18" t="s">
        <v>1017</v>
      </c>
      <c r="E2602" s="18" t="s">
        <v>703</v>
      </c>
      <c r="F2602" s="18" t="s">
        <v>704</v>
      </c>
      <c r="G2602" s="18" t="s">
        <v>673</v>
      </c>
      <c r="H2602" s="18" t="s">
        <v>806</v>
      </c>
      <c r="I2602" s="315">
        <v>18.502167694590106</v>
      </c>
      <c r="J2602" s="315">
        <v>1.3090422167008901E-2</v>
      </c>
      <c r="K2602" s="316" t="str">
        <f t="shared" si="50"/>
        <v>Lawn and Garden Equipment</v>
      </c>
      <c r="L2602" s="316" t="str">
        <f t="shared" si="51"/>
        <v>Gasoline</v>
      </c>
      <c r="M2602" s="194"/>
      <c r="N2602" s="317"/>
      <c r="O2602" s="317"/>
      <c r="P2602" s="317"/>
      <c r="Q2602" s="317"/>
      <c r="R2602" s="317"/>
      <c r="S2602" s="317"/>
      <c r="T2602" s="317"/>
      <c r="U2602" s="317"/>
      <c r="V2602" s="317"/>
      <c r="W2602" s="317"/>
      <c r="X2602" s="317"/>
      <c r="Y2602" s="317"/>
      <c r="Z2602" s="317"/>
    </row>
    <row r="2603" spans="1:26" x14ac:dyDescent="0.25">
      <c r="A2603" s="314"/>
      <c r="B2603" s="18">
        <v>2023</v>
      </c>
      <c r="C2603" s="18" t="s">
        <v>701</v>
      </c>
      <c r="D2603" s="18" t="s">
        <v>1221</v>
      </c>
      <c r="E2603" s="18" t="s">
        <v>713</v>
      </c>
      <c r="F2603" s="18" t="s">
        <v>714</v>
      </c>
      <c r="G2603" s="18" t="s">
        <v>678</v>
      </c>
      <c r="H2603" s="18" t="s">
        <v>1222</v>
      </c>
      <c r="I2603" s="315">
        <v>18.500059989783782</v>
      </c>
      <c r="J2603" s="315">
        <v>1.2324776505353503E-4</v>
      </c>
      <c r="K2603" s="316" t="str">
        <f t="shared" si="50"/>
        <v>Agricultural Equipment</v>
      </c>
      <c r="L2603" s="316" t="str">
        <f t="shared" si="51"/>
        <v>Diesel</v>
      </c>
      <c r="M2603" s="194"/>
      <c r="N2603" s="317"/>
      <c r="O2603" s="317"/>
      <c r="P2603" s="317"/>
      <c r="Q2603" s="317"/>
      <c r="R2603" s="317"/>
      <c r="S2603" s="317"/>
      <c r="T2603" s="317"/>
      <c r="U2603" s="317"/>
      <c r="V2603" s="317"/>
      <c r="W2603" s="317"/>
      <c r="X2603" s="317"/>
      <c r="Y2603" s="317"/>
      <c r="Z2603" s="317"/>
    </row>
    <row r="2604" spans="1:26" x14ac:dyDescent="0.25">
      <c r="A2604" s="314"/>
      <c r="B2604" s="18">
        <v>2023</v>
      </c>
      <c r="C2604" s="18" t="s">
        <v>750</v>
      </c>
      <c r="D2604" s="18" t="s">
        <v>1071</v>
      </c>
      <c r="E2604" s="18" t="s">
        <v>713</v>
      </c>
      <c r="F2604" s="18" t="s">
        <v>714</v>
      </c>
      <c r="G2604" s="18" t="s">
        <v>674</v>
      </c>
      <c r="H2604" s="18" t="s">
        <v>1072</v>
      </c>
      <c r="I2604" s="315">
        <v>18.463760083337601</v>
      </c>
      <c r="J2604" s="315">
        <v>2.4721749558580854E-4</v>
      </c>
      <c r="K2604" s="316" t="str">
        <f t="shared" si="50"/>
        <v>Construction and Mining Equipment</v>
      </c>
      <c r="L2604" s="316" t="str">
        <f t="shared" si="51"/>
        <v>Diesel</v>
      </c>
      <c r="M2604" s="194"/>
      <c r="N2604" s="317"/>
      <c r="O2604" s="317"/>
      <c r="P2604" s="317"/>
      <c r="Q2604" s="317"/>
      <c r="R2604" s="317"/>
      <c r="S2604" s="317"/>
      <c r="T2604" s="317"/>
      <c r="U2604" s="317"/>
      <c r="V2604" s="317"/>
      <c r="W2604" s="317"/>
      <c r="X2604" s="317"/>
      <c r="Y2604" s="317"/>
      <c r="Z2604" s="317"/>
    </row>
    <row r="2605" spans="1:26" x14ac:dyDescent="0.25">
      <c r="A2605" s="314"/>
      <c r="B2605" s="18">
        <v>2023</v>
      </c>
      <c r="C2605" s="18" t="s">
        <v>732</v>
      </c>
      <c r="D2605" s="18" t="s">
        <v>1409</v>
      </c>
      <c r="E2605" s="18" t="s">
        <v>703</v>
      </c>
      <c r="F2605" s="18" t="s">
        <v>704</v>
      </c>
      <c r="G2605" s="18" t="s">
        <v>678</v>
      </c>
      <c r="H2605" s="18" t="s">
        <v>1222</v>
      </c>
      <c r="I2605" s="315">
        <v>18.409797216247512</v>
      </c>
      <c r="J2605" s="315">
        <v>1.2191458232306031E-2</v>
      </c>
      <c r="K2605" s="316" t="str">
        <f t="shared" si="50"/>
        <v>Agricultural Equipment</v>
      </c>
      <c r="L2605" s="316" t="str">
        <f t="shared" si="51"/>
        <v>Gasoline</v>
      </c>
      <c r="M2605" s="194"/>
      <c r="N2605" s="317"/>
      <c r="O2605" s="317"/>
      <c r="P2605" s="317"/>
      <c r="Q2605" s="317"/>
      <c r="R2605" s="317"/>
      <c r="S2605" s="317"/>
      <c r="T2605" s="317"/>
      <c r="U2605" s="317"/>
      <c r="V2605" s="317"/>
      <c r="W2605" s="317"/>
      <c r="X2605" s="317"/>
      <c r="Y2605" s="317"/>
      <c r="Z2605" s="317"/>
    </row>
    <row r="2606" spans="1:26" x14ac:dyDescent="0.25">
      <c r="A2606" s="314"/>
      <c r="B2606" s="18">
        <v>2023</v>
      </c>
      <c r="C2606" s="18" t="s">
        <v>762</v>
      </c>
      <c r="D2606" s="18" t="s">
        <v>1020</v>
      </c>
      <c r="E2606" s="18" t="s">
        <v>713</v>
      </c>
      <c r="F2606" s="18" t="s">
        <v>714</v>
      </c>
      <c r="G2606" s="18" t="s">
        <v>677</v>
      </c>
      <c r="H2606" s="18" t="s">
        <v>789</v>
      </c>
      <c r="I2606" s="315">
        <v>18.389151593347179</v>
      </c>
      <c r="J2606" s="315">
        <v>4.2319681311344146E-4</v>
      </c>
      <c r="K2606" s="316" t="str">
        <f t="shared" si="50"/>
        <v>Commercial Equipment</v>
      </c>
      <c r="L2606" s="316" t="str">
        <f t="shared" si="51"/>
        <v>Diesel</v>
      </c>
      <c r="M2606" s="194"/>
      <c r="N2606" s="317"/>
      <c r="O2606" s="317"/>
      <c r="P2606" s="317"/>
      <c r="Q2606" s="317"/>
      <c r="R2606" s="317"/>
      <c r="S2606" s="317"/>
      <c r="T2606" s="317"/>
      <c r="U2606" s="317"/>
      <c r="V2606" s="317"/>
      <c r="W2606" s="317"/>
      <c r="X2606" s="317"/>
      <c r="Y2606" s="317"/>
      <c r="Z2606" s="317"/>
    </row>
    <row r="2607" spans="1:26" x14ac:dyDescent="0.25">
      <c r="A2607" s="314"/>
      <c r="B2607" s="18">
        <v>2023</v>
      </c>
      <c r="C2607" s="18" t="s">
        <v>778</v>
      </c>
      <c r="D2607" s="18" t="s">
        <v>1018</v>
      </c>
      <c r="E2607" s="18" t="s">
        <v>56</v>
      </c>
      <c r="F2607" s="18" t="s">
        <v>672</v>
      </c>
      <c r="G2607" s="18" t="s">
        <v>677</v>
      </c>
      <c r="H2607" s="18" t="s">
        <v>785</v>
      </c>
      <c r="I2607" s="315">
        <v>18.36995410986383</v>
      </c>
      <c r="J2607" s="315">
        <v>9.014561596982567E-4</v>
      </c>
      <c r="K2607" s="316" t="str">
        <f t="shared" si="50"/>
        <v>Commercial Equipment</v>
      </c>
      <c r="L2607" s="316" t="str">
        <f t="shared" si="51"/>
        <v>LPG</v>
      </c>
      <c r="M2607" s="194"/>
      <c r="N2607" s="317"/>
      <c r="O2607" s="317"/>
      <c r="P2607" s="317"/>
      <c r="Q2607" s="317"/>
      <c r="R2607" s="317"/>
      <c r="S2607" s="317"/>
      <c r="T2607" s="317"/>
      <c r="U2607" s="317"/>
      <c r="V2607" s="317"/>
      <c r="W2607" s="317"/>
      <c r="X2607" s="317"/>
      <c r="Y2607" s="317"/>
      <c r="Z2607" s="317"/>
    </row>
    <row r="2608" spans="1:26" x14ac:dyDescent="0.25">
      <c r="A2608" s="314"/>
      <c r="B2608" s="18">
        <v>2023</v>
      </c>
      <c r="C2608" s="18" t="s">
        <v>706</v>
      </c>
      <c r="D2608" s="18" t="s">
        <v>1416</v>
      </c>
      <c r="E2608" s="18" t="s">
        <v>56</v>
      </c>
      <c r="F2608" s="18" t="s">
        <v>672</v>
      </c>
      <c r="G2608" s="18" t="s">
        <v>674</v>
      </c>
      <c r="H2608" s="18" t="s">
        <v>861</v>
      </c>
      <c r="I2608" s="315">
        <v>18.28988129692787</v>
      </c>
      <c r="J2608" s="315">
        <v>1.2354158406137067E-2</v>
      </c>
      <c r="K2608" s="316" t="str">
        <f t="shared" si="50"/>
        <v>Construction and Mining Equipment</v>
      </c>
      <c r="L2608" s="316" t="str">
        <f t="shared" si="51"/>
        <v>LPG</v>
      </c>
      <c r="M2608" s="194"/>
      <c r="N2608" s="317"/>
      <c r="O2608" s="317"/>
      <c r="P2608" s="317"/>
      <c r="Q2608" s="317"/>
      <c r="R2608" s="317"/>
      <c r="S2608" s="317"/>
      <c r="T2608" s="317"/>
      <c r="U2608" s="317"/>
      <c r="V2608" s="317"/>
      <c r="W2608" s="317"/>
      <c r="X2608" s="317"/>
      <c r="Y2608" s="317"/>
      <c r="Z2608" s="317"/>
    </row>
    <row r="2609" spans="1:26" x14ac:dyDescent="0.25">
      <c r="A2609" s="314"/>
      <c r="B2609" s="18">
        <v>2023</v>
      </c>
      <c r="C2609" s="18" t="s">
        <v>792</v>
      </c>
      <c r="D2609" s="18" t="s">
        <v>1015</v>
      </c>
      <c r="E2609" s="18" t="s">
        <v>56</v>
      </c>
      <c r="F2609" s="18" t="s">
        <v>601</v>
      </c>
      <c r="G2609" s="18" t="s">
        <v>677</v>
      </c>
      <c r="H2609" s="18" t="s">
        <v>747</v>
      </c>
      <c r="I2609" s="315">
        <v>18.248517325492603</v>
      </c>
      <c r="J2609" s="315">
        <v>0.40826320237124641</v>
      </c>
      <c r="K2609" s="316" t="str">
        <f t="shared" si="50"/>
        <v>Commercial Equipment</v>
      </c>
      <c r="L2609" s="316" t="str">
        <f t="shared" si="51"/>
        <v>CNG</v>
      </c>
      <c r="M2609" s="194"/>
      <c r="N2609" s="317"/>
      <c r="O2609" s="317"/>
      <c r="P2609" s="317"/>
      <c r="Q2609" s="317"/>
      <c r="R2609" s="317"/>
      <c r="S2609" s="317"/>
      <c r="T2609" s="317"/>
      <c r="U2609" s="317"/>
      <c r="V2609" s="317"/>
      <c r="W2609" s="317"/>
      <c r="X2609" s="317"/>
      <c r="Y2609" s="317"/>
      <c r="Z2609" s="317"/>
    </row>
    <row r="2610" spans="1:26" x14ac:dyDescent="0.25">
      <c r="A2610" s="314"/>
      <c r="B2610" s="18">
        <v>2023</v>
      </c>
      <c r="C2610" s="18" t="s">
        <v>793</v>
      </c>
      <c r="D2610" s="18" t="s">
        <v>968</v>
      </c>
      <c r="E2610" s="18" t="s">
        <v>703</v>
      </c>
      <c r="F2610" s="18" t="s">
        <v>704</v>
      </c>
      <c r="G2610" s="18" t="s">
        <v>675</v>
      </c>
      <c r="H2610" s="18" t="s">
        <v>969</v>
      </c>
      <c r="I2610" s="315">
        <v>18.243629308985206</v>
      </c>
      <c r="J2610" s="315">
        <v>5.8214116264459935E-3</v>
      </c>
      <c r="K2610" s="316" t="str">
        <f t="shared" si="50"/>
        <v>Industrial Equipment</v>
      </c>
      <c r="L2610" s="316" t="str">
        <f t="shared" si="51"/>
        <v>Gasoline</v>
      </c>
      <c r="M2610" s="194"/>
      <c r="N2610" s="317"/>
      <c r="O2610" s="317"/>
      <c r="P2610" s="317"/>
      <c r="Q2610" s="317"/>
      <c r="R2610" s="317"/>
      <c r="S2610" s="317"/>
      <c r="T2610" s="317"/>
      <c r="U2610" s="317"/>
      <c r="V2610" s="317"/>
      <c r="W2610" s="317"/>
      <c r="X2610" s="317"/>
      <c r="Y2610" s="317"/>
      <c r="Z2610" s="317"/>
    </row>
    <row r="2611" spans="1:26" x14ac:dyDescent="0.25">
      <c r="A2611" s="314"/>
      <c r="B2611" s="18">
        <v>2023</v>
      </c>
      <c r="C2611" s="18" t="s">
        <v>773</v>
      </c>
      <c r="D2611" s="18" t="s">
        <v>1278</v>
      </c>
      <c r="E2611" s="18" t="s">
        <v>703</v>
      </c>
      <c r="F2611" s="18" t="s">
        <v>704</v>
      </c>
      <c r="G2611" s="18" t="s">
        <v>678</v>
      </c>
      <c r="H2611" s="18" t="s">
        <v>1279</v>
      </c>
      <c r="I2611" s="315">
        <v>18.194025206340211</v>
      </c>
      <c r="J2611" s="315">
        <v>2.420272734468909E-2</v>
      </c>
      <c r="K2611" s="316" t="str">
        <f t="shared" si="50"/>
        <v>Agricultural Equipment</v>
      </c>
      <c r="L2611" s="316" t="str">
        <f t="shared" si="51"/>
        <v>Gasoline</v>
      </c>
      <c r="M2611" s="194"/>
      <c r="N2611" s="317"/>
      <c r="O2611" s="317"/>
      <c r="P2611" s="317"/>
      <c r="Q2611" s="317"/>
      <c r="R2611" s="317"/>
      <c r="S2611" s="317"/>
      <c r="T2611" s="317"/>
      <c r="U2611" s="317"/>
      <c r="V2611" s="317"/>
      <c r="W2611" s="317"/>
      <c r="X2611" s="317"/>
      <c r="Y2611" s="317"/>
      <c r="Z2611" s="317"/>
    </row>
    <row r="2612" spans="1:26" x14ac:dyDescent="0.25">
      <c r="A2612" s="314"/>
      <c r="B2612" s="18">
        <v>2023</v>
      </c>
      <c r="C2612" s="18" t="s">
        <v>760</v>
      </c>
      <c r="D2612" s="18" t="s">
        <v>1212</v>
      </c>
      <c r="E2612" s="18" t="s">
        <v>56</v>
      </c>
      <c r="F2612" s="18" t="s">
        <v>672</v>
      </c>
      <c r="G2612" s="18" t="s">
        <v>675</v>
      </c>
      <c r="H2612" s="18" t="s">
        <v>798</v>
      </c>
      <c r="I2612" s="315">
        <v>18.192734702284838</v>
      </c>
      <c r="J2612" s="315">
        <v>8.2201577911850913E-4</v>
      </c>
      <c r="K2612" s="316" t="str">
        <f t="shared" si="50"/>
        <v>Industrial Equipment</v>
      </c>
      <c r="L2612" s="316" t="str">
        <f t="shared" si="51"/>
        <v>LPG</v>
      </c>
      <c r="M2612" s="194"/>
      <c r="N2612" s="317"/>
      <c r="O2612" s="317"/>
      <c r="P2612" s="317"/>
      <c r="Q2612" s="317"/>
      <c r="R2612" s="317"/>
      <c r="S2612" s="317"/>
      <c r="T2612" s="317"/>
      <c r="U2612" s="317"/>
      <c r="V2612" s="317"/>
      <c r="W2612" s="317"/>
      <c r="X2612" s="317"/>
      <c r="Y2612" s="317"/>
      <c r="Z2612" s="317"/>
    </row>
    <row r="2613" spans="1:26" x14ac:dyDescent="0.25">
      <c r="A2613" s="314"/>
      <c r="B2613" s="18">
        <v>2023</v>
      </c>
      <c r="C2613" s="18" t="s">
        <v>781</v>
      </c>
      <c r="D2613" s="18" t="s">
        <v>984</v>
      </c>
      <c r="E2613" s="18" t="s">
        <v>703</v>
      </c>
      <c r="F2613" s="18" t="s">
        <v>704</v>
      </c>
      <c r="G2613" s="18" t="s">
        <v>673</v>
      </c>
      <c r="H2613" s="18" t="s">
        <v>985</v>
      </c>
      <c r="I2613" s="315">
        <v>18.190412301359434</v>
      </c>
      <c r="J2613" s="315">
        <v>1.2335156572525097E-2</v>
      </c>
      <c r="K2613" s="316" t="str">
        <f t="shared" si="50"/>
        <v>Lawn and Garden Equipment</v>
      </c>
      <c r="L2613" s="316" t="str">
        <f t="shared" si="51"/>
        <v>Gasoline</v>
      </c>
      <c r="M2613" s="194"/>
      <c r="N2613" s="317"/>
      <c r="O2613" s="317"/>
      <c r="P2613" s="317"/>
      <c r="Q2613" s="317"/>
      <c r="R2613" s="317"/>
      <c r="S2613" s="317"/>
      <c r="T2613" s="317"/>
      <c r="U2613" s="317"/>
      <c r="V2613" s="317"/>
      <c r="W2613" s="317"/>
      <c r="X2613" s="317"/>
      <c r="Y2613" s="317"/>
      <c r="Z2613" s="317"/>
    </row>
    <row r="2614" spans="1:26" x14ac:dyDescent="0.25">
      <c r="A2614" s="314"/>
      <c r="B2614" s="18">
        <v>2023</v>
      </c>
      <c r="C2614" s="18" t="s">
        <v>787</v>
      </c>
      <c r="D2614" s="18" t="s">
        <v>1073</v>
      </c>
      <c r="E2614" s="18" t="s">
        <v>703</v>
      </c>
      <c r="F2614" s="18" t="s">
        <v>704</v>
      </c>
      <c r="G2614" s="18" t="s">
        <v>674</v>
      </c>
      <c r="H2614" s="18" t="s">
        <v>1072</v>
      </c>
      <c r="I2614" s="315">
        <v>18.15880459776514</v>
      </c>
      <c r="J2614" s="315">
        <v>1.2826418608568134E-2</v>
      </c>
      <c r="K2614" s="316" t="str">
        <f t="shared" si="50"/>
        <v>Construction and Mining Equipment</v>
      </c>
      <c r="L2614" s="316" t="str">
        <f t="shared" si="51"/>
        <v>Gasoline</v>
      </c>
      <c r="M2614" s="194"/>
      <c r="N2614" s="317"/>
      <c r="O2614" s="317"/>
      <c r="P2614" s="317"/>
      <c r="Q2614" s="317"/>
      <c r="R2614" s="317"/>
      <c r="S2614" s="317"/>
      <c r="T2614" s="317"/>
      <c r="U2614" s="317"/>
      <c r="V2614" s="317"/>
      <c r="W2614" s="317"/>
      <c r="X2614" s="317"/>
      <c r="Y2614" s="317"/>
      <c r="Z2614" s="317"/>
    </row>
    <row r="2615" spans="1:26" x14ac:dyDescent="0.25">
      <c r="A2615" s="314"/>
      <c r="B2615" s="18">
        <v>2023</v>
      </c>
      <c r="C2615" s="18" t="s">
        <v>787</v>
      </c>
      <c r="D2615" s="18" t="s">
        <v>1074</v>
      </c>
      <c r="E2615" s="18" t="s">
        <v>713</v>
      </c>
      <c r="F2615" s="18" t="s">
        <v>714</v>
      </c>
      <c r="G2615" s="18" t="s">
        <v>674</v>
      </c>
      <c r="H2615" s="18" t="s">
        <v>967</v>
      </c>
      <c r="I2615" s="315">
        <v>18.104578115185639</v>
      </c>
      <c r="J2615" s="315">
        <v>3.1111836805433461E-4</v>
      </c>
      <c r="K2615" s="316" t="str">
        <f t="shared" si="50"/>
        <v>Construction and Mining Equipment</v>
      </c>
      <c r="L2615" s="316" t="str">
        <f t="shared" si="51"/>
        <v>Diesel</v>
      </c>
      <c r="M2615" s="194"/>
      <c r="N2615" s="317"/>
      <c r="O2615" s="317"/>
      <c r="P2615" s="317"/>
      <c r="Q2615" s="317"/>
      <c r="R2615" s="317"/>
      <c r="S2615" s="317"/>
      <c r="T2615" s="317"/>
      <c r="U2615" s="317"/>
      <c r="V2615" s="317"/>
      <c r="W2615" s="317"/>
      <c r="X2615" s="317"/>
      <c r="Y2615" s="317"/>
      <c r="Z2615" s="317"/>
    </row>
    <row r="2616" spans="1:26" x14ac:dyDescent="0.25">
      <c r="A2616" s="314"/>
      <c r="B2616" s="18">
        <v>2023</v>
      </c>
      <c r="C2616" s="18" t="s">
        <v>778</v>
      </c>
      <c r="D2616" s="18" t="s">
        <v>1153</v>
      </c>
      <c r="E2616" s="18" t="s">
        <v>713</v>
      </c>
      <c r="F2616" s="18" t="s">
        <v>714</v>
      </c>
      <c r="G2616" s="18" t="s">
        <v>678</v>
      </c>
      <c r="H2616" s="18" t="s">
        <v>1154</v>
      </c>
      <c r="I2616" s="315">
        <v>18.104571035741955</v>
      </c>
      <c r="J2616" s="315">
        <v>2.3629913159965604E-4</v>
      </c>
      <c r="K2616" s="316" t="str">
        <f t="shared" si="50"/>
        <v>Agricultural Equipment</v>
      </c>
      <c r="L2616" s="316" t="str">
        <f t="shared" si="51"/>
        <v>Diesel</v>
      </c>
      <c r="M2616" s="194"/>
      <c r="N2616" s="317"/>
      <c r="O2616" s="317"/>
      <c r="P2616" s="317"/>
      <c r="Q2616" s="317"/>
      <c r="R2616" s="317"/>
      <c r="S2616" s="317"/>
      <c r="T2616" s="317"/>
      <c r="U2616" s="317"/>
      <c r="V2616" s="317"/>
      <c r="W2616" s="317"/>
      <c r="X2616" s="317"/>
      <c r="Y2616" s="317"/>
      <c r="Z2616" s="317"/>
    </row>
    <row r="2617" spans="1:26" x14ac:dyDescent="0.25">
      <c r="A2617" s="314"/>
      <c r="B2617" s="18">
        <v>2023</v>
      </c>
      <c r="C2617" s="18" t="s">
        <v>810</v>
      </c>
      <c r="D2617" s="18" t="s">
        <v>1001</v>
      </c>
      <c r="E2617" s="18" t="s">
        <v>713</v>
      </c>
      <c r="F2617" s="18" t="s">
        <v>683</v>
      </c>
      <c r="G2617" s="18" t="s">
        <v>79</v>
      </c>
      <c r="H2617" s="18" t="s">
        <v>1002</v>
      </c>
      <c r="I2617" s="315">
        <v>18.059051017495207</v>
      </c>
      <c r="J2617" s="315">
        <v>6.0699544926949784E-4</v>
      </c>
      <c r="K2617" s="316" t="str">
        <f t="shared" si="50"/>
        <v>Railroad Equipment</v>
      </c>
      <c r="L2617" s="316" t="str">
        <f t="shared" si="51"/>
        <v>Diesel</v>
      </c>
      <c r="M2617" s="194"/>
      <c r="N2617" s="317"/>
      <c r="O2617" s="317"/>
      <c r="P2617" s="317"/>
      <c r="Q2617" s="317"/>
      <c r="R2617" s="317"/>
      <c r="S2617" s="317"/>
      <c r="T2617" s="317"/>
      <c r="U2617" s="317"/>
      <c r="V2617" s="317"/>
      <c r="W2617" s="317"/>
      <c r="X2617" s="317"/>
      <c r="Y2617" s="317"/>
      <c r="Z2617" s="317"/>
    </row>
    <row r="2618" spans="1:26" x14ac:dyDescent="0.25">
      <c r="A2618" s="314"/>
      <c r="B2618" s="18">
        <v>2023</v>
      </c>
      <c r="C2618" s="18" t="s">
        <v>778</v>
      </c>
      <c r="D2618" s="18" t="s">
        <v>1158</v>
      </c>
      <c r="E2618" s="18" t="s">
        <v>703</v>
      </c>
      <c r="F2618" s="18" t="s">
        <v>704</v>
      </c>
      <c r="G2618" s="18" t="s">
        <v>674</v>
      </c>
      <c r="H2618" s="18" t="s">
        <v>715</v>
      </c>
      <c r="I2618" s="315">
        <v>18.029774978977823</v>
      </c>
      <c r="J2618" s="315">
        <v>1.2478275085405677E-3</v>
      </c>
      <c r="K2618" s="316" t="str">
        <f t="shared" si="50"/>
        <v>Construction and Mining Equipment</v>
      </c>
      <c r="L2618" s="316" t="str">
        <f t="shared" si="51"/>
        <v>Gasoline</v>
      </c>
      <c r="M2618" s="194"/>
      <c r="N2618" s="317"/>
      <c r="O2618" s="317"/>
      <c r="P2618" s="317"/>
      <c r="Q2618" s="317"/>
      <c r="R2618" s="317"/>
      <c r="S2618" s="317"/>
      <c r="T2618" s="317"/>
      <c r="U2618" s="317"/>
      <c r="V2618" s="317"/>
      <c r="W2618" s="317"/>
      <c r="X2618" s="317"/>
      <c r="Y2618" s="317"/>
      <c r="Z2618" s="317"/>
    </row>
    <row r="2619" spans="1:26" x14ac:dyDescent="0.25">
      <c r="A2619" s="314"/>
      <c r="B2619" s="18">
        <v>2023</v>
      </c>
      <c r="C2619" s="18" t="s">
        <v>787</v>
      </c>
      <c r="D2619" s="18" t="s">
        <v>1015</v>
      </c>
      <c r="E2619" s="18" t="s">
        <v>56</v>
      </c>
      <c r="F2619" s="18" t="s">
        <v>601</v>
      </c>
      <c r="G2619" s="18" t="s">
        <v>677</v>
      </c>
      <c r="H2619" s="18" t="s">
        <v>747</v>
      </c>
      <c r="I2619" s="315">
        <v>17.967768490813405</v>
      </c>
      <c r="J2619" s="315">
        <v>0.40198208995582363</v>
      </c>
      <c r="K2619" s="316" t="str">
        <f t="shared" si="50"/>
        <v>Commercial Equipment</v>
      </c>
      <c r="L2619" s="316" t="str">
        <f t="shared" si="51"/>
        <v>CNG</v>
      </c>
      <c r="M2619" s="194"/>
      <c r="N2619" s="317"/>
      <c r="O2619" s="317"/>
      <c r="P2619" s="317"/>
      <c r="Q2619" s="317"/>
      <c r="R2619" s="317"/>
      <c r="S2619" s="317"/>
      <c r="T2619" s="317"/>
      <c r="U2619" s="317"/>
      <c r="V2619" s="317"/>
      <c r="W2619" s="317"/>
      <c r="X2619" s="317"/>
      <c r="Y2619" s="317"/>
      <c r="Z2619" s="317"/>
    </row>
    <row r="2620" spans="1:26" x14ac:dyDescent="0.25">
      <c r="A2620" s="314"/>
      <c r="B2620" s="18">
        <v>2023</v>
      </c>
      <c r="C2620" s="18" t="s">
        <v>731</v>
      </c>
      <c r="D2620" s="18" t="s">
        <v>989</v>
      </c>
      <c r="E2620" s="18" t="s">
        <v>703</v>
      </c>
      <c r="F2620" s="18" t="s">
        <v>795</v>
      </c>
      <c r="G2620" s="18" t="s">
        <v>673</v>
      </c>
      <c r="H2620" s="18" t="s">
        <v>990</v>
      </c>
      <c r="I2620" s="315">
        <v>17.921103050011073</v>
      </c>
      <c r="J2620" s="315">
        <v>3.4498546754822904E-2</v>
      </c>
      <c r="K2620" s="316" t="str">
        <f t="shared" si="50"/>
        <v>Lawn and Garden Equipment</v>
      </c>
      <c r="L2620" s="316" t="str">
        <f t="shared" si="51"/>
        <v>Gasoline</v>
      </c>
      <c r="M2620" s="194"/>
      <c r="N2620" s="317"/>
      <c r="O2620" s="317"/>
      <c r="P2620" s="317"/>
      <c r="Q2620" s="317"/>
      <c r="R2620" s="317"/>
      <c r="S2620" s="317"/>
      <c r="T2620" s="317"/>
      <c r="U2620" s="317"/>
      <c r="V2620" s="317"/>
      <c r="W2620" s="317"/>
      <c r="X2620" s="317"/>
      <c r="Y2620" s="317"/>
      <c r="Z2620" s="317"/>
    </row>
    <row r="2621" spans="1:26" x14ac:dyDescent="0.25">
      <c r="A2621" s="314"/>
      <c r="B2621" s="18">
        <v>2023</v>
      </c>
      <c r="C2621" s="18" t="s">
        <v>778</v>
      </c>
      <c r="D2621" s="18" t="s">
        <v>988</v>
      </c>
      <c r="E2621" s="18" t="s">
        <v>703</v>
      </c>
      <c r="F2621" s="18" t="s">
        <v>805</v>
      </c>
      <c r="G2621" s="18" t="s">
        <v>673</v>
      </c>
      <c r="H2621" s="18" t="s">
        <v>768</v>
      </c>
      <c r="I2621" s="315">
        <v>17.813760341093296</v>
      </c>
      <c r="J2621" s="315">
        <v>3.316390609258453E-2</v>
      </c>
      <c r="K2621" s="316" t="str">
        <f t="shared" si="50"/>
        <v>Lawn and Garden Equipment</v>
      </c>
      <c r="L2621" s="316" t="str">
        <f t="shared" si="51"/>
        <v>Gasoline</v>
      </c>
      <c r="M2621" s="194"/>
      <c r="N2621" s="317"/>
      <c r="O2621" s="317"/>
      <c r="P2621" s="317"/>
      <c r="Q2621" s="317"/>
      <c r="R2621" s="317"/>
      <c r="S2621" s="317"/>
      <c r="T2621" s="317"/>
      <c r="U2621" s="317"/>
      <c r="V2621" s="317"/>
      <c r="W2621" s="317"/>
      <c r="X2621" s="317"/>
      <c r="Y2621" s="317"/>
      <c r="Z2621" s="317"/>
    </row>
    <row r="2622" spans="1:26" x14ac:dyDescent="0.25">
      <c r="A2622" s="314"/>
      <c r="B2622" s="18">
        <v>2023</v>
      </c>
      <c r="C2622" s="18" t="s">
        <v>810</v>
      </c>
      <c r="D2622" s="18" t="s">
        <v>998</v>
      </c>
      <c r="E2622" s="18" t="s">
        <v>703</v>
      </c>
      <c r="F2622" s="18" t="s">
        <v>704</v>
      </c>
      <c r="G2622" s="18" t="s">
        <v>674</v>
      </c>
      <c r="H2622" s="18" t="s">
        <v>999</v>
      </c>
      <c r="I2622" s="315">
        <v>17.799926611333735</v>
      </c>
      <c r="J2622" s="315">
        <v>1.1905527076551299E-2</v>
      </c>
      <c r="K2622" s="316" t="str">
        <f t="shared" si="50"/>
        <v>Construction and Mining Equipment</v>
      </c>
      <c r="L2622" s="316" t="str">
        <f t="shared" si="51"/>
        <v>Gasoline</v>
      </c>
      <c r="M2622" s="194"/>
      <c r="N2622" s="317"/>
      <c r="O2622" s="317"/>
      <c r="P2622" s="317"/>
      <c r="Q2622" s="317"/>
      <c r="R2622" s="317"/>
      <c r="S2622" s="317"/>
      <c r="T2622" s="317"/>
      <c r="U2622" s="317"/>
      <c r="V2622" s="317"/>
      <c r="W2622" s="317"/>
      <c r="X2622" s="317"/>
      <c r="Y2622" s="317"/>
      <c r="Z2622" s="317"/>
    </row>
    <row r="2623" spans="1:26" x14ac:dyDescent="0.25">
      <c r="A2623" s="314"/>
      <c r="B2623" s="18">
        <v>2023</v>
      </c>
      <c r="C2623" s="18" t="s">
        <v>759</v>
      </c>
      <c r="D2623" s="18" t="s">
        <v>1224</v>
      </c>
      <c r="E2623" s="18" t="s">
        <v>703</v>
      </c>
      <c r="F2623" s="18" t="s">
        <v>704</v>
      </c>
      <c r="G2623" s="18" t="s">
        <v>681</v>
      </c>
      <c r="H2623" s="18" t="s">
        <v>1225</v>
      </c>
      <c r="I2623" s="315">
        <v>17.742218618420541</v>
      </c>
      <c r="J2623" s="315">
        <v>1.1969813979095101E-2</v>
      </c>
      <c r="K2623" s="316" t="str">
        <f t="shared" si="50"/>
        <v>Logging Equipment</v>
      </c>
      <c r="L2623" s="316" t="str">
        <f t="shared" si="51"/>
        <v>Gasoline</v>
      </c>
      <c r="M2623" s="194"/>
      <c r="N2623" s="317"/>
      <c r="O2623" s="317"/>
      <c r="P2623" s="317"/>
      <c r="Q2623" s="317"/>
      <c r="R2623" s="317"/>
      <c r="S2623" s="317"/>
      <c r="T2623" s="317"/>
      <c r="U2623" s="317"/>
      <c r="V2623" s="317"/>
      <c r="W2623" s="317"/>
      <c r="X2623" s="317"/>
      <c r="Y2623" s="317"/>
      <c r="Z2623" s="317"/>
    </row>
    <row r="2624" spans="1:26" x14ac:dyDescent="0.25">
      <c r="A2624" s="314"/>
      <c r="B2624" s="18">
        <v>2023</v>
      </c>
      <c r="C2624" s="18" t="s">
        <v>810</v>
      </c>
      <c r="D2624" s="18" t="s">
        <v>1000</v>
      </c>
      <c r="E2624" s="18" t="s">
        <v>703</v>
      </c>
      <c r="F2624" s="18" t="s">
        <v>704</v>
      </c>
      <c r="G2624" s="18" t="s">
        <v>674</v>
      </c>
      <c r="H2624" s="18" t="s">
        <v>850</v>
      </c>
      <c r="I2624" s="315">
        <v>17.73444176045113</v>
      </c>
      <c r="J2624" s="315">
        <v>1.0928685721737533E-2</v>
      </c>
      <c r="K2624" s="316" t="str">
        <f t="shared" si="50"/>
        <v>Construction and Mining Equipment</v>
      </c>
      <c r="L2624" s="316" t="str">
        <f t="shared" si="51"/>
        <v>Gasoline</v>
      </c>
      <c r="M2624" s="194"/>
      <c r="N2624" s="317"/>
      <c r="O2624" s="317"/>
      <c r="P2624" s="317"/>
      <c r="Q2624" s="317"/>
      <c r="R2624" s="317"/>
      <c r="S2624" s="317"/>
      <c r="T2624" s="317"/>
      <c r="U2624" s="317"/>
      <c r="V2624" s="317"/>
      <c r="W2624" s="317"/>
      <c r="X2624" s="317"/>
      <c r="Y2624" s="317"/>
      <c r="Z2624" s="317"/>
    </row>
    <row r="2625" spans="1:26" x14ac:dyDescent="0.25">
      <c r="A2625" s="314"/>
      <c r="B2625" s="18">
        <v>2023</v>
      </c>
      <c r="C2625" s="18" t="s">
        <v>792</v>
      </c>
      <c r="D2625" s="18" t="s">
        <v>1065</v>
      </c>
      <c r="E2625" s="18" t="s">
        <v>703</v>
      </c>
      <c r="F2625" s="18" t="s">
        <v>795</v>
      </c>
      <c r="G2625" s="18" t="s">
        <v>673</v>
      </c>
      <c r="H2625" s="18" t="s">
        <v>1066</v>
      </c>
      <c r="I2625" s="315">
        <v>17.7221532628514</v>
      </c>
      <c r="J2625" s="315">
        <v>0.12105039976692412</v>
      </c>
      <c r="K2625" s="316" t="str">
        <f t="shared" si="50"/>
        <v>Lawn and Garden Equipment</v>
      </c>
      <c r="L2625" s="316" t="str">
        <f t="shared" si="51"/>
        <v>Gasoline</v>
      </c>
      <c r="M2625" s="194"/>
      <c r="N2625" s="317"/>
      <c r="O2625" s="317"/>
      <c r="P2625" s="317"/>
      <c r="Q2625" s="317"/>
      <c r="R2625" s="317"/>
      <c r="S2625" s="317"/>
      <c r="T2625" s="317"/>
      <c r="U2625" s="317"/>
      <c r="V2625" s="317"/>
      <c r="W2625" s="317"/>
      <c r="X2625" s="317"/>
      <c r="Y2625" s="317"/>
      <c r="Z2625" s="317"/>
    </row>
    <row r="2626" spans="1:26" x14ac:dyDescent="0.25">
      <c r="A2626" s="314"/>
      <c r="B2626" s="18">
        <v>2023</v>
      </c>
      <c r="C2626" s="18" t="s">
        <v>778</v>
      </c>
      <c r="D2626" s="18" t="s">
        <v>1020</v>
      </c>
      <c r="E2626" s="18" t="s">
        <v>713</v>
      </c>
      <c r="F2626" s="18" t="s">
        <v>714</v>
      </c>
      <c r="G2626" s="18" t="s">
        <v>677</v>
      </c>
      <c r="H2626" s="18" t="s">
        <v>789</v>
      </c>
      <c r="I2626" s="315">
        <v>17.690830059993488</v>
      </c>
      <c r="J2626" s="315">
        <v>4.0712559023588381E-4</v>
      </c>
      <c r="K2626" s="316" t="str">
        <f t="shared" si="50"/>
        <v>Commercial Equipment</v>
      </c>
      <c r="L2626" s="316" t="str">
        <f t="shared" si="51"/>
        <v>Diesel</v>
      </c>
      <c r="M2626" s="194"/>
      <c r="N2626" s="317"/>
      <c r="O2626" s="317"/>
      <c r="P2626" s="317"/>
      <c r="Q2626" s="317"/>
      <c r="R2626" s="317"/>
      <c r="S2626" s="317"/>
      <c r="T2626" s="317"/>
      <c r="U2626" s="317"/>
      <c r="V2626" s="317"/>
      <c r="W2626" s="317"/>
      <c r="X2626" s="317"/>
      <c r="Y2626" s="317"/>
      <c r="Z2626" s="317"/>
    </row>
    <row r="2627" spans="1:26" x14ac:dyDescent="0.25">
      <c r="A2627" s="314"/>
      <c r="B2627" s="18">
        <v>2023</v>
      </c>
      <c r="C2627" s="18" t="s">
        <v>753</v>
      </c>
      <c r="D2627" s="18" t="s">
        <v>1006</v>
      </c>
      <c r="E2627" s="18" t="s">
        <v>703</v>
      </c>
      <c r="F2627" s="18" t="s">
        <v>805</v>
      </c>
      <c r="G2627" s="18" t="s">
        <v>674</v>
      </c>
      <c r="H2627" s="18" t="s">
        <v>967</v>
      </c>
      <c r="I2627" s="315">
        <v>17.685559571602532</v>
      </c>
      <c r="J2627" s="315">
        <v>3.1672734533005183E-2</v>
      </c>
      <c r="K2627" s="316" t="str">
        <f t="shared" si="50"/>
        <v>Construction and Mining Equipment</v>
      </c>
      <c r="L2627" s="316" t="str">
        <f t="shared" si="51"/>
        <v>Gasoline</v>
      </c>
      <c r="M2627" s="194"/>
      <c r="N2627" s="317"/>
      <c r="O2627" s="317"/>
      <c r="P2627" s="317"/>
      <c r="Q2627" s="317"/>
      <c r="R2627" s="317"/>
      <c r="S2627" s="317"/>
      <c r="T2627" s="317"/>
      <c r="U2627" s="317"/>
      <c r="V2627" s="317"/>
      <c r="W2627" s="317"/>
      <c r="X2627" s="317"/>
      <c r="Y2627" s="317"/>
      <c r="Z2627" s="317"/>
    </row>
    <row r="2628" spans="1:26" x14ac:dyDescent="0.25">
      <c r="A2628" s="314"/>
      <c r="B2628" s="18">
        <v>2023</v>
      </c>
      <c r="C2628" s="18" t="s">
        <v>750</v>
      </c>
      <c r="D2628" s="18" t="s">
        <v>962</v>
      </c>
      <c r="E2628" s="18" t="s">
        <v>703</v>
      </c>
      <c r="F2628" s="18" t="s">
        <v>704</v>
      </c>
      <c r="G2628" s="18" t="s">
        <v>673</v>
      </c>
      <c r="H2628" s="18" t="s">
        <v>963</v>
      </c>
      <c r="I2628" s="315">
        <v>17.677296764966425</v>
      </c>
      <c r="J2628" s="315">
        <v>1.2170707672547033E-2</v>
      </c>
      <c r="K2628" s="316" t="str">
        <f t="shared" si="50"/>
        <v>Lawn and Garden Equipment</v>
      </c>
      <c r="L2628" s="316" t="str">
        <f t="shared" si="51"/>
        <v>Gasoline</v>
      </c>
      <c r="M2628" s="194"/>
      <c r="N2628" s="317"/>
      <c r="O2628" s="317"/>
      <c r="P2628" s="317"/>
      <c r="Q2628" s="317"/>
      <c r="R2628" s="317"/>
      <c r="S2628" s="317"/>
      <c r="T2628" s="317"/>
      <c r="U2628" s="317"/>
      <c r="V2628" s="317"/>
      <c r="W2628" s="317"/>
      <c r="X2628" s="317"/>
      <c r="Y2628" s="317"/>
      <c r="Z2628" s="317"/>
    </row>
    <row r="2629" spans="1:26" x14ac:dyDescent="0.25">
      <c r="A2629" s="314"/>
      <c r="B2629" s="18">
        <v>2023</v>
      </c>
      <c r="C2629" s="18" t="s">
        <v>773</v>
      </c>
      <c r="D2629" s="18" t="s">
        <v>1023</v>
      </c>
      <c r="E2629" s="18" t="s">
        <v>703</v>
      </c>
      <c r="F2629" s="18" t="s">
        <v>704</v>
      </c>
      <c r="G2629" s="18" t="s">
        <v>674</v>
      </c>
      <c r="H2629" s="18" t="s">
        <v>736</v>
      </c>
      <c r="I2629" s="315">
        <v>17.671936224523158</v>
      </c>
      <c r="J2629" s="315">
        <v>1.1717081388657789E-2</v>
      </c>
      <c r="K2629" s="316" t="str">
        <f t="shared" si="50"/>
        <v>Construction and Mining Equipment</v>
      </c>
      <c r="L2629" s="316" t="str">
        <f t="shared" si="51"/>
        <v>Gasoline</v>
      </c>
      <c r="M2629" s="194"/>
      <c r="N2629" s="317"/>
      <c r="O2629" s="317"/>
      <c r="P2629" s="317"/>
      <c r="Q2629" s="317"/>
      <c r="R2629" s="317"/>
      <c r="S2629" s="317"/>
      <c r="T2629" s="317"/>
      <c r="U2629" s="317"/>
      <c r="V2629" s="317"/>
      <c r="W2629" s="317"/>
      <c r="X2629" s="317"/>
      <c r="Y2629" s="317"/>
      <c r="Z2629" s="317"/>
    </row>
    <row r="2630" spans="1:26" x14ac:dyDescent="0.25">
      <c r="A2630" s="314"/>
      <c r="B2630" s="18">
        <v>2023</v>
      </c>
      <c r="C2630" s="18" t="s">
        <v>701</v>
      </c>
      <c r="D2630" s="18" t="s">
        <v>1401</v>
      </c>
      <c r="E2630" s="18" t="s">
        <v>56</v>
      </c>
      <c r="F2630" s="18" t="s">
        <v>601</v>
      </c>
      <c r="G2630" s="18" t="s">
        <v>677</v>
      </c>
      <c r="H2630" s="18" t="s">
        <v>785</v>
      </c>
      <c r="I2630" s="315">
        <v>17.63658440537839</v>
      </c>
      <c r="J2630" s="315">
        <v>7.6446508101052857E-2</v>
      </c>
      <c r="K2630" s="316" t="str">
        <f t="shared" si="50"/>
        <v>Commercial Equipment</v>
      </c>
      <c r="L2630" s="316" t="str">
        <f t="shared" si="51"/>
        <v>CNG</v>
      </c>
      <c r="M2630" s="194"/>
      <c r="N2630" s="317"/>
      <c r="O2630" s="317"/>
      <c r="P2630" s="317"/>
      <c r="Q2630" s="317"/>
      <c r="R2630" s="317"/>
      <c r="S2630" s="317"/>
      <c r="T2630" s="317"/>
      <c r="U2630" s="317"/>
      <c r="V2630" s="317"/>
      <c r="W2630" s="317"/>
      <c r="X2630" s="317"/>
      <c r="Y2630" s="317"/>
      <c r="Z2630" s="317"/>
    </row>
    <row r="2631" spans="1:26" x14ac:dyDescent="0.25">
      <c r="A2631" s="314"/>
      <c r="B2631" s="18">
        <v>2023</v>
      </c>
      <c r="C2631" s="18" t="s">
        <v>760</v>
      </c>
      <c r="D2631" s="18" t="s">
        <v>1229</v>
      </c>
      <c r="E2631" s="18" t="s">
        <v>713</v>
      </c>
      <c r="F2631" s="18" t="s">
        <v>714</v>
      </c>
      <c r="G2631" s="18" t="s">
        <v>678</v>
      </c>
      <c r="H2631" s="18" t="s">
        <v>1230</v>
      </c>
      <c r="I2631" s="315">
        <v>17.604444048057989</v>
      </c>
      <c r="J2631" s="315">
        <v>1.3274190705138246E-4</v>
      </c>
      <c r="K2631" s="316" t="str">
        <f t="shared" si="50"/>
        <v>Agricultural Equipment</v>
      </c>
      <c r="L2631" s="316" t="str">
        <f t="shared" si="51"/>
        <v>Diesel</v>
      </c>
      <c r="M2631" s="194"/>
      <c r="N2631" s="317"/>
      <c r="O2631" s="317"/>
      <c r="P2631" s="317"/>
      <c r="Q2631" s="317"/>
      <c r="R2631" s="317"/>
      <c r="S2631" s="317"/>
      <c r="T2631" s="317"/>
      <c r="U2631" s="317"/>
      <c r="V2631" s="317"/>
      <c r="W2631" s="317"/>
      <c r="X2631" s="317"/>
      <c r="Y2631" s="317"/>
      <c r="Z2631" s="317"/>
    </row>
    <row r="2632" spans="1:26" x14ac:dyDescent="0.25">
      <c r="A2632" s="314"/>
      <c r="B2632" s="18">
        <v>2023</v>
      </c>
      <c r="C2632" s="18" t="s">
        <v>786</v>
      </c>
      <c r="D2632" s="18" t="s">
        <v>973</v>
      </c>
      <c r="E2632" s="18" t="s">
        <v>703</v>
      </c>
      <c r="F2632" s="18" t="s">
        <v>795</v>
      </c>
      <c r="G2632" s="18" t="s">
        <v>673</v>
      </c>
      <c r="H2632" s="18" t="s">
        <v>974</v>
      </c>
      <c r="I2632" s="315">
        <v>17.567595989324072</v>
      </c>
      <c r="J2632" s="315">
        <v>3.2997606304797665E-2</v>
      </c>
      <c r="K2632" s="316" t="str">
        <f t="shared" si="50"/>
        <v>Lawn and Garden Equipment</v>
      </c>
      <c r="L2632" s="316" t="str">
        <f t="shared" si="51"/>
        <v>Gasoline</v>
      </c>
      <c r="M2632" s="194"/>
      <c r="N2632" s="317"/>
      <c r="O2632" s="317"/>
      <c r="P2632" s="317"/>
      <c r="Q2632" s="317"/>
      <c r="R2632" s="317"/>
      <c r="S2632" s="317"/>
      <c r="T2632" s="317"/>
      <c r="U2632" s="317"/>
      <c r="V2632" s="317"/>
      <c r="W2632" s="317"/>
      <c r="X2632" s="317"/>
      <c r="Y2632" s="317"/>
      <c r="Z2632" s="317"/>
    </row>
    <row r="2633" spans="1:26" x14ac:dyDescent="0.25">
      <c r="A2633" s="314"/>
      <c r="B2633" s="18">
        <v>2023</v>
      </c>
      <c r="C2633" s="18" t="s">
        <v>706</v>
      </c>
      <c r="D2633" s="18" t="s">
        <v>1425</v>
      </c>
      <c r="E2633" s="18" t="s">
        <v>56</v>
      </c>
      <c r="F2633" s="18" t="s">
        <v>672</v>
      </c>
      <c r="G2633" s="18" t="s">
        <v>674</v>
      </c>
      <c r="H2633" s="18" t="s">
        <v>791</v>
      </c>
      <c r="I2633" s="315">
        <v>17.524039587432881</v>
      </c>
      <c r="J2633" s="315">
        <v>3.3686811285627309E-3</v>
      </c>
      <c r="K2633" s="316" t="str">
        <f t="shared" si="50"/>
        <v>Construction and Mining Equipment</v>
      </c>
      <c r="L2633" s="316" t="str">
        <f t="shared" si="51"/>
        <v>LPG</v>
      </c>
      <c r="M2633" s="194"/>
      <c r="N2633" s="317"/>
      <c r="O2633" s="317"/>
      <c r="P2633" s="317"/>
      <c r="Q2633" s="317"/>
      <c r="R2633" s="317"/>
      <c r="S2633" s="317"/>
      <c r="T2633" s="317"/>
      <c r="U2633" s="317"/>
      <c r="V2633" s="317"/>
      <c r="W2633" s="317"/>
      <c r="X2633" s="317"/>
      <c r="Y2633" s="317"/>
      <c r="Z2633" s="317"/>
    </row>
    <row r="2634" spans="1:26" x14ac:dyDescent="0.25">
      <c r="A2634" s="314"/>
      <c r="B2634" s="18">
        <v>2023</v>
      </c>
      <c r="C2634" s="18" t="s">
        <v>787</v>
      </c>
      <c r="D2634" s="18" t="s">
        <v>1076</v>
      </c>
      <c r="E2634" s="18" t="s">
        <v>703</v>
      </c>
      <c r="F2634" s="18" t="s">
        <v>704</v>
      </c>
      <c r="G2634" s="18" t="s">
        <v>674</v>
      </c>
      <c r="H2634" s="18" t="s">
        <v>756</v>
      </c>
      <c r="I2634" s="315">
        <v>17.50691971533411</v>
      </c>
      <c r="J2634" s="315">
        <v>7.7022070818406384E-3</v>
      </c>
      <c r="K2634" s="316" t="str">
        <f t="shared" si="50"/>
        <v>Construction and Mining Equipment</v>
      </c>
      <c r="L2634" s="316" t="str">
        <f t="shared" si="51"/>
        <v>Gasoline</v>
      </c>
      <c r="M2634" s="194"/>
      <c r="N2634" s="317"/>
      <c r="O2634" s="317"/>
      <c r="P2634" s="317"/>
      <c r="Q2634" s="317"/>
      <c r="R2634" s="317"/>
      <c r="S2634" s="317"/>
      <c r="T2634" s="317"/>
      <c r="U2634" s="317"/>
      <c r="V2634" s="317"/>
      <c r="W2634" s="317"/>
      <c r="X2634" s="317"/>
      <c r="Y2634" s="317"/>
      <c r="Z2634" s="317"/>
    </row>
    <row r="2635" spans="1:26" x14ac:dyDescent="0.25">
      <c r="A2635" s="314"/>
      <c r="B2635" s="18">
        <v>2023</v>
      </c>
      <c r="C2635" s="18" t="s">
        <v>711</v>
      </c>
      <c r="D2635" s="18" t="s">
        <v>1338</v>
      </c>
      <c r="E2635" s="18" t="s">
        <v>703</v>
      </c>
      <c r="F2635" s="18" t="s">
        <v>805</v>
      </c>
      <c r="G2635" s="18" t="s">
        <v>673</v>
      </c>
      <c r="H2635" s="18" t="s">
        <v>987</v>
      </c>
      <c r="I2635" s="315">
        <v>17.480069968430232</v>
      </c>
      <c r="J2635" s="315">
        <v>3.191988283012686E-2</v>
      </c>
      <c r="K2635" s="316" t="str">
        <f t="shared" si="50"/>
        <v>Lawn and Garden Equipment</v>
      </c>
      <c r="L2635" s="316" t="str">
        <f t="shared" si="51"/>
        <v>Gasoline</v>
      </c>
      <c r="M2635" s="194"/>
      <c r="N2635" s="317"/>
      <c r="O2635" s="317"/>
      <c r="P2635" s="317"/>
      <c r="Q2635" s="317"/>
      <c r="R2635" s="317"/>
      <c r="S2635" s="317"/>
      <c r="T2635" s="317"/>
      <c r="U2635" s="317"/>
      <c r="V2635" s="317"/>
      <c r="W2635" s="317"/>
      <c r="X2635" s="317"/>
      <c r="Y2635" s="317"/>
      <c r="Z2635" s="317"/>
    </row>
    <row r="2636" spans="1:26" x14ac:dyDescent="0.25">
      <c r="A2636" s="314"/>
      <c r="B2636" s="18">
        <v>2023</v>
      </c>
      <c r="C2636" s="18" t="s">
        <v>760</v>
      </c>
      <c r="D2636" s="18" t="s">
        <v>1215</v>
      </c>
      <c r="E2636" s="18" t="s">
        <v>56</v>
      </c>
      <c r="F2636" s="18" t="s">
        <v>672</v>
      </c>
      <c r="G2636" s="18" t="s">
        <v>674</v>
      </c>
      <c r="H2636" s="18" t="s">
        <v>756</v>
      </c>
      <c r="I2636" s="315">
        <v>17.368844456728986</v>
      </c>
      <c r="J2636" s="315">
        <v>3.2133074546295535E-3</v>
      </c>
      <c r="K2636" s="316" t="str">
        <f t="shared" si="50"/>
        <v>Construction and Mining Equipment</v>
      </c>
      <c r="L2636" s="316" t="str">
        <f t="shared" si="51"/>
        <v>LPG</v>
      </c>
      <c r="M2636" s="194"/>
      <c r="N2636" s="317"/>
      <c r="O2636" s="317"/>
      <c r="P2636" s="317"/>
      <c r="Q2636" s="317"/>
      <c r="R2636" s="317"/>
      <c r="S2636" s="317"/>
      <c r="T2636" s="317"/>
      <c r="U2636" s="317"/>
      <c r="V2636" s="317"/>
      <c r="W2636" s="317"/>
      <c r="X2636" s="317"/>
      <c r="Y2636" s="317"/>
      <c r="Z2636" s="317"/>
    </row>
    <row r="2637" spans="1:26" x14ac:dyDescent="0.25">
      <c r="A2637" s="314"/>
      <c r="B2637" s="18">
        <v>2023</v>
      </c>
      <c r="C2637" s="18" t="s">
        <v>711</v>
      </c>
      <c r="D2637" s="18" t="s">
        <v>1281</v>
      </c>
      <c r="E2637" s="18" t="s">
        <v>703</v>
      </c>
      <c r="F2637" s="18" t="s">
        <v>704</v>
      </c>
      <c r="G2637" s="18" t="s">
        <v>674</v>
      </c>
      <c r="H2637" s="18" t="s">
        <v>770</v>
      </c>
      <c r="I2637" s="315">
        <v>17.297457572733478</v>
      </c>
      <c r="J2637" s="315">
        <v>1.9071798468594939E-3</v>
      </c>
      <c r="K2637" s="316" t="str">
        <f t="shared" si="50"/>
        <v>Construction and Mining Equipment</v>
      </c>
      <c r="L2637" s="316" t="str">
        <f t="shared" si="51"/>
        <v>Gasoline</v>
      </c>
      <c r="M2637" s="194"/>
      <c r="N2637" s="317"/>
      <c r="O2637" s="317"/>
      <c r="P2637" s="317"/>
      <c r="Q2637" s="317"/>
      <c r="R2637" s="317"/>
      <c r="S2637" s="317"/>
      <c r="T2637" s="317"/>
      <c r="U2637" s="317"/>
      <c r="V2637" s="317"/>
      <c r="W2637" s="317"/>
      <c r="X2637" s="317"/>
      <c r="Y2637" s="317"/>
      <c r="Z2637" s="317"/>
    </row>
    <row r="2638" spans="1:26" x14ac:dyDescent="0.25">
      <c r="A2638" s="314"/>
      <c r="B2638" s="18">
        <v>2023</v>
      </c>
      <c r="C2638" s="18" t="s">
        <v>727</v>
      </c>
      <c r="D2638" s="18" t="s">
        <v>1030</v>
      </c>
      <c r="E2638" s="18" t="s">
        <v>703</v>
      </c>
      <c r="F2638" s="18" t="s">
        <v>704</v>
      </c>
      <c r="G2638" s="18" t="s">
        <v>677</v>
      </c>
      <c r="H2638" s="18" t="s">
        <v>1031</v>
      </c>
      <c r="I2638" s="315">
        <v>17.208214961403563</v>
      </c>
      <c r="J2638" s="315">
        <v>1.190864601195943E-2</v>
      </c>
      <c r="K2638" s="316" t="str">
        <f t="shared" si="50"/>
        <v>Commercial Equipment</v>
      </c>
      <c r="L2638" s="316" t="str">
        <f t="shared" si="51"/>
        <v>Gasoline</v>
      </c>
      <c r="M2638" s="194"/>
      <c r="N2638" s="317"/>
      <c r="O2638" s="317"/>
      <c r="P2638" s="317"/>
      <c r="Q2638" s="317"/>
      <c r="R2638" s="317"/>
      <c r="S2638" s="317"/>
      <c r="T2638" s="317"/>
      <c r="U2638" s="317"/>
      <c r="V2638" s="317"/>
      <c r="W2638" s="317"/>
      <c r="X2638" s="317"/>
      <c r="Y2638" s="317"/>
      <c r="Z2638" s="317"/>
    </row>
    <row r="2639" spans="1:26" x14ac:dyDescent="0.25">
      <c r="A2639" s="314"/>
      <c r="B2639" s="18">
        <v>2023</v>
      </c>
      <c r="C2639" s="18" t="s">
        <v>731</v>
      </c>
      <c r="D2639" s="18" t="s">
        <v>966</v>
      </c>
      <c r="E2639" s="18" t="s">
        <v>703</v>
      </c>
      <c r="F2639" s="18" t="s">
        <v>704</v>
      </c>
      <c r="G2639" s="18" t="s">
        <v>674</v>
      </c>
      <c r="H2639" s="18" t="s">
        <v>967</v>
      </c>
      <c r="I2639" s="315">
        <v>17.172038690904483</v>
      </c>
      <c r="J2639" s="315">
        <v>1.1848966302175979E-2</v>
      </c>
      <c r="K2639" s="316" t="str">
        <f t="shared" si="50"/>
        <v>Construction and Mining Equipment</v>
      </c>
      <c r="L2639" s="316" t="str">
        <f t="shared" si="51"/>
        <v>Gasoline</v>
      </c>
      <c r="M2639" s="194"/>
      <c r="N2639" s="317"/>
      <c r="O2639" s="317"/>
      <c r="P2639" s="317"/>
      <c r="Q2639" s="317"/>
      <c r="R2639" s="317"/>
      <c r="S2639" s="317"/>
      <c r="T2639" s="317"/>
      <c r="U2639" s="317"/>
      <c r="V2639" s="317"/>
      <c r="W2639" s="317"/>
      <c r="X2639" s="317"/>
      <c r="Y2639" s="317"/>
      <c r="Z2639" s="317"/>
    </row>
    <row r="2640" spans="1:26" x14ac:dyDescent="0.25">
      <c r="A2640" s="314"/>
      <c r="B2640" s="18">
        <v>2023</v>
      </c>
      <c r="C2640" s="18" t="s">
        <v>727</v>
      </c>
      <c r="D2640" s="18" t="s">
        <v>1035</v>
      </c>
      <c r="E2640" s="18" t="s">
        <v>703</v>
      </c>
      <c r="F2640" s="18" t="s">
        <v>704</v>
      </c>
      <c r="G2640" s="18" t="s">
        <v>674</v>
      </c>
      <c r="H2640" s="18" t="s">
        <v>1036</v>
      </c>
      <c r="I2640" s="315">
        <v>17.133158424924286</v>
      </c>
      <c r="J2640" s="315">
        <v>1.2066166756213276E-2</v>
      </c>
      <c r="K2640" s="316" t="str">
        <f t="shared" si="50"/>
        <v>Construction and Mining Equipment</v>
      </c>
      <c r="L2640" s="316" t="str">
        <f t="shared" si="51"/>
        <v>Gasoline</v>
      </c>
      <c r="M2640" s="194"/>
      <c r="N2640" s="317"/>
      <c r="O2640" s="317"/>
      <c r="P2640" s="317"/>
      <c r="Q2640" s="317"/>
      <c r="R2640" s="317"/>
      <c r="S2640" s="317"/>
      <c r="T2640" s="317"/>
      <c r="U2640" s="317"/>
      <c r="V2640" s="317"/>
      <c r="W2640" s="317"/>
      <c r="X2640" s="317"/>
      <c r="Y2640" s="317"/>
      <c r="Z2640" s="317"/>
    </row>
    <row r="2641" spans="1:26" x14ac:dyDescent="0.25">
      <c r="A2641" s="314"/>
      <c r="B2641" s="18">
        <v>2023</v>
      </c>
      <c r="C2641" s="18" t="s">
        <v>743</v>
      </c>
      <c r="D2641" s="18" t="s">
        <v>1081</v>
      </c>
      <c r="E2641" s="18" t="s">
        <v>703</v>
      </c>
      <c r="F2641" s="18" t="s">
        <v>805</v>
      </c>
      <c r="G2641" s="18" t="s">
        <v>674</v>
      </c>
      <c r="H2641" s="18" t="s">
        <v>1082</v>
      </c>
      <c r="I2641" s="315">
        <v>17.104357960537204</v>
      </c>
      <c r="J2641" s="315">
        <v>2.7743896909889772E-2</v>
      </c>
      <c r="K2641" s="316" t="str">
        <f t="shared" si="50"/>
        <v>Construction and Mining Equipment</v>
      </c>
      <c r="L2641" s="316" t="str">
        <f t="shared" si="51"/>
        <v>Gasoline</v>
      </c>
      <c r="M2641" s="194"/>
      <c r="N2641" s="317"/>
      <c r="O2641" s="317"/>
      <c r="P2641" s="317"/>
      <c r="Q2641" s="317"/>
      <c r="R2641" s="317"/>
      <c r="S2641" s="317"/>
      <c r="T2641" s="317"/>
      <c r="U2641" s="317"/>
      <c r="V2641" s="317"/>
      <c r="W2641" s="317"/>
      <c r="X2641" s="317"/>
      <c r="Y2641" s="317"/>
      <c r="Z2641" s="317"/>
    </row>
    <row r="2642" spans="1:26" x14ac:dyDescent="0.25">
      <c r="A2642" s="314"/>
      <c r="B2642" s="18">
        <v>2023</v>
      </c>
      <c r="C2642" s="18" t="s">
        <v>701</v>
      </c>
      <c r="D2642" s="18" t="s">
        <v>1229</v>
      </c>
      <c r="E2642" s="18" t="s">
        <v>713</v>
      </c>
      <c r="F2642" s="18" t="s">
        <v>714</v>
      </c>
      <c r="G2642" s="18" t="s">
        <v>678</v>
      </c>
      <c r="H2642" s="18" t="s">
        <v>1230</v>
      </c>
      <c r="I2642" s="315">
        <v>17.102533845768658</v>
      </c>
      <c r="J2642" s="315">
        <v>1.2895737459845752E-4</v>
      </c>
      <c r="K2642" s="316" t="str">
        <f t="shared" si="50"/>
        <v>Agricultural Equipment</v>
      </c>
      <c r="L2642" s="316" t="str">
        <f t="shared" si="51"/>
        <v>Diesel</v>
      </c>
      <c r="M2642" s="194"/>
      <c r="N2642" s="317"/>
      <c r="O2642" s="317"/>
      <c r="P2642" s="317"/>
      <c r="Q2642" s="317"/>
      <c r="R2642" s="317"/>
      <c r="S2642" s="317"/>
      <c r="T2642" s="317"/>
      <c r="U2642" s="317"/>
      <c r="V2642" s="317"/>
      <c r="W2642" s="317"/>
      <c r="X2642" s="317"/>
      <c r="Y2642" s="317"/>
      <c r="Z2642" s="317"/>
    </row>
    <row r="2643" spans="1:26" x14ac:dyDescent="0.25">
      <c r="A2643" s="314"/>
      <c r="B2643" s="18">
        <v>2023</v>
      </c>
      <c r="C2643" s="18" t="s">
        <v>732</v>
      </c>
      <c r="D2643" s="18" t="s">
        <v>1213</v>
      </c>
      <c r="E2643" s="18" t="s">
        <v>56</v>
      </c>
      <c r="F2643" s="18" t="s">
        <v>672</v>
      </c>
      <c r="G2643" s="18" t="s">
        <v>674</v>
      </c>
      <c r="H2643" s="18" t="s">
        <v>715</v>
      </c>
      <c r="I2643" s="315">
        <v>17.060884877879865</v>
      </c>
      <c r="J2643" s="315">
        <v>7.7479196600577184E-4</v>
      </c>
      <c r="K2643" s="316" t="str">
        <f t="shared" si="50"/>
        <v>Construction and Mining Equipment</v>
      </c>
      <c r="L2643" s="316" t="str">
        <f t="shared" si="51"/>
        <v>LPG</v>
      </c>
      <c r="M2643" s="194"/>
      <c r="N2643" s="317"/>
      <c r="O2643" s="317"/>
      <c r="P2643" s="317"/>
      <c r="Q2643" s="317"/>
      <c r="R2643" s="317"/>
      <c r="S2643" s="317"/>
      <c r="T2643" s="317"/>
      <c r="U2643" s="317"/>
      <c r="V2643" s="317"/>
      <c r="W2643" s="317"/>
      <c r="X2643" s="317"/>
      <c r="Y2643" s="317"/>
      <c r="Z2643" s="317"/>
    </row>
    <row r="2644" spans="1:26" x14ac:dyDescent="0.25">
      <c r="A2644" s="314"/>
      <c r="B2644" s="18">
        <v>2023</v>
      </c>
      <c r="C2644" s="18" t="s">
        <v>786</v>
      </c>
      <c r="D2644" s="18" t="s">
        <v>966</v>
      </c>
      <c r="E2644" s="18" t="s">
        <v>703</v>
      </c>
      <c r="F2644" s="18" t="s">
        <v>704</v>
      </c>
      <c r="G2644" s="18" t="s">
        <v>674</v>
      </c>
      <c r="H2644" s="18" t="s">
        <v>967</v>
      </c>
      <c r="I2644" s="315">
        <v>17.055085165953216</v>
      </c>
      <c r="J2644" s="315">
        <v>1.1801894654357289E-2</v>
      </c>
      <c r="K2644" s="316" t="str">
        <f t="shared" si="50"/>
        <v>Construction and Mining Equipment</v>
      </c>
      <c r="L2644" s="316" t="str">
        <f t="shared" si="51"/>
        <v>Gasoline</v>
      </c>
      <c r="M2644" s="194"/>
      <c r="N2644" s="317"/>
      <c r="O2644" s="317"/>
      <c r="P2644" s="317"/>
      <c r="Q2644" s="317"/>
      <c r="R2644" s="317"/>
      <c r="S2644" s="317"/>
      <c r="T2644" s="317"/>
      <c r="U2644" s="317"/>
      <c r="V2644" s="317"/>
      <c r="W2644" s="317"/>
      <c r="X2644" s="317"/>
      <c r="Y2644" s="317"/>
      <c r="Z2644" s="317"/>
    </row>
    <row r="2645" spans="1:26" x14ac:dyDescent="0.25">
      <c r="A2645" s="314"/>
      <c r="B2645" s="18">
        <v>2023</v>
      </c>
      <c r="C2645" s="18" t="s">
        <v>701</v>
      </c>
      <c r="D2645" s="18" t="s">
        <v>1360</v>
      </c>
      <c r="E2645" s="18" t="s">
        <v>713</v>
      </c>
      <c r="F2645" s="18" t="s">
        <v>714</v>
      </c>
      <c r="G2645" s="18" t="s">
        <v>674</v>
      </c>
      <c r="H2645" s="18" t="s">
        <v>1220</v>
      </c>
      <c r="I2645" s="315">
        <v>16.9949407205706</v>
      </c>
      <c r="J2645" s="315">
        <v>7.5600005018568314E-4</v>
      </c>
      <c r="K2645" s="316" t="str">
        <f t="shared" si="50"/>
        <v>Construction and Mining Equipment</v>
      </c>
      <c r="L2645" s="316" t="str">
        <f t="shared" si="51"/>
        <v>Diesel</v>
      </c>
      <c r="M2645" s="194"/>
      <c r="N2645" s="317"/>
      <c r="O2645" s="317"/>
      <c r="P2645" s="317"/>
      <c r="Q2645" s="317"/>
      <c r="R2645" s="317"/>
      <c r="S2645" s="317"/>
      <c r="T2645" s="317"/>
      <c r="U2645" s="317"/>
      <c r="V2645" s="317"/>
      <c r="W2645" s="317"/>
      <c r="X2645" s="317"/>
      <c r="Y2645" s="317"/>
      <c r="Z2645" s="317"/>
    </row>
    <row r="2646" spans="1:26" x14ac:dyDescent="0.25">
      <c r="A2646" s="314"/>
      <c r="B2646" s="18">
        <v>2023</v>
      </c>
      <c r="C2646" s="18" t="s">
        <v>750</v>
      </c>
      <c r="D2646" s="18" t="s">
        <v>1073</v>
      </c>
      <c r="E2646" s="18" t="s">
        <v>703</v>
      </c>
      <c r="F2646" s="18" t="s">
        <v>704</v>
      </c>
      <c r="G2646" s="18" t="s">
        <v>674</v>
      </c>
      <c r="H2646" s="18" t="s">
        <v>1072</v>
      </c>
      <c r="I2646" s="315">
        <v>16.976911254333519</v>
      </c>
      <c r="J2646" s="315">
        <v>1.1935281750032032E-2</v>
      </c>
      <c r="K2646" s="316" t="str">
        <f t="shared" si="50"/>
        <v>Construction and Mining Equipment</v>
      </c>
      <c r="L2646" s="316" t="str">
        <f t="shared" si="51"/>
        <v>Gasoline</v>
      </c>
      <c r="M2646" s="194"/>
      <c r="N2646" s="317"/>
      <c r="O2646" s="317"/>
      <c r="P2646" s="317"/>
      <c r="Q2646" s="317"/>
      <c r="R2646" s="317"/>
      <c r="S2646" s="317"/>
      <c r="T2646" s="317"/>
      <c r="U2646" s="317"/>
      <c r="V2646" s="317"/>
      <c r="W2646" s="317"/>
      <c r="X2646" s="317"/>
      <c r="Y2646" s="317"/>
      <c r="Z2646" s="317"/>
    </row>
    <row r="2647" spans="1:26" x14ac:dyDescent="0.25">
      <c r="A2647" s="314"/>
      <c r="B2647" s="18">
        <v>2023</v>
      </c>
      <c r="C2647" s="18" t="s">
        <v>759</v>
      </c>
      <c r="D2647" s="18" t="s">
        <v>977</v>
      </c>
      <c r="E2647" s="18" t="s">
        <v>703</v>
      </c>
      <c r="F2647" s="18" t="s">
        <v>805</v>
      </c>
      <c r="G2647" s="18" t="s">
        <v>673</v>
      </c>
      <c r="H2647" s="18" t="s">
        <v>978</v>
      </c>
      <c r="I2647" s="315">
        <v>16.936122124252705</v>
      </c>
      <c r="J2647" s="315">
        <v>2.8838438552139432E-2</v>
      </c>
      <c r="K2647" s="316" t="str">
        <f t="shared" si="50"/>
        <v>Lawn and Garden Equipment</v>
      </c>
      <c r="L2647" s="316" t="str">
        <f t="shared" si="51"/>
        <v>Gasoline</v>
      </c>
      <c r="M2647" s="194"/>
      <c r="N2647" s="317"/>
      <c r="O2647" s="317"/>
      <c r="P2647" s="317"/>
      <c r="Q2647" s="317"/>
      <c r="R2647" s="317"/>
      <c r="S2647" s="317"/>
      <c r="T2647" s="317"/>
      <c r="U2647" s="317"/>
      <c r="V2647" s="317"/>
      <c r="W2647" s="317"/>
      <c r="X2647" s="317"/>
      <c r="Y2647" s="317"/>
      <c r="Z2647" s="317"/>
    </row>
    <row r="2648" spans="1:26" x14ac:dyDescent="0.25">
      <c r="A2648" s="314"/>
      <c r="B2648" s="18">
        <v>2023</v>
      </c>
      <c r="C2648" s="18" t="s">
        <v>732</v>
      </c>
      <c r="D2648" s="18" t="s">
        <v>1214</v>
      </c>
      <c r="E2648" s="18" t="s">
        <v>713</v>
      </c>
      <c r="F2648" s="18" t="s">
        <v>714</v>
      </c>
      <c r="G2648" s="18" t="s">
        <v>674</v>
      </c>
      <c r="H2648" s="18" t="s">
        <v>999</v>
      </c>
      <c r="I2648" s="315">
        <v>16.927270793715344</v>
      </c>
      <c r="J2648" s="315">
        <v>5.0113063487108162E-4</v>
      </c>
      <c r="K2648" s="316" t="str">
        <f t="shared" si="50"/>
        <v>Construction and Mining Equipment</v>
      </c>
      <c r="L2648" s="316" t="str">
        <f t="shared" si="51"/>
        <v>Diesel</v>
      </c>
      <c r="M2648" s="194"/>
      <c r="N2648" s="317"/>
      <c r="O2648" s="317"/>
      <c r="P2648" s="317"/>
      <c r="Q2648" s="317"/>
      <c r="R2648" s="317"/>
      <c r="S2648" s="317"/>
      <c r="T2648" s="317"/>
      <c r="U2648" s="317"/>
      <c r="V2648" s="317"/>
      <c r="W2648" s="317"/>
      <c r="X2648" s="317"/>
      <c r="Y2648" s="317"/>
      <c r="Z2648" s="317"/>
    </row>
    <row r="2649" spans="1:26" x14ac:dyDescent="0.25">
      <c r="A2649" s="314"/>
      <c r="B2649" s="18">
        <v>2023</v>
      </c>
      <c r="C2649" s="18" t="s">
        <v>750</v>
      </c>
      <c r="D2649" s="18" t="s">
        <v>1074</v>
      </c>
      <c r="E2649" s="18" t="s">
        <v>713</v>
      </c>
      <c r="F2649" s="18" t="s">
        <v>714</v>
      </c>
      <c r="G2649" s="18" t="s">
        <v>674</v>
      </c>
      <c r="H2649" s="18" t="s">
        <v>967</v>
      </c>
      <c r="I2649" s="315">
        <v>16.926210505870202</v>
      </c>
      <c r="J2649" s="315">
        <v>2.9086862943885651E-4</v>
      </c>
      <c r="K2649" s="316" t="str">
        <f t="shared" si="50"/>
        <v>Construction and Mining Equipment</v>
      </c>
      <c r="L2649" s="316" t="str">
        <f t="shared" si="51"/>
        <v>Diesel</v>
      </c>
      <c r="M2649" s="194"/>
      <c r="N2649" s="317"/>
      <c r="O2649" s="317"/>
      <c r="P2649" s="317"/>
      <c r="Q2649" s="317"/>
      <c r="R2649" s="317"/>
      <c r="S2649" s="317"/>
      <c r="T2649" s="317"/>
      <c r="U2649" s="317"/>
      <c r="V2649" s="317"/>
      <c r="W2649" s="317"/>
      <c r="X2649" s="317"/>
      <c r="Y2649" s="317"/>
      <c r="Z2649" s="317"/>
    </row>
    <row r="2650" spans="1:26" x14ac:dyDescent="0.25">
      <c r="A2650" s="314"/>
      <c r="B2650" s="18">
        <v>2023</v>
      </c>
      <c r="C2650" s="18" t="s">
        <v>727</v>
      </c>
      <c r="D2650" s="18" t="s">
        <v>1034</v>
      </c>
      <c r="E2650" s="18" t="s">
        <v>713</v>
      </c>
      <c r="F2650" s="18" t="s">
        <v>714</v>
      </c>
      <c r="G2650" s="18" t="s">
        <v>677</v>
      </c>
      <c r="H2650" s="18" t="s">
        <v>1031</v>
      </c>
      <c r="I2650" s="315">
        <v>16.886517662064755</v>
      </c>
      <c r="J2650" s="315">
        <v>2.9345085055184841E-4</v>
      </c>
      <c r="K2650" s="316" t="str">
        <f t="shared" si="50"/>
        <v>Commercial Equipment</v>
      </c>
      <c r="L2650" s="316" t="str">
        <f t="shared" si="51"/>
        <v>Diesel</v>
      </c>
      <c r="M2650" s="194"/>
      <c r="N2650" s="317"/>
      <c r="O2650" s="317"/>
      <c r="P2650" s="317"/>
      <c r="Q2650" s="317"/>
      <c r="R2650" s="317"/>
      <c r="S2650" s="317"/>
      <c r="T2650" s="317"/>
      <c r="U2650" s="317"/>
      <c r="V2650" s="317"/>
      <c r="W2650" s="317"/>
      <c r="X2650" s="317"/>
      <c r="Y2650" s="317"/>
      <c r="Z2650" s="317"/>
    </row>
    <row r="2651" spans="1:26" x14ac:dyDescent="0.25">
      <c r="A2651" s="314"/>
      <c r="B2651" s="18">
        <v>2023</v>
      </c>
      <c r="C2651" s="18" t="s">
        <v>786</v>
      </c>
      <c r="D2651" s="18" t="s">
        <v>977</v>
      </c>
      <c r="E2651" s="18" t="s">
        <v>703</v>
      </c>
      <c r="F2651" s="18" t="s">
        <v>805</v>
      </c>
      <c r="G2651" s="18" t="s">
        <v>673</v>
      </c>
      <c r="H2651" s="18" t="s">
        <v>978</v>
      </c>
      <c r="I2651" s="315">
        <v>16.86705155155849</v>
      </c>
      <c r="J2651" s="315">
        <v>2.8720846489426549E-2</v>
      </c>
      <c r="K2651" s="316" t="str">
        <f t="shared" si="50"/>
        <v>Lawn and Garden Equipment</v>
      </c>
      <c r="L2651" s="316" t="str">
        <f t="shared" si="51"/>
        <v>Gasoline</v>
      </c>
      <c r="M2651" s="194"/>
      <c r="N2651" s="317"/>
      <c r="O2651" s="317"/>
      <c r="P2651" s="317"/>
      <c r="Q2651" s="317"/>
      <c r="R2651" s="317"/>
      <c r="S2651" s="317"/>
      <c r="T2651" s="317"/>
      <c r="U2651" s="317"/>
      <c r="V2651" s="317"/>
      <c r="W2651" s="317"/>
      <c r="X2651" s="317"/>
      <c r="Y2651" s="317"/>
      <c r="Z2651" s="317"/>
    </row>
    <row r="2652" spans="1:26" x14ac:dyDescent="0.25">
      <c r="A2652" s="314"/>
      <c r="B2652" s="18">
        <v>2023</v>
      </c>
      <c r="C2652" s="18" t="s">
        <v>701</v>
      </c>
      <c r="D2652" s="18" t="s">
        <v>1361</v>
      </c>
      <c r="E2652" s="18" t="s">
        <v>56</v>
      </c>
      <c r="F2652" s="18" t="s">
        <v>672</v>
      </c>
      <c r="G2652" s="18" t="s">
        <v>674</v>
      </c>
      <c r="H2652" s="18" t="s">
        <v>783</v>
      </c>
      <c r="I2652" s="315">
        <v>16.78668952507471</v>
      </c>
      <c r="J2652" s="315">
        <v>7.706168988803083E-4</v>
      </c>
      <c r="K2652" s="316" t="str">
        <f t="shared" si="50"/>
        <v>Construction and Mining Equipment</v>
      </c>
      <c r="L2652" s="316" t="str">
        <f t="shared" si="51"/>
        <v>LPG</v>
      </c>
      <c r="M2652" s="194"/>
      <c r="N2652" s="317"/>
      <c r="O2652" s="317"/>
      <c r="P2652" s="317"/>
      <c r="Q2652" s="317"/>
      <c r="R2652" s="317"/>
      <c r="S2652" s="317"/>
      <c r="T2652" s="317"/>
      <c r="U2652" s="317"/>
      <c r="V2652" s="317"/>
      <c r="W2652" s="317"/>
      <c r="X2652" s="317"/>
      <c r="Y2652" s="317"/>
      <c r="Z2652" s="317"/>
    </row>
    <row r="2653" spans="1:26" x14ac:dyDescent="0.25">
      <c r="A2653" s="314"/>
      <c r="B2653" s="18">
        <v>2023</v>
      </c>
      <c r="C2653" s="18" t="s">
        <v>762</v>
      </c>
      <c r="D2653" s="18" t="s">
        <v>1428</v>
      </c>
      <c r="E2653" s="18" t="s">
        <v>56</v>
      </c>
      <c r="F2653" s="18" t="s">
        <v>601</v>
      </c>
      <c r="G2653" s="18" t="s">
        <v>678</v>
      </c>
      <c r="H2653" s="18" t="s">
        <v>1154</v>
      </c>
      <c r="I2653" s="315">
        <v>16.753472829653646</v>
      </c>
      <c r="J2653" s="315">
        <v>6.8133730833920242E-2</v>
      </c>
      <c r="K2653" s="316" t="str">
        <f t="shared" si="50"/>
        <v>Agricultural Equipment</v>
      </c>
      <c r="L2653" s="316" t="str">
        <f t="shared" si="51"/>
        <v>CNG</v>
      </c>
      <c r="M2653" s="194"/>
      <c r="N2653" s="317"/>
      <c r="O2653" s="317"/>
      <c r="P2653" s="317"/>
      <c r="Q2653" s="317"/>
      <c r="R2653" s="317"/>
      <c r="S2653" s="317"/>
      <c r="T2653" s="317"/>
      <c r="U2653" s="317"/>
      <c r="V2653" s="317"/>
      <c r="W2653" s="317"/>
      <c r="X2653" s="317"/>
      <c r="Y2653" s="317"/>
      <c r="Z2653" s="317"/>
    </row>
    <row r="2654" spans="1:26" x14ac:dyDescent="0.25">
      <c r="A2654" s="314"/>
      <c r="B2654" s="18">
        <v>2023</v>
      </c>
      <c r="C2654" s="18" t="s">
        <v>793</v>
      </c>
      <c r="D2654" s="18" t="s">
        <v>1035</v>
      </c>
      <c r="E2654" s="18" t="s">
        <v>703</v>
      </c>
      <c r="F2654" s="18" t="s">
        <v>704</v>
      </c>
      <c r="G2654" s="18" t="s">
        <v>674</v>
      </c>
      <c r="H2654" s="18" t="s">
        <v>1036</v>
      </c>
      <c r="I2654" s="315">
        <v>16.72812740667284</v>
      </c>
      <c r="J2654" s="315">
        <v>1.1797803818907772E-2</v>
      </c>
      <c r="K2654" s="316" t="str">
        <f t="shared" si="50"/>
        <v>Construction and Mining Equipment</v>
      </c>
      <c r="L2654" s="316" t="str">
        <f t="shared" si="51"/>
        <v>Gasoline</v>
      </c>
      <c r="M2654" s="194"/>
      <c r="N2654" s="317"/>
      <c r="O2654" s="317"/>
      <c r="P2654" s="317"/>
      <c r="Q2654" s="317"/>
      <c r="R2654" s="317"/>
      <c r="S2654" s="317"/>
      <c r="T2654" s="317"/>
      <c r="U2654" s="317"/>
      <c r="V2654" s="317"/>
      <c r="W2654" s="317"/>
      <c r="X2654" s="317"/>
      <c r="Y2654" s="317"/>
      <c r="Z2654" s="317"/>
    </row>
    <row r="2655" spans="1:26" x14ac:dyDescent="0.25">
      <c r="A2655" s="314"/>
      <c r="B2655" s="18">
        <v>2023</v>
      </c>
      <c r="C2655" s="18" t="s">
        <v>810</v>
      </c>
      <c r="D2655" s="18" t="s">
        <v>1006</v>
      </c>
      <c r="E2655" s="18" t="s">
        <v>703</v>
      </c>
      <c r="F2655" s="18" t="s">
        <v>805</v>
      </c>
      <c r="G2655" s="18" t="s">
        <v>674</v>
      </c>
      <c r="H2655" s="18" t="s">
        <v>967</v>
      </c>
      <c r="I2655" s="315">
        <v>16.66890016611308</v>
      </c>
      <c r="J2655" s="315">
        <v>2.9852021222228582E-2</v>
      </c>
      <c r="K2655" s="316" t="str">
        <f t="shared" si="50"/>
        <v>Construction and Mining Equipment</v>
      </c>
      <c r="L2655" s="316" t="str">
        <f t="shared" si="51"/>
        <v>Gasoline</v>
      </c>
      <c r="M2655" s="194"/>
      <c r="N2655" s="317"/>
      <c r="O2655" s="317"/>
      <c r="P2655" s="317"/>
      <c r="Q2655" s="317"/>
      <c r="R2655" s="317"/>
      <c r="S2655" s="317"/>
      <c r="T2655" s="317"/>
      <c r="U2655" s="317"/>
      <c r="V2655" s="317"/>
      <c r="W2655" s="317"/>
      <c r="X2655" s="317"/>
      <c r="Y2655" s="317"/>
      <c r="Z2655" s="317"/>
    </row>
    <row r="2656" spans="1:26" x14ac:dyDescent="0.25">
      <c r="A2656" s="314"/>
      <c r="B2656" s="18">
        <v>2023</v>
      </c>
      <c r="C2656" s="18" t="s">
        <v>781</v>
      </c>
      <c r="D2656" s="18" t="s">
        <v>1016</v>
      </c>
      <c r="E2656" s="18" t="s">
        <v>56</v>
      </c>
      <c r="F2656" s="18" t="s">
        <v>672</v>
      </c>
      <c r="G2656" s="18" t="s">
        <v>675</v>
      </c>
      <c r="H2656" s="18" t="s">
        <v>802</v>
      </c>
      <c r="I2656" s="315">
        <v>16.61448033769905</v>
      </c>
      <c r="J2656" s="315">
        <v>7.6223634577553268E-4</v>
      </c>
      <c r="K2656" s="316" t="str">
        <f t="shared" si="50"/>
        <v>Industrial Equipment</v>
      </c>
      <c r="L2656" s="316" t="str">
        <f t="shared" si="51"/>
        <v>LPG</v>
      </c>
      <c r="M2656" s="194"/>
      <c r="N2656" s="317"/>
      <c r="O2656" s="317"/>
      <c r="P2656" s="317"/>
      <c r="Q2656" s="317"/>
      <c r="R2656" s="317"/>
      <c r="S2656" s="317"/>
      <c r="T2656" s="317"/>
      <c r="U2656" s="317"/>
      <c r="V2656" s="317"/>
      <c r="W2656" s="317"/>
      <c r="X2656" s="317"/>
      <c r="Y2656" s="317"/>
      <c r="Z2656" s="317"/>
    </row>
    <row r="2657" spans="1:26" x14ac:dyDescent="0.25">
      <c r="A2657" s="314"/>
      <c r="B2657" s="18">
        <v>2023</v>
      </c>
      <c r="C2657" s="18" t="s">
        <v>727</v>
      </c>
      <c r="D2657" s="18" t="s">
        <v>1037</v>
      </c>
      <c r="E2657" s="18" t="s">
        <v>56</v>
      </c>
      <c r="F2657" s="18" t="s">
        <v>672</v>
      </c>
      <c r="G2657" s="18" t="s">
        <v>677</v>
      </c>
      <c r="H2657" s="18" t="s">
        <v>841</v>
      </c>
      <c r="I2657" s="315">
        <v>16.610295916597842</v>
      </c>
      <c r="J2657" s="315">
        <v>1.6814143643122939E-3</v>
      </c>
      <c r="K2657" s="316" t="str">
        <f t="shared" si="50"/>
        <v>Commercial Equipment</v>
      </c>
      <c r="L2657" s="316" t="str">
        <f t="shared" si="51"/>
        <v>LPG</v>
      </c>
      <c r="M2657" s="194"/>
      <c r="N2657" s="317"/>
      <c r="O2657" s="317"/>
      <c r="P2657" s="317"/>
      <c r="Q2657" s="317"/>
      <c r="R2657" s="317"/>
      <c r="S2657" s="317"/>
      <c r="T2657" s="317"/>
      <c r="U2657" s="317"/>
      <c r="V2657" s="317"/>
      <c r="W2657" s="317"/>
      <c r="X2657" s="317"/>
      <c r="Y2657" s="317"/>
      <c r="Z2657" s="317"/>
    </row>
    <row r="2658" spans="1:26" x14ac:dyDescent="0.25">
      <c r="A2658" s="314"/>
      <c r="B2658" s="18">
        <v>2023</v>
      </c>
      <c r="C2658" s="18" t="s">
        <v>793</v>
      </c>
      <c r="D2658" s="18" t="s">
        <v>970</v>
      </c>
      <c r="E2658" s="18" t="s">
        <v>713</v>
      </c>
      <c r="F2658" s="18" t="s">
        <v>714</v>
      </c>
      <c r="G2658" s="18" t="s">
        <v>675</v>
      </c>
      <c r="H2658" s="18" t="s">
        <v>969</v>
      </c>
      <c r="I2658" s="315">
        <v>16.605911593923938</v>
      </c>
      <c r="J2658" s="315">
        <v>5.3954147364692348E-4</v>
      </c>
      <c r="K2658" s="316" t="str">
        <f t="shared" si="50"/>
        <v>Industrial Equipment</v>
      </c>
      <c r="L2658" s="316" t="str">
        <f t="shared" si="51"/>
        <v>Diesel</v>
      </c>
      <c r="M2658" s="194"/>
      <c r="N2658" s="317"/>
      <c r="O2658" s="317"/>
      <c r="P2658" s="317"/>
      <c r="Q2658" s="317"/>
      <c r="R2658" s="317"/>
      <c r="S2658" s="317"/>
      <c r="T2658" s="317"/>
      <c r="U2658" s="317"/>
      <c r="V2658" s="317"/>
      <c r="W2658" s="317"/>
      <c r="X2658" s="317"/>
      <c r="Y2658" s="317"/>
      <c r="Z2658" s="317"/>
    </row>
    <row r="2659" spans="1:26" x14ac:dyDescent="0.25">
      <c r="A2659" s="314"/>
      <c r="B2659" s="18">
        <v>2023</v>
      </c>
      <c r="C2659" s="18" t="s">
        <v>701</v>
      </c>
      <c r="D2659" s="18" t="s">
        <v>1362</v>
      </c>
      <c r="E2659" s="18" t="s">
        <v>56</v>
      </c>
      <c r="F2659" s="18" t="s">
        <v>672</v>
      </c>
      <c r="G2659" s="18" t="s">
        <v>674</v>
      </c>
      <c r="H2659" s="18" t="s">
        <v>859</v>
      </c>
      <c r="I2659" s="315">
        <v>16.586338228742417</v>
      </c>
      <c r="J2659" s="315">
        <v>4.1137579239552925E-3</v>
      </c>
      <c r="K2659" s="316" t="str">
        <f t="shared" si="50"/>
        <v>Construction and Mining Equipment</v>
      </c>
      <c r="L2659" s="316" t="str">
        <f t="shared" si="51"/>
        <v>LPG</v>
      </c>
      <c r="M2659" s="194"/>
      <c r="N2659" s="317"/>
      <c r="O2659" s="317"/>
      <c r="P2659" s="317"/>
      <c r="Q2659" s="317"/>
      <c r="R2659" s="317"/>
      <c r="S2659" s="317"/>
      <c r="T2659" s="317"/>
      <c r="U2659" s="317"/>
      <c r="V2659" s="317"/>
      <c r="W2659" s="317"/>
      <c r="X2659" s="317"/>
      <c r="Y2659" s="317"/>
      <c r="Z2659" s="317"/>
    </row>
    <row r="2660" spans="1:26" x14ac:dyDescent="0.25">
      <c r="A2660" s="314"/>
      <c r="B2660" s="18">
        <v>2023</v>
      </c>
      <c r="C2660" s="18" t="s">
        <v>762</v>
      </c>
      <c r="D2660" s="18" t="s">
        <v>1030</v>
      </c>
      <c r="E2660" s="18" t="s">
        <v>703</v>
      </c>
      <c r="F2660" s="18" t="s">
        <v>704</v>
      </c>
      <c r="G2660" s="18" t="s">
        <v>677</v>
      </c>
      <c r="H2660" s="18" t="s">
        <v>1031</v>
      </c>
      <c r="I2660" s="315">
        <v>16.57863913108536</v>
      </c>
      <c r="J2660" s="315">
        <v>1.1504677281224833E-2</v>
      </c>
      <c r="K2660" s="316" t="str">
        <f t="shared" si="50"/>
        <v>Commercial Equipment</v>
      </c>
      <c r="L2660" s="316" t="str">
        <f t="shared" si="51"/>
        <v>Gasoline</v>
      </c>
      <c r="M2660" s="194"/>
      <c r="N2660" s="317"/>
      <c r="O2660" s="317"/>
      <c r="P2660" s="317"/>
      <c r="Q2660" s="317"/>
      <c r="R2660" s="317"/>
      <c r="S2660" s="317"/>
      <c r="T2660" s="317"/>
      <c r="U2660" s="317"/>
      <c r="V2660" s="317"/>
      <c r="W2660" s="317"/>
      <c r="X2660" s="317"/>
      <c r="Y2660" s="317"/>
      <c r="Z2660" s="317"/>
    </row>
    <row r="2661" spans="1:26" x14ac:dyDescent="0.25">
      <c r="A2661" s="314"/>
      <c r="B2661" s="18">
        <v>2023</v>
      </c>
      <c r="C2661" s="18" t="s">
        <v>759</v>
      </c>
      <c r="D2661" s="18" t="s">
        <v>1320</v>
      </c>
      <c r="E2661" s="18" t="s">
        <v>713</v>
      </c>
      <c r="F2661" s="18" t="s">
        <v>676</v>
      </c>
      <c r="G2661" s="18" t="s">
        <v>79</v>
      </c>
      <c r="H2661" s="18" t="s">
        <v>730</v>
      </c>
      <c r="I2661" s="315">
        <v>16.481634527648946</v>
      </c>
      <c r="J2661" s="315">
        <v>1.0776803420480053E-3</v>
      </c>
      <c r="K2661" s="316" t="str">
        <f t="shared" si="50"/>
        <v>Pleasure Craft</v>
      </c>
      <c r="L2661" s="316" t="str">
        <f t="shared" si="51"/>
        <v>Diesel</v>
      </c>
      <c r="M2661" s="194"/>
      <c r="N2661" s="317"/>
      <c r="O2661" s="317"/>
      <c r="P2661" s="317"/>
      <c r="Q2661" s="317"/>
      <c r="R2661" s="317"/>
      <c r="S2661" s="317"/>
      <c r="T2661" s="317"/>
      <c r="U2661" s="317"/>
      <c r="V2661" s="317"/>
      <c r="W2661" s="317"/>
      <c r="X2661" s="317"/>
      <c r="Y2661" s="317"/>
      <c r="Z2661" s="317"/>
    </row>
    <row r="2662" spans="1:26" x14ac:dyDescent="0.25">
      <c r="A2662" s="314"/>
      <c r="B2662" s="18">
        <v>2023</v>
      </c>
      <c r="C2662" s="18" t="s">
        <v>711</v>
      </c>
      <c r="D2662" s="18" t="s">
        <v>1349</v>
      </c>
      <c r="E2662" s="18" t="s">
        <v>703</v>
      </c>
      <c r="F2662" s="18" t="s">
        <v>704</v>
      </c>
      <c r="G2662" s="18" t="s">
        <v>673</v>
      </c>
      <c r="H2662" s="18" t="s">
        <v>978</v>
      </c>
      <c r="I2662" s="315">
        <v>16.426909840455636</v>
      </c>
      <c r="J2662" s="315">
        <v>1.1430368400764045E-2</v>
      </c>
      <c r="K2662" s="316" t="str">
        <f t="shared" si="50"/>
        <v>Lawn and Garden Equipment</v>
      </c>
      <c r="L2662" s="316" t="str">
        <f t="shared" si="51"/>
        <v>Gasoline</v>
      </c>
      <c r="M2662" s="194"/>
      <c r="N2662" s="317"/>
      <c r="O2662" s="317"/>
      <c r="P2662" s="317"/>
      <c r="Q2662" s="317"/>
      <c r="R2662" s="317"/>
      <c r="S2662" s="317"/>
      <c r="T2662" s="317"/>
      <c r="U2662" s="317"/>
      <c r="V2662" s="317"/>
      <c r="W2662" s="317"/>
      <c r="X2662" s="317"/>
      <c r="Y2662" s="317"/>
      <c r="Z2662" s="317"/>
    </row>
    <row r="2663" spans="1:26" x14ac:dyDescent="0.25">
      <c r="A2663" s="314"/>
      <c r="B2663" s="18">
        <v>2023</v>
      </c>
      <c r="C2663" s="18" t="s">
        <v>709</v>
      </c>
      <c r="D2663" s="18" t="s">
        <v>1317</v>
      </c>
      <c r="E2663" s="18" t="s">
        <v>713</v>
      </c>
      <c r="F2663" s="18" t="s">
        <v>714</v>
      </c>
      <c r="G2663" s="18" t="s">
        <v>673</v>
      </c>
      <c r="H2663" s="18" t="s">
        <v>865</v>
      </c>
      <c r="I2663" s="315">
        <v>16.422282638985628</v>
      </c>
      <c r="J2663" s="315">
        <v>5.1866758105183002E-4</v>
      </c>
      <c r="K2663" s="316" t="str">
        <f t="shared" si="50"/>
        <v>Lawn and Garden Equipment</v>
      </c>
      <c r="L2663" s="316" t="str">
        <f t="shared" si="51"/>
        <v>Diesel</v>
      </c>
      <c r="M2663" s="194"/>
      <c r="N2663" s="317"/>
      <c r="O2663" s="317"/>
      <c r="P2663" s="317"/>
      <c r="Q2663" s="317"/>
      <c r="R2663" s="317"/>
      <c r="S2663" s="317"/>
      <c r="T2663" s="317"/>
      <c r="U2663" s="317"/>
      <c r="V2663" s="317"/>
      <c r="W2663" s="317"/>
      <c r="X2663" s="317"/>
      <c r="Y2663" s="317"/>
      <c r="Z2663" s="317"/>
    </row>
    <row r="2664" spans="1:26" x14ac:dyDescent="0.25">
      <c r="A2664" s="314"/>
      <c r="B2664" s="18">
        <v>2023</v>
      </c>
      <c r="C2664" s="18" t="s">
        <v>706</v>
      </c>
      <c r="D2664" s="18" t="s">
        <v>1403</v>
      </c>
      <c r="E2664" s="18" t="s">
        <v>703</v>
      </c>
      <c r="F2664" s="18" t="s">
        <v>683</v>
      </c>
      <c r="G2664" s="18" t="s">
        <v>1404</v>
      </c>
      <c r="H2664" s="18" t="s">
        <v>1002</v>
      </c>
      <c r="I2664" s="315">
        <v>16.372969868393</v>
      </c>
      <c r="J2664" s="315">
        <v>1.0606871787009808E-2</v>
      </c>
      <c r="K2664" s="316" t="str">
        <f t="shared" si="50"/>
        <v>Railroad Equipment</v>
      </c>
      <c r="L2664" s="316" t="str">
        <f t="shared" si="51"/>
        <v>Gasoline</v>
      </c>
      <c r="M2664" s="194"/>
      <c r="N2664" s="317"/>
      <c r="O2664" s="317"/>
      <c r="P2664" s="317"/>
      <c r="Q2664" s="317"/>
      <c r="R2664" s="317"/>
      <c r="S2664" s="317"/>
      <c r="T2664" s="317"/>
      <c r="U2664" s="317"/>
      <c r="V2664" s="317"/>
      <c r="W2664" s="317"/>
      <c r="X2664" s="317"/>
      <c r="Y2664" s="317"/>
      <c r="Z2664" s="317"/>
    </row>
    <row r="2665" spans="1:26" x14ac:dyDescent="0.25">
      <c r="A2665" s="314"/>
      <c r="B2665" s="18">
        <v>2023</v>
      </c>
      <c r="C2665" s="18" t="s">
        <v>750</v>
      </c>
      <c r="D2665" s="18" t="s">
        <v>1076</v>
      </c>
      <c r="E2665" s="18" t="s">
        <v>703</v>
      </c>
      <c r="F2665" s="18" t="s">
        <v>704</v>
      </c>
      <c r="G2665" s="18" t="s">
        <v>674</v>
      </c>
      <c r="H2665" s="18" t="s">
        <v>756</v>
      </c>
      <c r="I2665" s="315">
        <v>16.367453780951362</v>
      </c>
      <c r="J2665" s="315">
        <v>7.1689994163756758E-3</v>
      </c>
      <c r="K2665" s="316" t="str">
        <f t="shared" si="50"/>
        <v>Construction and Mining Equipment</v>
      </c>
      <c r="L2665" s="316" t="str">
        <f t="shared" si="51"/>
        <v>Gasoline</v>
      </c>
      <c r="M2665" s="194"/>
      <c r="N2665" s="317"/>
      <c r="O2665" s="317"/>
      <c r="P2665" s="317"/>
      <c r="Q2665" s="317"/>
      <c r="R2665" s="317"/>
      <c r="S2665" s="317"/>
      <c r="T2665" s="317"/>
      <c r="U2665" s="317"/>
      <c r="V2665" s="317"/>
      <c r="W2665" s="317"/>
      <c r="X2665" s="317"/>
      <c r="Y2665" s="317"/>
      <c r="Z2665" s="317"/>
    </row>
    <row r="2666" spans="1:26" x14ac:dyDescent="0.25">
      <c r="A2666" s="314"/>
      <c r="B2666" s="18">
        <v>2023</v>
      </c>
      <c r="C2666" s="18" t="s">
        <v>722</v>
      </c>
      <c r="D2666" s="18" t="s">
        <v>1153</v>
      </c>
      <c r="E2666" s="18" t="s">
        <v>713</v>
      </c>
      <c r="F2666" s="18" t="s">
        <v>714</v>
      </c>
      <c r="G2666" s="18" t="s">
        <v>678</v>
      </c>
      <c r="H2666" s="18" t="s">
        <v>1154</v>
      </c>
      <c r="I2666" s="315">
        <v>16.367134866357265</v>
      </c>
      <c r="J2666" s="315">
        <v>2.1362220603195602E-4</v>
      </c>
      <c r="K2666" s="316" t="str">
        <f t="shared" si="50"/>
        <v>Agricultural Equipment</v>
      </c>
      <c r="L2666" s="316" t="str">
        <f t="shared" si="51"/>
        <v>Diesel</v>
      </c>
      <c r="M2666" s="194"/>
      <c r="N2666" s="317"/>
      <c r="O2666" s="317"/>
      <c r="P2666" s="317"/>
      <c r="Q2666" s="317"/>
      <c r="R2666" s="317"/>
      <c r="S2666" s="317"/>
      <c r="T2666" s="317"/>
      <c r="U2666" s="317"/>
      <c r="V2666" s="317"/>
      <c r="W2666" s="317"/>
      <c r="X2666" s="317"/>
      <c r="Y2666" s="317"/>
      <c r="Z2666" s="317"/>
    </row>
    <row r="2667" spans="1:26" x14ac:dyDescent="0.25">
      <c r="A2667" s="314"/>
      <c r="B2667" s="18">
        <v>2023</v>
      </c>
      <c r="C2667" s="18" t="s">
        <v>743</v>
      </c>
      <c r="D2667" s="18" t="s">
        <v>1083</v>
      </c>
      <c r="E2667" s="18" t="s">
        <v>703</v>
      </c>
      <c r="F2667" s="18" t="s">
        <v>704</v>
      </c>
      <c r="G2667" s="18" t="s">
        <v>674</v>
      </c>
      <c r="H2667" s="18" t="s">
        <v>861</v>
      </c>
      <c r="I2667" s="315">
        <v>16.346791254688377</v>
      </c>
      <c r="J2667" s="315">
        <v>1.2337781838613254E-2</v>
      </c>
      <c r="K2667" s="316" t="str">
        <f t="shared" si="50"/>
        <v>Construction and Mining Equipment</v>
      </c>
      <c r="L2667" s="316" t="str">
        <f t="shared" si="51"/>
        <v>Gasoline</v>
      </c>
      <c r="M2667" s="194"/>
      <c r="N2667" s="317"/>
      <c r="O2667" s="317"/>
      <c r="P2667" s="317"/>
      <c r="Q2667" s="317"/>
      <c r="R2667" s="317"/>
      <c r="S2667" s="317"/>
      <c r="T2667" s="317"/>
      <c r="U2667" s="317"/>
      <c r="V2667" s="317"/>
      <c r="W2667" s="317"/>
      <c r="X2667" s="317"/>
      <c r="Y2667" s="317"/>
      <c r="Z2667" s="317"/>
    </row>
    <row r="2668" spans="1:26" x14ac:dyDescent="0.25">
      <c r="A2668" s="314"/>
      <c r="B2668" s="18">
        <v>2023</v>
      </c>
      <c r="C2668" s="18" t="s">
        <v>781</v>
      </c>
      <c r="D2668" s="18" t="s">
        <v>864</v>
      </c>
      <c r="E2668" s="18" t="s">
        <v>703</v>
      </c>
      <c r="F2668" s="18" t="s">
        <v>704</v>
      </c>
      <c r="G2668" s="18" t="s">
        <v>673</v>
      </c>
      <c r="H2668" s="18" t="s">
        <v>865</v>
      </c>
      <c r="I2668" s="315">
        <v>16.342685533662976</v>
      </c>
      <c r="J2668" s="315">
        <v>1.1093302313321531E-2</v>
      </c>
      <c r="K2668" s="316" t="str">
        <f t="shared" si="50"/>
        <v>Lawn and Garden Equipment</v>
      </c>
      <c r="L2668" s="316" t="str">
        <f t="shared" si="51"/>
        <v>Gasoline</v>
      </c>
      <c r="M2668" s="194"/>
      <c r="N2668" s="317"/>
      <c r="O2668" s="317"/>
      <c r="P2668" s="317"/>
      <c r="Q2668" s="317"/>
      <c r="R2668" s="317"/>
      <c r="S2668" s="317"/>
      <c r="T2668" s="317"/>
      <c r="U2668" s="317"/>
      <c r="V2668" s="317"/>
      <c r="W2668" s="317"/>
      <c r="X2668" s="317"/>
      <c r="Y2668" s="317"/>
      <c r="Z2668" s="317"/>
    </row>
    <row r="2669" spans="1:26" x14ac:dyDescent="0.25">
      <c r="A2669" s="314"/>
      <c r="B2669" s="18">
        <v>2023</v>
      </c>
      <c r="C2669" s="18" t="s">
        <v>732</v>
      </c>
      <c r="D2669" s="18" t="s">
        <v>1428</v>
      </c>
      <c r="E2669" s="18" t="s">
        <v>56</v>
      </c>
      <c r="F2669" s="18" t="s">
        <v>601</v>
      </c>
      <c r="G2669" s="18" t="s">
        <v>678</v>
      </c>
      <c r="H2669" s="18" t="s">
        <v>1154</v>
      </c>
      <c r="I2669" s="315">
        <v>16.342387776126024</v>
      </c>
      <c r="J2669" s="315">
        <v>6.6461945300711464E-2</v>
      </c>
      <c r="K2669" s="316" t="str">
        <f t="shared" si="50"/>
        <v>Agricultural Equipment</v>
      </c>
      <c r="L2669" s="316" t="str">
        <f t="shared" si="51"/>
        <v>CNG</v>
      </c>
      <c r="M2669" s="194"/>
      <c r="N2669" s="317"/>
      <c r="O2669" s="317"/>
      <c r="P2669" s="317"/>
      <c r="Q2669" s="317"/>
      <c r="R2669" s="317"/>
      <c r="S2669" s="317"/>
      <c r="T2669" s="317"/>
      <c r="U2669" s="317"/>
      <c r="V2669" s="317"/>
      <c r="W2669" s="317"/>
      <c r="X2669" s="317"/>
      <c r="Y2669" s="317"/>
      <c r="Z2669" s="317"/>
    </row>
    <row r="2670" spans="1:26" x14ac:dyDescent="0.25">
      <c r="A2670" s="314"/>
      <c r="B2670" s="18">
        <v>2023</v>
      </c>
      <c r="C2670" s="18" t="s">
        <v>732</v>
      </c>
      <c r="D2670" s="18" t="s">
        <v>1228</v>
      </c>
      <c r="E2670" s="18" t="s">
        <v>703</v>
      </c>
      <c r="F2670" s="18" t="s">
        <v>704</v>
      </c>
      <c r="G2670" s="18" t="s">
        <v>675</v>
      </c>
      <c r="H2670" s="18" t="s">
        <v>1078</v>
      </c>
      <c r="I2670" s="315">
        <v>16.276636595420051</v>
      </c>
      <c r="J2670" s="315">
        <v>5.5105569342751492E-3</v>
      </c>
      <c r="K2670" s="316" t="str">
        <f t="shared" si="50"/>
        <v>Industrial Equipment</v>
      </c>
      <c r="L2670" s="316" t="str">
        <f t="shared" si="51"/>
        <v>Gasoline</v>
      </c>
      <c r="M2670" s="194"/>
      <c r="N2670" s="317"/>
      <c r="O2670" s="317"/>
      <c r="P2670" s="317"/>
      <c r="Q2670" s="317"/>
      <c r="R2670" s="317"/>
      <c r="S2670" s="317"/>
      <c r="T2670" s="317"/>
      <c r="U2670" s="317"/>
      <c r="V2670" s="317"/>
      <c r="W2670" s="317"/>
      <c r="X2670" s="317"/>
      <c r="Y2670" s="317"/>
      <c r="Z2670" s="317"/>
    </row>
    <row r="2671" spans="1:26" x14ac:dyDescent="0.25">
      <c r="A2671" s="314"/>
      <c r="B2671" s="18">
        <v>2023</v>
      </c>
      <c r="C2671" s="18" t="s">
        <v>762</v>
      </c>
      <c r="D2671" s="18" t="s">
        <v>1034</v>
      </c>
      <c r="E2671" s="18" t="s">
        <v>713</v>
      </c>
      <c r="F2671" s="18" t="s">
        <v>714</v>
      </c>
      <c r="G2671" s="18" t="s">
        <v>677</v>
      </c>
      <c r="H2671" s="18" t="s">
        <v>1031</v>
      </c>
      <c r="I2671" s="315">
        <v>16.268714389523076</v>
      </c>
      <c r="J2671" s="315">
        <v>2.8271497256992492E-4</v>
      </c>
      <c r="K2671" s="316" t="str">
        <f t="shared" si="50"/>
        <v>Commercial Equipment</v>
      </c>
      <c r="L2671" s="316" t="str">
        <f t="shared" si="51"/>
        <v>Diesel</v>
      </c>
      <c r="M2671" s="194"/>
      <c r="N2671" s="317"/>
      <c r="O2671" s="317"/>
      <c r="P2671" s="317"/>
      <c r="Q2671" s="317"/>
      <c r="R2671" s="317"/>
      <c r="S2671" s="317"/>
      <c r="T2671" s="317"/>
      <c r="U2671" s="317"/>
      <c r="V2671" s="317"/>
      <c r="W2671" s="317"/>
      <c r="X2671" s="317"/>
      <c r="Y2671" s="317"/>
      <c r="Z2671" s="317"/>
    </row>
    <row r="2672" spans="1:26" x14ac:dyDescent="0.25">
      <c r="A2672" s="314"/>
      <c r="B2672" s="18">
        <v>2023</v>
      </c>
      <c r="C2672" s="18" t="s">
        <v>781</v>
      </c>
      <c r="D2672" s="18" t="s">
        <v>986</v>
      </c>
      <c r="E2672" s="18" t="s">
        <v>703</v>
      </c>
      <c r="F2672" s="18" t="s">
        <v>704</v>
      </c>
      <c r="G2672" s="18" t="s">
        <v>673</v>
      </c>
      <c r="H2672" s="18" t="s">
        <v>987</v>
      </c>
      <c r="I2672" s="315">
        <v>16.265618368973112</v>
      </c>
      <c r="J2672" s="315">
        <v>1.1124327640440386E-2</v>
      </c>
      <c r="K2672" s="316" t="str">
        <f t="shared" si="50"/>
        <v>Lawn and Garden Equipment</v>
      </c>
      <c r="L2672" s="316" t="str">
        <f t="shared" si="51"/>
        <v>Gasoline</v>
      </c>
      <c r="M2672" s="194"/>
      <c r="N2672" s="317"/>
      <c r="O2672" s="317"/>
      <c r="P2672" s="317"/>
      <c r="Q2672" s="317"/>
      <c r="R2672" s="317"/>
      <c r="S2672" s="317"/>
      <c r="T2672" s="317"/>
      <c r="U2672" s="317"/>
      <c r="V2672" s="317"/>
      <c r="W2672" s="317"/>
      <c r="X2672" s="317"/>
      <c r="Y2672" s="317"/>
      <c r="Z2672" s="317"/>
    </row>
    <row r="2673" spans="1:26" x14ac:dyDescent="0.25">
      <c r="A2673" s="314"/>
      <c r="B2673" s="18">
        <v>2023</v>
      </c>
      <c r="C2673" s="18" t="s">
        <v>706</v>
      </c>
      <c r="D2673" s="18" t="s">
        <v>1317</v>
      </c>
      <c r="E2673" s="18" t="s">
        <v>713</v>
      </c>
      <c r="F2673" s="18" t="s">
        <v>714</v>
      </c>
      <c r="G2673" s="18" t="s">
        <v>673</v>
      </c>
      <c r="H2673" s="18" t="s">
        <v>865</v>
      </c>
      <c r="I2673" s="315">
        <v>16.25297981325533</v>
      </c>
      <c r="J2673" s="315">
        <v>5.1332020837452526E-4</v>
      </c>
      <c r="K2673" s="316" t="str">
        <f t="shared" si="50"/>
        <v>Lawn and Garden Equipment</v>
      </c>
      <c r="L2673" s="316" t="str">
        <f t="shared" si="51"/>
        <v>Diesel</v>
      </c>
      <c r="M2673" s="194"/>
      <c r="N2673" s="317"/>
      <c r="O2673" s="317"/>
      <c r="P2673" s="317"/>
      <c r="Q2673" s="317"/>
      <c r="R2673" s="317"/>
      <c r="S2673" s="317"/>
      <c r="T2673" s="317"/>
      <c r="U2673" s="317"/>
      <c r="V2673" s="317"/>
      <c r="W2673" s="317"/>
      <c r="X2673" s="317"/>
      <c r="Y2673" s="317"/>
      <c r="Z2673" s="317"/>
    </row>
    <row r="2674" spans="1:26" x14ac:dyDescent="0.25">
      <c r="A2674" s="314"/>
      <c r="B2674" s="18">
        <v>2023</v>
      </c>
      <c r="C2674" s="18" t="s">
        <v>701</v>
      </c>
      <c r="D2674" s="18" t="s">
        <v>1366</v>
      </c>
      <c r="E2674" s="18" t="s">
        <v>703</v>
      </c>
      <c r="F2674" s="18" t="s">
        <v>704</v>
      </c>
      <c r="G2674" s="18" t="s">
        <v>674</v>
      </c>
      <c r="H2674" s="18" t="s">
        <v>791</v>
      </c>
      <c r="I2674" s="315">
        <v>16.250852676982728</v>
      </c>
      <c r="J2674" s="315">
        <v>5.090980699196391E-3</v>
      </c>
      <c r="K2674" s="316" t="str">
        <f t="shared" si="50"/>
        <v>Construction and Mining Equipment</v>
      </c>
      <c r="L2674" s="316" t="str">
        <f t="shared" si="51"/>
        <v>Gasoline</v>
      </c>
      <c r="M2674" s="194"/>
      <c r="N2674" s="317"/>
      <c r="O2674" s="317"/>
      <c r="P2674" s="317"/>
      <c r="Q2674" s="317"/>
      <c r="R2674" s="317"/>
      <c r="S2674" s="317"/>
      <c r="T2674" s="317"/>
      <c r="U2674" s="317"/>
      <c r="V2674" s="317"/>
      <c r="W2674" s="317"/>
      <c r="X2674" s="317"/>
      <c r="Y2674" s="317"/>
      <c r="Z2674" s="317"/>
    </row>
    <row r="2675" spans="1:26" x14ac:dyDescent="0.25">
      <c r="A2675" s="314"/>
      <c r="B2675" s="18">
        <v>2023</v>
      </c>
      <c r="C2675" s="18" t="s">
        <v>753</v>
      </c>
      <c r="D2675" s="18" t="s">
        <v>1018</v>
      </c>
      <c r="E2675" s="18" t="s">
        <v>56</v>
      </c>
      <c r="F2675" s="18" t="s">
        <v>672</v>
      </c>
      <c r="G2675" s="18" t="s">
        <v>677</v>
      </c>
      <c r="H2675" s="18" t="s">
        <v>785</v>
      </c>
      <c r="I2675" s="315">
        <v>16.194562874312538</v>
      </c>
      <c r="J2675" s="315">
        <v>7.9470324782892894E-4</v>
      </c>
      <c r="K2675" s="316" t="str">
        <f t="shared" si="50"/>
        <v>Commercial Equipment</v>
      </c>
      <c r="L2675" s="316" t="str">
        <f t="shared" si="51"/>
        <v>LPG</v>
      </c>
      <c r="M2675" s="194"/>
      <c r="N2675" s="317"/>
      <c r="O2675" s="317"/>
      <c r="P2675" s="317"/>
      <c r="Q2675" s="317"/>
      <c r="R2675" s="317"/>
      <c r="S2675" s="317"/>
      <c r="T2675" s="317"/>
      <c r="U2675" s="317"/>
      <c r="V2675" s="317"/>
      <c r="W2675" s="317"/>
      <c r="X2675" s="317"/>
      <c r="Y2675" s="317"/>
      <c r="Z2675" s="317"/>
    </row>
    <row r="2676" spans="1:26" x14ac:dyDescent="0.25">
      <c r="A2676" s="314"/>
      <c r="B2676" s="18">
        <v>2023</v>
      </c>
      <c r="C2676" s="18" t="s">
        <v>762</v>
      </c>
      <c r="D2676" s="18" t="s">
        <v>993</v>
      </c>
      <c r="E2676" s="18" t="s">
        <v>703</v>
      </c>
      <c r="F2676" s="18" t="s">
        <v>704</v>
      </c>
      <c r="G2676" s="18" t="s">
        <v>674</v>
      </c>
      <c r="H2676" s="18" t="s">
        <v>994</v>
      </c>
      <c r="I2676" s="315">
        <v>16.131905477777881</v>
      </c>
      <c r="J2676" s="315">
        <v>1.0755334729883799E-2</v>
      </c>
      <c r="K2676" s="316" t="str">
        <f t="shared" si="50"/>
        <v>Construction and Mining Equipment</v>
      </c>
      <c r="L2676" s="316" t="str">
        <f t="shared" si="51"/>
        <v>Gasoline</v>
      </c>
      <c r="M2676" s="194"/>
      <c r="N2676" s="317"/>
      <c r="O2676" s="317"/>
      <c r="P2676" s="317"/>
      <c r="Q2676" s="317"/>
      <c r="R2676" s="317"/>
      <c r="S2676" s="317"/>
      <c r="T2676" s="317"/>
      <c r="U2676" s="317"/>
      <c r="V2676" s="317"/>
      <c r="W2676" s="317"/>
      <c r="X2676" s="317"/>
      <c r="Y2676" s="317"/>
      <c r="Z2676" s="317"/>
    </row>
    <row r="2677" spans="1:26" x14ac:dyDescent="0.25">
      <c r="A2677" s="314"/>
      <c r="B2677" s="18">
        <v>2023</v>
      </c>
      <c r="C2677" s="18" t="s">
        <v>727</v>
      </c>
      <c r="D2677" s="18" t="s">
        <v>1051</v>
      </c>
      <c r="E2677" s="18" t="s">
        <v>703</v>
      </c>
      <c r="F2677" s="18" t="s">
        <v>704</v>
      </c>
      <c r="G2677" s="18" t="s">
        <v>674</v>
      </c>
      <c r="H2677" s="18" t="s">
        <v>783</v>
      </c>
      <c r="I2677" s="315">
        <v>16.128377155813652</v>
      </c>
      <c r="J2677" s="315">
        <v>9.7962798158916214E-3</v>
      </c>
      <c r="K2677" s="316" t="str">
        <f t="shared" si="50"/>
        <v>Construction and Mining Equipment</v>
      </c>
      <c r="L2677" s="316" t="str">
        <f t="shared" si="51"/>
        <v>Gasoline</v>
      </c>
      <c r="M2677" s="194"/>
      <c r="N2677" s="317"/>
      <c r="O2677" s="317"/>
      <c r="P2677" s="317"/>
      <c r="Q2677" s="317"/>
      <c r="R2677" s="317"/>
      <c r="S2677" s="317"/>
      <c r="T2677" s="317"/>
      <c r="U2677" s="317"/>
      <c r="V2677" s="317"/>
      <c r="W2677" s="317"/>
      <c r="X2677" s="317"/>
      <c r="Y2677" s="317"/>
      <c r="Z2677" s="317"/>
    </row>
    <row r="2678" spans="1:26" ht="12.75" x14ac:dyDescent="0.2">
      <c r="A2678" s="230"/>
      <c r="B2678" s="18">
        <v>2023</v>
      </c>
      <c r="C2678" s="18" t="s">
        <v>706</v>
      </c>
      <c r="D2678" s="18" t="s">
        <v>1221</v>
      </c>
      <c r="E2678" s="18" t="s">
        <v>713</v>
      </c>
      <c r="F2678" s="18" t="s">
        <v>714</v>
      </c>
      <c r="G2678" s="18" t="s">
        <v>678</v>
      </c>
      <c r="H2678" s="18" t="s">
        <v>1222</v>
      </c>
      <c r="I2678" s="315">
        <v>16.126438141776323</v>
      </c>
      <c r="J2678" s="315">
        <v>1.074346234638425E-4</v>
      </c>
      <c r="K2678" s="316" t="str">
        <f t="shared" si="50"/>
        <v>Agricultural Equipment</v>
      </c>
      <c r="L2678" s="316" t="str">
        <f t="shared" si="51"/>
        <v>Diesel</v>
      </c>
      <c r="M2678" s="8"/>
      <c r="N2678" s="2"/>
      <c r="O2678" s="2"/>
      <c r="P2678" s="2"/>
      <c r="Q2678" s="2"/>
      <c r="R2678" s="2"/>
      <c r="S2678" s="2"/>
      <c r="T2678" s="2"/>
      <c r="U2678" s="2"/>
      <c r="V2678" s="2"/>
      <c r="W2678" s="2"/>
      <c r="X2678" s="2"/>
      <c r="Y2678" s="2"/>
      <c r="Z2678" s="2"/>
    </row>
    <row r="2679" spans="1:26" ht="12.75" x14ac:dyDescent="0.2">
      <c r="A2679" s="230"/>
      <c r="B2679" s="18">
        <v>2023</v>
      </c>
      <c r="C2679" s="18" t="s">
        <v>778</v>
      </c>
      <c r="D2679" s="18" t="s">
        <v>997</v>
      </c>
      <c r="E2679" s="18" t="s">
        <v>56</v>
      </c>
      <c r="F2679" s="18" t="s">
        <v>672</v>
      </c>
      <c r="G2679" s="18" t="s">
        <v>675</v>
      </c>
      <c r="H2679" s="18" t="s">
        <v>969</v>
      </c>
      <c r="I2679" s="315">
        <v>16.088218350807601</v>
      </c>
      <c r="J2679" s="315">
        <v>2.0016945235250363E-3</v>
      </c>
      <c r="K2679" s="316" t="str">
        <f t="shared" si="50"/>
        <v>Industrial Equipment</v>
      </c>
      <c r="L2679" s="316" t="str">
        <f t="shared" si="51"/>
        <v>LPG</v>
      </c>
      <c r="M2679" s="8"/>
      <c r="N2679" s="2"/>
      <c r="O2679" s="2"/>
      <c r="P2679" s="2"/>
      <c r="Q2679" s="2"/>
      <c r="R2679" s="2"/>
      <c r="S2679" s="2"/>
      <c r="T2679" s="2"/>
      <c r="U2679" s="2"/>
      <c r="V2679" s="2"/>
      <c r="W2679" s="2"/>
      <c r="X2679" s="2"/>
      <c r="Y2679" s="2"/>
      <c r="Z2679" s="2"/>
    </row>
    <row r="2680" spans="1:26" ht="12.75" x14ac:dyDescent="0.2">
      <c r="A2680" s="230"/>
      <c r="B2680" s="18">
        <v>2023</v>
      </c>
      <c r="C2680" s="18" t="s">
        <v>753</v>
      </c>
      <c r="D2680" s="18" t="s">
        <v>1014</v>
      </c>
      <c r="E2680" s="18" t="s">
        <v>713</v>
      </c>
      <c r="F2680" s="18" t="s">
        <v>714</v>
      </c>
      <c r="G2680" s="18" t="s">
        <v>674</v>
      </c>
      <c r="H2680" s="18" t="s">
        <v>994</v>
      </c>
      <c r="I2680" s="315">
        <v>16.017051011916823</v>
      </c>
      <c r="J2680" s="315">
        <v>2.0863982932823227E-4</v>
      </c>
      <c r="K2680" s="316" t="str">
        <f t="shared" si="50"/>
        <v>Construction and Mining Equipment</v>
      </c>
      <c r="L2680" s="316" t="str">
        <f t="shared" si="51"/>
        <v>Diesel</v>
      </c>
      <c r="M2680" s="8"/>
      <c r="N2680" s="2"/>
      <c r="O2680" s="2"/>
      <c r="P2680" s="2"/>
      <c r="Q2680" s="2"/>
      <c r="R2680" s="2"/>
      <c r="S2680" s="2"/>
      <c r="T2680" s="2"/>
      <c r="U2680" s="2"/>
      <c r="V2680" s="2"/>
      <c r="W2680" s="2"/>
      <c r="X2680" s="2"/>
      <c r="Y2680" s="2"/>
      <c r="Z2680" s="2"/>
    </row>
    <row r="2681" spans="1:26" ht="12.75" x14ac:dyDescent="0.2">
      <c r="A2681" s="230"/>
      <c r="B2681" s="18">
        <v>2023</v>
      </c>
      <c r="C2681" s="18" t="s">
        <v>762</v>
      </c>
      <c r="D2681" s="18" t="s">
        <v>1037</v>
      </c>
      <c r="E2681" s="18" t="s">
        <v>56</v>
      </c>
      <c r="F2681" s="18" t="s">
        <v>672</v>
      </c>
      <c r="G2681" s="18" t="s">
        <v>677</v>
      </c>
      <c r="H2681" s="18" t="s">
        <v>841</v>
      </c>
      <c r="I2681" s="315">
        <v>16.00259864061357</v>
      </c>
      <c r="J2681" s="315">
        <v>1.6198994938856144E-3</v>
      </c>
      <c r="K2681" s="316" t="str">
        <f t="shared" si="50"/>
        <v>Commercial Equipment</v>
      </c>
      <c r="L2681" s="316" t="str">
        <f t="shared" si="51"/>
        <v>LPG</v>
      </c>
      <c r="M2681" s="8"/>
      <c r="N2681" s="2"/>
      <c r="O2681" s="2"/>
      <c r="P2681" s="2"/>
      <c r="Q2681" s="2"/>
      <c r="R2681" s="2"/>
      <c r="S2681" s="2"/>
      <c r="T2681" s="2"/>
      <c r="U2681" s="2"/>
      <c r="V2681" s="2"/>
      <c r="W2681" s="2"/>
      <c r="X2681" s="2"/>
      <c r="Y2681" s="2"/>
      <c r="Z2681" s="2"/>
    </row>
    <row r="2682" spans="1:26" ht="12.75" x14ac:dyDescent="0.2">
      <c r="A2682" s="230"/>
      <c r="B2682" s="18">
        <v>2023</v>
      </c>
      <c r="C2682" s="18" t="s">
        <v>731</v>
      </c>
      <c r="D2682" s="18" t="s">
        <v>995</v>
      </c>
      <c r="E2682" s="18" t="s">
        <v>703</v>
      </c>
      <c r="F2682" s="18" t="s">
        <v>805</v>
      </c>
      <c r="G2682" s="18" t="s">
        <v>673</v>
      </c>
      <c r="H2682" s="18" t="s">
        <v>996</v>
      </c>
      <c r="I2682" s="315">
        <v>15.978788129618248</v>
      </c>
      <c r="J2682" s="315">
        <v>2.9797476184698846E-2</v>
      </c>
      <c r="K2682" s="316" t="str">
        <f t="shared" si="50"/>
        <v>Lawn and Garden Equipment</v>
      </c>
      <c r="L2682" s="316" t="str">
        <f t="shared" si="51"/>
        <v>Gasoline</v>
      </c>
      <c r="M2682" s="8"/>
      <c r="N2682" s="2"/>
      <c r="O2682" s="2"/>
      <c r="P2682" s="2"/>
      <c r="Q2682" s="2"/>
      <c r="R2682" s="2"/>
      <c r="S2682" s="2"/>
      <c r="T2682" s="2"/>
      <c r="U2682" s="2"/>
      <c r="V2682" s="2"/>
      <c r="W2682" s="2"/>
      <c r="X2682" s="2"/>
      <c r="Y2682" s="2"/>
      <c r="Z2682" s="2"/>
    </row>
    <row r="2683" spans="1:26" ht="12.75" x14ac:dyDescent="0.2">
      <c r="A2683" s="230"/>
      <c r="B2683" s="18">
        <v>2023</v>
      </c>
      <c r="C2683" s="18" t="s">
        <v>793</v>
      </c>
      <c r="D2683" s="18" t="s">
        <v>1065</v>
      </c>
      <c r="E2683" s="18" t="s">
        <v>703</v>
      </c>
      <c r="F2683" s="18" t="s">
        <v>795</v>
      </c>
      <c r="G2683" s="18" t="s">
        <v>673</v>
      </c>
      <c r="H2683" s="18" t="s">
        <v>1066</v>
      </c>
      <c r="I2683" s="315">
        <v>15.968940350561894</v>
      </c>
      <c r="J2683" s="315">
        <v>0.10907505398217422</v>
      </c>
      <c r="K2683" s="316" t="str">
        <f t="shared" si="50"/>
        <v>Lawn and Garden Equipment</v>
      </c>
      <c r="L2683" s="316" t="str">
        <f t="shared" si="51"/>
        <v>Gasoline</v>
      </c>
      <c r="M2683" s="8"/>
      <c r="N2683" s="2"/>
      <c r="O2683" s="2"/>
      <c r="P2683" s="2"/>
      <c r="Q2683" s="2"/>
      <c r="R2683" s="2"/>
      <c r="S2683" s="2"/>
      <c r="T2683" s="2"/>
      <c r="U2683" s="2"/>
      <c r="V2683" s="2"/>
      <c r="W2683" s="2"/>
      <c r="X2683" s="2"/>
      <c r="Y2683" s="2"/>
      <c r="Z2683" s="2"/>
    </row>
    <row r="2684" spans="1:26" ht="12.75" x14ac:dyDescent="0.2">
      <c r="A2684" s="230"/>
      <c r="B2684" s="18">
        <v>2023</v>
      </c>
      <c r="C2684" s="18" t="s">
        <v>778</v>
      </c>
      <c r="D2684" s="18" t="s">
        <v>1030</v>
      </c>
      <c r="E2684" s="18" t="s">
        <v>703</v>
      </c>
      <c r="F2684" s="18" t="s">
        <v>704</v>
      </c>
      <c r="G2684" s="18" t="s">
        <v>677</v>
      </c>
      <c r="H2684" s="18" t="s">
        <v>1031</v>
      </c>
      <c r="I2684" s="315">
        <v>15.949083331830511</v>
      </c>
      <c r="J2684" s="315">
        <v>1.1063528389424305E-2</v>
      </c>
      <c r="K2684" s="316" t="str">
        <f t="shared" si="50"/>
        <v>Commercial Equipment</v>
      </c>
      <c r="L2684" s="316" t="str">
        <f t="shared" si="51"/>
        <v>Gasoline</v>
      </c>
      <c r="M2684" s="8"/>
      <c r="N2684" s="2"/>
      <c r="O2684" s="2"/>
      <c r="P2684" s="2"/>
      <c r="Q2684" s="2"/>
      <c r="R2684" s="2"/>
      <c r="S2684" s="2"/>
      <c r="T2684" s="2"/>
      <c r="U2684" s="2"/>
      <c r="V2684" s="2"/>
      <c r="W2684" s="2"/>
      <c r="X2684" s="2"/>
      <c r="Y2684" s="2"/>
      <c r="Z2684" s="2"/>
    </row>
    <row r="2685" spans="1:26" ht="12.75" x14ac:dyDescent="0.2">
      <c r="A2685" s="230"/>
      <c r="B2685" s="18">
        <v>2023</v>
      </c>
      <c r="C2685" s="18" t="s">
        <v>727</v>
      </c>
      <c r="D2685" s="18" t="s">
        <v>1394</v>
      </c>
      <c r="E2685" s="18" t="s">
        <v>703</v>
      </c>
      <c r="F2685" s="18" t="s">
        <v>805</v>
      </c>
      <c r="G2685" s="18" t="s">
        <v>681</v>
      </c>
      <c r="H2685" s="18" t="s">
        <v>1395</v>
      </c>
      <c r="I2685" s="315">
        <v>15.836716125947925</v>
      </c>
      <c r="J2685" s="315">
        <v>2.7431017889039892E-2</v>
      </c>
      <c r="K2685" s="316" t="str">
        <f t="shared" si="50"/>
        <v>Logging Equipment</v>
      </c>
      <c r="L2685" s="316" t="str">
        <f t="shared" si="51"/>
        <v>Gasoline</v>
      </c>
      <c r="M2685" s="8"/>
      <c r="N2685" s="2"/>
      <c r="O2685" s="2"/>
      <c r="P2685" s="2"/>
      <c r="Q2685" s="2"/>
      <c r="R2685" s="2"/>
      <c r="S2685" s="2"/>
      <c r="T2685" s="2"/>
      <c r="U2685" s="2"/>
      <c r="V2685" s="2"/>
      <c r="W2685" s="2"/>
      <c r="X2685" s="2"/>
      <c r="Y2685" s="2"/>
      <c r="Z2685" s="2"/>
    </row>
    <row r="2686" spans="1:26" ht="12.75" x14ac:dyDescent="0.2">
      <c r="A2686" s="230"/>
      <c r="B2686" s="18">
        <v>2023</v>
      </c>
      <c r="C2686" s="18" t="s">
        <v>793</v>
      </c>
      <c r="D2686" s="18" t="s">
        <v>1051</v>
      </c>
      <c r="E2686" s="18" t="s">
        <v>703</v>
      </c>
      <c r="F2686" s="18" t="s">
        <v>704</v>
      </c>
      <c r="G2686" s="18" t="s">
        <v>674</v>
      </c>
      <c r="H2686" s="18" t="s">
        <v>783</v>
      </c>
      <c r="I2686" s="315">
        <v>15.747101161607807</v>
      </c>
      <c r="J2686" s="315">
        <v>9.5783906149192431E-3</v>
      </c>
      <c r="K2686" s="316" t="str">
        <f t="shared" si="50"/>
        <v>Construction and Mining Equipment</v>
      </c>
      <c r="L2686" s="316" t="str">
        <f t="shared" si="51"/>
        <v>Gasoline</v>
      </c>
      <c r="M2686" s="8"/>
      <c r="N2686" s="2"/>
      <c r="O2686" s="2"/>
      <c r="P2686" s="2"/>
      <c r="Q2686" s="2"/>
      <c r="R2686" s="2"/>
      <c r="S2686" s="2"/>
      <c r="T2686" s="2"/>
      <c r="U2686" s="2"/>
      <c r="V2686" s="2"/>
      <c r="W2686" s="2"/>
      <c r="X2686" s="2"/>
      <c r="Y2686" s="2"/>
      <c r="Z2686" s="2"/>
    </row>
    <row r="2687" spans="1:26" ht="12.75" x14ac:dyDescent="0.2">
      <c r="A2687" s="230"/>
      <c r="B2687" s="18">
        <v>2023</v>
      </c>
      <c r="C2687" s="18" t="s">
        <v>778</v>
      </c>
      <c r="D2687" s="18" t="s">
        <v>1394</v>
      </c>
      <c r="E2687" s="18" t="s">
        <v>703</v>
      </c>
      <c r="F2687" s="18" t="s">
        <v>805</v>
      </c>
      <c r="G2687" s="18" t="s">
        <v>681</v>
      </c>
      <c r="H2687" s="18" t="s">
        <v>1395</v>
      </c>
      <c r="I2687" s="315">
        <v>15.738369299441148</v>
      </c>
      <c r="J2687" s="315">
        <v>2.7260659557977698E-2</v>
      </c>
      <c r="K2687" s="316" t="str">
        <f t="shared" si="50"/>
        <v>Logging Equipment</v>
      </c>
      <c r="L2687" s="316" t="str">
        <f t="shared" si="51"/>
        <v>Gasoline</v>
      </c>
      <c r="M2687" s="8"/>
      <c r="N2687" s="2"/>
      <c r="O2687" s="2"/>
      <c r="P2687" s="2"/>
      <c r="Q2687" s="2"/>
      <c r="R2687" s="2"/>
      <c r="S2687" s="2"/>
      <c r="T2687" s="2"/>
      <c r="U2687" s="2"/>
      <c r="V2687" s="2"/>
      <c r="W2687" s="2"/>
      <c r="X2687" s="2"/>
      <c r="Y2687" s="2"/>
      <c r="Z2687" s="2"/>
    </row>
    <row r="2688" spans="1:26" ht="12.75" x14ac:dyDescent="0.2">
      <c r="A2688" s="230"/>
      <c r="B2688" s="18">
        <v>2023</v>
      </c>
      <c r="C2688" s="18" t="s">
        <v>722</v>
      </c>
      <c r="D2688" s="18" t="s">
        <v>1218</v>
      </c>
      <c r="E2688" s="18" t="s">
        <v>703</v>
      </c>
      <c r="F2688" s="18" t="s">
        <v>704</v>
      </c>
      <c r="G2688" s="18" t="s">
        <v>673</v>
      </c>
      <c r="H2688" s="18" t="s">
        <v>996</v>
      </c>
      <c r="I2688" s="315">
        <v>15.736811355715776</v>
      </c>
      <c r="J2688" s="315">
        <v>1.0965332015413861E-2</v>
      </c>
      <c r="K2688" s="316" t="str">
        <f t="shared" si="50"/>
        <v>Lawn and Garden Equipment</v>
      </c>
      <c r="L2688" s="316" t="str">
        <f t="shared" si="51"/>
        <v>Gasoline</v>
      </c>
      <c r="M2688" s="8"/>
      <c r="N2688" s="2"/>
      <c r="O2688" s="2"/>
      <c r="P2688" s="2"/>
      <c r="Q2688" s="2"/>
      <c r="R2688" s="2"/>
      <c r="S2688" s="2"/>
      <c r="T2688" s="2"/>
      <c r="U2688" s="2"/>
      <c r="V2688" s="2"/>
      <c r="W2688" s="2"/>
      <c r="X2688" s="2"/>
      <c r="Y2688" s="2"/>
      <c r="Z2688" s="2"/>
    </row>
    <row r="2689" spans="1:26" ht="12.75" x14ac:dyDescent="0.2">
      <c r="A2689" s="230"/>
      <c r="B2689" s="18">
        <v>2023</v>
      </c>
      <c r="C2689" s="18" t="s">
        <v>706</v>
      </c>
      <c r="D2689" s="18" t="s">
        <v>1435</v>
      </c>
      <c r="E2689" s="18" t="s">
        <v>56</v>
      </c>
      <c r="F2689" s="18" t="s">
        <v>672</v>
      </c>
      <c r="G2689" s="18" t="s">
        <v>674</v>
      </c>
      <c r="H2689" s="18" t="s">
        <v>863</v>
      </c>
      <c r="I2689" s="315">
        <v>15.725833431987899</v>
      </c>
      <c r="J2689" s="315">
        <v>1.0472738040719835E-3</v>
      </c>
      <c r="K2689" s="316" t="str">
        <f t="shared" si="50"/>
        <v>Construction and Mining Equipment</v>
      </c>
      <c r="L2689" s="316" t="str">
        <f t="shared" si="51"/>
        <v>LPG</v>
      </c>
      <c r="M2689" s="8"/>
      <c r="N2689" s="2"/>
      <c r="O2689" s="2"/>
      <c r="P2689" s="2"/>
      <c r="Q2689" s="2"/>
      <c r="R2689" s="2"/>
      <c r="S2689" s="2"/>
      <c r="T2689" s="2"/>
      <c r="U2689" s="2"/>
      <c r="V2689" s="2"/>
      <c r="W2689" s="2"/>
      <c r="X2689" s="2"/>
      <c r="Y2689" s="2"/>
      <c r="Z2689" s="2"/>
    </row>
    <row r="2690" spans="1:26" ht="12.75" x14ac:dyDescent="0.2">
      <c r="A2690" s="230"/>
      <c r="B2690" s="18">
        <v>2023</v>
      </c>
      <c r="C2690" s="18" t="s">
        <v>792</v>
      </c>
      <c r="D2690" s="18" t="s">
        <v>1018</v>
      </c>
      <c r="E2690" s="18" t="s">
        <v>56</v>
      </c>
      <c r="F2690" s="18" t="s">
        <v>672</v>
      </c>
      <c r="G2690" s="18" t="s">
        <v>677</v>
      </c>
      <c r="H2690" s="18" t="s">
        <v>785</v>
      </c>
      <c r="I2690" s="315">
        <v>15.711144421142793</v>
      </c>
      <c r="J2690" s="315">
        <v>7.7098120817672641E-4</v>
      </c>
      <c r="K2690" s="316" t="str">
        <f t="shared" si="50"/>
        <v>Commercial Equipment</v>
      </c>
      <c r="L2690" s="316" t="str">
        <f t="shared" si="51"/>
        <v>LPG</v>
      </c>
      <c r="M2690" s="8"/>
      <c r="N2690" s="2"/>
      <c r="O2690" s="2"/>
      <c r="P2690" s="2"/>
      <c r="Q2690" s="2"/>
      <c r="R2690" s="2"/>
      <c r="S2690" s="2"/>
      <c r="T2690" s="2"/>
      <c r="U2690" s="2"/>
      <c r="V2690" s="2"/>
      <c r="W2690" s="2"/>
      <c r="X2690" s="2"/>
      <c r="Y2690" s="2"/>
      <c r="Z2690" s="2"/>
    </row>
    <row r="2691" spans="1:26" ht="12.75" x14ac:dyDescent="0.2">
      <c r="A2691" s="230"/>
      <c r="B2691" s="18">
        <v>2023</v>
      </c>
      <c r="C2691" s="18" t="s">
        <v>754</v>
      </c>
      <c r="D2691" s="18" t="s">
        <v>1081</v>
      </c>
      <c r="E2691" s="18" t="s">
        <v>703</v>
      </c>
      <c r="F2691" s="18" t="s">
        <v>805</v>
      </c>
      <c r="G2691" s="18" t="s">
        <v>674</v>
      </c>
      <c r="H2691" s="18" t="s">
        <v>1082</v>
      </c>
      <c r="I2691" s="315">
        <v>15.685498072018245</v>
      </c>
      <c r="J2691" s="315">
        <v>2.5442456431288688E-2</v>
      </c>
      <c r="K2691" s="316" t="str">
        <f t="shared" si="50"/>
        <v>Construction and Mining Equipment</v>
      </c>
      <c r="L2691" s="316" t="str">
        <f t="shared" si="51"/>
        <v>Gasoline</v>
      </c>
      <c r="M2691" s="8"/>
      <c r="N2691" s="2"/>
      <c r="O2691" s="2"/>
      <c r="P2691" s="2"/>
      <c r="Q2691" s="2"/>
      <c r="R2691" s="2"/>
      <c r="S2691" s="2"/>
      <c r="T2691" s="2"/>
      <c r="U2691" s="2"/>
      <c r="V2691" s="2"/>
      <c r="W2691" s="2"/>
      <c r="X2691" s="2"/>
      <c r="Y2691" s="2"/>
      <c r="Z2691" s="2"/>
    </row>
    <row r="2692" spans="1:26" ht="12.75" x14ac:dyDescent="0.2">
      <c r="A2692" s="230"/>
      <c r="B2692" s="18">
        <v>2023</v>
      </c>
      <c r="C2692" s="18" t="s">
        <v>787</v>
      </c>
      <c r="D2692" s="18" t="s">
        <v>1278</v>
      </c>
      <c r="E2692" s="18" t="s">
        <v>703</v>
      </c>
      <c r="F2692" s="18" t="s">
        <v>704</v>
      </c>
      <c r="G2692" s="18" t="s">
        <v>678</v>
      </c>
      <c r="H2692" s="18" t="s">
        <v>1279</v>
      </c>
      <c r="I2692" s="315">
        <v>15.678370604049839</v>
      </c>
      <c r="J2692" s="315">
        <v>2.0937227633293119E-2</v>
      </c>
      <c r="K2692" s="316" t="str">
        <f t="shared" si="50"/>
        <v>Agricultural Equipment</v>
      </c>
      <c r="L2692" s="316" t="str">
        <f t="shared" si="51"/>
        <v>Gasoline</v>
      </c>
      <c r="M2692" s="8"/>
      <c r="N2692" s="2"/>
      <c r="O2692" s="2"/>
      <c r="P2692" s="2"/>
      <c r="Q2692" s="2"/>
      <c r="R2692" s="2"/>
      <c r="S2692" s="2"/>
      <c r="T2692" s="2"/>
      <c r="U2692" s="2"/>
      <c r="V2692" s="2"/>
      <c r="W2692" s="2"/>
      <c r="X2692" s="2"/>
      <c r="Y2692" s="2"/>
      <c r="Z2692" s="2"/>
    </row>
    <row r="2693" spans="1:26" ht="12.75" x14ac:dyDescent="0.2">
      <c r="A2693" s="230"/>
      <c r="B2693" s="18">
        <v>2023</v>
      </c>
      <c r="C2693" s="18" t="s">
        <v>778</v>
      </c>
      <c r="D2693" s="18" t="s">
        <v>1034</v>
      </c>
      <c r="E2693" s="18" t="s">
        <v>713</v>
      </c>
      <c r="F2693" s="18" t="s">
        <v>714</v>
      </c>
      <c r="G2693" s="18" t="s">
        <v>677</v>
      </c>
      <c r="H2693" s="18" t="s">
        <v>1031</v>
      </c>
      <c r="I2693" s="315">
        <v>15.650921074383371</v>
      </c>
      <c r="J2693" s="315">
        <v>2.7197890165151146E-4</v>
      </c>
      <c r="K2693" s="316" t="str">
        <f t="shared" si="50"/>
        <v>Commercial Equipment</v>
      </c>
      <c r="L2693" s="316" t="str">
        <f t="shared" si="51"/>
        <v>Diesel</v>
      </c>
      <c r="M2693" s="8"/>
      <c r="N2693" s="2"/>
      <c r="O2693" s="2"/>
      <c r="P2693" s="2"/>
      <c r="Q2693" s="2"/>
      <c r="R2693" s="2"/>
      <c r="S2693" s="2"/>
      <c r="T2693" s="2"/>
      <c r="U2693" s="2"/>
      <c r="V2693" s="2"/>
      <c r="W2693" s="2"/>
      <c r="X2693" s="2"/>
      <c r="Y2693" s="2"/>
      <c r="Z2693" s="2"/>
    </row>
    <row r="2694" spans="1:26" ht="12.75" x14ac:dyDescent="0.2">
      <c r="A2694" s="230"/>
      <c r="B2694" s="18">
        <v>2023</v>
      </c>
      <c r="C2694" s="18" t="s">
        <v>773</v>
      </c>
      <c r="D2694" s="18" t="s">
        <v>1035</v>
      </c>
      <c r="E2694" s="18" t="s">
        <v>703</v>
      </c>
      <c r="F2694" s="18" t="s">
        <v>704</v>
      </c>
      <c r="G2694" s="18" t="s">
        <v>674</v>
      </c>
      <c r="H2694" s="18" t="s">
        <v>1036</v>
      </c>
      <c r="I2694" s="315">
        <v>15.602725035572689</v>
      </c>
      <c r="J2694" s="315">
        <v>1.0980280532019935E-2</v>
      </c>
      <c r="K2694" s="316" t="str">
        <f t="shared" si="50"/>
        <v>Construction and Mining Equipment</v>
      </c>
      <c r="L2694" s="316" t="str">
        <f t="shared" si="51"/>
        <v>Gasoline</v>
      </c>
      <c r="M2694" s="8"/>
      <c r="N2694" s="2"/>
      <c r="O2694" s="2"/>
      <c r="P2694" s="2"/>
      <c r="Q2694" s="2"/>
      <c r="R2694" s="2"/>
      <c r="S2694" s="2"/>
      <c r="T2694" s="2"/>
      <c r="U2694" s="2"/>
      <c r="V2694" s="2"/>
      <c r="W2694" s="2"/>
      <c r="X2694" s="2"/>
      <c r="Y2694" s="2"/>
      <c r="Z2694" s="2"/>
    </row>
    <row r="2695" spans="1:26" ht="12.75" x14ac:dyDescent="0.2">
      <c r="A2695" s="230"/>
      <c r="B2695" s="18">
        <v>2023</v>
      </c>
      <c r="C2695" s="18" t="s">
        <v>753</v>
      </c>
      <c r="D2695" s="18" t="s">
        <v>1020</v>
      </c>
      <c r="E2695" s="18" t="s">
        <v>713</v>
      </c>
      <c r="F2695" s="18" t="s">
        <v>714</v>
      </c>
      <c r="G2695" s="18" t="s">
        <v>677</v>
      </c>
      <c r="H2695" s="18" t="s">
        <v>789</v>
      </c>
      <c r="I2695" s="315">
        <v>15.595848869285982</v>
      </c>
      <c r="J2695" s="315">
        <v>3.5891271016910562E-4</v>
      </c>
      <c r="K2695" s="316" t="str">
        <f t="shared" si="50"/>
        <v>Commercial Equipment</v>
      </c>
      <c r="L2695" s="316" t="str">
        <f t="shared" si="51"/>
        <v>Diesel</v>
      </c>
      <c r="M2695" s="8"/>
      <c r="N2695" s="2"/>
      <c r="O2695" s="2"/>
      <c r="P2695" s="2"/>
      <c r="Q2695" s="2"/>
      <c r="R2695" s="2"/>
      <c r="S2695" s="2"/>
      <c r="T2695" s="2"/>
      <c r="U2695" s="2"/>
      <c r="V2695" s="2"/>
      <c r="W2695" s="2"/>
      <c r="X2695" s="2"/>
      <c r="Y2695" s="2"/>
      <c r="Z2695" s="2"/>
    </row>
    <row r="2696" spans="1:26" ht="12.75" x14ac:dyDescent="0.2">
      <c r="A2696" s="230"/>
      <c r="B2696" s="18">
        <v>2023</v>
      </c>
      <c r="C2696" s="18" t="s">
        <v>810</v>
      </c>
      <c r="D2696" s="18" t="s">
        <v>1221</v>
      </c>
      <c r="E2696" s="18" t="s">
        <v>713</v>
      </c>
      <c r="F2696" s="18" t="s">
        <v>714</v>
      </c>
      <c r="G2696" s="18" t="s">
        <v>678</v>
      </c>
      <c r="H2696" s="18" t="s">
        <v>1222</v>
      </c>
      <c r="I2696" s="315">
        <v>15.557121311637246</v>
      </c>
      <c r="J2696" s="315">
        <v>1.0364183313286454E-4</v>
      </c>
      <c r="K2696" s="316" t="str">
        <f t="shared" si="50"/>
        <v>Agricultural Equipment</v>
      </c>
      <c r="L2696" s="316" t="str">
        <f t="shared" si="51"/>
        <v>Diesel</v>
      </c>
      <c r="M2696" s="8"/>
      <c r="N2696" s="2"/>
      <c r="O2696" s="2"/>
      <c r="P2696" s="2"/>
      <c r="Q2696" s="2"/>
      <c r="R2696" s="2"/>
      <c r="S2696" s="2"/>
      <c r="T2696" s="2"/>
      <c r="U2696" s="2"/>
      <c r="V2696" s="2"/>
      <c r="W2696" s="2"/>
      <c r="X2696" s="2"/>
      <c r="Y2696" s="2"/>
      <c r="Z2696" s="2"/>
    </row>
    <row r="2697" spans="1:26" ht="12.75" x14ac:dyDescent="0.2">
      <c r="A2697" s="230"/>
      <c r="B2697" s="18">
        <v>2023</v>
      </c>
      <c r="C2697" s="18" t="s">
        <v>787</v>
      </c>
      <c r="D2697" s="18" t="s">
        <v>1018</v>
      </c>
      <c r="E2697" s="18" t="s">
        <v>56</v>
      </c>
      <c r="F2697" s="18" t="s">
        <v>672</v>
      </c>
      <c r="G2697" s="18" t="s">
        <v>677</v>
      </c>
      <c r="H2697" s="18" t="s">
        <v>785</v>
      </c>
      <c r="I2697" s="315">
        <v>15.46942305621579</v>
      </c>
      <c r="J2697" s="315">
        <v>7.5912046896760039E-4</v>
      </c>
      <c r="K2697" s="316" t="str">
        <f t="shared" si="50"/>
        <v>Commercial Equipment</v>
      </c>
      <c r="L2697" s="316" t="str">
        <f t="shared" si="51"/>
        <v>LPG</v>
      </c>
      <c r="M2697" s="8"/>
      <c r="N2697" s="2"/>
      <c r="O2697" s="2"/>
      <c r="P2697" s="2"/>
      <c r="Q2697" s="2"/>
      <c r="R2697" s="2"/>
      <c r="S2697" s="2"/>
      <c r="T2697" s="2"/>
      <c r="U2697" s="2"/>
      <c r="V2697" s="2"/>
      <c r="W2697" s="2"/>
      <c r="X2697" s="2"/>
      <c r="Y2697" s="2"/>
      <c r="Z2697" s="2"/>
    </row>
    <row r="2698" spans="1:26" ht="12.75" x14ac:dyDescent="0.2">
      <c r="A2698" s="230"/>
      <c r="B2698" s="18">
        <v>2023</v>
      </c>
      <c r="C2698" s="18" t="s">
        <v>781</v>
      </c>
      <c r="D2698" s="18" t="s">
        <v>867</v>
      </c>
      <c r="E2698" s="18" t="s">
        <v>713</v>
      </c>
      <c r="F2698" s="18" t="s">
        <v>714</v>
      </c>
      <c r="G2698" s="18" t="s">
        <v>673</v>
      </c>
      <c r="H2698" s="18" t="s">
        <v>724</v>
      </c>
      <c r="I2698" s="315">
        <v>15.417818052934566</v>
      </c>
      <c r="J2698" s="315">
        <v>7.9345764981759276E-4</v>
      </c>
      <c r="K2698" s="316" t="str">
        <f t="shared" si="50"/>
        <v>Lawn and Garden Equipment</v>
      </c>
      <c r="L2698" s="316" t="str">
        <f t="shared" si="51"/>
        <v>Diesel</v>
      </c>
      <c r="M2698" s="8"/>
      <c r="N2698" s="2"/>
      <c r="O2698" s="2"/>
      <c r="P2698" s="2"/>
      <c r="Q2698" s="2"/>
      <c r="R2698" s="2"/>
      <c r="S2698" s="2"/>
      <c r="T2698" s="2"/>
      <c r="U2698" s="2"/>
      <c r="V2698" s="2"/>
      <c r="W2698" s="2"/>
      <c r="X2698" s="2"/>
      <c r="Y2698" s="2"/>
      <c r="Z2698" s="2"/>
    </row>
    <row r="2699" spans="1:26" ht="12.75" x14ac:dyDescent="0.2">
      <c r="A2699" s="230"/>
      <c r="B2699" s="18">
        <v>2023</v>
      </c>
      <c r="C2699" s="18" t="s">
        <v>778</v>
      </c>
      <c r="D2699" s="18" t="s">
        <v>1037</v>
      </c>
      <c r="E2699" s="18" t="s">
        <v>56</v>
      </c>
      <c r="F2699" s="18" t="s">
        <v>672</v>
      </c>
      <c r="G2699" s="18" t="s">
        <v>677</v>
      </c>
      <c r="H2699" s="18" t="s">
        <v>841</v>
      </c>
      <c r="I2699" s="315">
        <v>15.394891011084194</v>
      </c>
      <c r="J2699" s="315">
        <v>1.5583844825919721E-3</v>
      </c>
      <c r="K2699" s="316" t="str">
        <f t="shared" si="50"/>
        <v>Commercial Equipment</v>
      </c>
      <c r="L2699" s="316" t="str">
        <f t="shared" si="51"/>
        <v>LPG</v>
      </c>
      <c r="M2699" s="8"/>
      <c r="N2699" s="2"/>
      <c r="O2699" s="2"/>
      <c r="P2699" s="2"/>
      <c r="Q2699" s="2"/>
      <c r="R2699" s="2"/>
      <c r="S2699" s="2"/>
      <c r="T2699" s="2"/>
      <c r="U2699" s="2"/>
      <c r="V2699" s="2"/>
      <c r="W2699" s="2"/>
      <c r="X2699" s="2"/>
      <c r="Y2699" s="2"/>
      <c r="Z2699" s="2"/>
    </row>
    <row r="2700" spans="1:26" ht="12.75" x14ac:dyDescent="0.2">
      <c r="A2700" s="230"/>
      <c r="B2700" s="18">
        <v>2023</v>
      </c>
      <c r="C2700" s="18" t="s">
        <v>711</v>
      </c>
      <c r="D2700" s="18" t="s">
        <v>1295</v>
      </c>
      <c r="E2700" s="18" t="s">
        <v>703</v>
      </c>
      <c r="F2700" s="18" t="s">
        <v>704</v>
      </c>
      <c r="G2700" s="18" t="s">
        <v>674</v>
      </c>
      <c r="H2700" s="18" t="s">
        <v>859</v>
      </c>
      <c r="I2700" s="315">
        <v>15.378323810318946</v>
      </c>
      <c r="J2700" s="315">
        <v>4.9628958638335743E-3</v>
      </c>
      <c r="K2700" s="316" t="str">
        <f t="shared" si="50"/>
        <v>Construction and Mining Equipment</v>
      </c>
      <c r="L2700" s="316" t="str">
        <f t="shared" si="51"/>
        <v>Gasoline</v>
      </c>
      <c r="M2700" s="8"/>
      <c r="N2700" s="2"/>
      <c r="O2700" s="2"/>
      <c r="P2700" s="2"/>
      <c r="Q2700" s="2"/>
      <c r="R2700" s="2"/>
      <c r="S2700" s="2"/>
      <c r="T2700" s="2"/>
      <c r="U2700" s="2"/>
      <c r="V2700" s="2"/>
      <c r="W2700" s="2"/>
      <c r="X2700" s="2"/>
      <c r="Y2700" s="2"/>
      <c r="Z2700" s="2"/>
    </row>
    <row r="2701" spans="1:26" ht="12.75" x14ac:dyDescent="0.2">
      <c r="A2701" s="230"/>
      <c r="B2701" s="18">
        <v>2023</v>
      </c>
      <c r="C2701" s="18" t="s">
        <v>793</v>
      </c>
      <c r="D2701" s="18" t="s">
        <v>979</v>
      </c>
      <c r="E2701" s="18" t="s">
        <v>703</v>
      </c>
      <c r="F2701" s="18" t="s">
        <v>704</v>
      </c>
      <c r="G2701" s="18" t="s">
        <v>675</v>
      </c>
      <c r="H2701" s="18" t="s">
        <v>802</v>
      </c>
      <c r="I2701" s="315">
        <v>15.206256681160525</v>
      </c>
      <c r="J2701" s="315">
        <v>5.4616099293204653E-3</v>
      </c>
      <c r="K2701" s="316" t="str">
        <f t="shared" si="50"/>
        <v>Industrial Equipment</v>
      </c>
      <c r="L2701" s="316" t="str">
        <f t="shared" si="51"/>
        <v>Gasoline</v>
      </c>
      <c r="M2701" s="8"/>
      <c r="N2701" s="2"/>
      <c r="O2701" s="2"/>
      <c r="P2701" s="2"/>
      <c r="Q2701" s="2"/>
      <c r="R2701" s="2"/>
      <c r="S2701" s="2"/>
      <c r="T2701" s="2"/>
      <c r="U2701" s="2"/>
      <c r="V2701" s="2"/>
      <c r="W2701" s="2"/>
      <c r="X2701" s="2"/>
      <c r="Y2701" s="2"/>
      <c r="Z2701" s="2"/>
    </row>
    <row r="2702" spans="1:26" ht="12.75" x14ac:dyDescent="0.2">
      <c r="A2702" s="230"/>
      <c r="B2702" s="18">
        <v>2023</v>
      </c>
      <c r="C2702" s="18" t="s">
        <v>743</v>
      </c>
      <c r="D2702" s="18" t="s">
        <v>1228</v>
      </c>
      <c r="E2702" s="18" t="s">
        <v>703</v>
      </c>
      <c r="F2702" s="18" t="s">
        <v>704</v>
      </c>
      <c r="G2702" s="18" t="s">
        <v>675</v>
      </c>
      <c r="H2702" s="18" t="s">
        <v>1078</v>
      </c>
      <c r="I2702" s="315">
        <v>15.190009505912489</v>
      </c>
      <c r="J2702" s="315">
        <v>5.1475947013097153E-3</v>
      </c>
      <c r="K2702" s="316" t="str">
        <f t="shared" si="50"/>
        <v>Industrial Equipment</v>
      </c>
      <c r="L2702" s="316" t="str">
        <f t="shared" si="51"/>
        <v>Gasoline</v>
      </c>
      <c r="M2702" s="8"/>
      <c r="N2702" s="2"/>
      <c r="O2702" s="2"/>
      <c r="P2702" s="2"/>
      <c r="Q2702" s="2"/>
      <c r="R2702" s="2"/>
      <c r="S2702" s="2"/>
      <c r="T2702" s="2"/>
      <c r="U2702" s="2"/>
      <c r="V2702" s="2"/>
      <c r="W2702" s="2"/>
      <c r="X2702" s="2"/>
      <c r="Y2702" s="2"/>
      <c r="Z2702" s="2"/>
    </row>
    <row r="2703" spans="1:26" ht="12.75" x14ac:dyDescent="0.2">
      <c r="A2703" s="230"/>
      <c r="B2703" s="18">
        <v>2023</v>
      </c>
      <c r="C2703" s="18" t="s">
        <v>731</v>
      </c>
      <c r="D2703" s="18" t="s">
        <v>1003</v>
      </c>
      <c r="E2703" s="18" t="s">
        <v>703</v>
      </c>
      <c r="F2703" s="18" t="s">
        <v>805</v>
      </c>
      <c r="G2703" s="18" t="s">
        <v>677</v>
      </c>
      <c r="H2703" s="18" t="s">
        <v>841</v>
      </c>
      <c r="I2703" s="315">
        <v>15.169223904008099</v>
      </c>
      <c r="J2703" s="315">
        <v>2.9228594011538749E-2</v>
      </c>
      <c r="K2703" s="316" t="str">
        <f t="shared" si="50"/>
        <v>Commercial Equipment</v>
      </c>
      <c r="L2703" s="316" t="str">
        <f t="shared" si="51"/>
        <v>Gasoline</v>
      </c>
      <c r="M2703" s="8"/>
      <c r="N2703" s="2"/>
      <c r="O2703" s="2"/>
      <c r="P2703" s="2"/>
      <c r="Q2703" s="2"/>
      <c r="R2703" s="2"/>
      <c r="S2703" s="2"/>
      <c r="T2703" s="2"/>
      <c r="U2703" s="2"/>
      <c r="V2703" s="2"/>
      <c r="W2703" s="2"/>
      <c r="X2703" s="2"/>
      <c r="Y2703" s="2"/>
      <c r="Z2703" s="2"/>
    </row>
    <row r="2704" spans="1:26" ht="12.75" x14ac:dyDescent="0.2">
      <c r="A2704" s="230"/>
      <c r="B2704" s="18">
        <v>2023</v>
      </c>
      <c r="C2704" s="18" t="s">
        <v>727</v>
      </c>
      <c r="D2704" s="18" t="s">
        <v>997</v>
      </c>
      <c r="E2704" s="18" t="s">
        <v>56</v>
      </c>
      <c r="F2704" s="18" t="s">
        <v>672</v>
      </c>
      <c r="G2704" s="18" t="s">
        <v>675</v>
      </c>
      <c r="H2704" s="18" t="s">
        <v>969</v>
      </c>
      <c r="I2704" s="315">
        <v>15.151113383442443</v>
      </c>
      <c r="J2704" s="315">
        <v>1.8850993095488955E-3</v>
      </c>
      <c r="K2704" s="316" t="str">
        <f t="shared" si="50"/>
        <v>Industrial Equipment</v>
      </c>
      <c r="L2704" s="316" t="str">
        <f t="shared" si="51"/>
        <v>LPG</v>
      </c>
      <c r="M2704" s="8"/>
      <c r="N2704" s="2"/>
      <c r="O2704" s="2"/>
      <c r="P2704" s="2"/>
      <c r="Q2704" s="2"/>
      <c r="R2704" s="2"/>
      <c r="S2704" s="2"/>
      <c r="T2704" s="2"/>
      <c r="U2704" s="2"/>
      <c r="V2704" s="2"/>
      <c r="W2704" s="2"/>
      <c r="X2704" s="2"/>
      <c r="Y2704" s="2"/>
      <c r="Z2704" s="2"/>
    </row>
    <row r="2705" spans="1:26" ht="12.75" x14ac:dyDescent="0.2">
      <c r="A2705" s="230"/>
      <c r="B2705" s="18">
        <v>2023</v>
      </c>
      <c r="C2705" s="18" t="s">
        <v>781</v>
      </c>
      <c r="D2705" s="18" t="s">
        <v>1022</v>
      </c>
      <c r="E2705" s="18" t="s">
        <v>703</v>
      </c>
      <c r="F2705" s="18" t="s">
        <v>704</v>
      </c>
      <c r="G2705" s="18" t="s">
        <v>675</v>
      </c>
      <c r="H2705" s="18" t="s">
        <v>772</v>
      </c>
      <c r="I2705" s="315">
        <v>15.150128222849625</v>
      </c>
      <c r="J2705" s="315">
        <v>1.0668305947763108E-3</v>
      </c>
      <c r="K2705" s="316" t="str">
        <f t="shared" si="50"/>
        <v>Industrial Equipment</v>
      </c>
      <c r="L2705" s="316" t="str">
        <f t="shared" si="51"/>
        <v>Gasoline</v>
      </c>
      <c r="M2705" s="8"/>
      <c r="N2705" s="2"/>
      <c r="O2705" s="2"/>
      <c r="P2705" s="2"/>
      <c r="Q2705" s="2"/>
      <c r="R2705" s="2"/>
      <c r="S2705" s="2"/>
      <c r="T2705" s="2"/>
      <c r="U2705" s="2"/>
      <c r="V2705" s="2"/>
      <c r="W2705" s="2"/>
      <c r="X2705" s="2"/>
      <c r="Y2705" s="2"/>
      <c r="Z2705" s="2"/>
    </row>
    <row r="2706" spans="1:26" ht="12.75" x14ac:dyDescent="0.2">
      <c r="A2706" s="230"/>
      <c r="B2706" s="18">
        <v>2023</v>
      </c>
      <c r="C2706" s="18" t="s">
        <v>792</v>
      </c>
      <c r="D2706" s="18" t="s">
        <v>864</v>
      </c>
      <c r="E2706" s="18" t="s">
        <v>703</v>
      </c>
      <c r="F2706" s="18" t="s">
        <v>704</v>
      </c>
      <c r="G2706" s="18" t="s">
        <v>673</v>
      </c>
      <c r="H2706" s="18" t="s">
        <v>865</v>
      </c>
      <c r="I2706" s="315">
        <v>15.132115655669301</v>
      </c>
      <c r="J2706" s="315">
        <v>1.0337831599720949E-2</v>
      </c>
      <c r="K2706" s="316" t="str">
        <f t="shared" si="50"/>
        <v>Lawn and Garden Equipment</v>
      </c>
      <c r="L2706" s="316" t="str">
        <f t="shared" si="51"/>
        <v>Gasoline</v>
      </c>
      <c r="M2706" s="8"/>
      <c r="N2706" s="2"/>
      <c r="O2706" s="2"/>
      <c r="P2706" s="2"/>
      <c r="Q2706" s="2"/>
      <c r="R2706" s="2"/>
      <c r="S2706" s="2"/>
      <c r="T2706" s="2"/>
      <c r="U2706" s="2"/>
      <c r="V2706" s="2"/>
      <c r="W2706" s="2"/>
      <c r="X2706" s="2"/>
      <c r="Y2706" s="2"/>
      <c r="Z2706" s="2"/>
    </row>
    <row r="2707" spans="1:26" ht="12.75" x14ac:dyDescent="0.2">
      <c r="A2707" s="230"/>
      <c r="B2707" s="18">
        <v>2023</v>
      </c>
      <c r="C2707" s="18" t="s">
        <v>754</v>
      </c>
      <c r="D2707" s="18" t="s">
        <v>1409</v>
      </c>
      <c r="E2707" s="18" t="s">
        <v>703</v>
      </c>
      <c r="F2707" s="18" t="s">
        <v>704</v>
      </c>
      <c r="G2707" s="18" t="s">
        <v>678</v>
      </c>
      <c r="H2707" s="18" t="s">
        <v>1222</v>
      </c>
      <c r="I2707" s="315">
        <v>15.131358362954549</v>
      </c>
      <c r="J2707" s="315">
        <v>1.0016982391857632E-2</v>
      </c>
      <c r="K2707" s="316" t="str">
        <f t="shared" si="50"/>
        <v>Agricultural Equipment</v>
      </c>
      <c r="L2707" s="316" t="str">
        <f t="shared" si="51"/>
        <v>Gasoline</v>
      </c>
      <c r="M2707" s="8"/>
      <c r="N2707" s="2"/>
      <c r="O2707" s="2"/>
      <c r="P2707" s="2"/>
      <c r="Q2707" s="2"/>
      <c r="R2707" s="2"/>
      <c r="S2707" s="2"/>
      <c r="T2707" s="2"/>
      <c r="U2707" s="2"/>
      <c r="V2707" s="2"/>
      <c r="W2707" s="2"/>
      <c r="X2707" s="2"/>
      <c r="Y2707" s="2"/>
      <c r="Z2707" s="2"/>
    </row>
    <row r="2708" spans="1:26" ht="12.75" x14ac:dyDescent="0.2">
      <c r="A2708" s="230"/>
      <c r="B2708" s="18">
        <v>2023</v>
      </c>
      <c r="C2708" s="18" t="s">
        <v>792</v>
      </c>
      <c r="D2708" s="18" t="s">
        <v>1020</v>
      </c>
      <c r="E2708" s="18" t="s">
        <v>713</v>
      </c>
      <c r="F2708" s="18" t="s">
        <v>714</v>
      </c>
      <c r="G2708" s="18" t="s">
        <v>677</v>
      </c>
      <c r="H2708" s="18" t="s">
        <v>789</v>
      </c>
      <c r="I2708" s="315">
        <v>15.130309294141124</v>
      </c>
      <c r="J2708" s="315">
        <v>3.4820005292980486E-4</v>
      </c>
      <c r="K2708" s="316" t="str">
        <f t="shared" si="50"/>
        <v>Commercial Equipment</v>
      </c>
      <c r="L2708" s="316" t="str">
        <f t="shared" si="51"/>
        <v>Diesel</v>
      </c>
      <c r="M2708" s="8"/>
      <c r="N2708" s="2"/>
      <c r="O2708" s="2"/>
      <c r="P2708" s="2"/>
      <c r="Q2708" s="2"/>
      <c r="R2708" s="2"/>
      <c r="S2708" s="2"/>
      <c r="T2708" s="2"/>
      <c r="U2708" s="2"/>
      <c r="V2708" s="2"/>
      <c r="W2708" s="2"/>
      <c r="X2708" s="2"/>
      <c r="Y2708" s="2"/>
      <c r="Z2708" s="2"/>
    </row>
    <row r="2709" spans="1:26" ht="12.75" x14ac:dyDescent="0.2">
      <c r="A2709" s="230"/>
      <c r="B2709" s="18">
        <v>2023</v>
      </c>
      <c r="C2709" s="18" t="s">
        <v>743</v>
      </c>
      <c r="D2709" s="18" t="s">
        <v>1084</v>
      </c>
      <c r="E2709" s="18" t="s">
        <v>703</v>
      </c>
      <c r="F2709" s="18" t="s">
        <v>704</v>
      </c>
      <c r="G2709" s="18" t="s">
        <v>674</v>
      </c>
      <c r="H2709" s="18" t="s">
        <v>863</v>
      </c>
      <c r="I2709" s="315">
        <v>15.119666187785658</v>
      </c>
      <c r="J2709" s="315">
        <v>8.8833683562798554E-3</v>
      </c>
      <c r="K2709" s="316" t="str">
        <f t="shared" si="50"/>
        <v>Construction and Mining Equipment</v>
      </c>
      <c r="L2709" s="316" t="str">
        <f t="shared" si="51"/>
        <v>Gasoline</v>
      </c>
      <c r="M2709" s="8"/>
      <c r="N2709" s="2"/>
      <c r="O2709" s="2"/>
      <c r="P2709" s="2"/>
      <c r="Q2709" s="2"/>
      <c r="R2709" s="2"/>
      <c r="S2709" s="2"/>
      <c r="T2709" s="2"/>
      <c r="U2709" s="2"/>
      <c r="V2709" s="2"/>
      <c r="W2709" s="2"/>
      <c r="X2709" s="2"/>
      <c r="Y2709" s="2"/>
      <c r="Z2709" s="2"/>
    </row>
    <row r="2710" spans="1:26" ht="12.75" x14ac:dyDescent="0.2">
      <c r="A2710" s="230"/>
      <c r="B2710" s="18">
        <v>2023</v>
      </c>
      <c r="C2710" s="18" t="s">
        <v>810</v>
      </c>
      <c r="D2710" s="18" t="s">
        <v>1014</v>
      </c>
      <c r="E2710" s="18" t="s">
        <v>713</v>
      </c>
      <c r="F2710" s="18" t="s">
        <v>714</v>
      </c>
      <c r="G2710" s="18" t="s">
        <v>674</v>
      </c>
      <c r="H2710" s="18" t="s">
        <v>994</v>
      </c>
      <c r="I2710" s="315">
        <v>15.096313610710235</v>
      </c>
      <c r="J2710" s="315">
        <v>1.9664607241655363E-4</v>
      </c>
      <c r="K2710" s="316" t="str">
        <f t="shared" si="50"/>
        <v>Construction and Mining Equipment</v>
      </c>
      <c r="L2710" s="316" t="str">
        <f t="shared" si="51"/>
        <v>Diesel</v>
      </c>
      <c r="M2710" s="8"/>
      <c r="N2710" s="2"/>
      <c r="O2710" s="2"/>
      <c r="P2710" s="2"/>
      <c r="Q2710" s="2"/>
      <c r="R2710" s="2"/>
      <c r="S2710" s="2"/>
      <c r="T2710" s="2"/>
      <c r="U2710" s="2"/>
      <c r="V2710" s="2"/>
      <c r="W2710" s="2"/>
      <c r="X2710" s="2"/>
      <c r="Y2710" s="2"/>
      <c r="Z2710" s="2"/>
    </row>
    <row r="2711" spans="1:26" ht="12.75" x14ac:dyDescent="0.2">
      <c r="A2711" s="230"/>
      <c r="B2711" s="18">
        <v>2023</v>
      </c>
      <c r="C2711" s="18" t="s">
        <v>754</v>
      </c>
      <c r="D2711" s="18" t="s">
        <v>1083</v>
      </c>
      <c r="E2711" s="18" t="s">
        <v>703</v>
      </c>
      <c r="F2711" s="18" t="s">
        <v>704</v>
      </c>
      <c r="G2711" s="18" t="s">
        <v>674</v>
      </c>
      <c r="H2711" s="18" t="s">
        <v>861</v>
      </c>
      <c r="I2711" s="315">
        <v>14.990779490549247</v>
      </c>
      <c r="J2711" s="315">
        <v>1.1299658057000865E-2</v>
      </c>
      <c r="K2711" s="316" t="str">
        <f t="shared" si="50"/>
        <v>Construction and Mining Equipment</v>
      </c>
      <c r="L2711" s="316" t="str">
        <f t="shared" si="51"/>
        <v>Gasoline</v>
      </c>
      <c r="M2711" s="8"/>
      <c r="N2711" s="2"/>
      <c r="O2711" s="2"/>
      <c r="P2711" s="2"/>
      <c r="Q2711" s="2"/>
      <c r="R2711" s="2"/>
      <c r="S2711" s="2"/>
      <c r="T2711" s="2"/>
      <c r="U2711" s="2"/>
      <c r="V2711" s="2"/>
      <c r="W2711" s="2"/>
      <c r="X2711" s="2"/>
      <c r="Y2711" s="2"/>
      <c r="Z2711" s="2"/>
    </row>
    <row r="2712" spans="1:26" ht="12.75" x14ac:dyDescent="0.2">
      <c r="A2712" s="230"/>
      <c r="B2712" s="18">
        <v>2023</v>
      </c>
      <c r="C2712" s="18" t="s">
        <v>711</v>
      </c>
      <c r="D2712" s="18" t="s">
        <v>1153</v>
      </c>
      <c r="E2712" s="18" t="s">
        <v>713</v>
      </c>
      <c r="F2712" s="18" t="s">
        <v>714</v>
      </c>
      <c r="G2712" s="18" t="s">
        <v>678</v>
      </c>
      <c r="H2712" s="18" t="s">
        <v>1154</v>
      </c>
      <c r="I2712" s="315">
        <v>14.935280665139109</v>
      </c>
      <c r="J2712" s="315">
        <v>1.9493385308599204E-4</v>
      </c>
      <c r="K2712" s="316" t="str">
        <f t="shared" si="50"/>
        <v>Agricultural Equipment</v>
      </c>
      <c r="L2712" s="316" t="str">
        <f t="shared" si="51"/>
        <v>Diesel</v>
      </c>
      <c r="M2712" s="8"/>
      <c r="N2712" s="2"/>
      <c r="O2712" s="2"/>
      <c r="P2712" s="2"/>
      <c r="Q2712" s="2"/>
      <c r="R2712" s="2"/>
      <c r="S2712" s="2"/>
      <c r="T2712" s="2"/>
      <c r="U2712" s="2"/>
      <c r="V2712" s="2"/>
      <c r="W2712" s="2"/>
      <c r="X2712" s="2"/>
      <c r="Y2712" s="2"/>
      <c r="Z2712" s="2"/>
    </row>
    <row r="2713" spans="1:26" ht="12.75" x14ac:dyDescent="0.2">
      <c r="A2713" s="230"/>
      <c r="B2713" s="18">
        <v>2023</v>
      </c>
      <c r="C2713" s="18" t="s">
        <v>781</v>
      </c>
      <c r="D2713" s="18" t="s">
        <v>989</v>
      </c>
      <c r="E2713" s="18" t="s">
        <v>703</v>
      </c>
      <c r="F2713" s="18" t="s">
        <v>795</v>
      </c>
      <c r="G2713" s="18" t="s">
        <v>673</v>
      </c>
      <c r="H2713" s="18" t="s">
        <v>990</v>
      </c>
      <c r="I2713" s="315">
        <v>14.913180690479455</v>
      </c>
      <c r="J2713" s="315">
        <v>2.8708201413090616E-2</v>
      </c>
      <c r="K2713" s="316" t="str">
        <f t="shared" si="50"/>
        <v>Lawn and Garden Equipment</v>
      </c>
      <c r="L2713" s="316" t="str">
        <f t="shared" si="51"/>
        <v>Gasoline</v>
      </c>
      <c r="M2713" s="8"/>
      <c r="N2713" s="2"/>
      <c r="O2713" s="2"/>
      <c r="P2713" s="2"/>
      <c r="Q2713" s="2"/>
      <c r="R2713" s="2"/>
      <c r="S2713" s="2"/>
      <c r="T2713" s="2"/>
      <c r="U2713" s="2"/>
      <c r="V2713" s="2"/>
      <c r="W2713" s="2"/>
      <c r="X2713" s="2"/>
      <c r="Y2713" s="2"/>
      <c r="Z2713" s="2"/>
    </row>
    <row r="2714" spans="1:26" ht="12.75" x14ac:dyDescent="0.2">
      <c r="A2714" s="230"/>
      <c r="B2714" s="18">
        <v>2023</v>
      </c>
      <c r="C2714" s="18" t="s">
        <v>759</v>
      </c>
      <c r="D2714" s="18" t="s">
        <v>984</v>
      </c>
      <c r="E2714" s="18" t="s">
        <v>703</v>
      </c>
      <c r="F2714" s="18" t="s">
        <v>704</v>
      </c>
      <c r="G2714" s="18" t="s">
        <v>673</v>
      </c>
      <c r="H2714" s="18" t="s">
        <v>985</v>
      </c>
      <c r="I2714" s="315">
        <v>14.911513540428036</v>
      </c>
      <c r="J2714" s="315">
        <v>1.0092944013399455E-2</v>
      </c>
      <c r="K2714" s="316" t="str">
        <f t="shared" si="50"/>
        <v>Lawn and Garden Equipment</v>
      </c>
      <c r="L2714" s="316" t="str">
        <f t="shared" si="51"/>
        <v>Gasoline</v>
      </c>
      <c r="M2714" s="8"/>
      <c r="N2714" s="2"/>
      <c r="O2714" s="2"/>
      <c r="P2714" s="2"/>
      <c r="Q2714" s="2"/>
      <c r="R2714" s="2"/>
      <c r="S2714" s="2"/>
      <c r="T2714" s="2"/>
      <c r="U2714" s="2"/>
      <c r="V2714" s="2"/>
      <c r="W2714" s="2"/>
      <c r="X2714" s="2"/>
      <c r="Y2714" s="2"/>
      <c r="Z2714" s="2"/>
    </row>
    <row r="2715" spans="1:26" ht="12.75" x14ac:dyDescent="0.2">
      <c r="A2715" s="230"/>
      <c r="B2715" s="18">
        <v>2023</v>
      </c>
      <c r="C2715" s="18" t="s">
        <v>706</v>
      </c>
      <c r="D2715" s="18" t="s">
        <v>1229</v>
      </c>
      <c r="E2715" s="18" t="s">
        <v>713</v>
      </c>
      <c r="F2715" s="18" t="s">
        <v>714</v>
      </c>
      <c r="G2715" s="18" t="s">
        <v>678</v>
      </c>
      <c r="H2715" s="18" t="s">
        <v>1230</v>
      </c>
      <c r="I2715" s="315">
        <v>14.908221587810219</v>
      </c>
      <c r="J2715" s="315">
        <v>1.1241170096795697E-4</v>
      </c>
      <c r="K2715" s="316" t="str">
        <f t="shared" si="50"/>
        <v>Agricultural Equipment</v>
      </c>
      <c r="L2715" s="316" t="str">
        <f t="shared" si="51"/>
        <v>Diesel</v>
      </c>
      <c r="M2715" s="8"/>
      <c r="N2715" s="2"/>
      <c r="O2715" s="2"/>
      <c r="P2715" s="2"/>
      <c r="Q2715" s="2"/>
      <c r="R2715" s="2"/>
      <c r="S2715" s="2"/>
      <c r="T2715" s="2"/>
      <c r="U2715" s="2"/>
      <c r="V2715" s="2"/>
      <c r="W2715" s="2"/>
      <c r="X2715" s="2"/>
      <c r="Y2715" s="2"/>
      <c r="Z2715" s="2"/>
    </row>
    <row r="2716" spans="1:26" ht="12.75" x14ac:dyDescent="0.2">
      <c r="A2716" s="230"/>
      <c r="B2716" s="18">
        <v>2023</v>
      </c>
      <c r="C2716" s="18" t="s">
        <v>787</v>
      </c>
      <c r="D2716" s="18" t="s">
        <v>1020</v>
      </c>
      <c r="E2716" s="18" t="s">
        <v>713</v>
      </c>
      <c r="F2716" s="18" t="s">
        <v>714</v>
      </c>
      <c r="G2716" s="18" t="s">
        <v>677</v>
      </c>
      <c r="H2716" s="18" t="s">
        <v>789</v>
      </c>
      <c r="I2716" s="315">
        <v>14.897527475874153</v>
      </c>
      <c r="J2716" s="315">
        <v>3.4284286002169681E-4</v>
      </c>
      <c r="K2716" s="316" t="str">
        <f t="shared" si="50"/>
        <v>Commercial Equipment</v>
      </c>
      <c r="L2716" s="316" t="str">
        <f t="shared" si="51"/>
        <v>Diesel</v>
      </c>
      <c r="M2716" s="8"/>
      <c r="N2716" s="2"/>
      <c r="O2716" s="2"/>
      <c r="P2716" s="2"/>
      <c r="Q2716" s="2"/>
      <c r="R2716" s="2"/>
      <c r="S2716" s="2"/>
      <c r="T2716" s="2"/>
      <c r="U2716" s="2"/>
      <c r="V2716" s="2"/>
      <c r="W2716" s="2"/>
      <c r="X2716" s="2"/>
      <c r="Y2716" s="2"/>
      <c r="Z2716" s="2"/>
    </row>
    <row r="2717" spans="1:26" ht="12.75" x14ac:dyDescent="0.2">
      <c r="A2717" s="230"/>
      <c r="B2717" s="18">
        <v>2023</v>
      </c>
      <c r="C2717" s="18" t="s">
        <v>786</v>
      </c>
      <c r="D2717" s="18" t="s">
        <v>984</v>
      </c>
      <c r="E2717" s="18" t="s">
        <v>703</v>
      </c>
      <c r="F2717" s="18" t="s">
        <v>704</v>
      </c>
      <c r="G2717" s="18" t="s">
        <v>673</v>
      </c>
      <c r="H2717" s="18" t="s">
        <v>985</v>
      </c>
      <c r="I2717" s="315">
        <v>14.850707811062311</v>
      </c>
      <c r="J2717" s="315">
        <v>1.0082477437799497E-2</v>
      </c>
      <c r="K2717" s="316" t="str">
        <f t="shared" si="50"/>
        <v>Lawn and Garden Equipment</v>
      </c>
      <c r="L2717" s="316" t="str">
        <f t="shared" si="51"/>
        <v>Gasoline</v>
      </c>
      <c r="M2717" s="8"/>
      <c r="N2717" s="2"/>
      <c r="O2717" s="2"/>
      <c r="P2717" s="2"/>
      <c r="Q2717" s="2"/>
      <c r="R2717" s="2"/>
      <c r="S2717" s="2"/>
      <c r="T2717" s="2"/>
      <c r="U2717" s="2"/>
      <c r="V2717" s="2"/>
      <c r="W2717" s="2"/>
      <c r="X2717" s="2"/>
      <c r="Y2717" s="2"/>
      <c r="Z2717" s="2"/>
    </row>
    <row r="2718" spans="1:26" ht="12.75" x14ac:dyDescent="0.2">
      <c r="A2718" s="230"/>
      <c r="B2718" s="18">
        <v>2023</v>
      </c>
      <c r="C2718" s="18" t="s">
        <v>710</v>
      </c>
      <c r="D2718" s="18" t="s">
        <v>1017</v>
      </c>
      <c r="E2718" s="18" t="s">
        <v>703</v>
      </c>
      <c r="F2718" s="18" t="s">
        <v>704</v>
      </c>
      <c r="G2718" s="18" t="s">
        <v>673</v>
      </c>
      <c r="H2718" s="18" t="s">
        <v>806</v>
      </c>
      <c r="I2718" s="315">
        <v>14.818099921424738</v>
      </c>
      <c r="J2718" s="315">
        <v>1.0449724730743445E-2</v>
      </c>
      <c r="K2718" s="316" t="str">
        <f t="shared" si="50"/>
        <v>Lawn and Garden Equipment</v>
      </c>
      <c r="L2718" s="316" t="str">
        <f t="shared" si="51"/>
        <v>Gasoline</v>
      </c>
      <c r="M2718" s="8"/>
      <c r="N2718" s="2"/>
      <c r="O2718" s="2"/>
      <c r="P2718" s="2"/>
      <c r="Q2718" s="2"/>
      <c r="R2718" s="2"/>
      <c r="S2718" s="2"/>
      <c r="T2718" s="2"/>
      <c r="U2718" s="2"/>
      <c r="V2718" s="2"/>
      <c r="W2718" s="2"/>
      <c r="X2718" s="2"/>
      <c r="Y2718" s="2"/>
      <c r="Z2718" s="2"/>
    </row>
    <row r="2719" spans="1:26" ht="12.75" x14ac:dyDescent="0.2">
      <c r="A2719" s="230"/>
      <c r="B2719" s="18">
        <v>2023</v>
      </c>
      <c r="C2719" s="18" t="s">
        <v>710</v>
      </c>
      <c r="D2719" s="18" t="s">
        <v>1407</v>
      </c>
      <c r="E2719" s="18" t="s">
        <v>56</v>
      </c>
      <c r="F2719" s="18" t="s">
        <v>672</v>
      </c>
      <c r="G2719" s="18" t="s">
        <v>675</v>
      </c>
      <c r="H2719" s="18" t="s">
        <v>1078</v>
      </c>
      <c r="I2719" s="315">
        <v>14.761060726296362</v>
      </c>
      <c r="J2719" s="315">
        <v>1.3262917856718529E-3</v>
      </c>
      <c r="K2719" s="316" t="str">
        <f t="shared" si="50"/>
        <v>Industrial Equipment</v>
      </c>
      <c r="L2719" s="316" t="str">
        <f t="shared" si="51"/>
        <v>LPG</v>
      </c>
      <c r="M2719" s="8"/>
      <c r="N2719" s="2"/>
      <c r="O2719" s="2"/>
      <c r="P2719" s="2"/>
      <c r="Q2719" s="2"/>
      <c r="R2719" s="2"/>
      <c r="S2719" s="2"/>
      <c r="T2719" s="2"/>
      <c r="U2719" s="2"/>
      <c r="V2719" s="2"/>
      <c r="W2719" s="2"/>
      <c r="X2719" s="2"/>
      <c r="Y2719" s="2"/>
      <c r="Z2719" s="2"/>
    </row>
    <row r="2720" spans="1:26" ht="12.75" x14ac:dyDescent="0.2">
      <c r="A2720" s="230"/>
      <c r="B2720" s="18">
        <v>2023</v>
      </c>
      <c r="C2720" s="18" t="s">
        <v>722</v>
      </c>
      <c r="D2720" s="18" t="s">
        <v>1228</v>
      </c>
      <c r="E2720" s="18" t="s">
        <v>703</v>
      </c>
      <c r="F2720" s="18" t="s">
        <v>704</v>
      </c>
      <c r="G2720" s="18" t="s">
        <v>675</v>
      </c>
      <c r="H2720" s="18" t="s">
        <v>1078</v>
      </c>
      <c r="I2720" s="315">
        <v>14.75288577462527</v>
      </c>
      <c r="J2720" s="315">
        <v>4.9802346094758995E-3</v>
      </c>
      <c r="K2720" s="316" t="str">
        <f t="shared" si="50"/>
        <v>Industrial Equipment</v>
      </c>
      <c r="L2720" s="316" t="str">
        <f t="shared" si="51"/>
        <v>Gasoline</v>
      </c>
      <c r="M2720" s="8"/>
      <c r="N2720" s="2"/>
      <c r="O2720" s="2"/>
      <c r="P2720" s="2"/>
      <c r="Q2720" s="2"/>
      <c r="R2720" s="2"/>
      <c r="S2720" s="2"/>
      <c r="T2720" s="2"/>
      <c r="U2720" s="2"/>
      <c r="V2720" s="2"/>
      <c r="W2720" s="2"/>
      <c r="X2720" s="2"/>
      <c r="Y2720" s="2"/>
      <c r="Z2720" s="2"/>
    </row>
    <row r="2721" spans="1:26" ht="12.75" x14ac:dyDescent="0.2">
      <c r="A2721" s="230"/>
      <c r="B2721" s="18">
        <v>2023</v>
      </c>
      <c r="C2721" s="18" t="s">
        <v>711</v>
      </c>
      <c r="D2721" s="18" t="s">
        <v>1405</v>
      </c>
      <c r="E2721" s="18" t="s">
        <v>56</v>
      </c>
      <c r="F2721" s="18" t="s">
        <v>1025</v>
      </c>
      <c r="G2721" s="18" t="s">
        <v>679</v>
      </c>
      <c r="H2721" s="18" t="s">
        <v>1406</v>
      </c>
      <c r="I2721" s="315">
        <v>14.751272017777977</v>
      </c>
      <c r="J2721" s="315">
        <v>5.1026485877236185E-3</v>
      </c>
      <c r="K2721" s="316" t="str">
        <f t="shared" si="50"/>
        <v>Recreational Equipment</v>
      </c>
      <c r="L2721" s="316" t="str">
        <f t="shared" si="51"/>
        <v>LPG</v>
      </c>
      <c r="M2721" s="8"/>
      <c r="N2721" s="2"/>
      <c r="O2721" s="2"/>
      <c r="P2721" s="2"/>
      <c r="Q2721" s="2"/>
      <c r="R2721" s="2"/>
      <c r="S2721" s="2"/>
      <c r="T2721" s="2"/>
      <c r="U2721" s="2"/>
      <c r="V2721" s="2"/>
      <c r="W2721" s="2"/>
      <c r="X2721" s="2"/>
      <c r="Y2721" s="2"/>
      <c r="Z2721" s="2"/>
    </row>
    <row r="2722" spans="1:26" x14ac:dyDescent="0.25">
      <c r="A2722" s="314"/>
      <c r="B2722" s="18">
        <v>2023</v>
      </c>
      <c r="C2722" s="18" t="s">
        <v>701</v>
      </c>
      <c r="D2722" s="18" t="s">
        <v>1405</v>
      </c>
      <c r="E2722" s="18" t="s">
        <v>56</v>
      </c>
      <c r="F2722" s="18" t="s">
        <v>1025</v>
      </c>
      <c r="G2722" s="18" t="s">
        <v>679</v>
      </c>
      <c r="H2722" s="18" t="s">
        <v>1406</v>
      </c>
      <c r="I2722" s="315">
        <v>14.751272017777977</v>
      </c>
      <c r="J2722" s="315">
        <v>5.1026485877236185E-3</v>
      </c>
      <c r="K2722" s="316" t="str">
        <f t="shared" si="50"/>
        <v>Recreational Equipment</v>
      </c>
      <c r="L2722" s="316" t="str">
        <f t="shared" si="51"/>
        <v>LPG</v>
      </c>
      <c r="M2722" s="194"/>
      <c r="N2722" s="317"/>
      <c r="O2722" s="317"/>
      <c r="P2722" s="317"/>
      <c r="Q2722" s="317"/>
      <c r="R2722" s="317"/>
      <c r="S2722" s="317"/>
      <c r="T2722" s="317"/>
      <c r="U2722" s="317"/>
      <c r="V2722" s="317"/>
      <c r="W2722" s="317"/>
      <c r="X2722" s="317"/>
      <c r="Y2722" s="317"/>
      <c r="Z2722" s="317"/>
    </row>
    <row r="2723" spans="1:26" x14ac:dyDescent="0.25">
      <c r="A2723" s="314"/>
      <c r="B2723" s="18">
        <v>2023</v>
      </c>
      <c r="C2723" s="18" t="s">
        <v>722</v>
      </c>
      <c r="D2723" s="18" t="s">
        <v>1213</v>
      </c>
      <c r="E2723" s="18" t="s">
        <v>56</v>
      </c>
      <c r="F2723" s="18" t="s">
        <v>672</v>
      </c>
      <c r="G2723" s="18" t="s">
        <v>674</v>
      </c>
      <c r="H2723" s="18" t="s">
        <v>715</v>
      </c>
      <c r="I2723" s="315">
        <v>14.748068680655388</v>
      </c>
      <c r="J2723" s="315">
        <v>6.6975965879631494E-4</v>
      </c>
      <c r="K2723" s="316" t="str">
        <f t="shared" si="50"/>
        <v>Construction and Mining Equipment</v>
      </c>
      <c r="L2723" s="316" t="str">
        <f t="shared" si="51"/>
        <v>LPG</v>
      </c>
      <c r="M2723" s="194"/>
      <c r="N2723" s="317"/>
      <c r="O2723" s="317"/>
      <c r="P2723" s="317"/>
      <c r="Q2723" s="317"/>
      <c r="R2723" s="317"/>
      <c r="S2723" s="317"/>
      <c r="T2723" s="317"/>
      <c r="U2723" s="317"/>
      <c r="V2723" s="317"/>
      <c r="W2723" s="317"/>
      <c r="X2723" s="317"/>
      <c r="Y2723" s="317"/>
      <c r="Z2723" s="317"/>
    </row>
    <row r="2724" spans="1:26" x14ac:dyDescent="0.25">
      <c r="A2724" s="314"/>
      <c r="B2724" s="18">
        <v>2023</v>
      </c>
      <c r="C2724" s="18" t="s">
        <v>727</v>
      </c>
      <c r="D2724" s="18" t="s">
        <v>1071</v>
      </c>
      <c r="E2724" s="18" t="s">
        <v>713</v>
      </c>
      <c r="F2724" s="18" t="s">
        <v>714</v>
      </c>
      <c r="G2724" s="18" t="s">
        <v>674</v>
      </c>
      <c r="H2724" s="18" t="s">
        <v>1072</v>
      </c>
      <c r="I2724" s="315">
        <v>14.738910891426453</v>
      </c>
      <c r="J2724" s="315">
        <v>1.9734423506626887E-4</v>
      </c>
      <c r="K2724" s="316" t="str">
        <f t="shared" si="50"/>
        <v>Construction and Mining Equipment</v>
      </c>
      <c r="L2724" s="316" t="str">
        <f t="shared" si="51"/>
        <v>Diesel</v>
      </c>
      <c r="M2724" s="194"/>
      <c r="N2724" s="317"/>
      <c r="O2724" s="317"/>
      <c r="P2724" s="317"/>
      <c r="Q2724" s="317"/>
      <c r="R2724" s="317"/>
      <c r="S2724" s="317"/>
      <c r="T2724" s="317"/>
      <c r="U2724" s="317"/>
      <c r="V2724" s="317"/>
      <c r="W2724" s="317"/>
      <c r="X2724" s="317"/>
      <c r="Y2724" s="317"/>
      <c r="Z2724" s="317"/>
    </row>
    <row r="2725" spans="1:26" x14ac:dyDescent="0.25">
      <c r="A2725" s="314"/>
      <c r="B2725" s="18">
        <v>2023</v>
      </c>
      <c r="C2725" s="18" t="s">
        <v>773</v>
      </c>
      <c r="D2725" s="18" t="s">
        <v>1051</v>
      </c>
      <c r="E2725" s="18" t="s">
        <v>703</v>
      </c>
      <c r="F2725" s="18" t="s">
        <v>704</v>
      </c>
      <c r="G2725" s="18" t="s">
        <v>674</v>
      </c>
      <c r="H2725" s="18" t="s">
        <v>783</v>
      </c>
      <c r="I2725" s="315">
        <v>14.687698752327032</v>
      </c>
      <c r="J2725" s="315">
        <v>8.9146714730479956E-3</v>
      </c>
      <c r="K2725" s="316" t="str">
        <f t="shared" si="50"/>
        <v>Construction and Mining Equipment</v>
      </c>
      <c r="L2725" s="316" t="str">
        <f t="shared" si="51"/>
        <v>Gasoline</v>
      </c>
      <c r="M2725" s="194"/>
      <c r="N2725" s="317"/>
      <c r="O2725" s="317"/>
      <c r="P2725" s="317"/>
      <c r="Q2725" s="317"/>
      <c r="R2725" s="317"/>
      <c r="S2725" s="317"/>
      <c r="T2725" s="317"/>
      <c r="U2725" s="317"/>
      <c r="V2725" s="317"/>
      <c r="W2725" s="317"/>
      <c r="X2725" s="317"/>
      <c r="Y2725" s="317"/>
      <c r="Z2725" s="317"/>
    </row>
    <row r="2726" spans="1:26" x14ac:dyDescent="0.25">
      <c r="A2726" s="314"/>
      <c r="B2726" s="18">
        <v>2023</v>
      </c>
      <c r="C2726" s="18" t="s">
        <v>760</v>
      </c>
      <c r="D2726" s="18" t="s">
        <v>1278</v>
      </c>
      <c r="E2726" s="18" t="s">
        <v>703</v>
      </c>
      <c r="F2726" s="18" t="s">
        <v>704</v>
      </c>
      <c r="G2726" s="18" t="s">
        <v>678</v>
      </c>
      <c r="H2726" s="18" t="s">
        <v>1279</v>
      </c>
      <c r="I2726" s="315">
        <v>14.687106602316744</v>
      </c>
      <c r="J2726" s="315">
        <v>1.9608211773608837E-2</v>
      </c>
      <c r="K2726" s="316" t="str">
        <f t="shared" si="50"/>
        <v>Agricultural Equipment</v>
      </c>
      <c r="L2726" s="316" t="str">
        <f t="shared" si="51"/>
        <v>Gasoline</v>
      </c>
      <c r="M2726" s="194"/>
      <c r="N2726" s="317"/>
      <c r="O2726" s="317"/>
      <c r="P2726" s="317"/>
      <c r="Q2726" s="317"/>
      <c r="R2726" s="317"/>
      <c r="S2726" s="317"/>
      <c r="T2726" s="317"/>
      <c r="U2726" s="317"/>
      <c r="V2726" s="317"/>
      <c r="W2726" s="317"/>
      <c r="X2726" s="317"/>
      <c r="Y2726" s="317"/>
      <c r="Z2726" s="317"/>
    </row>
    <row r="2727" spans="1:26" x14ac:dyDescent="0.25">
      <c r="A2727" s="314"/>
      <c r="B2727" s="18">
        <v>2023</v>
      </c>
      <c r="C2727" s="18" t="s">
        <v>773</v>
      </c>
      <c r="D2727" s="18" t="s">
        <v>988</v>
      </c>
      <c r="E2727" s="18" t="s">
        <v>703</v>
      </c>
      <c r="F2727" s="18" t="s">
        <v>805</v>
      </c>
      <c r="G2727" s="18" t="s">
        <v>673</v>
      </c>
      <c r="H2727" s="18" t="s">
        <v>768</v>
      </c>
      <c r="I2727" s="315">
        <v>14.653254759747172</v>
      </c>
      <c r="J2727" s="315">
        <v>2.7279990241307742E-2</v>
      </c>
      <c r="K2727" s="316" t="str">
        <f t="shared" si="50"/>
        <v>Lawn and Garden Equipment</v>
      </c>
      <c r="L2727" s="316" t="str">
        <f t="shared" si="51"/>
        <v>Gasoline</v>
      </c>
      <c r="M2727" s="194"/>
      <c r="N2727" s="317"/>
      <c r="O2727" s="317"/>
      <c r="P2727" s="317"/>
      <c r="Q2727" s="317"/>
      <c r="R2727" s="317"/>
      <c r="S2727" s="317"/>
      <c r="T2727" s="317"/>
      <c r="U2727" s="317"/>
      <c r="V2727" s="317"/>
      <c r="W2727" s="317"/>
      <c r="X2727" s="317"/>
      <c r="Y2727" s="317"/>
      <c r="Z2727" s="317"/>
    </row>
    <row r="2728" spans="1:26" x14ac:dyDescent="0.25">
      <c r="A2728" s="314"/>
      <c r="B2728" s="18">
        <v>2023</v>
      </c>
      <c r="C2728" s="18" t="s">
        <v>722</v>
      </c>
      <c r="D2728" s="18" t="s">
        <v>1214</v>
      </c>
      <c r="E2728" s="18" t="s">
        <v>713</v>
      </c>
      <c r="F2728" s="18" t="s">
        <v>714</v>
      </c>
      <c r="G2728" s="18" t="s">
        <v>674</v>
      </c>
      <c r="H2728" s="18" t="s">
        <v>999</v>
      </c>
      <c r="I2728" s="315">
        <v>14.632563973839137</v>
      </c>
      <c r="J2728" s="315">
        <v>4.3319590435406986E-4</v>
      </c>
      <c r="K2728" s="316" t="str">
        <f t="shared" si="50"/>
        <v>Construction and Mining Equipment</v>
      </c>
      <c r="L2728" s="316" t="str">
        <f t="shared" si="51"/>
        <v>Diesel</v>
      </c>
      <c r="M2728" s="194"/>
      <c r="N2728" s="317"/>
      <c r="O2728" s="317"/>
      <c r="P2728" s="317"/>
      <c r="Q2728" s="317"/>
      <c r="R2728" s="317"/>
      <c r="S2728" s="317"/>
      <c r="T2728" s="317"/>
      <c r="U2728" s="317"/>
      <c r="V2728" s="317"/>
      <c r="W2728" s="317"/>
      <c r="X2728" s="317"/>
      <c r="Y2728" s="317"/>
      <c r="Z2728" s="317"/>
    </row>
    <row r="2729" spans="1:26" x14ac:dyDescent="0.25">
      <c r="A2729" s="314"/>
      <c r="B2729" s="18">
        <v>2023</v>
      </c>
      <c r="C2729" s="18" t="s">
        <v>793</v>
      </c>
      <c r="D2729" s="18" t="s">
        <v>1079</v>
      </c>
      <c r="E2729" s="18" t="s">
        <v>713</v>
      </c>
      <c r="F2729" s="18" t="s">
        <v>714</v>
      </c>
      <c r="G2729" s="18" t="s">
        <v>678</v>
      </c>
      <c r="H2729" s="18" t="s">
        <v>1080</v>
      </c>
      <c r="I2729" s="315">
        <v>14.591647199015005</v>
      </c>
      <c r="J2729" s="315">
        <v>1.0589766660748474E-4</v>
      </c>
      <c r="K2729" s="316" t="str">
        <f t="shared" si="50"/>
        <v>Agricultural Equipment</v>
      </c>
      <c r="L2729" s="316" t="str">
        <f t="shared" si="51"/>
        <v>Diesel</v>
      </c>
      <c r="M2729" s="194"/>
      <c r="N2729" s="317"/>
      <c r="O2729" s="317"/>
      <c r="P2729" s="317"/>
      <c r="Q2729" s="317"/>
      <c r="R2729" s="317"/>
      <c r="S2729" s="317"/>
      <c r="T2729" s="317"/>
      <c r="U2729" s="317"/>
      <c r="V2729" s="317"/>
      <c r="W2729" s="317"/>
      <c r="X2729" s="317"/>
      <c r="Y2729" s="317"/>
      <c r="Z2729" s="317"/>
    </row>
    <row r="2730" spans="1:26" x14ac:dyDescent="0.25">
      <c r="A2730" s="314"/>
      <c r="B2730" s="18">
        <v>2023</v>
      </c>
      <c r="C2730" s="18" t="s">
        <v>759</v>
      </c>
      <c r="D2730" s="18" t="s">
        <v>1221</v>
      </c>
      <c r="E2730" s="18" t="s">
        <v>713</v>
      </c>
      <c r="F2730" s="18" t="s">
        <v>714</v>
      </c>
      <c r="G2730" s="18" t="s">
        <v>678</v>
      </c>
      <c r="H2730" s="18" t="s">
        <v>1222</v>
      </c>
      <c r="I2730" s="315">
        <v>14.575169245636335</v>
      </c>
      <c r="J2730" s="315">
        <v>9.7100015905534365E-5</v>
      </c>
      <c r="K2730" s="316" t="str">
        <f t="shared" si="50"/>
        <v>Agricultural Equipment</v>
      </c>
      <c r="L2730" s="316" t="str">
        <f t="shared" si="51"/>
        <v>Diesel</v>
      </c>
      <c r="M2730" s="194"/>
      <c r="N2730" s="317"/>
      <c r="O2730" s="317"/>
      <c r="P2730" s="317"/>
      <c r="Q2730" s="317"/>
      <c r="R2730" s="317"/>
      <c r="S2730" s="317"/>
      <c r="T2730" s="317"/>
      <c r="U2730" s="317"/>
      <c r="V2730" s="317"/>
      <c r="W2730" s="317"/>
      <c r="X2730" s="317"/>
      <c r="Y2730" s="317"/>
      <c r="Z2730" s="317"/>
    </row>
    <row r="2731" spans="1:26" x14ac:dyDescent="0.25">
      <c r="A2731" s="314"/>
      <c r="B2731" s="18">
        <v>2023</v>
      </c>
      <c r="C2731" s="18" t="s">
        <v>732</v>
      </c>
      <c r="D2731" s="18" t="s">
        <v>1215</v>
      </c>
      <c r="E2731" s="18" t="s">
        <v>56</v>
      </c>
      <c r="F2731" s="18" t="s">
        <v>672</v>
      </c>
      <c r="G2731" s="18" t="s">
        <v>674</v>
      </c>
      <c r="H2731" s="18" t="s">
        <v>756</v>
      </c>
      <c r="I2731" s="315">
        <v>14.422202827469986</v>
      </c>
      <c r="J2731" s="315">
        <v>2.6681670439418189E-3</v>
      </c>
      <c r="K2731" s="316" t="str">
        <f t="shared" si="50"/>
        <v>Construction and Mining Equipment</v>
      </c>
      <c r="L2731" s="316" t="str">
        <f t="shared" si="51"/>
        <v>LPG</v>
      </c>
      <c r="M2731" s="194"/>
      <c r="N2731" s="317"/>
      <c r="O2731" s="317"/>
      <c r="P2731" s="317"/>
      <c r="Q2731" s="317"/>
      <c r="R2731" s="317"/>
      <c r="S2731" s="317"/>
      <c r="T2731" s="317"/>
      <c r="U2731" s="317"/>
      <c r="V2731" s="317"/>
      <c r="W2731" s="317"/>
      <c r="X2731" s="317"/>
      <c r="Y2731" s="317"/>
      <c r="Z2731" s="317"/>
    </row>
    <row r="2732" spans="1:26" x14ac:dyDescent="0.25">
      <c r="A2732" s="314"/>
      <c r="B2732" s="18">
        <v>2023</v>
      </c>
      <c r="C2732" s="18" t="s">
        <v>731</v>
      </c>
      <c r="D2732" s="18" t="s">
        <v>1075</v>
      </c>
      <c r="E2732" s="18" t="s">
        <v>56</v>
      </c>
      <c r="F2732" s="18" t="s">
        <v>672</v>
      </c>
      <c r="G2732" s="18" t="s">
        <v>675</v>
      </c>
      <c r="H2732" s="18" t="s">
        <v>772</v>
      </c>
      <c r="I2732" s="315">
        <v>14.396090387967726</v>
      </c>
      <c r="J2732" s="315">
        <v>6.6322205567330872E-4</v>
      </c>
      <c r="K2732" s="316" t="str">
        <f t="shared" si="50"/>
        <v>Industrial Equipment</v>
      </c>
      <c r="L2732" s="316" t="str">
        <f t="shared" si="51"/>
        <v>LPG</v>
      </c>
      <c r="M2732" s="194"/>
      <c r="N2732" s="317"/>
      <c r="O2732" s="317"/>
      <c r="P2732" s="317"/>
      <c r="Q2732" s="317"/>
      <c r="R2732" s="317"/>
      <c r="S2732" s="317"/>
      <c r="T2732" s="317"/>
      <c r="U2732" s="317"/>
      <c r="V2732" s="317"/>
      <c r="W2732" s="317"/>
      <c r="X2732" s="317"/>
      <c r="Y2732" s="317"/>
      <c r="Z2732" s="317"/>
    </row>
    <row r="2733" spans="1:26" x14ac:dyDescent="0.25">
      <c r="A2733" s="314"/>
      <c r="B2733" s="18">
        <v>2023</v>
      </c>
      <c r="C2733" s="18" t="s">
        <v>793</v>
      </c>
      <c r="D2733" s="18" t="s">
        <v>1071</v>
      </c>
      <c r="E2733" s="18" t="s">
        <v>713</v>
      </c>
      <c r="F2733" s="18" t="s">
        <v>714</v>
      </c>
      <c r="G2733" s="18" t="s">
        <v>674</v>
      </c>
      <c r="H2733" s="18" t="s">
        <v>1072</v>
      </c>
      <c r="I2733" s="315">
        <v>14.390485983214672</v>
      </c>
      <c r="J2733" s="315">
        <v>1.9267912896744338E-4</v>
      </c>
      <c r="K2733" s="316" t="str">
        <f t="shared" si="50"/>
        <v>Construction and Mining Equipment</v>
      </c>
      <c r="L2733" s="316" t="str">
        <f t="shared" si="51"/>
        <v>Diesel</v>
      </c>
      <c r="M2733" s="194"/>
      <c r="N2733" s="317"/>
      <c r="O2733" s="317"/>
      <c r="P2733" s="317"/>
      <c r="Q2733" s="317"/>
      <c r="R2733" s="317"/>
      <c r="S2733" s="317"/>
      <c r="T2733" s="317"/>
      <c r="U2733" s="317"/>
      <c r="V2733" s="317"/>
      <c r="W2733" s="317"/>
      <c r="X2733" s="317"/>
      <c r="Y2733" s="317"/>
      <c r="Z2733" s="317"/>
    </row>
    <row r="2734" spans="1:26" x14ac:dyDescent="0.25">
      <c r="A2734" s="314"/>
      <c r="B2734" s="18">
        <v>2023</v>
      </c>
      <c r="C2734" s="18" t="s">
        <v>810</v>
      </c>
      <c r="D2734" s="18" t="s">
        <v>1229</v>
      </c>
      <c r="E2734" s="18" t="s">
        <v>713</v>
      </c>
      <c r="F2734" s="18" t="s">
        <v>714</v>
      </c>
      <c r="G2734" s="18" t="s">
        <v>678</v>
      </c>
      <c r="H2734" s="18" t="s">
        <v>1230</v>
      </c>
      <c r="I2734" s="315">
        <v>14.381916569333324</v>
      </c>
      <c r="J2734" s="315">
        <v>1.0844323414843314E-4</v>
      </c>
      <c r="K2734" s="316" t="str">
        <f t="shared" si="50"/>
        <v>Agricultural Equipment</v>
      </c>
      <c r="L2734" s="316" t="str">
        <f t="shared" si="51"/>
        <v>Diesel</v>
      </c>
      <c r="M2734" s="194"/>
      <c r="N2734" s="317"/>
      <c r="O2734" s="317"/>
      <c r="P2734" s="317"/>
      <c r="Q2734" s="317"/>
      <c r="R2734" s="317"/>
      <c r="S2734" s="317"/>
      <c r="T2734" s="317"/>
      <c r="U2734" s="317"/>
      <c r="V2734" s="317"/>
      <c r="W2734" s="317"/>
      <c r="X2734" s="317"/>
      <c r="Y2734" s="317"/>
      <c r="Z2734" s="317"/>
    </row>
    <row r="2735" spans="1:26" x14ac:dyDescent="0.25">
      <c r="A2735" s="314"/>
      <c r="B2735" s="18">
        <v>2023</v>
      </c>
      <c r="C2735" s="18" t="s">
        <v>750</v>
      </c>
      <c r="D2735" s="18" t="s">
        <v>1221</v>
      </c>
      <c r="E2735" s="18" t="s">
        <v>713</v>
      </c>
      <c r="F2735" s="18" t="s">
        <v>714</v>
      </c>
      <c r="G2735" s="18" t="s">
        <v>678</v>
      </c>
      <c r="H2735" s="18" t="s">
        <v>1222</v>
      </c>
      <c r="I2735" s="315">
        <v>14.299514116709844</v>
      </c>
      <c r="J2735" s="315">
        <v>9.5263679143898968E-5</v>
      </c>
      <c r="K2735" s="316" t="str">
        <f t="shared" si="50"/>
        <v>Agricultural Equipment</v>
      </c>
      <c r="L2735" s="316" t="str">
        <f t="shared" si="51"/>
        <v>Diesel</v>
      </c>
      <c r="M2735" s="194"/>
      <c r="N2735" s="317"/>
      <c r="O2735" s="317"/>
      <c r="P2735" s="317"/>
      <c r="Q2735" s="317"/>
      <c r="R2735" s="317"/>
      <c r="S2735" s="317"/>
      <c r="T2735" s="317"/>
      <c r="U2735" s="317"/>
      <c r="V2735" s="317"/>
      <c r="W2735" s="317"/>
      <c r="X2735" s="317"/>
      <c r="Y2735" s="317"/>
      <c r="Z2735" s="317"/>
    </row>
    <row r="2736" spans="1:26" x14ac:dyDescent="0.25">
      <c r="A2736" s="314"/>
      <c r="B2736" s="18">
        <v>2023</v>
      </c>
      <c r="C2736" s="18" t="s">
        <v>787</v>
      </c>
      <c r="D2736" s="18" t="s">
        <v>962</v>
      </c>
      <c r="E2736" s="18" t="s">
        <v>703</v>
      </c>
      <c r="F2736" s="18" t="s">
        <v>704</v>
      </c>
      <c r="G2736" s="18" t="s">
        <v>673</v>
      </c>
      <c r="H2736" s="18" t="s">
        <v>963</v>
      </c>
      <c r="I2736" s="315">
        <v>14.287132756917503</v>
      </c>
      <c r="J2736" s="315">
        <v>9.8704044597115285E-3</v>
      </c>
      <c r="K2736" s="316" t="str">
        <f t="shared" si="50"/>
        <v>Lawn and Garden Equipment</v>
      </c>
      <c r="L2736" s="316" t="str">
        <f t="shared" si="51"/>
        <v>Gasoline</v>
      </c>
      <c r="M2736" s="194"/>
      <c r="N2736" s="317"/>
      <c r="O2736" s="317"/>
      <c r="P2736" s="317"/>
      <c r="Q2736" s="317"/>
      <c r="R2736" s="317"/>
      <c r="S2736" s="317"/>
      <c r="T2736" s="317"/>
      <c r="U2736" s="317"/>
      <c r="V2736" s="317"/>
      <c r="W2736" s="317"/>
      <c r="X2736" s="317"/>
      <c r="Y2736" s="317"/>
      <c r="Z2736" s="317"/>
    </row>
    <row r="2737" spans="1:26" x14ac:dyDescent="0.25">
      <c r="A2737" s="314"/>
      <c r="B2737" s="18">
        <v>2023</v>
      </c>
      <c r="C2737" s="18" t="s">
        <v>762</v>
      </c>
      <c r="D2737" s="18" t="s">
        <v>1440</v>
      </c>
      <c r="E2737" s="18" t="s">
        <v>703</v>
      </c>
      <c r="F2737" s="18" t="s">
        <v>704</v>
      </c>
      <c r="G2737" s="18" t="s">
        <v>678</v>
      </c>
      <c r="H2737" s="18" t="s">
        <v>1154</v>
      </c>
      <c r="I2737" s="315">
        <v>14.287053529906744</v>
      </c>
      <c r="J2737" s="315">
        <v>1.4416004256778477E-3</v>
      </c>
      <c r="K2737" s="316" t="str">
        <f t="shared" si="50"/>
        <v>Agricultural Equipment</v>
      </c>
      <c r="L2737" s="316" t="str">
        <f t="shared" si="51"/>
        <v>Gasoline</v>
      </c>
      <c r="M2737" s="194"/>
      <c r="N2737" s="317"/>
      <c r="O2737" s="317"/>
      <c r="P2737" s="317"/>
      <c r="Q2737" s="317"/>
      <c r="R2737" s="317"/>
      <c r="S2737" s="317"/>
      <c r="T2737" s="317"/>
      <c r="U2737" s="317"/>
      <c r="V2737" s="317"/>
      <c r="W2737" s="317"/>
      <c r="X2737" s="317"/>
      <c r="Y2737" s="317"/>
      <c r="Z2737" s="317"/>
    </row>
    <row r="2738" spans="1:26" x14ac:dyDescent="0.25">
      <c r="A2738" s="314"/>
      <c r="B2738" s="18">
        <v>2023</v>
      </c>
      <c r="C2738" s="18" t="s">
        <v>792</v>
      </c>
      <c r="D2738" s="18" t="s">
        <v>867</v>
      </c>
      <c r="E2738" s="18" t="s">
        <v>713</v>
      </c>
      <c r="F2738" s="18" t="s">
        <v>714</v>
      </c>
      <c r="G2738" s="18" t="s">
        <v>673</v>
      </c>
      <c r="H2738" s="18" t="s">
        <v>724</v>
      </c>
      <c r="I2738" s="315">
        <v>14.275757473644511</v>
      </c>
      <c r="J2738" s="315">
        <v>7.3468272235572066E-4</v>
      </c>
      <c r="K2738" s="316" t="str">
        <f t="shared" si="50"/>
        <v>Lawn and Garden Equipment</v>
      </c>
      <c r="L2738" s="316" t="str">
        <f t="shared" si="51"/>
        <v>Diesel</v>
      </c>
      <c r="M2738" s="194"/>
      <c r="N2738" s="317"/>
      <c r="O2738" s="317"/>
      <c r="P2738" s="317"/>
      <c r="Q2738" s="317"/>
      <c r="R2738" s="317"/>
      <c r="S2738" s="317"/>
      <c r="T2738" s="317"/>
      <c r="U2738" s="317"/>
      <c r="V2738" s="317"/>
      <c r="W2738" s="317"/>
      <c r="X2738" s="317"/>
      <c r="Y2738" s="317"/>
      <c r="Z2738" s="317"/>
    </row>
    <row r="2739" spans="1:26" x14ac:dyDescent="0.25">
      <c r="A2739" s="314"/>
      <c r="B2739" s="18">
        <v>2023</v>
      </c>
      <c r="C2739" s="18" t="s">
        <v>701</v>
      </c>
      <c r="D2739" s="18" t="s">
        <v>1278</v>
      </c>
      <c r="E2739" s="18" t="s">
        <v>703</v>
      </c>
      <c r="F2739" s="18" t="s">
        <v>704</v>
      </c>
      <c r="G2739" s="18" t="s">
        <v>678</v>
      </c>
      <c r="H2739" s="18" t="s">
        <v>1279</v>
      </c>
      <c r="I2739" s="315">
        <v>14.268378857392202</v>
      </c>
      <c r="J2739" s="315">
        <v>1.9046413918238535E-2</v>
      </c>
      <c r="K2739" s="316" t="str">
        <f t="shared" si="50"/>
        <v>Agricultural Equipment</v>
      </c>
      <c r="L2739" s="316" t="str">
        <f t="shared" si="51"/>
        <v>Gasoline</v>
      </c>
      <c r="M2739" s="194"/>
      <c r="N2739" s="317"/>
      <c r="O2739" s="317"/>
      <c r="P2739" s="317"/>
      <c r="Q2739" s="317"/>
      <c r="R2739" s="317"/>
      <c r="S2739" s="317"/>
      <c r="T2739" s="317"/>
      <c r="U2739" s="317"/>
      <c r="V2739" s="317"/>
      <c r="W2739" s="317"/>
      <c r="X2739" s="317"/>
      <c r="Y2739" s="317"/>
      <c r="Z2739" s="317"/>
    </row>
    <row r="2740" spans="1:26" x14ac:dyDescent="0.25">
      <c r="A2740" s="314"/>
      <c r="B2740" s="18">
        <v>2023</v>
      </c>
      <c r="C2740" s="18" t="s">
        <v>709</v>
      </c>
      <c r="D2740" s="18" t="s">
        <v>1224</v>
      </c>
      <c r="E2740" s="18" t="s">
        <v>703</v>
      </c>
      <c r="F2740" s="18" t="s">
        <v>704</v>
      </c>
      <c r="G2740" s="18" t="s">
        <v>681</v>
      </c>
      <c r="H2740" s="18" t="s">
        <v>1225</v>
      </c>
      <c r="I2740" s="315">
        <v>14.267145806469777</v>
      </c>
      <c r="J2740" s="315">
        <v>9.6646756891250254E-3</v>
      </c>
      <c r="K2740" s="316" t="str">
        <f t="shared" si="50"/>
        <v>Logging Equipment</v>
      </c>
      <c r="L2740" s="316" t="str">
        <f t="shared" si="51"/>
        <v>Gasoline</v>
      </c>
      <c r="M2740" s="194"/>
      <c r="N2740" s="317"/>
      <c r="O2740" s="317"/>
      <c r="P2740" s="317"/>
      <c r="Q2740" s="317"/>
      <c r="R2740" s="317"/>
      <c r="S2740" s="317"/>
      <c r="T2740" s="317"/>
      <c r="U2740" s="317"/>
      <c r="V2740" s="317"/>
      <c r="W2740" s="317"/>
      <c r="X2740" s="317"/>
      <c r="Y2740" s="317"/>
      <c r="Z2740" s="317"/>
    </row>
    <row r="2741" spans="1:26" x14ac:dyDescent="0.25">
      <c r="A2741" s="314"/>
      <c r="B2741" s="18">
        <v>2023</v>
      </c>
      <c r="C2741" s="18" t="s">
        <v>762</v>
      </c>
      <c r="D2741" s="18" t="s">
        <v>998</v>
      </c>
      <c r="E2741" s="18" t="s">
        <v>703</v>
      </c>
      <c r="F2741" s="18" t="s">
        <v>704</v>
      </c>
      <c r="G2741" s="18" t="s">
        <v>674</v>
      </c>
      <c r="H2741" s="18" t="s">
        <v>999</v>
      </c>
      <c r="I2741" s="315">
        <v>14.227181165419928</v>
      </c>
      <c r="J2741" s="315">
        <v>9.3869479960729928E-3</v>
      </c>
      <c r="K2741" s="316" t="str">
        <f t="shared" si="50"/>
        <v>Construction and Mining Equipment</v>
      </c>
      <c r="L2741" s="316" t="str">
        <f t="shared" si="51"/>
        <v>Gasoline</v>
      </c>
      <c r="M2741" s="194"/>
      <c r="N2741" s="317"/>
      <c r="O2741" s="317"/>
      <c r="P2741" s="317"/>
      <c r="Q2741" s="317"/>
      <c r="R2741" s="317"/>
      <c r="S2741" s="317"/>
      <c r="T2741" s="317"/>
      <c r="U2741" s="317"/>
      <c r="V2741" s="317"/>
      <c r="W2741" s="317"/>
      <c r="X2741" s="317"/>
      <c r="Y2741" s="317"/>
      <c r="Z2741" s="317"/>
    </row>
    <row r="2742" spans="1:26" x14ac:dyDescent="0.25">
      <c r="A2742" s="314"/>
      <c r="B2742" s="18">
        <v>2023</v>
      </c>
      <c r="C2742" s="18" t="s">
        <v>778</v>
      </c>
      <c r="D2742" s="18" t="s">
        <v>1213</v>
      </c>
      <c r="E2742" s="18" t="s">
        <v>56</v>
      </c>
      <c r="F2742" s="18" t="s">
        <v>672</v>
      </c>
      <c r="G2742" s="18" t="s">
        <v>674</v>
      </c>
      <c r="H2742" s="18" t="s">
        <v>715</v>
      </c>
      <c r="I2742" s="315">
        <v>14.216307807330541</v>
      </c>
      <c r="J2742" s="315">
        <v>6.4561030762451258E-4</v>
      </c>
      <c r="K2742" s="316" t="str">
        <f t="shared" si="50"/>
        <v>Construction and Mining Equipment</v>
      </c>
      <c r="L2742" s="316" t="str">
        <f t="shared" si="51"/>
        <v>LPG</v>
      </c>
      <c r="M2742" s="194"/>
      <c r="N2742" s="317"/>
      <c r="O2742" s="317"/>
      <c r="P2742" s="317"/>
      <c r="Q2742" s="317"/>
      <c r="R2742" s="317"/>
      <c r="S2742" s="317"/>
      <c r="T2742" s="317"/>
      <c r="U2742" s="317"/>
      <c r="V2742" s="317"/>
      <c r="W2742" s="317"/>
      <c r="X2742" s="317"/>
      <c r="Y2742" s="317"/>
      <c r="Z2742" s="317"/>
    </row>
    <row r="2743" spans="1:26" x14ac:dyDescent="0.25">
      <c r="A2743" s="314"/>
      <c r="B2743" s="18">
        <v>2023</v>
      </c>
      <c r="C2743" s="18" t="s">
        <v>762</v>
      </c>
      <c r="D2743" s="18" t="s">
        <v>1000</v>
      </c>
      <c r="E2743" s="18" t="s">
        <v>703</v>
      </c>
      <c r="F2743" s="18" t="s">
        <v>704</v>
      </c>
      <c r="G2743" s="18" t="s">
        <v>674</v>
      </c>
      <c r="H2743" s="18" t="s">
        <v>850</v>
      </c>
      <c r="I2743" s="315">
        <v>14.174849543066195</v>
      </c>
      <c r="J2743" s="315">
        <v>8.6168281701843423E-3</v>
      </c>
      <c r="K2743" s="316" t="str">
        <f t="shared" si="50"/>
        <v>Construction and Mining Equipment</v>
      </c>
      <c r="L2743" s="316" t="str">
        <f t="shared" si="51"/>
        <v>Gasoline</v>
      </c>
      <c r="M2743" s="194"/>
      <c r="N2743" s="317"/>
      <c r="O2743" s="317"/>
      <c r="P2743" s="317"/>
      <c r="Q2743" s="317"/>
      <c r="R2743" s="317"/>
      <c r="S2743" s="317"/>
      <c r="T2743" s="317"/>
      <c r="U2743" s="317"/>
      <c r="V2743" s="317"/>
      <c r="W2743" s="317"/>
      <c r="X2743" s="317"/>
      <c r="Y2743" s="317"/>
      <c r="Z2743" s="317"/>
    </row>
    <row r="2744" spans="1:26" x14ac:dyDescent="0.25">
      <c r="A2744" s="314"/>
      <c r="B2744" s="18">
        <v>2023</v>
      </c>
      <c r="C2744" s="18" t="s">
        <v>731</v>
      </c>
      <c r="D2744" s="18" t="s">
        <v>1011</v>
      </c>
      <c r="E2744" s="18" t="s">
        <v>56</v>
      </c>
      <c r="F2744" s="18" t="s">
        <v>672</v>
      </c>
      <c r="G2744" s="18" t="s">
        <v>677</v>
      </c>
      <c r="H2744" s="18" t="s">
        <v>836</v>
      </c>
      <c r="I2744" s="315">
        <v>14.125306770482052</v>
      </c>
      <c r="J2744" s="315">
        <v>7.5043866568827759E-4</v>
      </c>
      <c r="K2744" s="316" t="str">
        <f t="shared" si="50"/>
        <v>Commercial Equipment</v>
      </c>
      <c r="L2744" s="316" t="str">
        <f t="shared" si="51"/>
        <v>LPG</v>
      </c>
      <c r="M2744" s="194"/>
      <c r="N2744" s="317"/>
      <c r="O2744" s="317"/>
      <c r="P2744" s="317"/>
      <c r="Q2744" s="317"/>
      <c r="R2744" s="317"/>
      <c r="S2744" s="317"/>
      <c r="T2744" s="317"/>
      <c r="U2744" s="317"/>
      <c r="V2744" s="317"/>
      <c r="W2744" s="317"/>
      <c r="X2744" s="317"/>
      <c r="Y2744" s="317"/>
      <c r="Z2744" s="317"/>
    </row>
    <row r="2745" spans="1:26" x14ac:dyDescent="0.25">
      <c r="A2745" s="314"/>
      <c r="B2745" s="18">
        <v>2023</v>
      </c>
      <c r="C2745" s="18" t="s">
        <v>760</v>
      </c>
      <c r="D2745" s="18" t="s">
        <v>1218</v>
      </c>
      <c r="E2745" s="18" t="s">
        <v>703</v>
      </c>
      <c r="F2745" s="18" t="s">
        <v>704</v>
      </c>
      <c r="G2745" s="18" t="s">
        <v>673</v>
      </c>
      <c r="H2745" s="18" t="s">
        <v>996</v>
      </c>
      <c r="I2745" s="315">
        <v>14.118436657219274</v>
      </c>
      <c r="J2745" s="315">
        <v>9.8413067818577376E-3</v>
      </c>
      <c r="K2745" s="316" t="str">
        <f t="shared" si="50"/>
        <v>Lawn and Garden Equipment</v>
      </c>
      <c r="L2745" s="316" t="str">
        <f t="shared" si="51"/>
        <v>Gasoline</v>
      </c>
      <c r="M2745" s="194"/>
      <c r="N2745" s="317"/>
      <c r="O2745" s="317"/>
      <c r="P2745" s="317"/>
      <c r="Q2745" s="317"/>
      <c r="R2745" s="317"/>
      <c r="S2745" s="317"/>
      <c r="T2745" s="317"/>
      <c r="U2745" s="317"/>
      <c r="V2745" s="317"/>
      <c r="W2745" s="317"/>
      <c r="X2745" s="317"/>
      <c r="Y2745" s="317"/>
      <c r="Z2745" s="317"/>
    </row>
    <row r="2746" spans="1:26" x14ac:dyDescent="0.25">
      <c r="A2746" s="314"/>
      <c r="B2746" s="18">
        <v>2023</v>
      </c>
      <c r="C2746" s="18" t="s">
        <v>778</v>
      </c>
      <c r="D2746" s="18" t="s">
        <v>1214</v>
      </c>
      <c r="E2746" s="18" t="s">
        <v>713</v>
      </c>
      <c r="F2746" s="18" t="s">
        <v>714</v>
      </c>
      <c r="G2746" s="18" t="s">
        <v>674</v>
      </c>
      <c r="H2746" s="18" t="s">
        <v>999</v>
      </c>
      <c r="I2746" s="315">
        <v>14.104969774833979</v>
      </c>
      <c r="J2746" s="315">
        <v>4.1757664707978501E-4</v>
      </c>
      <c r="K2746" s="316" t="str">
        <f t="shared" si="50"/>
        <v>Construction and Mining Equipment</v>
      </c>
      <c r="L2746" s="316" t="str">
        <f t="shared" si="51"/>
        <v>Diesel</v>
      </c>
      <c r="M2746" s="194"/>
      <c r="N2746" s="317"/>
      <c r="O2746" s="317"/>
      <c r="P2746" s="317"/>
      <c r="Q2746" s="317"/>
      <c r="R2746" s="317"/>
      <c r="S2746" s="317"/>
      <c r="T2746" s="317"/>
      <c r="U2746" s="317"/>
      <c r="V2746" s="317"/>
      <c r="W2746" s="317"/>
      <c r="X2746" s="317"/>
      <c r="Y2746" s="317"/>
      <c r="Z2746" s="317"/>
    </row>
    <row r="2747" spans="1:26" x14ac:dyDescent="0.25">
      <c r="A2747" s="314"/>
      <c r="B2747" s="18">
        <v>2023</v>
      </c>
      <c r="C2747" s="18" t="s">
        <v>753</v>
      </c>
      <c r="D2747" s="18" t="s">
        <v>1030</v>
      </c>
      <c r="E2747" s="18" t="s">
        <v>703</v>
      </c>
      <c r="F2747" s="18" t="s">
        <v>704</v>
      </c>
      <c r="G2747" s="18" t="s">
        <v>677</v>
      </c>
      <c r="H2747" s="18" t="s">
        <v>1031</v>
      </c>
      <c r="I2747" s="315">
        <v>14.060379364027057</v>
      </c>
      <c r="J2747" s="315">
        <v>9.7402893172337524E-3</v>
      </c>
      <c r="K2747" s="316" t="str">
        <f t="shared" si="50"/>
        <v>Commercial Equipment</v>
      </c>
      <c r="L2747" s="316" t="str">
        <f t="shared" si="51"/>
        <v>Gasoline</v>
      </c>
      <c r="M2747" s="194"/>
      <c r="N2747" s="317"/>
      <c r="O2747" s="317"/>
      <c r="P2747" s="317"/>
      <c r="Q2747" s="317"/>
      <c r="R2747" s="317"/>
      <c r="S2747" s="317"/>
      <c r="T2747" s="317"/>
      <c r="U2747" s="317"/>
      <c r="V2747" s="317"/>
      <c r="W2747" s="317"/>
      <c r="X2747" s="317"/>
      <c r="Y2747" s="317"/>
      <c r="Z2747" s="317"/>
    </row>
    <row r="2748" spans="1:26" x14ac:dyDescent="0.25">
      <c r="A2748" s="314"/>
      <c r="B2748" s="18">
        <v>2023</v>
      </c>
      <c r="C2748" s="18" t="s">
        <v>760</v>
      </c>
      <c r="D2748" s="18" t="s">
        <v>1219</v>
      </c>
      <c r="E2748" s="18" t="s">
        <v>703</v>
      </c>
      <c r="F2748" s="18" t="s">
        <v>704</v>
      </c>
      <c r="G2748" s="18" t="s">
        <v>674</v>
      </c>
      <c r="H2748" s="18" t="s">
        <v>1220</v>
      </c>
      <c r="I2748" s="315">
        <v>14.035485366054685</v>
      </c>
      <c r="J2748" s="315">
        <v>9.4700938784117415E-3</v>
      </c>
      <c r="K2748" s="316" t="str">
        <f t="shared" si="50"/>
        <v>Construction and Mining Equipment</v>
      </c>
      <c r="L2748" s="316" t="str">
        <f t="shared" si="51"/>
        <v>Gasoline</v>
      </c>
      <c r="M2748" s="194"/>
      <c r="N2748" s="317"/>
      <c r="O2748" s="317"/>
      <c r="P2748" s="317"/>
      <c r="Q2748" s="317"/>
      <c r="R2748" s="317"/>
      <c r="S2748" s="317"/>
      <c r="T2748" s="317"/>
      <c r="U2748" s="317"/>
      <c r="V2748" s="317"/>
      <c r="W2748" s="317"/>
      <c r="X2748" s="317"/>
      <c r="Y2748" s="317"/>
      <c r="Z2748" s="317"/>
    </row>
    <row r="2749" spans="1:26" x14ac:dyDescent="0.25">
      <c r="A2749" s="314"/>
      <c r="B2749" s="18">
        <v>2023</v>
      </c>
      <c r="C2749" s="18" t="s">
        <v>732</v>
      </c>
      <c r="D2749" s="18" t="s">
        <v>1440</v>
      </c>
      <c r="E2749" s="18" t="s">
        <v>703</v>
      </c>
      <c r="F2749" s="18" t="s">
        <v>704</v>
      </c>
      <c r="G2749" s="18" t="s">
        <v>678</v>
      </c>
      <c r="H2749" s="18" t="s">
        <v>1154</v>
      </c>
      <c r="I2749" s="315">
        <v>13.936493416697331</v>
      </c>
      <c r="J2749" s="315">
        <v>1.4111290919215863E-3</v>
      </c>
      <c r="K2749" s="316" t="str">
        <f t="shared" si="50"/>
        <v>Agricultural Equipment</v>
      </c>
      <c r="L2749" s="316" t="str">
        <f t="shared" si="51"/>
        <v>Gasoline</v>
      </c>
      <c r="M2749" s="194"/>
      <c r="N2749" s="317"/>
      <c r="O2749" s="317"/>
      <c r="P2749" s="317"/>
      <c r="Q2749" s="317"/>
      <c r="R2749" s="317"/>
      <c r="S2749" s="317"/>
      <c r="T2749" s="317"/>
      <c r="U2749" s="317"/>
      <c r="V2749" s="317"/>
      <c r="W2749" s="317"/>
      <c r="X2749" s="317"/>
      <c r="Y2749" s="317"/>
      <c r="Z2749" s="317"/>
    </row>
    <row r="2750" spans="1:26" x14ac:dyDescent="0.25">
      <c r="A2750" s="314"/>
      <c r="B2750" s="18">
        <v>2023</v>
      </c>
      <c r="C2750" s="18" t="s">
        <v>753</v>
      </c>
      <c r="D2750" s="18" t="s">
        <v>1075</v>
      </c>
      <c r="E2750" s="18" t="s">
        <v>56</v>
      </c>
      <c r="F2750" s="18" t="s">
        <v>672</v>
      </c>
      <c r="G2750" s="18" t="s">
        <v>675</v>
      </c>
      <c r="H2750" s="18" t="s">
        <v>772</v>
      </c>
      <c r="I2750" s="315">
        <v>13.930887422527633</v>
      </c>
      <c r="J2750" s="315">
        <v>6.4179162248089307E-4</v>
      </c>
      <c r="K2750" s="316" t="str">
        <f t="shared" si="50"/>
        <v>Industrial Equipment</v>
      </c>
      <c r="L2750" s="316" t="str">
        <f t="shared" si="51"/>
        <v>LPG</v>
      </c>
      <c r="M2750" s="194"/>
      <c r="N2750" s="317"/>
      <c r="O2750" s="317"/>
      <c r="P2750" s="317"/>
      <c r="Q2750" s="317"/>
      <c r="R2750" s="317"/>
      <c r="S2750" s="317"/>
      <c r="T2750" s="317"/>
      <c r="U2750" s="317"/>
      <c r="V2750" s="317"/>
      <c r="W2750" s="317"/>
      <c r="X2750" s="317"/>
      <c r="Y2750" s="317"/>
      <c r="Z2750" s="317"/>
    </row>
    <row r="2751" spans="1:26" x14ac:dyDescent="0.25">
      <c r="A2751" s="314"/>
      <c r="B2751" s="18">
        <v>2023</v>
      </c>
      <c r="C2751" s="18" t="s">
        <v>731</v>
      </c>
      <c r="D2751" s="18" t="s">
        <v>1077</v>
      </c>
      <c r="E2751" s="18" t="s">
        <v>713</v>
      </c>
      <c r="F2751" s="18" t="s">
        <v>714</v>
      </c>
      <c r="G2751" s="18" t="s">
        <v>675</v>
      </c>
      <c r="H2751" s="18" t="s">
        <v>1078</v>
      </c>
      <c r="I2751" s="315">
        <v>13.919332056679547</v>
      </c>
      <c r="J2751" s="315">
        <v>3.5298336980006564E-4</v>
      </c>
      <c r="K2751" s="316" t="str">
        <f t="shared" si="50"/>
        <v>Industrial Equipment</v>
      </c>
      <c r="L2751" s="316" t="str">
        <f t="shared" si="51"/>
        <v>Diesel</v>
      </c>
      <c r="M2751" s="194"/>
      <c r="N2751" s="317"/>
      <c r="O2751" s="317"/>
      <c r="P2751" s="317"/>
      <c r="Q2751" s="317"/>
      <c r="R2751" s="317"/>
      <c r="S2751" s="317"/>
      <c r="T2751" s="317"/>
      <c r="U2751" s="317"/>
      <c r="V2751" s="317"/>
      <c r="W2751" s="317"/>
      <c r="X2751" s="317"/>
      <c r="Y2751" s="317"/>
      <c r="Z2751" s="317"/>
    </row>
    <row r="2752" spans="1:26" x14ac:dyDescent="0.25">
      <c r="A2752" s="314"/>
      <c r="B2752" s="18">
        <v>2023</v>
      </c>
      <c r="C2752" s="18" t="s">
        <v>754</v>
      </c>
      <c r="D2752" s="18" t="s">
        <v>1084</v>
      </c>
      <c r="E2752" s="18" t="s">
        <v>703</v>
      </c>
      <c r="F2752" s="18" t="s">
        <v>704</v>
      </c>
      <c r="G2752" s="18" t="s">
        <v>674</v>
      </c>
      <c r="H2752" s="18" t="s">
        <v>863</v>
      </c>
      <c r="I2752" s="315">
        <v>13.86544417959111</v>
      </c>
      <c r="J2752" s="315">
        <v>8.1352467125656459E-3</v>
      </c>
      <c r="K2752" s="316" t="str">
        <f t="shared" si="50"/>
        <v>Construction and Mining Equipment</v>
      </c>
      <c r="L2752" s="316" t="str">
        <f t="shared" si="51"/>
        <v>Gasoline</v>
      </c>
      <c r="M2752" s="194"/>
      <c r="N2752" s="317"/>
      <c r="O2752" s="317"/>
      <c r="P2752" s="317"/>
      <c r="Q2752" s="317"/>
      <c r="R2752" s="317"/>
      <c r="S2752" s="317"/>
      <c r="T2752" s="317"/>
      <c r="U2752" s="317"/>
      <c r="V2752" s="317"/>
      <c r="W2752" s="317"/>
      <c r="X2752" s="317"/>
      <c r="Y2752" s="317"/>
      <c r="Z2752" s="317"/>
    </row>
    <row r="2753" spans="1:26" x14ac:dyDescent="0.25">
      <c r="A2753" s="314"/>
      <c r="B2753" s="18">
        <v>2023</v>
      </c>
      <c r="C2753" s="18" t="s">
        <v>792</v>
      </c>
      <c r="D2753" s="18" t="s">
        <v>980</v>
      </c>
      <c r="E2753" s="18" t="s">
        <v>713</v>
      </c>
      <c r="F2753" s="18" t="s">
        <v>714</v>
      </c>
      <c r="G2753" s="18" t="s">
        <v>674</v>
      </c>
      <c r="H2753" s="18" t="s">
        <v>981</v>
      </c>
      <c r="I2753" s="315">
        <v>13.852615672167282</v>
      </c>
      <c r="J2753" s="315">
        <v>6.0805282717324655E-4</v>
      </c>
      <c r="K2753" s="316" t="str">
        <f t="shared" si="50"/>
        <v>Construction and Mining Equipment</v>
      </c>
      <c r="L2753" s="316" t="str">
        <f t="shared" si="51"/>
        <v>Diesel</v>
      </c>
      <c r="M2753" s="194"/>
      <c r="N2753" s="317"/>
      <c r="O2753" s="317"/>
      <c r="P2753" s="317"/>
      <c r="Q2753" s="317"/>
      <c r="R2753" s="317"/>
      <c r="S2753" s="317"/>
      <c r="T2753" s="317"/>
      <c r="U2753" s="317"/>
      <c r="V2753" s="317"/>
      <c r="W2753" s="317"/>
      <c r="X2753" s="317"/>
      <c r="Y2753" s="317"/>
      <c r="Z2753" s="317"/>
    </row>
    <row r="2754" spans="1:26" x14ac:dyDescent="0.25">
      <c r="A2754" s="314"/>
      <c r="B2754" s="18">
        <v>2023</v>
      </c>
      <c r="C2754" s="18" t="s">
        <v>760</v>
      </c>
      <c r="D2754" s="18" t="s">
        <v>1223</v>
      </c>
      <c r="E2754" s="18" t="s">
        <v>713</v>
      </c>
      <c r="F2754" s="18" t="s">
        <v>714</v>
      </c>
      <c r="G2754" s="18" t="s">
        <v>674</v>
      </c>
      <c r="H2754" s="18" t="s">
        <v>1036</v>
      </c>
      <c r="I2754" s="315">
        <v>13.809928948688418</v>
      </c>
      <c r="J2754" s="315">
        <v>1.3505987961463352E-3</v>
      </c>
      <c r="K2754" s="316" t="str">
        <f t="shared" si="50"/>
        <v>Construction and Mining Equipment</v>
      </c>
      <c r="L2754" s="316" t="str">
        <f t="shared" si="51"/>
        <v>Diesel</v>
      </c>
      <c r="M2754" s="194"/>
      <c r="N2754" s="317"/>
      <c r="O2754" s="317"/>
      <c r="P2754" s="317"/>
      <c r="Q2754" s="317"/>
      <c r="R2754" s="317"/>
      <c r="S2754" s="317"/>
      <c r="T2754" s="317"/>
      <c r="U2754" s="317"/>
      <c r="V2754" s="317"/>
      <c r="W2754" s="317"/>
      <c r="X2754" s="317"/>
      <c r="Y2754" s="317"/>
      <c r="Z2754" s="317"/>
    </row>
    <row r="2755" spans="1:26" x14ac:dyDescent="0.25">
      <c r="A2755" s="314"/>
      <c r="B2755" s="18">
        <v>2023</v>
      </c>
      <c r="C2755" s="18" t="s">
        <v>753</v>
      </c>
      <c r="D2755" s="18" t="s">
        <v>1034</v>
      </c>
      <c r="E2755" s="18" t="s">
        <v>713</v>
      </c>
      <c r="F2755" s="18" t="s">
        <v>714</v>
      </c>
      <c r="G2755" s="18" t="s">
        <v>677</v>
      </c>
      <c r="H2755" s="18" t="s">
        <v>1031</v>
      </c>
      <c r="I2755" s="315">
        <v>13.79751481774057</v>
      </c>
      <c r="J2755" s="315">
        <v>2.3977094152382225E-4</v>
      </c>
      <c r="K2755" s="316" t="str">
        <f t="shared" si="50"/>
        <v>Commercial Equipment</v>
      </c>
      <c r="L2755" s="316" t="str">
        <f t="shared" si="51"/>
        <v>Diesel</v>
      </c>
      <c r="M2755" s="194"/>
      <c r="N2755" s="317"/>
      <c r="O2755" s="317"/>
      <c r="P2755" s="317"/>
      <c r="Q2755" s="317"/>
      <c r="R2755" s="317"/>
      <c r="S2755" s="317"/>
      <c r="T2755" s="317"/>
      <c r="U2755" s="317"/>
      <c r="V2755" s="317"/>
      <c r="W2755" s="317"/>
      <c r="X2755" s="317"/>
      <c r="Y2755" s="317"/>
      <c r="Z2755" s="317"/>
    </row>
    <row r="2756" spans="1:26" x14ac:dyDescent="0.25">
      <c r="A2756" s="314"/>
      <c r="B2756" s="18">
        <v>2023</v>
      </c>
      <c r="C2756" s="18" t="s">
        <v>787</v>
      </c>
      <c r="D2756" s="18" t="s">
        <v>1081</v>
      </c>
      <c r="E2756" s="18" t="s">
        <v>703</v>
      </c>
      <c r="F2756" s="18" t="s">
        <v>805</v>
      </c>
      <c r="G2756" s="18" t="s">
        <v>674</v>
      </c>
      <c r="H2756" s="18" t="s">
        <v>1082</v>
      </c>
      <c r="I2756" s="315">
        <v>13.769471968472761</v>
      </c>
      <c r="J2756" s="315">
        <v>2.2334576035277671E-2</v>
      </c>
      <c r="K2756" s="316" t="str">
        <f t="shared" si="50"/>
        <v>Construction and Mining Equipment</v>
      </c>
      <c r="L2756" s="316" t="str">
        <f t="shared" si="51"/>
        <v>Gasoline</v>
      </c>
      <c r="M2756" s="194"/>
      <c r="N2756" s="317"/>
      <c r="O2756" s="317"/>
      <c r="P2756" s="317"/>
      <c r="Q2756" s="317"/>
      <c r="R2756" s="317"/>
      <c r="S2756" s="317"/>
      <c r="T2756" s="317"/>
      <c r="U2756" s="317"/>
      <c r="V2756" s="317"/>
      <c r="W2756" s="317"/>
      <c r="X2756" s="317"/>
      <c r="Y2756" s="317"/>
      <c r="Z2756" s="317"/>
    </row>
    <row r="2757" spans="1:26" x14ac:dyDescent="0.25">
      <c r="A2757" s="314"/>
      <c r="B2757" s="18">
        <v>2023</v>
      </c>
      <c r="C2757" s="18" t="s">
        <v>709</v>
      </c>
      <c r="D2757" s="18" t="s">
        <v>1153</v>
      </c>
      <c r="E2757" s="18" t="s">
        <v>713</v>
      </c>
      <c r="F2757" s="18" t="s">
        <v>714</v>
      </c>
      <c r="G2757" s="18" t="s">
        <v>678</v>
      </c>
      <c r="H2757" s="18" t="s">
        <v>1154</v>
      </c>
      <c r="I2757" s="315">
        <v>13.704232348486082</v>
      </c>
      <c r="J2757" s="315">
        <v>1.7886626257540417E-4</v>
      </c>
      <c r="K2757" s="316" t="str">
        <f t="shared" si="50"/>
        <v>Agricultural Equipment</v>
      </c>
      <c r="L2757" s="316" t="str">
        <f t="shared" si="51"/>
        <v>Diesel</v>
      </c>
      <c r="M2757" s="194"/>
      <c r="N2757" s="317"/>
      <c r="O2757" s="317"/>
      <c r="P2757" s="317"/>
      <c r="Q2757" s="317"/>
      <c r="R2757" s="317"/>
      <c r="S2757" s="317"/>
      <c r="T2757" s="317"/>
      <c r="U2757" s="317"/>
      <c r="V2757" s="317"/>
      <c r="W2757" s="317"/>
      <c r="X2757" s="317"/>
      <c r="Y2757" s="317"/>
      <c r="Z2757" s="317"/>
    </row>
    <row r="2758" spans="1:26" x14ac:dyDescent="0.25">
      <c r="A2758" s="314"/>
      <c r="B2758" s="18">
        <v>2023</v>
      </c>
      <c r="C2758" s="18" t="s">
        <v>781</v>
      </c>
      <c r="D2758" s="18" t="s">
        <v>868</v>
      </c>
      <c r="E2758" s="18" t="s">
        <v>703</v>
      </c>
      <c r="F2758" s="18" t="s">
        <v>704</v>
      </c>
      <c r="G2758" s="18" t="s">
        <v>673</v>
      </c>
      <c r="H2758" s="18" t="s">
        <v>758</v>
      </c>
      <c r="I2758" s="315">
        <v>13.681730144842621</v>
      </c>
      <c r="J2758" s="315">
        <v>8.9473935038293928E-3</v>
      </c>
      <c r="K2758" s="316" t="str">
        <f t="shared" si="50"/>
        <v>Lawn and Garden Equipment</v>
      </c>
      <c r="L2758" s="316" t="str">
        <f t="shared" si="51"/>
        <v>Gasoline</v>
      </c>
      <c r="M2758" s="194"/>
      <c r="N2758" s="317"/>
      <c r="O2758" s="317"/>
      <c r="P2758" s="317"/>
      <c r="Q2758" s="317"/>
      <c r="R2758" s="317"/>
      <c r="S2758" s="317"/>
      <c r="T2758" s="317"/>
      <c r="U2758" s="317"/>
      <c r="V2758" s="317"/>
      <c r="W2758" s="317"/>
      <c r="X2758" s="317"/>
      <c r="Y2758" s="317"/>
      <c r="Z2758" s="317"/>
    </row>
    <row r="2759" spans="1:26" x14ac:dyDescent="0.25">
      <c r="A2759" s="314"/>
      <c r="B2759" s="18">
        <v>2023</v>
      </c>
      <c r="C2759" s="18" t="s">
        <v>762</v>
      </c>
      <c r="D2759" s="18" t="s">
        <v>988</v>
      </c>
      <c r="E2759" s="18" t="s">
        <v>703</v>
      </c>
      <c r="F2759" s="18" t="s">
        <v>805</v>
      </c>
      <c r="G2759" s="18" t="s">
        <v>673</v>
      </c>
      <c r="H2759" s="18" t="s">
        <v>768</v>
      </c>
      <c r="I2759" s="315">
        <v>13.647642197201474</v>
      </c>
      <c r="J2759" s="315">
        <v>2.540785325048029E-2</v>
      </c>
      <c r="K2759" s="316" t="str">
        <f t="shared" si="50"/>
        <v>Lawn and Garden Equipment</v>
      </c>
      <c r="L2759" s="316" t="str">
        <f t="shared" si="51"/>
        <v>Gasoline</v>
      </c>
      <c r="M2759" s="194"/>
      <c r="N2759" s="317"/>
      <c r="O2759" s="317"/>
      <c r="P2759" s="317"/>
      <c r="Q2759" s="317"/>
      <c r="R2759" s="317"/>
      <c r="S2759" s="317"/>
      <c r="T2759" s="317"/>
      <c r="U2759" s="317"/>
      <c r="V2759" s="317"/>
      <c r="W2759" s="317"/>
      <c r="X2759" s="317"/>
      <c r="Y2759" s="317"/>
      <c r="Z2759" s="317"/>
    </row>
    <row r="2760" spans="1:26" x14ac:dyDescent="0.25">
      <c r="A2760" s="314"/>
      <c r="B2760" s="18">
        <v>2023</v>
      </c>
      <c r="C2760" s="18" t="s">
        <v>792</v>
      </c>
      <c r="D2760" s="18" t="s">
        <v>1030</v>
      </c>
      <c r="E2760" s="18" t="s">
        <v>703</v>
      </c>
      <c r="F2760" s="18" t="s">
        <v>704</v>
      </c>
      <c r="G2760" s="18" t="s">
        <v>677</v>
      </c>
      <c r="H2760" s="18" t="s">
        <v>1031</v>
      </c>
      <c r="I2760" s="315">
        <v>13.64065792905299</v>
      </c>
      <c r="J2760" s="315">
        <v>9.548541500652874E-3</v>
      </c>
      <c r="K2760" s="316" t="str">
        <f t="shared" si="50"/>
        <v>Commercial Equipment</v>
      </c>
      <c r="L2760" s="316" t="str">
        <f t="shared" si="51"/>
        <v>Gasoline</v>
      </c>
      <c r="M2760" s="194"/>
      <c r="N2760" s="317"/>
      <c r="O2760" s="317"/>
      <c r="P2760" s="317"/>
      <c r="Q2760" s="317"/>
      <c r="R2760" s="317"/>
      <c r="S2760" s="317"/>
      <c r="T2760" s="317"/>
      <c r="U2760" s="317"/>
      <c r="V2760" s="317"/>
      <c r="W2760" s="317"/>
      <c r="X2760" s="317"/>
      <c r="Y2760" s="317"/>
      <c r="Z2760" s="317"/>
    </row>
    <row r="2761" spans="1:26" x14ac:dyDescent="0.25">
      <c r="A2761" s="314"/>
      <c r="B2761" s="18">
        <v>2023</v>
      </c>
      <c r="C2761" s="18" t="s">
        <v>793</v>
      </c>
      <c r="D2761" s="18" t="s">
        <v>1224</v>
      </c>
      <c r="E2761" s="18" t="s">
        <v>703</v>
      </c>
      <c r="F2761" s="18" t="s">
        <v>704</v>
      </c>
      <c r="G2761" s="18" t="s">
        <v>681</v>
      </c>
      <c r="H2761" s="18" t="s">
        <v>1225</v>
      </c>
      <c r="I2761" s="315">
        <v>13.629209343154297</v>
      </c>
      <c r="J2761" s="315">
        <v>9.2162357146923311E-3</v>
      </c>
      <c r="K2761" s="316" t="str">
        <f t="shared" si="50"/>
        <v>Logging Equipment</v>
      </c>
      <c r="L2761" s="316" t="str">
        <f t="shared" si="51"/>
        <v>Gasoline</v>
      </c>
      <c r="M2761" s="194"/>
      <c r="N2761" s="317"/>
      <c r="O2761" s="317"/>
      <c r="P2761" s="317"/>
      <c r="Q2761" s="317"/>
      <c r="R2761" s="317"/>
      <c r="S2761" s="317"/>
      <c r="T2761" s="317"/>
      <c r="U2761" s="317"/>
      <c r="V2761" s="317"/>
      <c r="W2761" s="317"/>
      <c r="X2761" s="317"/>
      <c r="Y2761" s="317"/>
      <c r="Z2761" s="317"/>
    </row>
    <row r="2762" spans="1:26" x14ac:dyDescent="0.25">
      <c r="A2762" s="314"/>
      <c r="B2762" s="18">
        <v>2023</v>
      </c>
      <c r="C2762" s="18" t="s">
        <v>706</v>
      </c>
      <c r="D2762" s="18" t="s">
        <v>1445</v>
      </c>
      <c r="E2762" s="18" t="s">
        <v>56</v>
      </c>
      <c r="F2762" s="18" t="s">
        <v>601</v>
      </c>
      <c r="G2762" s="18" t="s">
        <v>677</v>
      </c>
      <c r="H2762" s="18" t="s">
        <v>841</v>
      </c>
      <c r="I2762" s="315">
        <v>13.599473526713808</v>
      </c>
      <c r="J2762" s="315">
        <v>0.14775268639478811</v>
      </c>
      <c r="K2762" s="316" t="str">
        <f t="shared" si="50"/>
        <v>Commercial Equipment</v>
      </c>
      <c r="L2762" s="316" t="str">
        <f t="shared" si="51"/>
        <v>CNG</v>
      </c>
      <c r="M2762" s="194"/>
      <c r="N2762" s="317"/>
      <c r="O2762" s="317"/>
      <c r="P2762" s="317"/>
      <c r="Q2762" s="317"/>
      <c r="R2762" s="317"/>
      <c r="S2762" s="317"/>
      <c r="T2762" s="317"/>
      <c r="U2762" s="317"/>
      <c r="V2762" s="317"/>
      <c r="W2762" s="317"/>
      <c r="X2762" s="317"/>
      <c r="Y2762" s="317"/>
      <c r="Z2762" s="317"/>
    </row>
    <row r="2763" spans="1:26" x14ac:dyDescent="0.25">
      <c r="A2763" s="314"/>
      <c r="B2763" s="18">
        <v>2023</v>
      </c>
      <c r="C2763" s="18" t="s">
        <v>759</v>
      </c>
      <c r="D2763" s="18" t="s">
        <v>936</v>
      </c>
      <c r="E2763" s="18" t="s">
        <v>56</v>
      </c>
      <c r="F2763" s="18" t="s">
        <v>672</v>
      </c>
      <c r="G2763" s="18" t="s">
        <v>677</v>
      </c>
      <c r="H2763" s="18" t="s">
        <v>747</v>
      </c>
      <c r="I2763" s="315">
        <v>13.583422216253879</v>
      </c>
      <c r="J2763" s="315">
        <v>3.1314690208524912E-3</v>
      </c>
      <c r="K2763" s="316" t="str">
        <f t="shared" si="50"/>
        <v>Commercial Equipment</v>
      </c>
      <c r="L2763" s="316" t="str">
        <f t="shared" si="51"/>
        <v>LPG</v>
      </c>
      <c r="M2763" s="194"/>
      <c r="N2763" s="317"/>
      <c r="O2763" s="317"/>
      <c r="P2763" s="317"/>
      <c r="Q2763" s="317"/>
      <c r="R2763" s="317"/>
      <c r="S2763" s="317"/>
      <c r="T2763" s="317"/>
      <c r="U2763" s="317"/>
      <c r="V2763" s="317"/>
      <c r="W2763" s="317"/>
      <c r="X2763" s="317"/>
      <c r="Y2763" s="317"/>
      <c r="Z2763" s="317"/>
    </row>
    <row r="2764" spans="1:26" x14ac:dyDescent="0.25">
      <c r="A2764" s="314"/>
      <c r="B2764" s="18">
        <v>2023</v>
      </c>
      <c r="C2764" s="18" t="s">
        <v>753</v>
      </c>
      <c r="D2764" s="18" t="s">
        <v>1037</v>
      </c>
      <c r="E2764" s="18" t="s">
        <v>56</v>
      </c>
      <c r="F2764" s="18" t="s">
        <v>672</v>
      </c>
      <c r="G2764" s="18" t="s">
        <v>677</v>
      </c>
      <c r="H2764" s="18" t="s">
        <v>841</v>
      </c>
      <c r="I2764" s="315">
        <v>13.571820630837001</v>
      </c>
      <c r="J2764" s="315">
        <v>1.3738387383315709E-3</v>
      </c>
      <c r="K2764" s="316" t="str">
        <f t="shared" si="50"/>
        <v>Commercial Equipment</v>
      </c>
      <c r="L2764" s="316" t="str">
        <f t="shared" si="51"/>
        <v>LPG</v>
      </c>
      <c r="M2764" s="194"/>
      <c r="N2764" s="317"/>
      <c r="O2764" s="317"/>
      <c r="P2764" s="317"/>
      <c r="Q2764" s="317"/>
      <c r="R2764" s="317"/>
      <c r="S2764" s="317"/>
      <c r="T2764" s="317"/>
      <c r="U2764" s="317"/>
      <c r="V2764" s="317"/>
      <c r="W2764" s="317"/>
      <c r="X2764" s="317"/>
      <c r="Y2764" s="317"/>
      <c r="Z2764" s="317"/>
    </row>
    <row r="2765" spans="1:26" x14ac:dyDescent="0.25">
      <c r="A2765" s="314"/>
      <c r="B2765" s="18">
        <v>2023</v>
      </c>
      <c r="C2765" s="18" t="s">
        <v>727</v>
      </c>
      <c r="D2765" s="18" t="s">
        <v>1073</v>
      </c>
      <c r="E2765" s="18" t="s">
        <v>703</v>
      </c>
      <c r="F2765" s="18" t="s">
        <v>704</v>
      </c>
      <c r="G2765" s="18" t="s">
        <v>674</v>
      </c>
      <c r="H2765" s="18" t="s">
        <v>1072</v>
      </c>
      <c r="I2765" s="315">
        <v>13.552026110142821</v>
      </c>
      <c r="J2765" s="315">
        <v>9.5186077085223399E-3</v>
      </c>
      <c r="K2765" s="316" t="str">
        <f t="shared" si="50"/>
        <v>Construction and Mining Equipment</v>
      </c>
      <c r="L2765" s="316" t="str">
        <f t="shared" si="51"/>
        <v>Gasoline</v>
      </c>
      <c r="M2765" s="194"/>
      <c r="N2765" s="317"/>
      <c r="O2765" s="317"/>
      <c r="P2765" s="317"/>
      <c r="Q2765" s="317"/>
      <c r="R2765" s="317"/>
      <c r="S2765" s="317"/>
      <c r="T2765" s="317"/>
      <c r="U2765" s="317"/>
      <c r="V2765" s="317"/>
      <c r="W2765" s="317"/>
      <c r="X2765" s="317"/>
      <c r="Y2765" s="317"/>
      <c r="Z2765" s="317"/>
    </row>
    <row r="2766" spans="1:26" x14ac:dyDescent="0.25">
      <c r="A2766" s="314"/>
      <c r="B2766" s="18">
        <v>2023</v>
      </c>
      <c r="C2766" s="18" t="s">
        <v>711</v>
      </c>
      <c r="D2766" s="18" t="s">
        <v>1317</v>
      </c>
      <c r="E2766" s="18" t="s">
        <v>713</v>
      </c>
      <c r="F2766" s="18" t="s">
        <v>714</v>
      </c>
      <c r="G2766" s="18" t="s">
        <v>673</v>
      </c>
      <c r="H2766" s="18" t="s">
        <v>865</v>
      </c>
      <c r="I2766" s="315">
        <v>13.521577176328664</v>
      </c>
      <c r="J2766" s="315">
        <v>4.2705413093929175E-4</v>
      </c>
      <c r="K2766" s="316" t="str">
        <f t="shared" si="50"/>
        <v>Lawn and Garden Equipment</v>
      </c>
      <c r="L2766" s="316" t="str">
        <f t="shared" si="51"/>
        <v>Diesel</v>
      </c>
      <c r="M2766" s="194"/>
      <c r="N2766" s="317"/>
      <c r="O2766" s="317"/>
      <c r="P2766" s="317"/>
      <c r="Q2766" s="317"/>
      <c r="R2766" s="317"/>
      <c r="S2766" s="317"/>
      <c r="T2766" s="317"/>
      <c r="U2766" s="317"/>
      <c r="V2766" s="317"/>
      <c r="W2766" s="317"/>
      <c r="X2766" s="317"/>
      <c r="Y2766" s="317"/>
      <c r="Z2766" s="317"/>
    </row>
    <row r="2767" spans="1:26" x14ac:dyDescent="0.25">
      <c r="A2767" s="314"/>
      <c r="B2767" s="18">
        <v>2023</v>
      </c>
      <c r="C2767" s="18" t="s">
        <v>727</v>
      </c>
      <c r="D2767" s="18" t="s">
        <v>1074</v>
      </c>
      <c r="E2767" s="18" t="s">
        <v>713</v>
      </c>
      <c r="F2767" s="18" t="s">
        <v>714</v>
      </c>
      <c r="G2767" s="18" t="s">
        <v>674</v>
      </c>
      <c r="H2767" s="18" t="s">
        <v>967</v>
      </c>
      <c r="I2767" s="315">
        <v>13.511544340840379</v>
      </c>
      <c r="J2767" s="315">
        <v>2.3218919184041188E-4</v>
      </c>
      <c r="K2767" s="316" t="str">
        <f t="shared" si="50"/>
        <v>Construction and Mining Equipment</v>
      </c>
      <c r="L2767" s="316" t="str">
        <f t="shared" si="51"/>
        <v>Diesel</v>
      </c>
      <c r="M2767" s="194"/>
      <c r="N2767" s="317"/>
      <c r="O2767" s="317"/>
      <c r="P2767" s="317"/>
      <c r="Q2767" s="317"/>
      <c r="R2767" s="317"/>
      <c r="S2767" s="317"/>
      <c r="T2767" s="317"/>
      <c r="U2767" s="317"/>
      <c r="V2767" s="317"/>
      <c r="W2767" s="317"/>
      <c r="X2767" s="317"/>
      <c r="Y2767" s="317"/>
      <c r="Z2767" s="317"/>
    </row>
    <row r="2768" spans="1:26" x14ac:dyDescent="0.25">
      <c r="A2768" s="314"/>
      <c r="B2768" s="18">
        <v>2023</v>
      </c>
      <c r="C2768" s="18" t="s">
        <v>743</v>
      </c>
      <c r="D2768" s="18" t="s">
        <v>1158</v>
      </c>
      <c r="E2768" s="18" t="s">
        <v>703</v>
      </c>
      <c r="F2768" s="18" t="s">
        <v>704</v>
      </c>
      <c r="G2768" s="18" t="s">
        <v>674</v>
      </c>
      <c r="H2768" s="18" t="s">
        <v>715</v>
      </c>
      <c r="I2768" s="315">
        <v>13.485658693278531</v>
      </c>
      <c r="J2768" s="315">
        <v>9.3901702069380214E-4</v>
      </c>
      <c r="K2768" s="316" t="str">
        <f t="shared" si="50"/>
        <v>Construction and Mining Equipment</v>
      </c>
      <c r="L2768" s="316" t="str">
        <f t="shared" si="51"/>
        <v>Gasoline</v>
      </c>
      <c r="M2768" s="194"/>
      <c r="N2768" s="317"/>
      <c r="O2768" s="317"/>
      <c r="P2768" s="317"/>
      <c r="Q2768" s="317"/>
      <c r="R2768" s="317"/>
      <c r="S2768" s="317"/>
      <c r="T2768" s="317"/>
      <c r="U2768" s="317"/>
      <c r="V2768" s="317"/>
      <c r="W2768" s="317"/>
      <c r="X2768" s="317"/>
      <c r="Y2768" s="317"/>
      <c r="Z2768" s="317"/>
    </row>
    <row r="2769" spans="1:26" x14ac:dyDescent="0.25">
      <c r="A2769" s="314"/>
      <c r="B2769" s="18">
        <v>2023</v>
      </c>
      <c r="C2769" s="18" t="s">
        <v>759</v>
      </c>
      <c r="D2769" s="18" t="s">
        <v>1229</v>
      </c>
      <c r="E2769" s="18" t="s">
        <v>713</v>
      </c>
      <c r="F2769" s="18" t="s">
        <v>714</v>
      </c>
      <c r="G2769" s="18" t="s">
        <v>678</v>
      </c>
      <c r="H2769" s="18" t="s">
        <v>1230</v>
      </c>
      <c r="I2769" s="315">
        <v>13.474143414316098</v>
      </c>
      <c r="J2769" s="315">
        <v>1.015982667467354E-4</v>
      </c>
      <c r="K2769" s="316" t="str">
        <f t="shared" si="50"/>
        <v>Agricultural Equipment</v>
      </c>
      <c r="L2769" s="316" t="str">
        <f t="shared" si="51"/>
        <v>Diesel</v>
      </c>
      <c r="M2769" s="194"/>
      <c r="N2769" s="317"/>
      <c r="O2769" s="317"/>
      <c r="P2769" s="317"/>
      <c r="Q2769" s="317"/>
      <c r="R2769" s="317"/>
      <c r="S2769" s="317"/>
      <c r="T2769" s="317"/>
      <c r="U2769" s="317"/>
      <c r="V2769" s="317"/>
      <c r="W2769" s="317"/>
      <c r="X2769" s="317"/>
      <c r="Y2769" s="317"/>
      <c r="Z2769" s="317"/>
    </row>
    <row r="2770" spans="1:26" x14ac:dyDescent="0.25">
      <c r="A2770" s="314"/>
      <c r="B2770" s="18">
        <v>2023</v>
      </c>
      <c r="C2770" s="18" t="s">
        <v>709</v>
      </c>
      <c r="D2770" s="18" t="s">
        <v>1401</v>
      </c>
      <c r="E2770" s="18" t="s">
        <v>56</v>
      </c>
      <c r="F2770" s="18" t="s">
        <v>601</v>
      </c>
      <c r="G2770" s="18" t="s">
        <v>677</v>
      </c>
      <c r="H2770" s="18" t="s">
        <v>785</v>
      </c>
      <c r="I2770" s="315">
        <v>13.47265760954599</v>
      </c>
      <c r="J2770" s="315">
        <v>5.8397817173569712E-2</v>
      </c>
      <c r="K2770" s="316" t="str">
        <f t="shared" si="50"/>
        <v>Commercial Equipment</v>
      </c>
      <c r="L2770" s="316" t="str">
        <f t="shared" si="51"/>
        <v>CNG</v>
      </c>
      <c r="M2770" s="194"/>
      <c r="N2770" s="317"/>
      <c r="O2770" s="317"/>
      <c r="P2770" s="317"/>
      <c r="Q2770" s="317"/>
      <c r="R2770" s="317"/>
      <c r="S2770" s="317"/>
      <c r="T2770" s="317"/>
      <c r="U2770" s="317"/>
      <c r="V2770" s="317"/>
      <c r="W2770" s="317"/>
      <c r="X2770" s="317"/>
      <c r="Y2770" s="317"/>
      <c r="Z2770" s="317"/>
    </row>
    <row r="2771" spans="1:26" x14ac:dyDescent="0.25">
      <c r="A2771" s="314"/>
      <c r="B2771" s="18">
        <v>2023</v>
      </c>
      <c r="C2771" s="18" t="s">
        <v>753</v>
      </c>
      <c r="D2771" s="18" t="s">
        <v>1077</v>
      </c>
      <c r="E2771" s="18" t="s">
        <v>713</v>
      </c>
      <c r="F2771" s="18" t="s">
        <v>714</v>
      </c>
      <c r="G2771" s="18" t="s">
        <v>675</v>
      </c>
      <c r="H2771" s="18" t="s">
        <v>1078</v>
      </c>
      <c r="I2771" s="315">
        <v>13.469537969500291</v>
      </c>
      <c r="J2771" s="315">
        <v>3.415782630059144E-4</v>
      </c>
      <c r="K2771" s="316" t="str">
        <f t="shared" si="50"/>
        <v>Industrial Equipment</v>
      </c>
      <c r="L2771" s="316" t="str">
        <f t="shared" si="51"/>
        <v>Diesel</v>
      </c>
      <c r="M2771" s="194"/>
      <c r="N2771" s="317"/>
      <c r="O2771" s="317"/>
      <c r="P2771" s="317"/>
      <c r="Q2771" s="317"/>
      <c r="R2771" s="317"/>
      <c r="S2771" s="317"/>
      <c r="T2771" s="317"/>
      <c r="U2771" s="317"/>
      <c r="V2771" s="317"/>
      <c r="W2771" s="317"/>
      <c r="X2771" s="317"/>
      <c r="Y2771" s="317"/>
      <c r="Z2771" s="317"/>
    </row>
    <row r="2772" spans="1:26" x14ac:dyDescent="0.25">
      <c r="A2772" s="314"/>
      <c r="B2772" s="18">
        <v>2023</v>
      </c>
      <c r="C2772" s="18" t="s">
        <v>754</v>
      </c>
      <c r="D2772" s="18" t="s">
        <v>1428</v>
      </c>
      <c r="E2772" s="18" t="s">
        <v>56</v>
      </c>
      <c r="F2772" s="18" t="s">
        <v>601</v>
      </c>
      <c r="G2772" s="18" t="s">
        <v>678</v>
      </c>
      <c r="H2772" s="18" t="s">
        <v>1154</v>
      </c>
      <c r="I2772" s="315">
        <v>13.432118328980909</v>
      </c>
      <c r="J2772" s="315">
        <v>5.4626344338161145E-2</v>
      </c>
      <c r="K2772" s="316" t="str">
        <f t="shared" si="50"/>
        <v>Agricultural Equipment</v>
      </c>
      <c r="L2772" s="316" t="str">
        <f t="shared" si="51"/>
        <v>CNG</v>
      </c>
      <c r="M2772" s="194"/>
      <c r="N2772" s="317"/>
      <c r="O2772" s="317"/>
      <c r="P2772" s="317"/>
      <c r="Q2772" s="317"/>
      <c r="R2772" s="317"/>
      <c r="S2772" s="317"/>
      <c r="T2772" s="317"/>
      <c r="U2772" s="317"/>
      <c r="V2772" s="317"/>
      <c r="W2772" s="317"/>
      <c r="X2772" s="317"/>
      <c r="Y2772" s="317"/>
      <c r="Z2772" s="317"/>
    </row>
    <row r="2773" spans="1:26" x14ac:dyDescent="0.25">
      <c r="A2773" s="314"/>
      <c r="B2773" s="18">
        <v>2023</v>
      </c>
      <c r="C2773" s="18" t="s">
        <v>787</v>
      </c>
      <c r="D2773" s="18" t="s">
        <v>1030</v>
      </c>
      <c r="E2773" s="18" t="s">
        <v>703</v>
      </c>
      <c r="F2773" s="18" t="s">
        <v>704</v>
      </c>
      <c r="G2773" s="18" t="s">
        <v>677</v>
      </c>
      <c r="H2773" s="18" t="s">
        <v>1031</v>
      </c>
      <c r="I2773" s="315">
        <v>13.430806108639185</v>
      </c>
      <c r="J2773" s="315">
        <v>9.3520597446856129E-3</v>
      </c>
      <c r="K2773" s="316" t="str">
        <f t="shared" si="50"/>
        <v>Commercial Equipment</v>
      </c>
      <c r="L2773" s="316" t="str">
        <f t="shared" si="51"/>
        <v>Gasoline</v>
      </c>
      <c r="M2773" s="194"/>
      <c r="N2773" s="317"/>
      <c r="O2773" s="317"/>
      <c r="P2773" s="317"/>
      <c r="Q2773" s="317"/>
      <c r="R2773" s="317"/>
      <c r="S2773" s="317"/>
      <c r="T2773" s="317"/>
      <c r="U2773" s="317"/>
      <c r="V2773" s="317"/>
      <c r="W2773" s="317"/>
      <c r="X2773" s="317"/>
      <c r="Y2773" s="317"/>
      <c r="Z2773" s="317"/>
    </row>
    <row r="2774" spans="1:26" x14ac:dyDescent="0.25">
      <c r="A2774" s="314"/>
      <c r="B2774" s="18">
        <v>2023</v>
      </c>
      <c r="C2774" s="18" t="s">
        <v>773</v>
      </c>
      <c r="D2774" s="18" t="s">
        <v>1071</v>
      </c>
      <c r="E2774" s="18" t="s">
        <v>713</v>
      </c>
      <c r="F2774" s="18" t="s">
        <v>714</v>
      </c>
      <c r="G2774" s="18" t="s">
        <v>674</v>
      </c>
      <c r="H2774" s="18" t="s">
        <v>1072</v>
      </c>
      <c r="I2774" s="315">
        <v>13.422344043624731</v>
      </c>
      <c r="J2774" s="315">
        <v>1.7971646073956609E-4</v>
      </c>
      <c r="K2774" s="316" t="str">
        <f t="shared" si="50"/>
        <v>Construction and Mining Equipment</v>
      </c>
      <c r="L2774" s="316" t="str">
        <f t="shared" si="51"/>
        <v>Diesel</v>
      </c>
      <c r="M2774" s="194"/>
      <c r="N2774" s="317"/>
      <c r="O2774" s="317"/>
      <c r="P2774" s="317"/>
      <c r="Q2774" s="317"/>
      <c r="R2774" s="317"/>
      <c r="S2774" s="317"/>
      <c r="T2774" s="317"/>
      <c r="U2774" s="317"/>
      <c r="V2774" s="317"/>
      <c r="W2774" s="317"/>
      <c r="X2774" s="317"/>
      <c r="Y2774" s="317"/>
      <c r="Z2774" s="317"/>
    </row>
    <row r="2775" spans="1:26" x14ac:dyDescent="0.25">
      <c r="A2775" s="314"/>
      <c r="B2775" s="18">
        <v>2023</v>
      </c>
      <c r="C2775" s="18" t="s">
        <v>792</v>
      </c>
      <c r="D2775" s="18" t="s">
        <v>1034</v>
      </c>
      <c r="E2775" s="18" t="s">
        <v>713</v>
      </c>
      <c r="F2775" s="18" t="s">
        <v>714</v>
      </c>
      <c r="G2775" s="18" t="s">
        <v>677</v>
      </c>
      <c r="H2775" s="18" t="s">
        <v>1031</v>
      </c>
      <c r="I2775" s="315">
        <v>13.385658033803564</v>
      </c>
      <c r="J2775" s="315">
        <v>2.3261345527227556E-4</v>
      </c>
      <c r="K2775" s="316" t="str">
        <f t="shared" si="50"/>
        <v>Commercial Equipment</v>
      </c>
      <c r="L2775" s="316" t="str">
        <f t="shared" si="51"/>
        <v>Diesel</v>
      </c>
      <c r="M2775" s="194"/>
      <c r="N2775" s="317"/>
      <c r="O2775" s="317"/>
      <c r="P2775" s="317"/>
      <c r="Q2775" s="317"/>
      <c r="R2775" s="317"/>
      <c r="S2775" s="317"/>
      <c r="T2775" s="317"/>
      <c r="U2775" s="317"/>
      <c r="V2775" s="317"/>
      <c r="W2775" s="317"/>
      <c r="X2775" s="317"/>
      <c r="Y2775" s="317"/>
      <c r="Z2775" s="317"/>
    </row>
    <row r="2776" spans="1:26" x14ac:dyDescent="0.25">
      <c r="A2776" s="314"/>
      <c r="B2776" s="18">
        <v>2023</v>
      </c>
      <c r="C2776" s="18" t="s">
        <v>711</v>
      </c>
      <c r="D2776" s="18" t="s">
        <v>1339</v>
      </c>
      <c r="E2776" s="18" t="s">
        <v>56</v>
      </c>
      <c r="F2776" s="18" t="s">
        <v>672</v>
      </c>
      <c r="G2776" s="18" t="s">
        <v>674</v>
      </c>
      <c r="H2776" s="18" t="s">
        <v>770</v>
      </c>
      <c r="I2776" s="315">
        <v>13.370839307613764</v>
      </c>
      <c r="J2776" s="315">
        <v>9.8733663258287834E-4</v>
      </c>
      <c r="K2776" s="316" t="str">
        <f t="shared" si="50"/>
        <v>Construction and Mining Equipment</v>
      </c>
      <c r="L2776" s="316" t="str">
        <f t="shared" si="51"/>
        <v>LPG</v>
      </c>
      <c r="M2776" s="194"/>
      <c r="N2776" s="317"/>
      <c r="O2776" s="317"/>
      <c r="P2776" s="317"/>
      <c r="Q2776" s="317"/>
      <c r="R2776" s="317"/>
      <c r="S2776" s="317"/>
      <c r="T2776" s="317"/>
      <c r="U2776" s="317"/>
      <c r="V2776" s="317"/>
      <c r="W2776" s="317"/>
      <c r="X2776" s="317"/>
      <c r="Y2776" s="317"/>
      <c r="Z2776" s="317"/>
    </row>
    <row r="2777" spans="1:26" x14ac:dyDescent="0.25">
      <c r="A2777" s="314"/>
      <c r="B2777" s="18">
        <v>2023</v>
      </c>
      <c r="C2777" s="18" t="s">
        <v>781</v>
      </c>
      <c r="D2777" s="18" t="s">
        <v>1409</v>
      </c>
      <c r="E2777" s="18" t="s">
        <v>703</v>
      </c>
      <c r="F2777" s="18" t="s">
        <v>704</v>
      </c>
      <c r="G2777" s="18" t="s">
        <v>678</v>
      </c>
      <c r="H2777" s="18" t="s">
        <v>1222</v>
      </c>
      <c r="I2777" s="315">
        <v>13.37000085130814</v>
      </c>
      <c r="J2777" s="315">
        <v>8.8215612302706883E-3</v>
      </c>
      <c r="K2777" s="316" t="str">
        <f t="shared" si="50"/>
        <v>Agricultural Equipment</v>
      </c>
      <c r="L2777" s="316" t="str">
        <f t="shared" si="51"/>
        <v>Gasoline</v>
      </c>
      <c r="M2777" s="194"/>
      <c r="N2777" s="317"/>
      <c r="O2777" s="317"/>
      <c r="P2777" s="317"/>
      <c r="Q2777" s="317"/>
      <c r="R2777" s="317"/>
      <c r="S2777" s="317"/>
      <c r="T2777" s="317"/>
      <c r="U2777" s="317"/>
      <c r="V2777" s="317"/>
      <c r="W2777" s="317"/>
      <c r="X2777" s="317"/>
      <c r="Y2777" s="317"/>
      <c r="Z2777" s="317"/>
    </row>
    <row r="2778" spans="1:26" x14ac:dyDescent="0.25">
      <c r="A2778" s="314"/>
      <c r="B2778" s="18">
        <v>2023</v>
      </c>
      <c r="C2778" s="18" t="s">
        <v>759</v>
      </c>
      <c r="D2778" s="18" t="s">
        <v>986</v>
      </c>
      <c r="E2778" s="18" t="s">
        <v>703</v>
      </c>
      <c r="F2778" s="18" t="s">
        <v>704</v>
      </c>
      <c r="G2778" s="18" t="s">
        <v>673</v>
      </c>
      <c r="H2778" s="18" t="s">
        <v>987</v>
      </c>
      <c r="I2778" s="315">
        <v>13.333677126218182</v>
      </c>
      <c r="J2778" s="315">
        <v>9.1022110641682287E-3</v>
      </c>
      <c r="K2778" s="316" t="str">
        <f t="shared" si="50"/>
        <v>Lawn and Garden Equipment</v>
      </c>
      <c r="L2778" s="316" t="str">
        <f t="shared" si="51"/>
        <v>Gasoline</v>
      </c>
      <c r="M2778" s="194"/>
      <c r="N2778" s="317"/>
      <c r="O2778" s="317"/>
      <c r="P2778" s="317"/>
      <c r="Q2778" s="317"/>
      <c r="R2778" s="317"/>
      <c r="S2778" s="317"/>
      <c r="T2778" s="317"/>
      <c r="U2778" s="317"/>
      <c r="V2778" s="317"/>
      <c r="W2778" s="317"/>
      <c r="X2778" s="317"/>
      <c r="Y2778" s="317"/>
      <c r="Z2778" s="317"/>
    </row>
    <row r="2779" spans="1:26" x14ac:dyDescent="0.25">
      <c r="A2779" s="314"/>
      <c r="B2779" s="18">
        <v>2023</v>
      </c>
      <c r="C2779" s="18" t="s">
        <v>762</v>
      </c>
      <c r="D2779" s="18" t="s">
        <v>1006</v>
      </c>
      <c r="E2779" s="18" t="s">
        <v>703</v>
      </c>
      <c r="F2779" s="18" t="s">
        <v>805</v>
      </c>
      <c r="G2779" s="18" t="s">
        <v>674</v>
      </c>
      <c r="H2779" s="18" t="s">
        <v>967</v>
      </c>
      <c r="I2779" s="315">
        <v>13.323181396947328</v>
      </c>
      <c r="J2779" s="315">
        <v>2.3860232188810733E-2</v>
      </c>
      <c r="K2779" s="316" t="str">
        <f t="shared" si="50"/>
        <v>Construction and Mining Equipment</v>
      </c>
      <c r="L2779" s="316" t="str">
        <f t="shared" si="51"/>
        <v>Gasoline</v>
      </c>
      <c r="M2779" s="194"/>
      <c r="N2779" s="317"/>
      <c r="O2779" s="317"/>
      <c r="P2779" s="317"/>
      <c r="Q2779" s="317"/>
      <c r="R2779" s="317"/>
      <c r="S2779" s="317"/>
      <c r="T2779" s="317"/>
      <c r="U2779" s="317"/>
      <c r="V2779" s="317"/>
      <c r="W2779" s="317"/>
      <c r="X2779" s="317"/>
      <c r="Y2779" s="317"/>
      <c r="Z2779" s="317"/>
    </row>
    <row r="2780" spans="1:26" x14ac:dyDescent="0.25">
      <c r="A2780" s="314"/>
      <c r="B2780" s="18">
        <v>2023</v>
      </c>
      <c r="C2780" s="18" t="s">
        <v>759</v>
      </c>
      <c r="D2780" s="18" t="s">
        <v>925</v>
      </c>
      <c r="E2780" s="18" t="s">
        <v>703</v>
      </c>
      <c r="F2780" s="18" t="s">
        <v>704</v>
      </c>
      <c r="G2780" s="18" t="s">
        <v>675</v>
      </c>
      <c r="H2780" s="18" t="s">
        <v>798</v>
      </c>
      <c r="I2780" s="315">
        <v>13.321659193297965</v>
      </c>
      <c r="J2780" s="315">
        <v>9.9168570303459786E-3</v>
      </c>
      <c r="K2780" s="316" t="str">
        <f t="shared" si="50"/>
        <v>Industrial Equipment</v>
      </c>
      <c r="L2780" s="316" t="str">
        <f t="shared" si="51"/>
        <v>Gasoline</v>
      </c>
      <c r="M2780" s="194"/>
      <c r="N2780" s="317"/>
      <c r="O2780" s="317"/>
      <c r="P2780" s="317"/>
      <c r="Q2780" s="317"/>
      <c r="R2780" s="317"/>
      <c r="S2780" s="317"/>
      <c r="T2780" s="317"/>
      <c r="U2780" s="317"/>
      <c r="V2780" s="317"/>
      <c r="W2780" s="317"/>
      <c r="X2780" s="317"/>
      <c r="Y2780" s="317"/>
      <c r="Z2780" s="317"/>
    </row>
    <row r="2781" spans="1:26" x14ac:dyDescent="0.25">
      <c r="A2781" s="314"/>
      <c r="B2781" s="18">
        <v>2023</v>
      </c>
      <c r="C2781" s="18" t="s">
        <v>781</v>
      </c>
      <c r="D2781" s="18" t="s">
        <v>995</v>
      </c>
      <c r="E2781" s="18" t="s">
        <v>703</v>
      </c>
      <c r="F2781" s="18" t="s">
        <v>805</v>
      </c>
      <c r="G2781" s="18" t="s">
        <v>673</v>
      </c>
      <c r="H2781" s="18" t="s">
        <v>996</v>
      </c>
      <c r="I2781" s="315">
        <v>13.296870128042359</v>
      </c>
      <c r="J2781" s="315">
        <v>2.479620425973765E-2</v>
      </c>
      <c r="K2781" s="316" t="str">
        <f t="shared" si="50"/>
        <v>Lawn and Garden Equipment</v>
      </c>
      <c r="L2781" s="316" t="str">
        <f t="shared" si="51"/>
        <v>Gasoline</v>
      </c>
      <c r="M2781" s="194"/>
      <c r="N2781" s="317"/>
      <c r="O2781" s="317"/>
      <c r="P2781" s="317"/>
      <c r="Q2781" s="317"/>
      <c r="R2781" s="317"/>
      <c r="S2781" s="317"/>
      <c r="T2781" s="317"/>
      <c r="U2781" s="317"/>
      <c r="V2781" s="317"/>
      <c r="W2781" s="317"/>
      <c r="X2781" s="317"/>
      <c r="Y2781" s="317"/>
      <c r="Z2781" s="317"/>
    </row>
    <row r="2782" spans="1:26" x14ac:dyDescent="0.25">
      <c r="A2782" s="314"/>
      <c r="B2782" s="18">
        <v>2023</v>
      </c>
      <c r="C2782" s="18" t="s">
        <v>786</v>
      </c>
      <c r="D2782" s="18" t="s">
        <v>986</v>
      </c>
      <c r="E2782" s="18" t="s">
        <v>703</v>
      </c>
      <c r="F2782" s="18" t="s">
        <v>704</v>
      </c>
      <c r="G2782" s="18" t="s">
        <v>673</v>
      </c>
      <c r="H2782" s="18" t="s">
        <v>987</v>
      </c>
      <c r="I2782" s="315">
        <v>13.27930802296278</v>
      </c>
      <c r="J2782" s="315">
        <v>9.0927747201469244E-3</v>
      </c>
      <c r="K2782" s="316" t="str">
        <f t="shared" si="50"/>
        <v>Lawn and Garden Equipment</v>
      </c>
      <c r="L2782" s="316" t="str">
        <f t="shared" si="51"/>
        <v>Gasoline</v>
      </c>
      <c r="M2782" s="194"/>
      <c r="N2782" s="317"/>
      <c r="O2782" s="317"/>
      <c r="P2782" s="317"/>
      <c r="Q2782" s="317"/>
      <c r="R2782" s="317"/>
      <c r="S2782" s="317"/>
      <c r="T2782" s="317"/>
      <c r="U2782" s="317"/>
      <c r="V2782" s="317"/>
      <c r="W2782" s="317"/>
      <c r="X2782" s="317"/>
      <c r="Y2782" s="317"/>
      <c r="Z2782" s="317"/>
    </row>
    <row r="2783" spans="1:26" x14ac:dyDescent="0.25">
      <c r="A2783" s="314"/>
      <c r="B2783" s="18">
        <v>2023</v>
      </c>
      <c r="C2783" s="18" t="s">
        <v>760</v>
      </c>
      <c r="D2783" s="18" t="s">
        <v>1224</v>
      </c>
      <c r="E2783" s="18" t="s">
        <v>703</v>
      </c>
      <c r="F2783" s="18" t="s">
        <v>704</v>
      </c>
      <c r="G2783" s="18" t="s">
        <v>681</v>
      </c>
      <c r="H2783" s="18" t="s">
        <v>1225</v>
      </c>
      <c r="I2783" s="315">
        <v>13.251659191320698</v>
      </c>
      <c r="J2783" s="315">
        <v>8.9972690055068211E-3</v>
      </c>
      <c r="K2783" s="316" t="str">
        <f t="shared" si="50"/>
        <v>Logging Equipment</v>
      </c>
      <c r="L2783" s="316" t="str">
        <f t="shared" si="51"/>
        <v>Gasoline</v>
      </c>
      <c r="M2783" s="194"/>
      <c r="N2783" s="317"/>
      <c r="O2783" s="317"/>
      <c r="P2783" s="317"/>
      <c r="Q2783" s="317"/>
      <c r="R2783" s="317"/>
      <c r="S2783" s="317"/>
      <c r="T2783" s="317"/>
      <c r="U2783" s="317"/>
      <c r="V2783" s="317"/>
      <c r="W2783" s="317"/>
      <c r="X2783" s="317"/>
      <c r="Y2783" s="317"/>
      <c r="Z2783" s="317"/>
    </row>
    <row r="2784" spans="1:26" x14ac:dyDescent="0.25">
      <c r="A2784" s="314"/>
      <c r="B2784" s="18">
        <v>2023</v>
      </c>
      <c r="C2784" s="18" t="s">
        <v>793</v>
      </c>
      <c r="D2784" s="18" t="s">
        <v>1073</v>
      </c>
      <c r="E2784" s="18" t="s">
        <v>703</v>
      </c>
      <c r="F2784" s="18" t="s">
        <v>704</v>
      </c>
      <c r="G2784" s="18" t="s">
        <v>674</v>
      </c>
      <c r="H2784" s="18" t="s">
        <v>1072</v>
      </c>
      <c r="I2784" s="315">
        <v>13.23164620630358</v>
      </c>
      <c r="J2784" s="315">
        <v>9.3068935905972171E-3</v>
      </c>
      <c r="K2784" s="316" t="str">
        <f t="shared" si="50"/>
        <v>Construction and Mining Equipment</v>
      </c>
      <c r="L2784" s="316" t="str">
        <f t="shared" si="51"/>
        <v>Gasoline</v>
      </c>
      <c r="M2784" s="194"/>
      <c r="N2784" s="317"/>
      <c r="O2784" s="317"/>
      <c r="P2784" s="317"/>
      <c r="Q2784" s="317"/>
      <c r="R2784" s="317"/>
      <c r="S2784" s="317"/>
      <c r="T2784" s="317"/>
      <c r="U2784" s="317"/>
      <c r="V2784" s="317"/>
      <c r="W2784" s="317"/>
      <c r="X2784" s="317"/>
      <c r="Y2784" s="317"/>
      <c r="Z2784" s="317"/>
    </row>
    <row r="2785" spans="1:26" x14ac:dyDescent="0.25">
      <c r="A2785" s="314"/>
      <c r="B2785" s="18">
        <v>2023</v>
      </c>
      <c r="C2785" s="18" t="s">
        <v>786</v>
      </c>
      <c r="D2785" s="18" t="s">
        <v>1409</v>
      </c>
      <c r="E2785" s="18" t="s">
        <v>703</v>
      </c>
      <c r="F2785" s="18" t="s">
        <v>704</v>
      </c>
      <c r="G2785" s="18" t="s">
        <v>678</v>
      </c>
      <c r="H2785" s="18" t="s">
        <v>1222</v>
      </c>
      <c r="I2785" s="315">
        <v>13.231566539014185</v>
      </c>
      <c r="J2785" s="315">
        <v>8.7399682046128083E-3</v>
      </c>
      <c r="K2785" s="316" t="str">
        <f t="shared" si="50"/>
        <v>Agricultural Equipment</v>
      </c>
      <c r="L2785" s="316" t="str">
        <f t="shared" si="51"/>
        <v>Gasoline</v>
      </c>
      <c r="M2785" s="194"/>
      <c r="N2785" s="317"/>
      <c r="O2785" s="317"/>
      <c r="P2785" s="317"/>
      <c r="Q2785" s="317"/>
      <c r="R2785" s="317"/>
      <c r="S2785" s="317"/>
      <c r="T2785" s="317"/>
      <c r="U2785" s="317"/>
      <c r="V2785" s="317"/>
      <c r="W2785" s="317"/>
      <c r="X2785" s="317"/>
      <c r="Y2785" s="317"/>
      <c r="Z2785" s="317"/>
    </row>
    <row r="2786" spans="1:26" x14ac:dyDescent="0.25">
      <c r="A2786" s="314"/>
      <c r="B2786" s="18">
        <v>2023</v>
      </c>
      <c r="C2786" s="18" t="s">
        <v>750</v>
      </c>
      <c r="D2786" s="18" t="s">
        <v>1229</v>
      </c>
      <c r="E2786" s="18" t="s">
        <v>713</v>
      </c>
      <c r="F2786" s="18" t="s">
        <v>714</v>
      </c>
      <c r="G2786" s="18" t="s">
        <v>678</v>
      </c>
      <c r="H2786" s="18" t="s">
        <v>1230</v>
      </c>
      <c r="I2786" s="315">
        <v>13.219306991618794</v>
      </c>
      <c r="J2786" s="315">
        <v>9.9676771956117829E-5</v>
      </c>
      <c r="K2786" s="316" t="str">
        <f t="shared" si="50"/>
        <v>Agricultural Equipment</v>
      </c>
      <c r="L2786" s="316" t="str">
        <f t="shared" si="51"/>
        <v>Diesel</v>
      </c>
      <c r="M2786" s="194"/>
      <c r="N2786" s="317"/>
      <c r="O2786" s="317"/>
      <c r="P2786" s="317"/>
      <c r="Q2786" s="317"/>
      <c r="R2786" s="317"/>
      <c r="S2786" s="317"/>
      <c r="T2786" s="317"/>
      <c r="U2786" s="317"/>
      <c r="V2786" s="317"/>
      <c r="W2786" s="317"/>
      <c r="X2786" s="317"/>
      <c r="Y2786" s="317"/>
      <c r="Z2786" s="317"/>
    </row>
    <row r="2787" spans="1:26" x14ac:dyDescent="0.25">
      <c r="A2787" s="314"/>
      <c r="B2787" s="18">
        <v>2023</v>
      </c>
      <c r="C2787" s="18" t="s">
        <v>731</v>
      </c>
      <c r="D2787" s="18" t="s">
        <v>1015</v>
      </c>
      <c r="E2787" s="18" t="s">
        <v>56</v>
      </c>
      <c r="F2787" s="18" t="s">
        <v>601</v>
      </c>
      <c r="G2787" s="18" t="s">
        <v>677</v>
      </c>
      <c r="H2787" s="18" t="s">
        <v>747</v>
      </c>
      <c r="I2787" s="315">
        <v>13.195074711987548</v>
      </c>
      <c r="J2787" s="315">
        <v>0.29520546630398192</v>
      </c>
      <c r="K2787" s="316" t="str">
        <f t="shared" si="50"/>
        <v>Commercial Equipment</v>
      </c>
      <c r="L2787" s="316" t="str">
        <f t="shared" si="51"/>
        <v>CNG</v>
      </c>
      <c r="M2787" s="194"/>
      <c r="N2787" s="317"/>
      <c r="O2787" s="317"/>
      <c r="P2787" s="317"/>
      <c r="Q2787" s="317"/>
      <c r="R2787" s="317"/>
      <c r="S2787" s="317"/>
      <c r="T2787" s="317"/>
      <c r="U2787" s="317"/>
      <c r="V2787" s="317"/>
      <c r="W2787" s="317"/>
      <c r="X2787" s="317"/>
      <c r="Y2787" s="317"/>
      <c r="Z2787" s="317"/>
    </row>
    <row r="2788" spans="1:26" x14ac:dyDescent="0.25">
      <c r="A2788" s="314"/>
      <c r="B2788" s="18">
        <v>2023</v>
      </c>
      <c r="C2788" s="18" t="s">
        <v>711</v>
      </c>
      <c r="D2788" s="18" t="s">
        <v>1401</v>
      </c>
      <c r="E2788" s="18" t="s">
        <v>56</v>
      </c>
      <c r="F2788" s="18" t="s">
        <v>601</v>
      </c>
      <c r="G2788" s="18" t="s">
        <v>677</v>
      </c>
      <c r="H2788" s="18" t="s">
        <v>785</v>
      </c>
      <c r="I2788" s="315">
        <v>13.19240342630281</v>
      </c>
      <c r="J2788" s="315">
        <v>5.7183017807340739E-2</v>
      </c>
      <c r="K2788" s="316" t="str">
        <f t="shared" si="50"/>
        <v>Commercial Equipment</v>
      </c>
      <c r="L2788" s="316" t="str">
        <f t="shared" si="51"/>
        <v>CNG</v>
      </c>
      <c r="M2788" s="194"/>
      <c r="N2788" s="317"/>
      <c r="O2788" s="317"/>
      <c r="P2788" s="317"/>
      <c r="Q2788" s="317"/>
      <c r="R2788" s="317"/>
      <c r="S2788" s="317"/>
      <c r="T2788" s="317"/>
      <c r="U2788" s="317"/>
      <c r="V2788" s="317"/>
      <c r="W2788" s="317"/>
      <c r="X2788" s="317"/>
      <c r="Y2788" s="317"/>
      <c r="Z2788" s="317"/>
    </row>
    <row r="2789" spans="1:26" ht="12.75" x14ac:dyDescent="0.2">
      <c r="A2789" s="230"/>
      <c r="B2789" s="18">
        <v>2023</v>
      </c>
      <c r="C2789" s="18" t="s">
        <v>793</v>
      </c>
      <c r="D2789" s="18" t="s">
        <v>1074</v>
      </c>
      <c r="E2789" s="18" t="s">
        <v>713</v>
      </c>
      <c r="F2789" s="18" t="s">
        <v>714</v>
      </c>
      <c r="G2789" s="18" t="s">
        <v>674</v>
      </c>
      <c r="H2789" s="18" t="s">
        <v>967</v>
      </c>
      <c r="I2789" s="315">
        <v>13.192131433139792</v>
      </c>
      <c r="J2789" s="315">
        <v>2.2670032662750457E-4</v>
      </c>
      <c r="K2789" s="316" t="str">
        <f t="shared" si="50"/>
        <v>Construction and Mining Equipment</v>
      </c>
      <c r="L2789" s="316" t="str">
        <f t="shared" si="51"/>
        <v>Diesel</v>
      </c>
      <c r="M2789" s="8"/>
      <c r="N2789" s="2"/>
      <c r="O2789" s="2"/>
      <c r="P2789" s="2"/>
      <c r="Q2789" s="2"/>
      <c r="R2789" s="2"/>
      <c r="S2789" s="2"/>
      <c r="T2789" s="2"/>
      <c r="U2789" s="2"/>
      <c r="V2789" s="2"/>
      <c r="W2789" s="2"/>
      <c r="X2789" s="2"/>
      <c r="Y2789" s="2"/>
      <c r="Z2789" s="2"/>
    </row>
    <row r="2790" spans="1:26" x14ac:dyDescent="0.25">
      <c r="A2790" s="314"/>
      <c r="B2790" s="18">
        <v>2023</v>
      </c>
      <c r="C2790" s="18" t="s">
        <v>810</v>
      </c>
      <c r="D2790" s="18" t="s">
        <v>1017</v>
      </c>
      <c r="E2790" s="18" t="s">
        <v>703</v>
      </c>
      <c r="F2790" s="18" t="s">
        <v>704</v>
      </c>
      <c r="G2790" s="18" t="s">
        <v>673</v>
      </c>
      <c r="H2790" s="18" t="s">
        <v>806</v>
      </c>
      <c r="I2790" s="315">
        <v>13.180744004527575</v>
      </c>
      <c r="J2790" s="315">
        <v>9.3948028387999902E-3</v>
      </c>
      <c r="K2790" s="316" t="str">
        <f t="shared" si="50"/>
        <v>Lawn and Garden Equipment</v>
      </c>
      <c r="L2790" s="316" t="str">
        <f t="shared" si="51"/>
        <v>Gasoline</v>
      </c>
      <c r="M2790" s="194"/>
      <c r="N2790" s="317"/>
      <c r="O2790" s="317"/>
      <c r="P2790" s="317"/>
      <c r="Q2790" s="317"/>
      <c r="R2790" s="317"/>
      <c r="S2790" s="317"/>
      <c r="T2790" s="317"/>
      <c r="U2790" s="317"/>
      <c r="V2790" s="317"/>
      <c r="W2790" s="317"/>
      <c r="X2790" s="317"/>
      <c r="Y2790" s="317"/>
      <c r="Z2790" s="317"/>
    </row>
    <row r="2791" spans="1:26" x14ac:dyDescent="0.25">
      <c r="A2791" s="314"/>
      <c r="B2791" s="18">
        <v>2023</v>
      </c>
      <c r="C2791" s="18" t="s">
        <v>759</v>
      </c>
      <c r="D2791" s="18" t="s">
        <v>1017</v>
      </c>
      <c r="E2791" s="18" t="s">
        <v>703</v>
      </c>
      <c r="F2791" s="18" t="s">
        <v>704</v>
      </c>
      <c r="G2791" s="18" t="s">
        <v>673</v>
      </c>
      <c r="H2791" s="18" t="s">
        <v>806</v>
      </c>
      <c r="I2791" s="315">
        <v>13.180744004527575</v>
      </c>
      <c r="J2791" s="315">
        <v>9.2648174305893383E-3</v>
      </c>
      <c r="K2791" s="316" t="str">
        <f t="shared" si="50"/>
        <v>Lawn and Garden Equipment</v>
      </c>
      <c r="L2791" s="316" t="str">
        <f t="shared" si="51"/>
        <v>Gasoline</v>
      </c>
      <c r="M2791" s="194"/>
      <c r="N2791" s="317"/>
      <c r="O2791" s="317"/>
      <c r="P2791" s="317"/>
      <c r="Q2791" s="317"/>
      <c r="R2791" s="317"/>
      <c r="S2791" s="317"/>
      <c r="T2791" s="317"/>
      <c r="U2791" s="317"/>
      <c r="V2791" s="317"/>
      <c r="W2791" s="317"/>
      <c r="X2791" s="317"/>
      <c r="Y2791" s="317"/>
      <c r="Z2791" s="317"/>
    </row>
    <row r="2792" spans="1:26" x14ac:dyDescent="0.25">
      <c r="A2792" s="314"/>
      <c r="B2792" s="18">
        <v>2023</v>
      </c>
      <c r="C2792" s="18" t="s">
        <v>727</v>
      </c>
      <c r="D2792" s="18" t="s">
        <v>1017</v>
      </c>
      <c r="E2792" s="18" t="s">
        <v>703</v>
      </c>
      <c r="F2792" s="18" t="s">
        <v>704</v>
      </c>
      <c r="G2792" s="18" t="s">
        <v>673</v>
      </c>
      <c r="H2792" s="18" t="s">
        <v>806</v>
      </c>
      <c r="I2792" s="315">
        <v>13.180744004527575</v>
      </c>
      <c r="J2792" s="315">
        <v>9.2698823694918314E-3</v>
      </c>
      <c r="K2792" s="316" t="str">
        <f t="shared" si="50"/>
        <v>Lawn and Garden Equipment</v>
      </c>
      <c r="L2792" s="316" t="str">
        <f t="shared" si="51"/>
        <v>Gasoline</v>
      </c>
      <c r="M2792" s="194"/>
      <c r="N2792" s="317"/>
      <c r="O2792" s="317"/>
      <c r="P2792" s="317"/>
      <c r="Q2792" s="317"/>
      <c r="R2792" s="317"/>
      <c r="S2792" s="317"/>
      <c r="T2792" s="317"/>
      <c r="U2792" s="317"/>
      <c r="V2792" s="317"/>
      <c r="W2792" s="317"/>
      <c r="X2792" s="317"/>
      <c r="Y2792" s="317"/>
      <c r="Z2792" s="317"/>
    </row>
    <row r="2793" spans="1:26" x14ac:dyDescent="0.25">
      <c r="A2793" s="314"/>
      <c r="B2793" s="18">
        <v>2023</v>
      </c>
      <c r="C2793" s="18" t="s">
        <v>787</v>
      </c>
      <c r="D2793" s="18" t="s">
        <v>1034</v>
      </c>
      <c r="E2793" s="18" t="s">
        <v>713</v>
      </c>
      <c r="F2793" s="18" t="s">
        <v>714</v>
      </c>
      <c r="G2793" s="18" t="s">
        <v>677</v>
      </c>
      <c r="H2793" s="18" t="s">
        <v>1031</v>
      </c>
      <c r="I2793" s="315">
        <v>13.179715028674863</v>
      </c>
      <c r="J2793" s="315">
        <v>2.2903488499433829E-4</v>
      </c>
      <c r="K2793" s="316" t="str">
        <f t="shared" si="50"/>
        <v>Commercial Equipment</v>
      </c>
      <c r="L2793" s="316" t="str">
        <f t="shared" si="51"/>
        <v>Diesel</v>
      </c>
      <c r="M2793" s="194"/>
      <c r="N2793" s="317"/>
      <c r="O2793" s="317"/>
      <c r="P2793" s="317"/>
      <c r="Q2793" s="317"/>
      <c r="R2793" s="317"/>
      <c r="S2793" s="317"/>
      <c r="T2793" s="317"/>
      <c r="U2793" s="317"/>
      <c r="V2793" s="317"/>
      <c r="W2793" s="317"/>
      <c r="X2793" s="317"/>
      <c r="Y2793" s="317"/>
      <c r="Z2793" s="317"/>
    </row>
    <row r="2794" spans="1:26" x14ac:dyDescent="0.25">
      <c r="A2794" s="314"/>
      <c r="B2794" s="18">
        <v>2023</v>
      </c>
      <c r="C2794" s="18" t="s">
        <v>792</v>
      </c>
      <c r="D2794" s="18" t="s">
        <v>1037</v>
      </c>
      <c r="E2794" s="18" t="s">
        <v>56</v>
      </c>
      <c r="F2794" s="18" t="s">
        <v>672</v>
      </c>
      <c r="G2794" s="18" t="s">
        <v>677</v>
      </c>
      <c r="H2794" s="18" t="s">
        <v>841</v>
      </c>
      <c r="I2794" s="315">
        <v>13.166694406904927</v>
      </c>
      <c r="J2794" s="315">
        <v>1.3328297760475997E-3</v>
      </c>
      <c r="K2794" s="316" t="str">
        <f t="shared" si="50"/>
        <v>Commercial Equipment</v>
      </c>
      <c r="L2794" s="316" t="str">
        <f t="shared" si="51"/>
        <v>LPG</v>
      </c>
      <c r="M2794" s="194"/>
      <c r="N2794" s="317"/>
      <c r="O2794" s="317"/>
      <c r="P2794" s="317"/>
      <c r="Q2794" s="317"/>
      <c r="R2794" s="317"/>
      <c r="S2794" s="317"/>
      <c r="T2794" s="317"/>
      <c r="U2794" s="317"/>
      <c r="V2794" s="317"/>
      <c r="W2794" s="317"/>
      <c r="X2794" s="317"/>
      <c r="Y2794" s="317"/>
      <c r="Z2794" s="317"/>
    </row>
    <row r="2795" spans="1:26" x14ac:dyDescent="0.25">
      <c r="A2795" s="314"/>
      <c r="B2795" s="18">
        <v>2023</v>
      </c>
      <c r="C2795" s="18" t="s">
        <v>787</v>
      </c>
      <c r="D2795" s="18" t="s">
        <v>1083</v>
      </c>
      <c r="E2795" s="18" t="s">
        <v>703</v>
      </c>
      <c r="F2795" s="18" t="s">
        <v>704</v>
      </c>
      <c r="G2795" s="18" t="s">
        <v>674</v>
      </c>
      <c r="H2795" s="18" t="s">
        <v>861</v>
      </c>
      <c r="I2795" s="315">
        <v>13.159603545037381</v>
      </c>
      <c r="J2795" s="315">
        <v>9.9076221423748077E-3</v>
      </c>
      <c r="K2795" s="316" t="str">
        <f t="shared" si="50"/>
        <v>Construction and Mining Equipment</v>
      </c>
      <c r="L2795" s="316" t="str">
        <f t="shared" si="51"/>
        <v>Gasoline</v>
      </c>
      <c r="M2795" s="194"/>
      <c r="N2795" s="317"/>
      <c r="O2795" s="317"/>
      <c r="P2795" s="317"/>
      <c r="Q2795" s="317"/>
      <c r="R2795" s="317"/>
      <c r="S2795" s="317"/>
      <c r="T2795" s="317"/>
      <c r="U2795" s="317"/>
      <c r="V2795" s="317"/>
      <c r="W2795" s="317"/>
      <c r="X2795" s="317"/>
      <c r="Y2795" s="317"/>
      <c r="Z2795" s="317"/>
    </row>
    <row r="2796" spans="1:26" x14ac:dyDescent="0.25">
      <c r="A2796" s="314"/>
      <c r="B2796" s="18">
        <v>2023</v>
      </c>
      <c r="C2796" s="18" t="s">
        <v>731</v>
      </c>
      <c r="D2796" s="18" t="s">
        <v>1017</v>
      </c>
      <c r="E2796" s="18" t="s">
        <v>703</v>
      </c>
      <c r="F2796" s="18" t="s">
        <v>704</v>
      </c>
      <c r="G2796" s="18" t="s">
        <v>673</v>
      </c>
      <c r="H2796" s="18" t="s">
        <v>806</v>
      </c>
      <c r="I2796" s="315">
        <v>13.098880215056862</v>
      </c>
      <c r="J2796" s="315">
        <v>9.2163245880792274E-3</v>
      </c>
      <c r="K2796" s="316" t="str">
        <f t="shared" si="50"/>
        <v>Lawn and Garden Equipment</v>
      </c>
      <c r="L2796" s="316" t="str">
        <f t="shared" si="51"/>
        <v>Gasoline</v>
      </c>
      <c r="M2796" s="194"/>
      <c r="N2796" s="317"/>
      <c r="O2796" s="317"/>
      <c r="P2796" s="317"/>
      <c r="Q2796" s="317"/>
      <c r="R2796" s="317"/>
      <c r="S2796" s="317"/>
      <c r="T2796" s="317"/>
      <c r="U2796" s="317"/>
      <c r="V2796" s="317"/>
      <c r="W2796" s="317"/>
      <c r="X2796" s="317"/>
      <c r="Y2796" s="317"/>
      <c r="Z2796" s="317"/>
    </row>
    <row r="2797" spans="1:26" x14ac:dyDescent="0.25">
      <c r="A2797" s="314"/>
      <c r="B2797" s="18">
        <v>2023</v>
      </c>
      <c r="C2797" s="18" t="s">
        <v>706</v>
      </c>
      <c r="D2797" s="18" t="s">
        <v>1457</v>
      </c>
      <c r="E2797" s="18" t="s">
        <v>56</v>
      </c>
      <c r="F2797" s="18" t="s">
        <v>601</v>
      </c>
      <c r="G2797" s="18" t="s">
        <v>675</v>
      </c>
      <c r="H2797" s="18" t="s">
        <v>772</v>
      </c>
      <c r="I2797" s="315">
        <v>13.075492984069596</v>
      </c>
      <c r="J2797" s="315">
        <v>5.3335276104302928E-2</v>
      </c>
      <c r="K2797" s="316" t="str">
        <f t="shared" si="50"/>
        <v>Industrial Equipment</v>
      </c>
      <c r="L2797" s="316" t="str">
        <f t="shared" si="51"/>
        <v>CNG</v>
      </c>
      <c r="M2797" s="194"/>
      <c r="N2797" s="317"/>
      <c r="O2797" s="317"/>
      <c r="P2797" s="317"/>
      <c r="Q2797" s="317"/>
      <c r="R2797" s="317"/>
      <c r="S2797" s="317"/>
      <c r="T2797" s="317"/>
      <c r="U2797" s="317"/>
      <c r="V2797" s="317"/>
      <c r="W2797" s="317"/>
      <c r="X2797" s="317"/>
      <c r="Y2797" s="317"/>
      <c r="Z2797" s="317"/>
    </row>
    <row r="2798" spans="1:26" x14ac:dyDescent="0.25">
      <c r="A2798" s="314"/>
      <c r="B2798" s="18">
        <v>2023</v>
      </c>
      <c r="C2798" s="18" t="s">
        <v>727</v>
      </c>
      <c r="D2798" s="18" t="s">
        <v>1076</v>
      </c>
      <c r="E2798" s="18" t="s">
        <v>703</v>
      </c>
      <c r="F2798" s="18" t="s">
        <v>704</v>
      </c>
      <c r="G2798" s="18" t="s">
        <v>674</v>
      </c>
      <c r="H2798" s="18" t="s">
        <v>756</v>
      </c>
      <c r="I2798" s="315">
        <v>13.065511374301227</v>
      </c>
      <c r="J2798" s="315">
        <v>5.7177054083606422E-3</v>
      </c>
      <c r="K2798" s="316" t="str">
        <f t="shared" si="50"/>
        <v>Construction and Mining Equipment</v>
      </c>
      <c r="L2798" s="316" t="str">
        <f t="shared" si="51"/>
        <v>Gasoline</v>
      </c>
      <c r="M2798" s="194"/>
      <c r="N2798" s="317"/>
      <c r="O2798" s="317"/>
      <c r="P2798" s="317"/>
      <c r="Q2798" s="317"/>
      <c r="R2798" s="317"/>
      <c r="S2798" s="317"/>
      <c r="T2798" s="317"/>
      <c r="U2798" s="317"/>
      <c r="V2798" s="317"/>
      <c r="W2798" s="317"/>
      <c r="X2798" s="317"/>
      <c r="Y2798" s="317"/>
      <c r="Z2798" s="317"/>
    </row>
    <row r="2799" spans="1:26" x14ac:dyDescent="0.25">
      <c r="A2799" s="314"/>
      <c r="B2799" s="18">
        <v>2023</v>
      </c>
      <c r="C2799" s="18" t="s">
        <v>709</v>
      </c>
      <c r="D2799" s="18" t="s">
        <v>1416</v>
      </c>
      <c r="E2799" s="18" t="s">
        <v>56</v>
      </c>
      <c r="F2799" s="18" t="s">
        <v>672</v>
      </c>
      <c r="G2799" s="18" t="s">
        <v>674</v>
      </c>
      <c r="H2799" s="18" t="s">
        <v>861</v>
      </c>
      <c r="I2799" s="315">
        <v>13.046305772036712</v>
      </c>
      <c r="J2799" s="315">
        <v>8.8123122169700176E-3</v>
      </c>
      <c r="K2799" s="316" t="str">
        <f t="shared" si="50"/>
        <v>Construction and Mining Equipment</v>
      </c>
      <c r="L2799" s="316" t="str">
        <f t="shared" si="51"/>
        <v>LPG</v>
      </c>
      <c r="M2799" s="194"/>
      <c r="N2799" s="317"/>
      <c r="O2799" s="317"/>
      <c r="P2799" s="317"/>
      <c r="Q2799" s="317"/>
      <c r="R2799" s="317"/>
      <c r="S2799" s="317"/>
      <c r="T2799" s="317"/>
      <c r="U2799" s="317"/>
      <c r="V2799" s="317"/>
      <c r="W2799" s="317"/>
      <c r="X2799" s="317"/>
      <c r="Y2799" s="317"/>
      <c r="Z2799" s="317"/>
    </row>
    <row r="2800" spans="1:26" x14ac:dyDescent="0.25">
      <c r="A2800" s="314"/>
      <c r="B2800" s="18">
        <v>2023</v>
      </c>
      <c r="C2800" s="18" t="s">
        <v>727</v>
      </c>
      <c r="D2800" s="18" t="s">
        <v>1409</v>
      </c>
      <c r="E2800" s="18" t="s">
        <v>703</v>
      </c>
      <c r="F2800" s="18" t="s">
        <v>704</v>
      </c>
      <c r="G2800" s="18" t="s">
        <v>678</v>
      </c>
      <c r="H2800" s="18" t="s">
        <v>1222</v>
      </c>
      <c r="I2800" s="315">
        <v>12.981067046601499</v>
      </c>
      <c r="J2800" s="315">
        <v>8.5544962548202881E-3</v>
      </c>
      <c r="K2800" s="316" t="str">
        <f t="shared" si="50"/>
        <v>Agricultural Equipment</v>
      </c>
      <c r="L2800" s="316" t="str">
        <f t="shared" si="51"/>
        <v>Gasoline</v>
      </c>
      <c r="M2800" s="194"/>
      <c r="N2800" s="317"/>
      <c r="O2800" s="317"/>
      <c r="P2800" s="317"/>
      <c r="Q2800" s="317"/>
      <c r="R2800" s="317"/>
      <c r="S2800" s="317"/>
      <c r="T2800" s="317"/>
      <c r="U2800" s="317"/>
      <c r="V2800" s="317"/>
      <c r="W2800" s="317"/>
      <c r="X2800" s="317"/>
      <c r="Y2800" s="317"/>
      <c r="Z2800" s="317"/>
    </row>
    <row r="2801" spans="1:26" x14ac:dyDescent="0.25">
      <c r="A2801" s="314"/>
      <c r="B2801" s="18">
        <v>2023</v>
      </c>
      <c r="C2801" s="18" t="s">
        <v>760</v>
      </c>
      <c r="D2801" s="18" t="s">
        <v>1227</v>
      </c>
      <c r="E2801" s="18" t="s">
        <v>56</v>
      </c>
      <c r="F2801" s="18" t="s">
        <v>672</v>
      </c>
      <c r="G2801" s="18" t="s">
        <v>674</v>
      </c>
      <c r="H2801" s="18" t="s">
        <v>850</v>
      </c>
      <c r="I2801" s="315">
        <v>12.974741765774811</v>
      </c>
      <c r="J2801" s="315">
        <v>8.3318666298506634E-4</v>
      </c>
      <c r="K2801" s="316" t="str">
        <f t="shared" si="50"/>
        <v>Construction and Mining Equipment</v>
      </c>
      <c r="L2801" s="316" t="str">
        <f t="shared" si="51"/>
        <v>LPG</v>
      </c>
      <c r="M2801" s="194"/>
      <c r="N2801" s="317"/>
      <c r="O2801" s="317"/>
      <c r="P2801" s="317"/>
      <c r="Q2801" s="317"/>
      <c r="R2801" s="317"/>
      <c r="S2801" s="317"/>
      <c r="T2801" s="317"/>
      <c r="U2801" s="317"/>
      <c r="V2801" s="317"/>
      <c r="W2801" s="317"/>
      <c r="X2801" s="317"/>
      <c r="Y2801" s="317"/>
      <c r="Z2801" s="317"/>
    </row>
    <row r="2802" spans="1:26" x14ac:dyDescent="0.25">
      <c r="A2802" s="314"/>
      <c r="B2802" s="18">
        <v>2023</v>
      </c>
      <c r="C2802" s="18" t="s">
        <v>731</v>
      </c>
      <c r="D2802" s="18" t="s">
        <v>1394</v>
      </c>
      <c r="E2802" s="18" t="s">
        <v>703</v>
      </c>
      <c r="F2802" s="18" t="s">
        <v>805</v>
      </c>
      <c r="G2802" s="18" t="s">
        <v>681</v>
      </c>
      <c r="H2802" s="18" t="s">
        <v>1395</v>
      </c>
      <c r="I2802" s="315">
        <v>12.971601359432727</v>
      </c>
      <c r="J2802" s="315">
        <v>2.2468323827116381E-2</v>
      </c>
      <c r="K2802" s="316" t="str">
        <f t="shared" si="50"/>
        <v>Logging Equipment</v>
      </c>
      <c r="L2802" s="316" t="str">
        <f t="shared" si="51"/>
        <v>Gasoline</v>
      </c>
      <c r="M2802" s="194"/>
      <c r="N2802" s="317"/>
      <c r="O2802" s="317"/>
      <c r="P2802" s="317"/>
      <c r="Q2802" s="317"/>
      <c r="R2802" s="317"/>
      <c r="S2802" s="317"/>
      <c r="T2802" s="317"/>
      <c r="U2802" s="317"/>
      <c r="V2802" s="317"/>
      <c r="W2802" s="317"/>
      <c r="X2802" s="317"/>
      <c r="Y2802" s="317"/>
      <c r="Z2802" s="317"/>
    </row>
    <row r="2803" spans="1:26" x14ac:dyDescent="0.25">
      <c r="A2803" s="314"/>
      <c r="B2803" s="18">
        <v>2023</v>
      </c>
      <c r="C2803" s="18" t="s">
        <v>787</v>
      </c>
      <c r="D2803" s="18" t="s">
        <v>1037</v>
      </c>
      <c r="E2803" s="18" t="s">
        <v>56</v>
      </c>
      <c r="F2803" s="18" t="s">
        <v>672</v>
      </c>
      <c r="G2803" s="18" t="s">
        <v>677</v>
      </c>
      <c r="H2803" s="18" t="s">
        <v>841</v>
      </c>
      <c r="I2803" s="315">
        <v>12.964129669460297</v>
      </c>
      <c r="J2803" s="315">
        <v>1.3123235873536182E-3</v>
      </c>
      <c r="K2803" s="316" t="str">
        <f t="shared" si="50"/>
        <v>Commercial Equipment</v>
      </c>
      <c r="L2803" s="316" t="str">
        <f t="shared" si="51"/>
        <v>LPG</v>
      </c>
      <c r="M2803" s="194"/>
      <c r="N2803" s="317"/>
      <c r="O2803" s="317"/>
      <c r="P2803" s="317"/>
      <c r="Q2803" s="317"/>
      <c r="R2803" s="317"/>
      <c r="S2803" s="317"/>
      <c r="T2803" s="317"/>
      <c r="U2803" s="317"/>
      <c r="V2803" s="317"/>
      <c r="W2803" s="317"/>
      <c r="X2803" s="317"/>
      <c r="Y2803" s="317"/>
      <c r="Z2803" s="317"/>
    </row>
    <row r="2804" spans="1:26" x14ac:dyDescent="0.25">
      <c r="A2804" s="314"/>
      <c r="B2804" s="18">
        <v>2023</v>
      </c>
      <c r="C2804" s="18" t="s">
        <v>753</v>
      </c>
      <c r="D2804" s="18" t="s">
        <v>1017</v>
      </c>
      <c r="E2804" s="18" t="s">
        <v>703</v>
      </c>
      <c r="F2804" s="18" t="s">
        <v>704</v>
      </c>
      <c r="G2804" s="18" t="s">
        <v>673</v>
      </c>
      <c r="H2804" s="18" t="s">
        <v>806</v>
      </c>
      <c r="I2804" s="315">
        <v>12.935143866604594</v>
      </c>
      <c r="J2804" s="315">
        <v>9.1028185061618888E-3</v>
      </c>
      <c r="K2804" s="316" t="str">
        <f t="shared" si="50"/>
        <v>Lawn and Garden Equipment</v>
      </c>
      <c r="L2804" s="316" t="str">
        <f t="shared" si="51"/>
        <v>Gasoline</v>
      </c>
      <c r="M2804" s="194"/>
      <c r="N2804" s="317"/>
      <c r="O2804" s="317"/>
      <c r="P2804" s="317"/>
      <c r="Q2804" s="317"/>
      <c r="R2804" s="317"/>
      <c r="S2804" s="317"/>
      <c r="T2804" s="317"/>
      <c r="U2804" s="317"/>
      <c r="V2804" s="317"/>
      <c r="W2804" s="317"/>
      <c r="X2804" s="317"/>
      <c r="Y2804" s="317"/>
      <c r="Z2804" s="317"/>
    </row>
    <row r="2805" spans="1:26" x14ac:dyDescent="0.25">
      <c r="A2805" s="314"/>
      <c r="B2805" s="18">
        <v>2023</v>
      </c>
      <c r="C2805" s="18" t="s">
        <v>753</v>
      </c>
      <c r="D2805" s="18" t="s">
        <v>1023</v>
      </c>
      <c r="E2805" s="18" t="s">
        <v>703</v>
      </c>
      <c r="F2805" s="18" t="s">
        <v>704</v>
      </c>
      <c r="G2805" s="18" t="s">
        <v>674</v>
      </c>
      <c r="H2805" s="18" t="s">
        <v>736</v>
      </c>
      <c r="I2805" s="315">
        <v>12.92728997332933</v>
      </c>
      <c r="J2805" s="315">
        <v>8.5859061427010462E-3</v>
      </c>
      <c r="K2805" s="316" t="str">
        <f t="shared" si="50"/>
        <v>Construction and Mining Equipment</v>
      </c>
      <c r="L2805" s="316" t="str">
        <f t="shared" si="51"/>
        <v>Gasoline</v>
      </c>
      <c r="M2805" s="194"/>
      <c r="N2805" s="317"/>
      <c r="O2805" s="317"/>
      <c r="P2805" s="317"/>
      <c r="Q2805" s="317"/>
      <c r="R2805" s="317"/>
      <c r="S2805" s="317"/>
      <c r="T2805" s="317"/>
      <c r="U2805" s="317"/>
      <c r="V2805" s="317"/>
      <c r="W2805" s="317"/>
      <c r="X2805" s="317"/>
      <c r="Y2805" s="317"/>
      <c r="Z2805" s="317"/>
    </row>
    <row r="2806" spans="1:26" x14ac:dyDescent="0.25">
      <c r="A2806" s="314"/>
      <c r="B2806" s="18">
        <v>2023</v>
      </c>
      <c r="C2806" s="18" t="s">
        <v>711</v>
      </c>
      <c r="D2806" s="18" t="s">
        <v>1320</v>
      </c>
      <c r="E2806" s="18" t="s">
        <v>713</v>
      </c>
      <c r="F2806" s="18" t="s">
        <v>676</v>
      </c>
      <c r="G2806" s="18" t="s">
        <v>79</v>
      </c>
      <c r="H2806" s="18" t="s">
        <v>730</v>
      </c>
      <c r="I2806" s="315">
        <v>12.898665590660135</v>
      </c>
      <c r="J2806" s="315">
        <v>8.4340170085581948E-4</v>
      </c>
      <c r="K2806" s="316" t="str">
        <f t="shared" si="50"/>
        <v>Pleasure Craft</v>
      </c>
      <c r="L2806" s="316" t="str">
        <f t="shared" si="51"/>
        <v>Diesel</v>
      </c>
      <c r="M2806" s="194"/>
      <c r="N2806" s="317"/>
      <c r="O2806" s="317"/>
      <c r="P2806" s="317"/>
      <c r="Q2806" s="317"/>
      <c r="R2806" s="317"/>
      <c r="S2806" s="317"/>
      <c r="T2806" s="317"/>
      <c r="U2806" s="317"/>
      <c r="V2806" s="317"/>
      <c r="W2806" s="317"/>
      <c r="X2806" s="317"/>
      <c r="Y2806" s="317"/>
      <c r="Z2806" s="317"/>
    </row>
    <row r="2807" spans="1:26" x14ac:dyDescent="0.25">
      <c r="A2807" s="314"/>
      <c r="B2807" s="18">
        <v>2023</v>
      </c>
      <c r="C2807" s="18" t="s">
        <v>750</v>
      </c>
      <c r="D2807" s="18" t="s">
        <v>1081</v>
      </c>
      <c r="E2807" s="18" t="s">
        <v>703</v>
      </c>
      <c r="F2807" s="18" t="s">
        <v>805</v>
      </c>
      <c r="G2807" s="18" t="s">
        <v>674</v>
      </c>
      <c r="H2807" s="18" t="s">
        <v>1082</v>
      </c>
      <c r="I2807" s="315">
        <v>12.87325570628467</v>
      </c>
      <c r="J2807" s="315">
        <v>2.088088831860218E-2</v>
      </c>
      <c r="K2807" s="316" t="str">
        <f t="shared" si="50"/>
        <v>Construction and Mining Equipment</v>
      </c>
      <c r="L2807" s="316" t="str">
        <f t="shared" si="51"/>
        <v>Gasoline</v>
      </c>
      <c r="M2807" s="194"/>
      <c r="N2807" s="317"/>
      <c r="O2807" s="317"/>
      <c r="P2807" s="317"/>
      <c r="Q2807" s="317"/>
      <c r="R2807" s="317"/>
      <c r="S2807" s="317"/>
      <c r="T2807" s="317"/>
      <c r="U2807" s="317"/>
      <c r="V2807" s="317"/>
      <c r="W2807" s="317"/>
      <c r="X2807" s="317"/>
      <c r="Y2807" s="317"/>
      <c r="Z2807" s="317"/>
    </row>
    <row r="2808" spans="1:26" x14ac:dyDescent="0.25">
      <c r="A2808" s="314"/>
      <c r="B2808" s="18">
        <v>2023</v>
      </c>
      <c r="C2808" s="18" t="s">
        <v>701</v>
      </c>
      <c r="D2808" s="18" t="s">
        <v>1403</v>
      </c>
      <c r="E2808" s="18" t="s">
        <v>703</v>
      </c>
      <c r="F2808" s="18" t="s">
        <v>683</v>
      </c>
      <c r="G2808" s="18" t="s">
        <v>1404</v>
      </c>
      <c r="H2808" s="18" t="s">
        <v>1002</v>
      </c>
      <c r="I2808" s="315">
        <v>12.858338665551877</v>
      </c>
      <c r="J2808" s="315">
        <v>8.3330685443534502E-3</v>
      </c>
      <c r="K2808" s="316" t="str">
        <f t="shared" si="50"/>
        <v>Railroad Equipment</v>
      </c>
      <c r="L2808" s="316" t="str">
        <f t="shared" si="51"/>
        <v>Gasoline</v>
      </c>
      <c r="M2808" s="194"/>
      <c r="N2808" s="317"/>
      <c r="O2808" s="317"/>
      <c r="P2808" s="317"/>
      <c r="Q2808" s="317"/>
      <c r="R2808" s="317"/>
      <c r="S2808" s="317"/>
      <c r="T2808" s="317"/>
      <c r="U2808" s="317"/>
      <c r="V2808" s="317"/>
      <c r="W2808" s="317"/>
      <c r="X2808" s="317"/>
      <c r="Y2808" s="317"/>
      <c r="Z2808" s="317"/>
    </row>
    <row r="2809" spans="1:26" x14ac:dyDescent="0.25">
      <c r="A2809" s="314"/>
      <c r="B2809" s="18">
        <v>2023</v>
      </c>
      <c r="C2809" s="18" t="s">
        <v>773</v>
      </c>
      <c r="D2809" s="18" t="s">
        <v>1212</v>
      </c>
      <c r="E2809" s="18" t="s">
        <v>56</v>
      </c>
      <c r="F2809" s="18" t="s">
        <v>672</v>
      </c>
      <c r="G2809" s="18" t="s">
        <v>675</v>
      </c>
      <c r="H2809" s="18" t="s">
        <v>798</v>
      </c>
      <c r="I2809" s="315">
        <v>12.856871743245344</v>
      </c>
      <c r="J2809" s="315">
        <v>5.8092255545936524E-4</v>
      </c>
      <c r="K2809" s="316" t="str">
        <f t="shared" si="50"/>
        <v>Industrial Equipment</v>
      </c>
      <c r="L2809" s="316" t="str">
        <f t="shared" si="51"/>
        <v>LPG</v>
      </c>
      <c r="M2809" s="194"/>
      <c r="N2809" s="317"/>
      <c r="O2809" s="317"/>
      <c r="P2809" s="317"/>
      <c r="Q2809" s="317"/>
      <c r="R2809" s="317"/>
      <c r="S2809" s="317"/>
      <c r="T2809" s="317"/>
      <c r="U2809" s="317"/>
      <c r="V2809" s="317"/>
      <c r="W2809" s="317"/>
      <c r="X2809" s="317"/>
      <c r="Y2809" s="317"/>
      <c r="Z2809" s="317"/>
    </row>
    <row r="2810" spans="1:26" x14ac:dyDescent="0.25">
      <c r="A2810" s="314"/>
      <c r="B2810" s="18">
        <v>2023</v>
      </c>
      <c r="C2810" s="18" t="s">
        <v>731</v>
      </c>
      <c r="D2810" s="18" t="s">
        <v>980</v>
      </c>
      <c r="E2810" s="18" t="s">
        <v>713</v>
      </c>
      <c r="F2810" s="18" t="s">
        <v>714</v>
      </c>
      <c r="G2810" s="18" t="s">
        <v>674</v>
      </c>
      <c r="H2810" s="18" t="s">
        <v>981</v>
      </c>
      <c r="I2810" s="315">
        <v>12.855609011191452</v>
      </c>
      <c r="J2810" s="315">
        <v>5.6428948726583461E-4</v>
      </c>
      <c r="K2810" s="316" t="str">
        <f t="shared" si="50"/>
        <v>Construction and Mining Equipment</v>
      </c>
      <c r="L2810" s="316" t="str">
        <f t="shared" si="51"/>
        <v>Diesel</v>
      </c>
      <c r="M2810" s="194"/>
      <c r="N2810" s="317"/>
      <c r="O2810" s="317"/>
      <c r="P2810" s="317"/>
      <c r="Q2810" s="317"/>
      <c r="R2810" s="317"/>
      <c r="S2810" s="317"/>
      <c r="T2810" s="317"/>
      <c r="U2810" s="317"/>
      <c r="V2810" s="317"/>
      <c r="W2810" s="317"/>
      <c r="X2810" s="317"/>
      <c r="Y2810" s="317"/>
      <c r="Z2810" s="317"/>
    </row>
    <row r="2811" spans="1:26" x14ac:dyDescent="0.25">
      <c r="A2811" s="314"/>
      <c r="B2811" s="18">
        <v>2023</v>
      </c>
      <c r="C2811" s="18" t="s">
        <v>778</v>
      </c>
      <c r="D2811" s="18" t="s">
        <v>1009</v>
      </c>
      <c r="E2811" s="18" t="s">
        <v>713</v>
      </c>
      <c r="F2811" s="18" t="s">
        <v>714</v>
      </c>
      <c r="G2811" s="18" t="s">
        <v>673</v>
      </c>
      <c r="H2811" s="18" t="s">
        <v>1010</v>
      </c>
      <c r="I2811" s="315">
        <v>12.773906164016273</v>
      </c>
      <c r="J2811" s="315">
        <v>1.8641577000237788E-4</v>
      </c>
      <c r="K2811" s="316" t="str">
        <f t="shared" si="50"/>
        <v>Lawn and Garden Equipment</v>
      </c>
      <c r="L2811" s="316" t="str">
        <f t="shared" si="51"/>
        <v>Diesel</v>
      </c>
      <c r="M2811" s="194"/>
      <c r="N2811" s="317"/>
      <c r="O2811" s="317"/>
      <c r="P2811" s="317"/>
      <c r="Q2811" s="317"/>
      <c r="R2811" s="317"/>
      <c r="S2811" s="317"/>
      <c r="T2811" s="317"/>
      <c r="U2811" s="317"/>
      <c r="V2811" s="317"/>
      <c r="W2811" s="317"/>
      <c r="X2811" s="317"/>
      <c r="Y2811" s="317"/>
      <c r="Z2811" s="317"/>
    </row>
    <row r="2812" spans="1:26" x14ac:dyDescent="0.25">
      <c r="A2812" s="314"/>
      <c r="B2812" s="18">
        <v>2023</v>
      </c>
      <c r="C2812" s="18" t="s">
        <v>786</v>
      </c>
      <c r="D2812" s="18" t="s">
        <v>980</v>
      </c>
      <c r="E2812" s="18" t="s">
        <v>713</v>
      </c>
      <c r="F2812" s="18" t="s">
        <v>714</v>
      </c>
      <c r="G2812" s="18" t="s">
        <v>674</v>
      </c>
      <c r="H2812" s="18" t="s">
        <v>981</v>
      </c>
      <c r="I2812" s="315">
        <v>12.768050542084874</v>
      </c>
      <c r="J2812" s="315">
        <v>5.6044616439855763E-4</v>
      </c>
      <c r="K2812" s="316" t="str">
        <f t="shared" si="50"/>
        <v>Construction and Mining Equipment</v>
      </c>
      <c r="L2812" s="316" t="str">
        <f t="shared" si="51"/>
        <v>Diesel</v>
      </c>
      <c r="M2812" s="194"/>
      <c r="N2812" s="317"/>
      <c r="O2812" s="317"/>
      <c r="P2812" s="317"/>
      <c r="Q2812" s="317"/>
      <c r="R2812" s="317"/>
      <c r="S2812" s="317"/>
      <c r="T2812" s="317"/>
      <c r="U2812" s="317"/>
      <c r="V2812" s="317"/>
      <c r="W2812" s="317"/>
      <c r="X2812" s="317"/>
      <c r="Y2812" s="317"/>
      <c r="Z2812" s="317"/>
    </row>
    <row r="2813" spans="1:26" x14ac:dyDescent="0.25">
      <c r="A2813" s="314"/>
      <c r="B2813" s="18">
        <v>2023</v>
      </c>
      <c r="C2813" s="18" t="s">
        <v>793</v>
      </c>
      <c r="D2813" s="18" t="s">
        <v>1076</v>
      </c>
      <c r="E2813" s="18" t="s">
        <v>703</v>
      </c>
      <c r="F2813" s="18" t="s">
        <v>704</v>
      </c>
      <c r="G2813" s="18" t="s">
        <v>674</v>
      </c>
      <c r="H2813" s="18" t="s">
        <v>756</v>
      </c>
      <c r="I2813" s="315">
        <v>12.756639983773455</v>
      </c>
      <c r="J2813" s="315">
        <v>5.5900766234801887E-3</v>
      </c>
      <c r="K2813" s="316" t="str">
        <f t="shared" si="50"/>
        <v>Construction and Mining Equipment</v>
      </c>
      <c r="L2813" s="316" t="str">
        <f t="shared" si="51"/>
        <v>Gasoline</v>
      </c>
      <c r="M2813" s="194"/>
      <c r="N2813" s="317"/>
      <c r="O2813" s="317"/>
      <c r="P2813" s="317"/>
      <c r="Q2813" s="317"/>
      <c r="R2813" s="317"/>
      <c r="S2813" s="317"/>
      <c r="T2813" s="317"/>
      <c r="U2813" s="317"/>
      <c r="V2813" s="317"/>
      <c r="W2813" s="317"/>
      <c r="X2813" s="317"/>
      <c r="Y2813" s="317"/>
      <c r="Z2813" s="317"/>
    </row>
    <row r="2814" spans="1:26" x14ac:dyDescent="0.25">
      <c r="A2814" s="314"/>
      <c r="B2814" s="18">
        <v>2023</v>
      </c>
      <c r="C2814" s="18" t="s">
        <v>710</v>
      </c>
      <c r="D2814" s="18" t="s">
        <v>1401</v>
      </c>
      <c r="E2814" s="18" t="s">
        <v>56</v>
      </c>
      <c r="F2814" s="18" t="s">
        <v>601</v>
      </c>
      <c r="G2814" s="18" t="s">
        <v>677</v>
      </c>
      <c r="H2814" s="18" t="s">
        <v>785</v>
      </c>
      <c r="I2814" s="315">
        <v>12.731967137007841</v>
      </c>
      <c r="J2814" s="315">
        <v>5.5187253828124193E-2</v>
      </c>
      <c r="K2814" s="316" t="str">
        <f t="shared" si="50"/>
        <v>Commercial Equipment</v>
      </c>
      <c r="L2814" s="316" t="str">
        <f t="shared" si="51"/>
        <v>CNG</v>
      </c>
      <c r="M2814" s="194"/>
      <c r="N2814" s="317"/>
      <c r="O2814" s="317"/>
      <c r="P2814" s="317"/>
      <c r="Q2814" s="317"/>
      <c r="R2814" s="317"/>
      <c r="S2814" s="317"/>
      <c r="T2814" s="317"/>
      <c r="U2814" s="317"/>
      <c r="V2814" s="317"/>
      <c r="W2814" s="317"/>
      <c r="X2814" s="317"/>
      <c r="Y2814" s="317"/>
      <c r="Z2814" s="317"/>
    </row>
    <row r="2815" spans="1:26" x14ac:dyDescent="0.25">
      <c r="A2815" s="314"/>
      <c r="B2815" s="18">
        <v>2023</v>
      </c>
      <c r="C2815" s="18" t="s">
        <v>732</v>
      </c>
      <c r="D2815" s="18" t="s">
        <v>1218</v>
      </c>
      <c r="E2815" s="18" t="s">
        <v>703</v>
      </c>
      <c r="F2815" s="18" t="s">
        <v>704</v>
      </c>
      <c r="G2815" s="18" t="s">
        <v>673</v>
      </c>
      <c r="H2815" s="18" t="s">
        <v>996</v>
      </c>
      <c r="I2815" s="315">
        <v>12.68781650643141</v>
      </c>
      <c r="J2815" s="315">
        <v>8.8582508465825348E-3</v>
      </c>
      <c r="K2815" s="316" t="str">
        <f t="shared" si="50"/>
        <v>Lawn and Garden Equipment</v>
      </c>
      <c r="L2815" s="316" t="str">
        <f t="shared" si="51"/>
        <v>Gasoline</v>
      </c>
      <c r="M2815" s="194"/>
      <c r="N2815" s="317"/>
      <c r="O2815" s="317"/>
      <c r="P2815" s="317"/>
      <c r="Q2815" s="317"/>
      <c r="R2815" s="317"/>
      <c r="S2815" s="317"/>
      <c r="T2815" s="317"/>
      <c r="U2815" s="317"/>
      <c r="V2815" s="317"/>
      <c r="W2815" s="317"/>
      <c r="X2815" s="317"/>
      <c r="Y2815" s="317"/>
      <c r="Z2815" s="317"/>
    </row>
    <row r="2816" spans="1:26" x14ac:dyDescent="0.25">
      <c r="A2816" s="314"/>
      <c r="B2816" s="18">
        <v>2023</v>
      </c>
      <c r="C2816" s="18" t="s">
        <v>792</v>
      </c>
      <c r="D2816" s="18" t="s">
        <v>868</v>
      </c>
      <c r="E2816" s="18" t="s">
        <v>703</v>
      </c>
      <c r="F2816" s="18" t="s">
        <v>704</v>
      </c>
      <c r="G2816" s="18" t="s">
        <v>673</v>
      </c>
      <c r="H2816" s="18" t="s">
        <v>758</v>
      </c>
      <c r="I2816" s="315">
        <v>12.668270870192327</v>
      </c>
      <c r="J2816" s="315">
        <v>8.3380410182871331E-3</v>
      </c>
      <c r="K2816" s="316" t="str">
        <f t="shared" si="50"/>
        <v>Lawn and Garden Equipment</v>
      </c>
      <c r="L2816" s="316" t="str">
        <f t="shared" si="51"/>
        <v>Gasoline</v>
      </c>
      <c r="M2816" s="194"/>
      <c r="N2816" s="317"/>
      <c r="O2816" s="317"/>
      <c r="P2816" s="317"/>
      <c r="Q2816" s="317"/>
      <c r="R2816" s="317"/>
      <c r="S2816" s="317"/>
      <c r="T2816" s="317"/>
      <c r="U2816" s="317"/>
      <c r="V2816" s="317"/>
      <c r="W2816" s="317"/>
      <c r="X2816" s="317"/>
      <c r="Y2816" s="317"/>
      <c r="Z2816" s="317"/>
    </row>
    <row r="2817" spans="1:26" x14ac:dyDescent="0.25">
      <c r="A2817" s="314"/>
      <c r="B2817" s="18">
        <v>2023</v>
      </c>
      <c r="C2817" s="18" t="s">
        <v>762</v>
      </c>
      <c r="D2817" s="18" t="s">
        <v>1460</v>
      </c>
      <c r="E2817" s="18" t="s">
        <v>703</v>
      </c>
      <c r="F2817" s="18" t="s">
        <v>704</v>
      </c>
      <c r="G2817" s="18" t="s">
        <v>678</v>
      </c>
      <c r="H2817" s="18" t="s">
        <v>1080</v>
      </c>
      <c r="I2817" s="315">
        <v>12.574995088006071</v>
      </c>
      <c r="J2817" s="315">
        <v>7.6481102133393042E-3</v>
      </c>
      <c r="K2817" s="316" t="str">
        <f t="shared" si="50"/>
        <v>Agricultural Equipment</v>
      </c>
      <c r="L2817" s="316" t="str">
        <f t="shared" si="51"/>
        <v>Gasoline</v>
      </c>
      <c r="M2817" s="194"/>
      <c r="N2817" s="317"/>
      <c r="O2817" s="317"/>
      <c r="P2817" s="317"/>
      <c r="Q2817" s="317"/>
      <c r="R2817" s="317"/>
      <c r="S2817" s="317"/>
      <c r="T2817" s="317"/>
      <c r="U2817" s="317"/>
      <c r="V2817" s="317"/>
      <c r="W2817" s="317"/>
      <c r="X2817" s="317"/>
      <c r="Y2817" s="317"/>
      <c r="Z2817" s="317"/>
    </row>
    <row r="2818" spans="1:26" x14ac:dyDescent="0.25">
      <c r="A2818" s="314"/>
      <c r="B2818" s="18">
        <v>2023</v>
      </c>
      <c r="C2818" s="18" t="s">
        <v>810</v>
      </c>
      <c r="D2818" s="18" t="s">
        <v>1009</v>
      </c>
      <c r="E2818" s="18" t="s">
        <v>713</v>
      </c>
      <c r="F2818" s="18" t="s">
        <v>714</v>
      </c>
      <c r="G2818" s="18" t="s">
        <v>673</v>
      </c>
      <c r="H2818" s="18" t="s">
        <v>1010</v>
      </c>
      <c r="I2818" s="315">
        <v>12.567873363574765</v>
      </c>
      <c r="J2818" s="315">
        <v>1.8340894261992507E-4</v>
      </c>
      <c r="K2818" s="316" t="str">
        <f t="shared" si="50"/>
        <v>Lawn and Garden Equipment</v>
      </c>
      <c r="L2818" s="316" t="str">
        <f t="shared" si="51"/>
        <v>Diesel</v>
      </c>
      <c r="M2818" s="194"/>
      <c r="N2818" s="317"/>
      <c r="O2818" s="317"/>
      <c r="P2818" s="317"/>
      <c r="Q2818" s="317"/>
      <c r="R2818" s="317"/>
      <c r="S2818" s="317"/>
      <c r="T2818" s="317"/>
      <c r="U2818" s="317"/>
      <c r="V2818" s="317"/>
      <c r="W2818" s="317"/>
      <c r="X2818" s="317"/>
      <c r="Y2818" s="317"/>
      <c r="Z2818" s="317"/>
    </row>
    <row r="2819" spans="1:26" x14ac:dyDescent="0.25">
      <c r="A2819" s="314"/>
      <c r="B2819" s="18">
        <v>2023</v>
      </c>
      <c r="C2819" s="18" t="s">
        <v>786</v>
      </c>
      <c r="D2819" s="18" t="s">
        <v>997</v>
      </c>
      <c r="E2819" s="18" t="s">
        <v>56</v>
      </c>
      <c r="F2819" s="18" t="s">
        <v>672</v>
      </c>
      <c r="G2819" s="18" t="s">
        <v>675</v>
      </c>
      <c r="H2819" s="18" t="s">
        <v>969</v>
      </c>
      <c r="I2819" s="315">
        <v>12.540082052275125</v>
      </c>
      <c r="J2819" s="315">
        <v>1.5602337761862375E-3</v>
      </c>
      <c r="K2819" s="316" t="str">
        <f t="shared" si="50"/>
        <v>Industrial Equipment</v>
      </c>
      <c r="L2819" s="316" t="str">
        <f t="shared" si="51"/>
        <v>LPG</v>
      </c>
      <c r="M2819" s="194"/>
      <c r="N2819" s="317"/>
      <c r="O2819" s="317"/>
      <c r="P2819" s="317"/>
      <c r="Q2819" s="317"/>
      <c r="R2819" s="317"/>
      <c r="S2819" s="317"/>
      <c r="T2819" s="317"/>
      <c r="U2819" s="317"/>
      <c r="V2819" s="317"/>
      <c r="W2819" s="317"/>
      <c r="X2819" s="317"/>
      <c r="Y2819" s="317"/>
      <c r="Z2819" s="317"/>
    </row>
    <row r="2820" spans="1:26" x14ac:dyDescent="0.25">
      <c r="A2820" s="314"/>
      <c r="B2820" s="18">
        <v>2023</v>
      </c>
      <c r="C2820" s="18" t="s">
        <v>709</v>
      </c>
      <c r="D2820" s="18" t="s">
        <v>1425</v>
      </c>
      <c r="E2820" s="18" t="s">
        <v>56</v>
      </c>
      <c r="F2820" s="18" t="s">
        <v>672</v>
      </c>
      <c r="G2820" s="18" t="s">
        <v>674</v>
      </c>
      <c r="H2820" s="18" t="s">
        <v>791</v>
      </c>
      <c r="I2820" s="315">
        <v>12.500023232502651</v>
      </c>
      <c r="J2820" s="315">
        <v>2.4029068680993301E-3</v>
      </c>
      <c r="K2820" s="316" t="str">
        <f t="shared" si="50"/>
        <v>Construction and Mining Equipment</v>
      </c>
      <c r="L2820" s="316" t="str">
        <f t="shared" si="51"/>
        <v>LPG</v>
      </c>
      <c r="M2820" s="194"/>
      <c r="N2820" s="317"/>
      <c r="O2820" s="317"/>
      <c r="P2820" s="317"/>
      <c r="Q2820" s="317"/>
      <c r="R2820" s="317"/>
      <c r="S2820" s="317"/>
      <c r="T2820" s="317"/>
      <c r="U2820" s="317"/>
      <c r="V2820" s="317"/>
      <c r="W2820" s="317"/>
      <c r="X2820" s="317"/>
      <c r="Y2820" s="317"/>
      <c r="Z2820" s="317"/>
    </row>
    <row r="2821" spans="1:26" x14ac:dyDescent="0.25">
      <c r="A2821" s="314"/>
      <c r="B2821" s="18">
        <v>2023</v>
      </c>
      <c r="C2821" s="18" t="s">
        <v>750</v>
      </c>
      <c r="D2821" s="18" t="s">
        <v>968</v>
      </c>
      <c r="E2821" s="18" t="s">
        <v>703</v>
      </c>
      <c r="F2821" s="18" t="s">
        <v>704</v>
      </c>
      <c r="G2821" s="18" t="s">
        <v>675</v>
      </c>
      <c r="H2821" s="18" t="s">
        <v>969</v>
      </c>
      <c r="I2821" s="315">
        <v>12.497277250155934</v>
      </c>
      <c r="J2821" s="315">
        <v>3.9857802936068736E-3</v>
      </c>
      <c r="K2821" s="316" t="str">
        <f t="shared" si="50"/>
        <v>Industrial Equipment</v>
      </c>
      <c r="L2821" s="316" t="str">
        <f t="shared" si="51"/>
        <v>Gasoline</v>
      </c>
      <c r="M2821" s="194"/>
      <c r="N2821" s="317"/>
      <c r="O2821" s="317"/>
      <c r="P2821" s="317"/>
      <c r="Q2821" s="317"/>
      <c r="R2821" s="317"/>
      <c r="S2821" s="317"/>
      <c r="T2821" s="317"/>
      <c r="U2821" s="317"/>
      <c r="V2821" s="317"/>
      <c r="W2821" s="317"/>
      <c r="X2821" s="317"/>
      <c r="Y2821" s="317"/>
      <c r="Z2821" s="317"/>
    </row>
    <row r="2822" spans="1:26" x14ac:dyDescent="0.25">
      <c r="A2822" s="314"/>
      <c r="B2822" s="18">
        <v>2023</v>
      </c>
      <c r="C2822" s="18" t="s">
        <v>722</v>
      </c>
      <c r="D2822" s="18" t="s">
        <v>1215</v>
      </c>
      <c r="E2822" s="18" t="s">
        <v>56</v>
      </c>
      <c r="F2822" s="18" t="s">
        <v>672</v>
      </c>
      <c r="G2822" s="18" t="s">
        <v>674</v>
      </c>
      <c r="H2822" s="18" t="s">
        <v>756</v>
      </c>
      <c r="I2822" s="315">
        <v>12.467092892047681</v>
      </c>
      <c r="J2822" s="315">
        <v>2.3064630683218446E-3</v>
      </c>
      <c r="K2822" s="316" t="str">
        <f t="shared" si="50"/>
        <v>Construction and Mining Equipment</v>
      </c>
      <c r="L2822" s="316" t="str">
        <f t="shared" si="51"/>
        <v>LPG</v>
      </c>
      <c r="M2822" s="194"/>
      <c r="N2822" s="317"/>
      <c r="O2822" s="317"/>
      <c r="P2822" s="317"/>
      <c r="Q2822" s="317"/>
      <c r="R2822" s="317"/>
      <c r="S2822" s="317"/>
      <c r="T2822" s="317"/>
      <c r="U2822" s="317"/>
      <c r="V2822" s="317"/>
      <c r="W2822" s="317"/>
      <c r="X2822" s="317"/>
      <c r="Y2822" s="317"/>
      <c r="Z2822" s="317"/>
    </row>
    <row r="2823" spans="1:26" x14ac:dyDescent="0.25">
      <c r="A2823" s="314"/>
      <c r="B2823" s="18">
        <v>2023</v>
      </c>
      <c r="C2823" s="18" t="s">
        <v>706</v>
      </c>
      <c r="D2823" s="18" t="s">
        <v>1278</v>
      </c>
      <c r="E2823" s="18" t="s">
        <v>703</v>
      </c>
      <c r="F2823" s="18" t="s">
        <v>704</v>
      </c>
      <c r="G2823" s="18" t="s">
        <v>678</v>
      </c>
      <c r="H2823" s="18" t="s">
        <v>1279</v>
      </c>
      <c r="I2823" s="315">
        <v>12.437695450194182</v>
      </c>
      <c r="J2823" s="315">
        <v>1.6599878016630522E-2</v>
      </c>
      <c r="K2823" s="316" t="str">
        <f t="shared" si="50"/>
        <v>Agricultural Equipment</v>
      </c>
      <c r="L2823" s="316" t="str">
        <f t="shared" si="51"/>
        <v>Gasoline</v>
      </c>
      <c r="M2823" s="194"/>
      <c r="N2823" s="317"/>
      <c r="O2823" s="317"/>
      <c r="P2823" s="317"/>
      <c r="Q2823" s="317"/>
      <c r="R2823" s="317"/>
      <c r="S2823" s="317"/>
      <c r="T2823" s="317"/>
      <c r="U2823" s="317"/>
      <c r="V2823" s="317"/>
      <c r="W2823" s="317"/>
      <c r="X2823" s="317"/>
      <c r="Y2823" s="317"/>
      <c r="Z2823" s="317"/>
    </row>
    <row r="2824" spans="1:26" x14ac:dyDescent="0.25">
      <c r="A2824" s="314"/>
      <c r="B2824" s="18">
        <v>2023</v>
      </c>
      <c r="C2824" s="18" t="s">
        <v>762</v>
      </c>
      <c r="D2824" s="18" t="s">
        <v>997</v>
      </c>
      <c r="E2824" s="18" t="s">
        <v>56</v>
      </c>
      <c r="F2824" s="18" t="s">
        <v>672</v>
      </c>
      <c r="G2824" s="18" t="s">
        <v>675</v>
      </c>
      <c r="H2824" s="18" t="s">
        <v>969</v>
      </c>
      <c r="I2824" s="315">
        <v>12.389850831781793</v>
      </c>
      <c r="J2824" s="315">
        <v>1.5415458448884678E-3</v>
      </c>
      <c r="K2824" s="316" t="str">
        <f t="shared" si="50"/>
        <v>Industrial Equipment</v>
      </c>
      <c r="L2824" s="316" t="str">
        <f t="shared" si="51"/>
        <v>LPG</v>
      </c>
      <c r="M2824" s="194"/>
      <c r="N2824" s="317"/>
      <c r="O2824" s="317"/>
      <c r="P2824" s="317"/>
      <c r="Q2824" s="317"/>
      <c r="R2824" s="317"/>
      <c r="S2824" s="317"/>
      <c r="T2824" s="317"/>
      <c r="U2824" s="317"/>
      <c r="V2824" s="317"/>
      <c r="W2824" s="317"/>
      <c r="X2824" s="317"/>
      <c r="Y2824" s="317"/>
      <c r="Z2824" s="317"/>
    </row>
    <row r="2825" spans="1:26" x14ac:dyDescent="0.25">
      <c r="A2825" s="314"/>
      <c r="B2825" s="18">
        <v>2023</v>
      </c>
      <c r="C2825" s="18" t="s">
        <v>754</v>
      </c>
      <c r="D2825" s="18" t="s">
        <v>1158</v>
      </c>
      <c r="E2825" s="18" t="s">
        <v>703</v>
      </c>
      <c r="F2825" s="18" t="s">
        <v>704</v>
      </c>
      <c r="G2825" s="18" t="s">
        <v>674</v>
      </c>
      <c r="H2825" s="18" t="s">
        <v>715</v>
      </c>
      <c r="I2825" s="315">
        <v>12.366984981126887</v>
      </c>
      <c r="J2825" s="315">
        <v>8.599349328668837E-4</v>
      </c>
      <c r="K2825" s="316" t="str">
        <f t="shared" si="50"/>
        <v>Construction and Mining Equipment</v>
      </c>
      <c r="L2825" s="316" t="str">
        <f t="shared" si="51"/>
        <v>Gasoline</v>
      </c>
      <c r="M2825" s="194"/>
      <c r="N2825" s="317"/>
      <c r="O2825" s="317"/>
      <c r="P2825" s="317"/>
      <c r="Q2825" s="317"/>
      <c r="R2825" s="317"/>
      <c r="S2825" s="317"/>
      <c r="T2825" s="317"/>
      <c r="U2825" s="317"/>
      <c r="V2825" s="317"/>
      <c r="W2825" s="317"/>
      <c r="X2825" s="317"/>
      <c r="Y2825" s="317"/>
      <c r="Z2825" s="317"/>
    </row>
    <row r="2826" spans="1:26" x14ac:dyDescent="0.25">
      <c r="A2826" s="314"/>
      <c r="B2826" s="18">
        <v>2023</v>
      </c>
      <c r="C2826" s="18" t="s">
        <v>793</v>
      </c>
      <c r="D2826" s="18" t="s">
        <v>988</v>
      </c>
      <c r="E2826" s="18" t="s">
        <v>703</v>
      </c>
      <c r="F2826" s="18" t="s">
        <v>805</v>
      </c>
      <c r="G2826" s="18" t="s">
        <v>673</v>
      </c>
      <c r="H2826" s="18" t="s">
        <v>768</v>
      </c>
      <c r="I2826" s="315">
        <v>12.354702197999419</v>
      </c>
      <c r="J2826" s="315">
        <v>2.3000805432721233E-2</v>
      </c>
      <c r="K2826" s="316" t="str">
        <f t="shared" si="50"/>
        <v>Lawn and Garden Equipment</v>
      </c>
      <c r="L2826" s="316" t="str">
        <f t="shared" si="51"/>
        <v>Gasoline</v>
      </c>
      <c r="M2826" s="194"/>
      <c r="N2826" s="317"/>
      <c r="O2826" s="317"/>
      <c r="P2826" s="317"/>
      <c r="Q2826" s="317"/>
      <c r="R2826" s="317"/>
      <c r="S2826" s="317"/>
      <c r="T2826" s="317"/>
      <c r="U2826" s="317"/>
      <c r="V2826" s="317"/>
      <c r="W2826" s="317"/>
      <c r="X2826" s="317"/>
      <c r="Y2826" s="317"/>
      <c r="Z2826" s="317"/>
    </row>
    <row r="2827" spans="1:26" x14ac:dyDescent="0.25">
      <c r="A2827" s="314"/>
      <c r="B2827" s="18">
        <v>2023</v>
      </c>
      <c r="C2827" s="18" t="s">
        <v>773</v>
      </c>
      <c r="D2827" s="18" t="s">
        <v>1073</v>
      </c>
      <c r="E2827" s="18" t="s">
        <v>703</v>
      </c>
      <c r="F2827" s="18" t="s">
        <v>704</v>
      </c>
      <c r="G2827" s="18" t="s">
        <v>674</v>
      </c>
      <c r="H2827" s="18" t="s">
        <v>1072</v>
      </c>
      <c r="I2827" s="315">
        <v>12.341477868776279</v>
      </c>
      <c r="J2827" s="315">
        <v>8.6619844730466029E-3</v>
      </c>
      <c r="K2827" s="316" t="str">
        <f t="shared" si="50"/>
        <v>Construction and Mining Equipment</v>
      </c>
      <c r="L2827" s="316" t="str">
        <f t="shared" si="51"/>
        <v>Gasoline</v>
      </c>
      <c r="M2827" s="194"/>
      <c r="N2827" s="317"/>
      <c r="O2827" s="317"/>
      <c r="P2827" s="317"/>
      <c r="Q2827" s="317"/>
      <c r="R2827" s="317"/>
      <c r="S2827" s="317"/>
      <c r="T2827" s="317"/>
      <c r="U2827" s="317"/>
      <c r="V2827" s="317"/>
      <c r="W2827" s="317"/>
      <c r="X2827" s="317"/>
      <c r="Y2827" s="317"/>
      <c r="Z2827" s="317"/>
    </row>
    <row r="2828" spans="1:26" x14ac:dyDescent="0.25">
      <c r="A2828" s="314"/>
      <c r="B2828" s="18">
        <v>2023</v>
      </c>
      <c r="C2828" s="18" t="s">
        <v>760</v>
      </c>
      <c r="D2828" s="18" t="s">
        <v>1247</v>
      </c>
      <c r="E2828" s="18" t="s">
        <v>56</v>
      </c>
      <c r="F2828" s="18" t="s">
        <v>672</v>
      </c>
      <c r="G2828" s="18" t="s">
        <v>674</v>
      </c>
      <c r="H2828" s="18" t="s">
        <v>967</v>
      </c>
      <c r="I2828" s="315">
        <v>12.311498748331706</v>
      </c>
      <c r="J2828" s="315">
        <v>5.816573844849716E-4</v>
      </c>
      <c r="K2828" s="316" t="str">
        <f t="shared" si="50"/>
        <v>Construction and Mining Equipment</v>
      </c>
      <c r="L2828" s="316" t="str">
        <f t="shared" si="51"/>
        <v>LPG</v>
      </c>
      <c r="M2828" s="194"/>
      <c r="N2828" s="317"/>
      <c r="O2828" s="317"/>
      <c r="P2828" s="317"/>
      <c r="Q2828" s="317"/>
      <c r="R2828" s="317"/>
      <c r="S2828" s="317"/>
      <c r="T2828" s="317"/>
      <c r="U2828" s="317"/>
      <c r="V2828" s="317"/>
      <c r="W2828" s="317"/>
      <c r="X2828" s="317"/>
      <c r="Y2828" s="317"/>
      <c r="Z2828" s="317"/>
    </row>
    <row r="2829" spans="1:26" x14ac:dyDescent="0.25">
      <c r="A2829" s="314"/>
      <c r="B2829" s="18">
        <v>2023</v>
      </c>
      <c r="C2829" s="18" t="s">
        <v>773</v>
      </c>
      <c r="D2829" s="18" t="s">
        <v>1074</v>
      </c>
      <c r="E2829" s="18" t="s">
        <v>713</v>
      </c>
      <c r="F2829" s="18" t="s">
        <v>714</v>
      </c>
      <c r="G2829" s="18" t="s">
        <v>674</v>
      </c>
      <c r="H2829" s="18" t="s">
        <v>967</v>
      </c>
      <c r="I2829" s="315">
        <v>12.304620439857983</v>
      </c>
      <c r="J2829" s="315">
        <v>2.1144871888520358E-4</v>
      </c>
      <c r="K2829" s="316" t="str">
        <f t="shared" si="50"/>
        <v>Construction and Mining Equipment</v>
      </c>
      <c r="L2829" s="316" t="str">
        <f t="shared" si="51"/>
        <v>Diesel</v>
      </c>
      <c r="M2829" s="194"/>
      <c r="N2829" s="317"/>
      <c r="O2829" s="317"/>
      <c r="P2829" s="317"/>
      <c r="Q2829" s="317"/>
      <c r="R2829" s="317"/>
      <c r="S2829" s="317"/>
      <c r="T2829" s="317"/>
      <c r="U2829" s="317"/>
      <c r="V2829" s="317"/>
      <c r="W2829" s="317"/>
      <c r="X2829" s="317"/>
      <c r="Y2829" s="317"/>
      <c r="Z2829" s="317"/>
    </row>
    <row r="2830" spans="1:26" x14ac:dyDescent="0.25">
      <c r="A2830" s="314"/>
      <c r="B2830" s="18">
        <v>2023</v>
      </c>
      <c r="C2830" s="18" t="s">
        <v>750</v>
      </c>
      <c r="D2830" s="18" t="s">
        <v>1083</v>
      </c>
      <c r="E2830" s="18" t="s">
        <v>703</v>
      </c>
      <c r="F2830" s="18" t="s">
        <v>704</v>
      </c>
      <c r="G2830" s="18" t="s">
        <v>674</v>
      </c>
      <c r="H2830" s="18" t="s">
        <v>861</v>
      </c>
      <c r="I2830" s="315">
        <v>12.303093502944135</v>
      </c>
      <c r="J2830" s="315">
        <v>9.2218576205380948E-3</v>
      </c>
      <c r="K2830" s="316" t="str">
        <f t="shared" si="50"/>
        <v>Construction and Mining Equipment</v>
      </c>
      <c r="L2830" s="316" t="str">
        <f t="shared" si="51"/>
        <v>Gasoline</v>
      </c>
      <c r="M2830" s="194"/>
      <c r="N2830" s="317"/>
      <c r="O2830" s="317"/>
      <c r="P2830" s="317"/>
      <c r="Q2830" s="317"/>
      <c r="R2830" s="317"/>
      <c r="S2830" s="317"/>
      <c r="T2830" s="317"/>
      <c r="U2830" s="317"/>
      <c r="V2830" s="317"/>
      <c r="W2830" s="317"/>
      <c r="X2830" s="317"/>
      <c r="Y2830" s="317"/>
      <c r="Z2830" s="317"/>
    </row>
    <row r="2831" spans="1:26" x14ac:dyDescent="0.25">
      <c r="A2831" s="314"/>
      <c r="B2831" s="18">
        <v>2023</v>
      </c>
      <c r="C2831" s="18" t="s">
        <v>760</v>
      </c>
      <c r="D2831" s="18" t="s">
        <v>1405</v>
      </c>
      <c r="E2831" s="18" t="s">
        <v>56</v>
      </c>
      <c r="F2831" s="18" t="s">
        <v>1025</v>
      </c>
      <c r="G2831" s="18" t="s">
        <v>679</v>
      </c>
      <c r="H2831" s="18" t="s">
        <v>1406</v>
      </c>
      <c r="I2831" s="315">
        <v>12.292728158585977</v>
      </c>
      <c r="J2831" s="315">
        <v>4.2522119979497364E-3</v>
      </c>
      <c r="K2831" s="316" t="str">
        <f t="shared" si="50"/>
        <v>Recreational Equipment</v>
      </c>
      <c r="L2831" s="316" t="str">
        <f t="shared" si="51"/>
        <v>LPG</v>
      </c>
      <c r="M2831" s="194"/>
      <c r="N2831" s="317"/>
      <c r="O2831" s="317"/>
      <c r="P2831" s="317"/>
      <c r="Q2831" s="317"/>
      <c r="R2831" s="317"/>
      <c r="S2831" s="317"/>
      <c r="T2831" s="317"/>
      <c r="U2831" s="317"/>
      <c r="V2831" s="317"/>
      <c r="W2831" s="317"/>
      <c r="X2831" s="317"/>
      <c r="Y2831" s="317"/>
      <c r="Z2831" s="317"/>
    </row>
    <row r="2832" spans="1:26" x14ac:dyDescent="0.25">
      <c r="A2832" s="314"/>
      <c r="B2832" s="18">
        <v>2023</v>
      </c>
      <c r="C2832" s="18" t="s">
        <v>760</v>
      </c>
      <c r="D2832" s="18" t="s">
        <v>1248</v>
      </c>
      <c r="E2832" s="18" t="s">
        <v>703</v>
      </c>
      <c r="F2832" s="18" t="s">
        <v>704</v>
      </c>
      <c r="G2832" s="18" t="s">
        <v>674</v>
      </c>
      <c r="H2832" s="18" t="s">
        <v>959</v>
      </c>
      <c r="I2832" s="315">
        <v>12.292019882662625</v>
      </c>
      <c r="J2832" s="315">
        <v>8.2308682597959527E-3</v>
      </c>
      <c r="K2832" s="316" t="str">
        <f t="shared" si="50"/>
        <v>Construction and Mining Equipment</v>
      </c>
      <c r="L2832" s="316" t="str">
        <f t="shared" si="51"/>
        <v>Gasoline</v>
      </c>
      <c r="M2832" s="194"/>
      <c r="N2832" s="317"/>
      <c r="O2832" s="317"/>
      <c r="P2832" s="317"/>
      <c r="Q2832" s="317"/>
      <c r="R2832" s="317"/>
      <c r="S2832" s="317"/>
      <c r="T2832" s="317"/>
      <c r="U2832" s="317"/>
      <c r="V2832" s="317"/>
      <c r="W2832" s="317"/>
      <c r="X2832" s="317"/>
      <c r="Y2832" s="317"/>
      <c r="Z2832" s="317"/>
    </row>
    <row r="2833" spans="1:26" x14ac:dyDescent="0.25">
      <c r="A2833" s="314"/>
      <c r="B2833" s="18">
        <v>2023</v>
      </c>
      <c r="C2833" s="18" t="s">
        <v>732</v>
      </c>
      <c r="D2833" s="18" t="s">
        <v>1460</v>
      </c>
      <c r="E2833" s="18" t="s">
        <v>703</v>
      </c>
      <c r="F2833" s="18" t="s">
        <v>704</v>
      </c>
      <c r="G2833" s="18" t="s">
        <v>678</v>
      </c>
      <c r="H2833" s="18" t="s">
        <v>1080</v>
      </c>
      <c r="I2833" s="315">
        <v>12.266442598078202</v>
      </c>
      <c r="J2833" s="315">
        <v>7.4815326193460301E-3</v>
      </c>
      <c r="K2833" s="316" t="str">
        <f t="shared" si="50"/>
        <v>Agricultural Equipment</v>
      </c>
      <c r="L2833" s="316" t="str">
        <f t="shared" si="51"/>
        <v>Gasoline</v>
      </c>
      <c r="M2833" s="194"/>
      <c r="N2833" s="317"/>
      <c r="O2833" s="317"/>
      <c r="P2833" s="317"/>
      <c r="Q2833" s="317"/>
      <c r="R2833" s="317"/>
      <c r="S2833" s="317"/>
      <c r="T2833" s="317"/>
      <c r="U2833" s="317"/>
      <c r="V2833" s="317"/>
      <c r="W2833" s="317"/>
      <c r="X2833" s="317"/>
      <c r="Y2833" s="317"/>
      <c r="Z2833" s="317"/>
    </row>
    <row r="2834" spans="1:26" x14ac:dyDescent="0.25">
      <c r="A2834" s="314"/>
      <c r="B2834" s="18">
        <v>2023</v>
      </c>
      <c r="C2834" s="18" t="s">
        <v>759</v>
      </c>
      <c r="D2834" s="18" t="s">
        <v>989</v>
      </c>
      <c r="E2834" s="18" t="s">
        <v>703</v>
      </c>
      <c r="F2834" s="18" t="s">
        <v>795</v>
      </c>
      <c r="G2834" s="18" t="s">
        <v>673</v>
      </c>
      <c r="H2834" s="18" t="s">
        <v>990</v>
      </c>
      <c r="I2834" s="315">
        <v>12.225013721605645</v>
      </c>
      <c r="J2834" s="315">
        <v>2.3533434204354158E-2</v>
      </c>
      <c r="K2834" s="316" t="str">
        <f t="shared" si="50"/>
        <v>Lawn and Garden Equipment</v>
      </c>
      <c r="L2834" s="316" t="str">
        <f t="shared" si="51"/>
        <v>Gasoline</v>
      </c>
      <c r="M2834" s="194"/>
      <c r="N2834" s="317"/>
      <c r="O2834" s="317"/>
      <c r="P2834" s="317"/>
      <c r="Q2834" s="317"/>
      <c r="R2834" s="317"/>
      <c r="S2834" s="317"/>
      <c r="T2834" s="317"/>
      <c r="U2834" s="317"/>
      <c r="V2834" s="317"/>
      <c r="W2834" s="317"/>
      <c r="X2834" s="317"/>
      <c r="Y2834" s="317"/>
      <c r="Z2834" s="317"/>
    </row>
    <row r="2835" spans="1:26" x14ac:dyDescent="0.25">
      <c r="A2835" s="314"/>
      <c r="B2835" s="18">
        <v>2023</v>
      </c>
      <c r="C2835" s="18" t="s">
        <v>810</v>
      </c>
      <c r="D2835" s="18" t="s">
        <v>1023</v>
      </c>
      <c r="E2835" s="18" t="s">
        <v>703</v>
      </c>
      <c r="F2835" s="18" t="s">
        <v>704</v>
      </c>
      <c r="G2835" s="18" t="s">
        <v>674</v>
      </c>
      <c r="H2835" s="18" t="s">
        <v>736</v>
      </c>
      <c r="I2835" s="315">
        <v>12.184162909456361</v>
      </c>
      <c r="J2835" s="315">
        <v>8.2164756583615432E-3</v>
      </c>
      <c r="K2835" s="316" t="str">
        <f t="shared" si="50"/>
        <v>Construction and Mining Equipment</v>
      </c>
      <c r="L2835" s="316" t="str">
        <f t="shared" si="51"/>
        <v>Gasoline</v>
      </c>
      <c r="M2835" s="194"/>
      <c r="N2835" s="317"/>
      <c r="O2835" s="317"/>
      <c r="P2835" s="317"/>
      <c r="Q2835" s="317"/>
      <c r="R2835" s="317"/>
      <c r="S2835" s="317"/>
      <c r="T2835" s="317"/>
      <c r="U2835" s="317"/>
      <c r="V2835" s="317"/>
      <c r="W2835" s="317"/>
      <c r="X2835" s="317"/>
      <c r="Y2835" s="317"/>
      <c r="Z2835" s="317"/>
    </row>
    <row r="2836" spans="1:26" x14ac:dyDescent="0.25">
      <c r="A2836" s="314"/>
      <c r="B2836" s="18">
        <v>2023</v>
      </c>
      <c r="C2836" s="18" t="s">
        <v>786</v>
      </c>
      <c r="D2836" s="18" t="s">
        <v>989</v>
      </c>
      <c r="E2836" s="18" t="s">
        <v>703</v>
      </c>
      <c r="F2836" s="18" t="s">
        <v>795</v>
      </c>
      <c r="G2836" s="18" t="s">
        <v>673</v>
      </c>
      <c r="H2836" s="18" t="s">
        <v>990</v>
      </c>
      <c r="I2836" s="315">
        <v>12.17517139592276</v>
      </c>
      <c r="J2836" s="315">
        <v>2.3437465020588761E-2</v>
      </c>
      <c r="K2836" s="316" t="str">
        <f t="shared" si="50"/>
        <v>Lawn and Garden Equipment</v>
      </c>
      <c r="L2836" s="316" t="str">
        <f t="shared" si="51"/>
        <v>Gasoline</v>
      </c>
      <c r="M2836" s="194"/>
      <c r="N2836" s="317"/>
      <c r="O2836" s="317"/>
      <c r="P2836" s="317"/>
      <c r="Q2836" s="317"/>
      <c r="R2836" s="317"/>
      <c r="S2836" s="317"/>
      <c r="T2836" s="317"/>
      <c r="U2836" s="317"/>
      <c r="V2836" s="317"/>
      <c r="W2836" s="317"/>
      <c r="X2836" s="317"/>
      <c r="Y2836" s="317"/>
      <c r="Z2836" s="317"/>
    </row>
    <row r="2837" spans="1:26" x14ac:dyDescent="0.25">
      <c r="A2837" s="314"/>
      <c r="B2837" s="18">
        <v>2023</v>
      </c>
      <c r="C2837" s="18" t="s">
        <v>787</v>
      </c>
      <c r="D2837" s="18" t="s">
        <v>1084</v>
      </c>
      <c r="E2837" s="18" t="s">
        <v>703</v>
      </c>
      <c r="F2837" s="18" t="s">
        <v>704</v>
      </c>
      <c r="G2837" s="18" t="s">
        <v>674</v>
      </c>
      <c r="H2837" s="18" t="s">
        <v>863</v>
      </c>
      <c r="I2837" s="315">
        <v>12.171733099637182</v>
      </c>
      <c r="J2837" s="315">
        <v>7.1325288978612879E-3</v>
      </c>
      <c r="K2837" s="316" t="str">
        <f t="shared" si="50"/>
        <v>Construction and Mining Equipment</v>
      </c>
      <c r="L2837" s="316" t="str">
        <f t="shared" si="51"/>
        <v>Gasoline</v>
      </c>
      <c r="M2837" s="194"/>
      <c r="N2837" s="317"/>
      <c r="O2837" s="317"/>
      <c r="P2837" s="317"/>
      <c r="Q2837" s="317"/>
      <c r="R2837" s="317"/>
      <c r="S2837" s="317"/>
      <c r="T2837" s="317"/>
      <c r="U2837" s="317"/>
      <c r="V2837" s="317"/>
      <c r="W2837" s="317"/>
      <c r="X2837" s="317"/>
      <c r="Y2837" s="317"/>
      <c r="Z2837" s="317"/>
    </row>
    <row r="2838" spans="1:26" x14ac:dyDescent="0.25">
      <c r="A2838" s="314"/>
      <c r="B2838" s="18">
        <v>2023</v>
      </c>
      <c r="C2838" s="18" t="s">
        <v>753</v>
      </c>
      <c r="D2838" s="18" t="s">
        <v>1409</v>
      </c>
      <c r="E2838" s="18" t="s">
        <v>703</v>
      </c>
      <c r="F2838" s="18" t="s">
        <v>704</v>
      </c>
      <c r="G2838" s="18" t="s">
        <v>678</v>
      </c>
      <c r="H2838" s="18" t="s">
        <v>1222</v>
      </c>
      <c r="I2838" s="315">
        <v>12.163768231385989</v>
      </c>
      <c r="J2838" s="315">
        <v>8.0205632375093903E-3</v>
      </c>
      <c r="K2838" s="316" t="str">
        <f t="shared" si="50"/>
        <v>Agricultural Equipment</v>
      </c>
      <c r="L2838" s="316" t="str">
        <f t="shared" si="51"/>
        <v>Gasoline</v>
      </c>
      <c r="M2838" s="194"/>
      <c r="N2838" s="317"/>
      <c r="O2838" s="317"/>
      <c r="P2838" s="317"/>
      <c r="Q2838" s="317"/>
      <c r="R2838" s="317"/>
      <c r="S2838" s="317"/>
      <c r="T2838" s="317"/>
      <c r="U2838" s="317"/>
      <c r="V2838" s="317"/>
      <c r="W2838" s="317"/>
      <c r="X2838" s="317"/>
      <c r="Y2838" s="317"/>
      <c r="Z2838" s="317"/>
    </row>
    <row r="2839" spans="1:26" x14ac:dyDescent="0.25">
      <c r="A2839" s="314"/>
      <c r="B2839" s="18">
        <v>2023</v>
      </c>
      <c r="C2839" s="18" t="s">
        <v>781</v>
      </c>
      <c r="D2839" s="18" t="s">
        <v>878</v>
      </c>
      <c r="E2839" s="18" t="s">
        <v>703</v>
      </c>
      <c r="F2839" s="18" t="s">
        <v>704</v>
      </c>
      <c r="G2839" s="18" t="s">
        <v>673</v>
      </c>
      <c r="H2839" s="18" t="s">
        <v>879</v>
      </c>
      <c r="I2839" s="315">
        <v>12.124830108594393</v>
      </c>
      <c r="J2839" s="315">
        <v>7.9583238472979729E-3</v>
      </c>
      <c r="K2839" s="316" t="str">
        <f t="shared" si="50"/>
        <v>Lawn and Garden Equipment</v>
      </c>
      <c r="L2839" s="316" t="str">
        <f t="shared" si="51"/>
        <v>Gasoline</v>
      </c>
      <c r="M2839" s="194"/>
      <c r="N2839" s="317"/>
      <c r="O2839" s="317"/>
      <c r="P2839" s="317"/>
      <c r="Q2839" s="317"/>
      <c r="R2839" s="317"/>
      <c r="S2839" s="317"/>
      <c r="T2839" s="317"/>
      <c r="U2839" s="317"/>
      <c r="V2839" s="317"/>
      <c r="W2839" s="317"/>
      <c r="X2839" s="317"/>
      <c r="Y2839" s="317"/>
      <c r="Z2839" s="317"/>
    </row>
    <row r="2840" spans="1:26" x14ac:dyDescent="0.25">
      <c r="A2840" s="314"/>
      <c r="B2840" s="18">
        <v>2023</v>
      </c>
      <c r="C2840" s="18" t="s">
        <v>706</v>
      </c>
      <c r="D2840" s="18" t="s">
        <v>1461</v>
      </c>
      <c r="E2840" s="18" t="s">
        <v>703</v>
      </c>
      <c r="F2840" s="18" t="s">
        <v>795</v>
      </c>
      <c r="G2840" s="18" t="s">
        <v>675</v>
      </c>
      <c r="H2840" s="18" t="s">
        <v>1462</v>
      </c>
      <c r="I2840" s="315">
        <v>12.092094758829109</v>
      </c>
      <c r="J2840" s="315">
        <v>9.7963027277978842E-3</v>
      </c>
      <c r="K2840" s="316" t="str">
        <f t="shared" si="50"/>
        <v>Industrial Equipment</v>
      </c>
      <c r="L2840" s="316" t="str">
        <f t="shared" si="51"/>
        <v>Gasoline</v>
      </c>
      <c r="M2840" s="194"/>
      <c r="N2840" s="317"/>
      <c r="O2840" s="317"/>
      <c r="P2840" s="317"/>
      <c r="Q2840" s="317"/>
      <c r="R2840" s="317"/>
      <c r="S2840" s="317"/>
      <c r="T2840" s="317"/>
      <c r="U2840" s="317"/>
      <c r="V2840" s="317"/>
      <c r="W2840" s="317"/>
      <c r="X2840" s="317"/>
      <c r="Y2840" s="317"/>
      <c r="Z2840" s="317"/>
    </row>
    <row r="2841" spans="1:26" x14ac:dyDescent="0.25">
      <c r="A2841" s="314"/>
      <c r="B2841" s="18">
        <v>2023</v>
      </c>
      <c r="C2841" s="18" t="s">
        <v>754</v>
      </c>
      <c r="D2841" s="18" t="s">
        <v>1461</v>
      </c>
      <c r="E2841" s="18" t="s">
        <v>703</v>
      </c>
      <c r="F2841" s="18" t="s">
        <v>795</v>
      </c>
      <c r="G2841" s="18" t="s">
        <v>675</v>
      </c>
      <c r="H2841" s="18" t="s">
        <v>1462</v>
      </c>
      <c r="I2841" s="315">
        <v>12.092094758829109</v>
      </c>
      <c r="J2841" s="315">
        <v>9.8184936433088899E-3</v>
      </c>
      <c r="K2841" s="316" t="str">
        <f t="shared" si="50"/>
        <v>Industrial Equipment</v>
      </c>
      <c r="L2841" s="316" t="str">
        <f t="shared" si="51"/>
        <v>Gasoline</v>
      </c>
      <c r="M2841" s="194"/>
      <c r="N2841" s="317"/>
      <c r="O2841" s="317"/>
      <c r="P2841" s="317"/>
      <c r="Q2841" s="317"/>
      <c r="R2841" s="317"/>
      <c r="S2841" s="317"/>
      <c r="T2841" s="317"/>
      <c r="U2841" s="317"/>
      <c r="V2841" s="317"/>
      <c r="W2841" s="317"/>
      <c r="X2841" s="317"/>
      <c r="Y2841" s="317"/>
      <c r="Z2841" s="317"/>
    </row>
    <row r="2842" spans="1:26" x14ac:dyDescent="0.25">
      <c r="A2842" s="314"/>
      <c r="B2842" s="18">
        <v>2023</v>
      </c>
      <c r="C2842" s="18" t="s">
        <v>786</v>
      </c>
      <c r="D2842" s="18" t="s">
        <v>1461</v>
      </c>
      <c r="E2842" s="18" t="s">
        <v>703</v>
      </c>
      <c r="F2842" s="18" t="s">
        <v>795</v>
      </c>
      <c r="G2842" s="18" t="s">
        <v>675</v>
      </c>
      <c r="H2842" s="18" t="s">
        <v>1462</v>
      </c>
      <c r="I2842" s="315">
        <v>12.092094758829109</v>
      </c>
      <c r="J2842" s="315">
        <v>9.7870990754986929E-3</v>
      </c>
      <c r="K2842" s="316" t="str">
        <f t="shared" si="50"/>
        <v>Industrial Equipment</v>
      </c>
      <c r="L2842" s="316" t="str">
        <f t="shared" si="51"/>
        <v>Gasoline</v>
      </c>
      <c r="M2842" s="194"/>
      <c r="N2842" s="317"/>
      <c r="O2842" s="317"/>
      <c r="P2842" s="317"/>
      <c r="Q2842" s="317"/>
      <c r="R2842" s="317"/>
      <c r="S2842" s="317"/>
      <c r="T2842" s="317"/>
      <c r="U2842" s="317"/>
      <c r="V2842" s="317"/>
      <c r="W2842" s="317"/>
      <c r="X2842" s="317"/>
      <c r="Y2842" s="317"/>
      <c r="Z2842" s="317"/>
    </row>
    <row r="2843" spans="1:26" x14ac:dyDescent="0.25">
      <c r="A2843" s="314"/>
      <c r="B2843" s="18">
        <v>2023</v>
      </c>
      <c r="C2843" s="18" t="s">
        <v>710</v>
      </c>
      <c r="D2843" s="18" t="s">
        <v>1461</v>
      </c>
      <c r="E2843" s="18" t="s">
        <v>703</v>
      </c>
      <c r="F2843" s="18" t="s">
        <v>795</v>
      </c>
      <c r="G2843" s="18" t="s">
        <v>675</v>
      </c>
      <c r="H2843" s="18" t="s">
        <v>1462</v>
      </c>
      <c r="I2843" s="315">
        <v>12.092094758829109</v>
      </c>
      <c r="J2843" s="315">
        <v>9.7878007863992731E-3</v>
      </c>
      <c r="K2843" s="316" t="str">
        <f t="shared" si="50"/>
        <v>Industrial Equipment</v>
      </c>
      <c r="L2843" s="316" t="str">
        <f t="shared" si="51"/>
        <v>Gasoline</v>
      </c>
      <c r="M2843" s="194"/>
      <c r="N2843" s="317"/>
      <c r="O2843" s="317"/>
      <c r="P2843" s="317"/>
      <c r="Q2843" s="317"/>
      <c r="R2843" s="317"/>
      <c r="S2843" s="317"/>
      <c r="T2843" s="317"/>
      <c r="U2843" s="317"/>
      <c r="V2843" s="317"/>
      <c r="W2843" s="317"/>
      <c r="X2843" s="317"/>
      <c r="Y2843" s="317"/>
      <c r="Z2843" s="317"/>
    </row>
    <row r="2844" spans="1:26" x14ac:dyDescent="0.25">
      <c r="A2844" s="314"/>
      <c r="B2844" s="18">
        <v>2023</v>
      </c>
      <c r="C2844" s="18" t="s">
        <v>810</v>
      </c>
      <c r="D2844" s="18" t="s">
        <v>997</v>
      </c>
      <c r="E2844" s="18" t="s">
        <v>56</v>
      </c>
      <c r="F2844" s="18" t="s">
        <v>672</v>
      </c>
      <c r="G2844" s="18" t="s">
        <v>675</v>
      </c>
      <c r="H2844" s="18" t="s">
        <v>969</v>
      </c>
      <c r="I2844" s="315">
        <v>12.067951783637668</v>
      </c>
      <c r="J2844" s="315">
        <v>1.5014926979252711E-3</v>
      </c>
      <c r="K2844" s="316" t="str">
        <f t="shared" si="50"/>
        <v>Industrial Equipment</v>
      </c>
      <c r="L2844" s="316" t="str">
        <f t="shared" si="51"/>
        <v>LPG</v>
      </c>
      <c r="M2844" s="194"/>
      <c r="N2844" s="317"/>
      <c r="O2844" s="317"/>
      <c r="P2844" s="317"/>
      <c r="Q2844" s="317"/>
      <c r="R2844" s="317"/>
      <c r="S2844" s="317"/>
      <c r="T2844" s="317"/>
      <c r="U2844" s="317"/>
      <c r="V2844" s="317"/>
      <c r="W2844" s="317"/>
      <c r="X2844" s="317"/>
      <c r="Y2844" s="317"/>
      <c r="Z2844" s="317"/>
    </row>
    <row r="2845" spans="1:26" x14ac:dyDescent="0.25">
      <c r="A2845" s="314"/>
      <c r="B2845" s="18">
        <v>2023</v>
      </c>
      <c r="C2845" s="18" t="s">
        <v>762</v>
      </c>
      <c r="D2845" s="18" t="s">
        <v>1014</v>
      </c>
      <c r="E2845" s="18" t="s">
        <v>713</v>
      </c>
      <c r="F2845" s="18" t="s">
        <v>714</v>
      </c>
      <c r="G2845" s="18" t="s">
        <v>674</v>
      </c>
      <c r="H2845" s="18" t="s">
        <v>994</v>
      </c>
      <c r="I2845" s="315">
        <v>12.066232018674194</v>
      </c>
      <c r="J2845" s="315">
        <v>1.5717587003185021E-4</v>
      </c>
      <c r="K2845" s="316" t="str">
        <f t="shared" si="50"/>
        <v>Construction and Mining Equipment</v>
      </c>
      <c r="L2845" s="316" t="str">
        <f t="shared" si="51"/>
        <v>Diesel</v>
      </c>
      <c r="M2845" s="194"/>
      <c r="N2845" s="317"/>
      <c r="O2845" s="317"/>
      <c r="P2845" s="317"/>
      <c r="Q2845" s="317"/>
      <c r="R2845" s="317"/>
      <c r="S2845" s="317"/>
      <c r="T2845" s="317"/>
      <c r="U2845" s="317"/>
      <c r="V2845" s="317"/>
      <c r="W2845" s="317"/>
      <c r="X2845" s="317"/>
      <c r="Y2845" s="317"/>
      <c r="Z2845" s="317"/>
    </row>
    <row r="2846" spans="1:26" x14ac:dyDescent="0.25">
      <c r="A2846" s="314"/>
      <c r="B2846" s="18">
        <v>2023</v>
      </c>
      <c r="C2846" s="18" t="s">
        <v>731</v>
      </c>
      <c r="D2846" s="18" t="s">
        <v>1409</v>
      </c>
      <c r="E2846" s="18" t="s">
        <v>703</v>
      </c>
      <c r="F2846" s="18" t="s">
        <v>704</v>
      </c>
      <c r="G2846" s="18" t="s">
        <v>678</v>
      </c>
      <c r="H2846" s="18" t="s">
        <v>1222</v>
      </c>
      <c r="I2846" s="315">
        <v>12.065509680746297</v>
      </c>
      <c r="J2846" s="315">
        <v>7.9543979502411551E-3</v>
      </c>
      <c r="K2846" s="316" t="str">
        <f t="shared" si="50"/>
        <v>Agricultural Equipment</v>
      </c>
      <c r="L2846" s="316" t="str">
        <f t="shared" si="51"/>
        <v>Gasoline</v>
      </c>
      <c r="M2846" s="194"/>
      <c r="N2846" s="317"/>
      <c r="O2846" s="317"/>
      <c r="P2846" s="317"/>
      <c r="Q2846" s="317"/>
      <c r="R2846" s="317"/>
      <c r="S2846" s="317"/>
      <c r="T2846" s="317"/>
      <c r="U2846" s="317"/>
      <c r="V2846" s="317"/>
      <c r="W2846" s="317"/>
      <c r="X2846" s="317"/>
      <c r="Y2846" s="317"/>
      <c r="Z2846" s="317"/>
    </row>
    <row r="2847" spans="1:26" x14ac:dyDescent="0.25">
      <c r="A2847" s="314"/>
      <c r="B2847" s="18">
        <v>2023</v>
      </c>
      <c r="C2847" s="18" t="s">
        <v>778</v>
      </c>
      <c r="D2847" s="18" t="s">
        <v>1215</v>
      </c>
      <c r="E2847" s="18" t="s">
        <v>56</v>
      </c>
      <c r="F2847" s="18" t="s">
        <v>672</v>
      </c>
      <c r="G2847" s="18" t="s">
        <v>674</v>
      </c>
      <c r="H2847" s="18" t="s">
        <v>756</v>
      </c>
      <c r="I2847" s="315">
        <v>12.017575953274484</v>
      </c>
      <c r="J2847" s="315">
        <v>2.2233014511959877E-3</v>
      </c>
      <c r="K2847" s="316" t="str">
        <f t="shared" si="50"/>
        <v>Construction and Mining Equipment</v>
      </c>
      <c r="L2847" s="316" t="str">
        <f t="shared" si="51"/>
        <v>LPG</v>
      </c>
      <c r="M2847" s="194"/>
      <c r="N2847" s="317"/>
      <c r="O2847" s="317"/>
      <c r="P2847" s="317"/>
      <c r="Q2847" s="317"/>
      <c r="R2847" s="317"/>
      <c r="S2847" s="317"/>
      <c r="T2847" s="317"/>
      <c r="U2847" s="317"/>
      <c r="V2847" s="317"/>
      <c r="W2847" s="317"/>
      <c r="X2847" s="317"/>
      <c r="Y2847" s="317"/>
      <c r="Z2847" s="317"/>
    </row>
    <row r="2848" spans="1:26" x14ac:dyDescent="0.25">
      <c r="A2848" s="314"/>
      <c r="B2848" s="18">
        <v>2023</v>
      </c>
      <c r="C2848" s="18" t="s">
        <v>810</v>
      </c>
      <c r="D2848" s="18" t="s">
        <v>1278</v>
      </c>
      <c r="E2848" s="18" t="s">
        <v>703</v>
      </c>
      <c r="F2848" s="18" t="s">
        <v>704</v>
      </c>
      <c r="G2848" s="18" t="s">
        <v>678</v>
      </c>
      <c r="H2848" s="18" t="s">
        <v>1279</v>
      </c>
      <c r="I2848" s="315">
        <v>11.998601654999076</v>
      </c>
      <c r="J2848" s="315">
        <v>1.6151861376853868E-2</v>
      </c>
      <c r="K2848" s="316" t="str">
        <f t="shared" si="50"/>
        <v>Agricultural Equipment</v>
      </c>
      <c r="L2848" s="316" t="str">
        <f t="shared" si="51"/>
        <v>Gasoline</v>
      </c>
      <c r="M2848" s="194"/>
      <c r="N2848" s="317"/>
      <c r="O2848" s="317"/>
      <c r="P2848" s="317"/>
      <c r="Q2848" s="317"/>
      <c r="R2848" s="317"/>
      <c r="S2848" s="317"/>
      <c r="T2848" s="317"/>
      <c r="U2848" s="317"/>
      <c r="V2848" s="317"/>
      <c r="W2848" s="317"/>
      <c r="X2848" s="317"/>
      <c r="Y2848" s="317"/>
      <c r="Z2848" s="317"/>
    </row>
    <row r="2849" spans="1:26" x14ac:dyDescent="0.25">
      <c r="A2849" s="314"/>
      <c r="B2849" s="18">
        <v>2023</v>
      </c>
      <c r="C2849" s="18" t="s">
        <v>781</v>
      </c>
      <c r="D2849" s="18" t="s">
        <v>882</v>
      </c>
      <c r="E2849" s="18" t="s">
        <v>713</v>
      </c>
      <c r="F2849" s="18" t="s">
        <v>714</v>
      </c>
      <c r="G2849" s="18" t="s">
        <v>673</v>
      </c>
      <c r="H2849" s="18" t="s">
        <v>705</v>
      </c>
      <c r="I2849" s="315">
        <v>11.996101828779313</v>
      </c>
      <c r="J2849" s="315">
        <v>2.0133769541515217E-4</v>
      </c>
      <c r="K2849" s="316" t="str">
        <f t="shared" si="50"/>
        <v>Lawn and Garden Equipment</v>
      </c>
      <c r="L2849" s="316" t="str">
        <f t="shared" si="51"/>
        <v>Diesel</v>
      </c>
      <c r="M2849" s="194"/>
      <c r="N2849" s="317"/>
      <c r="O2849" s="317"/>
      <c r="P2849" s="317"/>
      <c r="Q2849" s="317"/>
      <c r="R2849" s="317"/>
      <c r="S2849" s="317"/>
      <c r="T2849" s="317"/>
      <c r="U2849" s="317"/>
      <c r="V2849" s="317"/>
      <c r="W2849" s="317"/>
      <c r="X2849" s="317"/>
      <c r="Y2849" s="317"/>
      <c r="Z2849" s="317"/>
    </row>
    <row r="2850" spans="1:26" x14ac:dyDescent="0.25">
      <c r="A2850" s="314"/>
      <c r="B2850" s="18">
        <v>2023</v>
      </c>
      <c r="C2850" s="18" t="s">
        <v>722</v>
      </c>
      <c r="D2850" s="18" t="s">
        <v>1401</v>
      </c>
      <c r="E2850" s="18" t="s">
        <v>56</v>
      </c>
      <c r="F2850" s="18" t="s">
        <v>601</v>
      </c>
      <c r="G2850" s="18" t="s">
        <v>677</v>
      </c>
      <c r="H2850" s="18" t="s">
        <v>785</v>
      </c>
      <c r="I2850" s="315">
        <v>11.971255844861052</v>
      </c>
      <c r="J2850" s="315">
        <v>5.1889955346938944E-2</v>
      </c>
      <c r="K2850" s="316" t="str">
        <f t="shared" si="50"/>
        <v>Commercial Equipment</v>
      </c>
      <c r="L2850" s="316" t="str">
        <f t="shared" si="51"/>
        <v>CNG</v>
      </c>
      <c r="M2850" s="194"/>
      <c r="N2850" s="317"/>
      <c r="O2850" s="317"/>
      <c r="P2850" s="317"/>
      <c r="Q2850" s="317"/>
      <c r="R2850" s="317"/>
      <c r="S2850" s="317"/>
      <c r="T2850" s="317"/>
      <c r="U2850" s="317"/>
      <c r="V2850" s="317"/>
      <c r="W2850" s="317"/>
      <c r="X2850" s="317"/>
      <c r="Y2850" s="317"/>
      <c r="Z2850" s="317"/>
    </row>
    <row r="2851" spans="1:26" x14ac:dyDescent="0.25">
      <c r="A2851" s="314"/>
      <c r="B2851" s="18">
        <v>2023</v>
      </c>
      <c r="C2851" s="18" t="s">
        <v>793</v>
      </c>
      <c r="D2851" s="18" t="s">
        <v>1003</v>
      </c>
      <c r="E2851" s="18" t="s">
        <v>703</v>
      </c>
      <c r="F2851" s="18" t="s">
        <v>805</v>
      </c>
      <c r="G2851" s="18" t="s">
        <v>677</v>
      </c>
      <c r="H2851" s="18" t="s">
        <v>841</v>
      </c>
      <c r="I2851" s="315">
        <v>11.94173439782921</v>
      </c>
      <c r="J2851" s="315">
        <v>2.3009722809713539E-2</v>
      </c>
      <c r="K2851" s="316" t="str">
        <f t="shared" si="50"/>
        <v>Commercial Equipment</v>
      </c>
      <c r="L2851" s="316" t="str">
        <f t="shared" si="51"/>
        <v>Gasoline</v>
      </c>
      <c r="M2851" s="194"/>
      <c r="N2851" s="317"/>
      <c r="O2851" s="317"/>
      <c r="P2851" s="317"/>
      <c r="Q2851" s="317"/>
      <c r="R2851" s="317"/>
      <c r="S2851" s="317"/>
      <c r="T2851" s="317"/>
      <c r="U2851" s="317"/>
      <c r="V2851" s="317"/>
      <c r="W2851" s="317"/>
      <c r="X2851" s="317"/>
      <c r="Y2851" s="317"/>
      <c r="Z2851" s="317"/>
    </row>
    <row r="2852" spans="1:26" x14ac:dyDescent="0.25">
      <c r="A2852" s="314"/>
      <c r="B2852" s="18">
        <v>2023</v>
      </c>
      <c r="C2852" s="18" t="s">
        <v>773</v>
      </c>
      <c r="D2852" s="18" t="s">
        <v>1076</v>
      </c>
      <c r="E2852" s="18" t="s">
        <v>703</v>
      </c>
      <c r="F2852" s="18" t="s">
        <v>704</v>
      </c>
      <c r="G2852" s="18" t="s">
        <v>674</v>
      </c>
      <c r="H2852" s="18" t="s">
        <v>756</v>
      </c>
      <c r="I2852" s="315">
        <v>11.898424074020468</v>
      </c>
      <c r="J2852" s="315">
        <v>5.20335930612764E-3</v>
      </c>
      <c r="K2852" s="316" t="str">
        <f t="shared" si="50"/>
        <v>Construction and Mining Equipment</v>
      </c>
      <c r="L2852" s="316" t="str">
        <f t="shared" si="51"/>
        <v>Gasoline</v>
      </c>
      <c r="M2852" s="194"/>
      <c r="N2852" s="317"/>
      <c r="O2852" s="317"/>
      <c r="P2852" s="317"/>
      <c r="Q2852" s="317"/>
      <c r="R2852" s="317"/>
      <c r="S2852" s="317"/>
      <c r="T2852" s="317"/>
      <c r="U2852" s="317"/>
      <c r="V2852" s="317"/>
      <c r="W2852" s="317"/>
      <c r="X2852" s="317"/>
      <c r="Y2852" s="317"/>
      <c r="Z2852" s="317"/>
    </row>
    <row r="2853" spans="1:26" x14ac:dyDescent="0.25">
      <c r="A2853" s="314"/>
      <c r="B2853" s="18">
        <v>2023</v>
      </c>
      <c r="C2853" s="18" t="s">
        <v>701</v>
      </c>
      <c r="D2853" s="18" t="s">
        <v>1445</v>
      </c>
      <c r="E2853" s="18" t="s">
        <v>56</v>
      </c>
      <c r="F2853" s="18" t="s">
        <v>601</v>
      </c>
      <c r="G2853" s="18" t="s">
        <v>677</v>
      </c>
      <c r="H2853" s="18" t="s">
        <v>841</v>
      </c>
      <c r="I2853" s="315">
        <v>11.88605171679599</v>
      </c>
      <c r="J2853" s="315">
        <v>0.12913713581993705</v>
      </c>
      <c r="K2853" s="316" t="str">
        <f t="shared" ref="K2853:K3107" si="52">IF(F2853="Pleasure Craft","Pleasure Craft",IF(F2853="Railroad Equipment","Railroad Equipment",G2853))</f>
        <v>Commercial Equipment</v>
      </c>
      <c r="L2853" s="316" t="str">
        <f t="shared" ref="L2853:L3107" si="53">IF(E2853="Non-Road Gasoline","Gasoline",IF(E2853="Non-Road Diesel","Diesel",IF(RIGHT(F2853,3)="LPG","LPG",IF(RIGHT(F2853,3)="CNG","CNG",G2853))))</f>
        <v>CNG</v>
      </c>
      <c r="M2853" s="194"/>
      <c r="N2853" s="317"/>
      <c r="O2853" s="317"/>
      <c r="P2853" s="317"/>
      <c r="Q2853" s="317"/>
      <c r="R2853" s="317"/>
      <c r="S2853" s="317"/>
      <c r="T2853" s="317"/>
      <c r="U2853" s="317"/>
      <c r="V2853" s="317"/>
      <c r="W2853" s="317"/>
      <c r="X2853" s="317"/>
      <c r="Y2853" s="317"/>
      <c r="Z2853" s="317"/>
    </row>
    <row r="2854" spans="1:26" x14ac:dyDescent="0.25">
      <c r="A2854" s="314"/>
      <c r="B2854" s="18">
        <v>2023</v>
      </c>
      <c r="C2854" s="18" t="s">
        <v>781</v>
      </c>
      <c r="D2854" s="18" t="s">
        <v>1428</v>
      </c>
      <c r="E2854" s="18" t="s">
        <v>56</v>
      </c>
      <c r="F2854" s="18" t="s">
        <v>601</v>
      </c>
      <c r="G2854" s="18" t="s">
        <v>678</v>
      </c>
      <c r="H2854" s="18" t="s">
        <v>1154</v>
      </c>
      <c r="I2854" s="315">
        <v>11.868556026242018</v>
      </c>
      <c r="J2854" s="315">
        <v>4.8267529218659067E-2</v>
      </c>
      <c r="K2854" s="316" t="str">
        <f t="shared" si="52"/>
        <v>Agricultural Equipment</v>
      </c>
      <c r="L2854" s="316" t="str">
        <f t="shared" si="53"/>
        <v>CNG</v>
      </c>
      <c r="M2854" s="194"/>
      <c r="N2854" s="317"/>
      <c r="O2854" s="317"/>
      <c r="P2854" s="317"/>
      <c r="Q2854" s="317"/>
      <c r="R2854" s="317"/>
      <c r="S2854" s="317"/>
      <c r="T2854" s="317"/>
      <c r="U2854" s="317"/>
      <c r="V2854" s="317"/>
      <c r="W2854" s="317"/>
      <c r="X2854" s="317"/>
      <c r="Y2854" s="317"/>
      <c r="Z2854" s="317"/>
    </row>
    <row r="2855" spans="1:26" x14ac:dyDescent="0.25">
      <c r="A2855" s="314"/>
      <c r="B2855" s="18">
        <v>2023</v>
      </c>
      <c r="C2855" s="18" t="s">
        <v>781</v>
      </c>
      <c r="D2855" s="18" t="s">
        <v>958</v>
      </c>
      <c r="E2855" s="18" t="s">
        <v>713</v>
      </c>
      <c r="F2855" s="18" t="s">
        <v>714</v>
      </c>
      <c r="G2855" s="18" t="s">
        <v>674</v>
      </c>
      <c r="H2855" s="18" t="s">
        <v>959</v>
      </c>
      <c r="I2855" s="315">
        <v>11.831834582333114</v>
      </c>
      <c r="J2855" s="315">
        <v>1.0525034342915141E-4</v>
      </c>
      <c r="K2855" s="316" t="str">
        <f t="shared" si="52"/>
        <v>Construction and Mining Equipment</v>
      </c>
      <c r="L2855" s="316" t="str">
        <f t="shared" si="53"/>
        <v>Diesel</v>
      </c>
      <c r="M2855" s="194"/>
      <c r="N2855" s="317"/>
      <c r="O2855" s="317"/>
      <c r="P2855" s="317"/>
      <c r="Q2855" s="317"/>
      <c r="R2855" s="317"/>
      <c r="S2855" s="317"/>
      <c r="T2855" s="317"/>
      <c r="U2855" s="317"/>
      <c r="V2855" s="317"/>
      <c r="W2855" s="317"/>
      <c r="X2855" s="317"/>
      <c r="Y2855" s="317"/>
      <c r="Z2855" s="317"/>
    </row>
    <row r="2856" spans="1:26" x14ac:dyDescent="0.25">
      <c r="A2856" s="314"/>
      <c r="B2856" s="18">
        <v>2023</v>
      </c>
      <c r="C2856" s="18" t="s">
        <v>711</v>
      </c>
      <c r="D2856" s="18" t="s">
        <v>1360</v>
      </c>
      <c r="E2856" s="18" t="s">
        <v>713</v>
      </c>
      <c r="F2856" s="18" t="s">
        <v>714</v>
      </c>
      <c r="G2856" s="18" t="s">
        <v>674</v>
      </c>
      <c r="H2856" s="18" t="s">
        <v>1220</v>
      </c>
      <c r="I2856" s="315">
        <v>11.746907646809623</v>
      </c>
      <c r="J2856" s="315">
        <v>5.2254805068156231E-4</v>
      </c>
      <c r="K2856" s="316" t="str">
        <f t="shared" si="52"/>
        <v>Construction and Mining Equipment</v>
      </c>
      <c r="L2856" s="316" t="str">
        <f t="shared" si="53"/>
        <v>Diesel</v>
      </c>
      <c r="M2856" s="194"/>
      <c r="N2856" s="317"/>
      <c r="O2856" s="317"/>
      <c r="P2856" s="317"/>
      <c r="Q2856" s="317"/>
      <c r="R2856" s="317"/>
      <c r="S2856" s="317"/>
      <c r="T2856" s="317"/>
      <c r="U2856" s="317"/>
      <c r="V2856" s="317"/>
      <c r="W2856" s="317"/>
      <c r="X2856" s="317"/>
      <c r="Y2856" s="317"/>
      <c r="Z2856" s="317"/>
    </row>
    <row r="2857" spans="1:26" x14ac:dyDescent="0.25">
      <c r="A2857" s="314"/>
      <c r="B2857" s="18">
        <v>2023</v>
      </c>
      <c r="C2857" s="18" t="s">
        <v>786</v>
      </c>
      <c r="D2857" s="18" t="s">
        <v>1428</v>
      </c>
      <c r="E2857" s="18" t="s">
        <v>56</v>
      </c>
      <c r="F2857" s="18" t="s">
        <v>601</v>
      </c>
      <c r="G2857" s="18" t="s">
        <v>678</v>
      </c>
      <c r="H2857" s="18" t="s">
        <v>1154</v>
      </c>
      <c r="I2857" s="315">
        <v>11.745665485671745</v>
      </c>
      <c r="J2857" s="315">
        <v>4.7767788583083282E-2</v>
      </c>
      <c r="K2857" s="316" t="str">
        <f t="shared" si="52"/>
        <v>Agricultural Equipment</v>
      </c>
      <c r="L2857" s="316" t="str">
        <f t="shared" si="53"/>
        <v>CNG</v>
      </c>
      <c r="M2857" s="194"/>
      <c r="N2857" s="317"/>
      <c r="O2857" s="317"/>
      <c r="P2857" s="317"/>
      <c r="Q2857" s="317"/>
      <c r="R2857" s="317"/>
      <c r="S2857" s="317"/>
      <c r="T2857" s="317"/>
      <c r="U2857" s="317"/>
      <c r="V2857" s="317"/>
      <c r="W2857" s="317"/>
      <c r="X2857" s="317"/>
      <c r="Y2857" s="317"/>
      <c r="Z2857" s="317"/>
    </row>
    <row r="2858" spans="1:26" x14ac:dyDescent="0.25">
      <c r="A2858" s="314"/>
      <c r="B2858" s="18">
        <v>2023</v>
      </c>
      <c r="C2858" s="18" t="s">
        <v>732</v>
      </c>
      <c r="D2858" s="18" t="s">
        <v>1219</v>
      </c>
      <c r="E2858" s="18" t="s">
        <v>703</v>
      </c>
      <c r="F2858" s="18" t="s">
        <v>704</v>
      </c>
      <c r="G2858" s="18" t="s">
        <v>674</v>
      </c>
      <c r="H2858" s="18" t="s">
        <v>1220</v>
      </c>
      <c r="I2858" s="315">
        <v>11.654353757966719</v>
      </c>
      <c r="J2858" s="315">
        <v>7.8807876650506536E-3</v>
      </c>
      <c r="K2858" s="316" t="str">
        <f t="shared" si="52"/>
        <v>Construction and Mining Equipment</v>
      </c>
      <c r="L2858" s="316" t="str">
        <f t="shared" si="53"/>
        <v>Gasoline</v>
      </c>
      <c r="M2858" s="194"/>
      <c r="N2858" s="317"/>
      <c r="O2858" s="317"/>
      <c r="P2858" s="317"/>
      <c r="Q2858" s="317"/>
      <c r="R2858" s="317"/>
      <c r="S2858" s="317"/>
      <c r="T2858" s="317"/>
      <c r="U2858" s="317"/>
      <c r="V2858" s="317"/>
      <c r="W2858" s="317"/>
      <c r="X2858" s="317"/>
      <c r="Y2858" s="317"/>
      <c r="Z2858" s="317"/>
    </row>
    <row r="2859" spans="1:26" x14ac:dyDescent="0.25">
      <c r="A2859" s="314"/>
      <c r="B2859" s="18">
        <v>2023</v>
      </c>
      <c r="C2859" s="18" t="s">
        <v>706</v>
      </c>
      <c r="D2859" s="18" t="s">
        <v>1224</v>
      </c>
      <c r="E2859" s="18" t="s">
        <v>703</v>
      </c>
      <c r="F2859" s="18" t="s">
        <v>704</v>
      </c>
      <c r="G2859" s="18" t="s">
        <v>681</v>
      </c>
      <c r="H2859" s="18" t="s">
        <v>1225</v>
      </c>
      <c r="I2859" s="315">
        <v>11.648175366581068</v>
      </c>
      <c r="J2859" s="315">
        <v>7.9039028171100454E-3</v>
      </c>
      <c r="K2859" s="316" t="str">
        <f t="shared" si="52"/>
        <v>Logging Equipment</v>
      </c>
      <c r="L2859" s="316" t="str">
        <f t="shared" si="53"/>
        <v>Gasoline</v>
      </c>
      <c r="M2859" s="194"/>
      <c r="N2859" s="317"/>
      <c r="O2859" s="317"/>
      <c r="P2859" s="317"/>
      <c r="Q2859" s="317"/>
      <c r="R2859" s="317"/>
      <c r="S2859" s="317"/>
      <c r="T2859" s="317"/>
      <c r="U2859" s="317"/>
      <c r="V2859" s="317"/>
      <c r="W2859" s="317"/>
      <c r="X2859" s="317"/>
      <c r="Y2859" s="317"/>
      <c r="Z2859" s="317"/>
    </row>
    <row r="2860" spans="1:26" x14ac:dyDescent="0.25">
      <c r="A2860" s="314"/>
      <c r="B2860" s="18">
        <v>2023</v>
      </c>
      <c r="C2860" s="18" t="s">
        <v>750</v>
      </c>
      <c r="D2860" s="18" t="s">
        <v>1003</v>
      </c>
      <c r="E2860" s="18" t="s">
        <v>703</v>
      </c>
      <c r="F2860" s="18" t="s">
        <v>805</v>
      </c>
      <c r="G2860" s="18" t="s">
        <v>677</v>
      </c>
      <c r="H2860" s="18" t="s">
        <v>841</v>
      </c>
      <c r="I2860" s="315">
        <v>11.618989810168102</v>
      </c>
      <c r="J2860" s="315">
        <v>2.2387839286474292E-2</v>
      </c>
      <c r="K2860" s="316" t="str">
        <f t="shared" si="52"/>
        <v>Commercial Equipment</v>
      </c>
      <c r="L2860" s="316" t="str">
        <f t="shared" si="53"/>
        <v>Gasoline</v>
      </c>
      <c r="M2860" s="194"/>
      <c r="N2860" s="317"/>
      <c r="O2860" s="317"/>
      <c r="P2860" s="317"/>
      <c r="Q2860" s="317"/>
      <c r="R2860" s="317"/>
      <c r="S2860" s="317"/>
      <c r="T2860" s="317"/>
      <c r="U2860" s="317"/>
      <c r="V2860" s="317"/>
      <c r="W2860" s="317"/>
      <c r="X2860" s="317"/>
      <c r="Y2860" s="317"/>
      <c r="Z2860" s="317"/>
    </row>
    <row r="2861" spans="1:26" x14ac:dyDescent="0.25">
      <c r="A2861" s="314"/>
      <c r="B2861" s="18">
        <v>2023</v>
      </c>
      <c r="C2861" s="18" t="s">
        <v>711</v>
      </c>
      <c r="D2861" s="18" t="s">
        <v>1361</v>
      </c>
      <c r="E2861" s="18" t="s">
        <v>56</v>
      </c>
      <c r="F2861" s="18" t="s">
        <v>672</v>
      </c>
      <c r="G2861" s="18" t="s">
        <v>674</v>
      </c>
      <c r="H2861" s="18" t="s">
        <v>783</v>
      </c>
      <c r="I2861" s="315">
        <v>11.602960426445566</v>
      </c>
      <c r="J2861" s="315">
        <v>5.3265091139900332E-4</v>
      </c>
      <c r="K2861" s="316" t="str">
        <f t="shared" si="52"/>
        <v>Construction and Mining Equipment</v>
      </c>
      <c r="L2861" s="316" t="str">
        <f t="shared" si="53"/>
        <v>LPG</v>
      </c>
      <c r="M2861" s="194"/>
      <c r="N2861" s="317"/>
      <c r="O2861" s="317"/>
      <c r="P2861" s="317"/>
      <c r="Q2861" s="317"/>
      <c r="R2861" s="317"/>
      <c r="S2861" s="317"/>
      <c r="T2861" s="317"/>
      <c r="U2861" s="317"/>
      <c r="V2861" s="317"/>
      <c r="W2861" s="317"/>
      <c r="X2861" s="317"/>
      <c r="Y2861" s="317"/>
      <c r="Z2861" s="317"/>
    </row>
    <row r="2862" spans="1:26" x14ac:dyDescent="0.25">
      <c r="A2862" s="314"/>
      <c r="B2862" s="18">
        <v>2023</v>
      </c>
      <c r="C2862" s="18" t="s">
        <v>727</v>
      </c>
      <c r="D2862" s="18" t="s">
        <v>1428</v>
      </c>
      <c r="E2862" s="18" t="s">
        <v>56</v>
      </c>
      <c r="F2862" s="18" t="s">
        <v>601</v>
      </c>
      <c r="G2862" s="18" t="s">
        <v>678</v>
      </c>
      <c r="H2862" s="18" t="s">
        <v>1154</v>
      </c>
      <c r="I2862" s="315">
        <v>11.523299433624473</v>
      </c>
      <c r="J2862" s="315">
        <v>4.686346897478557E-2</v>
      </c>
      <c r="K2862" s="316" t="str">
        <f t="shared" si="52"/>
        <v>Agricultural Equipment</v>
      </c>
      <c r="L2862" s="316" t="str">
        <f t="shared" si="53"/>
        <v>CNG</v>
      </c>
      <c r="M2862" s="194"/>
      <c r="N2862" s="317"/>
      <c r="O2862" s="317"/>
      <c r="P2862" s="317"/>
      <c r="Q2862" s="317"/>
      <c r="R2862" s="317"/>
      <c r="S2862" s="317"/>
      <c r="T2862" s="317"/>
      <c r="U2862" s="317"/>
      <c r="V2862" s="317"/>
      <c r="W2862" s="317"/>
      <c r="X2862" s="317"/>
      <c r="Y2862" s="317"/>
      <c r="Z2862" s="317"/>
    </row>
    <row r="2863" spans="1:26" x14ac:dyDescent="0.25">
      <c r="A2863" s="314"/>
      <c r="B2863" s="18">
        <v>2023</v>
      </c>
      <c r="C2863" s="18" t="s">
        <v>732</v>
      </c>
      <c r="D2863" s="18" t="s">
        <v>1223</v>
      </c>
      <c r="E2863" s="18" t="s">
        <v>713</v>
      </c>
      <c r="F2863" s="18" t="s">
        <v>714</v>
      </c>
      <c r="G2863" s="18" t="s">
        <v>674</v>
      </c>
      <c r="H2863" s="18" t="s">
        <v>1036</v>
      </c>
      <c r="I2863" s="315">
        <v>11.467050260114672</v>
      </c>
      <c r="J2863" s="315">
        <v>1.1214682323599547E-3</v>
      </c>
      <c r="K2863" s="316" t="str">
        <f t="shared" si="52"/>
        <v>Construction and Mining Equipment</v>
      </c>
      <c r="L2863" s="316" t="str">
        <f t="shared" si="53"/>
        <v>Diesel</v>
      </c>
      <c r="M2863" s="194"/>
      <c r="N2863" s="317"/>
      <c r="O2863" s="317"/>
      <c r="P2863" s="317"/>
      <c r="Q2863" s="317"/>
      <c r="R2863" s="317"/>
      <c r="S2863" s="317"/>
      <c r="T2863" s="317"/>
      <c r="U2863" s="317"/>
      <c r="V2863" s="317"/>
      <c r="W2863" s="317"/>
      <c r="X2863" s="317"/>
      <c r="Y2863" s="317"/>
      <c r="Z2863" s="317"/>
    </row>
    <row r="2864" spans="1:26" x14ac:dyDescent="0.25">
      <c r="A2864" s="314"/>
      <c r="B2864" s="18">
        <v>2023</v>
      </c>
      <c r="C2864" s="18" t="s">
        <v>711</v>
      </c>
      <c r="D2864" s="18" t="s">
        <v>1362</v>
      </c>
      <c r="E2864" s="18" t="s">
        <v>56</v>
      </c>
      <c r="F2864" s="18" t="s">
        <v>672</v>
      </c>
      <c r="G2864" s="18" t="s">
        <v>674</v>
      </c>
      <c r="H2864" s="18" t="s">
        <v>859</v>
      </c>
      <c r="I2864" s="315">
        <v>11.464483149307673</v>
      </c>
      <c r="J2864" s="315">
        <v>2.8434336440891013E-3</v>
      </c>
      <c r="K2864" s="316" t="str">
        <f t="shared" si="52"/>
        <v>Construction and Mining Equipment</v>
      </c>
      <c r="L2864" s="316" t="str">
        <f t="shared" si="53"/>
        <v>LPG</v>
      </c>
      <c r="M2864" s="194"/>
      <c r="N2864" s="317"/>
      <c r="O2864" s="317"/>
      <c r="P2864" s="317"/>
      <c r="Q2864" s="317"/>
      <c r="R2864" s="317"/>
      <c r="S2864" s="317"/>
      <c r="T2864" s="317"/>
      <c r="U2864" s="317"/>
      <c r="V2864" s="317"/>
      <c r="W2864" s="317"/>
      <c r="X2864" s="317"/>
      <c r="Y2864" s="317"/>
      <c r="Z2864" s="317"/>
    </row>
    <row r="2865" spans="1:26" x14ac:dyDescent="0.25">
      <c r="A2865" s="314"/>
      <c r="B2865" s="18">
        <v>2023</v>
      </c>
      <c r="C2865" s="18" t="s">
        <v>754</v>
      </c>
      <c r="D2865" s="18" t="s">
        <v>1440</v>
      </c>
      <c r="E2865" s="18" t="s">
        <v>703</v>
      </c>
      <c r="F2865" s="18" t="s">
        <v>704</v>
      </c>
      <c r="G2865" s="18" t="s">
        <v>678</v>
      </c>
      <c r="H2865" s="18" t="s">
        <v>1154</v>
      </c>
      <c r="I2865" s="315">
        <v>11.454657050206619</v>
      </c>
      <c r="J2865" s="315">
        <v>1.1594119134511582E-3</v>
      </c>
      <c r="K2865" s="316" t="str">
        <f t="shared" si="52"/>
        <v>Agricultural Equipment</v>
      </c>
      <c r="L2865" s="316" t="str">
        <f t="shared" si="53"/>
        <v>Gasoline</v>
      </c>
      <c r="M2865" s="194"/>
      <c r="N2865" s="317"/>
      <c r="O2865" s="317"/>
      <c r="P2865" s="317"/>
      <c r="Q2865" s="317"/>
      <c r="R2865" s="317"/>
      <c r="S2865" s="317"/>
      <c r="T2865" s="317"/>
      <c r="U2865" s="317"/>
      <c r="V2865" s="317"/>
      <c r="W2865" s="317"/>
      <c r="X2865" s="317"/>
      <c r="Y2865" s="317"/>
      <c r="Z2865" s="317"/>
    </row>
    <row r="2866" spans="1:26" x14ac:dyDescent="0.25">
      <c r="A2866" s="314"/>
      <c r="B2866" s="18">
        <v>2023</v>
      </c>
      <c r="C2866" s="18" t="s">
        <v>701</v>
      </c>
      <c r="D2866" s="18" t="s">
        <v>1416</v>
      </c>
      <c r="E2866" s="18" t="s">
        <v>56</v>
      </c>
      <c r="F2866" s="18" t="s">
        <v>672</v>
      </c>
      <c r="G2866" s="18" t="s">
        <v>674</v>
      </c>
      <c r="H2866" s="18" t="s">
        <v>861</v>
      </c>
      <c r="I2866" s="315">
        <v>11.423767784737192</v>
      </c>
      <c r="J2866" s="315">
        <v>7.71634800447356E-3</v>
      </c>
      <c r="K2866" s="316" t="str">
        <f t="shared" si="52"/>
        <v>Construction and Mining Equipment</v>
      </c>
      <c r="L2866" s="316" t="str">
        <f t="shared" si="53"/>
        <v>LPG</v>
      </c>
      <c r="M2866" s="194"/>
      <c r="N2866" s="317"/>
      <c r="O2866" s="317"/>
      <c r="P2866" s="317"/>
      <c r="Q2866" s="317"/>
      <c r="R2866" s="317"/>
      <c r="S2866" s="317"/>
      <c r="T2866" s="317"/>
      <c r="U2866" s="317"/>
      <c r="V2866" s="317"/>
      <c r="W2866" s="317"/>
      <c r="X2866" s="317"/>
      <c r="Y2866" s="317"/>
      <c r="Z2866" s="317"/>
    </row>
    <row r="2867" spans="1:26" x14ac:dyDescent="0.25">
      <c r="A2867" s="314"/>
      <c r="B2867" s="18">
        <v>2023</v>
      </c>
      <c r="C2867" s="18" t="s">
        <v>753</v>
      </c>
      <c r="D2867" s="18" t="s">
        <v>1035</v>
      </c>
      <c r="E2867" s="18" t="s">
        <v>703</v>
      </c>
      <c r="F2867" s="18" t="s">
        <v>704</v>
      </c>
      <c r="G2867" s="18" t="s">
        <v>674</v>
      </c>
      <c r="H2867" s="18" t="s">
        <v>1036</v>
      </c>
      <c r="I2867" s="315">
        <v>11.413629577868216</v>
      </c>
      <c r="J2867" s="315">
        <v>8.0460027698705337E-3</v>
      </c>
      <c r="K2867" s="316" t="str">
        <f t="shared" si="52"/>
        <v>Construction and Mining Equipment</v>
      </c>
      <c r="L2867" s="316" t="str">
        <f t="shared" si="53"/>
        <v>Gasoline</v>
      </c>
      <c r="M2867" s="194"/>
      <c r="N2867" s="317"/>
      <c r="O2867" s="317"/>
      <c r="P2867" s="317"/>
      <c r="Q2867" s="317"/>
      <c r="R2867" s="317"/>
      <c r="S2867" s="317"/>
      <c r="T2867" s="317"/>
      <c r="U2867" s="317"/>
      <c r="V2867" s="317"/>
      <c r="W2867" s="317"/>
      <c r="X2867" s="317"/>
      <c r="Y2867" s="317"/>
      <c r="Z2867" s="317"/>
    </row>
    <row r="2868" spans="1:26" x14ac:dyDescent="0.25">
      <c r="A2868" s="314"/>
      <c r="B2868" s="18">
        <v>2023</v>
      </c>
      <c r="C2868" s="18" t="s">
        <v>750</v>
      </c>
      <c r="D2868" s="18" t="s">
        <v>1084</v>
      </c>
      <c r="E2868" s="18" t="s">
        <v>703</v>
      </c>
      <c r="F2868" s="18" t="s">
        <v>704</v>
      </c>
      <c r="G2868" s="18" t="s">
        <v>674</v>
      </c>
      <c r="H2868" s="18" t="s">
        <v>863</v>
      </c>
      <c r="I2868" s="315">
        <v>11.379516107521965</v>
      </c>
      <c r="J2868" s="315">
        <v>6.6370194516890994E-3</v>
      </c>
      <c r="K2868" s="316" t="str">
        <f t="shared" si="52"/>
        <v>Construction and Mining Equipment</v>
      </c>
      <c r="L2868" s="316" t="str">
        <f t="shared" si="53"/>
        <v>Gasoline</v>
      </c>
      <c r="M2868" s="194"/>
      <c r="N2868" s="317"/>
      <c r="O2868" s="317"/>
      <c r="P2868" s="317"/>
      <c r="Q2868" s="317"/>
      <c r="R2868" s="317"/>
      <c r="S2868" s="317"/>
      <c r="T2868" s="317"/>
      <c r="U2868" s="317"/>
      <c r="V2868" s="317"/>
      <c r="W2868" s="317"/>
      <c r="X2868" s="317"/>
      <c r="Y2868" s="317"/>
      <c r="Z2868" s="317"/>
    </row>
    <row r="2869" spans="1:26" x14ac:dyDescent="0.25">
      <c r="A2869" s="314"/>
      <c r="B2869" s="18">
        <v>2023</v>
      </c>
      <c r="C2869" s="18" t="s">
        <v>750</v>
      </c>
      <c r="D2869" s="18" t="s">
        <v>970</v>
      </c>
      <c r="E2869" s="18" t="s">
        <v>713</v>
      </c>
      <c r="F2869" s="18" t="s">
        <v>714</v>
      </c>
      <c r="G2869" s="18" t="s">
        <v>675</v>
      </c>
      <c r="H2869" s="18" t="s">
        <v>969</v>
      </c>
      <c r="I2869" s="315">
        <v>11.375411612602603</v>
      </c>
      <c r="J2869" s="315">
        <v>3.6959819894144362E-4</v>
      </c>
      <c r="K2869" s="316" t="str">
        <f t="shared" si="52"/>
        <v>Industrial Equipment</v>
      </c>
      <c r="L2869" s="316" t="str">
        <f t="shared" si="53"/>
        <v>Diesel</v>
      </c>
      <c r="M2869" s="194"/>
      <c r="N2869" s="317"/>
      <c r="O2869" s="317"/>
      <c r="P2869" s="317"/>
      <c r="Q2869" s="317"/>
      <c r="R2869" s="317"/>
      <c r="S2869" s="317"/>
      <c r="T2869" s="317"/>
      <c r="U2869" s="317"/>
      <c r="V2869" s="317"/>
      <c r="W2869" s="317"/>
      <c r="X2869" s="317"/>
      <c r="Y2869" s="317"/>
      <c r="Z2869" s="317"/>
    </row>
    <row r="2870" spans="1:26" x14ac:dyDescent="0.25">
      <c r="A2870" s="314"/>
      <c r="B2870" s="18">
        <v>2023</v>
      </c>
      <c r="C2870" s="18" t="s">
        <v>731</v>
      </c>
      <c r="D2870" s="18" t="s">
        <v>1018</v>
      </c>
      <c r="E2870" s="18" t="s">
        <v>56</v>
      </c>
      <c r="F2870" s="18" t="s">
        <v>672</v>
      </c>
      <c r="G2870" s="18" t="s">
        <v>677</v>
      </c>
      <c r="H2870" s="18" t="s">
        <v>785</v>
      </c>
      <c r="I2870" s="315">
        <v>11.360367420690686</v>
      </c>
      <c r="J2870" s="315">
        <v>5.574785675452129E-4</v>
      </c>
      <c r="K2870" s="316" t="str">
        <f t="shared" si="52"/>
        <v>Commercial Equipment</v>
      </c>
      <c r="L2870" s="316" t="str">
        <f t="shared" si="53"/>
        <v>LPG</v>
      </c>
      <c r="M2870" s="194"/>
      <c r="N2870" s="317"/>
      <c r="O2870" s="317"/>
      <c r="P2870" s="317"/>
      <c r="Q2870" s="317"/>
      <c r="R2870" s="317"/>
      <c r="S2870" s="317"/>
      <c r="T2870" s="317"/>
      <c r="U2870" s="317"/>
      <c r="V2870" s="317"/>
      <c r="W2870" s="317"/>
      <c r="X2870" s="317"/>
      <c r="Y2870" s="317"/>
      <c r="Z2870" s="317"/>
    </row>
    <row r="2871" spans="1:26" x14ac:dyDescent="0.25">
      <c r="A2871" s="314"/>
      <c r="B2871" s="18">
        <v>2023</v>
      </c>
      <c r="C2871" s="18" t="s">
        <v>786</v>
      </c>
      <c r="D2871" s="18" t="s">
        <v>988</v>
      </c>
      <c r="E2871" s="18" t="s">
        <v>703</v>
      </c>
      <c r="F2871" s="18" t="s">
        <v>805</v>
      </c>
      <c r="G2871" s="18" t="s">
        <v>673</v>
      </c>
      <c r="H2871" s="18" t="s">
        <v>768</v>
      </c>
      <c r="I2871" s="315">
        <v>11.349089428232116</v>
      </c>
      <c r="J2871" s="315">
        <v>2.1128616191814546E-2</v>
      </c>
      <c r="K2871" s="316" t="str">
        <f t="shared" si="52"/>
        <v>Lawn and Garden Equipment</v>
      </c>
      <c r="L2871" s="316" t="str">
        <f t="shared" si="53"/>
        <v>Gasoline</v>
      </c>
      <c r="M2871" s="194"/>
      <c r="N2871" s="317"/>
      <c r="O2871" s="317"/>
      <c r="P2871" s="317"/>
      <c r="Q2871" s="317"/>
      <c r="R2871" s="317"/>
      <c r="S2871" s="317"/>
      <c r="T2871" s="317"/>
      <c r="U2871" s="317"/>
      <c r="V2871" s="317"/>
      <c r="W2871" s="317"/>
      <c r="X2871" s="317"/>
      <c r="Y2871" s="317"/>
      <c r="Z2871" s="317"/>
    </row>
    <row r="2872" spans="1:26" x14ac:dyDescent="0.25">
      <c r="A2872" s="314"/>
      <c r="B2872" s="18">
        <v>2023</v>
      </c>
      <c r="C2872" s="18" t="s">
        <v>778</v>
      </c>
      <c r="D2872" s="18" t="s">
        <v>1016</v>
      </c>
      <c r="E2872" s="18" t="s">
        <v>56</v>
      </c>
      <c r="F2872" s="18" t="s">
        <v>672</v>
      </c>
      <c r="G2872" s="18" t="s">
        <v>675</v>
      </c>
      <c r="H2872" s="18" t="s">
        <v>802</v>
      </c>
      <c r="I2872" s="315">
        <v>11.323011041968144</v>
      </c>
      <c r="J2872" s="315">
        <v>5.1947506405282634E-4</v>
      </c>
      <c r="K2872" s="316" t="str">
        <f t="shared" si="52"/>
        <v>Industrial Equipment</v>
      </c>
      <c r="L2872" s="316" t="str">
        <f t="shared" si="53"/>
        <v>LPG</v>
      </c>
      <c r="M2872" s="194"/>
      <c r="N2872" s="317"/>
      <c r="O2872" s="317"/>
      <c r="P2872" s="317"/>
      <c r="Q2872" s="317"/>
      <c r="R2872" s="317"/>
      <c r="S2872" s="317"/>
      <c r="T2872" s="317"/>
      <c r="U2872" s="317"/>
      <c r="V2872" s="317"/>
      <c r="W2872" s="317"/>
      <c r="X2872" s="317"/>
      <c r="Y2872" s="317"/>
      <c r="Z2872" s="317"/>
    </row>
    <row r="2873" spans="1:26" x14ac:dyDescent="0.25">
      <c r="A2873" s="314"/>
      <c r="B2873" s="18">
        <v>2023</v>
      </c>
      <c r="C2873" s="18" t="s">
        <v>732</v>
      </c>
      <c r="D2873" s="18" t="s">
        <v>1226</v>
      </c>
      <c r="E2873" s="18" t="s">
        <v>703</v>
      </c>
      <c r="F2873" s="18" t="s">
        <v>805</v>
      </c>
      <c r="G2873" s="18" t="s">
        <v>677</v>
      </c>
      <c r="H2873" s="18" t="s">
        <v>747</v>
      </c>
      <c r="I2873" s="315">
        <v>11.320645154646233</v>
      </c>
      <c r="J2873" s="315">
        <v>2.2891117823135913E-2</v>
      </c>
      <c r="K2873" s="316" t="str">
        <f t="shared" si="52"/>
        <v>Commercial Equipment</v>
      </c>
      <c r="L2873" s="316" t="str">
        <f t="shared" si="53"/>
        <v>Gasoline</v>
      </c>
      <c r="M2873" s="194"/>
      <c r="N2873" s="317"/>
      <c r="O2873" s="317"/>
      <c r="P2873" s="317"/>
      <c r="Q2873" s="317"/>
      <c r="R2873" s="317"/>
      <c r="S2873" s="317"/>
      <c r="T2873" s="317"/>
      <c r="U2873" s="317"/>
      <c r="V2873" s="317"/>
      <c r="W2873" s="317"/>
      <c r="X2873" s="317"/>
      <c r="Y2873" s="317"/>
      <c r="Z2873" s="317"/>
    </row>
    <row r="2874" spans="1:26" x14ac:dyDescent="0.25">
      <c r="A2874" s="314"/>
      <c r="B2874" s="18">
        <v>2023</v>
      </c>
      <c r="C2874" s="18" t="s">
        <v>810</v>
      </c>
      <c r="D2874" s="18" t="s">
        <v>1003</v>
      </c>
      <c r="E2874" s="18" t="s">
        <v>703</v>
      </c>
      <c r="F2874" s="18" t="s">
        <v>805</v>
      </c>
      <c r="G2874" s="18" t="s">
        <v>677</v>
      </c>
      <c r="H2874" s="18" t="s">
        <v>841</v>
      </c>
      <c r="I2874" s="315">
        <v>11.2962323413965</v>
      </c>
      <c r="J2874" s="315">
        <v>2.1765969000524486E-2</v>
      </c>
      <c r="K2874" s="316" t="str">
        <f t="shared" si="52"/>
        <v>Commercial Equipment</v>
      </c>
      <c r="L2874" s="316" t="str">
        <f t="shared" si="53"/>
        <v>Gasoline</v>
      </c>
      <c r="M2874" s="194"/>
      <c r="N2874" s="317"/>
      <c r="O2874" s="317"/>
      <c r="P2874" s="317"/>
      <c r="Q2874" s="317"/>
      <c r="R2874" s="317"/>
      <c r="S2874" s="317"/>
      <c r="T2874" s="317"/>
      <c r="U2874" s="317"/>
      <c r="V2874" s="317"/>
      <c r="W2874" s="317"/>
      <c r="X2874" s="317"/>
      <c r="Y2874" s="317"/>
      <c r="Z2874" s="317"/>
    </row>
    <row r="2875" spans="1:26" x14ac:dyDescent="0.25">
      <c r="A2875" s="314"/>
      <c r="B2875" s="18">
        <v>2023</v>
      </c>
      <c r="C2875" s="18" t="s">
        <v>754</v>
      </c>
      <c r="D2875" s="18" t="s">
        <v>1212</v>
      </c>
      <c r="E2875" s="18" t="s">
        <v>56</v>
      </c>
      <c r="F2875" s="18" t="s">
        <v>672</v>
      </c>
      <c r="G2875" s="18" t="s">
        <v>675</v>
      </c>
      <c r="H2875" s="18" t="s">
        <v>798</v>
      </c>
      <c r="I2875" s="315">
        <v>11.265645392070306</v>
      </c>
      <c r="J2875" s="315">
        <v>5.0902386279400784E-4</v>
      </c>
      <c r="K2875" s="316" t="str">
        <f t="shared" si="52"/>
        <v>Industrial Equipment</v>
      </c>
      <c r="L2875" s="316" t="str">
        <f t="shared" si="53"/>
        <v>LPG</v>
      </c>
      <c r="M2875" s="194"/>
      <c r="N2875" s="317"/>
      <c r="O2875" s="317"/>
      <c r="P2875" s="317"/>
      <c r="Q2875" s="317"/>
      <c r="R2875" s="317"/>
      <c r="S2875" s="317"/>
      <c r="T2875" s="317"/>
      <c r="U2875" s="317"/>
      <c r="V2875" s="317"/>
      <c r="W2875" s="317"/>
      <c r="X2875" s="317"/>
      <c r="Y2875" s="317"/>
      <c r="Z2875" s="317"/>
    </row>
    <row r="2876" spans="1:26" x14ac:dyDescent="0.25">
      <c r="A2876" s="314"/>
      <c r="B2876" s="18">
        <v>2023</v>
      </c>
      <c r="C2876" s="18" t="s">
        <v>759</v>
      </c>
      <c r="D2876" s="18" t="s">
        <v>1278</v>
      </c>
      <c r="E2876" s="18" t="s">
        <v>703</v>
      </c>
      <c r="F2876" s="18" t="s">
        <v>704</v>
      </c>
      <c r="G2876" s="18" t="s">
        <v>678</v>
      </c>
      <c r="H2876" s="18" t="s">
        <v>1279</v>
      </c>
      <c r="I2876" s="315">
        <v>11.24125508712407</v>
      </c>
      <c r="J2876" s="315">
        <v>1.4954802022116277E-2</v>
      </c>
      <c r="K2876" s="316" t="str">
        <f t="shared" si="52"/>
        <v>Agricultural Equipment</v>
      </c>
      <c r="L2876" s="316" t="str">
        <f t="shared" si="53"/>
        <v>Gasoline</v>
      </c>
      <c r="M2876" s="194"/>
      <c r="N2876" s="317"/>
      <c r="O2876" s="317"/>
      <c r="P2876" s="317"/>
      <c r="Q2876" s="317"/>
      <c r="R2876" s="317"/>
      <c r="S2876" s="317"/>
      <c r="T2876" s="317"/>
      <c r="U2876" s="317"/>
      <c r="V2876" s="317"/>
      <c r="W2876" s="317"/>
      <c r="X2876" s="317"/>
      <c r="Y2876" s="317"/>
      <c r="Z2876" s="317"/>
    </row>
    <row r="2877" spans="1:26" x14ac:dyDescent="0.25">
      <c r="A2877" s="314"/>
      <c r="B2877" s="18">
        <v>2023</v>
      </c>
      <c r="C2877" s="18" t="s">
        <v>711</v>
      </c>
      <c r="D2877" s="18" t="s">
        <v>1366</v>
      </c>
      <c r="E2877" s="18" t="s">
        <v>703</v>
      </c>
      <c r="F2877" s="18" t="s">
        <v>704</v>
      </c>
      <c r="G2877" s="18" t="s">
        <v>674</v>
      </c>
      <c r="H2877" s="18" t="s">
        <v>791</v>
      </c>
      <c r="I2877" s="315">
        <v>11.232586906848971</v>
      </c>
      <c r="J2877" s="315">
        <v>3.5134139836622189E-3</v>
      </c>
      <c r="K2877" s="316" t="str">
        <f t="shared" si="52"/>
        <v>Construction and Mining Equipment</v>
      </c>
      <c r="L2877" s="316" t="str">
        <f t="shared" si="53"/>
        <v>Gasoline</v>
      </c>
      <c r="M2877" s="194"/>
      <c r="N2877" s="317"/>
      <c r="O2877" s="317"/>
      <c r="P2877" s="317"/>
      <c r="Q2877" s="317"/>
      <c r="R2877" s="317"/>
      <c r="S2877" s="317"/>
      <c r="T2877" s="317"/>
      <c r="U2877" s="317"/>
      <c r="V2877" s="317"/>
      <c r="W2877" s="317"/>
      <c r="X2877" s="317"/>
      <c r="Y2877" s="317"/>
      <c r="Z2877" s="317"/>
    </row>
    <row r="2878" spans="1:26" x14ac:dyDescent="0.25">
      <c r="A2878" s="314"/>
      <c r="B2878" s="18">
        <v>2023</v>
      </c>
      <c r="C2878" s="18" t="s">
        <v>792</v>
      </c>
      <c r="D2878" s="18" t="s">
        <v>878</v>
      </c>
      <c r="E2878" s="18" t="s">
        <v>703</v>
      </c>
      <c r="F2878" s="18" t="s">
        <v>704</v>
      </c>
      <c r="G2878" s="18" t="s">
        <v>673</v>
      </c>
      <c r="H2878" s="18" t="s">
        <v>879</v>
      </c>
      <c r="I2878" s="315">
        <v>11.22669351514627</v>
      </c>
      <c r="J2878" s="315">
        <v>7.4163880438356108E-3</v>
      </c>
      <c r="K2878" s="316" t="str">
        <f t="shared" si="52"/>
        <v>Lawn and Garden Equipment</v>
      </c>
      <c r="L2878" s="316" t="str">
        <f t="shared" si="53"/>
        <v>Gasoline</v>
      </c>
      <c r="M2878" s="194"/>
      <c r="N2878" s="317"/>
      <c r="O2878" s="317"/>
      <c r="P2878" s="317"/>
      <c r="Q2878" s="317"/>
      <c r="R2878" s="317"/>
      <c r="S2878" s="317"/>
      <c r="T2878" s="317"/>
      <c r="U2878" s="317"/>
      <c r="V2878" s="317"/>
      <c r="W2878" s="317"/>
      <c r="X2878" s="317"/>
      <c r="Y2878" s="317"/>
      <c r="Z2878" s="317"/>
    </row>
    <row r="2879" spans="1:26" x14ac:dyDescent="0.25">
      <c r="A2879" s="314"/>
      <c r="B2879" s="18">
        <v>2023</v>
      </c>
      <c r="C2879" s="18" t="s">
        <v>709</v>
      </c>
      <c r="D2879" s="18" t="s">
        <v>1435</v>
      </c>
      <c r="E2879" s="18" t="s">
        <v>56</v>
      </c>
      <c r="F2879" s="18" t="s">
        <v>672</v>
      </c>
      <c r="G2879" s="18" t="s">
        <v>674</v>
      </c>
      <c r="H2879" s="18" t="s">
        <v>863</v>
      </c>
      <c r="I2879" s="315">
        <v>11.217347723170892</v>
      </c>
      <c r="J2879" s="315">
        <v>7.4702813093796973E-4</v>
      </c>
      <c r="K2879" s="316" t="str">
        <f t="shared" si="52"/>
        <v>Construction and Mining Equipment</v>
      </c>
      <c r="L2879" s="316" t="str">
        <f t="shared" si="53"/>
        <v>LPG</v>
      </c>
      <c r="M2879" s="194"/>
      <c r="N2879" s="317"/>
      <c r="O2879" s="317"/>
      <c r="P2879" s="317"/>
      <c r="Q2879" s="317"/>
      <c r="R2879" s="317"/>
      <c r="S2879" s="317"/>
      <c r="T2879" s="317"/>
      <c r="U2879" s="317"/>
      <c r="V2879" s="317"/>
      <c r="W2879" s="317"/>
      <c r="X2879" s="317"/>
      <c r="Y2879" s="317"/>
      <c r="Z2879" s="317"/>
    </row>
    <row r="2880" spans="1:26" x14ac:dyDescent="0.25">
      <c r="A2880" s="314"/>
      <c r="B2880" s="18">
        <v>2023</v>
      </c>
      <c r="C2880" s="18" t="s">
        <v>793</v>
      </c>
      <c r="D2880" s="18" t="s">
        <v>1011</v>
      </c>
      <c r="E2880" s="18" t="s">
        <v>56</v>
      </c>
      <c r="F2880" s="18" t="s">
        <v>672</v>
      </c>
      <c r="G2880" s="18" t="s">
        <v>677</v>
      </c>
      <c r="H2880" s="18" t="s">
        <v>836</v>
      </c>
      <c r="I2880" s="315">
        <v>11.119916885069216</v>
      </c>
      <c r="J2880" s="315">
        <v>5.9077105019347017E-4</v>
      </c>
      <c r="K2880" s="316" t="str">
        <f t="shared" si="52"/>
        <v>Commercial Equipment</v>
      </c>
      <c r="L2880" s="316" t="str">
        <f t="shared" si="53"/>
        <v>LPG</v>
      </c>
      <c r="M2880" s="194"/>
      <c r="N2880" s="317"/>
      <c r="O2880" s="317"/>
      <c r="P2880" s="317"/>
      <c r="Q2880" s="317"/>
      <c r="R2880" s="317"/>
      <c r="S2880" s="317"/>
      <c r="T2880" s="317"/>
      <c r="U2880" s="317"/>
      <c r="V2880" s="317"/>
      <c r="W2880" s="317"/>
      <c r="X2880" s="317"/>
      <c r="Y2880" s="317"/>
      <c r="Z2880" s="317"/>
    </row>
    <row r="2881" spans="1:26" x14ac:dyDescent="0.25">
      <c r="A2881" s="314"/>
      <c r="B2881" s="18">
        <v>2023</v>
      </c>
      <c r="C2881" s="18" t="s">
        <v>743</v>
      </c>
      <c r="D2881" s="18" t="s">
        <v>1409</v>
      </c>
      <c r="E2881" s="18" t="s">
        <v>703</v>
      </c>
      <c r="F2881" s="18" t="s">
        <v>704</v>
      </c>
      <c r="G2881" s="18" t="s">
        <v>678</v>
      </c>
      <c r="H2881" s="18" t="s">
        <v>1222</v>
      </c>
      <c r="I2881" s="315">
        <v>11.116144020346272</v>
      </c>
      <c r="J2881" s="315">
        <v>7.3665792523887686E-3</v>
      </c>
      <c r="K2881" s="316" t="str">
        <f t="shared" si="52"/>
        <v>Agricultural Equipment</v>
      </c>
      <c r="L2881" s="316" t="str">
        <f t="shared" si="53"/>
        <v>Gasoline</v>
      </c>
      <c r="M2881" s="194"/>
      <c r="N2881" s="317"/>
      <c r="O2881" s="317"/>
      <c r="P2881" s="317"/>
      <c r="Q2881" s="317"/>
      <c r="R2881" s="317"/>
      <c r="S2881" s="317"/>
      <c r="T2881" s="317"/>
      <c r="U2881" s="317"/>
      <c r="V2881" s="317"/>
      <c r="W2881" s="317"/>
      <c r="X2881" s="317"/>
      <c r="Y2881" s="317"/>
      <c r="Z2881" s="317"/>
    </row>
    <row r="2882" spans="1:26" x14ac:dyDescent="0.25">
      <c r="A2882" s="314"/>
      <c r="B2882" s="18">
        <v>2023</v>
      </c>
      <c r="C2882" s="18" t="s">
        <v>792</v>
      </c>
      <c r="D2882" s="18" t="s">
        <v>882</v>
      </c>
      <c r="E2882" s="18" t="s">
        <v>713</v>
      </c>
      <c r="F2882" s="18" t="s">
        <v>714</v>
      </c>
      <c r="G2882" s="18" t="s">
        <v>673</v>
      </c>
      <c r="H2882" s="18" t="s">
        <v>705</v>
      </c>
      <c r="I2882" s="315">
        <v>11.107511733006756</v>
      </c>
      <c r="J2882" s="315">
        <v>1.8642380672045011E-4</v>
      </c>
      <c r="K2882" s="316" t="str">
        <f t="shared" si="52"/>
        <v>Lawn and Garden Equipment</v>
      </c>
      <c r="L2882" s="316" t="str">
        <f t="shared" si="53"/>
        <v>Diesel</v>
      </c>
      <c r="M2882" s="194"/>
      <c r="N2882" s="317"/>
      <c r="O2882" s="317"/>
      <c r="P2882" s="317"/>
      <c r="Q2882" s="317"/>
      <c r="R2882" s="317"/>
      <c r="S2882" s="317"/>
      <c r="T2882" s="317"/>
      <c r="U2882" s="317"/>
      <c r="V2882" s="317"/>
      <c r="W2882" s="317"/>
      <c r="X2882" s="317"/>
      <c r="Y2882" s="317"/>
      <c r="Z2882" s="317"/>
    </row>
    <row r="2883" spans="1:26" x14ac:dyDescent="0.25">
      <c r="A2883" s="314"/>
      <c r="B2883" s="18">
        <v>2023</v>
      </c>
      <c r="C2883" s="18" t="s">
        <v>750</v>
      </c>
      <c r="D2883" s="18" t="s">
        <v>1278</v>
      </c>
      <c r="E2883" s="18" t="s">
        <v>703</v>
      </c>
      <c r="F2883" s="18" t="s">
        <v>704</v>
      </c>
      <c r="G2883" s="18" t="s">
        <v>678</v>
      </c>
      <c r="H2883" s="18" t="s">
        <v>1279</v>
      </c>
      <c r="I2883" s="315">
        <v>11.028653061617756</v>
      </c>
      <c r="J2883" s="315">
        <v>1.4685219758783537E-2</v>
      </c>
      <c r="K2883" s="316" t="str">
        <f t="shared" si="52"/>
        <v>Agricultural Equipment</v>
      </c>
      <c r="L2883" s="316" t="str">
        <f t="shared" si="53"/>
        <v>Gasoline</v>
      </c>
      <c r="M2883" s="194"/>
      <c r="N2883" s="317"/>
      <c r="O2883" s="317"/>
      <c r="P2883" s="317"/>
      <c r="Q2883" s="317"/>
      <c r="R2883" s="317"/>
      <c r="S2883" s="317"/>
      <c r="T2883" s="317"/>
      <c r="U2883" s="317"/>
      <c r="V2883" s="317"/>
      <c r="W2883" s="317"/>
      <c r="X2883" s="317"/>
      <c r="Y2883" s="317"/>
      <c r="Z2883" s="317"/>
    </row>
    <row r="2884" spans="1:26" x14ac:dyDescent="0.25">
      <c r="A2884" s="314"/>
      <c r="B2884" s="18">
        <v>2023</v>
      </c>
      <c r="C2884" s="18" t="s">
        <v>753</v>
      </c>
      <c r="D2884" s="18" t="s">
        <v>737</v>
      </c>
      <c r="E2884" s="18" t="s">
        <v>713</v>
      </c>
      <c r="F2884" s="18" t="s">
        <v>714</v>
      </c>
      <c r="G2884" s="18" t="s">
        <v>680</v>
      </c>
      <c r="H2884" s="18" t="s">
        <v>680</v>
      </c>
      <c r="I2884" s="315">
        <v>11.015851547365093</v>
      </c>
      <c r="J2884" s="315">
        <v>8.8946182328722824E-5</v>
      </c>
      <c r="K2884" s="316" t="str">
        <f t="shared" si="52"/>
        <v>Airport Ground Support Equipment</v>
      </c>
      <c r="L2884" s="316" t="str">
        <f t="shared" si="53"/>
        <v>Diesel</v>
      </c>
      <c r="M2884" s="194"/>
      <c r="N2884" s="317"/>
      <c r="O2884" s="317"/>
      <c r="P2884" s="317"/>
      <c r="Q2884" s="317"/>
      <c r="R2884" s="317"/>
      <c r="S2884" s="317"/>
      <c r="T2884" s="317"/>
      <c r="U2884" s="317"/>
      <c r="V2884" s="317"/>
      <c r="W2884" s="317"/>
      <c r="X2884" s="317"/>
      <c r="Y2884" s="317"/>
      <c r="Z2884" s="317"/>
    </row>
    <row r="2885" spans="1:26" x14ac:dyDescent="0.25">
      <c r="A2885" s="314"/>
      <c r="B2885" s="18">
        <v>2023</v>
      </c>
      <c r="C2885" s="18" t="s">
        <v>701</v>
      </c>
      <c r="D2885" s="18" t="s">
        <v>1407</v>
      </c>
      <c r="E2885" s="18" t="s">
        <v>56</v>
      </c>
      <c r="F2885" s="18" t="s">
        <v>672</v>
      </c>
      <c r="G2885" s="18" t="s">
        <v>675</v>
      </c>
      <c r="H2885" s="18" t="s">
        <v>1078</v>
      </c>
      <c r="I2885" s="315">
        <v>11.007629183389923</v>
      </c>
      <c r="J2885" s="315">
        <v>9.8904256434549534E-4</v>
      </c>
      <c r="K2885" s="316" t="str">
        <f t="shared" si="52"/>
        <v>Industrial Equipment</v>
      </c>
      <c r="L2885" s="316" t="str">
        <f t="shared" si="53"/>
        <v>LPG</v>
      </c>
      <c r="M2885" s="194"/>
      <c r="N2885" s="317"/>
      <c r="O2885" s="317"/>
      <c r="P2885" s="317"/>
      <c r="Q2885" s="317"/>
      <c r="R2885" s="317"/>
      <c r="S2885" s="317"/>
      <c r="T2885" s="317"/>
      <c r="U2885" s="317"/>
      <c r="V2885" s="317"/>
      <c r="W2885" s="317"/>
      <c r="X2885" s="317"/>
      <c r="Y2885" s="317"/>
      <c r="Z2885" s="317"/>
    </row>
    <row r="2886" spans="1:26" x14ac:dyDescent="0.25">
      <c r="A2886" s="314"/>
      <c r="B2886" s="18">
        <v>2023</v>
      </c>
      <c r="C2886" s="18" t="s">
        <v>722</v>
      </c>
      <c r="D2886" s="18" t="s">
        <v>1317</v>
      </c>
      <c r="E2886" s="18" t="s">
        <v>713</v>
      </c>
      <c r="F2886" s="18" t="s">
        <v>714</v>
      </c>
      <c r="G2886" s="18" t="s">
        <v>673</v>
      </c>
      <c r="H2886" s="18" t="s">
        <v>865</v>
      </c>
      <c r="I2886" s="315">
        <v>10.993332620130454</v>
      </c>
      <c r="J2886" s="315">
        <v>3.4720374348224704E-4</v>
      </c>
      <c r="K2886" s="316" t="str">
        <f t="shared" si="52"/>
        <v>Lawn and Garden Equipment</v>
      </c>
      <c r="L2886" s="316" t="str">
        <f t="shared" si="53"/>
        <v>Diesel</v>
      </c>
      <c r="M2886" s="194"/>
      <c r="N2886" s="317"/>
      <c r="O2886" s="317"/>
      <c r="P2886" s="317"/>
      <c r="Q2886" s="317"/>
      <c r="R2886" s="317"/>
      <c r="S2886" s="317"/>
      <c r="T2886" s="317"/>
      <c r="U2886" s="317"/>
      <c r="V2886" s="317"/>
      <c r="W2886" s="317"/>
      <c r="X2886" s="317"/>
      <c r="Y2886" s="317"/>
      <c r="Z2886" s="317"/>
    </row>
    <row r="2887" spans="1:26" x14ac:dyDescent="0.25">
      <c r="A2887" s="314"/>
      <c r="B2887" s="18">
        <v>2023</v>
      </c>
      <c r="C2887" s="18" t="s">
        <v>701</v>
      </c>
      <c r="D2887" s="18" t="s">
        <v>1425</v>
      </c>
      <c r="E2887" s="18" t="s">
        <v>56</v>
      </c>
      <c r="F2887" s="18" t="s">
        <v>672</v>
      </c>
      <c r="G2887" s="18" t="s">
        <v>674</v>
      </c>
      <c r="H2887" s="18" t="s">
        <v>791</v>
      </c>
      <c r="I2887" s="315">
        <v>10.94542944627381</v>
      </c>
      <c r="J2887" s="315">
        <v>2.1040630999499261E-3</v>
      </c>
      <c r="K2887" s="316" t="str">
        <f t="shared" si="52"/>
        <v>Construction and Mining Equipment</v>
      </c>
      <c r="L2887" s="316" t="str">
        <f t="shared" si="53"/>
        <v>LPG</v>
      </c>
      <c r="M2887" s="194"/>
      <c r="N2887" s="317"/>
      <c r="O2887" s="317"/>
      <c r="P2887" s="317"/>
      <c r="Q2887" s="317"/>
      <c r="R2887" s="317"/>
      <c r="S2887" s="317"/>
      <c r="T2887" s="317"/>
      <c r="U2887" s="317"/>
      <c r="V2887" s="317"/>
      <c r="W2887" s="317"/>
      <c r="X2887" s="317"/>
      <c r="Y2887" s="317"/>
      <c r="Z2887" s="317"/>
    </row>
    <row r="2888" spans="1:26" x14ac:dyDescent="0.25">
      <c r="A2888" s="314"/>
      <c r="B2888" s="18">
        <v>2023</v>
      </c>
      <c r="C2888" s="18" t="s">
        <v>722</v>
      </c>
      <c r="D2888" s="18" t="s">
        <v>1292</v>
      </c>
      <c r="E2888" s="18" t="s">
        <v>703</v>
      </c>
      <c r="F2888" s="18" t="s">
        <v>795</v>
      </c>
      <c r="G2888" s="18" t="s">
        <v>675</v>
      </c>
      <c r="H2888" s="18" t="s">
        <v>1293</v>
      </c>
      <c r="I2888" s="315">
        <v>10.941015132981622</v>
      </c>
      <c r="J2888" s="315">
        <v>7.3463570304654873E-3</v>
      </c>
      <c r="K2888" s="316" t="str">
        <f t="shared" si="52"/>
        <v>Industrial Equipment</v>
      </c>
      <c r="L2888" s="316" t="str">
        <f t="shared" si="53"/>
        <v>Gasoline</v>
      </c>
      <c r="M2888" s="194"/>
      <c r="N2888" s="317"/>
      <c r="O2888" s="317"/>
      <c r="P2888" s="317"/>
      <c r="Q2888" s="317"/>
      <c r="R2888" s="317"/>
      <c r="S2888" s="317"/>
      <c r="T2888" s="317"/>
      <c r="U2888" s="317"/>
      <c r="V2888" s="317"/>
      <c r="W2888" s="317"/>
      <c r="X2888" s="317"/>
      <c r="Y2888" s="317"/>
      <c r="Z2888" s="317"/>
    </row>
    <row r="2889" spans="1:26" ht="12.75" x14ac:dyDescent="0.2">
      <c r="A2889" s="230"/>
      <c r="B2889" s="18">
        <v>2023</v>
      </c>
      <c r="C2889" s="18" t="s">
        <v>731</v>
      </c>
      <c r="D2889" s="18" t="s">
        <v>1020</v>
      </c>
      <c r="E2889" s="18" t="s">
        <v>713</v>
      </c>
      <c r="F2889" s="18" t="s">
        <v>714</v>
      </c>
      <c r="G2889" s="18" t="s">
        <v>677</v>
      </c>
      <c r="H2889" s="18" t="s">
        <v>789</v>
      </c>
      <c r="I2889" s="315">
        <v>10.940379219920519</v>
      </c>
      <c r="J2889" s="315">
        <v>2.5177525310945666E-4</v>
      </c>
      <c r="K2889" s="316" t="str">
        <f t="shared" si="52"/>
        <v>Commercial Equipment</v>
      </c>
      <c r="L2889" s="316" t="str">
        <f t="shared" si="53"/>
        <v>Diesel</v>
      </c>
      <c r="M2889" s="8"/>
      <c r="N2889" s="2"/>
      <c r="O2889" s="2"/>
      <c r="P2889" s="2"/>
      <c r="Q2889" s="2"/>
      <c r="R2889" s="2"/>
      <c r="S2889" s="2"/>
      <c r="T2889" s="2"/>
      <c r="U2889" s="2"/>
      <c r="V2889" s="2"/>
      <c r="W2889" s="2"/>
      <c r="X2889" s="2"/>
      <c r="Y2889" s="2"/>
      <c r="Z2889" s="2"/>
    </row>
    <row r="2890" spans="1:26" ht="12.75" x14ac:dyDescent="0.2">
      <c r="A2890" s="230"/>
      <c r="B2890" s="18">
        <v>2023</v>
      </c>
      <c r="C2890" s="18" t="s">
        <v>792</v>
      </c>
      <c r="D2890" s="18" t="s">
        <v>1079</v>
      </c>
      <c r="E2890" s="18" t="s">
        <v>713</v>
      </c>
      <c r="F2890" s="18" t="s">
        <v>714</v>
      </c>
      <c r="G2890" s="18" t="s">
        <v>678</v>
      </c>
      <c r="H2890" s="18" t="s">
        <v>1080</v>
      </c>
      <c r="I2890" s="315">
        <v>10.904420828410611</v>
      </c>
      <c r="J2890" s="315">
        <v>7.9137897671450476E-5</v>
      </c>
      <c r="K2890" s="316" t="str">
        <f t="shared" si="52"/>
        <v>Agricultural Equipment</v>
      </c>
      <c r="L2890" s="316" t="str">
        <f t="shared" si="53"/>
        <v>Diesel</v>
      </c>
      <c r="M2890" s="8"/>
      <c r="N2890" s="2"/>
      <c r="O2890" s="2"/>
      <c r="P2890" s="2"/>
      <c r="Q2890" s="2"/>
      <c r="R2890" s="2"/>
      <c r="S2890" s="2"/>
      <c r="T2890" s="2"/>
      <c r="U2890" s="2"/>
      <c r="V2890" s="2"/>
      <c r="W2890" s="2"/>
      <c r="X2890" s="2"/>
      <c r="Y2890" s="2"/>
      <c r="Z2890" s="2"/>
    </row>
    <row r="2891" spans="1:26" ht="12.75" x14ac:dyDescent="0.2">
      <c r="A2891" s="230"/>
      <c r="B2891" s="18">
        <v>2023</v>
      </c>
      <c r="C2891" s="18" t="s">
        <v>759</v>
      </c>
      <c r="D2891" s="18" t="s">
        <v>995</v>
      </c>
      <c r="E2891" s="18" t="s">
        <v>703</v>
      </c>
      <c r="F2891" s="18" t="s">
        <v>805</v>
      </c>
      <c r="G2891" s="18" t="s">
        <v>673</v>
      </c>
      <c r="H2891" s="18" t="s">
        <v>996</v>
      </c>
      <c r="I2891" s="315">
        <v>10.900046279868668</v>
      </c>
      <c r="J2891" s="315">
        <v>2.0326577617432243E-2</v>
      </c>
      <c r="K2891" s="316" t="str">
        <f t="shared" si="52"/>
        <v>Lawn and Garden Equipment</v>
      </c>
      <c r="L2891" s="316" t="str">
        <f t="shared" si="53"/>
        <v>Gasoline</v>
      </c>
      <c r="M2891" s="8"/>
      <c r="N2891" s="2"/>
      <c r="O2891" s="2"/>
      <c r="P2891" s="2"/>
      <c r="Q2891" s="2"/>
      <c r="R2891" s="2"/>
      <c r="S2891" s="2"/>
      <c r="T2891" s="2"/>
      <c r="U2891" s="2"/>
      <c r="V2891" s="2"/>
      <c r="W2891" s="2"/>
      <c r="X2891" s="2"/>
      <c r="Y2891" s="2"/>
      <c r="Z2891" s="2"/>
    </row>
    <row r="2892" spans="1:26" ht="12.75" x14ac:dyDescent="0.2">
      <c r="A2892" s="230"/>
      <c r="B2892" s="18">
        <v>2023</v>
      </c>
      <c r="C2892" s="18" t="s">
        <v>760</v>
      </c>
      <c r="D2892" s="18" t="s">
        <v>1226</v>
      </c>
      <c r="E2892" s="18" t="s">
        <v>703</v>
      </c>
      <c r="F2892" s="18" t="s">
        <v>805</v>
      </c>
      <c r="G2892" s="18" t="s">
        <v>677</v>
      </c>
      <c r="H2892" s="18" t="s">
        <v>747</v>
      </c>
      <c r="I2892" s="315">
        <v>10.885228694743313</v>
      </c>
      <c r="J2892" s="315">
        <v>2.2010678499468493E-2</v>
      </c>
      <c r="K2892" s="316" t="str">
        <f t="shared" si="52"/>
        <v>Commercial Equipment</v>
      </c>
      <c r="L2892" s="316" t="str">
        <f t="shared" si="53"/>
        <v>Gasoline</v>
      </c>
      <c r="M2892" s="8"/>
      <c r="N2892" s="2"/>
      <c r="O2892" s="2"/>
      <c r="P2892" s="2"/>
      <c r="Q2892" s="2"/>
      <c r="R2892" s="2"/>
      <c r="S2892" s="2"/>
      <c r="T2892" s="2"/>
      <c r="U2892" s="2"/>
      <c r="V2892" s="2"/>
      <c r="W2892" s="2"/>
      <c r="X2892" s="2"/>
      <c r="Y2892" s="2"/>
      <c r="Z2892" s="2"/>
    </row>
    <row r="2893" spans="1:26" ht="12.75" x14ac:dyDescent="0.2">
      <c r="A2893" s="230"/>
      <c r="B2893" s="18">
        <v>2023</v>
      </c>
      <c r="C2893" s="18" t="s">
        <v>760</v>
      </c>
      <c r="D2893" s="18" t="s">
        <v>1228</v>
      </c>
      <c r="E2893" s="18" t="s">
        <v>703</v>
      </c>
      <c r="F2893" s="18" t="s">
        <v>704</v>
      </c>
      <c r="G2893" s="18" t="s">
        <v>675</v>
      </c>
      <c r="H2893" s="18" t="s">
        <v>1078</v>
      </c>
      <c r="I2893" s="315">
        <v>10.862473301279435</v>
      </c>
      <c r="J2893" s="315">
        <v>3.6688489207949071E-3</v>
      </c>
      <c r="K2893" s="316" t="str">
        <f t="shared" si="52"/>
        <v>Industrial Equipment</v>
      </c>
      <c r="L2893" s="316" t="str">
        <f t="shared" si="53"/>
        <v>Gasoline</v>
      </c>
      <c r="M2893" s="8"/>
      <c r="N2893" s="2"/>
      <c r="O2893" s="2"/>
      <c r="P2893" s="2"/>
      <c r="Q2893" s="2"/>
      <c r="R2893" s="2"/>
      <c r="S2893" s="2"/>
      <c r="T2893" s="2"/>
      <c r="U2893" s="2"/>
      <c r="V2893" s="2"/>
      <c r="W2893" s="2"/>
      <c r="X2893" s="2"/>
      <c r="Y2893" s="2"/>
      <c r="Z2893" s="2"/>
    </row>
    <row r="2894" spans="1:26" ht="12.75" x14ac:dyDescent="0.2">
      <c r="A2894" s="230"/>
      <c r="B2894" s="18">
        <v>2023</v>
      </c>
      <c r="C2894" s="18" t="s">
        <v>787</v>
      </c>
      <c r="D2894" s="18" t="s">
        <v>1158</v>
      </c>
      <c r="E2894" s="18" t="s">
        <v>703</v>
      </c>
      <c r="F2894" s="18" t="s">
        <v>704</v>
      </c>
      <c r="G2894" s="18" t="s">
        <v>674</v>
      </c>
      <c r="H2894" s="18" t="s">
        <v>715</v>
      </c>
      <c r="I2894" s="315">
        <v>10.856318935759161</v>
      </c>
      <c r="J2894" s="315">
        <v>7.539412753294276E-4</v>
      </c>
      <c r="K2894" s="316" t="str">
        <f t="shared" si="52"/>
        <v>Construction and Mining Equipment</v>
      </c>
      <c r="L2894" s="316" t="str">
        <f t="shared" si="53"/>
        <v>Gasoline</v>
      </c>
      <c r="M2894" s="8"/>
      <c r="N2894" s="2"/>
      <c r="O2894" s="2"/>
      <c r="P2894" s="2"/>
      <c r="Q2894" s="2"/>
      <c r="R2894" s="2"/>
      <c r="S2894" s="2"/>
      <c r="T2894" s="2"/>
      <c r="U2894" s="2"/>
      <c r="V2894" s="2"/>
      <c r="W2894" s="2"/>
      <c r="X2894" s="2"/>
      <c r="Y2894" s="2"/>
      <c r="Z2894" s="2"/>
    </row>
    <row r="2895" spans="1:26" ht="12.75" x14ac:dyDescent="0.2">
      <c r="A2895" s="230"/>
      <c r="B2895" s="18">
        <v>2023</v>
      </c>
      <c r="C2895" s="18" t="s">
        <v>786</v>
      </c>
      <c r="D2895" s="18" t="s">
        <v>995</v>
      </c>
      <c r="E2895" s="18" t="s">
        <v>703</v>
      </c>
      <c r="F2895" s="18" t="s">
        <v>805</v>
      </c>
      <c r="G2895" s="18" t="s">
        <v>673</v>
      </c>
      <c r="H2895" s="18" t="s">
        <v>996</v>
      </c>
      <c r="I2895" s="315">
        <v>10.855605933568413</v>
      </c>
      <c r="J2895" s="315">
        <v>2.024369670690046E-2</v>
      </c>
      <c r="K2895" s="316" t="str">
        <f t="shared" si="52"/>
        <v>Lawn and Garden Equipment</v>
      </c>
      <c r="L2895" s="316" t="str">
        <f t="shared" si="53"/>
        <v>Gasoline</v>
      </c>
      <c r="M2895" s="8"/>
      <c r="N2895" s="2"/>
      <c r="O2895" s="2"/>
      <c r="P2895" s="2"/>
      <c r="Q2895" s="2"/>
      <c r="R2895" s="2"/>
      <c r="S2895" s="2"/>
      <c r="T2895" s="2"/>
      <c r="U2895" s="2"/>
      <c r="V2895" s="2"/>
      <c r="W2895" s="2"/>
      <c r="X2895" s="2"/>
      <c r="Y2895" s="2"/>
      <c r="Z2895" s="2"/>
    </row>
    <row r="2896" spans="1:26" ht="12.75" x14ac:dyDescent="0.2">
      <c r="A2896" s="230"/>
      <c r="B2896" s="18">
        <v>2023</v>
      </c>
      <c r="C2896" s="18" t="s">
        <v>750</v>
      </c>
      <c r="D2896" s="18" t="s">
        <v>1011</v>
      </c>
      <c r="E2896" s="18" t="s">
        <v>56</v>
      </c>
      <c r="F2896" s="18" t="s">
        <v>672</v>
      </c>
      <c r="G2896" s="18" t="s">
        <v>677</v>
      </c>
      <c r="H2896" s="18" t="s">
        <v>836</v>
      </c>
      <c r="I2896" s="315">
        <v>10.819391082711695</v>
      </c>
      <c r="J2896" s="315">
        <v>5.7480465158666607E-4</v>
      </c>
      <c r="K2896" s="316" t="str">
        <f t="shared" si="52"/>
        <v>Commercial Equipment</v>
      </c>
      <c r="L2896" s="316" t="str">
        <f t="shared" si="53"/>
        <v>LPG</v>
      </c>
      <c r="M2896" s="8"/>
      <c r="N2896" s="2"/>
      <c r="O2896" s="2"/>
      <c r="P2896" s="2"/>
      <c r="Q2896" s="2"/>
      <c r="R2896" s="2"/>
      <c r="S2896" s="2"/>
      <c r="T2896" s="2"/>
      <c r="U2896" s="2"/>
      <c r="V2896" s="2"/>
      <c r="W2896" s="2"/>
      <c r="X2896" s="2"/>
      <c r="Y2896" s="2"/>
      <c r="Z2896" s="2"/>
    </row>
    <row r="2897" spans="1:26" ht="12.75" x14ac:dyDescent="0.2">
      <c r="A2897" s="230"/>
      <c r="B2897" s="18">
        <v>2023</v>
      </c>
      <c r="C2897" s="18" t="s">
        <v>753</v>
      </c>
      <c r="D2897" s="18" t="s">
        <v>1428</v>
      </c>
      <c r="E2897" s="18" t="s">
        <v>56</v>
      </c>
      <c r="F2897" s="18" t="s">
        <v>601</v>
      </c>
      <c r="G2897" s="18" t="s">
        <v>678</v>
      </c>
      <c r="H2897" s="18" t="s">
        <v>1154</v>
      </c>
      <c r="I2897" s="315">
        <v>10.797782803754384</v>
      </c>
      <c r="J2897" s="315">
        <v>4.3912875237879734E-2</v>
      </c>
      <c r="K2897" s="316" t="str">
        <f t="shared" si="52"/>
        <v>Agricultural Equipment</v>
      </c>
      <c r="L2897" s="316" t="str">
        <f t="shared" si="53"/>
        <v>CNG</v>
      </c>
      <c r="M2897" s="8"/>
      <c r="N2897" s="2"/>
      <c r="O2897" s="2"/>
      <c r="P2897" s="2"/>
      <c r="Q2897" s="2"/>
      <c r="R2897" s="2"/>
      <c r="S2897" s="2"/>
      <c r="T2897" s="2"/>
      <c r="U2897" s="2"/>
      <c r="V2897" s="2"/>
      <c r="W2897" s="2"/>
      <c r="X2897" s="2"/>
      <c r="Y2897" s="2"/>
      <c r="Z2897" s="2"/>
    </row>
    <row r="2898" spans="1:26" ht="12.75" x14ac:dyDescent="0.2">
      <c r="A2898" s="230"/>
      <c r="B2898" s="18">
        <v>2023</v>
      </c>
      <c r="C2898" s="18" t="s">
        <v>753</v>
      </c>
      <c r="D2898" s="18" t="s">
        <v>1224</v>
      </c>
      <c r="E2898" s="18" t="s">
        <v>703</v>
      </c>
      <c r="F2898" s="18" t="s">
        <v>704</v>
      </c>
      <c r="G2898" s="18" t="s">
        <v>681</v>
      </c>
      <c r="H2898" s="18" t="s">
        <v>1225</v>
      </c>
      <c r="I2898" s="315">
        <v>10.797423974241662</v>
      </c>
      <c r="J2898" s="315">
        <v>7.2976696638212754E-3</v>
      </c>
      <c r="K2898" s="316" t="str">
        <f t="shared" si="52"/>
        <v>Logging Equipment</v>
      </c>
      <c r="L2898" s="316" t="str">
        <f t="shared" si="53"/>
        <v>Gasoline</v>
      </c>
      <c r="M2898" s="8"/>
      <c r="N2898" s="2"/>
      <c r="O2898" s="2"/>
      <c r="P2898" s="2"/>
      <c r="Q2898" s="2"/>
      <c r="R2898" s="2"/>
      <c r="S2898" s="2"/>
      <c r="T2898" s="2"/>
      <c r="U2898" s="2"/>
      <c r="V2898" s="2"/>
      <c r="W2898" s="2"/>
      <c r="X2898" s="2"/>
      <c r="Y2898" s="2"/>
      <c r="Z2898" s="2"/>
    </row>
    <row r="2899" spans="1:26" ht="12.75" x14ac:dyDescent="0.2">
      <c r="A2899" s="230"/>
      <c r="B2899" s="18">
        <v>2023</v>
      </c>
      <c r="C2899" s="18" t="s">
        <v>732</v>
      </c>
      <c r="D2899" s="18" t="s">
        <v>1227</v>
      </c>
      <c r="E2899" s="18" t="s">
        <v>56</v>
      </c>
      <c r="F2899" s="18" t="s">
        <v>672</v>
      </c>
      <c r="G2899" s="18" t="s">
        <v>674</v>
      </c>
      <c r="H2899" s="18" t="s">
        <v>850</v>
      </c>
      <c r="I2899" s="315">
        <v>10.773564055155953</v>
      </c>
      <c r="J2899" s="315">
        <v>6.9183604986133981E-4</v>
      </c>
      <c r="K2899" s="316" t="str">
        <f t="shared" si="52"/>
        <v>Construction and Mining Equipment</v>
      </c>
      <c r="L2899" s="316" t="str">
        <f t="shared" si="53"/>
        <v>LPG</v>
      </c>
      <c r="M2899" s="8"/>
      <c r="N2899" s="2"/>
      <c r="O2899" s="2"/>
      <c r="P2899" s="2"/>
      <c r="Q2899" s="2"/>
      <c r="R2899" s="2"/>
      <c r="S2899" s="2"/>
      <c r="T2899" s="2"/>
      <c r="U2899" s="2"/>
      <c r="V2899" s="2"/>
      <c r="W2899" s="2"/>
      <c r="X2899" s="2"/>
      <c r="Y2899" s="2"/>
      <c r="Z2899" s="2"/>
    </row>
    <row r="2900" spans="1:26" ht="12.75" x14ac:dyDescent="0.2">
      <c r="A2900" s="230"/>
      <c r="B2900" s="18">
        <v>2023</v>
      </c>
      <c r="C2900" s="18" t="s">
        <v>722</v>
      </c>
      <c r="D2900" s="18" t="s">
        <v>1403</v>
      </c>
      <c r="E2900" s="18" t="s">
        <v>703</v>
      </c>
      <c r="F2900" s="18" t="s">
        <v>683</v>
      </c>
      <c r="G2900" s="18" t="s">
        <v>1404</v>
      </c>
      <c r="H2900" s="18" t="s">
        <v>1002</v>
      </c>
      <c r="I2900" s="315">
        <v>10.761363444277277</v>
      </c>
      <c r="J2900" s="315">
        <v>6.9718745117935939E-3</v>
      </c>
      <c r="K2900" s="316" t="str">
        <f t="shared" si="52"/>
        <v>Railroad Equipment</v>
      </c>
      <c r="L2900" s="316" t="str">
        <f t="shared" si="53"/>
        <v>Gasoline</v>
      </c>
      <c r="M2900" s="8"/>
      <c r="N2900" s="2"/>
      <c r="O2900" s="2"/>
      <c r="P2900" s="2"/>
      <c r="Q2900" s="2"/>
      <c r="R2900" s="2"/>
      <c r="S2900" s="2"/>
      <c r="T2900" s="2"/>
      <c r="U2900" s="2"/>
      <c r="V2900" s="2"/>
      <c r="W2900" s="2"/>
      <c r="X2900" s="2"/>
      <c r="Y2900" s="2"/>
      <c r="Z2900" s="2"/>
    </row>
    <row r="2901" spans="1:26" ht="12.75" x14ac:dyDescent="0.2">
      <c r="A2901" s="230"/>
      <c r="B2901" s="18">
        <v>2023</v>
      </c>
      <c r="C2901" s="18" t="s">
        <v>810</v>
      </c>
      <c r="D2901" s="18" t="s">
        <v>1035</v>
      </c>
      <c r="E2901" s="18" t="s">
        <v>703</v>
      </c>
      <c r="F2901" s="18" t="s">
        <v>704</v>
      </c>
      <c r="G2901" s="18" t="s">
        <v>674</v>
      </c>
      <c r="H2901" s="18" t="s">
        <v>1036</v>
      </c>
      <c r="I2901" s="315">
        <v>10.757514690964433</v>
      </c>
      <c r="J2901" s="315">
        <v>7.6998122604362987E-3</v>
      </c>
      <c r="K2901" s="316" t="str">
        <f t="shared" si="52"/>
        <v>Construction and Mining Equipment</v>
      </c>
      <c r="L2901" s="316" t="str">
        <f t="shared" si="53"/>
        <v>Gasoline</v>
      </c>
      <c r="M2901" s="8"/>
      <c r="N2901" s="2"/>
      <c r="O2901" s="2"/>
      <c r="P2901" s="2"/>
      <c r="Q2901" s="2"/>
      <c r="R2901" s="2"/>
      <c r="S2901" s="2"/>
      <c r="T2901" s="2"/>
      <c r="U2901" s="2"/>
      <c r="V2901" s="2"/>
      <c r="W2901" s="2"/>
      <c r="X2901" s="2"/>
      <c r="Y2901" s="2"/>
      <c r="Z2901" s="2"/>
    </row>
    <row r="2902" spans="1:26" ht="12.75" x14ac:dyDescent="0.2">
      <c r="A2902" s="230"/>
      <c r="B2902" s="18">
        <v>2023</v>
      </c>
      <c r="C2902" s="18" t="s">
        <v>793</v>
      </c>
      <c r="D2902" s="18" t="s">
        <v>1153</v>
      </c>
      <c r="E2902" s="18" t="s">
        <v>713</v>
      </c>
      <c r="F2902" s="18" t="s">
        <v>714</v>
      </c>
      <c r="G2902" s="18" t="s">
        <v>678</v>
      </c>
      <c r="H2902" s="18" t="s">
        <v>1154</v>
      </c>
      <c r="I2902" s="315">
        <v>10.751621823505493</v>
      </c>
      <c r="J2902" s="315">
        <v>1.4032919670258422E-4</v>
      </c>
      <c r="K2902" s="316" t="str">
        <f t="shared" si="52"/>
        <v>Agricultural Equipment</v>
      </c>
      <c r="L2902" s="316" t="str">
        <f t="shared" si="53"/>
        <v>Diesel</v>
      </c>
      <c r="M2902" s="8"/>
      <c r="N2902" s="2"/>
      <c r="O2902" s="2"/>
      <c r="P2902" s="2"/>
      <c r="Q2902" s="2"/>
      <c r="R2902" s="2"/>
      <c r="S2902" s="2"/>
      <c r="T2902" s="2"/>
      <c r="U2902" s="2"/>
      <c r="V2902" s="2"/>
      <c r="W2902" s="2"/>
      <c r="X2902" s="2"/>
      <c r="Y2902" s="2"/>
      <c r="Z2902" s="2"/>
    </row>
    <row r="2903" spans="1:26" ht="12.75" x14ac:dyDescent="0.2">
      <c r="A2903" s="230"/>
      <c r="B2903" s="18">
        <v>2023</v>
      </c>
      <c r="C2903" s="18" t="s">
        <v>753</v>
      </c>
      <c r="D2903" s="18" t="s">
        <v>1051</v>
      </c>
      <c r="E2903" s="18" t="s">
        <v>703</v>
      </c>
      <c r="F2903" s="18" t="s">
        <v>704</v>
      </c>
      <c r="G2903" s="18" t="s">
        <v>674</v>
      </c>
      <c r="H2903" s="18" t="s">
        <v>783</v>
      </c>
      <c r="I2903" s="315">
        <v>10.744275159210542</v>
      </c>
      <c r="J2903" s="315">
        <v>6.5323936945480493E-3</v>
      </c>
      <c r="K2903" s="316" t="str">
        <f t="shared" si="52"/>
        <v>Construction and Mining Equipment</v>
      </c>
      <c r="L2903" s="316" t="str">
        <f t="shared" si="53"/>
        <v>Gasoline</v>
      </c>
      <c r="M2903" s="8"/>
      <c r="N2903" s="2"/>
      <c r="O2903" s="2"/>
      <c r="P2903" s="2"/>
      <c r="Q2903" s="2"/>
      <c r="R2903" s="2"/>
      <c r="S2903" s="2"/>
      <c r="T2903" s="2"/>
      <c r="U2903" s="2"/>
      <c r="V2903" s="2"/>
      <c r="W2903" s="2"/>
      <c r="X2903" s="2"/>
      <c r="Y2903" s="2"/>
      <c r="Z2903" s="2"/>
    </row>
    <row r="2904" spans="1:26" ht="12.75" x14ac:dyDescent="0.2">
      <c r="A2904" s="230"/>
      <c r="B2904" s="18">
        <v>2023</v>
      </c>
      <c r="C2904" s="18" t="s">
        <v>760</v>
      </c>
      <c r="D2904" s="18" t="s">
        <v>1281</v>
      </c>
      <c r="E2904" s="18" t="s">
        <v>703</v>
      </c>
      <c r="F2904" s="18" t="s">
        <v>704</v>
      </c>
      <c r="G2904" s="18" t="s">
        <v>674</v>
      </c>
      <c r="H2904" s="18" t="s">
        <v>770</v>
      </c>
      <c r="I2904" s="315">
        <v>10.710635564315639</v>
      </c>
      <c r="J2904" s="315">
        <v>1.1831594086963953E-3</v>
      </c>
      <c r="K2904" s="316" t="str">
        <f t="shared" si="52"/>
        <v>Construction and Mining Equipment</v>
      </c>
      <c r="L2904" s="316" t="str">
        <f t="shared" si="53"/>
        <v>Gasoline</v>
      </c>
      <c r="M2904" s="8"/>
      <c r="N2904" s="2"/>
      <c r="O2904" s="2"/>
      <c r="P2904" s="2"/>
      <c r="Q2904" s="2"/>
      <c r="R2904" s="2"/>
      <c r="S2904" s="2"/>
      <c r="T2904" s="2"/>
      <c r="U2904" s="2"/>
      <c r="V2904" s="2"/>
      <c r="W2904" s="2"/>
      <c r="X2904" s="2"/>
      <c r="Y2904" s="2"/>
      <c r="Z2904" s="2"/>
    </row>
    <row r="2905" spans="1:26" ht="12.75" x14ac:dyDescent="0.2">
      <c r="A2905" s="230"/>
      <c r="B2905" s="18">
        <v>2023</v>
      </c>
      <c r="C2905" s="18" t="s">
        <v>731</v>
      </c>
      <c r="D2905" s="18" t="s">
        <v>1428</v>
      </c>
      <c r="E2905" s="18" t="s">
        <v>56</v>
      </c>
      <c r="F2905" s="18" t="s">
        <v>601</v>
      </c>
      <c r="G2905" s="18" t="s">
        <v>678</v>
      </c>
      <c r="H2905" s="18" t="s">
        <v>1154</v>
      </c>
      <c r="I2905" s="315">
        <v>10.710564808093658</v>
      </c>
      <c r="J2905" s="315">
        <v>4.3558251133804668E-2</v>
      </c>
      <c r="K2905" s="316" t="str">
        <f t="shared" si="52"/>
        <v>Agricultural Equipment</v>
      </c>
      <c r="L2905" s="316" t="str">
        <f t="shared" si="53"/>
        <v>CNG</v>
      </c>
      <c r="M2905" s="8"/>
      <c r="N2905" s="2"/>
      <c r="O2905" s="2"/>
      <c r="P2905" s="2"/>
      <c r="Q2905" s="2"/>
      <c r="R2905" s="2"/>
      <c r="S2905" s="2"/>
      <c r="T2905" s="2"/>
      <c r="U2905" s="2"/>
      <c r="V2905" s="2"/>
      <c r="W2905" s="2"/>
      <c r="X2905" s="2"/>
      <c r="Y2905" s="2"/>
      <c r="Z2905" s="2"/>
    </row>
    <row r="2906" spans="1:26" ht="12.75" x14ac:dyDescent="0.2">
      <c r="A2906" s="230"/>
      <c r="B2906" s="18">
        <v>2023</v>
      </c>
      <c r="C2906" s="18" t="s">
        <v>759</v>
      </c>
      <c r="D2906" s="18" t="s">
        <v>964</v>
      </c>
      <c r="E2906" s="18" t="s">
        <v>56</v>
      </c>
      <c r="F2906" s="18" t="s">
        <v>601</v>
      </c>
      <c r="G2906" s="18" t="s">
        <v>677</v>
      </c>
      <c r="H2906" s="18" t="s">
        <v>965</v>
      </c>
      <c r="I2906" s="315">
        <v>10.699540839724317</v>
      </c>
      <c r="J2906" s="315">
        <v>5.1129099690427157E-2</v>
      </c>
      <c r="K2906" s="316" t="str">
        <f t="shared" si="52"/>
        <v>Commercial Equipment</v>
      </c>
      <c r="L2906" s="316" t="str">
        <f t="shared" si="53"/>
        <v>CNG</v>
      </c>
      <c r="M2906" s="8"/>
      <c r="N2906" s="2"/>
      <c r="O2906" s="2"/>
      <c r="P2906" s="2"/>
      <c r="Q2906" s="2"/>
      <c r="R2906" s="2"/>
      <c r="S2906" s="2"/>
      <c r="T2906" s="2"/>
      <c r="U2906" s="2"/>
      <c r="V2906" s="2"/>
      <c r="W2906" s="2"/>
      <c r="X2906" s="2"/>
      <c r="Y2906" s="2"/>
      <c r="Z2906" s="2"/>
    </row>
    <row r="2907" spans="1:26" ht="12.75" x14ac:dyDescent="0.2">
      <c r="A2907" s="230"/>
      <c r="B2907" s="18">
        <v>2023</v>
      </c>
      <c r="C2907" s="18" t="s">
        <v>781</v>
      </c>
      <c r="D2907" s="18" t="s">
        <v>966</v>
      </c>
      <c r="E2907" s="18" t="s">
        <v>703</v>
      </c>
      <c r="F2907" s="18" t="s">
        <v>704</v>
      </c>
      <c r="G2907" s="18" t="s">
        <v>674</v>
      </c>
      <c r="H2907" s="18" t="s">
        <v>967</v>
      </c>
      <c r="I2907" s="315">
        <v>10.698374900076512</v>
      </c>
      <c r="J2907" s="315">
        <v>7.3908215136006478E-3</v>
      </c>
      <c r="K2907" s="316" t="str">
        <f t="shared" si="52"/>
        <v>Construction and Mining Equipment</v>
      </c>
      <c r="L2907" s="316" t="str">
        <f t="shared" si="53"/>
        <v>Gasoline</v>
      </c>
      <c r="M2907" s="8"/>
      <c r="N2907" s="2"/>
      <c r="O2907" s="2"/>
      <c r="P2907" s="2"/>
      <c r="Q2907" s="2"/>
      <c r="R2907" s="2"/>
      <c r="S2907" s="2"/>
      <c r="T2907" s="2"/>
      <c r="U2907" s="2"/>
      <c r="V2907" s="2"/>
      <c r="W2907" s="2"/>
      <c r="X2907" s="2"/>
      <c r="Y2907" s="2"/>
      <c r="Z2907" s="2"/>
    </row>
    <row r="2908" spans="1:26" ht="12.75" x14ac:dyDescent="0.2">
      <c r="A2908" s="230"/>
      <c r="B2908" s="18">
        <v>2023</v>
      </c>
      <c r="C2908" s="18" t="s">
        <v>727</v>
      </c>
      <c r="D2908" s="18" t="s">
        <v>1016</v>
      </c>
      <c r="E2908" s="18" t="s">
        <v>56</v>
      </c>
      <c r="F2908" s="18" t="s">
        <v>672</v>
      </c>
      <c r="G2908" s="18" t="s">
        <v>675</v>
      </c>
      <c r="H2908" s="18" t="s">
        <v>802</v>
      </c>
      <c r="I2908" s="315">
        <v>10.663481423912483</v>
      </c>
      <c r="J2908" s="315">
        <v>4.8921663835765764E-4</v>
      </c>
      <c r="K2908" s="316" t="str">
        <f t="shared" si="52"/>
        <v>Industrial Equipment</v>
      </c>
      <c r="L2908" s="316" t="str">
        <f t="shared" si="53"/>
        <v>LPG</v>
      </c>
      <c r="M2908" s="8"/>
      <c r="N2908" s="2"/>
      <c r="O2908" s="2"/>
      <c r="P2908" s="2"/>
      <c r="Q2908" s="2"/>
      <c r="R2908" s="2"/>
      <c r="S2908" s="2"/>
      <c r="T2908" s="2"/>
      <c r="U2908" s="2"/>
      <c r="V2908" s="2"/>
      <c r="W2908" s="2"/>
      <c r="X2908" s="2"/>
      <c r="Y2908" s="2"/>
      <c r="Z2908" s="2"/>
    </row>
    <row r="2909" spans="1:26" ht="12.75" x14ac:dyDescent="0.2">
      <c r="A2909" s="230"/>
      <c r="B2909" s="18">
        <v>2023</v>
      </c>
      <c r="C2909" s="18" t="s">
        <v>743</v>
      </c>
      <c r="D2909" s="18" t="s">
        <v>1213</v>
      </c>
      <c r="E2909" s="18" t="s">
        <v>56</v>
      </c>
      <c r="F2909" s="18" t="s">
        <v>672</v>
      </c>
      <c r="G2909" s="18" t="s">
        <v>674</v>
      </c>
      <c r="H2909" s="18" t="s">
        <v>715</v>
      </c>
      <c r="I2909" s="315">
        <v>10.63331734876294</v>
      </c>
      <c r="J2909" s="315">
        <v>4.8289446418361791E-4</v>
      </c>
      <c r="K2909" s="316" t="str">
        <f t="shared" si="52"/>
        <v>Construction and Mining Equipment</v>
      </c>
      <c r="L2909" s="316" t="str">
        <f t="shared" si="53"/>
        <v>LPG</v>
      </c>
      <c r="M2909" s="8"/>
      <c r="N2909" s="2"/>
      <c r="O2909" s="2"/>
      <c r="P2909" s="2"/>
      <c r="Q2909" s="2"/>
      <c r="R2909" s="2"/>
      <c r="S2909" s="2"/>
      <c r="T2909" s="2"/>
      <c r="U2909" s="2"/>
      <c r="V2909" s="2"/>
      <c r="W2909" s="2"/>
      <c r="X2909" s="2"/>
      <c r="Y2909" s="2"/>
      <c r="Z2909" s="2"/>
    </row>
    <row r="2910" spans="1:26" ht="12.75" x14ac:dyDescent="0.2">
      <c r="A2910" s="230"/>
      <c r="B2910" s="18">
        <v>2023</v>
      </c>
      <c r="C2910" s="18" t="s">
        <v>711</v>
      </c>
      <c r="D2910" s="18" t="s">
        <v>1407</v>
      </c>
      <c r="E2910" s="18" t="s">
        <v>56</v>
      </c>
      <c r="F2910" s="18" t="s">
        <v>672</v>
      </c>
      <c r="G2910" s="18" t="s">
        <v>675</v>
      </c>
      <c r="H2910" s="18" t="s">
        <v>1078</v>
      </c>
      <c r="I2910" s="315">
        <v>10.6307565977755</v>
      </c>
      <c r="J2910" s="315">
        <v>9.5518098606910628E-4</v>
      </c>
      <c r="K2910" s="316" t="str">
        <f t="shared" si="52"/>
        <v>Industrial Equipment</v>
      </c>
      <c r="L2910" s="316" t="str">
        <f t="shared" si="53"/>
        <v>LPG</v>
      </c>
      <c r="M2910" s="8"/>
      <c r="N2910" s="2"/>
      <c r="O2910" s="2"/>
      <c r="P2910" s="2"/>
      <c r="Q2910" s="2"/>
      <c r="R2910" s="2"/>
      <c r="S2910" s="2"/>
      <c r="T2910" s="2"/>
      <c r="U2910" s="2"/>
      <c r="V2910" s="2"/>
      <c r="W2910" s="2"/>
      <c r="X2910" s="2"/>
      <c r="Y2910" s="2"/>
      <c r="Z2910" s="2"/>
    </row>
    <row r="2911" spans="1:26" ht="12.75" x14ac:dyDescent="0.2">
      <c r="A2911" s="230"/>
      <c r="B2911" s="18">
        <v>2023</v>
      </c>
      <c r="C2911" s="18" t="s">
        <v>743</v>
      </c>
      <c r="D2911" s="18" t="s">
        <v>1214</v>
      </c>
      <c r="E2911" s="18" t="s">
        <v>713</v>
      </c>
      <c r="F2911" s="18" t="s">
        <v>714</v>
      </c>
      <c r="G2911" s="18" t="s">
        <v>674</v>
      </c>
      <c r="H2911" s="18" t="s">
        <v>999</v>
      </c>
      <c r="I2911" s="315">
        <v>10.550033234935766</v>
      </c>
      <c r="J2911" s="315">
        <v>3.1233310260047324E-4</v>
      </c>
      <c r="K2911" s="316" t="str">
        <f t="shared" si="52"/>
        <v>Construction and Mining Equipment</v>
      </c>
      <c r="L2911" s="316" t="str">
        <f t="shared" si="53"/>
        <v>Diesel</v>
      </c>
      <c r="M2911" s="8"/>
      <c r="N2911" s="2"/>
      <c r="O2911" s="2"/>
      <c r="P2911" s="2"/>
      <c r="Q2911" s="2"/>
      <c r="R2911" s="2"/>
      <c r="S2911" s="2"/>
      <c r="T2911" s="2"/>
      <c r="U2911" s="2"/>
      <c r="V2911" s="2"/>
      <c r="W2911" s="2"/>
      <c r="X2911" s="2"/>
      <c r="Y2911" s="2"/>
      <c r="Z2911" s="2"/>
    </row>
    <row r="2912" spans="1:26" ht="12.75" x14ac:dyDescent="0.2">
      <c r="A2912" s="230"/>
      <c r="B2912" s="18">
        <v>2023</v>
      </c>
      <c r="C2912" s="18" t="s">
        <v>810</v>
      </c>
      <c r="D2912" s="18" t="s">
        <v>1011</v>
      </c>
      <c r="E2912" s="18" t="s">
        <v>56</v>
      </c>
      <c r="F2912" s="18" t="s">
        <v>672</v>
      </c>
      <c r="G2912" s="18" t="s">
        <v>677</v>
      </c>
      <c r="H2912" s="18" t="s">
        <v>836</v>
      </c>
      <c r="I2912" s="315">
        <v>10.518845773534578</v>
      </c>
      <c r="J2912" s="315">
        <v>5.5883754457147327E-4</v>
      </c>
      <c r="K2912" s="316" t="str">
        <f t="shared" si="52"/>
        <v>Commercial Equipment</v>
      </c>
      <c r="L2912" s="316" t="str">
        <f t="shared" si="53"/>
        <v>LPG</v>
      </c>
      <c r="M2912" s="8"/>
      <c r="N2912" s="2"/>
      <c r="O2912" s="2"/>
      <c r="P2912" s="2"/>
      <c r="Q2912" s="2"/>
      <c r="R2912" s="2"/>
      <c r="S2912" s="2"/>
      <c r="T2912" s="2"/>
      <c r="U2912" s="2"/>
      <c r="V2912" s="2"/>
      <c r="W2912" s="2"/>
      <c r="X2912" s="2"/>
      <c r="Y2912" s="2"/>
      <c r="Z2912" s="2"/>
    </row>
    <row r="2913" spans="1:26" ht="12.75" x14ac:dyDescent="0.2">
      <c r="A2913" s="230"/>
      <c r="B2913" s="18">
        <v>2023</v>
      </c>
      <c r="C2913" s="18" t="s">
        <v>750</v>
      </c>
      <c r="D2913" s="18" t="s">
        <v>988</v>
      </c>
      <c r="E2913" s="18" t="s">
        <v>703</v>
      </c>
      <c r="F2913" s="18" t="s">
        <v>805</v>
      </c>
      <c r="G2913" s="18" t="s">
        <v>673</v>
      </c>
      <c r="H2913" s="18" t="s">
        <v>768</v>
      </c>
      <c r="I2913" s="315">
        <v>10.487135584053211</v>
      </c>
      <c r="J2913" s="315">
        <v>1.9523912508852295E-2</v>
      </c>
      <c r="K2913" s="316" t="str">
        <f t="shared" si="52"/>
        <v>Lawn and Garden Equipment</v>
      </c>
      <c r="L2913" s="316" t="str">
        <f t="shared" si="53"/>
        <v>Gasoline</v>
      </c>
      <c r="M2913" s="8"/>
      <c r="N2913" s="2"/>
      <c r="O2913" s="2"/>
      <c r="P2913" s="2"/>
      <c r="Q2913" s="2"/>
      <c r="R2913" s="2"/>
      <c r="S2913" s="2"/>
      <c r="T2913" s="2"/>
      <c r="U2913" s="2"/>
      <c r="V2913" s="2"/>
      <c r="W2913" s="2"/>
      <c r="X2913" s="2"/>
      <c r="Y2913" s="2"/>
      <c r="Z2913" s="2"/>
    </row>
    <row r="2914" spans="1:26" ht="12.75" x14ac:dyDescent="0.2">
      <c r="A2914" s="230"/>
      <c r="B2914" s="18">
        <v>2023</v>
      </c>
      <c r="C2914" s="18" t="s">
        <v>792</v>
      </c>
      <c r="D2914" s="18" t="s">
        <v>1212</v>
      </c>
      <c r="E2914" s="18" t="s">
        <v>56</v>
      </c>
      <c r="F2914" s="18" t="s">
        <v>672</v>
      </c>
      <c r="G2914" s="18" t="s">
        <v>675</v>
      </c>
      <c r="H2914" s="18" t="s">
        <v>798</v>
      </c>
      <c r="I2914" s="315">
        <v>10.423978196762119</v>
      </c>
      <c r="J2914" s="315">
        <v>4.7099544496886388E-4</v>
      </c>
      <c r="K2914" s="316" t="str">
        <f t="shared" si="52"/>
        <v>Industrial Equipment</v>
      </c>
      <c r="L2914" s="316" t="str">
        <f t="shared" si="53"/>
        <v>LPG</v>
      </c>
      <c r="M2914" s="8"/>
      <c r="N2914" s="2"/>
      <c r="O2914" s="2"/>
      <c r="P2914" s="2"/>
      <c r="Q2914" s="2"/>
      <c r="R2914" s="2"/>
      <c r="S2914" s="2"/>
      <c r="T2914" s="2"/>
      <c r="U2914" s="2"/>
      <c r="V2914" s="2"/>
      <c r="W2914" s="2"/>
      <c r="X2914" s="2"/>
      <c r="Y2914" s="2"/>
      <c r="Z2914" s="2"/>
    </row>
    <row r="2915" spans="1:26" ht="12.75" x14ac:dyDescent="0.2">
      <c r="A2915" s="230"/>
      <c r="B2915" s="18">
        <v>2023</v>
      </c>
      <c r="C2915" s="18" t="s">
        <v>750</v>
      </c>
      <c r="D2915" s="18" t="s">
        <v>979</v>
      </c>
      <c r="E2915" s="18" t="s">
        <v>703</v>
      </c>
      <c r="F2915" s="18" t="s">
        <v>704</v>
      </c>
      <c r="G2915" s="18" t="s">
        <v>675</v>
      </c>
      <c r="H2915" s="18" t="s">
        <v>802</v>
      </c>
      <c r="I2915" s="315">
        <v>10.416635282370933</v>
      </c>
      <c r="J2915" s="315">
        <v>3.7393359891151898E-3</v>
      </c>
      <c r="K2915" s="316" t="str">
        <f t="shared" si="52"/>
        <v>Industrial Equipment</v>
      </c>
      <c r="L2915" s="316" t="str">
        <f t="shared" si="53"/>
        <v>Gasoline</v>
      </c>
      <c r="M2915" s="8"/>
      <c r="N2915" s="2"/>
      <c r="O2915" s="2"/>
      <c r="P2915" s="2"/>
      <c r="Q2915" s="2"/>
      <c r="R2915" s="2"/>
      <c r="S2915" s="2"/>
      <c r="T2915" s="2"/>
      <c r="U2915" s="2"/>
      <c r="V2915" s="2"/>
      <c r="W2915" s="2"/>
      <c r="X2915" s="2"/>
      <c r="Y2915" s="2"/>
      <c r="Z2915" s="2"/>
    </row>
    <row r="2916" spans="1:26" ht="12.75" x14ac:dyDescent="0.2">
      <c r="A2916" s="230"/>
      <c r="B2916" s="18">
        <v>2023</v>
      </c>
      <c r="C2916" s="18" t="s">
        <v>793</v>
      </c>
      <c r="D2916" s="18" t="s">
        <v>1015</v>
      </c>
      <c r="E2916" s="18" t="s">
        <v>56</v>
      </c>
      <c r="F2916" s="18" t="s">
        <v>601</v>
      </c>
      <c r="G2916" s="18" t="s">
        <v>677</v>
      </c>
      <c r="H2916" s="18" t="s">
        <v>747</v>
      </c>
      <c r="I2916" s="315">
        <v>10.387613211427793</v>
      </c>
      <c r="J2916" s="315">
        <v>0.23239601240301633</v>
      </c>
      <c r="K2916" s="316" t="str">
        <f t="shared" si="52"/>
        <v>Commercial Equipment</v>
      </c>
      <c r="L2916" s="316" t="str">
        <f t="shared" si="53"/>
        <v>CNG</v>
      </c>
      <c r="M2916" s="8"/>
      <c r="N2916" s="2"/>
      <c r="O2916" s="2"/>
      <c r="P2916" s="2"/>
      <c r="Q2916" s="2"/>
      <c r="R2916" s="2"/>
      <c r="S2916" s="2"/>
      <c r="T2916" s="2"/>
      <c r="U2916" s="2"/>
      <c r="V2916" s="2"/>
      <c r="W2916" s="2"/>
      <c r="X2916" s="2"/>
      <c r="Y2916" s="2"/>
      <c r="Z2916" s="2"/>
    </row>
    <row r="2917" spans="1:26" ht="12.75" x14ac:dyDescent="0.2">
      <c r="A2917" s="230"/>
      <c r="B2917" s="18">
        <v>2023</v>
      </c>
      <c r="C2917" s="18" t="s">
        <v>778</v>
      </c>
      <c r="D2917" s="18" t="s">
        <v>1022</v>
      </c>
      <c r="E2917" s="18" t="s">
        <v>703</v>
      </c>
      <c r="F2917" s="18" t="s">
        <v>704</v>
      </c>
      <c r="G2917" s="18" t="s">
        <v>675</v>
      </c>
      <c r="H2917" s="18" t="s">
        <v>772</v>
      </c>
      <c r="I2917" s="315">
        <v>10.325044788854832</v>
      </c>
      <c r="J2917" s="315">
        <v>7.2727544277806507E-4</v>
      </c>
      <c r="K2917" s="316" t="str">
        <f t="shared" si="52"/>
        <v>Industrial Equipment</v>
      </c>
      <c r="L2917" s="316" t="str">
        <f t="shared" si="53"/>
        <v>Gasoline</v>
      </c>
      <c r="M2917" s="8"/>
      <c r="N2917" s="2"/>
      <c r="O2917" s="2"/>
      <c r="P2917" s="2"/>
      <c r="Q2917" s="2"/>
      <c r="R2917" s="2"/>
      <c r="S2917" s="2"/>
      <c r="T2917" s="2"/>
      <c r="U2917" s="2"/>
      <c r="V2917" s="2"/>
      <c r="W2917" s="2"/>
      <c r="X2917" s="2"/>
      <c r="Y2917" s="2"/>
      <c r="Z2917" s="2"/>
    </row>
    <row r="2918" spans="1:26" ht="12.75" x14ac:dyDescent="0.2">
      <c r="A2918" s="230"/>
      <c r="B2918" s="18">
        <v>2023</v>
      </c>
      <c r="C2918" s="18" t="s">
        <v>781</v>
      </c>
      <c r="D2918" s="18" t="s">
        <v>1075</v>
      </c>
      <c r="E2918" s="18" t="s">
        <v>56</v>
      </c>
      <c r="F2918" s="18" t="s">
        <v>672</v>
      </c>
      <c r="G2918" s="18" t="s">
        <v>675</v>
      </c>
      <c r="H2918" s="18" t="s">
        <v>772</v>
      </c>
      <c r="I2918" s="315">
        <v>10.302993522576228</v>
      </c>
      <c r="J2918" s="315">
        <v>4.7465441936896498E-4</v>
      </c>
      <c r="K2918" s="316" t="str">
        <f t="shared" si="52"/>
        <v>Industrial Equipment</v>
      </c>
      <c r="L2918" s="316" t="str">
        <f t="shared" si="53"/>
        <v>LPG</v>
      </c>
      <c r="M2918" s="8"/>
      <c r="N2918" s="2"/>
      <c r="O2918" s="2"/>
      <c r="P2918" s="2"/>
      <c r="Q2918" s="2"/>
      <c r="R2918" s="2"/>
      <c r="S2918" s="2"/>
      <c r="T2918" s="2"/>
      <c r="U2918" s="2"/>
      <c r="V2918" s="2"/>
      <c r="W2918" s="2"/>
      <c r="X2918" s="2"/>
      <c r="Y2918" s="2"/>
      <c r="Z2918" s="2"/>
    </row>
    <row r="2919" spans="1:26" ht="12.75" x14ac:dyDescent="0.2">
      <c r="A2919" s="230"/>
      <c r="B2919" s="18">
        <v>2023</v>
      </c>
      <c r="C2919" s="18" t="s">
        <v>727</v>
      </c>
      <c r="D2919" s="18" t="s">
        <v>1081</v>
      </c>
      <c r="E2919" s="18" t="s">
        <v>703</v>
      </c>
      <c r="F2919" s="18" t="s">
        <v>805</v>
      </c>
      <c r="G2919" s="18" t="s">
        <v>674</v>
      </c>
      <c r="H2919" s="18" t="s">
        <v>1082</v>
      </c>
      <c r="I2919" s="315">
        <v>10.276225771917332</v>
      </c>
      <c r="J2919" s="315">
        <v>1.6668416740857256E-2</v>
      </c>
      <c r="K2919" s="316" t="str">
        <f t="shared" si="52"/>
        <v>Construction and Mining Equipment</v>
      </c>
      <c r="L2919" s="316" t="str">
        <f t="shared" si="53"/>
        <v>Gasoline</v>
      </c>
      <c r="M2919" s="8"/>
      <c r="N2919" s="2"/>
      <c r="O2919" s="2"/>
      <c r="P2919" s="2"/>
      <c r="Q2919" s="2"/>
      <c r="R2919" s="2"/>
      <c r="S2919" s="2"/>
      <c r="T2919" s="2"/>
      <c r="U2919" s="2"/>
      <c r="V2919" s="2"/>
      <c r="W2919" s="2"/>
      <c r="X2919" s="2"/>
      <c r="Y2919" s="2"/>
      <c r="Z2919" s="2"/>
    </row>
    <row r="2920" spans="1:26" ht="12.75" x14ac:dyDescent="0.2">
      <c r="A2920" s="230"/>
      <c r="B2920" s="18">
        <v>2023</v>
      </c>
      <c r="C2920" s="18" t="s">
        <v>787</v>
      </c>
      <c r="D2920" s="18" t="s">
        <v>1212</v>
      </c>
      <c r="E2920" s="18" t="s">
        <v>56</v>
      </c>
      <c r="F2920" s="18" t="s">
        <v>672</v>
      </c>
      <c r="G2920" s="18" t="s">
        <v>675</v>
      </c>
      <c r="H2920" s="18" t="s">
        <v>798</v>
      </c>
      <c r="I2920" s="315">
        <v>10.274707770829846</v>
      </c>
      <c r="J2920" s="315">
        <v>4.6424849974255518E-4</v>
      </c>
      <c r="K2920" s="316" t="str">
        <f t="shared" si="52"/>
        <v>Industrial Equipment</v>
      </c>
      <c r="L2920" s="316" t="str">
        <f t="shared" si="53"/>
        <v>LPG</v>
      </c>
      <c r="M2920" s="8"/>
      <c r="N2920" s="2"/>
      <c r="O2920" s="2"/>
      <c r="P2920" s="2"/>
      <c r="Q2920" s="2"/>
      <c r="R2920" s="2"/>
      <c r="S2920" s="2"/>
      <c r="T2920" s="2"/>
      <c r="U2920" s="2"/>
      <c r="V2920" s="2"/>
      <c r="W2920" s="2"/>
      <c r="X2920" s="2"/>
      <c r="Y2920" s="2"/>
      <c r="Z2920" s="2"/>
    </row>
    <row r="2921" spans="1:26" ht="12.75" x14ac:dyDescent="0.2">
      <c r="A2921" s="230"/>
      <c r="B2921" s="18">
        <v>2023</v>
      </c>
      <c r="C2921" s="18" t="s">
        <v>792</v>
      </c>
      <c r="D2921" s="18" t="s">
        <v>1394</v>
      </c>
      <c r="E2921" s="18" t="s">
        <v>703</v>
      </c>
      <c r="F2921" s="18" t="s">
        <v>805</v>
      </c>
      <c r="G2921" s="18" t="s">
        <v>681</v>
      </c>
      <c r="H2921" s="18" t="s">
        <v>1395</v>
      </c>
      <c r="I2921" s="315">
        <v>10.257327581025558</v>
      </c>
      <c r="J2921" s="315">
        <v>1.7766906726368024E-2</v>
      </c>
      <c r="K2921" s="316" t="str">
        <f t="shared" si="52"/>
        <v>Logging Equipment</v>
      </c>
      <c r="L2921" s="316" t="str">
        <f t="shared" si="53"/>
        <v>Gasoline</v>
      </c>
      <c r="M2921" s="8"/>
      <c r="N2921" s="2"/>
      <c r="O2921" s="2"/>
      <c r="P2921" s="2"/>
      <c r="Q2921" s="2"/>
      <c r="R2921" s="2"/>
      <c r="S2921" s="2"/>
      <c r="T2921" s="2"/>
      <c r="U2921" s="2"/>
      <c r="V2921" s="2"/>
      <c r="W2921" s="2"/>
      <c r="X2921" s="2"/>
      <c r="Y2921" s="2"/>
      <c r="Z2921" s="2"/>
    </row>
    <row r="2922" spans="1:26" ht="12.75" x14ac:dyDescent="0.2">
      <c r="A2922" s="230"/>
      <c r="B2922" s="18">
        <v>2023</v>
      </c>
      <c r="C2922" s="18" t="s">
        <v>778</v>
      </c>
      <c r="D2922" s="18" t="s">
        <v>1320</v>
      </c>
      <c r="E2922" s="18" t="s">
        <v>713</v>
      </c>
      <c r="F2922" s="18" t="s">
        <v>676</v>
      </c>
      <c r="G2922" s="18" t="s">
        <v>79</v>
      </c>
      <c r="H2922" s="18" t="s">
        <v>730</v>
      </c>
      <c r="I2922" s="315">
        <v>10.237041534779502</v>
      </c>
      <c r="J2922" s="315">
        <v>6.693666961192341E-4</v>
      </c>
      <c r="K2922" s="316" t="str">
        <f t="shared" si="52"/>
        <v>Pleasure Craft</v>
      </c>
      <c r="L2922" s="316" t="str">
        <f t="shared" si="53"/>
        <v>Diesel</v>
      </c>
      <c r="M2922" s="8"/>
      <c r="N2922" s="2"/>
      <c r="O2922" s="2"/>
      <c r="P2922" s="2"/>
      <c r="Q2922" s="2"/>
      <c r="R2922" s="2"/>
      <c r="S2922" s="2"/>
      <c r="T2922" s="2"/>
      <c r="U2922" s="2"/>
      <c r="V2922" s="2"/>
      <c r="W2922" s="2"/>
      <c r="X2922" s="2"/>
      <c r="Y2922" s="2"/>
      <c r="Z2922" s="2"/>
    </row>
    <row r="2923" spans="1:26" ht="12.75" x14ac:dyDescent="0.2">
      <c r="A2923" s="230"/>
      <c r="B2923" s="18">
        <v>2023</v>
      </c>
      <c r="C2923" s="18" t="s">
        <v>732</v>
      </c>
      <c r="D2923" s="18" t="s">
        <v>1247</v>
      </c>
      <c r="E2923" s="18" t="s">
        <v>56</v>
      </c>
      <c r="F2923" s="18" t="s">
        <v>672</v>
      </c>
      <c r="G2923" s="18" t="s">
        <v>674</v>
      </c>
      <c r="H2923" s="18" t="s">
        <v>967</v>
      </c>
      <c r="I2923" s="315">
        <v>10.222838333399299</v>
      </c>
      <c r="J2923" s="315">
        <v>4.8297856084015883E-4</v>
      </c>
      <c r="K2923" s="316" t="str">
        <f t="shared" si="52"/>
        <v>Construction and Mining Equipment</v>
      </c>
      <c r="L2923" s="316" t="str">
        <f t="shared" si="53"/>
        <v>LPG</v>
      </c>
      <c r="M2923" s="8"/>
      <c r="N2923" s="2"/>
      <c r="O2923" s="2"/>
      <c r="P2923" s="2"/>
      <c r="Q2923" s="2"/>
      <c r="R2923" s="2"/>
      <c r="S2923" s="2"/>
      <c r="T2923" s="2"/>
      <c r="U2923" s="2"/>
      <c r="V2923" s="2"/>
      <c r="W2923" s="2"/>
      <c r="X2923" s="2"/>
      <c r="Y2923" s="2"/>
      <c r="Z2923" s="2"/>
    </row>
    <row r="2924" spans="1:26" ht="12.75" x14ac:dyDescent="0.2">
      <c r="A2924" s="230"/>
      <c r="B2924" s="18">
        <v>2023</v>
      </c>
      <c r="C2924" s="18" t="s">
        <v>792</v>
      </c>
      <c r="D2924" s="18" t="s">
        <v>898</v>
      </c>
      <c r="E2924" s="18" t="s">
        <v>703</v>
      </c>
      <c r="F2924" s="18" t="s">
        <v>795</v>
      </c>
      <c r="G2924" s="18" t="s">
        <v>673</v>
      </c>
      <c r="H2924" s="18" t="s">
        <v>899</v>
      </c>
      <c r="I2924" s="315">
        <v>10.20946104717877</v>
      </c>
      <c r="J2924" s="315">
        <v>6.9801687701915971E-2</v>
      </c>
      <c r="K2924" s="316" t="str">
        <f t="shared" si="52"/>
        <v>Lawn and Garden Equipment</v>
      </c>
      <c r="L2924" s="316" t="str">
        <f t="shared" si="53"/>
        <v>Gasoline</v>
      </c>
      <c r="M2924" s="8"/>
      <c r="N2924" s="2"/>
      <c r="O2924" s="2"/>
      <c r="P2924" s="2"/>
      <c r="Q2924" s="2"/>
      <c r="R2924" s="2"/>
      <c r="S2924" s="2"/>
      <c r="T2924" s="2"/>
      <c r="U2924" s="2"/>
      <c r="V2924" s="2"/>
      <c r="W2924" s="2"/>
      <c r="X2924" s="2"/>
      <c r="Y2924" s="2"/>
      <c r="Z2924" s="2"/>
    </row>
    <row r="2925" spans="1:26" ht="12.75" x14ac:dyDescent="0.2">
      <c r="A2925" s="230"/>
      <c r="B2925" s="18">
        <v>2023</v>
      </c>
      <c r="C2925" s="18" t="s">
        <v>732</v>
      </c>
      <c r="D2925" s="18" t="s">
        <v>1248</v>
      </c>
      <c r="E2925" s="18" t="s">
        <v>703</v>
      </c>
      <c r="F2925" s="18" t="s">
        <v>704</v>
      </c>
      <c r="G2925" s="18" t="s">
        <v>674</v>
      </c>
      <c r="H2925" s="18" t="s">
        <v>959</v>
      </c>
      <c r="I2925" s="315">
        <v>10.206659423946276</v>
      </c>
      <c r="J2925" s="315">
        <v>6.8495979702923341E-3</v>
      </c>
      <c r="K2925" s="316" t="str">
        <f t="shared" si="52"/>
        <v>Construction and Mining Equipment</v>
      </c>
      <c r="L2925" s="316" t="str">
        <f t="shared" si="53"/>
        <v>Gasoline</v>
      </c>
      <c r="M2925" s="8"/>
      <c r="N2925" s="2"/>
      <c r="O2925" s="2"/>
      <c r="P2925" s="2"/>
      <c r="Q2925" s="2"/>
      <c r="R2925" s="2"/>
      <c r="S2925" s="2"/>
      <c r="T2925" s="2"/>
      <c r="U2925" s="2"/>
      <c r="V2925" s="2"/>
      <c r="W2925" s="2"/>
      <c r="X2925" s="2"/>
      <c r="Y2925" s="2"/>
      <c r="Z2925" s="2"/>
    </row>
    <row r="2926" spans="1:26" ht="12.75" x14ac:dyDescent="0.2">
      <c r="A2926" s="230"/>
      <c r="B2926" s="18">
        <v>2023</v>
      </c>
      <c r="C2926" s="18" t="s">
        <v>778</v>
      </c>
      <c r="D2926" s="18" t="s">
        <v>1017</v>
      </c>
      <c r="E2926" s="18" t="s">
        <v>703</v>
      </c>
      <c r="F2926" s="18" t="s">
        <v>704</v>
      </c>
      <c r="G2926" s="18" t="s">
        <v>673</v>
      </c>
      <c r="H2926" s="18" t="s">
        <v>806</v>
      </c>
      <c r="I2926" s="315">
        <v>10.151630400602722</v>
      </c>
      <c r="J2926" s="315">
        <v>7.1501042918528058E-3</v>
      </c>
      <c r="K2926" s="316" t="str">
        <f t="shared" si="52"/>
        <v>Lawn and Garden Equipment</v>
      </c>
      <c r="L2926" s="316" t="str">
        <f t="shared" si="53"/>
        <v>Gasoline</v>
      </c>
      <c r="M2926" s="8"/>
      <c r="N2926" s="2"/>
      <c r="O2926" s="2"/>
      <c r="P2926" s="2"/>
      <c r="Q2926" s="2"/>
      <c r="R2926" s="2"/>
      <c r="S2926" s="2"/>
      <c r="T2926" s="2"/>
      <c r="U2926" s="2"/>
      <c r="V2926" s="2"/>
      <c r="W2926" s="2"/>
      <c r="X2926" s="2"/>
      <c r="Y2926" s="2"/>
      <c r="Z2926" s="2"/>
    </row>
    <row r="2927" spans="1:26" ht="12.75" x14ac:dyDescent="0.2">
      <c r="A2927" s="230"/>
      <c r="B2927" s="18">
        <v>2023</v>
      </c>
      <c r="C2927" s="18" t="s">
        <v>750</v>
      </c>
      <c r="D2927" s="18" t="s">
        <v>1158</v>
      </c>
      <c r="E2927" s="18" t="s">
        <v>703</v>
      </c>
      <c r="F2927" s="18" t="s">
        <v>704</v>
      </c>
      <c r="G2927" s="18" t="s">
        <v>674</v>
      </c>
      <c r="H2927" s="18" t="s">
        <v>715</v>
      </c>
      <c r="I2927" s="315">
        <v>10.14971540704839</v>
      </c>
      <c r="J2927" s="315">
        <v>7.0155941491714733E-4</v>
      </c>
      <c r="K2927" s="316" t="str">
        <f t="shared" si="52"/>
        <v>Construction and Mining Equipment</v>
      </c>
      <c r="L2927" s="316" t="str">
        <f t="shared" si="53"/>
        <v>Gasoline</v>
      </c>
      <c r="M2927" s="8"/>
      <c r="N2927" s="2"/>
      <c r="O2927" s="2"/>
      <c r="P2927" s="2"/>
      <c r="Q2927" s="2"/>
      <c r="R2927" s="2"/>
      <c r="S2927" s="2"/>
      <c r="T2927" s="2"/>
      <c r="U2927" s="2"/>
      <c r="V2927" s="2"/>
      <c r="W2927" s="2"/>
      <c r="X2927" s="2"/>
      <c r="Y2927" s="2"/>
      <c r="Z2927" s="2"/>
    </row>
    <row r="2928" spans="1:26" ht="12.75" x14ac:dyDescent="0.2">
      <c r="A2928" s="230"/>
      <c r="B2928" s="18">
        <v>2023</v>
      </c>
      <c r="C2928" s="18" t="s">
        <v>810</v>
      </c>
      <c r="D2928" s="18" t="s">
        <v>1051</v>
      </c>
      <c r="E2928" s="18" t="s">
        <v>703</v>
      </c>
      <c r="F2928" s="18" t="s">
        <v>704</v>
      </c>
      <c r="G2928" s="18" t="s">
        <v>674</v>
      </c>
      <c r="H2928" s="18" t="s">
        <v>783</v>
      </c>
      <c r="I2928" s="315">
        <v>10.126632934997271</v>
      </c>
      <c r="J2928" s="315">
        <v>6.2513195901227354E-3</v>
      </c>
      <c r="K2928" s="316" t="str">
        <f t="shared" si="52"/>
        <v>Construction and Mining Equipment</v>
      </c>
      <c r="L2928" s="316" t="str">
        <f t="shared" si="53"/>
        <v>Gasoline</v>
      </c>
      <c r="M2928" s="8"/>
      <c r="N2928" s="2"/>
      <c r="O2928" s="2"/>
      <c r="P2928" s="2"/>
      <c r="Q2928" s="2"/>
      <c r="R2928" s="2"/>
      <c r="S2928" s="2"/>
      <c r="T2928" s="2"/>
      <c r="U2928" s="2"/>
      <c r="V2928" s="2"/>
      <c r="W2928" s="2"/>
      <c r="X2928" s="2"/>
      <c r="Y2928" s="2"/>
      <c r="Z2928" s="2"/>
    </row>
    <row r="2929" spans="1:26" ht="12.75" x14ac:dyDescent="0.2">
      <c r="A2929" s="230"/>
      <c r="B2929" s="18">
        <v>2023</v>
      </c>
      <c r="C2929" s="18" t="s">
        <v>781</v>
      </c>
      <c r="D2929" s="18" t="s">
        <v>1440</v>
      </c>
      <c r="E2929" s="18" t="s">
        <v>703</v>
      </c>
      <c r="F2929" s="18" t="s">
        <v>704</v>
      </c>
      <c r="G2929" s="18" t="s">
        <v>678</v>
      </c>
      <c r="H2929" s="18" t="s">
        <v>1154</v>
      </c>
      <c r="I2929" s="315">
        <v>10.121295759463193</v>
      </c>
      <c r="J2929" s="315">
        <v>1.0208116415605037E-3</v>
      </c>
      <c r="K2929" s="316" t="str">
        <f t="shared" si="52"/>
        <v>Agricultural Equipment</v>
      </c>
      <c r="L2929" s="316" t="str">
        <f t="shared" si="53"/>
        <v>Gasoline</v>
      </c>
      <c r="M2929" s="8"/>
      <c r="N2929" s="2"/>
      <c r="O2929" s="2"/>
      <c r="P2929" s="2"/>
      <c r="Q2929" s="2"/>
      <c r="R2929" s="2"/>
      <c r="S2929" s="2"/>
      <c r="T2929" s="2"/>
      <c r="U2929" s="2"/>
      <c r="V2929" s="2"/>
      <c r="W2929" s="2"/>
      <c r="X2929" s="2"/>
      <c r="Y2929" s="2"/>
      <c r="Z2929" s="2"/>
    </row>
    <row r="2930" spans="1:26" ht="12.75" x14ac:dyDescent="0.2">
      <c r="A2930" s="230"/>
      <c r="B2930" s="18">
        <v>2023</v>
      </c>
      <c r="C2930" s="18" t="s">
        <v>750</v>
      </c>
      <c r="D2930" s="18" t="s">
        <v>1015</v>
      </c>
      <c r="E2930" s="18" t="s">
        <v>56</v>
      </c>
      <c r="F2930" s="18" t="s">
        <v>601</v>
      </c>
      <c r="G2930" s="18" t="s">
        <v>677</v>
      </c>
      <c r="H2930" s="18" t="s">
        <v>747</v>
      </c>
      <c r="I2930" s="315">
        <v>10.106867592182081</v>
      </c>
      <c r="J2930" s="315">
        <v>0.22611498075692515</v>
      </c>
      <c r="K2930" s="316" t="str">
        <f t="shared" si="52"/>
        <v>Commercial Equipment</v>
      </c>
      <c r="L2930" s="316" t="str">
        <f t="shared" si="53"/>
        <v>CNG</v>
      </c>
      <c r="M2930" s="8"/>
      <c r="N2930" s="2"/>
      <c r="O2930" s="2"/>
      <c r="P2930" s="2"/>
      <c r="Q2930" s="2"/>
      <c r="R2930" s="2"/>
      <c r="S2930" s="2"/>
      <c r="T2930" s="2"/>
      <c r="U2930" s="2"/>
      <c r="V2930" s="2"/>
      <c r="W2930" s="2"/>
      <c r="X2930" s="2"/>
      <c r="Y2930" s="2"/>
      <c r="Z2930" s="2"/>
    </row>
    <row r="2931" spans="1:26" ht="12.75" x14ac:dyDescent="0.2">
      <c r="A2931" s="230"/>
      <c r="B2931" s="18">
        <v>2023</v>
      </c>
      <c r="C2931" s="18" t="s">
        <v>754</v>
      </c>
      <c r="D2931" s="18" t="s">
        <v>1460</v>
      </c>
      <c r="E2931" s="18" t="s">
        <v>703</v>
      </c>
      <c r="F2931" s="18" t="s">
        <v>704</v>
      </c>
      <c r="G2931" s="18" t="s">
        <v>678</v>
      </c>
      <c r="H2931" s="18" t="s">
        <v>1080</v>
      </c>
      <c r="I2931" s="315">
        <v>10.082017218933371</v>
      </c>
      <c r="J2931" s="315">
        <v>6.1473926148481366E-3</v>
      </c>
      <c r="K2931" s="316" t="str">
        <f t="shared" si="52"/>
        <v>Agricultural Equipment</v>
      </c>
      <c r="L2931" s="316" t="str">
        <f t="shared" si="53"/>
        <v>Gasoline</v>
      </c>
      <c r="M2931" s="8"/>
      <c r="N2931" s="2"/>
      <c r="O2931" s="2"/>
      <c r="P2931" s="2"/>
      <c r="Q2931" s="2"/>
      <c r="R2931" s="2"/>
      <c r="S2931" s="2"/>
      <c r="T2931" s="2"/>
      <c r="U2931" s="2"/>
      <c r="V2931" s="2"/>
      <c r="W2931" s="2"/>
      <c r="X2931" s="2"/>
      <c r="Y2931" s="2"/>
      <c r="Z2931" s="2"/>
    </row>
    <row r="2932" spans="1:26" ht="12.75" x14ac:dyDescent="0.2">
      <c r="A2932" s="230"/>
      <c r="B2932" s="18">
        <v>2023</v>
      </c>
      <c r="C2932" s="18" t="s">
        <v>722</v>
      </c>
      <c r="D2932" s="18" t="s">
        <v>1219</v>
      </c>
      <c r="E2932" s="18" t="s">
        <v>703</v>
      </c>
      <c r="F2932" s="18" t="s">
        <v>704</v>
      </c>
      <c r="G2932" s="18" t="s">
        <v>674</v>
      </c>
      <c r="H2932" s="18" t="s">
        <v>1220</v>
      </c>
      <c r="I2932" s="315">
        <v>10.07445606574095</v>
      </c>
      <c r="J2932" s="315">
        <v>6.7941561158632729E-3</v>
      </c>
      <c r="K2932" s="316" t="str">
        <f t="shared" si="52"/>
        <v>Construction and Mining Equipment</v>
      </c>
      <c r="L2932" s="316" t="str">
        <f t="shared" si="53"/>
        <v>Gasoline</v>
      </c>
      <c r="M2932" s="8"/>
      <c r="N2932" s="2"/>
      <c r="O2932" s="2"/>
      <c r="P2932" s="2"/>
      <c r="Q2932" s="2"/>
      <c r="R2932" s="2"/>
      <c r="S2932" s="2"/>
      <c r="T2932" s="2"/>
      <c r="U2932" s="2"/>
      <c r="V2932" s="2"/>
      <c r="W2932" s="2"/>
      <c r="X2932" s="2"/>
      <c r="Y2932" s="2"/>
      <c r="Z2932" s="2"/>
    </row>
    <row r="2933" spans="1:26" x14ac:dyDescent="0.25">
      <c r="A2933" s="314"/>
      <c r="B2933" s="18">
        <v>2023</v>
      </c>
      <c r="C2933" s="18" t="s">
        <v>792</v>
      </c>
      <c r="D2933" s="18" t="s">
        <v>993</v>
      </c>
      <c r="E2933" s="18" t="s">
        <v>703</v>
      </c>
      <c r="F2933" s="18" t="s">
        <v>704</v>
      </c>
      <c r="G2933" s="18" t="s">
        <v>674</v>
      </c>
      <c r="H2933" s="18" t="s">
        <v>994</v>
      </c>
      <c r="I2933" s="315">
        <v>10.06119205707828</v>
      </c>
      <c r="J2933" s="315">
        <v>6.7618263196766596E-3</v>
      </c>
      <c r="K2933" s="316" t="str">
        <f t="shared" si="52"/>
        <v>Construction and Mining Equipment</v>
      </c>
      <c r="L2933" s="316" t="str">
        <f t="shared" si="53"/>
        <v>Gasoline</v>
      </c>
      <c r="M2933" s="194"/>
      <c r="N2933" s="317"/>
      <c r="O2933" s="317"/>
      <c r="P2933" s="317"/>
      <c r="Q2933" s="317"/>
      <c r="R2933" s="317"/>
      <c r="S2933" s="317"/>
      <c r="T2933" s="317"/>
      <c r="U2933" s="317"/>
      <c r="V2933" s="317"/>
      <c r="W2933" s="317"/>
      <c r="X2933" s="317"/>
      <c r="Y2933" s="317"/>
      <c r="Z2933" s="317"/>
    </row>
    <row r="2934" spans="1:26" x14ac:dyDescent="0.25">
      <c r="A2934" s="314"/>
      <c r="B2934" s="18">
        <v>2023</v>
      </c>
      <c r="C2934" s="18" t="s">
        <v>793</v>
      </c>
      <c r="D2934" s="18" t="s">
        <v>1081</v>
      </c>
      <c r="E2934" s="18" t="s">
        <v>703</v>
      </c>
      <c r="F2934" s="18" t="s">
        <v>805</v>
      </c>
      <c r="G2934" s="18" t="s">
        <v>674</v>
      </c>
      <c r="H2934" s="18" t="s">
        <v>1082</v>
      </c>
      <c r="I2934" s="315">
        <v>10.033301511925233</v>
      </c>
      <c r="J2934" s="315">
        <v>1.6274379435812909E-2</v>
      </c>
      <c r="K2934" s="316" t="str">
        <f t="shared" si="52"/>
        <v>Construction and Mining Equipment</v>
      </c>
      <c r="L2934" s="316" t="str">
        <f t="shared" si="53"/>
        <v>Gasoline</v>
      </c>
      <c r="M2934" s="194"/>
      <c r="N2934" s="317"/>
      <c r="O2934" s="317"/>
      <c r="P2934" s="317"/>
      <c r="Q2934" s="317"/>
      <c r="R2934" s="317"/>
      <c r="S2934" s="317"/>
      <c r="T2934" s="317"/>
      <c r="U2934" s="317"/>
      <c r="V2934" s="317"/>
      <c r="W2934" s="317"/>
      <c r="X2934" s="317"/>
      <c r="Y2934" s="317"/>
      <c r="Z2934" s="317"/>
    </row>
    <row r="2935" spans="1:26" x14ac:dyDescent="0.25">
      <c r="A2935" s="314"/>
      <c r="B2935" s="18">
        <v>2023</v>
      </c>
      <c r="C2935" s="18" t="s">
        <v>786</v>
      </c>
      <c r="D2935" s="18" t="s">
        <v>1440</v>
      </c>
      <c r="E2935" s="18" t="s">
        <v>703</v>
      </c>
      <c r="F2935" s="18" t="s">
        <v>704</v>
      </c>
      <c r="G2935" s="18" t="s">
        <v>678</v>
      </c>
      <c r="H2935" s="18" t="s">
        <v>1154</v>
      </c>
      <c r="I2935" s="315">
        <v>10.016491027070703</v>
      </c>
      <c r="J2935" s="315">
        <v>1.0114488986872241E-3</v>
      </c>
      <c r="K2935" s="316" t="str">
        <f t="shared" si="52"/>
        <v>Agricultural Equipment</v>
      </c>
      <c r="L2935" s="316" t="str">
        <f t="shared" si="53"/>
        <v>Gasoline</v>
      </c>
      <c r="M2935" s="194"/>
      <c r="N2935" s="317"/>
      <c r="O2935" s="317"/>
      <c r="P2935" s="317"/>
      <c r="Q2935" s="317"/>
      <c r="R2935" s="317"/>
      <c r="S2935" s="317"/>
      <c r="T2935" s="317"/>
      <c r="U2935" s="317"/>
      <c r="V2935" s="317"/>
      <c r="W2935" s="317"/>
      <c r="X2935" s="317"/>
      <c r="Y2935" s="317"/>
      <c r="Z2935" s="317"/>
    </row>
    <row r="2936" spans="1:26" x14ac:dyDescent="0.25">
      <c r="A2936" s="314"/>
      <c r="B2936" s="18">
        <v>2023</v>
      </c>
      <c r="C2936" s="18" t="s">
        <v>786</v>
      </c>
      <c r="D2936" s="18" t="s">
        <v>1003</v>
      </c>
      <c r="E2936" s="18" t="s">
        <v>703</v>
      </c>
      <c r="F2936" s="18" t="s">
        <v>805</v>
      </c>
      <c r="G2936" s="18" t="s">
        <v>677</v>
      </c>
      <c r="H2936" s="18" t="s">
        <v>841</v>
      </c>
      <c r="I2936" s="315">
        <v>10.005240915875913</v>
      </c>
      <c r="J2936" s="315">
        <v>1.9278433248701304E-2</v>
      </c>
      <c r="K2936" s="316" t="str">
        <f t="shared" si="52"/>
        <v>Commercial Equipment</v>
      </c>
      <c r="L2936" s="316" t="str">
        <f t="shared" si="53"/>
        <v>Gasoline</v>
      </c>
      <c r="M2936" s="194"/>
      <c r="N2936" s="317"/>
      <c r="O2936" s="317"/>
      <c r="P2936" s="317"/>
      <c r="Q2936" s="317"/>
      <c r="R2936" s="317"/>
      <c r="S2936" s="317"/>
      <c r="T2936" s="317"/>
      <c r="U2936" s="317"/>
      <c r="V2936" s="317"/>
      <c r="W2936" s="317"/>
      <c r="X2936" s="317"/>
      <c r="Y2936" s="317"/>
      <c r="Z2936" s="317"/>
    </row>
    <row r="2937" spans="1:26" x14ac:dyDescent="0.25">
      <c r="A2937" s="314"/>
      <c r="B2937" s="18">
        <v>2023</v>
      </c>
      <c r="C2937" s="18" t="s">
        <v>781</v>
      </c>
      <c r="D2937" s="18" t="s">
        <v>1077</v>
      </c>
      <c r="E2937" s="18" t="s">
        <v>713</v>
      </c>
      <c r="F2937" s="18" t="s">
        <v>714</v>
      </c>
      <c r="G2937" s="18" t="s">
        <v>675</v>
      </c>
      <c r="H2937" s="18" t="s">
        <v>1078</v>
      </c>
      <c r="I2937" s="315">
        <v>9.9617916470181953</v>
      </c>
      <c r="J2937" s="315">
        <v>2.5262379229247284E-4</v>
      </c>
      <c r="K2937" s="316" t="str">
        <f t="shared" si="52"/>
        <v>Industrial Equipment</v>
      </c>
      <c r="L2937" s="316" t="str">
        <f t="shared" si="53"/>
        <v>Diesel</v>
      </c>
      <c r="M2937" s="194"/>
      <c r="N2937" s="317"/>
      <c r="O2937" s="317"/>
      <c r="P2937" s="317"/>
      <c r="Q2937" s="317"/>
      <c r="R2937" s="317"/>
      <c r="S2937" s="317"/>
      <c r="T2937" s="317"/>
      <c r="U2937" s="317"/>
      <c r="V2937" s="317"/>
      <c r="W2937" s="317"/>
      <c r="X2937" s="317"/>
      <c r="Y2937" s="317"/>
      <c r="Z2937" s="317"/>
    </row>
    <row r="2938" spans="1:26" x14ac:dyDescent="0.25">
      <c r="A2938" s="314"/>
      <c r="B2938" s="18">
        <v>2023</v>
      </c>
      <c r="C2938" s="18" t="s">
        <v>743</v>
      </c>
      <c r="D2938" s="18" t="s">
        <v>1403</v>
      </c>
      <c r="E2938" s="18" t="s">
        <v>703</v>
      </c>
      <c r="F2938" s="18" t="s">
        <v>683</v>
      </c>
      <c r="G2938" s="18" t="s">
        <v>1404</v>
      </c>
      <c r="H2938" s="18" t="s">
        <v>1002</v>
      </c>
      <c r="I2938" s="315">
        <v>9.9391267055174168</v>
      </c>
      <c r="J2938" s="315">
        <v>6.4646572155548912E-3</v>
      </c>
      <c r="K2938" s="316" t="str">
        <f t="shared" si="52"/>
        <v>Railroad Equipment</v>
      </c>
      <c r="L2938" s="316" t="str">
        <f t="shared" si="53"/>
        <v>Gasoline</v>
      </c>
      <c r="M2938" s="194"/>
      <c r="N2938" s="317"/>
      <c r="O2938" s="317"/>
      <c r="P2938" s="317"/>
      <c r="Q2938" s="317"/>
      <c r="R2938" s="317"/>
      <c r="S2938" s="317"/>
      <c r="T2938" s="317"/>
      <c r="U2938" s="317"/>
      <c r="V2938" s="317"/>
      <c r="W2938" s="317"/>
      <c r="X2938" s="317"/>
      <c r="Y2938" s="317"/>
      <c r="Z2938" s="317"/>
    </row>
    <row r="2939" spans="1:26" x14ac:dyDescent="0.25">
      <c r="A2939" s="314"/>
      <c r="B2939" s="18">
        <v>2023</v>
      </c>
      <c r="C2939" s="18" t="s">
        <v>706</v>
      </c>
      <c r="D2939" s="18" t="s">
        <v>1320</v>
      </c>
      <c r="E2939" s="18" t="s">
        <v>713</v>
      </c>
      <c r="F2939" s="18" t="s">
        <v>676</v>
      </c>
      <c r="G2939" s="18" t="s">
        <v>79</v>
      </c>
      <c r="H2939" s="18" t="s">
        <v>730</v>
      </c>
      <c r="I2939" s="315">
        <v>9.9299262211690316</v>
      </c>
      <c r="J2939" s="315">
        <v>6.4928531918866518E-4</v>
      </c>
      <c r="K2939" s="316" t="str">
        <f t="shared" si="52"/>
        <v>Pleasure Craft</v>
      </c>
      <c r="L2939" s="316" t="str">
        <f t="shared" si="53"/>
        <v>Diesel</v>
      </c>
      <c r="M2939" s="194"/>
      <c r="N2939" s="317"/>
      <c r="O2939" s="317"/>
      <c r="P2939" s="317"/>
      <c r="Q2939" s="317"/>
      <c r="R2939" s="317"/>
      <c r="S2939" s="317"/>
      <c r="T2939" s="317"/>
      <c r="U2939" s="317"/>
      <c r="V2939" s="317"/>
      <c r="W2939" s="317"/>
      <c r="X2939" s="317"/>
      <c r="Y2939" s="317"/>
      <c r="Z2939" s="317"/>
    </row>
    <row r="2940" spans="1:26" x14ac:dyDescent="0.25">
      <c r="A2940" s="314"/>
      <c r="B2940" s="18">
        <v>2023</v>
      </c>
      <c r="C2940" s="18" t="s">
        <v>710</v>
      </c>
      <c r="D2940" s="18" t="s">
        <v>1457</v>
      </c>
      <c r="E2940" s="18" t="s">
        <v>56</v>
      </c>
      <c r="F2940" s="18" t="s">
        <v>601</v>
      </c>
      <c r="G2940" s="18" t="s">
        <v>675</v>
      </c>
      <c r="H2940" s="18" t="s">
        <v>772</v>
      </c>
      <c r="I2940" s="315">
        <v>9.9206873990737527</v>
      </c>
      <c r="J2940" s="315">
        <v>4.0466686104929907E-2</v>
      </c>
      <c r="K2940" s="316" t="str">
        <f t="shared" si="52"/>
        <v>Industrial Equipment</v>
      </c>
      <c r="L2940" s="316" t="str">
        <f t="shared" si="53"/>
        <v>CNG</v>
      </c>
      <c r="M2940" s="194"/>
      <c r="N2940" s="317"/>
      <c r="O2940" s="317"/>
      <c r="P2940" s="317"/>
      <c r="Q2940" s="317"/>
      <c r="R2940" s="317"/>
      <c r="S2940" s="317"/>
      <c r="T2940" s="317"/>
      <c r="U2940" s="317"/>
      <c r="V2940" s="317"/>
      <c r="W2940" s="317"/>
      <c r="X2940" s="317"/>
      <c r="Y2940" s="317"/>
      <c r="Z2940" s="317"/>
    </row>
    <row r="2941" spans="1:26" x14ac:dyDescent="0.25">
      <c r="A2941" s="314"/>
      <c r="B2941" s="18">
        <v>2023</v>
      </c>
      <c r="C2941" s="18" t="s">
        <v>722</v>
      </c>
      <c r="D2941" s="18" t="s">
        <v>1223</v>
      </c>
      <c r="E2941" s="18" t="s">
        <v>713</v>
      </c>
      <c r="F2941" s="18" t="s">
        <v>714</v>
      </c>
      <c r="G2941" s="18" t="s">
        <v>674</v>
      </c>
      <c r="H2941" s="18" t="s">
        <v>1036</v>
      </c>
      <c r="I2941" s="315">
        <v>9.912551712937212</v>
      </c>
      <c r="J2941" s="315">
        <v>9.6943943182718252E-4</v>
      </c>
      <c r="K2941" s="316" t="str">
        <f t="shared" si="52"/>
        <v>Construction and Mining Equipment</v>
      </c>
      <c r="L2941" s="316" t="str">
        <f t="shared" si="53"/>
        <v>Diesel</v>
      </c>
      <c r="M2941" s="194"/>
      <c r="N2941" s="317"/>
      <c r="O2941" s="317"/>
      <c r="P2941" s="317"/>
      <c r="Q2941" s="317"/>
      <c r="R2941" s="317"/>
      <c r="S2941" s="317"/>
      <c r="T2941" s="317"/>
      <c r="U2941" s="317"/>
      <c r="V2941" s="317"/>
      <c r="W2941" s="317"/>
      <c r="X2941" s="317"/>
      <c r="Y2941" s="317"/>
      <c r="Z2941" s="317"/>
    </row>
    <row r="2942" spans="1:26" x14ac:dyDescent="0.25">
      <c r="A2942" s="314"/>
      <c r="B2942" s="18">
        <v>2023</v>
      </c>
      <c r="C2942" s="18" t="s">
        <v>743</v>
      </c>
      <c r="D2942" s="18" t="s">
        <v>1428</v>
      </c>
      <c r="E2942" s="18" t="s">
        <v>56</v>
      </c>
      <c r="F2942" s="18" t="s">
        <v>601</v>
      </c>
      <c r="G2942" s="18" t="s">
        <v>678</v>
      </c>
      <c r="H2942" s="18" t="s">
        <v>1154</v>
      </c>
      <c r="I2942" s="315">
        <v>9.867808687721352</v>
      </c>
      <c r="J2942" s="315">
        <v>4.0130826247617754E-2</v>
      </c>
      <c r="K2942" s="316" t="str">
        <f t="shared" si="52"/>
        <v>Agricultural Equipment</v>
      </c>
      <c r="L2942" s="316" t="str">
        <f t="shared" si="53"/>
        <v>CNG</v>
      </c>
      <c r="M2942" s="194"/>
      <c r="N2942" s="317"/>
      <c r="O2942" s="317"/>
      <c r="P2942" s="317"/>
      <c r="Q2942" s="317"/>
      <c r="R2942" s="317"/>
      <c r="S2942" s="317"/>
      <c r="T2942" s="317"/>
      <c r="U2942" s="317"/>
      <c r="V2942" s="317"/>
      <c r="W2942" s="317"/>
      <c r="X2942" s="317"/>
      <c r="Y2942" s="317"/>
      <c r="Z2942" s="317"/>
    </row>
    <row r="2943" spans="1:26" x14ac:dyDescent="0.25">
      <c r="A2943" s="314"/>
      <c r="B2943" s="18">
        <v>2023</v>
      </c>
      <c r="C2943" s="18" t="s">
        <v>731</v>
      </c>
      <c r="D2943" s="18" t="s">
        <v>1030</v>
      </c>
      <c r="E2943" s="18" t="s">
        <v>703</v>
      </c>
      <c r="F2943" s="18" t="s">
        <v>704</v>
      </c>
      <c r="G2943" s="18" t="s">
        <v>677</v>
      </c>
      <c r="H2943" s="18" t="s">
        <v>1031</v>
      </c>
      <c r="I2943" s="315">
        <v>9.8632475907518824</v>
      </c>
      <c r="J2943" s="315">
        <v>6.8309165102020449E-3</v>
      </c>
      <c r="K2943" s="316" t="str">
        <f t="shared" si="52"/>
        <v>Commercial Equipment</v>
      </c>
      <c r="L2943" s="316" t="str">
        <f t="shared" si="53"/>
        <v>Gasoline</v>
      </c>
      <c r="M2943" s="194"/>
      <c r="N2943" s="317"/>
      <c r="O2943" s="317"/>
      <c r="P2943" s="317"/>
      <c r="Q2943" s="317"/>
      <c r="R2943" s="317"/>
      <c r="S2943" s="317"/>
      <c r="T2943" s="317"/>
      <c r="U2943" s="317"/>
      <c r="V2943" s="317"/>
      <c r="W2943" s="317"/>
      <c r="X2943" s="317"/>
      <c r="Y2943" s="317"/>
      <c r="Z2943" s="317"/>
    </row>
    <row r="2944" spans="1:26" x14ac:dyDescent="0.25">
      <c r="A2944" s="314"/>
      <c r="B2944" s="18">
        <v>2023</v>
      </c>
      <c r="C2944" s="18" t="s">
        <v>727</v>
      </c>
      <c r="D2944" s="18" t="s">
        <v>1405</v>
      </c>
      <c r="E2944" s="18" t="s">
        <v>56</v>
      </c>
      <c r="F2944" s="18" t="s">
        <v>1025</v>
      </c>
      <c r="G2944" s="18" t="s">
        <v>679</v>
      </c>
      <c r="H2944" s="18" t="s">
        <v>1406</v>
      </c>
      <c r="I2944" s="315">
        <v>9.8341845642070531</v>
      </c>
      <c r="J2944" s="315">
        <v>3.4017686116077448E-3</v>
      </c>
      <c r="K2944" s="316" t="str">
        <f t="shared" si="52"/>
        <v>Recreational Equipment</v>
      </c>
      <c r="L2944" s="316" t="str">
        <f t="shared" si="53"/>
        <v>LPG</v>
      </c>
      <c r="M2944" s="194"/>
      <c r="N2944" s="317"/>
      <c r="O2944" s="317"/>
      <c r="P2944" s="317"/>
      <c r="Q2944" s="317"/>
      <c r="R2944" s="317"/>
      <c r="S2944" s="317"/>
      <c r="T2944" s="317"/>
      <c r="U2944" s="317"/>
      <c r="V2944" s="317"/>
      <c r="W2944" s="317"/>
      <c r="X2944" s="317"/>
      <c r="Y2944" s="317"/>
      <c r="Z2944" s="317"/>
    </row>
    <row r="2945" spans="1:26" x14ac:dyDescent="0.25">
      <c r="A2945" s="314"/>
      <c r="B2945" s="18">
        <v>2023</v>
      </c>
      <c r="C2945" s="18" t="s">
        <v>787</v>
      </c>
      <c r="D2945" s="18" t="s">
        <v>1320</v>
      </c>
      <c r="E2945" s="18" t="s">
        <v>713</v>
      </c>
      <c r="F2945" s="18" t="s">
        <v>676</v>
      </c>
      <c r="G2945" s="18" t="s">
        <v>79</v>
      </c>
      <c r="H2945" s="18" t="s">
        <v>730</v>
      </c>
      <c r="I2945" s="315">
        <v>9.8275573696372707</v>
      </c>
      <c r="J2945" s="315">
        <v>6.4259224335873636E-4</v>
      </c>
      <c r="K2945" s="316" t="str">
        <f t="shared" si="52"/>
        <v>Pleasure Craft</v>
      </c>
      <c r="L2945" s="316" t="str">
        <f t="shared" si="53"/>
        <v>Diesel</v>
      </c>
      <c r="M2945" s="194"/>
      <c r="N2945" s="317"/>
      <c r="O2945" s="317"/>
      <c r="P2945" s="317"/>
      <c r="Q2945" s="317"/>
      <c r="R2945" s="317"/>
      <c r="S2945" s="317"/>
      <c r="T2945" s="317"/>
      <c r="U2945" s="317"/>
      <c r="V2945" s="317"/>
      <c r="W2945" s="317"/>
      <c r="X2945" s="317"/>
      <c r="Y2945" s="317"/>
      <c r="Z2945" s="317"/>
    </row>
    <row r="2946" spans="1:26" x14ac:dyDescent="0.25">
      <c r="A2946" s="314"/>
      <c r="B2946" s="18">
        <v>2023</v>
      </c>
      <c r="C2946" s="18" t="s">
        <v>727</v>
      </c>
      <c r="D2946" s="18" t="s">
        <v>1440</v>
      </c>
      <c r="E2946" s="18" t="s">
        <v>703</v>
      </c>
      <c r="F2946" s="18" t="s">
        <v>704</v>
      </c>
      <c r="G2946" s="18" t="s">
        <v>678</v>
      </c>
      <c r="H2946" s="18" t="s">
        <v>1154</v>
      </c>
      <c r="I2946" s="315">
        <v>9.8268558159694521</v>
      </c>
      <c r="J2946" s="315">
        <v>9.8982426297627513E-4</v>
      </c>
      <c r="K2946" s="316" t="str">
        <f t="shared" si="52"/>
        <v>Agricultural Equipment</v>
      </c>
      <c r="L2946" s="316" t="str">
        <f t="shared" si="53"/>
        <v>Gasoline</v>
      </c>
      <c r="M2946" s="194"/>
      <c r="N2946" s="317"/>
      <c r="O2946" s="317"/>
      <c r="P2946" s="317"/>
      <c r="Q2946" s="317"/>
      <c r="R2946" s="317"/>
      <c r="S2946" s="317"/>
      <c r="T2946" s="317"/>
      <c r="U2946" s="317"/>
      <c r="V2946" s="317"/>
      <c r="W2946" s="317"/>
      <c r="X2946" s="317"/>
      <c r="Y2946" s="317"/>
      <c r="Z2946" s="317"/>
    </row>
    <row r="2947" spans="1:26" x14ac:dyDescent="0.25">
      <c r="A2947" s="314"/>
      <c r="B2947" s="18">
        <v>2023</v>
      </c>
      <c r="C2947" s="18" t="s">
        <v>810</v>
      </c>
      <c r="D2947" s="18" t="s">
        <v>1015</v>
      </c>
      <c r="E2947" s="18" t="s">
        <v>56</v>
      </c>
      <c r="F2947" s="18" t="s">
        <v>601</v>
      </c>
      <c r="G2947" s="18" t="s">
        <v>677</v>
      </c>
      <c r="H2947" s="18" t="s">
        <v>747</v>
      </c>
      <c r="I2947" s="315">
        <v>9.8261251549990956</v>
      </c>
      <c r="J2947" s="315">
        <v>0.21983389111569543</v>
      </c>
      <c r="K2947" s="316" t="str">
        <f t="shared" si="52"/>
        <v>Commercial Equipment</v>
      </c>
      <c r="L2947" s="316" t="str">
        <f t="shared" si="53"/>
        <v>CNG</v>
      </c>
      <c r="M2947" s="194"/>
      <c r="N2947" s="317"/>
      <c r="O2947" s="317"/>
      <c r="P2947" s="317"/>
      <c r="Q2947" s="317"/>
      <c r="R2947" s="317"/>
      <c r="S2947" s="317"/>
      <c r="T2947" s="317"/>
      <c r="U2947" s="317"/>
      <c r="V2947" s="317"/>
      <c r="W2947" s="317"/>
      <c r="X2947" s="317"/>
      <c r="Y2947" s="317"/>
      <c r="Z2947" s="317"/>
    </row>
    <row r="2948" spans="1:26" x14ac:dyDescent="0.25">
      <c r="A2948" s="314"/>
      <c r="B2948" s="18">
        <v>2023</v>
      </c>
      <c r="C2948" s="18" t="s">
        <v>701</v>
      </c>
      <c r="D2948" s="18" t="s">
        <v>1435</v>
      </c>
      <c r="E2948" s="18" t="s">
        <v>56</v>
      </c>
      <c r="F2948" s="18" t="s">
        <v>672</v>
      </c>
      <c r="G2948" s="18" t="s">
        <v>674</v>
      </c>
      <c r="H2948" s="18" t="s">
        <v>863</v>
      </c>
      <c r="I2948" s="315">
        <v>9.8222725005376255</v>
      </c>
      <c r="J2948" s="315">
        <v>6.5412244262693254E-4</v>
      </c>
      <c r="K2948" s="316" t="str">
        <f t="shared" si="52"/>
        <v>Construction and Mining Equipment</v>
      </c>
      <c r="L2948" s="316" t="str">
        <f t="shared" si="53"/>
        <v>LPG</v>
      </c>
      <c r="M2948" s="194"/>
      <c r="N2948" s="317"/>
      <c r="O2948" s="317"/>
      <c r="P2948" s="317"/>
      <c r="Q2948" s="317"/>
      <c r="R2948" s="317"/>
      <c r="S2948" s="317"/>
      <c r="T2948" s="317"/>
      <c r="U2948" s="317"/>
      <c r="V2948" s="317"/>
      <c r="W2948" s="317"/>
      <c r="X2948" s="317"/>
      <c r="Y2948" s="317"/>
      <c r="Z2948" s="317"/>
    </row>
    <row r="2949" spans="1:26" x14ac:dyDescent="0.25">
      <c r="A2949" s="314"/>
      <c r="B2949" s="18">
        <v>2023</v>
      </c>
      <c r="C2949" s="18" t="s">
        <v>727</v>
      </c>
      <c r="D2949" s="18" t="s">
        <v>1083</v>
      </c>
      <c r="E2949" s="18" t="s">
        <v>703</v>
      </c>
      <c r="F2949" s="18" t="s">
        <v>704</v>
      </c>
      <c r="G2949" s="18" t="s">
        <v>674</v>
      </c>
      <c r="H2949" s="18" t="s">
        <v>861</v>
      </c>
      <c r="I2949" s="315">
        <v>9.8210908281946914</v>
      </c>
      <c r="J2949" s="315">
        <v>7.3550081384132684E-3</v>
      </c>
      <c r="K2949" s="316" t="str">
        <f t="shared" si="52"/>
        <v>Construction and Mining Equipment</v>
      </c>
      <c r="L2949" s="316" t="str">
        <f t="shared" si="53"/>
        <v>Gasoline</v>
      </c>
      <c r="M2949" s="194"/>
      <c r="N2949" s="317"/>
      <c r="O2949" s="317"/>
      <c r="P2949" s="317"/>
      <c r="Q2949" s="317"/>
      <c r="R2949" s="317"/>
      <c r="S2949" s="317"/>
      <c r="T2949" s="317"/>
      <c r="U2949" s="317"/>
      <c r="V2949" s="317"/>
      <c r="W2949" s="317"/>
      <c r="X2949" s="317"/>
      <c r="Y2949" s="317"/>
      <c r="Z2949" s="317"/>
    </row>
    <row r="2950" spans="1:26" x14ac:dyDescent="0.25">
      <c r="A2950" s="314"/>
      <c r="B2950" s="18">
        <v>2023</v>
      </c>
      <c r="C2950" s="18" t="s">
        <v>753</v>
      </c>
      <c r="D2950" s="18" t="s">
        <v>1071</v>
      </c>
      <c r="E2950" s="18" t="s">
        <v>713</v>
      </c>
      <c r="F2950" s="18" t="s">
        <v>714</v>
      </c>
      <c r="G2950" s="18" t="s">
        <v>674</v>
      </c>
      <c r="H2950" s="18" t="s">
        <v>1072</v>
      </c>
      <c r="I2950" s="315">
        <v>9.8186510386500068</v>
      </c>
      <c r="J2950" s="315">
        <v>1.3146527542083047E-4</v>
      </c>
      <c r="K2950" s="316" t="str">
        <f t="shared" si="52"/>
        <v>Construction and Mining Equipment</v>
      </c>
      <c r="L2950" s="316" t="str">
        <f t="shared" si="53"/>
        <v>Diesel</v>
      </c>
      <c r="M2950" s="194"/>
      <c r="N2950" s="317"/>
      <c r="O2950" s="317"/>
      <c r="P2950" s="317"/>
      <c r="Q2950" s="317"/>
      <c r="R2950" s="317"/>
      <c r="S2950" s="317"/>
      <c r="T2950" s="317"/>
      <c r="U2950" s="317"/>
      <c r="V2950" s="317"/>
      <c r="W2950" s="317"/>
      <c r="X2950" s="317"/>
      <c r="Y2950" s="317"/>
      <c r="Z2950" s="317"/>
    </row>
    <row r="2951" spans="1:26" x14ac:dyDescent="0.25">
      <c r="A2951" s="314"/>
      <c r="B2951" s="18">
        <v>2023</v>
      </c>
      <c r="C2951" s="18" t="s">
        <v>762</v>
      </c>
      <c r="D2951" s="18" t="s">
        <v>1224</v>
      </c>
      <c r="E2951" s="18" t="s">
        <v>703</v>
      </c>
      <c r="F2951" s="18" t="s">
        <v>704</v>
      </c>
      <c r="G2951" s="18" t="s">
        <v>681</v>
      </c>
      <c r="H2951" s="18" t="s">
        <v>1225</v>
      </c>
      <c r="I2951" s="315">
        <v>9.7679573367978634</v>
      </c>
      <c r="J2951" s="315">
        <v>6.6132473854743244E-3</v>
      </c>
      <c r="K2951" s="316" t="str">
        <f t="shared" si="52"/>
        <v>Logging Equipment</v>
      </c>
      <c r="L2951" s="316" t="str">
        <f t="shared" si="53"/>
        <v>Gasoline</v>
      </c>
      <c r="M2951" s="194"/>
      <c r="N2951" s="317"/>
      <c r="O2951" s="317"/>
      <c r="P2951" s="317"/>
      <c r="Q2951" s="317"/>
      <c r="R2951" s="317"/>
      <c r="S2951" s="317"/>
      <c r="T2951" s="317"/>
      <c r="U2951" s="317"/>
      <c r="V2951" s="317"/>
      <c r="W2951" s="317"/>
      <c r="X2951" s="317"/>
      <c r="Y2951" s="317"/>
      <c r="Z2951" s="317"/>
    </row>
    <row r="2952" spans="1:26" x14ac:dyDescent="0.25">
      <c r="A2952" s="314"/>
      <c r="B2952" s="18">
        <v>2023</v>
      </c>
      <c r="C2952" s="18" t="s">
        <v>754</v>
      </c>
      <c r="D2952" s="18" t="s">
        <v>1213</v>
      </c>
      <c r="E2952" s="18" t="s">
        <v>56</v>
      </c>
      <c r="F2952" s="18" t="s">
        <v>672</v>
      </c>
      <c r="G2952" s="18" t="s">
        <v>674</v>
      </c>
      <c r="H2952" s="18" t="s">
        <v>715</v>
      </c>
      <c r="I2952" s="315">
        <v>9.7512467203792763</v>
      </c>
      <c r="J2952" s="315">
        <v>4.4283685297293648E-4</v>
      </c>
      <c r="K2952" s="316" t="str">
        <f t="shared" si="52"/>
        <v>Construction and Mining Equipment</v>
      </c>
      <c r="L2952" s="316" t="str">
        <f t="shared" si="53"/>
        <v>LPG</v>
      </c>
      <c r="M2952" s="194"/>
      <c r="N2952" s="317"/>
      <c r="O2952" s="317"/>
      <c r="P2952" s="317"/>
      <c r="Q2952" s="317"/>
      <c r="R2952" s="317"/>
      <c r="S2952" s="317"/>
      <c r="T2952" s="317"/>
      <c r="U2952" s="317"/>
      <c r="V2952" s="317"/>
      <c r="W2952" s="317"/>
      <c r="X2952" s="317"/>
      <c r="Y2952" s="317"/>
      <c r="Z2952" s="317"/>
    </row>
    <row r="2953" spans="1:26" x14ac:dyDescent="0.25">
      <c r="A2953" s="314"/>
      <c r="B2953" s="18">
        <v>2023</v>
      </c>
      <c r="C2953" s="18" t="s">
        <v>793</v>
      </c>
      <c r="D2953" s="18" t="s">
        <v>997</v>
      </c>
      <c r="E2953" s="18" t="s">
        <v>56</v>
      </c>
      <c r="F2953" s="18" t="s">
        <v>672</v>
      </c>
      <c r="G2953" s="18" t="s">
        <v>675</v>
      </c>
      <c r="H2953" s="18" t="s">
        <v>969</v>
      </c>
      <c r="I2953" s="315">
        <v>9.7430774675715455</v>
      </c>
      <c r="J2953" s="315">
        <v>1.2122302867420445E-3</v>
      </c>
      <c r="K2953" s="316" t="str">
        <f t="shared" si="52"/>
        <v>Industrial Equipment</v>
      </c>
      <c r="L2953" s="316" t="str">
        <f t="shared" si="53"/>
        <v>LPG</v>
      </c>
      <c r="M2953" s="194"/>
      <c r="N2953" s="317"/>
      <c r="O2953" s="317"/>
      <c r="P2953" s="317"/>
      <c r="Q2953" s="317"/>
      <c r="R2953" s="317"/>
      <c r="S2953" s="317"/>
      <c r="T2953" s="317"/>
      <c r="U2953" s="317"/>
      <c r="V2953" s="317"/>
      <c r="W2953" s="317"/>
      <c r="X2953" s="317"/>
      <c r="Y2953" s="317"/>
      <c r="Z2953" s="317"/>
    </row>
    <row r="2954" spans="1:26" x14ac:dyDescent="0.25">
      <c r="A2954" s="314"/>
      <c r="B2954" s="18">
        <v>2023</v>
      </c>
      <c r="C2954" s="18" t="s">
        <v>762</v>
      </c>
      <c r="D2954" s="18" t="s">
        <v>1023</v>
      </c>
      <c r="E2954" s="18" t="s">
        <v>703</v>
      </c>
      <c r="F2954" s="18" t="s">
        <v>704</v>
      </c>
      <c r="G2954" s="18" t="s">
        <v>674</v>
      </c>
      <c r="H2954" s="18" t="s">
        <v>736</v>
      </c>
      <c r="I2954" s="315">
        <v>9.7386055886546892</v>
      </c>
      <c r="J2954" s="315">
        <v>6.4782712242647863E-3</v>
      </c>
      <c r="K2954" s="316" t="str">
        <f t="shared" si="52"/>
        <v>Construction and Mining Equipment</v>
      </c>
      <c r="L2954" s="316" t="str">
        <f t="shared" si="53"/>
        <v>Gasoline</v>
      </c>
      <c r="M2954" s="194"/>
      <c r="N2954" s="317"/>
      <c r="O2954" s="317"/>
      <c r="P2954" s="317"/>
      <c r="Q2954" s="317"/>
      <c r="R2954" s="317"/>
      <c r="S2954" s="317"/>
      <c r="T2954" s="317"/>
      <c r="U2954" s="317"/>
      <c r="V2954" s="317"/>
      <c r="W2954" s="317"/>
      <c r="X2954" s="317"/>
      <c r="Y2954" s="317"/>
      <c r="Z2954" s="317"/>
    </row>
    <row r="2955" spans="1:26" x14ac:dyDescent="0.25">
      <c r="A2955" s="314"/>
      <c r="B2955" s="18">
        <v>2023</v>
      </c>
      <c r="C2955" s="18" t="s">
        <v>727</v>
      </c>
      <c r="D2955" s="18" t="s">
        <v>1022</v>
      </c>
      <c r="E2955" s="18" t="s">
        <v>703</v>
      </c>
      <c r="F2955" s="18" t="s">
        <v>704</v>
      </c>
      <c r="G2955" s="18" t="s">
        <v>675</v>
      </c>
      <c r="H2955" s="18" t="s">
        <v>772</v>
      </c>
      <c r="I2955" s="315">
        <v>9.7236359104038446</v>
      </c>
      <c r="J2955" s="315">
        <v>6.8328862302000646E-4</v>
      </c>
      <c r="K2955" s="316" t="str">
        <f t="shared" si="52"/>
        <v>Industrial Equipment</v>
      </c>
      <c r="L2955" s="316" t="str">
        <f t="shared" si="53"/>
        <v>Gasoline</v>
      </c>
      <c r="M2955" s="194"/>
      <c r="N2955" s="317"/>
      <c r="O2955" s="317"/>
      <c r="P2955" s="317"/>
      <c r="Q2955" s="317"/>
      <c r="R2955" s="317"/>
      <c r="S2955" s="317"/>
      <c r="T2955" s="317"/>
      <c r="U2955" s="317"/>
      <c r="V2955" s="317"/>
      <c r="W2955" s="317"/>
      <c r="X2955" s="317"/>
      <c r="Y2955" s="317"/>
      <c r="Z2955" s="317"/>
    </row>
    <row r="2956" spans="1:26" x14ac:dyDescent="0.25">
      <c r="A2956" s="314"/>
      <c r="B2956" s="18">
        <v>2023</v>
      </c>
      <c r="C2956" s="18" t="s">
        <v>778</v>
      </c>
      <c r="D2956" s="18" t="s">
        <v>1219</v>
      </c>
      <c r="E2956" s="18" t="s">
        <v>703</v>
      </c>
      <c r="F2956" s="18" t="s">
        <v>704</v>
      </c>
      <c r="G2956" s="18" t="s">
        <v>674</v>
      </c>
      <c r="H2956" s="18" t="s">
        <v>1220</v>
      </c>
      <c r="I2956" s="315">
        <v>9.711208581861591</v>
      </c>
      <c r="J2956" s="315">
        <v>6.5333424041029873E-3</v>
      </c>
      <c r="K2956" s="316" t="str">
        <f t="shared" si="52"/>
        <v>Construction and Mining Equipment</v>
      </c>
      <c r="L2956" s="316" t="str">
        <f t="shared" si="53"/>
        <v>Gasoline</v>
      </c>
      <c r="M2956" s="194"/>
      <c r="N2956" s="317"/>
      <c r="O2956" s="317"/>
      <c r="P2956" s="317"/>
      <c r="Q2956" s="317"/>
      <c r="R2956" s="317"/>
      <c r="S2956" s="317"/>
      <c r="T2956" s="317"/>
      <c r="U2956" s="317"/>
      <c r="V2956" s="317"/>
      <c r="W2956" s="317"/>
      <c r="X2956" s="317"/>
      <c r="Y2956" s="317"/>
      <c r="Z2956" s="317"/>
    </row>
    <row r="2957" spans="1:26" x14ac:dyDescent="0.25">
      <c r="A2957" s="314"/>
      <c r="B2957" s="18">
        <v>2023</v>
      </c>
      <c r="C2957" s="18" t="s">
        <v>731</v>
      </c>
      <c r="D2957" s="18" t="s">
        <v>1034</v>
      </c>
      <c r="E2957" s="18" t="s">
        <v>713</v>
      </c>
      <c r="F2957" s="18" t="s">
        <v>714</v>
      </c>
      <c r="G2957" s="18" t="s">
        <v>677</v>
      </c>
      <c r="H2957" s="18" t="s">
        <v>1031</v>
      </c>
      <c r="I2957" s="315">
        <v>9.6788618162099773</v>
      </c>
      <c r="J2957" s="315">
        <v>1.6819754142292727E-4</v>
      </c>
      <c r="K2957" s="316" t="str">
        <f t="shared" si="52"/>
        <v>Commercial Equipment</v>
      </c>
      <c r="L2957" s="316" t="str">
        <f t="shared" si="53"/>
        <v>Diesel</v>
      </c>
      <c r="M2957" s="194"/>
      <c r="N2957" s="317"/>
      <c r="O2957" s="317"/>
      <c r="P2957" s="317"/>
      <c r="Q2957" s="317"/>
      <c r="R2957" s="317"/>
      <c r="S2957" s="317"/>
      <c r="T2957" s="317"/>
      <c r="U2957" s="317"/>
      <c r="V2957" s="317"/>
      <c r="W2957" s="317"/>
      <c r="X2957" s="317"/>
      <c r="Y2957" s="317"/>
      <c r="Z2957" s="317"/>
    </row>
    <row r="2958" spans="1:26" x14ac:dyDescent="0.25">
      <c r="A2958" s="314"/>
      <c r="B2958" s="18">
        <v>2023</v>
      </c>
      <c r="C2958" s="18" t="s">
        <v>754</v>
      </c>
      <c r="D2958" s="18" t="s">
        <v>1214</v>
      </c>
      <c r="E2958" s="18" t="s">
        <v>713</v>
      </c>
      <c r="F2958" s="18" t="s">
        <v>714</v>
      </c>
      <c r="G2958" s="18" t="s">
        <v>674</v>
      </c>
      <c r="H2958" s="18" t="s">
        <v>999</v>
      </c>
      <c r="I2958" s="315">
        <v>9.6748799318944432</v>
      </c>
      <c r="J2958" s="315">
        <v>2.8642408598306693E-4</v>
      </c>
      <c r="K2958" s="316" t="str">
        <f t="shared" si="52"/>
        <v>Construction and Mining Equipment</v>
      </c>
      <c r="L2958" s="316" t="str">
        <f t="shared" si="53"/>
        <v>Diesel</v>
      </c>
      <c r="M2958" s="194"/>
      <c r="N2958" s="317"/>
      <c r="O2958" s="317"/>
      <c r="P2958" s="317"/>
      <c r="Q2958" s="317"/>
      <c r="R2958" s="317"/>
      <c r="S2958" s="317"/>
      <c r="T2958" s="317"/>
      <c r="U2958" s="317"/>
      <c r="V2958" s="317"/>
      <c r="W2958" s="317"/>
      <c r="X2958" s="317"/>
      <c r="Y2958" s="317"/>
      <c r="Z2958" s="317"/>
    </row>
    <row r="2959" spans="1:26" x14ac:dyDescent="0.25">
      <c r="A2959" s="314"/>
      <c r="B2959" s="18">
        <v>2023</v>
      </c>
      <c r="C2959" s="18" t="s">
        <v>762</v>
      </c>
      <c r="D2959" s="18" t="s">
        <v>1320</v>
      </c>
      <c r="E2959" s="18" t="s">
        <v>713</v>
      </c>
      <c r="F2959" s="18" t="s">
        <v>676</v>
      </c>
      <c r="G2959" s="18" t="s">
        <v>79</v>
      </c>
      <c r="H2959" s="18" t="s">
        <v>730</v>
      </c>
      <c r="I2959" s="315">
        <v>9.6228138554877809</v>
      </c>
      <c r="J2959" s="315">
        <v>6.2920491806486389E-4</v>
      </c>
      <c r="K2959" s="316" t="str">
        <f t="shared" si="52"/>
        <v>Pleasure Craft</v>
      </c>
      <c r="L2959" s="316" t="str">
        <f t="shared" si="53"/>
        <v>Diesel</v>
      </c>
      <c r="M2959" s="194"/>
      <c r="N2959" s="317"/>
      <c r="O2959" s="317"/>
      <c r="P2959" s="317"/>
      <c r="Q2959" s="317"/>
      <c r="R2959" s="317"/>
      <c r="S2959" s="317"/>
      <c r="T2959" s="317"/>
      <c r="U2959" s="317"/>
      <c r="V2959" s="317"/>
      <c r="W2959" s="317"/>
      <c r="X2959" s="317"/>
      <c r="Y2959" s="317"/>
      <c r="Z2959" s="317"/>
    </row>
    <row r="2960" spans="1:26" x14ac:dyDescent="0.25">
      <c r="A2960" s="314"/>
      <c r="B2960" s="18">
        <v>2023</v>
      </c>
      <c r="C2960" s="18" t="s">
        <v>793</v>
      </c>
      <c r="D2960" s="18" t="s">
        <v>1083</v>
      </c>
      <c r="E2960" s="18" t="s">
        <v>703</v>
      </c>
      <c r="F2960" s="18" t="s">
        <v>704</v>
      </c>
      <c r="G2960" s="18" t="s">
        <v>674</v>
      </c>
      <c r="H2960" s="18" t="s">
        <v>861</v>
      </c>
      <c r="I2960" s="315">
        <v>9.5889146600221427</v>
      </c>
      <c r="J2960" s="315">
        <v>7.1908062171158887E-3</v>
      </c>
      <c r="K2960" s="316" t="str">
        <f t="shared" si="52"/>
        <v>Construction and Mining Equipment</v>
      </c>
      <c r="L2960" s="316" t="str">
        <f t="shared" si="53"/>
        <v>Gasoline</v>
      </c>
      <c r="M2960" s="194"/>
      <c r="N2960" s="317"/>
      <c r="O2960" s="317"/>
      <c r="P2960" s="317"/>
      <c r="Q2960" s="317"/>
      <c r="R2960" s="317"/>
      <c r="S2960" s="317"/>
      <c r="T2960" s="317"/>
      <c r="U2960" s="317"/>
      <c r="V2960" s="317"/>
      <c r="W2960" s="317"/>
      <c r="X2960" s="317"/>
      <c r="Y2960" s="317"/>
      <c r="Z2960" s="317"/>
    </row>
    <row r="2961" spans="1:26" x14ac:dyDescent="0.25">
      <c r="A2961" s="314"/>
      <c r="B2961" s="18">
        <v>2023</v>
      </c>
      <c r="C2961" s="18" t="s">
        <v>706</v>
      </c>
      <c r="D2961" s="18" t="s">
        <v>1483</v>
      </c>
      <c r="E2961" s="18" t="s">
        <v>703</v>
      </c>
      <c r="F2961" s="18" t="s">
        <v>805</v>
      </c>
      <c r="G2961" s="18" t="s">
        <v>674</v>
      </c>
      <c r="H2961" s="18" t="s">
        <v>994</v>
      </c>
      <c r="I2961" s="315">
        <v>9.5833045273408839</v>
      </c>
      <c r="J2961" s="315">
        <v>2.0093097492367387E-2</v>
      </c>
      <c r="K2961" s="316" t="str">
        <f t="shared" si="52"/>
        <v>Construction and Mining Equipment</v>
      </c>
      <c r="L2961" s="316" t="str">
        <f t="shared" si="53"/>
        <v>Gasoline</v>
      </c>
      <c r="M2961" s="194"/>
      <c r="N2961" s="317"/>
      <c r="O2961" s="317"/>
      <c r="P2961" s="317"/>
      <c r="Q2961" s="317"/>
      <c r="R2961" s="317"/>
      <c r="S2961" s="317"/>
      <c r="T2961" s="317"/>
      <c r="U2961" s="317"/>
      <c r="V2961" s="317"/>
      <c r="W2961" s="317"/>
      <c r="X2961" s="317"/>
      <c r="Y2961" s="317"/>
      <c r="Z2961" s="317"/>
    </row>
    <row r="2962" spans="1:26" x14ac:dyDescent="0.25">
      <c r="A2962" s="314"/>
      <c r="B2962" s="18">
        <v>2023</v>
      </c>
      <c r="C2962" s="18" t="s">
        <v>760</v>
      </c>
      <c r="D2962" s="18" t="s">
        <v>1292</v>
      </c>
      <c r="E2962" s="18" t="s">
        <v>703</v>
      </c>
      <c r="F2962" s="18" t="s">
        <v>795</v>
      </c>
      <c r="G2962" s="18" t="s">
        <v>675</v>
      </c>
      <c r="H2962" s="18" t="s">
        <v>1293</v>
      </c>
      <c r="I2962" s="315">
        <v>9.5712009241634757</v>
      </c>
      <c r="J2962" s="315">
        <v>6.4300522686532371E-3</v>
      </c>
      <c r="K2962" s="316" t="str">
        <f t="shared" si="52"/>
        <v>Industrial Equipment</v>
      </c>
      <c r="L2962" s="316" t="str">
        <f t="shared" si="53"/>
        <v>Gasoline</v>
      </c>
      <c r="M2962" s="194"/>
      <c r="N2962" s="317"/>
      <c r="O2962" s="317"/>
      <c r="P2962" s="317"/>
      <c r="Q2962" s="317"/>
      <c r="R2962" s="317"/>
      <c r="S2962" s="317"/>
      <c r="T2962" s="317"/>
      <c r="U2962" s="317"/>
      <c r="V2962" s="317"/>
      <c r="W2962" s="317"/>
      <c r="X2962" s="317"/>
      <c r="Y2962" s="317"/>
      <c r="Z2962" s="317"/>
    </row>
    <row r="2963" spans="1:26" x14ac:dyDescent="0.25">
      <c r="A2963" s="314"/>
      <c r="B2963" s="18">
        <v>2023</v>
      </c>
      <c r="C2963" s="18" t="s">
        <v>778</v>
      </c>
      <c r="D2963" s="18" t="s">
        <v>1221</v>
      </c>
      <c r="E2963" s="18" t="s">
        <v>713</v>
      </c>
      <c r="F2963" s="18" t="s">
        <v>714</v>
      </c>
      <c r="G2963" s="18" t="s">
        <v>678</v>
      </c>
      <c r="H2963" s="18" t="s">
        <v>1222</v>
      </c>
      <c r="I2963" s="315">
        <v>9.5556305906663379</v>
      </c>
      <c r="J2963" s="315">
        <v>6.365978917943714E-5</v>
      </c>
      <c r="K2963" s="316" t="str">
        <f t="shared" si="52"/>
        <v>Agricultural Equipment</v>
      </c>
      <c r="L2963" s="316" t="str">
        <f t="shared" si="53"/>
        <v>Diesel</v>
      </c>
      <c r="M2963" s="194"/>
      <c r="N2963" s="317"/>
      <c r="O2963" s="317"/>
      <c r="P2963" s="317"/>
      <c r="Q2963" s="317"/>
      <c r="R2963" s="317"/>
      <c r="S2963" s="317"/>
      <c r="T2963" s="317"/>
      <c r="U2963" s="317"/>
      <c r="V2963" s="317"/>
      <c r="W2963" s="317"/>
      <c r="X2963" s="317"/>
      <c r="Y2963" s="317"/>
      <c r="Z2963" s="317"/>
    </row>
    <row r="2964" spans="1:26" x14ac:dyDescent="0.25">
      <c r="A2964" s="314"/>
      <c r="B2964" s="18">
        <v>2023</v>
      </c>
      <c r="C2964" s="18" t="s">
        <v>778</v>
      </c>
      <c r="D2964" s="18" t="s">
        <v>1223</v>
      </c>
      <c r="E2964" s="18" t="s">
        <v>713</v>
      </c>
      <c r="F2964" s="18" t="s">
        <v>714</v>
      </c>
      <c r="G2964" s="18" t="s">
        <v>674</v>
      </c>
      <c r="H2964" s="18" t="s">
        <v>1036</v>
      </c>
      <c r="I2964" s="315">
        <v>9.5551411063145899</v>
      </c>
      <c r="J2964" s="315">
        <v>9.3448454432205777E-4</v>
      </c>
      <c r="K2964" s="316" t="str">
        <f t="shared" si="52"/>
        <v>Construction and Mining Equipment</v>
      </c>
      <c r="L2964" s="316" t="str">
        <f t="shared" si="53"/>
        <v>Diesel</v>
      </c>
      <c r="M2964" s="194"/>
      <c r="N2964" s="317"/>
      <c r="O2964" s="317"/>
      <c r="P2964" s="317"/>
      <c r="Q2964" s="317"/>
      <c r="R2964" s="317"/>
      <c r="S2964" s="317"/>
      <c r="T2964" s="317"/>
      <c r="U2964" s="317"/>
      <c r="V2964" s="317"/>
      <c r="W2964" s="317"/>
      <c r="X2964" s="317"/>
      <c r="Y2964" s="317"/>
      <c r="Z2964" s="317"/>
    </row>
    <row r="2965" spans="1:26" x14ac:dyDescent="0.25">
      <c r="A2965" s="314"/>
      <c r="B2965" s="18">
        <v>2023</v>
      </c>
      <c r="C2965" s="18" t="s">
        <v>760</v>
      </c>
      <c r="D2965" s="18" t="s">
        <v>1295</v>
      </c>
      <c r="E2965" s="18" t="s">
        <v>703</v>
      </c>
      <c r="F2965" s="18" t="s">
        <v>704</v>
      </c>
      <c r="G2965" s="18" t="s">
        <v>674</v>
      </c>
      <c r="H2965" s="18" t="s">
        <v>859</v>
      </c>
      <c r="I2965" s="315">
        <v>9.5223057982276291</v>
      </c>
      <c r="J2965" s="315">
        <v>3.0778971811273202E-3</v>
      </c>
      <c r="K2965" s="316" t="str">
        <f t="shared" si="52"/>
        <v>Construction and Mining Equipment</v>
      </c>
      <c r="L2965" s="316" t="str">
        <f t="shared" si="53"/>
        <v>Gasoline</v>
      </c>
      <c r="M2965" s="194"/>
      <c r="N2965" s="317"/>
      <c r="O2965" s="317"/>
      <c r="P2965" s="317"/>
      <c r="Q2965" s="317"/>
      <c r="R2965" s="317"/>
      <c r="S2965" s="317"/>
      <c r="T2965" s="317"/>
      <c r="U2965" s="317"/>
      <c r="V2965" s="317"/>
      <c r="W2965" s="317"/>
      <c r="X2965" s="317"/>
      <c r="Y2965" s="317"/>
      <c r="Z2965" s="317"/>
    </row>
    <row r="2966" spans="1:26" x14ac:dyDescent="0.25">
      <c r="A2966" s="314"/>
      <c r="B2966" s="18">
        <v>2023</v>
      </c>
      <c r="C2966" s="18" t="s">
        <v>731</v>
      </c>
      <c r="D2966" s="18" t="s">
        <v>1037</v>
      </c>
      <c r="E2966" s="18" t="s">
        <v>56</v>
      </c>
      <c r="F2966" s="18" t="s">
        <v>672</v>
      </c>
      <c r="G2966" s="18" t="s">
        <v>677</v>
      </c>
      <c r="H2966" s="18" t="s">
        <v>841</v>
      </c>
      <c r="I2966" s="315">
        <v>9.5205233500731055</v>
      </c>
      <c r="J2966" s="315">
        <v>9.6373732747640016E-4</v>
      </c>
      <c r="K2966" s="316" t="str">
        <f t="shared" si="52"/>
        <v>Commercial Equipment</v>
      </c>
      <c r="L2966" s="316" t="str">
        <f t="shared" si="53"/>
        <v>LPG</v>
      </c>
      <c r="M2966" s="194"/>
      <c r="N2966" s="317"/>
      <c r="O2966" s="317"/>
      <c r="P2966" s="317"/>
      <c r="Q2966" s="317"/>
      <c r="R2966" s="317"/>
      <c r="S2966" s="317"/>
      <c r="T2966" s="317"/>
      <c r="U2966" s="317"/>
      <c r="V2966" s="317"/>
      <c r="W2966" s="317"/>
      <c r="X2966" s="317"/>
      <c r="Y2966" s="317"/>
      <c r="Z2966" s="317"/>
    </row>
    <row r="2967" spans="1:26" x14ac:dyDescent="0.25">
      <c r="A2967" s="314"/>
      <c r="B2967" s="18">
        <v>2023</v>
      </c>
      <c r="C2967" s="18" t="s">
        <v>781</v>
      </c>
      <c r="D2967" s="18" t="s">
        <v>1224</v>
      </c>
      <c r="E2967" s="18" t="s">
        <v>703</v>
      </c>
      <c r="F2967" s="18" t="s">
        <v>704</v>
      </c>
      <c r="G2967" s="18" t="s">
        <v>681</v>
      </c>
      <c r="H2967" s="18" t="s">
        <v>1225</v>
      </c>
      <c r="I2967" s="315">
        <v>9.4026832794087909</v>
      </c>
      <c r="J2967" s="315">
        <v>6.3616241339273551E-3</v>
      </c>
      <c r="K2967" s="316" t="str">
        <f t="shared" si="52"/>
        <v>Logging Equipment</v>
      </c>
      <c r="L2967" s="316" t="str">
        <f t="shared" si="53"/>
        <v>Gasoline</v>
      </c>
      <c r="M2967" s="194"/>
      <c r="N2967" s="317"/>
      <c r="O2967" s="317"/>
      <c r="P2967" s="317"/>
      <c r="Q2967" s="317"/>
      <c r="R2967" s="317"/>
      <c r="S2967" s="317"/>
      <c r="T2967" s="317"/>
      <c r="U2967" s="317"/>
      <c r="V2967" s="317"/>
      <c r="W2967" s="317"/>
      <c r="X2967" s="317"/>
      <c r="Y2967" s="317"/>
      <c r="Z2967" s="317"/>
    </row>
    <row r="2968" spans="1:26" x14ac:dyDescent="0.25">
      <c r="A2968" s="314"/>
      <c r="B2968" s="18">
        <v>2023</v>
      </c>
      <c r="C2968" s="18" t="s">
        <v>711</v>
      </c>
      <c r="D2968" s="18" t="s">
        <v>1394</v>
      </c>
      <c r="E2968" s="18" t="s">
        <v>703</v>
      </c>
      <c r="F2968" s="18" t="s">
        <v>805</v>
      </c>
      <c r="G2968" s="18" t="s">
        <v>681</v>
      </c>
      <c r="H2968" s="18" t="s">
        <v>1395</v>
      </c>
      <c r="I2968" s="315">
        <v>9.3850562343064627</v>
      </c>
      <c r="J2968" s="315">
        <v>1.625600747620707E-2</v>
      </c>
      <c r="K2968" s="316" t="str">
        <f t="shared" si="52"/>
        <v>Logging Equipment</v>
      </c>
      <c r="L2968" s="316" t="str">
        <f t="shared" si="53"/>
        <v>Gasoline</v>
      </c>
      <c r="M2968" s="194"/>
      <c r="N2968" s="317"/>
      <c r="O2968" s="317"/>
      <c r="P2968" s="317"/>
      <c r="Q2968" s="317"/>
      <c r="R2968" s="317"/>
      <c r="S2968" s="317"/>
      <c r="T2968" s="317"/>
      <c r="U2968" s="317"/>
      <c r="V2968" s="317"/>
      <c r="W2968" s="317"/>
      <c r="X2968" s="317"/>
      <c r="Y2968" s="317"/>
      <c r="Z2968" s="317"/>
    </row>
    <row r="2969" spans="1:26" x14ac:dyDescent="0.25">
      <c r="A2969" s="314"/>
      <c r="B2969" s="18">
        <v>2023</v>
      </c>
      <c r="C2969" s="18" t="s">
        <v>773</v>
      </c>
      <c r="D2969" s="18" t="s">
        <v>1081</v>
      </c>
      <c r="E2969" s="18" t="s">
        <v>703</v>
      </c>
      <c r="F2969" s="18" t="s">
        <v>805</v>
      </c>
      <c r="G2969" s="18" t="s">
        <v>674</v>
      </c>
      <c r="H2969" s="18" t="s">
        <v>1082</v>
      </c>
      <c r="I2969" s="315">
        <v>9.3582980890419307</v>
      </c>
      <c r="J2969" s="315">
        <v>1.5179501445307561E-2</v>
      </c>
      <c r="K2969" s="316" t="str">
        <f t="shared" si="52"/>
        <v>Construction and Mining Equipment</v>
      </c>
      <c r="L2969" s="316" t="str">
        <f t="shared" si="53"/>
        <v>Gasoline</v>
      </c>
      <c r="M2969" s="194"/>
      <c r="N2969" s="317"/>
      <c r="O2969" s="317"/>
      <c r="P2969" s="317"/>
      <c r="Q2969" s="317"/>
      <c r="R2969" s="317"/>
      <c r="S2969" s="317"/>
      <c r="T2969" s="317"/>
      <c r="U2969" s="317"/>
      <c r="V2969" s="317"/>
      <c r="W2969" s="317"/>
      <c r="X2969" s="317"/>
      <c r="Y2969" s="317"/>
      <c r="Z2969" s="317"/>
    </row>
    <row r="2970" spans="1:26" x14ac:dyDescent="0.25">
      <c r="A2970" s="314"/>
      <c r="B2970" s="18">
        <v>2023</v>
      </c>
      <c r="C2970" s="18" t="s">
        <v>731</v>
      </c>
      <c r="D2970" s="18" t="s">
        <v>993</v>
      </c>
      <c r="E2970" s="18" t="s">
        <v>703</v>
      </c>
      <c r="F2970" s="18" t="s">
        <v>704</v>
      </c>
      <c r="G2970" s="18" t="s">
        <v>674</v>
      </c>
      <c r="H2970" s="18" t="s">
        <v>994</v>
      </c>
      <c r="I2970" s="315">
        <v>9.3370648981509401</v>
      </c>
      <c r="J2970" s="315">
        <v>6.2137891223569179E-3</v>
      </c>
      <c r="K2970" s="316" t="str">
        <f t="shared" si="52"/>
        <v>Construction and Mining Equipment</v>
      </c>
      <c r="L2970" s="316" t="str">
        <f t="shared" si="53"/>
        <v>Gasoline</v>
      </c>
      <c r="M2970" s="194"/>
      <c r="N2970" s="317"/>
      <c r="O2970" s="317"/>
      <c r="P2970" s="317"/>
      <c r="Q2970" s="317"/>
      <c r="R2970" s="317"/>
      <c r="S2970" s="317"/>
      <c r="T2970" s="317"/>
      <c r="U2970" s="317"/>
      <c r="V2970" s="317"/>
      <c r="W2970" s="317"/>
      <c r="X2970" s="317"/>
      <c r="Y2970" s="317"/>
      <c r="Z2970" s="317"/>
    </row>
    <row r="2971" spans="1:26" x14ac:dyDescent="0.25">
      <c r="A2971" s="314"/>
      <c r="B2971" s="18">
        <v>2023</v>
      </c>
      <c r="C2971" s="18" t="s">
        <v>786</v>
      </c>
      <c r="D2971" s="18" t="s">
        <v>1011</v>
      </c>
      <c r="E2971" s="18" t="s">
        <v>56</v>
      </c>
      <c r="F2971" s="18" t="s">
        <v>672</v>
      </c>
      <c r="G2971" s="18" t="s">
        <v>677</v>
      </c>
      <c r="H2971" s="18" t="s">
        <v>836</v>
      </c>
      <c r="I2971" s="315">
        <v>9.3166946576979743</v>
      </c>
      <c r="J2971" s="315">
        <v>4.9497079226250621E-4</v>
      </c>
      <c r="K2971" s="316" t="str">
        <f t="shared" si="52"/>
        <v>Commercial Equipment</v>
      </c>
      <c r="L2971" s="316" t="str">
        <f t="shared" si="53"/>
        <v>LPG</v>
      </c>
      <c r="M2971" s="194"/>
      <c r="N2971" s="317"/>
      <c r="O2971" s="317"/>
      <c r="P2971" s="317"/>
      <c r="Q2971" s="317"/>
      <c r="R2971" s="317"/>
      <c r="S2971" s="317"/>
      <c r="T2971" s="317"/>
      <c r="U2971" s="317"/>
      <c r="V2971" s="317"/>
      <c r="W2971" s="317"/>
      <c r="X2971" s="317"/>
      <c r="Y2971" s="317"/>
      <c r="Z2971" s="317"/>
    </row>
    <row r="2972" spans="1:26" x14ac:dyDescent="0.25">
      <c r="A2972" s="314"/>
      <c r="B2972" s="18">
        <v>2023</v>
      </c>
      <c r="C2972" s="18" t="s">
        <v>722</v>
      </c>
      <c r="D2972" s="18" t="s">
        <v>1227</v>
      </c>
      <c r="E2972" s="18" t="s">
        <v>56</v>
      </c>
      <c r="F2972" s="18" t="s">
        <v>672</v>
      </c>
      <c r="G2972" s="18" t="s">
        <v>674</v>
      </c>
      <c r="H2972" s="18" t="s">
        <v>850</v>
      </c>
      <c r="I2972" s="315">
        <v>9.3130668198436624</v>
      </c>
      <c r="J2972" s="315">
        <v>5.9804863265897946E-4</v>
      </c>
      <c r="K2972" s="316" t="str">
        <f t="shared" si="52"/>
        <v>Construction and Mining Equipment</v>
      </c>
      <c r="L2972" s="316" t="str">
        <f t="shared" si="53"/>
        <v>LPG</v>
      </c>
      <c r="M2972" s="194"/>
      <c r="N2972" s="317"/>
      <c r="O2972" s="317"/>
      <c r="P2972" s="317"/>
      <c r="Q2972" s="317"/>
      <c r="R2972" s="317"/>
      <c r="S2972" s="317"/>
      <c r="T2972" s="317"/>
      <c r="U2972" s="317"/>
      <c r="V2972" s="317"/>
      <c r="W2972" s="317"/>
      <c r="X2972" s="317"/>
      <c r="Y2972" s="317"/>
      <c r="Z2972" s="317"/>
    </row>
    <row r="2973" spans="1:26" x14ac:dyDescent="0.25">
      <c r="A2973" s="314"/>
      <c r="B2973" s="18">
        <v>2023</v>
      </c>
      <c r="C2973" s="18" t="s">
        <v>810</v>
      </c>
      <c r="D2973" s="18" t="s">
        <v>1065</v>
      </c>
      <c r="E2973" s="18" t="s">
        <v>703</v>
      </c>
      <c r="F2973" s="18" t="s">
        <v>795</v>
      </c>
      <c r="G2973" s="18" t="s">
        <v>673</v>
      </c>
      <c r="H2973" s="18" t="s">
        <v>1066</v>
      </c>
      <c r="I2973" s="315">
        <v>9.2902981749615865</v>
      </c>
      <c r="J2973" s="315">
        <v>6.3456935579335613E-2</v>
      </c>
      <c r="K2973" s="316" t="str">
        <f t="shared" si="52"/>
        <v>Lawn and Garden Equipment</v>
      </c>
      <c r="L2973" s="316" t="str">
        <f t="shared" si="53"/>
        <v>Gasoline</v>
      </c>
      <c r="M2973" s="194"/>
      <c r="N2973" s="317"/>
      <c r="O2973" s="317"/>
      <c r="P2973" s="317"/>
      <c r="Q2973" s="317"/>
      <c r="R2973" s="317"/>
      <c r="S2973" s="317"/>
      <c r="T2973" s="317"/>
      <c r="U2973" s="317"/>
      <c r="V2973" s="317"/>
      <c r="W2973" s="317"/>
      <c r="X2973" s="317"/>
      <c r="Y2973" s="317"/>
      <c r="Z2973" s="317"/>
    </row>
    <row r="2974" spans="1:26" x14ac:dyDescent="0.25">
      <c r="A2974" s="314"/>
      <c r="B2974" s="18">
        <v>2023</v>
      </c>
      <c r="C2974" s="18" t="s">
        <v>786</v>
      </c>
      <c r="D2974" s="18" t="s">
        <v>993</v>
      </c>
      <c r="E2974" s="18" t="s">
        <v>703</v>
      </c>
      <c r="F2974" s="18" t="s">
        <v>704</v>
      </c>
      <c r="G2974" s="18" t="s">
        <v>674</v>
      </c>
      <c r="H2974" s="18" t="s">
        <v>994</v>
      </c>
      <c r="I2974" s="315">
        <v>9.2734716662252019</v>
      </c>
      <c r="J2974" s="315">
        <v>6.1890847659982562E-3</v>
      </c>
      <c r="K2974" s="316" t="str">
        <f t="shared" si="52"/>
        <v>Construction and Mining Equipment</v>
      </c>
      <c r="L2974" s="316" t="str">
        <f t="shared" si="53"/>
        <v>Gasoline</v>
      </c>
      <c r="M2974" s="194"/>
      <c r="N2974" s="317"/>
      <c r="O2974" s="317"/>
      <c r="P2974" s="317"/>
      <c r="Q2974" s="317"/>
      <c r="R2974" s="317"/>
      <c r="S2974" s="317"/>
      <c r="T2974" s="317"/>
      <c r="U2974" s="317"/>
      <c r="V2974" s="317"/>
      <c r="W2974" s="317"/>
      <c r="X2974" s="317"/>
      <c r="Y2974" s="317"/>
      <c r="Z2974" s="317"/>
    </row>
    <row r="2975" spans="1:26" x14ac:dyDescent="0.25">
      <c r="A2975" s="314"/>
      <c r="B2975" s="18">
        <v>2023</v>
      </c>
      <c r="C2975" s="18" t="s">
        <v>754</v>
      </c>
      <c r="D2975" s="18" t="s">
        <v>1218</v>
      </c>
      <c r="E2975" s="18" t="s">
        <v>703</v>
      </c>
      <c r="F2975" s="18" t="s">
        <v>704</v>
      </c>
      <c r="G2975" s="18" t="s">
        <v>673</v>
      </c>
      <c r="H2975" s="18" t="s">
        <v>996</v>
      </c>
      <c r="I2975" s="315">
        <v>9.25839646642528</v>
      </c>
      <c r="J2975" s="315">
        <v>6.4616025564800776E-3</v>
      </c>
      <c r="K2975" s="316" t="str">
        <f t="shared" si="52"/>
        <v>Lawn and Garden Equipment</v>
      </c>
      <c r="L2975" s="316" t="str">
        <f t="shared" si="53"/>
        <v>Gasoline</v>
      </c>
      <c r="M2975" s="194"/>
      <c r="N2975" s="317"/>
      <c r="O2975" s="317"/>
      <c r="P2975" s="317"/>
      <c r="Q2975" s="317"/>
      <c r="R2975" s="317"/>
      <c r="S2975" s="317"/>
      <c r="T2975" s="317"/>
      <c r="U2975" s="317"/>
      <c r="V2975" s="317"/>
      <c r="W2975" s="317"/>
      <c r="X2975" s="317"/>
      <c r="Y2975" s="317"/>
      <c r="Z2975" s="317"/>
    </row>
    <row r="2976" spans="1:26" x14ac:dyDescent="0.25">
      <c r="A2976" s="314"/>
      <c r="B2976" s="18">
        <v>2023</v>
      </c>
      <c r="C2976" s="18" t="s">
        <v>810</v>
      </c>
      <c r="D2976" s="18" t="s">
        <v>1071</v>
      </c>
      <c r="E2976" s="18" t="s">
        <v>713</v>
      </c>
      <c r="F2976" s="18" t="s">
        <v>714</v>
      </c>
      <c r="G2976" s="18" t="s">
        <v>674</v>
      </c>
      <c r="H2976" s="18" t="s">
        <v>1072</v>
      </c>
      <c r="I2976" s="315">
        <v>9.2542295208336647</v>
      </c>
      <c r="J2976" s="315">
        <v>1.2390795431240355E-4</v>
      </c>
      <c r="K2976" s="316" t="str">
        <f t="shared" si="52"/>
        <v>Construction and Mining Equipment</v>
      </c>
      <c r="L2976" s="316" t="str">
        <f t="shared" si="53"/>
        <v>Diesel</v>
      </c>
      <c r="M2976" s="194"/>
      <c r="N2976" s="317"/>
      <c r="O2976" s="317"/>
      <c r="P2976" s="317"/>
      <c r="Q2976" s="317"/>
      <c r="R2976" s="317"/>
      <c r="S2976" s="317"/>
      <c r="T2976" s="317"/>
      <c r="U2976" s="317"/>
      <c r="V2976" s="317"/>
      <c r="W2976" s="317"/>
      <c r="X2976" s="317"/>
      <c r="Y2976" s="317"/>
      <c r="Z2976" s="317"/>
    </row>
    <row r="2977" spans="1:26" x14ac:dyDescent="0.25">
      <c r="A2977" s="314"/>
      <c r="B2977" s="18">
        <v>2023</v>
      </c>
      <c r="C2977" s="18" t="s">
        <v>706</v>
      </c>
      <c r="D2977" s="18" t="s">
        <v>737</v>
      </c>
      <c r="E2977" s="18" t="s">
        <v>713</v>
      </c>
      <c r="F2977" s="18" t="s">
        <v>714</v>
      </c>
      <c r="G2977" s="18" t="s">
        <v>680</v>
      </c>
      <c r="H2977" s="18" t="s">
        <v>680</v>
      </c>
      <c r="I2977" s="315">
        <v>9.2533266923463131</v>
      </c>
      <c r="J2977" s="315">
        <v>7.4714884456184049E-5</v>
      </c>
      <c r="K2977" s="316" t="str">
        <f t="shared" si="52"/>
        <v>Airport Ground Support Equipment</v>
      </c>
      <c r="L2977" s="316" t="str">
        <f t="shared" si="53"/>
        <v>Diesel</v>
      </c>
      <c r="M2977" s="194"/>
      <c r="N2977" s="317"/>
      <c r="O2977" s="317"/>
      <c r="P2977" s="317"/>
      <c r="Q2977" s="317"/>
      <c r="R2977" s="317"/>
      <c r="S2977" s="317"/>
      <c r="T2977" s="317"/>
      <c r="U2977" s="317"/>
      <c r="V2977" s="317"/>
      <c r="W2977" s="317"/>
      <c r="X2977" s="317"/>
      <c r="Y2977" s="317"/>
      <c r="Z2977" s="317"/>
    </row>
    <row r="2978" spans="1:26" x14ac:dyDescent="0.25">
      <c r="A2978" s="314"/>
      <c r="B2978" s="18">
        <v>2023</v>
      </c>
      <c r="C2978" s="18" t="s">
        <v>753</v>
      </c>
      <c r="D2978" s="18" t="s">
        <v>1440</v>
      </c>
      <c r="E2978" s="18" t="s">
        <v>703</v>
      </c>
      <c r="F2978" s="18" t="s">
        <v>704</v>
      </c>
      <c r="G2978" s="18" t="s">
        <v>678</v>
      </c>
      <c r="H2978" s="18" t="s">
        <v>1154</v>
      </c>
      <c r="I2978" s="315">
        <v>9.2081550895154134</v>
      </c>
      <c r="J2978" s="315">
        <v>9.2808146425300473E-4</v>
      </c>
      <c r="K2978" s="316" t="str">
        <f t="shared" si="52"/>
        <v>Agricultural Equipment</v>
      </c>
      <c r="L2978" s="316" t="str">
        <f t="shared" si="53"/>
        <v>Gasoline</v>
      </c>
      <c r="M2978" s="194"/>
      <c r="N2978" s="317"/>
      <c r="O2978" s="317"/>
      <c r="P2978" s="317"/>
      <c r="Q2978" s="317"/>
      <c r="R2978" s="317"/>
      <c r="S2978" s="317"/>
      <c r="T2978" s="317"/>
      <c r="U2978" s="317"/>
      <c r="V2978" s="317"/>
      <c r="W2978" s="317"/>
      <c r="X2978" s="317"/>
      <c r="Y2978" s="317"/>
      <c r="Z2978" s="317"/>
    </row>
    <row r="2979" spans="1:26" x14ac:dyDescent="0.25">
      <c r="A2979" s="314"/>
      <c r="B2979" s="18">
        <v>2023</v>
      </c>
      <c r="C2979" s="18" t="s">
        <v>759</v>
      </c>
      <c r="D2979" s="18" t="s">
        <v>958</v>
      </c>
      <c r="E2979" s="18" t="s">
        <v>713</v>
      </c>
      <c r="F2979" s="18" t="s">
        <v>714</v>
      </c>
      <c r="G2979" s="18" t="s">
        <v>674</v>
      </c>
      <c r="H2979" s="18" t="s">
        <v>959</v>
      </c>
      <c r="I2979" s="315">
        <v>9.1825172666181523</v>
      </c>
      <c r="J2979" s="315">
        <v>8.1683297941094197E-5</v>
      </c>
      <c r="K2979" s="316" t="str">
        <f t="shared" si="52"/>
        <v>Construction and Mining Equipment</v>
      </c>
      <c r="L2979" s="316" t="str">
        <f t="shared" si="53"/>
        <v>Diesel</v>
      </c>
      <c r="M2979" s="194"/>
      <c r="N2979" s="317"/>
      <c r="O2979" s="317"/>
      <c r="P2979" s="317"/>
      <c r="Q2979" s="317"/>
      <c r="R2979" s="317"/>
      <c r="S2979" s="317"/>
      <c r="T2979" s="317"/>
      <c r="U2979" s="317"/>
      <c r="V2979" s="317"/>
      <c r="W2979" s="317"/>
      <c r="X2979" s="317"/>
      <c r="Y2979" s="317"/>
      <c r="Z2979" s="317"/>
    </row>
    <row r="2980" spans="1:26" x14ac:dyDescent="0.25">
      <c r="A2980" s="314"/>
      <c r="B2980" s="18">
        <v>2023</v>
      </c>
      <c r="C2980" s="18" t="s">
        <v>731</v>
      </c>
      <c r="D2980" s="18" t="s">
        <v>1440</v>
      </c>
      <c r="E2980" s="18" t="s">
        <v>703</v>
      </c>
      <c r="F2980" s="18" t="s">
        <v>704</v>
      </c>
      <c r="G2980" s="18" t="s">
        <v>678</v>
      </c>
      <c r="H2980" s="18" t="s">
        <v>1154</v>
      </c>
      <c r="I2980" s="315">
        <v>9.1337761512804736</v>
      </c>
      <c r="J2980" s="315">
        <v>9.2041357685326895E-4</v>
      </c>
      <c r="K2980" s="316" t="str">
        <f t="shared" si="52"/>
        <v>Agricultural Equipment</v>
      </c>
      <c r="L2980" s="316" t="str">
        <f t="shared" si="53"/>
        <v>Gasoline</v>
      </c>
      <c r="M2980" s="194"/>
      <c r="N2980" s="317"/>
      <c r="O2980" s="317"/>
      <c r="P2980" s="317"/>
      <c r="Q2980" s="317"/>
      <c r="R2980" s="317"/>
      <c r="S2980" s="317"/>
      <c r="T2980" s="317"/>
      <c r="U2980" s="317"/>
      <c r="V2980" s="317"/>
      <c r="W2980" s="317"/>
      <c r="X2980" s="317"/>
      <c r="Y2980" s="317"/>
      <c r="Z2980" s="317"/>
    </row>
    <row r="2981" spans="1:26" x14ac:dyDescent="0.25">
      <c r="A2981" s="314"/>
      <c r="B2981" s="18">
        <v>2023</v>
      </c>
      <c r="C2981" s="18" t="s">
        <v>727</v>
      </c>
      <c r="D2981" s="18" t="s">
        <v>1084</v>
      </c>
      <c r="E2981" s="18" t="s">
        <v>703</v>
      </c>
      <c r="F2981" s="18" t="s">
        <v>704</v>
      </c>
      <c r="G2981" s="18" t="s">
        <v>674</v>
      </c>
      <c r="H2981" s="18" t="s">
        <v>863</v>
      </c>
      <c r="I2981" s="315">
        <v>9.0838264350172491</v>
      </c>
      <c r="J2981" s="315">
        <v>5.2931557038182501E-3</v>
      </c>
      <c r="K2981" s="316" t="str">
        <f t="shared" si="52"/>
        <v>Construction and Mining Equipment</v>
      </c>
      <c r="L2981" s="316" t="str">
        <f t="shared" si="53"/>
        <v>Gasoline</v>
      </c>
      <c r="M2981" s="194"/>
      <c r="N2981" s="317"/>
      <c r="O2981" s="317"/>
      <c r="P2981" s="317"/>
      <c r="Q2981" s="317"/>
      <c r="R2981" s="317"/>
      <c r="S2981" s="317"/>
      <c r="T2981" s="317"/>
      <c r="U2981" s="317"/>
      <c r="V2981" s="317"/>
      <c r="W2981" s="317"/>
      <c r="X2981" s="317"/>
      <c r="Y2981" s="317"/>
      <c r="Z2981" s="317"/>
    </row>
    <row r="2982" spans="1:26" x14ac:dyDescent="0.25">
      <c r="A2982" s="314"/>
      <c r="B2982" s="18">
        <v>2023</v>
      </c>
      <c r="C2982" s="18" t="s">
        <v>709</v>
      </c>
      <c r="D2982" s="18" t="s">
        <v>1445</v>
      </c>
      <c r="E2982" s="18" t="s">
        <v>56</v>
      </c>
      <c r="F2982" s="18" t="s">
        <v>601</v>
      </c>
      <c r="G2982" s="18" t="s">
        <v>677</v>
      </c>
      <c r="H2982" s="18" t="s">
        <v>841</v>
      </c>
      <c r="I2982" s="315">
        <v>9.0797942469833934</v>
      </c>
      <c r="J2982" s="315">
        <v>9.8648372414690669E-2</v>
      </c>
      <c r="K2982" s="316" t="str">
        <f t="shared" si="52"/>
        <v>Commercial Equipment</v>
      </c>
      <c r="L2982" s="316" t="str">
        <f t="shared" si="53"/>
        <v>CNG</v>
      </c>
      <c r="M2982" s="194"/>
      <c r="N2982" s="317"/>
      <c r="O2982" s="317"/>
      <c r="P2982" s="317"/>
      <c r="Q2982" s="317"/>
      <c r="R2982" s="317"/>
      <c r="S2982" s="317"/>
      <c r="T2982" s="317"/>
      <c r="U2982" s="317"/>
      <c r="V2982" s="317"/>
      <c r="W2982" s="317"/>
      <c r="X2982" s="317"/>
      <c r="Y2982" s="317"/>
      <c r="Z2982" s="317"/>
    </row>
    <row r="2983" spans="1:26" x14ac:dyDescent="0.25">
      <c r="A2983" s="314"/>
      <c r="B2983" s="18">
        <v>2023</v>
      </c>
      <c r="C2983" s="18" t="s">
        <v>781</v>
      </c>
      <c r="D2983" s="18" t="s">
        <v>927</v>
      </c>
      <c r="E2983" s="18" t="s">
        <v>56</v>
      </c>
      <c r="F2983" s="18" t="s">
        <v>672</v>
      </c>
      <c r="G2983" s="18" t="s">
        <v>673</v>
      </c>
      <c r="H2983" s="18" t="s">
        <v>742</v>
      </c>
      <c r="I2983" s="315">
        <v>9.0600774715309083</v>
      </c>
      <c r="J2983" s="315">
        <v>4.1159637678293127E-4</v>
      </c>
      <c r="K2983" s="316" t="str">
        <f t="shared" si="52"/>
        <v>Lawn and Garden Equipment</v>
      </c>
      <c r="L2983" s="316" t="str">
        <f t="shared" si="53"/>
        <v>LPG</v>
      </c>
      <c r="M2983" s="194"/>
      <c r="N2983" s="317"/>
      <c r="O2983" s="317"/>
      <c r="P2983" s="317"/>
      <c r="Q2983" s="317"/>
      <c r="R2983" s="317"/>
      <c r="S2983" s="317"/>
      <c r="T2983" s="317"/>
      <c r="U2983" s="317"/>
      <c r="V2983" s="317"/>
      <c r="W2983" s="317"/>
      <c r="X2983" s="317"/>
      <c r="Y2983" s="317"/>
      <c r="Z2983" s="317"/>
    </row>
    <row r="2984" spans="1:26" x14ac:dyDescent="0.25">
      <c r="A2984" s="314"/>
      <c r="B2984" s="18">
        <v>2023</v>
      </c>
      <c r="C2984" s="18" t="s">
        <v>753</v>
      </c>
      <c r="D2984" s="18" t="s">
        <v>1073</v>
      </c>
      <c r="E2984" s="18" t="s">
        <v>703</v>
      </c>
      <c r="F2984" s="18" t="s">
        <v>704</v>
      </c>
      <c r="G2984" s="18" t="s">
        <v>674</v>
      </c>
      <c r="H2984" s="18" t="s">
        <v>1072</v>
      </c>
      <c r="I2984" s="315">
        <v>9.0279761047054627</v>
      </c>
      <c r="J2984" s="315">
        <v>6.3472298105520207E-3</v>
      </c>
      <c r="K2984" s="316" t="str">
        <f t="shared" si="52"/>
        <v>Construction and Mining Equipment</v>
      </c>
      <c r="L2984" s="316" t="str">
        <f t="shared" si="53"/>
        <v>Gasoline</v>
      </c>
      <c r="M2984" s="194"/>
      <c r="N2984" s="317"/>
      <c r="O2984" s="317"/>
      <c r="P2984" s="317"/>
      <c r="Q2984" s="317"/>
      <c r="R2984" s="317"/>
      <c r="S2984" s="317"/>
      <c r="T2984" s="317"/>
      <c r="U2984" s="317"/>
      <c r="V2984" s="317"/>
      <c r="W2984" s="317"/>
      <c r="X2984" s="317"/>
      <c r="Y2984" s="317"/>
      <c r="Z2984" s="317"/>
    </row>
    <row r="2985" spans="1:26" x14ac:dyDescent="0.25">
      <c r="A2985" s="314"/>
      <c r="B2985" s="18">
        <v>2023</v>
      </c>
      <c r="C2985" s="18" t="s">
        <v>750</v>
      </c>
      <c r="D2985" s="18" t="s">
        <v>1394</v>
      </c>
      <c r="E2985" s="18" t="s">
        <v>703</v>
      </c>
      <c r="F2985" s="18" t="s">
        <v>805</v>
      </c>
      <c r="G2985" s="18" t="s">
        <v>681</v>
      </c>
      <c r="H2985" s="18" t="s">
        <v>1395</v>
      </c>
      <c r="I2985" s="315">
        <v>9.0121087349102122</v>
      </c>
      <c r="J2985" s="315">
        <v>1.5610006900409087E-2</v>
      </c>
      <c r="K2985" s="316" t="str">
        <f t="shared" si="52"/>
        <v>Logging Equipment</v>
      </c>
      <c r="L2985" s="316" t="str">
        <f t="shared" si="53"/>
        <v>Gasoline</v>
      </c>
      <c r="M2985" s="194"/>
      <c r="N2985" s="317"/>
      <c r="O2985" s="317"/>
      <c r="P2985" s="317"/>
      <c r="Q2985" s="317"/>
      <c r="R2985" s="317"/>
      <c r="S2985" s="317"/>
      <c r="T2985" s="317"/>
      <c r="U2985" s="317"/>
      <c r="V2985" s="317"/>
      <c r="W2985" s="317"/>
      <c r="X2985" s="317"/>
      <c r="Y2985" s="317"/>
      <c r="Z2985" s="317"/>
    </row>
    <row r="2986" spans="1:26" x14ac:dyDescent="0.25">
      <c r="A2986" s="314"/>
      <c r="B2986" s="18">
        <v>2023</v>
      </c>
      <c r="C2986" s="18" t="s">
        <v>753</v>
      </c>
      <c r="D2986" s="18" t="s">
        <v>1074</v>
      </c>
      <c r="E2986" s="18" t="s">
        <v>713</v>
      </c>
      <c r="F2986" s="18" t="s">
        <v>714</v>
      </c>
      <c r="G2986" s="18" t="s">
        <v>674</v>
      </c>
      <c r="H2986" s="18" t="s">
        <v>967</v>
      </c>
      <c r="I2986" s="315">
        <v>9.0010170416749951</v>
      </c>
      <c r="J2986" s="315">
        <v>1.5467801065364466E-4</v>
      </c>
      <c r="K2986" s="316" t="str">
        <f t="shared" si="52"/>
        <v>Construction and Mining Equipment</v>
      </c>
      <c r="L2986" s="316" t="str">
        <f t="shared" si="53"/>
        <v>Diesel</v>
      </c>
      <c r="M2986" s="194"/>
      <c r="N2986" s="317"/>
      <c r="O2986" s="317"/>
      <c r="P2986" s="317"/>
      <c r="Q2986" s="317"/>
      <c r="R2986" s="317"/>
      <c r="S2986" s="317"/>
      <c r="T2986" s="317"/>
      <c r="U2986" s="317"/>
      <c r="V2986" s="317"/>
      <c r="W2986" s="317"/>
      <c r="X2986" s="317"/>
      <c r="Y2986" s="317"/>
      <c r="Z2986" s="317"/>
    </row>
    <row r="2987" spans="1:26" x14ac:dyDescent="0.25">
      <c r="A2987" s="314"/>
      <c r="B2987" s="18">
        <v>2023</v>
      </c>
      <c r="C2987" s="18" t="s">
        <v>743</v>
      </c>
      <c r="D2987" s="18" t="s">
        <v>1215</v>
      </c>
      <c r="E2987" s="18" t="s">
        <v>56</v>
      </c>
      <c r="F2987" s="18" t="s">
        <v>672</v>
      </c>
      <c r="G2987" s="18" t="s">
        <v>674</v>
      </c>
      <c r="H2987" s="18" t="s">
        <v>756</v>
      </c>
      <c r="I2987" s="315">
        <v>8.9887362720956787</v>
      </c>
      <c r="J2987" s="315">
        <v>1.6629534519504859E-3</v>
      </c>
      <c r="K2987" s="316" t="str">
        <f t="shared" si="52"/>
        <v>Construction and Mining Equipment</v>
      </c>
      <c r="L2987" s="316" t="str">
        <f t="shared" si="53"/>
        <v>LPG</v>
      </c>
      <c r="M2987" s="194"/>
      <c r="N2987" s="317"/>
      <c r="O2987" s="317"/>
      <c r="P2987" s="317"/>
      <c r="Q2987" s="317"/>
      <c r="R2987" s="317"/>
      <c r="S2987" s="317"/>
      <c r="T2987" s="317"/>
      <c r="U2987" s="317"/>
      <c r="V2987" s="317"/>
      <c r="W2987" s="317"/>
      <c r="X2987" s="317"/>
      <c r="Y2987" s="317"/>
      <c r="Z2987" s="317"/>
    </row>
    <row r="2988" spans="1:26" x14ac:dyDescent="0.25">
      <c r="A2988" s="314"/>
      <c r="B2988" s="18">
        <v>2023</v>
      </c>
      <c r="C2988" s="18" t="s">
        <v>778</v>
      </c>
      <c r="D2988" s="18" t="s">
        <v>1227</v>
      </c>
      <c r="E2988" s="18" t="s">
        <v>56</v>
      </c>
      <c r="F2988" s="18" t="s">
        <v>672</v>
      </c>
      <c r="G2988" s="18" t="s">
        <v>674</v>
      </c>
      <c r="H2988" s="18" t="s">
        <v>850</v>
      </c>
      <c r="I2988" s="315">
        <v>8.9772787159233971</v>
      </c>
      <c r="J2988" s="315">
        <v>5.7648527177694866E-4</v>
      </c>
      <c r="K2988" s="316" t="str">
        <f t="shared" si="52"/>
        <v>Construction and Mining Equipment</v>
      </c>
      <c r="L2988" s="316" t="str">
        <f t="shared" si="53"/>
        <v>LPG</v>
      </c>
      <c r="M2988" s="194"/>
      <c r="N2988" s="317"/>
      <c r="O2988" s="317"/>
      <c r="P2988" s="317"/>
      <c r="Q2988" s="317"/>
      <c r="R2988" s="317"/>
      <c r="S2988" s="317"/>
      <c r="T2988" s="317"/>
      <c r="U2988" s="317"/>
      <c r="V2988" s="317"/>
      <c r="W2988" s="317"/>
      <c r="X2988" s="317"/>
      <c r="Y2988" s="317"/>
      <c r="Z2988" s="317"/>
    </row>
    <row r="2989" spans="1:26" x14ac:dyDescent="0.25">
      <c r="A2989" s="314"/>
      <c r="B2989" s="18">
        <v>2023</v>
      </c>
      <c r="C2989" s="18" t="s">
        <v>773</v>
      </c>
      <c r="D2989" s="18" t="s">
        <v>1083</v>
      </c>
      <c r="E2989" s="18" t="s">
        <v>703</v>
      </c>
      <c r="F2989" s="18" t="s">
        <v>704</v>
      </c>
      <c r="G2989" s="18" t="s">
        <v>674</v>
      </c>
      <c r="H2989" s="18" t="s">
        <v>861</v>
      </c>
      <c r="I2989" s="315">
        <v>8.9438147480698778</v>
      </c>
      <c r="J2989" s="315">
        <v>6.6933975058458706E-3</v>
      </c>
      <c r="K2989" s="316" t="str">
        <f t="shared" si="52"/>
        <v>Construction and Mining Equipment</v>
      </c>
      <c r="L2989" s="316" t="str">
        <f t="shared" si="53"/>
        <v>Gasoline</v>
      </c>
      <c r="M2989" s="194"/>
      <c r="N2989" s="317"/>
      <c r="O2989" s="317"/>
      <c r="P2989" s="317"/>
      <c r="Q2989" s="317"/>
      <c r="R2989" s="317"/>
      <c r="S2989" s="317"/>
      <c r="T2989" s="317"/>
      <c r="U2989" s="317"/>
      <c r="V2989" s="317"/>
      <c r="W2989" s="317"/>
      <c r="X2989" s="317"/>
      <c r="Y2989" s="317"/>
      <c r="Z2989" s="317"/>
    </row>
    <row r="2990" spans="1:26" x14ac:dyDescent="0.25">
      <c r="A2990" s="314"/>
      <c r="B2990" s="18">
        <v>2023</v>
      </c>
      <c r="C2990" s="18" t="s">
        <v>793</v>
      </c>
      <c r="D2990" s="18" t="s">
        <v>1018</v>
      </c>
      <c r="E2990" s="18" t="s">
        <v>56</v>
      </c>
      <c r="F2990" s="18" t="s">
        <v>672</v>
      </c>
      <c r="G2990" s="18" t="s">
        <v>677</v>
      </c>
      <c r="H2990" s="18" t="s">
        <v>785</v>
      </c>
      <c r="I2990" s="315">
        <v>8.9432716799777747</v>
      </c>
      <c r="J2990" s="315">
        <v>4.3886577290372305E-4</v>
      </c>
      <c r="K2990" s="316" t="str">
        <f t="shared" si="52"/>
        <v>Commercial Equipment</v>
      </c>
      <c r="L2990" s="316" t="str">
        <f t="shared" si="53"/>
        <v>LPG</v>
      </c>
      <c r="M2990" s="194"/>
      <c r="N2990" s="317"/>
      <c r="O2990" s="317"/>
      <c r="P2990" s="317"/>
      <c r="Q2990" s="317"/>
      <c r="R2990" s="317"/>
      <c r="S2990" s="317"/>
      <c r="T2990" s="317"/>
      <c r="U2990" s="317"/>
      <c r="V2990" s="317"/>
      <c r="W2990" s="317"/>
      <c r="X2990" s="317"/>
      <c r="Y2990" s="317"/>
      <c r="Z2990" s="317"/>
    </row>
    <row r="2991" spans="1:26" x14ac:dyDescent="0.25">
      <c r="A2991" s="314"/>
      <c r="B2991" s="18">
        <v>2023</v>
      </c>
      <c r="C2991" s="18" t="s">
        <v>781</v>
      </c>
      <c r="D2991" s="18" t="s">
        <v>1460</v>
      </c>
      <c r="E2991" s="18" t="s">
        <v>703</v>
      </c>
      <c r="F2991" s="18" t="s">
        <v>704</v>
      </c>
      <c r="G2991" s="18" t="s">
        <v>678</v>
      </c>
      <c r="H2991" s="18" t="s">
        <v>1080</v>
      </c>
      <c r="I2991" s="315">
        <v>8.9084297694309225</v>
      </c>
      <c r="J2991" s="315">
        <v>5.4161589365842346E-3</v>
      </c>
      <c r="K2991" s="316" t="str">
        <f t="shared" si="52"/>
        <v>Agricultural Equipment</v>
      </c>
      <c r="L2991" s="316" t="str">
        <f t="shared" si="53"/>
        <v>Gasoline</v>
      </c>
      <c r="M2991" s="194"/>
      <c r="N2991" s="317"/>
      <c r="O2991" s="317"/>
      <c r="P2991" s="317"/>
      <c r="Q2991" s="317"/>
      <c r="R2991" s="317"/>
      <c r="S2991" s="317"/>
      <c r="T2991" s="317"/>
      <c r="U2991" s="317"/>
      <c r="V2991" s="317"/>
      <c r="W2991" s="317"/>
      <c r="X2991" s="317"/>
      <c r="Y2991" s="317"/>
      <c r="Z2991" s="317"/>
    </row>
    <row r="2992" spans="1:26" x14ac:dyDescent="0.25">
      <c r="A2992" s="314"/>
      <c r="B2992" s="18">
        <v>2023</v>
      </c>
      <c r="C2992" s="18" t="s">
        <v>732</v>
      </c>
      <c r="D2992" s="18" t="s">
        <v>1281</v>
      </c>
      <c r="E2992" s="18" t="s">
        <v>703</v>
      </c>
      <c r="F2992" s="18" t="s">
        <v>704</v>
      </c>
      <c r="G2992" s="18" t="s">
        <v>674</v>
      </c>
      <c r="H2992" s="18" t="s">
        <v>770</v>
      </c>
      <c r="I2992" s="315">
        <v>8.8935615810578277</v>
      </c>
      <c r="J2992" s="315">
        <v>9.8448816253044E-4</v>
      </c>
      <c r="K2992" s="316" t="str">
        <f t="shared" si="52"/>
        <v>Construction and Mining Equipment</v>
      </c>
      <c r="L2992" s="316" t="str">
        <f t="shared" si="53"/>
        <v>Gasoline</v>
      </c>
      <c r="M2992" s="194"/>
      <c r="N2992" s="317"/>
      <c r="O2992" s="317"/>
      <c r="P2992" s="317"/>
      <c r="Q2992" s="317"/>
      <c r="R2992" s="317"/>
      <c r="S2992" s="317"/>
      <c r="T2992" s="317"/>
      <c r="U2992" s="317"/>
      <c r="V2992" s="317"/>
      <c r="W2992" s="317"/>
      <c r="X2992" s="317"/>
      <c r="Y2992" s="317"/>
      <c r="Z2992" s="317"/>
    </row>
    <row r="2993" spans="1:26" x14ac:dyDescent="0.25">
      <c r="A2993" s="314"/>
      <c r="B2993" s="18">
        <v>2023</v>
      </c>
      <c r="C2993" s="18" t="s">
        <v>711</v>
      </c>
      <c r="D2993" s="18" t="s">
        <v>1445</v>
      </c>
      <c r="E2993" s="18" t="s">
        <v>56</v>
      </c>
      <c r="F2993" s="18" t="s">
        <v>601</v>
      </c>
      <c r="G2993" s="18" t="s">
        <v>677</v>
      </c>
      <c r="H2993" s="18" t="s">
        <v>841</v>
      </c>
      <c r="I2993" s="315">
        <v>8.8909168186625358</v>
      </c>
      <c r="J2993" s="315">
        <v>9.6596278150986203E-2</v>
      </c>
      <c r="K2993" s="316" t="str">
        <f t="shared" si="52"/>
        <v>Commercial Equipment</v>
      </c>
      <c r="L2993" s="316" t="str">
        <f t="shared" si="53"/>
        <v>CNG</v>
      </c>
      <c r="M2993" s="194"/>
      <c r="N2993" s="317"/>
      <c r="O2993" s="317"/>
      <c r="P2993" s="317"/>
      <c r="Q2993" s="317"/>
      <c r="R2993" s="317"/>
      <c r="S2993" s="317"/>
      <c r="T2993" s="317"/>
      <c r="U2993" s="317"/>
      <c r="V2993" s="317"/>
      <c r="W2993" s="317"/>
      <c r="X2993" s="317"/>
      <c r="Y2993" s="317"/>
      <c r="Z2993" s="317"/>
    </row>
    <row r="2994" spans="1:26" x14ac:dyDescent="0.25">
      <c r="A2994" s="314"/>
      <c r="B2994" s="18">
        <v>2023</v>
      </c>
      <c r="C2994" s="18" t="s">
        <v>792</v>
      </c>
      <c r="D2994" s="18" t="s">
        <v>998</v>
      </c>
      <c r="E2994" s="18" t="s">
        <v>703</v>
      </c>
      <c r="F2994" s="18" t="s">
        <v>704</v>
      </c>
      <c r="G2994" s="18" t="s">
        <v>674</v>
      </c>
      <c r="H2994" s="18" t="s">
        <v>999</v>
      </c>
      <c r="I2994" s="315">
        <v>8.8732533434631513</v>
      </c>
      <c r="J2994" s="315">
        <v>5.9015767675458086E-3</v>
      </c>
      <c r="K2994" s="316" t="str">
        <f t="shared" si="52"/>
        <v>Construction and Mining Equipment</v>
      </c>
      <c r="L2994" s="316" t="str">
        <f t="shared" si="53"/>
        <v>Gasoline</v>
      </c>
      <c r="M2994" s="194"/>
      <c r="N2994" s="317"/>
      <c r="O2994" s="317"/>
      <c r="P2994" s="317"/>
      <c r="Q2994" s="317"/>
      <c r="R2994" s="317"/>
      <c r="S2994" s="317"/>
      <c r="T2994" s="317"/>
      <c r="U2994" s="317"/>
      <c r="V2994" s="317"/>
      <c r="W2994" s="317"/>
      <c r="X2994" s="317"/>
      <c r="Y2994" s="317"/>
      <c r="Z2994" s="317"/>
    </row>
    <row r="2995" spans="1:26" x14ac:dyDescent="0.25">
      <c r="A2995" s="314"/>
      <c r="B2995" s="18">
        <v>2023</v>
      </c>
      <c r="C2995" s="18" t="s">
        <v>793</v>
      </c>
      <c r="D2995" s="18" t="s">
        <v>1084</v>
      </c>
      <c r="E2995" s="18" t="s">
        <v>703</v>
      </c>
      <c r="F2995" s="18" t="s">
        <v>704</v>
      </c>
      <c r="G2995" s="18" t="s">
        <v>674</v>
      </c>
      <c r="H2995" s="18" t="s">
        <v>863</v>
      </c>
      <c r="I2995" s="315">
        <v>8.8690918674455315</v>
      </c>
      <c r="J2995" s="315">
        <v>5.1754120314605172E-3</v>
      </c>
      <c r="K2995" s="316" t="str">
        <f t="shared" si="52"/>
        <v>Construction and Mining Equipment</v>
      </c>
      <c r="L2995" s="316" t="str">
        <f t="shared" si="53"/>
        <v>Gasoline</v>
      </c>
      <c r="M2995" s="194"/>
      <c r="N2995" s="317"/>
      <c r="O2995" s="317"/>
      <c r="P2995" s="317"/>
      <c r="Q2995" s="317"/>
      <c r="R2995" s="317"/>
      <c r="S2995" s="317"/>
      <c r="T2995" s="317"/>
      <c r="U2995" s="317"/>
      <c r="V2995" s="317"/>
      <c r="W2995" s="317"/>
      <c r="X2995" s="317"/>
      <c r="Y2995" s="317"/>
      <c r="Z2995" s="317"/>
    </row>
    <row r="2996" spans="1:26" x14ac:dyDescent="0.25">
      <c r="A2996" s="314"/>
      <c r="B2996" s="18">
        <v>2023</v>
      </c>
      <c r="C2996" s="18" t="s">
        <v>793</v>
      </c>
      <c r="D2996" s="18" t="s">
        <v>1009</v>
      </c>
      <c r="E2996" s="18" t="s">
        <v>713</v>
      </c>
      <c r="F2996" s="18" t="s">
        <v>714</v>
      </c>
      <c r="G2996" s="18" t="s">
        <v>673</v>
      </c>
      <c r="H2996" s="18" t="s">
        <v>1010</v>
      </c>
      <c r="I2996" s="315">
        <v>8.8593149011261474</v>
      </c>
      <c r="J2996" s="315">
        <v>1.2928809710303574E-4</v>
      </c>
      <c r="K2996" s="316" t="str">
        <f t="shared" si="52"/>
        <v>Lawn and Garden Equipment</v>
      </c>
      <c r="L2996" s="316" t="str">
        <f t="shared" si="53"/>
        <v>Diesel</v>
      </c>
      <c r="M2996" s="194"/>
      <c r="N2996" s="317"/>
      <c r="O2996" s="317"/>
      <c r="P2996" s="317"/>
      <c r="Q2996" s="317"/>
      <c r="R2996" s="317"/>
      <c r="S2996" s="317"/>
      <c r="T2996" s="317"/>
      <c r="U2996" s="317"/>
      <c r="V2996" s="317"/>
      <c r="W2996" s="317"/>
      <c r="X2996" s="317"/>
      <c r="Y2996" s="317"/>
      <c r="Z2996" s="317"/>
    </row>
    <row r="2997" spans="1:26" x14ac:dyDescent="0.25">
      <c r="A2997" s="314"/>
      <c r="B2997" s="18">
        <v>2023</v>
      </c>
      <c r="C2997" s="18" t="s">
        <v>792</v>
      </c>
      <c r="D2997" s="18" t="s">
        <v>1000</v>
      </c>
      <c r="E2997" s="18" t="s">
        <v>703</v>
      </c>
      <c r="F2997" s="18" t="s">
        <v>704</v>
      </c>
      <c r="G2997" s="18" t="s">
        <v>674</v>
      </c>
      <c r="H2997" s="18" t="s">
        <v>850</v>
      </c>
      <c r="I2997" s="315">
        <v>8.840611254186566</v>
      </c>
      <c r="J2997" s="315">
        <v>5.4173783849502249E-3</v>
      </c>
      <c r="K2997" s="316" t="str">
        <f t="shared" si="52"/>
        <v>Construction and Mining Equipment</v>
      </c>
      <c r="L2997" s="316" t="str">
        <f t="shared" si="53"/>
        <v>Gasoline</v>
      </c>
      <c r="M2997" s="194"/>
      <c r="N2997" s="317"/>
      <c r="O2997" s="317"/>
      <c r="P2997" s="317"/>
      <c r="Q2997" s="317"/>
      <c r="R2997" s="317"/>
      <c r="S2997" s="317"/>
      <c r="T2997" s="317"/>
      <c r="U2997" s="317"/>
      <c r="V2997" s="317"/>
      <c r="W2997" s="317"/>
      <c r="X2997" s="317"/>
      <c r="Y2997" s="317"/>
      <c r="Z2997" s="317"/>
    </row>
    <row r="2998" spans="1:26" x14ac:dyDescent="0.25">
      <c r="A2998" s="314"/>
      <c r="B2998" s="18">
        <v>2023</v>
      </c>
      <c r="C2998" s="18" t="s">
        <v>722</v>
      </c>
      <c r="D2998" s="18" t="s">
        <v>1247</v>
      </c>
      <c r="E2998" s="18" t="s">
        <v>56</v>
      </c>
      <c r="F2998" s="18" t="s">
        <v>672</v>
      </c>
      <c r="G2998" s="18" t="s">
        <v>674</v>
      </c>
      <c r="H2998" s="18" t="s">
        <v>967</v>
      </c>
      <c r="I2998" s="315">
        <v>8.8370009026066025</v>
      </c>
      <c r="J2998" s="315">
        <v>4.17504562616908E-4</v>
      </c>
      <c r="K2998" s="316" t="str">
        <f t="shared" si="52"/>
        <v>Construction and Mining Equipment</v>
      </c>
      <c r="L2998" s="316" t="str">
        <f t="shared" si="53"/>
        <v>LPG</v>
      </c>
      <c r="M2998" s="194"/>
      <c r="N2998" s="317"/>
      <c r="O2998" s="317"/>
      <c r="P2998" s="317"/>
      <c r="Q2998" s="317"/>
      <c r="R2998" s="317"/>
      <c r="S2998" s="317"/>
      <c r="T2998" s="317"/>
      <c r="U2998" s="317"/>
      <c r="V2998" s="317"/>
      <c r="W2998" s="317"/>
      <c r="X2998" s="317"/>
      <c r="Y2998" s="317"/>
      <c r="Z2998" s="317"/>
    </row>
    <row r="2999" spans="1:26" x14ac:dyDescent="0.25">
      <c r="A2999" s="314"/>
      <c r="B2999" s="18">
        <v>2023</v>
      </c>
      <c r="C2999" s="18" t="s">
        <v>743</v>
      </c>
      <c r="D2999" s="18" t="s">
        <v>1218</v>
      </c>
      <c r="E2999" s="18" t="s">
        <v>703</v>
      </c>
      <c r="F2999" s="18" t="s">
        <v>704</v>
      </c>
      <c r="G2999" s="18" t="s">
        <v>673</v>
      </c>
      <c r="H2999" s="18" t="s">
        <v>996</v>
      </c>
      <c r="I2999" s="315">
        <v>8.8367863550411929</v>
      </c>
      <c r="J2999" s="315">
        <v>6.1741724138309707E-3</v>
      </c>
      <c r="K2999" s="316" t="str">
        <f t="shared" si="52"/>
        <v>Lawn and Garden Equipment</v>
      </c>
      <c r="L2999" s="316" t="str">
        <f t="shared" si="53"/>
        <v>Gasoline</v>
      </c>
      <c r="M2999" s="194"/>
      <c r="N2999" s="317"/>
      <c r="O2999" s="317"/>
      <c r="P2999" s="317"/>
      <c r="Q2999" s="317"/>
      <c r="R2999" s="317"/>
      <c r="S2999" s="317"/>
      <c r="T2999" s="317"/>
      <c r="U2999" s="317"/>
      <c r="V2999" s="317"/>
      <c r="W2999" s="317"/>
      <c r="X2999" s="317"/>
      <c r="Y2999" s="317"/>
      <c r="Z2999" s="317"/>
    </row>
    <row r="3000" spans="1:26" ht="12.75" x14ac:dyDescent="0.2">
      <c r="A3000" s="230"/>
      <c r="B3000" s="18">
        <v>2023</v>
      </c>
      <c r="C3000" s="18" t="s">
        <v>778</v>
      </c>
      <c r="D3000" s="18" t="s">
        <v>1229</v>
      </c>
      <c r="E3000" s="18" t="s">
        <v>713</v>
      </c>
      <c r="F3000" s="18" t="s">
        <v>714</v>
      </c>
      <c r="G3000" s="18" t="s">
        <v>678</v>
      </c>
      <c r="H3000" s="18" t="s">
        <v>1230</v>
      </c>
      <c r="I3000" s="315">
        <v>8.8337824046667048</v>
      </c>
      <c r="J3000" s="315">
        <v>6.6608920044955149E-5</v>
      </c>
      <c r="K3000" s="316" t="str">
        <f t="shared" si="52"/>
        <v>Agricultural Equipment</v>
      </c>
      <c r="L3000" s="316" t="str">
        <f t="shared" si="53"/>
        <v>Diesel</v>
      </c>
      <c r="M3000" s="8"/>
      <c r="N3000" s="2"/>
      <c r="O3000" s="2"/>
      <c r="P3000" s="2"/>
      <c r="Q3000" s="2"/>
      <c r="R3000" s="2"/>
      <c r="S3000" s="2"/>
      <c r="T3000" s="2"/>
      <c r="U3000" s="2"/>
      <c r="V3000" s="2"/>
      <c r="W3000" s="2"/>
      <c r="X3000" s="2"/>
      <c r="Y3000" s="2"/>
      <c r="Z3000" s="2"/>
    </row>
    <row r="3001" spans="1:26" x14ac:dyDescent="0.25">
      <c r="A3001" s="314"/>
      <c r="B3001" s="18">
        <v>2023</v>
      </c>
      <c r="C3001" s="18" t="s">
        <v>786</v>
      </c>
      <c r="D3001" s="18" t="s">
        <v>1016</v>
      </c>
      <c r="E3001" s="18" t="s">
        <v>56</v>
      </c>
      <c r="F3001" s="18" t="s">
        <v>672</v>
      </c>
      <c r="G3001" s="18" t="s">
        <v>675</v>
      </c>
      <c r="H3001" s="18" t="s">
        <v>802</v>
      </c>
      <c r="I3001" s="315">
        <v>8.8258250655570034</v>
      </c>
      <c r="J3001" s="315">
        <v>4.0490905016391573E-4</v>
      </c>
      <c r="K3001" s="316" t="str">
        <f t="shared" si="52"/>
        <v>Industrial Equipment</v>
      </c>
      <c r="L3001" s="316" t="str">
        <f t="shared" si="53"/>
        <v>LPG</v>
      </c>
      <c r="M3001" s="194"/>
      <c r="N3001" s="317"/>
      <c r="O3001" s="317"/>
      <c r="P3001" s="317"/>
      <c r="Q3001" s="317"/>
      <c r="R3001" s="317"/>
      <c r="S3001" s="317"/>
      <c r="T3001" s="317"/>
      <c r="U3001" s="317"/>
      <c r="V3001" s="317"/>
      <c r="W3001" s="317"/>
      <c r="X3001" s="317"/>
      <c r="Y3001" s="317"/>
      <c r="Z3001" s="317"/>
    </row>
    <row r="3002" spans="1:26" x14ac:dyDescent="0.25">
      <c r="A3002" s="314"/>
      <c r="B3002" s="18">
        <v>2023</v>
      </c>
      <c r="C3002" s="18" t="s">
        <v>722</v>
      </c>
      <c r="D3002" s="18" t="s">
        <v>1248</v>
      </c>
      <c r="E3002" s="18" t="s">
        <v>703</v>
      </c>
      <c r="F3002" s="18" t="s">
        <v>704</v>
      </c>
      <c r="G3002" s="18" t="s">
        <v>674</v>
      </c>
      <c r="H3002" s="18" t="s">
        <v>959</v>
      </c>
      <c r="I3002" s="315">
        <v>8.8230194292223914</v>
      </c>
      <c r="J3002" s="315">
        <v>5.905093173804981E-3</v>
      </c>
      <c r="K3002" s="316" t="str">
        <f t="shared" si="52"/>
        <v>Construction and Mining Equipment</v>
      </c>
      <c r="L3002" s="316" t="str">
        <f t="shared" si="53"/>
        <v>Gasoline</v>
      </c>
      <c r="M3002" s="194"/>
      <c r="N3002" s="317"/>
      <c r="O3002" s="317"/>
      <c r="P3002" s="317"/>
      <c r="Q3002" s="317"/>
      <c r="R3002" s="317"/>
      <c r="S3002" s="317"/>
      <c r="T3002" s="317"/>
      <c r="U3002" s="317"/>
      <c r="V3002" s="317"/>
      <c r="W3002" s="317"/>
      <c r="X3002" s="317"/>
      <c r="Y3002" s="317"/>
      <c r="Z3002" s="317"/>
    </row>
    <row r="3003" spans="1:26" x14ac:dyDescent="0.25">
      <c r="A3003" s="314"/>
      <c r="B3003" s="18">
        <v>2023</v>
      </c>
      <c r="C3003" s="18" t="s">
        <v>786</v>
      </c>
      <c r="D3003" s="18" t="s">
        <v>1460</v>
      </c>
      <c r="E3003" s="18" t="s">
        <v>703</v>
      </c>
      <c r="F3003" s="18" t="s">
        <v>704</v>
      </c>
      <c r="G3003" s="18" t="s">
        <v>678</v>
      </c>
      <c r="H3003" s="18" t="s">
        <v>1080</v>
      </c>
      <c r="I3003" s="315">
        <v>8.8161859591988954</v>
      </c>
      <c r="J3003" s="315">
        <v>5.3652662580950224E-3</v>
      </c>
      <c r="K3003" s="316" t="str">
        <f t="shared" si="52"/>
        <v>Agricultural Equipment</v>
      </c>
      <c r="L3003" s="316" t="str">
        <f t="shared" si="53"/>
        <v>Gasoline</v>
      </c>
      <c r="M3003" s="194"/>
      <c r="N3003" s="317"/>
      <c r="O3003" s="317"/>
      <c r="P3003" s="317"/>
      <c r="Q3003" s="317"/>
      <c r="R3003" s="317"/>
      <c r="S3003" s="317"/>
      <c r="T3003" s="317"/>
      <c r="U3003" s="317"/>
      <c r="V3003" s="317"/>
      <c r="W3003" s="317"/>
      <c r="X3003" s="317"/>
      <c r="Y3003" s="317"/>
      <c r="Z3003" s="317"/>
    </row>
    <row r="3004" spans="1:26" x14ac:dyDescent="0.25">
      <c r="A3004" s="314"/>
      <c r="B3004" s="18">
        <v>2023</v>
      </c>
      <c r="C3004" s="18" t="s">
        <v>732</v>
      </c>
      <c r="D3004" s="18" t="s">
        <v>1292</v>
      </c>
      <c r="E3004" s="18" t="s">
        <v>703</v>
      </c>
      <c r="F3004" s="18" t="s">
        <v>795</v>
      </c>
      <c r="G3004" s="18" t="s">
        <v>675</v>
      </c>
      <c r="H3004" s="18" t="s">
        <v>1293</v>
      </c>
      <c r="I3004" s="315">
        <v>8.802582875701674</v>
      </c>
      <c r="J3004" s="315">
        <v>5.9281255638960178E-3</v>
      </c>
      <c r="K3004" s="316" t="str">
        <f t="shared" si="52"/>
        <v>Industrial Equipment</v>
      </c>
      <c r="L3004" s="316" t="str">
        <f t="shared" si="53"/>
        <v>Gasoline</v>
      </c>
      <c r="M3004" s="194"/>
      <c r="N3004" s="317"/>
      <c r="O3004" s="317"/>
      <c r="P3004" s="317"/>
      <c r="Q3004" s="317"/>
      <c r="R3004" s="317"/>
      <c r="S3004" s="317"/>
      <c r="T3004" s="317"/>
      <c r="U3004" s="317"/>
      <c r="V3004" s="317"/>
      <c r="W3004" s="317"/>
      <c r="X3004" s="317"/>
      <c r="Y3004" s="317"/>
      <c r="Z3004" s="317"/>
    </row>
    <row r="3005" spans="1:26" x14ac:dyDescent="0.25">
      <c r="A3005" s="314"/>
      <c r="B3005" s="18">
        <v>2023</v>
      </c>
      <c r="C3005" s="18" t="s">
        <v>722</v>
      </c>
      <c r="D3005" s="18" t="s">
        <v>1338</v>
      </c>
      <c r="E3005" s="18" t="s">
        <v>703</v>
      </c>
      <c r="F3005" s="18" t="s">
        <v>805</v>
      </c>
      <c r="G3005" s="18" t="s">
        <v>673</v>
      </c>
      <c r="H3005" s="18" t="s">
        <v>987</v>
      </c>
      <c r="I3005" s="315">
        <v>8.7779595573226192</v>
      </c>
      <c r="J3005" s="315">
        <v>1.6029177284103802E-2</v>
      </c>
      <c r="K3005" s="316" t="str">
        <f t="shared" si="52"/>
        <v>Lawn and Garden Equipment</v>
      </c>
      <c r="L3005" s="316" t="str">
        <f t="shared" si="53"/>
        <v>Gasoline</v>
      </c>
      <c r="M3005" s="194"/>
      <c r="N3005" s="317"/>
      <c r="O3005" s="317"/>
      <c r="P3005" s="317"/>
      <c r="Q3005" s="317"/>
      <c r="R3005" s="317"/>
      <c r="S3005" s="317"/>
      <c r="T3005" s="317"/>
      <c r="U3005" s="317"/>
      <c r="V3005" s="317"/>
      <c r="W3005" s="317"/>
      <c r="X3005" s="317"/>
      <c r="Y3005" s="317"/>
      <c r="Z3005" s="317"/>
    </row>
    <row r="3006" spans="1:26" x14ac:dyDescent="0.25">
      <c r="A3006" s="314"/>
      <c r="B3006" s="18">
        <v>2023</v>
      </c>
      <c r="C3006" s="18" t="s">
        <v>754</v>
      </c>
      <c r="D3006" s="18" t="s">
        <v>1224</v>
      </c>
      <c r="E3006" s="18" t="s">
        <v>703</v>
      </c>
      <c r="F3006" s="18" t="s">
        <v>704</v>
      </c>
      <c r="G3006" s="18" t="s">
        <v>681</v>
      </c>
      <c r="H3006" s="18" t="s">
        <v>1225</v>
      </c>
      <c r="I3006" s="315">
        <v>8.772648899426482</v>
      </c>
      <c r="J3006" s="315">
        <v>5.9677806344904816E-3</v>
      </c>
      <c r="K3006" s="316" t="str">
        <f t="shared" si="52"/>
        <v>Logging Equipment</v>
      </c>
      <c r="L3006" s="316" t="str">
        <f t="shared" si="53"/>
        <v>Gasoline</v>
      </c>
      <c r="M3006" s="194"/>
      <c r="N3006" s="317"/>
      <c r="O3006" s="317"/>
      <c r="P3006" s="317"/>
      <c r="Q3006" s="317"/>
      <c r="R3006" s="317"/>
      <c r="S3006" s="317"/>
      <c r="T3006" s="317"/>
      <c r="U3006" s="317"/>
      <c r="V3006" s="317"/>
      <c r="W3006" s="317"/>
      <c r="X3006" s="317"/>
      <c r="Y3006" s="317"/>
      <c r="Z3006" s="317"/>
    </row>
    <row r="3007" spans="1:26" x14ac:dyDescent="0.25">
      <c r="A3007" s="314"/>
      <c r="B3007" s="18">
        <v>2023</v>
      </c>
      <c r="C3007" s="18" t="s">
        <v>762</v>
      </c>
      <c r="D3007" s="18" t="s">
        <v>1016</v>
      </c>
      <c r="E3007" s="18" t="s">
        <v>56</v>
      </c>
      <c r="F3007" s="18" t="s">
        <v>672</v>
      </c>
      <c r="G3007" s="18" t="s">
        <v>675</v>
      </c>
      <c r="H3007" s="18" t="s">
        <v>802</v>
      </c>
      <c r="I3007" s="315">
        <v>8.7200884118397699</v>
      </c>
      <c r="J3007" s="315">
        <v>4.0005870171031194E-4</v>
      </c>
      <c r="K3007" s="316" t="str">
        <f t="shared" si="52"/>
        <v>Industrial Equipment</v>
      </c>
      <c r="L3007" s="316" t="str">
        <f t="shared" si="53"/>
        <v>LPG</v>
      </c>
      <c r="M3007" s="194"/>
      <c r="N3007" s="317"/>
      <c r="O3007" s="317"/>
      <c r="P3007" s="317"/>
      <c r="Q3007" s="317"/>
      <c r="R3007" s="317"/>
      <c r="S3007" s="317"/>
      <c r="T3007" s="317"/>
      <c r="U3007" s="317"/>
      <c r="V3007" s="317"/>
      <c r="W3007" s="317"/>
      <c r="X3007" s="317"/>
      <c r="Y3007" s="317"/>
      <c r="Z3007" s="317"/>
    </row>
    <row r="3008" spans="1:26" x14ac:dyDescent="0.25">
      <c r="A3008" s="314"/>
      <c r="B3008" s="18">
        <v>2023</v>
      </c>
      <c r="C3008" s="18" t="s">
        <v>753</v>
      </c>
      <c r="D3008" s="18" t="s">
        <v>1076</v>
      </c>
      <c r="E3008" s="18" t="s">
        <v>703</v>
      </c>
      <c r="F3008" s="18" t="s">
        <v>704</v>
      </c>
      <c r="G3008" s="18" t="s">
        <v>674</v>
      </c>
      <c r="H3008" s="18" t="s">
        <v>756</v>
      </c>
      <c r="I3008" s="315">
        <v>8.7038798164111402</v>
      </c>
      <c r="J3008" s="315">
        <v>3.8124890771767676E-3</v>
      </c>
      <c r="K3008" s="316" t="str">
        <f t="shared" si="52"/>
        <v>Construction and Mining Equipment</v>
      </c>
      <c r="L3008" s="316" t="str">
        <f t="shared" si="53"/>
        <v>Gasoline</v>
      </c>
      <c r="M3008" s="194"/>
      <c r="N3008" s="317"/>
      <c r="O3008" s="317"/>
      <c r="P3008" s="317"/>
      <c r="Q3008" s="317"/>
      <c r="R3008" s="317"/>
      <c r="S3008" s="317"/>
      <c r="T3008" s="317"/>
      <c r="U3008" s="317"/>
      <c r="V3008" s="317"/>
      <c r="W3008" s="317"/>
      <c r="X3008" s="317"/>
      <c r="Y3008" s="317"/>
      <c r="Z3008" s="317"/>
    </row>
    <row r="3009" spans="1:26" x14ac:dyDescent="0.25">
      <c r="A3009" s="314"/>
      <c r="B3009" s="18">
        <v>2023</v>
      </c>
      <c r="C3009" s="18" t="s">
        <v>786</v>
      </c>
      <c r="D3009" s="18" t="s">
        <v>1015</v>
      </c>
      <c r="E3009" s="18" t="s">
        <v>56</v>
      </c>
      <c r="F3009" s="18" t="s">
        <v>601</v>
      </c>
      <c r="G3009" s="18" t="s">
        <v>677</v>
      </c>
      <c r="H3009" s="18" t="s">
        <v>747</v>
      </c>
      <c r="I3009" s="315">
        <v>8.7031368392110107</v>
      </c>
      <c r="J3009" s="315">
        <v>0.19471014964058014</v>
      </c>
      <c r="K3009" s="316" t="str">
        <f t="shared" si="52"/>
        <v>Commercial Equipment</v>
      </c>
      <c r="L3009" s="316" t="str">
        <f t="shared" si="53"/>
        <v>CNG</v>
      </c>
      <c r="M3009" s="194"/>
      <c r="N3009" s="317"/>
      <c r="O3009" s="317"/>
      <c r="P3009" s="317"/>
      <c r="Q3009" s="317"/>
      <c r="R3009" s="317"/>
      <c r="S3009" s="317"/>
      <c r="T3009" s="317"/>
      <c r="U3009" s="317"/>
      <c r="V3009" s="317"/>
      <c r="W3009" s="317"/>
      <c r="X3009" s="317"/>
      <c r="Y3009" s="317"/>
      <c r="Z3009" s="317"/>
    </row>
    <row r="3010" spans="1:26" x14ac:dyDescent="0.25">
      <c r="A3010" s="314"/>
      <c r="B3010" s="18">
        <v>2023</v>
      </c>
      <c r="C3010" s="18" t="s">
        <v>750</v>
      </c>
      <c r="D3010" s="18" t="s">
        <v>1018</v>
      </c>
      <c r="E3010" s="18" t="s">
        <v>56</v>
      </c>
      <c r="F3010" s="18" t="s">
        <v>672</v>
      </c>
      <c r="G3010" s="18" t="s">
        <v>677</v>
      </c>
      <c r="H3010" s="18" t="s">
        <v>785</v>
      </c>
      <c r="I3010" s="315">
        <v>8.7015456140805583</v>
      </c>
      <c r="J3010" s="315">
        <v>4.2700550287882121E-4</v>
      </c>
      <c r="K3010" s="316" t="str">
        <f t="shared" si="52"/>
        <v>Commercial Equipment</v>
      </c>
      <c r="L3010" s="316" t="str">
        <f t="shared" si="53"/>
        <v>LPG</v>
      </c>
      <c r="M3010" s="194"/>
      <c r="N3010" s="317"/>
      <c r="O3010" s="317"/>
      <c r="P3010" s="317"/>
      <c r="Q3010" s="317"/>
      <c r="R3010" s="317"/>
      <c r="S3010" s="317"/>
      <c r="T3010" s="317"/>
      <c r="U3010" s="317"/>
      <c r="V3010" s="317"/>
      <c r="W3010" s="317"/>
      <c r="X3010" s="317"/>
      <c r="Y3010" s="317"/>
      <c r="Z3010" s="317"/>
    </row>
    <row r="3011" spans="1:26" x14ac:dyDescent="0.25">
      <c r="A3011" s="314"/>
      <c r="B3011" s="18">
        <v>2023</v>
      </c>
      <c r="C3011" s="18" t="s">
        <v>793</v>
      </c>
      <c r="D3011" s="18" t="s">
        <v>1320</v>
      </c>
      <c r="E3011" s="18" t="s">
        <v>713</v>
      </c>
      <c r="F3011" s="18" t="s">
        <v>676</v>
      </c>
      <c r="G3011" s="18" t="s">
        <v>79</v>
      </c>
      <c r="H3011" s="18" t="s">
        <v>730</v>
      </c>
      <c r="I3011" s="315">
        <v>8.7014945405474187</v>
      </c>
      <c r="J3011" s="315">
        <v>5.6896183284405781E-4</v>
      </c>
      <c r="K3011" s="316" t="str">
        <f t="shared" si="52"/>
        <v>Pleasure Craft</v>
      </c>
      <c r="L3011" s="316" t="str">
        <f t="shared" si="53"/>
        <v>Diesel</v>
      </c>
      <c r="M3011" s="194"/>
      <c r="N3011" s="317"/>
      <c r="O3011" s="317"/>
      <c r="P3011" s="317"/>
      <c r="Q3011" s="317"/>
      <c r="R3011" s="317"/>
      <c r="S3011" s="317"/>
      <c r="T3011" s="317"/>
      <c r="U3011" s="317"/>
      <c r="V3011" s="317"/>
      <c r="W3011" s="317"/>
      <c r="X3011" s="317"/>
      <c r="Y3011" s="317"/>
      <c r="Z3011" s="317"/>
    </row>
    <row r="3012" spans="1:26" x14ac:dyDescent="0.25">
      <c r="A3012" s="314"/>
      <c r="B3012" s="18">
        <v>2023</v>
      </c>
      <c r="C3012" s="18" t="s">
        <v>727</v>
      </c>
      <c r="D3012" s="18" t="s">
        <v>1460</v>
      </c>
      <c r="E3012" s="18" t="s">
        <v>703</v>
      </c>
      <c r="F3012" s="18" t="s">
        <v>704</v>
      </c>
      <c r="G3012" s="18" t="s">
        <v>678</v>
      </c>
      <c r="H3012" s="18" t="s">
        <v>1080</v>
      </c>
      <c r="I3012" s="315">
        <v>8.6492841424311226</v>
      </c>
      <c r="J3012" s="315">
        <v>5.2530440622432541E-3</v>
      </c>
      <c r="K3012" s="316" t="str">
        <f t="shared" si="52"/>
        <v>Agricultural Equipment</v>
      </c>
      <c r="L3012" s="316" t="str">
        <f t="shared" si="53"/>
        <v>Gasoline</v>
      </c>
      <c r="M3012" s="194"/>
      <c r="N3012" s="317"/>
      <c r="O3012" s="317"/>
      <c r="P3012" s="317"/>
      <c r="Q3012" s="317"/>
      <c r="R3012" s="317"/>
      <c r="S3012" s="317"/>
      <c r="T3012" s="317"/>
      <c r="U3012" s="317"/>
      <c r="V3012" s="317"/>
      <c r="W3012" s="317"/>
      <c r="X3012" s="317"/>
      <c r="Y3012" s="317"/>
      <c r="Z3012" s="317"/>
    </row>
    <row r="3013" spans="1:26" x14ac:dyDescent="0.25">
      <c r="A3013" s="314"/>
      <c r="B3013" s="18">
        <v>2023</v>
      </c>
      <c r="C3013" s="18" t="s">
        <v>722</v>
      </c>
      <c r="D3013" s="18" t="s">
        <v>1221</v>
      </c>
      <c r="E3013" s="18" t="s">
        <v>713</v>
      </c>
      <c r="F3013" s="18" t="s">
        <v>714</v>
      </c>
      <c r="G3013" s="18" t="s">
        <v>678</v>
      </c>
      <c r="H3013" s="18" t="s">
        <v>1222</v>
      </c>
      <c r="I3013" s="315">
        <v>8.6386102738932777</v>
      </c>
      <c r="J3013" s="315">
        <v>5.7550569766860845E-5</v>
      </c>
      <c r="K3013" s="316" t="str">
        <f t="shared" si="52"/>
        <v>Agricultural Equipment</v>
      </c>
      <c r="L3013" s="316" t="str">
        <f t="shared" si="53"/>
        <v>Diesel</v>
      </c>
      <c r="M3013" s="194"/>
      <c r="N3013" s="317"/>
      <c r="O3013" s="317"/>
      <c r="P3013" s="317"/>
      <c r="Q3013" s="317"/>
      <c r="R3013" s="317"/>
      <c r="S3013" s="317"/>
      <c r="T3013" s="317"/>
      <c r="U3013" s="317"/>
      <c r="V3013" s="317"/>
      <c r="W3013" s="317"/>
      <c r="X3013" s="317"/>
      <c r="Y3013" s="317"/>
      <c r="Z3013" s="317"/>
    </row>
    <row r="3014" spans="1:26" x14ac:dyDescent="0.25">
      <c r="A3014" s="314"/>
      <c r="B3014" s="18">
        <v>2023</v>
      </c>
      <c r="C3014" s="18" t="s">
        <v>762</v>
      </c>
      <c r="D3014" s="18" t="s">
        <v>1539</v>
      </c>
      <c r="E3014" s="18" t="s">
        <v>703</v>
      </c>
      <c r="F3014" s="18" t="s">
        <v>704</v>
      </c>
      <c r="G3014" s="18" t="s">
        <v>678</v>
      </c>
      <c r="H3014" s="18" t="s">
        <v>1230</v>
      </c>
      <c r="I3014" s="315">
        <v>8.6359708825744352</v>
      </c>
      <c r="J3014" s="315">
        <v>5.147038565770614E-3</v>
      </c>
      <c r="K3014" s="316" t="str">
        <f t="shared" si="52"/>
        <v>Agricultural Equipment</v>
      </c>
      <c r="L3014" s="316" t="str">
        <f t="shared" si="53"/>
        <v>Gasoline</v>
      </c>
      <c r="M3014" s="194"/>
      <c r="N3014" s="317"/>
      <c r="O3014" s="317"/>
      <c r="P3014" s="317"/>
      <c r="Q3014" s="317"/>
      <c r="R3014" s="317"/>
      <c r="S3014" s="317"/>
      <c r="T3014" s="317"/>
      <c r="U3014" s="317"/>
      <c r="V3014" s="317"/>
      <c r="W3014" s="317"/>
      <c r="X3014" s="317"/>
      <c r="Y3014" s="317"/>
      <c r="Z3014" s="317"/>
    </row>
    <row r="3015" spans="1:26" x14ac:dyDescent="0.25">
      <c r="A3015" s="314"/>
      <c r="B3015" s="18">
        <v>2023</v>
      </c>
      <c r="C3015" s="18" t="s">
        <v>793</v>
      </c>
      <c r="D3015" s="18" t="s">
        <v>1020</v>
      </c>
      <c r="E3015" s="18" t="s">
        <v>713</v>
      </c>
      <c r="F3015" s="18" t="s">
        <v>714</v>
      </c>
      <c r="G3015" s="18" t="s">
        <v>677</v>
      </c>
      <c r="H3015" s="18" t="s">
        <v>789</v>
      </c>
      <c r="I3015" s="315">
        <v>8.6126301879089979</v>
      </c>
      <c r="J3015" s="315">
        <v>1.982061508288328E-4</v>
      </c>
      <c r="K3015" s="316" t="str">
        <f t="shared" si="52"/>
        <v>Commercial Equipment</v>
      </c>
      <c r="L3015" s="316" t="str">
        <f t="shared" si="53"/>
        <v>Diesel</v>
      </c>
      <c r="M3015" s="194"/>
      <c r="N3015" s="317"/>
      <c r="O3015" s="317"/>
      <c r="P3015" s="317"/>
      <c r="Q3015" s="317"/>
      <c r="R3015" s="317"/>
      <c r="S3015" s="317"/>
      <c r="T3015" s="317"/>
      <c r="U3015" s="317"/>
      <c r="V3015" s="317"/>
      <c r="W3015" s="317"/>
      <c r="X3015" s="317"/>
      <c r="Y3015" s="317"/>
      <c r="Z3015" s="317"/>
    </row>
    <row r="3016" spans="1:26" x14ac:dyDescent="0.25">
      <c r="A3016" s="314"/>
      <c r="B3016" s="18">
        <v>2023</v>
      </c>
      <c r="C3016" s="18" t="s">
        <v>762</v>
      </c>
      <c r="D3016" s="18" t="s">
        <v>1035</v>
      </c>
      <c r="E3016" s="18" t="s">
        <v>703</v>
      </c>
      <c r="F3016" s="18" t="s">
        <v>704</v>
      </c>
      <c r="G3016" s="18" t="s">
        <v>674</v>
      </c>
      <c r="H3016" s="18" t="s">
        <v>1036</v>
      </c>
      <c r="I3016" s="315">
        <v>8.5983043681878009</v>
      </c>
      <c r="J3016" s="315">
        <v>6.0709014820172673E-3</v>
      </c>
      <c r="K3016" s="316" t="str">
        <f t="shared" si="52"/>
        <v>Construction and Mining Equipment</v>
      </c>
      <c r="L3016" s="316" t="str">
        <f t="shared" si="53"/>
        <v>Gasoline</v>
      </c>
      <c r="M3016" s="194"/>
      <c r="N3016" s="317"/>
      <c r="O3016" s="317"/>
      <c r="P3016" s="317"/>
      <c r="Q3016" s="317"/>
      <c r="R3016" s="317"/>
      <c r="S3016" s="317"/>
      <c r="T3016" s="317"/>
      <c r="U3016" s="317"/>
      <c r="V3016" s="317"/>
      <c r="W3016" s="317"/>
      <c r="X3016" s="317"/>
      <c r="Y3016" s="317"/>
      <c r="Z3016" s="317"/>
    </row>
    <row r="3017" spans="1:26" x14ac:dyDescent="0.25">
      <c r="A3017" s="314"/>
      <c r="B3017" s="18">
        <v>2023</v>
      </c>
      <c r="C3017" s="18" t="s">
        <v>710</v>
      </c>
      <c r="D3017" s="18" t="s">
        <v>1445</v>
      </c>
      <c r="E3017" s="18" t="s">
        <v>56</v>
      </c>
      <c r="F3017" s="18" t="s">
        <v>601</v>
      </c>
      <c r="G3017" s="18" t="s">
        <v>677</v>
      </c>
      <c r="H3017" s="18" t="s">
        <v>841</v>
      </c>
      <c r="I3017" s="315">
        <v>8.5806330250261382</v>
      </c>
      <c r="J3017" s="315">
        <v>9.3224984920563206E-2</v>
      </c>
      <c r="K3017" s="316" t="str">
        <f t="shared" si="52"/>
        <v>Commercial Equipment</v>
      </c>
      <c r="L3017" s="316" t="str">
        <f t="shared" si="53"/>
        <v>CNG</v>
      </c>
      <c r="M3017" s="194"/>
      <c r="N3017" s="317"/>
      <c r="O3017" s="317"/>
      <c r="P3017" s="317"/>
      <c r="Q3017" s="317"/>
      <c r="R3017" s="317"/>
      <c r="S3017" s="317"/>
      <c r="T3017" s="317"/>
      <c r="U3017" s="317"/>
      <c r="V3017" s="317"/>
      <c r="W3017" s="317"/>
      <c r="X3017" s="317"/>
      <c r="Y3017" s="317"/>
      <c r="Z3017" s="317"/>
    </row>
    <row r="3018" spans="1:26" x14ac:dyDescent="0.25">
      <c r="A3018" s="314"/>
      <c r="B3018" s="18">
        <v>2023</v>
      </c>
      <c r="C3018" s="18" t="s">
        <v>760</v>
      </c>
      <c r="D3018" s="18" t="s">
        <v>1403</v>
      </c>
      <c r="E3018" s="18" t="s">
        <v>703</v>
      </c>
      <c r="F3018" s="18" t="s">
        <v>683</v>
      </c>
      <c r="G3018" s="18" t="s">
        <v>1404</v>
      </c>
      <c r="H3018" s="18" t="s">
        <v>1002</v>
      </c>
      <c r="I3018" s="315">
        <v>8.5697159340272577</v>
      </c>
      <c r="J3018" s="315">
        <v>5.5549995641087542E-3</v>
      </c>
      <c r="K3018" s="316" t="str">
        <f t="shared" si="52"/>
        <v>Railroad Equipment</v>
      </c>
      <c r="L3018" s="316" t="str">
        <f t="shared" si="53"/>
        <v>Gasoline</v>
      </c>
      <c r="M3018" s="194"/>
      <c r="N3018" s="317"/>
      <c r="O3018" s="317"/>
      <c r="P3018" s="317"/>
      <c r="Q3018" s="317"/>
      <c r="R3018" s="317"/>
      <c r="S3018" s="317"/>
      <c r="T3018" s="317"/>
      <c r="U3018" s="317"/>
      <c r="V3018" s="317"/>
      <c r="W3018" s="317"/>
      <c r="X3018" s="317"/>
      <c r="Y3018" s="317"/>
      <c r="Z3018" s="317"/>
    </row>
    <row r="3019" spans="1:26" x14ac:dyDescent="0.25">
      <c r="A3019" s="314"/>
      <c r="B3019" s="18">
        <v>2023</v>
      </c>
      <c r="C3019" s="18" t="s">
        <v>787</v>
      </c>
      <c r="D3019" s="18" t="s">
        <v>1213</v>
      </c>
      <c r="E3019" s="18" t="s">
        <v>56</v>
      </c>
      <c r="F3019" s="18" t="s">
        <v>672</v>
      </c>
      <c r="G3019" s="18" t="s">
        <v>674</v>
      </c>
      <c r="H3019" s="18" t="s">
        <v>715</v>
      </c>
      <c r="I3019" s="315">
        <v>8.5601018643453894</v>
      </c>
      <c r="J3019" s="315">
        <v>3.8874326521321591E-4</v>
      </c>
      <c r="K3019" s="316" t="str">
        <f t="shared" si="52"/>
        <v>Construction and Mining Equipment</v>
      </c>
      <c r="L3019" s="316" t="str">
        <f t="shared" si="53"/>
        <v>LPG</v>
      </c>
      <c r="M3019" s="194"/>
      <c r="N3019" s="317"/>
      <c r="O3019" s="317"/>
      <c r="P3019" s="317"/>
      <c r="Q3019" s="317"/>
      <c r="R3019" s="317"/>
      <c r="S3019" s="317"/>
      <c r="T3019" s="317"/>
      <c r="U3019" s="317"/>
      <c r="V3019" s="317"/>
      <c r="W3019" s="317"/>
      <c r="X3019" s="317"/>
      <c r="Y3019" s="317"/>
      <c r="Z3019" s="317"/>
    </row>
    <row r="3020" spans="1:26" x14ac:dyDescent="0.25">
      <c r="A3020" s="314"/>
      <c r="B3020" s="18">
        <v>2023</v>
      </c>
      <c r="C3020" s="18" t="s">
        <v>773</v>
      </c>
      <c r="D3020" s="18" t="s">
        <v>991</v>
      </c>
      <c r="E3020" s="18" t="s">
        <v>703</v>
      </c>
      <c r="F3020" s="18" t="s">
        <v>795</v>
      </c>
      <c r="G3020" s="18" t="s">
        <v>680</v>
      </c>
      <c r="H3020" s="18" t="s">
        <v>992</v>
      </c>
      <c r="I3020" s="315">
        <v>8.5441218305835385</v>
      </c>
      <c r="J3020" s="315">
        <v>2.4445410603788865E-3</v>
      </c>
      <c r="K3020" s="316" t="str">
        <f t="shared" si="52"/>
        <v>Airport Ground Support Equipment</v>
      </c>
      <c r="L3020" s="316" t="str">
        <f t="shared" si="53"/>
        <v>Gasoline</v>
      </c>
      <c r="M3020" s="194"/>
      <c r="N3020" s="317"/>
      <c r="O3020" s="317"/>
      <c r="P3020" s="317"/>
      <c r="Q3020" s="317"/>
      <c r="R3020" s="317"/>
      <c r="S3020" s="317"/>
      <c r="T3020" s="317"/>
      <c r="U3020" s="317"/>
      <c r="V3020" s="317"/>
      <c r="W3020" s="317"/>
      <c r="X3020" s="317"/>
      <c r="Y3020" s="317"/>
      <c r="Z3020" s="317"/>
    </row>
    <row r="3021" spans="1:26" x14ac:dyDescent="0.25">
      <c r="A3021" s="314"/>
      <c r="B3021" s="18">
        <v>2023</v>
      </c>
      <c r="C3021" s="18" t="s">
        <v>773</v>
      </c>
      <c r="D3021" s="18" t="s">
        <v>1409</v>
      </c>
      <c r="E3021" s="18" t="s">
        <v>703</v>
      </c>
      <c r="F3021" s="18" t="s">
        <v>704</v>
      </c>
      <c r="G3021" s="18" t="s">
        <v>678</v>
      </c>
      <c r="H3021" s="18" t="s">
        <v>1222</v>
      </c>
      <c r="I3021" s="315">
        <v>8.5385530068571853</v>
      </c>
      <c r="J3021" s="315">
        <v>5.6235796680056066E-3</v>
      </c>
      <c r="K3021" s="316" t="str">
        <f t="shared" si="52"/>
        <v>Agricultural Equipment</v>
      </c>
      <c r="L3021" s="316" t="str">
        <f t="shared" si="53"/>
        <v>Gasoline</v>
      </c>
      <c r="M3021" s="194"/>
      <c r="N3021" s="317"/>
      <c r="O3021" s="317"/>
      <c r="P3021" s="317"/>
      <c r="Q3021" s="317"/>
      <c r="R3021" s="317"/>
      <c r="S3021" s="317"/>
      <c r="T3021" s="317"/>
      <c r="U3021" s="317"/>
      <c r="V3021" s="317"/>
      <c r="W3021" s="317"/>
      <c r="X3021" s="317"/>
      <c r="Y3021" s="317"/>
      <c r="Z3021" s="317"/>
    </row>
    <row r="3022" spans="1:26" x14ac:dyDescent="0.25">
      <c r="A3022" s="314"/>
      <c r="B3022" s="18">
        <v>2023</v>
      </c>
      <c r="C3022" s="18" t="s">
        <v>778</v>
      </c>
      <c r="D3022" s="18" t="s">
        <v>1247</v>
      </c>
      <c r="E3022" s="18" t="s">
        <v>56</v>
      </c>
      <c r="F3022" s="18" t="s">
        <v>672</v>
      </c>
      <c r="G3022" s="18" t="s">
        <v>674</v>
      </c>
      <c r="H3022" s="18" t="s">
        <v>967</v>
      </c>
      <c r="I3022" s="315">
        <v>8.5183697758325394</v>
      </c>
      <c r="J3022" s="315">
        <v>4.0245121379003435E-4</v>
      </c>
      <c r="K3022" s="316" t="str">
        <f t="shared" si="52"/>
        <v>Construction and Mining Equipment</v>
      </c>
      <c r="L3022" s="316" t="str">
        <f t="shared" si="53"/>
        <v>LPG</v>
      </c>
      <c r="M3022" s="194"/>
      <c r="N3022" s="317"/>
      <c r="O3022" s="317"/>
      <c r="P3022" s="317"/>
      <c r="Q3022" s="317"/>
      <c r="R3022" s="317"/>
      <c r="S3022" s="317"/>
      <c r="T3022" s="317"/>
      <c r="U3022" s="317"/>
      <c r="V3022" s="317"/>
      <c r="W3022" s="317"/>
      <c r="X3022" s="317"/>
      <c r="Y3022" s="317"/>
      <c r="Z3022" s="317"/>
    </row>
    <row r="3023" spans="1:26" x14ac:dyDescent="0.25">
      <c r="A3023" s="314"/>
      <c r="B3023" s="18">
        <v>2023</v>
      </c>
      <c r="C3023" s="18" t="s">
        <v>732</v>
      </c>
      <c r="D3023" s="18" t="s">
        <v>1317</v>
      </c>
      <c r="E3023" s="18" t="s">
        <v>713</v>
      </c>
      <c r="F3023" s="18" t="s">
        <v>714</v>
      </c>
      <c r="G3023" s="18" t="s">
        <v>673</v>
      </c>
      <c r="H3023" s="18" t="s">
        <v>865</v>
      </c>
      <c r="I3023" s="315">
        <v>8.5102506894924517</v>
      </c>
      <c r="J3023" s="315">
        <v>2.6878020019468124E-4</v>
      </c>
      <c r="K3023" s="316" t="str">
        <f t="shared" si="52"/>
        <v>Lawn and Garden Equipment</v>
      </c>
      <c r="L3023" s="316" t="str">
        <f t="shared" si="53"/>
        <v>Diesel</v>
      </c>
      <c r="M3023" s="194"/>
      <c r="N3023" s="317"/>
      <c r="O3023" s="317"/>
      <c r="P3023" s="317"/>
      <c r="Q3023" s="317"/>
      <c r="R3023" s="317"/>
      <c r="S3023" s="317"/>
      <c r="T3023" s="317"/>
      <c r="U3023" s="317"/>
      <c r="V3023" s="317"/>
      <c r="W3023" s="317"/>
      <c r="X3023" s="317"/>
      <c r="Y3023" s="317"/>
      <c r="Z3023" s="317"/>
    </row>
    <row r="3024" spans="1:26" x14ac:dyDescent="0.25">
      <c r="A3024" s="314"/>
      <c r="B3024" s="18">
        <v>2023</v>
      </c>
      <c r="C3024" s="18" t="s">
        <v>810</v>
      </c>
      <c r="D3024" s="18" t="s">
        <v>1073</v>
      </c>
      <c r="E3024" s="18" t="s">
        <v>703</v>
      </c>
      <c r="F3024" s="18" t="s">
        <v>704</v>
      </c>
      <c r="G3024" s="18" t="s">
        <v>674</v>
      </c>
      <c r="H3024" s="18" t="s">
        <v>1072</v>
      </c>
      <c r="I3024" s="315">
        <v>8.5090019295573693</v>
      </c>
      <c r="J3024" s="315">
        <v>6.0741075772813343E-3</v>
      </c>
      <c r="K3024" s="316" t="str">
        <f t="shared" si="52"/>
        <v>Construction and Mining Equipment</v>
      </c>
      <c r="L3024" s="316" t="str">
        <f t="shared" si="53"/>
        <v>Gasoline</v>
      </c>
      <c r="M3024" s="194"/>
      <c r="N3024" s="317"/>
      <c r="O3024" s="317"/>
      <c r="P3024" s="317"/>
      <c r="Q3024" s="317"/>
      <c r="R3024" s="317"/>
      <c r="S3024" s="317"/>
      <c r="T3024" s="317"/>
      <c r="U3024" s="317"/>
      <c r="V3024" s="317"/>
      <c r="W3024" s="317"/>
      <c r="X3024" s="317"/>
      <c r="Y3024" s="317"/>
      <c r="Z3024" s="317"/>
    </row>
    <row r="3025" spans="1:26" x14ac:dyDescent="0.25">
      <c r="A3025" s="314"/>
      <c r="B3025" s="18">
        <v>2023</v>
      </c>
      <c r="C3025" s="18" t="s">
        <v>759</v>
      </c>
      <c r="D3025" s="18" t="s">
        <v>968</v>
      </c>
      <c r="E3025" s="18" t="s">
        <v>703</v>
      </c>
      <c r="F3025" s="18" t="s">
        <v>704</v>
      </c>
      <c r="G3025" s="18" t="s">
        <v>675</v>
      </c>
      <c r="H3025" s="18" t="s">
        <v>969</v>
      </c>
      <c r="I3025" s="315">
        <v>8.5056463690557127</v>
      </c>
      <c r="J3025" s="315">
        <v>2.7081322996446834E-3</v>
      </c>
      <c r="K3025" s="316" t="str">
        <f t="shared" si="52"/>
        <v>Industrial Equipment</v>
      </c>
      <c r="L3025" s="316" t="str">
        <f t="shared" si="53"/>
        <v>Gasoline</v>
      </c>
      <c r="M3025" s="194"/>
      <c r="N3025" s="317"/>
      <c r="O3025" s="317"/>
      <c r="P3025" s="317"/>
      <c r="Q3025" s="317"/>
      <c r="R3025" s="317"/>
      <c r="S3025" s="317"/>
      <c r="T3025" s="317"/>
      <c r="U3025" s="317"/>
      <c r="V3025" s="317"/>
      <c r="W3025" s="317"/>
      <c r="X3025" s="317"/>
      <c r="Y3025" s="317"/>
      <c r="Z3025" s="317"/>
    </row>
    <row r="3026" spans="1:26" x14ac:dyDescent="0.25">
      <c r="A3026" s="314"/>
      <c r="B3026" s="18">
        <v>2023</v>
      </c>
      <c r="C3026" s="18" t="s">
        <v>778</v>
      </c>
      <c r="D3026" s="18" t="s">
        <v>1248</v>
      </c>
      <c r="E3026" s="18" t="s">
        <v>703</v>
      </c>
      <c r="F3026" s="18" t="s">
        <v>704</v>
      </c>
      <c r="G3026" s="18" t="s">
        <v>674</v>
      </c>
      <c r="H3026" s="18" t="s">
        <v>959</v>
      </c>
      <c r="I3026" s="315">
        <v>8.5049005650298959</v>
      </c>
      <c r="J3026" s="315">
        <v>5.6783540153991108E-3</v>
      </c>
      <c r="K3026" s="316" t="str">
        <f t="shared" si="52"/>
        <v>Construction and Mining Equipment</v>
      </c>
      <c r="L3026" s="316" t="str">
        <f t="shared" si="53"/>
        <v>Gasoline</v>
      </c>
      <c r="M3026" s="194"/>
      <c r="N3026" s="317"/>
      <c r="O3026" s="317"/>
      <c r="P3026" s="317"/>
      <c r="Q3026" s="317"/>
      <c r="R3026" s="317"/>
      <c r="S3026" s="317"/>
      <c r="T3026" s="317"/>
      <c r="U3026" s="317"/>
      <c r="V3026" s="317"/>
      <c r="W3026" s="317"/>
      <c r="X3026" s="317"/>
      <c r="Y3026" s="317"/>
      <c r="Z3026" s="317"/>
    </row>
    <row r="3027" spans="1:26" x14ac:dyDescent="0.25">
      <c r="A3027" s="314"/>
      <c r="B3027" s="18">
        <v>2023</v>
      </c>
      <c r="C3027" s="18" t="s">
        <v>706</v>
      </c>
      <c r="D3027" s="18" t="s">
        <v>1564</v>
      </c>
      <c r="E3027" s="18" t="s">
        <v>703</v>
      </c>
      <c r="F3027" s="18" t="s">
        <v>704</v>
      </c>
      <c r="G3027" s="18" t="s">
        <v>674</v>
      </c>
      <c r="H3027" s="18" t="s">
        <v>981</v>
      </c>
      <c r="I3027" s="315">
        <v>8.5005888280487536</v>
      </c>
      <c r="J3027" s="315">
        <v>6.2905734537379212E-3</v>
      </c>
      <c r="K3027" s="316" t="str">
        <f t="shared" si="52"/>
        <v>Construction and Mining Equipment</v>
      </c>
      <c r="L3027" s="316" t="str">
        <f t="shared" si="53"/>
        <v>Gasoline</v>
      </c>
      <c r="M3027" s="194"/>
      <c r="N3027" s="317"/>
      <c r="O3027" s="317"/>
      <c r="P3027" s="317"/>
      <c r="Q3027" s="317"/>
      <c r="R3027" s="317"/>
      <c r="S3027" s="317"/>
      <c r="T3027" s="317"/>
      <c r="U3027" s="317"/>
      <c r="V3027" s="317"/>
      <c r="W3027" s="317"/>
      <c r="X3027" s="317"/>
      <c r="Y3027" s="317"/>
      <c r="Z3027" s="317"/>
    </row>
    <row r="3028" spans="1:26" x14ac:dyDescent="0.25">
      <c r="A3028" s="314"/>
      <c r="B3028" s="18">
        <v>2023</v>
      </c>
      <c r="C3028" s="18" t="s">
        <v>787</v>
      </c>
      <c r="D3028" s="18" t="s">
        <v>1403</v>
      </c>
      <c r="E3028" s="18" t="s">
        <v>703</v>
      </c>
      <c r="F3028" s="18" t="s">
        <v>683</v>
      </c>
      <c r="G3028" s="18" t="s">
        <v>1404</v>
      </c>
      <c r="H3028" s="18" t="s">
        <v>1002</v>
      </c>
      <c r="I3028" s="315">
        <v>8.4999104442461402</v>
      </c>
      <c r="J3028" s="315">
        <v>5.5128658667799504E-3</v>
      </c>
      <c r="K3028" s="316" t="str">
        <f t="shared" si="52"/>
        <v>Railroad Equipment</v>
      </c>
      <c r="L3028" s="316" t="str">
        <f t="shared" si="53"/>
        <v>Gasoline</v>
      </c>
      <c r="M3028" s="194"/>
      <c r="N3028" s="317"/>
      <c r="O3028" s="317"/>
      <c r="P3028" s="317"/>
      <c r="Q3028" s="317"/>
      <c r="R3028" s="317"/>
      <c r="S3028" s="317"/>
      <c r="T3028" s="317"/>
      <c r="U3028" s="317"/>
      <c r="V3028" s="317"/>
      <c r="W3028" s="317"/>
      <c r="X3028" s="317"/>
      <c r="Y3028" s="317"/>
      <c r="Z3028" s="317"/>
    </row>
    <row r="3029" spans="1:26" x14ac:dyDescent="0.25">
      <c r="A3029" s="314"/>
      <c r="B3029" s="18">
        <v>2023</v>
      </c>
      <c r="C3029" s="18" t="s">
        <v>810</v>
      </c>
      <c r="D3029" s="18" t="s">
        <v>1016</v>
      </c>
      <c r="E3029" s="18" t="s">
        <v>56</v>
      </c>
      <c r="F3029" s="18" t="s">
        <v>672</v>
      </c>
      <c r="G3029" s="18" t="s">
        <v>675</v>
      </c>
      <c r="H3029" s="18" t="s">
        <v>802</v>
      </c>
      <c r="I3029" s="315">
        <v>8.4935339969057058</v>
      </c>
      <c r="J3029" s="315">
        <v>3.8966512640559446E-4</v>
      </c>
      <c r="K3029" s="316" t="str">
        <f t="shared" si="52"/>
        <v>Industrial Equipment</v>
      </c>
      <c r="L3029" s="316" t="str">
        <f t="shared" si="53"/>
        <v>LPG</v>
      </c>
      <c r="M3029" s="194"/>
      <c r="N3029" s="317"/>
      <c r="O3029" s="317"/>
      <c r="P3029" s="317"/>
      <c r="Q3029" s="317"/>
      <c r="R3029" s="317"/>
      <c r="S3029" s="317"/>
      <c r="T3029" s="317"/>
      <c r="U3029" s="317"/>
      <c r="V3029" s="317"/>
      <c r="W3029" s="317"/>
      <c r="X3029" s="317"/>
      <c r="Y3029" s="317"/>
      <c r="Z3029" s="317"/>
    </row>
    <row r="3030" spans="1:26" x14ac:dyDescent="0.25">
      <c r="A3030" s="314"/>
      <c r="B3030" s="18">
        <v>2023</v>
      </c>
      <c r="C3030" s="18" t="s">
        <v>787</v>
      </c>
      <c r="D3030" s="18" t="s">
        <v>1214</v>
      </c>
      <c r="E3030" s="18" t="s">
        <v>713</v>
      </c>
      <c r="F3030" s="18" t="s">
        <v>714</v>
      </c>
      <c r="G3030" s="18" t="s">
        <v>674</v>
      </c>
      <c r="H3030" s="18" t="s">
        <v>999</v>
      </c>
      <c r="I3030" s="315">
        <v>8.4930577898075779</v>
      </c>
      <c r="J3030" s="315">
        <v>2.5143649506945788E-4</v>
      </c>
      <c r="K3030" s="316" t="str">
        <f t="shared" si="52"/>
        <v>Construction and Mining Equipment</v>
      </c>
      <c r="L3030" s="316" t="str">
        <f t="shared" si="53"/>
        <v>Diesel</v>
      </c>
      <c r="M3030" s="194"/>
      <c r="N3030" s="317"/>
      <c r="O3030" s="317"/>
      <c r="P3030" s="317"/>
      <c r="Q3030" s="317"/>
      <c r="R3030" s="317"/>
      <c r="S3030" s="317"/>
      <c r="T3030" s="317"/>
      <c r="U3030" s="317"/>
      <c r="V3030" s="317"/>
      <c r="W3030" s="317"/>
      <c r="X3030" s="317"/>
      <c r="Y3030" s="317"/>
      <c r="Z3030" s="317"/>
    </row>
    <row r="3031" spans="1:26" x14ac:dyDescent="0.25">
      <c r="A3031" s="314"/>
      <c r="B3031" s="18">
        <v>2023</v>
      </c>
      <c r="C3031" s="18" t="s">
        <v>810</v>
      </c>
      <c r="D3031" s="18" t="s">
        <v>1074</v>
      </c>
      <c r="E3031" s="18" t="s">
        <v>713</v>
      </c>
      <c r="F3031" s="18" t="s">
        <v>714</v>
      </c>
      <c r="G3031" s="18" t="s">
        <v>674</v>
      </c>
      <c r="H3031" s="18" t="s">
        <v>967</v>
      </c>
      <c r="I3031" s="315">
        <v>8.4835942523611561</v>
      </c>
      <c r="J3031" s="315">
        <v>1.4578628728283577E-4</v>
      </c>
      <c r="K3031" s="316" t="str">
        <f t="shared" si="52"/>
        <v>Construction and Mining Equipment</v>
      </c>
      <c r="L3031" s="316" t="str">
        <f t="shared" si="53"/>
        <v>Diesel</v>
      </c>
      <c r="M3031" s="194"/>
      <c r="N3031" s="317"/>
      <c r="O3031" s="317"/>
      <c r="P3031" s="317"/>
      <c r="Q3031" s="317"/>
      <c r="R3031" s="317"/>
      <c r="S3031" s="317"/>
      <c r="T3031" s="317"/>
      <c r="U3031" s="317"/>
      <c r="V3031" s="317"/>
      <c r="W3031" s="317"/>
      <c r="X3031" s="317"/>
      <c r="Y3031" s="317"/>
      <c r="Z3031" s="317"/>
    </row>
    <row r="3032" spans="1:26" x14ac:dyDescent="0.25">
      <c r="A3032" s="314"/>
      <c r="B3032" s="18">
        <v>2023</v>
      </c>
      <c r="C3032" s="18" t="s">
        <v>711</v>
      </c>
      <c r="D3032" s="18" t="s">
        <v>1403</v>
      </c>
      <c r="E3032" s="18" t="s">
        <v>703</v>
      </c>
      <c r="F3032" s="18" t="s">
        <v>683</v>
      </c>
      <c r="G3032" s="18" t="s">
        <v>1404</v>
      </c>
      <c r="H3032" s="18" t="s">
        <v>1002</v>
      </c>
      <c r="I3032" s="315">
        <v>8.479253137814748</v>
      </c>
      <c r="J3032" s="315">
        <v>5.4842778776580904E-3</v>
      </c>
      <c r="K3032" s="316" t="str">
        <f t="shared" si="52"/>
        <v>Railroad Equipment</v>
      </c>
      <c r="L3032" s="316" t="str">
        <f t="shared" si="53"/>
        <v>Gasoline</v>
      </c>
      <c r="M3032" s="194"/>
      <c r="N3032" s="317"/>
      <c r="O3032" s="317"/>
      <c r="P3032" s="317"/>
      <c r="Q3032" s="317"/>
      <c r="R3032" s="317"/>
      <c r="S3032" s="317"/>
      <c r="T3032" s="317"/>
      <c r="U3032" s="317"/>
      <c r="V3032" s="317"/>
      <c r="W3032" s="317"/>
      <c r="X3032" s="317"/>
      <c r="Y3032" s="317"/>
      <c r="Z3032" s="317"/>
    </row>
    <row r="3033" spans="1:26" x14ac:dyDescent="0.25">
      <c r="A3033" s="314"/>
      <c r="B3033" s="18">
        <v>2023</v>
      </c>
      <c r="C3033" s="18" t="s">
        <v>787</v>
      </c>
      <c r="D3033" s="18" t="s">
        <v>988</v>
      </c>
      <c r="E3033" s="18" t="s">
        <v>703</v>
      </c>
      <c r="F3033" s="18" t="s">
        <v>805</v>
      </c>
      <c r="G3033" s="18" t="s">
        <v>673</v>
      </c>
      <c r="H3033" s="18" t="s">
        <v>768</v>
      </c>
      <c r="I3033" s="315">
        <v>8.4758992829891397</v>
      </c>
      <c r="J3033" s="315">
        <v>1.577959952754817E-2</v>
      </c>
      <c r="K3033" s="316" t="str">
        <f t="shared" si="52"/>
        <v>Lawn and Garden Equipment</v>
      </c>
      <c r="L3033" s="316" t="str">
        <f t="shared" si="53"/>
        <v>Gasoline</v>
      </c>
      <c r="M3033" s="194"/>
      <c r="N3033" s="317"/>
      <c r="O3033" s="317"/>
      <c r="P3033" s="317"/>
      <c r="Q3033" s="317"/>
      <c r="R3033" s="317"/>
      <c r="S3033" s="317"/>
      <c r="T3033" s="317"/>
      <c r="U3033" s="317"/>
      <c r="V3033" s="317"/>
      <c r="W3033" s="317"/>
      <c r="X3033" s="317"/>
      <c r="Y3033" s="317"/>
      <c r="Z3033" s="317"/>
    </row>
    <row r="3034" spans="1:26" x14ac:dyDescent="0.25">
      <c r="A3034" s="314"/>
      <c r="B3034" s="18">
        <v>2023</v>
      </c>
      <c r="C3034" s="18" t="s">
        <v>810</v>
      </c>
      <c r="D3034" s="18" t="s">
        <v>1018</v>
      </c>
      <c r="E3034" s="18" t="s">
        <v>56</v>
      </c>
      <c r="F3034" s="18" t="s">
        <v>672</v>
      </c>
      <c r="G3034" s="18" t="s">
        <v>677</v>
      </c>
      <c r="H3034" s="18" t="s">
        <v>785</v>
      </c>
      <c r="I3034" s="315">
        <v>8.4598426579677408</v>
      </c>
      <c r="J3034" s="315">
        <v>4.1514389159544714E-4</v>
      </c>
      <c r="K3034" s="316" t="str">
        <f t="shared" si="52"/>
        <v>Commercial Equipment</v>
      </c>
      <c r="L3034" s="316" t="str">
        <f t="shared" si="53"/>
        <v>LPG</v>
      </c>
      <c r="M3034" s="194"/>
      <c r="N3034" s="317"/>
      <c r="O3034" s="317"/>
      <c r="P3034" s="317"/>
      <c r="Q3034" s="317"/>
      <c r="R3034" s="317"/>
      <c r="S3034" s="317"/>
      <c r="T3034" s="317"/>
      <c r="U3034" s="317"/>
      <c r="V3034" s="317"/>
      <c r="W3034" s="317"/>
      <c r="X3034" s="317"/>
      <c r="Y3034" s="317"/>
      <c r="Z3034" s="317"/>
    </row>
    <row r="3035" spans="1:26" x14ac:dyDescent="0.25">
      <c r="A3035" s="314"/>
      <c r="B3035" s="18">
        <v>2023</v>
      </c>
      <c r="C3035" s="18" t="s">
        <v>732</v>
      </c>
      <c r="D3035" s="18" t="s">
        <v>1539</v>
      </c>
      <c r="E3035" s="18" t="s">
        <v>703</v>
      </c>
      <c r="F3035" s="18" t="s">
        <v>704</v>
      </c>
      <c r="G3035" s="18" t="s">
        <v>678</v>
      </c>
      <c r="H3035" s="18" t="s">
        <v>1230</v>
      </c>
      <c r="I3035" s="315">
        <v>8.424072882257299</v>
      </c>
      <c r="J3035" s="315">
        <v>5.033647356261676E-3</v>
      </c>
      <c r="K3035" s="316" t="str">
        <f t="shared" si="52"/>
        <v>Agricultural Equipment</v>
      </c>
      <c r="L3035" s="316" t="str">
        <f t="shared" si="53"/>
        <v>Gasoline</v>
      </c>
      <c r="M3035" s="194"/>
      <c r="N3035" s="317"/>
      <c r="O3035" s="317"/>
      <c r="P3035" s="317"/>
      <c r="Q3035" s="317"/>
      <c r="R3035" s="317"/>
      <c r="S3035" s="317"/>
      <c r="T3035" s="317"/>
      <c r="U3035" s="317"/>
      <c r="V3035" s="317"/>
      <c r="W3035" s="317"/>
      <c r="X3035" s="317"/>
      <c r="Y3035" s="317"/>
      <c r="Z3035" s="317"/>
    </row>
    <row r="3036" spans="1:26" x14ac:dyDescent="0.25">
      <c r="A3036" s="314"/>
      <c r="B3036" s="18">
        <v>2023</v>
      </c>
      <c r="C3036" s="18" t="s">
        <v>743</v>
      </c>
      <c r="D3036" s="18" t="s">
        <v>1440</v>
      </c>
      <c r="E3036" s="18" t="s">
        <v>703</v>
      </c>
      <c r="F3036" s="18" t="s">
        <v>704</v>
      </c>
      <c r="G3036" s="18" t="s">
        <v>678</v>
      </c>
      <c r="H3036" s="18" t="s">
        <v>1154</v>
      </c>
      <c r="I3036" s="315">
        <v>8.4150845521320239</v>
      </c>
      <c r="J3036" s="315">
        <v>8.5270389431740075E-4</v>
      </c>
      <c r="K3036" s="316" t="str">
        <f t="shared" si="52"/>
        <v>Agricultural Equipment</v>
      </c>
      <c r="L3036" s="316" t="str">
        <f t="shared" si="53"/>
        <v>Gasoline</v>
      </c>
      <c r="M3036" s="194"/>
      <c r="N3036" s="317"/>
      <c r="O3036" s="317"/>
      <c r="P3036" s="317"/>
      <c r="Q3036" s="317"/>
      <c r="R3036" s="317"/>
      <c r="S3036" s="317"/>
      <c r="T3036" s="317"/>
      <c r="U3036" s="317"/>
      <c r="V3036" s="317"/>
      <c r="W3036" s="317"/>
      <c r="X3036" s="317"/>
      <c r="Y3036" s="317"/>
      <c r="Z3036" s="317"/>
    </row>
    <row r="3037" spans="1:26" x14ac:dyDescent="0.25">
      <c r="A3037" s="314"/>
      <c r="B3037" s="18">
        <v>2023</v>
      </c>
      <c r="C3037" s="18" t="s">
        <v>709</v>
      </c>
      <c r="D3037" s="18" t="s">
        <v>1403</v>
      </c>
      <c r="E3037" s="18" t="s">
        <v>703</v>
      </c>
      <c r="F3037" s="18" t="s">
        <v>683</v>
      </c>
      <c r="G3037" s="18" t="s">
        <v>1404</v>
      </c>
      <c r="H3037" s="18" t="s">
        <v>1002</v>
      </c>
      <c r="I3037" s="315">
        <v>8.4140200267395375</v>
      </c>
      <c r="J3037" s="315">
        <v>5.4416056748423942E-3</v>
      </c>
      <c r="K3037" s="316" t="str">
        <f t="shared" si="52"/>
        <v>Railroad Equipment</v>
      </c>
      <c r="L3037" s="316" t="str">
        <f t="shared" si="53"/>
        <v>Gasoline</v>
      </c>
      <c r="M3037" s="194"/>
      <c r="N3037" s="317"/>
      <c r="O3037" s="317"/>
      <c r="P3037" s="317"/>
      <c r="Q3037" s="317"/>
      <c r="R3037" s="317"/>
      <c r="S3037" s="317"/>
      <c r="T3037" s="317"/>
      <c r="U3037" s="317"/>
      <c r="V3037" s="317"/>
      <c r="W3037" s="317"/>
      <c r="X3037" s="317"/>
      <c r="Y3037" s="317"/>
      <c r="Z3037" s="317"/>
    </row>
    <row r="3038" spans="1:26" x14ac:dyDescent="0.25">
      <c r="A3038" s="314"/>
      <c r="B3038" s="18">
        <v>2023</v>
      </c>
      <c r="C3038" s="18" t="s">
        <v>786</v>
      </c>
      <c r="D3038" s="18" t="s">
        <v>1320</v>
      </c>
      <c r="E3038" s="18" t="s">
        <v>713</v>
      </c>
      <c r="F3038" s="18" t="s">
        <v>676</v>
      </c>
      <c r="G3038" s="18" t="s">
        <v>79</v>
      </c>
      <c r="H3038" s="18" t="s">
        <v>730</v>
      </c>
      <c r="I3038" s="315">
        <v>8.3943792936784529</v>
      </c>
      <c r="J3038" s="315">
        <v>5.4888038426861136E-4</v>
      </c>
      <c r="K3038" s="316" t="str">
        <f t="shared" si="52"/>
        <v>Pleasure Craft</v>
      </c>
      <c r="L3038" s="316" t="str">
        <f t="shared" si="53"/>
        <v>Diesel</v>
      </c>
      <c r="M3038" s="194"/>
      <c r="N3038" s="317"/>
      <c r="O3038" s="317"/>
      <c r="P3038" s="317"/>
      <c r="Q3038" s="317"/>
      <c r="R3038" s="317"/>
      <c r="S3038" s="317"/>
      <c r="T3038" s="317"/>
      <c r="U3038" s="317"/>
      <c r="V3038" s="317"/>
      <c r="W3038" s="317"/>
      <c r="X3038" s="317"/>
      <c r="Y3038" s="317"/>
      <c r="Z3038" s="317"/>
    </row>
    <row r="3039" spans="1:26" x14ac:dyDescent="0.25">
      <c r="A3039" s="314"/>
      <c r="B3039" s="18">
        <v>2023</v>
      </c>
      <c r="C3039" s="18" t="s">
        <v>781</v>
      </c>
      <c r="D3039" s="18" t="s">
        <v>1003</v>
      </c>
      <c r="E3039" s="18" t="s">
        <v>703</v>
      </c>
      <c r="F3039" s="18" t="s">
        <v>805</v>
      </c>
      <c r="G3039" s="18" t="s">
        <v>677</v>
      </c>
      <c r="H3039" s="18" t="s">
        <v>841</v>
      </c>
      <c r="I3039" s="315">
        <v>8.3914831664930514</v>
      </c>
      <c r="J3039" s="315">
        <v>1.6168988804707463E-2</v>
      </c>
      <c r="K3039" s="316" t="str">
        <f t="shared" si="52"/>
        <v>Commercial Equipment</v>
      </c>
      <c r="L3039" s="316" t="str">
        <f t="shared" si="53"/>
        <v>Gasoline</v>
      </c>
      <c r="M3039" s="194"/>
      <c r="N3039" s="317"/>
      <c r="O3039" s="317"/>
      <c r="P3039" s="317"/>
      <c r="Q3039" s="317"/>
      <c r="R3039" s="317"/>
      <c r="S3039" s="317"/>
      <c r="T3039" s="317"/>
      <c r="U3039" s="317"/>
      <c r="V3039" s="317"/>
      <c r="W3039" s="317"/>
      <c r="X3039" s="317"/>
      <c r="Y3039" s="317"/>
      <c r="Z3039" s="317"/>
    </row>
    <row r="3040" spans="1:26" x14ac:dyDescent="0.25">
      <c r="A3040" s="314"/>
      <c r="B3040" s="18">
        <v>2023</v>
      </c>
      <c r="C3040" s="18" t="s">
        <v>792</v>
      </c>
      <c r="D3040" s="18" t="s">
        <v>927</v>
      </c>
      <c r="E3040" s="18" t="s">
        <v>56</v>
      </c>
      <c r="F3040" s="18" t="s">
        <v>672</v>
      </c>
      <c r="G3040" s="18" t="s">
        <v>673</v>
      </c>
      <c r="H3040" s="18" t="s">
        <v>742</v>
      </c>
      <c r="I3040" s="315">
        <v>8.3889561318069443</v>
      </c>
      <c r="J3040" s="315">
        <v>3.8110799906052045E-4</v>
      </c>
      <c r="K3040" s="316" t="str">
        <f t="shared" si="52"/>
        <v>Lawn and Garden Equipment</v>
      </c>
      <c r="L3040" s="316" t="str">
        <f t="shared" si="53"/>
        <v>LPG</v>
      </c>
      <c r="M3040" s="194"/>
      <c r="N3040" s="317"/>
      <c r="O3040" s="317"/>
      <c r="P3040" s="317"/>
      <c r="Q3040" s="317"/>
      <c r="R3040" s="317"/>
      <c r="S3040" s="317"/>
      <c r="T3040" s="317"/>
      <c r="U3040" s="317"/>
      <c r="V3040" s="317"/>
      <c r="W3040" s="317"/>
      <c r="X3040" s="317"/>
      <c r="Y3040" s="317"/>
      <c r="Z3040" s="317"/>
    </row>
    <row r="3041" spans="1:26" x14ac:dyDescent="0.25">
      <c r="A3041" s="314"/>
      <c r="B3041" s="18">
        <v>2023</v>
      </c>
      <c r="C3041" s="18" t="s">
        <v>750</v>
      </c>
      <c r="D3041" s="18" t="s">
        <v>1020</v>
      </c>
      <c r="E3041" s="18" t="s">
        <v>713</v>
      </c>
      <c r="F3041" s="18" t="s">
        <v>714</v>
      </c>
      <c r="G3041" s="18" t="s">
        <v>677</v>
      </c>
      <c r="H3041" s="18" t="s">
        <v>789</v>
      </c>
      <c r="I3041" s="315">
        <v>8.3798655975621621</v>
      </c>
      <c r="J3041" s="315">
        <v>1.9284918475989769E-4</v>
      </c>
      <c r="K3041" s="316" t="str">
        <f t="shared" si="52"/>
        <v>Commercial Equipment</v>
      </c>
      <c r="L3041" s="316" t="str">
        <f t="shared" si="53"/>
        <v>Diesel</v>
      </c>
      <c r="M3041" s="194"/>
      <c r="N3041" s="317"/>
      <c r="O3041" s="317"/>
      <c r="P3041" s="317"/>
      <c r="Q3041" s="317"/>
      <c r="R3041" s="317"/>
      <c r="S3041" s="317"/>
      <c r="T3041" s="317"/>
      <c r="U3041" s="317"/>
      <c r="V3041" s="317"/>
      <c r="W3041" s="317"/>
      <c r="X3041" s="317"/>
      <c r="Y3041" s="317"/>
      <c r="Z3041" s="317"/>
    </row>
    <row r="3042" spans="1:26" x14ac:dyDescent="0.25">
      <c r="A3042" s="314"/>
      <c r="B3042" s="18">
        <v>2023</v>
      </c>
      <c r="C3042" s="18" t="s">
        <v>773</v>
      </c>
      <c r="D3042" s="18" t="s">
        <v>1017</v>
      </c>
      <c r="E3042" s="18" t="s">
        <v>703</v>
      </c>
      <c r="F3042" s="18" t="s">
        <v>704</v>
      </c>
      <c r="G3042" s="18" t="s">
        <v>673</v>
      </c>
      <c r="H3042" s="18" t="s">
        <v>806</v>
      </c>
      <c r="I3042" s="315">
        <v>8.3505313012461073</v>
      </c>
      <c r="J3042" s="315">
        <v>5.8691530843173866E-3</v>
      </c>
      <c r="K3042" s="316" t="str">
        <f t="shared" si="52"/>
        <v>Lawn and Garden Equipment</v>
      </c>
      <c r="L3042" s="316" t="str">
        <f t="shared" si="53"/>
        <v>Gasoline</v>
      </c>
      <c r="M3042" s="194"/>
      <c r="N3042" s="317"/>
      <c r="O3042" s="317"/>
      <c r="P3042" s="317"/>
      <c r="Q3042" s="317"/>
      <c r="R3042" s="317"/>
      <c r="S3042" s="317"/>
      <c r="T3042" s="317"/>
      <c r="U3042" s="317"/>
      <c r="V3042" s="317"/>
      <c r="W3042" s="317"/>
      <c r="X3042" s="317"/>
      <c r="Y3042" s="317"/>
      <c r="Z3042" s="317"/>
    </row>
    <row r="3043" spans="1:26" x14ac:dyDescent="0.25">
      <c r="A3043" s="314"/>
      <c r="B3043" s="18">
        <v>2023</v>
      </c>
      <c r="C3043" s="18" t="s">
        <v>710</v>
      </c>
      <c r="D3043" s="18" t="s">
        <v>1403</v>
      </c>
      <c r="E3043" s="18" t="s">
        <v>703</v>
      </c>
      <c r="F3043" s="18" t="s">
        <v>683</v>
      </c>
      <c r="G3043" s="18" t="s">
        <v>1404</v>
      </c>
      <c r="H3043" s="18" t="s">
        <v>1002</v>
      </c>
      <c r="I3043" s="315">
        <v>8.3409147911933985</v>
      </c>
      <c r="J3043" s="315">
        <v>5.3978513057426044E-3</v>
      </c>
      <c r="K3043" s="316" t="str">
        <f t="shared" si="52"/>
        <v>Railroad Equipment</v>
      </c>
      <c r="L3043" s="316" t="str">
        <f t="shared" si="53"/>
        <v>Gasoline</v>
      </c>
      <c r="M3043" s="194"/>
      <c r="N3043" s="317"/>
      <c r="O3043" s="317"/>
      <c r="P3043" s="317"/>
      <c r="Q3043" s="317"/>
      <c r="R3043" s="317"/>
      <c r="S3043" s="317"/>
      <c r="T3043" s="317"/>
      <c r="U3043" s="317"/>
      <c r="V3043" s="317"/>
      <c r="W3043" s="317"/>
      <c r="X3043" s="317"/>
      <c r="Y3043" s="317"/>
      <c r="Z3043" s="317"/>
    </row>
    <row r="3044" spans="1:26" x14ac:dyDescent="0.25">
      <c r="A3044" s="314"/>
      <c r="B3044" s="18">
        <v>2023</v>
      </c>
      <c r="C3044" s="18" t="s">
        <v>792</v>
      </c>
      <c r="D3044" s="18" t="s">
        <v>1006</v>
      </c>
      <c r="E3044" s="18" t="s">
        <v>703</v>
      </c>
      <c r="F3044" s="18" t="s">
        <v>805</v>
      </c>
      <c r="G3044" s="18" t="s">
        <v>674</v>
      </c>
      <c r="H3044" s="18" t="s">
        <v>967</v>
      </c>
      <c r="I3044" s="315">
        <v>8.3094360709401922</v>
      </c>
      <c r="J3044" s="315">
        <v>1.4881224901896953E-2</v>
      </c>
      <c r="K3044" s="316" t="str">
        <f t="shared" si="52"/>
        <v>Construction and Mining Equipment</v>
      </c>
      <c r="L3044" s="316" t="str">
        <f t="shared" si="53"/>
        <v>Gasoline</v>
      </c>
      <c r="M3044" s="194"/>
      <c r="N3044" s="317"/>
      <c r="O3044" s="317"/>
      <c r="P3044" s="317"/>
      <c r="Q3044" s="317"/>
      <c r="R3044" s="317"/>
      <c r="S3044" s="317"/>
      <c r="T3044" s="317"/>
      <c r="U3044" s="317"/>
      <c r="V3044" s="317"/>
      <c r="W3044" s="317"/>
      <c r="X3044" s="317"/>
      <c r="Y3044" s="317"/>
      <c r="Z3044" s="317"/>
    </row>
    <row r="3045" spans="1:26" x14ac:dyDescent="0.25">
      <c r="A3045" s="314"/>
      <c r="B3045" s="18">
        <v>2023</v>
      </c>
      <c r="C3045" s="18" t="s">
        <v>759</v>
      </c>
      <c r="D3045" s="18" t="s">
        <v>966</v>
      </c>
      <c r="E3045" s="18" t="s">
        <v>703</v>
      </c>
      <c r="F3045" s="18" t="s">
        <v>704</v>
      </c>
      <c r="G3045" s="18" t="s">
        <v>674</v>
      </c>
      <c r="H3045" s="18" t="s">
        <v>967</v>
      </c>
      <c r="I3045" s="315">
        <v>8.302852203381212</v>
      </c>
      <c r="J3045" s="315">
        <v>5.7209538057631801E-3</v>
      </c>
      <c r="K3045" s="316" t="str">
        <f t="shared" si="52"/>
        <v>Construction and Mining Equipment</v>
      </c>
      <c r="L3045" s="316" t="str">
        <f t="shared" si="53"/>
        <v>Gasoline</v>
      </c>
      <c r="M3045" s="194"/>
      <c r="N3045" s="317"/>
      <c r="O3045" s="317"/>
      <c r="P3045" s="317"/>
      <c r="Q3045" s="317"/>
      <c r="R3045" s="317"/>
      <c r="S3045" s="317"/>
      <c r="T3045" s="317"/>
      <c r="U3045" s="317"/>
      <c r="V3045" s="317"/>
      <c r="W3045" s="317"/>
      <c r="X3045" s="317"/>
      <c r="Y3045" s="317"/>
      <c r="Z3045" s="317"/>
    </row>
    <row r="3046" spans="1:26" x14ac:dyDescent="0.25">
      <c r="A3046" s="314"/>
      <c r="B3046" s="18">
        <v>2023</v>
      </c>
      <c r="C3046" s="18" t="s">
        <v>760</v>
      </c>
      <c r="D3046" s="18" t="s">
        <v>1339</v>
      </c>
      <c r="E3046" s="18" t="s">
        <v>56</v>
      </c>
      <c r="F3046" s="18" t="s">
        <v>672</v>
      </c>
      <c r="G3046" s="18" t="s">
        <v>674</v>
      </c>
      <c r="H3046" s="18" t="s">
        <v>770</v>
      </c>
      <c r="I3046" s="315">
        <v>8.2792604624279722</v>
      </c>
      <c r="J3046" s="315">
        <v>6.1136128751519106E-4</v>
      </c>
      <c r="K3046" s="316" t="str">
        <f t="shared" si="52"/>
        <v>Construction and Mining Equipment</v>
      </c>
      <c r="L3046" s="316" t="str">
        <f t="shared" si="53"/>
        <v>LPG</v>
      </c>
      <c r="M3046" s="194"/>
      <c r="N3046" s="317"/>
      <c r="O3046" s="317"/>
      <c r="P3046" s="317"/>
      <c r="Q3046" s="317"/>
      <c r="R3046" s="317"/>
      <c r="S3046" s="317"/>
      <c r="T3046" s="317"/>
      <c r="U3046" s="317"/>
      <c r="V3046" s="317"/>
      <c r="W3046" s="317"/>
      <c r="X3046" s="317"/>
      <c r="Y3046" s="317"/>
      <c r="Z3046" s="317"/>
    </row>
    <row r="3047" spans="1:26" x14ac:dyDescent="0.25">
      <c r="A3047" s="314"/>
      <c r="B3047" s="18">
        <v>2023</v>
      </c>
      <c r="C3047" s="18" t="s">
        <v>773</v>
      </c>
      <c r="D3047" s="18" t="s">
        <v>1084</v>
      </c>
      <c r="E3047" s="18" t="s">
        <v>703</v>
      </c>
      <c r="F3047" s="18" t="s">
        <v>704</v>
      </c>
      <c r="G3047" s="18" t="s">
        <v>674</v>
      </c>
      <c r="H3047" s="18" t="s">
        <v>863</v>
      </c>
      <c r="I3047" s="315">
        <v>8.2724109572196269</v>
      </c>
      <c r="J3047" s="315">
        <v>4.8168082669807939E-3</v>
      </c>
      <c r="K3047" s="316" t="str">
        <f t="shared" si="52"/>
        <v>Construction and Mining Equipment</v>
      </c>
      <c r="L3047" s="316" t="str">
        <f t="shared" si="53"/>
        <v>Gasoline</v>
      </c>
      <c r="M3047" s="194"/>
      <c r="N3047" s="317"/>
      <c r="O3047" s="317"/>
      <c r="P3047" s="317"/>
      <c r="Q3047" s="317"/>
      <c r="R3047" s="317"/>
      <c r="S3047" s="317"/>
      <c r="T3047" s="317"/>
      <c r="U3047" s="317"/>
      <c r="V3047" s="317"/>
      <c r="W3047" s="317"/>
      <c r="X3047" s="317"/>
      <c r="Y3047" s="317"/>
      <c r="Z3047" s="317"/>
    </row>
    <row r="3048" spans="1:26" x14ac:dyDescent="0.25">
      <c r="A3048" s="314"/>
      <c r="B3048" s="18">
        <v>2023</v>
      </c>
      <c r="C3048" s="18" t="s">
        <v>722</v>
      </c>
      <c r="D3048" s="18" t="s">
        <v>1349</v>
      </c>
      <c r="E3048" s="18" t="s">
        <v>703</v>
      </c>
      <c r="F3048" s="18" t="s">
        <v>704</v>
      </c>
      <c r="G3048" s="18" t="s">
        <v>673</v>
      </c>
      <c r="H3048" s="18" t="s">
        <v>978</v>
      </c>
      <c r="I3048" s="315">
        <v>8.2490919745346449</v>
      </c>
      <c r="J3048" s="315">
        <v>5.7462849452019644E-3</v>
      </c>
      <c r="K3048" s="316" t="str">
        <f t="shared" si="52"/>
        <v>Lawn and Garden Equipment</v>
      </c>
      <c r="L3048" s="316" t="str">
        <f t="shared" si="53"/>
        <v>Gasoline</v>
      </c>
      <c r="M3048" s="194"/>
      <c r="N3048" s="317"/>
      <c r="O3048" s="317"/>
      <c r="P3048" s="317"/>
      <c r="Q3048" s="317"/>
      <c r="R3048" s="317"/>
      <c r="S3048" s="317"/>
      <c r="T3048" s="317"/>
      <c r="U3048" s="317"/>
      <c r="V3048" s="317"/>
      <c r="W3048" s="317"/>
      <c r="X3048" s="317"/>
      <c r="Y3048" s="317"/>
      <c r="Z3048" s="317"/>
    </row>
    <row r="3049" spans="1:26" x14ac:dyDescent="0.25">
      <c r="A3049" s="314"/>
      <c r="B3049" s="18">
        <v>2023</v>
      </c>
      <c r="C3049" s="18" t="s">
        <v>754</v>
      </c>
      <c r="D3049" s="18" t="s">
        <v>1215</v>
      </c>
      <c r="E3049" s="18" t="s">
        <v>56</v>
      </c>
      <c r="F3049" s="18" t="s">
        <v>672</v>
      </c>
      <c r="G3049" s="18" t="s">
        <v>674</v>
      </c>
      <c r="H3049" s="18" t="s">
        <v>756</v>
      </c>
      <c r="I3049" s="315">
        <v>8.2430934959100082</v>
      </c>
      <c r="J3049" s="315">
        <v>1.5250063967859732E-3</v>
      </c>
      <c r="K3049" s="316" t="str">
        <f t="shared" si="52"/>
        <v>Construction and Mining Equipment</v>
      </c>
      <c r="L3049" s="316" t="str">
        <f t="shared" si="53"/>
        <v>LPG</v>
      </c>
      <c r="M3049" s="194"/>
      <c r="N3049" s="317"/>
      <c r="O3049" s="317"/>
      <c r="P3049" s="317"/>
      <c r="Q3049" s="317"/>
      <c r="R3049" s="317"/>
      <c r="S3049" s="317"/>
      <c r="T3049" s="317"/>
      <c r="U3049" s="317"/>
      <c r="V3049" s="317"/>
      <c r="W3049" s="317"/>
      <c r="X3049" s="317"/>
      <c r="Y3049" s="317"/>
      <c r="Z3049" s="317"/>
    </row>
    <row r="3050" spans="1:26" x14ac:dyDescent="0.25">
      <c r="A3050" s="314"/>
      <c r="B3050" s="18">
        <v>2023</v>
      </c>
      <c r="C3050" s="18" t="s">
        <v>731</v>
      </c>
      <c r="D3050" s="18" t="s">
        <v>998</v>
      </c>
      <c r="E3050" s="18" t="s">
        <v>703</v>
      </c>
      <c r="F3050" s="18" t="s">
        <v>704</v>
      </c>
      <c r="G3050" s="18" t="s">
        <v>674</v>
      </c>
      <c r="H3050" s="18" t="s">
        <v>999</v>
      </c>
      <c r="I3050" s="315">
        <v>8.2346179953999759</v>
      </c>
      <c r="J3050" s="315">
        <v>5.4232136868980303E-3</v>
      </c>
      <c r="K3050" s="316" t="str">
        <f t="shared" si="52"/>
        <v>Construction and Mining Equipment</v>
      </c>
      <c r="L3050" s="316" t="str">
        <f t="shared" si="53"/>
        <v>Gasoline</v>
      </c>
      <c r="M3050" s="194"/>
      <c r="N3050" s="317"/>
      <c r="O3050" s="317"/>
      <c r="P3050" s="317"/>
      <c r="Q3050" s="317"/>
      <c r="R3050" s="317"/>
      <c r="S3050" s="317"/>
      <c r="T3050" s="317"/>
      <c r="U3050" s="317"/>
      <c r="V3050" s="317"/>
      <c r="W3050" s="317"/>
      <c r="X3050" s="317"/>
      <c r="Y3050" s="317"/>
      <c r="Z3050" s="317"/>
    </row>
    <row r="3051" spans="1:26" x14ac:dyDescent="0.25">
      <c r="A3051" s="314"/>
      <c r="B3051" s="18">
        <v>2023</v>
      </c>
      <c r="C3051" s="18" t="s">
        <v>762</v>
      </c>
      <c r="D3051" s="18" t="s">
        <v>1573</v>
      </c>
      <c r="E3051" s="18" t="s">
        <v>703</v>
      </c>
      <c r="F3051" s="18" t="s">
        <v>704</v>
      </c>
      <c r="G3051" s="18" t="s">
        <v>678</v>
      </c>
      <c r="H3051" s="18" t="s">
        <v>764</v>
      </c>
      <c r="I3051" s="315">
        <v>8.2100334890900033</v>
      </c>
      <c r="J3051" s="315">
        <v>1.5959143359702136E-3</v>
      </c>
      <c r="K3051" s="316" t="str">
        <f t="shared" si="52"/>
        <v>Agricultural Equipment</v>
      </c>
      <c r="L3051" s="316" t="str">
        <f t="shared" si="53"/>
        <v>Gasoline</v>
      </c>
      <c r="M3051" s="194"/>
      <c r="N3051" s="317"/>
      <c r="O3051" s="317"/>
      <c r="P3051" s="317"/>
      <c r="Q3051" s="317"/>
      <c r="R3051" s="317"/>
      <c r="S3051" s="317"/>
      <c r="T3051" s="317"/>
      <c r="U3051" s="317"/>
      <c r="V3051" s="317"/>
      <c r="W3051" s="317"/>
      <c r="X3051" s="317"/>
      <c r="Y3051" s="317"/>
      <c r="Z3051" s="317"/>
    </row>
    <row r="3052" spans="1:26" x14ac:dyDescent="0.25">
      <c r="A3052" s="314"/>
      <c r="B3052" s="18">
        <v>2023</v>
      </c>
      <c r="C3052" s="18" t="s">
        <v>706</v>
      </c>
      <c r="D3052" s="18" t="s">
        <v>1574</v>
      </c>
      <c r="E3052" s="18" t="s">
        <v>56</v>
      </c>
      <c r="F3052" s="18" t="s">
        <v>1575</v>
      </c>
      <c r="G3052" s="18" t="s">
        <v>675</v>
      </c>
      <c r="H3052" s="18" t="s">
        <v>1576</v>
      </c>
      <c r="I3052" s="315">
        <v>8.2046952446153636</v>
      </c>
      <c r="J3052" s="315">
        <v>3.5850631925408487E-2</v>
      </c>
      <c r="K3052" s="316" t="str">
        <f t="shared" si="52"/>
        <v>Industrial Equipment</v>
      </c>
      <c r="L3052" s="316" t="str">
        <f t="shared" si="53"/>
        <v>CNG</v>
      </c>
      <c r="M3052" s="194"/>
      <c r="N3052" s="317"/>
      <c r="O3052" s="317"/>
      <c r="P3052" s="317"/>
      <c r="Q3052" s="317"/>
      <c r="R3052" s="317"/>
      <c r="S3052" s="317"/>
      <c r="T3052" s="317"/>
      <c r="U3052" s="317"/>
      <c r="V3052" s="317"/>
      <c r="W3052" s="317"/>
      <c r="X3052" s="317"/>
      <c r="Y3052" s="317"/>
      <c r="Z3052" s="317"/>
    </row>
    <row r="3053" spans="1:26" x14ac:dyDescent="0.25">
      <c r="A3053" s="314"/>
      <c r="B3053" s="18">
        <v>2023</v>
      </c>
      <c r="C3053" s="18" t="s">
        <v>754</v>
      </c>
      <c r="D3053" s="18" t="s">
        <v>1574</v>
      </c>
      <c r="E3053" s="18" t="s">
        <v>56</v>
      </c>
      <c r="F3053" s="18" t="s">
        <v>1575</v>
      </c>
      <c r="G3053" s="18" t="s">
        <v>675</v>
      </c>
      <c r="H3053" s="18" t="s">
        <v>1576</v>
      </c>
      <c r="I3053" s="315">
        <v>8.2046952446153636</v>
      </c>
      <c r="J3053" s="315">
        <v>3.5850631925408487E-2</v>
      </c>
      <c r="K3053" s="316" t="str">
        <f t="shared" si="52"/>
        <v>Industrial Equipment</v>
      </c>
      <c r="L3053" s="316" t="str">
        <f t="shared" si="53"/>
        <v>CNG</v>
      </c>
      <c r="M3053" s="194"/>
      <c r="N3053" s="317"/>
      <c r="O3053" s="317"/>
      <c r="P3053" s="317"/>
      <c r="Q3053" s="317"/>
      <c r="R3053" s="317"/>
      <c r="S3053" s="317"/>
      <c r="T3053" s="317"/>
      <c r="U3053" s="317"/>
      <c r="V3053" s="317"/>
      <c r="W3053" s="317"/>
      <c r="X3053" s="317"/>
      <c r="Y3053" s="317"/>
      <c r="Z3053" s="317"/>
    </row>
    <row r="3054" spans="1:26" x14ac:dyDescent="0.25">
      <c r="A3054" s="314"/>
      <c r="B3054" s="18">
        <v>2023</v>
      </c>
      <c r="C3054" s="18" t="s">
        <v>786</v>
      </c>
      <c r="D3054" s="18" t="s">
        <v>1574</v>
      </c>
      <c r="E3054" s="18" t="s">
        <v>56</v>
      </c>
      <c r="F3054" s="18" t="s">
        <v>1575</v>
      </c>
      <c r="G3054" s="18" t="s">
        <v>675</v>
      </c>
      <c r="H3054" s="18" t="s">
        <v>1576</v>
      </c>
      <c r="I3054" s="315">
        <v>8.2046952446153636</v>
      </c>
      <c r="J3054" s="315">
        <v>3.5850631925408487E-2</v>
      </c>
      <c r="K3054" s="316" t="str">
        <f t="shared" si="52"/>
        <v>Industrial Equipment</v>
      </c>
      <c r="L3054" s="316" t="str">
        <f t="shared" si="53"/>
        <v>CNG</v>
      </c>
      <c r="M3054" s="194"/>
      <c r="N3054" s="317"/>
      <c r="O3054" s="317"/>
      <c r="P3054" s="317"/>
      <c r="Q3054" s="317"/>
      <c r="R3054" s="317"/>
      <c r="S3054" s="317"/>
      <c r="T3054" s="317"/>
      <c r="U3054" s="317"/>
      <c r="V3054" s="317"/>
      <c r="W3054" s="317"/>
      <c r="X3054" s="317"/>
      <c r="Y3054" s="317"/>
      <c r="Z3054" s="317"/>
    </row>
    <row r="3055" spans="1:26" x14ac:dyDescent="0.25">
      <c r="A3055" s="314"/>
      <c r="B3055" s="18">
        <v>2023</v>
      </c>
      <c r="C3055" s="18" t="s">
        <v>710</v>
      </c>
      <c r="D3055" s="18" t="s">
        <v>1574</v>
      </c>
      <c r="E3055" s="18" t="s">
        <v>56</v>
      </c>
      <c r="F3055" s="18" t="s">
        <v>1575</v>
      </c>
      <c r="G3055" s="18" t="s">
        <v>675</v>
      </c>
      <c r="H3055" s="18" t="s">
        <v>1576</v>
      </c>
      <c r="I3055" s="315">
        <v>8.2046952446153636</v>
      </c>
      <c r="J3055" s="315">
        <v>3.5850631925408487E-2</v>
      </c>
      <c r="K3055" s="316" t="str">
        <f t="shared" si="52"/>
        <v>Industrial Equipment</v>
      </c>
      <c r="L3055" s="316" t="str">
        <f t="shared" si="53"/>
        <v>CNG</v>
      </c>
      <c r="M3055" s="194"/>
      <c r="N3055" s="317"/>
      <c r="O3055" s="317"/>
      <c r="P3055" s="317"/>
      <c r="Q3055" s="317"/>
      <c r="R3055" s="317"/>
      <c r="S3055" s="317"/>
      <c r="T3055" s="317"/>
      <c r="U3055" s="317"/>
      <c r="V3055" s="317"/>
      <c r="W3055" s="317"/>
      <c r="X3055" s="317"/>
      <c r="Y3055" s="317"/>
      <c r="Z3055" s="317"/>
    </row>
    <row r="3056" spans="1:26" x14ac:dyDescent="0.25">
      <c r="A3056" s="314"/>
      <c r="B3056" s="18">
        <v>2023</v>
      </c>
      <c r="C3056" s="18" t="s">
        <v>731</v>
      </c>
      <c r="D3056" s="18" t="s">
        <v>1000</v>
      </c>
      <c r="E3056" s="18" t="s">
        <v>703</v>
      </c>
      <c r="F3056" s="18" t="s">
        <v>704</v>
      </c>
      <c r="G3056" s="18" t="s">
        <v>674</v>
      </c>
      <c r="H3056" s="18" t="s">
        <v>850</v>
      </c>
      <c r="I3056" s="315">
        <v>8.2043298660924489</v>
      </c>
      <c r="J3056" s="315">
        <v>4.9782938963769613E-3</v>
      </c>
      <c r="K3056" s="316" t="str">
        <f t="shared" si="52"/>
        <v>Construction and Mining Equipment</v>
      </c>
      <c r="L3056" s="316" t="str">
        <f t="shared" si="53"/>
        <v>Gasoline</v>
      </c>
      <c r="M3056" s="194"/>
      <c r="N3056" s="317"/>
      <c r="O3056" s="317"/>
      <c r="P3056" s="317"/>
      <c r="Q3056" s="317"/>
      <c r="R3056" s="317"/>
      <c r="S3056" s="317"/>
      <c r="T3056" s="317"/>
      <c r="U3056" s="317"/>
      <c r="V3056" s="317"/>
      <c r="W3056" s="317"/>
      <c r="X3056" s="317"/>
      <c r="Y3056" s="317"/>
      <c r="Z3056" s="317"/>
    </row>
    <row r="3057" spans="1:26" x14ac:dyDescent="0.25">
      <c r="A3057" s="314"/>
      <c r="B3057" s="18">
        <v>2023</v>
      </c>
      <c r="C3057" s="18" t="s">
        <v>810</v>
      </c>
      <c r="D3057" s="18" t="s">
        <v>1076</v>
      </c>
      <c r="E3057" s="18" t="s">
        <v>703</v>
      </c>
      <c r="F3057" s="18" t="s">
        <v>704</v>
      </c>
      <c r="G3057" s="18" t="s">
        <v>674</v>
      </c>
      <c r="H3057" s="18" t="s">
        <v>756</v>
      </c>
      <c r="I3057" s="315">
        <v>8.2035338229368673</v>
      </c>
      <c r="J3057" s="315">
        <v>3.6453170038412692E-3</v>
      </c>
      <c r="K3057" s="316" t="str">
        <f t="shared" si="52"/>
        <v>Construction and Mining Equipment</v>
      </c>
      <c r="L3057" s="316" t="str">
        <f t="shared" si="53"/>
        <v>Gasoline</v>
      </c>
      <c r="M3057" s="194"/>
      <c r="N3057" s="317"/>
      <c r="O3057" s="317"/>
      <c r="P3057" s="317"/>
      <c r="Q3057" s="317"/>
      <c r="R3057" s="317"/>
      <c r="S3057" s="317"/>
      <c r="T3057" s="317"/>
      <c r="U3057" s="317"/>
      <c r="V3057" s="317"/>
      <c r="W3057" s="317"/>
      <c r="X3057" s="317"/>
      <c r="Y3057" s="317"/>
      <c r="Z3057" s="317"/>
    </row>
    <row r="3058" spans="1:26" x14ac:dyDescent="0.25">
      <c r="A3058" s="314"/>
      <c r="B3058" s="18">
        <v>2023</v>
      </c>
      <c r="C3058" s="18" t="s">
        <v>786</v>
      </c>
      <c r="D3058" s="18" t="s">
        <v>998</v>
      </c>
      <c r="E3058" s="18" t="s">
        <v>703</v>
      </c>
      <c r="F3058" s="18" t="s">
        <v>704</v>
      </c>
      <c r="G3058" s="18" t="s">
        <v>674</v>
      </c>
      <c r="H3058" s="18" t="s">
        <v>999</v>
      </c>
      <c r="I3058" s="315">
        <v>8.1785435008254233</v>
      </c>
      <c r="J3058" s="315">
        <v>5.4016591972837653E-3</v>
      </c>
      <c r="K3058" s="316" t="str">
        <f t="shared" si="52"/>
        <v>Construction and Mining Equipment</v>
      </c>
      <c r="L3058" s="316" t="str">
        <f t="shared" si="53"/>
        <v>Gasoline</v>
      </c>
      <c r="M3058" s="194"/>
      <c r="N3058" s="317"/>
      <c r="O3058" s="317"/>
      <c r="P3058" s="317"/>
      <c r="Q3058" s="317"/>
      <c r="R3058" s="317"/>
      <c r="S3058" s="317"/>
      <c r="T3058" s="317"/>
      <c r="U3058" s="317"/>
      <c r="V3058" s="317"/>
      <c r="W3058" s="317"/>
      <c r="X3058" s="317"/>
      <c r="Y3058" s="317"/>
      <c r="Z3058" s="317"/>
    </row>
    <row r="3059" spans="1:26" x14ac:dyDescent="0.25">
      <c r="A3059" s="314"/>
      <c r="B3059" s="18">
        <v>2023</v>
      </c>
      <c r="C3059" s="18" t="s">
        <v>786</v>
      </c>
      <c r="D3059" s="18" t="s">
        <v>1000</v>
      </c>
      <c r="E3059" s="18" t="s">
        <v>703</v>
      </c>
      <c r="F3059" s="18" t="s">
        <v>704</v>
      </c>
      <c r="G3059" s="18" t="s">
        <v>674</v>
      </c>
      <c r="H3059" s="18" t="s">
        <v>850</v>
      </c>
      <c r="I3059" s="315">
        <v>8.1484554130324511</v>
      </c>
      <c r="J3059" s="315">
        <v>4.9584970106820708E-3</v>
      </c>
      <c r="K3059" s="316" t="str">
        <f t="shared" si="52"/>
        <v>Construction and Mining Equipment</v>
      </c>
      <c r="L3059" s="316" t="str">
        <f t="shared" si="53"/>
        <v>Gasoline</v>
      </c>
      <c r="M3059" s="194"/>
      <c r="N3059" s="317"/>
      <c r="O3059" s="317"/>
      <c r="P3059" s="317"/>
      <c r="Q3059" s="317"/>
      <c r="R3059" s="317"/>
      <c r="S3059" s="317"/>
      <c r="T3059" s="317"/>
      <c r="U3059" s="317"/>
      <c r="V3059" s="317"/>
      <c r="W3059" s="317"/>
      <c r="X3059" s="317"/>
      <c r="Y3059" s="317"/>
      <c r="Z3059" s="317"/>
    </row>
    <row r="3060" spans="1:26" x14ac:dyDescent="0.25">
      <c r="A3060" s="314"/>
      <c r="B3060" s="18">
        <v>2023</v>
      </c>
      <c r="C3060" s="18" t="s">
        <v>810</v>
      </c>
      <c r="D3060" s="18" t="s">
        <v>1020</v>
      </c>
      <c r="E3060" s="18" t="s">
        <v>713</v>
      </c>
      <c r="F3060" s="18" t="s">
        <v>714</v>
      </c>
      <c r="G3060" s="18" t="s">
        <v>677</v>
      </c>
      <c r="H3060" s="18" t="s">
        <v>789</v>
      </c>
      <c r="I3060" s="315">
        <v>8.147093875562561</v>
      </c>
      <c r="J3060" s="315">
        <v>1.8749214622069247E-4</v>
      </c>
      <c r="K3060" s="316" t="str">
        <f t="shared" si="52"/>
        <v>Commercial Equipment</v>
      </c>
      <c r="L3060" s="316" t="str">
        <f t="shared" si="53"/>
        <v>Diesel</v>
      </c>
      <c r="M3060" s="194"/>
      <c r="N3060" s="317"/>
      <c r="O3060" s="317"/>
      <c r="P3060" s="317"/>
      <c r="Q3060" s="317"/>
      <c r="R3060" s="317"/>
      <c r="S3060" s="317"/>
      <c r="T3060" s="317"/>
      <c r="U3060" s="317"/>
      <c r="V3060" s="317"/>
      <c r="W3060" s="317"/>
      <c r="X3060" s="317"/>
      <c r="Y3060" s="317"/>
      <c r="Z3060" s="317"/>
    </row>
    <row r="3061" spans="1:26" x14ac:dyDescent="0.25">
      <c r="A3061" s="314"/>
      <c r="B3061" s="18">
        <v>2023</v>
      </c>
      <c r="C3061" s="18" t="s">
        <v>786</v>
      </c>
      <c r="D3061" s="18" t="s">
        <v>1009</v>
      </c>
      <c r="E3061" s="18" t="s">
        <v>713</v>
      </c>
      <c r="F3061" s="18" t="s">
        <v>714</v>
      </c>
      <c r="G3061" s="18" t="s">
        <v>673</v>
      </c>
      <c r="H3061" s="18" t="s">
        <v>1010</v>
      </c>
      <c r="I3061" s="315">
        <v>8.1382154415152534</v>
      </c>
      <c r="J3061" s="315">
        <v>1.1876485224852784E-4</v>
      </c>
      <c r="K3061" s="316" t="str">
        <f t="shared" si="52"/>
        <v>Lawn and Garden Equipment</v>
      </c>
      <c r="L3061" s="316" t="str">
        <f t="shared" si="53"/>
        <v>Diesel</v>
      </c>
      <c r="M3061" s="194"/>
      <c r="N3061" s="317"/>
      <c r="O3061" s="317"/>
      <c r="P3061" s="317"/>
      <c r="Q3061" s="317"/>
      <c r="R3061" s="317"/>
      <c r="S3061" s="317"/>
      <c r="T3061" s="317"/>
      <c r="U3061" s="317"/>
      <c r="V3061" s="317"/>
      <c r="W3061" s="317"/>
      <c r="X3061" s="317"/>
      <c r="Y3061" s="317"/>
      <c r="Z3061" s="317"/>
    </row>
    <row r="3062" spans="1:26" x14ac:dyDescent="0.25">
      <c r="A3062" s="314"/>
      <c r="B3062" s="18">
        <v>2023</v>
      </c>
      <c r="C3062" s="18" t="s">
        <v>706</v>
      </c>
      <c r="D3062" s="18" t="s">
        <v>1580</v>
      </c>
      <c r="E3062" s="18" t="s">
        <v>56</v>
      </c>
      <c r="F3062" s="18" t="s">
        <v>672</v>
      </c>
      <c r="G3062" s="18" t="s">
        <v>674</v>
      </c>
      <c r="H3062" s="18" t="s">
        <v>736</v>
      </c>
      <c r="I3062" s="315">
        <v>8.1232133688754651</v>
      </c>
      <c r="J3062" s="315">
        <v>3.7316165552154422E-4</v>
      </c>
      <c r="K3062" s="316" t="str">
        <f t="shared" si="52"/>
        <v>Construction and Mining Equipment</v>
      </c>
      <c r="L3062" s="316" t="str">
        <f t="shared" si="53"/>
        <v>LPG</v>
      </c>
      <c r="M3062" s="194"/>
      <c r="N3062" s="317"/>
      <c r="O3062" s="317"/>
      <c r="P3062" s="317"/>
      <c r="Q3062" s="317"/>
      <c r="R3062" s="317"/>
      <c r="S3062" s="317"/>
      <c r="T3062" s="317"/>
      <c r="U3062" s="317"/>
      <c r="V3062" s="317"/>
      <c r="W3062" s="317"/>
      <c r="X3062" s="317"/>
      <c r="Y3062" s="317"/>
      <c r="Z3062" s="317"/>
    </row>
    <row r="3063" spans="1:26" x14ac:dyDescent="0.25">
      <c r="A3063" s="314"/>
      <c r="B3063" s="18">
        <v>2023</v>
      </c>
      <c r="C3063" s="18" t="s">
        <v>753</v>
      </c>
      <c r="D3063" s="18" t="s">
        <v>1460</v>
      </c>
      <c r="E3063" s="18" t="s">
        <v>703</v>
      </c>
      <c r="F3063" s="18" t="s">
        <v>704</v>
      </c>
      <c r="G3063" s="18" t="s">
        <v>678</v>
      </c>
      <c r="H3063" s="18" t="s">
        <v>1080</v>
      </c>
      <c r="I3063" s="315">
        <v>8.1047185318847994</v>
      </c>
      <c r="J3063" s="315">
        <v>4.9247903993359862E-3</v>
      </c>
      <c r="K3063" s="316" t="str">
        <f t="shared" si="52"/>
        <v>Agricultural Equipment</v>
      </c>
      <c r="L3063" s="316" t="str">
        <f t="shared" si="53"/>
        <v>Gasoline</v>
      </c>
      <c r="M3063" s="194"/>
      <c r="N3063" s="317"/>
      <c r="O3063" s="317"/>
      <c r="P3063" s="317"/>
      <c r="Q3063" s="317"/>
      <c r="R3063" s="317"/>
      <c r="S3063" s="317"/>
      <c r="T3063" s="317"/>
      <c r="U3063" s="317"/>
      <c r="V3063" s="317"/>
      <c r="W3063" s="317"/>
      <c r="X3063" s="317"/>
      <c r="Y3063" s="317"/>
      <c r="Z3063" s="317"/>
    </row>
    <row r="3064" spans="1:26" x14ac:dyDescent="0.25">
      <c r="A3064" s="314"/>
      <c r="B3064" s="18">
        <v>2023</v>
      </c>
      <c r="C3064" s="18" t="s">
        <v>727</v>
      </c>
      <c r="D3064" s="18" t="s">
        <v>1158</v>
      </c>
      <c r="E3064" s="18" t="s">
        <v>703</v>
      </c>
      <c r="F3064" s="18" t="s">
        <v>704</v>
      </c>
      <c r="G3064" s="18" t="s">
        <v>674</v>
      </c>
      <c r="H3064" s="18" t="s">
        <v>715</v>
      </c>
      <c r="I3064" s="315">
        <v>8.1021296132909892</v>
      </c>
      <c r="J3064" s="315">
        <v>5.5950592690072205E-4</v>
      </c>
      <c r="K3064" s="316" t="str">
        <f t="shared" si="52"/>
        <v>Construction and Mining Equipment</v>
      </c>
      <c r="L3064" s="316" t="str">
        <f t="shared" si="53"/>
        <v>Gasoline</v>
      </c>
      <c r="M3064" s="194"/>
      <c r="N3064" s="317"/>
      <c r="O3064" s="317"/>
      <c r="P3064" s="317"/>
      <c r="Q3064" s="317"/>
      <c r="R3064" s="317"/>
      <c r="S3064" s="317"/>
      <c r="T3064" s="317"/>
      <c r="U3064" s="317"/>
      <c r="V3064" s="317"/>
      <c r="W3064" s="317"/>
      <c r="X3064" s="317"/>
      <c r="Y3064" s="317"/>
      <c r="Z3064" s="317"/>
    </row>
    <row r="3065" spans="1:26" x14ac:dyDescent="0.25">
      <c r="A3065" s="314"/>
      <c r="B3065" s="18">
        <v>2023</v>
      </c>
      <c r="C3065" s="18" t="s">
        <v>762</v>
      </c>
      <c r="D3065" s="18" t="s">
        <v>1051</v>
      </c>
      <c r="E3065" s="18" t="s">
        <v>703</v>
      </c>
      <c r="F3065" s="18" t="s">
        <v>704</v>
      </c>
      <c r="G3065" s="18" t="s">
        <v>674</v>
      </c>
      <c r="H3065" s="18" t="s">
        <v>783</v>
      </c>
      <c r="I3065" s="315">
        <v>8.0940553002743414</v>
      </c>
      <c r="J3065" s="315">
        <v>4.9288416184491172E-3</v>
      </c>
      <c r="K3065" s="316" t="str">
        <f t="shared" si="52"/>
        <v>Construction and Mining Equipment</v>
      </c>
      <c r="L3065" s="316" t="str">
        <f t="shared" si="53"/>
        <v>Gasoline</v>
      </c>
      <c r="M3065" s="194"/>
      <c r="N3065" s="317"/>
      <c r="O3065" s="317"/>
      <c r="P3065" s="317"/>
      <c r="Q3065" s="317"/>
      <c r="R3065" s="317"/>
      <c r="S3065" s="317"/>
      <c r="T3065" s="317"/>
      <c r="U3065" s="317"/>
      <c r="V3065" s="317"/>
      <c r="W3065" s="317"/>
      <c r="X3065" s="317"/>
      <c r="Y3065" s="317"/>
      <c r="Z3065" s="317"/>
    </row>
    <row r="3066" spans="1:26" x14ac:dyDescent="0.25">
      <c r="A3066" s="314"/>
      <c r="B3066" s="18">
        <v>2023</v>
      </c>
      <c r="C3066" s="18" t="s">
        <v>709</v>
      </c>
      <c r="D3066" s="18" t="s">
        <v>1407</v>
      </c>
      <c r="E3066" s="18" t="s">
        <v>56</v>
      </c>
      <c r="F3066" s="18" t="s">
        <v>672</v>
      </c>
      <c r="G3066" s="18" t="s">
        <v>675</v>
      </c>
      <c r="H3066" s="18" t="s">
        <v>1078</v>
      </c>
      <c r="I3066" s="315">
        <v>8.0820862673478882</v>
      </c>
      <c r="J3066" s="315">
        <v>7.2618331856636722E-4</v>
      </c>
      <c r="K3066" s="316" t="str">
        <f t="shared" si="52"/>
        <v>Industrial Equipment</v>
      </c>
      <c r="L3066" s="316" t="str">
        <f t="shared" si="53"/>
        <v>LPG</v>
      </c>
      <c r="M3066" s="194"/>
      <c r="N3066" s="317"/>
      <c r="O3066" s="317"/>
      <c r="P3066" s="317"/>
      <c r="Q3066" s="317"/>
      <c r="R3066" s="317"/>
      <c r="S3066" s="317"/>
      <c r="T3066" s="317"/>
      <c r="U3066" s="317"/>
      <c r="V3066" s="317"/>
      <c r="W3066" s="317"/>
      <c r="X3066" s="317"/>
      <c r="Y3066" s="317"/>
      <c r="Z3066" s="317"/>
    </row>
    <row r="3067" spans="1:26" x14ac:dyDescent="0.25">
      <c r="A3067" s="314"/>
      <c r="B3067" s="18">
        <v>2023</v>
      </c>
      <c r="C3067" s="18" t="s">
        <v>722</v>
      </c>
      <c r="D3067" s="18" t="s">
        <v>1445</v>
      </c>
      <c r="E3067" s="18" t="s">
        <v>56</v>
      </c>
      <c r="F3067" s="18" t="s">
        <v>601</v>
      </c>
      <c r="G3067" s="18" t="s">
        <v>677</v>
      </c>
      <c r="H3067" s="18" t="s">
        <v>841</v>
      </c>
      <c r="I3067" s="315">
        <v>8.067940216947294</v>
      </c>
      <c r="J3067" s="315">
        <v>8.765484700216887E-2</v>
      </c>
      <c r="K3067" s="316" t="str">
        <f t="shared" si="52"/>
        <v>Commercial Equipment</v>
      </c>
      <c r="L3067" s="316" t="str">
        <f t="shared" si="53"/>
        <v>CNG</v>
      </c>
      <c r="M3067" s="194"/>
      <c r="N3067" s="317"/>
      <c r="O3067" s="317"/>
      <c r="P3067" s="317"/>
      <c r="Q3067" s="317"/>
      <c r="R3067" s="317"/>
      <c r="S3067" s="317"/>
      <c r="T3067" s="317"/>
      <c r="U3067" s="317"/>
      <c r="V3067" s="317"/>
      <c r="W3067" s="317"/>
      <c r="X3067" s="317"/>
      <c r="Y3067" s="317"/>
      <c r="Z3067" s="317"/>
    </row>
    <row r="3068" spans="1:26" x14ac:dyDescent="0.25">
      <c r="A3068" s="314"/>
      <c r="B3068" s="18">
        <v>2023</v>
      </c>
      <c r="C3068" s="18" t="s">
        <v>786</v>
      </c>
      <c r="D3068" s="18" t="s">
        <v>1022</v>
      </c>
      <c r="E3068" s="18" t="s">
        <v>703</v>
      </c>
      <c r="F3068" s="18" t="s">
        <v>704</v>
      </c>
      <c r="G3068" s="18" t="s">
        <v>675</v>
      </c>
      <c r="H3068" s="18" t="s">
        <v>772</v>
      </c>
      <c r="I3068" s="315">
        <v>8.0479337230797938</v>
      </c>
      <c r="J3068" s="315">
        <v>5.6773712797711297E-4</v>
      </c>
      <c r="K3068" s="316" t="str">
        <f t="shared" si="52"/>
        <v>Industrial Equipment</v>
      </c>
      <c r="L3068" s="316" t="str">
        <f t="shared" si="53"/>
        <v>Gasoline</v>
      </c>
      <c r="M3068" s="194"/>
      <c r="N3068" s="317"/>
      <c r="O3068" s="317"/>
      <c r="P3068" s="317"/>
      <c r="Q3068" s="317"/>
      <c r="R3068" s="317"/>
      <c r="S3068" s="317"/>
      <c r="T3068" s="317"/>
      <c r="U3068" s="317"/>
      <c r="V3068" s="317"/>
      <c r="W3068" s="317"/>
      <c r="X3068" s="317"/>
      <c r="Y3068" s="317"/>
      <c r="Z3068" s="317"/>
    </row>
    <row r="3069" spans="1:26" x14ac:dyDescent="0.25">
      <c r="A3069" s="314"/>
      <c r="B3069" s="18">
        <v>2023</v>
      </c>
      <c r="C3069" s="18" t="s">
        <v>731</v>
      </c>
      <c r="D3069" s="18" t="s">
        <v>1460</v>
      </c>
      <c r="E3069" s="18" t="s">
        <v>703</v>
      </c>
      <c r="F3069" s="18" t="s">
        <v>704</v>
      </c>
      <c r="G3069" s="18" t="s">
        <v>678</v>
      </c>
      <c r="H3069" s="18" t="s">
        <v>1080</v>
      </c>
      <c r="I3069" s="315">
        <v>8.0392526372043722</v>
      </c>
      <c r="J3069" s="315">
        <v>4.8842743388310067E-3</v>
      </c>
      <c r="K3069" s="316" t="str">
        <f t="shared" si="52"/>
        <v>Agricultural Equipment</v>
      </c>
      <c r="L3069" s="316" t="str">
        <f t="shared" si="53"/>
        <v>Gasoline</v>
      </c>
      <c r="M3069" s="194"/>
      <c r="N3069" s="317"/>
      <c r="O3069" s="317"/>
      <c r="P3069" s="317"/>
      <c r="Q3069" s="317"/>
      <c r="R3069" s="317"/>
      <c r="S3069" s="317"/>
      <c r="T3069" s="317"/>
      <c r="U3069" s="317"/>
      <c r="V3069" s="317"/>
      <c r="W3069" s="317"/>
      <c r="X3069" s="317"/>
      <c r="Y3069" s="317"/>
      <c r="Z3069" s="317"/>
    </row>
    <row r="3070" spans="1:26" x14ac:dyDescent="0.25">
      <c r="A3070" s="314"/>
      <c r="B3070" s="18">
        <v>2023</v>
      </c>
      <c r="C3070" s="18" t="s">
        <v>792</v>
      </c>
      <c r="D3070" s="18" t="s">
        <v>1153</v>
      </c>
      <c r="E3070" s="18" t="s">
        <v>713</v>
      </c>
      <c r="F3070" s="18" t="s">
        <v>714</v>
      </c>
      <c r="G3070" s="18" t="s">
        <v>678</v>
      </c>
      <c r="H3070" s="18" t="s">
        <v>1154</v>
      </c>
      <c r="I3070" s="315">
        <v>8.0347411899941239</v>
      </c>
      <c r="J3070" s="315">
        <v>1.048687546053543E-4</v>
      </c>
      <c r="K3070" s="316" t="str">
        <f t="shared" si="52"/>
        <v>Agricultural Equipment</v>
      </c>
      <c r="L3070" s="316" t="str">
        <f t="shared" si="53"/>
        <v>Diesel</v>
      </c>
      <c r="M3070" s="194"/>
      <c r="N3070" s="317"/>
      <c r="O3070" s="317"/>
      <c r="P3070" s="317"/>
      <c r="Q3070" s="317"/>
      <c r="R3070" s="317"/>
      <c r="S3070" s="317"/>
      <c r="T3070" s="317"/>
      <c r="U3070" s="317"/>
      <c r="V3070" s="317"/>
      <c r="W3070" s="317"/>
      <c r="X3070" s="317"/>
      <c r="Y3070" s="317"/>
      <c r="Z3070" s="317"/>
    </row>
    <row r="3071" spans="1:26" x14ac:dyDescent="0.25">
      <c r="A3071" s="314"/>
      <c r="B3071" s="18">
        <v>2023</v>
      </c>
      <c r="C3071" s="18" t="s">
        <v>754</v>
      </c>
      <c r="D3071" s="18" t="s">
        <v>1226</v>
      </c>
      <c r="E3071" s="18" t="s">
        <v>703</v>
      </c>
      <c r="F3071" s="18" t="s">
        <v>805</v>
      </c>
      <c r="G3071" s="18" t="s">
        <v>677</v>
      </c>
      <c r="H3071" s="18" t="s">
        <v>747</v>
      </c>
      <c r="I3071" s="315">
        <v>8.0308910848966821</v>
      </c>
      <c r="J3071" s="315">
        <v>1.6238978819746949E-2</v>
      </c>
      <c r="K3071" s="316" t="str">
        <f t="shared" si="52"/>
        <v>Commercial Equipment</v>
      </c>
      <c r="L3071" s="316" t="str">
        <f t="shared" si="53"/>
        <v>Gasoline</v>
      </c>
      <c r="M3071" s="194"/>
      <c r="N3071" s="317"/>
      <c r="O3071" s="317"/>
      <c r="P3071" s="317"/>
      <c r="Q3071" s="317"/>
      <c r="R3071" s="317"/>
      <c r="S3071" s="317"/>
      <c r="T3071" s="317"/>
      <c r="U3071" s="317"/>
      <c r="V3071" s="317"/>
      <c r="W3071" s="317"/>
      <c r="X3071" s="317"/>
      <c r="Y3071" s="317"/>
      <c r="Z3071" s="317"/>
    </row>
    <row r="3072" spans="1:26" x14ac:dyDescent="0.25">
      <c r="A3072" s="314"/>
      <c r="B3072" s="18">
        <v>2023</v>
      </c>
      <c r="C3072" s="18" t="s">
        <v>706</v>
      </c>
      <c r="D3072" s="18" t="s">
        <v>1583</v>
      </c>
      <c r="E3072" s="18" t="s">
        <v>703</v>
      </c>
      <c r="F3072" s="18" t="s">
        <v>805</v>
      </c>
      <c r="G3072" s="18" t="s">
        <v>674</v>
      </c>
      <c r="H3072" s="18" t="s">
        <v>1036</v>
      </c>
      <c r="I3072" s="315">
        <v>8.0167283286667583</v>
      </c>
      <c r="J3072" s="315">
        <v>1.6591742966914094E-2</v>
      </c>
      <c r="K3072" s="316" t="str">
        <f t="shared" si="52"/>
        <v>Construction and Mining Equipment</v>
      </c>
      <c r="L3072" s="316" t="str">
        <f t="shared" si="53"/>
        <v>Gasoline</v>
      </c>
      <c r="M3072" s="194"/>
      <c r="N3072" s="317"/>
      <c r="O3072" s="317"/>
      <c r="P3072" s="317"/>
      <c r="Q3072" s="317"/>
      <c r="R3072" s="317"/>
      <c r="S3072" s="317"/>
      <c r="T3072" s="317"/>
      <c r="U3072" s="317"/>
      <c r="V3072" s="317"/>
      <c r="W3072" s="317"/>
      <c r="X3072" s="317"/>
      <c r="Y3072" s="317"/>
      <c r="Z3072" s="317"/>
    </row>
    <row r="3073" spans="1:26" x14ac:dyDescent="0.25">
      <c r="A3073" s="314"/>
      <c r="B3073" s="18">
        <v>2023</v>
      </c>
      <c r="C3073" s="18" t="s">
        <v>781</v>
      </c>
      <c r="D3073" s="18" t="s">
        <v>980</v>
      </c>
      <c r="E3073" s="18" t="s">
        <v>713</v>
      </c>
      <c r="F3073" s="18" t="s">
        <v>714</v>
      </c>
      <c r="G3073" s="18" t="s">
        <v>674</v>
      </c>
      <c r="H3073" s="18" t="s">
        <v>981</v>
      </c>
      <c r="I3073" s="315">
        <v>8.0091871252637592</v>
      </c>
      <c r="J3073" s="315">
        <v>3.515586466671947E-4</v>
      </c>
      <c r="K3073" s="316" t="str">
        <f t="shared" si="52"/>
        <v>Construction and Mining Equipment</v>
      </c>
      <c r="L3073" s="316" t="str">
        <f t="shared" si="53"/>
        <v>Diesel</v>
      </c>
      <c r="M3073" s="194"/>
      <c r="N3073" s="317"/>
      <c r="O3073" s="317"/>
      <c r="P3073" s="317"/>
      <c r="Q3073" s="317"/>
      <c r="R3073" s="317"/>
      <c r="S3073" s="317"/>
      <c r="T3073" s="317"/>
      <c r="U3073" s="317"/>
      <c r="V3073" s="317"/>
      <c r="W3073" s="317"/>
      <c r="X3073" s="317"/>
      <c r="Y3073" s="317"/>
      <c r="Z3073" s="317"/>
    </row>
    <row r="3074" spans="1:26" x14ac:dyDescent="0.25">
      <c r="A3074" s="314"/>
      <c r="B3074" s="18">
        <v>2023</v>
      </c>
      <c r="C3074" s="18" t="s">
        <v>732</v>
      </c>
      <c r="D3074" s="18" t="s">
        <v>1573</v>
      </c>
      <c r="E3074" s="18" t="s">
        <v>703</v>
      </c>
      <c r="F3074" s="18" t="s">
        <v>704</v>
      </c>
      <c r="G3074" s="18" t="s">
        <v>678</v>
      </c>
      <c r="H3074" s="18" t="s">
        <v>764</v>
      </c>
      <c r="I3074" s="315">
        <v>8.0085784747619133</v>
      </c>
      <c r="J3074" s="315">
        <v>1.5621816867722241E-3</v>
      </c>
      <c r="K3074" s="316" t="str">
        <f t="shared" si="52"/>
        <v>Agricultural Equipment</v>
      </c>
      <c r="L3074" s="316" t="str">
        <f t="shared" si="53"/>
        <v>Gasoline</v>
      </c>
      <c r="M3074" s="194"/>
      <c r="N3074" s="317"/>
      <c r="O3074" s="317"/>
      <c r="P3074" s="317"/>
      <c r="Q3074" s="317"/>
      <c r="R3074" s="317"/>
      <c r="S3074" s="317"/>
      <c r="T3074" s="317"/>
      <c r="U3074" s="317"/>
      <c r="V3074" s="317"/>
      <c r="W3074" s="317"/>
      <c r="X3074" s="317"/>
      <c r="Y3074" s="317"/>
      <c r="Z3074" s="317"/>
    </row>
    <row r="3075" spans="1:26" x14ac:dyDescent="0.25">
      <c r="A3075" s="314"/>
      <c r="B3075" s="18">
        <v>2023</v>
      </c>
      <c r="C3075" s="18" t="s">
        <v>750</v>
      </c>
      <c r="D3075" s="18" t="s">
        <v>1213</v>
      </c>
      <c r="E3075" s="18" t="s">
        <v>56</v>
      </c>
      <c r="F3075" s="18" t="s">
        <v>672</v>
      </c>
      <c r="G3075" s="18" t="s">
        <v>674</v>
      </c>
      <c r="H3075" s="18" t="s">
        <v>715</v>
      </c>
      <c r="I3075" s="315">
        <v>8.0029514696666819</v>
      </c>
      <c r="J3075" s="315">
        <v>3.6344095619559702E-4</v>
      </c>
      <c r="K3075" s="316" t="str">
        <f t="shared" si="52"/>
        <v>Construction and Mining Equipment</v>
      </c>
      <c r="L3075" s="316" t="str">
        <f t="shared" si="53"/>
        <v>LPG</v>
      </c>
      <c r="M3075" s="194"/>
      <c r="N3075" s="317"/>
      <c r="O3075" s="317"/>
      <c r="P3075" s="317"/>
      <c r="Q3075" s="317"/>
      <c r="R3075" s="317"/>
      <c r="S3075" s="317"/>
      <c r="T3075" s="317"/>
      <c r="U3075" s="317"/>
      <c r="V3075" s="317"/>
      <c r="W3075" s="317"/>
      <c r="X3075" s="317"/>
      <c r="Y3075" s="317"/>
      <c r="Z3075" s="317"/>
    </row>
    <row r="3076" spans="1:26" x14ac:dyDescent="0.25">
      <c r="A3076" s="314"/>
      <c r="B3076" s="18">
        <v>2023</v>
      </c>
      <c r="C3076" s="18" t="s">
        <v>722</v>
      </c>
      <c r="D3076" s="18" t="s">
        <v>1229</v>
      </c>
      <c r="E3076" s="18" t="s">
        <v>713</v>
      </c>
      <c r="F3076" s="18" t="s">
        <v>714</v>
      </c>
      <c r="G3076" s="18" t="s">
        <v>678</v>
      </c>
      <c r="H3076" s="18" t="s">
        <v>1230</v>
      </c>
      <c r="I3076" s="315">
        <v>7.9860356064343678</v>
      </c>
      <c r="J3076" s="315">
        <v>6.0216691168981824E-5</v>
      </c>
      <c r="K3076" s="316" t="str">
        <f t="shared" si="52"/>
        <v>Agricultural Equipment</v>
      </c>
      <c r="L3076" s="316" t="str">
        <f t="shared" si="53"/>
        <v>Diesel</v>
      </c>
      <c r="M3076" s="194"/>
      <c r="N3076" s="317"/>
      <c r="O3076" s="317"/>
      <c r="P3076" s="317"/>
      <c r="Q3076" s="317"/>
      <c r="R3076" s="317"/>
      <c r="S3076" s="317"/>
      <c r="T3076" s="317"/>
      <c r="U3076" s="317"/>
      <c r="V3076" s="317"/>
      <c r="W3076" s="317"/>
      <c r="X3076" s="317"/>
      <c r="Y3076" s="317"/>
      <c r="Z3076" s="317"/>
    </row>
    <row r="3077" spans="1:26" x14ac:dyDescent="0.25">
      <c r="A3077" s="314"/>
      <c r="B3077" s="18">
        <v>2023</v>
      </c>
      <c r="C3077" s="18" t="s">
        <v>759</v>
      </c>
      <c r="D3077" s="18" t="s">
        <v>1394</v>
      </c>
      <c r="E3077" s="18" t="s">
        <v>703</v>
      </c>
      <c r="F3077" s="18" t="s">
        <v>805</v>
      </c>
      <c r="G3077" s="18" t="s">
        <v>681</v>
      </c>
      <c r="H3077" s="18" t="s">
        <v>1395</v>
      </c>
      <c r="I3077" s="315">
        <v>7.9588971987530366</v>
      </c>
      <c r="J3077" s="315">
        <v>1.378575171483681E-2</v>
      </c>
      <c r="K3077" s="316" t="str">
        <f t="shared" si="52"/>
        <v>Logging Equipment</v>
      </c>
      <c r="L3077" s="316" t="str">
        <f t="shared" si="53"/>
        <v>Gasoline</v>
      </c>
      <c r="M3077" s="194"/>
      <c r="N3077" s="317"/>
      <c r="O3077" s="317"/>
      <c r="P3077" s="317"/>
      <c r="Q3077" s="317"/>
      <c r="R3077" s="317"/>
      <c r="S3077" s="317"/>
      <c r="T3077" s="317"/>
      <c r="U3077" s="317"/>
      <c r="V3077" s="317"/>
      <c r="W3077" s="317"/>
      <c r="X3077" s="317"/>
      <c r="Y3077" s="317"/>
      <c r="Z3077" s="317"/>
    </row>
    <row r="3078" spans="1:26" x14ac:dyDescent="0.25">
      <c r="A3078" s="314"/>
      <c r="B3078" s="18">
        <v>2023</v>
      </c>
      <c r="C3078" s="18" t="s">
        <v>762</v>
      </c>
      <c r="D3078" s="18" t="s">
        <v>1022</v>
      </c>
      <c r="E3078" s="18" t="s">
        <v>703</v>
      </c>
      <c r="F3078" s="18" t="s">
        <v>704</v>
      </c>
      <c r="G3078" s="18" t="s">
        <v>675</v>
      </c>
      <c r="H3078" s="18" t="s">
        <v>772</v>
      </c>
      <c r="I3078" s="315">
        <v>7.951514951009317</v>
      </c>
      <c r="J3078" s="315">
        <v>5.6030602588421068E-4</v>
      </c>
      <c r="K3078" s="316" t="str">
        <f t="shared" si="52"/>
        <v>Industrial Equipment</v>
      </c>
      <c r="L3078" s="316" t="str">
        <f t="shared" si="53"/>
        <v>Gasoline</v>
      </c>
      <c r="M3078" s="194"/>
      <c r="N3078" s="317"/>
      <c r="O3078" s="317"/>
      <c r="P3078" s="317"/>
      <c r="Q3078" s="317"/>
      <c r="R3078" s="317"/>
      <c r="S3078" s="317"/>
      <c r="T3078" s="317"/>
      <c r="U3078" s="317"/>
      <c r="V3078" s="317"/>
      <c r="W3078" s="317"/>
      <c r="X3078" s="317"/>
      <c r="Y3078" s="317"/>
      <c r="Z3078" s="317"/>
    </row>
    <row r="3079" spans="1:26" x14ac:dyDescent="0.25">
      <c r="A3079" s="314"/>
      <c r="B3079" s="18">
        <v>2023</v>
      </c>
      <c r="C3079" s="18" t="s">
        <v>750</v>
      </c>
      <c r="D3079" s="18" t="s">
        <v>1214</v>
      </c>
      <c r="E3079" s="18" t="s">
        <v>713</v>
      </c>
      <c r="F3079" s="18" t="s">
        <v>714</v>
      </c>
      <c r="G3079" s="18" t="s">
        <v>674</v>
      </c>
      <c r="H3079" s="18" t="s">
        <v>999</v>
      </c>
      <c r="I3079" s="315">
        <v>7.940274245522609</v>
      </c>
      <c r="J3079" s="315">
        <v>2.3507129926769022E-4</v>
      </c>
      <c r="K3079" s="316" t="str">
        <f t="shared" si="52"/>
        <v>Construction and Mining Equipment</v>
      </c>
      <c r="L3079" s="316" t="str">
        <f t="shared" si="53"/>
        <v>Diesel</v>
      </c>
      <c r="M3079" s="194"/>
      <c r="N3079" s="317"/>
      <c r="O3079" s="317"/>
      <c r="P3079" s="317"/>
      <c r="Q3079" s="317"/>
      <c r="R3079" s="317"/>
      <c r="S3079" s="317"/>
      <c r="T3079" s="317"/>
      <c r="U3079" s="317"/>
      <c r="V3079" s="317"/>
      <c r="W3079" s="317"/>
      <c r="X3079" s="317"/>
      <c r="Y3079" s="317"/>
      <c r="Z3079" s="317"/>
    </row>
    <row r="3080" spans="1:26" x14ac:dyDescent="0.25">
      <c r="A3080" s="314"/>
      <c r="B3080" s="18">
        <v>2023</v>
      </c>
      <c r="C3080" s="18" t="s">
        <v>793</v>
      </c>
      <c r="D3080" s="18" t="s">
        <v>1158</v>
      </c>
      <c r="E3080" s="18" t="s">
        <v>703</v>
      </c>
      <c r="F3080" s="18" t="s">
        <v>704</v>
      </c>
      <c r="G3080" s="18" t="s">
        <v>674</v>
      </c>
      <c r="H3080" s="18" t="s">
        <v>715</v>
      </c>
      <c r="I3080" s="315">
        <v>7.9105927760438837</v>
      </c>
      <c r="J3080" s="315">
        <v>5.4706172100521403E-4</v>
      </c>
      <c r="K3080" s="316" t="str">
        <f t="shared" si="52"/>
        <v>Construction and Mining Equipment</v>
      </c>
      <c r="L3080" s="316" t="str">
        <f t="shared" si="53"/>
        <v>Gasoline</v>
      </c>
      <c r="M3080" s="194"/>
      <c r="N3080" s="317"/>
      <c r="O3080" s="317"/>
      <c r="P3080" s="317"/>
      <c r="Q3080" s="317"/>
      <c r="R3080" s="317"/>
      <c r="S3080" s="317"/>
      <c r="T3080" s="317"/>
      <c r="U3080" s="317"/>
      <c r="V3080" s="317"/>
      <c r="W3080" s="317"/>
      <c r="X3080" s="317"/>
      <c r="Y3080" s="317"/>
      <c r="Z3080" s="317"/>
    </row>
    <row r="3081" spans="1:26" x14ac:dyDescent="0.25">
      <c r="A3081" s="314"/>
      <c r="B3081" s="18">
        <v>2023</v>
      </c>
      <c r="C3081" s="18" t="s">
        <v>732</v>
      </c>
      <c r="D3081" s="18" t="s">
        <v>1295</v>
      </c>
      <c r="E3081" s="18" t="s">
        <v>703</v>
      </c>
      <c r="F3081" s="18" t="s">
        <v>704</v>
      </c>
      <c r="G3081" s="18" t="s">
        <v>674</v>
      </c>
      <c r="H3081" s="18" t="s">
        <v>859</v>
      </c>
      <c r="I3081" s="315">
        <v>7.9068368160291982</v>
      </c>
      <c r="J3081" s="315">
        <v>2.5602016525475466E-3</v>
      </c>
      <c r="K3081" s="316" t="str">
        <f t="shared" si="52"/>
        <v>Construction and Mining Equipment</v>
      </c>
      <c r="L3081" s="316" t="str">
        <f t="shared" si="53"/>
        <v>Gasoline</v>
      </c>
      <c r="M3081" s="194"/>
      <c r="N3081" s="317"/>
      <c r="O3081" s="317"/>
      <c r="P3081" s="317"/>
      <c r="Q3081" s="317"/>
      <c r="R3081" s="317"/>
      <c r="S3081" s="317"/>
      <c r="T3081" s="317"/>
      <c r="U3081" s="317"/>
      <c r="V3081" s="317"/>
      <c r="W3081" s="317"/>
      <c r="X3081" s="317"/>
      <c r="Y3081" s="317"/>
      <c r="Z3081" s="317"/>
    </row>
    <row r="3082" spans="1:26" x14ac:dyDescent="0.25">
      <c r="A3082" s="314"/>
      <c r="B3082" s="18">
        <v>2023</v>
      </c>
      <c r="C3082" s="18" t="s">
        <v>711</v>
      </c>
      <c r="D3082" s="18" t="s">
        <v>1416</v>
      </c>
      <c r="E3082" s="18" t="s">
        <v>56</v>
      </c>
      <c r="F3082" s="18" t="s">
        <v>672</v>
      </c>
      <c r="G3082" s="18" t="s">
        <v>674</v>
      </c>
      <c r="H3082" s="18" t="s">
        <v>861</v>
      </c>
      <c r="I3082" s="315">
        <v>7.8961129804408694</v>
      </c>
      <c r="J3082" s="315">
        <v>5.333539016659488E-3</v>
      </c>
      <c r="K3082" s="316" t="str">
        <f t="shared" si="52"/>
        <v>Construction and Mining Equipment</v>
      </c>
      <c r="L3082" s="316" t="str">
        <f t="shared" si="53"/>
        <v>LPG</v>
      </c>
      <c r="M3082" s="194"/>
      <c r="N3082" s="317"/>
      <c r="O3082" s="317"/>
      <c r="P3082" s="317"/>
      <c r="Q3082" s="317"/>
      <c r="R3082" s="317"/>
      <c r="S3082" s="317"/>
      <c r="T3082" s="317"/>
      <c r="U3082" s="317"/>
      <c r="V3082" s="317"/>
      <c r="W3082" s="317"/>
      <c r="X3082" s="317"/>
      <c r="Y3082" s="317"/>
      <c r="Z3082" s="317"/>
    </row>
    <row r="3083" spans="1:26" x14ac:dyDescent="0.25">
      <c r="A3083" s="314"/>
      <c r="B3083" s="18">
        <v>2023</v>
      </c>
      <c r="C3083" s="18" t="s">
        <v>711</v>
      </c>
      <c r="D3083" s="18" t="s">
        <v>1221</v>
      </c>
      <c r="E3083" s="18" t="s">
        <v>713</v>
      </c>
      <c r="F3083" s="18" t="s">
        <v>714</v>
      </c>
      <c r="G3083" s="18" t="s">
        <v>678</v>
      </c>
      <c r="H3083" s="18" t="s">
        <v>1222</v>
      </c>
      <c r="I3083" s="315">
        <v>7.8828743984078322</v>
      </c>
      <c r="J3083" s="315">
        <v>5.251581266635494E-5</v>
      </c>
      <c r="K3083" s="316" t="str">
        <f t="shared" si="52"/>
        <v>Agricultural Equipment</v>
      </c>
      <c r="L3083" s="316" t="str">
        <f t="shared" si="53"/>
        <v>Diesel</v>
      </c>
      <c r="M3083" s="194"/>
      <c r="N3083" s="317"/>
      <c r="O3083" s="317"/>
      <c r="P3083" s="317"/>
      <c r="Q3083" s="317"/>
      <c r="R3083" s="317"/>
      <c r="S3083" s="317"/>
      <c r="T3083" s="317"/>
      <c r="U3083" s="317"/>
      <c r="V3083" s="317"/>
      <c r="W3083" s="317"/>
      <c r="X3083" s="317"/>
      <c r="Y3083" s="317"/>
      <c r="Z3083" s="317"/>
    </row>
    <row r="3084" spans="1:26" x14ac:dyDescent="0.25">
      <c r="A3084" s="314"/>
      <c r="B3084" s="18">
        <v>2023</v>
      </c>
      <c r="C3084" s="18" t="s">
        <v>760</v>
      </c>
      <c r="D3084" s="18" t="s">
        <v>1338</v>
      </c>
      <c r="E3084" s="18" t="s">
        <v>703</v>
      </c>
      <c r="F3084" s="18" t="s">
        <v>805</v>
      </c>
      <c r="G3084" s="18" t="s">
        <v>673</v>
      </c>
      <c r="H3084" s="18" t="s">
        <v>987</v>
      </c>
      <c r="I3084" s="315">
        <v>7.8752341506111847</v>
      </c>
      <c r="J3084" s="315">
        <v>1.4380728223874302E-2</v>
      </c>
      <c r="K3084" s="316" t="str">
        <f t="shared" si="52"/>
        <v>Lawn and Garden Equipment</v>
      </c>
      <c r="L3084" s="316" t="str">
        <f t="shared" si="53"/>
        <v>Gasoline</v>
      </c>
      <c r="M3084" s="194"/>
      <c r="N3084" s="317"/>
      <c r="O3084" s="317"/>
      <c r="P3084" s="317"/>
      <c r="Q3084" s="317"/>
      <c r="R3084" s="317"/>
      <c r="S3084" s="317"/>
      <c r="T3084" s="317"/>
      <c r="U3084" s="317"/>
      <c r="V3084" s="317"/>
      <c r="W3084" s="317"/>
      <c r="X3084" s="317"/>
      <c r="Y3084" s="317"/>
      <c r="Z3084" s="317"/>
    </row>
    <row r="3085" spans="1:26" x14ac:dyDescent="0.25">
      <c r="A3085" s="314"/>
      <c r="B3085" s="18">
        <v>2023</v>
      </c>
      <c r="C3085" s="18" t="s">
        <v>701</v>
      </c>
      <c r="D3085" s="18" t="s">
        <v>1588</v>
      </c>
      <c r="E3085" s="18" t="s">
        <v>56</v>
      </c>
      <c r="F3085" s="18" t="s">
        <v>1575</v>
      </c>
      <c r="G3085" s="18" t="s">
        <v>675</v>
      </c>
      <c r="H3085" s="18" t="s">
        <v>1589</v>
      </c>
      <c r="I3085" s="315">
        <v>7.8560885777555338</v>
      </c>
      <c r="J3085" s="315">
        <v>3.3061277784813901E-2</v>
      </c>
      <c r="K3085" s="316" t="str">
        <f t="shared" si="52"/>
        <v>Industrial Equipment</v>
      </c>
      <c r="L3085" s="316" t="str">
        <f t="shared" si="53"/>
        <v>CNG</v>
      </c>
      <c r="M3085" s="194"/>
      <c r="N3085" s="317"/>
      <c r="O3085" s="317"/>
      <c r="P3085" s="317"/>
      <c r="Q3085" s="317"/>
      <c r="R3085" s="317"/>
      <c r="S3085" s="317"/>
      <c r="T3085" s="317"/>
      <c r="U3085" s="317"/>
      <c r="V3085" s="317"/>
      <c r="W3085" s="317"/>
      <c r="X3085" s="317"/>
      <c r="Y3085" s="317"/>
      <c r="Z3085" s="317"/>
    </row>
    <row r="3086" spans="1:26" x14ac:dyDescent="0.25">
      <c r="A3086" s="314"/>
      <c r="B3086" s="18">
        <v>2023</v>
      </c>
      <c r="C3086" s="18" t="s">
        <v>727</v>
      </c>
      <c r="D3086" s="18" t="s">
        <v>1218</v>
      </c>
      <c r="E3086" s="18" t="s">
        <v>703</v>
      </c>
      <c r="F3086" s="18" t="s">
        <v>704</v>
      </c>
      <c r="G3086" s="18" t="s">
        <v>673</v>
      </c>
      <c r="H3086" s="18" t="s">
        <v>996</v>
      </c>
      <c r="I3086" s="315">
        <v>7.8406400300125725</v>
      </c>
      <c r="J3086" s="315">
        <v>5.4455185732425974E-3</v>
      </c>
      <c r="K3086" s="316" t="str">
        <f t="shared" si="52"/>
        <v>Lawn and Garden Equipment</v>
      </c>
      <c r="L3086" s="316" t="str">
        <f t="shared" si="53"/>
        <v>Gasoline</v>
      </c>
      <c r="M3086" s="194"/>
      <c r="N3086" s="317"/>
      <c r="O3086" s="317"/>
      <c r="P3086" s="317"/>
      <c r="Q3086" s="317"/>
      <c r="R3086" s="317"/>
      <c r="S3086" s="317"/>
      <c r="T3086" s="317"/>
      <c r="U3086" s="317"/>
      <c r="V3086" s="317"/>
      <c r="W3086" s="317"/>
      <c r="X3086" s="317"/>
      <c r="Y3086" s="317"/>
      <c r="Z3086" s="317"/>
    </row>
    <row r="3087" spans="1:26" x14ac:dyDescent="0.25">
      <c r="A3087" s="314"/>
      <c r="B3087" s="18">
        <v>2023</v>
      </c>
      <c r="C3087" s="18" t="s">
        <v>781</v>
      </c>
      <c r="D3087" s="18" t="s">
        <v>1011</v>
      </c>
      <c r="E3087" s="18" t="s">
        <v>56</v>
      </c>
      <c r="F3087" s="18" t="s">
        <v>672</v>
      </c>
      <c r="G3087" s="18" t="s">
        <v>677</v>
      </c>
      <c r="H3087" s="18" t="s">
        <v>836</v>
      </c>
      <c r="I3087" s="315">
        <v>7.8139970873139095</v>
      </c>
      <c r="J3087" s="315">
        <v>4.1513676309641676E-4</v>
      </c>
      <c r="K3087" s="316" t="str">
        <f t="shared" si="52"/>
        <v>Commercial Equipment</v>
      </c>
      <c r="L3087" s="316" t="str">
        <f t="shared" si="53"/>
        <v>LPG</v>
      </c>
      <c r="M3087" s="194"/>
      <c r="N3087" s="317"/>
      <c r="O3087" s="317"/>
      <c r="P3087" s="317"/>
      <c r="Q3087" s="317"/>
      <c r="R3087" s="317"/>
      <c r="S3087" s="317"/>
      <c r="T3087" s="317"/>
      <c r="U3087" s="317"/>
      <c r="V3087" s="317"/>
      <c r="W3087" s="317"/>
      <c r="X3087" s="317"/>
      <c r="Y3087" s="317"/>
      <c r="Z3087" s="317"/>
    </row>
    <row r="3088" spans="1:26" x14ac:dyDescent="0.25">
      <c r="A3088" s="314"/>
      <c r="B3088" s="18">
        <v>2023</v>
      </c>
      <c r="C3088" s="18" t="s">
        <v>762</v>
      </c>
      <c r="D3088" s="18" t="s">
        <v>1017</v>
      </c>
      <c r="E3088" s="18" t="s">
        <v>703</v>
      </c>
      <c r="F3088" s="18" t="s">
        <v>704</v>
      </c>
      <c r="G3088" s="18" t="s">
        <v>673</v>
      </c>
      <c r="H3088" s="18" t="s">
        <v>806</v>
      </c>
      <c r="I3088" s="315">
        <v>7.7774560077476611</v>
      </c>
      <c r="J3088" s="315">
        <v>5.4793765118425729E-3</v>
      </c>
      <c r="K3088" s="316" t="str">
        <f t="shared" si="52"/>
        <v>Lawn and Garden Equipment</v>
      </c>
      <c r="L3088" s="316" t="str">
        <f t="shared" si="53"/>
        <v>Gasoline</v>
      </c>
      <c r="M3088" s="194"/>
      <c r="N3088" s="317"/>
      <c r="O3088" s="317"/>
      <c r="P3088" s="317"/>
      <c r="Q3088" s="317"/>
      <c r="R3088" s="317"/>
      <c r="S3088" s="317"/>
      <c r="T3088" s="317"/>
      <c r="U3088" s="317"/>
      <c r="V3088" s="317"/>
      <c r="W3088" s="317"/>
      <c r="X3088" s="317"/>
      <c r="Y3088" s="317"/>
      <c r="Z3088" s="317"/>
    </row>
    <row r="3089" spans="1:26" x14ac:dyDescent="0.25">
      <c r="A3089" s="314"/>
      <c r="B3089" s="18">
        <v>2023</v>
      </c>
      <c r="C3089" s="18" t="s">
        <v>793</v>
      </c>
      <c r="D3089" s="18" t="s">
        <v>1030</v>
      </c>
      <c r="E3089" s="18" t="s">
        <v>703</v>
      </c>
      <c r="F3089" s="18" t="s">
        <v>704</v>
      </c>
      <c r="G3089" s="18" t="s">
        <v>677</v>
      </c>
      <c r="H3089" s="18" t="s">
        <v>1031</v>
      </c>
      <c r="I3089" s="315">
        <v>7.7646811604939758</v>
      </c>
      <c r="J3089" s="315">
        <v>5.3816883566593574E-3</v>
      </c>
      <c r="K3089" s="316" t="str">
        <f t="shared" si="52"/>
        <v>Commercial Equipment</v>
      </c>
      <c r="L3089" s="316" t="str">
        <f t="shared" si="53"/>
        <v>Gasoline</v>
      </c>
      <c r="M3089" s="194"/>
      <c r="N3089" s="317"/>
      <c r="O3089" s="317"/>
      <c r="P3089" s="317"/>
      <c r="Q3089" s="317"/>
      <c r="R3089" s="317"/>
      <c r="S3089" s="317"/>
      <c r="T3089" s="317"/>
      <c r="U3089" s="317"/>
      <c r="V3089" s="317"/>
      <c r="W3089" s="317"/>
      <c r="X3089" s="317"/>
      <c r="Y3089" s="317"/>
      <c r="Z3089" s="317"/>
    </row>
    <row r="3090" spans="1:26" x14ac:dyDescent="0.25">
      <c r="A3090" s="314"/>
      <c r="B3090" s="18">
        <v>2023</v>
      </c>
      <c r="C3090" s="18" t="s">
        <v>810</v>
      </c>
      <c r="D3090" s="18" t="s">
        <v>1022</v>
      </c>
      <c r="E3090" s="18" t="s">
        <v>703</v>
      </c>
      <c r="F3090" s="18" t="s">
        <v>704</v>
      </c>
      <c r="G3090" s="18" t="s">
        <v>675</v>
      </c>
      <c r="H3090" s="18" t="s">
        <v>772</v>
      </c>
      <c r="I3090" s="315">
        <v>7.7449340477979698</v>
      </c>
      <c r="J3090" s="315">
        <v>5.5363075414930133E-4</v>
      </c>
      <c r="K3090" s="316" t="str">
        <f t="shared" si="52"/>
        <v>Industrial Equipment</v>
      </c>
      <c r="L3090" s="316" t="str">
        <f t="shared" si="53"/>
        <v>Gasoline</v>
      </c>
      <c r="M3090" s="194"/>
      <c r="N3090" s="317"/>
      <c r="O3090" s="317"/>
      <c r="P3090" s="317"/>
      <c r="Q3090" s="317"/>
      <c r="R3090" s="317"/>
      <c r="S3090" s="317"/>
      <c r="T3090" s="317"/>
      <c r="U3090" s="317"/>
      <c r="V3090" s="317"/>
      <c r="W3090" s="317"/>
      <c r="X3090" s="317"/>
      <c r="Y3090" s="317"/>
      <c r="Z3090" s="317"/>
    </row>
    <row r="3091" spans="1:26" x14ac:dyDescent="0.25">
      <c r="A3091" s="314"/>
      <c r="B3091" s="18">
        <v>2023</v>
      </c>
      <c r="C3091" s="18" t="s">
        <v>759</v>
      </c>
      <c r="D3091" s="18" t="s">
        <v>970</v>
      </c>
      <c r="E3091" s="18" t="s">
        <v>713</v>
      </c>
      <c r="F3091" s="18" t="s">
        <v>714</v>
      </c>
      <c r="G3091" s="18" t="s">
        <v>675</v>
      </c>
      <c r="H3091" s="18" t="s">
        <v>969</v>
      </c>
      <c r="I3091" s="315">
        <v>7.74210182143241</v>
      </c>
      <c r="J3091" s="315">
        <v>2.5154811751804243E-4</v>
      </c>
      <c r="K3091" s="316" t="str">
        <f t="shared" si="52"/>
        <v>Industrial Equipment</v>
      </c>
      <c r="L3091" s="316" t="str">
        <f t="shared" si="53"/>
        <v>Diesel</v>
      </c>
      <c r="M3091" s="194"/>
      <c r="N3091" s="317"/>
      <c r="O3091" s="317"/>
      <c r="P3091" s="317"/>
      <c r="Q3091" s="317"/>
      <c r="R3091" s="317"/>
      <c r="S3091" s="317"/>
      <c r="T3091" s="317"/>
      <c r="U3091" s="317"/>
      <c r="V3091" s="317"/>
      <c r="W3091" s="317"/>
      <c r="X3091" s="317"/>
      <c r="Y3091" s="317"/>
      <c r="Z3091" s="317"/>
    </row>
    <row r="3092" spans="1:26" x14ac:dyDescent="0.25">
      <c r="A3092" s="314"/>
      <c r="B3092" s="18">
        <v>2023</v>
      </c>
      <c r="C3092" s="18" t="s">
        <v>731</v>
      </c>
      <c r="D3092" s="18" t="s">
        <v>1006</v>
      </c>
      <c r="E3092" s="18" t="s">
        <v>703</v>
      </c>
      <c r="F3092" s="18" t="s">
        <v>805</v>
      </c>
      <c r="G3092" s="18" t="s">
        <v>674</v>
      </c>
      <c r="H3092" s="18" t="s">
        <v>967</v>
      </c>
      <c r="I3092" s="315">
        <v>7.7113856228755857</v>
      </c>
      <c r="J3092" s="315">
        <v>1.3810170821904668E-2</v>
      </c>
      <c r="K3092" s="316" t="str">
        <f t="shared" si="52"/>
        <v>Construction and Mining Equipment</v>
      </c>
      <c r="L3092" s="316" t="str">
        <f t="shared" si="53"/>
        <v>Gasoline</v>
      </c>
      <c r="M3092" s="194"/>
      <c r="N3092" s="317"/>
      <c r="O3092" s="317"/>
      <c r="P3092" s="317"/>
      <c r="Q3092" s="317"/>
      <c r="R3092" s="317"/>
      <c r="S3092" s="317"/>
      <c r="T3092" s="317"/>
      <c r="U3092" s="317"/>
      <c r="V3092" s="317"/>
      <c r="W3092" s="317"/>
      <c r="X3092" s="317"/>
      <c r="Y3092" s="317"/>
      <c r="Z3092" s="317"/>
    </row>
    <row r="3093" spans="1:26" x14ac:dyDescent="0.25">
      <c r="A3093" s="314"/>
      <c r="B3093" s="18">
        <v>2023</v>
      </c>
      <c r="C3093" s="18" t="s">
        <v>701</v>
      </c>
      <c r="D3093" s="18" t="s">
        <v>737</v>
      </c>
      <c r="E3093" s="18" t="s">
        <v>713</v>
      </c>
      <c r="F3093" s="18" t="s">
        <v>714</v>
      </c>
      <c r="G3093" s="18" t="s">
        <v>680</v>
      </c>
      <c r="H3093" s="18" t="s">
        <v>680</v>
      </c>
      <c r="I3093" s="315">
        <v>7.7110892669102329</v>
      </c>
      <c r="J3093" s="315">
        <v>6.2262245826742583E-5</v>
      </c>
      <c r="K3093" s="316" t="str">
        <f t="shared" si="52"/>
        <v>Airport Ground Support Equipment</v>
      </c>
      <c r="L3093" s="316" t="str">
        <f t="shared" si="53"/>
        <v>Diesel</v>
      </c>
      <c r="M3093" s="194"/>
      <c r="N3093" s="317"/>
      <c r="O3093" s="317"/>
      <c r="P3093" s="317"/>
      <c r="Q3093" s="317"/>
      <c r="R3093" s="317"/>
      <c r="S3093" s="317"/>
      <c r="T3093" s="317"/>
      <c r="U3093" s="317"/>
      <c r="V3093" s="317"/>
      <c r="W3093" s="317"/>
      <c r="X3093" s="317"/>
      <c r="Y3093" s="317"/>
      <c r="Z3093" s="317"/>
    </row>
    <row r="3094" spans="1:26" x14ac:dyDescent="0.25">
      <c r="A3094" s="314"/>
      <c r="B3094" s="18">
        <v>2023</v>
      </c>
      <c r="C3094" s="18" t="s">
        <v>722</v>
      </c>
      <c r="D3094" s="18" t="s">
        <v>1281</v>
      </c>
      <c r="E3094" s="18" t="s">
        <v>703</v>
      </c>
      <c r="F3094" s="18" t="s">
        <v>704</v>
      </c>
      <c r="G3094" s="18" t="s">
        <v>674</v>
      </c>
      <c r="H3094" s="18" t="s">
        <v>770</v>
      </c>
      <c r="I3094" s="315">
        <v>7.6879329303130017</v>
      </c>
      <c r="J3094" s="315">
        <v>8.4885859057417189E-4</v>
      </c>
      <c r="K3094" s="316" t="str">
        <f t="shared" si="52"/>
        <v>Construction and Mining Equipment</v>
      </c>
      <c r="L3094" s="316" t="str">
        <f t="shared" si="53"/>
        <v>Gasoline</v>
      </c>
      <c r="M3094" s="194"/>
      <c r="N3094" s="317"/>
      <c r="O3094" s="317"/>
      <c r="P3094" s="317"/>
      <c r="Q3094" s="317"/>
      <c r="R3094" s="317"/>
      <c r="S3094" s="317"/>
      <c r="T3094" s="317"/>
      <c r="U3094" s="317"/>
      <c r="V3094" s="317"/>
      <c r="W3094" s="317"/>
      <c r="X3094" s="317"/>
      <c r="Y3094" s="317"/>
      <c r="Z3094" s="317"/>
    </row>
    <row r="3095" spans="1:26" x14ac:dyDescent="0.25">
      <c r="A3095" s="314"/>
      <c r="B3095" s="18">
        <v>2023</v>
      </c>
      <c r="C3095" s="18" t="s">
        <v>773</v>
      </c>
      <c r="D3095" s="18" t="s">
        <v>1228</v>
      </c>
      <c r="E3095" s="18" t="s">
        <v>703</v>
      </c>
      <c r="F3095" s="18" t="s">
        <v>704</v>
      </c>
      <c r="G3095" s="18" t="s">
        <v>675</v>
      </c>
      <c r="H3095" s="18" t="s">
        <v>1078</v>
      </c>
      <c r="I3095" s="315">
        <v>7.6765481288401904</v>
      </c>
      <c r="J3095" s="315">
        <v>2.5765555662459875E-3</v>
      </c>
      <c r="K3095" s="316" t="str">
        <f t="shared" si="52"/>
        <v>Industrial Equipment</v>
      </c>
      <c r="L3095" s="316" t="str">
        <f t="shared" si="53"/>
        <v>Gasoline</v>
      </c>
      <c r="M3095" s="194"/>
      <c r="N3095" s="317"/>
      <c r="O3095" s="317"/>
      <c r="P3095" s="317"/>
      <c r="Q3095" s="317"/>
      <c r="R3095" s="317"/>
      <c r="S3095" s="317"/>
      <c r="T3095" s="317"/>
      <c r="U3095" s="317"/>
      <c r="V3095" s="317"/>
      <c r="W3095" s="317"/>
      <c r="X3095" s="317"/>
      <c r="Y3095" s="317"/>
      <c r="Z3095" s="317"/>
    </row>
    <row r="3096" spans="1:26" x14ac:dyDescent="0.25">
      <c r="A3096" s="314"/>
      <c r="B3096" s="18">
        <v>2023</v>
      </c>
      <c r="C3096" s="18" t="s">
        <v>786</v>
      </c>
      <c r="D3096" s="18" t="s">
        <v>1006</v>
      </c>
      <c r="E3096" s="18" t="s">
        <v>703</v>
      </c>
      <c r="F3096" s="18" t="s">
        <v>805</v>
      </c>
      <c r="G3096" s="18" t="s">
        <v>674</v>
      </c>
      <c r="H3096" s="18" t="s">
        <v>967</v>
      </c>
      <c r="I3096" s="315">
        <v>7.6588633071239158</v>
      </c>
      <c r="J3096" s="315">
        <v>1.3716126818553149E-2</v>
      </c>
      <c r="K3096" s="316" t="str">
        <f t="shared" si="52"/>
        <v>Construction and Mining Equipment</v>
      </c>
      <c r="L3096" s="316" t="str">
        <f t="shared" si="53"/>
        <v>Gasoline</v>
      </c>
      <c r="M3096" s="194"/>
      <c r="N3096" s="317"/>
      <c r="O3096" s="317"/>
      <c r="P3096" s="317"/>
      <c r="Q3096" s="317"/>
      <c r="R3096" s="317"/>
      <c r="S3096" s="317"/>
      <c r="T3096" s="317"/>
      <c r="U3096" s="317"/>
      <c r="V3096" s="317"/>
      <c r="W3096" s="317"/>
      <c r="X3096" s="317"/>
      <c r="Y3096" s="317"/>
      <c r="Z3096" s="317"/>
    </row>
    <row r="3097" spans="1:26" x14ac:dyDescent="0.25">
      <c r="A3097" s="314"/>
      <c r="B3097" s="18">
        <v>2023</v>
      </c>
      <c r="C3097" s="18" t="s">
        <v>793</v>
      </c>
      <c r="D3097" s="18" t="s">
        <v>1034</v>
      </c>
      <c r="E3097" s="18" t="s">
        <v>713</v>
      </c>
      <c r="F3097" s="18" t="s">
        <v>714</v>
      </c>
      <c r="G3097" s="18" t="s">
        <v>677</v>
      </c>
      <c r="H3097" s="18" t="s">
        <v>1031</v>
      </c>
      <c r="I3097" s="315">
        <v>7.6195121367658256</v>
      </c>
      <c r="J3097" s="315">
        <v>1.3241087269632505E-4</v>
      </c>
      <c r="K3097" s="316" t="str">
        <f t="shared" si="52"/>
        <v>Commercial Equipment</v>
      </c>
      <c r="L3097" s="316" t="str">
        <f t="shared" si="53"/>
        <v>Diesel</v>
      </c>
      <c r="M3097" s="194"/>
      <c r="N3097" s="317"/>
      <c r="O3097" s="317"/>
      <c r="P3097" s="317"/>
      <c r="Q3097" s="317"/>
      <c r="R3097" s="317"/>
      <c r="S3097" s="317"/>
      <c r="T3097" s="317"/>
      <c r="U3097" s="317"/>
      <c r="V3097" s="317"/>
      <c r="W3097" s="317"/>
      <c r="X3097" s="317"/>
      <c r="Y3097" s="317"/>
      <c r="Z3097" s="317"/>
    </row>
    <row r="3098" spans="1:26" x14ac:dyDescent="0.25">
      <c r="A3098" s="314"/>
      <c r="B3098" s="18">
        <v>2023</v>
      </c>
      <c r="C3098" s="18" t="s">
        <v>778</v>
      </c>
      <c r="D3098" s="18" t="s">
        <v>1218</v>
      </c>
      <c r="E3098" s="18" t="s">
        <v>703</v>
      </c>
      <c r="F3098" s="18" t="s">
        <v>704</v>
      </c>
      <c r="G3098" s="18" t="s">
        <v>673</v>
      </c>
      <c r="H3098" s="18" t="s">
        <v>996</v>
      </c>
      <c r="I3098" s="315">
        <v>7.5906729434674265</v>
      </c>
      <c r="J3098" s="315">
        <v>5.2797086408552631E-3</v>
      </c>
      <c r="K3098" s="316" t="str">
        <f t="shared" si="52"/>
        <v>Lawn and Garden Equipment</v>
      </c>
      <c r="L3098" s="316" t="str">
        <f t="shared" si="53"/>
        <v>Gasoline</v>
      </c>
      <c r="M3098" s="194"/>
      <c r="N3098" s="317"/>
      <c r="O3098" s="317"/>
      <c r="P3098" s="317"/>
      <c r="Q3098" s="317"/>
      <c r="R3098" s="317"/>
      <c r="S3098" s="317"/>
      <c r="T3098" s="317"/>
      <c r="U3098" s="317"/>
      <c r="V3098" s="317"/>
      <c r="W3098" s="317"/>
      <c r="X3098" s="317"/>
      <c r="Y3098" s="317"/>
      <c r="Z3098" s="317"/>
    </row>
    <row r="3099" spans="1:26" x14ac:dyDescent="0.25">
      <c r="A3099" s="314"/>
      <c r="B3099" s="18">
        <v>2023</v>
      </c>
      <c r="C3099" s="18" t="s">
        <v>773</v>
      </c>
      <c r="D3099" s="18" t="s">
        <v>1428</v>
      </c>
      <c r="E3099" s="18" t="s">
        <v>56</v>
      </c>
      <c r="F3099" s="18" t="s">
        <v>601</v>
      </c>
      <c r="G3099" s="18" t="s">
        <v>678</v>
      </c>
      <c r="H3099" s="18" t="s">
        <v>1154</v>
      </c>
      <c r="I3099" s="315">
        <v>7.5796823913317697</v>
      </c>
      <c r="J3099" s="315">
        <v>3.0825336134537744E-2</v>
      </c>
      <c r="K3099" s="316" t="str">
        <f t="shared" si="52"/>
        <v>Agricultural Equipment</v>
      </c>
      <c r="L3099" s="316" t="str">
        <f t="shared" si="53"/>
        <v>CNG</v>
      </c>
      <c r="M3099" s="194"/>
      <c r="N3099" s="317"/>
      <c r="O3099" s="317"/>
      <c r="P3099" s="317"/>
      <c r="Q3099" s="317"/>
      <c r="R3099" s="317"/>
      <c r="S3099" s="317"/>
      <c r="T3099" s="317"/>
      <c r="U3099" s="317"/>
      <c r="V3099" s="317"/>
      <c r="W3099" s="317"/>
      <c r="X3099" s="317"/>
      <c r="Y3099" s="317"/>
      <c r="Z3099" s="317"/>
    </row>
    <row r="3100" spans="1:26" ht="12.75" x14ac:dyDescent="0.2">
      <c r="A3100" s="230"/>
      <c r="B3100" s="18">
        <v>2023</v>
      </c>
      <c r="C3100" s="18" t="s">
        <v>760</v>
      </c>
      <c r="D3100" s="18" t="s">
        <v>1320</v>
      </c>
      <c r="E3100" s="18" t="s">
        <v>713</v>
      </c>
      <c r="F3100" s="18" t="s">
        <v>676</v>
      </c>
      <c r="G3100" s="18" t="s">
        <v>79</v>
      </c>
      <c r="H3100" s="18" t="s">
        <v>730</v>
      </c>
      <c r="I3100" s="315">
        <v>7.5754041665925032</v>
      </c>
      <c r="J3100" s="315">
        <v>4.953316970700537E-4</v>
      </c>
      <c r="K3100" s="316" t="str">
        <f t="shared" si="52"/>
        <v>Pleasure Craft</v>
      </c>
      <c r="L3100" s="316" t="str">
        <f t="shared" si="53"/>
        <v>Diesel</v>
      </c>
      <c r="M3100" s="8"/>
      <c r="N3100" s="2"/>
      <c r="O3100" s="2"/>
      <c r="P3100" s="2"/>
      <c r="Q3100" s="2"/>
      <c r="R3100" s="2"/>
      <c r="S3100" s="2"/>
      <c r="T3100" s="2"/>
      <c r="U3100" s="2"/>
      <c r="V3100" s="2"/>
      <c r="W3100" s="2"/>
      <c r="X3100" s="2"/>
      <c r="Y3100" s="2"/>
      <c r="Z3100" s="2"/>
    </row>
    <row r="3101" spans="1:26" ht="12.75" x14ac:dyDescent="0.2">
      <c r="A3101" s="230"/>
      <c r="B3101" s="18">
        <v>2023</v>
      </c>
      <c r="C3101" s="18" t="s">
        <v>711</v>
      </c>
      <c r="D3101" s="18" t="s">
        <v>1425</v>
      </c>
      <c r="E3101" s="18" t="s">
        <v>56</v>
      </c>
      <c r="F3101" s="18" t="s">
        <v>672</v>
      </c>
      <c r="G3101" s="18" t="s">
        <v>674</v>
      </c>
      <c r="H3101" s="18" t="s">
        <v>791</v>
      </c>
      <c r="I3101" s="315">
        <v>7.5654820410652377</v>
      </c>
      <c r="J3101" s="315">
        <v>1.4543286641126318E-3</v>
      </c>
      <c r="K3101" s="316" t="str">
        <f t="shared" si="52"/>
        <v>Construction and Mining Equipment</v>
      </c>
      <c r="L3101" s="316" t="str">
        <f t="shared" si="53"/>
        <v>LPG</v>
      </c>
      <c r="M3101" s="8"/>
      <c r="N3101" s="2"/>
      <c r="O3101" s="2"/>
      <c r="P3101" s="2"/>
      <c r="Q3101" s="2"/>
      <c r="R3101" s="2"/>
      <c r="S3101" s="2"/>
      <c r="T3101" s="2"/>
      <c r="U3101" s="2"/>
      <c r="V3101" s="2"/>
      <c r="W3101" s="2"/>
      <c r="X3101" s="2"/>
      <c r="Y3101" s="2"/>
      <c r="Z3101" s="2"/>
    </row>
    <row r="3102" spans="1:26" ht="12.75" x14ac:dyDescent="0.2">
      <c r="A3102" s="230"/>
      <c r="B3102" s="18">
        <v>2023</v>
      </c>
      <c r="C3102" s="18" t="s">
        <v>750</v>
      </c>
      <c r="D3102" s="18" t="s">
        <v>1030</v>
      </c>
      <c r="E3102" s="18" t="s">
        <v>703</v>
      </c>
      <c r="F3102" s="18" t="s">
        <v>704</v>
      </c>
      <c r="G3102" s="18" t="s">
        <v>677</v>
      </c>
      <c r="H3102" s="18" t="s">
        <v>1031</v>
      </c>
      <c r="I3102" s="315">
        <v>7.5548360540602921</v>
      </c>
      <c r="J3102" s="315">
        <v>5.2334556597836953E-3</v>
      </c>
      <c r="K3102" s="316" t="str">
        <f t="shared" si="52"/>
        <v>Commercial Equipment</v>
      </c>
      <c r="L3102" s="316" t="str">
        <f t="shared" si="53"/>
        <v>Gasoline</v>
      </c>
      <c r="M3102" s="8"/>
      <c r="N3102" s="2"/>
      <c r="O3102" s="2"/>
      <c r="P3102" s="2"/>
      <c r="Q3102" s="2"/>
      <c r="R3102" s="2"/>
      <c r="S3102" s="2"/>
      <c r="T3102" s="2"/>
      <c r="U3102" s="2"/>
      <c r="V3102" s="2"/>
      <c r="W3102" s="2"/>
      <c r="X3102" s="2"/>
      <c r="Y3102" s="2"/>
      <c r="Z3102" s="2"/>
    </row>
    <row r="3103" spans="1:26" ht="12.75" x14ac:dyDescent="0.2">
      <c r="A3103" s="230"/>
      <c r="B3103" s="18">
        <v>2023</v>
      </c>
      <c r="C3103" s="18" t="s">
        <v>792</v>
      </c>
      <c r="D3103" s="18" t="s">
        <v>1014</v>
      </c>
      <c r="E3103" s="18" t="s">
        <v>713</v>
      </c>
      <c r="F3103" s="18" t="s">
        <v>714</v>
      </c>
      <c r="G3103" s="18" t="s">
        <v>674</v>
      </c>
      <c r="H3103" s="18" t="s">
        <v>994</v>
      </c>
      <c r="I3103" s="315">
        <v>7.5255021775698347</v>
      </c>
      <c r="J3103" s="315">
        <v>9.8027951000111019E-5</v>
      </c>
      <c r="K3103" s="316" t="str">
        <f t="shared" si="52"/>
        <v>Construction and Mining Equipment</v>
      </c>
      <c r="L3103" s="316" t="str">
        <f t="shared" si="53"/>
        <v>Diesel</v>
      </c>
      <c r="M3103" s="8"/>
      <c r="N3103" s="2"/>
      <c r="O3103" s="2"/>
      <c r="P3103" s="2"/>
      <c r="Q3103" s="2"/>
      <c r="R3103" s="2"/>
      <c r="S3103" s="2"/>
      <c r="T3103" s="2"/>
      <c r="U3103" s="2"/>
      <c r="V3103" s="2"/>
      <c r="W3103" s="2"/>
      <c r="X3103" s="2"/>
      <c r="Y3103" s="2"/>
      <c r="Z3103" s="2"/>
    </row>
    <row r="3104" spans="1:26" ht="12.75" x14ac:dyDescent="0.2">
      <c r="A3104" s="230"/>
      <c r="B3104" s="18">
        <v>2023</v>
      </c>
      <c r="C3104" s="18" t="s">
        <v>750</v>
      </c>
      <c r="D3104" s="18" t="s">
        <v>1009</v>
      </c>
      <c r="E3104" s="18" t="s">
        <v>713</v>
      </c>
      <c r="F3104" s="18" t="s">
        <v>714</v>
      </c>
      <c r="G3104" s="18" t="s">
        <v>673</v>
      </c>
      <c r="H3104" s="18" t="s">
        <v>1010</v>
      </c>
      <c r="I3104" s="315">
        <v>7.5201235636346242</v>
      </c>
      <c r="J3104" s="315">
        <v>1.0974468100716988E-4</v>
      </c>
      <c r="K3104" s="316" t="str">
        <f t="shared" si="52"/>
        <v>Lawn and Garden Equipment</v>
      </c>
      <c r="L3104" s="316" t="str">
        <f t="shared" si="53"/>
        <v>Diesel</v>
      </c>
      <c r="M3104" s="8"/>
      <c r="N3104" s="2"/>
      <c r="O3104" s="2"/>
      <c r="P3104" s="2"/>
      <c r="Q3104" s="2"/>
      <c r="R3104" s="2"/>
      <c r="S3104" s="2"/>
      <c r="T3104" s="2"/>
      <c r="U3104" s="2"/>
      <c r="V3104" s="2"/>
      <c r="W3104" s="2"/>
      <c r="X3104" s="2"/>
      <c r="Y3104" s="2"/>
      <c r="Z3104" s="2"/>
    </row>
    <row r="3105" spans="1:26" ht="12.75" x14ac:dyDescent="0.2">
      <c r="A3105" s="230"/>
      <c r="B3105" s="18">
        <v>2023</v>
      </c>
      <c r="C3105" s="18" t="s">
        <v>793</v>
      </c>
      <c r="D3105" s="18" t="s">
        <v>1037</v>
      </c>
      <c r="E3105" s="18" t="s">
        <v>56</v>
      </c>
      <c r="F3105" s="18" t="s">
        <v>672</v>
      </c>
      <c r="G3105" s="18" t="s">
        <v>677</v>
      </c>
      <c r="H3105" s="18" t="s">
        <v>841</v>
      </c>
      <c r="I3105" s="315">
        <v>7.4948765009470417</v>
      </c>
      <c r="J3105" s="315">
        <v>7.5868655811991829E-4</v>
      </c>
      <c r="K3105" s="316" t="str">
        <f t="shared" si="52"/>
        <v>Commercial Equipment</v>
      </c>
      <c r="L3105" s="316" t="str">
        <f t="shared" si="53"/>
        <v>LPG</v>
      </c>
      <c r="M3105" s="8"/>
      <c r="N3105" s="2"/>
      <c r="O3105" s="2"/>
      <c r="P3105" s="2"/>
      <c r="Q3105" s="2"/>
      <c r="R3105" s="2"/>
      <c r="S3105" s="2"/>
      <c r="T3105" s="2"/>
      <c r="U3105" s="2"/>
      <c r="V3105" s="2"/>
      <c r="W3105" s="2"/>
      <c r="X3105" s="2"/>
      <c r="Y3105" s="2"/>
      <c r="Z3105" s="2"/>
    </row>
    <row r="3106" spans="1:26" ht="12.75" x14ac:dyDescent="0.2">
      <c r="A3106" s="230"/>
      <c r="B3106" s="18">
        <v>2023</v>
      </c>
      <c r="C3106" s="18" t="s">
        <v>786</v>
      </c>
      <c r="D3106" s="18" t="s">
        <v>1018</v>
      </c>
      <c r="E3106" s="18" t="s">
        <v>56</v>
      </c>
      <c r="F3106" s="18" t="s">
        <v>672</v>
      </c>
      <c r="G3106" s="18" t="s">
        <v>677</v>
      </c>
      <c r="H3106" s="18" t="s">
        <v>785</v>
      </c>
      <c r="I3106" s="315">
        <v>7.4930063921314005</v>
      </c>
      <c r="J3106" s="315">
        <v>3.6769924593226682E-4</v>
      </c>
      <c r="K3106" s="316" t="str">
        <f t="shared" si="52"/>
        <v>Commercial Equipment</v>
      </c>
      <c r="L3106" s="316" t="str">
        <f t="shared" si="53"/>
        <v>LPG</v>
      </c>
      <c r="M3106" s="8"/>
      <c r="N3106" s="2"/>
      <c r="O3106" s="2"/>
      <c r="P3106" s="2"/>
      <c r="Q3106" s="2"/>
      <c r="R3106" s="2"/>
      <c r="S3106" s="2"/>
      <c r="T3106" s="2"/>
      <c r="U3106" s="2"/>
      <c r="V3106" s="2"/>
      <c r="W3106" s="2"/>
      <c r="X3106" s="2"/>
      <c r="Y3106" s="2"/>
      <c r="Z3106" s="2"/>
    </row>
    <row r="3107" spans="1:26" ht="12.75" x14ac:dyDescent="0.2">
      <c r="A3107" s="230"/>
      <c r="B3107" s="18">
        <v>2023</v>
      </c>
      <c r="C3107" s="18" t="s">
        <v>750</v>
      </c>
      <c r="D3107" s="18" t="s">
        <v>1034</v>
      </c>
      <c r="E3107" s="18" t="s">
        <v>713</v>
      </c>
      <c r="F3107" s="18" t="s">
        <v>714</v>
      </c>
      <c r="G3107" s="18" t="s">
        <v>677</v>
      </c>
      <c r="H3107" s="18" t="s">
        <v>1031</v>
      </c>
      <c r="I3107" s="315">
        <v>7.4135991007258895</v>
      </c>
      <c r="J3107" s="315">
        <v>1.2883205700172721E-4</v>
      </c>
      <c r="K3107" s="316" t="str">
        <f t="shared" si="52"/>
        <v>Commercial Equipment</v>
      </c>
      <c r="L3107" s="316" t="str">
        <f t="shared" si="53"/>
        <v>Diesel</v>
      </c>
      <c r="M3107" s="8"/>
      <c r="N3107" s="2"/>
      <c r="O3107" s="2"/>
      <c r="P3107" s="2"/>
      <c r="Q3107" s="2"/>
      <c r="R3107" s="2"/>
      <c r="S3107" s="2"/>
      <c r="T3107" s="2"/>
      <c r="U3107" s="2"/>
      <c r="V3107" s="2"/>
      <c r="W3107" s="2"/>
      <c r="X3107" s="2"/>
      <c r="Y3107" s="2"/>
      <c r="Z3107" s="2"/>
    </row>
    <row r="3108" spans="1:26" ht="12.75" x14ac:dyDescent="0.2">
      <c r="A3108" s="230"/>
      <c r="B3108" s="18">
        <v>2023</v>
      </c>
      <c r="C3108" s="18" t="s">
        <v>778</v>
      </c>
      <c r="D3108" s="18" t="s">
        <v>1281</v>
      </c>
      <c r="E3108" s="18" t="s">
        <v>703</v>
      </c>
      <c r="F3108" s="18" t="s">
        <v>704</v>
      </c>
      <c r="G3108" s="18" t="s">
        <v>674</v>
      </c>
      <c r="H3108" s="18" t="s">
        <v>770</v>
      </c>
      <c r="I3108" s="315">
        <v>7.4107296595123504</v>
      </c>
      <c r="J3108" s="315">
        <v>8.1637375662955947E-4</v>
      </c>
      <c r="K3108" s="316" t="str">
        <f t="shared" ref="K3108:K3362" si="54">IF(F3108="Pleasure Craft","Pleasure Craft",IF(F3108="Railroad Equipment","Railroad Equipment",G3108))</f>
        <v>Construction and Mining Equipment</v>
      </c>
      <c r="L3108" s="316" t="str">
        <f t="shared" ref="L3108:L3362" si="55">IF(E3108="Non-Road Gasoline","Gasoline",IF(E3108="Non-Road Diesel","Diesel",IF(RIGHT(F3108,3)="LPG","LPG",IF(RIGHT(F3108,3)="CNG","CNG",G3108))))</f>
        <v>Gasoline</v>
      </c>
      <c r="M3108" s="8"/>
      <c r="N3108" s="2"/>
      <c r="O3108" s="2"/>
      <c r="P3108" s="2"/>
      <c r="Q3108" s="2"/>
      <c r="R3108" s="2"/>
      <c r="S3108" s="2"/>
      <c r="T3108" s="2"/>
      <c r="U3108" s="2"/>
      <c r="V3108" s="2"/>
      <c r="W3108" s="2"/>
      <c r="X3108" s="2"/>
      <c r="Y3108" s="2"/>
      <c r="Z3108" s="2"/>
    </row>
    <row r="3109" spans="1:26" ht="12.75" x14ac:dyDescent="0.2">
      <c r="A3109" s="230"/>
      <c r="B3109" s="18">
        <v>2023</v>
      </c>
      <c r="C3109" s="18" t="s">
        <v>743</v>
      </c>
      <c r="D3109" s="18" t="s">
        <v>1460</v>
      </c>
      <c r="E3109" s="18" t="s">
        <v>703</v>
      </c>
      <c r="F3109" s="18" t="s">
        <v>704</v>
      </c>
      <c r="G3109" s="18" t="s">
        <v>678</v>
      </c>
      <c r="H3109" s="18" t="s">
        <v>1080</v>
      </c>
      <c r="I3109" s="315">
        <v>7.4066840082636611</v>
      </c>
      <c r="J3109" s="315">
        <v>4.5202317136904847E-3</v>
      </c>
      <c r="K3109" s="316" t="str">
        <f t="shared" si="54"/>
        <v>Agricultural Equipment</v>
      </c>
      <c r="L3109" s="316" t="str">
        <f t="shared" si="55"/>
        <v>Gasoline</v>
      </c>
      <c r="M3109" s="8"/>
      <c r="N3109" s="2"/>
      <c r="O3109" s="2"/>
      <c r="P3109" s="2"/>
      <c r="Q3109" s="2"/>
      <c r="R3109" s="2"/>
      <c r="S3109" s="2"/>
      <c r="T3109" s="2"/>
      <c r="U3109" s="2"/>
      <c r="V3109" s="2"/>
      <c r="W3109" s="2"/>
      <c r="X3109" s="2"/>
      <c r="Y3109" s="2"/>
      <c r="Z3109" s="2"/>
    </row>
    <row r="3110" spans="1:26" ht="12.75" x14ac:dyDescent="0.2">
      <c r="A3110" s="230"/>
      <c r="B3110" s="18">
        <v>2023</v>
      </c>
      <c r="C3110" s="18" t="s">
        <v>760</v>
      </c>
      <c r="D3110" s="18" t="s">
        <v>1349</v>
      </c>
      <c r="E3110" s="18" t="s">
        <v>703</v>
      </c>
      <c r="F3110" s="18" t="s">
        <v>704</v>
      </c>
      <c r="G3110" s="18" t="s">
        <v>673</v>
      </c>
      <c r="H3110" s="18" t="s">
        <v>978</v>
      </c>
      <c r="I3110" s="315">
        <v>7.400756293934581</v>
      </c>
      <c r="J3110" s="315">
        <v>5.157256632995569E-3</v>
      </c>
      <c r="K3110" s="316" t="str">
        <f t="shared" si="54"/>
        <v>Lawn and Garden Equipment</v>
      </c>
      <c r="L3110" s="316" t="str">
        <f t="shared" si="55"/>
        <v>Gasoline</v>
      </c>
      <c r="M3110" s="8"/>
      <c r="N3110" s="2"/>
      <c r="O3110" s="2"/>
      <c r="P3110" s="2"/>
      <c r="Q3110" s="2"/>
      <c r="R3110" s="2"/>
      <c r="S3110" s="2"/>
      <c r="T3110" s="2"/>
      <c r="U3110" s="2"/>
      <c r="V3110" s="2"/>
      <c r="W3110" s="2"/>
      <c r="X3110" s="2"/>
      <c r="Y3110" s="2"/>
      <c r="Z3110" s="2"/>
    </row>
    <row r="3111" spans="1:26" ht="12.75" x14ac:dyDescent="0.2">
      <c r="A3111" s="230"/>
      <c r="B3111" s="18">
        <v>2023</v>
      </c>
      <c r="C3111" s="18" t="s">
        <v>701</v>
      </c>
      <c r="D3111" s="18" t="s">
        <v>1457</v>
      </c>
      <c r="E3111" s="18" t="s">
        <v>56</v>
      </c>
      <c r="F3111" s="18" t="s">
        <v>601</v>
      </c>
      <c r="G3111" s="18" t="s">
        <v>675</v>
      </c>
      <c r="H3111" s="18" t="s">
        <v>772</v>
      </c>
      <c r="I3111" s="315">
        <v>7.3980576458474427</v>
      </c>
      <c r="J3111" s="315">
        <v>3.0176806226206537E-2</v>
      </c>
      <c r="K3111" s="316" t="str">
        <f t="shared" si="54"/>
        <v>Industrial Equipment</v>
      </c>
      <c r="L3111" s="316" t="str">
        <f t="shared" si="55"/>
        <v>CNG</v>
      </c>
      <c r="M3111" s="8"/>
      <c r="N3111" s="2"/>
      <c r="O3111" s="2"/>
      <c r="P3111" s="2"/>
      <c r="Q3111" s="2"/>
      <c r="R3111" s="2"/>
      <c r="S3111" s="2"/>
      <c r="T3111" s="2"/>
      <c r="U3111" s="2"/>
      <c r="V3111" s="2"/>
      <c r="W3111" s="2"/>
      <c r="X3111" s="2"/>
      <c r="Y3111" s="2"/>
      <c r="Z3111" s="2"/>
    </row>
    <row r="3112" spans="1:26" ht="12.75" x14ac:dyDescent="0.2">
      <c r="A3112" s="230"/>
      <c r="B3112" s="18">
        <v>2023</v>
      </c>
      <c r="C3112" s="18" t="s">
        <v>762</v>
      </c>
      <c r="D3112" s="18" t="s">
        <v>1071</v>
      </c>
      <c r="E3112" s="18" t="s">
        <v>713</v>
      </c>
      <c r="F3112" s="18" t="s">
        <v>714</v>
      </c>
      <c r="G3112" s="18" t="s">
        <v>674</v>
      </c>
      <c r="H3112" s="18" t="s">
        <v>1072</v>
      </c>
      <c r="I3112" s="315">
        <v>7.3967442333086728</v>
      </c>
      <c r="J3112" s="315">
        <v>9.9037586353874953E-5</v>
      </c>
      <c r="K3112" s="316" t="str">
        <f t="shared" si="54"/>
        <v>Construction and Mining Equipment</v>
      </c>
      <c r="L3112" s="316" t="str">
        <f t="shared" si="55"/>
        <v>Diesel</v>
      </c>
      <c r="M3112" s="8"/>
      <c r="N3112" s="2"/>
      <c r="O3112" s="2"/>
      <c r="P3112" s="2"/>
      <c r="Q3112" s="2"/>
      <c r="R3112" s="2"/>
      <c r="S3112" s="2"/>
      <c r="T3112" s="2"/>
      <c r="U3112" s="2"/>
      <c r="V3112" s="2"/>
      <c r="W3112" s="2"/>
      <c r="X3112" s="2"/>
      <c r="Y3112" s="2"/>
      <c r="Z3112" s="2"/>
    </row>
    <row r="3113" spans="1:26" ht="12.75" x14ac:dyDescent="0.2">
      <c r="A3113" s="230"/>
      <c r="B3113" s="18">
        <v>2023</v>
      </c>
      <c r="C3113" s="18" t="s">
        <v>773</v>
      </c>
      <c r="D3113" s="18" t="s">
        <v>1158</v>
      </c>
      <c r="E3113" s="18" t="s">
        <v>703</v>
      </c>
      <c r="F3113" s="18" t="s">
        <v>704</v>
      </c>
      <c r="G3113" s="18" t="s">
        <v>674</v>
      </c>
      <c r="H3113" s="18" t="s">
        <v>715</v>
      </c>
      <c r="I3113" s="315">
        <v>7.3783991820174233</v>
      </c>
      <c r="J3113" s="315">
        <v>5.0915390080551637E-4</v>
      </c>
      <c r="K3113" s="316" t="str">
        <f t="shared" si="54"/>
        <v>Construction and Mining Equipment</v>
      </c>
      <c r="L3113" s="316" t="str">
        <f t="shared" si="55"/>
        <v>Gasoline</v>
      </c>
      <c r="M3113" s="8"/>
      <c r="N3113" s="2"/>
      <c r="O3113" s="2"/>
      <c r="P3113" s="2"/>
      <c r="Q3113" s="2"/>
      <c r="R3113" s="2"/>
      <c r="S3113" s="2"/>
      <c r="T3113" s="2"/>
      <c r="U3113" s="2"/>
      <c r="V3113" s="2"/>
      <c r="W3113" s="2"/>
      <c r="X3113" s="2"/>
      <c r="Y3113" s="2"/>
      <c r="Z3113" s="2"/>
    </row>
    <row r="3114" spans="1:26" ht="12.75" x14ac:dyDescent="0.2">
      <c r="A3114" s="230"/>
      <c r="B3114" s="18">
        <v>2023</v>
      </c>
      <c r="C3114" s="18" t="s">
        <v>792</v>
      </c>
      <c r="D3114" s="18" t="s">
        <v>1405</v>
      </c>
      <c r="E3114" s="18" t="s">
        <v>56</v>
      </c>
      <c r="F3114" s="18" t="s">
        <v>1025</v>
      </c>
      <c r="G3114" s="18" t="s">
        <v>679</v>
      </c>
      <c r="H3114" s="18" t="s">
        <v>1406</v>
      </c>
      <c r="I3114" s="315">
        <v>7.3756333580671098</v>
      </c>
      <c r="J3114" s="315">
        <v>2.5513256129127099E-3</v>
      </c>
      <c r="K3114" s="316" t="str">
        <f t="shared" si="54"/>
        <v>Recreational Equipment</v>
      </c>
      <c r="L3114" s="316" t="str">
        <f t="shared" si="55"/>
        <v>LPG</v>
      </c>
      <c r="M3114" s="8"/>
      <c r="N3114" s="2"/>
      <c r="O3114" s="2"/>
      <c r="P3114" s="2"/>
      <c r="Q3114" s="2"/>
      <c r="R3114" s="2"/>
      <c r="S3114" s="2"/>
      <c r="T3114" s="2"/>
      <c r="U3114" s="2"/>
      <c r="V3114" s="2"/>
      <c r="W3114" s="2"/>
      <c r="X3114" s="2"/>
      <c r="Y3114" s="2"/>
      <c r="Z3114" s="2"/>
    </row>
    <row r="3115" spans="1:26" ht="12.75" x14ac:dyDescent="0.2">
      <c r="A3115" s="230"/>
      <c r="B3115" s="18">
        <v>2023</v>
      </c>
      <c r="C3115" s="18" t="s">
        <v>706</v>
      </c>
      <c r="D3115" s="18" t="s">
        <v>1405</v>
      </c>
      <c r="E3115" s="18" t="s">
        <v>56</v>
      </c>
      <c r="F3115" s="18" t="s">
        <v>1025</v>
      </c>
      <c r="G3115" s="18" t="s">
        <v>679</v>
      </c>
      <c r="H3115" s="18" t="s">
        <v>1406</v>
      </c>
      <c r="I3115" s="315">
        <v>7.3756333580671098</v>
      </c>
      <c r="J3115" s="315">
        <v>2.5513256129127099E-3</v>
      </c>
      <c r="K3115" s="316" t="str">
        <f t="shared" si="54"/>
        <v>Recreational Equipment</v>
      </c>
      <c r="L3115" s="316" t="str">
        <f t="shared" si="55"/>
        <v>LPG</v>
      </c>
      <c r="M3115" s="8"/>
      <c r="N3115" s="2"/>
      <c r="O3115" s="2"/>
      <c r="P3115" s="2"/>
      <c r="Q3115" s="2"/>
      <c r="R3115" s="2"/>
      <c r="S3115" s="2"/>
      <c r="T3115" s="2"/>
      <c r="U3115" s="2"/>
      <c r="V3115" s="2"/>
      <c r="W3115" s="2"/>
      <c r="X3115" s="2"/>
      <c r="Y3115" s="2"/>
      <c r="Z3115" s="2"/>
    </row>
    <row r="3116" spans="1:26" ht="12.75" x14ac:dyDescent="0.2">
      <c r="A3116" s="230"/>
      <c r="B3116" s="18">
        <v>2023</v>
      </c>
      <c r="C3116" s="18" t="s">
        <v>781</v>
      </c>
      <c r="D3116" s="18" t="s">
        <v>1405</v>
      </c>
      <c r="E3116" s="18" t="s">
        <v>56</v>
      </c>
      <c r="F3116" s="18" t="s">
        <v>1025</v>
      </c>
      <c r="G3116" s="18" t="s">
        <v>679</v>
      </c>
      <c r="H3116" s="18" t="s">
        <v>1406</v>
      </c>
      <c r="I3116" s="315">
        <v>7.3756333580671098</v>
      </c>
      <c r="J3116" s="315">
        <v>2.5513256129127099E-3</v>
      </c>
      <c r="K3116" s="316" t="str">
        <f t="shared" si="54"/>
        <v>Recreational Equipment</v>
      </c>
      <c r="L3116" s="316" t="str">
        <f t="shared" si="55"/>
        <v>LPG</v>
      </c>
      <c r="M3116" s="8"/>
      <c r="N3116" s="2"/>
      <c r="O3116" s="2"/>
      <c r="P3116" s="2"/>
      <c r="Q3116" s="2"/>
      <c r="R3116" s="2"/>
      <c r="S3116" s="2"/>
      <c r="T3116" s="2"/>
      <c r="U3116" s="2"/>
      <c r="V3116" s="2"/>
      <c r="W3116" s="2"/>
      <c r="X3116" s="2"/>
      <c r="Y3116" s="2"/>
      <c r="Z3116" s="2"/>
    </row>
    <row r="3117" spans="1:26" ht="12.75" x14ac:dyDescent="0.2">
      <c r="A3117" s="230"/>
      <c r="B3117" s="18">
        <v>2023</v>
      </c>
      <c r="C3117" s="18" t="s">
        <v>754</v>
      </c>
      <c r="D3117" s="18" t="s">
        <v>1405</v>
      </c>
      <c r="E3117" s="18" t="s">
        <v>56</v>
      </c>
      <c r="F3117" s="18" t="s">
        <v>1025</v>
      </c>
      <c r="G3117" s="18" t="s">
        <v>679</v>
      </c>
      <c r="H3117" s="18" t="s">
        <v>1406</v>
      </c>
      <c r="I3117" s="315">
        <v>7.3756333580671098</v>
      </c>
      <c r="J3117" s="315">
        <v>2.5513256129127099E-3</v>
      </c>
      <c r="K3117" s="316" t="str">
        <f t="shared" si="54"/>
        <v>Recreational Equipment</v>
      </c>
      <c r="L3117" s="316" t="str">
        <f t="shared" si="55"/>
        <v>LPG</v>
      </c>
      <c r="M3117" s="8"/>
      <c r="N3117" s="2"/>
      <c r="O3117" s="2"/>
      <c r="P3117" s="2"/>
      <c r="Q3117" s="2"/>
      <c r="R3117" s="2"/>
      <c r="S3117" s="2"/>
      <c r="T3117" s="2"/>
      <c r="U3117" s="2"/>
      <c r="V3117" s="2"/>
      <c r="W3117" s="2"/>
      <c r="X3117" s="2"/>
      <c r="Y3117" s="2"/>
      <c r="Z3117" s="2"/>
    </row>
    <row r="3118" spans="1:26" ht="12.75" x14ac:dyDescent="0.2">
      <c r="A3118" s="230"/>
      <c r="B3118" s="18">
        <v>2023</v>
      </c>
      <c r="C3118" s="18" t="s">
        <v>778</v>
      </c>
      <c r="D3118" s="18" t="s">
        <v>1405</v>
      </c>
      <c r="E3118" s="18" t="s">
        <v>56</v>
      </c>
      <c r="F3118" s="18" t="s">
        <v>1025</v>
      </c>
      <c r="G3118" s="18" t="s">
        <v>679</v>
      </c>
      <c r="H3118" s="18" t="s">
        <v>1406</v>
      </c>
      <c r="I3118" s="315">
        <v>7.3756333580671098</v>
      </c>
      <c r="J3118" s="315">
        <v>2.5513256129127099E-3</v>
      </c>
      <c r="K3118" s="316" t="str">
        <f t="shared" si="54"/>
        <v>Recreational Equipment</v>
      </c>
      <c r="L3118" s="316" t="str">
        <f t="shared" si="55"/>
        <v>LPG</v>
      </c>
      <c r="M3118" s="8"/>
      <c r="N3118" s="2"/>
      <c r="O3118" s="2"/>
      <c r="P3118" s="2"/>
      <c r="Q3118" s="2"/>
      <c r="R3118" s="2"/>
      <c r="S3118" s="2"/>
      <c r="T3118" s="2"/>
      <c r="U3118" s="2"/>
      <c r="V3118" s="2"/>
      <c r="W3118" s="2"/>
      <c r="X3118" s="2"/>
      <c r="Y3118" s="2"/>
      <c r="Z3118" s="2"/>
    </row>
    <row r="3119" spans="1:26" ht="12.75" x14ac:dyDescent="0.2">
      <c r="A3119" s="230"/>
      <c r="B3119" s="18">
        <v>2023</v>
      </c>
      <c r="C3119" s="18" t="s">
        <v>732</v>
      </c>
      <c r="D3119" s="18" t="s">
        <v>1405</v>
      </c>
      <c r="E3119" s="18" t="s">
        <v>56</v>
      </c>
      <c r="F3119" s="18" t="s">
        <v>1025</v>
      </c>
      <c r="G3119" s="18" t="s">
        <v>679</v>
      </c>
      <c r="H3119" s="18" t="s">
        <v>1406</v>
      </c>
      <c r="I3119" s="315">
        <v>7.3756333580671098</v>
      </c>
      <c r="J3119" s="315">
        <v>2.5513256129127099E-3</v>
      </c>
      <c r="K3119" s="316" t="str">
        <f t="shared" si="54"/>
        <v>Recreational Equipment</v>
      </c>
      <c r="L3119" s="316" t="str">
        <f t="shared" si="55"/>
        <v>LPG</v>
      </c>
      <c r="M3119" s="8"/>
      <c r="N3119" s="2"/>
      <c r="O3119" s="2"/>
      <c r="P3119" s="2"/>
      <c r="Q3119" s="2"/>
      <c r="R3119" s="2"/>
      <c r="S3119" s="2"/>
      <c r="T3119" s="2"/>
      <c r="U3119" s="2"/>
      <c r="V3119" s="2"/>
      <c r="W3119" s="2"/>
      <c r="X3119" s="2"/>
      <c r="Y3119" s="2"/>
      <c r="Z3119" s="2"/>
    </row>
    <row r="3120" spans="1:26" ht="12.75" x14ac:dyDescent="0.2">
      <c r="A3120" s="230"/>
      <c r="B3120" s="18">
        <v>2023</v>
      </c>
      <c r="C3120" s="18" t="s">
        <v>810</v>
      </c>
      <c r="D3120" s="18" t="s">
        <v>1405</v>
      </c>
      <c r="E3120" s="18" t="s">
        <v>56</v>
      </c>
      <c r="F3120" s="18" t="s">
        <v>1025</v>
      </c>
      <c r="G3120" s="18" t="s">
        <v>679</v>
      </c>
      <c r="H3120" s="18" t="s">
        <v>1406</v>
      </c>
      <c r="I3120" s="315">
        <v>7.3756333580671098</v>
      </c>
      <c r="J3120" s="315">
        <v>2.5513256129127099E-3</v>
      </c>
      <c r="K3120" s="316" t="str">
        <f t="shared" si="54"/>
        <v>Recreational Equipment</v>
      </c>
      <c r="L3120" s="316" t="str">
        <f t="shared" si="55"/>
        <v>LPG</v>
      </c>
      <c r="M3120" s="8"/>
      <c r="N3120" s="2"/>
      <c r="O3120" s="2"/>
      <c r="P3120" s="2"/>
      <c r="Q3120" s="2"/>
      <c r="R3120" s="2"/>
      <c r="S3120" s="2"/>
      <c r="T3120" s="2"/>
      <c r="U3120" s="2"/>
      <c r="V3120" s="2"/>
      <c r="W3120" s="2"/>
      <c r="X3120" s="2"/>
      <c r="Y3120" s="2"/>
      <c r="Z3120" s="2"/>
    </row>
    <row r="3121" spans="1:26" ht="12.75" x14ac:dyDescent="0.2">
      <c r="A3121" s="230"/>
      <c r="B3121" s="18">
        <v>2023</v>
      </c>
      <c r="C3121" s="18" t="s">
        <v>786</v>
      </c>
      <c r="D3121" s="18" t="s">
        <v>1405</v>
      </c>
      <c r="E3121" s="18" t="s">
        <v>56</v>
      </c>
      <c r="F3121" s="18" t="s">
        <v>1025</v>
      </c>
      <c r="G3121" s="18" t="s">
        <v>679</v>
      </c>
      <c r="H3121" s="18" t="s">
        <v>1406</v>
      </c>
      <c r="I3121" s="315">
        <v>7.3756333580671098</v>
      </c>
      <c r="J3121" s="315">
        <v>2.5513256129127099E-3</v>
      </c>
      <c r="K3121" s="316" t="str">
        <f t="shared" si="54"/>
        <v>Recreational Equipment</v>
      </c>
      <c r="L3121" s="316" t="str">
        <f t="shared" si="55"/>
        <v>LPG</v>
      </c>
      <c r="M3121" s="8"/>
      <c r="N3121" s="2"/>
      <c r="O3121" s="2"/>
      <c r="P3121" s="2"/>
      <c r="Q3121" s="2"/>
      <c r="R3121" s="2"/>
      <c r="S3121" s="2"/>
      <c r="T3121" s="2"/>
      <c r="U3121" s="2"/>
      <c r="V3121" s="2"/>
      <c r="W3121" s="2"/>
      <c r="X3121" s="2"/>
      <c r="Y3121" s="2"/>
      <c r="Z3121" s="2"/>
    </row>
    <row r="3122" spans="1:26" ht="12.75" x14ac:dyDescent="0.2">
      <c r="A3122" s="230"/>
      <c r="B3122" s="18">
        <v>2023</v>
      </c>
      <c r="C3122" s="18" t="s">
        <v>709</v>
      </c>
      <c r="D3122" s="18" t="s">
        <v>1405</v>
      </c>
      <c r="E3122" s="18" t="s">
        <v>56</v>
      </c>
      <c r="F3122" s="18" t="s">
        <v>1025</v>
      </c>
      <c r="G3122" s="18" t="s">
        <v>679</v>
      </c>
      <c r="H3122" s="18" t="s">
        <v>1406</v>
      </c>
      <c r="I3122" s="315">
        <v>7.3756333580671098</v>
      </c>
      <c r="J3122" s="315">
        <v>2.5513256129127099E-3</v>
      </c>
      <c r="K3122" s="316" t="str">
        <f t="shared" si="54"/>
        <v>Recreational Equipment</v>
      </c>
      <c r="L3122" s="316" t="str">
        <f t="shared" si="55"/>
        <v>LPG</v>
      </c>
      <c r="M3122" s="8"/>
      <c r="N3122" s="2"/>
      <c r="O3122" s="2"/>
      <c r="P3122" s="2"/>
      <c r="Q3122" s="2"/>
      <c r="R3122" s="2"/>
      <c r="S3122" s="2"/>
      <c r="T3122" s="2"/>
      <c r="U3122" s="2"/>
      <c r="V3122" s="2"/>
      <c r="W3122" s="2"/>
      <c r="X3122" s="2"/>
      <c r="Y3122" s="2"/>
      <c r="Z3122" s="2"/>
    </row>
    <row r="3123" spans="1:26" ht="12.75" x14ac:dyDescent="0.2">
      <c r="A3123" s="230"/>
      <c r="B3123" s="18">
        <v>2023</v>
      </c>
      <c r="C3123" s="18" t="s">
        <v>743</v>
      </c>
      <c r="D3123" s="18" t="s">
        <v>1405</v>
      </c>
      <c r="E3123" s="18" t="s">
        <v>56</v>
      </c>
      <c r="F3123" s="18" t="s">
        <v>1025</v>
      </c>
      <c r="G3123" s="18" t="s">
        <v>679</v>
      </c>
      <c r="H3123" s="18" t="s">
        <v>1406</v>
      </c>
      <c r="I3123" s="315">
        <v>7.3756333580671098</v>
      </c>
      <c r="J3123" s="315">
        <v>2.5513256129127099E-3</v>
      </c>
      <c r="K3123" s="316" t="str">
        <f t="shared" si="54"/>
        <v>Recreational Equipment</v>
      </c>
      <c r="L3123" s="316" t="str">
        <f t="shared" si="55"/>
        <v>LPG</v>
      </c>
      <c r="M3123" s="8"/>
      <c r="N3123" s="2"/>
      <c r="O3123" s="2"/>
      <c r="P3123" s="2"/>
      <c r="Q3123" s="2"/>
      <c r="R3123" s="2"/>
      <c r="S3123" s="2"/>
      <c r="T3123" s="2"/>
      <c r="U3123" s="2"/>
      <c r="V3123" s="2"/>
      <c r="W3123" s="2"/>
      <c r="X3123" s="2"/>
      <c r="Y3123" s="2"/>
      <c r="Z3123" s="2"/>
    </row>
    <row r="3124" spans="1:26" ht="12.75" x14ac:dyDescent="0.2">
      <c r="A3124" s="230"/>
      <c r="B3124" s="18">
        <v>2023</v>
      </c>
      <c r="C3124" s="18" t="s">
        <v>773</v>
      </c>
      <c r="D3124" s="18" t="s">
        <v>1405</v>
      </c>
      <c r="E3124" s="18" t="s">
        <v>56</v>
      </c>
      <c r="F3124" s="18" t="s">
        <v>1025</v>
      </c>
      <c r="G3124" s="18" t="s">
        <v>679</v>
      </c>
      <c r="H3124" s="18" t="s">
        <v>1406</v>
      </c>
      <c r="I3124" s="315">
        <v>7.3756333580671098</v>
      </c>
      <c r="J3124" s="315">
        <v>2.5513256129127099E-3</v>
      </c>
      <c r="K3124" s="316" t="str">
        <f t="shared" si="54"/>
        <v>Recreational Equipment</v>
      </c>
      <c r="L3124" s="316" t="str">
        <f t="shared" si="55"/>
        <v>LPG</v>
      </c>
      <c r="M3124" s="8"/>
      <c r="N3124" s="2"/>
      <c r="O3124" s="2"/>
      <c r="P3124" s="2"/>
      <c r="Q3124" s="2"/>
      <c r="R3124" s="2"/>
      <c r="S3124" s="2"/>
      <c r="T3124" s="2"/>
      <c r="U3124" s="2"/>
      <c r="V3124" s="2"/>
      <c r="W3124" s="2"/>
      <c r="X3124" s="2"/>
      <c r="Y3124" s="2"/>
      <c r="Z3124" s="2"/>
    </row>
    <row r="3125" spans="1:26" ht="12.75" x14ac:dyDescent="0.2">
      <c r="A3125" s="230"/>
      <c r="B3125" s="18">
        <v>2023</v>
      </c>
      <c r="C3125" s="18" t="s">
        <v>778</v>
      </c>
      <c r="D3125" s="18" t="s">
        <v>1278</v>
      </c>
      <c r="E3125" s="18" t="s">
        <v>703</v>
      </c>
      <c r="F3125" s="18" t="s">
        <v>704</v>
      </c>
      <c r="G3125" s="18" t="s">
        <v>678</v>
      </c>
      <c r="H3125" s="18" t="s">
        <v>1279</v>
      </c>
      <c r="I3125" s="315">
        <v>7.3698861730506158</v>
      </c>
      <c r="J3125" s="315">
        <v>9.8213398852454621E-3</v>
      </c>
      <c r="K3125" s="316" t="str">
        <f t="shared" si="54"/>
        <v>Agricultural Equipment</v>
      </c>
      <c r="L3125" s="316" t="str">
        <f t="shared" si="55"/>
        <v>Gasoline</v>
      </c>
      <c r="M3125" s="8"/>
      <c r="N3125" s="2"/>
      <c r="O3125" s="2"/>
      <c r="P3125" s="2"/>
      <c r="Q3125" s="2"/>
      <c r="R3125" s="2"/>
      <c r="S3125" s="2"/>
      <c r="T3125" s="2"/>
      <c r="U3125" s="2"/>
      <c r="V3125" s="2"/>
      <c r="W3125" s="2"/>
      <c r="X3125" s="2"/>
      <c r="Y3125" s="2"/>
      <c r="Z3125" s="2"/>
    </row>
    <row r="3126" spans="1:26" ht="12.75" x14ac:dyDescent="0.2">
      <c r="A3126" s="230"/>
      <c r="B3126" s="18">
        <v>2023</v>
      </c>
      <c r="C3126" s="18" t="s">
        <v>787</v>
      </c>
      <c r="D3126" s="18" t="s">
        <v>1409</v>
      </c>
      <c r="E3126" s="18" t="s">
        <v>703</v>
      </c>
      <c r="F3126" s="18" t="s">
        <v>704</v>
      </c>
      <c r="G3126" s="18" t="s">
        <v>678</v>
      </c>
      <c r="H3126" s="18" t="s">
        <v>1222</v>
      </c>
      <c r="I3126" s="315">
        <v>7.3579438649837119</v>
      </c>
      <c r="J3126" s="315">
        <v>4.866803347889118E-3</v>
      </c>
      <c r="K3126" s="316" t="str">
        <f t="shared" si="54"/>
        <v>Agricultural Equipment</v>
      </c>
      <c r="L3126" s="316" t="str">
        <f t="shared" si="55"/>
        <v>Gasoline</v>
      </c>
      <c r="M3126" s="8"/>
      <c r="N3126" s="2"/>
      <c r="O3126" s="2"/>
      <c r="P3126" s="2"/>
      <c r="Q3126" s="2"/>
      <c r="R3126" s="2"/>
      <c r="S3126" s="2"/>
      <c r="T3126" s="2"/>
      <c r="U3126" s="2"/>
      <c r="V3126" s="2"/>
      <c r="W3126" s="2"/>
      <c r="X3126" s="2"/>
      <c r="Y3126" s="2"/>
      <c r="Z3126" s="2"/>
    </row>
    <row r="3127" spans="1:26" ht="12.75" x14ac:dyDescent="0.2">
      <c r="A3127" s="230"/>
      <c r="B3127" s="18">
        <v>2023</v>
      </c>
      <c r="C3127" s="18" t="s">
        <v>810</v>
      </c>
      <c r="D3127" s="18" t="s">
        <v>1030</v>
      </c>
      <c r="E3127" s="18" t="s">
        <v>703</v>
      </c>
      <c r="F3127" s="18" t="s">
        <v>704</v>
      </c>
      <c r="G3127" s="18" t="s">
        <v>677</v>
      </c>
      <c r="H3127" s="18" t="s">
        <v>1031</v>
      </c>
      <c r="I3127" s="315">
        <v>7.3449708282922348</v>
      </c>
      <c r="J3127" s="315">
        <v>5.1706218288633463E-3</v>
      </c>
      <c r="K3127" s="316" t="str">
        <f t="shared" si="54"/>
        <v>Commercial Equipment</v>
      </c>
      <c r="L3127" s="316" t="str">
        <f t="shared" si="55"/>
        <v>Gasoline</v>
      </c>
      <c r="M3127" s="8"/>
      <c r="N3127" s="2"/>
      <c r="O3127" s="2"/>
      <c r="P3127" s="2"/>
      <c r="Q3127" s="2"/>
      <c r="R3127" s="2"/>
      <c r="S3127" s="2"/>
      <c r="T3127" s="2"/>
      <c r="U3127" s="2"/>
      <c r="V3127" s="2"/>
      <c r="W3127" s="2"/>
      <c r="X3127" s="2"/>
      <c r="Y3127" s="2"/>
      <c r="Z3127" s="2"/>
    </row>
    <row r="3128" spans="1:26" ht="12.75" x14ac:dyDescent="0.2">
      <c r="A3128" s="230"/>
      <c r="B3128" s="18">
        <v>2023</v>
      </c>
      <c r="C3128" s="18" t="s">
        <v>731</v>
      </c>
      <c r="D3128" s="18" t="s">
        <v>1212</v>
      </c>
      <c r="E3128" s="18" t="s">
        <v>56</v>
      </c>
      <c r="F3128" s="18" t="s">
        <v>672</v>
      </c>
      <c r="G3128" s="18" t="s">
        <v>675</v>
      </c>
      <c r="H3128" s="18" t="s">
        <v>798</v>
      </c>
      <c r="I3128" s="315">
        <v>7.3225055396982199</v>
      </c>
      <c r="J3128" s="315">
        <v>3.3085867417909684E-4</v>
      </c>
      <c r="K3128" s="316" t="str">
        <f t="shared" si="54"/>
        <v>Industrial Equipment</v>
      </c>
      <c r="L3128" s="316" t="str">
        <f t="shared" si="55"/>
        <v>LPG</v>
      </c>
      <c r="M3128" s="8"/>
      <c r="N3128" s="2"/>
      <c r="O3128" s="2"/>
      <c r="P3128" s="2"/>
      <c r="Q3128" s="2"/>
      <c r="R3128" s="2"/>
      <c r="S3128" s="2"/>
      <c r="T3128" s="2"/>
      <c r="U3128" s="2"/>
      <c r="V3128" s="2"/>
      <c r="W3128" s="2"/>
      <c r="X3128" s="2"/>
      <c r="Y3128" s="2"/>
      <c r="Z3128" s="2"/>
    </row>
    <row r="3129" spans="1:26" ht="12.75" x14ac:dyDescent="0.2">
      <c r="A3129" s="230"/>
      <c r="B3129" s="18">
        <v>2023</v>
      </c>
      <c r="C3129" s="18" t="s">
        <v>743</v>
      </c>
      <c r="D3129" s="18" t="s">
        <v>1226</v>
      </c>
      <c r="E3129" s="18" t="s">
        <v>703</v>
      </c>
      <c r="F3129" s="18" t="s">
        <v>805</v>
      </c>
      <c r="G3129" s="18" t="s">
        <v>677</v>
      </c>
      <c r="H3129" s="18" t="s">
        <v>747</v>
      </c>
      <c r="I3129" s="315">
        <v>7.3051978559274762</v>
      </c>
      <c r="J3129" s="315">
        <v>1.4771601367856959E-2</v>
      </c>
      <c r="K3129" s="316" t="str">
        <f t="shared" si="54"/>
        <v>Commercial Equipment</v>
      </c>
      <c r="L3129" s="316" t="str">
        <f t="shared" si="55"/>
        <v>Gasoline</v>
      </c>
      <c r="M3129" s="8"/>
      <c r="N3129" s="2"/>
      <c r="O3129" s="2"/>
      <c r="P3129" s="2"/>
      <c r="Q3129" s="2"/>
      <c r="R3129" s="2"/>
      <c r="S3129" s="2"/>
      <c r="T3129" s="2"/>
      <c r="U3129" s="2"/>
      <c r="V3129" s="2"/>
      <c r="W3129" s="2"/>
      <c r="X3129" s="2"/>
      <c r="Y3129" s="2"/>
      <c r="Z3129" s="2"/>
    </row>
    <row r="3130" spans="1:26" ht="12.75" x14ac:dyDescent="0.2">
      <c r="A3130" s="230"/>
      <c r="B3130" s="18">
        <v>2023</v>
      </c>
      <c r="C3130" s="18" t="s">
        <v>781</v>
      </c>
      <c r="D3130" s="18" t="s">
        <v>1015</v>
      </c>
      <c r="E3130" s="18" t="s">
        <v>56</v>
      </c>
      <c r="F3130" s="18" t="s">
        <v>601</v>
      </c>
      <c r="G3130" s="18" t="s">
        <v>677</v>
      </c>
      <c r="H3130" s="18" t="s">
        <v>747</v>
      </c>
      <c r="I3130" s="315">
        <v>7.2994022486033954</v>
      </c>
      <c r="J3130" s="315">
        <v>0.16330526840082643</v>
      </c>
      <c r="K3130" s="316" t="str">
        <f t="shared" si="54"/>
        <v>Commercial Equipment</v>
      </c>
      <c r="L3130" s="316" t="str">
        <f t="shared" si="55"/>
        <v>CNG</v>
      </c>
      <c r="M3130" s="8"/>
      <c r="N3130" s="2"/>
      <c r="O3130" s="2"/>
      <c r="P3130" s="2"/>
      <c r="Q3130" s="2"/>
      <c r="R3130" s="2"/>
      <c r="S3130" s="2"/>
      <c r="T3130" s="2"/>
      <c r="U3130" s="2"/>
      <c r="V3130" s="2"/>
      <c r="W3130" s="2"/>
      <c r="X3130" s="2"/>
      <c r="Y3130" s="2"/>
      <c r="Z3130" s="2"/>
    </row>
    <row r="3131" spans="1:26" ht="12.75" x14ac:dyDescent="0.2">
      <c r="A3131" s="230"/>
      <c r="B3131" s="18">
        <v>2023</v>
      </c>
      <c r="C3131" s="18" t="s">
        <v>750</v>
      </c>
      <c r="D3131" s="18" t="s">
        <v>1037</v>
      </c>
      <c r="E3131" s="18" t="s">
        <v>56</v>
      </c>
      <c r="F3131" s="18" t="s">
        <v>672</v>
      </c>
      <c r="G3131" s="18" t="s">
        <v>677</v>
      </c>
      <c r="H3131" s="18" t="s">
        <v>841</v>
      </c>
      <c r="I3131" s="315">
        <v>7.2923117635024104</v>
      </c>
      <c r="J3131" s="315">
        <v>7.3818300016901682E-4</v>
      </c>
      <c r="K3131" s="316" t="str">
        <f t="shared" si="54"/>
        <v>Commercial Equipment</v>
      </c>
      <c r="L3131" s="316" t="str">
        <f t="shared" si="55"/>
        <v>LPG</v>
      </c>
      <c r="M3131" s="8"/>
      <c r="N3131" s="2"/>
      <c r="O3131" s="2"/>
      <c r="P3131" s="2"/>
      <c r="Q3131" s="2"/>
      <c r="R3131" s="2"/>
      <c r="S3131" s="2"/>
      <c r="T3131" s="2"/>
      <c r="U3131" s="2"/>
      <c r="V3131" s="2"/>
      <c r="W3131" s="2"/>
      <c r="X3131" s="2"/>
      <c r="Y3131" s="2"/>
      <c r="Z3131" s="2"/>
    </row>
    <row r="3132" spans="1:26" ht="12.75" x14ac:dyDescent="0.2">
      <c r="A3132" s="230"/>
      <c r="B3132" s="18">
        <v>2023</v>
      </c>
      <c r="C3132" s="18" t="s">
        <v>711</v>
      </c>
      <c r="D3132" s="18" t="s">
        <v>1229</v>
      </c>
      <c r="E3132" s="18" t="s">
        <v>713</v>
      </c>
      <c r="F3132" s="18" t="s">
        <v>714</v>
      </c>
      <c r="G3132" s="18" t="s">
        <v>678</v>
      </c>
      <c r="H3132" s="18" t="s">
        <v>1230</v>
      </c>
      <c r="I3132" s="315">
        <v>7.2873884784154468</v>
      </c>
      <c r="J3132" s="315">
        <v>5.4948778619584026E-5</v>
      </c>
      <c r="K3132" s="316" t="str">
        <f t="shared" si="54"/>
        <v>Agricultural Equipment</v>
      </c>
      <c r="L3132" s="316" t="str">
        <f t="shared" si="55"/>
        <v>Diesel</v>
      </c>
      <c r="M3132" s="8"/>
      <c r="N3132" s="2"/>
      <c r="O3132" s="2"/>
      <c r="P3132" s="2"/>
      <c r="Q3132" s="2"/>
      <c r="R3132" s="2"/>
      <c r="S3132" s="2"/>
      <c r="T3132" s="2"/>
      <c r="U3132" s="2"/>
      <c r="V3132" s="2"/>
      <c r="W3132" s="2"/>
      <c r="X3132" s="2"/>
      <c r="Y3132" s="2"/>
      <c r="Z3132" s="2"/>
    </row>
    <row r="3133" spans="1:26" ht="12.75" x14ac:dyDescent="0.2">
      <c r="A3133" s="230"/>
      <c r="B3133" s="18">
        <v>2023</v>
      </c>
      <c r="C3133" s="18" t="s">
        <v>760</v>
      </c>
      <c r="D3133" s="18" t="s">
        <v>1360</v>
      </c>
      <c r="E3133" s="18" t="s">
        <v>713</v>
      </c>
      <c r="F3133" s="18" t="s">
        <v>714</v>
      </c>
      <c r="G3133" s="18" t="s">
        <v>674</v>
      </c>
      <c r="H3133" s="18" t="s">
        <v>1220</v>
      </c>
      <c r="I3133" s="315">
        <v>7.2737195458115842</v>
      </c>
      <c r="J3133" s="315">
        <v>3.2356307033505675E-4</v>
      </c>
      <c r="K3133" s="316" t="str">
        <f t="shared" si="54"/>
        <v>Construction and Mining Equipment</v>
      </c>
      <c r="L3133" s="316" t="str">
        <f t="shared" si="55"/>
        <v>Diesel</v>
      </c>
      <c r="M3133" s="8"/>
      <c r="N3133" s="2"/>
      <c r="O3133" s="2"/>
      <c r="P3133" s="2"/>
      <c r="Q3133" s="2"/>
      <c r="R3133" s="2"/>
      <c r="S3133" s="2"/>
      <c r="T3133" s="2"/>
      <c r="U3133" s="2"/>
      <c r="V3133" s="2"/>
      <c r="W3133" s="2"/>
      <c r="X3133" s="2"/>
      <c r="Y3133" s="2"/>
      <c r="Z3133" s="2"/>
    </row>
    <row r="3134" spans="1:26" ht="12.75" x14ac:dyDescent="0.2">
      <c r="A3134" s="230"/>
      <c r="B3134" s="18">
        <v>2023</v>
      </c>
      <c r="C3134" s="18" t="s">
        <v>743</v>
      </c>
      <c r="D3134" s="18" t="s">
        <v>1219</v>
      </c>
      <c r="E3134" s="18" t="s">
        <v>703</v>
      </c>
      <c r="F3134" s="18" t="s">
        <v>704</v>
      </c>
      <c r="G3134" s="18" t="s">
        <v>674</v>
      </c>
      <c r="H3134" s="18" t="s">
        <v>1220</v>
      </c>
      <c r="I3134" s="315">
        <v>7.2636575577414924</v>
      </c>
      <c r="J3134" s="315">
        <v>4.9162133404984246E-3</v>
      </c>
      <c r="K3134" s="316" t="str">
        <f t="shared" si="54"/>
        <v>Construction and Mining Equipment</v>
      </c>
      <c r="L3134" s="316" t="str">
        <f t="shared" si="55"/>
        <v>Gasoline</v>
      </c>
      <c r="M3134" s="8"/>
      <c r="N3134" s="2"/>
      <c r="O3134" s="2"/>
      <c r="P3134" s="2"/>
      <c r="Q3134" s="2"/>
      <c r="R3134" s="2"/>
      <c r="S3134" s="2"/>
      <c r="T3134" s="2"/>
      <c r="U3134" s="2"/>
      <c r="V3134" s="2"/>
      <c r="W3134" s="2"/>
      <c r="X3134" s="2"/>
      <c r="Y3134" s="2"/>
      <c r="Z3134" s="2"/>
    </row>
    <row r="3135" spans="1:26" ht="12.75" x14ac:dyDescent="0.2">
      <c r="A3135" s="230"/>
      <c r="B3135" s="18">
        <v>2023</v>
      </c>
      <c r="C3135" s="18" t="s">
        <v>787</v>
      </c>
      <c r="D3135" s="18" t="s">
        <v>1215</v>
      </c>
      <c r="E3135" s="18" t="s">
        <v>56</v>
      </c>
      <c r="F3135" s="18" t="s">
        <v>672</v>
      </c>
      <c r="G3135" s="18" t="s">
        <v>674</v>
      </c>
      <c r="H3135" s="18" t="s">
        <v>756</v>
      </c>
      <c r="I3135" s="315">
        <v>7.2361731346473048</v>
      </c>
      <c r="J3135" s="315">
        <v>1.3387222889044495E-3</v>
      </c>
      <c r="K3135" s="316" t="str">
        <f t="shared" si="54"/>
        <v>Construction and Mining Equipment</v>
      </c>
      <c r="L3135" s="316" t="str">
        <f t="shared" si="55"/>
        <v>LPG</v>
      </c>
      <c r="M3135" s="8"/>
      <c r="N3135" s="2"/>
      <c r="O3135" s="2"/>
      <c r="P3135" s="2"/>
      <c r="Q3135" s="2"/>
      <c r="R3135" s="2"/>
      <c r="S3135" s="2"/>
      <c r="T3135" s="2"/>
      <c r="U3135" s="2"/>
      <c r="V3135" s="2"/>
      <c r="W3135" s="2"/>
      <c r="X3135" s="2"/>
      <c r="Y3135" s="2"/>
      <c r="Z3135" s="2"/>
    </row>
    <row r="3136" spans="1:26" ht="12.75" x14ac:dyDescent="0.2">
      <c r="A3136" s="230"/>
      <c r="B3136" s="18">
        <v>2023</v>
      </c>
      <c r="C3136" s="18" t="s">
        <v>709</v>
      </c>
      <c r="D3136" s="18" t="s">
        <v>1221</v>
      </c>
      <c r="E3136" s="18" t="s">
        <v>713</v>
      </c>
      <c r="F3136" s="18" t="s">
        <v>714</v>
      </c>
      <c r="G3136" s="18" t="s">
        <v>678</v>
      </c>
      <c r="H3136" s="18" t="s">
        <v>1222</v>
      </c>
      <c r="I3136" s="315">
        <v>7.2331265585187792</v>
      </c>
      <c r="J3136" s="315">
        <v>4.818723517760366E-5</v>
      </c>
      <c r="K3136" s="316" t="str">
        <f t="shared" si="54"/>
        <v>Agricultural Equipment</v>
      </c>
      <c r="L3136" s="316" t="str">
        <f t="shared" si="55"/>
        <v>Diesel</v>
      </c>
      <c r="M3136" s="8"/>
      <c r="N3136" s="2"/>
      <c r="O3136" s="2"/>
      <c r="P3136" s="2"/>
      <c r="Q3136" s="2"/>
      <c r="R3136" s="2"/>
      <c r="S3136" s="2"/>
      <c r="T3136" s="2"/>
      <c r="U3136" s="2"/>
      <c r="V3136" s="2"/>
      <c r="W3136" s="2"/>
      <c r="X3136" s="2"/>
      <c r="Y3136" s="2"/>
      <c r="Z3136" s="2"/>
    </row>
    <row r="3137" spans="1:26" ht="12.75" x14ac:dyDescent="0.2">
      <c r="A3137" s="230"/>
      <c r="B3137" s="18">
        <v>2023</v>
      </c>
      <c r="C3137" s="18" t="s">
        <v>786</v>
      </c>
      <c r="D3137" s="18" t="s">
        <v>1020</v>
      </c>
      <c r="E3137" s="18" t="s">
        <v>713</v>
      </c>
      <c r="F3137" s="18" t="s">
        <v>714</v>
      </c>
      <c r="G3137" s="18" t="s">
        <v>677</v>
      </c>
      <c r="H3137" s="18" t="s">
        <v>789</v>
      </c>
      <c r="I3137" s="315">
        <v>7.215993069807368</v>
      </c>
      <c r="J3137" s="315">
        <v>1.6606448688864209E-4</v>
      </c>
      <c r="K3137" s="316" t="str">
        <f t="shared" si="54"/>
        <v>Commercial Equipment</v>
      </c>
      <c r="L3137" s="316" t="str">
        <f t="shared" si="55"/>
        <v>Diesel</v>
      </c>
      <c r="M3137" s="8"/>
      <c r="N3137" s="2"/>
      <c r="O3137" s="2"/>
      <c r="P3137" s="2"/>
      <c r="Q3137" s="2"/>
      <c r="R3137" s="2"/>
      <c r="S3137" s="2"/>
      <c r="T3137" s="2"/>
      <c r="U3137" s="2"/>
      <c r="V3137" s="2"/>
      <c r="W3137" s="2"/>
      <c r="X3137" s="2"/>
      <c r="Y3137" s="2"/>
      <c r="Z3137" s="2"/>
    </row>
    <row r="3138" spans="1:26" ht="12.75" x14ac:dyDescent="0.2">
      <c r="A3138" s="230"/>
      <c r="B3138" s="18">
        <v>2023</v>
      </c>
      <c r="C3138" s="18" t="s">
        <v>810</v>
      </c>
      <c r="D3138" s="18" t="s">
        <v>1034</v>
      </c>
      <c r="E3138" s="18" t="s">
        <v>713</v>
      </c>
      <c r="F3138" s="18" t="s">
        <v>714</v>
      </c>
      <c r="G3138" s="18" t="s">
        <v>677</v>
      </c>
      <c r="H3138" s="18" t="s">
        <v>1031</v>
      </c>
      <c r="I3138" s="315">
        <v>7.2076555821181882</v>
      </c>
      <c r="J3138" s="315">
        <v>1.2525354416452762E-4</v>
      </c>
      <c r="K3138" s="316" t="str">
        <f t="shared" si="54"/>
        <v>Commercial Equipment</v>
      </c>
      <c r="L3138" s="316" t="str">
        <f t="shared" si="55"/>
        <v>Diesel</v>
      </c>
      <c r="M3138" s="8"/>
      <c r="N3138" s="2"/>
      <c r="O3138" s="2"/>
      <c r="P3138" s="2"/>
      <c r="Q3138" s="2"/>
      <c r="R3138" s="2"/>
      <c r="S3138" s="2"/>
      <c r="T3138" s="2"/>
      <c r="U3138" s="2"/>
      <c r="V3138" s="2"/>
      <c r="W3138" s="2"/>
      <c r="X3138" s="2"/>
      <c r="Y3138" s="2"/>
      <c r="Z3138" s="2"/>
    </row>
    <row r="3139" spans="1:26" ht="12.75" x14ac:dyDescent="0.2">
      <c r="A3139" s="230"/>
      <c r="B3139" s="18">
        <v>2023</v>
      </c>
      <c r="C3139" s="18" t="s">
        <v>760</v>
      </c>
      <c r="D3139" s="18" t="s">
        <v>1361</v>
      </c>
      <c r="E3139" s="18" t="s">
        <v>56</v>
      </c>
      <c r="F3139" s="18" t="s">
        <v>672</v>
      </c>
      <c r="G3139" s="18" t="s">
        <v>674</v>
      </c>
      <c r="H3139" s="18" t="s">
        <v>783</v>
      </c>
      <c r="I3139" s="315">
        <v>7.1845894057590884</v>
      </c>
      <c r="J3139" s="315">
        <v>3.298187493897208E-4</v>
      </c>
      <c r="K3139" s="316" t="str">
        <f t="shared" si="54"/>
        <v>Construction and Mining Equipment</v>
      </c>
      <c r="L3139" s="316" t="str">
        <f t="shared" si="55"/>
        <v>LPG</v>
      </c>
      <c r="M3139" s="8"/>
      <c r="N3139" s="2"/>
      <c r="O3139" s="2"/>
      <c r="P3139" s="2"/>
      <c r="Q3139" s="2"/>
      <c r="R3139" s="2"/>
      <c r="S3139" s="2"/>
      <c r="T3139" s="2"/>
      <c r="U3139" s="2"/>
      <c r="V3139" s="2"/>
      <c r="W3139" s="2"/>
      <c r="X3139" s="2"/>
      <c r="Y3139" s="2"/>
      <c r="Z3139" s="2"/>
    </row>
    <row r="3140" spans="1:26" ht="12.75" x14ac:dyDescent="0.2">
      <c r="A3140" s="230"/>
      <c r="B3140" s="18">
        <v>2023</v>
      </c>
      <c r="C3140" s="18" t="s">
        <v>709</v>
      </c>
      <c r="D3140" s="18" t="s">
        <v>1588</v>
      </c>
      <c r="E3140" s="18" t="s">
        <v>56</v>
      </c>
      <c r="F3140" s="18" t="s">
        <v>1575</v>
      </c>
      <c r="G3140" s="18" t="s">
        <v>675</v>
      </c>
      <c r="H3140" s="18" t="s">
        <v>1589</v>
      </c>
      <c r="I3140" s="315">
        <v>7.1772316812126107</v>
      </c>
      <c r="J3140" s="315">
        <v>3.0204313423022811E-2</v>
      </c>
      <c r="K3140" s="316" t="str">
        <f t="shared" si="54"/>
        <v>Industrial Equipment</v>
      </c>
      <c r="L3140" s="316" t="str">
        <f t="shared" si="55"/>
        <v>CNG</v>
      </c>
      <c r="M3140" s="8"/>
      <c r="N3140" s="2"/>
      <c r="O3140" s="2"/>
      <c r="P3140" s="2"/>
      <c r="Q3140" s="2"/>
      <c r="R3140" s="2"/>
      <c r="S3140" s="2"/>
      <c r="T3140" s="2"/>
      <c r="U3140" s="2"/>
      <c r="V3140" s="2"/>
      <c r="W3140" s="2"/>
      <c r="X3140" s="2"/>
      <c r="Y3140" s="2"/>
      <c r="Z3140" s="2"/>
    </row>
    <row r="3141" spans="1:26" ht="12.75" x14ac:dyDescent="0.2">
      <c r="A3141" s="230"/>
      <c r="B3141" s="18">
        <v>2023</v>
      </c>
      <c r="C3141" s="18" t="s">
        <v>743</v>
      </c>
      <c r="D3141" s="18" t="s">
        <v>1223</v>
      </c>
      <c r="E3141" s="18" t="s">
        <v>713</v>
      </c>
      <c r="F3141" s="18" t="s">
        <v>714</v>
      </c>
      <c r="G3141" s="18" t="s">
        <v>674</v>
      </c>
      <c r="H3141" s="18" t="s">
        <v>1036</v>
      </c>
      <c r="I3141" s="315">
        <v>7.1469246479119848</v>
      </c>
      <c r="J3141" s="315">
        <v>6.989627642703469E-4</v>
      </c>
      <c r="K3141" s="316" t="str">
        <f t="shared" si="54"/>
        <v>Construction and Mining Equipment</v>
      </c>
      <c r="L3141" s="316" t="str">
        <f t="shared" si="55"/>
        <v>Diesel</v>
      </c>
      <c r="M3141" s="8"/>
      <c r="N3141" s="2"/>
      <c r="O3141" s="2"/>
      <c r="P3141" s="2"/>
      <c r="Q3141" s="2"/>
      <c r="R3141" s="2"/>
      <c r="S3141" s="2"/>
      <c r="T3141" s="2"/>
      <c r="U3141" s="2"/>
      <c r="V3141" s="2"/>
      <c r="W3141" s="2"/>
      <c r="X3141" s="2"/>
      <c r="Y3141" s="2"/>
      <c r="Z3141" s="2"/>
    </row>
    <row r="3142" spans="1:26" ht="12.75" x14ac:dyDescent="0.2">
      <c r="A3142" s="230"/>
      <c r="B3142" s="18">
        <v>2023</v>
      </c>
      <c r="C3142" s="18" t="s">
        <v>711</v>
      </c>
      <c r="D3142" s="18" t="s">
        <v>1457</v>
      </c>
      <c r="E3142" s="18" t="s">
        <v>56</v>
      </c>
      <c r="F3142" s="18" t="s">
        <v>601</v>
      </c>
      <c r="G3142" s="18" t="s">
        <v>675</v>
      </c>
      <c r="H3142" s="18" t="s">
        <v>772</v>
      </c>
      <c r="I3142" s="315">
        <v>7.1447797621666762</v>
      </c>
      <c r="J3142" s="315">
        <v>2.9143633597682378E-2</v>
      </c>
      <c r="K3142" s="316" t="str">
        <f t="shared" si="54"/>
        <v>Industrial Equipment</v>
      </c>
      <c r="L3142" s="316" t="str">
        <f t="shared" si="55"/>
        <v>CNG</v>
      </c>
      <c r="M3142" s="8"/>
      <c r="N3142" s="2"/>
      <c r="O3142" s="2"/>
      <c r="P3142" s="2"/>
      <c r="Q3142" s="2"/>
      <c r="R3142" s="2"/>
      <c r="S3142" s="2"/>
      <c r="T3142" s="2"/>
      <c r="U3142" s="2"/>
      <c r="V3142" s="2"/>
      <c r="W3142" s="2"/>
      <c r="X3142" s="2"/>
      <c r="Y3142" s="2"/>
      <c r="Z3142" s="2"/>
    </row>
    <row r="3143" spans="1:26" ht="12.75" x14ac:dyDescent="0.2">
      <c r="A3143" s="230"/>
      <c r="B3143" s="18">
        <v>2023</v>
      </c>
      <c r="C3143" s="18" t="s">
        <v>760</v>
      </c>
      <c r="D3143" s="18" t="s">
        <v>1362</v>
      </c>
      <c r="E3143" s="18" t="s">
        <v>56</v>
      </c>
      <c r="F3143" s="18" t="s">
        <v>672</v>
      </c>
      <c r="G3143" s="18" t="s">
        <v>674</v>
      </c>
      <c r="H3143" s="18" t="s">
        <v>859</v>
      </c>
      <c r="I3143" s="315">
        <v>7.0988361576544756</v>
      </c>
      <c r="J3143" s="315">
        <v>1.7606616465103079E-3</v>
      </c>
      <c r="K3143" s="316" t="str">
        <f t="shared" si="54"/>
        <v>Construction and Mining Equipment</v>
      </c>
      <c r="L3143" s="316" t="str">
        <f t="shared" si="55"/>
        <v>LPG</v>
      </c>
      <c r="M3143" s="8"/>
      <c r="N3143" s="2"/>
      <c r="O3143" s="2"/>
      <c r="P3143" s="2"/>
      <c r="Q3143" s="2"/>
      <c r="R3143" s="2"/>
      <c r="S3143" s="2"/>
      <c r="T3143" s="2"/>
      <c r="U3143" s="2"/>
      <c r="V3143" s="2"/>
      <c r="W3143" s="2"/>
      <c r="X3143" s="2"/>
      <c r="Y3143" s="2"/>
      <c r="Z3143" s="2"/>
    </row>
    <row r="3144" spans="1:26" x14ac:dyDescent="0.25">
      <c r="A3144" s="314"/>
      <c r="B3144" s="18">
        <v>2023</v>
      </c>
      <c r="C3144" s="18" t="s">
        <v>810</v>
      </c>
      <c r="D3144" s="18" t="s">
        <v>1037</v>
      </c>
      <c r="E3144" s="18" t="s">
        <v>56</v>
      </c>
      <c r="F3144" s="18" t="s">
        <v>672</v>
      </c>
      <c r="G3144" s="18" t="s">
        <v>677</v>
      </c>
      <c r="H3144" s="18" t="s">
        <v>841</v>
      </c>
      <c r="I3144" s="315">
        <v>7.0897638675230725</v>
      </c>
      <c r="J3144" s="315">
        <v>7.1767676469458943E-4</v>
      </c>
      <c r="K3144" s="316" t="str">
        <f t="shared" si="54"/>
        <v>Commercial Equipment</v>
      </c>
      <c r="L3144" s="316" t="str">
        <f t="shared" si="55"/>
        <v>LPG</v>
      </c>
      <c r="M3144" s="194"/>
      <c r="N3144" s="317"/>
      <c r="O3144" s="317"/>
      <c r="P3144" s="317"/>
      <c r="Q3144" s="317"/>
      <c r="R3144" s="317"/>
      <c r="S3144" s="317"/>
      <c r="T3144" s="317"/>
      <c r="U3144" s="317"/>
      <c r="V3144" s="317"/>
      <c r="W3144" s="317"/>
      <c r="X3144" s="317"/>
      <c r="Y3144" s="317"/>
      <c r="Z3144" s="317"/>
    </row>
    <row r="3145" spans="1:26" x14ac:dyDescent="0.25">
      <c r="A3145" s="314"/>
      <c r="B3145" s="18">
        <v>2023</v>
      </c>
      <c r="C3145" s="18" t="s">
        <v>759</v>
      </c>
      <c r="D3145" s="18" t="s">
        <v>979</v>
      </c>
      <c r="E3145" s="18" t="s">
        <v>703</v>
      </c>
      <c r="F3145" s="18" t="s">
        <v>704</v>
      </c>
      <c r="G3145" s="18" t="s">
        <v>675</v>
      </c>
      <c r="H3145" s="18" t="s">
        <v>802</v>
      </c>
      <c r="I3145" s="315">
        <v>7.0895550796419107</v>
      </c>
      <c r="J3145" s="315">
        <v>2.5404490434939022E-3</v>
      </c>
      <c r="K3145" s="316" t="str">
        <f t="shared" si="54"/>
        <v>Industrial Equipment</v>
      </c>
      <c r="L3145" s="316" t="str">
        <f t="shared" si="55"/>
        <v>Gasoline</v>
      </c>
      <c r="M3145" s="194"/>
      <c r="N3145" s="317"/>
      <c r="O3145" s="317"/>
      <c r="P3145" s="317"/>
      <c r="Q3145" s="317"/>
      <c r="R3145" s="317"/>
      <c r="S3145" s="317"/>
      <c r="T3145" s="317"/>
      <c r="U3145" s="317"/>
      <c r="V3145" s="317"/>
      <c r="W3145" s="317"/>
      <c r="X3145" s="317"/>
      <c r="Y3145" s="317"/>
      <c r="Z3145" s="317"/>
    </row>
    <row r="3146" spans="1:26" x14ac:dyDescent="0.25">
      <c r="A3146" s="314"/>
      <c r="B3146" s="18">
        <v>2023</v>
      </c>
      <c r="C3146" s="18" t="s">
        <v>753</v>
      </c>
      <c r="D3146" s="18" t="s">
        <v>1212</v>
      </c>
      <c r="E3146" s="18" t="s">
        <v>56</v>
      </c>
      <c r="F3146" s="18" t="s">
        <v>672</v>
      </c>
      <c r="G3146" s="18" t="s">
        <v>675</v>
      </c>
      <c r="H3146" s="18" t="s">
        <v>798</v>
      </c>
      <c r="I3146" s="315">
        <v>7.0858808284531447</v>
      </c>
      <c r="J3146" s="315">
        <v>3.2016714806821036E-4</v>
      </c>
      <c r="K3146" s="316" t="str">
        <f t="shared" si="54"/>
        <v>Industrial Equipment</v>
      </c>
      <c r="L3146" s="316" t="str">
        <f t="shared" si="55"/>
        <v>LPG</v>
      </c>
      <c r="M3146" s="194"/>
      <c r="N3146" s="317"/>
      <c r="O3146" s="317"/>
      <c r="P3146" s="317"/>
      <c r="Q3146" s="317"/>
      <c r="R3146" s="317"/>
      <c r="S3146" s="317"/>
      <c r="T3146" s="317"/>
      <c r="U3146" s="317"/>
      <c r="V3146" s="317"/>
      <c r="W3146" s="317"/>
      <c r="X3146" s="317"/>
      <c r="Y3146" s="317"/>
      <c r="Z3146" s="317"/>
    </row>
    <row r="3147" spans="1:26" x14ac:dyDescent="0.25">
      <c r="A3147" s="314"/>
      <c r="B3147" s="18">
        <v>2023</v>
      </c>
      <c r="C3147" s="18" t="s">
        <v>732</v>
      </c>
      <c r="D3147" s="18" t="s">
        <v>1338</v>
      </c>
      <c r="E3147" s="18" t="s">
        <v>703</v>
      </c>
      <c r="F3147" s="18" t="s">
        <v>805</v>
      </c>
      <c r="G3147" s="18" t="s">
        <v>673</v>
      </c>
      <c r="H3147" s="18" t="s">
        <v>987</v>
      </c>
      <c r="I3147" s="315">
        <v>7.0772337253068418</v>
      </c>
      <c r="J3147" s="315">
        <v>1.2923536697494659E-2</v>
      </c>
      <c r="K3147" s="316" t="str">
        <f t="shared" si="54"/>
        <v>Lawn and Garden Equipment</v>
      </c>
      <c r="L3147" s="316" t="str">
        <f t="shared" si="55"/>
        <v>Gasoline</v>
      </c>
      <c r="M3147" s="194"/>
      <c r="N3147" s="317"/>
      <c r="O3147" s="317"/>
      <c r="P3147" s="317"/>
      <c r="Q3147" s="317"/>
      <c r="R3147" s="317"/>
      <c r="S3147" s="317"/>
      <c r="T3147" s="317"/>
      <c r="U3147" s="317"/>
      <c r="V3147" s="317"/>
      <c r="W3147" s="317"/>
      <c r="X3147" s="317"/>
      <c r="Y3147" s="317"/>
      <c r="Z3147" s="317"/>
    </row>
    <row r="3148" spans="1:26" x14ac:dyDescent="0.25">
      <c r="A3148" s="314"/>
      <c r="B3148" s="18">
        <v>2023</v>
      </c>
      <c r="C3148" s="18" t="s">
        <v>793</v>
      </c>
      <c r="D3148" s="18" t="s">
        <v>1017</v>
      </c>
      <c r="E3148" s="18" t="s">
        <v>703</v>
      </c>
      <c r="F3148" s="18" t="s">
        <v>704</v>
      </c>
      <c r="G3148" s="18" t="s">
        <v>673</v>
      </c>
      <c r="H3148" s="18" t="s">
        <v>806</v>
      </c>
      <c r="I3148" s="315">
        <v>7.0406447258781331</v>
      </c>
      <c r="J3148" s="315">
        <v>4.9560917935061724E-3</v>
      </c>
      <c r="K3148" s="316" t="str">
        <f t="shared" si="54"/>
        <v>Lawn and Garden Equipment</v>
      </c>
      <c r="L3148" s="316" t="str">
        <f t="shared" si="55"/>
        <v>Gasoline</v>
      </c>
      <c r="M3148" s="194"/>
      <c r="N3148" s="317"/>
      <c r="O3148" s="317"/>
      <c r="P3148" s="317"/>
      <c r="Q3148" s="317"/>
      <c r="R3148" s="317"/>
      <c r="S3148" s="317"/>
      <c r="T3148" s="317"/>
      <c r="U3148" s="317"/>
      <c r="V3148" s="317"/>
      <c r="W3148" s="317"/>
      <c r="X3148" s="317"/>
      <c r="Y3148" s="317"/>
      <c r="Z3148" s="317"/>
    </row>
    <row r="3149" spans="1:26" x14ac:dyDescent="0.25">
      <c r="A3149" s="314"/>
      <c r="B3149" s="18">
        <v>2023</v>
      </c>
      <c r="C3149" s="18" t="s">
        <v>778</v>
      </c>
      <c r="D3149" s="18" t="s">
        <v>1075</v>
      </c>
      <c r="E3149" s="18" t="s">
        <v>56</v>
      </c>
      <c r="F3149" s="18" t="s">
        <v>672</v>
      </c>
      <c r="G3149" s="18" t="s">
        <v>675</v>
      </c>
      <c r="H3149" s="18" t="s">
        <v>772</v>
      </c>
      <c r="I3149" s="315">
        <v>7.0216364459500813</v>
      </c>
      <c r="J3149" s="315">
        <v>3.2348484629995912E-4</v>
      </c>
      <c r="K3149" s="316" t="str">
        <f t="shared" si="54"/>
        <v>Industrial Equipment</v>
      </c>
      <c r="L3149" s="316" t="str">
        <f t="shared" si="55"/>
        <v>LPG</v>
      </c>
      <c r="M3149" s="194"/>
      <c r="N3149" s="317"/>
      <c r="O3149" s="317"/>
      <c r="P3149" s="317"/>
      <c r="Q3149" s="317"/>
      <c r="R3149" s="317"/>
      <c r="S3149" s="317"/>
      <c r="T3149" s="317"/>
      <c r="U3149" s="317"/>
      <c r="V3149" s="317"/>
      <c r="W3149" s="317"/>
      <c r="X3149" s="317"/>
      <c r="Y3149" s="317"/>
      <c r="Z3149" s="317"/>
    </row>
    <row r="3150" spans="1:26" x14ac:dyDescent="0.25">
      <c r="A3150" s="314"/>
      <c r="B3150" s="18">
        <v>2023</v>
      </c>
      <c r="C3150" s="18" t="s">
        <v>731</v>
      </c>
      <c r="D3150" s="18" t="s">
        <v>1014</v>
      </c>
      <c r="E3150" s="18" t="s">
        <v>713</v>
      </c>
      <c r="F3150" s="18" t="s">
        <v>714</v>
      </c>
      <c r="G3150" s="18" t="s">
        <v>674</v>
      </c>
      <c r="H3150" s="18" t="s">
        <v>994</v>
      </c>
      <c r="I3150" s="315">
        <v>6.9838776299456518</v>
      </c>
      <c r="J3150" s="315">
        <v>9.0972578365117554E-5</v>
      </c>
      <c r="K3150" s="316" t="str">
        <f t="shared" si="54"/>
        <v>Construction and Mining Equipment</v>
      </c>
      <c r="L3150" s="316" t="str">
        <f t="shared" si="55"/>
        <v>Diesel</v>
      </c>
      <c r="M3150" s="194"/>
      <c r="N3150" s="317"/>
      <c r="O3150" s="317"/>
      <c r="P3150" s="317"/>
      <c r="Q3150" s="317"/>
      <c r="R3150" s="317"/>
      <c r="S3150" s="317"/>
      <c r="T3150" s="317"/>
      <c r="U3150" s="317"/>
      <c r="V3150" s="317"/>
      <c r="W3150" s="317"/>
      <c r="X3150" s="317"/>
      <c r="Y3150" s="317"/>
      <c r="Z3150" s="317"/>
    </row>
    <row r="3151" spans="1:26" x14ac:dyDescent="0.25">
      <c r="A3151" s="314"/>
      <c r="B3151" s="18">
        <v>2023</v>
      </c>
      <c r="C3151" s="18" t="s">
        <v>760</v>
      </c>
      <c r="D3151" s="18" t="s">
        <v>1366</v>
      </c>
      <c r="E3151" s="18" t="s">
        <v>703</v>
      </c>
      <c r="F3151" s="18" t="s">
        <v>704</v>
      </c>
      <c r="G3151" s="18" t="s">
        <v>674</v>
      </c>
      <c r="H3151" s="18" t="s">
        <v>791</v>
      </c>
      <c r="I3151" s="315">
        <v>6.9552543847077946</v>
      </c>
      <c r="J3151" s="315">
        <v>2.179290562832567E-3</v>
      </c>
      <c r="K3151" s="316" t="str">
        <f t="shared" si="54"/>
        <v>Construction and Mining Equipment</v>
      </c>
      <c r="L3151" s="316" t="str">
        <f t="shared" si="55"/>
        <v>Gasoline</v>
      </c>
      <c r="M3151" s="194"/>
      <c r="N3151" s="317"/>
      <c r="O3151" s="317"/>
      <c r="P3151" s="317"/>
      <c r="Q3151" s="317"/>
      <c r="R3151" s="317"/>
      <c r="S3151" s="317"/>
      <c r="T3151" s="317"/>
      <c r="U3151" s="317"/>
      <c r="V3151" s="317"/>
      <c r="W3151" s="317"/>
      <c r="X3151" s="317"/>
      <c r="Y3151" s="317"/>
      <c r="Z3151" s="317"/>
    </row>
    <row r="3152" spans="1:26" x14ac:dyDescent="0.25">
      <c r="A3152" s="314"/>
      <c r="B3152" s="18">
        <v>2023</v>
      </c>
      <c r="C3152" s="18" t="s">
        <v>786</v>
      </c>
      <c r="D3152" s="18" t="s">
        <v>1014</v>
      </c>
      <c r="E3152" s="18" t="s">
        <v>713</v>
      </c>
      <c r="F3152" s="18" t="s">
        <v>714</v>
      </c>
      <c r="G3152" s="18" t="s">
        <v>674</v>
      </c>
      <c r="H3152" s="18" t="s">
        <v>994</v>
      </c>
      <c r="I3152" s="315">
        <v>6.9363066931487127</v>
      </c>
      <c r="J3152" s="315">
        <v>9.035308258787154E-5</v>
      </c>
      <c r="K3152" s="316" t="str">
        <f t="shared" si="54"/>
        <v>Construction and Mining Equipment</v>
      </c>
      <c r="L3152" s="316" t="str">
        <f t="shared" si="55"/>
        <v>Diesel</v>
      </c>
      <c r="M3152" s="194"/>
      <c r="N3152" s="317"/>
      <c r="O3152" s="317"/>
      <c r="P3152" s="317"/>
      <c r="Q3152" s="317"/>
      <c r="R3152" s="317"/>
      <c r="S3152" s="317"/>
      <c r="T3152" s="317"/>
      <c r="U3152" s="317"/>
      <c r="V3152" s="317"/>
      <c r="W3152" s="317"/>
      <c r="X3152" s="317"/>
      <c r="Y3152" s="317"/>
      <c r="Z3152" s="317"/>
    </row>
    <row r="3153" spans="1:26" x14ac:dyDescent="0.25">
      <c r="A3153" s="314"/>
      <c r="B3153" s="18">
        <v>2023</v>
      </c>
      <c r="C3153" s="18" t="s">
        <v>754</v>
      </c>
      <c r="D3153" s="18" t="s">
        <v>1539</v>
      </c>
      <c r="E3153" s="18" t="s">
        <v>703</v>
      </c>
      <c r="F3153" s="18" t="s">
        <v>704</v>
      </c>
      <c r="G3153" s="18" t="s">
        <v>678</v>
      </c>
      <c r="H3153" s="18" t="s">
        <v>1230</v>
      </c>
      <c r="I3153" s="315">
        <v>6.9239046669031232</v>
      </c>
      <c r="J3153" s="315">
        <v>4.1361425287796795E-3</v>
      </c>
      <c r="K3153" s="316" t="str">
        <f t="shared" si="54"/>
        <v>Agricultural Equipment</v>
      </c>
      <c r="L3153" s="316" t="str">
        <f t="shared" si="55"/>
        <v>Gasoline</v>
      </c>
      <c r="M3153" s="194"/>
      <c r="N3153" s="317"/>
      <c r="O3153" s="317"/>
      <c r="P3153" s="317"/>
      <c r="Q3153" s="317"/>
      <c r="R3153" s="317"/>
      <c r="S3153" s="317"/>
      <c r="T3153" s="317"/>
      <c r="U3153" s="317"/>
      <c r="V3153" s="317"/>
      <c r="W3153" s="317"/>
      <c r="X3153" s="317"/>
      <c r="Y3153" s="317"/>
      <c r="Z3153" s="317"/>
    </row>
    <row r="3154" spans="1:26" x14ac:dyDescent="0.25">
      <c r="A3154" s="314"/>
      <c r="B3154" s="18">
        <v>2023</v>
      </c>
      <c r="C3154" s="18" t="s">
        <v>760</v>
      </c>
      <c r="D3154" s="18" t="s">
        <v>1409</v>
      </c>
      <c r="E3154" s="18" t="s">
        <v>703</v>
      </c>
      <c r="F3154" s="18" t="s">
        <v>704</v>
      </c>
      <c r="G3154" s="18" t="s">
        <v>678</v>
      </c>
      <c r="H3154" s="18" t="s">
        <v>1222</v>
      </c>
      <c r="I3154" s="315">
        <v>6.8927455302737775</v>
      </c>
      <c r="J3154" s="315">
        <v>4.557755110907208E-3</v>
      </c>
      <c r="K3154" s="316" t="str">
        <f t="shared" si="54"/>
        <v>Agricultural Equipment</v>
      </c>
      <c r="L3154" s="316" t="str">
        <f t="shared" si="55"/>
        <v>Gasoline</v>
      </c>
      <c r="M3154" s="194"/>
      <c r="N3154" s="317"/>
      <c r="O3154" s="317"/>
      <c r="P3154" s="317"/>
      <c r="Q3154" s="317"/>
      <c r="R3154" s="317"/>
      <c r="S3154" s="317"/>
      <c r="T3154" s="317"/>
      <c r="U3154" s="317"/>
      <c r="V3154" s="317"/>
      <c r="W3154" s="317"/>
      <c r="X3154" s="317"/>
      <c r="Y3154" s="317"/>
      <c r="Z3154" s="317"/>
    </row>
    <row r="3155" spans="1:26" x14ac:dyDescent="0.25">
      <c r="A3155" s="314"/>
      <c r="B3155" s="18">
        <v>2023</v>
      </c>
      <c r="C3155" s="18" t="s">
        <v>732</v>
      </c>
      <c r="D3155" s="18" t="s">
        <v>1339</v>
      </c>
      <c r="E3155" s="18" t="s">
        <v>56</v>
      </c>
      <c r="F3155" s="18" t="s">
        <v>672</v>
      </c>
      <c r="G3155" s="18" t="s">
        <v>674</v>
      </c>
      <c r="H3155" s="18" t="s">
        <v>770</v>
      </c>
      <c r="I3155" s="315">
        <v>6.8746717517140574</v>
      </c>
      <c r="J3155" s="315">
        <v>5.0764398101858603E-4</v>
      </c>
      <c r="K3155" s="316" t="str">
        <f t="shared" si="54"/>
        <v>Construction and Mining Equipment</v>
      </c>
      <c r="L3155" s="316" t="str">
        <f t="shared" si="55"/>
        <v>LPG</v>
      </c>
      <c r="M3155" s="194"/>
      <c r="N3155" s="317"/>
      <c r="O3155" s="317"/>
      <c r="P3155" s="317"/>
      <c r="Q3155" s="317"/>
      <c r="R3155" s="317"/>
      <c r="S3155" s="317"/>
      <c r="T3155" s="317"/>
      <c r="U3155" s="317"/>
      <c r="V3155" s="317"/>
      <c r="W3155" s="317"/>
      <c r="X3155" s="317"/>
      <c r="Y3155" s="317"/>
      <c r="Z3155" s="317"/>
    </row>
    <row r="3156" spans="1:26" x14ac:dyDescent="0.25">
      <c r="A3156" s="314"/>
      <c r="B3156" s="18">
        <v>2023</v>
      </c>
      <c r="C3156" s="18" t="s">
        <v>793</v>
      </c>
      <c r="D3156" s="18" t="s">
        <v>1016</v>
      </c>
      <c r="E3156" s="18" t="s">
        <v>56</v>
      </c>
      <c r="F3156" s="18" t="s">
        <v>672</v>
      </c>
      <c r="G3156" s="18" t="s">
        <v>675</v>
      </c>
      <c r="H3156" s="18" t="s">
        <v>802</v>
      </c>
      <c r="I3156" s="315">
        <v>6.8572557873865367</v>
      </c>
      <c r="J3156" s="315">
        <v>3.1459579063009669E-4</v>
      </c>
      <c r="K3156" s="316" t="str">
        <f t="shared" si="54"/>
        <v>Industrial Equipment</v>
      </c>
      <c r="L3156" s="316" t="str">
        <f t="shared" si="55"/>
        <v>LPG</v>
      </c>
      <c r="M3156" s="194"/>
      <c r="N3156" s="317"/>
      <c r="O3156" s="317"/>
      <c r="P3156" s="317"/>
      <c r="Q3156" s="317"/>
      <c r="R3156" s="317"/>
      <c r="S3156" s="317"/>
      <c r="T3156" s="317"/>
      <c r="U3156" s="317"/>
      <c r="V3156" s="317"/>
      <c r="W3156" s="317"/>
      <c r="X3156" s="317"/>
      <c r="Y3156" s="317"/>
      <c r="Z3156" s="317"/>
    </row>
    <row r="3157" spans="1:26" x14ac:dyDescent="0.25">
      <c r="A3157" s="314"/>
      <c r="B3157" s="18">
        <v>2023</v>
      </c>
      <c r="C3157" s="18" t="s">
        <v>753</v>
      </c>
      <c r="D3157" s="18" t="s">
        <v>1081</v>
      </c>
      <c r="E3157" s="18" t="s">
        <v>703</v>
      </c>
      <c r="F3157" s="18" t="s">
        <v>805</v>
      </c>
      <c r="G3157" s="18" t="s">
        <v>674</v>
      </c>
      <c r="H3157" s="18" t="s">
        <v>1082</v>
      </c>
      <c r="I3157" s="315">
        <v>6.8457331582467296</v>
      </c>
      <c r="J3157" s="315">
        <v>1.1104038514068821E-2</v>
      </c>
      <c r="K3157" s="316" t="str">
        <f t="shared" si="54"/>
        <v>Construction and Mining Equipment</v>
      </c>
      <c r="L3157" s="316" t="str">
        <f t="shared" si="55"/>
        <v>Gasoline</v>
      </c>
      <c r="M3157" s="194"/>
      <c r="N3157" s="317"/>
      <c r="O3157" s="317"/>
      <c r="P3157" s="317"/>
      <c r="Q3157" s="317"/>
      <c r="R3157" s="317"/>
      <c r="S3157" s="317"/>
      <c r="T3157" s="317"/>
      <c r="U3157" s="317"/>
      <c r="V3157" s="317"/>
      <c r="W3157" s="317"/>
      <c r="X3157" s="317"/>
      <c r="Y3157" s="317"/>
      <c r="Z3157" s="317"/>
    </row>
    <row r="3158" spans="1:26" x14ac:dyDescent="0.25">
      <c r="A3158" s="314"/>
      <c r="B3158" s="18">
        <v>2023</v>
      </c>
      <c r="C3158" s="18" t="s">
        <v>792</v>
      </c>
      <c r="D3158" s="18" t="s">
        <v>1403</v>
      </c>
      <c r="E3158" s="18" t="s">
        <v>703</v>
      </c>
      <c r="F3158" s="18" t="s">
        <v>683</v>
      </c>
      <c r="G3158" s="18" t="s">
        <v>1404</v>
      </c>
      <c r="H3158" s="18" t="s">
        <v>1002</v>
      </c>
      <c r="I3158" s="315">
        <v>6.8375496620482679</v>
      </c>
      <c r="J3158" s="315">
        <v>4.4581884728394647E-3</v>
      </c>
      <c r="K3158" s="316" t="str">
        <f t="shared" si="54"/>
        <v>Railroad Equipment</v>
      </c>
      <c r="L3158" s="316" t="str">
        <f t="shared" si="55"/>
        <v>Gasoline</v>
      </c>
      <c r="M3158" s="194"/>
      <c r="N3158" s="317"/>
      <c r="O3158" s="317"/>
      <c r="P3158" s="317"/>
      <c r="Q3158" s="317"/>
      <c r="R3158" s="317"/>
      <c r="S3158" s="317"/>
      <c r="T3158" s="317"/>
      <c r="U3158" s="317"/>
      <c r="V3158" s="317"/>
      <c r="W3158" s="317"/>
      <c r="X3158" s="317"/>
      <c r="Y3158" s="317"/>
      <c r="Z3158" s="317"/>
    </row>
    <row r="3159" spans="1:26" x14ac:dyDescent="0.25">
      <c r="A3159" s="314"/>
      <c r="B3159" s="18">
        <v>2023</v>
      </c>
      <c r="C3159" s="18" t="s">
        <v>709</v>
      </c>
      <c r="D3159" s="18" t="s">
        <v>1483</v>
      </c>
      <c r="E3159" s="18" t="s">
        <v>703</v>
      </c>
      <c r="F3159" s="18" t="s">
        <v>805</v>
      </c>
      <c r="G3159" s="18" t="s">
        <v>674</v>
      </c>
      <c r="H3159" s="18" t="s">
        <v>994</v>
      </c>
      <c r="I3159" s="315">
        <v>6.8358373070065763</v>
      </c>
      <c r="J3159" s="315">
        <v>1.4332547630331278E-2</v>
      </c>
      <c r="K3159" s="316" t="str">
        <f t="shared" si="54"/>
        <v>Construction and Mining Equipment</v>
      </c>
      <c r="L3159" s="316" t="str">
        <f t="shared" si="55"/>
        <v>Gasoline</v>
      </c>
      <c r="M3159" s="194"/>
      <c r="N3159" s="317"/>
      <c r="O3159" s="317"/>
      <c r="P3159" s="317"/>
      <c r="Q3159" s="317"/>
      <c r="R3159" s="317"/>
      <c r="S3159" s="317"/>
      <c r="T3159" s="317"/>
      <c r="U3159" s="317"/>
      <c r="V3159" s="317"/>
      <c r="W3159" s="317"/>
      <c r="X3159" s="317"/>
      <c r="Y3159" s="317"/>
      <c r="Z3159" s="317"/>
    </row>
    <row r="3160" spans="1:26" x14ac:dyDescent="0.25">
      <c r="A3160" s="314"/>
      <c r="B3160" s="18">
        <v>2023</v>
      </c>
      <c r="C3160" s="18" t="s">
        <v>722</v>
      </c>
      <c r="D3160" s="18" t="s">
        <v>1295</v>
      </c>
      <c r="E3160" s="18" t="s">
        <v>703</v>
      </c>
      <c r="F3160" s="18" t="s">
        <v>704</v>
      </c>
      <c r="G3160" s="18" t="s">
        <v>674</v>
      </c>
      <c r="H3160" s="18" t="s">
        <v>859</v>
      </c>
      <c r="I3160" s="315">
        <v>6.8349607875899672</v>
      </c>
      <c r="J3160" s="315">
        <v>2.208407854045523E-3</v>
      </c>
      <c r="K3160" s="316" t="str">
        <f t="shared" si="54"/>
        <v>Construction and Mining Equipment</v>
      </c>
      <c r="L3160" s="316" t="str">
        <f t="shared" si="55"/>
        <v>Gasoline</v>
      </c>
      <c r="M3160" s="194"/>
      <c r="N3160" s="317"/>
      <c r="O3160" s="317"/>
      <c r="P3160" s="317"/>
      <c r="Q3160" s="317"/>
      <c r="R3160" s="317"/>
      <c r="S3160" s="317"/>
      <c r="T3160" s="317"/>
      <c r="U3160" s="317"/>
      <c r="V3160" s="317"/>
      <c r="W3160" s="317"/>
      <c r="X3160" s="317"/>
      <c r="Y3160" s="317"/>
      <c r="Z3160" s="317"/>
    </row>
    <row r="3161" spans="1:26" x14ac:dyDescent="0.25">
      <c r="A3161" s="314"/>
      <c r="B3161" s="18">
        <v>2023</v>
      </c>
      <c r="C3161" s="18" t="s">
        <v>762</v>
      </c>
      <c r="D3161" s="18" t="s">
        <v>1073</v>
      </c>
      <c r="E3161" s="18" t="s">
        <v>703</v>
      </c>
      <c r="F3161" s="18" t="s">
        <v>704</v>
      </c>
      <c r="G3161" s="18" t="s">
        <v>674</v>
      </c>
      <c r="H3161" s="18" t="s">
        <v>1072</v>
      </c>
      <c r="I3161" s="315">
        <v>6.8011069567694262</v>
      </c>
      <c r="J3161" s="315">
        <v>4.7891340571378756E-3</v>
      </c>
      <c r="K3161" s="316" t="str">
        <f t="shared" si="54"/>
        <v>Construction and Mining Equipment</v>
      </c>
      <c r="L3161" s="316" t="str">
        <f t="shared" si="55"/>
        <v>Gasoline</v>
      </c>
      <c r="M3161" s="194"/>
      <c r="N3161" s="317"/>
      <c r="O3161" s="317"/>
      <c r="P3161" s="317"/>
      <c r="Q3161" s="317"/>
      <c r="R3161" s="317"/>
      <c r="S3161" s="317"/>
      <c r="T3161" s="317"/>
      <c r="U3161" s="317"/>
      <c r="V3161" s="317"/>
      <c r="W3161" s="317"/>
      <c r="X3161" s="317"/>
      <c r="Y3161" s="317"/>
      <c r="Z3161" s="317"/>
    </row>
    <row r="3162" spans="1:26" x14ac:dyDescent="0.25">
      <c r="A3162" s="314"/>
      <c r="B3162" s="18">
        <v>2023</v>
      </c>
      <c r="C3162" s="18" t="s">
        <v>711</v>
      </c>
      <c r="D3162" s="18" t="s">
        <v>1435</v>
      </c>
      <c r="E3162" s="18" t="s">
        <v>56</v>
      </c>
      <c r="F3162" s="18" t="s">
        <v>672</v>
      </c>
      <c r="G3162" s="18" t="s">
        <v>674</v>
      </c>
      <c r="H3162" s="18" t="s">
        <v>863</v>
      </c>
      <c r="I3162" s="315">
        <v>6.7891575662985275</v>
      </c>
      <c r="J3162" s="315">
        <v>4.5212863148593667E-4</v>
      </c>
      <c r="K3162" s="316" t="str">
        <f t="shared" si="54"/>
        <v>Construction and Mining Equipment</v>
      </c>
      <c r="L3162" s="316" t="str">
        <f t="shared" si="55"/>
        <v>LPG</v>
      </c>
      <c r="M3162" s="194"/>
      <c r="N3162" s="317"/>
      <c r="O3162" s="317"/>
      <c r="P3162" s="317"/>
      <c r="Q3162" s="317"/>
      <c r="R3162" s="317"/>
      <c r="S3162" s="317"/>
      <c r="T3162" s="317"/>
      <c r="U3162" s="317"/>
      <c r="V3162" s="317"/>
      <c r="W3162" s="317"/>
      <c r="X3162" s="317"/>
      <c r="Y3162" s="317"/>
      <c r="Z3162" s="317"/>
    </row>
    <row r="3163" spans="1:26" x14ac:dyDescent="0.25">
      <c r="A3163" s="314"/>
      <c r="B3163" s="18">
        <v>2023</v>
      </c>
      <c r="C3163" s="18" t="s">
        <v>778</v>
      </c>
      <c r="D3163" s="18" t="s">
        <v>1077</v>
      </c>
      <c r="E3163" s="18" t="s">
        <v>713</v>
      </c>
      <c r="F3163" s="18" t="s">
        <v>714</v>
      </c>
      <c r="G3163" s="18" t="s">
        <v>675</v>
      </c>
      <c r="H3163" s="18" t="s">
        <v>1078</v>
      </c>
      <c r="I3163" s="315">
        <v>6.7891114597597015</v>
      </c>
      <c r="J3163" s="315">
        <v>1.7216682556977947E-4</v>
      </c>
      <c r="K3163" s="316" t="str">
        <f t="shared" si="54"/>
        <v>Industrial Equipment</v>
      </c>
      <c r="L3163" s="316" t="str">
        <f t="shared" si="55"/>
        <v>Diesel</v>
      </c>
      <c r="M3163" s="194"/>
      <c r="N3163" s="317"/>
      <c r="O3163" s="317"/>
      <c r="P3163" s="317"/>
      <c r="Q3163" s="317"/>
      <c r="R3163" s="317"/>
      <c r="S3163" s="317"/>
      <c r="T3163" s="317"/>
      <c r="U3163" s="317"/>
      <c r="V3163" s="317"/>
      <c r="W3163" s="317"/>
      <c r="X3163" s="317"/>
      <c r="Y3163" s="317"/>
      <c r="Z3163" s="317"/>
    </row>
    <row r="3164" spans="1:26" x14ac:dyDescent="0.25">
      <c r="A3164" s="314"/>
      <c r="B3164" s="18">
        <v>2023</v>
      </c>
      <c r="C3164" s="18" t="s">
        <v>762</v>
      </c>
      <c r="D3164" s="18" t="s">
        <v>1074</v>
      </c>
      <c r="E3164" s="18" t="s">
        <v>713</v>
      </c>
      <c r="F3164" s="18" t="s">
        <v>714</v>
      </c>
      <c r="G3164" s="18" t="s">
        <v>674</v>
      </c>
      <c r="H3164" s="18" t="s">
        <v>967</v>
      </c>
      <c r="I3164" s="315">
        <v>6.7807914077505052</v>
      </c>
      <c r="J3164" s="315">
        <v>1.1652460861636652E-4</v>
      </c>
      <c r="K3164" s="316" t="str">
        <f t="shared" si="54"/>
        <v>Construction and Mining Equipment</v>
      </c>
      <c r="L3164" s="316" t="str">
        <f t="shared" si="55"/>
        <v>Diesel</v>
      </c>
      <c r="M3164" s="194"/>
      <c r="N3164" s="317"/>
      <c r="O3164" s="317"/>
      <c r="P3164" s="317"/>
      <c r="Q3164" s="317"/>
      <c r="R3164" s="317"/>
      <c r="S3164" s="317"/>
      <c r="T3164" s="317"/>
      <c r="U3164" s="317"/>
      <c r="V3164" s="317"/>
      <c r="W3164" s="317"/>
      <c r="X3164" s="317"/>
      <c r="Y3164" s="317"/>
      <c r="Z3164" s="317"/>
    </row>
    <row r="3165" spans="1:26" x14ac:dyDescent="0.25">
      <c r="A3165" s="314"/>
      <c r="B3165" s="18">
        <v>2023</v>
      </c>
      <c r="C3165" s="18" t="s">
        <v>750</v>
      </c>
      <c r="D3165" s="18" t="s">
        <v>1215</v>
      </c>
      <c r="E3165" s="18" t="s">
        <v>56</v>
      </c>
      <c r="F3165" s="18" t="s">
        <v>672</v>
      </c>
      <c r="G3165" s="18" t="s">
        <v>674</v>
      </c>
      <c r="H3165" s="18" t="s">
        <v>756</v>
      </c>
      <c r="I3165" s="315">
        <v>6.7651920761458548</v>
      </c>
      <c r="J3165" s="315">
        <v>1.2515884649707911E-3</v>
      </c>
      <c r="K3165" s="316" t="str">
        <f t="shared" si="54"/>
        <v>Construction and Mining Equipment</v>
      </c>
      <c r="L3165" s="316" t="str">
        <f t="shared" si="55"/>
        <v>LPG</v>
      </c>
      <c r="M3165" s="194"/>
      <c r="N3165" s="317"/>
      <c r="O3165" s="317"/>
      <c r="P3165" s="317"/>
      <c r="Q3165" s="317"/>
      <c r="R3165" s="317"/>
      <c r="S3165" s="317"/>
      <c r="T3165" s="317"/>
      <c r="U3165" s="317"/>
      <c r="V3165" s="317"/>
      <c r="W3165" s="317"/>
      <c r="X3165" s="317"/>
      <c r="Y3165" s="317"/>
      <c r="Z3165" s="317"/>
    </row>
    <row r="3166" spans="1:26" x14ac:dyDescent="0.25">
      <c r="A3166" s="314"/>
      <c r="B3166" s="18">
        <v>2023</v>
      </c>
      <c r="C3166" s="18" t="s">
        <v>754</v>
      </c>
      <c r="D3166" s="18" t="s">
        <v>1228</v>
      </c>
      <c r="E3166" s="18" t="s">
        <v>703</v>
      </c>
      <c r="F3166" s="18" t="s">
        <v>704</v>
      </c>
      <c r="G3166" s="18" t="s">
        <v>675</v>
      </c>
      <c r="H3166" s="18" t="s">
        <v>1078</v>
      </c>
      <c r="I3166" s="315">
        <v>6.7264547317165668</v>
      </c>
      <c r="J3166" s="315">
        <v>2.2762046911153967E-3</v>
      </c>
      <c r="K3166" s="316" t="str">
        <f t="shared" si="54"/>
        <v>Industrial Equipment</v>
      </c>
      <c r="L3166" s="316" t="str">
        <f t="shared" si="55"/>
        <v>Gasoline</v>
      </c>
      <c r="M3166" s="194"/>
      <c r="N3166" s="317"/>
      <c r="O3166" s="317"/>
      <c r="P3166" s="317"/>
      <c r="Q3166" s="317"/>
      <c r="R3166" s="317"/>
      <c r="S3166" s="317"/>
      <c r="T3166" s="317"/>
      <c r="U3166" s="317"/>
      <c r="V3166" s="317"/>
      <c r="W3166" s="317"/>
      <c r="X3166" s="317"/>
      <c r="Y3166" s="317"/>
      <c r="Z3166" s="317"/>
    </row>
    <row r="3167" spans="1:26" x14ac:dyDescent="0.25">
      <c r="A3167" s="314"/>
      <c r="B3167" s="18">
        <v>2023</v>
      </c>
      <c r="C3167" s="18" t="s">
        <v>743</v>
      </c>
      <c r="D3167" s="18" t="s">
        <v>1227</v>
      </c>
      <c r="E3167" s="18" t="s">
        <v>56</v>
      </c>
      <c r="F3167" s="18" t="s">
        <v>672</v>
      </c>
      <c r="G3167" s="18" t="s">
        <v>674</v>
      </c>
      <c r="H3167" s="18" t="s">
        <v>850</v>
      </c>
      <c r="I3167" s="315">
        <v>6.7147035592100703</v>
      </c>
      <c r="J3167" s="315">
        <v>4.3119145999285862E-4</v>
      </c>
      <c r="K3167" s="316" t="str">
        <f t="shared" si="54"/>
        <v>Construction and Mining Equipment</v>
      </c>
      <c r="L3167" s="316" t="str">
        <f t="shared" si="55"/>
        <v>LPG</v>
      </c>
      <c r="M3167" s="194"/>
      <c r="N3167" s="317"/>
      <c r="O3167" s="317"/>
      <c r="P3167" s="317"/>
      <c r="Q3167" s="317"/>
      <c r="R3167" s="317"/>
      <c r="S3167" s="317"/>
      <c r="T3167" s="317"/>
      <c r="U3167" s="317"/>
      <c r="V3167" s="317"/>
      <c r="W3167" s="317"/>
      <c r="X3167" s="317"/>
      <c r="Y3167" s="317"/>
      <c r="Z3167" s="317"/>
    </row>
    <row r="3168" spans="1:26" x14ac:dyDescent="0.25">
      <c r="A3168" s="314"/>
      <c r="B3168" s="18">
        <v>2023</v>
      </c>
      <c r="C3168" s="18" t="s">
        <v>754</v>
      </c>
      <c r="D3168" s="18" t="s">
        <v>1292</v>
      </c>
      <c r="E3168" s="18" t="s">
        <v>703</v>
      </c>
      <c r="F3168" s="18" t="s">
        <v>795</v>
      </c>
      <c r="G3168" s="18" t="s">
        <v>675</v>
      </c>
      <c r="H3168" s="18" t="s">
        <v>1293</v>
      </c>
      <c r="I3168" s="315">
        <v>6.707017887360311</v>
      </c>
      <c r="J3168" s="315">
        <v>4.5146468056587626E-3</v>
      </c>
      <c r="K3168" s="316" t="str">
        <f t="shared" si="54"/>
        <v>Industrial Equipment</v>
      </c>
      <c r="L3168" s="316" t="str">
        <f t="shared" si="55"/>
        <v>Gasoline</v>
      </c>
      <c r="M3168" s="194"/>
      <c r="N3168" s="317"/>
      <c r="O3168" s="317"/>
      <c r="P3168" s="317"/>
      <c r="Q3168" s="317"/>
      <c r="R3168" s="317"/>
      <c r="S3168" s="317"/>
      <c r="T3168" s="317"/>
      <c r="U3168" s="317"/>
      <c r="V3168" s="317"/>
      <c r="W3168" s="317"/>
      <c r="X3168" s="317"/>
      <c r="Y3168" s="317"/>
      <c r="Z3168" s="317"/>
    </row>
    <row r="3169" spans="1:26" x14ac:dyDescent="0.25">
      <c r="A3169" s="314"/>
      <c r="B3169" s="18">
        <v>2023</v>
      </c>
      <c r="C3169" s="18" t="s">
        <v>701</v>
      </c>
      <c r="D3169" s="18" t="s">
        <v>1409</v>
      </c>
      <c r="E3169" s="18" t="s">
        <v>703</v>
      </c>
      <c r="F3169" s="18" t="s">
        <v>704</v>
      </c>
      <c r="G3169" s="18" t="s">
        <v>678</v>
      </c>
      <c r="H3169" s="18" t="s">
        <v>1222</v>
      </c>
      <c r="I3169" s="315">
        <v>6.6962218692194444</v>
      </c>
      <c r="J3169" s="315">
        <v>4.427102142310263E-3</v>
      </c>
      <c r="K3169" s="316" t="str">
        <f t="shared" si="54"/>
        <v>Agricultural Equipment</v>
      </c>
      <c r="L3169" s="316" t="str">
        <f t="shared" si="55"/>
        <v>Gasoline</v>
      </c>
      <c r="M3169" s="194"/>
      <c r="N3169" s="317"/>
      <c r="O3169" s="317"/>
      <c r="P3169" s="317"/>
      <c r="Q3169" s="317"/>
      <c r="R3169" s="317"/>
      <c r="S3169" s="317"/>
      <c r="T3169" s="317"/>
      <c r="U3169" s="317"/>
      <c r="V3169" s="317"/>
      <c r="W3169" s="317"/>
      <c r="X3169" s="317"/>
      <c r="Y3169" s="317"/>
      <c r="Z3169" s="317"/>
    </row>
    <row r="3170" spans="1:26" x14ac:dyDescent="0.25">
      <c r="A3170" s="314"/>
      <c r="B3170" s="18">
        <v>2023</v>
      </c>
      <c r="C3170" s="18" t="s">
        <v>709</v>
      </c>
      <c r="D3170" s="18" t="s">
        <v>1229</v>
      </c>
      <c r="E3170" s="18" t="s">
        <v>713</v>
      </c>
      <c r="F3170" s="18" t="s">
        <v>714</v>
      </c>
      <c r="G3170" s="18" t="s">
        <v>678</v>
      </c>
      <c r="H3170" s="18" t="s">
        <v>1230</v>
      </c>
      <c r="I3170" s="315">
        <v>6.6867190151058704</v>
      </c>
      <c r="J3170" s="315">
        <v>5.0419460092226971E-5</v>
      </c>
      <c r="K3170" s="316" t="str">
        <f t="shared" si="54"/>
        <v>Agricultural Equipment</v>
      </c>
      <c r="L3170" s="316" t="str">
        <f t="shared" si="55"/>
        <v>Diesel</v>
      </c>
      <c r="M3170" s="194"/>
      <c r="N3170" s="317"/>
      <c r="O3170" s="317"/>
      <c r="P3170" s="317"/>
      <c r="Q3170" s="317"/>
      <c r="R3170" s="317"/>
      <c r="S3170" s="317"/>
      <c r="T3170" s="317"/>
      <c r="U3170" s="317"/>
      <c r="V3170" s="317"/>
      <c r="W3170" s="317"/>
      <c r="X3170" s="317"/>
      <c r="Y3170" s="317"/>
      <c r="Z3170" s="317"/>
    </row>
    <row r="3171" spans="1:26" x14ac:dyDescent="0.25">
      <c r="A3171" s="314"/>
      <c r="B3171" s="18">
        <v>2023</v>
      </c>
      <c r="C3171" s="18" t="s">
        <v>750</v>
      </c>
      <c r="D3171" s="18" t="s">
        <v>997</v>
      </c>
      <c r="E3171" s="18" t="s">
        <v>56</v>
      </c>
      <c r="F3171" s="18" t="s">
        <v>672</v>
      </c>
      <c r="G3171" s="18" t="s">
        <v>675</v>
      </c>
      <c r="H3171" s="18" t="s">
        <v>969</v>
      </c>
      <c r="I3171" s="315">
        <v>6.6742089550855983</v>
      </c>
      <c r="J3171" s="315">
        <v>8.3040545519876192E-4</v>
      </c>
      <c r="K3171" s="316" t="str">
        <f t="shared" si="54"/>
        <v>Industrial Equipment</v>
      </c>
      <c r="L3171" s="316" t="str">
        <f t="shared" si="55"/>
        <v>LPG</v>
      </c>
      <c r="M3171" s="194"/>
      <c r="N3171" s="317"/>
      <c r="O3171" s="317"/>
      <c r="P3171" s="317"/>
      <c r="Q3171" s="317"/>
      <c r="R3171" s="317"/>
      <c r="S3171" s="317"/>
      <c r="T3171" s="317"/>
      <c r="U3171" s="317"/>
      <c r="V3171" s="317"/>
      <c r="W3171" s="317"/>
      <c r="X3171" s="317"/>
      <c r="Y3171" s="317"/>
      <c r="Z3171" s="317"/>
    </row>
    <row r="3172" spans="1:26" x14ac:dyDescent="0.25">
      <c r="A3172" s="314"/>
      <c r="B3172" s="18">
        <v>2023</v>
      </c>
      <c r="C3172" s="18" t="s">
        <v>706</v>
      </c>
      <c r="D3172" s="18" t="s">
        <v>1588</v>
      </c>
      <c r="E3172" s="18" t="s">
        <v>56</v>
      </c>
      <c r="F3172" s="18" t="s">
        <v>1575</v>
      </c>
      <c r="G3172" s="18" t="s">
        <v>675</v>
      </c>
      <c r="H3172" s="18" t="s">
        <v>1589</v>
      </c>
      <c r="I3172" s="315">
        <v>6.6649110452960212</v>
      </c>
      <c r="J3172" s="315">
        <v>2.8048348974717214E-2</v>
      </c>
      <c r="K3172" s="316" t="str">
        <f t="shared" si="54"/>
        <v>Industrial Equipment</v>
      </c>
      <c r="L3172" s="316" t="str">
        <f t="shared" si="55"/>
        <v>CNG</v>
      </c>
      <c r="M3172" s="194"/>
      <c r="N3172" s="317"/>
      <c r="O3172" s="317"/>
      <c r="P3172" s="317"/>
      <c r="Q3172" s="317"/>
      <c r="R3172" s="317"/>
      <c r="S3172" s="317"/>
      <c r="T3172" s="317"/>
      <c r="U3172" s="317"/>
      <c r="V3172" s="317"/>
      <c r="W3172" s="317"/>
      <c r="X3172" s="317"/>
      <c r="Y3172" s="317"/>
      <c r="Z3172" s="317"/>
    </row>
    <row r="3173" spans="1:26" x14ac:dyDescent="0.25">
      <c r="A3173" s="314"/>
      <c r="B3173" s="18">
        <v>2023</v>
      </c>
      <c r="C3173" s="18" t="s">
        <v>722</v>
      </c>
      <c r="D3173" s="18" t="s">
        <v>1278</v>
      </c>
      <c r="E3173" s="18" t="s">
        <v>703</v>
      </c>
      <c r="F3173" s="18" t="s">
        <v>704</v>
      </c>
      <c r="G3173" s="18" t="s">
        <v>678</v>
      </c>
      <c r="H3173" s="18" t="s">
        <v>1279</v>
      </c>
      <c r="I3173" s="315">
        <v>6.662621854190049</v>
      </c>
      <c r="J3173" s="315">
        <v>8.8921976149426967E-3</v>
      </c>
      <c r="K3173" s="316" t="str">
        <f t="shared" si="54"/>
        <v>Agricultural Equipment</v>
      </c>
      <c r="L3173" s="316" t="str">
        <f t="shared" si="55"/>
        <v>Gasoline</v>
      </c>
      <c r="M3173" s="194"/>
      <c r="N3173" s="317"/>
      <c r="O3173" s="317"/>
      <c r="P3173" s="317"/>
      <c r="Q3173" s="317"/>
      <c r="R3173" s="317"/>
      <c r="S3173" s="317"/>
      <c r="T3173" s="317"/>
      <c r="U3173" s="317"/>
      <c r="V3173" s="317"/>
      <c r="W3173" s="317"/>
      <c r="X3173" s="317"/>
      <c r="Y3173" s="317"/>
      <c r="Z3173" s="317"/>
    </row>
    <row r="3174" spans="1:26" x14ac:dyDescent="0.25">
      <c r="A3174" s="314"/>
      <c r="B3174" s="18">
        <v>2023</v>
      </c>
      <c r="C3174" s="18" t="s">
        <v>754</v>
      </c>
      <c r="D3174" s="18" t="s">
        <v>1219</v>
      </c>
      <c r="E3174" s="18" t="s">
        <v>703</v>
      </c>
      <c r="F3174" s="18" t="s">
        <v>704</v>
      </c>
      <c r="G3174" s="18" t="s">
        <v>674</v>
      </c>
      <c r="H3174" s="18" t="s">
        <v>1220</v>
      </c>
      <c r="I3174" s="315">
        <v>6.6611105100294603</v>
      </c>
      <c r="J3174" s="315">
        <v>4.5022380683428977E-3</v>
      </c>
      <c r="K3174" s="316" t="str">
        <f t="shared" si="54"/>
        <v>Construction and Mining Equipment</v>
      </c>
      <c r="L3174" s="316" t="str">
        <f t="shared" si="55"/>
        <v>Gasoline</v>
      </c>
      <c r="M3174" s="194"/>
      <c r="N3174" s="317"/>
      <c r="O3174" s="317"/>
      <c r="P3174" s="317"/>
      <c r="Q3174" s="317"/>
      <c r="R3174" s="317"/>
      <c r="S3174" s="317"/>
      <c r="T3174" s="317"/>
      <c r="U3174" s="317"/>
      <c r="V3174" s="317"/>
      <c r="W3174" s="317"/>
      <c r="X3174" s="317"/>
      <c r="Y3174" s="317"/>
      <c r="Z3174" s="317"/>
    </row>
    <row r="3175" spans="1:26" x14ac:dyDescent="0.25">
      <c r="A3175" s="314"/>
      <c r="B3175" s="18">
        <v>2023</v>
      </c>
      <c r="C3175" s="18" t="s">
        <v>732</v>
      </c>
      <c r="D3175" s="18" t="s">
        <v>1349</v>
      </c>
      <c r="E3175" s="18" t="s">
        <v>703</v>
      </c>
      <c r="F3175" s="18" t="s">
        <v>704</v>
      </c>
      <c r="G3175" s="18" t="s">
        <v>673</v>
      </c>
      <c r="H3175" s="18" t="s">
        <v>978</v>
      </c>
      <c r="I3175" s="315">
        <v>6.6508262657501138</v>
      </c>
      <c r="J3175" s="315">
        <v>4.6420892905652726E-3</v>
      </c>
      <c r="K3175" s="316" t="str">
        <f t="shared" si="54"/>
        <v>Lawn and Garden Equipment</v>
      </c>
      <c r="L3175" s="316" t="str">
        <f t="shared" si="55"/>
        <v>Gasoline</v>
      </c>
      <c r="M3175" s="194"/>
      <c r="N3175" s="317"/>
      <c r="O3175" s="317"/>
      <c r="P3175" s="317"/>
      <c r="Q3175" s="317"/>
      <c r="R3175" s="317"/>
      <c r="S3175" s="317"/>
      <c r="T3175" s="317"/>
      <c r="U3175" s="317"/>
      <c r="V3175" s="317"/>
      <c r="W3175" s="317"/>
      <c r="X3175" s="317"/>
      <c r="Y3175" s="317"/>
      <c r="Z3175" s="317"/>
    </row>
    <row r="3176" spans="1:26" x14ac:dyDescent="0.25">
      <c r="A3176" s="314"/>
      <c r="B3176" s="18">
        <v>2023</v>
      </c>
      <c r="C3176" s="18" t="s">
        <v>727</v>
      </c>
      <c r="D3176" s="18" t="s">
        <v>1075</v>
      </c>
      <c r="E3176" s="18" t="s">
        <v>56</v>
      </c>
      <c r="F3176" s="18" t="s">
        <v>672</v>
      </c>
      <c r="G3176" s="18" t="s">
        <v>675</v>
      </c>
      <c r="H3176" s="18" t="s">
        <v>772</v>
      </c>
      <c r="I3176" s="315">
        <v>6.6126572435372992</v>
      </c>
      <c r="J3176" s="315">
        <v>3.0464251528479795E-4</v>
      </c>
      <c r="K3176" s="316" t="str">
        <f t="shared" si="54"/>
        <v>Industrial Equipment</v>
      </c>
      <c r="L3176" s="316" t="str">
        <f t="shared" si="55"/>
        <v>LPG</v>
      </c>
      <c r="M3176" s="194"/>
      <c r="N3176" s="317"/>
      <c r="O3176" s="317"/>
      <c r="P3176" s="317"/>
      <c r="Q3176" s="317"/>
      <c r="R3176" s="317"/>
      <c r="S3176" s="317"/>
      <c r="T3176" s="317"/>
      <c r="U3176" s="317"/>
      <c r="V3176" s="317"/>
      <c r="W3176" s="317"/>
      <c r="X3176" s="317"/>
      <c r="Y3176" s="317"/>
      <c r="Z3176" s="317"/>
    </row>
    <row r="3177" spans="1:26" x14ac:dyDescent="0.25">
      <c r="A3177" s="314"/>
      <c r="B3177" s="18">
        <v>2023</v>
      </c>
      <c r="C3177" s="18" t="s">
        <v>778</v>
      </c>
      <c r="D3177" s="18" t="s">
        <v>1295</v>
      </c>
      <c r="E3177" s="18" t="s">
        <v>703</v>
      </c>
      <c r="F3177" s="18" t="s">
        <v>704</v>
      </c>
      <c r="G3177" s="18" t="s">
        <v>674</v>
      </c>
      <c r="H3177" s="18" t="s">
        <v>859</v>
      </c>
      <c r="I3177" s="315">
        <v>6.5885188665126169</v>
      </c>
      <c r="J3177" s="315">
        <v>2.1246877532912476E-3</v>
      </c>
      <c r="K3177" s="316" t="str">
        <f t="shared" si="54"/>
        <v>Construction and Mining Equipment</v>
      </c>
      <c r="L3177" s="316" t="str">
        <f t="shared" si="55"/>
        <v>Gasoline</v>
      </c>
      <c r="M3177" s="194"/>
      <c r="N3177" s="317"/>
      <c r="O3177" s="317"/>
      <c r="P3177" s="317"/>
      <c r="Q3177" s="317"/>
      <c r="R3177" s="317"/>
      <c r="S3177" s="317"/>
      <c r="T3177" s="317"/>
      <c r="U3177" s="317"/>
      <c r="V3177" s="317"/>
      <c r="W3177" s="317"/>
      <c r="X3177" s="317"/>
      <c r="Y3177" s="317"/>
      <c r="Z3177" s="317"/>
    </row>
    <row r="3178" spans="1:26" x14ac:dyDescent="0.25">
      <c r="A3178" s="314"/>
      <c r="B3178" s="18">
        <v>2023</v>
      </c>
      <c r="C3178" s="18" t="s">
        <v>754</v>
      </c>
      <c r="D3178" s="18" t="s">
        <v>1573</v>
      </c>
      <c r="E3178" s="18" t="s">
        <v>703</v>
      </c>
      <c r="F3178" s="18" t="s">
        <v>704</v>
      </c>
      <c r="G3178" s="18" t="s">
        <v>678</v>
      </c>
      <c r="H3178" s="18" t="s">
        <v>764</v>
      </c>
      <c r="I3178" s="315">
        <v>6.5824029389860508</v>
      </c>
      <c r="J3178" s="315">
        <v>1.2835189917558814E-3</v>
      </c>
      <c r="K3178" s="316" t="str">
        <f t="shared" si="54"/>
        <v>Agricultural Equipment</v>
      </c>
      <c r="L3178" s="316" t="str">
        <f t="shared" si="55"/>
        <v>Gasoline</v>
      </c>
      <c r="M3178" s="194"/>
      <c r="N3178" s="317"/>
      <c r="O3178" s="317"/>
      <c r="P3178" s="317"/>
      <c r="Q3178" s="317"/>
      <c r="R3178" s="317"/>
      <c r="S3178" s="317"/>
      <c r="T3178" s="317"/>
      <c r="U3178" s="317"/>
      <c r="V3178" s="317"/>
      <c r="W3178" s="317"/>
      <c r="X3178" s="317"/>
      <c r="Y3178" s="317"/>
      <c r="Z3178" s="317"/>
    </row>
    <row r="3179" spans="1:26" x14ac:dyDescent="0.25">
      <c r="A3179" s="314"/>
      <c r="B3179" s="18">
        <v>2023</v>
      </c>
      <c r="C3179" s="18" t="s">
        <v>732</v>
      </c>
      <c r="D3179" s="18" t="s">
        <v>1407</v>
      </c>
      <c r="E3179" s="18" t="s">
        <v>56</v>
      </c>
      <c r="F3179" s="18" t="s">
        <v>672</v>
      </c>
      <c r="G3179" s="18" t="s">
        <v>675</v>
      </c>
      <c r="H3179" s="18" t="s">
        <v>1078</v>
      </c>
      <c r="I3179" s="315">
        <v>6.5612349462029087</v>
      </c>
      <c r="J3179" s="315">
        <v>5.8953142040125874E-4</v>
      </c>
      <c r="K3179" s="316" t="str">
        <f t="shared" si="54"/>
        <v>Industrial Equipment</v>
      </c>
      <c r="L3179" s="316" t="str">
        <f t="shared" si="55"/>
        <v>LPG</v>
      </c>
      <c r="M3179" s="194"/>
      <c r="N3179" s="317"/>
      <c r="O3179" s="317"/>
      <c r="P3179" s="317"/>
      <c r="Q3179" s="317"/>
      <c r="R3179" s="317"/>
      <c r="S3179" s="317"/>
      <c r="T3179" s="317"/>
      <c r="U3179" s="317"/>
      <c r="V3179" s="317"/>
      <c r="W3179" s="317"/>
      <c r="X3179" s="317"/>
      <c r="Y3179" s="317"/>
      <c r="Z3179" s="317"/>
    </row>
    <row r="3180" spans="1:26" x14ac:dyDescent="0.25">
      <c r="A3180" s="314"/>
      <c r="B3180" s="18">
        <v>2023</v>
      </c>
      <c r="C3180" s="18" t="s">
        <v>762</v>
      </c>
      <c r="D3180" s="18" t="s">
        <v>1076</v>
      </c>
      <c r="E3180" s="18" t="s">
        <v>703</v>
      </c>
      <c r="F3180" s="18" t="s">
        <v>704</v>
      </c>
      <c r="G3180" s="18" t="s">
        <v>674</v>
      </c>
      <c r="H3180" s="18" t="s">
        <v>756</v>
      </c>
      <c r="I3180" s="315">
        <v>6.5569446208654467</v>
      </c>
      <c r="J3180" s="315">
        <v>2.8763569587791022E-3</v>
      </c>
      <c r="K3180" s="316" t="str">
        <f t="shared" si="54"/>
        <v>Construction and Mining Equipment</v>
      </c>
      <c r="L3180" s="316" t="str">
        <f t="shared" si="55"/>
        <v>Gasoline</v>
      </c>
      <c r="M3180" s="194"/>
      <c r="N3180" s="317"/>
      <c r="O3180" s="317"/>
      <c r="P3180" s="317"/>
      <c r="Q3180" s="317"/>
      <c r="R3180" s="317"/>
      <c r="S3180" s="317"/>
      <c r="T3180" s="317"/>
      <c r="U3180" s="317"/>
      <c r="V3180" s="317"/>
      <c r="W3180" s="317"/>
      <c r="X3180" s="317"/>
      <c r="Y3180" s="317"/>
      <c r="Z3180" s="317"/>
    </row>
    <row r="3181" spans="1:26" x14ac:dyDescent="0.25">
      <c r="A3181" s="314"/>
      <c r="B3181" s="18">
        <v>2023</v>
      </c>
      <c r="C3181" s="18" t="s">
        <v>754</v>
      </c>
      <c r="D3181" s="18" t="s">
        <v>1223</v>
      </c>
      <c r="E3181" s="18" t="s">
        <v>713</v>
      </c>
      <c r="F3181" s="18" t="s">
        <v>714</v>
      </c>
      <c r="G3181" s="18" t="s">
        <v>674</v>
      </c>
      <c r="H3181" s="18" t="s">
        <v>1036</v>
      </c>
      <c r="I3181" s="315">
        <v>6.5540690814159932</v>
      </c>
      <c r="J3181" s="315">
        <v>6.4098202956349999E-4</v>
      </c>
      <c r="K3181" s="316" t="str">
        <f t="shared" si="54"/>
        <v>Construction and Mining Equipment</v>
      </c>
      <c r="L3181" s="316" t="str">
        <f t="shared" si="55"/>
        <v>Diesel</v>
      </c>
      <c r="M3181" s="194"/>
      <c r="N3181" s="317"/>
      <c r="O3181" s="317"/>
      <c r="P3181" s="317"/>
      <c r="Q3181" s="317"/>
      <c r="R3181" s="317"/>
      <c r="S3181" s="317"/>
      <c r="T3181" s="317"/>
      <c r="U3181" s="317"/>
      <c r="V3181" s="317"/>
      <c r="W3181" s="317"/>
      <c r="X3181" s="317"/>
      <c r="Y3181" s="317"/>
      <c r="Z3181" s="317"/>
    </row>
    <row r="3182" spans="1:26" x14ac:dyDescent="0.25">
      <c r="A3182" s="314"/>
      <c r="B3182" s="18">
        <v>2023</v>
      </c>
      <c r="C3182" s="18" t="s">
        <v>753</v>
      </c>
      <c r="D3182" s="18" t="s">
        <v>1083</v>
      </c>
      <c r="E3182" s="18" t="s">
        <v>703</v>
      </c>
      <c r="F3182" s="18" t="s">
        <v>704</v>
      </c>
      <c r="G3182" s="18" t="s">
        <v>674</v>
      </c>
      <c r="H3182" s="18" t="s">
        <v>861</v>
      </c>
      <c r="I3182" s="315">
        <v>6.5425301388223192</v>
      </c>
      <c r="J3182" s="315">
        <v>4.9042066606198413E-3</v>
      </c>
      <c r="K3182" s="316" t="str">
        <f t="shared" si="54"/>
        <v>Construction and Mining Equipment</v>
      </c>
      <c r="L3182" s="316" t="str">
        <f t="shared" si="55"/>
        <v>Gasoline</v>
      </c>
      <c r="M3182" s="194"/>
      <c r="N3182" s="317"/>
      <c r="O3182" s="317"/>
      <c r="P3182" s="317"/>
      <c r="Q3182" s="317"/>
      <c r="R3182" s="317"/>
      <c r="S3182" s="317"/>
      <c r="T3182" s="317"/>
      <c r="U3182" s="317"/>
      <c r="V3182" s="317"/>
      <c r="W3182" s="317"/>
      <c r="X3182" s="317"/>
      <c r="Y3182" s="317"/>
      <c r="Z3182" s="317"/>
    </row>
    <row r="3183" spans="1:26" x14ac:dyDescent="0.25">
      <c r="A3183" s="314"/>
      <c r="B3183" s="18">
        <v>2023</v>
      </c>
      <c r="C3183" s="18" t="s">
        <v>781</v>
      </c>
      <c r="D3183" s="18" t="s">
        <v>962</v>
      </c>
      <c r="E3183" s="18" t="s">
        <v>703</v>
      </c>
      <c r="F3183" s="18" t="s">
        <v>704</v>
      </c>
      <c r="G3183" s="18" t="s">
        <v>673</v>
      </c>
      <c r="H3183" s="18" t="s">
        <v>963</v>
      </c>
      <c r="I3183" s="315">
        <v>6.5381792407247872</v>
      </c>
      <c r="J3183" s="315">
        <v>4.5050326770188125E-3</v>
      </c>
      <c r="K3183" s="316" t="str">
        <f t="shared" si="54"/>
        <v>Lawn and Garden Equipment</v>
      </c>
      <c r="L3183" s="316" t="str">
        <f t="shared" si="55"/>
        <v>Gasoline</v>
      </c>
      <c r="M3183" s="194"/>
      <c r="N3183" s="317"/>
      <c r="O3183" s="317"/>
      <c r="P3183" s="317"/>
      <c r="Q3183" s="317"/>
      <c r="R3183" s="317"/>
      <c r="S3183" s="317"/>
      <c r="T3183" s="317"/>
      <c r="U3183" s="317"/>
      <c r="V3183" s="317"/>
      <c r="W3183" s="317"/>
      <c r="X3183" s="317"/>
      <c r="Y3183" s="317"/>
      <c r="Z3183" s="317"/>
    </row>
    <row r="3184" spans="1:26" x14ac:dyDescent="0.25">
      <c r="A3184" s="314"/>
      <c r="B3184" s="18">
        <v>2023</v>
      </c>
      <c r="C3184" s="18" t="s">
        <v>787</v>
      </c>
      <c r="D3184" s="18" t="s">
        <v>1428</v>
      </c>
      <c r="E3184" s="18" t="s">
        <v>56</v>
      </c>
      <c r="F3184" s="18" t="s">
        <v>601</v>
      </c>
      <c r="G3184" s="18" t="s">
        <v>678</v>
      </c>
      <c r="H3184" s="18" t="s">
        <v>1154</v>
      </c>
      <c r="I3184" s="315">
        <v>6.5316530991853856</v>
      </c>
      <c r="J3184" s="315">
        <v>2.6563231034070173E-2</v>
      </c>
      <c r="K3184" s="316" t="str">
        <f t="shared" si="54"/>
        <v>Agricultural Equipment</v>
      </c>
      <c r="L3184" s="316" t="str">
        <f t="shared" si="55"/>
        <v>CNG</v>
      </c>
      <c r="M3184" s="194"/>
      <c r="N3184" s="317"/>
      <c r="O3184" s="317"/>
      <c r="P3184" s="317"/>
      <c r="Q3184" s="317"/>
      <c r="R3184" s="317"/>
      <c r="S3184" s="317"/>
      <c r="T3184" s="317"/>
      <c r="U3184" s="317"/>
      <c r="V3184" s="317"/>
      <c r="W3184" s="317"/>
      <c r="X3184" s="317"/>
      <c r="Y3184" s="317"/>
      <c r="Z3184" s="317"/>
    </row>
    <row r="3185" spans="1:26" x14ac:dyDescent="0.25">
      <c r="A3185" s="314"/>
      <c r="B3185" s="18">
        <v>2023</v>
      </c>
      <c r="C3185" s="18" t="s">
        <v>786</v>
      </c>
      <c r="D3185" s="18" t="s">
        <v>1030</v>
      </c>
      <c r="E3185" s="18" t="s">
        <v>703</v>
      </c>
      <c r="F3185" s="18" t="s">
        <v>704</v>
      </c>
      <c r="G3185" s="18" t="s">
        <v>677</v>
      </c>
      <c r="H3185" s="18" t="s">
        <v>1031</v>
      </c>
      <c r="I3185" s="315">
        <v>6.5055531145091656</v>
      </c>
      <c r="J3185" s="315">
        <v>4.5195725874507368E-3</v>
      </c>
      <c r="K3185" s="316" t="str">
        <f t="shared" si="54"/>
        <v>Commercial Equipment</v>
      </c>
      <c r="L3185" s="316" t="str">
        <f t="shared" si="55"/>
        <v>Gasoline</v>
      </c>
      <c r="M3185" s="194"/>
      <c r="N3185" s="317"/>
      <c r="O3185" s="317"/>
      <c r="P3185" s="317"/>
      <c r="Q3185" s="317"/>
      <c r="R3185" s="317"/>
      <c r="S3185" s="317"/>
      <c r="T3185" s="317"/>
      <c r="U3185" s="317"/>
      <c r="V3185" s="317"/>
      <c r="W3185" s="317"/>
      <c r="X3185" s="317"/>
      <c r="Y3185" s="317"/>
      <c r="Z3185" s="317"/>
    </row>
    <row r="3186" spans="1:26" x14ac:dyDescent="0.25">
      <c r="A3186" s="314"/>
      <c r="B3186" s="18">
        <v>2023</v>
      </c>
      <c r="C3186" s="18" t="s">
        <v>786</v>
      </c>
      <c r="D3186" s="18" t="s">
        <v>1017</v>
      </c>
      <c r="E3186" s="18" t="s">
        <v>703</v>
      </c>
      <c r="F3186" s="18" t="s">
        <v>704</v>
      </c>
      <c r="G3186" s="18" t="s">
        <v>673</v>
      </c>
      <c r="H3186" s="18" t="s">
        <v>806</v>
      </c>
      <c r="I3186" s="315">
        <v>6.4675672360997529</v>
      </c>
      <c r="J3186" s="315">
        <v>4.5599587058046996E-3</v>
      </c>
      <c r="K3186" s="316" t="str">
        <f t="shared" si="54"/>
        <v>Lawn and Garden Equipment</v>
      </c>
      <c r="L3186" s="316" t="str">
        <f t="shared" si="55"/>
        <v>Gasoline</v>
      </c>
      <c r="M3186" s="194"/>
      <c r="N3186" s="317"/>
      <c r="O3186" s="317"/>
      <c r="P3186" s="317"/>
      <c r="Q3186" s="317"/>
      <c r="R3186" s="317"/>
      <c r="S3186" s="317"/>
      <c r="T3186" s="317"/>
      <c r="U3186" s="317"/>
      <c r="V3186" s="317"/>
      <c r="W3186" s="317"/>
      <c r="X3186" s="317"/>
      <c r="Y3186" s="317"/>
      <c r="Z3186" s="317"/>
    </row>
    <row r="3187" spans="1:26" x14ac:dyDescent="0.25">
      <c r="A3187" s="314"/>
      <c r="B3187" s="18">
        <v>2023</v>
      </c>
      <c r="C3187" s="18" t="s">
        <v>773</v>
      </c>
      <c r="D3187" s="18" t="s">
        <v>1440</v>
      </c>
      <c r="E3187" s="18" t="s">
        <v>703</v>
      </c>
      <c r="F3187" s="18" t="s">
        <v>704</v>
      </c>
      <c r="G3187" s="18" t="s">
        <v>678</v>
      </c>
      <c r="H3187" s="18" t="s">
        <v>1154</v>
      </c>
      <c r="I3187" s="315">
        <v>6.463810727082361</v>
      </c>
      <c r="J3187" s="315">
        <v>6.5066636399119411E-4</v>
      </c>
      <c r="K3187" s="316" t="str">
        <f t="shared" si="54"/>
        <v>Agricultural Equipment</v>
      </c>
      <c r="L3187" s="316" t="str">
        <f t="shared" si="55"/>
        <v>Gasoline</v>
      </c>
      <c r="M3187" s="194"/>
      <c r="N3187" s="317"/>
      <c r="O3187" s="317"/>
      <c r="P3187" s="317"/>
      <c r="Q3187" s="317"/>
      <c r="R3187" s="317"/>
      <c r="S3187" s="317"/>
      <c r="T3187" s="317"/>
      <c r="U3187" s="317"/>
      <c r="V3187" s="317"/>
      <c r="W3187" s="317"/>
      <c r="X3187" s="317"/>
      <c r="Y3187" s="317"/>
      <c r="Z3187" s="317"/>
    </row>
    <row r="3188" spans="1:26" x14ac:dyDescent="0.25">
      <c r="A3188" s="314"/>
      <c r="B3188" s="18">
        <v>2023</v>
      </c>
      <c r="C3188" s="18" t="s">
        <v>810</v>
      </c>
      <c r="D3188" s="18" t="s">
        <v>1081</v>
      </c>
      <c r="E3188" s="18" t="s">
        <v>703</v>
      </c>
      <c r="F3188" s="18" t="s">
        <v>805</v>
      </c>
      <c r="G3188" s="18" t="s">
        <v>674</v>
      </c>
      <c r="H3188" s="18" t="s">
        <v>1082</v>
      </c>
      <c r="I3188" s="315">
        <v>6.4522091876848258</v>
      </c>
      <c r="J3188" s="315">
        <v>1.0465707903622523E-2</v>
      </c>
      <c r="K3188" s="316" t="str">
        <f t="shared" si="54"/>
        <v>Construction and Mining Equipment</v>
      </c>
      <c r="L3188" s="316" t="str">
        <f t="shared" si="55"/>
        <v>Gasoline</v>
      </c>
      <c r="M3188" s="194"/>
      <c r="N3188" s="317"/>
      <c r="O3188" s="317"/>
      <c r="P3188" s="317"/>
      <c r="Q3188" s="317"/>
      <c r="R3188" s="317"/>
      <c r="S3188" s="317"/>
      <c r="T3188" s="317"/>
      <c r="U3188" s="317"/>
      <c r="V3188" s="317"/>
      <c r="W3188" s="317"/>
      <c r="X3188" s="317"/>
      <c r="Y3188" s="317"/>
      <c r="Z3188" s="317"/>
    </row>
    <row r="3189" spans="1:26" x14ac:dyDescent="0.25">
      <c r="A3189" s="314"/>
      <c r="B3189" s="18">
        <v>2023</v>
      </c>
      <c r="C3189" s="18" t="s">
        <v>709</v>
      </c>
      <c r="D3189" s="18" t="s">
        <v>1394</v>
      </c>
      <c r="E3189" s="18" t="s">
        <v>703</v>
      </c>
      <c r="F3189" s="18" t="s">
        <v>805</v>
      </c>
      <c r="G3189" s="18" t="s">
        <v>681</v>
      </c>
      <c r="H3189" s="18" t="s">
        <v>1395</v>
      </c>
      <c r="I3189" s="315">
        <v>6.4000450848943133</v>
      </c>
      <c r="J3189" s="315">
        <v>1.1085602500993814E-2</v>
      </c>
      <c r="K3189" s="316" t="str">
        <f t="shared" si="54"/>
        <v>Logging Equipment</v>
      </c>
      <c r="L3189" s="316" t="str">
        <f t="shared" si="55"/>
        <v>Gasoline</v>
      </c>
      <c r="M3189" s="194"/>
      <c r="N3189" s="317"/>
      <c r="O3189" s="317"/>
      <c r="P3189" s="317"/>
      <c r="Q3189" s="317"/>
      <c r="R3189" s="317"/>
      <c r="S3189" s="317"/>
      <c r="T3189" s="317"/>
      <c r="U3189" s="317"/>
      <c r="V3189" s="317"/>
      <c r="W3189" s="317"/>
      <c r="X3189" s="317"/>
      <c r="Y3189" s="317"/>
      <c r="Z3189" s="317"/>
    </row>
    <row r="3190" spans="1:26" x14ac:dyDescent="0.25">
      <c r="A3190" s="314"/>
      <c r="B3190" s="18">
        <v>2023</v>
      </c>
      <c r="C3190" s="18" t="s">
        <v>727</v>
      </c>
      <c r="D3190" s="18" t="s">
        <v>1077</v>
      </c>
      <c r="E3190" s="18" t="s">
        <v>713</v>
      </c>
      <c r="F3190" s="18" t="s">
        <v>714</v>
      </c>
      <c r="G3190" s="18" t="s">
        <v>675</v>
      </c>
      <c r="H3190" s="18" t="s">
        <v>1078</v>
      </c>
      <c r="I3190" s="315">
        <v>6.3936578894803588</v>
      </c>
      <c r="J3190" s="315">
        <v>1.621384177395704E-4</v>
      </c>
      <c r="K3190" s="316" t="str">
        <f t="shared" si="54"/>
        <v>Industrial Equipment</v>
      </c>
      <c r="L3190" s="316" t="str">
        <f t="shared" si="55"/>
        <v>Diesel</v>
      </c>
      <c r="M3190" s="194"/>
      <c r="N3190" s="317"/>
      <c r="O3190" s="317"/>
      <c r="P3190" s="317"/>
      <c r="Q3190" s="317"/>
      <c r="R3190" s="317"/>
      <c r="S3190" s="317"/>
      <c r="T3190" s="317"/>
      <c r="U3190" s="317"/>
      <c r="V3190" s="317"/>
      <c r="W3190" s="317"/>
      <c r="X3190" s="317"/>
      <c r="Y3190" s="317"/>
      <c r="Z3190" s="317"/>
    </row>
    <row r="3191" spans="1:26" x14ac:dyDescent="0.25">
      <c r="A3191" s="314"/>
      <c r="B3191" s="18">
        <v>2023</v>
      </c>
      <c r="C3191" s="18" t="s">
        <v>727</v>
      </c>
      <c r="D3191" s="18" t="s">
        <v>1213</v>
      </c>
      <c r="E3191" s="18" t="s">
        <v>56</v>
      </c>
      <c r="F3191" s="18" t="s">
        <v>672</v>
      </c>
      <c r="G3191" s="18" t="s">
        <v>674</v>
      </c>
      <c r="H3191" s="18" t="s">
        <v>715</v>
      </c>
      <c r="I3191" s="315">
        <v>6.3884498087026209</v>
      </c>
      <c r="J3191" s="315">
        <v>2.9012125737321471E-4</v>
      </c>
      <c r="K3191" s="316" t="str">
        <f t="shared" si="54"/>
        <v>Construction and Mining Equipment</v>
      </c>
      <c r="L3191" s="316" t="str">
        <f t="shared" si="55"/>
        <v>LPG</v>
      </c>
      <c r="M3191" s="194"/>
      <c r="N3191" s="317"/>
      <c r="O3191" s="317"/>
      <c r="P3191" s="317"/>
      <c r="Q3191" s="317"/>
      <c r="R3191" s="317"/>
      <c r="S3191" s="317"/>
      <c r="T3191" s="317"/>
      <c r="U3191" s="317"/>
      <c r="V3191" s="317"/>
      <c r="W3191" s="317"/>
      <c r="X3191" s="317"/>
      <c r="Y3191" s="317"/>
      <c r="Z3191" s="317"/>
    </row>
    <row r="3192" spans="1:26" x14ac:dyDescent="0.25">
      <c r="A3192" s="314"/>
      <c r="B3192" s="18">
        <v>2023</v>
      </c>
      <c r="C3192" s="18" t="s">
        <v>786</v>
      </c>
      <c r="D3192" s="18" t="s">
        <v>1034</v>
      </c>
      <c r="E3192" s="18" t="s">
        <v>713</v>
      </c>
      <c r="F3192" s="18" t="s">
        <v>714</v>
      </c>
      <c r="G3192" s="18" t="s">
        <v>677</v>
      </c>
      <c r="H3192" s="18" t="s">
        <v>1031</v>
      </c>
      <c r="I3192" s="315">
        <v>6.3839320202420256</v>
      </c>
      <c r="J3192" s="315">
        <v>1.1093872471627947E-4</v>
      </c>
      <c r="K3192" s="316" t="str">
        <f t="shared" si="54"/>
        <v>Commercial Equipment</v>
      </c>
      <c r="L3192" s="316" t="str">
        <f t="shared" si="55"/>
        <v>Diesel</v>
      </c>
      <c r="M3192" s="194"/>
      <c r="N3192" s="317"/>
      <c r="O3192" s="317"/>
      <c r="P3192" s="317"/>
      <c r="Q3192" s="317"/>
      <c r="R3192" s="317"/>
      <c r="S3192" s="317"/>
      <c r="T3192" s="317"/>
      <c r="U3192" s="317"/>
      <c r="V3192" s="317"/>
      <c r="W3192" s="317"/>
      <c r="X3192" s="317"/>
      <c r="Y3192" s="317"/>
      <c r="Z3192" s="317"/>
    </row>
    <row r="3193" spans="1:26" x14ac:dyDescent="0.25">
      <c r="A3193" s="314"/>
      <c r="B3193" s="18">
        <v>2023</v>
      </c>
      <c r="C3193" s="18" t="s">
        <v>743</v>
      </c>
      <c r="D3193" s="18" t="s">
        <v>1247</v>
      </c>
      <c r="E3193" s="18" t="s">
        <v>56</v>
      </c>
      <c r="F3193" s="18" t="s">
        <v>672</v>
      </c>
      <c r="G3193" s="18" t="s">
        <v>674</v>
      </c>
      <c r="H3193" s="18" t="s">
        <v>967</v>
      </c>
      <c r="I3193" s="315">
        <v>6.3714554967516186</v>
      </c>
      <c r="J3193" s="315">
        <v>3.010195690885717E-4</v>
      </c>
      <c r="K3193" s="316" t="str">
        <f t="shared" si="54"/>
        <v>Construction and Mining Equipment</v>
      </c>
      <c r="L3193" s="316" t="str">
        <f t="shared" si="55"/>
        <v>LPG</v>
      </c>
      <c r="M3193" s="194"/>
      <c r="N3193" s="317"/>
      <c r="O3193" s="317"/>
      <c r="P3193" s="317"/>
      <c r="Q3193" s="317"/>
      <c r="R3193" s="317"/>
      <c r="S3193" s="317"/>
      <c r="T3193" s="317"/>
      <c r="U3193" s="317"/>
      <c r="V3193" s="317"/>
      <c r="W3193" s="317"/>
      <c r="X3193" s="317"/>
      <c r="Y3193" s="317"/>
      <c r="Z3193" s="317"/>
    </row>
    <row r="3194" spans="1:26" x14ac:dyDescent="0.25">
      <c r="A3194" s="314"/>
      <c r="B3194" s="18">
        <v>2023</v>
      </c>
      <c r="C3194" s="18" t="s">
        <v>743</v>
      </c>
      <c r="D3194" s="18" t="s">
        <v>1248</v>
      </c>
      <c r="E3194" s="18" t="s">
        <v>703</v>
      </c>
      <c r="F3194" s="18" t="s">
        <v>704</v>
      </c>
      <c r="G3194" s="18" t="s">
        <v>674</v>
      </c>
      <c r="H3194" s="18" t="s">
        <v>959</v>
      </c>
      <c r="I3194" s="315">
        <v>6.3613782534034566</v>
      </c>
      <c r="J3194" s="315">
        <v>4.272950484148586E-3</v>
      </c>
      <c r="K3194" s="316" t="str">
        <f t="shared" si="54"/>
        <v>Construction and Mining Equipment</v>
      </c>
      <c r="L3194" s="316" t="str">
        <f t="shared" si="55"/>
        <v>Gasoline</v>
      </c>
      <c r="M3194" s="194"/>
      <c r="N3194" s="317"/>
      <c r="O3194" s="317"/>
      <c r="P3194" s="317"/>
      <c r="Q3194" s="317"/>
      <c r="R3194" s="317"/>
      <c r="S3194" s="317"/>
      <c r="T3194" s="317"/>
      <c r="U3194" s="317"/>
      <c r="V3194" s="317"/>
      <c r="W3194" s="317"/>
      <c r="X3194" s="317"/>
      <c r="Y3194" s="317"/>
      <c r="Z3194" s="317"/>
    </row>
    <row r="3195" spans="1:26" x14ac:dyDescent="0.25">
      <c r="A3195" s="314"/>
      <c r="B3195" s="18">
        <v>2023</v>
      </c>
      <c r="C3195" s="18" t="s">
        <v>727</v>
      </c>
      <c r="D3195" s="18" t="s">
        <v>1214</v>
      </c>
      <c r="E3195" s="18" t="s">
        <v>713</v>
      </c>
      <c r="F3195" s="18" t="s">
        <v>714</v>
      </c>
      <c r="G3195" s="18" t="s">
        <v>674</v>
      </c>
      <c r="H3195" s="18" t="s">
        <v>999</v>
      </c>
      <c r="I3195" s="315">
        <v>6.3384164968203578</v>
      </c>
      <c r="J3195" s="315">
        <v>1.8764840938657431E-4</v>
      </c>
      <c r="K3195" s="316" t="str">
        <f t="shared" si="54"/>
        <v>Construction and Mining Equipment</v>
      </c>
      <c r="L3195" s="316" t="str">
        <f t="shared" si="55"/>
        <v>Diesel</v>
      </c>
      <c r="M3195" s="194"/>
      <c r="N3195" s="317"/>
      <c r="O3195" s="317"/>
      <c r="P3195" s="317"/>
      <c r="Q3195" s="317"/>
      <c r="R3195" s="317"/>
      <c r="S3195" s="317"/>
      <c r="T3195" s="317"/>
      <c r="U3195" s="317"/>
      <c r="V3195" s="317"/>
      <c r="W3195" s="317"/>
      <c r="X3195" s="317"/>
      <c r="Y3195" s="317"/>
      <c r="Z3195" s="317"/>
    </row>
    <row r="3196" spans="1:26" x14ac:dyDescent="0.25">
      <c r="A3196" s="314"/>
      <c r="B3196" s="18">
        <v>2023</v>
      </c>
      <c r="C3196" s="18" t="s">
        <v>773</v>
      </c>
      <c r="D3196" s="18" t="s">
        <v>1226</v>
      </c>
      <c r="E3196" s="18" t="s">
        <v>703</v>
      </c>
      <c r="F3196" s="18" t="s">
        <v>805</v>
      </c>
      <c r="G3196" s="18" t="s">
        <v>677</v>
      </c>
      <c r="H3196" s="18" t="s">
        <v>747</v>
      </c>
      <c r="I3196" s="315">
        <v>6.3376272193157428</v>
      </c>
      <c r="J3196" s="315">
        <v>1.2815101182325199E-2</v>
      </c>
      <c r="K3196" s="316" t="str">
        <f t="shared" si="54"/>
        <v>Commercial Equipment</v>
      </c>
      <c r="L3196" s="316" t="str">
        <f t="shared" si="55"/>
        <v>Gasoline</v>
      </c>
      <c r="M3196" s="194"/>
      <c r="N3196" s="317"/>
      <c r="O3196" s="317"/>
      <c r="P3196" s="317"/>
      <c r="Q3196" s="317"/>
      <c r="R3196" s="317"/>
      <c r="S3196" s="317"/>
      <c r="T3196" s="317"/>
      <c r="U3196" s="317"/>
      <c r="V3196" s="317"/>
      <c r="W3196" s="317"/>
      <c r="X3196" s="317"/>
      <c r="Y3196" s="317"/>
      <c r="Z3196" s="317"/>
    </row>
    <row r="3197" spans="1:26" x14ac:dyDescent="0.25">
      <c r="A3197" s="314"/>
      <c r="B3197" s="18">
        <v>2023</v>
      </c>
      <c r="C3197" s="18" t="s">
        <v>706</v>
      </c>
      <c r="D3197" s="18" t="s">
        <v>1617</v>
      </c>
      <c r="E3197" s="18" t="s">
        <v>703</v>
      </c>
      <c r="F3197" s="18" t="s">
        <v>805</v>
      </c>
      <c r="G3197" s="18" t="s">
        <v>675</v>
      </c>
      <c r="H3197" s="18" t="s">
        <v>802</v>
      </c>
      <c r="I3197" s="315">
        <v>6.3075520223215511</v>
      </c>
      <c r="J3197" s="315">
        <v>1.4093641965863355E-2</v>
      </c>
      <c r="K3197" s="316" t="str">
        <f t="shared" si="54"/>
        <v>Industrial Equipment</v>
      </c>
      <c r="L3197" s="316" t="str">
        <f t="shared" si="55"/>
        <v>Gasoline</v>
      </c>
      <c r="M3197" s="194"/>
      <c r="N3197" s="317"/>
      <c r="O3197" s="317"/>
      <c r="P3197" s="317"/>
      <c r="Q3197" s="317"/>
      <c r="R3197" s="317"/>
      <c r="S3197" s="317"/>
      <c r="T3197" s="317"/>
      <c r="U3197" s="317"/>
      <c r="V3197" s="317"/>
      <c r="W3197" s="317"/>
      <c r="X3197" s="317"/>
      <c r="Y3197" s="317"/>
      <c r="Z3197" s="317"/>
    </row>
    <row r="3198" spans="1:26" x14ac:dyDescent="0.25">
      <c r="A3198" s="314"/>
      <c r="B3198" s="18">
        <v>2023</v>
      </c>
      <c r="C3198" s="18" t="s">
        <v>781</v>
      </c>
      <c r="D3198" s="18" t="s">
        <v>1018</v>
      </c>
      <c r="E3198" s="18" t="s">
        <v>56</v>
      </c>
      <c r="F3198" s="18" t="s">
        <v>672</v>
      </c>
      <c r="G3198" s="18" t="s">
        <v>677</v>
      </c>
      <c r="H3198" s="18" t="s">
        <v>785</v>
      </c>
      <c r="I3198" s="315">
        <v>6.2844508798726046</v>
      </c>
      <c r="J3198" s="315">
        <v>3.0839250567537066E-4</v>
      </c>
      <c r="K3198" s="316" t="str">
        <f t="shared" si="54"/>
        <v>Commercial Equipment</v>
      </c>
      <c r="L3198" s="316" t="str">
        <f t="shared" si="55"/>
        <v>LPG</v>
      </c>
      <c r="M3198" s="194"/>
      <c r="N3198" s="317"/>
      <c r="O3198" s="317"/>
      <c r="P3198" s="317"/>
      <c r="Q3198" s="317"/>
      <c r="R3198" s="317"/>
      <c r="S3198" s="317"/>
      <c r="T3198" s="317"/>
      <c r="U3198" s="317"/>
      <c r="V3198" s="317"/>
      <c r="W3198" s="317"/>
      <c r="X3198" s="317"/>
      <c r="Y3198" s="317"/>
      <c r="Z3198" s="317"/>
    </row>
    <row r="3199" spans="1:26" x14ac:dyDescent="0.25">
      <c r="A3199" s="314"/>
      <c r="B3199" s="18">
        <v>2023</v>
      </c>
      <c r="C3199" s="18" t="s">
        <v>786</v>
      </c>
      <c r="D3199" s="18" t="s">
        <v>1037</v>
      </c>
      <c r="E3199" s="18" t="s">
        <v>56</v>
      </c>
      <c r="F3199" s="18" t="s">
        <v>672</v>
      </c>
      <c r="G3199" s="18" t="s">
        <v>677</v>
      </c>
      <c r="H3199" s="18" t="s">
        <v>841</v>
      </c>
      <c r="I3199" s="315">
        <v>6.2794947342826353</v>
      </c>
      <c r="J3199" s="315">
        <v>6.3565663645224872E-4</v>
      </c>
      <c r="K3199" s="316" t="str">
        <f t="shared" si="54"/>
        <v>Commercial Equipment</v>
      </c>
      <c r="L3199" s="316" t="str">
        <f t="shared" si="55"/>
        <v>LPG</v>
      </c>
      <c r="M3199" s="194"/>
      <c r="N3199" s="317"/>
      <c r="O3199" s="317"/>
      <c r="P3199" s="317"/>
      <c r="Q3199" s="317"/>
      <c r="R3199" s="317"/>
      <c r="S3199" s="317"/>
      <c r="T3199" s="317"/>
      <c r="U3199" s="317"/>
      <c r="V3199" s="317"/>
      <c r="W3199" s="317"/>
      <c r="X3199" s="317"/>
      <c r="Y3199" s="317"/>
      <c r="Z3199" s="317"/>
    </row>
    <row r="3200" spans="1:26" x14ac:dyDescent="0.25">
      <c r="A3200" s="314"/>
      <c r="B3200" s="18">
        <v>2023</v>
      </c>
      <c r="C3200" s="18" t="s">
        <v>793</v>
      </c>
      <c r="D3200" s="18" t="s">
        <v>1022</v>
      </c>
      <c r="E3200" s="18" t="s">
        <v>703</v>
      </c>
      <c r="F3200" s="18" t="s">
        <v>704</v>
      </c>
      <c r="G3200" s="18" t="s">
        <v>675</v>
      </c>
      <c r="H3200" s="18" t="s">
        <v>772</v>
      </c>
      <c r="I3200" s="315">
        <v>6.2528841975450353</v>
      </c>
      <c r="J3200" s="315">
        <v>4.4007208575401149E-4</v>
      </c>
      <c r="K3200" s="316" t="str">
        <f t="shared" si="54"/>
        <v>Industrial Equipment</v>
      </c>
      <c r="L3200" s="316" t="str">
        <f t="shared" si="55"/>
        <v>Gasoline</v>
      </c>
      <c r="M3200" s="194"/>
      <c r="N3200" s="317"/>
      <c r="O3200" s="317"/>
      <c r="P3200" s="317"/>
      <c r="Q3200" s="317"/>
      <c r="R3200" s="317"/>
      <c r="S3200" s="317"/>
      <c r="T3200" s="317"/>
      <c r="U3200" s="317"/>
      <c r="V3200" s="317"/>
      <c r="W3200" s="317"/>
      <c r="X3200" s="317"/>
      <c r="Y3200" s="317"/>
      <c r="Z3200" s="317"/>
    </row>
    <row r="3201" spans="1:26" x14ac:dyDescent="0.25">
      <c r="A3201" s="314"/>
      <c r="B3201" s="18">
        <v>2023</v>
      </c>
      <c r="C3201" s="18" t="s">
        <v>793</v>
      </c>
      <c r="D3201" s="18" t="s">
        <v>1213</v>
      </c>
      <c r="E3201" s="18" t="s">
        <v>56</v>
      </c>
      <c r="F3201" s="18" t="s">
        <v>672</v>
      </c>
      <c r="G3201" s="18" t="s">
        <v>674</v>
      </c>
      <c r="H3201" s="18" t="s">
        <v>715</v>
      </c>
      <c r="I3201" s="315">
        <v>6.2374286922692761</v>
      </c>
      <c r="J3201" s="315">
        <v>2.832627299084805E-4</v>
      </c>
      <c r="K3201" s="316" t="str">
        <f t="shared" si="54"/>
        <v>Construction and Mining Equipment</v>
      </c>
      <c r="L3201" s="316" t="str">
        <f t="shared" si="55"/>
        <v>LPG</v>
      </c>
      <c r="M3201" s="194"/>
      <c r="N3201" s="317"/>
      <c r="O3201" s="317"/>
      <c r="P3201" s="317"/>
      <c r="Q3201" s="317"/>
      <c r="R3201" s="317"/>
      <c r="S3201" s="317"/>
      <c r="T3201" s="317"/>
      <c r="U3201" s="317"/>
      <c r="V3201" s="317"/>
      <c r="W3201" s="317"/>
      <c r="X3201" s="317"/>
      <c r="Y3201" s="317"/>
      <c r="Z3201" s="317"/>
    </row>
    <row r="3202" spans="1:26" x14ac:dyDescent="0.25">
      <c r="A3202" s="314"/>
      <c r="B3202" s="18">
        <v>2023</v>
      </c>
      <c r="C3202" s="18" t="s">
        <v>792</v>
      </c>
      <c r="D3202" s="18" t="s">
        <v>1228</v>
      </c>
      <c r="E3202" s="18" t="s">
        <v>703</v>
      </c>
      <c r="F3202" s="18" t="s">
        <v>704</v>
      </c>
      <c r="G3202" s="18" t="s">
        <v>675</v>
      </c>
      <c r="H3202" s="18" t="s">
        <v>1078</v>
      </c>
      <c r="I3202" s="315">
        <v>6.2239182551312542</v>
      </c>
      <c r="J3202" s="315">
        <v>2.1141946933883565E-3</v>
      </c>
      <c r="K3202" s="316" t="str">
        <f t="shared" si="54"/>
        <v>Industrial Equipment</v>
      </c>
      <c r="L3202" s="316" t="str">
        <f t="shared" si="55"/>
        <v>Gasoline</v>
      </c>
      <c r="M3202" s="194"/>
      <c r="N3202" s="317"/>
      <c r="O3202" s="317"/>
      <c r="P3202" s="317"/>
      <c r="Q3202" s="317"/>
      <c r="R3202" s="317"/>
      <c r="S3202" s="317"/>
      <c r="T3202" s="317"/>
      <c r="U3202" s="317"/>
      <c r="V3202" s="317"/>
      <c r="W3202" s="317"/>
      <c r="X3202" s="317"/>
      <c r="Y3202" s="317"/>
      <c r="Z3202" s="317"/>
    </row>
    <row r="3203" spans="1:26" x14ac:dyDescent="0.25">
      <c r="A3203" s="314"/>
      <c r="B3203" s="18">
        <v>2023</v>
      </c>
      <c r="C3203" s="18" t="s">
        <v>759</v>
      </c>
      <c r="D3203" s="18" t="s">
        <v>980</v>
      </c>
      <c r="E3203" s="18" t="s">
        <v>713</v>
      </c>
      <c r="F3203" s="18" t="s">
        <v>714</v>
      </c>
      <c r="G3203" s="18" t="s">
        <v>674</v>
      </c>
      <c r="H3203" s="18" t="s">
        <v>981</v>
      </c>
      <c r="I3203" s="315">
        <v>6.2158161324364727</v>
      </c>
      <c r="J3203" s="315">
        <v>2.7283952717388482E-4</v>
      </c>
      <c r="K3203" s="316" t="str">
        <f t="shared" si="54"/>
        <v>Construction and Mining Equipment</v>
      </c>
      <c r="L3203" s="316" t="str">
        <f t="shared" si="55"/>
        <v>Diesel</v>
      </c>
      <c r="M3203" s="194"/>
      <c r="N3203" s="317"/>
      <c r="O3203" s="317"/>
      <c r="P3203" s="317"/>
      <c r="Q3203" s="317"/>
      <c r="R3203" s="317"/>
      <c r="S3203" s="317"/>
      <c r="T3203" s="317"/>
      <c r="U3203" s="317"/>
      <c r="V3203" s="317"/>
      <c r="W3203" s="317"/>
      <c r="X3203" s="317"/>
      <c r="Y3203" s="317"/>
      <c r="Z3203" s="317"/>
    </row>
    <row r="3204" spans="1:26" x14ac:dyDescent="0.25">
      <c r="A3204" s="314"/>
      <c r="B3204" s="18">
        <v>2023</v>
      </c>
      <c r="C3204" s="18" t="s">
        <v>793</v>
      </c>
      <c r="D3204" s="18" t="s">
        <v>1214</v>
      </c>
      <c r="E3204" s="18" t="s">
        <v>713</v>
      </c>
      <c r="F3204" s="18" t="s">
        <v>714</v>
      </c>
      <c r="G3204" s="18" t="s">
        <v>674</v>
      </c>
      <c r="H3204" s="18" t="s">
        <v>999</v>
      </c>
      <c r="I3204" s="315">
        <v>6.1885788660535814</v>
      </c>
      <c r="J3204" s="315">
        <v>1.8321240065200428E-4</v>
      </c>
      <c r="K3204" s="316" t="str">
        <f t="shared" si="54"/>
        <v>Construction and Mining Equipment</v>
      </c>
      <c r="L3204" s="316" t="str">
        <f t="shared" si="55"/>
        <v>Diesel</v>
      </c>
      <c r="M3204" s="194"/>
      <c r="N3204" s="317"/>
      <c r="O3204" s="317"/>
      <c r="P3204" s="317"/>
      <c r="Q3204" s="317"/>
      <c r="R3204" s="317"/>
      <c r="S3204" s="317"/>
      <c r="T3204" s="317"/>
      <c r="U3204" s="317"/>
      <c r="V3204" s="317"/>
      <c r="W3204" s="317"/>
      <c r="X3204" s="317"/>
      <c r="Y3204" s="317"/>
      <c r="Z3204" s="317"/>
    </row>
    <row r="3205" spans="1:26" x14ac:dyDescent="0.25">
      <c r="A3205" s="314"/>
      <c r="B3205" s="18">
        <v>2023</v>
      </c>
      <c r="C3205" s="18" t="s">
        <v>792</v>
      </c>
      <c r="D3205" s="18" t="s">
        <v>832</v>
      </c>
      <c r="E3205" s="18" t="s">
        <v>713</v>
      </c>
      <c r="F3205" s="18" t="s">
        <v>714</v>
      </c>
      <c r="G3205" s="18" t="s">
        <v>682</v>
      </c>
      <c r="H3205" s="18" t="s">
        <v>833</v>
      </c>
      <c r="I3205" s="315">
        <v>6.173346088483517</v>
      </c>
      <c r="J3205" s="315">
        <v>6.8607983991645141E-4</v>
      </c>
      <c r="K3205" s="316" t="str">
        <f t="shared" si="54"/>
        <v>Underground Mining Equipment</v>
      </c>
      <c r="L3205" s="316" t="str">
        <f t="shared" si="55"/>
        <v>Diesel</v>
      </c>
      <c r="M3205" s="194"/>
      <c r="N3205" s="317"/>
      <c r="O3205" s="317"/>
      <c r="P3205" s="317"/>
      <c r="Q3205" s="317"/>
      <c r="R3205" s="317"/>
      <c r="S3205" s="317"/>
      <c r="T3205" s="317"/>
      <c r="U3205" s="317"/>
      <c r="V3205" s="317"/>
      <c r="W3205" s="317"/>
      <c r="X3205" s="317"/>
      <c r="Y3205" s="317"/>
      <c r="Z3205" s="317"/>
    </row>
    <row r="3206" spans="1:26" x14ac:dyDescent="0.25">
      <c r="A3206" s="314"/>
      <c r="B3206" s="18">
        <v>2023</v>
      </c>
      <c r="C3206" s="18" t="s">
        <v>810</v>
      </c>
      <c r="D3206" s="18" t="s">
        <v>1083</v>
      </c>
      <c r="E3206" s="18" t="s">
        <v>703</v>
      </c>
      <c r="F3206" s="18" t="s">
        <v>704</v>
      </c>
      <c r="G3206" s="18" t="s">
        <v>674</v>
      </c>
      <c r="H3206" s="18" t="s">
        <v>861</v>
      </c>
      <c r="I3206" s="315">
        <v>6.1664373205862599</v>
      </c>
      <c r="J3206" s="315">
        <v>4.6889539246591106E-3</v>
      </c>
      <c r="K3206" s="316" t="str">
        <f t="shared" si="54"/>
        <v>Construction and Mining Equipment</v>
      </c>
      <c r="L3206" s="316" t="str">
        <f t="shared" si="55"/>
        <v>Gasoline</v>
      </c>
      <c r="M3206" s="194"/>
      <c r="N3206" s="317"/>
      <c r="O3206" s="317"/>
      <c r="P3206" s="317"/>
      <c r="Q3206" s="317"/>
      <c r="R3206" s="317"/>
      <c r="S3206" s="317"/>
      <c r="T3206" s="317"/>
      <c r="U3206" s="317"/>
      <c r="V3206" s="317"/>
      <c r="W3206" s="317"/>
      <c r="X3206" s="317"/>
      <c r="Y3206" s="317"/>
      <c r="Z3206" s="317"/>
    </row>
    <row r="3207" spans="1:26" x14ac:dyDescent="0.25">
      <c r="A3207" s="314"/>
      <c r="B3207" s="18">
        <v>2023</v>
      </c>
      <c r="C3207" s="18" t="s">
        <v>754</v>
      </c>
      <c r="D3207" s="18" t="s">
        <v>1227</v>
      </c>
      <c r="E3207" s="18" t="s">
        <v>56</v>
      </c>
      <c r="F3207" s="18" t="s">
        <v>672</v>
      </c>
      <c r="G3207" s="18" t="s">
        <v>674</v>
      </c>
      <c r="H3207" s="18" t="s">
        <v>850</v>
      </c>
      <c r="I3207" s="315">
        <v>6.1576916746840764</v>
      </c>
      <c r="J3207" s="315">
        <v>3.9542315494033557E-4</v>
      </c>
      <c r="K3207" s="316" t="str">
        <f t="shared" si="54"/>
        <v>Construction and Mining Equipment</v>
      </c>
      <c r="L3207" s="316" t="str">
        <f t="shared" si="55"/>
        <v>LPG</v>
      </c>
      <c r="M3207" s="194"/>
      <c r="N3207" s="317"/>
      <c r="O3207" s="317"/>
      <c r="P3207" s="317"/>
      <c r="Q3207" s="317"/>
      <c r="R3207" s="317"/>
      <c r="S3207" s="317"/>
      <c r="T3207" s="317"/>
      <c r="U3207" s="317"/>
      <c r="V3207" s="317"/>
      <c r="W3207" s="317"/>
      <c r="X3207" s="317"/>
      <c r="Y3207" s="317"/>
      <c r="Z3207" s="317"/>
    </row>
    <row r="3208" spans="1:26" x14ac:dyDescent="0.25">
      <c r="A3208" s="314"/>
      <c r="B3208" s="18">
        <v>2023</v>
      </c>
      <c r="C3208" s="18" t="s">
        <v>787</v>
      </c>
      <c r="D3208" s="18" t="s">
        <v>1228</v>
      </c>
      <c r="E3208" s="18" t="s">
        <v>703</v>
      </c>
      <c r="F3208" s="18" t="s">
        <v>704</v>
      </c>
      <c r="G3208" s="18" t="s">
        <v>675</v>
      </c>
      <c r="H3208" s="18" t="s">
        <v>1078</v>
      </c>
      <c r="I3208" s="315">
        <v>6.1347887792643814</v>
      </c>
      <c r="J3208" s="315">
        <v>2.0731996954618452E-3</v>
      </c>
      <c r="K3208" s="316" t="str">
        <f t="shared" si="54"/>
        <v>Industrial Equipment</v>
      </c>
      <c r="L3208" s="316" t="str">
        <f t="shared" si="55"/>
        <v>Gasoline</v>
      </c>
      <c r="M3208" s="194"/>
      <c r="N3208" s="317"/>
      <c r="O3208" s="317"/>
      <c r="P3208" s="317"/>
      <c r="Q3208" s="317"/>
      <c r="R3208" s="317"/>
      <c r="S3208" s="317"/>
      <c r="T3208" s="317"/>
      <c r="U3208" s="317"/>
      <c r="V3208" s="317"/>
      <c r="W3208" s="317"/>
      <c r="X3208" s="317"/>
      <c r="Y3208" s="317"/>
      <c r="Z3208" s="317"/>
    </row>
    <row r="3209" spans="1:26" x14ac:dyDescent="0.25">
      <c r="A3209" s="314"/>
      <c r="B3209" s="18">
        <v>2023</v>
      </c>
      <c r="C3209" s="18" t="s">
        <v>743</v>
      </c>
      <c r="D3209" s="18" t="s">
        <v>1407</v>
      </c>
      <c r="E3209" s="18" t="s">
        <v>56</v>
      </c>
      <c r="F3209" s="18" t="s">
        <v>672</v>
      </c>
      <c r="G3209" s="18" t="s">
        <v>675</v>
      </c>
      <c r="H3209" s="18" t="s">
        <v>1078</v>
      </c>
      <c r="I3209" s="315">
        <v>6.1232019437201402</v>
      </c>
      <c r="J3209" s="315">
        <v>5.5017367659991611E-4</v>
      </c>
      <c r="K3209" s="316" t="str">
        <f t="shared" si="54"/>
        <v>Industrial Equipment</v>
      </c>
      <c r="L3209" s="316" t="str">
        <f t="shared" si="55"/>
        <v>LPG</v>
      </c>
      <c r="M3209" s="194"/>
      <c r="N3209" s="317"/>
      <c r="O3209" s="317"/>
      <c r="P3209" s="317"/>
      <c r="Q3209" s="317"/>
      <c r="R3209" s="317"/>
      <c r="S3209" s="317"/>
      <c r="T3209" s="317"/>
      <c r="U3209" s="317"/>
      <c r="V3209" s="317"/>
      <c r="W3209" s="317"/>
      <c r="X3209" s="317"/>
      <c r="Y3209" s="317"/>
      <c r="Z3209" s="317"/>
    </row>
    <row r="3210" spans="1:26" x14ac:dyDescent="0.25">
      <c r="A3210" s="314"/>
      <c r="B3210" s="18">
        <v>2023</v>
      </c>
      <c r="C3210" s="18" t="s">
        <v>760</v>
      </c>
      <c r="D3210" s="18" t="s">
        <v>1428</v>
      </c>
      <c r="E3210" s="18" t="s">
        <v>56</v>
      </c>
      <c r="F3210" s="18" t="s">
        <v>601</v>
      </c>
      <c r="G3210" s="18" t="s">
        <v>678</v>
      </c>
      <c r="H3210" s="18" t="s">
        <v>1154</v>
      </c>
      <c r="I3210" s="315">
        <v>6.1186920950765868</v>
      </c>
      <c r="J3210" s="315">
        <v>2.4883734097495416E-2</v>
      </c>
      <c r="K3210" s="316" t="str">
        <f t="shared" si="54"/>
        <v>Agricultural Equipment</v>
      </c>
      <c r="L3210" s="316" t="str">
        <f t="shared" si="55"/>
        <v>CNG</v>
      </c>
      <c r="M3210" s="194"/>
      <c r="N3210" s="317"/>
      <c r="O3210" s="317"/>
      <c r="P3210" s="317"/>
      <c r="Q3210" s="317"/>
      <c r="R3210" s="317"/>
      <c r="S3210" s="317"/>
      <c r="T3210" s="317"/>
      <c r="U3210" s="317"/>
      <c r="V3210" s="317"/>
      <c r="W3210" s="317"/>
      <c r="X3210" s="317"/>
      <c r="Y3210" s="317"/>
      <c r="Z3210" s="317"/>
    </row>
    <row r="3211" spans="1:26" ht="12.75" x14ac:dyDescent="0.2">
      <c r="A3211" s="230"/>
      <c r="B3211" s="18">
        <v>2023</v>
      </c>
      <c r="C3211" s="18" t="s">
        <v>781</v>
      </c>
      <c r="D3211" s="18" t="s">
        <v>1539</v>
      </c>
      <c r="E3211" s="18" t="s">
        <v>703</v>
      </c>
      <c r="F3211" s="18" t="s">
        <v>704</v>
      </c>
      <c r="G3211" s="18" t="s">
        <v>678</v>
      </c>
      <c r="H3211" s="18" t="s">
        <v>1230</v>
      </c>
      <c r="I3211" s="315">
        <v>6.1179263679041274</v>
      </c>
      <c r="J3211" s="315">
        <v>3.6450972331149752E-3</v>
      </c>
      <c r="K3211" s="316" t="str">
        <f t="shared" si="54"/>
        <v>Agricultural Equipment</v>
      </c>
      <c r="L3211" s="316" t="str">
        <f t="shared" si="55"/>
        <v>Gasoline</v>
      </c>
      <c r="M3211" s="8"/>
      <c r="N3211" s="2"/>
      <c r="O3211" s="2"/>
      <c r="P3211" s="2"/>
      <c r="Q3211" s="2"/>
      <c r="R3211" s="2"/>
      <c r="S3211" s="2"/>
      <c r="T3211" s="2"/>
      <c r="U3211" s="2"/>
      <c r="V3211" s="2"/>
      <c r="W3211" s="2"/>
      <c r="X3211" s="2"/>
      <c r="Y3211" s="2"/>
      <c r="Z3211" s="2"/>
    </row>
    <row r="3212" spans="1:26" x14ac:dyDescent="0.25">
      <c r="A3212" s="314"/>
      <c r="B3212" s="18">
        <v>2023</v>
      </c>
      <c r="C3212" s="18" t="s">
        <v>793</v>
      </c>
      <c r="D3212" s="18" t="s">
        <v>1394</v>
      </c>
      <c r="E3212" s="18" t="s">
        <v>703</v>
      </c>
      <c r="F3212" s="18" t="s">
        <v>805</v>
      </c>
      <c r="G3212" s="18" t="s">
        <v>681</v>
      </c>
      <c r="H3212" s="18" t="s">
        <v>1395</v>
      </c>
      <c r="I3212" s="315">
        <v>6.1138635293722681</v>
      </c>
      <c r="J3212" s="315">
        <v>1.0589918789774539E-2</v>
      </c>
      <c r="K3212" s="316" t="str">
        <f t="shared" si="54"/>
        <v>Logging Equipment</v>
      </c>
      <c r="L3212" s="316" t="str">
        <f t="shared" si="55"/>
        <v>Gasoline</v>
      </c>
      <c r="M3212" s="194"/>
      <c r="N3212" s="317"/>
      <c r="O3212" s="317"/>
      <c r="P3212" s="317"/>
      <c r="Q3212" s="317"/>
      <c r="R3212" s="317"/>
      <c r="S3212" s="317"/>
      <c r="T3212" s="317"/>
      <c r="U3212" s="317"/>
      <c r="V3212" s="317"/>
      <c r="W3212" s="317"/>
      <c r="X3212" s="317"/>
      <c r="Y3212" s="317"/>
      <c r="Z3212" s="317"/>
    </row>
    <row r="3213" spans="1:26" x14ac:dyDescent="0.25">
      <c r="A3213" s="314"/>
      <c r="B3213" s="18">
        <v>2023</v>
      </c>
      <c r="C3213" s="18" t="s">
        <v>711</v>
      </c>
      <c r="D3213" s="18" t="s">
        <v>1278</v>
      </c>
      <c r="E3213" s="18" t="s">
        <v>703</v>
      </c>
      <c r="F3213" s="18" t="s">
        <v>704</v>
      </c>
      <c r="G3213" s="18" t="s">
        <v>678</v>
      </c>
      <c r="H3213" s="18" t="s">
        <v>1279</v>
      </c>
      <c r="I3213" s="315">
        <v>6.0797488757098925</v>
      </c>
      <c r="J3213" s="315">
        <v>8.1067616519895098E-3</v>
      </c>
      <c r="K3213" s="316" t="str">
        <f t="shared" si="54"/>
        <v>Agricultural Equipment</v>
      </c>
      <c r="L3213" s="316" t="str">
        <f t="shared" si="55"/>
        <v>Gasoline</v>
      </c>
      <c r="M3213" s="194"/>
      <c r="N3213" s="317"/>
      <c r="O3213" s="317"/>
      <c r="P3213" s="317"/>
      <c r="Q3213" s="317"/>
      <c r="R3213" s="317"/>
      <c r="S3213" s="317"/>
      <c r="T3213" s="317"/>
      <c r="U3213" s="317"/>
      <c r="V3213" s="317"/>
      <c r="W3213" s="317"/>
      <c r="X3213" s="317"/>
      <c r="Y3213" s="317"/>
      <c r="Z3213" s="317"/>
    </row>
    <row r="3214" spans="1:26" x14ac:dyDescent="0.25">
      <c r="A3214" s="314"/>
      <c r="B3214" s="18">
        <v>2023</v>
      </c>
      <c r="C3214" s="18" t="s">
        <v>787</v>
      </c>
      <c r="D3214" s="18" t="s">
        <v>1009</v>
      </c>
      <c r="E3214" s="18" t="s">
        <v>713</v>
      </c>
      <c r="F3214" s="18" t="s">
        <v>714</v>
      </c>
      <c r="G3214" s="18" t="s">
        <v>673</v>
      </c>
      <c r="H3214" s="18" t="s">
        <v>1010</v>
      </c>
      <c r="I3214" s="315">
        <v>6.0779086135338876</v>
      </c>
      <c r="J3214" s="315">
        <v>8.8697878486770383E-5</v>
      </c>
      <c r="K3214" s="316" t="str">
        <f t="shared" si="54"/>
        <v>Lawn and Garden Equipment</v>
      </c>
      <c r="L3214" s="316" t="str">
        <f t="shared" si="55"/>
        <v>Diesel</v>
      </c>
      <c r="M3214" s="194"/>
      <c r="N3214" s="317"/>
      <c r="O3214" s="317"/>
      <c r="P3214" s="317"/>
      <c r="Q3214" s="317"/>
      <c r="R3214" s="317"/>
      <c r="S3214" s="317"/>
      <c r="T3214" s="317"/>
      <c r="U3214" s="317"/>
      <c r="V3214" s="317"/>
      <c r="W3214" s="317"/>
      <c r="X3214" s="317"/>
      <c r="Y3214" s="317"/>
      <c r="Z3214" s="317"/>
    </row>
    <row r="3215" spans="1:26" x14ac:dyDescent="0.25">
      <c r="A3215" s="314"/>
      <c r="B3215" s="18">
        <v>2023</v>
      </c>
      <c r="C3215" s="18" t="s">
        <v>792</v>
      </c>
      <c r="D3215" s="18" t="s">
        <v>1023</v>
      </c>
      <c r="E3215" s="18" t="s">
        <v>703</v>
      </c>
      <c r="F3215" s="18" t="s">
        <v>704</v>
      </c>
      <c r="G3215" s="18" t="s">
        <v>674</v>
      </c>
      <c r="H3215" s="18" t="s">
        <v>736</v>
      </c>
      <c r="I3215" s="315">
        <v>6.0738016141933713</v>
      </c>
      <c r="J3215" s="315">
        <v>4.0729045301771405E-3</v>
      </c>
      <c r="K3215" s="316" t="str">
        <f t="shared" si="54"/>
        <v>Construction and Mining Equipment</v>
      </c>
      <c r="L3215" s="316" t="str">
        <f t="shared" si="55"/>
        <v>Gasoline</v>
      </c>
      <c r="M3215" s="194"/>
      <c r="N3215" s="317"/>
      <c r="O3215" s="317"/>
      <c r="P3215" s="317"/>
      <c r="Q3215" s="317"/>
      <c r="R3215" s="317"/>
      <c r="S3215" s="317"/>
      <c r="T3215" s="317"/>
      <c r="U3215" s="317"/>
      <c r="V3215" s="317"/>
      <c r="W3215" s="317"/>
      <c r="X3215" s="317"/>
      <c r="Y3215" s="317"/>
      <c r="Z3215" s="317"/>
    </row>
    <row r="3216" spans="1:26" x14ac:dyDescent="0.25">
      <c r="A3216" s="314"/>
      <c r="B3216" s="18">
        <v>2023</v>
      </c>
      <c r="C3216" s="18" t="s">
        <v>709</v>
      </c>
      <c r="D3216" s="18" t="s">
        <v>1564</v>
      </c>
      <c r="E3216" s="18" t="s">
        <v>703</v>
      </c>
      <c r="F3216" s="18" t="s">
        <v>704</v>
      </c>
      <c r="G3216" s="18" t="s">
        <v>674</v>
      </c>
      <c r="H3216" s="18" t="s">
        <v>981</v>
      </c>
      <c r="I3216" s="315">
        <v>6.0635369558545982</v>
      </c>
      <c r="J3216" s="315">
        <v>4.4803126381725367E-3</v>
      </c>
      <c r="K3216" s="316" t="str">
        <f t="shared" si="54"/>
        <v>Construction and Mining Equipment</v>
      </c>
      <c r="L3216" s="316" t="str">
        <f t="shared" si="55"/>
        <v>Gasoline</v>
      </c>
      <c r="M3216" s="194"/>
      <c r="N3216" s="317"/>
      <c r="O3216" s="317"/>
      <c r="P3216" s="317"/>
      <c r="Q3216" s="317"/>
      <c r="R3216" s="317"/>
      <c r="S3216" s="317"/>
      <c r="T3216" s="317"/>
      <c r="U3216" s="317"/>
      <c r="V3216" s="317"/>
      <c r="W3216" s="317"/>
      <c r="X3216" s="317"/>
      <c r="Y3216" s="317"/>
      <c r="Z3216" s="317"/>
    </row>
    <row r="3217" spans="1:26" x14ac:dyDescent="0.25">
      <c r="A3217" s="314"/>
      <c r="B3217" s="18">
        <v>2023</v>
      </c>
      <c r="C3217" s="18" t="s">
        <v>786</v>
      </c>
      <c r="D3217" s="18" t="s">
        <v>1539</v>
      </c>
      <c r="E3217" s="18" t="s">
        <v>703</v>
      </c>
      <c r="F3217" s="18" t="s">
        <v>704</v>
      </c>
      <c r="G3217" s="18" t="s">
        <v>678</v>
      </c>
      <c r="H3217" s="18" t="s">
        <v>1230</v>
      </c>
      <c r="I3217" s="315">
        <v>6.0545818218236827</v>
      </c>
      <c r="J3217" s="315">
        <v>3.6105245808842265E-3</v>
      </c>
      <c r="K3217" s="316" t="str">
        <f t="shared" si="54"/>
        <v>Agricultural Equipment</v>
      </c>
      <c r="L3217" s="316" t="str">
        <f t="shared" si="55"/>
        <v>Gasoline</v>
      </c>
      <c r="M3217" s="194"/>
      <c r="N3217" s="317"/>
      <c r="O3217" s="317"/>
      <c r="P3217" s="317"/>
      <c r="Q3217" s="317"/>
      <c r="R3217" s="317"/>
      <c r="S3217" s="317"/>
      <c r="T3217" s="317"/>
      <c r="U3217" s="317"/>
      <c r="V3217" s="317"/>
      <c r="W3217" s="317"/>
      <c r="X3217" s="317"/>
      <c r="Y3217" s="317"/>
      <c r="Z3217" s="317"/>
    </row>
    <row r="3218" spans="1:26" x14ac:dyDescent="0.25">
      <c r="A3218" s="314"/>
      <c r="B3218" s="18">
        <v>2023</v>
      </c>
      <c r="C3218" s="18" t="s">
        <v>792</v>
      </c>
      <c r="D3218" s="18" t="s">
        <v>962</v>
      </c>
      <c r="E3218" s="18" t="s">
        <v>703</v>
      </c>
      <c r="F3218" s="18" t="s">
        <v>704</v>
      </c>
      <c r="G3218" s="18" t="s">
        <v>673</v>
      </c>
      <c r="H3218" s="18" t="s">
        <v>963</v>
      </c>
      <c r="I3218" s="315">
        <v>6.0538660592796356</v>
      </c>
      <c r="J3218" s="315">
        <v>4.198258703894551E-3</v>
      </c>
      <c r="K3218" s="316" t="str">
        <f t="shared" si="54"/>
        <v>Lawn and Garden Equipment</v>
      </c>
      <c r="L3218" s="316" t="str">
        <f t="shared" si="55"/>
        <v>Gasoline</v>
      </c>
      <c r="M3218" s="194"/>
      <c r="N3218" s="317"/>
      <c r="O3218" s="317"/>
      <c r="P3218" s="317"/>
      <c r="Q3218" s="317"/>
      <c r="R3218" s="317"/>
      <c r="S3218" s="317"/>
      <c r="T3218" s="317"/>
      <c r="U3218" s="317"/>
      <c r="V3218" s="317"/>
      <c r="W3218" s="317"/>
      <c r="X3218" s="317"/>
      <c r="Y3218" s="317"/>
      <c r="Z3218" s="317"/>
    </row>
    <row r="3219" spans="1:26" x14ac:dyDescent="0.25">
      <c r="A3219" s="314"/>
      <c r="B3219" s="18">
        <v>2023</v>
      </c>
      <c r="C3219" s="18" t="s">
        <v>781</v>
      </c>
      <c r="D3219" s="18" t="s">
        <v>1020</v>
      </c>
      <c r="E3219" s="18" t="s">
        <v>713</v>
      </c>
      <c r="F3219" s="18" t="s">
        <v>714</v>
      </c>
      <c r="G3219" s="18" t="s">
        <v>677</v>
      </c>
      <c r="H3219" s="18" t="s">
        <v>789</v>
      </c>
      <c r="I3219" s="315">
        <v>6.0521177948861062</v>
      </c>
      <c r="J3219" s="315">
        <v>1.3927993645463602E-4</v>
      </c>
      <c r="K3219" s="316" t="str">
        <f t="shared" si="54"/>
        <v>Commercial Equipment</v>
      </c>
      <c r="L3219" s="316" t="str">
        <f t="shared" si="55"/>
        <v>Diesel</v>
      </c>
      <c r="M3219" s="194"/>
      <c r="N3219" s="317"/>
      <c r="O3219" s="317"/>
      <c r="P3219" s="317"/>
      <c r="Q3219" s="317"/>
      <c r="R3219" s="317"/>
      <c r="S3219" s="317"/>
      <c r="T3219" s="317"/>
      <c r="U3219" s="317"/>
      <c r="V3219" s="317"/>
      <c r="W3219" s="317"/>
      <c r="X3219" s="317"/>
      <c r="Y3219" s="317"/>
      <c r="Z3219" s="317"/>
    </row>
    <row r="3220" spans="1:26" x14ac:dyDescent="0.25">
      <c r="A3220" s="314"/>
      <c r="B3220" s="18">
        <v>2023</v>
      </c>
      <c r="C3220" s="18" t="s">
        <v>753</v>
      </c>
      <c r="D3220" s="18" t="s">
        <v>1084</v>
      </c>
      <c r="E3220" s="18" t="s">
        <v>703</v>
      </c>
      <c r="F3220" s="18" t="s">
        <v>704</v>
      </c>
      <c r="G3220" s="18" t="s">
        <v>674</v>
      </c>
      <c r="H3220" s="18" t="s">
        <v>863</v>
      </c>
      <c r="I3220" s="315">
        <v>6.051395630809064</v>
      </c>
      <c r="J3220" s="315">
        <v>3.5295958993255454E-3</v>
      </c>
      <c r="K3220" s="316" t="str">
        <f t="shared" si="54"/>
        <v>Construction and Mining Equipment</v>
      </c>
      <c r="L3220" s="316" t="str">
        <f t="shared" si="55"/>
        <v>Gasoline</v>
      </c>
      <c r="M3220" s="194"/>
      <c r="N3220" s="317"/>
      <c r="O3220" s="317"/>
      <c r="P3220" s="317"/>
      <c r="Q3220" s="317"/>
      <c r="R3220" s="317"/>
      <c r="S3220" s="317"/>
      <c r="T3220" s="317"/>
      <c r="U3220" s="317"/>
      <c r="V3220" s="317"/>
      <c r="W3220" s="317"/>
      <c r="X3220" s="317"/>
      <c r="Y3220" s="317"/>
      <c r="Z3220" s="317"/>
    </row>
    <row r="3221" spans="1:26" x14ac:dyDescent="0.25">
      <c r="A3221" s="314"/>
      <c r="B3221" s="18">
        <v>2023</v>
      </c>
      <c r="C3221" s="18" t="s">
        <v>732</v>
      </c>
      <c r="D3221" s="18" t="s">
        <v>1360</v>
      </c>
      <c r="E3221" s="18" t="s">
        <v>713</v>
      </c>
      <c r="F3221" s="18" t="s">
        <v>714</v>
      </c>
      <c r="G3221" s="18" t="s">
        <v>674</v>
      </c>
      <c r="H3221" s="18" t="s">
        <v>1220</v>
      </c>
      <c r="I3221" s="315">
        <v>6.0397230431954601</v>
      </c>
      <c r="J3221" s="315">
        <v>2.6867019265703967E-4</v>
      </c>
      <c r="K3221" s="316" t="str">
        <f t="shared" si="54"/>
        <v>Construction and Mining Equipment</v>
      </c>
      <c r="L3221" s="316" t="str">
        <f t="shared" si="55"/>
        <v>Diesel</v>
      </c>
      <c r="M3221" s="194"/>
      <c r="N3221" s="317"/>
      <c r="O3221" s="317"/>
      <c r="P3221" s="317"/>
      <c r="Q3221" s="317"/>
      <c r="R3221" s="317"/>
      <c r="S3221" s="317"/>
      <c r="T3221" s="317"/>
      <c r="U3221" s="317"/>
      <c r="V3221" s="317"/>
      <c r="W3221" s="317"/>
      <c r="X3221" s="317"/>
      <c r="Y3221" s="317"/>
      <c r="Z3221" s="317"/>
    </row>
    <row r="3222" spans="1:26" x14ac:dyDescent="0.25">
      <c r="A3222" s="314"/>
      <c r="B3222" s="18">
        <v>2023</v>
      </c>
      <c r="C3222" s="18" t="s">
        <v>786</v>
      </c>
      <c r="D3222" s="18" t="s">
        <v>1224</v>
      </c>
      <c r="E3222" s="18" t="s">
        <v>703</v>
      </c>
      <c r="F3222" s="18" t="s">
        <v>704</v>
      </c>
      <c r="G3222" s="18" t="s">
        <v>681</v>
      </c>
      <c r="H3222" s="18" t="s">
        <v>1225</v>
      </c>
      <c r="I3222" s="315">
        <v>6.0018951793362811</v>
      </c>
      <c r="J3222" s="315">
        <v>4.0680466431071653E-3</v>
      </c>
      <c r="K3222" s="316" t="str">
        <f t="shared" si="54"/>
        <v>Logging Equipment</v>
      </c>
      <c r="L3222" s="316" t="str">
        <f t="shared" si="55"/>
        <v>Gasoline</v>
      </c>
      <c r="M3222" s="194"/>
      <c r="N3222" s="317"/>
      <c r="O3222" s="317"/>
      <c r="P3222" s="317"/>
      <c r="Q3222" s="317"/>
      <c r="R3222" s="317"/>
      <c r="S3222" s="317"/>
      <c r="T3222" s="317"/>
      <c r="U3222" s="317"/>
      <c r="V3222" s="317"/>
      <c r="W3222" s="317"/>
      <c r="X3222" s="317"/>
      <c r="Y3222" s="317"/>
      <c r="Z3222" s="317"/>
    </row>
    <row r="3223" spans="1:26" x14ac:dyDescent="0.25">
      <c r="A3223" s="314"/>
      <c r="B3223" s="18">
        <v>2023</v>
      </c>
      <c r="C3223" s="18" t="s">
        <v>701</v>
      </c>
      <c r="D3223" s="18" t="s">
        <v>1483</v>
      </c>
      <c r="E3223" s="18" t="s">
        <v>703</v>
      </c>
      <c r="F3223" s="18" t="s">
        <v>805</v>
      </c>
      <c r="G3223" s="18" t="s">
        <v>674</v>
      </c>
      <c r="H3223" s="18" t="s">
        <v>994</v>
      </c>
      <c r="I3223" s="315">
        <v>5.9856866748698634</v>
      </c>
      <c r="J3223" s="315">
        <v>1.255004803308532E-2</v>
      </c>
      <c r="K3223" s="316" t="str">
        <f t="shared" si="54"/>
        <v>Construction and Mining Equipment</v>
      </c>
      <c r="L3223" s="316" t="str">
        <f t="shared" si="55"/>
        <v>Gasoline</v>
      </c>
      <c r="M3223" s="194"/>
      <c r="N3223" s="317"/>
      <c r="O3223" s="317"/>
      <c r="P3223" s="317"/>
      <c r="Q3223" s="317"/>
      <c r="R3223" s="317"/>
      <c r="S3223" s="317"/>
      <c r="T3223" s="317"/>
      <c r="U3223" s="317"/>
      <c r="V3223" s="317"/>
      <c r="W3223" s="317"/>
      <c r="X3223" s="317"/>
      <c r="Y3223" s="317"/>
      <c r="Z3223" s="317"/>
    </row>
    <row r="3224" spans="1:26" x14ac:dyDescent="0.25">
      <c r="A3224" s="314"/>
      <c r="B3224" s="18">
        <v>2023</v>
      </c>
      <c r="C3224" s="18" t="s">
        <v>722</v>
      </c>
      <c r="D3224" s="18" t="s">
        <v>1224</v>
      </c>
      <c r="E3224" s="18" t="s">
        <v>703</v>
      </c>
      <c r="F3224" s="18" t="s">
        <v>704</v>
      </c>
      <c r="G3224" s="18" t="s">
        <v>681</v>
      </c>
      <c r="H3224" s="18" t="s">
        <v>1225</v>
      </c>
      <c r="I3224" s="315">
        <v>5.9771480126752472</v>
      </c>
      <c r="J3224" s="315">
        <v>4.0560175322673581E-3</v>
      </c>
      <c r="K3224" s="316" t="str">
        <f t="shared" si="54"/>
        <v>Logging Equipment</v>
      </c>
      <c r="L3224" s="316" t="str">
        <f t="shared" si="55"/>
        <v>Gasoline</v>
      </c>
      <c r="M3224" s="194"/>
      <c r="N3224" s="317"/>
      <c r="O3224" s="317"/>
      <c r="P3224" s="317"/>
      <c r="Q3224" s="317"/>
      <c r="R3224" s="317"/>
      <c r="S3224" s="317"/>
      <c r="T3224" s="317"/>
      <c r="U3224" s="317"/>
      <c r="V3224" s="317"/>
      <c r="W3224" s="317"/>
      <c r="X3224" s="317"/>
      <c r="Y3224" s="317"/>
      <c r="Z3224" s="317"/>
    </row>
    <row r="3225" spans="1:26" x14ac:dyDescent="0.25">
      <c r="A3225" s="314"/>
      <c r="B3225" s="18">
        <v>2023</v>
      </c>
      <c r="C3225" s="18" t="s">
        <v>750</v>
      </c>
      <c r="D3225" s="18" t="s">
        <v>1017</v>
      </c>
      <c r="E3225" s="18" t="s">
        <v>703</v>
      </c>
      <c r="F3225" s="18" t="s">
        <v>704</v>
      </c>
      <c r="G3225" s="18" t="s">
        <v>673</v>
      </c>
      <c r="H3225" s="18" t="s">
        <v>806</v>
      </c>
      <c r="I3225" s="315">
        <v>5.9763632445281356</v>
      </c>
      <c r="J3225" s="315">
        <v>4.2053019416193379E-3</v>
      </c>
      <c r="K3225" s="316" t="str">
        <f t="shared" si="54"/>
        <v>Lawn and Garden Equipment</v>
      </c>
      <c r="L3225" s="316" t="str">
        <f t="shared" si="55"/>
        <v>Gasoline</v>
      </c>
      <c r="M3225" s="194"/>
      <c r="N3225" s="317"/>
      <c r="O3225" s="317"/>
      <c r="P3225" s="317"/>
      <c r="Q3225" s="317"/>
      <c r="R3225" s="317"/>
      <c r="S3225" s="317"/>
      <c r="T3225" s="317"/>
      <c r="U3225" s="317"/>
      <c r="V3225" s="317"/>
      <c r="W3225" s="317"/>
      <c r="X3225" s="317"/>
      <c r="Y3225" s="317"/>
      <c r="Z3225" s="317"/>
    </row>
    <row r="3226" spans="1:26" x14ac:dyDescent="0.25">
      <c r="A3226" s="314"/>
      <c r="B3226" s="18">
        <v>2023</v>
      </c>
      <c r="C3226" s="18" t="s">
        <v>732</v>
      </c>
      <c r="D3226" s="18" t="s">
        <v>1361</v>
      </c>
      <c r="E3226" s="18" t="s">
        <v>56</v>
      </c>
      <c r="F3226" s="18" t="s">
        <v>672</v>
      </c>
      <c r="G3226" s="18" t="s">
        <v>674</v>
      </c>
      <c r="H3226" s="18" t="s">
        <v>783</v>
      </c>
      <c r="I3226" s="315">
        <v>5.9657202878028182</v>
      </c>
      <c r="J3226" s="315">
        <v>2.7386476829073547E-4</v>
      </c>
      <c r="K3226" s="316" t="str">
        <f t="shared" si="54"/>
        <v>Construction and Mining Equipment</v>
      </c>
      <c r="L3226" s="316" t="str">
        <f t="shared" si="55"/>
        <v>LPG</v>
      </c>
      <c r="M3226" s="194"/>
      <c r="N3226" s="317"/>
      <c r="O3226" s="317"/>
      <c r="P3226" s="317"/>
      <c r="Q3226" s="317"/>
      <c r="R3226" s="317"/>
      <c r="S3226" s="317"/>
      <c r="T3226" s="317"/>
      <c r="U3226" s="317"/>
      <c r="V3226" s="317"/>
      <c r="W3226" s="317"/>
      <c r="X3226" s="317"/>
      <c r="Y3226" s="317"/>
      <c r="Z3226" s="317"/>
    </row>
    <row r="3227" spans="1:26" x14ac:dyDescent="0.25">
      <c r="A3227" s="314"/>
      <c r="B3227" s="18">
        <v>2023</v>
      </c>
      <c r="C3227" s="18" t="s">
        <v>722</v>
      </c>
      <c r="D3227" s="18" t="s">
        <v>1407</v>
      </c>
      <c r="E3227" s="18" t="s">
        <v>56</v>
      </c>
      <c r="F3227" s="18" t="s">
        <v>672</v>
      </c>
      <c r="G3227" s="18" t="s">
        <v>675</v>
      </c>
      <c r="H3227" s="18" t="s">
        <v>1078</v>
      </c>
      <c r="I3227" s="315">
        <v>5.9470024486051063</v>
      </c>
      <c r="J3227" s="315">
        <v>5.343425059403501E-4</v>
      </c>
      <c r="K3227" s="316" t="str">
        <f t="shared" si="54"/>
        <v>Industrial Equipment</v>
      </c>
      <c r="L3227" s="316" t="str">
        <f t="shared" si="55"/>
        <v>LPG</v>
      </c>
      <c r="M3227" s="194"/>
      <c r="N3227" s="317"/>
      <c r="O3227" s="317"/>
      <c r="P3227" s="317"/>
      <c r="Q3227" s="317"/>
      <c r="R3227" s="317"/>
      <c r="S3227" s="317"/>
      <c r="T3227" s="317"/>
      <c r="U3227" s="317"/>
      <c r="V3227" s="317"/>
      <c r="W3227" s="317"/>
      <c r="X3227" s="317"/>
      <c r="Y3227" s="317"/>
      <c r="Z3227" s="317"/>
    </row>
    <row r="3228" spans="1:26" x14ac:dyDescent="0.25">
      <c r="A3228" s="314"/>
      <c r="B3228" s="18">
        <v>2023</v>
      </c>
      <c r="C3228" s="18" t="s">
        <v>760</v>
      </c>
      <c r="D3228" s="18" t="s">
        <v>1394</v>
      </c>
      <c r="E3228" s="18" t="s">
        <v>703</v>
      </c>
      <c r="F3228" s="18" t="s">
        <v>805</v>
      </c>
      <c r="G3228" s="18" t="s">
        <v>681</v>
      </c>
      <c r="H3228" s="18" t="s">
        <v>1395</v>
      </c>
      <c r="I3228" s="315">
        <v>5.9445021105210607</v>
      </c>
      <c r="J3228" s="315">
        <v>1.0296576019202263E-2</v>
      </c>
      <c r="K3228" s="316" t="str">
        <f t="shared" si="54"/>
        <v>Logging Equipment</v>
      </c>
      <c r="L3228" s="316" t="str">
        <f t="shared" si="55"/>
        <v>Gasoline</v>
      </c>
      <c r="M3228" s="194"/>
      <c r="N3228" s="317"/>
      <c r="O3228" s="317"/>
      <c r="P3228" s="317"/>
      <c r="Q3228" s="317"/>
      <c r="R3228" s="317"/>
      <c r="S3228" s="317"/>
      <c r="T3228" s="317"/>
      <c r="U3228" s="317"/>
      <c r="V3228" s="317"/>
      <c r="W3228" s="317"/>
      <c r="X3228" s="317"/>
      <c r="Y3228" s="317"/>
      <c r="Z3228" s="317"/>
    </row>
    <row r="3229" spans="1:26" x14ac:dyDescent="0.25">
      <c r="A3229" s="314"/>
      <c r="B3229" s="18">
        <v>2023</v>
      </c>
      <c r="C3229" s="18" t="s">
        <v>701</v>
      </c>
      <c r="D3229" s="18" t="s">
        <v>1428</v>
      </c>
      <c r="E3229" s="18" t="s">
        <v>56</v>
      </c>
      <c r="F3229" s="18" t="s">
        <v>601</v>
      </c>
      <c r="G3229" s="18" t="s">
        <v>678</v>
      </c>
      <c r="H3229" s="18" t="s">
        <v>1154</v>
      </c>
      <c r="I3229" s="315">
        <v>5.9442406399098644</v>
      </c>
      <c r="J3229" s="315">
        <v>2.4174308022729445E-2</v>
      </c>
      <c r="K3229" s="316" t="str">
        <f t="shared" si="54"/>
        <v>Agricultural Equipment</v>
      </c>
      <c r="L3229" s="316" t="str">
        <f t="shared" si="55"/>
        <v>CNG</v>
      </c>
      <c r="M3229" s="194"/>
      <c r="N3229" s="317"/>
      <c r="O3229" s="317"/>
      <c r="P3229" s="317"/>
      <c r="Q3229" s="317"/>
      <c r="R3229" s="317"/>
      <c r="S3229" s="317"/>
      <c r="T3229" s="317"/>
      <c r="U3229" s="317"/>
      <c r="V3229" s="317"/>
      <c r="W3229" s="317"/>
      <c r="X3229" s="317"/>
      <c r="Y3229" s="317"/>
      <c r="Z3229" s="317"/>
    </row>
    <row r="3230" spans="1:26" x14ac:dyDescent="0.25">
      <c r="A3230" s="314"/>
      <c r="B3230" s="18">
        <v>2023</v>
      </c>
      <c r="C3230" s="18" t="s">
        <v>722</v>
      </c>
      <c r="D3230" s="18" t="s">
        <v>1339</v>
      </c>
      <c r="E3230" s="18" t="s">
        <v>56</v>
      </c>
      <c r="F3230" s="18" t="s">
        <v>672</v>
      </c>
      <c r="G3230" s="18" t="s">
        <v>674</v>
      </c>
      <c r="H3230" s="18" t="s">
        <v>770</v>
      </c>
      <c r="I3230" s="315">
        <v>5.9427277714594133</v>
      </c>
      <c r="J3230" s="315">
        <v>4.3882631136330972E-4</v>
      </c>
      <c r="K3230" s="316" t="str">
        <f t="shared" si="54"/>
        <v>Construction and Mining Equipment</v>
      </c>
      <c r="L3230" s="316" t="str">
        <f t="shared" si="55"/>
        <v>LPG</v>
      </c>
      <c r="M3230" s="194"/>
      <c r="N3230" s="317"/>
      <c r="O3230" s="317"/>
      <c r="P3230" s="317"/>
      <c r="Q3230" s="317"/>
      <c r="R3230" s="317"/>
      <c r="S3230" s="317"/>
      <c r="T3230" s="317"/>
      <c r="U3230" s="317"/>
      <c r="V3230" s="317"/>
      <c r="W3230" s="317"/>
      <c r="X3230" s="317"/>
      <c r="Y3230" s="317"/>
      <c r="Z3230" s="317"/>
    </row>
    <row r="3231" spans="1:26" x14ac:dyDescent="0.25">
      <c r="A3231" s="314"/>
      <c r="B3231" s="18">
        <v>2023</v>
      </c>
      <c r="C3231" s="18" t="s">
        <v>727</v>
      </c>
      <c r="D3231" s="18" t="s">
        <v>1539</v>
      </c>
      <c r="E3231" s="18" t="s">
        <v>703</v>
      </c>
      <c r="F3231" s="18" t="s">
        <v>704</v>
      </c>
      <c r="G3231" s="18" t="s">
        <v>678</v>
      </c>
      <c r="H3231" s="18" t="s">
        <v>1230</v>
      </c>
      <c r="I3231" s="315">
        <v>5.9399593893987097</v>
      </c>
      <c r="J3231" s="315">
        <v>3.5356541513617223E-3</v>
      </c>
      <c r="K3231" s="316" t="str">
        <f t="shared" si="54"/>
        <v>Agricultural Equipment</v>
      </c>
      <c r="L3231" s="316" t="str">
        <f t="shared" si="55"/>
        <v>Gasoline</v>
      </c>
      <c r="M3231" s="194"/>
      <c r="N3231" s="317"/>
      <c r="O3231" s="317"/>
      <c r="P3231" s="317"/>
      <c r="Q3231" s="317"/>
      <c r="R3231" s="317"/>
      <c r="S3231" s="317"/>
      <c r="T3231" s="317"/>
      <c r="U3231" s="317"/>
      <c r="V3231" s="317"/>
      <c r="W3231" s="317"/>
      <c r="X3231" s="317"/>
      <c r="Y3231" s="317"/>
      <c r="Z3231" s="317"/>
    </row>
    <row r="3232" spans="1:26" x14ac:dyDescent="0.25">
      <c r="A3232" s="314"/>
      <c r="B3232" s="18">
        <v>2023</v>
      </c>
      <c r="C3232" s="18" t="s">
        <v>732</v>
      </c>
      <c r="D3232" s="18" t="s">
        <v>1362</v>
      </c>
      <c r="E3232" s="18" t="s">
        <v>56</v>
      </c>
      <c r="F3232" s="18" t="s">
        <v>672</v>
      </c>
      <c r="G3232" s="18" t="s">
        <v>674</v>
      </c>
      <c r="H3232" s="18" t="s">
        <v>859</v>
      </c>
      <c r="I3232" s="315">
        <v>5.8945090017838444</v>
      </c>
      <c r="J3232" s="315">
        <v>1.4619636188994067E-3</v>
      </c>
      <c r="K3232" s="316" t="str">
        <f t="shared" si="54"/>
        <v>Construction and Mining Equipment</v>
      </c>
      <c r="L3232" s="316" t="str">
        <f t="shared" si="55"/>
        <v>LPG</v>
      </c>
      <c r="M3232" s="194"/>
      <c r="N3232" s="317"/>
      <c r="O3232" s="317"/>
      <c r="P3232" s="317"/>
      <c r="Q3232" s="317"/>
      <c r="R3232" s="317"/>
      <c r="S3232" s="317"/>
      <c r="T3232" s="317"/>
      <c r="U3232" s="317"/>
      <c r="V3232" s="317"/>
      <c r="W3232" s="317"/>
      <c r="X3232" s="317"/>
      <c r="Y3232" s="317"/>
      <c r="Z3232" s="317"/>
    </row>
    <row r="3233" spans="1:26" x14ac:dyDescent="0.25">
      <c r="A3233" s="314"/>
      <c r="B3233" s="18">
        <v>2023</v>
      </c>
      <c r="C3233" s="18" t="s">
        <v>787</v>
      </c>
      <c r="D3233" s="18" t="s">
        <v>1218</v>
      </c>
      <c r="E3233" s="18" t="s">
        <v>703</v>
      </c>
      <c r="F3233" s="18" t="s">
        <v>704</v>
      </c>
      <c r="G3233" s="18" t="s">
        <v>673</v>
      </c>
      <c r="H3233" s="18" t="s">
        <v>996</v>
      </c>
      <c r="I3233" s="315">
        <v>5.8744190581597895</v>
      </c>
      <c r="J3233" s="315">
        <v>4.096095792971534E-3</v>
      </c>
      <c r="K3233" s="316" t="str">
        <f t="shared" si="54"/>
        <v>Lawn and Garden Equipment</v>
      </c>
      <c r="L3233" s="316" t="str">
        <f t="shared" si="55"/>
        <v>Gasoline</v>
      </c>
      <c r="M3233" s="194"/>
      <c r="N3233" s="317"/>
      <c r="O3233" s="317"/>
      <c r="P3233" s="317"/>
      <c r="Q3233" s="317"/>
      <c r="R3233" s="317"/>
      <c r="S3233" s="317"/>
      <c r="T3233" s="317"/>
      <c r="U3233" s="317"/>
      <c r="V3233" s="317"/>
      <c r="W3233" s="317"/>
      <c r="X3233" s="317"/>
      <c r="Y3233" s="317"/>
      <c r="Z3233" s="317"/>
    </row>
    <row r="3234" spans="1:26" x14ac:dyDescent="0.25">
      <c r="A3234" s="314"/>
      <c r="B3234" s="18">
        <v>2023</v>
      </c>
      <c r="C3234" s="18" t="s">
        <v>787</v>
      </c>
      <c r="D3234" s="18" t="s">
        <v>1219</v>
      </c>
      <c r="E3234" s="18" t="s">
        <v>703</v>
      </c>
      <c r="F3234" s="18" t="s">
        <v>704</v>
      </c>
      <c r="G3234" s="18" t="s">
        <v>674</v>
      </c>
      <c r="H3234" s="18" t="s">
        <v>1220</v>
      </c>
      <c r="I3234" s="315">
        <v>5.84743336446141</v>
      </c>
      <c r="J3234" s="315">
        <v>3.9473434531157071E-3</v>
      </c>
      <c r="K3234" s="316" t="str">
        <f t="shared" si="54"/>
        <v>Construction and Mining Equipment</v>
      </c>
      <c r="L3234" s="316" t="str">
        <f t="shared" si="55"/>
        <v>Gasoline</v>
      </c>
      <c r="M3234" s="194"/>
      <c r="N3234" s="317"/>
      <c r="O3234" s="317"/>
      <c r="P3234" s="317"/>
      <c r="Q3234" s="317"/>
      <c r="R3234" s="317"/>
      <c r="S3234" s="317"/>
      <c r="T3234" s="317"/>
      <c r="U3234" s="317"/>
      <c r="V3234" s="317"/>
      <c r="W3234" s="317"/>
      <c r="X3234" s="317"/>
      <c r="Y3234" s="317"/>
      <c r="Z3234" s="317"/>
    </row>
    <row r="3235" spans="1:26" x14ac:dyDescent="0.25">
      <c r="A3235" s="314"/>
      <c r="B3235" s="18">
        <v>2023</v>
      </c>
      <c r="C3235" s="18" t="s">
        <v>754</v>
      </c>
      <c r="D3235" s="18" t="s">
        <v>1247</v>
      </c>
      <c r="E3235" s="18" t="s">
        <v>56</v>
      </c>
      <c r="F3235" s="18" t="s">
        <v>672</v>
      </c>
      <c r="G3235" s="18" t="s">
        <v>674</v>
      </c>
      <c r="H3235" s="18" t="s">
        <v>967</v>
      </c>
      <c r="I3235" s="315">
        <v>5.8429245172095543</v>
      </c>
      <c r="J3235" s="315">
        <v>2.7604911352731624E-4</v>
      </c>
      <c r="K3235" s="316" t="str">
        <f t="shared" si="54"/>
        <v>Construction and Mining Equipment</v>
      </c>
      <c r="L3235" s="316" t="str">
        <f t="shared" si="55"/>
        <v>LPG</v>
      </c>
      <c r="M3235" s="194"/>
      <c r="N3235" s="317"/>
      <c r="O3235" s="317"/>
      <c r="P3235" s="317"/>
      <c r="Q3235" s="317"/>
      <c r="R3235" s="317"/>
      <c r="S3235" s="317"/>
      <c r="T3235" s="317"/>
      <c r="U3235" s="317"/>
      <c r="V3235" s="317"/>
      <c r="W3235" s="317"/>
      <c r="X3235" s="317"/>
      <c r="Y3235" s="317"/>
      <c r="Z3235" s="317"/>
    </row>
    <row r="3236" spans="1:26" x14ac:dyDescent="0.25">
      <c r="A3236" s="314"/>
      <c r="B3236" s="18">
        <v>2023</v>
      </c>
      <c r="C3236" s="18" t="s">
        <v>706</v>
      </c>
      <c r="D3236" s="18" t="s">
        <v>1409</v>
      </c>
      <c r="E3236" s="18" t="s">
        <v>703</v>
      </c>
      <c r="F3236" s="18" t="s">
        <v>704</v>
      </c>
      <c r="G3236" s="18" t="s">
        <v>678</v>
      </c>
      <c r="H3236" s="18" t="s">
        <v>1222</v>
      </c>
      <c r="I3236" s="315">
        <v>5.8370703875428571</v>
      </c>
      <c r="J3236" s="315">
        <v>3.8583652781521913E-3</v>
      </c>
      <c r="K3236" s="316" t="str">
        <f t="shared" si="54"/>
        <v>Agricultural Equipment</v>
      </c>
      <c r="L3236" s="316" t="str">
        <f t="shared" si="55"/>
        <v>Gasoline</v>
      </c>
      <c r="M3236" s="194"/>
      <c r="N3236" s="317"/>
      <c r="O3236" s="317"/>
      <c r="P3236" s="317"/>
      <c r="Q3236" s="317"/>
      <c r="R3236" s="317"/>
      <c r="S3236" s="317"/>
      <c r="T3236" s="317"/>
      <c r="U3236" s="317"/>
      <c r="V3236" s="317"/>
      <c r="W3236" s="317"/>
      <c r="X3236" s="317"/>
      <c r="Y3236" s="317"/>
      <c r="Z3236" s="317"/>
    </row>
    <row r="3237" spans="1:26" x14ac:dyDescent="0.25">
      <c r="A3237" s="314"/>
      <c r="B3237" s="18">
        <v>2023</v>
      </c>
      <c r="C3237" s="18" t="s">
        <v>750</v>
      </c>
      <c r="D3237" s="18" t="s">
        <v>1218</v>
      </c>
      <c r="E3237" s="18" t="s">
        <v>703</v>
      </c>
      <c r="F3237" s="18" t="s">
        <v>704</v>
      </c>
      <c r="G3237" s="18" t="s">
        <v>673</v>
      </c>
      <c r="H3237" s="18" t="s">
        <v>996</v>
      </c>
      <c r="I3237" s="315">
        <v>5.836471023260275</v>
      </c>
      <c r="J3237" s="315">
        <v>4.055678900968202E-3</v>
      </c>
      <c r="K3237" s="316" t="str">
        <f t="shared" si="54"/>
        <v>Lawn and Garden Equipment</v>
      </c>
      <c r="L3237" s="316" t="str">
        <f t="shared" si="55"/>
        <v>Gasoline</v>
      </c>
      <c r="M3237" s="194"/>
      <c r="N3237" s="317"/>
      <c r="O3237" s="317"/>
      <c r="P3237" s="317"/>
      <c r="Q3237" s="317"/>
      <c r="R3237" s="317"/>
      <c r="S3237" s="317"/>
      <c r="T3237" s="317"/>
      <c r="U3237" s="317"/>
      <c r="V3237" s="317"/>
      <c r="W3237" s="317"/>
      <c r="X3237" s="317"/>
      <c r="Y3237" s="317"/>
      <c r="Z3237" s="317"/>
    </row>
    <row r="3238" spans="1:26" x14ac:dyDescent="0.25">
      <c r="A3238" s="314"/>
      <c r="B3238" s="18">
        <v>2023</v>
      </c>
      <c r="C3238" s="18" t="s">
        <v>754</v>
      </c>
      <c r="D3238" s="18" t="s">
        <v>1248</v>
      </c>
      <c r="E3238" s="18" t="s">
        <v>703</v>
      </c>
      <c r="F3238" s="18" t="s">
        <v>704</v>
      </c>
      <c r="G3238" s="18" t="s">
        <v>674</v>
      </c>
      <c r="H3238" s="18" t="s">
        <v>959</v>
      </c>
      <c r="I3238" s="315">
        <v>5.8336817612004186</v>
      </c>
      <c r="J3238" s="315">
        <v>3.9131234793271944E-3</v>
      </c>
      <c r="K3238" s="316" t="str">
        <f t="shared" si="54"/>
        <v>Construction and Mining Equipment</v>
      </c>
      <c r="L3238" s="316" t="str">
        <f t="shared" si="55"/>
        <v>Gasoline</v>
      </c>
      <c r="M3238" s="194"/>
      <c r="N3238" s="317"/>
      <c r="O3238" s="317"/>
      <c r="P3238" s="317"/>
      <c r="Q3238" s="317"/>
      <c r="R3238" s="317"/>
      <c r="S3238" s="317"/>
      <c r="T3238" s="317"/>
      <c r="U3238" s="317"/>
      <c r="V3238" s="317"/>
      <c r="W3238" s="317"/>
      <c r="X3238" s="317"/>
      <c r="Y3238" s="317"/>
      <c r="Z3238" s="317"/>
    </row>
    <row r="3239" spans="1:26" x14ac:dyDescent="0.25">
      <c r="A3239" s="314"/>
      <c r="B3239" s="18">
        <v>2023</v>
      </c>
      <c r="C3239" s="18" t="s">
        <v>773</v>
      </c>
      <c r="D3239" s="18" t="s">
        <v>1213</v>
      </c>
      <c r="E3239" s="18" t="s">
        <v>56</v>
      </c>
      <c r="F3239" s="18" t="s">
        <v>672</v>
      </c>
      <c r="G3239" s="18" t="s">
        <v>674</v>
      </c>
      <c r="H3239" s="18" t="s">
        <v>715</v>
      </c>
      <c r="I3239" s="315">
        <v>5.8177936439471107</v>
      </c>
      <c r="J3239" s="315">
        <v>2.6420582785963143E-4</v>
      </c>
      <c r="K3239" s="316" t="str">
        <f t="shared" si="54"/>
        <v>Construction and Mining Equipment</v>
      </c>
      <c r="L3239" s="316" t="str">
        <f t="shared" si="55"/>
        <v>LPG</v>
      </c>
      <c r="M3239" s="194"/>
      <c r="N3239" s="317"/>
      <c r="O3239" s="317"/>
      <c r="P3239" s="317"/>
      <c r="Q3239" s="317"/>
      <c r="R3239" s="317"/>
      <c r="S3239" s="317"/>
      <c r="T3239" s="317"/>
      <c r="U3239" s="317"/>
      <c r="V3239" s="317"/>
      <c r="W3239" s="317"/>
      <c r="X3239" s="317"/>
      <c r="Y3239" s="317"/>
      <c r="Z3239" s="317"/>
    </row>
    <row r="3240" spans="1:26" x14ac:dyDescent="0.25">
      <c r="A3240" s="314"/>
      <c r="B3240" s="18">
        <v>2023</v>
      </c>
      <c r="C3240" s="18" t="s">
        <v>781</v>
      </c>
      <c r="D3240" s="18" t="s">
        <v>993</v>
      </c>
      <c r="E3240" s="18" t="s">
        <v>703</v>
      </c>
      <c r="F3240" s="18" t="s">
        <v>704</v>
      </c>
      <c r="G3240" s="18" t="s">
        <v>674</v>
      </c>
      <c r="H3240" s="18" t="s">
        <v>994</v>
      </c>
      <c r="I3240" s="315">
        <v>5.8170940444194281</v>
      </c>
      <c r="J3240" s="315">
        <v>3.8758595754803996E-3</v>
      </c>
      <c r="K3240" s="316" t="str">
        <f t="shared" si="54"/>
        <v>Construction and Mining Equipment</v>
      </c>
      <c r="L3240" s="316" t="str">
        <f t="shared" si="55"/>
        <v>Gasoline</v>
      </c>
      <c r="M3240" s="194"/>
      <c r="N3240" s="317"/>
      <c r="O3240" s="317"/>
      <c r="P3240" s="317"/>
      <c r="Q3240" s="317"/>
      <c r="R3240" s="317"/>
      <c r="S3240" s="317"/>
      <c r="T3240" s="317"/>
      <c r="U3240" s="317"/>
      <c r="V3240" s="317"/>
      <c r="W3240" s="317"/>
      <c r="X3240" s="317"/>
      <c r="Y3240" s="317"/>
      <c r="Z3240" s="317"/>
    </row>
    <row r="3241" spans="1:26" x14ac:dyDescent="0.25">
      <c r="A3241" s="314"/>
      <c r="B3241" s="18">
        <v>2023</v>
      </c>
      <c r="C3241" s="18" t="s">
        <v>781</v>
      </c>
      <c r="D3241" s="18" t="s">
        <v>1573</v>
      </c>
      <c r="E3241" s="18" t="s">
        <v>703</v>
      </c>
      <c r="F3241" s="18" t="s">
        <v>704</v>
      </c>
      <c r="G3241" s="18" t="s">
        <v>678</v>
      </c>
      <c r="H3241" s="18" t="s">
        <v>764</v>
      </c>
      <c r="I3241" s="315">
        <v>5.8161832977791121</v>
      </c>
      <c r="J3241" s="315">
        <v>1.1300830207116132E-3</v>
      </c>
      <c r="K3241" s="316" t="str">
        <f t="shared" si="54"/>
        <v>Agricultural Equipment</v>
      </c>
      <c r="L3241" s="316" t="str">
        <f t="shared" si="55"/>
        <v>Gasoline</v>
      </c>
      <c r="M3241" s="194"/>
      <c r="N3241" s="317"/>
      <c r="O3241" s="317"/>
      <c r="P3241" s="317"/>
      <c r="Q3241" s="317"/>
      <c r="R3241" s="317"/>
      <c r="S3241" s="317"/>
      <c r="T3241" s="317"/>
      <c r="U3241" s="317"/>
      <c r="V3241" s="317"/>
      <c r="W3241" s="317"/>
      <c r="X3241" s="317"/>
      <c r="Y3241" s="317"/>
      <c r="Z3241" s="317"/>
    </row>
    <row r="3242" spans="1:26" x14ac:dyDescent="0.25">
      <c r="A3242" s="314"/>
      <c r="B3242" s="18">
        <v>2023</v>
      </c>
      <c r="C3242" s="18" t="s">
        <v>773</v>
      </c>
      <c r="D3242" s="18" t="s">
        <v>1218</v>
      </c>
      <c r="E3242" s="18" t="s">
        <v>703</v>
      </c>
      <c r="F3242" s="18" t="s">
        <v>704</v>
      </c>
      <c r="G3242" s="18" t="s">
        <v>673</v>
      </c>
      <c r="H3242" s="18" t="s">
        <v>996</v>
      </c>
      <c r="I3242" s="315">
        <v>5.7993424941157095</v>
      </c>
      <c r="J3242" s="315">
        <v>4.0252396772577689E-3</v>
      </c>
      <c r="K3242" s="316" t="str">
        <f t="shared" si="54"/>
        <v>Lawn and Garden Equipment</v>
      </c>
      <c r="L3242" s="316" t="str">
        <f t="shared" si="55"/>
        <v>Gasoline</v>
      </c>
      <c r="M3242" s="194"/>
      <c r="N3242" s="317"/>
      <c r="O3242" s="317"/>
      <c r="P3242" s="317"/>
      <c r="Q3242" s="317"/>
      <c r="R3242" s="317"/>
      <c r="S3242" s="317"/>
      <c r="T3242" s="317"/>
      <c r="U3242" s="317"/>
      <c r="V3242" s="317"/>
      <c r="W3242" s="317"/>
      <c r="X3242" s="317"/>
      <c r="Y3242" s="317"/>
      <c r="Z3242" s="317"/>
    </row>
    <row r="3243" spans="1:26" x14ac:dyDescent="0.25">
      <c r="A3243" s="314"/>
      <c r="B3243" s="18">
        <v>2023</v>
      </c>
      <c r="C3243" s="18" t="s">
        <v>709</v>
      </c>
      <c r="D3243" s="18" t="s">
        <v>1580</v>
      </c>
      <c r="E3243" s="18" t="s">
        <v>56</v>
      </c>
      <c r="F3243" s="18" t="s">
        <v>672</v>
      </c>
      <c r="G3243" s="18" t="s">
        <v>674</v>
      </c>
      <c r="H3243" s="18" t="s">
        <v>736</v>
      </c>
      <c r="I3243" s="315">
        <v>5.7943453800063365</v>
      </c>
      <c r="J3243" s="315">
        <v>2.6617930399241242E-4</v>
      </c>
      <c r="K3243" s="316" t="str">
        <f t="shared" si="54"/>
        <v>Construction and Mining Equipment</v>
      </c>
      <c r="L3243" s="316" t="str">
        <f t="shared" si="55"/>
        <v>LPG</v>
      </c>
      <c r="M3243" s="194"/>
      <c r="N3243" s="317"/>
      <c r="O3243" s="317"/>
      <c r="P3243" s="317"/>
      <c r="Q3243" s="317"/>
      <c r="R3243" s="317"/>
      <c r="S3243" s="317"/>
      <c r="T3243" s="317"/>
      <c r="U3243" s="317"/>
      <c r="V3243" s="317"/>
      <c r="W3243" s="317"/>
      <c r="X3243" s="317"/>
      <c r="Y3243" s="317"/>
      <c r="Z3243" s="317"/>
    </row>
    <row r="3244" spans="1:26" x14ac:dyDescent="0.25">
      <c r="A3244" s="314"/>
      <c r="B3244" s="18">
        <v>2023</v>
      </c>
      <c r="C3244" s="18" t="s">
        <v>732</v>
      </c>
      <c r="D3244" s="18" t="s">
        <v>1366</v>
      </c>
      <c r="E3244" s="18" t="s">
        <v>703</v>
      </c>
      <c r="F3244" s="18" t="s">
        <v>704</v>
      </c>
      <c r="G3244" s="18" t="s">
        <v>674</v>
      </c>
      <c r="H3244" s="18" t="s">
        <v>791</v>
      </c>
      <c r="I3244" s="315">
        <v>5.7752820539454355</v>
      </c>
      <c r="J3244" s="315">
        <v>1.8130485214973467E-3</v>
      </c>
      <c r="K3244" s="316" t="str">
        <f t="shared" si="54"/>
        <v>Construction and Mining Equipment</v>
      </c>
      <c r="L3244" s="316" t="str">
        <f t="shared" si="55"/>
        <v>Gasoline</v>
      </c>
      <c r="M3244" s="194"/>
      <c r="N3244" s="317"/>
      <c r="O3244" s="317"/>
      <c r="P3244" s="317"/>
      <c r="Q3244" s="317"/>
      <c r="R3244" s="317"/>
      <c r="S3244" s="317"/>
      <c r="T3244" s="317"/>
      <c r="U3244" s="317"/>
      <c r="V3244" s="317"/>
      <c r="W3244" s="317"/>
      <c r="X3244" s="317"/>
      <c r="Y3244" s="317"/>
      <c r="Z3244" s="317"/>
    </row>
    <row r="3245" spans="1:26" x14ac:dyDescent="0.25">
      <c r="A3245" s="314"/>
      <c r="B3245" s="18">
        <v>2023</v>
      </c>
      <c r="C3245" s="18" t="s">
        <v>773</v>
      </c>
      <c r="D3245" s="18" t="s">
        <v>1214</v>
      </c>
      <c r="E3245" s="18" t="s">
        <v>713</v>
      </c>
      <c r="F3245" s="18" t="s">
        <v>714</v>
      </c>
      <c r="G3245" s="18" t="s">
        <v>674</v>
      </c>
      <c r="H3245" s="18" t="s">
        <v>999</v>
      </c>
      <c r="I3245" s="315">
        <v>5.7722351599874031</v>
      </c>
      <c r="J3245" s="315">
        <v>1.7088657849074758E-4</v>
      </c>
      <c r="K3245" s="316" t="str">
        <f t="shared" si="54"/>
        <v>Construction and Mining Equipment</v>
      </c>
      <c r="L3245" s="316" t="str">
        <f t="shared" si="55"/>
        <v>Diesel</v>
      </c>
      <c r="M3245" s="194"/>
      <c r="N3245" s="317"/>
      <c r="O3245" s="317"/>
      <c r="P3245" s="317"/>
      <c r="Q3245" s="317"/>
      <c r="R3245" s="317"/>
      <c r="S3245" s="317"/>
      <c r="T3245" s="317"/>
      <c r="U3245" s="317"/>
      <c r="V3245" s="317"/>
      <c r="W3245" s="317"/>
      <c r="X3245" s="317"/>
      <c r="Y3245" s="317"/>
      <c r="Z3245" s="317"/>
    </row>
    <row r="3246" spans="1:26" x14ac:dyDescent="0.25">
      <c r="A3246" s="314"/>
      <c r="B3246" s="18">
        <v>2023</v>
      </c>
      <c r="C3246" s="18" t="s">
        <v>786</v>
      </c>
      <c r="D3246" s="18" t="s">
        <v>1573</v>
      </c>
      <c r="E3246" s="18" t="s">
        <v>703</v>
      </c>
      <c r="F3246" s="18" t="s">
        <v>704</v>
      </c>
      <c r="G3246" s="18" t="s">
        <v>678</v>
      </c>
      <c r="H3246" s="18" t="s">
        <v>764</v>
      </c>
      <c r="I3246" s="315">
        <v>5.7559625573023778</v>
      </c>
      <c r="J3246" s="315">
        <v>1.1197176187336157E-3</v>
      </c>
      <c r="K3246" s="316" t="str">
        <f t="shared" si="54"/>
        <v>Agricultural Equipment</v>
      </c>
      <c r="L3246" s="316" t="str">
        <f t="shared" si="55"/>
        <v>Gasoline</v>
      </c>
      <c r="M3246" s="194"/>
      <c r="N3246" s="317"/>
      <c r="O3246" s="317"/>
      <c r="P3246" s="317"/>
      <c r="Q3246" s="317"/>
      <c r="R3246" s="317"/>
      <c r="S3246" s="317"/>
      <c r="T3246" s="317"/>
      <c r="U3246" s="317"/>
      <c r="V3246" s="317"/>
      <c r="W3246" s="317"/>
      <c r="X3246" s="317"/>
      <c r="Y3246" s="317"/>
      <c r="Z3246" s="317"/>
    </row>
    <row r="3247" spans="1:26" x14ac:dyDescent="0.25">
      <c r="A3247" s="314"/>
      <c r="B3247" s="18">
        <v>2023</v>
      </c>
      <c r="C3247" s="18" t="s">
        <v>787</v>
      </c>
      <c r="D3247" s="18" t="s">
        <v>1223</v>
      </c>
      <c r="E3247" s="18" t="s">
        <v>713</v>
      </c>
      <c r="F3247" s="18" t="s">
        <v>714</v>
      </c>
      <c r="G3247" s="18" t="s">
        <v>674</v>
      </c>
      <c r="H3247" s="18" t="s">
        <v>1036</v>
      </c>
      <c r="I3247" s="315">
        <v>5.7534695554015212</v>
      </c>
      <c r="J3247" s="315">
        <v>5.6268404962605233E-4</v>
      </c>
      <c r="K3247" s="316" t="str">
        <f t="shared" si="54"/>
        <v>Construction and Mining Equipment</v>
      </c>
      <c r="L3247" s="316" t="str">
        <f t="shared" si="55"/>
        <v>Diesel</v>
      </c>
      <c r="M3247" s="194"/>
      <c r="N3247" s="317"/>
      <c r="O3247" s="317"/>
      <c r="P3247" s="317"/>
      <c r="Q3247" s="317"/>
      <c r="R3247" s="317"/>
      <c r="S3247" s="317"/>
      <c r="T3247" s="317"/>
      <c r="U3247" s="317"/>
      <c r="V3247" s="317"/>
      <c r="W3247" s="317"/>
      <c r="X3247" s="317"/>
      <c r="Y3247" s="317"/>
      <c r="Z3247" s="317"/>
    </row>
    <row r="3248" spans="1:26" x14ac:dyDescent="0.25">
      <c r="A3248" s="314"/>
      <c r="B3248" s="18">
        <v>2023</v>
      </c>
      <c r="C3248" s="18" t="s">
        <v>778</v>
      </c>
      <c r="D3248" s="18" t="s">
        <v>1339</v>
      </c>
      <c r="E3248" s="18" t="s">
        <v>56</v>
      </c>
      <c r="F3248" s="18" t="s">
        <v>672</v>
      </c>
      <c r="G3248" s="18" t="s">
        <v>674</v>
      </c>
      <c r="H3248" s="18" t="s">
        <v>770</v>
      </c>
      <c r="I3248" s="315">
        <v>5.7284581106801706</v>
      </c>
      <c r="J3248" s="315">
        <v>4.2300402300959303E-4</v>
      </c>
      <c r="K3248" s="316" t="str">
        <f t="shared" si="54"/>
        <v>Construction and Mining Equipment</v>
      </c>
      <c r="L3248" s="316" t="str">
        <f t="shared" si="55"/>
        <v>LPG</v>
      </c>
      <c r="M3248" s="194"/>
      <c r="N3248" s="317"/>
      <c r="O3248" s="317"/>
      <c r="P3248" s="317"/>
      <c r="Q3248" s="317"/>
      <c r="R3248" s="317"/>
      <c r="S3248" s="317"/>
      <c r="T3248" s="317"/>
      <c r="U3248" s="317"/>
      <c r="V3248" s="317"/>
      <c r="W3248" s="317"/>
      <c r="X3248" s="317"/>
      <c r="Y3248" s="317"/>
      <c r="Z3248" s="317"/>
    </row>
    <row r="3249" spans="1:26" x14ac:dyDescent="0.25">
      <c r="A3249" s="314"/>
      <c r="B3249" s="18">
        <v>2023</v>
      </c>
      <c r="C3249" s="18" t="s">
        <v>709</v>
      </c>
      <c r="D3249" s="18" t="s">
        <v>1583</v>
      </c>
      <c r="E3249" s="18" t="s">
        <v>703</v>
      </c>
      <c r="F3249" s="18" t="s">
        <v>805</v>
      </c>
      <c r="G3249" s="18" t="s">
        <v>674</v>
      </c>
      <c r="H3249" s="18" t="s">
        <v>1036</v>
      </c>
      <c r="I3249" s="315">
        <v>5.7183866609252449</v>
      </c>
      <c r="J3249" s="315">
        <v>1.1835008573873545E-2</v>
      </c>
      <c r="K3249" s="316" t="str">
        <f t="shared" si="54"/>
        <v>Construction and Mining Equipment</v>
      </c>
      <c r="L3249" s="316" t="str">
        <f t="shared" si="55"/>
        <v>Gasoline</v>
      </c>
      <c r="M3249" s="194"/>
      <c r="N3249" s="317"/>
      <c r="O3249" s="317"/>
      <c r="P3249" s="317"/>
      <c r="Q3249" s="317"/>
      <c r="R3249" s="317"/>
      <c r="S3249" s="317"/>
      <c r="T3249" s="317"/>
      <c r="U3249" s="317"/>
      <c r="V3249" s="317"/>
      <c r="W3249" s="317"/>
      <c r="X3249" s="317"/>
      <c r="Y3249" s="317"/>
      <c r="Z3249" s="317"/>
    </row>
    <row r="3250" spans="1:26" x14ac:dyDescent="0.25">
      <c r="A3250" s="314"/>
      <c r="B3250" s="18">
        <v>2023</v>
      </c>
      <c r="C3250" s="18" t="s">
        <v>810</v>
      </c>
      <c r="D3250" s="18" t="s">
        <v>1084</v>
      </c>
      <c r="E3250" s="18" t="s">
        <v>703</v>
      </c>
      <c r="F3250" s="18" t="s">
        <v>704</v>
      </c>
      <c r="G3250" s="18" t="s">
        <v>674</v>
      </c>
      <c r="H3250" s="18" t="s">
        <v>863</v>
      </c>
      <c r="I3250" s="315">
        <v>5.7035317619161283</v>
      </c>
      <c r="J3250" s="315">
        <v>3.3776479777167566E-3</v>
      </c>
      <c r="K3250" s="316" t="str">
        <f t="shared" si="54"/>
        <v>Construction and Mining Equipment</v>
      </c>
      <c r="L3250" s="316" t="str">
        <f t="shared" si="55"/>
        <v>Gasoline</v>
      </c>
      <c r="M3250" s="194"/>
      <c r="N3250" s="317"/>
      <c r="O3250" s="317"/>
      <c r="P3250" s="317"/>
      <c r="Q3250" s="317"/>
      <c r="R3250" s="317"/>
      <c r="S3250" s="317"/>
      <c r="T3250" s="317"/>
      <c r="U3250" s="317"/>
      <c r="V3250" s="317"/>
      <c r="W3250" s="317"/>
      <c r="X3250" s="317"/>
      <c r="Y3250" s="317"/>
      <c r="Z3250" s="317"/>
    </row>
    <row r="3251" spans="1:26" x14ac:dyDescent="0.25">
      <c r="A3251" s="314"/>
      <c r="B3251" s="18">
        <v>2023</v>
      </c>
      <c r="C3251" s="18" t="s">
        <v>773</v>
      </c>
      <c r="D3251" s="18" t="s">
        <v>1460</v>
      </c>
      <c r="E3251" s="18" t="s">
        <v>703</v>
      </c>
      <c r="F3251" s="18" t="s">
        <v>704</v>
      </c>
      <c r="G3251" s="18" t="s">
        <v>678</v>
      </c>
      <c r="H3251" s="18" t="s">
        <v>1080</v>
      </c>
      <c r="I3251" s="315">
        <v>5.6892377536721819</v>
      </c>
      <c r="J3251" s="315">
        <v>3.4535282954998117E-3</v>
      </c>
      <c r="K3251" s="316" t="str">
        <f t="shared" si="54"/>
        <v>Agricultural Equipment</v>
      </c>
      <c r="L3251" s="316" t="str">
        <f t="shared" si="55"/>
        <v>Gasoline</v>
      </c>
      <c r="M3251" s="194"/>
      <c r="N3251" s="317"/>
      <c r="O3251" s="317"/>
      <c r="P3251" s="317"/>
      <c r="Q3251" s="317"/>
      <c r="R3251" s="317"/>
      <c r="S3251" s="317"/>
      <c r="T3251" s="317"/>
      <c r="U3251" s="317"/>
      <c r="V3251" s="317"/>
      <c r="W3251" s="317"/>
      <c r="X3251" s="317"/>
      <c r="Y3251" s="317"/>
      <c r="Z3251" s="317"/>
    </row>
    <row r="3252" spans="1:26" x14ac:dyDescent="0.25">
      <c r="A3252" s="314"/>
      <c r="B3252" s="18">
        <v>2023</v>
      </c>
      <c r="C3252" s="18" t="s">
        <v>793</v>
      </c>
      <c r="D3252" s="18" t="s">
        <v>1221</v>
      </c>
      <c r="E3252" s="18" t="s">
        <v>713</v>
      </c>
      <c r="F3252" s="18" t="s">
        <v>714</v>
      </c>
      <c r="G3252" s="18" t="s">
        <v>678</v>
      </c>
      <c r="H3252" s="18" t="s">
        <v>1222</v>
      </c>
      <c r="I3252" s="315">
        <v>5.6747269561017832</v>
      </c>
      <c r="J3252" s="315">
        <v>3.7805146016488378E-5</v>
      </c>
      <c r="K3252" s="316" t="str">
        <f t="shared" si="54"/>
        <v>Agricultural Equipment</v>
      </c>
      <c r="L3252" s="316" t="str">
        <f t="shared" si="55"/>
        <v>Diesel</v>
      </c>
      <c r="M3252" s="194"/>
      <c r="N3252" s="317"/>
      <c r="O3252" s="317"/>
      <c r="P3252" s="317"/>
      <c r="Q3252" s="317"/>
      <c r="R3252" s="317"/>
      <c r="S3252" s="317"/>
      <c r="T3252" s="317"/>
      <c r="U3252" s="317"/>
      <c r="V3252" s="317"/>
      <c r="W3252" s="317"/>
      <c r="X3252" s="317"/>
      <c r="Y3252" s="317"/>
      <c r="Z3252" s="317"/>
    </row>
    <row r="3253" spans="1:26" x14ac:dyDescent="0.25">
      <c r="A3253" s="314"/>
      <c r="B3253" s="18">
        <v>2023</v>
      </c>
      <c r="C3253" s="18" t="s">
        <v>743</v>
      </c>
      <c r="D3253" s="18" t="s">
        <v>1292</v>
      </c>
      <c r="E3253" s="18" t="s">
        <v>703</v>
      </c>
      <c r="F3253" s="18" t="s">
        <v>795</v>
      </c>
      <c r="G3253" s="18" t="s">
        <v>675</v>
      </c>
      <c r="H3253" s="18" t="s">
        <v>1293</v>
      </c>
      <c r="I3253" s="315">
        <v>5.6741126974296758</v>
      </c>
      <c r="J3253" s="315">
        <v>3.8249895493710998E-3</v>
      </c>
      <c r="K3253" s="316" t="str">
        <f t="shared" si="54"/>
        <v>Industrial Equipment</v>
      </c>
      <c r="L3253" s="316" t="str">
        <f t="shared" si="55"/>
        <v>Gasoline</v>
      </c>
      <c r="M3253" s="194"/>
      <c r="N3253" s="317"/>
      <c r="O3253" s="317"/>
      <c r="P3253" s="317"/>
      <c r="Q3253" s="317"/>
      <c r="R3253" s="317"/>
      <c r="S3253" s="317"/>
      <c r="T3253" s="317"/>
      <c r="U3253" s="317"/>
      <c r="V3253" s="317"/>
      <c r="W3253" s="317"/>
      <c r="X3253" s="317"/>
      <c r="Y3253" s="317"/>
      <c r="Z3253" s="317"/>
    </row>
    <row r="3254" spans="1:26" x14ac:dyDescent="0.25">
      <c r="A3254" s="314"/>
      <c r="B3254" s="18">
        <v>2023</v>
      </c>
      <c r="C3254" s="18" t="s">
        <v>727</v>
      </c>
      <c r="D3254" s="18" t="s">
        <v>1573</v>
      </c>
      <c r="E3254" s="18" t="s">
        <v>703</v>
      </c>
      <c r="F3254" s="18" t="s">
        <v>704</v>
      </c>
      <c r="G3254" s="18" t="s">
        <v>678</v>
      </c>
      <c r="H3254" s="18" t="s">
        <v>764</v>
      </c>
      <c r="I3254" s="315">
        <v>5.6469849352875299</v>
      </c>
      <c r="J3254" s="315">
        <v>1.0957776662024385E-3</v>
      </c>
      <c r="K3254" s="316" t="str">
        <f t="shared" si="54"/>
        <v>Agricultural Equipment</v>
      </c>
      <c r="L3254" s="316" t="str">
        <f t="shared" si="55"/>
        <v>Gasoline</v>
      </c>
      <c r="M3254" s="194"/>
      <c r="N3254" s="317"/>
      <c r="O3254" s="317"/>
      <c r="P3254" s="317"/>
      <c r="Q3254" s="317"/>
      <c r="R3254" s="317"/>
      <c r="S3254" s="317"/>
      <c r="T3254" s="317"/>
      <c r="U3254" s="317"/>
      <c r="V3254" s="317"/>
      <c r="W3254" s="317"/>
      <c r="X3254" s="317"/>
      <c r="Y3254" s="317"/>
      <c r="Z3254" s="317"/>
    </row>
    <row r="3255" spans="1:26" x14ac:dyDescent="0.25">
      <c r="A3255" s="314"/>
      <c r="B3255" s="18">
        <v>2023</v>
      </c>
      <c r="C3255" s="18" t="s">
        <v>731</v>
      </c>
      <c r="D3255" s="18" t="s">
        <v>1023</v>
      </c>
      <c r="E3255" s="18" t="s">
        <v>703</v>
      </c>
      <c r="F3255" s="18" t="s">
        <v>704</v>
      </c>
      <c r="G3255" s="18" t="s">
        <v>674</v>
      </c>
      <c r="H3255" s="18" t="s">
        <v>736</v>
      </c>
      <c r="I3255" s="315">
        <v>5.6366599762679703</v>
      </c>
      <c r="J3255" s="315">
        <v>3.7427481154519195E-3</v>
      </c>
      <c r="K3255" s="316" t="str">
        <f t="shared" si="54"/>
        <v>Construction and Mining Equipment</v>
      </c>
      <c r="L3255" s="316" t="str">
        <f t="shared" si="55"/>
        <v>Gasoline</v>
      </c>
      <c r="M3255" s="194"/>
      <c r="N3255" s="317"/>
      <c r="O3255" s="317"/>
      <c r="P3255" s="317"/>
      <c r="Q3255" s="317"/>
      <c r="R3255" s="317"/>
      <c r="S3255" s="317"/>
      <c r="T3255" s="317"/>
      <c r="U3255" s="317"/>
      <c r="V3255" s="317"/>
      <c r="W3255" s="317"/>
      <c r="X3255" s="317"/>
      <c r="Y3255" s="317"/>
      <c r="Z3255" s="317"/>
    </row>
    <row r="3256" spans="1:26" x14ac:dyDescent="0.25">
      <c r="A3256" s="314"/>
      <c r="B3256" s="18">
        <v>2023</v>
      </c>
      <c r="C3256" s="18" t="s">
        <v>810</v>
      </c>
      <c r="D3256" s="18" t="s">
        <v>1409</v>
      </c>
      <c r="E3256" s="18" t="s">
        <v>703</v>
      </c>
      <c r="F3256" s="18" t="s">
        <v>704</v>
      </c>
      <c r="G3256" s="18" t="s">
        <v>678</v>
      </c>
      <c r="H3256" s="18" t="s">
        <v>1222</v>
      </c>
      <c r="I3256" s="315">
        <v>5.6310017333225737</v>
      </c>
      <c r="J3256" s="315">
        <v>3.7575767028935865E-3</v>
      </c>
      <c r="K3256" s="316" t="str">
        <f t="shared" si="54"/>
        <v>Agricultural Equipment</v>
      </c>
      <c r="L3256" s="316" t="str">
        <f t="shared" si="55"/>
        <v>Gasoline</v>
      </c>
      <c r="M3256" s="194"/>
      <c r="N3256" s="317"/>
      <c r="O3256" s="317"/>
      <c r="P3256" s="317"/>
      <c r="Q3256" s="317"/>
      <c r="R3256" s="317"/>
      <c r="S3256" s="317"/>
      <c r="T3256" s="317"/>
      <c r="U3256" s="317"/>
      <c r="V3256" s="317"/>
      <c r="W3256" s="317"/>
      <c r="X3256" s="317"/>
      <c r="Y3256" s="317"/>
      <c r="Z3256" s="317"/>
    </row>
    <row r="3257" spans="1:26" x14ac:dyDescent="0.25">
      <c r="A3257" s="314"/>
      <c r="B3257" s="18">
        <v>2023</v>
      </c>
      <c r="C3257" s="18" t="s">
        <v>786</v>
      </c>
      <c r="D3257" s="18" t="s">
        <v>1023</v>
      </c>
      <c r="E3257" s="18" t="s">
        <v>703</v>
      </c>
      <c r="F3257" s="18" t="s">
        <v>704</v>
      </c>
      <c r="G3257" s="18" t="s">
        <v>674</v>
      </c>
      <c r="H3257" s="18" t="s">
        <v>736</v>
      </c>
      <c r="I3257" s="315">
        <v>5.5982623735500452</v>
      </c>
      <c r="J3257" s="315">
        <v>3.7278858951032075E-3</v>
      </c>
      <c r="K3257" s="316" t="str">
        <f t="shared" si="54"/>
        <v>Construction and Mining Equipment</v>
      </c>
      <c r="L3257" s="316" t="str">
        <f t="shared" si="55"/>
        <v>Gasoline</v>
      </c>
      <c r="M3257" s="194"/>
      <c r="N3257" s="317"/>
      <c r="O3257" s="317"/>
      <c r="P3257" s="317"/>
      <c r="Q3257" s="317"/>
      <c r="R3257" s="317"/>
      <c r="S3257" s="317"/>
      <c r="T3257" s="317"/>
      <c r="U3257" s="317"/>
      <c r="V3257" s="317"/>
      <c r="W3257" s="317"/>
      <c r="X3257" s="317"/>
      <c r="Y3257" s="317"/>
      <c r="Z3257" s="317"/>
    </row>
    <row r="3258" spans="1:26" x14ac:dyDescent="0.25">
      <c r="A3258" s="314"/>
      <c r="B3258" s="18">
        <v>2023</v>
      </c>
      <c r="C3258" s="18" t="s">
        <v>709</v>
      </c>
      <c r="D3258" s="18" t="s">
        <v>1278</v>
      </c>
      <c r="E3258" s="18" t="s">
        <v>703</v>
      </c>
      <c r="F3258" s="18" t="s">
        <v>704</v>
      </c>
      <c r="G3258" s="18" t="s">
        <v>678</v>
      </c>
      <c r="H3258" s="18" t="s">
        <v>1279</v>
      </c>
      <c r="I3258" s="315">
        <v>5.5786274875023141</v>
      </c>
      <c r="J3258" s="315">
        <v>7.4385532385110777E-3</v>
      </c>
      <c r="K3258" s="316" t="str">
        <f t="shared" si="54"/>
        <v>Agricultural Equipment</v>
      </c>
      <c r="L3258" s="316" t="str">
        <f t="shared" si="55"/>
        <v>Gasoline</v>
      </c>
      <c r="M3258" s="194"/>
      <c r="N3258" s="317"/>
      <c r="O3258" s="317"/>
      <c r="P3258" s="317"/>
      <c r="Q3258" s="317"/>
      <c r="R3258" s="317"/>
      <c r="S3258" s="317"/>
      <c r="T3258" s="317"/>
      <c r="U3258" s="317"/>
      <c r="V3258" s="317"/>
      <c r="W3258" s="317"/>
      <c r="X3258" s="317"/>
      <c r="Y3258" s="317"/>
      <c r="Z3258" s="317"/>
    </row>
    <row r="3259" spans="1:26" x14ac:dyDescent="0.25">
      <c r="A3259" s="314"/>
      <c r="B3259" s="18">
        <v>2023</v>
      </c>
      <c r="C3259" s="18" t="s">
        <v>787</v>
      </c>
      <c r="D3259" s="18" t="s">
        <v>1440</v>
      </c>
      <c r="E3259" s="18" t="s">
        <v>703</v>
      </c>
      <c r="F3259" s="18" t="s">
        <v>704</v>
      </c>
      <c r="G3259" s="18" t="s">
        <v>678</v>
      </c>
      <c r="H3259" s="18" t="s">
        <v>1154</v>
      </c>
      <c r="I3259" s="315">
        <v>5.5700749167009693</v>
      </c>
      <c r="J3259" s="315">
        <v>5.6327357704120636E-4</v>
      </c>
      <c r="K3259" s="316" t="str">
        <f t="shared" si="54"/>
        <v>Agricultural Equipment</v>
      </c>
      <c r="L3259" s="316" t="str">
        <f t="shared" si="55"/>
        <v>Gasoline</v>
      </c>
      <c r="M3259" s="194"/>
      <c r="N3259" s="317"/>
      <c r="O3259" s="317"/>
      <c r="P3259" s="317"/>
      <c r="Q3259" s="317"/>
      <c r="R3259" s="317"/>
      <c r="S3259" s="317"/>
      <c r="T3259" s="317"/>
      <c r="U3259" s="317"/>
      <c r="V3259" s="317"/>
      <c r="W3259" s="317"/>
      <c r="X3259" s="317"/>
      <c r="Y3259" s="317"/>
      <c r="Z3259" s="317"/>
    </row>
    <row r="3260" spans="1:26" x14ac:dyDescent="0.25">
      <c r="A3260" s="314"/>
      <c r="B3260" s="18">
        <v>2023</v>
      </c>
      <c r="C3260" s="18" t="s">
        <v>753</v>
      </c>
      <c r="D3260" s="18" t="s">
        <v>1539</v>
      </c>
      <c r="E3260" s="18" t="s">
        <v>703</v>
      </c>
      <c r="F3260" s="18" t="s">
        <v>704</v>
      </c>
      <c r="G3260" s="18" t="s">
        <v>678</v>
      </c>
      <c r="H3260" s="18" t="s">
        <v>1230</v>
      </c>
      <c r="I3260" s="315">
        <v>5.5659727882792946</v>
      </c>
      <c r="J3260" s="315">
        <v>3.3145680737641397E-3</v>
      </c>
      <c r="K3260" s="316" t="str">
        <f t="shared" si="54"/>
        <v>Agricultural Equipment</v>
      </c>
      <c r="L3260" s="316" t="str">
        <f t="shared" si="55"/>
        <v>Gasoline</v>
      </c>
      <c r="M3260" s="194"/>
      <c r="N3260" s="317"/>
      <c r="O3260" s="317"/>
      <c r="P3260" s="317"/>
      <c r="Q3260" s="317"/>
      <c r="R3260" s="317"/>
      <c r="S3260" s="317"/>
      <c r="T3260" s="317"/>
      <c r="U3260" s="317"/>
      <c r="V3260" s="317"/>
      <c r="W3260" s="317"/>
      <c r="X3260" s="317"/>
      <c r="Y3260" s="317"/>
      <c r="Z3260" s="317"/>
    </row>
    <row r="3261" spans="1:26" x14ac:dyDescent="0.25">
      <c r="A3261" s="314"/>
      <c r="B3261" s="18">
        <v>2023</v>
      </c>
      <c r="C3261" s="18" t="s">
        <v>743</v>
      </c>
      <c r="D3261" s="18" t="s">
        <v>1281</v>
      </c>
      <c r="E3261" s="18" t="s">
        <v>703</v>
      </c>
      <c r="F3261" s="18" t="s">
        <v>704</v>
      </c>
      <c r="G3261" s="18" t="s">
        <v>674</v>
      </c>
      <c r="H3261" s="18" t="s">
        <v>770</v>
      </c>
      <c r="I3261" s="315">
        <v>5.5429775811498443</v>
      </c>
      <c r="J3261" s="315">
        <v>6.1411823904872524E-4</v>
      </c>
      <c r="K3261" s="316" t="str">
        <f t="shared" si="54"/>
        <v>Construction and Mining Equipment</v>
      </c>
      <c r="L3261" s="316" t="str">
        <f t="shared" si="55"/>
        <v>Gasoline</v>
      </c>
      <c r="M3261" s="194"/>
      <c r="N3261" s="317"/>
      <c r="O3261" s="317"/>
      <c r="P3261" s="317"/>
      <c r="Q3261" s="317"/>
      <c r="R3261" s="317"/>
      <c r="S3261" s="317"/>
      <c r="T3261" s="317"/>
      <c r="U3261" s="317"/>
      <c r="V3261" s="317"/>
      <c r="W3261" s="317"/>
      <c r="X3261" s="317"/>
      <c r="Y3261" s="317"/>
      <c r="Z3261" s="317"/>
    </row>
    <row r="3262" spans="1:26" x14ac:dyDescent="0.25">
      <c r="A3262" s="314"/>
      <c r="B3262" s="18">
        <v>2023</v>
      </c>
      <c r="C3262" s="18" t="s">
        <v>731</v>
      </c>
      <c r="D3262" s="18" t="s">
        <v>1539</v>
      </c>
      <c r="E3262" s="18" t="s">
        <v>703</v>
      </c>
      <c r="F3262" s="18" t="s">
        <v>704</v>
      </c>
      <c r="G3262" s="18" t="s">
        <v>678</v>
      </c>
      <c r="H3262" s="18" t="s">
        <v>1230</v>
      </c>
      <c r="I3262" s="315">
        <v>5.5210111914965871</v>
      </c>
      <c r="J3262" s="315">
        <v>3.2873407760536351E-3</v>
      </c>
      <c r="K3262" s="316" t="str">
        <f t="shared" si="54"/>
        <v>Agricultural Equipment</v>
      </c>
      <c r="L3262" s="316" t="str">
        <f t="shared" si="55"/>
        <v>Gasoline</v>
      </c>
      <c r="M3262" s="194"/>
      <c r="N3262" s="317"/>
      <c r="O3262" s="317"/>
      <c r="P3262" s="317"/>
      <c r="Q3262" s="317"/>
      <c r="R3262" s="317"/>
      <c r="S3262" s="317"/>
      <c r="T3262" s="317"/>
      <c r="U3262" s="317"/>
      <c r="V3262" s="317"/>
      <c r="W3262" s="317"/>
      <c r="X3262" s="317"/>
      <c r="Y3262" s="317"/>
      <c r="Z3262" s="317"/>
    </row>
    <row r="3263" spans="1:26" x14ac:dyDescent="0.25">
      <c r="A3263" s="314"/>
      <c r="B3263" s="18">
        <v>2023</v>
      </c>
      <c r="C3263" s="18" t="s">
        <v>710</v>
      </c>
      <c r="D3263" s="18" t="s">
        <v>1588</v>
      </c>
      <c r="E3263" s="18" t="s">
        <v>56</v>
      </c>
      <c r="F3263" s="18" t="s">
        <v>1575</v>
      </c>
      <c r="G3263" s="18" t="s">
        <v>675</v>
      </c>
      <c r="H3263" s="18" t="s">
        <v>1589</v>
      </c>
      <c r="I3263" s="315">
        <v>5.516125019261513</v>
      </c>
      <c r="J3263" s="315">
        <v>2.3213852165774138E-2</v>
      </c>
      <c r="K3263" s="316" t="str">
        <f t="shared" si="54"/>
        <v>Industrial Equipment</v>
      </c>
      <c r="L3263" s="316" t="str">
        <f t="shared" si="55"/>
        <v>CNG</v>
      </c>
      <c r="M3263" s="194"/>
      <c r="N3263" s="317"/>
      <c r="O3263" s="317"/>
      <c r="P3263" s="317"/>
      <c r="Q3263" s="317"/>
      <c r="R3263" s="317"/>
      <c r="S3263" s="317"/>
      <c r="T3263" s="317"/>
      <c r="U3263" s="317"/>
      <c r="V3263" s="317"/>
      <c r="W3263" s="317"/>
      <c r="X3263" s="317"/>
      <c r="Y3263" s="317"/>
      <c r="Z3263" s="317"/>
    </row>
    <row r="3264" spans="1:26" x14ac:dyDescent="0.25">
      <c r="A3264" s="314"/>
      <c r="B3264" s="18">
        <v>2023</v>
      </c>
      <c r="C3264" s="18" t="s">
        <v>760</v>
      </c>
      <c r="D3264" s="18" t="s">
        <v>1461</v>
      </c>
      <c r="E3264" s="18" t="s">
        <v>703</v>
      </c>
      <c r="F3264" s="18" t="s">
        <v>795</v>
      </c>
      <c r="G3264" s="18" t="s">
        <v>675</v>
      </c>
      <c r="H3264" s="18" t="s">
        <v>1462</v>
      </c>
      <c r="I3264" s="315">
        <v>5.496408866012092</v>
      </c>
      <c r="J3264" s="315">
        <v>4.4554495147607395E-3</v>
      </c>
      <c r="K3264" s="316" t="str">
        <f t="shared" si="54"/>
        <v>Industrial Equipment</v>
      </c>
      <c r="L3264" s="316" t="str">
        <f t="shared" si="55"/>
        <v>Gasoline</v>
      </c>
      <c r="M3264" s="194"/>
      <c r="N3264" s="317"/>
      <c r="O3264" s="317"/>
      <c r="P3264" s="317"/>
      <c r="Q3264" s="317"/>
      <c r="R3264" s="317"/>
      <c r="S3264" s="317"/>
      <c r="T3264" s="317"/>
      <c r="U3264" s="317"/>
      <c r="V3264" s="317"/>
      <c r="W3264" s="317"/>
      <c r="X3264" s="317"/>
      <c r="Y3264" s="317"/>
      <c r="Z3264" s="317"/>
    </row>
    <row r="3265" spans="1:26" x14ac:dyDescent="0.25">
      <c r="A3265" s="314"/>
      <c r="B3265" s="18">
        <v>2023</v>
      </c>
      <c r="C3265" s="18" t="s">
        <v>786</v>
      </c>
      <c r="D3265" s="18" t="s">
        <v>1075</v>
      </c>
      <c r="E3265" s="18" t="s">
        <v>56</v>
      </c>
      <c r="F3265" s="18" t="s">
        <v>672</v>
      </c>
      <c r="G3265" s="18" t="s">
        <v>675</v>
      </c>
      <c r="H3265" s="18" t="s">
        <v>772</v>
      </c>
      <c r="I3265" s="315">
        <v>5.4730758802596196</v>
      </c>
      <c r="J3265" s="315">
        <v>2.5214279784535647E-4</v>
      </c>
      <c r="K3265" s="316" t="str">
        <f t="shared" si="54"/>
        <v>Industrial Equipment</v>
      </c>
      <c r="L3265" s="316" t="str">
        <f t="shared" si="55"/>
        <v>LPG</v>
      </c>
      <c r="M3265" s="194"/>
      <c r="N3265" s="317"/>
      <c r="O3265" s="317"/>
      <c r="P3265" s="317"/>
      <c r="Q3265" s="317"/>
      <c r="R3265" s="317"/>
      <c r="S3265" s="317"/>
      <c r="T3265" s="317"/>
      <c r="U3265" s="317"/>
      <c r="V3265" s="317"/>
      <c r="W3265" s="317"/>
      <c r="X3265" s="317"/>
      <c r="Y3265" s="317"/>
      <c r="Z3265" s="317"/>
    </row>
    <row r="3266" spans="1:26" x14ac:dyDescent="0.25">
      <c r="A3266" s="314"/>
      <c r="B3266" s="18">
        <v>2023</v>
      </c>
      <c r="C3266" s="18" t="s">
        <v>750</v>
      </c>
      <c r="D3266" s="18" t="s">
        <v>1219</v>
      </c>
      <c r="E3266" s="18" t="s">
        <v>703</v>
      </c>
      <c r="F3266" s="18" t="s">
        <v>704</v>
      </c>
      <c r="G3266" s="18" t="s">
        <v>674</v>
      </c>
      <c r="H3266" s="18" t="s">
        <v>1220</v>
      </c>
      <c r="I3266" s="315">
        <v>5.4668460112586876</v>
      </c>
      <c r="J3266" s="315">
        <v>3.6732503862926865E-3</v>
      </c>
      <c r="K3266" s="316" t="str">
        <f t="shared" si="54"/>
        <v>Construction and Mining Equipment</v>
      </c>
      <c r="L3266" s="316" t="str">
        <f t="shared" si="55"/>
        <v>Gasoline</v>
      </c>
      <c r="M3266" s="194"/>
      <c r="N3266" s="317"/>
      <c r="O3266" s="317"/>
      <c r="P3266" s="317"/>
      <c r="Q3266" s="317"/>
      <c r="R3266" s="317"/>
      <c r="S3266" s="317"/>
      <c r="T3266" s="317"/>
      <c r="U3266" s="317"/>
      <c r="V3266" s="317"/>
      <c r="W3266" s="317"/>
      <c r="X3266" s="317"/>
      <c r="Y3266" s="317"/>
      <c r="Z3266" s="317"/>
    </row>
    <row r="3267" spans="1:26" x14ac:dyDescent="0.25">
      <c r="A3267" s="314"/>
      <c r="B3267" s="18">
        <v>2023</v>
      </c>
      <c r="C3267" s="18" t="s">
        <v>781</v>
      </c>
      <c r="D3267" s="18" t="s">
        <v>1030</v>
      </c>
      <c r="E3267" s="18" t="s">
        <v>703</v>
      </c>
      <c r="F3267" s="18" t="s">
        <v>704</v>
      </c>
      <c r="G3267" s="18" t="s">
        <v>677</v>
      </c>
      <c r="H3267" s="18" t="s">
        <v>1031</v>
      </c>
      <c r="I3267" s="315">
        <v>5.4562704386946326</v>
      </c>
      <c r="J3267" s="315">
        <v>3.7837719987271969E-3</v>
      </c>
      <c r="K3267" s="316" t="str">
        <f t="shared" si="54"/>
        <v>Commercial Equipment</v>
      </c>
      <c r="L3267" s="316" t="str">
        <f t="shared" si="55"/>
        <v>Gasoline</v>
      </c>
      <c r="M3267" s="194"/>
      <c r="N3267" s="317"/>
      <c r="O3267" s="317"/>
      <c r="P3267" s="317"/>
      <c r="Q3267" s="317"/>
      <c r="R3267" s="317"/>
      <c r="S3267" s="317"/>
      <c r="T3267" s="317"/>
      <c r="U3267" s="317"/>
      <c r="V3267" s="317"/>
      <c r="W3267" s="317"/>
      <c r="X3267" s="317"/>
      <c r="Y3267" s="317"/>
      <c r="Z3267" s="317"/>
    </row>
    <row r="3268" spans="1:26" x14ac:dyDescent="0.25">
      <c r="A3268" s="314"/>
      <c r="B3268" s="18">
        <v>2023</v>
      </c>
      <c r="C3268" s="18" t="s">
        <v>762</v>
      </c>
      <c r="D3268" s="18" t="s">
        <v>1637</v>
      </c>
      <c r="E3268" s="18" t="s">
        <v>703</v>
      </c>
      <c r="F3268" s="18" t="s">
        <v>704</v>
      </c>
      <c r="G3268" s="18" t="s">
        <v>678</v>
      </c>
      <c r="H3268" s="18" t="s">
        <v>1638</v>
      </c>
      <c r="I3268" s="315">
        <v>5.4530543608070925</v>
      </c>
      <c r="J3268" s="315">
        <v>3.2500234219989049E-3</v>
      </c>
      <c r="K3268" s="316" t="str">
        <f t="shared" si="54"/>
        <v>Agricultural Equipment</v>
      </c>
      <c r="L3268" s="316" t="str">
        <f t="shared" si="55"/>
        <v>Gasoline</v>
      </c>
      <c r="M3268" s="194"/>
      <c r="N3268" s="317"/>
      <c r="O3268" s="317"/>
      <c r="P3268" s="317"/>
      <c r="Q3268" s="317"/>
      <c r="R3268" s="317"/>
      <c r="S3268" s="317"/>
      <c r="T3268" s="317"/>
      <c r="U3268" s="317"/>
      <c r="V3268" s="317"/>
      <c r="W3268" s="317"/>
      <c r="X3268" s="317"/>
      <c r="Y3268" s="317"/>
      <c r="Z3268" s="317"/>
    </row>
    <row r="3269" spans="1:26" x14ac:dyDescent="0.25">
      <c r="A3269" s="314"/>
      <c r="B3269" s="18">
        <v>2023</v>
      </c>
      <c r="C3269" s="18" t="s">
        <v>786</v>
      </c>
      <c r="D3269" s="18" t="s">
        <v>1065</v>
      </c>
      <c r="E3269" s="18" t="s">
        <v>703</v>
      </c>
      <c r="F3269" s="18" t="s">
        <v>795</v>
      </c>
      <c r="G3269" s="18" t="s">
        <v>673</v>
      </c>
      <c r="H3269" s="18" t="s">
        <v>1066</v>
      </c>
      <c r="I3269" s="315">
        <v>5.4338502124578296</v>
      </c>
      <c r="J3269" s="315">
        <v>3.7115695567207889E-2</v>
      </c>
      <c r="K3269" s="316" t="str">
        <f t="shared" si="54"/>
        <v>Lawn and Garden Equipment</v>
      </c>
      <c r="L3269" s="316" t="str">
        <f t="shared" si="55"/>
        <v>Gasoline</v>
      </c>
      <c r="M3269" s="194"/>
      <c r="N3269" s="317"/>
      <c r="O3269" s="317"/>
      <c r="P3269" s="317"/>
      <c r="Q3269" s="317"/>
      <c r="R3269" s="317"/>
      <c r="S3269" s="317"/>
      <c r="T3269" s="317"/>
      <c r="U3269" s="317"/>
      <c r="V3269" s="317"/>
      <c r="W3269" s="317"/>
      <c r="X3269" s="317"/>
      <c r="Y3269" s="317"/>
      <c r="Z3269" s="317"/>
    </row>
    <row r="3270" spans="1:26" x14ac:dyDescent="0.25">
      <c r="A3270" s="314"/>
      <c r="B3270" s="18">
        <v>2023</v>
      </c>
      <c r="C3270" s="18" t="s">
        <v>709</v>
      </c>
      <c r="D3270" s="18" t="s">
        <v>1457</v>
      </c>
      <c r="E3270" s="18" t="s">
        <v>56</v>
      </c>
      <c r="F3270" s="18" t="s">
        <v>601</v>
      </c>
      <c r="G3270" s="18" t="s">
        <v>675</v>
      </c>
      <c r="H3270" s="18" t="s">
        <v>772</v>
      </c>
      <c r="I3270" s="315">
        <v>5.4318606729481438</v>
      </c>
      <c r="J3270" s="315">
        <v>2.2156617820177454E-2</v>
      </c>
      <c r="K3270" s="316" t="str">
        <f t="shared" si="54"/>
        <v>Industrial Equipment</v>
      </c>
      <c r="L3270" s="316" t="str">
        <f t="shared" si="55"/>
        <v>CNG</v>
      </c>
      <c r="M3270" s="194"/>
      <c r="N3270" s="317"/>
      <c r="O3270" s="317"/>
      <c r="P3270" s="317"/>
      <c r="Q3270" s="317"/>
      <c r="R3270" s="317"/>
      <c r="S3270" s="317"/>
      <c r="T3270" s="317"/>
      <c r="U3270" s="317"/>
      <c r="V3270" s="317"/>
      <c r="W3270" s="317"/>
      <c r="X3270" s="317"/>
      <c r="Y3270" s="317"/>
      <c r="Z3270" s="317"/>
    </row>
    <row r="3271" spans="1:26" x14ac:dyDescent="0.25">
      <c r="A3271" s="314"/>
      <c r="B3271" s="18">
        <v>2023</v>
      </c>
      <c r="C3271" s="18" t="s">
        <v>762</v>
      </c>
      <c r="D3271" s="18" t="s">
        <v>1075</v>
      </c>
      <c r="E3271" s="18" t="s">
        <v>56</v>
      </c>
      <c r="F3271" s="18" t="s">
        <v>672</v>
      </c>
      <c r="G3271" s="18" t="s">
        <v>675</v>
      </c>
      <c r="H3271" s="18" t="s">
        <v>772</v>
      </c>
      <c r="I3271" s="315">
        <v>5.4075107937083455</v>
      </c>
      <c r="J3271" s="315">
        <v>2.4912216405515347E-4</v>
      </c>
      <c r="K3271" s="316" t="str">
        <f t="shared" si="54"/>
        <v>Industrial Equipment</v>
      </c>
      <c r="L3271" s="316" t="str">
        <f t="shared" si="55"/>
        <v>LPG</v>
      </c>
      <c r="M3271" s="194"/>
      <c r="N3271" s="317"/>
      <c r="O3271" s="317"/>
      <c r="P3271" s="317"/>
      <c r="Q3271" s="317"/>
      <c r="R3271" s="317"/>
      <c r="S3271" s="317"/>
      <c r="T3271" s="317"/>
      <c r="U3271" s="317"/>
      <c r="V3271" s="317"/>
      <c r="W3271" s="317"/>
      <c r="X3271" s="317"/>
      <c r="Y3271" s="317"/>
      <c r="Z3271" s="317"/>
    </row>
    <row r="3272" spans="1:26" x14ac:dyDescent="0.25">
      <c r="A3272" s="314"/>
      <c r="B3272" s="18">
        <v>2023</v>
      </c>
      <c r="C3272" s="18" t="s">
        <v>787</v>
      </c>
      <c r="D3272" s="18" t="s">
        <v>1227</v>
      </c>
      <c r="E3272" s="18" t="s">
        <v>56</v>
      </c>
      <c r="F3272" s="18" t="s">
        <v>672</v>
      </c>
      <c r="G3272" s="18" t="s">
        <v>674</v>
      </c>
      <c r="H3272" s="18" t="s">
        <v>850</v>
      </c>
      <c r="I3272" s="315">
        <v>5.4055119701323537</v>
      </c>
      <c r="J3272" s="315">
        <v>3.4712070040414405E-4</v>
      </c>
      <c r="K3272" s="316" t="str">
        <f t="shared" si="54"/>
        <v>Construction and Mining Equipment</v>
      </c>
      <c r="L3272" s="316" t="str">
        <f t="shared" si="55"/>
        <v>LPG</v>
      </c>
      <c r="M3272" s="194"/>
      <c r="N3272" s="317"/>
      <c r="O3272" s="317"/>
      <c r="P3272" s="317"/>
      <c r="Q3272" s="317"/>
      <c r="R3272" s="317"/>
      <c r="S3272" s="317"/>
      <c r="T3272" s="317"/>
      <c r="U3272" s="317"/>
      <c r="V3272" s="317"/>
      <c r="W3272" s="317"/>
      <c r="X3272" s="317"/>
      <c r="Y3272" s="317"/>
      <c r="Z3272" s="317"/>
    </row>
    <row r="3273" spans="1:26" x14ac:dyDescent="0.25">
      <c r="A3273" s="314"/>
      <c r="B3273" s="18">
        <v>2023</v>
      </c>
      <c r="C3273" s="18" t="s">
        <v>727</v>
      </c>
      <c r="D3273" s="18" t="s">
        <v>1215</v>
      </c>
      <c r="E3273" s="18" t="s">
        <v>56</v>
      </c>
      <c r="F3273" s="18" t="s">
        <v>672</v>
      </c>
      <c r="G3273" s="18" t="s">
        <v>674</v>
      </c>
      <c r="H3273" s="18" t="s">
        <v>756</v>
      </c>
      <c r="I3273" s="315">
        <v>5.4003928137984261</v>
      </c>
      <c r="J3273" s="315">
        <v>9.9909558174568047E-4</v>
      </c>
      <c r="K3273" s="316" t="str">
        <f t="shared" si="54"/>
        <v>Construction and Mining Equipment</v>
      </c>
      <c r="L3273" s="316" t="str">
        <f t="shared" si="55"/>
        <v>LPG</v>
      </c>
      <c r="M3273" s="194"/>
      <c r="N3273" s="317"/>
      <c r="O3273" s="317"/>
      <c r="P3273" s="317"/>
      <c r="Q3273" s="317"/>
      <c r="R3273" s="317"/>
      <c r="S3273" s="317"/>
      <c r="T3273" s="317"/>
      <c r="U3273" s="317"/>
      <c r="V3273" s="317"/>
      <c r="W3273" s="317"/>
      <c r="X3273" s="317"/>
      <c r="Y3273" s="317"/>
      <c r="Z3273" s="317"/>
    </row>
    <row r="3274" spans="1:26" x14ac:dyDescent="0.25">
      <c r="A3274" s="314"/>
      <c r="B3274" s="18">
        <v>2023</v>
      </c>
      <c r="C3274" s="18" t="s">
        <v>778</v>
      </c>
      <c r="D3274" s="18" t="s">
        <v>1292</v>
      </c>
      <c r="E3274" s="18" t="s">
        <v>703</v>
      </c>
      <c r="F3274" s="18" t="s">
        <v>795</v>
      </c>
      <c r="G3274" s="18" t="s">
        <v>675</v>
      </c>
      <c r="H3274" s="18" t="s">
        <v>1293</v>
      </c>
      <c r="I3274" s="315">
        <v>5.397446723733883</v>
      </c>
      <c r="J3274" s="315">
        <v>3.6143888134283798E-3</v>
      </c>
      <c r="K3274" s="316" t="str">
        <f t="shared" si="54"/>
        <v>Industrial Equipment</v>
      </c>
      <c r="L3274" s="316" t="str">
        <f t="shared" si="55"/>
        <v>Gasoline</v>
      </c>
      <c r="M3274" s="194"/>
      <c r="N3274" s="317"/>
      <c r="O3274" s="317"/>
      <c r="P3274" s="317"/>
      <c r="Q3274" s="317"/>
      <c r="R3274" s="317"/>
      <c r="S3274" s="317"/>
      <c r="T3274" s="317"/>
      <c r="U3274" s="317"/>
      <c r="V3274" s="317"/>
      <c r="W3274" s="317"/>
      <c r="X3274" s="317"/>
      <c r="Y3274" s="317"/>
      <c r="Z3274" s="317"/>
    </row>
    <row r="3275" spans="1:26" x14ac:dyDescent="0.25">
      <c r="A3275" s="314"/>
      <c r="B3275" s="18">
        <v>2023</v>
      </c>
      <c r="C3275" s="18" t="s">
        <v>753</v>
      </c>
      <c r="D3275" s="18" t="s">
        <v>1158</v>
      </c>
      <c r="E3275" s="18" t="s">
        <v>703</v>
      </c>
      <c r="F3275" s="18" t="s">
        <v>704</v>
      </c>
      <c r="G3275" s="18" t="s">
        <v>674</v>
      </c>
      <c r="H3275" s="18" t="s">
        <v>715</v>
      </c>
      <c r="I3275" s="315">
        <v>5.397416909119408</v>
      </c>
      <c r="J3275" s="315">
        <v>3.7309191793247936E-4</v>
      </c>
      <c r="K3275" s="316" t="str">
        <f t="shared" si="54"/>
        <v>Construction and Mining Equipment</v>
      </c>
      <c r="L3275" s="316" t="str">
        <f t="shared" si="55"/>
        <v>Gasoline</v>
      </c>
      <c r="M3275" s="194"/>
      <c r="N3275" s="317"/>
      <c r="O3275" s="317"/>
      <c r="P3275" s="317"/>
      <c r="Q3275" s="317"/>
      <c r="R3275" s="317"/>
      <c r="S3275" s="317"/>
      <c r="T3275" s="317"/>
      <c r="U3275" s="317"/>
      <c r="V3275" s="317"/>
      <c r="W3275" s="317"/>
      <c r="X3275" s="317"/>
      <c r="Y3275" s="317"/>
      <c r="Z3275" s="317"/>
    </row>
    <row r="3276" spans="1:26" x14ac:dyDescent="0.25">
      <c r="A3276" s="314"/>
      <c r="B3276" s="18">
        <v>2023</v>
      </c>
      <c r="C3276" s="18" t="s">
        <v>750</v>
      </c>
      <c r="D3276" s="18" t="s">
        <v>1223</v>
      </c>
      <c r="E3276" s="18" t="s">
        <v>713</v>
      </c>
      <c r="F3276" s="18" t="s">
        <v>714</v>
      </c>
      <c r="G3276" s="18" t="s">
        <v>674</v>
      </c>
      <c r="H3276" s="18" t="s">
        <v>1036</v>
      </c>
      <c r="I3276" s="315">
        <v>5.378986596631802</v>
      </c>
      <c r="J3276" s="315">
        <v>5.2606010964436538E-4</v>
      </c>
      <c r="K3276" s="316" t="str">
        <f t="shared" si="54"/>
        <v>Construction and Mining Equipment</v>
      </c>
      <c r="L3276" s="316" t="str">
        <f t="shared" si="55"/>
        <v>Diesel</v>
      </c>
      <c r="M3276" s="194"/>
      <c r="N3276" s="317"/>
      <c r="O3276" s="317"/>
      <c r="P3276" s="317"/>
      <c r="Q3276" s="317"/>
      <c r="R3276" s="317"/>
      <c r="S3276" s="317"/>
      <c r="T3276" s="317"/>
      <c r="U3276" s="317"/>
      <c r="V3276" s="317"/>
      <c r="W3276" s="317"/>
      <c r="X3276" s="317"/>
      <c r="Y3276" s="317"/>
      <c r="Z3276" s="317"/>
    </row>
    <row r="3277" spans="1:26" x14ac:dyDescent="0.25">
      <c r="A3277" s="314"/>
      <c r="B3277" s="18">
        <v>2023</v>
      </c>
      <c r="C3277" s="18" t="s">
        <v>792</v>
      </c>
      <c r="D3277" s="18" t="s">
        <v>1035</v>
      </c>
      <c r="E3277" s="18" t="s">
        <v>703</v>
      </c>
      <c r="F3277" s="18" t="s">
        <v>704</v>
      </c>
      <c r="G3277" s="18" t="s">
        <v>674</v>
      </c>
      <c r="H3277" s="18" t="s">
        <v>1036</v>
      </c>
      <c r="I3277" s="315">
        <v>5.3626167671826686</v>
      </c>
      <c r="J3277" s="315">
        <v>3.8167882864006274E-3</v>
      </c>
      <c r="K3277" s="316" t="str">
        <f t="shared" si="54"/>
        <v>Construction and Mining Equipment</v>
      </c>
      <c r="L3277" s="316" t="str">
        <f t="shared" si="55"/>
        <v>Gasoline</v>
      </c>
      <c r="M3277" s="194"/>
      <c r="N3277" s="317"/>
      <c r="O3277" s="317"/>
      <c r="P3277" s="317"/>
      <c r="Q3277" s="317"/>
      <c r="R3277" s="317"/>
      <c r="S3277" s="317"/>
      <c r="T3277" s="317"/>
      <c r="U3277" s="317"/>
      <c r="V3277" s="317"/>
      <c r="W3277" s="317"/>
      <c r="X3277" s="317"/>
      <c r="Y3277" s="317"/>
      <c r="Z3277" s="317"/>
    </row>
    <row r="3278" spans="1:26" x14ac:dyDescent="0.25">
      <c r="A3278" s="314"/>
      <c r="B3278" s="18">
        <v>2023</v>
      </c>
      <c r="C3278" s="18" t="s">
        <v>781</v>
      </c>
      <c r="D3278" s="18" t="s">
        <v>1034</v>
      </c>
      <c r="E3278" s="18" t="s">
        <v>713</v>
      </c>
      <c r="F3278" s="18" t="s">
        <v>714</v>
      </c>
      <c r="G3278" s="18" t="s">
        <v>677</v>
      </c>
      <c r="H3278" s="18" t="s">
        <v>1031</v>
      </c>
      <c r="I3278" s="315">
        <v>5.354251238373041</v>
      </c>
      <c r="J3278" s="315">
        <v>9.30454174143496E-5</v>
      </c>
      <c r="K3278" s="316" t="str">
        <f t="shared" si="54"/>
        <v>Commercial Equipment</v>
      </c>
      <c r="L3278" s="316" t="str">
        <f t="shared" si="55"/>
        <v>Diesel</v>
      </c>
      <c r="M3278" s="194"/>
      <c r="N3278" s="317"/>
      <c r="O3278" s="317"/>
      <c r="P3278" s="317"/>
      <c r="Q3278" s="317"/>
      <c r="R3278" s="317"/>
      <c r="S3278" s="317"/>
      <c r="T3278" s="317"/>
      <c r="U3278" s="317"/>
      <c r="V3278" s="317"/>
      <c r="W3278" s="317"/>
      <c r="X3278" s="317"/>
      <c r="Y3278" s="317"/>
      <c r="Z3278" s="317"/>
    </row>
    <row r="3279" spans="1:26" x14ac:dyDescent="0.25">
      <c r="A3279" s="314"/>
      <c r="B3279" s="18">
        <v>2023</v>
      </c>
      <c r="C3279" s="18" t="s">
        <v>732</v>
      </c>
      <c r="D3279" s="18" t="s">
        <v>1637</v>
      </c>
      <c r="E3279" s="18" t="s">
        <v>703</v>
      </c>
      <c r="F3279" s="18" t="s">
        <v>704</v>
      </c>
      <c r="G3279" s="18" t="s">
        <v>678</v>
      </c>
      <c r="H3279" s="18" t="s">
        <v>1638</v>
      </c>
      <c r="I3279" s="315">
        <v>5.3192601606967322</v>
      </c>
      <c r="J3279" s="315">
        <v>3.178422773010729E-3</v>
      </c>
      <c r="K3279" s="316" t="str">
        <f t="shared" si="54"/>
        <v>Agricultural Equipment</v>
      </c>
      <c r="L3279" s="316" t="str">
        <f t="shared" si="55"/>
        <v>Gasoline</v>
      </c>
      <c r="M3279" s="194"/>
      <c r="N3279" s="317"/>
      <c r="O3279" s="317"/>
      <c r="P3279" s="317"/>
      <c r="Q3279" s="317"/>
      <c r="R3279" s="317"/>
      <c r="S3279" s="317"/>
      <c r="T3279" s="317"/>
      <c r="U3279" s="317"/>
      <c r="V3279" s="317"/>
      <c r="W3279" s="317"/>
      <c r="X3279" s="317"/>
      <c r="Y3279" s="317"/>
      <c r="Z3279" s="317"/>
    </row>
    <row r="3280" spans="1:26" x14ac:dyDescent="0.25">
      <c r="A3280" s="314"/>
      <c r="B3280" s="18">
        <v>2023</v>
      </c>
      <c r="C3280" s="18" t="s">
        <v>792</v>
      </c>
      <c r="D3280" s="18" t="s">
        <v>1218</v>
      </c>
      <c r="E3280" s="18" t="s">
        <v>703</v>
      </c>
      <c r="F3280" s="18" t="s">
        <v>704</v>
      </c>
      <c r="G3280" s="18" t="s">
        <v>673</v>
      </c>
      <c r="H3280" s="18" t="s">
        <v>996</v>
      </c>
      <c r="I3280" s="315">
        <v>5.3186105393879712</v>
      </c>
      <c r="J3280" s="315">
        <v>3.7225407786461739E-3</v>
      </c>
      <c r="K3280" s="316" t="str">
        <f t="shared" si="54"/>
        <v>Lawn and Garden Equipment</v>
      </c>
      <c r="L3280" s="316" t="str">
        <f t="shared" si="55"/>
        <v>Gasoline</v>
      </c>
      <c r="M3280" s="194"/>
      <c r="N3280" s="317"/>
      <c r="O3280" s="317"/>
      <c r="P3280" s="317"/>
      <c r="Q3280" s="317"/>
      <c r="R3280" s="317"/>
      <c r="S3280" s="317"/>
      <c r="T3280" s="317"/>
      <c r="U3280" s="317"/>
      <c r="V3280" s="317"/>
      <c r="W3280" s="317"/>
      <c r="X3280" s="317"/>
      <c r="Y3280" s="317"/>
      <c r="Z3280" s="317"/>
    </row>
    <row r="3281" spans="1:26" x14ac:dyDescent="0.25">
      <c r="A3281" s="314"/>
      <c r="B3281" s="18">
        <v>2023</v>
      </c>
      <c r="C3281" s="18" t="s">
        <v>701</v>
      </c>
      <c r="D3281" s="18" t="s">
        <v>1564</v>
      </c>
      <c r="E3281" s="18" t="s">
        <v>703</v>
      </c>
      <c r="F3281" s="18" t="s">
        <v>704</v>
      </c>
      <c r="G3281" s="18" t="s">
        <v>674</v>
      </c>
      <c r="H3281" s="18" t="s">
        <v>981</v>
      </c>
      <c r="I3281" s="315">
        <v>5.3094247784712856</v>
      </c>
      <c r="J3281" s="315">
        <v>3.9303982193320429E-3</v>
      </c>
      <c r="K3281" s="316" t="str">
        <f t="shared" si="54"/>
        <v>Construction and Mining Equipment</v>
      </c>
      <c r="L3281" s="316" t="str">
        <f t="shared" si="55"/>
        <v>Gasoline</v>
      </c>
      <c r="M3281" s="194"/>
      <c r="N3281" s="317"/>
      <c r="O3281" s="317"/>
      <c r="P3281" s="317"/>
      <c r="Q3281" s="317"/>
      <c r="R3281" s="317"/>
      <c r="S3281" s="317"/>
      <c r="T3281" s="317"/>
      <c r="U3281" s="317"/>
      <c r="V3281" s="317"/>
      <c r="W3281" s="317"/>
      <c r="X3281" s="317"/>
      <c r="Y3281" s="317"/>
      <c r="Z3281" s="317"/>
    </row>
    <row r="3282" spans="1:26" x14ac:dyDescent="0.25">
      <c r="A3282" s="314"/>
      <c r="B3282" s="18">
        <v>2023</v>
      </c>
      <c r="C3282" s="18" t="s">
        <v>786</v>
      </c>
      <c r="D3282" s="18" t="s">
        <v>1077</v>
      </c>
      <c r="E3282" s="18" t="s">
        <v>713</v>
      </c>
      <c r="F3282" s="18" t="s">
        <v>714</v>
      </c>
      <c r="G3282" s="18" t="s">
        <v>675</v>
      </c>
      <c r="H3282" s="18" t="s">
        <v>1078</v>
      </c>
      <c r="I3282" s="315">
        <v>5.291820344206779</v>
      </c>
      <c r="J3282" s="315">
        <v>1.3419679420950456E-4</v>
      </c>
      <c r="K3282" s="316" t="str">
        <f t="shared" si="54"/>
        <v>Industrial Equipment</v>
      </c>
      <c r="L3282" s="316" t="str">
        <f t="shared" si="55"/>
        <v>Diesel</v>
      </c>
      <c r="M3282" s="194"/>
      <c r="N3282" s="317"/>
      <c r="O3282" s="317"/>
      <c r="P3282" s="317"/>
      <c r="Q3282" s="317"/>
      <c r="R3282" s="317"/>
      <c r="S3282" s="317"/>
      <c r="T3282" s="317"/>
      <c r="U3282" s="317"/>
      <c r="V3282" s="317"/>
      <c r="W3282" s="317"/>
      <c r="X3282" s="317"/>
      <c r="Y3282" s="317"/>
      <c r="Z3282" s="317"/>
    </row>
    <row r="3283" spans="1:26" x14ac:dyDescent="0.25">
      <c r="A3283" s="314"/>
      <c r="B3283" s="18">
        <v>2023</v>
      </c>
      <c r="C3283" s="18" t="s">
        <v>753</v>
      </c>
      <c r="D3283" s="18" t="s">
        <v>1573</v>
      </c>
      <c r="E3283" s="18" t="s">
        <v>703</v>
      </c>
      <c r="F3283" s="18" t="s">
        <v>704</v>
      </c>
      <c r="G3283" s="18" t="s">
        <v>678</v>
      </c>
      <c r="H3283" s="18" t="s">
        <v>764</v>
      </c>
      <c r="I3283" s="315">
        <v>5.2914546078901896</v>
      </c>
      <c r="J3283" s="315">
        <v>1.0274263473348036E-3</v>
      </c>
      <c r="K3283" s="316" t="str">
        <f t="shared" si="54"/>
        <v>Agricultural Equipment</v>
      </c>
      <c r="L3283" s="316" t="str">
        <f t="shared" si="55"/>
        <v>Gasoline</v>
      </c>
      <c r="M3283" s="194"/>
      <c r="N3283" s="317"/>
      <c r="O3283" s="317"/>
      <c r="P3283" s="317"/>
      <c r="Q3283" s="317"/>
      <c r="R3283" s="317"/>
      <c r="S3283" s="317"/>
      <c r="T3283" s="317"/>
      <c r="U3283" s="317"/>
      <c r="V3283" s="317"/>
      <c r="W3283" s="317"/>
      <c r="X3283" s="317"/>
      <c r="Y3283" s="317"/>
      <c r="Z3283" s="317"/>
    </row>
    <row r="3284" spans="1:26" x14ac:dyDescent="0.25">
      <c r="A3284" s="314"/>
      <c r="B3284" s="18">
        <v>2023</v>
      </c>
      <c r="C3284" s="18" t="s">
        <v>759</v>
      </c>
      <c r="D3284" s="18" t="s">
        <v>1409</v>
      </c>
      <c r="E3284" s="18" t="s">
        <v>703</v>
      </c>
      <c r="F3284" s="18" t="s">
        <v>704</v>
      </c>
      <c r="G3284" s="18" t="s">
        <v>678</v>
      </c>
      <c r="H3284" s="18" t="s">
        <v>1222</v>
      </c>
      <c r="I3284" s="315">
        <v>5.2755808108610838</v>
      </c>
      <c r="J3284" s="315">
        <v>3.4748221682249988E-3</v>
      </c>
      <c r="K3284" s="316" t="str">
        <f t="shared" si="54"/>
        <v>Agricultural Equipment</v>
      </c>
      <c r="L3284" s="316" t="str">
        <f t="shared" si="55"/>
        <v>Gasoline</v>
      </c>
      <c r="M3284" s="194"/>
      <c r="N3284" s="317"/>
      <c r="O3284" s="317"/>
      <c r="P3284" s="317"/>
      <c r="Q3284" s="317"/>
      <c r="R3284" s="317"/>
      <c r="S3284" s="317"/>
      <c r="T3284" s="317"/>
      <c r="U3284" s="317"/>
      <c r="V3284" s="317"/>
      <c r="W3284" s="317"/>
      <c r="X3284" s="317"/>
      <c r="Y3284" s="317"/>
      <c r="Z3284" s="317"/>
    </row>
    <row r="3285" spans="1:26" x14ac:dyDescent="0.25">
      <c r="A3285" s="314"/>
      <c r="B3285" s="18">
        <v>2023</v>
      </c>
      <c r="C3285" s="18" t="s">
        <v>793</v>
      </c>
      <c r="D3285" s="18" t="s">
        <v>1215</v>
      </c>
      <c r="E3285" s="18" t="s">
        <v>56</v>
      </c>
      <c r="F3285" s="18" t="s">
        <v>672</v>
      </c>
      <c r="G3285" s="18" t="s">
        <v>674</v>
      </c>
      <c r="H3285" s="18" t="s">
        <v>756</v>
      </c>
      <c r="I3285" s="315">
        <v>5.2727339487293259</v>
      </c>
      <c r="J3285" s="315">
        <v>9.7547659140108725E-4</v>
      </c>
      <c r="K3285" s="316" t="str">
        <f t="shared" si="54"/>
        <v>Construction and Mining Equipment</v>
      </c>
      <c r="L3285" s="316" t="str">
        <f t="shared" si="55"/>
        <v>LPG</v>
      </c>
      <c r="M3285" s="194"/>
      <c r="N3285" s="317"/>
      <c r="O3285" s="317"/>
      <c r="P3285" s="317"/>
      <c r="Q3285" s="317"/>
      <c r="R3285" s="317"/>
      <c r="S3285" s="317"/>
      <c r="T3285" s="317"/>
      <c r="U3285" s="317"/>
      <c r="V3285" s="317"/>
      <c r="W3285" s="317"/>
      <c r="X3285" s="317"/>
      <c r="Y3285" s="317"/>
      <c r="Z3285" s="317"/>
    </row>
    <row r="3286" spans="1:26" x14ac:dyDescent="0.25">
      <c r="A3286" s="314"/>
      <c r="B3286" s="18">
        <v>2023</v>
      </c>
      <c r="C3286" s="18" t="s">
        <v>810</v>
      </c>
      <c r="D3286" s="18" t="s">
        <v>1075</v>
      </c>
      <c r="E3286" s="18" t="s">
        <v>56</v>
      </c>
      <c r="F3286" s="18" t="s">
        <v>672</v>
      </c>
      <c r="G3286" s="18" t="s">
        <v>675</v>
      </c>
      <c r="H3286" s="18" t="s">
        <v>772</v>
      </c>
      <c r="I3286" s="315">
        <v>5.2670079382626964</v>
      </c>
      <c r="J3286" s="315">
        <v>2.4264951863711985E-4</v>
      </c>
      <c r="K3286" s="316" t="str">
        <f t="shared" si="54"/>
        <v>Industrial Equipment</v>
      </c>
      <c r="L3286" s="316" t="str">
        <f t="shared" si="55"/>
        <v>LPG</v>
      </c>
      <c r="M3286" s="194"/>
      <c r="N3286" s="317"/>
      <c r="O3286" s="317"/>
      <c r="P3286" s="317"/>
      <c r="Q3286" s="317"/>
      <c r="R3286" s="317"/>
      <c r="S3286" s="317"/>
      <c r="T3286" s="317"/>
      <c r="U3286" s="317"/>
      <c r="V3286" s="317"/>
      <c r="W3286" s="317"/>
      <c r="X3286" s="317"/>
      <c r="Y3286" s="317"/>
      <c r="Z3286" s="317"/>
    </row>
    <row r="3287" spans="1:26" x14ac:dyDescent="0.25">
      <c r="A3287" s="314"/>
      <c r="B3287" s="18">
        <v>2023</v>
      </c>
      <c r="C3287" s="18" t="s">
        <v>781</v>
      </c>
      <c r="D3287" s="18" t="s">
        <v>1037</v>
      </c>
      <c r="E3287" s="18" t="s">
        <v>56</v>
      </c>
      <c r="F3287" s="18" t="s">
        <v>672</v>
      </c>
      <c r="G3287" s="18" t="s">
        <v>677</v>
      </c>
      <c r="H3287" s="18" t="s">
        <v>841</v>
      </c>
      <c r="I3287" s="315">
        <v>5.2666795571396303</v>
      </c>
      <c r="J3287" s="315">
        <v>5.331318204980862E-4</v>
      </c>
      <c r="K3287" s="316" t="str">
        <f t="shared" si="54"/>
        <v>Commercial Equipment</v>
      </c>
      <c r="L3287" s="316" t="str">
        <f t="shared" si="55"/>
        <v>LPG</v>
      </c>
      <c r="M3287" s="194"/>
      <c r="N3287" s="317"/>
      <c r="O3287" s="317"/>
      <c r="P3287" s="317"/>
      <c r="Q3287" s="317"/>
      <c r="R3287" s="317"/>
      <c r="S3287" s="317"/>
      <c r="T3287" s="317"/>
      <c r="U3287" s="317"/>
      <c r="V3287" s="317"/>
      <c r="W3287" s="317"/>
      <c r="X3287" s="317"/>
      <c r="Y3287" s="317"/>
      <c r="Z3287" s="317"/>
    </row>
    <row r="3288" spans="1:26" x14ac:dyDescent="0.25">
      <c r="A3288" s="314"/>
      <c r="B3288" s="18">
        <v>2023</v>
      </c>
      <c r="C3288" s="18" t="s">
        <v>731</v>
      </c>
      <c r="D3288" s="18" t="s">
        <v>1573</v>
      </c>
      <c r="E3288" s="18" t="s">
        <v>703</v>
      </c>
      <c r="F3288" s="18" t="s">
        <v>704</v>
      </c>
      <c r="G3288" s="18" t="s">
        <v>678</v>
      </c>
      <c r="H3288" s="18" t="s">
        <v>764</v>
      </c>
      <c r="I3288" s="315">
        <v>5.2487010028297467</v>
      </c>
      <c r="J3288" s="315">
        <v>1.0189373000595377E-3</v>
      </c>
      <c r="K3288" s="316" t="str">
        <f t="shared" si="54"/>
        <v>Agricultural Equipment</v>
      </c>
      <c r="L3288" s="316" t="str">
        <f t="shared" si="55"/>
        <v>Gasoline</v>
      </c>
      <c r="M3288" s="194"/>
      <c r="N3288" s="317"/>
      <c r="O3288" s="317"/>
      <c r="P3288" s="317"/>
      <c r="Q3288" s="317"/>
      <c r="R3288" s="317"/>
      <c r="S3288" s="317"/>
      <c r="T3288" s="317"/>
      <c r="U3288" s="317"/>
      <c r="V3288" s="317"/>
      <c r="W3288" s="317"/>
      <c r="X3288" s="317"/>
      <c r="Y3288" s="317"/>
      <c r="Z3288" s="317"/>
    </row>
    <row r="3289" spans="1:26" x14ac:dyDescent="0.25">
      <c r="A3289" s="314"/>
      <c r="B3289" s="18">
        <v>2023</v>
      </c>
      <c r="C3289" s="18" t="s">
        <v>793</v>
      </c>
      <c r="D3289" s="18" t="s">
        <v>1229</v>
      </c>
      <c r="E3289" s="18" t="s">
        <v>713</v>
      </c>
      <c r="F3289" s="18" t="s">
        <v>714</v>
      </c>
      <c r="G3289" s="18" t="s">
        <v>678</v>
      </c>
      <c r="H3289" s="18" t="s">
        <v>1230</v>
      </c>
      <c r="I3289" s="315">
        <v>5.2460580369381535</v>
      </c>
      <c r="J3289" s="315">
        <v>3.9556525161386551E-5</v>
      </c>
      <c r="K3289" s="316" t="str">
        <f t="shared" si="54"/>
        <v>Agricultural Equipment</v>
      </c>
      <c r="L3289" s="316" t="str">
        <f t="shared" si="55"/>
        <v>Diesel</v>
      </c>
      <c r="M3289" s="194"/>
      <c r="N3289" s="317"/>
      <c r="O3289" s="317"/>
      <c r="P3289" s="317"/>
      <c r="Q3289" s="317"/>
      <c r="R3289" s="317"/>
      <c r="S3289" s="317"/>
      <c r="T3289" s="317"/>
      <c r="U3289" s="317"/>
      <c r="V3289" s="317"/>
      <c r="W3289" s="317"/>
      <c r="X3289" s="317"/>
      <c r="Y3289" s="317"/>
      <c r="Z3289" s="317"/>
    </row>
    <row r="3290" spans="1:26" x14ac:dyDescent="0.25">
      <c r="A3290" s="314"/>
      <c r="B3290" s="18">
        <v>2023</v>
      </c>
      <c r="C3290" s="18" t="s">
        <v>781</v>
      </c>
      <c r="D3290" s="18" t="s">
        <v>1212</v>
      </c>
      <c r="E3290" s="18" t="s">
        <v>56</v>
      </c>
      <c r="F3290" s="18" t="s">
        <v>672</v>
      </c>
      <c r="G3290" s="18" t="s">
        <v>675</v>
      </c>
      <c r="H3290" s="18" t="s">
        <v>798</v>
      </c>
      <c r="I3290" s="315">
        <v>5.240571784160351</v>
      </c>
      <c r="J3290" s="315">
        <v>2.3678876500560179E-4</v>
      </c>
      <c r="K3290" s="316" t="str">
        <f t="shared" si="54"/>
        <v>Industrial Equipment</v>
      </c>
      <c r="L3290" s="316" t="str">
        <f t="shared" si="55"/>
        <v>LPG</v>
      </c>
      <c r="M3290" s="194"/>
      <c r="N3290" s="317"/>
      <c r="O3290" s="317"/>
      <c r="P3290" s="317"/>
      <c r="Q3290" s="317"/>
      <c r="R3290" s="317"/>
      <c r="S3290" s="317"/>
      <c r="T3290" s="317"/>
      <c r="U3290" s="317"/>
      <c r="V3290" s="317"/>
      <c r="W3290" s="317"/>
      <c r="X3290" s="317"/>
      <c r="Y3290" s="317"/>
      <c r="Z3290" s="317"/>
    </row>
    <row r="3291" spans="1:26" x14ac:dyDescent="0.25">
      <c r="A3291" s="314"/>
      <c r="B3291" s="18">
        <v>2023</v>
      </c>
      <c r="C3291" s="18" t="s">
        <v>762</v>
      </c>
      <c r="D3291" s="18" t="s">
        <v>1077</v>
      </c>
      <c r="E3291" s="18" t="s">
        <v>713</v>
      </c>
      <c r="F3291" s="18" t="s">
        <v>714</v>
      </c>
      <c r="G3291" s="18" t="s">
        <v>675</v>
      </c>
      <c r="H3291" s="18" t="s">
        <v>1078</v>
      </c>
      <c r="I3291" s="315">
        <v>5.2284301469368089</v>
      </c>
      <c r="J3291" s="315">
        <v>1.3258923729066616E-4</v>
      </c>
      <c r="K3291" s="316" t="str">
        <f t="shared" si="54"/>
        <v>Industrial Equipment</v>
      </c>
      <c r="L3291" s="316" t="str">
        <f t="shared" si="55"/>
        <v>Diesel</v>
      </c>
      <c r="M3291" s="194"/>
      <c r="N3291" s="317"/>
      <c r="O3291" s="317"/>
      <c r="P3291" s="317"/>
      <c r="Q3291" s="317"/>
      <c r="R3291" s="317"/>
      <c r="S3291" s="317"/>
      <c r="T3291" s="317"/>
      <c r="U3291" s="317"/>
      <c r="V3291" s="317"/>
      <c r="W3291" s="317"/>
      <c r="X3291" s="317"/>
      <c r="Y3291" s="317"/>
      <c r="Z3291" s="317"/>
    </row>
    <row r="3292" spans="1:26" x14ac:dyDescent="0.25">
      <c r="A3292" s="314"/>
      <c r="B3292" s="18">
        <v>2023</v>
      </c>
      <c r="C3292" s="18" t="s">
        <v>706</v>
      </c>
      <c r="D3292" s="18" t="s">
        <v>1394</v>
      </c>
      <c r="E3292" s="18" t="s">
        <v>703</v>
      </c>
      <c r="F3292" s="18" t="s">
        <v>805</v>
      </c>
      <c r="G3292" s="18" t="s">
        <v>681</v>
      </c>
      <c r="H3292" s="18" t="s">
        <v>1395</v>
      </c>
      <c r="I3292" s="315">
        <v>5.2252007074268523</v>
      </c>
      <c r="J3292" s="315">
        <v>9.0506751189304274E-3</v>
      </c>
      <c r="K3292" s="316" t="str">
        <f t="shared" si="54"/>
        <v>Logging Equipment</v>
      </c>
      <c r="L3292" s="316" t="str">
        <f t="shared" si="55"/>
        <v>Gasoline</v>
      </c>
      <c r="M3292" s="194"/>
      <c r="N3292" s="317"/>
      <c r="O3292" s="317"/>
      <c r="P3292" s="317"/>
      <c r="Q3292" s="317"/>
      <c r="R3292" s="317"/>
      <c r="S3292" s="317"/>
      <c r="T3292" s="317"/>
      <c r="U3292" s="317"/>
      <c r="V3292" s="317"/>
      <c r="W3292" s="317"/>
      <c r="X3292" s="317"/>
      <c r="Y3292" s="317"/>
      <c r="Z3292" s="317"/>
    </row>
    <row r="3293" spans="1:26" x14ac:dyDescent="0.25">
      <c r="A3293" s="314"/>
      <c r="B3293" s="18">
        <v>2023</v>
      </c>
      <c r="C3293" s="18" t="s">
        <v>722</v>
      </c>
      <c r="D3293" s="18" t="s">
        <v>1360</v>
      </c>
      <c r="E3293" s="18" t="s">
        <v>713</v>
      </c>
      <c r="F3293" s="18" t="s">
        <v>714</v>
      </c>
      <c r="G3293" s="18" t="s">
        <v>674</v>
      </c>
      <c r="H3293" s="18" t="s">
        <v>1220</v>
      </c>
      <c r="I3293" s="315">
        <v>5.220966395435827</v>
      </c>
      <c r="J3293" s="315">
        <v>2.3224861542514894E-4</v>
      </c>
      <c r="K3293" s="316" t="str">
        <f t="shared" si="54"/>
        <v>Construction and Mining Equipment</v>
      </c>
      <c r="L3293" s="316" t="str">
        <f t="shared" si="55"/>
        <v>Diesel</v>
      </c>
      <c r="M3293" s="194"/>
      <c r="N3293" s="317"/>
      <c r="O3293" s="317"/>
      <c r="P3293" s="317"/>
      <c r="Q3293" s="317"/>
      <c r="R3293" s="317"/>
      <c r="S3293" s="317"/>
      <c r="T3293" s="317"/>
      <c r="U3293" s="317"/>
      <c r="V3293" s="317"/>
      <c r="W3293" s="317"/>
      <c r="X3293" s="317"/>
      <c r="Y3293" s="317"/>
      <c r="Z3293" s="317"/>
    </row>
    <row r="3294" spans="1:26" x14ac:dyDescent="0.25">
      <c r="A3294" s="314"/>
      <c r="B3294" s="18">
        <v>2023</v>
      </c>
      <c r="C3294" s="18" t="s">
        <v>760</v>
      </c>
      <c r="D3294" s="18" t="s">
        <v>1440</v>
      </c>
      <c r="E3294" s="18" t="s">
        <v>703</v>
      </c>
      <c r="F3294" s="18" t="s">
        <v>704</v>
      </c>
      <c r="G3294" s="18" t="s">
        <v>678</v>
      </c>
      <c r="H3294" s="18" t="s">
        <v>1154</v>
      </c>
      <c r="I3294" s="315">
        <v>5.217908935328702</v>
      </c>
      <c r="J3294" s="315">
        <v>5.2749297083377932E-4</v>
      </c>
      <c r="K3294" s="316" t="str">
        <f t="shared" si="54"/>
        <v>Agricultural Equipment</v>
      </c>
      <c r="L3294" s="316" t="str">
        <f t="shared" si="55"/>
        <v>Gasoline</v>
      </c>
      <c r="M3294" s="194"/>
      <c r="N3294" s="317"/>
      <c r="O3294" s="317"/>
      <c r="P3294" s="317"/>
      <c r="Q3294" s="317"/>
      <c r="R3294" s="317"/>
      <c r="S3294" s="317"/>
      <c r="T3294" s="317"/>
      <c r="U3294" s="317"/>
      <c r="V3294" s="317"/>
      <c r="W3294" s="317"/>
      <c r="X3294" s="317"/>
      <c r="Y3294" s="317"/>
      <c r="Z3294" s="317"/>
    </row>
    <row r="3295" spans="1:26" x14ac:dyDescent="0.25">
      <c r="A3295" s="314"/>
      <c r="B3295" s="18">
        <v>2023</v>
      </c>
      <c r="C3295" s="18" t="s">
        <v>706</v>
      </c>
      <c r="D3295" s="18" t="s">
        <v>1428</v>
      </c>
      <c r="E3295" s="18" t="s">
        <v>56</v>
      </c>
      <c r="F3295" s="18" t="s">
        <v>601</v>
      </c>
      <c r="G3295" s="18" t="s">
        <v>678</v>
      </c>
      <c r="H3295" s="18" t="s">
        <v>1154</v>
      </c>
      <c r="I3295" s="315">
        <v>5.1815745944372003</v>
      </c>
      <c r="J3295" s="315">
        <v>2.1072651339879369E-2</v>
      </c>
      <c r="K3295" s="316" t="str">
        <f t="shared" si="54"/>
        <v>Agricultural Equipment</v>
      </c>
      <c r="L3295" s="316" t="str">
        <f t="shared" si="55"/>
        <v>CNG</v>
      </c>
      <c r="M3295" s="194"/>
      <c r="N3295" s="317"/>
      <c r="O3295" s="317"/>
      <c r="P3295" s="317"/>
      <c r="Q3295" s="317"/>
      <c r="R3295" s="317"/>
      <c r="S3295" s="317"/>
      <c r="T3295" s="317"/>
      <c r="U3295" s="317"/>
      <c r="V3295" s="317"/>
      <c r="W3295" s="317"/>
      <c r="X3295" s="317"/>
      <c r="Y3295" s="317"/>
      <c r="Z3295" s="317"/>
    </row>
    <row r="3296" spans="1:26" x14ac:dyDescent="0.25">
      <c r="A3296" s="314"/>
      <c r="B3296" s="18">
        <v>2023</v>
      </c>
      <c r="C3296" s="18" t="s">
        <v>750</v>
      </c>
      <c r="D3296" s="18" t="s">
        <v>1409</v>
      </c>
      <c r="E3296" s="18" t="s">
        <v>703</v>
      </c>
      <c r="F3296" s="18" t="s">
        <v>704</v>
      </c>
      <c r="G3296" s="18" t="s">
        <v>678</v>
      </c>
      <c r="H3296" s="18" t="s">
        <v>1222</v>
      </c>
      <c r="I3296" s="315">
        <v>5.1758119959006788</v>
      </c>
      <c r="J3296" s="315">
        <v>3.4125021977748642E-3</v>
      </c>
      <c r="K3296" s="316" t="str">
        <f t="shared" si="54"/>
        <v>Agricultural Equipment</v>
      </c>
      <c r="L3296" s="316" t="str">
        <f t="shared" si="55"/>
        <v>Gasoline</v>
      </c>
      <c r="M3296" s="194"/>
      <c r="N3296" s="317"/>
      <c r="O3296" s="317"/>
      <c r="P3296" s="317"/>
      <c r="Q3296" s="317"/>
      <c r="R3296" s="317"/>
      <c r="S3296" s="317"/>
      <c r="T3296" s="317"/>
      <c r="U3296" s="317"/>
      <c r="V3296" s="317"/>
      <c r="W3296" s="317"/>
      <c r="X3296" s="317"/>
      <c r="Y3296" s="317"/>
      <c r="Z3296" s="317"/>
    </row>
    <row r="3297" spans="1:26" x14ac:dyDescent="0.25">
      <c r="A3297" s="314"/>
      <c r="B3297" s="18">
        <v>2023</v>
      </c>
      <c r="C3297" s="18" t="s">
        <v>754</v>
      </c>
      <c r="D3297" s="18" t="s">
        <v>1338</v>
      </c>
      <c r="E3297" s="18" t="s">
        <v>703</v>
      </c>
      <c r="F3297" s="18" t="s">
        <v>805</v>
      </c>
      <c r="G3297" s="18" t="s">
        <v>673</v>
      </c>
      <c r="H3297" s="18" t="s">
        <v>987</v>
      </c>
      <c r="I3297" s="315">
        <v>5.1643184909506248</v>
      </c>
      <c r="J3297" s="315">
        <v>9.4304039942295862E-3</v>
      </c>
      <c r="K3297" s="316" t="str">
        <f t="shared" si="54"/>
        <v>Lawn and Garden Equipment</v>
      </c>
      <c r="L3297" s="316" t="str">
        <f t="shared" si="55"/>
        <v>Gasoline</v>
      </c>
      <c r="M3297" s="194"/>
      <c r="N3297" s="317"/>
      <c r="O3297" s="317"/>
      <c r="P3297" s="317"/>
      <c r="Q3297" s="317"/>
      <c r="R3297" s="317"/>
      <c r="S3297" s="317"/>
      <c r="T3297" s="317"/>
      <c r="U3297" s="317"/>
      <c r="V3297" s="317"/>
      <c r="W3297" s="317"/>
      <c r="X3297" s="317"/>
      <c r="Y3297" s="317"/>
      <c r="Z3297" s="317"/>
    </row>
    <row r="3298" spans="1:26" x14ac:dyDescent="0.25">
      <c r="A3298" s="314"/>
      <c r="B3298" s="18">
        <v>2023</v>
      </c>
      <c r="C3298" s="18" t="s">
        <v>762</v>
      </c>
      <c r="D3298" s="18" t="s">
        <v>1081</v>
      </c>
      <c r="E3298" s="18" t="s">
        <v>703</v>
      </c>
      <c r="F3298" s="18" t="s">
        <v>805</v>
      </c>
      <c r="G3298" s="18" t="s">
        <v>674</v>
      </c>
      <c r="H3298" s="18" t="s">
        <v>1082</v>
      </c>
      <c r="I3298" s="315">
        <v>5.1571431997334631</v>
      </c>
      <c r="J3298" s="315">
        <v>8.3650752043439251E-3</v>
      </c>
      <c r="K3298" s="316" t="str">
        <f t="shared" si="54"/>
        <v>Construction and Mining Equipment</v>
      </c>
      <c r="L3298" s="316" t="str">
        <f t="shared" si="55"/>
        <v>Gasoline</v>
      </c>
      <c r="M3298" s="194"/>
      <c r="N3298" s="317"/>
      <c r="O3298" s="317"/>
      <c r="P3298" s="317"/>
      <c r="Q3298" s="317"/>
      <c r="R3298" s="317"/>
      <c r="S3298" s="317"/>
      <c r="T3298" s="317"/>
      <c r="U3298" s="317"/>
      <c r="V3298" s="317"/>
      <c r="W3298" s="317"/>
      <c r="X3298" s="317"/>
      <c r="Y3298" s="317"/>
      <c r="Z3298" s="317"/>
    </row>
    <row r="3299" spans="1:26" x14ac:dyDescent="0.25">
      <c r="A3299" s="314"/>
      <c r="B3299" s="18">
        <v>2023</v>
      </c>
      <c r="C3299" s="18" t="s">
        <v>722</v>
      </c>
      <c r="D3299" s="18" t="s">
        <v>1361</v>
      </c>
      <c r="E3299" s="18" t="s">
        <v>56</v>
      </c>
      <c r="F3299" s="18" t="s">
        <v>672</v>
      </c>
      <c r="G3299" s="18" t="s">
        <v>674</v>
      </c>
      <c r="H3299" s="18" t="s">
        <v>783</v>
      </c>
      <c r="I3299" s="315">
        <v>5.1569874460517129</v>
      </c>
      <c r="J3299" s="315">
        <v>2.3673897924406356E-4</v>
      </c>
      <c r="K3299" s="316" t="str">
        <f t="shared" si="54"/>
        <v>Construction and Mining Equipment</v>
      </c>
      <c r="L3299" s="316" t="str">
        <f t="shared" si="55"/>
        <v>LPG</v>
      </c>
      <c r="M3299" s="194"/>
      <c r="N3299" s="317"/>
      <c r="O3299" s="317"/>
      <c r="P3299" s="317"/>
      <c r="Q3299" s="317"/>
      <c r="R3299" s="317"/>
      <c r="S3299" s="317"/>
      <c r="T3299" s="317"/>
      <c r="U3299" s="317"/>
      <c r="V3299" s="317"/>
      <c r="W3299" s="317"/>
      <c r="X3299" s="317"/>
      <c r="Y3299" s="317"/>
      <c r="Z3299" s="317"/>
    </row>
    <row r="3300" spans="1:26" x14ac:dyDescent="0.25">
      <c r="A3300" s="314"/>
      <c r="B3300" s="18">
        <v>2023</v>
      </c>
      <c r="C3300" s="18" t="s">
        <v>781</v>
      </c>
      <c r="D3300" s="18" t="s">
        <v>998</v>
      </c>
      <c r="E3300" s="18" t="s">
        <v>703</v>
      </c>
      <c r="F3300" s="18" t="s">
        <v>704</v>
      </c>
      <c r="G3300" s="18" t="s">
        <v>674</v>
      </c>
      <c r="H3300" s="18" t="s">
        <v>999</v>
      </c>
      <c r="I3300" s="315">
        <v>5.1302612188355443</v>
      </c>
      <c r="J3300" s="315">
        <v>3.3827384166931268E-3</v>
      </c>
      <c r="K3300" s="316" t="str">
        <f t="shared" si="54"/>
        <v>Construction and Mining Equipment</v>
      </c>
      <c r="L3300" s="316" t="str">
        <f t="shared" si="55"/>
        <v>Gasoline</v>
      </c>
      <c r="M3300" s="194"/>
      <c r="N3300" s="317"/>
      <c r="O3300" s="317"/>
      <c r="P3300" s="317"/>
      <c r="Q3300" s="317"/>
      <c r="R3300" s="317"/>
      <c r="S3300" s="317"/>
      <c r="T3300" s="317"/>
      <c r="U3300" s="317"/>
      <c r="V3300" s="317"/>
      <c r="W3300" s="317"/>
      <c r="X3300" s="317"/>
      <c r="Y3300" s="317"/>
      <c r="Z3300" s="317"/>
    </row>
    <row r="3301" spans="1:26" x14ac:dyDescent="0.25">
      <c r="A3301" s="314"/>
      <c r="B3301" s="18">
        <v>2023</v>
      </c>
      <c r="C3301" s="18" t="s">
        <v>787</v>
      </c>
      <c r="D3301" s="18" t="s">
        <v>1247</v>
      </c>
      <c r="E3301" s="18" t="s">
        <v>56</v>
      </c>
      <c r="F3301" s="18" t="s">
        <v>672</v>
      </c>
      <c r="G3301" s="18" t="s">
        <v>674</v>
      </c>
      <c r="H3301" s="18" t="s">
        <v>967</v>
      </c>
      <c r="I3301" s="315">
        <v>5.1291924015336861</v>
      </c>
      <c r="J3301" s="315">
        <v>2.4232890388733473E-4</v>
      </c>
      <c r="K3301" s="316" t="str">
        <f t="shared" si="54"/>
        <v>Construction and Mining Equipment</v>
      </c>
      <c r="L3301" s="316" t="str">
        <f t="shared" si="55"/>
        <v>LPG</v>
      </c>
      <c r="M3301" s="194"/>
      <c r="N3301" s="317"/>
      <c r="O3301" s="317"/>
      <c r="P3301" s="317"/>
      <c r="Q3301" s="317"/>
      <c r="R3301" s="317"/>
      <c r="S3301" s="317"/>
      <c r="T3301" s="317"/>
      <c r="U3301" s="317"/>
      <c r="V3301" s="317"/>
      <c r="W3301" s="317"/>
      <c r="X3301" s="317"/>
      <c r="Y3301" s="317"/>
      <c r="Z3301" s="317"/>
    </row>
    <row r="3302" spans="1:26" x14ac:dyDescent="0.25">
      <c r="A3302" s="314"/>
      <c r="B3302" s="18">
        <v>2023</v>
      </c>
      <c r="C3302" s="18" t="s">
        <v>754</v>
      </c>
      <c r="D3302" s="18" t="s">
        <v>1317</v>
      </c>
      <c r="E3302" s="18" t="s">
        <v>713</v>
      </c>
      <c r="F3302" s="18" t="s">
        <v>714</v>
      </c>
      <c r="G3302" s="18" t="s">
        <v>673</v>
      </c>
      <c r="H3302" s="18" t="s">
        <v>865</v>
      </c>
      <c r="I3302" s="315">
        <v>5.1242097582205757</v>
      </c>
      <c r="J3302" s="315">
        <v>1.6183851325843931E-4</v>
      </c>
      <c r="K3302" s="316" t="str">
        <f t="shared" si="54"/>
        <v>Lawn and Garden Equipment</v>
      </c>
      <c r="L3302" s="316" t="str">
        <f t="shared" si="55"/>
        <v>Diesel</v>
      </c>
      <c r="M3302" s="194"/>
      <c r="N3302" s="317"/>
      <c r="O3302" s="317"/>
      <c r="P3302" s="317"/>
      <c r="Q3302" s="317"/>
      <c r="R3302" s="317"/>
      <c r="S3302" s="317"/>
      <c r="T3302" s="317"/>
      <c r="U3302" s="317"/>
      <c r="V3302" s="317"/>
      <c r="W3302" s="317"/>
      <c r="X3302" s="317"/>
      <c r="Y3302" s="317"/>
      <c r="Z3302" s="317"/>
    </row>
    <row r="3303" spans="1:26" x14ac:dyDescent="0.25">
      <c r="A3303" s="314"/>
      <c r="B3303" s="18">
        <v>2023</v>
      </c>
      <c r="C3303" s="18" t="s">
        <v>787</v>
      </c>
      <c r="D3303" s="18" t="s">
        <v>1248</v>
      </c>
      <c r="E3303" s="18" t="s">
        <v>703</v>
      </c>
      <c r="F3303" s="18" t="s">
        <v>704</v>
      </c>
      <c r="G3303" s="18" t="s">
        <v>674</v>
      </c>
      <c r="H3303" s="18" t="s">
        <v>959</v>
      </c>
      <c r="I3303" s="315">
        <v>5.1210781647174821</v>
      </c>
      <c r="J3303" s="315">
        <v>3.4308188569798343E-3</v>
      </c>
      <c r="K3303" s="316" t="str">
        <f t="shared" si="54"/>
        <v>Construction and Mining Equipment</v>
      </c>
      <c r="L3303" s="316" t="str">
        <f t="shared" si="55"/>
        <v>Gasoline</v>
      </c>
      <c r="M3303" s="194"/>
      <c r="N3303" s="317"/>
      <c r="O3303" s="317"/>
      <c r="P3303" s="317"/>
      <c r="Q3303" s="317"/>
      <c r="R3303" s="317"/>
      <c r="S3303" s="317"/>
      <c r="T3303" s="317"/>
      <c r="U3303" s="317"/>
      <c r="V3303" s="317"/>
      <c r="W3303" s="317"/>
      <c r="X3303" s="317"/>
      <c r="Y3303" s="317"/>
      <c r="Z3303" s="317"/>
    </row>
    <row r="3304" spans="1:26" x14ac:dyDescent="0.25">
      <c r="A3304" s="314"/>
      <c r="B3304" s="18">
        <v>2023</v>
      </c>
      <c r="C3304" s="18" t="s">
        <v>781</v>
      </c>
      <c r="D3304" s="18" t="s">
        <v>1000</v>
      </c>
      <c r="E3304" s="18" t="s">
        <v>703</v>
      </c>
      <c r="F3304" s="18" t="s">
        <v>704</v>
      </c>
      <c r="G3304" s="18" t="s">
        <v>674</v>
      </c>
      <c r="H3304" s="18" t="s">
        <v>850</v>
      </c>
      <c r="I3304" s="315">
        <v>5.1113878756984912</v>
      </c>
      <c r="J3304" s="315">
        <v>3.1052158895383138E-3</v>
      </c>
      <c r="K3304" s="316" t="str">
        <f t="shared" si="54"/>
        <v>Construction and Mining Equipment</v>
      </c>
      <c r="L3304" s="316" t="str">
        <f t="shared" si="55"/>
        <v>Gasoline</v>
      </c>
      <c r="M3304" s="194"/>
      <c r="N3304" s="317"/>
      <c r="O3304" s="317"/>
      <c r="P3304" s="317"/>
      <c r="Q3304" s="317"/>
      <c r="R3304" s="317"/>
      <c r="S3304" s="317"/>
      <c r="T3304" s="317"/>
      <c r="U3304" s="317"/>
      <c r="V3304" s="317"/>
      <c r="W3304" s="317"/>
      <c r="X3304" s="317"/>
      <c r="Y3304" s="317"/>
      <c r="Z3304" s="317"/>
    </row>
    <row r="3305" spans="1:26" x14ac:dyDescent="0.25">
      <c r="A3305" s="314"/>
      <c r="B3305" s="18">
        <v>2023</v>
      </c>
      <c r="C3305" s="18" t="s">
        <v>722</v>
      </c>
      <c r="D3305" s="18" t="s">
        <v>1362</v>
      </c>
      <c r="E3305" s="18" t="s">
        <v>56</v>
      </c>
      <c r="F3305" s="18" t="s">
        <v>672</v>
      </c>
      <c r="G3305" s="18" t="s">
        <v>674</v>
      </c>
      <c r="H3305" s="18" t="s">
        <v>859</v>
      </c>
      <c r="I3305" s="315">
        <v>5.0954348975434094</v>
      </c>
      <c r="J3305" s="315">
        <v>1.2637756341925361E-3</v>
      </c>
      <c r="K3305" s="316" t="str">
        <f t="shared" si="54"/>
        <v>Construction and Mining Equipment</v>
      </c>
      <c r="L3305" s="316" t="str">
        <f t="shared" si="55"/>
        <v>LPG</v>
      </c>
      <c r="M3305" s="194"/>
      <c r="N3305" s="317"/>
      <c r="O3305" s="317"/>
      <c r="P3305" s="317"/>
      <c r="Q3305" s="317"/>
      <c r="R3305" s="317"/>
      <c r="S3305" s="317"/>
      <c r="T3305" s="317"/>
      <c r="U3305" s="317"/>
      <c r="V3305" s="317"/>
      <c r="W3305" s="317"/>
      <c r="X3305" s="317"/>
      <c r="Y3305" s="317"/>
      <c r="Z3305" s="317"/>
    </row>
    <row r="3306" spans="1:26" x14ac:dyDescent="0.25">
      <c r="A3306" s="314"/>
      <c r="B3306" s="18">
        <v>2023</v>
      </c>
      <c r="C3306" s="18" t="s">
        <v>810</v>
      </c>
      <c r="D3306" s="18" t="s">
        <v>1077</v>
      </c>
      <c r="E3306" s="18" t="s">
        <v>713</v>
      </c>
      <c r="F3306" s="18" t="s">
        <v>714</v>
      </c>
      <c r="G3306" s="18" t="s">
        <v>675</v>
      </c>
      <c r="H3306" s="18" t="s">
        <v>1078</v>
      </c>
      <c r="I3306" s="315">
        <v>5.0925872770343883</v>
      </c>
      <c r="J3306" s="315">
        <v>1.2914424286119728E-4</v>
      </c>
      <c r="K3306" s="316" t="str">
        <f t="shared" si="54"/>
        <v>Industrial Equipment</v>
      </c>
      <c r="L3306" s="316" t="str">
        <f t="shared" si="55"/>
        <v>Diesel</v>
      </c>
      <c r="M3306" s="194"/>
      <c r="N3306" s="317"/>
      <c r="O3306" s="317"/>
      <c r="P3306" s="317"/>
      <c r="Q3306" s="317"/>
      <c r="R3306" s="317"/>
      <c r="S3306" s="317"/>
      <c r="T3306" s="317"/>
      <c r="U3306" s="317"/>
      <c r="V3306" s="317"/>
      <c r="W3306" s="317"/>
      <c r="X3306" s="317"/>
      <c r="Y3306" s="317"/>
      <c r="Z3306" s="317"/>
    </row>
    <row r="3307" spans="1:26" x14ac:dyDescent="0.25">
      <c r="A3307" s="314"/>
      <c r="B3307" s="18">
        <v>2023</v>
      </c>
      <c r="C3307" s="18" t="s">
        <v>810</v>
      </c>
      <c r="D3307" s="18" t="s">
        <v>1158</v>
      </c>
      <c r="E3307" s="18" t="s">
        <v>703</v>
      </c>
      <c r="F3307" s="18" t="s">
        <v>704</v>
      </c>
      <c r="G3307" s="18" t="s">
        <v>674</v>
      </c>
      <c r="H3307" s="18" t="s">
        <v>715</v>
      </c>
      <c r="I3307" s="315">
        <v>5.0871418451642372</v>
      </c>
      <c r="J3307" s="315">
        <v>3.5703875211011291E-4</v>
      </c>
      <c r="K3307" s="316" t="str">
        <f t="shared" si="54"/>
        <v>Construction and Mining Equipment</v>
      </c>
      <c r="L3307" s="316" t="str">
        <f t="shared" si="55"/>
        <v>Gasoline</v>
      </c>
      <c r="M3307" s="194"/>
      <c r="N3307" s="317"/>
      <c r="O3307" s="317"/>
      <c r="P3307" s="317"/>
      <c r="Q3307" s="317"/>
      <c r="R3307" s="317"/>
      <c r="S3307" s="317"/>
      <c r="T3307" s="317"/>
      <c r="U3307" s="317"/>
      <c r="V3307" s="317"/>
      <c r="W3307" s="317"/>
      <c r="X3307" s="317"/>
      <c r="Y3307" s="317"/>
      <c r="Z3307" s="317"/>
    </row>
    <row r="3308" spans="1:26" x14ac:dyDescent="0.25">
      <c r="A3308" s="314"/>
      <c r="B3308" s="18">
        <v>2023</v>
      </c>
      <c r="C3308" s="18" t="s">
        <v>743</v>
      </c>
      <c r="D3308" s="18" t="s">
        <v>1539</v>
      </c>
      <c r="E3308" s="18" t="s">
        <v>703</v>
      </c>
      <c r="F3308" s="18" t="s">
        <v>704</v>
      </c>
      <c r="G3308" s="18" t="s">
        <v>678</v>
      </c>
      <c r="H3308" s="18" t="s">
        <v>1230</v>
      </c>
      <c r="I3308" s="315">
        <v>5.0865991496673493</v>
      </c>
      <c r="J3308" s="315">
        <v>3.0410889495771469E-3</v>
      </c>
      <c r="K3308" s="316" t="str">
        <f t="shared" si="54"/>
        <v>Agricultural Equipment</v>
      </c>
      <c r="L3308" s="316" t="str">
        <f t="shared" si="55"/>
        <v>Gasoline</v>
      </c>
      <c r="M3308" s="194"/>
      <c r="N3308" s="317"/>
      <c r="O3308" s="317"/>
      <c r="P3308" s="317"/>
      <c r="Q3308" s="317"/>
      <c r="R3308" s="317"/>
      <c r="S3308" s="317"/>
      <c r="T3308" s="317"/>
      <c r="U3308" s="317"/>
      <c r="V3308" s="317"/>
      <c r="W3308" s="317"/>
      <c r="X3308" s="317"/>
      <c r="Y3308" s="317"/>
      <c r="Z3308" s="317"/>
    </row>
    <row r="3309" spans="1:26" x14ac:dyDescent="0.25">
      <c r="A3309" s="314"/>
      <c r="B3309" s="18">
        <v>2023</v>
      </c>
      <c r="C3309" s="18" t="s">
        <v>754</v>
      </c>
      <c r="D3309" s="18" t="s">
        <v>1281</v>
      </c>
      <c r="E3309" s="18" t="s">
        <v>703</v>
      </c>
      <c r="F3309" s="18" t="s">
        <v>704</v>
      </c>
      <c r="G3309" s="18" t="s">
        <v>674</v>
      </c>
      <c r="H3309" s="18" t="s">
        <v>770</v>
      </c>
      <c r="I3309" s="315">
        <v>5.0831703719852657</v>
      </c>
      <c r="J3309" s="315">
        <v>5.624445269075232E-4</v>
      </c>
      <c r="K3309" s="316" t="str">
        <f t="shared" si="54"/>
        <v>Construction and Mining Equipment</v>
      </c>
      <c r="L3309" s="316" t="str">
        <f t="shared" si="55"/>
        <v>Gasoline</v>
      </c>
      <c r="M3309" s="194"/>
      <c r="N3309" s="317"/>
      <c r="O3309" s="317"/>
      <c r="P3309" s="317"/>
      <c r="Q3309" s="317"/>
      <c r="R3309" s="317"/>
      <c r="S3309" s="317"/>
      <c r="T3309" s="317"/>
      <c r="U3309" s="317"/>
      <c r="V3309" s="317"/>
      <c r="W3309" s="317"/>
      <c r="X3309" s="317"/>
      <c r="Y3309" s="317"/>
      <c r="Z3309" s="317"/>
    </row>
    <row r="3310" spans="1:26" x14ac:dyDescent="0.25">
      <c r="A3310" s="314"/>
      <c r="B3310" s="18">
        <v>2023</v>
      </c>
      <c r="C3310" s="18" t="s">
        <v>701</v>
      </c>
      <c r="D3310" s="18" t="s">
        <v>1580</v>
      </c>
      <c r="E3310" s="18" t="s">
        <v>56</v>
      </c>
      <c r="F3310" s="18" t="s">
        <v>672</v>
      </c>
      <c r="G3310" s="18" t="s">
        <v>674</v>
      </c>
      <c r="H3310" s="18" t="s">
        <v>736</v>
      </c>
      <c r="I3310" s="315">
        <v>5.0737160766225937</v>
      </c>
      <c r="J3310" s="315">
        <v>2.3307531631971669E-4</v>
      </c>
      <c r="K3310" s="316" t="str">
        <f t="shared" si="54"/>
        <v>Construction and Mining Equipment</v>
      </c>
      <c r="L3310" s="316" t="str">
        <f t="shared" si="55"/>
        <v>LPG</v>
      </c>
      <c r="M3310" s="194"/>
      <c r="N3310" s="317"/>
      <c r="O3310" s="317"/>
      <c r="P3310" s="317"/>
      <c r="Q3310" s="317"/>
      <c r="R3310" s="317"/>
      <c r="S3310" s="317"/>
      <c r="T3310" s="317"/>
      <c r="U3310" s="317"/>
      <c r="V3310" s="317"/>
      <c r="W3310" s="317"/>
      <c r="X3310" s="317"/>
      <c r="Y3310" s="317"/>
      <c r="Z3310" s="317"/>
    </row>
    <row r="3311" spans="1:26" ht="12.75" x14ac:dyDescent="0.2">
      <c r="A3311" s="230"/>
      <c r="B3311" s="18">
        <v>2023</v>
      </c>
      <c r="C3311" s="18" t="s">
        <v>701</v>
      </c>
      <c r="D3311" s="18" t="s">
        <v>1440</v>
      </c>
      <c r="E3311" s="18" t="s">
        <v>703</v>
      </c>
      <c r="F3311" s="18" t="s">
        <v>704</v>
      </c>
      <c r="G3311" s="18" t="s">
        <v>678</v>
      </c>
      <c r="H3311" s="18" t="s">
        <v>1154</v>
      </c>
      <c r="I3311" s="315">
        <v>5.0691404079372466</v>
      </c>
      <c r="J3311" s="315">
        <v>5.1236647291108192E-4</v>
      </c>
      <c r="K3311" s="316" t="str">
        <f t="shared" si="54"/>
        <v>Agricultural Equipment</v>
      </c>
      <c r="L3311" s="316" t="str">
        <f t="shared" si="55"/>
        <v>Gasoline</v>
      </c>
      <c r="M3311" s="8"/>
      <c r="N3311" s="2"/>
      <c r="O3311" s="2"/>
      <c r="P3311" s="2"/>
      <c r="Q3311" s="2"/>
      <c r="R3311" s="2"/>
      <c r="S3311" s="2"/>
      <c r="T3311" s="2"/>
      <c r="U3311" s="2"/>
      <c r="V3311" s="2"/>
      <c r="W3311" s="2"/>
      <c r="X3311" s="2"/>
      <c r="Y3311" s="2"/>
      <c r="Z3311" s="2"/>
    </row>
    <row r="3312" spans="1:26" ht="12.75" x14ac:dyDescent="0.2">
      <c r="A3312" s="230"/>
      <c r="B3312" s="18">
        <v>2023</v>
      </c>
      <c r="C3312" s="18" t="s">
        <v>750</v>
      </c>
      <c r="D3312" s="18" t="s">
        <v>1227</v>
      </c>
      <c r="E3312" s="18" t="s">
        <v>56</v>
      </c>
      <c r="F3312" s="18" t="s">
        <v>672</v>
      </c>
      <c r="G3312" s="18" t="s">
        <v>674</v>
      </c>
      <c r="H3312" s="18" t="s">
        <v>850</v>
      </c>
      <c r="I3312" s="315">
        <v>5.0536874773227005</v>
      </c>
      <c r="J3312" s="315">
        <v>3.2452751822505642E-4</v>
      </c>
      <c r="K3312" s="316" t="str">
        <f t="shared" si="54"/>
        <v>Construction and Mining Equipment</v>
      </c>
      <c r="L3312" s="316" t="str">
        <f t="shared" si="55"/>
        <v>LPG</v>
      </c>
      <c r="M3312" s="8"/>
      <c r="N3312" s="2"/>
      <c r="O3312" s="2"/>
      <c r="P3312" s="2"/>
      <c r="Q3312" s="2"/>
      <c r="R3312" s="2"/>
      <c r="S3312" s="2"/>
      <c r="T3312" s="2"/>
      <c r="U3312" s="2"/>
      <c r="V3312" s="2"/>
      <c r="W3312" s="2"/>
      <c r="X3312" s="2"/>
      <c r="Y3312" s="2"/>
      <c r="Z3312" s="2"/>
    </row>
    <row r="3313" spans="1:26" ht="12.75" x14ac:dyDescent="0.2">
      <c r="A3313" s="230"/>
      <c r="B3313" s="18">
        <v>2023</v>
      </c>
      <c r="C3313" s="18" t="s">
        <v>792</v>
      </c>
      <c r="D3313" s="18" t="s">
        <v>1051</v>
      </c>
      <c r="E3313" s="18" t="s">
        <v>703</v>
      </c>
      <c r="F3313" s="18" t="s">
        <v>704</v>
      </c>
      <c r="G3313" s="18" t="s">
        <v>674</v>
      </c>
      <c r="H3313" s="18" t="s">
        <v>783</v>
      </c>
      <c r="I3313" s="315">
        <v>5.048128294245295</v>
      </c>
      <c r="J3313" s="315">
        <v>3.0987779145742614E-3</v>
      </c>
      <c r="K3313" s="316" t="str">
        <f t="shared" si="54"/>
        <v>Construction and Mining Equipment</v>
      </c>
      <c r="L3313" s="316" t="str">
        <f t="shared" si="55"/>
        <v>Gasoline</v>
      </c>
      <c r="M3313" s="8"/>
      <c r="N3313" s="2"/>
      <c r="O3313" s="2"/>
      <c r="P3313" s="2"/>
      <c r="Q3313" s="2"/>
      <c r="R3313" s="2"/>
      <c r="S3313" s="2"/>
      <c r="T3313" s="2"/>
      <c r="U3313" s="2"/>
      <c r="V3313" s="2"/>
      <c r="W3313" s="2"/>
      <c r="X3313" s="2"/>
      <c r="Y3313" s="2"/>
      <c r="Z3313" s="2"/>
    </row>
    <row r="3314" spans="1:26" ht="12.75" x14ac:dyDescent="0.2">
      <c r="A3314" s="230"/>
      <c r="B3314" s="18">
        <v>2023</v>
      </c>
      <c r="C3314" s="18" t="s">
        <v>778</v>
      </c>
      <c r="D3314" s="18" t="s">
        <v>1360</v>
      </c>
      <c r="E3314" s="18" t="s">
        <v>713</v>
      </c>
      <c r="F3314" s="18" t="s">
        <v>714</v>
      </c>
      <c r="G3314" s="18" t="s">
        <v>674</v>
      </c>
      <c r="H3314" s="18" t="s">
        <v>1220</v>
      </c>
      <c r="I3314" s="315">
        <v>5.0327204585513581</v>
      </c>
      <c r="J3314" s="315">
        <v>2.2387451723353849E-4</v>
      </c>
      <c r="K3314" s="316" t="str">
        <f t="shared" si="54"/>
        <v>Construction and Mining Equipment</v>
      </c>
      <c r="L3314" s="316" t="str">
        <f t="shared" si="55"/>
        <v>Diesel</v>
      </c>
      <c r="M3314" s="8"/>
      <c r="N3314" s="2"/>
      <c r="O3314" s="2"/>
      <c r="P3314" s="2"/>
      <c r="Q3314" s="2"/>
      <c r="R3314" s="2"/>
      <c r="S3314" s="2"/>
      <c r="T3314" s="2"/>
      <c r="U3314" s="2"/>
      <c r="V3314" s="2"/>
      <c r="W3314" s="2"/>
      <c r="X3314" s="2"/>
      <c r="Y3314" s="2"/>
      <c r="Z3314" s="2"/>
    </row>
    <row r="3315" spans="1:26" ht="12.75" x14ac:dyDescent="0.2">
      <c r="A3315" s="230"/>
      <c r="B3315" s="18">
        <v>2023</v>
      </c>
      <c r="C3315" s="18" t="s">
        <v>701</v>
      </c>
      <c r="D3315" s="18" t="s">
        <v>1583</v>
      </c>
      <c r="E3315" s="18" t="s">
        <v>703</v>
      </c>
      <c r="F3315" s="18" t="s">
        <v>805</v>
      </c>
      <c r="G3315" s="18" t="s">
        <v>674</v>
      </c>
      <c r="H3315" s="18" t="s">
        <v>1036</v>
      </c>
      <c r="I3315" s="315">
        <v>5.0072063044337165</v>
      </c>
      <c r="J3315" s="315">
        <v>1.0363119701937503E-2</v>
      </c>
      <c r="K3315" s="316" t="str">
        <f t="shared" si="54"/>
        <v>Construction and Mining Equipment</v>
      </c>
      <c r="L3315" s="316" t="str">
        <f t="shared" si="55"/>
        <v>Gasoline</v>
      </c>
      <c r="M3315" s="8"/>
      <c r="N3315" s="2"/>
      <c r="O3315" s="2"/>
      <c r="P3315" s="2"/>
      <c r="Q3315" s="2"/>
      <c r="R3315" s="2"/>
      <c r="S3315" s="2"/>
      <c r="T3315" s="2"/>
      <c r="U3315" s="2"/>
      <c r="V3315" s="2"/>
      <c r="W3315" s="2"/>
      <c r="X3315" s="2"/>
      <c r="Y3315" s="2"/>
      <c r="Z3315" s="2"/>
    </row>
    <row r="3316" spans="1:26" ht="12.75" x14ac:dyDescent="0.2">
      <c r="A3316" s="230"/>
      <c r="B3316" s="18">
        <v>2023</v>
      </c>
      <c r="C3316" s="18" t="s">
        <v>810</v>
      </c>
      <c r="D3316" s="18" t="s">
        <v>1428</v>
      </c>
      <c r="E3316" s="18" t="s">
        <v>56</v>
      </c>
      <c r="F3316" s="18" t="s">
        <v>601</v>
      </c>
      <c r="G3316" s="18" t="s">
        <v>678</v>
      </c>
      <c r="H3316" s="18" t="s">
        <v>1154</v>
      </c>
      <c r="I3316" s="315">
        <v>4.9986470561178695</v>
      </c>
      <c r="J3316" s="315">
        <v>2.0328718039936106E-2</v>
      </c>
      <c r="K3316" s="316" t="str">
        <f t="shared" si="54"/>
        <v>Agricultural Equipment</v>
      </c>
      <c r="L3316" s="316" t="str">
        <f t="shared" si="55"/>
        <v>CNG</v>
      </c>
      <c r="M3316" s="8"/>
      <c r="N3316" s="2"/>
      <c r="O3316" s="2"/>
      <c r="P3316" s="2"/>
      <c r="Q3316" s="2"/>
      <c r="R3316" s="2"/>
      <c r="S3316" s="2"/>
      <c r="T3316" s="2"/>
      <c r="U3316" s="2"/>
      <c r="V3316" s="2"/>
      <c r="W3316" s="2"/>
      <c r="X3316" s="2"/>
      <c r="Y3316" s="2"/>
      <c r="Z3316" s="2"/>
    </row>
    <row r="3317" spans="1:26" ht="12.75" x14ac:dyDescent="0.2">
      <c r="A3317" s="230"/>
      <c r="B3317" s="18">
        <v>2023</v>
      </c>
      <c r="C3317" s="18" t="s">
        <v>722</v>
      </c>
      <c r="D3317" s="18" t="s">
        <v>1366</v>
      </c>
      <c r="E3317" s="18" t="s">
        <v>703</v>
      </c>
      <c r="F3317" s="18" t="s">
        <v>704</v>
      </c>
      <c r="G3317" s="18" t="s">
        <v>674</v>
      </c>
      <c r="H3317" s="18" t="s">
        <v>791</v>
      </c>
      <c r="I3317" s="315">
        <v>4.9923730845725407</v>
      </c>
      <c r="J3317" s="315">
        <v>1.5635931336538361E-3</v>
      </c>
      <c r="K3317" s="316" t="str">
        <f t="shared" si="54"/>
        <v>Construction and Mining Equipment</v>
      </c>
      <c r="L3317" s="316" t="str">
        <f t="shared" si="55"/>
        <v>Gasoline</v>
      </c>
      <c r="M3317" s="8"/>
      <c r="N3317" s="2"/>
      <c r="O3317" s="2"/>
      <c r="P3317" s="2"/>
      <c r="Q3317" s="2"/>
      <c r="R3317" s="2"/>
      <c r="S3317" s="2"/>
      <c r="T3317" s="2"/>
      <c r="U3317" s="2"/>
      <c r="V3317" s="2"/>
      <c r="W3317" s="2"/>
      <c r="X3317" s="2"/>
      <c r="Y3317" s="2"/>
      <c r="Z3317" s="2"/>
    </row>
    <row r="3318" spans="1:26" ht="12.75" x14ac:dyDescent="0.2">
      <c r="A3318" s="230"/>
      <c r="B3318" s="18">
        <v>2023</v>
      </c>
      <c r="C3318" s="18" t="s">
        <v>731</v>
      </c>
      <c r="D3318" s="18" t="s">
        <v>1035</v>
      </c>
      <c r="E3318" s="18" t="s">
        <v>703</v>
      </c>
      <c r="F3318" s="18" t="s">
        <v>704</v>
      </c>
      <c r="G3318" s="18" t="s">
        <v>674</v>
      </c>
      <c r="H3318" s="18" t="s">
        <v>1036</v>
      </c>
      <c r="I3318" s="315">
        <v>4.9766502381243205</v>
      </c>
      <c r="J3318" s="315">
        <v>3.507398418257735E-3</v>
      </c>
      <c r="K3318" s="316" t="str">
        <f t="shared" si="54"/>
        <v>Construction and Mining Equipment</v>
      </c>
      <c r="L3318" s="316" t="str">
        <f t="shared" si="55"/>
        <v>Gasoline</v>
      </c>
      <c r="M3318" s="8"/>
      <c r="N3318" s="2"/>
      <c r="O3318" s="2"/>
      <c r="P3318" s="2"/>
      <c r="Q3318" s="2"/>
      <c r="R3318" s="2"/>
      <c r="S3318" s="2"/>
      <c r="T3318" s="2"/>
      <c r="U3318" s="2"/>
      <c r="V3318" s="2"/>
      <c r="W3318" s="2"/>
      <c r="X3318" s="2"/>
      <c r="Y3318" s="2"/>
      <c r="Z3318" s="2"/>
    </row>
    <row r="3319" spans="1:26" ht="12.75" x14ac:dyDescent="0.2">
      <c r="A3319" s="230"/>
      <c r="B3319" s="18">
        <v>2023</v>
      </c>
      <c r="C3319" s="18" t="s">
        <v>778</v>
      </c>
      <c r="D3319" s="18" t="s">
        <v>1361</v>
      </c>
      <c r="E3319" s="18" t="s">
        <v>56</v>
      </c>
      <c r="F3319" s="18" t="s">
        <v>672</v>
      </c>
      <c r="G3319" s="18" t="s">
        <v>674</v>
      </c>
      <c r="H3319" s="18" t="s">
        <v>783</v>
      </c>
      <c r="I3319" s="315">
        <v>4.9710399708835764</v>
      </c>
      <c r="J3319" s="315">
        <v>2.2820312041211359E-4</v>
      </c>
      <c r="K3319" s="316" t="str">
        <f t="shared" si="54"/>
        <v>Construction and Mining Equipment</v>
      </c>
      <c r="L3319" s="316" t="str">
        <f t="shared" si="55"/>
        <v>LPG</v>
      </c>
      <c r="M3319" s="8"/>
      <c r="N3319" s="2"/>
      <c r="O3319" s="2"/>
      <c r="P3319" s="2"/>
      <c r="Q3319" s="2"/>
      <c r="R3319" s="2"/>
      <c r="S3319" s="2"/>
      <c r="T3319" s="2"/>
      <c r="U3319" s="2"/>
      <c r="V3319" s="2"/>
      <c r="W3319" s="2"/>
      <c r="X3319" s="2"/>
      <c r="Y3319" s="2"/>
      <c r="Z3319" s="2"/>
    </row>
    <row r="3320" spans="1:26" ht="12.75" x14ac:dyDescent="0.2">
      <c r="A3320" s="230"/>
      <c r="B3320" s="18">
        <v>2023</v>
      </c>
      <c r="C3320" s="18" t="s">
        <v>786</v>
      </c>
      <c r="D3320" s="18" t="s">
        <v>1035</v>
      </c>
      <c r="E3320" s="18" t="s">
        <v>703</v>
      </c>
      <c r="F3320" s="18" t="s">
        <v>704</v>
      </c>
      <c r="G3320" s="18" t="s">
        <v>674</v>
      </c>
      <c r="H3320" s="18" t="s">
        <v>1036</v>
      </c>
      <c r="I3320" s="315">
        <v>4.9427563920037727</v>
      </c>
      <c r="J3320" s="315">
        <v>3.4934629742677126E-3</v>
      </c>
      <c r="K3320" s="316" t="str">
        <f t="shared" si="54"/>
        <v>Construction and Mining Equipment</v>
      </c>
      <c r="L3320" s="316" t="str">
        <f t="shared" si="55"/>
        <v>Gasoline</v>
      </c>
      <c r="M3320" s="8"/>
      <c r="N3320" s="2"/>
      <c r="O3320" s="2"/>
      <c r="P3320" s="2"/>
      <c r="Q3320" s="2"/>
      <c r="R3320" s="2"/>
      <c r="S3320" s="2"/>
      <c r="T3320" s="2"/>
      <c r="U3320" s="2"/>
      <c r="V3320" s="2"/>
      <c r="W3320" s="2"/>
      <c r="X3320" s="2"/>
      <c r="Y3320" s="2"/>
      <c r="Z3320" s="2"/>
    </row>
    <row r="3321" spans="1:26" ht="12.75" x14ac:dyDescent="0.2">
      <c r="A3321" s="230"/>
      <c r="B3321" s="18">
        <v>2023</v>
      </c>
      <c r="C3321" s="18" t="s">
        <v>743</v>
      </c>
      <c r="D3321" s="18" t="s">
        <v>1338</v>
      </c>
      <c r="E3321" s="18" t="s">
        <v>703</v>
      </c>
      <c r="F3321" s="18" t="s">
        <v>805</v>
      </c>
      <c r="G3321" s="18" t="s">
        <v>673</v>
      </c>
      <c r="H3321" s="18" t="s">
        <v>987</v>
      </c>
      <c r="I3321" s="315">
        <v>4.9291385037336441</v>
      </c>
      <c r="J3321" s="315">
        <v>9.0009576605232771E-3</v>
      </c>
      <c r="K3321" s="316" t="str">
        <f t="shared" si="54"/>
        <v>Lawn and Garden Equipment</v>
      </c>
      <c r="L3321" s="316" t="str">
        <f t="shared" si="55"/>
        <v>Gasoline</v>
      </c>
      <c r="M3321" s="8"/>
      <c r="N3321" s="2"/>
      <c r="O3321" s="2"/>
      <c r="P3321" s="2"/>
      <c r="Q3321" s="2"/>
      <c r="R3321" s="2"/>
      <c r="S3321" s="2"/>
      <c r="T3321" s="2"/>
      <c r="U3321" s="2"/>
      <c r="V3321" s="2"/>
      <c r="W3321" s="2"/>
      <c r="X3321" s="2"/>
      <c r="Y3321" s="2"/>
      <c r="Z3321" s="2"/>
    </row>
    <row r="3322" spans="1:26" ht="12.75" x14ac:dyDescent="0.2">
      <c r="A3322" s="230"/>
      <c r="B3322" s="18">
        <v>2023</v>
      </c>
      <c r="C3322" s="18" t="s">
        <v>762</v>
      </c>
      <c r="D3322" s="18" t="s">
        <v>1083</v>
      </c>
      <c r="E3322" s="18" t="s">
        <v>703</v>
      </c>
      <c r="F3322" s="18" t="s">
        <v>704</v>
      </c>
      <c r="G3322" s="18" t="s">
        <v>674</v>
      </c>
      <c r="H3322" s="18" t="s">
        <v>861</v>
      </c>
      <c r="I3322" s="315">
        <v>4.928729519325393</v>
      </c>
      <c r="J3322" s="315">
        <v>3.6999895911489613E-3</v>
      </c>
      <c r="K3322" s="316" t="str">
        <f t="shared" si="54"/>
        <v>Construction and Mining Equipment</v>
      </c>
      <c r="L3322" s="316" t="str">
        <f t="shared" si="55"/>
        <v>Gasoline</v>
      </c>
      <c r="M3322" s="8"/>
      <c r="N3322" s="2"/>
      <c r="O3322" s="2"/>
      <c r="P3322" s="2"/>
      <c r="Q3322" s="2"/>
      <c r="R3322" s="2"/>
      <c r="S3322" s="2"/>
      <c r="T3322" s="2"/>
      <c r="U3322" s="2"/>
      <c r="V3322" s="2"/>
      <c r="W3322" s="2"/>
      <c r="X3322" s="2"/>
      <c r="Y3322" s="2"/>
      <c r="Z3322" s="2"/>
    </row>
    <row r="3323" spans="1:26" ht="12.75" x14ac:dyDescent="0.2">
      <c r="A3323" s="230"/>
      <c r="B3323" s="18">
        <v>2023</v>
      </c>
      <c r="C3323" s="18" t="s">
        <v>743</v>
      </c>
      <c r="D3323" s="18" t="s">
        <v>1295</v>
      </c>
      <c r="E3323" s="18" t="s">
        <v>703</v>
      </c>
      <c r="F3323" s="18" t="s">
        <v>704</v>
      </c>
      <c r="G3323" s="18" t="s">
        <v>674</v>
      </c>
      <c r="H3323" s="18" t="s">
        <v>859</v>
      </c>
      <c r="I3323" s="315">
        <v>4.9279883845137489</v>
      </c>
      <c r="J3323" s="315">
        <v>1.5968170799915274E-3</v>
      </c>
      <c r="K3323" s="316" t="str">
        <f t="shared" si="54"/>
        <v>Construction and Mining Equipment</v>
      </c>
      <c r="L3323" s="316" t="str">
        <f t="shared" si="55"/>
        <v>Gasoline</v>
      </c>
      <c r="M3323" s="8"/>
      <c r="N3323" s="2"/>
      <c r="O3323" s="2"/>
      <c r="P3323" s="2"/>
      <c r="Q3323" s="2"/>
      <c r="R3323" s="2"/>
      <c r="S3323" s="2"/>
      <c r="T3323" s="2"/>
      <c r="U3323" s="2"/>
      <c r="V3323" s="2"/>
      <c r="W3323" s="2"/>
      <c r="X3323" s="2"/>
      <c r="Y3323" s="2"/>
      <c r="Z3323" s="2"/>
    </row>
    <row r="3324" spans="1:26" ht="12.75" x14ac:dyDescent="0.2">
      <c r="A3324" s="230"/>
      <c r="B3324" s="18">
        <v>2023</v>
      </c>
      <c r="C3324" s="18" t="s">
        <v>732</v>
      </c>
      <c r="D3324" s="18" t="s">
        <v>1224</v>
      </c>
      <c r="E3324" s="18" t="s">
        <v>703</v>
      </c>
      <c r="F3324" s="18" t="s">
        <v>704</v>
      </c>
      <c r="G3324" s="18" t="s">
        <v>681</v>
      </c>
      <c r="H3324" s="18" t="s">
        <v>1225</v>
      </c>
      <c r="I3324" s="315">
        <v>4.9267449009252369</v>
      </c>
      <c r="J3324" s="315">
        <v>3.3531468413989952E-3</v>
      </c>
      <c r="K3324" s="316" t="str">
        <f t="shared" si="54"/>
        <v>Logging Equipment</v>
      </c>
      <c r="L3324" s="316" t="str">
        <f t="shared" si="55"/>
        <v>Gasoline</v>
      </c>
      <c r="M3324" s="8"/>
      <c r="N3324" s="2"/>
      <c r="O3324" s="2"/>
      <c r="P3324" s="2"/>
      <c r="Q3324" s="2"/>
      <c r="R3324" s="2"/>
      <c r="S3324" s="2"/>
      <c r="T3324" s="2"/>
      <c r="U3324" s="2"/>
      <c r="V3324" s="2"/>
      <c r="W3324" s="2"/>
      <c r="X3324" s="2"/>
      <c r="Y3324" s="2"/>
      <c r="Z3324" s="2"/>
    </row>
    <row r="3325" spans="1:26" ht="12.75" x14ac:dyDescent="0.2">
      <c r="A3325" s="230"/>
      <c r="B3325" s="18">
        <v>2023</v>
      </c>
      <c r="C3325" s="18" t="s">
        <v>773</v>
      </c>
      <c r="D3325" s="18" t="s">
        <v>1215</v>
      </c>
      <c r="E3325" s="18" t="s">
        <v>56</v>
      </c>
      <c r="F3325" s="18" t="s">
        <v>672</v>
      </c>
      <c r="G3325" s="18" t="s">
        <v>674</v>
      </c>
      <c r="H3325" s="18" t="s">
        <v>756</v>
      </c>
      <c r="I3325" s="315">
        <v>4.9180043537511038</v>
      </c>
      <c r="J3325" s="315">
        <v>9.0985152735568314E-4</v>
      </c>
      <c r="K3325" s="316" t="str">
        <f t="shared" si="54"/>
        <v>Construction and Mining Equipment</v>
      </c>
      <c r="L3325" s="316" t="str">
        <f t="shared" si="55"/>
        <v>LPG</v>
      </c>
      <c r="M3325" s="8"/>
      <c r="N3325" s="2"/>
      <c r="O3325" s="2"/>
      <c r="P3325" s="2"/>
      <c r="Q3325" s="2"/>
      <c r="R3325" s="2"/>
      <c r="S3325" s="2"/>
      <c r="T3325" s="2"/>
      <c r="U3325" s="2"/>
      <c r="V3325" s="2"/>
      <c r="W3325" s="2"/>
      <c r="X3325" s="2"/>
      <c r="Y3325" s="2"/>
      <c r="Z3325" s="2"/>
    </row>
    <row r="3326" spans="1:26" ht="12.75" x14ac:dyDescent="0.2">
      <c r="A3326" s="230"/>
      <c r="B3326" s="18">
        <v>2023</v>
      </c>
      <c r="C3326" s="18" t="s">
        <v>762</v>
      </c>
      <c r="D3326" s="18" t="s">
        <v>1405</v>
      </c>
      <c r="E3326" s="18" t="s">
        <v>56</v>
      </c>
      <c r="F3326" s="18" t="s">
        <v>1025</v>
      </c>
      <c r="G3326" s="18" t="s">
        <v>679</v>
      </c>
      <c r="H3326" s="18" t="s">
        <v>1406</v>
      </c>
      <c r="I3326" s="315">
        <v>4.9170914144639601</v>
      </c>
      <c r="J3326" s="315">
        <v>1.7008830669104783E-3</v>
      </c>
      <c r="K3326" s="316" t="str">
        <f t="shared" si="54"/>
        <v>Recreational Equipment</v>
      </c>
      <c r="L3326" s="316" t="str">
        <f t="shared" si="55"/>
        <v>LPG</v>
      </c>
      <c r="M3326" s="8"/>
      <c r="N3326" s="2"/>
      <c r="O3326" s="2"/>
      <c r="P3326" s="2"/>
      <c r="Q3326" s="2"/>
      <c r="R3326" s="2"/>
      <c r="S3326" s="2"/>
      <c r="T3326" s="2"/>
      <c r="U3326" s="2"/>
      <c r="V3326" s="2"/>
      <c r="W3326" s="2"/>
      <c r="X3326" s="2"/>
      <c r="Y3326" s="2"/>
      <c r="Z3326" s="2"/>
    </row>
    <row r="3327" spans="1:26" ht="12.75" x14ac:dyDescent="0.2">
      <c r="A3327" s="230"/>
      <c r="B3327" s="18">
        <v>2023</v>
      </c>
      <c r="C3327" s="18" t="s">
        <v>750</v>
      </c>
      <c r="D3327" s="18" t="s">
        <v>1405</v>
      </c>
      <c r="E3327" s="18" t="s">
        <v>56</v>
      </c>
      <c r="F3327" s="18" t="s">
        <v>1025</v>
      </c>
      <c r="G3327" s="18" t="s">
        <v>679</v>
      </c>
      <c r="H3327" s="18" t="s">
        <v>1406</v>
      </c>
      <c r="I3327" s="315">
        <v>4.9170914144639601</v>
      </c>
      <c r="J3327" s="315">
        <v>1.7008830669104783E-3</v>
      </c>
      <c r="K3327" s="316" t="str">
        <f t="shared" si="54"/>
        <v>Recreational Equipment</v>
      </c>
      <c r="L3327" s="316" t="str">
        <f t="shared" si="55"/>
        <v>LPG</v>
      </c>
      <c r="M3327" s="8"/>
      <c r="N3327" s="2"/>
      <c r="O3327" s="2"/>
      <c r="P3327" s="2"/>
      <c r="Q3327" s="2"/>
      <c r="R3327" s="2"/>
      <c r="S3327" s="2"/>
      <c r="T3327" s="2"/>
      <c r="U3327" s="2"/>
      <c r="V3327" s="2"/>
      <c r="W3327" s="2"/>
      <c r="X3327" s="2"/>
      <c r="Y3327" s="2"/>
      <c r="Z3327" s="2"/>
    </row>
    <row r="3328" spans="1:26" ht="12.75" x14ac:dyDescent="0.2">
      <c r="A3328" s="230"/>
      <c r="B3328" s="18">
        <v>2023</v>
      </c>
      <c r="C3328" s="18" t="s">
        <v>778</v>
      </c>
      <c r="D3328" s="18" t="s">
        <v>1362</v>
      </c>
      <c r="E3328" s="18" t="s">
        <v>56</v>
      </c>
      <c r="F3328" s="18" t="s">
        <v>672</v>
      </c>
      <c r="G3328" s="18" t="s">
        <v>674</v>
      </c>
      <c r="H3328" s="18" t="s">
        <v>859</v>
      </c>
      <c r="I3328" s="315">
        <v>4.9117116040257969</v>
      </c>
      <c r="J3328" s="315">
        <v>1.2182094540683247E-3</v>
      </c>
      <c r="K3328" s="316" t="str">
        <f t="shared" si="54"/>
        <v>Construction and Mining Equipment</v>
      </c>
      <c r="L3328" s="316" t="str">
        <f t="shared" si="55"/>
        <v>LPG</v>
      </c>
      <c r="M3328" s="8"/>
      <c r="N3328" s="2"/>
      <c r="O3328" s="2"/>
      <c r="P3328" s="2"/>
      <c r="Q3328" s="2"/>
      <c r="R3328" s="2"/>
      <c r="S3328" s="2"/>
      <c r="T3328" s="2"/>
      <c r="U3328" s="2"/>
      <c r="V3328" s="2"/>
      <c r="W3328" s="2"/>
      <c r="X3328" s="2"/>
      <c r="Y3328" s="2"/>
      <c r="Z3328" s="2"/>
    </row>
    <row r="3329" spans="1:26" ht="12.75" x14ac:dyDescent="0.2">
      <c r="A3329" s="230"/>
      <c r="B3329" s="18">
        <v>2023</v>
      </c>
      <c r="C3329" s="18" t="s">
        <v>787</v>
      </c>
      <c r="D3329" s="18" t="s">
        <v>1460</v>
      </c>
      <c r="E3329" s="18" t="s">
        <v>703</v>
      </c>
      <c r="F3329" s="18" t="s">
        <v>704</v>
      </c>
      <c r="G3329" s="18" t="s">
        <v>678</v>
      </c>
      <c r="H3329" s="18" t="s">
        <v>1080</v>
      </c>
      <c r="I3329" s="315">
        <v>4.9025922852194075</v>
      </c>
      <c r="J3329" s="315">
        <v>2.9870855272513407E-3</v>
      </c>
      <c r="K3329" s="316" t="str">
        <f t="shared" si="54"/>
        <v>Agricultural Equipment</v>
      </c>
      <c r="L3329" s="316" t="str">
        <f t="shared" si="55"/>
        <v>Gasoline</v>
      </c>
      <c r="M3329" s="8"/>
      <c r="N3329" s="2"/>
      <c r="O3329" s="2"/>
      <c r="P3329" s="2"/>
      <c r="Q3329" s="2"/>
      <c r="R3329" s="2"/>
      <c r="S3329" s="2"/>
      <c r="T3329" s="2"/>
      <c r="U3329" s="2"/>
      <c r="V3329" s="2"/>
      <c r="W3329" s="2"/>
      <c r="X3329" s="2"/>
      <c r="Y3329" s="2"/>
      <c r="Z3329" s="2"/>
    </row>
    <row r="3330" spans="1:26" ht="12.75" x14ac:dyDescent="0.2">
      <c r="A3330" s="230"/>
      <c r="B3330" s="18">
        <v>2023</v>
      </c>
      <c r="C3330" s="18" t="s">
        <v>760</v>
      </c>
      <c r="D3330" s="18" t="s">
        <v>1416</v>
      </c>
      <c r="E3330" s="18" t="s">
        <v>56</v>
      </c>
      <c r="F3330" s="18" t="s">
        <v>672</v>
      </c>
      <c r="G3330" s="18" t="s">
        <v>674</v>
      </c>
      <c r="H3330" s="18" t="s">
        <v>861</v>
      </c>
      <c r="I3330" s="315">
        <v>4.8892985250506626</v>
      </c>
      <c r="J3330" s="315">
        <v>3.302543941099698E-3</v>
      </c>
      <c r="K3330" s="316" t="str">
        <f t="shared" si="54"/>
        <v>Construction and Mining Equipment</v>
      </c>
      <c r="L3330" s="316" t="str">
        <f t="shared" si="55"/>
        <v>LPG</v>
      </c>
      <c r="M3330" s="8"/>
      <c r="N3330" s="2"/>
      <c r="O3330" s="2"/>
      <c r="P3330" s="2"/>
      <c r="Q3330" s="2"/>
      <c r="R3330" s="2"/>
      <c r="S3330" s="2"/>
      <c r="T3330" s="2"/>
      <c r="U3330" s="2"/>
      <c r="V3330" s="2"/>
      <c r="W3330" s="2"/>
      <c r="X3330" s="2"/>
      <c r="Y3330" s="2"/>
      <c r="Z3330" s="2"/>
    </row>
    <row r="3331" spans="1:26" ht="12.75" x14ac:dyDescent="0.2">
      <c r="A3331" s="230"/>
      <c r="B3331" s="18">
        <v>2023</v>
      </c>
      <c r="C3331" s="18" t="s">
        <v>754</v>
      </c>
      <c r="D3331" s="18" t="s">
        <v>1349</v>
      </c>
      <c r="E3331" s="18" t="s">
        <v>703</v>
      </c>
      <c r="F3331" s="18" t="s">
        <v>704</v>
      </c>
      <c r="G3331" s="18" t="s">
        <v>673</v>
      </c>
      <c r="H3331" s="18" t="s">
        <v>978</v>
      </c>
      <c r="I3331" s="315">
        <v>4.8531667845914725</v>
      </c>
      <c r="J3331" s="315">
        <v>3.3861458995449322E-3</v>
      </c>
      <c r="K3331" s="316" t="str">
        <f t="shared" si="54"/>
        <v>Lawn and Garden Equipment</v>
      </c>
      <c r="L3331" s="316" t="str">
        <f t="shared" si="55"/>
        <v>Gasoline</v>
      </c>
      <c r="M3331" s="8"/>
      <c r="N3331" s="2"/>
      <c r="O3331" s="2"/>
      <c r="P3331" s="2"/>
      <c r="Q3331" s="2"/>
      <c r="R3331" s="2"/>
      <c r="S3331" s="2"/>
      <c r="T3331" s="2"/>
      <c r="U3331" s="2"/>
      <c r="V3331" s="2"/>
      <c r="W3331" s="2"/>
      <c r="X3331" s="2"/>
      <c r="Y3331" s="2"/>
      <c r="Z3331" s="2"/>
    </row>
    <row r="3332" spans="1:26" ht="12.75" x14ac:dyDescent="0.2">
      <c r="A3332" s="230"/>
      <c r="B3332" s="18">
        <v>2023</v>
      </c>
      <c r="C3332" s="18" t="s">
        <v>753</v>
      </c>
      <c r="D3332" s="18" t="s">
        <v>1394</v>
      </c>
      <c r="E3332" s="18" t="s">
        <v>703</v>
      </c>
      <c r="F3332" s="18" t="s">
        <v>805</v>
      </c>
      <c r="G3332" s="18" t="s">
        <v>681</v>
      </c>
      <c r="H3332" s="18" t="s">
        <v>1395</v>
      </c>
      <c r="I3332" s="315">
        <v>4.843575294529626</v>
      </c>
      <c r="J3332" s="315">
        <v>8.3896271247783979E-3</v>
      </c>
      <c r="K3332" s="316" t="str">
        <f t="shared" si="54"/>
        <v>Logging Equipment</v>
      </c>
      <c r="L3332" s="316" t="str">
        <f t="shared" si="55"/>
        <v>Gasoline</v>
      </c>
      <c r="M3332" s="8"/>
      <c r="N3332" s="2"/>
      <c r="O3332" s="2"/>
      <c r="P3332" s="2"/>
      <c r="Q3332" s="2"/>
      <c r="R3332" s="2"/>
      <c r="S3332" s="2"/>
      <c r="T3332" s="2"/>
      <c r="U3332" s="2"/>
      <c r="V3332" s="2"/>
      <c r="W3332" s="2"/>
      <c r="X3332" s="2"/>
      <c r="Y3332" s="2"/>
      <c r="Z3332" s="2"/>
    </row>
    <row r="3333" spans="1:26" ht="12.75" x14ac:dyDescent="0.2">
      <c r="A3333" s="230"/>
      <c r="B3333" s="18">
        <v>2023</v>
      </c>
      <c r="C3333" s="18" t="s">
        <v>759</v>
      </c>
      <c r="D3333" s="18" t="s">
        <v>1003</v>
      </c>
      <c r="E3333" s="18" t="s">
        <v>703</v>
      </c>
      <c r="F3333" s="18" t="s">
        <v>805</v>
      </c>
      <c r="G3333" s="18" t="s">
        <v>677</v>
      </c>
      <c r="H3333" s="18" t="s">
        <v>841</v>
      </c>
      <c r="I3333" s="315">
        <v>4.8412493175513172</v>
      </c>
      <c r="J3333" s="315">
        <v>9.3282766950527757E-3</v>
      </c>
      <c r="K3333" s="316" t="str">
        <f t="shared" si="54"/>
        <v>Commercial Equipment</v>
      </c>
      <c r="L3333" s="316" t="str">
        <f t="shared" si="55"/>
        <v>Gasoline</v>
      </c>
      <c r="M3333" s="8"/>
      <c r="N3333" s="2"/>
      <c r="O3333" s="2"/>
      <c r="P3333" s="2"/>
      <c r="Q3333" s="2"/>
      <c r="R3333" s="2"/>
      <c r="S3333" s="2"/>
      <c r="T3333" s="2"/>
      <c r="U3333" s="2"/>
      <c r="V3333" s="2"/>
      <c r="W3333" s="2"/>
      <c r="X3333" s="2"/>
      <c r="Y3333" s="2"/>
      <c r="Z3333" s="2"/>
    </row>
    <row r="3334" spans="1:26" ht="12.75" x14ac:dyDescent="0.2">
      <c r="A3334" s="230"/>
      <c r="B3334" s="18">
        <v>2023</v>
      </c>
      <c r="C3334" s="18" t="s">
        <v>743</v>
      </c>
      <c r="D3334" s="18" t="s">
        <v>1573</v>
      </c>
      <c r="E3334" s="18" t="s">
        <v>703</v>
      </c>
      <c r="F3334" s="18" t="s">
        <v>704</v>
      </c>
      <c r="G3334" s="18" t="s">
        <v>678</v>
      </c>
      <c r="H3334" s="18" t="s">
        <v>764</v>
      </c>
      <c r="I3334" s="315">
        <v>4.8357120450641693</v>
      </c>
      <c r="J3334" s="315">
        <v>9.439800390640612E-4</v>
      </c>
      <c r="K3334" s="316" t="str">
        <f t="shared" si="54"/>
        <v>Agricultural Equipment</v>
      </c>
      <c r="L3334" s="316" t="str">
        <f t="shared" si="55"/>
        <v>Gasoline</v>
      </c>
      <c r="M3334" s="8"/>
      <c r="N3334" s="2"/>
      <c r="O3334" s="2"/>
      <c r="P3334" s="2"/>
      <c r="Q3334" s="2"/>
      <c r="R3334" s="2"/>
      <c r="S3334" s="2"/>
      <c r="T3334" s="2"/>
      <c r="U3334" s="2"/>
      <c r="V3334" s="2"/>
      <c r="W3334" s="2"/>
      <c r="X3334" s="2"/>
      <c r="Y3334" s="2"/>
      <c r="Z3334" s="2"/>
    </row>
    <row r="3335" spans="1:26" ht="12.75" x14ac:dyDescent="0.2">
      <c r="A3335" s="230"/>
      <c r="B3335" s="18">
        <v>2023</v>
      </c>
      <c r="C3335" s="18" t="s">
        <v>787</v>
      </c>
      <c r="D3335" s="18" t="s">
        <v>1017</v>
      </c>
      <c r="E3335" s="18" t="s">
        <v>703</v>
      </c>
      <c r="F3335" s="18" t="s">
        <v>704</v>
      </c>
      <c r="G3335" s="18" t="s">
        <v>673</v>
      </c>
      <c r="H3335" s="18" t="s">
        <v>806</v>
      </c>
      <c r="I3335" s="315">
        <v>4.830211639857847</v>
      </c>
      <c r="J3335" s="315">
        <v>3.4104839250611424E-3</v>
      </c>
      <c r="K3335" s="316" t="str">
        <f t="shared" si="54"/>
        <v>Lawn and Garden Equipment</v>
      </c>
      <c r="L3335" s="316" t="str">
        <f t="shared" si="55"/>
        <v>Gasoline</v>
      </c>
      <c r="M3335" s="8"/>
      <c r="N3335" s="2"/>
      <c r="O3335" s="2"/>
      <c r="P3335" s="2"/>
      <c r="Q3335" s="2"/>
      <c r="R3335" s="2"/>
      <c r="S3335" s="2"/>
      <c r="T3335" s="2"/>
      <c r="U3335" s="2"/>
      <c r="V3335" s="2"/>
      <c r="W3335" s="2"/>
      <c r="X3335" s="2"/>
      <c r="Y3335" s="2"/>
      <c r="Z3335" s="2"/>
    </row>
    <row r="3336" spans="1:26" ht="12.75" x14ac:dyDescent="0.2">
      <c r="A3336" s="230"/>
      <c r="B3336" s="18">
        <v>2023</v>
      </c>
      <c r="C3336" s="18" t="s">
        <v>778</v>
      </c>
      <c r="D3336" s="18" t="s">
        <v>1366</v>
      </c>
      <c r="E3336" s="18" t="s">
        <v>703</v>
      </c>
      <c r="F3336" s="18" t="s">
        <v>704</v>
      </c>
      <c r="G3336" s="18" t="s">
        <v>674</v>
      </c>
      <c r="H3336" s="18" t="s">
        <v>791</v>
      </c>
      <c r="I3336" s="315">
        <v>4.8123727753836905</v>
      </c>
      <c r="J3336" s="315">
        <v>1.5040344753712875E-3</v>
      </c>
      <c r="K3336" s="316" t="str">
        <f t="shared" si="54"/>
        <v>Construction and Mining Equipment</v>
      </c>
      <c r="L3336" s="316" t="str">
        <f t="shared" si="55"/>
        <v>Gasoline</v>
      </c>
      <c r="M3336" s="8"/>
      <c r="N3336" s="2"/>
      <c r="O3336" s="2"/>
      <c r="P3336" s="2"/>
      <c r="Q3336" s="2"/>
      <c r="R3336" s="2"/>
      <c r="S3336" s="2"/>
      <c r="T3336" s="2"/>
      <c r="U3336" s="2"/>
      <c r="V3336" s="2"/>
      <c r="W3336" s="2"/>
      <c r="X3336" s="2"/>
      <c r="Y3336" s="2"/>
      <c r="Z3336" s="2"/>
    </row>
    <row r="3337" spans="1:26" ht="12.75" x14ac:dyDescent="0.2">
      <c r="A3337" s="230"/>
      <c r="B3337" s="18">
        <v>2023</v>
      </c>
      <c r="C3337" s="18" t="s">
        <v>781</v>
      </c>
      <c r="D3337" s="18" t="s">
        <v>1006</v>
      </c>
      <c r="E3337" s="18" t="s">
        <v>703</v>
      </c>
      <c r="F3337" s="18" t="s">
        <v>805</v>
      </c>
      <c r="G3337" s="18" t="s">
        <v>674</v>
      </c>
      <c r="H3337" s="18" t="s">
        <v>967</v>
      </c>
      <c r="I3337" s="315">
        <v>4.804276908628542</v>
      </c>
      <c r="J3337" s="315">
        <v>8.6039019275970258E-3</v>
      </c>
      <c r="K3337" s="316" t="str">
        <f t="shared" si="54"/>
        <v>Construction and Mining Equipment</v>
      </c>
      <c r="L3337" s="316" t="str">
        <f t="shared" si="55"/>
        <v>Gasoline</v>
      </c>
      <c r="M3337" s="8"/>
      <c r="N3337" s="2"/>
      <c r="O3337" s="2"/>
      <c r="P3337" s="2"/>
      <c r="Q3337" s="2"/>
      <c r="R3337" s="2"/>
      <c r="S3337" s="2"/>
      <c r="T3337" s="2"/>
      <c r="U3337" s="2"/>
      <c r="V3337" s="2"/>
      <c r="W3337" s="2"/>
      <c r="X3337" s="2"/>
      <c r="Y3337" s="2"/>
      <c r="Z3337" s="2"/>
    </row>
    <row r="3338" spans="1:26" ht="12.75" x14ac:dyDescent="0.2">
      <c r="A3338" s="230"/>
      <c r="B3338" s="18">
        <v>2023</v>
      </c>
      <c r="C3338" s="18" t="s">
        <v>750</v>
      </c>
      <c r="D3338" s="18" t="s">
        <v>1247</v>
      </c>
      <c r="E3338" s="18" t="s">
        <v>56</v>
      </c>
      <c r="F3338" s="18" t="s">
        <v>672</v>
      </c>
      <c r="G3338" s="18" t="s">
        <v>674</v>
      </c>
      <c r="H3338" s="18" t="s">
        <v>967</v>
      </c>
      <c r="I3338" s="315">
        <v>4.7953467703677832</v>
      </c>
      <c r="J3338" s="315">
        <v>2.2655639101265649E-4</v>
      </c>
      <c r="K3338" s="316" t="str">
        <f t="shared" si="54"/>
        <v>Construction and Mining Equipment</v>
      </c>
      <c r="L3338" s="316" t="str">
        <f t="shared" si="55"/>
        <v>LPG</v>
      </c>
      <c r="M3338" s="8"/>
      <c r="N3338" s="2"/>
      <c r="O3338" s="2"/>
      <c r="P3338" s="2"/>
      <c r="Q3338" s="2"/>
      <c r="R3338" s="2"/>
      <c r="S3338" s="2"/>
      <c r="T3338" s="2"/>
      <c r="U3338" s="2"/>
      <c r="V3338" s="2"/>
      <c r="W3338" s="2"/>
      <c r="X3338" s="2"/>
      <c r="Y3338" s="2"/>
      <c r="Z3338" s="2"/>
    </row>
    <row r="3339" spans="1:26" ht="12.75" x14ac:dyDescent="0.2">
      <c r="A3339" s="230"/>
      <c r="B3339" s="18">
        <v>2023</v>
      </c>
      <c r="C3339" s="18" t="s">
        <v>793</v>
      </c>
      <c r="D3339" s="18" t="s">
        <v>1218</v>
      </c>
      <c r="E3339" s="18" t="s">
        <v>703</v>
      </c>
      <c r="F3339" s="18" t="s">
        <v>704</v>
      </c>
      <c r="G3339" s="18" t="s">
        <v>673</v>
      </c>
      <c r="H3339" s="18" t="s">
        <v>996</v>
      </c>
      <c r="I3339" s="315">
        <v>4.7924505706548191</v>
      </c>
      <c r="J3339" s="315">
        <v>3.3314876659499334E-3</v>
      </c>
      <c r="K3339" s="316" t="str">
        <f t="shared" si="54"/>
        <v>Lawn and Garden Equipment</v>
      </c>
      <c r="L3339" s="316" t="str">
        <f t="shared" si="55"/>
        <v>Gasoline</v>
      </c>
      <c r="M3339" s="8"/>
      <c r="N3339" s="2"/>
      <c r="O3339" s="2"/>
      <c r="P3339" s="2"/>
      <c r="Q3339" s="2"/>
      <c r="R3339" s="2"/>
      <c r="S3339" s="2"/>
      <c r="T3339" s="2"/>
      <c r="U3339" s="2"/>
      <c r="V3339" s="2"/>
      <c r="W3339" s="2"/>
      <c r="X3339" s="2"/>
      <c r="Y3339" s="2"/>
      <c r="Z3339" s="2"/>
    </row>
    <row r="3340" spans="1:26" ht="12.75" x14ac:dyDescent="0.2">
      <c r="A3340" s="230"/>
      <c r="B3340" s="18">
        <v>2023</v>
      </c>
      <c r="C3340" s="18" t="s">
        <v>750</v>
      </c>
      <c r="D3340" s="18" t="s">
        <v>1248</v>
      </c>
      <c r="E3340" s="18" t="s">
        <v>703</v>
      </c>
      <c r="F3340" s="18" t="s">
        <v>704</v>
      </c>
      <c r="G3340" s="18" t="s">
        <v>674</v>
      </c>
      <c r="H3340" s="18" t="s">
        <v>959</v>
      </c>
      <c r="I3340" s="315">
        <v>4.7877681696541421</v>
      </c>
      <c r="J3340" s="315">
        <v>3.1925310313283763E-3</v>
      </c>
      <c r="K3340" s="316" t="str">
        <f t="shared" si="54"/>
        <v>Construction and Mining Equipment</v>
      </c>
      <c r="L3340" s="316" t="str">
        <f t="shared" si="55"/>
        <v>Gasoline</v>
      </c>
      <c r="M3340" s="8"/>
      <c r="N3340" s="2"/>
      <c r="O3340" s="2"/>
      <c r="P3340" s="2"/>
      <c r="Q3340" s="2"/>
      <c r="R3340" s="2"/>
      <c r="S3340" s="2"/>
      <c r="T3340" s="2"/>
      <c r="U3340" s="2"/>
      <c r="V3340" s="2"/>
      <c r="W3340" s="2"/>
      <c r="X3340" s="2"/>
      <c r="Y3340" s="2"/>
      <c r="Z3340" s="2"/>
    </row>
    <row r="3341" spans="1:26" ht="12.75" x14ac:dyDescent="0.2">
      <c r="A3341" s="230"/>
      <c r="B3341" s="18">
        <v>2023</v>
      </c>
      <c r="C3341" s="18" t="s">
        <v>710</v>
      </c>
      <c r="D3341" s="18" t="s">
        <v>1617</v>
      </c>
      <c r="E3341" s="18" t="s">
        <v>703</v>
      </c>
      <c r="F3341" s="18" t="s">
        <v>805</v>
      </c>
      <c r="G3341" s="18" t="s">
        <v>675</v>
      </c>
      <c r="H3341" s="18" t="s">
        <v>802</v>
      </c>
      <c r="I3341" s="315">
        <v>4.7856867195565309</v>
      </c>
      <c r="J3341" s="315">
        <v>1.0693157917717806E-2</v>
      </c>
      <c r="K3341" s="316" t="str">
        <f t="shared" si="54"/>
        <v>Industrial Equipment</v>
      </c>
      <c r="L3341" s="316" t="str">
        <f t="shared" si="55"/>
        <v>Gasoline</v>
      </c>
      <c r="M3341" s="8"/>
      <c r="N3341" s="2"/>
      <c r="O3341" s="2"/>
      <c r="P3341" s="2"/>
      <c r="Q3341" s="2"/>
      <c r="R3341" s="2"/>
      <c r="S3341" s="2"/>
      <c r="T3341" s="2"/>
      <c r="U3341" s="2"/>
      <c r="V3341" s="2"/>
      <c r="W3341" s="2"/>
      <c r="X3341" s="2"/>
      <c r="Y3341" s="2"/>
      <c r="Z3341" s="2"/>
    </row>
    <row r="3342" spans="1:26" ht="12.75" x14ac:dyDescent="0.2">
      <c r="A3342" s="230"/>
      <c r="B3342" s="18">
        <v>2023</v>
      </c>
      <c r="C3342" s="18" t="s">
        <v>773</v>
      </c>
      <c r="D3342" s="18" t="s">
        <v>1024</v>
      </c>
      <c r="E3342" s="18" t="s">
        <v>56</v>
      </c>
      <c r="F3342" s="18" t="s">
        <v>1025</v>
      </c>
      <c r="G3342" s="18" t="s">
        <v>680</v>
      </c>
      <c r="H3342" s="18" t="s">
        <v>1026</v>
      </c>
      <c r="I3342" s="315">
        <v>4.7663375719233327</v>
      </c>
      <c r="J3342" s="315">
        <v>2.1710786554708647E-4</v>
      </c>
      <c r="K3342" s="316" t="str">
        <f t="shared" si="54"/>
        <v>Airport Ground Support Equipment</v>
      </c>
      <c r="L3342" s="316" t="str">
        <f t="shared" si="55"/>
        <v>LPG</v>
      </c>
      <c r="M3342" s="8"/>
      <c r="N3342" s="2"/>
      <c r="O3342" s="2"/>
      <c r="P3342" s="2"/>
      <c r="Q3342" s="2"/>
      <c r="R3342" s="2"/>
      <c r="S3342" s="2"/>
      <c r="T3342" s="2"/>
      <c r="U3342" s="2"/>
      <c r="V3342" s="2"/>
      <c r="W3342" s="2"/>
      <c r="X3342" s="2"/>
      <c r="Y3342" s="2"/>
      <c r="Z3342" s="2"/>
    </row>
    <row r="3343" spans="1:26" ht="12.75" x14ac:dyDescent="0.2">
      <c r="A3343" s="230"/>
      <c r="B3343" s="18">
        <v>2023</v>
      </c>
      <c r="C3343" s="18" t="s">
        <v>750</v>
      </c>
      <c r="D3343" s="18" t="s">
        <v>1016</v>
      </c>
      <c r="E3343" s="18" t="s">
        <v>56</v>
      </c>
      <c r="F3343" s="18" t="s">
        <v>672</v>
      </c>
      <c r="G3343" s="18" t="s">
        <v>675</v>
      </c>
      <c r="H3343" s="18" t="s">
        <v>802</v>
      </c>
      <c r="I3343" s="315">
        <v>4.6973554807031022</v>
      </c>
      <c r="J3343" s="315">
        <v>2.1550498976092045E-4</v>
      </c>
      <c r="K3343" s="316" t="str">
        <f t="shared" si="54"/>
        <v>Industrial Equipment</v>
      </c>
      <c r="L3343" s="316" t="str">
        <f t="shared" si="55"/>
        <v>LPG</v>
      </c>
      <c r="M3343" s="8"/>
      <c r="N3343" s="2"/>
      <c r="O3343" s="2"/>
      <c r="P3343" s="2"/>
      <c r="Q3343" s="2"/>
      <c r="R3343" s="2"/>
      <c r="S3343" s="2"/>
      <c r="T3343" s="2"/>
      <c r="U3343" s="2"/>
      <c r="V3343" s="2"/>
      <c r="W3343" s="2"/>
      <c r="X3343" s="2"/>
      <c r="Y3343" s="2"/>
      <c r="Z3343" s="2"/>
    </row>
    <row r="3344" spans="1:26" ht="12.75" x14ac:dyDescent="0.2">
      <c r="A3344" s="230"/>
      <c r="B3344" s="18">
        <v>2023</v>
      </c>
      <c r="C3344" s="18" t="s">
        <v>754</v>
      </c>
      <c r="D3344" s="18" t="s">
        <v>1403</v>
      </c>
      <c r="E3344" s="18" t="s">
        <v>703</v>
      </c>
      <c r="F3344" s="18" t="s">
        <v>683</v>
      </c>
      <c r="G3344" s="18" t="s">
        <v>1404</v>
      </c>
      <c r="H3344" s="18" t="s">
        <v>1002</v>
      </c>
      <c r="I3344" s="315">
        <v>4.6945070302311711</v>
      </c>
      <c r="J3344" s="315">
        <v>3.0489522506293451E-3</v>
      </c>
      <c r="K3344" s="316" t="str">
        <f t="shared" si="54"/>
        <v>Railroad Equipment</v>
      </c>
      <c r="L3344" s="316" t="str">
        <f t="shared" si="55"/>
        <v>Gasoline</v>
      </c>
      <c r="M3344" s="8"/>
      <c r="N3344" s="2"/>
      <c r="O3344" s="2"/>
      <c r="P3344" s="2"/>
      <c r="Q3344" s="2"/>
      <c r="R3344" s="2"/>
      <c r="S3344" s="2"/>
      <c r="T3344" s="2"/>
      <c r="U3344" s="2"/>
      <c r="V3344" s="2"/>
      <c r="W3344" s="2"/>
      <c r="X3344" s="2"/>
      <c r="Y3344" s="2"/>
      <c r="Z3344" s="2"/>
    </row>
    <row r="3345" spans="1:26" ht="12.75" x14ac:dyDescent="0.2">
      <c r="A3345" s="230"/>
      <c r="B3345" s="18">
        <v>2023</v>
      </c>
      <c r="C3345" s="18" t="s">
        <v>731</v>
      </c>
      <c r="D3345" s="18" t="s">
        <v>1051</v>
      </c>
      <c r="E3345" s="18" t="s">
        <v>703</v>
      </c>
      <c r="F3345" s="18" t="s">
        <v>704</v>
      </c>
      <c r="G3345" s="18" t="s">
        <v>674</v>
      </c>
      <c r="H3345" s="18" t="s">
        <v>783</v>
      </c>
      <c r="I3345" s="315">
        <v>4.6848015047724392</v>
      </c>
      <c r="J3345" s="315">
        <v>2.847586886230948E-3</v>
      </c>
      <c r="K3345" s="316" t="str">
        <f t="shared" si="54"/>
        <v>Construction and Mining Equipment</v>
      </c>
      <c r="L3345" s="316" t="str">
        <f t="shared" si="55"/>
        <v>Gasoline</v>
      </c>
      <c r="M3345" s="8"/>
      <c r="N3345" s="2"/>
      <c r="O3345" s="2"/>
      <c r="P3345" s="2"/>
      <c r="Q3345" s="2"/>
      <c r="R3345" s="2"/>
      <c r="S3345" s="2"/>
      <c r="T3345" s="2"/>
      <c r="U3345" s="2"/>
      <c r="V3345" s="2"/>
      <c r="W3345" s="2"/>
      <c r="X3345" s="2"/>
      <c r="Y3345" s="2"/>
      <c r="Z3345" s="2"/>
    </row>
    <row r="3346" spans="1:26" ht="12.75" x14ac:dyDescent="0.2">
      <c r="A3346" s="230"/>
      <c r="B3346" s="18">
        <v>2023</v>
      </c>
      <c r="C3346" s="18" t="s">
        <v>760</v>
      </c>
      <c r="D3346" s="18" t="s">
        <v>1425</v>
      </c>
      <c r="E3346" s="18" t="s">
        <v>56</v>
      </c>
      <c r="F3346" s="18" t="s">
        <v>672</v>
      </c>
      <c r="G3346" s="18" t="s">
        <v>674</v>
      </c>
      <c r="H3346" s="18" t="s">
        <v>791</v>
      </c>
      <c r="I3346" s="315">
        <v>4.6845699521174007</v>
      </c>
      <c r="J3346" s="315">
        <v>9.0052438282522474E-4</v>
      </c>
      <c r="K3346" s="316" t="str">
        <f t="shared" si="54"/>
        <v>Construction and Mining Equipment</v>
      </c>
      <c r="L3346" s="316" t="str">
        <f t="shared" si="55"/>
        <v>LPG</v>
      </c>
      <c r="M3346" s="8"/>
      <c r="N3346" s="2"/>
      <c r="O3346" s="2"/>
      <c r="P3346" s="2"/>
      <c r="Q3346" s="2"/>
      <c r="R3346" s="2"/>
      <c r="S3346" s="2"/>
      <c r="T3346" s="2"/>
      <c r="U3346" s="2"/>
      <c r="V3346" s="2"/>
      <c r="W3346" s="2"/>
      <c r="X3346" s="2"/>
      <c r="Y3346" s="2"/>
      <c r="Z3346" s="2"/>
    </row>
    <row r="3347" spans="1:26" ht="12.75" x14ac:dyDescent="0.2">
      <c r="A3347" s="230"/>
      <c r="B3347" s="18">
        <v>2023</v>
      </c>
      <c r="C3347" s="18" t="s">
        <v>732</v>
      </c>
      <c r="D3347" s="18" t="s">
        <v>1401</v>
      </c>
      <c r="E3347" s="18" t="s">
        <v>56</v>
      </c>
      <c r="F3347" s="18" t="s">
        <v>601</v>
      </c>
      <c r="G3347" s="18" t="s">
        <v>677</v>
      </c>
      <c r="H3347" s="18" t="s">
        <v>785</v>
      </c>
      <c r="I3347" s="315">
        <v>4.6844011870715763</v>
      </c>
      <c r="J3347" s="315">
        <v>2.0304748677451565E-2</v>
      </c>
      <c r="K3347" s="316" t="str">
        <f t="shared" si="54"/>
        <v>Commercial Equipment</v>
      </c>
      <c r="L3347" s="316" t="str">
        <f t="shared" si="55"/>
        <v>CNG</v>
      </c>
      <c r="M3347" s="8"/>
      <c r="N3347" s="2"/>
      <c r="O3347" s="2"/>
      <c r="P3347" s="2"/>
      <c r="Q3347" s="2"/>
      <c r="R3347" s="2"/>
      <c r="S3347" s="2"/>
      <c r="T3347" s="2"/>
      <c r="U3347" s="2"/>
      <c r="V3347" s="2"/>
      <c r="W3347" s="2"/>
      <c r="X3347" s="2"/>
      <c r="Y3347" s="2"/>
      <c r="Z3347" s="2"/>
    </row>
    <row r="3348" spans="1:26" ht="12.75" x14ac:dyDescent="0.2">
      <c r="A3348" s="230"/>
      <c r="B3348" s="18">
        <v>2023</v>
      </c>
      <c r="C3348" s="18" t="s">
        <v>759</v>
      </c>
      <c r="D3348" s="18" t="s">
        <v>1428</v>
      </c>
      <c r="E3348" s="18" t="s">
        <v>56</v>
      </c>
      <c r="F3348" s="18" t="s">
        <v>601</v>
      </c>
      <c r="G3348" s="18" t="s">
        <v>678</v>
      </c>
      <c r="H3348" s="18" t="s">
        <v>1154</v>
      </c>
      <c r="I3348" s="315">
        <v>4.6831424004363793</v>
      </c>
      <c r="J3348" s="315">
        <v>1.9045583084895998E-2</v>
      </c>
      <c r="K3348" s="316" t="str">
        <f t="shared" si="54"/>
        <v>Agricultural Equipment</v>
      </c>
      <c r="L3348" s="316" t="str">
        <f t="shared" si="55"/>
        <v>CNG</v>
      </c>
      <c r="M3348" s="8"/>
      <c r="N3348" s="2"/>
      <c r="O3348" s="2"/>
      <c r="P3348" s="2"/>
      <c r="Q3348" s="2"/>
      <c r="R3348" s="2"/>
      <c r="S3348" s="2"/>
      <c r="T3348" s="2"/>
      <c r="U3348" s="2"/>
      <c r="V3348" s="2"/>
      <c r="W3348" s="2"/>
      <c r="X3348" s="2"/>
      <c r="Y3348" s="2"/>
      <c r="Z3348" s="2"/>
    </row>
    <row r="3349" spans="1:26" ht="12.75" x14ac:dyDescent="0.2">
      <c r="A3349" s="230"/>
      <c r="B3349" s="18">
        <v>2023</v>
      </c>
      <c r="C3349" s="18" t="s">
        <v>786</v>
      </c>
      <c r="D3349" s="18" t="s">
        <v>1051</v>
      </c>
      <c r="E3349" s="18" t="s">
        <v>703</v>
      </c>
      <c r="F3349" s="18" t="s">
        <v>704</v>
      </c>
      <c r="G3349" s="18" t="s">
        <v>674</v>
      </c>
      <c r="H3349" s="18" t="s">
        <v>783</v>
      </c>
      <c r="I3349" s="315">
        <v>4.6528852966441399</v>
      </c>
      <c r="J3349" s="315">
        <v>2.836275709382587E-3</v>
      </c>
      <c r="K3349" s="316" t="str">
        <f t="shared" si="54"/>
        <v>Construction and Mining Equipment</v>
      </c>
      <c r="L3349" s="316" t="str">
        <f t="shared" si="55"/>
        <v>Gasoline</v>
      </c>
      <c r="M3349" s="8"/>
      <c r="N3349" s="2"/>
      <c r="O3349" s="2"/>
      <c r="P3349" s="2"/>
      <c r="Q3349" s="2"/>
      <c r="R3349" s="2"/>
      <c r="S3349" s="2"/>
      <c r="T3349" s="2"/>
      <c r="U3349" s="2"/>
      <c r="V3349" s="2"/>
      <c r="W3349" s="2"/>
      <c r="X3349" s="2"/>
      <c r="Y3349" s="2"/>
      <c r="Z3349" s="2"/>
    </row>
    <row r="3350" spans="1:26" ht="12.75" x14ac:dyDescent="0.2">
      <c r="A3350" s="230"/>
      <c r="B3350" s="18">
        <v>2023</v>
      </c>
      <c r="C3350" s="18" t="s">
        <v>743</v>
      </c>
      <c r="D3350" s="18" t="s">
        <v>1349</v>
      </c>
      <c r="E3350" s="18" t="s">
        <v>703</v>
      </c>
      <c r="F3350" s="18" t="s">
        <v>704</v>
      </c>
      <c r="G3350" s="18" t="s">
        <v>673</v>
      </c>
      <c r="H3350" s="18" t="s">
        <v>978</v>
      </c>
      <c r="I3350" s="315">
        <v>4.6321621871254521</v>
      </c>
      <c r="J3350" s="315">
        <v>3.2355212858575879E-3</v>
      </c>
      <c r="K3350" s="316" t="str">
        <f t="shared" si="54"/>
        <v>Lawn and Garden Equipment</v>
      </c>
      <c r="L3350" s="316" t="str">
        <f t="shared" si="55"/>
        <v>Gasoline</v>
      </c>
      <c r="M3350" s="8"/>
      <c r="N3350" s="2"/>
      <c r="O3350" s="2"/>
      <c r="P3350" s="2"/>
      <c r="Q3350" s="2"/>
      <c r="R3350" s="2"/>
      <c r="S3350" s="2"/>
      <c r="T3350" s="2"/>
      <c r="U3350" s="2"/>
      <c r="V3350" s="2"/>
      <c r="W3350" s="2"/>
      <c r="X3350" s="2"/>
      <c r="Y3350" s="2"/>
      <c r="Z3350" s="2"/>
    </row>
    <row r="3351" spans="1:26" ht="12.75" x14ac:dyDescent="0.2">
      <c r="A3351" s="230"/>
      <c r="B3351" s="18">
        <v>2023</v>
      </c>
      <c r="C3351" s="18" t="s">
        <v>792</v>
      </c>
      <c r="D3351" s="18" t="s">
        <v>1071</v>
      </c>
      <c r="E3351" s="18" t="s">
        <v>713</v>
      </c>
      <c r="F3351" s="18" t="s">
        <v>714</v>
      </c>
      <c r="G3351" s="18" t="s">
        <v>674</v>
      </c>
      <c r="H3351" s="18" t="s">
        <v>1072</v>
      </c>
      <c r="I3351" s="315">
        <v>4.6132306569680193</v>
      </c>
      <c r="J3351" s="315">
        <v>6.1768076984247816E-5</v>
      </c>
      <c r="K3351" s="316" t="str">
        <f t="shared" si="54"/>
        <v>Construction and Mining Equipment</v>
      </c>
      <c r="L3351" s="316" t="str">
        <f t="shared" si="55"/>
        <v>Diesel</v>
      </c>
      <c r="M3351" s="8"/>
      <c r="N3351" s="2"/>
      <c r="O3351" s="2"/>
      <c r="P3351" s="2"/>
      <c r="Q3351" s="2"/>
      <c r="R3351" s="2"/>
      <c r="S3351" s="2"/>
      <c r="T3351" s="2"/>
      <c r="U3351" s="2"/>
      <c r="V3351" s="2"/>
      <c r="W3351" s="2"/>
      <c r="X3351" s="2"/>
      <c r="Y3351" s="2"/>
      <c r="Z3351" s="2"/>
    </row>
    <row r="3352" spans="1:26" ht="12.75" x14ac:dyDescent="0.2">
      <c r="A3352" s="230"/>
      <c r="B3352" s="18">
        <v>2023</v>
      </c>
      <c r="C3352" s="18" t="s">
        <v>750</v>
      </c>
      <c r="D3352" s="18" t="s">
        <v>1428</v>
      </c>
      <c r="E3352" s="18" t="s">
        <v>56</v>
      </c>
      <c r="F3352" s="18" t="s">
        <v>601</v>
      </c>
      <c r="G3352" s="18" t="s">
        <v>678</v>
      </c>
      <c r="H3352" s="18" t="s">
        <v>1154</v>
      </c>
      <c r="I3352" s="315">
        <v>4.594569684627567</v>
      </c>
      <c r="J3352" s="315">
        <v>1.8685395005462086E-2</v>
      </c>
      <c r="K3352" s="316" t="str">
        <f t="shared" si="54"/>
        <v>Agricultural Equipment</v>
      </c>
      <c r="L3352" s="316" t="str">
        <f t="shared" si="55"/>
        <v>CNG</v>
      </c>
      <c r="M3352" s="8"/>
      <c r="N3352" s="2"/>
      <c r="O3352" s="2"/>
      <c r="P3352" s="2"/>
      <c r="Q3352" s="2"/>
      <c r="R3352" s="2"/>
      <c r="S3352" s="2"/>
      <c r="T3352" s="2"/>
      <c r="U3352" s="2"/>
      <c r="V3352" s="2"/>
      <c r="W3352" s="2"/>
      <c r="X3352" s="2"/>
      <c r="Y3352" s="2"/>
      <c r="Z3352" s="2"/>
    </row>
    <row r="3353" spans="1:26" ht="12.75" x14ac:dyDescent="0.2">
      <c r="A3353" s="230"/>
      <c r="B3353" s="18">
        <v>2023</v>
      </c>
      <c r="C3353" s="18" t="s">
        <v>760</v>
      </c>
      <c r="D3353" s="18" t="s">
        <v>1460</v>
      </c>
      <c r="E3353" s="18" t="s">
        <v>703</v>
      </c>
      <c r="F3353" s="18" t="s">
        <v>704</v>
      </c>
      <c r="G3353" s="18" t="s">
        <v>678</v>
      </c>
      <c r="H3353" s="18" t="s">
        <v>1080</v>
      </c>
      <c r="I3353" s="315">
        <v>4.5926332034034454</v>
      </c>
      <c r="J3353" s="315">
        <v>2.79750668698639E-3</v>
      </c>
      <c r="K3353" s="316" t="str">
        <f t="shared" si="54"/>
        <v>Agricultural Equipment</v>
      </c>
      <c r="L3353" s="316" t="str">
        <f t="shared" si="55"/>
        <v>Gasoline</v>
      </c>
      <c r="M3353" s="8"/>
      <c r="N3353" s="2"/>
      <c r="O3353" s="2"/>
      <c r="P3353" s="2"/>
      <c r="Q3353" s="2"/>
      <c r="R3353" s="2"/>
      <c r="S3353" s="2"/>
      <c r="T3353" s="2"/>
      <c r="U3353" s="2"/>
      <c r="V3353" s="2"/>
      <c r="W3353" s="2"/>
      <c r="X3353" s="2"/>
      <c r="Y3353" s="2"/>
      <c r="Z3353" s="2"/>
    </row>
    <row r="3354" spans="1:26" ht="12.75" x14ac:dyDescent="0.2">
      <c r="A3354" s="230"/>
      <c r="B3354" s="18">
        <v>2023</v>
      </c>
      <c r="C3354" s="18" t="s">
        <v>762</v>
      </c>
      <c r="D3354" s="18" t="s">
        <v>1084</v>
      </c>
      <c r="E3354" s="18" t="s">
        <v>703</v>
      </c>
      <c r="F3354" s="18" t="s">
        <v>704</v>
      </c>
      <c r="G3354" s="18" t="s">
        <v>674</v>
      </c>
      <c r="H3354" s="18" t="s">
        <v>863</v>
      </c>
      <c r="I3354" s="315">
        <v>4.5587409728040891</v>
      </c>
      <c r="J3354" s="315">
        <v>2.6631575424963948E-3</v>
      </c>
      <c r="K3354" s="316" t="str">
        <f t="shared" si="54"/>
        <v>Construction and Mining Equipment</v>
      </c>
      <c r="L3354" s="316" t="str">
        <f t="shared" si="55"/>
        <v>Gasoline</v>
      </c>
      <c r="M3354" s="8"/>
      <c r="N3354" s="2"/>
      <c r="O3354" s="2"/>
      <c r="P3354" s="2"/>
      <c r="Q3354" s="2"/>
      <c r="R3354" s="2"/>
      <c r="S3354" s="2"/>
      <c r="T3354" s="2"/>
      <c r="U3354" s="2"/>
      <c r="V3354" s="2"/>
      <c r="W3354" s="2"/>
      <c r="X3354" s="2"/>
      <c r="Y3354" s="2"/>
      <c r="Z3354" s="2"/>
    </row>
    <row r="3355" spans="1:26" x14ac:dyDescent="0.25">
      <c r="A3355" s="314"/>
      <c r="B3355" s="18">
        <v>2023</v>
      </c>
      <c r="C3355" s="18" t="s">
        <v>759</v>
      </c>
      <c r="D3355" s="18" t="s">
        <v>997</v>
      </c>
      <c r="E3355" s="18" t="s">
        <v>56</v>
      </c>
      <c r="F3355" s="18" t="s">
        <v>672</v>
      </c>
      <c r="G3355" s="18" t="s">
        <v>675</v>
      </c>
      <c r="H3355" s="18" t="s">
        <v>969</v>
      </c>
      <c r="I3355" s="315">
        <v>4.5424620592791625</v>
      </c>
      <c r="J3355" s="315">
        <v>5.6517399197218363E-4</v>
      </c>
      <c r="K3355" s="316" t="str">
        <f t="shared" si="54"/>
        <v>Industrial Equipment</v>
      </c>
      <c r="L3355" s="316" t="str">
        <f t="shared" si="55"/>
        <v>LPG</v>
      </c>
      <c r="M3355" s="194"/>
      <c r="N3355" s="317"/>
      <c r="O3355" s="317"/>
      <c r="P3355" s="317"/>
      <c r="Q3355" s="317"/>
      <c r="R3355" s="317"/>
      <c r="S3355" s="317"/>
      <c r="T3355" s="317"/>
      <c r="U3355" s="317"/>
      <c r="V3355" s="317"/>
      <c r="W3355" s="317"/>
      <c r="X3355" s="317"/>
      <c r="Y3355" s="317"/>
      <c r="Z3355" s="317"/>
    </row>
    <row r="3356" spans="1:26" x14ac:dyDescent="0.25">
      <c r="A3356" s="314"/>
      <c r="B3356" s="18">
        <v>2023</v>
      </c>
      <c r="C3356" s="18" t="s">
        <v>743</v>
      </c>
      <c r="D3356" s="18" t="s">
        <v>1224</v>
      </c>
      <c r="E3356" s="18" t="s">
        <v>703</v>
      </c>
      <c r="F3356" s="18" t="s">
        <v>704</v>
      </c>
      <c r="G3356" s="18" t="s">
        <v>681</v>
      </c>
      <c r="H3356" s="18" t="s">
        <v>1225</v>
      </c>
      <c r="I3356" s="315">
        <v>4.5422892698282222</v>
      </c>
      <c r="J3356" s="315">
        <v>3.094516854541607E-3</v>
      </c>
      <c r="K3356" s="316" t="str">
        <f t="shared" si="54"/>
        <v>Logging Equipment</v>
      </c>
      <c r="L3356" s="316" t="str">
        <f t="shared" si="55"/>
        <v>Gasoline</v>
      </c>
      <c r="M3356" s="194"/>
      <c r="N3356" s="317"/>
      <c r="O3356" s="317"/>
      <c r="P3356" s="317"/>
      <c r="Q3356" s="317"/>
      <c r="R3356" s="317"/>
      <c r="S3356" s="317"/>
      <c r="T3356" s="317"/>
      <c r="U3356" s="317"/>
      <c r="V3356" s="317"/>
      <c r="W3356" s="317"/>
      <c r="X3356" s="317"/>
      <c r="Y3356" s="317"/>
      <c r="Z3356" s="317"/>
    </row>
    <row r="3357" spans="1:26" x14ac:dyDescent="0.25">
      <c r="A3357" s="314"/>
      <c r="B3357" s="18">
        <v>2023</v>
      </c>
      <c r="C3357" s="18" t="s">
        <v>754</v>
      </c>
      <c r="D3357" s="18" t="s">
        <v>1295</v>
      </c>
      <c r="E3357" s="18" t="s">
        <v>703</v>
      </c>
      <c r="F3357" s="18" t="s">
        <v>704</v>
      </c>
      <c r="G3357" s="18" t="s">
        <v>674</v>
      </c>
      <c r="H3357" s="18" t="s">
        <v>859</v>
      </c>
      <c r="I3357" s="315">
        <v>4.5191995509414165</v>
      </c>
      <c r="J3357" s="315">
        <v>1.4627631440339924E-3</v>
      </c>
      <c r="K3357" s="316" t="str">
        <f t="shared" si="54"/>
        <v>Construction and Mining Equipment</v>
      </c>
      <c r="L3357" s="316" t="str">
        <f t="shared" si="55"/>
        <v>Gasoline</v>
      </c>
      <c r="M3357" s="194"/>
      <c r="N3357" s="317"/>
      <c r="O3357" s="317"/>
      <c r="P3357" s="317"/>
      <c r="Q3357" s="317"/>
      <c r="R3357" s="317"/>
      <c r="S3357" s="317"/>
      <c r="T3357" s="317"/>
      <c r="U3357" s="317"/>
      <c r="V3357" s="317"/>
      <c r="W3357" s="317"/>
      <c r="X3357" s="317"/>
      <c r="Y3357" s="317"/>
      <c r="Z3357" s="317"/>
    </row>
    <row r="3358" spans="1:26" x14ac:dyDescent="0.25">
      <c r="A3358" s="314"/>
      <c r="B3358" s="18">
        <v>2023</v>
      </c>
      <c r="C3358" s="18" t="s">
        <v>759</v>
      </c>
      <c r="D3358" s="18" t="s">
        <v>993</v>
      </c>
      <c r="E3358" s="18" t="s">
        <v>703</v>
      </c>
      <c r="F3358" s="18" t="s">
        <v>704</v>
      </c>
      <c r="G3358" s="18" t="s">
        <v>674</v>
      </c>
      <c r="H3358" s="18" t="s">
        <v>994</v>
      </c>
      <c r="I3358" s="315">
        <v>4.5145682437923638</v>
      </c>
      <c r="J3358" s="315">
        <v>3.0001660445234802E-3</v>
      </c>
      <c r="K3358" s="316" t="str">
        <f t="shared" si="54"/>
        <v>Construction and Mining Equipment</v>
      </c>
      <c r="L3358" s="316" t="str">
        <f t="shared" si="55"/>
        <v>Gasoline</v>
      </c>
      <c r="M3358" s="194"/>
      <c r="N3358" s="317"/>
      <c r="O3358" s="317"/>
      <c r="P3358" s="317"/>
      <c r="Q3358" s="317"/>
      <c r="R3358" s="317"/>
      <c r="S3358" s="317"/>
      <c r="T3358" s="317"/>
      <c r="U3358" s="317"/>
      <c r="V3358" s="317"/>
      <c r="W3358" s="317"/>
      <c r="X3358" s="317"/>
      <c r="Y3358" s="317"/>
      <c r="Z3358" s="317"/>
    </row>
    <row r="3359" spans="1:26" x14ac:dyDescent="0.25">
      <c r="A3359" s="314"/>
      <c r="B3359" s="18">
        <v>2023</v>
      </c>
      <c r="C3359" s="18" t="s">
        <v>759</v>
      </c>
      <c r="D3359" s="18" t="s">
        <v>1011</v>
      </c>
      <c r="E3359" s="18" t="s">
        <v>56</v>
      </c>
      <c r="F3359" s="18" t="s">
        <v>672</v>
      </c>
      <c r="G3359" s="18" t="s">
        <v>677</v>
      </c>
      <c r="H3359" s="18" t="s">
        <v>836</v>
      </c>
      <c r="I3359" s="315">
        <v>4.5080846989421506</v>
      </c>
      <c r="J3359" s="315">
        <v>2.395019679190376E-4</v>
      </c>
      <c r="K3359" s="316" t="str">
        <f t="shared" si="54"/>
        <v>Commercial Equipment</v>
      </c>
      <c r="L3359" s="316" t="str">
        <f t="shared" si="55"/>
        <v>LPG</v>
      </c>
      <c r="M3359" s="194"/>
      <c r="N3359" s="317"/>
      <c r="O3359" s="317"/>
      <c r="P3359" s="317"/>
      <c r="Q3359" s="317"/>
      <c r="R3359" s="317"/>
      <c r="S3359" s="317"/>
      <c r="T3359" s="317"/>
      <c r="U3359" s="317"/>
      <c r="V3359" s="317"/>
      <c r="W3359" s="317"/>
      <c r="X3359" s="317"/>
      <c r="Y3359" s="317"/>
      <c r="Z3359" s="317"/>
    </row>
    <row r="3360" spans="1:26" x14ac:dyDescent="0.25">
      <c r="A3360" s="314"/>
      <c r="B3360" s="18">
        <v>2023</v>
      </c>
      <c r="C3360" s="18" t="s">
        <v>773</v>
      </c>
      <c r="D3360" s="18" t="s">
        <v>1320</v>
      </c>
      <c r="E3360" s="18" t="s">
        <v>713</v>
      </c>
      <c r="F3360" s="18" t="s">
        <v>676</v>
      </c>
      <c r="G3360" s="18" t="s">
        <v>79</v>
      </c>
      <c r="H3360" s="18" t="s">
        <v>730</v>
      </c>
      <c r="I3360" s="315">
        <v>4.5042973282356416</v>
      </c>
      <c r="J3360" s="315">
        <v>2.9452123463724513E-4</v>
      </c>
      <c r="K3360" s="316" t="str">
        <f t="shared" si="54"/>
        <v>Pleasure Craft</v>
      </c>
      <c r="L3360" s="316" t="str">
        <f t="shared" si="55"/>
        <v>Diesel</v>
      </c>
      <c r="M3360" s="194"/>
      <c r="N3360" s="317"/>
      <c r="O3360" s="317"/>
      <c r="P3360" s="317"/>
      <c r="Q3360" s="317"/>
      <c r="R3360" s="317"/>
      <c r="S3360" s="317"/>
      <c r="T3360" s="317"/>
      <c r="U3360" s="317"/>
      <c r="V3360" s="317"/>
      <c r="W3360" s="317"/>
      <c r="X3360" s="317"/>
      <c r="Y3360" s="317"/>
      <c r="Z3360" s="317"/>
    </row>
    <row r="3361" spans="1:26" x14ac:dyDescent="0.25">
      <c r="A3361" s="314"/>
      <c r="B3361" s="18">
        <v>2023</v>
      </c>
      <c r="C3361" s="18" t="s">
        <v>760</v>
      </c>
      <c r="D3361" s="18" t="s">
        <v>1401</v>
      </c>
      <c r="E3361" s="18" t="s">
        <v>56</v>
      </c>
      <c r="F3361" s="18" t="s">
        <v>601</v>
      </c>
      <c r="G3361" s="18" t="s">
        <v>677</v>
      </c>
      <c r="H3361" s="18" t="s">
        <v>785</v>
      </c>
      <c r="I3361" s="315">
        <v>4.504233222145305</v>
      </c>
      <c r="J3361" s="315">
        <v>1.9523798052343087E-2</v>
      </c>
      <c r="K3361" s="316" t="str">
        <f t="shared" si="54"/>
        <v>Commercial Equipment</v>
      </c>
      <c r="L3361" s="316" t="str">
        <f t="shared" si="55"/>
        <v>CNG</v>
      </c>
      <c r="M3361" s="194"/>
      <c r="N3361" s="317"/>
      <c r="O3361" s="317"/>
      <c r="P3361" s="317"/>
      <c r="Q3361" s="317"/>
      <c r="R3361" s="317"/>
      <c r="S3361" s="317"/>
      <c r="T3361" s="317"/>
      <c r="U3361" s="317"/>
      <c r="V3361" s="317"/>
      <c r="W3361" s="317"/>
      <c r="X3361" s="317"/>
      <c r="Y3361" s="317"/>
      <c r="Z3361" s="317"/>
    </row>
    <row r="3362" spans="1:26" x14ac:dyDescent="0.25">
      <c r="A3362" s="314"/>
      <c r="B3362" s="18">
        <v>2023</v>
      </c>
      <c r="C3362" s="18" t="s">
        <v>787</v>
      </c>
      <c r="D3362" s="18" t="s">
        <v>1281</v>
      </c>
      <c r="E3362" s="18" t="s">
        <v>703</v>
      </c>
      <c r="F3362" s="18" t="s">
        <v>704</v>
      </c>
      <c r="G3362" s="18" t="s">
        <v>674</v>
      </c>
      <c r="H3362" s="18" t="s">
        <v>770</v>
      </c>
      <c r="I3362" s="315">
        <v>4.4622441029460624</v>
      </c>
      <c r="J3362" s="315">
        <v>4.9315540687032791E-4</v>
      </c>
      <c r="K3362" s="316" t="str">
        <f t="shared" si="54"/>
        <v>Construction and Mining Equipment</v>
      </c>
      <c r="L3362" s="316" t="str">
        <f t="shared" si="55"/>
        <v>Gasoline</v>
      </c>
      <c r="M3362" s="194"/>
      <c r="N3362" s="317"/>
      <c r="O3362" s="317"/>
      <c r="P3362" s="317"/>
      <c r="Q3362" s="317"/>
      <c r="R3362" s="317"/>
      <c r="S3362" s="317"/>
      <c r="T3362" s="317"/>
      <c r="U3362" s="317"/>
      <c r="V3362" s="317"/>
      <c r="W3362" s="317"/>
      <c r="X3362" s="317"/>
      <c r="Y3362" s="317"/>
      <c r="Z3362" s="317"/>
    </row>
    <row r="3363" spans="1:26" x14ac:dyDescent="0.25">
      <c r="A3363" s="314"/>
      <c r="B3363" s="18">
        <v>2023</v>
      </c>
      <c r="C3363" s="18" t="s">
        <v>701</v>
      </c>
      <c r="D3363" s="18" t="s">
        <v>1460</v>
      </c>
      <c r="E3363" s="18" t="s">
        <v>703</v>
      </c>
      <c r="F3363" s="18" t="s">
        <v>704</v>
      </c>
      <c r="G3363" s="18" t="s">
        <v>678</v>
      </c>
      <c r="H3363" s="18" t="s">
        <v>1080</v>
      </c>
      <c r="I3363" s="315">
        <v>4.4616867702028253</v>
      </c>
      <c r="J3363" s="315">
        <v>2.7173729762361696E-3</v>
      </c>
      <c r="K3363" s="316" t="str">
        <f t="shared" ref="K3363:K3617" si="56">IF(F3363="Pleasure Craft","Pleasure Craft",IF(F3363="Railroad Equipment","Railroad Equipment",G3363))</f>
        <v>Agricultural Equipment</v>
      </c>
      <c r="L3363" s="316" t="str">
        <f t="shared" ref="L3363:L3617" si="57">IF(E3363="Non-Road Gasoline","Gasoline",IF(E3363="Non-Road Diesel","Diesel",IF(RIGHT(F3363,3)="LPG","LPG",IF(RIGHT(F3363,3)="CNG","CNG",G3363))))</f>
        <v>Gasoline</v>
      </c>
      <c r="M3363" s="194"/>
      <c r="N3363" s="317"/>
      <c r="O3363" s="317"/>
      <c r="P3363" s="317"/>
      <c r="Q3363" s="317"/>
      <c r="R3363" s="317"/>
      <c r="S3363" s="317"/>
      <c r="T3363" s="317"/>
      <c r="U3363" s="317"/>
      <c r="V3363" s="317"/>
      <c r="W3363" s="317"/>
      <c r="X3363" s="317"/>
      <c r="Y3363" s="317"/>
      <c r="Z3363" s="317"/>
    </row>
    <row r="3364" spans="1:26" x14ac:dyDescent="0.25">
      <c r="A3364" s="314"/>
      <c r="B3364" s="18">
        <v>2023</v>
      </c>
      <c r="C3364" s="18" t="s">
        <v>706</v>
      </c>
      <c r="D3364" s="18" t="s">
        <v>1440</v>
      </c>
      <c r="E3364" s="18" t="s">
        <v>703</v>
      </c>
      <c r="F3364" s="18" t="s">
        <v>704</v>
      </c>
      <c r="G3364" s="18" t="s">
        <v>678</v>
      </c>
      <c r="H3364" s="18" t="s">
        <v>1154</v>
      </c>
      <c r="I3364" s="315">
        <v>4.4187452961480638</v>
      </c>
      <c r="J3364" s="315">
        <v>4.4653878683591485E-4</v>
      </c>
      <c r="K3364" s="316" t="str">
        <f t="shared" si="56"/>
        <v>Agricultural Equipment</v>
      </c>
      <c r="L3364" s="316" t="str">
        <f t="shared" si="57"/>
        <v>Gasoline</v>
      </c>
      <c r="M3364" s="194"/>
      <c r="N3364" s="317"/>
      <c r="O3364" s="317"/>
      <c r="P3364" s="317"/>
      <c r="Q3364" s="317"/>
      <c r="R3364" s="317"/>
      <c r="S3364" s="317"/>
      <c r="T3364" s="317"/>
      <c r="U3364" s="317"/>
      <c r="V3364" s="317"/>
      <c r="W3364" s="317"/>
      <c r="X3364" s="317"/>
      <c r="Y3364" s="317"/>
      <c r="Z3364" s="317"/>
    </row>
    <row r="3365" spans="1:26" x14ac:dyDescent="0.25">
      <c r="A3365" s="314"/>
      <c r="B3365" s="18">
        <v>2023</v>
      </c>
      <c r="C3365" s="18" t="s">
        <v>732</v>
      </c>
      <c r="D3365" s="18" t="s">
        <v>1457</v>
      </c>
      <c r="E3365" s="18" t="s">
        <v>56</v>
      </c>
      <c r="F3365" s="18" t="s">
        <v>601</v>
      </c>
      <c r="G3365" s="18" t="s">
        <v>675</v>
      </c>
      <c r="H3365" s="18" t="s">
        <v>772</v>
      </c>
      <c r="I3365" s="315">
        <v>4.4097182186768205</v>
      </c>
      <c r="J3365" s="315">
        <v>1.7987249907612607E-2</v>
      </c>
      <c r="K3365" s="316" t="str">
        <f t="shared" si="56"/>
        <v>Industrial Equipment</v>
      </c>
      <c r="L3365" s="316" t="str">
        <f t="shared" si="57"/>
        <v>CNG</v>
      </c>
      <c r="M3365" s="194"/>
      <c r="N3365" s="317"/>
      <c r="O3365" s="317"/>
      <c r="P3365" s="317"/>
      <c r="Q3365" s="317"/>
      <c r="R3365" s="317"/>
      <c r="S3365" s="317"/>
      <c r="T3365" s="317"/>
      <c r="U3365" s="317"/>
      <c r="V3365" s="317"/>
      <c r="W3365" s="317"/>
      <c r="X3365" s="317"/>
      <c r="Y3365" s="317"/>
      <c r="Z3365" s="317"/>
    </row>
    <row r="3366" spans="1:26" x14ac:dyDescent="0.25">
      <c r="A3366" s="314"/>
      <c r="B3366" s="18">
        <v>2023</v>
      </c>
      <c r="C3366" s="18" t="s">
        <v>722</v>
      </c>
      <c r="D3366" s="18" t="s">
        <v>1461</v>
      </c>
      <c r="E3366" s="18" t="s">
        <v>703</v>
      </c>
      <c r="F3366" s="18" t="s">
        <v>795</v>
      </c>
      <c r="G3366" s="18" t="s">
        <v>675</v>
      </c>
      <c r="H3366" s="18" t="s">
        <v>1462</v>
      </c>
      <c r="I3366" s="315">
        <v>4.3971261564909447</v>
      </c>
      <c r="J3366" s="315">
        <v>3.5625545109135809E-3</v>
      </c>
      <c r="K3366" s="316" t="str">
        <f t="shared" si="56"/>
        <v>Industrial Equipment</v>
      </c>
      <c r="L3366" s="316" t="str">
        <f t="shared" si="57"/>
        <v>Gasoline</v>
      </c>
      <c r="M3366" s="194"/>
      <c r="N3366" s="317"/>
      <c r="O3366" s="317"/>
      <c r="P3366" s="317"/>
      <c r="Q3366" s="317"/>
      <c r="R3366" s="317"/>
      <c r="S3366" s="317"/>
      <c r="T3366" s="317"/>
      <c r="U3366" s="317"/>
      <c r="V3366" s="317"/>
      <c r="W3366" s="317"/>
      <c r="X3366" s="317"/>
      <c r="Y3366" s="317"/>
      <c r="Z3366" s="317"/>
    </row>
    <row r="3367" spans="1:26" x14ac:dyDescent="0.25">
      <c r="A3367" s="314"/>
      <c r="B3367" s="18">
        <v>2023</v>
      </c>
      <c r="C3367" s="18" t="s">
        <v>743</v>
      </c>
      <c r="D3367" s="18" t="s">
        <v>1461</v>
      </c>
      <c r="E3367" s="18" t="s">
        <v>703</v>
      </c>
      <c r="F3367" s="18" t="s">
        <v>795</v>
      </c>
      <c r="G3367" s="18" t="s">
        <v>675</v>
      </c>
      <c r="H3367" s="18" t="s">
        <v>1462</v>
      </c>
      <c r="I3367" s="315">
        <v>4.3971261564909447</v>
      </c>
      <c r="J3367" s="315">
        <v>3.5751469061594131E-3</v>
      </c>
      <c r="K3367" s="316" t="str">
        <f t="shared" si="56"/>
        <v>Industrial Equipment</v>
      </c>
      <c r="L3367" s="316" t="str">
        <f t="shared" si="57"/>
        <v>Gasoline</v>
      </c>
      <c r="M3367" s="194"/>
      <c r="N3367" s="317"/>
      <c r="O3367" s="317"/>
      <c r="P3367" s="317"/>
      <c r="Q3367" s="317"/>
      <c r="R3367" s="317"/>
      <c r="S3367" s="317"/>
      <c r="T3367" s="317"/>
      <c r="U3367" s="317"/>
      <c r="V3367" s="317"/>
      <c r="W3367" s="317"/>
      <c r="X3367" s="317"/>
      <c r="Y3367" s="317"/>
      <c r="Z3367" s="317"/>
    </row>
    <row r="3368" spans="1:26" x14ac:dyDescent="0.25">
      <c r="A3368" s="314"/>
      <c r="B3368" s="18">
        <v>2023</v>
      </c>
      <c r="C3368" s="18" t="s">
        <v>762</v>
      </c>
      <c r="D3368" s="18" t="s">
        <v>1394</v>
      </c>
      <c r="E3368" s="18" t="s">
        <v>703</v>
      </c>
      <c r="F3368" s="18" t="s">
        <v>805</v>
      </c>
      <c r="G3368" s="18" t="s">
        <v>681</v>
      </c>
      <c r="H3368" s="18" t="s">
        <v>1395</v>
      </c>
      <c r="I3368" s="315">
        <v>4.3817669839660702</v>
      </c>
      <c r="J3368" s="315">
        <v>7.5897339426653559E-3</v>
      </c>
      <c r="K3368" s="316" t="str">
        <f t="shared" si="56"/>
        <v>Logging Equipment</v>
      </c>
      <c r="L3368" s="316" t="str">
        <f t="shared" si="57"/>
        <v>Gasoline</v>
      </c>
      <c r="M3368" s="194"/>
      <c r="N3368" s="317"/>
      <c r="O3368" s="317"/>
      <c r="P3368" s="317"/>
      <c r="Q3368" s="317"/>
      <c r="R3368" s="317"/>
      <c r="S3368" s="317"/>
      <c r="T3368" s="317"/>
      <c r="U3368" s="317"/>
      <c r="V3368" s="317"/>
      <c r="W3368" s="317"/>
      <c r="X3368" s="317"/>
      <c r="Y3368" s="317"/>
      <c r="Z3368" s="317"/>
    </row>
    <row r="3369" spans="1:26" x14ac:dyDescent="0.25">
      <c r="A3369" s="314"/>
      <c r="B3369" s="18">
        <v>2023</v>
      </c>
      <c r="C3369" s="18" t="s">
        <v>760</v>
      </c>
      <c r="D3369" s="18" t="s">
        <v>1407</v>
      </c>
      <c r="E3369" s="18" t="s">
        <v>56</v>
      </c>
      <c r="F3369" s="18" t="s">
        <v>672</v>
      </c>
      <c r="G3369" s="18" t="s">
        <v>675</v>
      </c>
      <c r="H3369" s="18" t="s">
        <v>1078</v>
      </c>
      <c r="I3369" s="315">
        <v>4.3787460664477296</v>
      </c>
      <c r="J3369" s="315">
        <v>3.9343353984921887E-4</v>
      </c>
      <c r="K3369" s="316" t="str">
        <f t="shared" si="56"/>
        <v>Industrial Equipment</v>
      </c>
      <c r="L3369" s="316" t="str">
        <f t="shared" si="57"/>
        <v>LPG</v>
      </c>
      <c r="M3369" s="194"/>
      <c r="N3369" s="317"/>
      <c r="O3369" s="317"/>
      <c r="P3369" s="317"/>
      <c r="Q3369" s="317"/>
      <c r="R3369" s="317"/>
      <c r="S3369" s="317"/>
      <c r="T3369" s="317"/>
      <c r="U3369" s="317"/>
      <c r="V3369" s="317"/>
      <c r="W3369" s="317"/>
      <c r="X3369" s="317"/>
      <c r="Y3369" s="317"/>
      <c r="Z3369" s="317"/>
    </row>
    <row r="3370" spans="1:26" x14ac:dyDescent="0.25">
      <c r="A3370" s="314"/>
      <c r="B3370" s="18">
        <v>2023</v>
      </c>
      <c r="C3370" s="18" t="s">
        <v>793</v>
      </c>
      <c r="D3370" s="18" t="s">
        <v>1278</v>
      </c>
      <c r="E3370" s="18" t="s">
        <v>703</v>
      </c>
      <c r="F3370" s="18" t="s">
        <v>704</v>
      </c>
      <c r="G3370" s="18" t="s">
        <v>678</v>
      </c>
      <c r="H3370" s="18" t="s">
        <v>1279</v>
      </c>
      <c r="I3370" s="315">
        <v>4.376703885383213</v>
      </c>
      <c r="J3370" s="315">
        <v>5.8296891357622017E-3</v>
      </c>
      <c r="K3370" s="316" t="str">
        <f t="shared" si="56"/>
        <v>Agricultural Equipment</v>
      </c>
      <c r="L3370" s="316" t="str">
        <f t="shared" si="57"/>
        <v>Gasoline</v>
      </c>
      <c r="M3370" s="194"/>
      <c r="N3370" s="317"/>
      <c r="O3370" s="317"/>
      <c r="P3370" s="317"/>
      <c r="Q3370" s="317"/>
      <c r="R3370" s="317"/>
      <c r="S3370" s="317"/>
      <c r="T3370" s="317"/>
      <c r="U3370" s="317"/>
      <c r="V3370" s="317"/>
      <c r="W3370" s="317"/>
      <c r="X3370" s="317"/>
      <c r="Y3370" s="317"/>
      <c r="Z3370" s="317"/>
    </row>
    <row r="3371" spans="1:26" x14ac:dyDescent="0.25">
      <c r="A3371" s="314"/>
      <c r="B3371" s="18">
        <v>2023</v>
      </c>
      <c r="C3371" s="18" t="s">
        <v>727</v>
      </c>
      <c r="D3371" s="18" t="s">
        <v>1338</v>
      </c>
      <c r="E3371" s="18" t="s">
        <v>703</v>
      </c>
      <c r="F3371" s="18" t="s">
        <v>805</v>
      </c>
      <c r="G3371" s="18" t="s">
        <v>673</v>
      </c>
      <c r="H3371" s="18" t="s">
        <v>987</v>
      </c>
      <c r="I3371" s="315">
        <v>4.373489831135787</v>
      </c>
      <c r="J3371" s="315">
        <v>7.9863142133264897E-3</v>
      </c>
      <c r="K3371" s="316" t="str">
        <f t="shared" si="56"/>
        <v>Lawn and Garden Equipment</v>
      </c>
      <c r="L3371" s="316" t="str">
        <f t="shared" si="57"/>
        <v>Gasoline</v>
      </c>
      <c r="M3371" s="194"/>
      <c r="N3371" s="317"/>
      <c r="O3371" s="317"/>
      <c r="P3371" s="317"/>
      <c r="Q3371" s="317"/>
      <c r="R3371" s="317"/>
      <c r="S3371" s="317"/>
      <c r="T3371" s="317"/>
      <c r="U3371" s="317"/>
      <c r="V3371" s="317"/>
      <c r="W3371" s="317"/>
      <c r="X3371" s="317"/>
      <c r="Y3371" s="317"/>
      <c r="Z3371" s="317"/>
    </row>
    <row r="3372" spans="1:26" x14ac:dyDescent="0.25">
      <c r="A3372" s="314"/>
      <c r="B3372" s="18">
        <v>2023</v>
      </c>
      <c r="C3372" s="18" t="s">
        <v>731</v>
      </c>
      <c r="D3372" s="18" t="s">
        <v>1228</v>
      </c>
      <c r="E3372" s="18" t="s">
        <v>703</v>
      </c>
      <c r="F3372" s="18" t="s">
        <v>704</v>
      </c>
      <c r="G3372" s="18" t="s">
        <v>675</v>
      </c>
      <c r="H3372" s="18" t="s">
        <v>1078</v>
      </c>
      <c r="I3372" s="315">
        <v>4.3721138570477391</v>
      </c>
      <c r="J3372" s="315">
        <v>1.469753221037706E-3</v>
      </c>
      <c r="K3372" s="316" t="str">
        <f t="shared" si="56"/>
        <v>Industrial Equipment</v>
      </c>
      <c r="L3372" s="316" t="str">
        <f t="shared" si="57"/>
        <v>Gasoline</v>
      </c>
      <c r="M3372" s="194"/>
      <c r="N3372" s="317"/>
      <c r="O3372" s="317"/>
      <c r="P3372" s="317"/>
      <c r="Q3372" s="317"/>
      <c r="R3372" s="317"/>
      <c r="S3372" s="317"/>
      <c r="T3372" s="317"/>
      <c r="U3372" s="317"/>
      <c r="V3372" s="317"/>
      <c r="W3372" s="317"/>
      <c r="X3372" s="317"/>
      <c r="Y3372" s="317"/>
      <c r="Z3372" s="317"/>
    </row>
    <row r="3373" spans="1:26" x14ac:dyDescent="0.25">
      <c r="A3373" s="314"/>
      <c r="B3373" s="18">
        <v>2023</v>
      </c>
      <c r="C3373" s="18" t="s">
        <v>754</v>
      </c>
      <c r="D3373" s="18" t="s">
        <v>1637</v>
      </c>
      <c r="E3373" s="18" t="s">
        <v>703</v>
      </c>
      <c r="F3373" s="18" t="s">
        <v>704</v>
      </c>
      <c r="G3373" s="18" t="s">
        <v>678</v>
      </c>
      <c r="H3373" s="18" t="s">
        <v>1638</v>
      </c>
      <c r="I3373" s="315">
        <v>4.3719983924945502</v>
      </c>
      <c r="J3373" s="315">
        <v>2.6117068483803374E-3</v>
      </c>
      <c r="K3373" s="316" t="str">
        <f t="shared" si="56"/>
        <v>Agricultural Equipment</v>
      </c>
      <c r="L3373" s="316" t="str">
        <f t="shared" si="57"/>
        <v>Gasoline</v>
      </c>
      <c r="M3373" s="194"/>
      <c r="N3373" s="317"/>
      <c r="O3373" s="317"/>
      <c r="P3373" s="317"/>
      <c r="Q3373" s="317"/>
      <c r="R3373" s="317"/>
      <c r="S3373" s="317"/>
      <c r="T3373" s="317"/>
      <c r="U3373" s="317"/>
      <c r="V3373" s="317"/>
      <c r="W3373" s="317"/>
      <c r="X3373" s="317"/>
      <c r="Y3373" s="317"/>
      <c r="Z3373" s="317"/>
    </row>
    <row r="3374" spans="1:26" x14ac:dyDescent="0.25">
      <c r="A3374" s="314"/>
      <c r="B3374" s="18">
        <v>2023</v>
      </c>
      <c r="C3374" s="18" t="s">
        <v>727</v>
      </c>
      <c r="D3374" s="18" t="s">
        <v>1219</v>
      </c>
      <c r="E3374" s="18" t="s">
        <v>703</v>
      </c>
      <c r="F3374" s="18" t="s">
        <v>704</v>
      </c>
      <c r="G3374" s="18" t="s">
        <v>674</v>
      </c>
      <c r="H3374" s="18" t="s">
        <v>1220</v>
      </c>
      <c r="I3374" s="315">
        <v>4.3639747789356687</v>
      </c>
      <c r="J3374" s="315">
        <v>2.9295077355908136E-3</v>
      </c>
      <c r="K3374" s="316" t="str">
        <f t="shared" si="56"/>
        <v>Construction and Mining Equipment</v>
      </c>
      <c r="L3374" s="316" t="str">
        <f t="shared" si="57"/>
        <v>Gasoline</v>
      </c>
      <c r="M3374" s="194"/>
      <c r="N3374" s="317"/>
      <c r="O3374" s="317"/>
      <c r="P3374" s="317"/>
      <c r="Q3374" s="317"/>
      <c r="R3374" s="317"/>
      <c r="S3374" s="317"/>
      <c r="T3374" s="317"/>
      <c r="U3374" s="317"/>
      <c r="V3374" s="317"/>
      <c r="W3374" s="317"/>
      <c r="X3374" s="317"/>
      <c r="Y3374" s="317"/>
      <c r="Z3374" s="317"/>
    </row>
    <row r="3375" spans="1:26" x14ac:dyDescent="0.25">
      <c r="A3375" s="314"/>
      <c r="B3375" s="18">
        <v>2023</v>
      </c>
      <c r="C3375" s="18" t="s">
        <v>711</v>
      </c>
      <c r="D3375" s="18" t="s">
        <v>1588</v>
      </c>
      <c r="E3375" s="18" t="s">
        <v>56</v>
      </c>
      <c r="F3375" s="18" t="s">
        <v>1575</v>
      </c>
      <c r="G3375" s="18" t="s">
        <v>675</v>
      </c>
      <c r="H3375" s="18" t="s">
        <v>1589</v>
      </c>
      <c r="I3375" s="315">
        <v>4.3536471090806987</v>
      </c>
      <c r="J3375" s="315">
        <v>1.8321791876701986E-2</v>
      </c>
      <c r="K3375" s="316" t="str">
        <f t="shared" si="56"/>
        <v>Industrial Equipment</v>
      </c>
      <c r="L3375" s="316" t="str">
        <f t="shared" si="57"/>
        <v>CNG</v>
      </c>
      <c r="M3375" s="194"/>
      <c r="N3375" s="317"/>
      <c r="O3375" s="317"/>
      <c r="P3375" s="317"/>
      <c r="Q3375" s="317"/>
      <c r="R3375" s="317"/>
      <c r="S3375" s="317"/>
      <c r="T3375" s="317"/>
      <c r="U3375" s="317"/>
      <c r="V3375" s="317"/>
      <c r="W3375" s="317"/>
      <c r="X3375" s="317"/>
      <c r="Y3375" s="317"/>
      <c r="Z3375" s="317"/>
    </row>
    <row r="3376" spans="1:26" x14ac:dyDescent="0.25">
      <c r="A3376" s="314"/>
      <c r="B3376" s="18">
        <v>2023</v>
      </c>
      <c r="C3376" s="18" t="s">
        <v>781</v>
      </c>
      <c r="D3376" s="18" t="s">
        <v>1014</v>
      </c>
      <c r="E3376" s="18" t="s">
        <v>713</v>
      </c>
      <c r="F3376" s="18" t="s">
        <v>714</v>
      </c>
      <c r="G3376" s="18" t="s">
        <v>674</v>
      </c>
      <c r="H3376" s="18" t="s">
        <v>994</v>
      </c>
      <c r="I3376" s="315">
        <v>4.3510279544321024</v>
      </c>
      <c r="J3376" s="315">
        <v>5.6676969160830979E-5</v>
      </c>
      <c r="K3376" s="316" t="str">
        <f t="shared" si="56"/>
        <v>Construction and Mining Equipment</v>
      </c>
      <c r="L3376" s="316" t="str">
        <f t="shared" si="57"/>
        <v>Diesel</v>
      </c>
      <c r="M3376" s="194"/>
      <c r="N3376" s="317"/>
      <c r="O3376" s="317"/>
      <c r="P3376" s="317"/>
      <c r="Q3376" s="317"/>
      <c r="R3376" s="317"/>
      <c r="S3376" s="317"/>
      <c r="T3376" s="317"/>
      <c r="U3376" s="317"/>
      <c r="V3376" s="317"/>
      <c r="W3376" s="317"/>
      <c r="X3376" s="317"/>
      <c r="Y3376" s="317"/>
      <c r="Z3376" s="317"/>
    </row>
    <row r="3377" spans="1:26" x14ac:dyDescent="0.25">
      <c r="A3377" s="314"/>
      <c r="B3377" s="18">
        <v>2023</v>
      </c>
      <c r="C3377" s="18" t="s">
        <v>727</v>
      </c>
      <c r="D3377" s="18" t="s">
        <v>1223</v>
      </c>
      <c r="E3377" s="18" t="s">
        <v>713</v>
      </c>
      <c r="F3377" s="18" t="s">
        <v>714</v>
      </c>
      <c r="G3377" s="18" t="s">
        <v>674</v>
      </c>
      <c r="H3377" s="18" t="s">
        <v>1036</v>
      </c>
      <c r="I3377" s="315">
        <v>4.2938422584704883</v>
      </c>
      <c r="J3377" s="315">
        <v>4.1993399596682181E-4</v>
      </c>
      <c r="K3377" s="316" t="str">
        <f t="shared" si="56"/>
        <v>Construction and Mining Equipment</v>
      </c>
      <c r="L3377" s="316" t="str">
        <f t="shared" si="57"/>
        <v>Diesel</v>
      </c>
      <c r="M3377" s="194"/>
      <c r="N3377" s="317"/>
      <c r="O3377" s="317"/>
      <c r="P3377" s="317"/>
      <c r="Q3377" s="317"/>
      <c r="R3377" s="317"/>
      <c r="S3377" s="317"/>
      <c r="T3377" s="317"/>
      <c r="U3377" s="317"/>
      <c r="V3377" s="317"/>
      <c r="W3377" s="317"/>
      <c r="X3377" s="317"/>
      <c r="Y3377" s="317"/>
      <c r="Z3377" s="317"/>
    </row>
    <row r="3378" spans="1:26" x14ac:dyDescent="0.25">
      <c r="A3378" s="314"/>
      <c r="B3378" s="18">
        <v>2023</v>
      </c>
      <c r="C3378" s="18" t="s">
        <v>743</v>
      </c>
      <c r="D3378" s="18" t="s">
        <v>1339</v>
      </c>
      <c r="E3378" s="18" t="s">
        <v>56</v>
      </c>
      <c r="F3378" s="18" t="s">
        <v>672</v>
      </c>
      <c r="G3378" s="18" t="s">
        <v>674</v>
      </c>
      <c r="H3378" s="18" t="s">
        <v>770</v>
      </c>
      <c r="I3378" s="315">
        <v>4.2846907079575729</v>
      </c>
      <c r="J3378" s="315">
        <v>3.1639220504010461E-4</v>
      </c>
      <c r="K3378" s="316" t="str">
        <f t="shared" si="56"/>
        <v>Construction and Mining Equipment</v>
      </c>
      <c r="L3378" s="316" t="str">
        <f t="shared" si="57"/>
        <v>LPG</v>
      </c>
      <c r="M3378" s="194"/>
      <c r="N3378" s="317"/>
      <c r="O3378" s="317"/>
      <c r="P3378" s="317"/>
      <c r="Q3378" s="317"/>
      <c r="R3378" s="317"/>
      <c r="S3378" s="317"/>
      <c r="T3378" s="317"/>
      <c r="U3378" s="317"/>
      <c r="V3378" s="317"/>
      <c r="W3378" s="317"/>
      <c r="X3378" s="317"/>
      <c r="Y3378" s="317"/>
      <c r="Z3378" s="317"/>
    </row>
    <row r="3379" spans="1:26" x14ac:dyDescent="0.25">
      <c r="A3379" s="314"/>
      <c r="B3379" s="18">
        <v>2023</v>
      </c>
      <c r="C3379" s="18" t="s">
        <v>750</v>
      </c>
      <c r="D3379" s="18" t="s">
        <v>1022</v>
      </c>
      <c r="E3379" s="18" t="s">
        <v>703</v>
      </c>
      <c r="F3379" s="18" t="s">
        <v>704</v>
      </c>
      <c r="G3379" s="18" t="s">
        <v>675</v>
      </c>
      <c r="H3379" s="18" t="s">
        <v>772</v>
      </c>
      <c r="I3379" s="315">
        <v>4.2833657050028959</v>
      </c>
      <c r="J3379" s="315">
        <v>3.0129881816294861E-4</v>
      </c>
      <c r="K3379" s="316" t="str">
        <f t="shared" si="56"/>
        <v>Industrial Equipment</v>
      </c>
      <c r="L3379" s="316" t="str">
        <f t="shared" si="57"/>
        <v>Gasoline</v>
      </c>
      <c r="M3379" s="194"/>
      <c r="N3379" s="317"/>
      <c r="O3379" s="317"/>
      <c r="P3379" s="317"/>
      <c r="Q3379" s="317"/>
      <c r="R3379" s="317"/>
      <c r="S3379" s="317"/>
      <c r="T3379" s="317"/>
      <c r="U3379" s="317"/>
      <c r="V3379" s="317"/>
      <c r="W3379" s="317"/>
      <c r="X3379" s="317"/>
      <c r="Y3379" s="317"/>
      <c r="Z3379" s="317"/>
    </row>
    <row r="3380" spans="1:26" x14ac:dyDescent="0.25">
      <c r="A3380" s="314"/>
      <c r="B3380" s="18">
        <v>2023</v>
      </c>
      <c r="C3380" s="18" t="s">
        <v>731</v>
      </c>
      <c r="D3380" s="18" t="s">
        <v>1071</v>
      </c>
      <c r="E3380" s="18" t="s">
        <v>713</v>
      </c>
      <c r="F3380" s="18" t="s">
        <v>714</v>
      </c>
      <c r="G3380" s="18" t="s">
        <v>674</v>
      </c>
      <c r="H3380" s="18" t="s">
        <v>1072</v>
      </c>
      <c r="I3380" s="315">
        <v>4.2811998500454962</v>
      </c>
      <c r="J3380" s="315">
        <v>5.7322433555578352E-5</v>
      </c>
      <c r="K3380" s="316" t="str">
        <f t="shared" si="56"/>
        <v>Construction and Mining Equipment</v>
      </c>
      <c r="L3380" s="316" t="str">
        <f t="shared" si="57"/>
        <v>Diesel</v>
      </c>
      <c r="M3380" s="194"/>
      <c r="N3380" s="317"/>
      <c r="O3380" s="317"/>
      <c r="P3380" s="317"/>
      <c r="Q3380" s="317"/>
      <c r="R3380" s="317"/>
      <c r="S3380" s="317"/>
      <c r="T3380" s="317"/>
      <c r="U3380" s="317"/>
      <c r="V3380" s="317"/>
      <c r="W3380" s="317"/>
      <c r="X3380" s="317"/>
      <c r="Y3380" s="317"/>
      <c r="Z3380" s="317"/>
    </row>
    <row r="3381" spans="1:26" x14ac:dyDescent="0.25">
      <c r="A3381" s="314"/>
      <c r="B3381" s="18">
        <v>2023</v>
      </c>
      <c r="C3381" s="18" t="s">
        <v>706</v>
      </c>
      <c r="D3381" s="18" t="s">
        <v>1654</v>
      </c>
      <c r="E3381" s="18" t="s">
        <v>56</v>
      </c>
      <c r="F3381" s="18" t="s">
        <v>672</v>
      </c>
      <c r="G3381" s="18" t="s">
        <v>674</v>
      </c>
      <c r="H3381" s="18" t="s">
        <v>994</v>
      </c>
      <c r="I3381" s="315">
        <v>4.2770883897888927</v>
      </c>
      <c r="J3381" s="315">
        <v>1.0602509401055934E-3</v>
      </c>
      <c r="K3381" s="316" t="str">
        <f t="shared" si="56"/>
        <v>Construction and Mining Equipment</v>
      </c>
      <c r="L3381" s="316" t="str">
        <f t="shared" si="57"/>
        <v>LPG</v>
      </c>
      <c r="M3381" s="194"/>
      <c r="N3381" s="317"/>
      <c r="O3381" s="317"/>
      <c r="P3381" s="317"/>
      <c r="Q3381" s="317"/>
      <c r="R3381" s="317"/>
      <c r="S3381" s="317"/>
      <c r="T3381" s="317"/>
      <c r="U3381" s="317"/>
      <c r="V3381" s="317"/>
      <c r="W3381" s="317"/>
      <c r="X3381" s="317"/>
      <c r="Y3381" s="317"/>
      <c r="Z3381" s="317"/>
    </row>
    <row r="3382" spans="1:26" x14ac:dyDescent="0.25">
      <c r="A3382" s="314"/>
      <c r="B3382" s="18">
        <v>2023</v>
      </c>
      <c r="C3382" s="18" t="s">
        <v>810</v>
      </c>
      <c r="D3382" s="18" t="s">
        <v>1440</v>
      </c>
      <c r="E3382" s="18" t="s">
        <v>703</v>
      </c>
      <c r="F3382" s="18" t="s">
        <v>704</v>
      </c>
      <c r="G3382" s="18" t="s">
        <v>678</v>
      </c>
      <c r="H3382" s="18" t="s">
        <v>1154</v>
      </c>
      <c r="I3382" s="315">
        <v>4.2627527483016774</v>
      </c>
      <c r="J3382" s="315">
        <v>4.3515977114584809E-4</v>
      </c>
      <c r="K3382" s="316" t="str">
        <f t="shared" si="56"/>
        <v>Agricultural Equipment</v>
      </c>
      <c r="L3382" s="316" t="str">
        <f t="shared" si="57"/>
        <v>Gasoline</v>
      </c>
      <c r="M3382" s="194"/>
      <c r="N3382" s="317"/>
      <c r="O3382" s="317"/>
      <c r="P3382" s="317"/>
      <c r="Q3382" s="317"/>
      <c r="R3382" s="317"/>
      <c r="S3382" s="317"/>
      <c r="T3382" s="317"/>
      <c r="U3382" s="317"/>
      <c r="V3382" s="317"/>
      <c r="W3382" s="317"/>
      <c r="X3382" s="317"/>
      <c r="Y3382" s="317"/>
      <c r="Z3382" s="317"/>
    </row>
    <row r="3383" spans="1:26" x14ac:dyDescent="0.25">
      <c r="A3383" s="314"/>
      <c r="B3383" s="18">
        <v>2023</v>
      </c>
      <c r="C3383" s="18" t="s">
        <v>793</v>
      </c>
      <c r="D3383" s="18" t="s">
        <v>1219</v>
      </c>
      <c r="E3383" s="18" t="s">
        <v>703</v>
      </c>
      <c r="F3383" s="18" t="s">
        <v>704</v>
      </c>
      <c r="G3383" s="18" t="s">
        <v>674</v>
      </c>
      <c r="H3383" s="18" t="s">
        <v>1220</v>
      </c>
      <c r="I3383" s="315">
        <v>4.2608102265676626</v>
      </c>
      <c r="J3383" s="315">
        <v>2.8643136529647468E-3</v>
      </c>
      <c r="K3383" s="316" t="str">
        <f t="shared" si="56"/>
        <v>Construction and Mining Equipment</v>
      </c>
      <c r="L3383" s="316" t="str">
        <f t="shared" si="57"/>
        <v>Gasoline</v>
      </c>
      <c r="M3383" s="194"/>
      <c r="N3383" s="317"/>
      <c r="O3383" s="317"/>
      <c r="P3383" s="317"/>
      <c r="Q3383" s="317"/>
      <c r="R3383" s="317"/>
      <c r="S3383" s="317"/>
      <c r="T3383" s="317"/>
      <c r="U3383" s="317"/>
      <c r="V3383" s="317"/>
      <c r="W3383" s="317"/>
      <c r="X3383" s="317"/>
      <c r="Y3383" s="317"/>
      <c r="Z3383" s="317"/>
    </row>
    <row r="3384" spans="1:26" x14ac:dyDescent="0.25">
      <c r="A3384" s="314"/>
      <c r="B3384" s="18">
        <v>2023</v>
      </c>
      <c r="C3384" s="18" t="s">
        <v>753</v>
      </c>
      <c r="D3384" s="18" t="s">
        <v>1213</v>
      </c>
      <c r="E3384" s="18" t="s">
        <v>56</v>
      </c>
      <c r="F3384" s="18" t="s">
        <v>672</v>
      </c>
      <c r="G3384" s="18" t="s">
        <v>674</v>
      </c>
      <c r="H3384" s="18" t="s">
        <v>715</v>
      </c>
      <c r="I3384" s="315">
        <v>4.2558129402221443</v>
      </c>
      <c r="J3384" s="315">
        <v>1.9327054660500873E-4</v>
      </c>
      <c r="K3384" s="316" t="str">
        <f t="shared" si="56"/>
        <v>Construction and Mining Equipment</v>
      </c>
      <c r="L3384" s="316" t="str">
        <f t="shared" si="57"/>
        <v>LPG</v>
      </c>
      <c r="M3384" s="194"/>
      <c r="N3384" s="317"/>
      <c r="O3384" s="317"/>
      <c r="P3384" s="317"/>
      <c r="Q3384" s="317"/>
      <c r="R3384" s="317"/>
      <c r="S3384" s="317"/>
      <c r="T3384" s="317"/>
      <c r="U3384" s="317"/>
      <c r="V3384" s="317"/>
      <c r="W3384" s="317"/>
      <c r="X3384" s="317"/>
      <c r="Y3384" s="317"/>
      <c r="Z3384" s="317"/>
    </row>
    <row r="3385" spans="1:26" x14ac:dyDescent="0.25">
      <c r="A3385" s="314"/>
      <c r="B3385" s="18">
        <v>2023</v>
      </c>
      <c r="C3385" s="18" t="s">
        <v>793</v>
      </c>
      <c r="D3385" s="18" t="s">
        <v>1075</v>
      </c>
      <c r="E3385" s="18" t="s">
        <v>56</v>
      </c>
      <c r="F3385" s="18" t="s">
        <v>672</v>
      </c>
      <c r="G3385" s="18" t="s">
        <v>675</v>
      </c>
      <c r="H3385" s="18" t="s">
        <v>772</v>
      </c>
      <c r="I3385" s="315">
        <v>4.2523265216966379</v>
      </c>
      <c r="J3385" s="315">
        <v>1.9590336945995833E-4</v>
      </c>
      <c r="K3385" s="316" t="str">
        <f t="shared" si="56"/>
        <v>Industrial Equipment</v>
      </c>
      <c r="L3385" s="316" t="str">
        <f t="shared" si="57"/>
        <v>LPG</v>
      </c>
      <c r="M3385" s="194"/>
      <c r="N3385" s="317"/>
      <c r="O3385" s="317"/>
      <c r="P3385" s="317"/>
      <c r="Q3385" s="317"/>
      <c r="R3385" s="317"/>
      <c r="S3385" s="317"/>
      <c r="T3385" s="317"/>
      <c r="U3385" s="317"/>
      <c r="V3385" s="317"/>
      <c r="W3385" s="317"/>
      <c r="X3385" s="317"/>
      <c r="Y3385" s="317"/>
      <c r="Z3385" s="317"/>
    </row>
    <row r="3386" spans="1:26" x14ac:dyDescent="0.25">
      <c r="A3386" s="314"/>
      <c r="B3386" s="18">
        <v>2023</v>
      </c>
      <c r="C3386" s="18" t="s">
        <v>786</v>
      </c>
      <c r="D3386" s="18" t="s">
        <v>1071</v>
      </c>
      <c r="E3386" s="18" t="s">
        <v>713</v>
      </c>
      <c r="F3386" s="18" t="s">
        <v>714</v>
      </c>
      <c r="G3386" s="18" t="s">
        <v>674</v>
      </c>
      <c r="H3386" s="18" t="s">
        <v>1072</v>
      </c>
      <c r="I3386" s="315">
        <v>4.2520360099188901</v>
      </c>
      <c r="J3386" s="315">
        <v>5.6932084625064893E-5</v>
      </c>
      <c r="K3386" s="316" t="str">
        <f t="shared" si="56"/>
        <v>Construction and Mining Equipment</v>
      </c>
      <c r="L3386" s="316" t="str">
        <f t="shared" si="57"/>
        <v>Diesel</v>
      </c>
      <c r="M3386" s="194"/>
      <c r="N3386" s="317"/>
      <c r="O3386" s="317"/>
      <c r="P3386" s="317"/>
      <c r="Q3386" s="317"/>
      <c r="R3386" s="317"/>
      <c r="S3386" s="317"/>
      <c r="T3386" s="317"/>
      <c r="U3386" s="317"/>
      <c r="V3386" s="317"/>
      <c r="W3386" s="317"/>
      <c r="X3386" s="317"/>
      <c r="Y3386" s="317"/>
      <c r="Z3386" s="317"/>
    </row>
    <row r="3387" spans="1:26" x14ac:dyDescent="0.25">
      <c r="A3387" s="314"/>
      <c r="B3387" s="18">
        <v>2023</v>
      </c>
      <c r="C3387" s="18" t="s">
        <v>792</v>
      </c>
      <c r="D3387" s="18" t="s">
        <v>1073</v>
      </c>
      <c r="E3387" s="18" t="s">
        <v>703</v>
      </c>
      <c r="F3387" s="18" t="s">
        <v>704</v>
      </c>
      <c r="G3387" s="18" t="s">
        <v>674</v>
      </c>
      <c r="H3387" s="18" t="s">
        <v>1072</v>
      </c>
      <c r="I3387" s="315">
        <v>4.241735421506112</v>
      </c>
      <c r="J3387" s="315">
        <v>3.0109348714783789E-3</v>
      </c>
      <c r="K3387" s="316" t="str">
        <f t="shared" si="56"/>
        <v>Construction and Mining Equipment</v>
      </c>
      <c r="L3387" s="316" t="str">
        <f t="shared" si="57"/>
        <v>Gasoline</v>
      </c>
      <c r="M3387" s="194"/>
      <c r="N3387" s="317"/>
      <c r="O3387" s="317"/>
      <c r="P3387" s="317"/>
      <c r="Q3387" s="317"/>
      <c r="R3387" s="317"/>
      <c r="S3387" s="317"/>
      <c r="T3387" s="317"/>
      <c r="U3387" s="317"/>
      <c r="V3387" s="317"/>
      <c r="W3387" s="317"/>
      <c r="X3387" s="317"/>
      <c r="Y3387" s="317"/>
      <c r="Z3387" s="317"/>
    </row>
    <row r="3388" spans="1:26" x14ac:dyDescent="0.25">
      <c r="A3388" s="314"/>
      <c r="B3388" s="18">
        <v>2023</v>
      </c>
      <c r="C3388" s="18" t="s">
        <v>792</v>
      </c>
      <c r="D3388" s="18" t="s">
        <v>1221</v>
      </c>
      <c r="E3388" s="18" t="s">
        <v>713</v>
      </c>
      <c r="F3388" s="18" t="s">
        <v>714</v>
      </c>
      <c r="G3388" s="18" t="s">
        <v>678</v>
      </c>
      <c r="H3388" s="18" t="s">
        <v>1222</v>
      </c>
      <c r="I3388" s="315">
        <v>4.2407531324127339</v>
      </c>
      <c r="J3388" s="315">
        <v>2.8252021409009639E-5</v>
      </c>
      <c r="K3388" s="316" t="str">
        <f t="shared" si="56"/>
        <v>Agricultural Equipment</v>
      </c>
      <c r="L3388" s="316" t="str">
        <f t="shared" si="57"/>
        <v>Diesel</v>
      </c>
      <c r="M3388" s="194"/>
      <c r="N3388" s="317"/>
      <c r="O3388" s="317"/>
      <c r="P3388" s="317"/>
      <c r="Q3388" s="317"/>
      <c r="R3388" s="317"/>
      <c r="S3388" s="317"/>
      <c r="T3388" s="317"/>
      <c r="U3388" s="317"/>
      <c r="V3388" s="317"/>
      <c r="W3388" s="317"/>
      <c r="X3388" s="317"/>
      <c r="Y3388" s="317"/>
      <c r="Z3388" s="317"/>
    </row>
    <row r="3389" spans="1:26" x14ac:dyDescent="0.25">
      <c r="A3389" s="314"/>
      <c r="B3389" s="18">
        <v>2023</v>
      </c>
      <c r="C3389" s="18" t="s">
        <v>778</v>
      </c>
      <c r="D3389" s="18" t="s">
        <v>1338</v>
      </c>
      <c r="E3389" s="18" t="s">
        <v>703</v>
      </c>
      <c r="F3389" s="18" t="s">
        <v>805</v>
      </c>
      <c r="G3389" s="18" t="s">
        <v>673</v>
      </c>
      <c r="H3389" s="18" t="s">
        <v>987</v>
      </c>
      <c r="I3389" s="315">
        <v>4.2340602572720689</v>
      </c>
      <c r="J3389" s="315">
        <v>7.7316939351633933E-3</v>
      </c>
      <c r="K3389" s="316" t="str">
        <f t="shared" si="56"/>
        <v>Lawn and Garden Equipment</v>
      </c>
      <c r="L3389" s="316" t="str">
        <f t="shared" si="57"/>
        <v>Gasoline</v>
      </c>
      <c r="M3389" s="194"/>
      <c r="N3389" s="317"/>
      <c r="O3389" s="317"/>
      <c r="P3389" s="317"/>
      <c r="Q3389" s="317"/>
      <c r="R3389" s="317"/>
      <c r="S3389" s="317"/>
      <c r="T3389" s="317"/>
      <c r="U3389" s="317"/>
      <c r="V3389" s="317"/>
      <c r="W3389" s="317"/>
      <c r="X3389" s="317"/>
      <c r="Y3389" s="317"/>
      <c r="Z3389" s="317"/>
    </row>
    <row r="3390" spans="1:26" x14ac:dyDescent="0.25">
      <c r="A3390" s="314"/>
      <c r="B3390" s="18">
        <v>2023</v>
      </c>
      <c r="C3390" s="18" t="s">
        <v>753</v>
      </c>
      <c r="D3390" s="18" t="s">
        <v>1228</v>
      </c>
      <c r="E3390" s="18" t="s">
        <v>703</v>
      </c>
      <c r="F3390" s="18" t="s">
        <v>704</v>
      </c>
      <c r="G3390" s="18" t="s">
        <v>675</v>
      </c>
      <c r="H3390" s="18" t="s">
        <v>1078</v>
      </c>
      <c r="I3390" s="315">
        <v>4.2308135854015116</v>
      </c>
      <c r="J3390" s="315">
        <v>1.4226298734670529E-3</v>
      </c>
      <c r="K3390" s="316" t="str">
        <f t="shared" si="56"/>
        <v>Industrial Equipment</v>
      </c>
      <c r="L3390" s="316" t="str">
        <f t="shared" si="57"/>
        <v>Gasoline</v>
      </c>
      <c r="M3390" s="194"/>
      <c r="N3390" s="317"/>
      <c r="O3390" s="317"/>
      <c r="P3390" s="317"/>
      <c r="Q3390" s="317"/>
      <c r="R3390" s="317"/>
      <c r="S3390" s="317"/>
      <c r="T3390" s="317"/>
      <c r="U3390" s="317"/>
      <c r="V3390" s="317"/>
      <c r="W3390" s="317"/>
      <c r="X3390" s="317"/>
      <c r="Y3390" s="317"/>
      <c r="Z3390" s="317"/>
    </row>
    <row r="3391" spans="1:26" x14ac:dyDescent="0.25">
      <c r="A3391" s="314"/>
      <c r="B3391" s="18">
        <v>2023</v>
      </c>
      <c r="C3391" s="18" t="s">
        <v>792</v>
      </c>
      <c r="D3391" s="18" t="s">
        <v>1074</v>
      </c>
      <c r="E3391" s="18" t="s">
        <v>713</v>
      </c>
      <c r="F3391" s="18" t="s">
        <v>714</v>
      </c>
      <c r="G3391" s="18" t="s">
        <v>674</v>
      </c>
      <c r="H3391" s="18" t="s">
        <v>967</v>
      </c>
      <c r="I3391" s="315">
        <v>4.2290619842018415</v>
      </c>
      <c r="J3391" s="315">
        <v>7.2674398339880086E-5</v>
      </c>
      <c r="K3391" s="316" t="str">
        <f t="shared" si="56"/>
        <v>Construction and Mining Equipment</v>
      </c>
      <c r="L3391" s="316" t="str">
        <f t="shared" si="57"/>
        <v>Diesel</v>
      </c>
      <c r="M3391" s="194"/>
      <c r="N3391" s="317"/>
      <c r="O3391" s="317"/>
      <c r="P3391" s="317"/>
      <c r="Q3391" s="317"/>
      <c r="R3391" s="317"/>
      <c r="S3391" s="317"/>
      <c r="T3391" s="317"/>
      <c r="U3391" s="317"/>
      <c r="V3391" s="317"/>
      <c r="W3391" s="317"/>
      <c r="X3391" s="317"/>
      <c r="Y3391" s="317"/>
      <c r="Z3391" s="317"/>
    </row>
    <row r="3392" spans="1:26" x14ac:dyDescent="0.25">
      <c r="A3392" s="314"/>
      <c r="B3392" s="18">
        <v>2023</v>
      </c>
      <c r="C3392" s="18" t="s">
        <v>753</v>
      </c>
      <c r="D3392" s="18" t="s">
        <v>1214</v>
      </c>
      <c r="E3392" s="18" t="s">
        <v>713</v>
      </c>
      <c r="F3392" s="18" t="s">
        <v>714</v>
      </c>
      <c r="G3392" s="18" t="s">
        <v>674</v>
      </c>
      <c r="H3392" s="18" t="s">
        <v>999</v>
      </c>
      <c r="I3392" s="315">
        <v>4.2224773701068319</v>
      </c>
      <c r="J3392" s="315">
        <v>1.2500612933173915E-4</v>
      </c>
      <c r="K3392" s="316" t="str">
        <f t="shared" si="56"/>
        <v>Construction and Mining Equipment</v>
      </c>
      <c r="L3392" s="316" t="str">
        <f t="shared" si="57"/>
        <v>Diesel</v>
      </c>
      <c r="M3392" s="194"/>
      <c r="N3392" s="317"/>
      <c r="O3392" s="317"/>
      <c r="P3392" s="317"/>
      <c r="Q3392" s="317"/>
      <c r="R3392" s="317"/>
      <c r="S3392" s="317"/>
      <c r="T3392" s="317"/>
      <c r="U3392" s="317"/>
      <c r="V3392" s="317"/>
      <c r="W3392" s="317"/>
      <c r="X3392" s="317"/>
      <c r="Y3392" s="317"/>
      <c r="Z3392" s="317"/>
    </row>
    <row r="3393" spans="1:26" x14ac:dyDescent="0.25">
      <c r="A3393" s="314"/>
      <c r="B3393" s="18">
        <v>2023</v>
      </c>
      <c r="C3393" s="18" t="s">
        <v>781</v>
      </c>
      <c r="D3393" s="18" t="s">
        <v>1394</v>
      </c>
      <c r="E3393" s="18" t="s">
        <v>703</v>
      </c>
      <c r="F3393" s="18" t="s">
        <v>805</v>
      </c>
      <c r="G3393" s="18" t="s">
        <v>681</v>
      </c>
      <c r="H3393" s="18" t="s">
        <v>1395</v>
      </c>
      <c r="I3393" s="315">
        <v>4.2178977262651456</v>
      </c>
      <c r="J3393" s="315">
        <v>7.3058946923097515E-3</v>
      </c>
      <c r="K3393" s="316" t="str">
        <f t="shared" si="56"/>
        <v>Logging Equipment</v>
      </c>
      <c r="L3393" s="316" t="str">
        <f t="shared" si="57"/>
        <v>Gasoline</v>
      </c>
      <c r="M3393" s="194"/>
      <c r="N3393" s="317"/>
      <c r="O3393" s="317"/>
      <c r="P3393" s="317"/>
      <c r="Q3393" s="317"/>
      <c r="R3393" s="317"/>
      <c r="S3393" s="317"/>
      <c r="T3393" s="317"/>
      <c r="U3393" s="317"/>
      <c r="V3393" s="317"/>
      <c r="W3393" s="317"/>
      <c r="X3393" s="317"/>
      <c r="Y3393" s="317"/>
      <c r="Z3393" s="317"/>
    </row>
    <row r="3394" spans="1:26" x14ac:dyDescent="0.25">
      <c r="A3394" s="314"/>
      <c r="B3394" s="18">
        <v>2023</v>
      </c>
      <c r="C3394" s="18" t="s">
        <v>759</v>
      </c>
      <c r="D3394" s="18" t="s">
        <v>1015</v>
      </c>
      <c r="E3394" s="18" t="s">
        <v>56</v>
      </c>
      <c r="F3394" s="18" t="s">
        <v>601</v>
      </c>
      <c r="G3394" s="18" t="s">
        <v>677</v>
      </c>
      <c r="H3394" s="18" t="s">
        <v>747</v>
      </c>
      <c r="I3394" s="315">
        <v>4.2111945259714272</v>
      </c>
      <c r="J3394" s="315">
        <v>9.4214521186028855E-2</v>
      </c>
      <c r="K3394" s="316" t="str">
        <f t="shared" si="56"/>
        <v>Commercial Equipment</v>
      </c>
      <c r="L3394" s="316" t="str">
        <f t="shared" si="57"/>
        <v>CNG</v>
      </c>
      <c r="M3394" s="194"/>
      <c r="N3394" s="317"/>
      <c r="O3394" s="317"/>
      <c r="P3394" s="317"/>
      <c r="Q3394" s="317"/>
      <c r="R3394" s="317"/>
      <c r="S3394" s="317"/>
      <c r="T3394" s="317"/>
      <c r="U3394" s="317"/>
      <c r="V3394" s="317"/>
      <c r="W3394" s="317"/>
      <c r="X3394" s="317"/>
      <c r="Y3394" s="317"/>
      <c r="Z3394" s="317"/>
    </row>
    <row r="3395" spans="1:26" x14ac:dyDescent="0.25">
      <c r="A3395" s="314"/>
      <c r="B3395" s="18">
        <v>2023</v>
      </c>
      <c r="C3395" s="18" t="s">
        <v>760</v>
      </c>
      <c r="D3395" s="18" t="s">
        <v>1435</v>
      </c>
      <c r="E3395" s="18" t="s">
        <v>56</v>
      </c>
      <c r="F3395" s="18" t="s">
        <v>672</v>
      </c>
      <c r="G3395" s="18" t="s">
        <v>674</v>
      </c>
      <c r="H3395" s="18" t="s">
        <v>863</v>
      </c>
      <c r="I3395" s="315">
        <v>4.203870240533746</v>
      </c>
      <c r="J3395" s="315">
        <v>2.799596600274372E-4</v>
      </c>
      <c r="K3395" s="316" t="str">
        <f t="shared" si="56"/>
        <v>Construction and Mining Equipment</v>
      </c>
      <c r="L3395" s="316" t="str">
        <f t="shared" si="57"/>
        <v>LPG</v>
      </c>
      <c r="M3395" s="194"/>
      <c r="N3395" s="317"/>
      <c r="O3395" s="317"/>
      <c r="P3395" s="317"/>
      <c r="Q3395" s="317"/>
      <c r="R3395" s="317"/>
      <c r="S3395" s="317"/>
      <c r="T3395" s="317"/>
      <c r="U3395" s="317"/>
      <c r="V3395" s="317"/>
      <c r="W3395" s="317"/>
      <c r="X3395" s="317"/>
      <c r="Y3395" s="317"/>
      <c r="Z3395" s="317"/>
    </row>
    <row r="3396" spans="1:26" x14ac:dyDescent="0.25">
      <c r="A3396" s="314"/>
      <c r="B3396" s="18">
        <v>2023</v>
      </c>
      <c r="C3396" s="18" t="s">
        <v>793</v>
      </c>
      <c r="D3396" s="18" t="s">
        <v>1223</v>
      </c>
      <c r="E3396" s="18" t="s">
        <v>713</v>
      </c>
      <c r="F3396" s="18" t="s">
        <v>714</v>
      </c>
      <c r="G3396" s="18" t="s">
        <v>674</v>
      </c>
      <c r="H3396" s="18" t="s">
        <v>1036</v>
      </c>
      <c r="I3396" s="315">
        <v>4.1923367066931769</v>
      </c>
      <c r="J3396" s="315">
        <v>4.1000685298701238E-4</v>
      </c>
      <c r="K3396" s="316" t="str">
        <f t="shared" si="56"/>
        <v>Construction and Mining Equipment</v>
      </c>
      <c r="L3396" s="316" t="str">
        <f t="shared" si="57"/>
        <v>Diesel</v>
      </c>
      <c r="M3396" s="194"/>
      <c r="N3396" s="317"/>
      <c r="O3396" s="317"/>
      <c r="P3396" s="317"/>
      <c r="Q3396" s="317"/>
      <c r="R3396" s="317"/>
      <c r="S3396" s="317"/>
      <c r="T3396" s="317"/>
      <c r="U3396" s="317"/>
      <c r="V3396" s="317"/>
      <c r="W3396" s="317"/>
      <c r="X3396" s="317"/>
      <c r="Y3396" s="317"/>
      <c r="Z3396" s="317"/>
    </row>
    <row r="3397" spans="1:26" x14ac:dyDescent="0.25">
      <c r="A3397" s="314"/>
      <c r="B3397" s="18">
        <v>2023</v>
      </c>
      <c r="C3397" s="18" t="s">
        <v>750</v>
      </c>
      <c r="D3397" s="18" t="s">
        <v>1281</v>
      </c>
      <c r="E3397" s="18" t="s">
        <v>703</v>
      </c>
      <c r="F3397" s="18" t="s">
        <v>704</v>
      </c>
      <c r="G3397" s="18" t="s">
        <v>674</v>
      </c>
      <c r="H3397" s="18" t="s">
        <v>770</v>
      </c>
      <c r="I3397" s="315">
        <v>4.171812174412719</v>
      </c>
      <c r="J3397" s="315">
        <v>4.5902014070938163E-4</v>
      </c>
      <c r="K3397" s="316" t="str">
        <f t="shared" si="56"/>
        <v>Construction and Mining Equipment</v>
      </c>
      <c r="L3397" s="316" t="str">
        <f t="shared" si="57"/>
        <v>Gasoline</v>
      </c>
      <c r="M3397" s="194"/>
      <c r="N3397" s="317"/>
      <c r="O3397" s="317"/>
      <c r="P3397" s="317"/>
      <c r="Q3397" s="317"/>
      <c r="R3397" s="317"/>
      <c r="S3397" s="317"/>
      <c r="T3397" s="317"/>
      <c r="U3397" s="317"/>
      <c r="V3397" s="317"/>
      <c r="W3397" s="317"/>
      <c r="X3397" s="317"/>
      <c r="Y3397" s="317"/>
      <c r="Z3397" s="317"/>
    </row>
    <row r="3398" spans="1:26" x14ac:dyDescent="0.25">
      <c r="A3398" s="314"/>
      <c r="B3398" s="18">
        <v>2023</v>
      </c>
      <c r="C3398" s="18" t="s">
        <v>711</v>
      </c>
      <c r="D3398" s="18" t="s">
        <v>1483</v>
      </c>
      <c r="E3398" s="18" t="s">
        <v>703</v>
      </c>
      <c r="F3398" s="18" t="s">
        <v>805</v>
      </c>
      <c r="G3398" s="18" t="s">
        <v>674</v>
      </c>
      <c r="H3398" s="18" t="s">
        <v>994</v>
      </c>
      <c r="I3398" s="315">
        <v>4.1373024575974178</v>
      </c>
      <c r="J3398" s="315">
        <v>8.6745942474910735E-3</v>
      </c>
      <c r="K3398" s="316" t="str">
        <f t="shared" si="56"/>
        <v>Construction and Mining Equipment</v>
      </c>
      <c r="L3398" s="316" t="str">
        <f t="shared" si="57"/>
        <v>Gasoline</v>
      </c>
      <c r="M3398" s="194"/>
      <c r="N3398" s="317"/>
      <c r="O3398" s="317"/>
      <c r="P3398" s="317"/>
      <c r="Q3398" s="317"/>
      <c r="R3398" s="317"/>
      <c r="S3398" s="317"/>
      <c r="T3398" s="317"/>
      <c r="U3398" s="317"/>
      <c r="V3398" s="317"/>
      <c r="W3398" s="317"/>
      <c r="X3398" s="317"/>
      <c r="Y3398" s="317"/>
      <c r="Z3398" s="317"/>
    </row>
    <row r="3399" spans="1:26" x14ac:dyDescent="0.25">
      <c r="A3399" s="314"/>
      <c r="B3399" s="18">
        <v>2023</v>
      </c>
      <c r="C3399" s="18" t="s">
        <v>743</v>
      </c>
      <c r="D3399" s="18" t="s">
        <v>1457</v>
      </c>
      <c r="E3399" s="18" t="s">
        <v>56</v>
      </c>
      <c r="F3399" s="18" t="s">
        <v>601</v>
      </c>
      <c r="G3399" s="18" t="s">
        <v>675</v>
      </c>
      <c r="H3399" s="18" t="s">
        <v>772</v>
      </c>
      <c r="I3399" s="315">
        <v>4.1153170000576109</v>
      </c>
      <c r="J3399" s="315">
        <v>1.6786431696702867E-2</v>
      </c>
      <c r="K3399" s="316" t="str">
        <f t="shared" si="56"/>
        <v>Industrial Equipment</v>
      </c>
      <c r="L3399" s="316" t="str">
        <f t="shared" si="57"/>
        <v>CNG</v>
      </c>
      <c r="M3399" s="194"/>
      <c r="N3399" s="317"/>
      <c r="O3399" s="317"/>
      <c r="P3399" s="317"/>
      <c r="Q3399" s="317"/>
      <c r="R3399" s="317"/>
      <c r="S3399" s="317"/>
      <c r="T3399" s="317"/>
      <c r="U3399" s="317"/>
      <c r="V3399" s="317"/>
      <c r="W3399" s="317"/>
      <c r="X3399" s="317"/>
      <c r="Y3399" s="317"/>
      <c r="Z3399" s="317"/>
    </row>
    <row r="3400" spans="1:26" x14ac:dyDescent="0.25">
      <c r="A3400" s="314"/>
      <c r="B3400" s="18">
        <v>2023</v>
      </c>
      <c r="C3400" s="18" t="s">
        <v>793</v>
      </c>
      <c r="D3400" s="18" t="s">
        <v>1077</v>
      </c>
      <c r="E3400" s="18" t="s">
        <v>713</v>
      </c>
      <c r="F3400" s="18" t="s">
        <v>714</v>
      </c>
      <c r="G3400" s="18" t="s">
        <v>675</v>
      </c>
      <c r="H3400" s="18" t="s">
        <v>1078</v>
      </c>
      <c r="I3400" s="315">
        <v>4.111505600458135</v>
      </c>
      <c r="J3400" s="315">
        <v>1.0426476513346916E-4</v>
      </c>
      <c r="K3400" s="316" t="str">
        <f t="shared" si="56"/>
        <v>Industrial Equipment</v>
      </c>
      <c r="L3400" s="316" t="str">
        <f t="shared" si="57"/>
        <v>Diesel</v>
      </c>
      <c r="M3400" s="194"/>
      <c r="N3400" s="317"/>
      <c r="O3400" s="317"/>
      <c r="P3400" s="317"/>
      <c r="Q3400" s="317"/>
      <c r="R3400" s="317"/>
      <c r="S3400" s="317"/>
      <c r="T3400" s="317"/>
      <c r="U3400" s="317"/>
      <c r="V3400" s="317"/>
      <c r="W3400" s="317"/>
      <c r="X3400" s="317"/>
      <c r="Y3400" s="317"/>
      <c r="Z3400" s="317"/>
    </row>
    <row r="3401" spans="1:26" x14ac:dyDescent="0.25">
      <c r="A3401" s="314"/>
      <c r="B3401" s="18">
        <v>2023</v>
      </c>
      <c r="C3401" s="18" t="s">
        <v>727</v>
      </c>
      <c r="D3401" s="18" t="s">
        <v>1349</v>
      </c>
      <c r="E3401" s="18" t="s">
        <v>703</v>
      </c>
      <c r="F3401" s="18" t="s">
        <v>704</v>
      </c>
      <c r="G3401" s="18" t="s">
        <v>673</v>
      </c>
      <c r="H3401" s="18" t="s">
        <v>978</v>
      </c>
      <c r="I3401" s="315">
        <v>4.1099897980726476</v>
      </c>
      <c r="J3401" s="315">
        <v>2.8536755271604641E-3</v>
      </c>
      <c r="K3401" s="316" t="str">
        <f t="shared" si="56"/>
        <v>Lawn and Garden Equipment</v>
      </c>
      <c r="L3401" s="316" t="str">
        <f t="shared" si="57"/>
        <v>Gasoline</v>
      </c>
      <c r="M3401" s="194"/>
      <c r="N3401" s="317"/>
      <c r="O3401" s="317"/>
      <c r="P3401" s="317"/>
      <c r="Q3401" s="317"/>
      <c r="R3401" s="317"/>
      <c r="S3401" s="317"/>
      <c r="T3401" s="317"/>
      <c r="U3401" s="317"/>
      <c r="V3401" s="317"/>
      <c r="W3401" s="317"/>
      <c r="X3401" s="317"/>
      <c r="Y3401" s="317"/>
      <c r="Z3401" s="317"/>
    </row>
    <row r="3402" spans="1:26" x14ac:dyDescent="0.25">
      <c r="A3402" s="314"/>
      <c r="B3402" s="18">
        <v>2023</v>
      </c>
      <c r="C3402" s="18" t="s">
        <v>792</v>
      </c>
      <c r="D3402" s="18" t="s">
        <v>1076</v>
      </c>
      <c r="E3402" s="18" t="s">
        <v>703</v>
      </c>
      <c r="F3402" s="18" t="s">
        <v>704</v>
      </c>
      <c r="G3402" s="18" t="s">
        <v>674</v>
      </c>
      <c r="H3402" s="18" t="s">
        <v>756</v>
      </c>
      <c r="I3402" s="315">
        <v>4.0894588871343061</v>
      </c>
      <c r="J3402" s="315">
        <v>1.8075522035417252E-3</v>
      </c>
      <c r="K3402" s="316" t="str">
        <f t="shared" si="56"/>
        <v>Construction and Mining Equipment</v>
      </c>
      <c r="L3402" s="316" t="str">
        <f t="shared" si="57"/>
        <v>Gasoline</v>
      </c>
      <c r="M3402" s="194"/>
      <c r="N3402" s="317"/>
      <c r="O3402" s="317"/>
      <c r="P3402" s="317"/>
      <c r="Q3402" s="317"/>
      <c r="R3402" s="317"/>
      <c r="S3402" s="317"/>
      <c r="T3402" s="317"/>
      <c r="U3402" s="317"/>
      <c r="V3402" s="317"/>
      <c r="W3402" s="317"/>
      <c r="X3402" s="317"/>
      <c r="Y3402" s="317"/>
      <c r="Z3402" s="317"/>
    </row>
    <row r="3403" spans="1:26" x14ac:dyDescent="0.25">
      <c r="A3403" s="314"/>
      <c r="B3403" s="18">
        <v>2023</v>
      </c>
      <c r="C3403" s="18" t="s">
        <v>762</v>
      </c>
      <c r="D3403" s="18" t="s">
        <v>1158</v>
      </c>
      <c r="E3403" s="18" t="s">
        <v>703</v>
      </c>
      <c r="F3403" s="18" t="s">
        <v>704</v>
      </c>
      <c r="G3403" s="18" t="s">
        <v>674</v>
      </c>
      <c r="H3403" s="18" t="s">
        <v>715</v>
      </c>
      <c r="I3403" s="315">
        <v>4.0660654007456491</v>
      </c>
      <c r="J3403" s="315">
        <v>2.8150670854138382E-4</v>
      </c>
      <c r="K3403" s="316" t="str">
        <f t="shared" si="56"/>
        <v>Construction and Mining Equipment</v>
      </c>
      <c r="L3403" s="316" t="str">
        <f t="shared" si="57"/>
        <v>Gasoline</v>
      </c>
      <c r="M3403" s="194"/>
      <c r="N3403" s="317"/>
      <c r="O3403" s="317"/>
      <c r="P3403" s="317"/>
      <c r="Q3403" s="317"/>
      <c r="R3403" s="317"/>
      <c r="S3403" s="317"/>
      <c r="T3403" s="317"/>
      <c r="U3403" s="317"/>
      <c r="V3403" s="317"/>
      <c r="W3403" s="317"/>
      <c r="X3403" s="317"/>
      <c r="Y3403" s="317"/>
      <c r="Z3403" s="317"/>
    </row>
    <row r="3404" spans="1:26" x14ac:dyDescent="0.25">
      <c r="A3404" s="314"/>
      <c r="B3404" s="18">
        <v>2023</v>
      </c>
      <c r="C3404" s="18" t="s">
        <v>732</v>
      </c>
      <c r="D3404" s="18" t="s">
        <v>1416</v>
      </c>
      <c r="E3404" s="18" t="s">
        <v>56</v>
      </c>
      <c r="F3404" s="18" t="s">
        <v>672</v>
      </c>
      <c r="G3404" s="18" t="s">
        <v>674</v>
      </c>
      <c r="H3404" s="18" t="s">
        <v>861</v>
      </c>
      <c r="I3404" s="315">
        <v>4.059818200482896</v>
      </c>
      <c r="J3404" s="315">
        <v>2.7422632891398496E-3</v>
      </c>
      <c r="K3404" s="316" t="str">
        <f t="shared" si="56"/>
        <v>Construction and Mining Equipment</v>
      </c>
      <c r="L3404" s="316" t="str">
        <f t="shared" si="57"/>
        <v>LPG</v>
      </c>
      <c r="M3404" s="194"/>
      <c r="N3404" s="317"/>
      <c r="O3404" s="317"/>
      <c r="P3404" s="317"/>
      <c r="Q3404" s="317"/>
      <c r="R3404" s="317"/>
      <c r="S3404" s="317"/>
      <c r="T3404" s="317"/>
      <c r="U3404" s="317"/>
      <c r="V3404" s="317"/>
      <c r="W3404" s="317"/>
      <c r="X3404" s="317"/>
      <c r="Y3404" s="317"/>
      <c r="Z3404" s="317"/>
    </row>
    <row r="3405" spans="1:26" x14ac:dyDescent="0.25">
      <c r="A3405" s="314"/>
      <c r="B3405" s="18">
        <v>2023</v>
      </c>
      <c r="C3405" s="18" t="s">
        <v>727</v>
      </c>
      <c r="D3405" s="18" t="s">
        <v>1227</v>
      </c>
      <c r="E3405" s="18" t="s">
        <v>56</v>
      </c>
      <c r="F3405" s="18" t="s">
        <v>672</v>
      </c>
      <c r="G3405" s="18" t="s">
        <v>674</v>
      </c>
      <c r="H3405" s="18" t="s">
        <v>850</v>
      </c>
      <c r="I3405" s="315">
        <v>4.0341655566655854</v>
      </c>
      <c r="J3405" s="315">
        <v>2.5905804006388217E-4</v>
      </c>
      <c r="K3405" s="316" t="str">
        <f t="shared" si="56"/>
        <v>Construction and Mining Equipment</v>
      </c>
      <c r="L3405" s="316" t="str">
        <f t="shared" si="57"/>
        <v>LPG</v>
      </c>
      <c r="M3405" s="194"/>
      <c r="N3405" s="317"/>
      <c r="O3405" s="317"/>
      <c r="P3405" s="317"/>
      <c r="Q3405" s="317"/>
      <c r="R3405" s="317"/>
      <c r="S3405" s="317"/>
      <c r="T3405" s="317"/>
      <c r="U3405" s="317"/>
      <c r="V3405" s="317"/>
      <c r="W3405" s="317"/>
      <c r="X3405" s="317"/>
      <c r="Y3405" s="317"/>
      <c r="Z3405" s="317"/>
    </row>
    <row r="3406" spans="1:26" x14ac:dyDescent="0.25">
      <c r="A3406" s="314"/>
      <c r="B3406" s="18">
        <v>2023</v>
      </c>
      <c r="C3406" s="18" t="s">
        <v>706</v>
      </c>
      <c r="D3406" s="18" t="s">
        <v>1655</v>
      </c>
      <c r="E3406" s="18" t="s">
        <v>56</v>
      </c>
      <c r="F3406" s="18" t="s">
        <v>672</v>
      </c>
      <c r="G3406" s="18" t="s">
        <v>677</v>
      </c>
      <c r="H3406" s="18" t="s">
        <v>789</v>
      </c>
      <c r="I3406" s="315">
        <v>4.0282333197921742</v>
      </c>
      <c r="J3406" s="315">
        <v>5.6856999613766291E-4</v>
      </c>
      <c r="K3406" s="316" t="str">
        <f t="shared" si="56"/>
        <v>Commercial Equipment</v>
      </c>
      <c r="L3406" s="316" t="str">
        <f t="shared" si="57"/>
        <v>LPG</v>
      </c>
      <c r="M3406" s="194"/>
      <c r="N3406" s="317"/>
      <c r="O3406" s="317"/>
      <c r="P3406" s="317"/>
      <c r="Q3406" s="317"/>
      <c r="R3406" s="317"/>
      <c r="S3406" s="317"/>
      <c r="T3406" s="317"/>
      <c r="U3406" s="317"/>
      <c r="V3406" s="317"/>
      <c r="W3406" s="317"/>
      <c r="X3406" s="317"/>
      <c r="Y3406" s="317"/>
      <c r="Z3406" s="317"/>
    </row>
    <row r="3407" spans="1:26" x14ac:dyDescent="0.25">
      <c r="A3407" s="314"/>
      <c r="B3407" s="18">
        <v>2023</v>
      </c>
      <c r="C3407" s="18" t="s">
        <v>810</v>
      </c>
      <c r="D3407" s="18" t="s">
        <v>1213</v>
      </c>
      <c r="E3407" s="18" t="s">
        <v>56</v>
      </c>
      <c r="F3407" s="18" t="s">
        <v>672</v>
      </c>
      <c r="G3407" s="18" t="s">
        <v>674</v>
      </c>
      <c r="H3407" s="18" t="s">
        <v>715</v>
      </c>
      <c r="I3407" s="315">
        <v>4.0111594551964549</v>
      </c>
      <c r="J3407" s="315">
        <v>1.8216042764736376E-4</v>
      </c>
      <c r="K3407" s="316" t="str">
        <f t="shared" si="56"/>
        <v>Construction and Mining Equipment</v>
      </c>
      <c r="L3407" s="316" t="str">
        <f t="shared" si="57"/>
        <v>LPG</v>
      </c>
      <c r="M3407" s="194"/>
      <c r="N3407" s="317"/>
      <c r="O3407" s="317"/>
      <c r="P3407" s="317"/>
      <c r="Q3407" s="317"/>
      <c r="R3407" s="317"/>
      <c r="S3407" s="317"/>
      <c r="T3407" s="317"/>
      <c r="U3407" s="317"/>
      <c r="V3407" s="317"/>
      <c r="W3407" s="317"/>
      <c r="X3407" s="317"/>
      <c r="Y3407" s="317"/>
      <c r="Z3407" s="317"/>
    </row>
    <row r="3408" spans="1:26" x14ac:dyDescent="0.25">
      <c r="A3408" s="314"/>
      <c r="B3408" s="18">
        <v>2023</v>
      </c>
      <c r="C3408" s="18" t="s">
        <v>722</v>
      </c>
      <c r="D3408" s="18" t="s">
        <v>1457</v>
      </c>
      <c r="E3408" s="18" t="s">
        <v>56</v>
      </c>
      <c r="F3408" s="18" t="s">
        <v>601</v>
      </c>
      <c r="G3408" s="18" t="s">
        <v>675</v>
      </c>
      <c r="H3408" s="18" t="s">
        <v>772</v>
      </c>
      <c r="I3408" s="315">
        <v>3.9968922759611027</v>
      </c>
      <c r="J3408" s="315">
        <v>1.6303380360665518E-2</v>
      </c>
      <c r="K3408" s="316" t="str">
        <f t="shared" si="56"/>
        <v>Industrial Equipment</v>
      </c>
      <c r="L3408" s="316" t="str">
        <f t="shared" si="57"/>
        <v>CNG</v>
      </c>
      <c r="M3408" s="194"/>
      <c r="N3408" s="317"/>
      <c r="O3408" s="317"/>
      <c r="P3408" s="317"/>
      <c r="Q3408" s="317"/>
      <c r="R3408" s="317"/>
      <c r="S3408" s="317"/>
      <c r="T3408" s="317"/>
      <c r="U3408" s="317"/>
      <c r="V3408" s="317"/>
      <c r="W3408" s="317"/>
      <c r="X3408" s="317"/>
      <c r="Y3408" s="317"/>
      <c r="Z3408" s="317"/>
    </row>
    <row r="3409" spans="1:26" x14ac:dyDescent="0.25">
      <c r="A3409" s="314"/>
      <c r="B3409" s="18">
        <v>2023</v>
      </c>
      <c r="C3409" s="18" t="s">
        <v>759</v>
      </c>
      <c r="D3409" s="18" t="s">
        <v>1440</v>
      </c>
      <c r="E3409" s="18" t="s">
        <v>703</v>
      </c>
      <c r="F3409" s="18" t="s">
        <v>704</v>
      </c>
      <c r="G3409" s="18" t="s">
        <v>678</v>
      </c>
      <c r="H3409" s="18" t="s">
        <v>1154</v>
      </c>
      <c r="I3409" s="315">
        <v>3.9936911309471035</v>
      </c>
      <c r="J3409" s="315">
        <v>4.0205019877812925E-4</v>
      </c>
      <c r="K3409" s="316" t="str">
        <f t="shared" si="56"/>
        <v>Agricultural Equipment</v>
      </c>
      <c r="L3409" s="316" t="str">
        <f t="shared" si="57"/>
        <v>Gasoline</v>
      </c>
      <c r="M3409" s="194"/>
      <c r="N3409" s="317"/>
      <c r="O3409" s="317"/>
      <c r="P3409" s="317"/>
      <c r="Q3409" s="317"/>
      <c r="R3409" s="317"/>
      <c r="S3409" s="317"/>
      <c r="T3409" s="317"/>
      <c r="U3409" s="317"/>
      <c r="V3409" s="317"/>
      <c r="W3409" s="317"/>
      <c r="X3409" s="317"/>
      <c r="Y3409" s="317"/>
      <c r="Z3409" s="317"/>
    </row>
    <row r="3410" spans="1:26" x14ac:dyDescent="0.25">
      <c r="A3410" s="314"/>
      <c r="B3410" s="18">
        <v>2023</v>
      </c>
      <c r="C3410" s="18" t="s">
        <v>759</v>
      </c>
      <c r="D3410" s="18" t="s">
        <v>998</v>
      </c>
      <c r="E3410" s="18" t="s">
        <v>703</v>
      </c>
      <c r="F3410" s="18" t="s">
        <v>704</v>
      </c>
      <c r="G3410" s="18" t="s">
        <v>674</v>
      </c>
      <c r="H3410" s="18" t="s">
        <v>999</v>
      </c>
      <c r="I3410" s="315">
        <v>3.9815223338331909</v>
      </c>
      <c r="J3410" s="315">
        <v>2.6184515166735442E-3</v>
      </c>
      <c r="K3410" s="316" t="str">
        <f t="shared" si="56"/>
        <v>Construction and Mining Equipment</v>
      </c>
      <c r="L3410" s="316" t="str">
        <f t="shared" si="57"/>
        <v>Gasoline</v>
      </c>
      <c r="M3410" s="194"/>
      <c r="N3410" s="317"/>
      <c r="O3410" s="317"/>
      <c r="P3410" s="317"/>
      <c r="Q3410" s="317"/>
      <c r="R3410" s="317"/>
      <c r="S3410" s="317"/>
      <c r="T3410" s="317"/>
      <c r="U3410" s="317"/>
      <c r="V3410" s="317"/>
      <c r="W3410" s="317"/>
      <c r="X3410" s="317"/>
      <c r="Y3410" s="317"/>
      <c r="Z3410" s="317"/>
    </row>
    <row r="3411" spans="1:26" x14ac:dyDescent="0.25">
      <c r="A3411" s="314"/>
      <c r="B3411" s="18">
        <v>2023</v>
      </c>
      <c r="C3411" s="18" t="s">
        <v>810</v>
      </c>
      <c r="D3411" s="18" t="s">
        <v>1214</v>
      </c>
      <c r="E3411" s="18" t="s">
        <v>713</v>
      </c>
      <c r="F3411" s="18" t="s">
        <v>714</v>
      </c>
      <c r="G3411" s="18" t="s">
        <v>674</v>
      </c>
      <c r="H3411" s="18" t="s">
        <v>999</v>
      </c>
      <c r="I3411" s="315">
        <v>3.9797472616914624</v>
      </c>
      <c r="J3411" s="315">
        <v>1.1782016255968492E-4</v>
      </c>
      <c r="K3411" s="316" t="str">
        <f t="shared" si="56"/>
        <v>Construction and Mining Equipment</v>
      </c>
      <c r="L3411" s="316" t="str">
        <f t="shared" si="57"/>
        <v>Diesel</v>
      </c>
      <c r="M3411" s="194"/>
      <c r="N3411" s="317"/>
      <c r="O3411" s="317"/>
      <c r="P3411" s="317"/>
      <c r="Q3411" s="317"/>
      <c r="R3411" s="317"/>
      <c r="S3411" s="317"/>
      <c r="T3411" s="317"/>
      <c r="U3411" s="317"/>
      <c r="V3411" s="317"/>
      <c r="W3411" s="317"/>
      <c r="X3411" s="317"/>
      <c r="Y3411" s="317"/>
      <c r="Z3411" s="317"/>
    </row>
    <row r="3412" spans="1:26" x14ac:dyDescent="0.25">
      <c r="A3412" s="314"/>
      <c r="B3412" s="18">
        <v>2023</v>
      </c>
      <c r="C3412" s="18" t="s">
        <v>778</v>
      </c>
      <c r="D3412" s="18" t="s">
        <v>1349</v>
      </c>
      <c r="E3412" s="18" t="s">
        <v>703</v>
      </c>
      <c r="F3412" s="18" t="s">
        <v>704</v>
      </c>
      <c r="G3412" s="18" t="s">
        <v>673</v>
      </c>
      <c r="H3412" s="18" t="s">
        <v>978</v>
      </c>
      <c r="I3412" s="315">
        <v>3.9789601083428963</v>
      </c>
      <c r="J3412" s="315">
        <v>2.7667874707407083E-3</v>
      </c>
      <c r="K3412" s="316" t="str">
        <f t="shared" si="56"/>
        <v>Lawn and Garden Equipment</v>
      </c>
      <c r="L3412" s="316" t="str">
        <f t="shared" si="57"/>
        <v>Gasoline</v>
      </c>
      <c r="M3412" s="194"/>
      <c r="N3412" s="317"/>
      <c r="O3412" s="317"/>
      <c r="P3412" s="317"/>
      <c r="Q3412" s="317"/>
      <c r="R3412" s="317"/>
      <c r="S3412" s="317"/>
      <c r="T3412" s="317"/>
      <c r="U3412" s="317"/>
      <c r="V3412" s="317"/>
      <c r="W3412" s="317"/>
      <c r="X3412" s="317"/>
      <c r="Y3412" s="317"/>
      <c r="Z3412" s="317"/>
    </row>
    <row r="3413" spans="1:26" x14ac:dyDescent="0.25">
      <c r="A3413" s="314"/>
      <c r="B3413" s="18">
        <v>2023</v>
      </c>
      <c r="C3413" s="18" t="s">
        <v>773</v>
      </c>
      <c r="D3413" s="18" t="s">
        <v>1219</v>
      </c>
      <c r="E3413" s="18" t="s">
        <v>703</v>
      </c>
      <c r="F3413" s="18" t="s">
        <v>704</v>
      </c>
      <c r="G3413" s="18" t="s">
        <v>674</v>
      </c>
      <c r="H3413" s="18" t="s">
        <v>1220</v>
      </c>
      <c r="I3413" s="315">
        <v>3.9741609024419873</v>
      </c>
      <c r="J3413" s="315">
        <v>2.6658866727392091E-3</v>
      </c>
      <c r="K3413" s="316" t="str">
        <f t="shared" si="56"/>
        <v>Construction and Mining Equipment</v>
      </c>
      <c r="L3413" s="316" t="str">
        <f t="shared" si="57"/>
        <v>Gasoline</v>
      </c>
      <c r="M3413" s="194"/>
      <c r="N3413" s="317"/>
      <c r="O3413" s="317"/>
      <c r="P3413" s="317"/>
      <c r="Q3413" s="317"/>
      <c r="R3413" s="317"/>
      <c r="S3413" s="317"/>
      <c r="T3413" s="317"/>
      <c r="U3413" s="317"/>
      <c r="V3413" s="317"/>
      <c r="W3413" s="317"/>
      <c r="X3413" s="317"/>
      <c r="Y3413" s="317"/>
      <c r="Z3413" s="317"/>
    </row>
    <row r="3414" spans="1:26" x14ac:dyDescent="0.25">
      <c r="A3414" s="314"/>
      <c r="B3414" s="18">
        <v>2023</v>
      </c>
      <c r="C3414" s="18" t="s">
        <v>787</v>
      </c>
      <c r="D3414" s="18" t="s">
        <v>1295</v>
      </c>
      <c r="E3414" s="18" t="s">
        <v>703</v>
      </c>
      <c r="F3414" s="18" t="s">
        <v>704</v>
      </c>
      <c r="G3414" s="18" t="s">
        <v>674</v>
      </c>
      <c r="H3414" s="18" t="s">
        <v>859</v>
      </c>
      <c r="I3414" s="315">
        <v>3.9671624431118495</v>
      </c>
      <c r="J3414" s="315">
        <v>1.2828081902056371E-3</v>
      </c>
      <c r="K3414" s="316" t="str">
        <f t="shared" si="56"/>
        <v>Construction and Mining Equipment</v>
      </c>
      <c r="L3414" s="316" t="str">
        <f t="shared" si="57"/>
        <v>Gasoline</v>
      </c>
      <c r="M3414" s="194"/>
      <c r="N3414" s="317"/>
      <c r="O3414" s="317"/>
      <c r="P3414" s="317"/>
      <c r="Q3414" s="317"/>
      <c r="R3414" s="317"/>
      <c r="S3414" s="317"/>
      <c r="T3414" s="317"/>
      <c r="U3414" s="317"/>
      <c r="V3414" s="317"/>
      <c r="W3414" s="317"/>
      <c r="X3414" s="317"/>
      <c r="Y3414" s="317"/>
      <c r="Z3414" s="317"/>
    </row>
    <row r="3415" spans="1:26" x14ac:dyDescent="0.25">
      <c r="A3415" s="314"/>
      <c r="B3415" s="18">
        <v>2023</v>
      </c>
      <c r="C3415" s="18" t="s">
        <v>727</v>
      </c>
      <c r="D3415" s="18" t="s">
        <v>1226</v>
      </c>
      <c r="E3415" s="18" t="s">
        <v>703</v>
      </c>
      <c r="F3415" s="18" t="s">
        <v>805</v>
      </c>
      <c r="G3415" s="18" t="s">
        <v>677</v>
      </c>
      <c r="H3415" s="18" t="s">
        <v>747</v>
      </c>
      <c r="I3415" s="315">
        <v>3.967056600772958</v>
      </c>
      <c r="J3415" s="315">
        <v>8.0216565593530763E-3</v>
      </c>
      <c r="K3415" s="316" t="str">
        <f t="shared" si="56"/>
        <v>Commercial Equipment</v>
      </c>
      <c r="L3415" s="316" t="str">
        <f t="shared" si="57"/>
        <v>Gasoline</v>
      </c>
      <c r="M3415" s="194"/>
      <c r="N3415" s="317"/>
      <c r="O3415" s="317"/>
      <c r="P3415" s="317"/>
      <c r="Q3415" s="317"/>
      <c r="R3415" s="317"/>
      <c r="S3415" s="317"/>
      <c r="T3415" s="317"/>
      <c r="U3415" s="317"/>
      <c r="V3415" s="317"/>
      <c r="W3415" s="317"/>
      <c r="X3415" s="317"/>
      <c r="Y3415" s="317"/>
      <c r="Z3415" s="317"/>
    </row>
    <row r="3416" spans="1:26" x14ac:dyDescent="0.25">
      <c r="A3416" s="314"/>
      <c r="B3416" s="18">
        <v>2023</v>
      </c>
      <c r="C3416" s="18" t="s">
        <v>759</v>
      </c>
      <c r="D3416" s="18" t="s">
        <v>1000</v>
      </c>
      <c r="E3416" s="18" t="s">
        <v>703</v>
      </c>
      <c r="F3416" s="18" t="s">
        <v>704</v>
      </c>
      <c r="G3416" s="18" t="s">
        <v>674</v>
      </c>
      <c r="H3416" s="18" t="s">
        <v>850</v>
      </c>
      <c r="I3416" s="315">
        <v>3.9668706804691172</v>
      </c>
      <c r="J3416" s="315">
        <v>2.403635834654588E-3</v>
      </c>
      <c r="K3416" s="316" t="str">
        <f t="shared" si="56"/>
        <v>Construction and Mining Equipment</v>
      </c>
      <c r="L3416" s="316" t="str">
        <f t="shared" si="57"/>
        <v>Gasoline</v>
      </c>
      <c r="M3416" s="194"/>
      <c r="N3416" s="317"/>
      <c r="O3416" s="317"/>
      <c r="P3416" s="317"/>
      <c r="Q3416" s="317"/>
      <c r="R3416" s="317"/>
      <c r="S3416" s="317"/>
      <c r="T3416" s="317"/>
      <c r="U3416" s="317"/>
      <c r="V3416" s="317"/>
      <c r="W3416" s="317"/>
      <c r="X3416" s="317"/>
      <c r="Y3416" s="317"/>
      <c r="Z3416" s="317"/>
    </row>
    <row r="3417" spans="1:26" x14ac:dyDescent="0.25">
      <c r="A3417" s="314"/>
      <c r="B3417" s="18">
        <v>2023</v>
      </c>
      <c r="C3417" s="18" t="s">
        <v>793</v>
      </c>
      <c r="D3417" s="18" t="s">
        <v>1227</v>
      </c>
      <c r="E3417" s="18" t="s">
        <v>56</v>
      </c>
      <c r="F3417" s="18" t="s">
        <v>672</v>
      </c>
      <c r="G3417" s="18" t="s">
        <v>674</v>
      </c>
      <c r="H3417" s="18" t="s">
        <v>850</v>
      </c>
      <c r="I3417" s="315">
        <v>3.9387984154211524</v>
      </c>
      <c r="J3417" s="315">
        <v>2.5293390217108079E-4</v>
      </c>
      <c r="K3417" s="316" t="str">
        <f t="shared" si="56"/>
        <v>Construction and Mining Equipment</v>
      </c>
      <c r="L3417" s="316" t="str">
        <f t="shared" si="57"/>
        <v>LPG</v>
      </c>
      <c r="M3417" s="194"/>
      <c r="N3417" s="317"/>
      <c r="O3417" s="317"/>
      <c r="P3417" s="317"/>
      <c r="Q3417" s="317"/>
      <c r="R3417" s="317"/>
      <c r="S3417" s="317"/>
      <c r="T3417" s="317"/>
      <c r="U3417" s="317"/>
      <c r="V3417" s="317"/>
      <c r="W3417" s="317"/>
      <c r="X3417" s="317"/>
      <c r="Y3417" s="317"/>
      <c r="Z3417" s="317"/>
    </row>
    <row r="3418" spans="1:26" x14ac:dyDescent="0.25">
      <c r="A3418" s="314"/>
      <c r="B3418" s="18">
        <v>2023</v>
      </c>
      <c r="C3418" s="18" t="s">
        <v>731</v>
      </c>
      <c r="D3418" s="18" t="s">
        <v>1073</v>
      </c>
      <c r="E3418" s="18" t="s">
        <v>703</v>
      </c>
      <c r="F3418" s="18" t="s">
        <v>704</v>
      </c>
      <c r="G3418" s="18" t="s">
        <v>674</v>
      </c>
      <c r="H3418" s="18" t="s">
        <v>1072</v>
      </c>
      <c r="I3418" s="315">
        <v>3.9364410882355116</v>
      </c>
      <c r="J3418" s="315">
        <v>2.766871064901668E-3</v>
      </c>
      <c r="K3418" s="316" t="str">
        <f t="shared" si="56"/>
        <v>Construction and Mining Equipment</v>
      </c>
      <c r="L3418" s="316" t="str">
        <f t="shared" si="57"/>
        <v>Gasoline</v>
      </c>
      <c r="M3418" s="194"/>
      <c r="N3418" s="317"/>
      <c r="O3418" s="317"/>
      <c r="P3418" s="317"/>
      <c r="Q3418" s="317"/>
      <c r="R3418" s="317"/>
      <c r="S3418" s="317"/>
      <c r="T3418" s="317"/>
      <c r="U3418" s="317"/>
      <c r="V3418" s="317"/>
      <c r="W3418" s="317"/>
      <c r="X3418" s="317"/>
      <c r="Y3418" s="317"/>
      <c r="Z3418" s="317"/>
    </row>
    <row r="3419" spans="1:26" x14ac:dyDescent="0.25">
      <c r="A3419" s="314"/>
      <c r="B3419" s="18">
        <v>2023</v>
      </c>
      <c r="C3419" s="18" t="s">
        <v>754</v>
      </c>
      <c r="D3419" s="18" t="s">
        <v>1394</v>
      </c>
      <c r="E3419" s="18" t="s">
        <v>703</v>
      </c>
      <c r="F3419" s="18" t="s">
        <v>805</v>
      </c>
      <c r="G3419" s="18" t="s">
        <v>681</v>
      </c>
      <c r="H3419" s="18" t="s">
        <v>1395</v>
      </c>
      <c r="I3419" s="315">
        <v>3.9352851447428163</v>
      </c>
      <c r="J3419" s="315">
        <v>6.8163622292374947E-3</v>
      </c>
      <c r="K3419" s="316" t="str">
        <f t="shared" si="56"/>
        <v>Logging Equipment</v>
      </c>
      <c r="L3419" s="316" t="str">
        <f t="shared" si="57"/>
        <v>Gasoline</v>
      </c>
      <c r="M3419" s="194"/>
      <c r="N3419" s="317"/>
      <c r="O3419" s="317"/>
      <c r="P3419" s="317"/>
      <c r="Q3419" s="317"/>
      <c r="R3419" s="317"/>
      <c r="S3419" s="317"/>
      <c r="T3419" s="317"/>
      <c r="U3419" s="317"/>
      <c r="V3419" s="317"/>
      <c r="W3419" s="317"/>
      <c r="X3419" s="317"/>
      <c r="Y3419" s="317"/>
      <c r="Z3419" s="317"/>
    </row>
    <row r="3420" spans="1:26" x14ac:dyDescent="0.25">
      <c r="A3420" s="314"/>
      <c r="B3420" s="18">
        <v>2023</v>
      </c>
      <c r="C3420" s="18" t="s">
        <v>754</v>
      </c>
      <c r="D3420" s="18" t="s">
        <v>1339</v>
      </c>
      <c r="E3420" s="18" t="s">
        <v>56</v>
      </c>
      <c r="F3420" s="18" t="s">
        <v>672</v>
      </c>
      <c r="G3420" s="18" t="s">
        <v>674</v>
      </c>
      <c r="H3420" s="18" t="s">
        <v>770</v>
      </c>
      <c r="I3420" s="315">
        <v>3.9292601624744243</v>
      </c>
      <c r="J3420" s="315">
        <v>2.9014659519384747E-4</v>
      </c>
      <c r="K3420" s="316" t="str">
        <f t="shared" si="56"/>
        <v>Construction and Mining Equipment</v>
      </c>
      <c r="L3420" s="316" t="str">
        <f t="shared" si="57"/>
        <v>LPG</v>
      </c>
      <c r="M3420" s="194"/>
      <c r="N3420" s="317"/>
      <c r="O3420" s="317"/>
      <c r="P3420" s="317"/>
      <c r="Q3420" s="317"/>
      <c r="R3420" s="317"/>
      <c r="S3420" s="317"/>
      <c r="T3420" s="317"/>
      <c r="U3420" s="317"/>
      <c r="V3420" s="317"/>
      <c r="W3420" s="317"/>
      <c r="X3420" s="317"/>
      <c r="Y3420" s="317"/>
      <c r="Z3420" s="317"/>
    </row>
    <row r="3421" spans="1:26" x14ac:dyDescent="0.25">
      <c r="A3421" s="314"/>
      <c r="B3421" s="18">
        <v>2023</v>
      </c>
      <c r="C3421" s="18" t="s">
        <v>731</v>
      </c>
      <c r="D3421" s="18" t="s">
        <v>1074</v>
      </c>
      <c r="E3421" s="18" t="s">
        <v>713</v>
      </c>
      <c r="F3421" s="18" t="s">
        <v>714</v>
      </c>
      <c r="G3421" s="18" t="s">
        <v>674</v>
      </c>
      <c r="H3421" s="18" t="s">
        <v>967</v>
      </c>
      <c r="I3421" s="315">
        <v>3.9246891363604726</v>
      </c>
      <c r="J3421" s="315">
        <v>6.7443835541967237E-5</v>
      </c>
      <c r="K3421" s="316" t="str">
        <f t="shared" si="56"/>
        <v>Construction and Mining Equipment</v>
      </c>
      <c r="L3421" s="316" t="str">
        <f t="shared" si="57"/>
        <v>Diesel</v>
      </c>
      <c r="M3421" s="194"/>
      <c r="N3421" s="317"/>
      <c r="O3421" s="317"/>
      <c r="P3421" s="317"/>
      <c r="Q3421" s="317"/>
      <c r="R3421" s="317"/>
      <c r="S3421" s="317"/>
      <c r="T3421" s="317"/>
      <c r="U3421" s="317"/>
      <c r="V3421" s="317"/>
      <c r="W3421" s="317"/>
      <c r="X3421" s="317"/>
      <c r="Y3421" s="317"/>
      <c r="Z3421" s="317"/>
    </row>
    <row r="3422" spans="1:26" ht="12.75" x14ac:dyDescent="0.2">
      <c r="A3422" s="230"/>
      <c r="B3422" s="18">
        <v>2023</v>
      </c>
      <c r="C3422" s="18" t="s">
        <v>792</v>
      </c>
      <c r="D3422" s="18" t="s">
        <v>1229</v>
      </c>
      <c r="E3422" s="18" t="s">
        <v>713</v>
      </c>
      <c r="F3422" s="18" t="s">
        <v>714</v>
      </c>
      <c r="G3422" s="18" t="s">
        <v>678</v>
      </c>
      <c r="H3422" s="18" t="s">
        <v>1230</v>
      </c>
      <c r="I3422" s="315">
        <v>3.9204050186557873</v>
      </c>
      <c r="J3422" s="315">
        <v>2.9560828565490143E-5</v>
      </c>
      <c r="K3422" s="316" t="str">
        <f t="shared" si="56"/>
        <v>Agricultural Equipment</v>
      </c>
      <c r="L3422" s="316" t="str">
        <f t="shared" si="57"/>
        <v>Diesel</v>
      </c>
      <c r="M3422" s="8"/>
      <c r="N3422" s="2"/>
      <c r="O3422" s="2"/>
      <c r="P3422" s="2"/>
      <c r="Q3422" s="2"/>
      <c r="R3422" s="2"/>
      <c r="S3422" s="2"/>
      <c r="T3422" s="2"/>
      <c r="U3422" s="2"/>
      <c r="V3422" s="2"/>
      <c r="W3422" s="2"/>
      <c r="X3422" s="2"/>
      <c r="Y3422" s="2"/>
      <c r="Z3422" s="2"/>
    </row>
    <row r="3423" spans="1:26" x14ac:dyDescent="0.25">
      <c r="A3423" s="314"/>
      <c r="B3423" s="18">
        <v>2023</v>
      </c>
      <c r="C3423" s="18" t="s">
        <v>750</v>
      </c>
      <c r="D3423" s="18" t="s">
        <v>1440</v>
      </c>
      <c r="E3423" s="18" t="s">
        <v>703</v>
      </c>
      <c r="F3423" s="18" t="s">
        <v>704</v>
      </c>
      <c r="G3423" s="18" t="s">
        <v>678</v>
      </c>
      <c r="H3423" s="18" t="s">
        <v>1154</v>
      </c>
      <c r="I3423" s="315">
        <v>3.918163582442348</v>
      </c>
      <c r="J3423" s="315">
        <v>3.9486709683206952E-4</v>
      </c>
      <c r="K3423" s="316" t="str">
        <f t="shared" si="56"/>
        <v>Agricultural Equipment</v>
      </c>
      <c r="L3423" s="316" t="str">
        <f t="shared" si="57"/>
        <v>Gasoline</v>
      </c>
      <c r="M3423" s="194"/>
      <c r="N3423" s="317"/>
      <c r="O3423" s="317"/>
      <c r="P3423" s="317"/>
      <c r="Q3423" s="317"/>
      <c r="R3423" s="317"/>
      <c r="S3423" s="317"/>
      <c r="T3423" s="317"/>
      <c r="U3423" s="317"/>
      <c r="V3423" s="317"/>
      <c r="W3423" s="317"/>
      <c r="X3423" s="317"/>
      <c r="Y3423" s="317"/>
      <c r="Z3423" s="317"/>
    </row>
    <row r="3424" spans="1:26" x14ac:dyDescent="0.25">
      <c r="A3424" s="314"/>
      <c r="B3424" s="18">
        <v>2023</v>
      </c>
      <c r="C3424" s="18" t="s">
        <v>773</v>
      </c>
      <c r="D3424" s="18" t="s">
        <v>1223</v>
      </c>
      <c r="E3424" s="18" t="s">
        <v>713</v>
      </c>
      <c r="F3424" s="18" t="s">
        <v>714</v>
      </c>
      <c r="G3424" s="18" t="s">
        <v>674</v>
      </c>
      <c r="H3424" s="18" t="s">
        <v>1036</v>
      </c>
      <c r="I3424" s="315">
        <v>3.9102906189930229</v>
      </c>
      <c r="J3424" s="315">
        <v>3.8242275256630831E-4</v>
      </c>
      <c r="K3424" s="316" t="str">
        <f t="shared" si="56"/>
        <v>Construction and Mining Equipment</v>
      </c>
      <c r="L3424" s="316" t="str">
        <f t="shared" si="57"/>
        <v>Diesel</v>
      </c>
      <c r="M3424" s="194"/>
      <c r="N3424" s="317"/>
      <c r="O3424" s="317"/>
      <c r="P3424" s="317"/>
      <c r="Q3424" s="317"/>
      <c r="R3424" s="317"/>
      <c r="S3424" s="317"/>
      <c r="T3424" s="317"/>
      <c r="U3424" s="317"/>
      <c r="V3424" s="317"/>
      <c r="W3424" s="317"/>
      <c r="X3424" s="317"/>
      <c r="Y3424" s="317"/>
      <c r="Z3424" s="317"/>
    </row>
    <row r="3425" spans="1:26" x14ac:dyDescent="0.25">
      <c r="A3425" s="314"/>
      <c r="B3425" s="18">
        <v>2023</v>
      </c>
      <c r="C3425" s="18" t="s">
        <v>786</v>
      </c>
      <c r="D3425" s="18" t="s">
        <v>1073</v>
      </c>
      <c r="E3425" s="18" t="s">
        <v>703</v>
      </c>
      <c r="F3425" s="18" t="s">
        <v>704</v>
      </c>
      <c r="G3425" s="18" t="s">
        <v>674</v>
      </c>
      <c r="H3425" s="18" t="s">
        <v>1072</v>
      </c>
      <c r="I3425" s="315">
        <v>3.9096321063970936</v>
      </c>
      <c r="J3425" s="315">
        <v>2.755878121500974E-3</v>
      </c>
      <c r="K3425" s="316" t="str">
        <f t="shared" si="56"/>
        <v>Construction and Mining Equipment</v>
      </c>
      <c r="L3425" s="316" t="str">
        <f t="shared" si="57"/>
        <v>Gasoline</v>
      </c>
      <c r="M3425" s="194"/>
      <c r="N3425" s="317"/>
      <c r="O3425" s="317"/>
      <c r="P3425" s="317"/>
      <c r="Q3425" s="317"/>
      <c r="R3425" s="317"/>
      <c r="S3425" s="317"/>
      <c r="T3425" s="317"/>
      <c r="U3425" s="317"/>
      <c r="V3425" s="317"/>
      <c r="W3425" s="317"/>
      <c r="X3425" s="317"/>
      <c r="Y3425" s="317"/>
      <c r="Z3425" s="317"/>
    </row>
    <row r="3426" spans="1:26" x14ac:dyDescent="0.25">
      <c r="A3426" s="314"/>
      <c r="B3426" s="18">
        <v>2023</v>
      </c>
      <c r="C3426" s="18" t="s">
        <v>773</v>
      </c>
      <c r="D3426" s="18" t="s">
        <v>1539</v>
      </c>
      <c r="E3426" s="18" t="s">
        <v>703</v>
      </c>
      <c r="F3426" s="18" t="s">
        <v>704</v>
      </c>
      <c r="G3426" s="18" t="s">
        <v>678</v>
      </c>
      <c r="H3426" s="18" t="s">
        <v>1230</v>
      </c>
      <c r="I3426" s="315">
        <v>3.9071264030226551</v>
      </c>
      <c r="J3426" s="315">
        <v>2.3245698088807903E-3</v>
      </c>
      <c r="K3426" s="316" t="str">
        <f t="shared" si="56"/>
        <v>Agricultural Equipment</v>
      </c>
      <c r="L3426" s="316" t="str">
        <f t="shared" si="57"/>
        <v>Gasoline</v>
      </c>
      <c r="M3426" s="194"/>
      <c r="N3426" s="317"/>
      <c r="O3426" s="317"/>
      <c r="P3426" s="317"/>
      <c r="Q3426" s="317"/>
      <c r="R3426" s="317"/>
      <c r="S3426" s="317"/>
      <c r="T3426" s="317"/>
      <c r="U3426" s="317"/>
      <c r="V3426" s="317"/>
      <c r="W3426" s="317"/>
      <c r="X3426" s="317"/>
      <c r="Y3426" s="317"/>
      <c r="Z3426" s="317"/>
    </row>
    <row r="3427" spans="1:26" x14ac:dyDescent="0.25">
      <c r="A3427" s="314"/>
      <c r="B3427" s="18">
        <v>2023</v>
      </c>
      <c r="C3427" s="18" t="s">
        <v>786</v>
      </c>
      <c r="D3427" s="18" t="s">
        <v>1074</v>
      </c>
      <c r="E3427" s="18" t="s">
        <v>713</v>
      </c>
      <c r="F3427" s="18" t="s">
        <v>714</v>
      </c>
      <c r="G3427" s="18" t="s">
        <v>674</v>
      </c>
      <c r="H3427" s="18" t="s">
        <v>967</v>
      </c>
      <c r="I3427" s="315">
        <v>3.897953416779909</v>
      </c>
      <c r="J3427" s="315">
        <v>6.6984489477354449E-5</v>
      </c>
      <c r="K3427" s="316" t="str">
        <f t="shared" si="56"/>
        <v>Construction and Mining Equipment</v>
      </c>
      <c r="L3427" s="316" t="str">
        <f t="shared" si="57"/>
        <v>Diesel</v>
      </c>
      <c r="M3427" s="194"/>
      <c r="N3427" s="317"/>
      <c r="O3427" s="317"/>
      <c r="P3427" s="317"/>
      <c r="Q3427" s="317"/>
      <c r="R3427" s="317"/>
      <c r="S3427" s="317"/>
      <c r="T3427" s="317"/>
      <c r="U3427" s="317"/>
      <c r="V3427" s="317"/>
      <c r="W3427" s="317"/>
      <c r="X3427" s="317"/>
      <c r="Y3427" s="317"/>
      <c r="Z3427" s="317"/>
    </row>
    <row r="3428" spans="1:26" x14ac:dyDescent="0.25">
      <c r="A3428" s="314"/>
      <c r="B3428" s="18">
        <v>2023</v>
      </c>
      <c r="C3428" s="18" t="s">
        <v>732</v>
      </c>
      <c r="D3428" s="18" t="s">
        <v>1425</v>
      </c>
      <c r="E3428" s="18" t="s">
        <v>56</v>
      </c>
      <c r="F3428" s="18" t="s">
        <v>672</v>
      </c>
      <c r="G3428" s="18" t="s">
        <v>674</v>
      </c>
      <c r="H3428" s="18" t="s">
        <v>791</v>
      </c>
      <c r="I3428" s="315">
        <v>3.8898240172625633</v>
      </c>
      <c r="J3428" s="315">
        <v>7.4774966623535272E-4</v>
      </c>
      <c r="K3428" s="316" t="str">
        <f t="shared" si="56"/>
        <v>Construction and Mining Equipment</v>
      </c>
      <c r="L3428" s="316" t="str">
        <f t="shared" si="57"/>
        <v>LPG</v>
      </c>
      <c r="M3428" s="194"/>
      <c r="N3428" s="317"/>
      <c r="O3428" s="317"/>
      <c r="P3428" s="317"/>
      <c r="Q3428" s="317"/>
      <c r="R3428" s="317"/>
      <c r="S3428" s="317"/>
      <c r="T3428" s="317"/>
      <c r="U3428" s="317"/>
      <c r="V3428" s="317"/>
      <c r="W3428" s="317"/>
      <c r="X3428" s="317"/>
      <c r="Y3428" s="317"/>
      <c r="Z3428" s="317"/>
    </row>
    <row r="3429" spans="1:26" x14ac:dyDescent="0.25">
      <c r="A3429" s="314"/>
      <c r="B3429" s="18">
        <v>2023</v>
      </c>
      <c r="C3429" s="18" t="s">
        <v>706</v>
      </c>
      <c r="D3429" s="18" t="s">
        <v>1460</v>
      </c>
      <c r="E3429" s="18" t="s">
        <v>703</v>
      </c>
      <c r="F3429" s="18" t="s">
        <v>704</v>
      </c>
      <c r="G3429" s="18" t="s">
        <v>678</v>
      </c>
      <c r="H3429" s="18" t="s">
        <v>1080</v>
      </c>
      <c r="I3429" s="315">
        <v>3.8892405557582981</v>
      </c>
      <c r="J3429" s="315">
        <v>2.3683403351714657E-3</v>
      </c>
      <c r="K3429" s="316" t="str">
        <f t="shared" si="56"/>
        <v>Agricultural Equipment</v>
      </c>
      <c r="L3429" s="316" t="str">
        <f t="shared" si="57"/>
        <v>Gasoline</v>
      </c>
      <c r="M3429" s="194"/>
      <c r="N3429" s="317"/>
      <c r="O3429" s="317"/>
      <c r="P3429" s="317"/>
      <c r="Q3429" s="317"/>
      <c r="R3429" s="317"/>
      <c r="S3429" s="317"/>
      <c r="T3429" s="317"/>
      <c r="U3429" s="317"/>
      <c r="V3429" s="317"/>
      <c r="W3429" s="317"/>
      <c r="X3429" s="317"/>
      <c r="Y3429" s="317"/>
      <c r="Z3429" s="317"/>
    </row>
    <row r="3430" spans="1:26" x14ac:dyDescent="0.25">
      <c r="A3430" s="314"/>
      <c r="B3430" s="18">
        <v>2023</v>
      </c>
      <c r="C3430" s="18" t="s">
        <v>781</v>
      </c>
      <c r="D3430" s="18" t="s">
        <v>988</v>
      </c>
      <c r="E3430" s="18" t="s">
        <v>703</v>
      </c>
      <c r="F3430" s="18" t="s">
        <v>805</v>
      </c>
      <c r="G3430" s="18" t="s">
        <v>673</v>
      </c>
      <c r="H3430" s="18" t="s">
        <v>768</v>
      </c>
      <c r="I3430" s="315">
        <v>3.8788051028129678</v>
      </c>
      <c r="J3430" s="315">
        <v>7.2211708629393717E-3</v>
      </c>
      <c r="K3430" s="316" t="str">
        <f t="shared" si="56"/>
        <v>Lawn and Garden Equipment</v>
      </c>
      <c r="L3430" s="316" t="str">
        <f t="shared" si="57"/>
        <v>Gasoline</v>
      </c>
      <c r="M3430" s="194"/>
      <c r="N3430" s="317"/>
      <c r="O3430" s="317"/>
      <c r="P3430" s="317"/>
      <c r="Q3430" s="317"/>
      <c r="R3430" s="317"/>
      <c r="S3430" s="317"/>
      <c r="T3430" s="317"/>
      <c r="U3430" s="317"/>
      <c r="V3430" s="317"/>
      <c r="W3430" s="317"/>
      <c r="X3430" s="317"/>
      <c r="Y3430" s="317"/>
      <c r="Z3430" s="317"/>
    </row>
    <row r="3431" spans="1:26" x14ac:dyDescent="0.25">
      <c r="A3431" s="314"/>
      <c r="B3431" s="18">
        <v>2023</v>
      </c>
      <c r="C3431" s="18" t="s">
        <v>781</v>
      </c>
      <c r="D3431" s="18" t="s">
        <v>1637</v>
      </c>
      <c r="E3431" s="18" t="s">
        <v>703</v>
      </c>
      <c r="F3431" s="18" t="s">
        <v>704</v>
      </c>
      <c r="G3431" s="18" t="s">
        <v>678</v>
      </c>
      <c r="H3431" s="18" t="s">
        <v>1638</v>
      </c>
      <c r="I3431" s="315">
        <v>3.8630831819994529</v>
      </c>
      <c r="J3431" s="315">
        <v>2.3016416219055372E-3</v>
      </c>
      <c r="K3431" s="316" t="str">
        <f t="shared" si="56"/>
        <v>Agricultural Equipment</v>
      </c>
      <c r="L3431" s="316" t="str">
        <f t="shared" si="57"/>
        <v>Gasoline</v>
      </c>
      <c r="M3431" s="194"/>
      <c r="N3431" s="317"/>
      <c r="O3431" s="317"/>
      <c r="P3431" s="317"/>
      <c r="Q3431" s="317"/>
      <c r="R3431" s="317"/>
      <c r="S3431" s="317"/>
      <c r="T3431" s="317"/>
      <c r="U3431" s="317"/>
      <c r="V3431" s="317"/>
      <c r="W3431" s="317"/>
      <c r="X3431" s="317"/>
      <c r="Y3431" s="317"/>
      <c r="Z3431" s="317"/>
    </row>
    <row r="3432" spans="1:26" x14ac:dyDescent="0.25">
      <c r="A3432" s="314"/>
      <c r="B3432" s="18">
        <v>2023</v>
      </c>
      <c r="C3432" s="18" t="s">
        <v>727</v>
      </c>
      <c r="D3432" s="18" t="s">
        <v>1247</v>
      </c>
      <c r="E3432" s="18" t="s">
        <v>56</v>
      </c>
      <c r="F3432" s="18" t="s">
        <v>672</v>
      </c>
      <c r="G3432" s="18" t="s">
        <v>674</v>
      </c>
      <c r="H3432" s="18" t="s">
        <v>967</v>
      </c>
      <c r="I3432" s="315">
        <v>3.8279433535207357</v>
      </c>
      <c r="J3432" s="315">
        <v>1.8085137110638512E-4</v>
      </c>
      <c r="K3432" s="316" t="str">
        <f t="shared" si="56"/>
        <v>Construction and Mining Equipment</v>
      </c>
      <c r="L3432" s="316" t="str">
        <f t="shared" si="57"/>
        <v>LPG</v>
      </c>
      <c r="M3432" s="194"/>
      <c r="N3432" s="317"/>
      <c r="O3432" s="317"/>
      <c r="P3432" s="317"/>
      <c r="Q3432" s="317"/>
      <c r="R3432" s="317"/>
      <c r="S3432" s="317"/>
      <c r="T3432" s="317"/>
      <c r="U3432" s="317"/>
      <c r="V3432" s="317"/>
      <c r="W3432" s="317"/>
      <c r="X3432" s="317"/>
      <c r="Y3432" s="317"/>
      <c r="Z3432" s="317"/>
    </row>
    <row r="3433" spans="1:26" x14ac:dyDescent="0.25">
      <c r="A3433" s="314"/>
      <c r="B3433" s="18">
        <v>2023</v>
      </c>
      <c r="C3433" s="18" t="s">
        <v>786</v>
      </c>
      <c r="D3433" s="18" t="s">
        <v>1637</v>
      </c>
      <c r="E3433" s="18" t="s">
        <v>703</v>
      </c>
      <c r="F3433" s="18" t="s">
        <v>704</v>
      </c>
      <c r="G3433" s="18" t="s">
        <v>678</v>
      </c>
      <c r="H3433" s="18" t="s">
        <v>1638</v>
      </c>
      <c r="I3433" s="315">
        <v>3.8230757059555667</v>
      </c>
      <c r="J3433" s="315">
        <v>2.2798155383573142E-3</v>
      </c>
      <c r="K3433" s="316" t="str">
        <f t="shared" si="56"/>
        <v>Agricultural Equipment</v>
      </c>
      <c r="L3433" s="316" t="str">
        <f t="shared" si="57"/>
        <v>Gasoline</v>
      </c>
      <c r="M3433" s="194"/>
      <c r="N3433" s="317"/>
      <c r="O3433" s="317"/>
      <c r="P3433" s="317"/>
      <c r="Q3433" s="317"/>
      <c r="R3433" s="317"/>
      <c r="S3433" s="317"/>
      <c r="T3433" s="317"/>
      <c r="U3433" s="317"/>
      <c r="V3433" s="317"/>
      <c r="W3433" s="317"/>
      <c r="X3433" s="317"/>
      <c r="Y3433" s="317"/>
      <c r="Z3433" s="317"/>
    </row>
    <row r="3434" spans="1:26" x14ac:dyDescent="0.25">
      <c r="A3434" s="314"/>
      <c r="B3434" s="18">
        <v>2023</v>
      </c>
      <c r="C3434" s="18" t="s">
        <v>762</v>
      </c>
      <c r="D3434" s="18" t="s">
        <v>1226</v>
      </c>
      <c r="E3434" s="18" t="s">
        <v>703</v>
      </c>
      <c r="F3434" s="18" t="s">
        <v>805</v>
      </c>
      <c r="G3434" s="18" t="s">
        <v>677</v>
      </c>
      <c r="H3434" s="18" t="s">
        <v>747</v>
      </c>
      <c r="I3434" s="315">
        <v>3.821921050062596</v>
      </c>
      <c r="J3434" s="315">
        <v>7.7281882983937251E-3</v>
      </c>
      <c r="K3434" s="316" t="str">
        <f t="shared" si="56"/>
        <v>Commercial Equipment</v>
      </c>
      <c r="L3434" s="316" t="str">
        <f t="shared" si="57"/>
        <v>Gasoline</v>
      </c>
      <c r="M3434" s="194"/>
      <c r="N3434" s="317"/>
      <c r="O3434" s="317"/>
      <c r="P3434" s="317"/>
      <c r="Q3434" s="317"/>
      <c r="R3434" s="317"/>
      <c r="S3434" s="317"/>
      <c r="T3434" s="317"/>
      <c r="U3434" s="317"/>
      <c r="V3434" s="317"/>
      <c r="W3434" s="317"/>
      <c r="X3434" s="317"/>
      <c r="Y3434" s="317"/>
      <c r="Z3434" s="317"/>
    </row>
    <row r="3435" spans="1:26" x14ac:dyDescent="0.25">
      <c r="A3435" s="314"/>
      <c r="B3435" s="18">
        <v>2023</v>
      </c>
      <c r="C3435" s="18" t="s">
        <v>727</v>
      </c>
      <c r="D3435" s="18" t="s">
        <v>1248</v>
      </c>
      <c r="E3435" s="18" t="s">
        <v>703</v>
      </c>
      <c r="F3435" s="18" t="s">
        <v>704</v>
      </c>
      <c r="G3435" s="18" t="s">
        <v>674</v>
      </c>
      <c r="H3435" s="18" t="s">
        <v>959</v>
      </c>
      <c r="I3435" s="315">
        <v>3.8218869160886122</v>
      </c>
      <c r="J3435" s="315">
        <v>2.5461108885399741E-3</v>
      </c>
      <c r="K3435" s="316" t="str">
        <f t="shared" si="56"/>
        <v>Construction and Mining Equipment</v>
      </c>
      <c r="L3435" s="316" t="str">
        <f t="shared" si="57"/>
        <v>Gasoline</v>
      </c>
      <c r="M3435" s="194"/>
      <c r="N3435" s="317"/>
      <c r="O3435" s="317"/>
      <c r="P3435" s="317"/>
      <c r="Q3435" s="317"/>
      <c r="R3435" s="317"/>
      <c r="S3435" s="317"/>
      <c r="T3435" s="317"/>
      <c r="U3435" s="317"/>
      <c r="V3435" s="317"/>
      <c r="W3435" s="317"/>
      <c r="X3435" s="317"/>
      <c r="Y3435" s="317"/>
      <c r="Z3435" s="317"/>
    </row>
    <row r="3436" spans="1:26" x14ac:dyDescent="0.25">
      <c r="A3436" s="314"/>
      <c r="B3436" s="18">
        <v>2023</v>
      </c>
      <c r="C3436" s="18" t="s">
        <v>787</v>
      </c>
      <c r="D3436" s="18" t="s">
        <v>1292</v>
      </c>
      <c r="E3436" s="18" t="s">
        <v>703</v>
      </c>
      <c r="F3436" s="18" t="s">
        <v>795</v>
      </c>
      <c r="G3436" s="18" t="s">
        <v>675</v>
      </c>
      <c r="H3436" s="18" t="s">
        <v>1293</v>
      </c>
      <c r="I3436" s="315">
        <v>3.8041268508606088</v>
      </c>
      <c r="J3436" s="315">
        <v>2.5571169730411146E-3</v>
      </c>
      <c r="K3436" s="316" t="str">
        <f t="shared" si="56"/>
        <v>Industrial Equipment</v>
      </c>
      <c r="L3436" s="316" t="str">
        <f t="shared" si="57"/>
        <v>Gasoline</v>
      </c>
      <c r="M3436" s="194"/>
      <c r="N3436" s="317"/>
      <c r="O3436" s="317"/>
      <c r="P3436" s="317"/>
      <c r="Q3436" s="317"/>
      <c r="R3436" s="317"/>
      <c r="S3436" s="317"/>
      <c r="T3436" s="317"/>
      <c r="U3436" s="317"/>
      <c r="V3436" s="317"/>
      <c r="W3436" s="317"/>
      <c r="X3436" s="317"/>
      <c r="Y3436" s="317"/>
      <c r="Z3436" s="317"/>
    </row>
    <row r="3437" spans="1:26" x14ac:dyDescent="0.25">
      <c r="A3437" s="314"/>
      <c r="B3437" s="18">
        <v>2023</v>
      </c>
      <c r="C3437" s="18" t="s">
        <v>731</v>
      </c>
      <c r="D3437" s="18" t="s">
        <v>1076</v>
      </c>
      <c r="E3437" s="18" t="s">
        <v>703</v>
      </c>
      <c r="F3437" s="18" t="s">
        <v>704</v>
      </c>
      <c r="G3437" s="18" t="s">
        <v>674</v>
      </c>
      <c r="H3437" s="18" t="s">
        <v>756</v>
      </c>
      <c r="I3437" s="315">
        <v>3.7951260376517961</v>
      </c>
      <c r="J3437" s="315">
        <v>1.6619559934910656E-3</v>
      </c>
      <c r="K3437" s="316" t="str">
        <f t="shared" si="56"/>
        <v>Construction and Mining Equipment</v>
      </c>
      <c r="L3437" s="316" t="str">
        <f t="shared" si="57"/>
        <v>Gasoline</v>
      </c>
      <c r="M3437" s="194"/>
      <c r="N3437" s="317"/>
      <c r="O3437" s="317"/>
      <c r="P3437" s="317"/>
      <c r="Q3437" s="317"/>
      <c r="R3437" s="317"/>
      <c r="S3437" s="317"/>
      <c r="T3437" s="317"/>
      <c r="U3437" s="317"/>
      <c r="V3437" s="317"/>
      <c r="W3437" s="317"/>
      <c r="X3437" s="317"/>
      <c r="Y3437" s="317"/>
      <c r="Z3437" s="317"/>
    </row>
    <row r="3438" spans="1:26" x14ac:dyDescent="0.25">
      <c r="A3438" s="314"/>
      <c r="B3438" s="18">
        <v>2023</v>
      </c>
      <c r="C3438" s="18" t="s">
        <v>750</v>
      </c>
      <c r="D3438" s="18" t="s">
        <v>1292</v>
      </c>
      <c r="E3438" s="18" t="s">
        <v>703</v>
      </c>
      <c r="F3438" s="18" t="s">
        <v>795</v>
      </c>
      <c r="G3438" s="18" t="s">
        <v>675</v>
      </c>
      <c r="H3438" s="18" t="s">
        <v>1293</v>
      </c>
      <c r="I3438" s="315">
        <v>3.7866559292094952</v>
      </c>
      <c r="J3438" s="315">
        <v>2.5322550201917235E-3</v>
      </c>
      <c r="K3438" s="316" t="str">
        <f t="shared" si="56"/>
        <v>Industrial Equipment</v>
      </c>
      <c r="L3438" s="316" t="str">
        <f t="shared" si="57"/>
        <v>Gasoline</v>
      </c>
      <c r="M3438" s="194"/>
      <c r="N3438" s="317"/>
      <c r="O3438" s="317"/>
      <c r="P3438" s="317"/>
      <c r="Q3438" s="317"/>
      <c r="R3438" s="317"/>
      <c r="S3438" s="317"/>
      <c r="T3438" s="317"/>
      <c r="U3438" s="317"/>
      <c r="V3438" s="317"/>
      <c r="W3438" s="317"/>
      <c r="X3438" s="317"/>
      <c r="Y3438" s="317"/>
      <c r="Z3438" s="317"/>
    </row>
    <row r="3439" spans="1:26" x14ac:dyDescent="0.25">
      <c r="A3439" s="314"/>
      <c r="B3439" s="18">
        <v>2023</v>
      </c>
      <c r="C3439" s="18" t="s">
        <v>786</v>
      </c>
      <c r="D3439" s="18" t="s">
        <v>1076</v>
      </c>
      <c r="E3439" s="18" t="s">
        <v>703</v>
      </c>
      <c r="F3439" s="18" t="s">
        <v>704</v>
      </c>
      <c r="G3439" s="18" t="s">
        <v>674</v>
      </c>
      <c r="H3439" s="18" t="s">
        <v>756</v>
      </c>
      <c r="I3439" s="315">
        <v>3.7692827478014914</v>
      </c>
      <c r="J3439" s="315">
        <v>1.6550854686486654E-3</v>
      </c>
      <c r="K3439" s="316" t="str">
        <f t="shared" si="56"/>
        <v>Construction and Mining Equipment</v>
      </c>
      <c r="L3439" s="316" t="str">
        <f t="shared" si="57"/>
        <v>Gasoline</v>
      </c>
      <c r="M3439" s="194"/>
      <c r="N3439" s="317"/>
      <c r="O3439" s="317"/>
      <c r="P3439" s="317"/>
      <c r="Q3439" s="317"/>
      <c r="R3439" s="317"/>
      <c r="S3439" s="317"/>
      <c r="T3439" s="317"/>
      <c r="U3439" s="317"/>
      <c r="V3439" s="317"/>
      <c r="W3439" s="317"/>
      <c r="X3439" s="317"/>
      <c r="Y3439" s="317"/>
      <c r="Z3439" s="317"/>
    </row>
    <row r="3440" spans="1:26" x14ac:dyDescent="0.25">
      <c r="A3440" s="314"/>
      <c r="B3440" s="18">
        <v>2023</v>
      </c>
      <c r="C3440" s="18" t="s">
        <v>743</v>
      </c>
      <c r="D3440" s="18" t="s">
        <v>1360</v>
      </c>
      <c r="E3440" s="18" t="s">
        <v>713</v>
      </c>
      <c r="F3440" s="18" t="s">
        <v>714</v>
      </c>
      <c r="G3440" s="18" t="s">
        <v>674</v>
      </c>
      <c r="H3440" s="18" t="s">
        <v>1220</v>
      </c>
      <c r="I3440" s="315">
        <v>3.7643020924702308</v>
      </c>
      <c r="J3440" s="315">
        <v>1.6745052804570111E-4</v>
      </c>
      <c r="K3440" s="316" t="str">
        <f t="shared" si="56"/>
        <v>Construction and Mining Equipment</v>
      </c>
      <c r="L3440" s="316" t="str">
        <f t="shared" si="57"/>
        <v>Diesel</v>
      </c>
      <c r="M3440" s="194"/>
      <c r="N3440" s="317"/>
      <c r="O3440" s="317"/>
      <c r="P3440" s="317"/>
      <c r="Q3440" s="317"/>
      <c r="R3440" s="317"/>
      <c r="S3440" s="317"/>
      <c r="T3440" s="317"/>
      <c r="U3440" s="317"/>
      <c r="V3440" s="317"/>
      <c r="W3440" s="317"/>
      <c r="X3440" s="317"/>
      <c r="Y3440" s="317"/>
      <c r="Z3440" s="317"/>
    </row>
    <row r="3441" spans="1:26" x14ac:dyDescent="0.25">
      <c r="A3441" s="314"/>
      <c r="B3441" s="18">
        <v>2023</v>
      </c>
      <c r="C3441" s="18" t="s">
        <v>701</v>
      </c>
      <c r="D3441" s="18" t="s">
        <v>1224</v>
      </c>
      <c r="E3441" s="18" t="s">
        <v>703</v>
      </c>
      <c r="F3441" s="18" t="s">
        <v>704</v>
      </c>
      <c r="G3441" s="18" t="s">
        <v>681</v>
      </c>
      <c r="H3441" s="18" t="s">
        <v>1225</v>
      </c>
      <c r="I3441" s="315">
        <v>3.7523592308256033</v>
      </c>
      <c r="J3441" s="315">
        <v>2.5471158460626349E-3</v>
      </c>
      <c r="K3441" s="316" t="str">
        <f t="shared" si="56"/>
        <v>Logging Equipment</v>
      </c>
      <c r="L3441" s="316" t="str">
        <f t="shared" si="57"/>
        <v>Gasoline</v>
      </c>
      <c r="M3441" s="194"/>
      <c r="N3441" s="317"/>
      <c r="O3441" s="317"/>
      <c r="P3441" s="317"/>
      <c r="Q3441" s="317"/>
      <c r="R3441" s="317"/>
      <c r="S3441" s="317"/>
      <c r="T3441" s="317"/>
      <c r="U3441" s="317"/>
      <c r="V3441" s="317"/>
      <c r="W3441" s="317"/>
      <c r="X3441" s="317"/>
      <c r="Y3441" s="317"/>
      <c r="Z3441" s="317"/>
    </row>
    <row r="3442" spans="1:26" x14ac:dyDescent="0.25">
      <c r="A3442" s="314"/>
      <c r="B3442" s="18">
        <v>2023</v>
      </c>
      <c r="C3442" s="18" t="s">
        <v>810</v>
      </c>
      <c r="D3442" s="18" t="s">
        <v>1460</v>
      </c>
      <c r="E3442" s="18" t="s">
        <v>703</v>
      </c>
      <c r="F3442" s="18" t="s">
        <v>704</v>
      </c>
      <c r="G3442" s="18" t="s">
        <v>678</v>
      </c>
      <c r="H3442" s="18" t="s">
        <v>1080</v>
      </c>
      <c r="I3442" s="315">
        <v>3.7519376041499477</v>
      </c>
      <c r="J3442" s="315">
        <v>2.3035947751866609E-3</v>
      </c>
      <c r="K3442" s="316" t="str">
        <f t="shared" si="56"/>
        <v>Agricultural Equipment</v>
      </c>
      <c r="L3442" s="316" t="str">
        <f t="shared" si="57"/>
        <v>Gasoline</v>
      </c>
      <c r="M3442" s="194"/>
      <c r="N3442" s="317"/>
      <c r="O3442" s="317"/>
      <c r="P3442" s="317"/>
      <c r="Q3442" s="317"/>
      <c r="R3442" s="317"/>
      <c r="S3442" s="317"/>
      <c r="T3442" s="317"/>
      <c r="U3442" s="317"/>
      <c r="V3442" s="317"/>
      <c r="W3442" s="317"/>
      <c r="X3442" s="317"/>
      <c r="Y3442" s="317"/>
      <c r="Z3442" s="317"/>
    </row>
    <row r="3443" spans="1:26" x14ac:dyDescent="0.25">
      <c r="A3443" s="314"/>
      <c r="B3443" s="18">
        <v>2023</v>
      </c>
      <c r="C3443" s="18" t="s">
        <v>727</v>
      </c>
      <c r="D3443" s="18" t="s">
        <v>1637</v>
      </c>
      <c r="E3443" s="18" t="s">
        <v>703</v>
      </c>
      <c r="F3443" s="18" t="s">
        <v>704</v>
      </c>
      <c r="G3443" s="18" t="s">
        <v>678</v>
      </c>
      <c r="H3443" s="18" t="s">
        <v>1638</v>
      </c>
      <c r="I3443" s="315">
        <v>3.7506972872843845</v>
      </c>
      <c r="J3443" s="315">
        <v>2.2325369889028791E-3</v>
      </c>
      <c r="K3443" s="316" t="str">
        <f t="shared" si="56"/>
        <v>Agricultural Equipment</v>
      </c>
      <c r="L3443" s="316" t="str">
        <f t="shared" si="57"/>
        <v>Gasoline</v>
      </c>
      <c r="M3443" s="194"/>
      <c r="N3443" s="317"/>
      <c r="O3443" s="317"/>
      <c r="P3443" s="317"/>
      <c r="Q3443" s="317"/>
      <c r="R3443" s="317"/>
      <c r="S3443" s="317"/>
      <c r="T3443" s="317"/>
      <c r="U3443" s="317"/>
      <c r="V3443" s="317"/>
      <c r="W3443" s="317"/>
      <c r="X3443" s="317"/>
      <c r="Y3443" s="317"/>
      <c r="Z3443" s="317"/>
    </row>
    <row r="3444" spans="1:26" x14ac:dyDescent="0.25">
      <c r="A3444" s="314"/>
      <c r="B3444" s="18">
        <v>2023</v>
      </c>
      <c r="C3444" s="18" t="s">
        <v>706</v>
      </c>
      <c r="D3444" s="18" t="s">
        <v>1656</v>
      </c>
      <c r="E3444" s="18" t="s">
        <v>56</v>
      </c>
      <c r="F3444" s="18" t="s">
        <v>672</v>
      </c>
      <c r="G3444" s="18" t="s">
        <v>677</v>
      </c>
      <c r="H3444" s="18" t="s">
        <v>1031</v>
      </c>
      <c r="I3444" s="315">
        <v>3.7503669646024913</v>
      </c>
      <c r="J3444" s="315">
        <v>1.8938339182281478E-4</v>
      </c>
      <c r="K3444" s="316" t="str">
        <f t="shared" si="56"/>
        <v>Commercial Equipment</v>
      </c>
      <c r="L3444" s="316" t="str">
        <f t="shared" si="57"/>
        <v>LPG</v>
      </c>
      <c r="M3444" s="194"/>
      <c r="N3444" s="317"/>
      <c r="O3444" s="317"/>
      <c r="P3444" s="317"/>
      <c r="Q3444" s="317"/>
      <c r="R3444" s="317"/>
      <c r="S3444" s="317"/>
      <c r="T3444" s="317"/>
      <c r="U3444" s="317"/>
      <c r="V3444" s="317"/>
      <c r="W3444" s="317"/>
      <c r="X3444" s="317"/>
      <c r="Y3444" s="317"/>
      <c r="Z3444" s="317"/>
    </row>
    <row r="3445" spans="1:26" x14ac:dyDescent="0.25">
      <c r="A3445" s="314"/>
      <c r="B3445" s="18">
        <v>2023</v>
      </c>
      <c r="C3445" s="18" t="s">
        <v>732</v>
      </c>
      <c r="D3445" s="18" t="s">
        <v>737</v>
      </c>
      <c r="E3445" s="18" t="s">
        <v>713</v>
      </c>
      <c r="F3445" s="18" t="s">
        <v>714</v>
      </c>
      <c r="G3445" s="18" t="s">
        <v>680</v>
      </c>
      <c r="H3445" s="18" t="s">
        <v>680</v>
      </c>
      <c r="I3445" s="315">
        <v>3.7453924274219492</v>
      </c>
      <c r="J3445" s="315">
        <v>3.024171812773462E-5</v>
      </c>
      <c r="K3445" s="316" t="str">
        <f t="shared" si="56"/>
        <v>Airport Ground Support Equipment</v>
      </c>
      <c r="L3445" s="316" t="str">
        <f t="shared" si="57"/>
        <v>Diesel</v>
      </c>
      <c r="M3445" s="194"/>
      <c r="N3445" s="317"/>
      <c r="O3445" s="317"/>
      <c r="P3445" s="317"/>
      <c r="Q3445" s="317"/>
      <c r="R3445" s="317"/>
      <c r="S3445" s="317"/>
      <c r="T3445" s="317"/>
      <c r="U3445" s="317"/>
      <c r="V3445" s="317"/>
      <c r="W3445" s="317"/>
      <c r="X3445" s="317"/>
      <c r="Y3445" s="317"/>
      <c r="Z3445" s="317"/>
    </row>
    <row r="3446" spans="1:26" x14ac:dyDescent="0.25">
      <c r="A3446" s="314"/>
      <c r="B3446" s="18">
        <v>2023</v>
      </c>
      <c r="C3446" s="18" t="s">
        <v>793</v>
      </c>
      <c r="D3446" s="18" t="s">
        <v>1247</v>
      </c>
      <c r="E3446" s="18" t="s">
        <v>56</v>
      </c>
      <c r="F3446" s="18" t="s">
        <v>672</v>
      </c>
      <c r="G3446" s="18" t="s">
        <v>674</v>
      </c>
      <c r="H3446" s="18" t="s">
        <v>967</v>
      </c>
      <c r="I3446" s="315">
        <v>3.7374502049940448</v>
      </c>
      <c r="J3446" s="315">
        <v>1.7657598694375816E-4</v>
      </c>
      <c r="K3446" s="316" t="str">
        <f t="shared" si="56"/>
        <v>Construction and Mining Equipment</v>
      </c>
      <c r="L3446" s="316" t="str">
        <f t="shared" si="57"/>
        <v>LPG</v>
      </c>
      <c r="M3446" s="194"/>
      <c r="N3446" s="317"/>
      <c r="O3446" s="317"/>
      <c r="P3446" s="317"/>
      <c r="Q3446" s="317"/>
      <c r="R3446" s="317"/>
      <c r="S3446" s="317"/>
      <c r="T3446" s="317"/>
      <c r="U3446" s="317"/>
      <c r="V3446" s="317"/>
      <c r="W3446" s="317"/>
      <c r="X3446" s="317"/>
      <c r="Y3446" s="317"/>
      <c r="Z3446" s="317"/>
    </row>
    <row r="3447" spans="1:26" x14ac:dyDescent="0.25">
      <c r="A3447" s="314"/>
      <c r="B3447" s="18">
        <v>2023</v>
      </c>
      <c r="C3447" s="18" t="s">
        <v>760</v>
      </c>
      <c r="D3447" s="18" t="s">
        <v>1317</v>
      </c>
      <c r="E3447" s="18" t="s">
        <v>713</v>
      </c>
      <c r="F3447" s="18" t="s">
        <v>714</v>
      </c>
      <c r="G3447" s="18" t="s">
        <v>673</v>
      </c>
      <c r="H3447" s="18" t="s">
        <v>865</v>
      </c>
      <c r="I3447" s="315">
        <v>3.7359266402754789</v>
      </c>
      <c r="J3447" s="315">
        <v>1.1799233809932835E-4</v>
      </c>
      <c r="K3447" s="316" t="str">
        <f t="shared" si="56"/>
        <v>Lawn and Garden Equipment</v>
      </c>
      <c r="L3447" s="316" t="str">
        <f t="shared" si="57"/>
        <v>Diesel</v>
      </c>
      <c r="M3447" s="194"/>
      <c r="N3447" s="317"/>
      <c r="O3447" s="317"/>
      <c r="P3447" s="317"/>
      <c r="Q3447" s="317"/>
      <c r="R3447" s="317"/>
      <c r="S3447" s="317"/>
      <c r="T3447" s="317"/>
      <c r="U3447" s="317"/>
      <c r="V3447" s="317"/>
      <c r="W3447" s="317"/>
      <c r="X3447" s="317"/>
      <c r="Y3447" s="317"/>
      <c r="Z3447" s="317"/>
    </row>
    <row r="3448" spans="1:26" x14ac:dyDescent="0.25">
      <c r="A3448" s="314"/>
      <c r="B3448" s="18">
        <v>2023</v>
      </c>
      <c r="C3448" s="18" t="s">
        <v>793</v>
      </c>
      <c r="D3448" s="18" t="s">
        <v>1248</v>
      </c>
      <c r="E3448" s="18" t="s">
        <v>703</v>
      </c>
      <c r="F3448" s="18" t="s">
        <v>704</v>
      </c>
      <c r="G3448" s="18" t="s">
        <v>674</v>
      </c>
      <c r="H3448" s="18" t="s">
        <v>959</v>
      </c>
      <c r="I3448" s="315">
        <v>3.7315402016536545</v>
      </c>
      <c r="J3448" s="315">
        <v>2.489463141956123E-3</v>
      </c>
      <c r="K3448" s="316" t="str">
        <f t="shared" si="56"/>
        <v>Construction and Mining Equipment</v>
      </c>
      <c r="L3448" s="316" t="str">
        <f t="shared" si="57"/>
        <v>Gasoline</v>
      </c>
      <c r="M3448" s="194"/>
      <c r="N3448" s="317"/>
      <c r="O3448" s="317"/>
      <c r="P3448" s="317"/>
      <c r="Q3448" s="317"/>
      <c r="R3448" s="317"/>
      <c r="S3448" s="317"/>
      <c r="T3448" s="317"/>
      <c r="U3448" s="317"/>
      <c r="V3448" s="317"/>
      <c r="W3448" s="317"/>
      <c r="X3448" s="317"/>
      <c r="Y3448" s="317"/>
      <c r="Z3448" s="317"/>
    </row>
    <row r="3449" spans="1:26" x14ac:dyDescent="0.25">
      <c r="A3449" s="314"/>
      <c r="B3449" s="18">
        <v>2023</v>
      </c>
      <c r="C3449" s="18" t="s">
        <v>760</v>
      </c>
      <c r="D3449" s="18" t="s">
        <v>1574</v>
      </c>
      <c r="E3449" s="18" t="s">
        <v>56</v>
      </c>
      <c r="F3449" s="18" t="s">
        <v>1575</v>
      </c>
      <c r="G3449" s="18" t="s">
        <v>675</v>
      </c>
      <c r="H3449" s="18" t="s">
        <v>1576</v>
      </c>
      <c r="I3449" s="315">
        <v>3.729404329779209</v>
      </c>
      <c r="J3449" s="315">
        <v>1.6295749687735048E-2</v>
      </c>
      <c r="K3449" s="316" t="str">
        <f t="shared" si="56"/>
        <v>Industrial Equipment</v>
      </c>
      <c r="L3449" s="316" t="str">
        <f t="shared" si="57"/>
        <v>CNG</v>
      </c>
      <c r="M3449" s="194"/>
      <c r="N3449" s="317"/>
      <c r="O3449" s="317"/>
      <c r="P3449" s="317"/>
      <c r="Q3449" s="317"/>
      <c r="R3449" s="317"/>
      <c r="S3449" s="317"/>
      <c r="T3449" s="317"/>
      <c r="U3449" s="317"/>
      <c r="V3449" s="317"/>
      <c r="W3449" s="317"/>
      <c r="X3449" s="317"/>
      <c r="Y3449" s="317"/>
      <c r="Z3449" s="317"/>
    </row>
    <row r="3450" spans="1:26" x14ac:dyDescent="0.25">
      <c r="A3450" s="314"/>
      <c r="B3450" s="18">
        <v>2023</v>
      </c>
      <c r="C3450" s="18" t="s">
        <v>759</v>
      </c>
      <c r="D3450" s="18" t="s">
        <v>1006</v>
      </c>
      <c r="E3450" s="18" t="s">
        <v>703</v>
      </c>
      <c r="F3450" s="18" t="s">
        <v>805</v>
      </c>
      <c r="G3450" s="18" t="s">
        <v>674</v>
      </c>
      <c r="H3450" s="18" t="s">
        <v>967</v>
      </c>
      <c r="I3450" s="315">
        <v>3.7285328762581353</v>
      </c>
      <c r="J3450" s="315">
        <v>6.6773620928743879E-3</v>
      </c>
      <c r="K3450" s="316" t="str">
        <f t="shared" si="56"/>
        <v>Construction and Mining Equipment</v>
      </c>
      <c r="L3450" s="316" t="str">
        <f t="shared" si="57"/>
        <v>Gasoline</v>
      </c>
      <c r="M3450" s="194"/>
      <c r="N3450" s="317"/>
      <c r="O3450" s="317"/>
      <c r="P3450" s="317"/>
      <c r="Q3450" s="317"/>
      <c r="R3450" s="317"/>
      <c r="S3450" s="317"/>
      <c r="T3450" s="317"/>
      <c r="U3450" s="317"/>
      <c r="V3450" s="317"/>
      <c r="W3450" s="317"/>
      <c r="X3450" s="317"/>
      <c r="Y3450" s="317"/>
      <c r="Z3450" s="317"/>
    </row>
    <row r="3451" spans="1:26" x14ac:dyDescent="0.25">
      <c r="A3451" s="314"/>
      <c r="B3451" s="18">
        <v>2023</v>
      </c>
      <c r="C3451" s="18" t="s">
        <v>743</v>
      </c>
      <c r="D3451" s="18" t="s">
        <v>1361</v>
      </c>
      <c r="E3451" s="18" t="s">
        <v>56</v>
      </c>
      <c r="F3451" s="18" t="s">
        <v>672</v>
      </c>
      <c r="G3451" s="18" t="s">
        <v>674</v>
      </c>
      <c r="H3451" s="18" t="s">
        <v>783</v>
      </c>
      <c r="I3451" s="315">
        <v>3.7181733222637892</v>
      </c>
      <c r="J3451" s="315">
        <v>1.706880993392862E-4</v>
      </c>
      <c r="K3451" s="316" t="str">
        <f t="shared" si="56"/>
        <v>Construction and Mining Equipment</v>
      </c>
      <c r="L3451" s="316" t="str">
        <f t="shared" si="57"/>
        <v>LPG</v>
      </c>
      <c r="M3451" s="194"/>
      <c r="N3451" s="317"/>
      <c r="O3451" s="317"/>
      <c r="P3451" s="317"/>
      <c r="Q3451" s="317"/>
      <c r="R3451" s="317"/>
      <c r="S3451" s="317"/>
      <c r="T3451" s="317"/>
      <c r="U3451" s="317"/>
      <c r="V3451" s="317"/>
      <c r="W3451" s="317"/>
      <c r="X3451" s="317"/>
      <c r="Y3451" s="317"/>
      <c r="Z3451" s="317"/>
    </row>
    <row r="3452" spans="1:26" x14ac:dyDescent="0.25">
      <c r="A3452" s="314"/>
      <c r="B3452" s="18">
        <v>2023</v>
      </c>
      <c r="C3452" s="18" t="s">
        <v>773</v>
      </c>
      <c r="D3452" s="18" t="s">
        <v>1573</v>
      </c>
      <c r="E3452" s="18" t="s">
        <v>703</v>
      </c>
      <c r="F3452" s="18" t="s">
        <v>704</v>
      </c>
      <c r="G3452" s="18" t="s">
        <v>678</v>
      </c>
      <c r="H3452" s="18" t="s">
        <v>764</v>
      </c>
      <c r="I3452" s="315">
        <v>3.7144187457897391</v>
      </c>
      <c r="J3452" s="315">
        <v>7.2031547628461192E-4</v>
      </c>
      <c r="K3452" s="316" t="str">
        <f t="shared" si="56"/>
        <v>Agricultural Equipment</v>
      </c>
      <c r="L3452" s="316" t="str">
        <f t="shared" si="57"/>
        <v>Gasoline</v>
      </c>
      <c r="M3452" s="194"/>
      <c r="N3452" s="317"/>
      <c r="O3452" s="317"/>
      <c r="P3452" s="317"/>
      <c r="Q3452" s="317"/>
      <c r="R3452" s="317"/>
      <c r="S3452" s="317"/>
      <c r="T3452" s="317"/>
      <c r="U3452" s="317"/>
      <c r="V3452" s="317"/>
      <c r="W3452" s="317"/>
      <c r="X3452" s="317"/>
      <c r="Y3452" s="317"/>
      <c r="Z3452" s="317"/>
    </row>
    <row r="3453" spans="1:26" x14ac:dyDescent="0.25">
      <c r="A3453" s="314"/>
      <c r="B3453" s="18">
        <v>2023</v>
      </c>
      <c r="C3453" s="18" t="s">
        <v>750</v>
      </c>
      <c r="D3453" s="18" t="s">
        <v>1295</v>
      </c>
      <c r="E3453" s="18" t="s">
        <v>703</v>
      </c>
      <c r="F3453" s="18" t="s">
        <v>704</v>
      </c>
      <c r="G3453" s="18" t="s">
        <v>674</v>
      </c>
      <c r="H3453" s="18" t="s">
        <v>859</v>
      </c>
      <c r="I3453" s="315">
        <v>3.7089500477770661</v>
      </c>
      <c r="J3453" s="315">
        <v>1.1948750801644497E-3</v>
      </c>
      <c r="K3453" s="316" t="str">
        <f t="shared" si="56"/>
        <v>Construction and Mining Equipment</v>
      </c>
      <c r="L3453" s="316" t="str">
        <f t="shared" si="57"/>
        <v>Gasoline</v>
      </c>
      <c r="M3453" s="194"/>
      <c r="N3453" s="317"/>
      <c r="O3453" s="317"/>
      <c r="P3453" s="317"/>
      <c r="Q3453" s="317"/>
      <c r="R3453" s="317"/>
      <c r="S3453" s="317"/>
      <c r="T3453" s="317"/>
      <c r="U3453" s="317"/>
      <c r="V3453" s="317"/>
      <c r="W3453" s="317"/>
      <c r="X3453" s="317"/>
      <c r="Y3453" s="317"/>
      <c r="Z3453" s="317"/>
    </row>
    <row r="3454" spans="1:26" x14ac:dyDescent="0.25">
      <c r="A3454" s="314"/>
      <c r="B3454" s="18">
        <v>2023</v>
      </c>
      <c r="C3454" s="18" t="s">
        <v>778</v>
      </c>
      <c r="D3454" s="18" t="s">
        <v>1226</v>
      </c>
      <c r="E3454" s="18" t="s">
        <v>703</v>
      </c>
      <c r="F3454" s="18" t="s">
        <v>805</v>
      </c>
      <c r="G3454" s="18" t="s">
        <v>677</v>
      </c>
      <c r="H3454" s="18" t="s">
        <v>747</v>
      </c>
      <c r="I3454" s="315">
        <v>3.6767852802893888</v>
      </c>
      <c r="J3454" s="315">
        <v>7.4347048910822066E-3</v>
      </c>
      <c r="K3454" s="316" t="str">
        <f t="shared" si="56"/>
        <v>Commercial Equipment</v>
      </c>
      <c r="L3454" s="316" t="str">
        <f t="shared" si="57"/>
        <v>Gasoline</v>
      </c>
      <c r="M3454" s="194"/>
      <c r="N3454" s="317"/>
      <c r="O3454" s="317"/>
      <c r="P3454" s="317"/>
      <c r="Q3454" s="317"/>
      <c r="R3454" s="317"/>
      <c r="S3454" s="317"/>
      <c r="T3454" s="317"/>
      <c r="U3454" s="317"/>
      <c r="V3454" s="317"/>
      <c r="W3454" s="317"/>
      <c r="X3454" s="317"/>
      <c r="Y3454" s="317"/>
      <c r="Z3454" s="317"/>
    </row>
    <row r="3455" spans="1:26" x14ac:dyDescent="0.25">
      <c r="A3455" s="314"/>
      <c r="B3455" s="18">
        <v>2023</v>
      </c>
      <c r="C3455" s="18" t="s">
        <v>773</v>
      </c>
      <c r="D3455" s="18" t="s">
        <v>1227</v>
      </c>
      <c r="E3455" s="18" t="s">
        <v>56</v>
      </c>
      <c r="F3455" s="18" t="s">
        <v>672</v>
      </c>
      <c r="G3455" s="18" t="s">
        <v>674</v>
      </c>
      <c r="H3455" s="18" t="s">
        <v>850</v>
      </c>
      <c r="I3455" s="315">
        <v>3.6738066392086588</v>
      </c>
      <c r="J3455" s="315">
        <v>2.3591747446129551E-4</v>
      </c>
      <c r="K3455" s="316" t="str">
        <f t="shared" si="56"/>
        <v>Construction and Mining Equipment</v>
      </c>
      <c r="L3455" s="316" t="str">
        <f t="shared" si="57"/>
        <v>LPG</v>
      </c>
      <c r="M3455" s="194"/>
      <c r="N3455" s="317"/>
      <c r="O3455" s="317"/>
      <c r="P3455" s="317"/>
      <c r="Q3455" s="317"/>
      <c r="R3455" s="317"/>
      <c r="S3455" s="317"/>
      <c r="T3455" s="317"/>
      <c r="U3455" s="317"/>
      <c r="V3455" s="317"/>
      <c r="W3455" s="317"/>
      <c r="X3455" s="317"/>
      <c r="Y3455" s="317"/>
      <c r="Z3455" s="317"/>
    </row>
    <row r="3456" spans="1:26" x14ac:dyDescent="0.25">
      <c r="A3456" s="314"/>
      <c r="B3456" s="18">
        <v>2023</v>
      </c>
      <c r="C3456" s="18" t="s">
        <v>743</v>
      </c>
      <c r="D3456" s="18" t="s">
        <v>1362</v>
      </c>
      <c r="E3456" s="18" t="s">
        <v>56</v>
      </c>
      <c r="F3456" s="18" t="s">
        <v>672</v>
      </c>
      <c r="G3456" s="18" t="s">
        <v>674</v>
      </c>
      <c r="H3456" s="18" t="s">
        <v>859</v>
      </c>
      <c r="I3456" s="315">
        <v>3.6737951515962033</v>
      </c>
      <c r="J3456" s="315">
        <v>9.1117947350582247E-4</v>
      </c>
      <c r="K3456" s="316" t="str">
        <f t="shared" si="56"/>
        <v>Construction and Mining Equipment</v>
      </c>
      <c r="L3456" s="316" t="str">
        <f t="shared" si="57"/>
        <v>LPG</v>
      </c>
      <c r="M3456" s="194"/>
      <c r="N3456" s="317"/>
      <c r="O3456" s="317"/>
      <c r="P3456" s="317"/>
      <c r="Q3456" s="317"/>
      <c r="R3456" s="317"/>
      <c r="S3456" s="317"/>
      <c r="T3456" s="317"/>
      <c r="U3456" s="317"/>
      <c r="V3456" s="317"/>
      <c r="W3456" s="317"/>
      <c r="X3456" s="317"/>
      <c r="Y3456" s="317"/>
      <c r="Z3456" s="317"/>
    </row>
    <row r="3457" spans="1:26" x14ac:dyDescent="0.25">
      <c r="A3457" s="314"/>
      <c r="B3457" s="18">
        <v>2023</v>
      </c>
      <c r="C3457" s="18" t="s">
        <v>711</v>
      </c>
      <c r="D3457" s="18" t="s">
        <v>1564</v>
      </c>
      <c r="E3457" s="18" t="s">
        <v>703</v>
      </c>
      <c r="F3457" s="18" t="s">
        <v>704</v>
      </c>
      <c r="G3457" s="18" t="s">
        <v>674</v>
      </c>
      <c r="H3457" s="18" t="s">
        <v>981</v>
      </c>
      <c r="I3457" s="315">
        <v>3.6698772756135374</v>
      </c>
      <c r="J3457" s="315">
        <v>2.7118086960816962E-3</v>
      </c>
      <c r="K3457" s="316" t="str">
        <f t="shared" si="56"/>
        <v>Construction and Mining Equipment</v>
      </c>
      <c r="L3457" s="316" t="str">
        <f t="shared" si="57"/>
        <v>Gasoline</v>
      </c>
      <c r="M3457" s="194"/>
      <c r="N3457" s="317"/>
      <c r="O3457" s="317"/>
      <c r="P3457" s="317"/>
      <c r="Q3457" s="317"/>
      <c r="R3457" s="317"/>
      <c r="S3457" s="317"/>
      <c r="T3457" s="317"/>
      <c r="U3457" s="317"/>
      <c r="V3457" s="317"/>
      <c r="W3457" s="317"/>
      <c r="X3457" s="317"/>
      <c r="Y3457" s="317"/>
      <c r="Z3457" s="317"/>
    </row>
    <row r="3458" spans="1:26" x14ac:dyDescent="0.25">
      <c r="A3458" s="314"/>
      <c r="B3458" s="18">
        <v>2023</v>
      </c>
      <c r="C3458" s="18" t="s">
        <v>773</v>
      </c>
      <c r="D3458" s="18" t="s">
        <v>1001</v>
      </c>
      <c r="E3458" s="18" t="s">
        <v>713</v>
      </c>
      <c r="F3458" s="18" t="s">
        <v>683</v>
      </c>
      <c r="G3458" s="18" t="s">
        <v>79</v>
      </c>
      <c r="H3458" s="18" t="s">
        <v>1002</v>
      </c>
      <c r="I3458" s="315">
        <v>3.6328943417168711</v>
      </c>
      <c r="J3458" s="315">
        <v>1.2210749102026805E-4</v>
      </c>
      <c r="K3458" s="316" t="str">
        <f t="shared" si="56"/>
        <v>Railroad Equipment</v>
      </c>
      <c r="L3458" s="316" t="str">
        <f t="shared" si="57"/>
        <v>Diesel</v>
      </c>
      <c r="M3458" s="194"/>
      <c r="N3458" s="317"/>
      <c r="O3458" s="317"/>
      <c r="P3458" s="317"/>
      <c r="Q3458" s="317"/>
      <c r="R3458" s="317"/>
      <c r="S3458" s="317"/>
      <c r="T3458" s="317"/>
      <c r="U3458" s="317"/>
      <c r="V3458" s="317"/>
      <c r="W3458" s="317"/>
      <c r="X3458" s="317"/>
      <c r="Y3458" s="317"/>
      <c r="Z3458" s="317"/>
    </row>
    <row r="3459" spans="1:26" x14ac:dyDescent="0.25">
      <c r="A3459" s="314"/>
      <c r="B3459" s="18">
        <v>2023</v>
      </c>
      <c r="C3459" s="18" t="s">
        <v>773</v>
      </c>
      <c r="D3459" s="18" t="s">
        <v>1292</v>
      </c>
      <c r="E3459" s="18" t="s">
        <v>703</v>
      </c>
      <c r="F3459" s="18" t="s">
        <v>795</v>
      </c>
      <c r="G3459" s="18" t="s">
        <v>675</v>
      </c>
      <c r="H3459" s="18" t="s">
        <v>1293</v>
      </c>
      <c r="I3459" s="315">
        <v>3.6271513748711479</v>
      </c>
      <c r="J3459" s="315">
        <v>2.4211000882923598E-3</v>
      </c>
      <c r="K3459" s="316" t="str">
        <f t="shared" si="56"/>
        <v>Industrial Equipment</v>
      </c>
      <c r="L3459" s="316" t="str">
        <f t="shared" si="57"/>
        <v>Gasoline</v>
      </c>
      <c r="M3459" s="194"/>
      <c r="N3459" s="317"/>
      <c r="O3459" s="317"/>
      <c r="P3459" s="317"/>
      <c r="Q3459" s="317"/>
      <c r="R3459" s="317"/>
      <c r="S3459" s="317"/>
      <c r="T3459" s="317"/>
      <c r="U3459" s="317"/>
      <c r="V3459" s="317"/>
      <c r="W3459" s="317"/>
      <c r="X3459" s="317"/>
      <c r="Y3459" s="317"/>
      <c r="Z3459" s="317"/>
    </row>
    <row r="3460" spans="1:26" x14ac:dyDescent="0.25">
      <c r="A3460" s="314"/>
      <c r="B3460" s="18">
        <v>2023</v>
      </c>
      <c r="C3460" s="18" t="s">
        <v>759</v>
      </c>
      <c r="D3460" s="18" t="s">
        <v>1018</v>
      </c>
      <c r="E3460" s="18" t="s">
        <v>56</v>
      </c>
      <c r="F3460" s="18" t="s">
        <v>672</v>
      </c>
      <c r="G3460" s="18" t="s">
        <v>677</v>
      </c>
      <c r="H3460" s="18" t="s">
        <v>785</v>
      </c>
      <c r="I3460" s="315">
        <v>3.6256406098545875</v>
      </c>
      <c r="J3460" s="315">
        <v>1.7791878513003805E-4</v>
      </c>
      <c r="K3460" s="316" t="str">
        <f t="shared" si="56"/>
        <v>Commercial Equipment</v>
      </c>
      <c r="L3460" s="316" t="str">
        <f t="shared" si="57"/>
        <v>LPG</v>
      </c>
      <c r="M3460" s="194"/>
      <c r="N3460" s="317"/>
      <c r="O3460" s="317"/>
      <c r="P3460" s="317"/>
      <c r="Q3460" s="317"/>
      <c r="R3460" s="317"/>
      <c r="S3460" s="317"/>
      <c r="T3460" s="317"/>
      <c r="U3460" s="317"/>
      <c r="V3460" s="317"/>
      <c r="W3460" s="317"/>
      <c r="X3460" s="317"/>
      <c r="Y3460" s="317"/>
      <c r="Z3460" s="317"/>
    </row>
    <row r="3461" spans="1:26" x14ac:dyDescent="0.25">
      <c r="A3461" s="314"/>
      <c r="B3461" s="18">
        <v>2023</v>
      </c>
      <c r="C3461" s="18" t="s">
        <v>743</v>
      </c>
      <c r="D3461" s="18" t="s">
        <v>1366</v>
      </c>
      <c r="E3461" s="18" t="s">
        <v>703</v>
      </c>
      <c r="F3461" s="18" t="s">
        <v>704</v>
      </c>
      <c r="G3461" s="18" t="s">
        <v>674</v>
      </c>
      <c r="H3461" s="18" t="s">
        <v>791</v>
      </c>
      <c r="I3461" s="315">
        <v>3.5994852964705952</v>
      </c>
      <c r="J3461" s="315">
        <v>1.1308910761489001E-3</v>
      </c>
      <c r="K3461" s="316" t="str">
        <f t="shared" si="56"/>
        <v>Construction and Mining Equipment</v>
      </c>
      <c r="L3461" s="316" t="str">
        <f t="shared" si="57"/>
        <v>Gasoline</v>
      </c>
      <c r="M3461" s="194"/>
      <c r="N3461" s="317"/>
      <c r="O3461" s="317"/>
      <c r="P3461" s="317"/>
      <c r="Q3461" s="317"/>
      <c r="R3461" s="317"/>
      <c r="S3461" s="317"/>
      <c r="T3461" s="317"/>
      <c r="U3461" s="317"/>
      <c r="V3461" s="317"/>
      <c r="W3461" s="317"/>
      <c r="X3461" s="317"/>
      <c r="Y3461" s="317"/>
      <c r="Z3461" s="317"/>
    </row>
    <row r="3462" spans="1:26" x14ac:dyDescent="0.25">
      <c r="A3462" s="314"/>
      <c r="B3462" s="18">
        <v>2023</v>
      </c>
      <c r="C3462" s="18" t="s">
        <v>753</v>
      </c>
      <c r="D3462" s="18" t="s">
        <v>1215</v>
      </c>
      <c r="E3462" s="18" t="s">
        <v>56</v>
      </c>
      <c r="F3462" s="18" t="s">
        <v>672</v>
      </c>
      <c r="G3462" s="18" t="s">
        <v>674</v>
      </c>
      <c r="H3462" s="18" t="s">
        <v>756</v>
      </c>
      <c r="I3462" s="315">
        <v>3.5975945586092464</v>
      </c>
      <c r="J3462" s="315">
        <v>6.6556957015414739E-4</v>
      </c>
      <c r="K3462" s="316" t="str">
        <f t="shared" si="56"/>
        <v>Construction and Mining Equipment</v>
      </c>
      <c r="L3462" s="316" t="str">
        <f t="shared" si="57"/>
        <v>LPG</v>
      </c>
      <c r="M3462" s="194"/>
      <c r="N3462" s="317"/>
      <c r="O3462" s="317"/>
      <c r="P3462" s="317"/>
      <c r="Q3462" s="317"/>
      <c r="R3462" s="317"/>
      <c r="S3462" s="317"/>
      <c r="T3462" s="317"/>
      <c r="U3462" s="317"/>
      <c r="V3462" s="317"/>
      <c r="W3462" s="317"/>
      <c r="X3462" s="317"/>
      <c r="Y3462" s="317"/>
      <c r="Z3462" s="317"/>
    </row>
    <row r="3463" spans="1:26" x14ac:dyDescent="0.25">
      <c r="A3463" s="314"/>
      <c r="B3463" s="18">
        <v>2023</v>
      </c>
      <c r="C3463" s="18" t="s">
        <v>792</v>
      </c>
      <c r="D3463" s="18" t="s">
        <v>988</v>
      </c>
      <c r="E3463" s="18" t="s">
        <v>703</v>
      </c>
      <c r="F3463" s="18" t="s">
        <v>805</v>
      </c>
      <c r="G3463" s="18" t="s">
        <v>673</v>
      </c>
      <c r="H3463" s="18" t="s">
        <v>768</v>
      </c>
      <c r="I3463" s="315">
        <v>3.591485521739409</v>
      </c>
      <c r="J3463" s="315">
        <v>6.686275701938269E-3</v>
      </c>
      <c r="K3463" s="316" t="str">
        <f t="shared" si="56"/>
        <v>Lawn and Garden Equipment</v>
      </c>
      <c r="L3463" s="316" t="str">
        <f t="shared" si="57"/>
        <v>Gasoline</v>
      </c>
      <c r="M3463" s="194"/>
      <c r="N3463" s="317"/>
      <c r="O3463" s="317"/>
      <c r="P3463" s="317"/>
      <c r="Q3463" s="317"/>
      <c r="R3463" s="317"/>
      <c r="S3463" s="317"/>
      <c r="T3463" s="317"/>
      <c r="U3463" s="317"/>
      <c r="V3463" s="317"/>
      <c r="W3463" s="317"/>
      <c r="X3463" s="317"/>
      <c r="Y3463" s="317"/>
      <c r="Z3463" s="317"/>
    </row>
    <row r="3464" spans="1:26" x14ac:dyDescent="0.25">
      <c r="A3464" s="314"/>
      <c r="B3464" s="18">
        <v>2023</v>
      </c>
      <c r="C3464" s="18" t="s">
        <v>778</v>
      </c>
      <c r="D3464" s="18" t="s">
        <v>1212</v>
      </c>
      <c r="E3464" s="18" t="s">
        <v>56</v>
      </c>
      <c r="F3464" s="18" t="s">
        <v>672</v>
      </c>
      <c r="G3464" s="18" t="s">
        <v>675</v>
      </c>
      <c r="H3464" s="18" t="s">
        <v>798</v>
      </c>
      <c r="I3464" s="315">
        <v>3.5715322231390267</v>
      </c>
      <c r="J3464" s="315">
        <v>1.6137508672504222E-4</v>
      </c>
      <c r="K3464" s="316" t="str">
        <f t="shared" si="56"/>
        <v>Industrial Equipment</v>
      </c>
      <c r="L3464" s="316" t="str">
        <f t="shared" si="57"/>
        <v>LPG</v>
      </c>
      <c r="M3464" s="194"/>
      <c r="N3464" s="317"/>
      <c r="O3464" s="317"/>
      <c r="P3464" s="317"/>
      <c r="Q3464" s="317"/>
      <c r="R3464" s="317"/>
      <c r="S3464" s="317"/>
      <c r="T3464" s="317"/>
      <c r="U3464" s="317"/>
      <c r="V3464" s="317"/>
      <c r="W3464" s="317"/>
      <c r="X3464" s="317"/>
      <c r="Y3464" s="317"/>
      <c r="Z3464" s="317"/>
    </row>
    <row r="3465" spans="1:26" x14ac:dyDescent="0.25">
      <c r="A3465" s="314"/>
      <c r="B3465" s="18">
        <v>2023</v>
      </c>
      <c r="C3465" s="18" t="s">
        <v>701</v>
      </c>
      <c r="D3465" s="18" t="s">
        <v>1617</v>
      </c>
      <c r="E3465" s="18" t="s">
        <v>703</v>
      </c>
      <c r="F3465" s="18" t="s">
        <v>805</v>
      </c>
      <c r="G3465" s="18" t="s">
        <v>675</v>
      </c>
      <c r="H3465" s="18" t="s">
        <v>802</v>
      </c>
      <c r="I3465" s="315">
        <v>3.5687887328339944</v>
      </c>
      <c r="J3465" s="315">
        <v>7.9741204142905284E-3</v>
      </c>
      <c r="K3465" s="316" t="str">
        <f t="shared" si="56"/>
        <v>Industrial Equipment</v>
      </c>
      <c r="L3465" s="316" t="str">
        <f t="shared" si="57"/>
        <v>Gasoline</v>
      </c>
      <c r="M3465" s="194"/>
      <c r="N3465" s="317"/>
      <c r="O3465" s="317"/>
      <c r="P3465" s="317"/>
      <c r="Q3465" s="317"/>
      <c r="R3465" s="317"/>
      <c r="S3465" s="317"/>
      <c r="T3465" s="317"/>
      <c r="U3465" s="317"/>
      <c r="V3465" s="317"/>
      <c r="W3465" s="317"/>
      <c r="X3465" s="317"/>
      <c r="Y3465" s="317"/>
      <c r="Z3465" s="317"/>
    </row>
    <row r="3466" spans="1:26" x14ac:dyDescent="0.25">
      <c r="A3466" s="314"/>
      <c r="B3466" s="18">
        <v>2023</v>
      </c>
      <c r="C3466" s="18" t="s">
        <v>701</v>
      </c>
      <c r="D3466" s="18" t="s">
        <v>1655</v>
      </c>
      <c r="E3466" s="18" t="s">
        <v>56</v>
      </c>
      <c r="F3466" s="18" t="s">
        <v>672</v>
      </c>
      <c r="G3466" s="18" t="s">
        <v>677</v>
      </c>
      <c r="H3466" s="18" t="s">
        <v>789</v>
      </c>
      <c r="I3466" s="315">
        <v>3.5207021597800465</v>
      </c>
      <c r="J3466" s="315">
        <v>4.969359206808729E-4</v>
      </c>
      <c r="K3466" s="316" t="str">
        <f t="shared" si="56"/>
        <v>Commercial Equipment</v>
      </c>
      <c r="L3466" s="316" t="str">
        <f t="shared" si="57"/>
        <v>LPG</v>
      </c>
      <c r="M3466" s="194"/>
      <c r="N3466" s="317"/>
      <c r="O3466" s="317"/>
      <c r="P3466" s="317"/>
      <c r="Q3466" s="317"/>
      <c r="R3466" s="317"/>
      <c r="S3466" s="317"/>
      <c r="T3466" s="317"/>
      <c r="U3466" s="317"/>
      <c r="V3466" s="317"/>
      <c r="W3466" s="317"/>
      <c r="X3466" s="317"/>
      <c r="Y3466" s="317"/>
      <c r="Z3466" s="317"/>
    </row>
    <row r="3467" spans="1:26" x14ac:dyDescent="0.25">
      <c r="A3467" s="314"/>
      <c r="B3467" s="18">
        <v>2023</v>
      </c>
      <c r="C3467" s="18" t="s">
        <v>759</v>
      </c>
      <c r="D3467" s="18" t="s">
        <v>1460</v>
      </c>
      <c r="E3467" s="18" t="s">
        <v>703</v>
      </c>
      <c r="F3467" s="18" t="s">
        <v>704</v>
      </c>
      <c r="G3467" s="18" t="s">
        <v>678</v>
      </c>
      <c r="H3467" s="18" t="s">
        <v>1080</v>
      </c>
      <c r="I3467" s="315">
        <v>3.5151142813539722</v>
      </c>
      <c r="J3467" s="315">
        <v>2.1339201762219863E-3</v>
      </c>
      <c r="K3467" s="316" t="str">
        <f t="shared" si="56"/>
        <v>Agricultural Equipment</v>
      </c>
      <c r="L3467" s="316" t="str">
        <f t="shared" si="57"/>
        <v>Gasoline</v>
      </c>
      <c r="M3467" s="194"/>
      <c r="N3467" s="317"/>
      <c r="O3467" s="317"/>
      <c r="P3467" s="317"/>
      <c r="Q3467" s="317"/>
      <c r="R3467" s="317"/>
      <c r="S3467" s="317"/>
      <c r="T3467" s="317"/>
      <c r="U3467" s="317"/>
      <c r="V3467" s="317"/>
      <c r="W3467" s="317"/>
      <c r="X3467" s="317"/>
      <c r="Y3467" s="317"/>
      <c r="Z3467" s="317"/>
    </row>
    <row r="3468" spans="1:26" x14ac:dyDescent="0.25">
      <c r="A3468" s="314"/>
      <c r="B3468" s="18">
        <v>2023</v>
      </c>
      <c r="C3468" s="18" t="s">
        <v>753</v>
      </c>
      <c r="D3468" s="18" t="s">
        <v>1637</v>
      </c>
      <c r="E3468" s="18" t="s">
        <v>703</v>
      </c>
      <c r="F3468" s="18" t="s">
        <v>704</v>
      </c>
      <c r="G3468" s="18" t="s">
        <v>678</v>
      </c>
      <c r="H3468" s="18" t="s">
        <v>1638</v>
      </c>
      <c r="I3468" s="315">
        <v>3.514556352512213</v>
      </c>
      <c r="J3468" s="315">
        <v>2.0929345176962191E-3</v>
      </c>
      <c r="K3468" s="316" t="str">
        <f t="shared" si="56"/>
        <v>Agricultural Equipment</v>
      </c>
      <c r="L3468" s="316" t="str">
        <f t="shared" si="57"/>
        <v>Gasoline</v>
      </c>
      <c r="M3468" s="194"/>
      <c r="N3468" s="317"/>
      <c r="O3468" s="317"/>
      <c r="P3468" s="317"/>
      <c r="Q3468" s="317"/>
      <c r="R3468" s="317"/>
      <c r="S3468" s="317"/>
      <c r="T3468" s="317"/>
      <c r="U3468" s="317"/>
      <c r="V3468" s="317"/>
      <c r="W3468" s="317"/>
      <c r="X3468" s="317"/>
      <c r="Y3468" s="317"/>
      <c r="Z3468" s="317"/>
    </row>
    <row r="3469" spans="1:26" x14ac:dyDescent="0.25">
      <c r="A3469" s="314"/>
      <c r="B3469" s="18">
        <v>2023</v>
      </c>
      <c r="C3469" s="18" t="s">
        <v>781</v>
      </c>
      <c r="D3469" s="18" t="s">
        <v>1023</v>
      </c>
      <c r="E3469" s="18" t="s">
        <v>703</v>
      </c>
      <c r="F3469" s="18" t="s">
        <v>704</v>
      </c>
      <c r="G3469" s="18" t="s">
        <v>674</v>
      </c>
      <c r="H3469" s="18" t="s">
        <v>736</v>
      </c>
      <c r="I3469" s="315">
        <v>3.5116998771816452</v>
      </c>
      <c r="J3469" s="315">
        <v>2.3345499663270756E-3</v>
      </c>
      <c r="K3469" s="316" t="str">
        <f t="shared" si="56"/>
        <v>Construction and Mining Equipment</v>
      </c>
      <c r="L3469" s="316" t="str">
        <f t="shared" si="57"/>
        <v>Gasoline</v>
      </c>
      <c r="M3469" s="194"/>
      <c r="N3469" s="317"/>
      <c r="O3469" s="317"/>
      <c r="P3469" s="317"/>
      <c r="Q3469" s="317"/>
      <c r="R3469" s="317"/>
      <c r="S3469" s="317"/>
      <c r="T3469" s="317"/>
      <c r="U3469" s="317"/>
      <c r="V3469" s="317"/>
      <c r="W3469" s="317"/>
      <c r="X3469" s="317"/>
      <c r="Y3469" s="317"/>
      <c r="Z3469" s="317"/>
    </row>
    <row r="3470" spans="1:26" x14ac:dyDescent="0.25">
      <c r="A3470" s="314"/>
      <c r="B3470" s="18">
        <v>2023</v>
      </c>
      <c r="C3470" s="18" t="s">
        <v>722</v>
      </c>
      <c r="D3470" s="18" t="s">
        <v>1416</v>
      </c>
      <c r="E3470" s="18" t="s">
        <v>56</v>
      </c>
      <c r="F3470" s="18" t="s">
        <v>672</v>
      </c>
      <c r="G3470" s="18" t="s">
        <v>674</v>
      </c>
      <c r="H3470" s="18" t="s">
        <v>861</v>
      </c>
      <c r="I3470" s="315">
        <v>3.5094603891204463</v>
      </c>
      <c r="J3470" s="315">
        <v>2.3705154639045269E-3</v>
      </c>
      <c r="K3470" s="316" t="str">
        <f t="shared" si="56"/>
        <v>Construction and Mining Equipment</v>
      </c>
      <c r="L3470" s="316" t="str">
        <f t="shared" si="57"/>
        <v>LPG</v>
      </c>
      <c r="M3470" s="194"/>
      <c r="N3470" s="317"/>
      <c r="O3470" s="317"/>
      <c r="P3470" s="317"/>
      <c r="Q3470" s="317"/>
      <c r="R3470" s="317"/>
      <c r="S3470" s="317"/>
      <c r="T3470" s="317"/>
      <c r="U3470" s="317"/>
      <c r="V3470" s="317"/>
      <c r="W3470" s="317"/>
      <c r="X3470" s="317"/>
      <c r="Y3470" s="317"/>
      <c r="Z3470" s="317"/>
    </row>
    <row r="3471" spans="1:26" x14ac:dyDescent="0.25">
      <c r="A3471" s="314"/>
      <c r="B3471" s="18">
        <v>2023</v>
      </c>
      <c r="C3471" s="18" t="s">
        <v>711</v>
      </c>
      <c r="D3471" s="18" t="s">
        <v>1580</v>
      </c>
      <c r="E3471" s="18" t="s">
        <v>56</v>
      </c>
      <c r="F3471" s="18" t="s">
        <v>672</v>
      </c>
      <c r="G3471" s="18" t="s">
        <v>674</v>
      </c>
      <c r="H3471" s="18" t="s">
        <v>736</v>
      </c>
      <c r="I3471" s="315">
        <v>3.5069541912398954</v>
      </c>
      <c r="J3471" s="315">
        <v>1.6110174382985147E-4</v>
      </c>
      <c r="K3471" s="316" t="str">
        <f t="shared" si="56"/>
        <v>Construction and Mining Equipment</v>
      </c>
      <c r="L3471" s="316" t="str">
        <f t="shared" si="57"/>
        <v>LPG</v>
      </c>
      <c r="M3471" s="194"/>
      <c r="N3471" s="317"/>
      <c r="O3471" s="317"/>
      <c r="P3471" s="317"/>
      <c r="Q3471" s="317"/>
      <c r="R3471" s="317"/>
      <c r="S3471" s="317"/>
      <c r="T3471" s="317"/>
      <c r="U3471" s="317"/>
      <c r="V3471" s="317"/>
      <c r="W3471" s="317"/>
      <c r="X3471" s="317"/>
      <c r="Y3471" s="317"/>
      <c r="Z3471" s="317"/>
    </row>
    <row r="3472" spans="1:26" x14ac:dyDescent="0.25">
      <c r="A3472" s="314"/>
      <c r="B3472" s="18">
        <v>2023</v>
      </c>
      <c r="C3472" s="18" t="s">
        <v>754</v>
      </c>
      <c r="D3472" s="18" t="s">
        <v>737</v>
      </c>
      <c r="E3472" s="18" t="s">
        <v>713</v>
      </c>
      <c r="F3472" s="18" t="s">
        <v>714</v>
      </c>
      <c r="G3472" s="18" t="s">
        <v>680</v>
      </c>
      <c r="H3472" s="18" t="s">
        <v>680</v>
      </c>
      <c r="I3472" s="315">
        <v>3.4920276818251761</v>
      </c>
      <c r="J3472" s="315">
        <v>2.8195956793370481E-5</v>
      </c>
      <c r="K3472" s="316" t="str">
        <f t="shared" si="56"/>
        <v>Airport Ground Support Equipment</v>
      </c>
      <c r="L3472" s="316" t="str">
        <f t="shared" si="57"/>
        <v>Diesel</v>
      </c>
      <c r="M3472" s="194"/>
      <c r="N3472" s="317"/>
      <c r="O3472" s="317"/>
      <c r="P3472" s="317"/>
      <c r="Q3472" s="317"/>
      <c r="R3472" s="317"/>
      <c r="S3472" s="317"/>
      <c r="T3472" s="317"/>
      <c r="U3472" s="317"/>
      <c r="V3472" s="317"/>
      <c r="W3472" s="317"/>
      <c r="X3472" s="317"/>
      <c r="Y3472" s="317"/>
      <c r="Z3472" s="317"/>
    </row>
    <row r="3473" spans="1:26" x14ac:dyDescent="0.25">
      <c r="A3473" s="314"/>
      <c r="B3473" s="18">
        <v>2023</v>
      </c>
      <c r="C3473" s="18" t="s">
        <v>759</v>
      </c>
      <c r="D3473" s="18" t="s">
        <v>1020</v>
      </c>
      <c r="E3473" s="18" t="s">
        <v>713</v>
      </c>
      <c r="F3473" s="18" t="s">
        <v>714</v>
      </c>
      <c r="G3473" s="18" t="s">
        <v>677</v>
      </c>
      <c r="H3473" s="18" t="s">
        <v>789</v>
      </c>
      <c r="I3473" s="315">
        <v>3.4916106281536581</v>
      </c>
      <c r="J3473" s="315">
        <v>8.035382356674126E-5</v>
      </c>
      <c r="K3473" s="316" t="str">
        <f t="shared" si="56"/>
        <v>Commercial Equipment</v>
      </c>
      <c r="L3473" s="316" t="str">
        <f t="shared" si="57"/>
        <v>Diesel</v>
      </c>
      <c r="M3473" s="194"/>
      <c r="N3473" s="317"/>
      <c r="O3473" s="317"/>
      <c r="P3473" s="317"/>
      <c r="Q3473" s="317"/>
      <c r="R3473" s="317"/>
      <c r="S3473" s="317"/>
      <c r="T3473" s="317"/>
      <c r="U3473" s="317"/>
      <c r="V3473" s="317"/>
      <c r="W3473" s="317"/>
      <c r="X3473" s="317"/>
      <c r="Y3473" s="317"/>
      <c r="Z3473" s="317"/>
    </row>
    <row r="3474" spans="1:26" x14ac:dyDescent="0.25">
      <c r="A3474" s="314"/>
      <c r="B3474" s="18">
        <v>2023</v>
      </c>
      <c r="C3474" s="18" t="s">
        <v>732</v>
      </c>
      <c r="D3474" s="18" t="s">
        <v>1435</v>
      </c>
      <c r="E3474" s="18" t="s">
        <v>56</v>
      </c>
      <c r="F3474" s="18" t="s">
        <v>672</v>
      </c>
      <c r="G3474" s="18" t="s">
        <v>674</v>
      </c>
      <c r="H3474" s="18" t="s">
        <v>863</v>
      </c>
      <c r="I3474" s="315">
        <v>3.4906733400583678</v>
      </c>
      <c r="J3474" s="315">
        <v>2.3246430505026867E-4</v>
      </c>
      <c r="K3474" s="316" t="str">
        <f t="shared" si="56"/>
        <v>Construction and Mining Equipment</v>
      </c>
      <c r="L3474" s="316" t="str">
        <f t="shared" si="57"/>
        <v>LPG</v>
      </c>
      <c r="M3474" s="194"/>
      <c r="N3474" s="317"/>
      <c r="O3474" s="317"/>
      <c r="P3474" s="317"/>
      <c r="Q3474" s="317"/>
      <c r="R3474" s="317"/>
      <c r="S3474" s="317"/>
      <c r="T3474" s="317"/>
      <c r="U3474" s="317"/>
      <c r="V3474" s="317"/>
      <c r="W3474" s="317"/>
      <c r="X3474" s="317"/>
      <c r="Y3474" s="317"/>
      <c r="Z3474" s="317"/>
    </row>
    <row r="3475" spans="1:26" x14ac:dyDescent="0.25">
      <c r="A3475" s="314"/>
      <c r="B3475" s="18">
        <v>2023</v>
      </c>
      <c r="C3475" s="18" t="s">
        <v>731</v>
      </c>
      <c r="D3475" s="18" t="s">
        <v>1637</v>
      </c>
      <c r="E3475" s="18" t="s">
        <v>703</v>
      </c>
      <c r="F3475" s="18" t="s">
        <v>704</v>
      </c>
      <c r="G3475" s="18" t="s">
        <v>678</v>
      </c>
      <c r="H3475" s="18" t="s">
        <v>1638</v>
      </c>
      <c r="I3475" s="315">
        <v>3.4861583497622872</v>
      </c>
      <c r="J3475" s="315">
        <v>2.0757438322980709E-3</v>
      </c>
      <c r="K3475" s="316" t="str">
        <f t="shared" si="56"/>
        <v>Agricultural Equipment</v>
      </c>
      <c r="L3475" s="316" t="str">
        <f t="shared" si="57"/>
        <v>Gasoline</v>
      </c>
      <c r="M3475" s="194"/>
      <c r="N3475" s="317"/>
      <c r="O3475" s="317"/>
      <c r="P3475" s="317"/>
      <c r="Q3475" s="317"/>
      <c r="R3475" s="317"/>
      <c r="S3475" s="317"/>
      <c r="T3475" s="317"/>
      <c r="U3475" s="317"/>
      <c r="V3475" s="317"/>
      <c r="W3475" s="317"/>
      <c r="X3475" s="317"/>
      <c r="Y3475" s="317"/>
      <c r="Z3475" s="317"/>
    </row>
    <row r="3476" spans="1:26" x14ac:dyDescent="0.25">
      <c r="A3476" s="314"/>
      <c r="B3476" s="18">
        <v>2023</v>
      </c>
      <c r="C3476" s="18" t="s">
        <v>773</v>
      </c>
      <c r="D3476" s="18" t="s">
        <v>1247</v>
      </c>
      <c r="E3476" s="18" t="s">
        <v>56</v>
      </c>
      <c r="F3476" s="18" t="s">
        <v>672</v>
      </c>
      <c r="G3476" s="18" t="s">
        <v>674</v>
      </c>
      <c r="H3476" s="18" t="s">
        <v>967</v>
      </c>
      <c r="I3476" s="315">
        <v>3.4860070307575257</v>
      </c>
      <c r="J3476" s="315">
        <v>1.64696650634667E-4</v>
      </c>
      <c r="K3476" s="316" t="str">
        <f t="shared" si="56"/>
        <v>Construction and Mining Equipment</v>
      </c>
      <c r="L3476" s="316" t="str">
        <f t="shared" si="57"/>
        <v>LPG</v>
      </c>
      <c r="M3476" s="194"/>
      <c r="N3476" s="317"/>
      <c r="O3476" s="317"/>
      <c r="P3476" s="317"/>
      <c r="Q3476" s="317"/>
      <c r="R3476" s="317"/>
      <c r="S3476" s="317"/>
      <c r="T3476" s="317"/>
      <c r="U3476" s="317"/>
      <c r="V3476" s="317"/>
      <c r="W3476" s="317"/>
      <c r="X3476" s="317"/>
      <c r="Y3476" s="317"/>
      <c r="Z3476" s="317"/>
    </row>
    <row r="3477" spans="1:26" x14ac:dyDescent="0.25">
      <c r="A3477" s="314"/>
      <c r="B3477" s="18">
        <v>2023</v>
      </c>
      <c r="C3477" s="18" t="s">
        <v>709</v>
      </c>
      <c r="D3477" s="18" t="s">
        <v>1320</v>
      </c>
      <c r="E3477" s="18" t="s">
        <v>713</v>
      </c>
      <c r="F3477" s="18" t="s">
        <v>676</v>
      </c>
      <c r="G3477" s="18" t="s">
        <v>79</v>
      </c>
      <c r="H3477" s="18" t="s">
        <v>730</v>
      </c>
      <c r="I3477" s="315">
        <v>3.4805941638641058</v>
      </c>
      <c r="J3477" s="315">
        <v>2.2758472309863459E-4</v>
      </c>
      <c r="K3477" s="316" t="str">
        <f t="shared" si="56"/>
        <v>Pleasure Craft</v>
      </c>
      <c r="L3477" s="316" t="str">
        <f t="shared" si="57"/>
        <v>Diesel</v>
      </c>
      <c r="M3477" s="194"/>
      <c r="N3477" s="317"/>
      <c r="O3477" s="317"/>
      <c r="P3477" s="317"/>
      <c r="Q3477" s="317"/>
      <c r="R3477" s="317"/>
      <c r="S3477" s="317"/>
      <c r="T3477" s="317"/>
      <c r="U3477" s="317"/>
      <c r="V3477" s="317"/>
      <c r="W3477" s="317"/>
      <c r="X3477" s="317"/>
      <c r="Y3477" s="317"/>
      <c r="Z3477" s="317"/>
    </row>
    <row r="3478" spans="1:26" x14ac:dyDescent="0.25">
      <c r="A3478" s="314"/>
      <c r="B3478" s="18">
        <v>2023</v>
      </c>
      <c r="C3478" s="18" t="s">
        <v>773</v>
      </c>
      <c r="D3478" s="18" t="s">
        <v>1248</v>
      </c>
      <c r="E3478" s="18" t="s">
        <v>703</v>
      </c>
      <c r="F3478" s="18" t="s">
        <v>704</v>
      </c>
      <c r="G3478" s="18" t="s">
        <v>674</v>
      </c>
      <c r="H3478" s="18" t="s">
        <v>959</v>
      </c>
      <c r="I3478" s="315">
        <v>3.4804934724959864</v>
      </c>
      <c r="J3478" s="315">
        <v>2.3169844246129379E-3</v>
      </c>
      <c r="K3478" s="316" t="str">
        <f t="shared" si="56"/>
        <v>Construction and Mining Equipment</v>
      </c>
      <c r="L3478" s="316" t="str">
        <f t="shared" si="57"/>
        <v>Gasoline</v>
      </c>
      <c r="M3478" s="194"/>
      <c r="N3478" s="317"/>
      <c r="O3478" s="317"/>
      <c r="P3478" s="317"/>
      <c r="Q3478" s="317"/>
      <c r="R3478" s="317"/>
      <c r="S3478" s="317"/>
      <c r="T3478" s="317"/>
      <c r="U3478" s="317"/>
      <c r="V3478" s="317"/>
      <c r="W3478" s="317"/>
      <c r="X3478" s="317"/>
      <c r="Y3478" s="317"/>
      <c r="Z3478" s="317"/>
    </row>
    <row r="3479" spans="1:26" x14ac:dyDescent="0.25">
      <c r="A3479" s="314"/>
      <c r="B3479" s="18">
        <v>2023</v>
      </c>
      <c r="C3479" s="18" t="s">
        <v>711</v>
      </c>
      <c r="D3479" s="18" t="s">
        <v>1583</v>
      </c>
      <c r="E3479" s="18" t="s">
        <v>703</v>
      </c>
      <c r="F3479" s="18" t="s">
        <v>805</v>
      </c>
      <c r="G3479" s="18" t="s">
        <v>674</v>
      </c>
      <c r="H3479" s="18" t="s">
        <v>1036</v>
      </c>
      <c r="I3479" s="315">
        <v>3.4609837927045666</v>
      </c>
      <c r="J3479" s="315">
        <v>7.1629854199558246E-3</v>
      </c>
      <c r="K3479" s="316" t="str">
        <f t="shared" si="56"/>
        <v>Construction and Mining Equipment</v>
      </c>
      <c r="L3479" s="316" t="str">
        <f t="shared" si="57"/>
        <v>Gasoline</v>
      </c>
      <c r="M3479" s="194"/>
      <c r="N3479" s="317"/>
      <c r="O3479" s="317"/>
      <c r="P3479" s="317"/>
      <c r="Q3479" s="317"/>
      <c r="R3479" s="317"/>
      <c r="S3479" s="317"/>
      <c r="T3479" s="317"/>
      <c r="U3479" s="317"/>
      <c r="V3479" s="317"/>
      <c r="W3479" s="317"/>
      <c r="X3479" s="317"/>
      <c r="Y3479" s="317"/>
      <c r="Z3479" s="317"/>
    </row>
    <row r="3480" spans="1:26" x14ac:dyDescent="0.25">
      <c r="A3480" s="314"/>
      <c r="B3480" s="18">
        <v>2023</v>
      </c>
      <c r="C3480" s="18" t="s">
        <v>778</v>
      </c>
      <c r="D3480" s="18" t="s">
        <v>1409</v>
      </c>
      <c r="E3480" s="18" t="s">
        <v>703</v>
      </c>
      <c r="F3480" s="18" t="s">
        <v>704</v>
      </c>
      <c r="G3480" s="18" t="s">
        <v>678</v>
      </c>
      <c r="H3480" s="18" t="s">
        <v>1222</v>
      </c>
      <c r="I3480" s="315">
        <v>3.4587277468294726</v>
      </c>
      <c r="J3480" s="315">
        <v>2.2824465776256166E-3</v>
      </c>
      <c r="K3480" s="316" t="str">
        <f t="shared" si="56"/>
        <v>Agricultural Equipment</v>
      </c>
      <c r="L3480" s="316" t="str">
        <f t="shared" si="57"/>
        <v>Gasoline</v>
      </c>
      <c r="M3480" s="194"/>
      <c r="N3480" s="317"/>
      <c r="O3480" s="317"/>
      <c r="P3480" s="317"/>
      <c r="Q3480" s="317"/>
      <c r="R3480" s="317"/>
      <c r="S3480" s="317"/>
      <c r="T3480" s="317"/>
      <c r="U3480" s="317"/>
      <c r="V3480" s="317"/>
      <c r="W3480" s="317"/>
      <c r="X3480" s="317"/>
      <c r="Y3480" s="317"/>
      <c r="Z3480" s="317"/>
    </row>
    <row r="3481" spans="1:26" x14ac:dyDescent="0.25">
      <c r="A3481" s="314"/>
      <c r="B3481" s="18">
        <v>2023</v>
      </c>
      <c r="C3481" s="18" t="s">
        <v>754</v>
      </c>
      <c r="D3481" s="18" t="s">
        <v>1360</v>
      </c>
      <c r="E3481" s="18" t="s">
        <v>713</v>
      </c>
      <c r="F3481" s="18" t="s">
        <v>714</v>
      </c>
      <c r="G3481" s="18" t="s">
        <v>674</v>
      </c>
      <c r="H3481" s="18" t="s">
        <v>1220</v>
      </c>
      <c r="I3481" s="315">
        <v>3.4520402060305195</v>
      </c>
      <c r="J3481" s="315">
        <v>1.5356003681235044E-4</v>
      </c>
      <c r="K3481" s="316" t="str">
        <f t="shared" si="56"/>
        <v>Construction and Mining Equipment</v>
      </c>
      <c r="L3481" s="316" t="str">
        <f t="shared" si="57"/>
        <v>Diesel</v>
      </c>
      <c r="M3481" s="194"/>
      <c r="N3481" s="317"/>
      <c r="O3481" s="317"/>
      <c r="P3481" s="317"/>
      <c r="Q3481" s="317"/>
      <c r="R3481" s="317"/>
      <c r="S3481" s="317"/>
      <c r="T3481" s="317"/>
      <c r="U3481" s="317"/>
      <c r="V3481" s="317"/>
      <c r="W3481" s="317"/>
      <c r="X3481" s="317"/>
      <c r="Y3481" s="317"/>
      <c r="Z3481" s="317"/>
    </row>
    <row r="3482" spans="1:26" x14ac:dyDescent="0.25">
      <c r="A3482" s="314"/>
      <c r="B3482" s="18">
        <v>2023</v>
      </c>
      <c r="C3482" s="18" t="s">
        <v>787</v>
      </c>
      <c r="D3482" s="18" t="s">
        <v>1339</v>
      </c>
      <c r="E3482" s="18" t="s">
        <v>56</v>
      </c>
      <c r="F3482" s="18" t="s">
        <v>672</v>
      </c>
      <c r="G3482" s="18" t="s">
        <v>674</v>
      </c>
      <c r="H3482" s="18" t="s">
        <v>770</v>
      </c>
      <c r="I3482" s="315">
        <v>3.4492900932458164</v>
      </c>
      <c r="J3482" s="315">
        <v>2.5470427304588513E-4</v>
      </c>
      <c r="K3482" s="316" t="str">
        <f t="shared" si="56"/>
        <v>Construction and Mining Equipment</v>
      </c>
      <c r="L3482" s="316" t="str">
        <f t="shared" si="57"/>
        <v>LPG</v>
      </c>
      <c r="M3482" s="194"/>
      <c r="N3482" s="317"/>
      <c r="O3482" s="317"/>
      <c r="P3482" s="317"/>
      <c r="Q3482" s="317"/>
      <c r="R3482" s="317"/>
      <c r="S3482" s="317"/>
      <c r="T3482" s="317"/>
      <c r="U3482" s="317"/>
      <c r="V3482" s="317"/>
      <c r="W3482" s="317"/>
      <c r="X3482" s="317"/>
      <c r="Y3482" s="317"/>
      <c r="Z3482" s="317"/>
    </row>
    <row r="3483" spans="1:26" x14ac:dyDescent="0.25">
      <c r="A3483" s="314"/>
      <c r="B3483" s="18">
        <v>2023</v>
      </c>
      <c r="C3483" s="18" t="s">
        <v>750</v>
      </c>
      <c r="D3483" s="18" t="s">
        <v>1460</v>
      </c>
      <c r="E3483" s="18" t="s">
        <v>703</v>
      </c>
      <c r="F3483" s="18" t="s">
        <v>704</v>
      </c>
      <c r="G3483" s="18" t="s">
        <v>678</v>
      </c>
      <c r="H3483" s="18" t="s">
        <v>1080</v>
      </c>
      <c r="I3483" s="315">
        <v>3.4486334833210215</v>
      </c>
      <c r="J3483" s="315">
        <v>2.0953738980670567E-3</v>
      </c>
      <c r="K3483" s="316" t="str">
        <f t="shared" si="56"/>
        <v>Agricultural Equipment</v>
      </c>
      <c r="L3483" s="316" t="str">
        <f t="shared" si="57"/>
        <v>Gasoline</v>
      </c>
      <c r="M3483" s="194"/>
      <c r="N3483" s="317"/>
      <c r="O3483" s="317"/>
      <c r="P3483" s="317"/>
      <c r="Q3483" s="317"/>
      <c r="R3483" s="317"/>
      <c r="S3483" s="317"/>
      <c r="T3483" s="317"/>
      <c r="U3483" s="317"/>
      <c r="V3483" s="317"/>
      <c r="W3483" s="317"/>
      <c r="X3483" s="317"/>
      <c r="Y3483" s="317"/>
      <c r="Z3483" s="317"/>
    </row>
    <row r="3484" spans="1:26" x14ac:dyDescent="0.25">
      <c r="A3484" s="314"/>
      <c r="B3484" s="18">
        <v>2023</v>
      </c>
      <c r="C3484" s="18" t="s">
        <v>711</v>
      </c>
      <c r="D3484" s="18" t="s">
        <v>1617</v>
      </c>
      <c r="E3484" s="18" t="s">
        <v>703</v>
      </c>
      <c r="F3484" s="18" t="s">
        <v>805</v>
      </c>
      <c r="G3484" s="18" t="s">
        <v>675</v>
      </c>
      <c r="H3484" s="18" t="s">
        <v>802</v>
      </c>
      <c r="I3484" s="315">
        <v>3.4466039909469339</v>
      </c>
      <c r="J3484" s="315">
        <v>7.701114998101913E-3</v>
      </c>
      <c r="K3484" s="316" t="str">
        <f t="shared" si="56"/>
        <v>Industrial Equipment</v>
      </c>
      <c r="L3484" s="316" t="str">
        <f t="shared" si="57"/>
        <v>Gasoline</v>
      </c>
      <c r="M3484" s="194"/>
      <c r="N3484" s="317"/>
      <c r="O3484" s="317"/>
      <c r="P3484" s="317"/>
      <c r="Q3484" s="317"/>
      <c r="R3484" s="317"/>
      <c r="S3484" s="317"/>
      <c r="T3484" s="317"/>
      <c r="U3484" s="317"/>
      <c r="V3484" s="317"/>
      <c r="W3484" s="317"/>
      <c r="X3484" s="317"/>
      <c r="Y3484" s="317"/>
      <c r="Z3484" s="317"/>
    </row>
    <row r="3485" spans="1:26" x14ac:dyDescent="0.25">
      <c r="A3485" s="314"/>
      <c r="B3485" s="18">
        <v>2023</v>
      </c>
      <c r="C3485" s="18" t="s">
        <v>754</v>
      </c>
      <c r="D3485" s="18" t="s">
        <v>1361</v>
      </c>
      <c r="E3485" s="18" t="s">
        <v>56</v>
      </c>
      <c r="F3485" s="18" t="s">
        <v>672</v>
      </c>
      <c r="G3485" s="18" t="s">
        <v>674</v>
      </c>
      <c r="H3485" s="18" t="s">
        <v>783</v>
      </c>
      <c r="I3485" s="315">
        <v>3.409738102004622</v>
      </c>
      <c r="J3485" s="315">
        <v>1.5652903481233721E-4</v>
      </c>
      <c r="K3485" s="316" t="str">
        <f t="shared" si="56"/>
        <v>Construction and Mining Equipment</v>
      </c>
      <c r="L3485" s="316" t="str">
        <f t="shared" si="57"/>
        <v>LPG</v>
      </c>
      <c r="M3485" s="194"/>
      <c r="N3485" s="317"/>
      <c r="O3485" s="317"/>
      <c r="P3485" s="317"/>
      <c r="Q3485" s="317"/>
      <c r="R3485" s="317"/>
      <c r="S3485" s="317"/>
      <c r="T3485" s="317"/>
      <c r="U3485" s="317"/>
      <c r="V3485" s="317"/>
      <c r="W3485" s="317"/>
      <c r="X3485" s="317"/>
      <c r="Y3485" s="317"/>
      <c r="Z3485" s="317"/>
    </row>
    <row r="3486" spans="1:26" x14ac:dyDescent="0.25">
      <c r="A3486" s="314"/>
      <c r="B3486" s="18">
        <v>2023</v>
      </c>
      <c r="C3486" s="18" t="s">
        <v>793</v>
      </c>
      <c r="D3486" s="18" t="s">
        <v>1292</v>
      </c>
      <c r="E3486" s="18" t="s">
        <v>703</v>
      </c>
      <c r="F3486" s="18" t="s">
        <v>795</v>
      </c>
      <c r="G3486" s="18" t="s">
        <v>675</v>
      </c>
      <c r="H3486" s="18" t="s">
        <v>1293</v>
      </c>
      <c r="I3486" s="315">
        <v>3.4058487897714476</v>
      </c>
      <c r="J3486" s="315">
        <v>2.2788086763054411E-3</v>
      </c>
      <c r="K3486" s="316" t="str">
        <f t="shared" si="56"/>
        <v>Industrial Equipment</v>
      </c>
      <c r="L3486" s="316" t="str">
        <f t="shared" si="57"/>
        <v>Gasoline</v>
      </c>
      <c r="M3486" s="194"/>
      <c r="N3486" s="317"/>
      <c r="O3486" s="317"/>
      <c r="P3486" s="317"/>
      <c r="Q3486" s="317"/>
      <c r="R3486" s="317"/>
      <c r="S3486" s="317"/>
      <c r="T3486" s="317"/>
      <c r="U3486" s="317"/>
      <c r="V3486" s="317"/>
      <c r="W3486" s="317"/>
      <c r="X3486" s="317"/>
      <c r="Y3486" s="317"/>
      <c r="Z3486" s="317"/>
    </row>
    <row r="3487" spans="1:26" x14ac:dyDescent="0.25">
      <c r="A3487" s="314"/>
      <c r="B3487" s="18">
        <v>2023</v>
      </c>
      <c r="C3487" s="18" t="s">
        <v>762</v>
      </c>
      <c r="D3487" s="18" t="s">
        <v>1657</v>
      </c>
      <c r="E3487" s="18" t="s">
        <v>713</v>
      </c>
      <c r="F3487" s="18" t="s">
        <v>714</v>
      </c>
      <c r="G3487" s="18" t="s">
        <v>678</v>
      </c>
      <c r="H3487" s="18" t="s">
        <v>1638</v>
      </c>
      <c r="I3487" s="315">
        <v>3.4042609239185686</v>
      </c>
      <c r="J3487" s="315">
        <v>3.7779656355487022E-5</v>
      </c>
      <c r="K3487" s="316" t="str">
        <f t="shared" si="56"/>
        <v>Agricultural Equipment</v>
      </c>
      <c r="L3487" s="316" t="str">
        <f t="shared" si="57"/>
        <v>Diesel</v>
      </c>
      <c r="M3487" s="194"/>
      <c r="N3487" s="317"/>
      <c r="O3487" s="317"/>
      <c r="P3487" s="317"/>
      <c r="Q3487" s="317"/>
      <c r="R3487" s="317"/>
      <c r="S3487" s="317"/>
      <c r="T3487" s="317"/>
      <c r="U3487" s="317"/>
      <c r="V3487" s="317"/>
      <c r="W3487" s="317"/>
      <c r="X3487" s="317"/>
      <c r="Y3487" s="317"/>
      <c r="Z3487" s="317"/>
    </row>
    <row r="3488" spans="1:26" x14ac:dyDescent="0.25">
      <c r="A3488" s="314"/>
      <c r="B3488" s="18">
        <v>2023</v>
      </c>
      <c r="C3488" s="18" t="s">
        <v>810</v>
      </c>
      <c r="D3488" s="18" t="s">
        <v>1215</v>
      </c>
      <c r="E3488" s="18" t="s">
        <v>56</v>
      </c>
      <c r="F3488" s="18" t="s">
        <v>672</v>
      </c>
      <c r="G3488" s="18" t="s">
        <v>674</v>
      </c>
      <c r="H3488" s="18" t="s">
        <v>756</v>
      </c>
      <c r="I3488" s="315">
        <v>3.3907833864403605</v>
      </c>
      <c r="J3488" s="315">
        <v>6.2730864477204655E-4</v>
      </c>
      <c r="K3488" s="316" t="str">
        <f t="shared" si="56"/>
        <v>Construction and Mining Equipment</v>
      </c>
      <c r="L3488" s="316" t="str">
        <f t="shared" si="57"/>
        <v>LPG</v>
      </c>
      <c r="M3488" s="194"/>
      <c r="N3488" s="317"/>
      <c r="O3488" s="317"/>
      <c r="P3488" s="317"/>
      <c r="Q3488" s="317"/>
      <c r="R3488" s="317"/>
      <c r="S3488" s="317"/>
      <c r="T3488" s="317"/>
      <c r="U3488" s="317"/>
      <c r="V3488" s="317"/>
      <c r="W3488" s="317"/>
      <c r="X3488" s="317"/>
      <c r="Y3488" s="317"/>
      <c r="Z3488" s="317"/>
    </row>
    <row r="3489" spans="1:26" x14ac:dyDescent="0.25">
      <c r="A3489" s="314"/>
      <c r="B3489" s="18">
        <v>2023</v>
      </c>
      <c r="C3489" s="18" t="s">
        <v>778</v>
      </c>
      <c r="D3489" s="18" t="s">
        <v>1416</v>
      </c>
      <c r="E3489" s="18" t="s">
        <v>56</v>
      </c>
      <c r="F3489" s="18" t="s">
        <v>672</v>
      </c>
      <c r="G3489" s="18" t="s">
        <v>674</v>
      </c>
      <c r="H3489" s="18" t="s">
        <v>861</v>
      </c>
      <c r="I3489" s="315">
        <v>3.382923896028712</v>
      </c>
      <c r="J3489" s="315">
        <v>2.2850427970644541E-3</v>
      </c>
      <c r="K3489" s="316" t="str">
        <f t="shared" si="56"/>
        <v>Construction and Mining Equipment</v>
      </c>
      <c r="L3489" s="316" t="str">
        <f t="shared" si="57"/>
        <v>LPG</v>
      </c>
      <c r="M3489" s="194"/>
      <c r="N3489" s="317"/>
      <c r="O3489" s="317"/>
      <c r="P3489" s="317"/>
      <c r="Q3489" s="317"/>
      <c r="R3489" s="317"/>
      <c r="S3489" s="317"/>
      <c r="T3489" s="317"/>
      <c r="U3489" s="317"/>
      <c r="V3489" s="317"/>
      <c r="W3489" s="317"/>
      <c r="X3489" s="317"/>
      <c r="Y3489" s="317"/>
      <c r="Z3489" s="317"/>
    </row>
    <row r="3490" spans="1:26" x14ac:dyDescent="0.25">
      <c r="A3490" s="314"/>
      <c r="B3490" s="18">
        <v>2023</v>
      </c>
      <c r="C3490" s="18" t="s">
        <v>759</v>
      </c>
      <c r="D3490" s="18" t="s">
        <v>1014</v>
      </c>
      <c r="E3490" s="18" t="s">
        <v>713</v>
      </c>
      <c r="F3490" s="18" t="s">
        <v>714</v>
      </c>
      <c r="G3490" s="18" t="s">
        <v>674</v>
      </c>
      <c r="H3490" s="18" t="s">
        <v>994</v>
      </c>
      <c r="I3490" s="315">
        <v>3.3767758052863974</v>
      </c>
      <c r="J3490" s="315">
        <v>4.398617483917847E-5</v>
      </c>
      <c r="K3490" s="316" t="str">
        <f t="shared" si="56"/>
        <v>Construction and Mining Equipment</v>
      </c>
      <c r="L3490" s="316" t="str">
        <f t="shared" si="57"/>
        <v>Diesel</v>
      </c>
      <c r="M3490" s="194"/>
      <c r="N3490" s="317"/>
      <c r="O3490" s="317"/>
      <c r="P3490" s="317"/>
      <c r="Q3490" s="317"/>
      <c r="R3490" s="317"/>
      <c r="S3490" s="317"/>
      <c r="T3490" s="317"/>
      <c r="U3490" s="317"/>
      <c r="V3490" s="317"/>
      <c r="W3490" s="317"/>
      <c r="X3490" s="317"/>
      <c r="Y3490" s="317"/>
      <c r="Z3490" s="317"/>
    </row>
    <row r="3491" spans="1:26" x14ac:dyDescent="0.25">
      <c r="A3491" s="314"/>
      <c r="B3491" s="18">
        <v>2023</v>
      </c>
      <c r="C3491" s="18" t="s">
        <v>754</v>
      </c>
      <c r="D3491" s="18" t="s">
        <v>1362</v>
      </c>
      <c r="E3491" s="18" t="s">
        <v>56</v>
      </c>
      <c r="F3491" s="18" t="s">
        <v>672</v>
      </c>
      <c r="G3491" s="18" t="s">
        <v>674</v>
      </c>
      <c r="H3491" s="18" t="s">
        <v>859</v>
      </c>
      <c r="I3491" s="315">
        <v>3.3690407274992102</v>
      </c>
      <c r="J3491" s="315">
        <v>8.3559388160191455E-4</v>
      </c>
      <c r="K3491" s="316" t="str">
        <f t="shared" si="56"/>
        <v>Construction and Mining Equipment</v>
      </c>
      <c r="L3491" s="316" t="str">
        <f t="shared" si="57"/>
        <v>LPG</v>
      </c>
      <c r="M3491" s="194"/>
      <c r="N3491" s="317"/>
      <c r="O3491" s="317"/>
      <c r="P3491" s="317"/>
      <c r="Q3491" s="317"/>
      <c r="R3491" s="317"/>
      <c r="S3491" s="317"/>
      <c r="T3491" s="317"/>
      <c r="U3491" s="317"/>
      <c r="V3491" s="317"/>
      <c r="W3491" s="317"/>
      <c r="X3491" s="317"/>
      <c r="Y3491" s="317"/>
      <c r="Z3491" s="317"/>
    </row>
    <row r="3492" spans="1:26" x14ac:dyDescent="0.25">
      <c r="A3492" s="314"/>
      <c r="B3492" s="18">
        <v>2023</v>
      </c>
      <c r="C3492" s="18" t="s">
        <v>787</v>
      </c>
      <c r="D3492" s="18" t="s">
        <v>1539</v>
      </c>
      <c r="E3492" s="18" t="s">
        <v>703</v>
      </c>
      <c r="F3492" s="18" t="s">
        <v>704</v>
      </c>
      <c r="G3492" s="18" t="s">
        <v>678</v>
      </c>
      <c r="H3492" s="18" t="s">
        <v>1230</v>
      </c>
      <c r="I3492" s="315">
        <v>3.3668994591165684</v>
      </c>
      <c r="J3492" s="315">
        <v>2.0099295317544674E-3</v>
      </c>
      <c r="K3492" s="316" t="str">
        <f t="shared" si="56"/>
        <v>Agricultural Equipment</v>
      </c>
      <c r="L3492" s="316" t="str">
        <f t="shared" si="57"/>
        <v>Gasoline</v>
      </c>
      <c r="M3492" s="194"/>
      <c r="N3492" s="317"/>
      <c r="O3492" s="317"/>
      <c r="P3492" s="317"/>
      <c r="Q3492" s="317"/>
      <c r="R3492" s="317"/>
      <c r="S3492" s="317"/>
      <c r="T3492" s="317"/>
      <c r="U3492" s="317"/>
      <c r="V3492" s="317"/>
      <c r="W3492" s="317"/>
      <c r="X3492" s="317"/>
      <c r="Y3492" s="317"/>
      <c r="Z3492" s="317"/>
    </row>
    <row r="3493" spans="1:26" x14ac:dyDescent="0.25">
      <c r="A3493" s="314"/>
      <c r="B3493" s="18">
        <v>2023</v>
      </c>
      <c r="C3493" s="18" t="s">
        <v>727</v>
      </c>
      <c r="D3493" s="18" t="s">
        <v>1212</v>
      </c>
      <c r="E3493" s="18" t="s">
        <v>56</v>
      </c>
      <c r="F3493" s="18" t="s">
        <v>672</v>
      </c>
      <c r="G3493" s="18" t="s">
        <v>675</v>
      </c>
      <c r="H3493" s="18" t="s">
        <v>798</v>
      </c>
      <c r="I3493" s="315">
        <v>3.3634958933071757</v>
      </c>
      <c r="J3493" s="315">
        <v>1.5197542493044933E-4</v>
      </c>
      <c r="K3493" s="316" t="str">
        <f t="shared" si="56"/>
        <v>Industrial Equipment</v>
      </c>
      <c r="L3493" s="316" t="str">
        <f t="shared" si="57"/>
        <v>LPG</v>
      </c>
      <c r="M3493" s="194"/>
      <c r="N3493" s="317"/>
      <c r="O3493" s="317"/>
      <c r="P3493" s="317"/>
      <c r="Q3493" s="317"/>
      <c r="R3493" s="317"/>
      <c r="S3493" s="317"/>
      <c r="T3493" s="317"/>
      <c r="U3493" s="317"/>
      <c r="V3493" s="317"/>
      <c r="W3493" s="317"/>
      <c r="X3493" s="317"/>
      <c r="Y3493" s="317"/>
      <c r="Z3493" s="317"/>
    </row>
    <row r="3494" spans="1:26" x14ac:dyDescent="0.25">
      <c r="A3494" s="314"/>
      <c r="B3494" s="18">
        <v>2023</v>
      </c>
      <c r="C3494" s="18" t="s">
        <v>722</v>
      </c>
      <c r="D3494" s="18" t="s">
        <v>1425</v>
      </c>
      <c r="E3494" s="18" t="s">
        <v>56</v>
      </c>
      <c r="F3494" s="18" t="s">
        <v>672</v>
      </c>
      <c r="G3494" s="18" t="s">
        <v>674</v>
      </c>
      <c r="H3494" s="18" t="s">
        <v>791</v>
      </c>
      <c r="I3494" s="315">
        <v>3.3625098769160302</v>
      </c>
      <c r="J3494" s="315">
        <v>6.4638262493611407E-4</v>
      </c>
      <c r="K3494" s="316" t="str">
        <f t="shared" si="56"/>
        <v>Construction and Mining Equipment</v>
      </c>
      <c r="L3494" s="316" t="str">
        <f t="shared" si="57"/>
        <v>LPG</v>
      </c>
      <c r="M3494" s="194"/>
      <c r="N3494" s="317"/>
      <c r="O3494" s="317"/>
      <c r="P3494" s="317"/>
      <c r="Q3494" s="317"/>
      <c r="R3494" s="317"/>
      <c r="S3494" s="317"/>
      <c r="T3494" s="317"/>
      <c r="U3494" s="317"/>
      <c r="V3494" s="317"/>
      <c r="W3494" s="317"/>
      <c r="X3494" s="317"/>
      <c r="Y3494" s="317"/>
      <c r="Z3494" s="317"/>
    </row>
    <row r="3495" spans="1:26" x14ac:dyDescent="0.25">
      <c r="A3495" s="314"/>
      <c r="B3495" s="18">
        <v>2023</v>
      </c>
      <c r="C3495" s="18" t="s">
        <v>727</v>
      </c>
      <c r="D3495" s="18" t="s">
        <v>1281</v>
      </c>
      <c r="E3495" s="18" t="s">
        <v>703</v>
      </c>
      <c r="F3495" s="18" t="s">
        <v>704</v>
      </c>
      <c r="G3495" s="18" t="s">
        <v>674</v>
      </c>
      <c r="H3495" s="18" t="s">
        <v>770</v>
      </c>
      <c r="I3495" s="315">
        <v>3.330197034518243</v>
      </c>
      <c r="J3495" s="315">
        <v>3.6609679642634832E-4</v>
      </c>
      <c r="K3495" s="316" t="str">
        <f t="shared" si="56"/>
        <v>Construction and Mining Equipment</v>
      </c>
      <c r="L3495" s="316" t="str">
        <f t="shared" si="57"/>
        <v>Gasoline</v>
      </c>
      <c r="M3495" s="194"/>
      <c r="N3495" s="317"/>
      <c r="O3495" s="317"/>
      <c r="P3495" s="317"/>
      <c r="Q3495" s="317"/>
      <c r="R3495" s="317"/>
      <c r="S3495" s="317"/>
      <c r="T3495" s="317"/>
      <c r="U3495" s="317"/>
      <c r="V3495" s="317"/>
      <c r="W3495" s="317"/>
      <c r="X3495" s="317"/>
      <c r="Y3495" s="317"/>
      <c r="Z3495" s="317"/>
    </row>
    <row r="3496" spans="1:26" x14ac:dyDescent="0.25">
      <c r="A3496" s="314"/>
      <c r="B3496" s="18">
        <v>2023</v>
      </c>
      <c r="C3496" s="18" t="s">
        <v>754</v>
      </c>
      <c r="D3496" s="18" t="s">
        <v>1401</v>
      </c>
      <c r="E3496" s="18" t="s">
        <v>56</v>
      </c>
      <c r="F3496" s="18" t="s">
        <v>601</v>
      </c>
      <c r="G3496" s="18" t="s">
        <v>677</v>
      </c>
      <c r="H3496" s="18" t="s">
        <v>785</v>
      </c>
      <c r="I3496" s="315">
        <v>3.3231242377999544</v>
      </c>
      <c r="J3496" s="315">
        <v>1.4404230170330509E-2</v>
      </c>
      <c r="K3496" s="316" t="str">
        <f t="shared" si="56"/>
        <v>Commercial Equipment</v>
      </c>
      <c r="L3496" s="316" t="str">
        <f t="shared" si="57"/>
        <v>CNG</v>
      </c>
      <c r="M3496" s="194"/>
      <c r="N3496" s="317"/>
      <c r="O3496" s="317"/>
      <c r="P3496" s="317"/>
      <c r="Q3496" s="317"/>
      <c r="R3496" s="317"/>
      <c r="S3496" s="317"/>
      <c r="T3496" s="317"/>
      <c r="U3496" s="317"/>
      <c r="V3496" s="317"/>
      <c r="W3496" s="317"/>
      <c r="X3496" s="317"/>
      <c r="Y3496" s="317"/>
      <c r="Z3496" s="317"/>
    </row>
    <row r="3497" spans="1:26" x14ac:dyDescent="0.25">
      <c r="A3497" s="314"/>
      <c r="B3497" s="18">
        <v>2023</v>
      </c>
      <c r="C3497" s="18" t="s">
        <v>732</v>
      </c>
      <c r="D3497" s="18" t="s">
        <v>1657</v>
      </c>
      <c r="E3497" s="18" t="s">
        <v>713</v>
      </c>
      <c r="F3497" s="18" t="s">
        <v>714</v>
      </c>
      <c r="G3497" s="18" t="s">
        <v>678</v>
      </c>
      <c r="H3497" s="18" t="s">
        <v>1638</v>
      </c>
      <c r="I3497" s="315">
        <v>3.3207223201572189</v>
      </c>
      <c r="J3497" s="315">
        <v>3.6852654579476721E-5</v>
      </c>
      <c r="K3497" s="316" t="str">
        <f t="shared" si="56"/>
        <v>Agricultural Equipment</v>
      </c>
      <c r="L3497" s="316" t="str">
        <f t="shared" si="57"/>
        <v>Diesel</v>
      </c>
      <c r="M3497" s="194"/>
      <c r="N3497" s="317"/>
      <c r="O3497" s="317"/>
      <c r="P3497" s="317"/>
      <c r="Q3497" s="317"/>
      <c r="R3497" s="317"/>
      <c r="S3497" s="317"/>
      <c r="T3497" s="317"/>
      <c r="U3497" s="317"/>
      <c r="V3497" s="317"/>
      <c r="W3497" s="317"/>
      <c r="X3497" s="317"/>
      <c r="Y3497" s="317"/>
      <c r="Z3497" s="317"/>
    </row>
    <row r="3498" spans="1:26" x14ac:dyDescent="0.25">
      <c r="A3498" s="314"/>
      <c r="B3498" s="18">
        <v>2023</v>
      </c>
      <c r="C3498" s="18" t="s">
        <v>754</v>
      </c>
      <c r="D3498" s="18" t="s">
        <v>1366</v>
      </c>
      <c r="E3498" s="18" t="s">
        <v>703</v>
      </c>
      <c r="F3498" s="18" t="s">
        <v>704</v>
      </c>
      <c r="G3498" s="18" t="s">
        <v>674</v>
      </c>
      <c r="H3498" s="18" t="s">
        <v>791</v>
      </c>
      <c r="I3498" s="315">
        <v>3.3008983445260682</v>
      </c>
      <c r="J3498" s="315">
        <v>1.0358426967451598E-3</v>
      </c>
      <c r="K3498" s="316" t="str">
        <f t="shared" si="56"/>
        <v>Construction and Mining Equipment</v>
      </c>
      <c r="L3498" s="316" t="str">
        <f t="shared" si="57"/>
        <v>Gasoline</v>
      </c>
      <c r="M3498" s="194"/>
      <c r="N3498" s="317"/>
      <c r="O3498" s="317"/>
      <c r="P3498" s="317"/>
      <c r="Q3498" s="317"/>
      <c r="R3498" s="317"/>
      <c r="S3498" s="317"/>
      <c r="T3498" s="317"/>
      <c r="U3498" s="317"/>
      <c r="V3498" s="317"/>
      <c r="W3498" s="317"/>
      <c r="X3498" s="317"/>
      <c r="Y3498" s="317"/>
      <c r="Z3498" s="317"/>
    </row>
    <row r="3499" spans="1:26" x14ac:dyDescent="0.25">
      <c r="A3499" s="314"/>
      <c r="B3499" s="18">
        <v>2023</v>
      </c>
      <c r="C3499" s="18" t="s">
        <v>778</v>
      </c>
      <c r="D3499" s="18" t="s">
        <v>1001</v>
      </c>
      <c r="E3499" s="18" t="s">
        <v>713</v>
      </c>
      <c r="F3499" s="18" t="s">
        <v>683</v>
      </c>
      <c r="G3499" s="18" t="s">
        <v>79</v>
      </c>
      <c r="H3499" s="18" t="s">
        <v>1002</v>
      </c>
      <c r="I3499" s="315">
        <v>3.295019908033785</v>
      </c>
      <c r="J3499" s="315">
        <v>1.1075111657347422E-4</v>
      </c>
      <c r="K3499" s="316" t="str">
        <f t="shared" si="56"/>
        <v>Railroad Equipment</v>
      </c>
      <c r="L3499" s="316" t="str">
        <f t="shared" si="57"/>
        <v>Diesel</v>
      </c>
      <c r="M3499" s="194"/>
      <c r="N3499" s="317"/>
      <c r="O3499" s="317"/>
      <c r="P3499" s="317"/>
      <c r="Q3499" s="317"/>
      <c r="R3499" s="317"/>
      <c r="S3499" s="317"/>
      <c r="T3499" s="317"/>
      <c r="U3499" s="317"/>
      <c r="V3499" s="317"/>
      <c r="W3499" s="317"/>
      <c r="X3499" s="317"/>
      <c r="Y3499" s="317"/>
      <c r="Z3499" s="317"/>
    </row>
    <row r="3500" spans="1:26" x14ac:dyDescent="0.25">
      <c r="A3500" s="314"/>
      <c r="B3500" s="18">
        <v>2023</v>
      </c>
      <c r="C3500" s="18" t="s">
        <v>701</v>
      </c>
      <c r="D3500" s="18" t="s">
        <v>1656</v>
      </c>
      <c r="E3500" s="18" t="s">
        <v>56</v>
      </c>
      <c r="F3500" s="18" t="s">
        <v>672</v>
      </c>
      <c r="G3500" s="18" t="s">
        <v>677</v>
      </c>
      <c r="H3500" s="18" t="s">
        <v>1031</v>
      </c>
      <c r="I3500" s="315">
        <v>3.2778428080546607</v>
      </c>
      <c r="J3500" s="315">
        <v>1.6552268135991866E-4</v>
      </c>
      <c r="K3500" s="316" t="str">
        <f t="shared" si="56"/>
        <v>Commercial Equipment</v>
      </c>
      <c r="L3500" s="316" t="str">
        <f t="shared" si="57"/>
        <v>LPG</v>
      </c>
      <c r="M3500" s="194"/>
      <c r="N3500" s="317"/>
      <c r="O3500" s="317"/>
      <c r="P3500" s="317"/>
      <c r="Q3500" s="317"/>
      <c r="R3500" s="317"/>
      <c r="S3500" s="317"/>
      <c r="T3500" s="317"/>
      <c r="U3500" s="317"/>
      <c r="V3500" s="317"/>
      <c r="W3500" s="317"/>
      <c r="X3500" s="317"/>
      <c r="Y3500" s="317"/>
      <c r="Z3500" s="317"/>
    </row>
    <row r="3501" spans="1:26" x14ac:dyDescent="0.25">
      <c r="A3501" s="314"/>
      <c r="B3501" s="18">
        <v>2023</v>
      </c>
      <c r="C3501" s="18" t="s">
        <v>787</v>
      </c>
      <c r="D3501" s="18" t="s">
        <v>1338</v>
      </c>
      <c r="E3501" s="18" t="s">
        <v>703</v>
      </c>
      <c r="F3501" s="18" t="s">
        <v>805</v>
      </c>
      <c r="G3501" s="18" t="s">
        <v>673</v>
      </c>
      <c r="H3501" s="18" t="s">
        <v>987</v>
      </c>
      <c r="I3501" s="315">
        <v>3.2767338521963079</v>
      </c>
      <c r="J3501" s="315">
        <v>5.9835543925988808E-3</v>
      </c>
      <c r="K3501" s="316" t="str">
        <f t="shared" si="56"/>
        <v>Lawn and Garden Equipment</v>
      </c>
      <c r="L3501" s="316" t="str">
        <f t="shared" si="57"/>
        <v>Gasoline</v>
      </c>
      <c r="M3501" s="194"/>
      <c r="N3501" s="317"/>
      <c r="O3501" s="317"/>
      <c r="P3501" s="317"/>
      <c r="Q3501" s="317"/>
      <c r="R3501" s="317"/>
      <c r="S3501" s="317"/>
      <c r="T3501" s="317"/>
      <c r="U3501" s="317"/>
      <c r="V3501" s="317"/>
      <c r="W3501" s="317"/>
      <c r="X3501" s="317"/>
      <c r="Y3501" s="317"/>
      <c r="Z3501" s="317"/>
    </row>
    <row r="3502" spans="1:26" x14ac:dyDescent="0.25">
      <c r="A3502" s="314"/>
      <c r="B3502" s="18">
        <v>2023</v>
      </c>
      <c r="C3502" s="18" t="s">
        <v>792</v>
      </c>
      <c r="D3502" s="18" t="s">
        <v>1278</v>
      </c>
      <c r="E3502" s="18" t="s">
        <v>703</v>
      </c>
      <c r="F3502" s="18" t="s">
        <v>704</v>
      </c>
      <c r="G3502" s="18" t="s">
        <v>678</v>
      </c>
      <c r="H3502" s="18" t="s">
        <v>1279</v>
      </c>
      <c r="I3502" s="315">
        <v>3.2707372993870396</v>
      </c>
      <c r="J3502" s="315">
        <v>4.3818573190169468E-3</v>
      </c>
      <c r="K3502" s="316" t="str">
        <f t="shared" si="56"/>
        <v>Agricultural Equipment</v>
      </c>
      <c r="L3502" s="316" t="str">
        <f t="shared" si="57"/>
        <v>Gasoline</v>
      </c>
      <c r="M3502" s="194"/>
      <c r="N3502" s="317"/>
      <c r="O3502" s="317"/>
      <c r="P3502" s="317"/>
      <c r="Q3502" s="317"/>
      <c r="R3502" s="317"/>
      <c r="S3502" s="317"/>
      <c r="T3502" s="317"/>
      <c r="U3502" s="317"/>
      <c r="V3502" s="317"/>
      <c r="W3502" s="317"/>
      <c r="X3502" s="317"/>
      <c r="Y3502" s="317"/>
      <c r="Z3502" s="317"/>
    </row>
    <row r="3503" spans="1:26" x14ac:dyDescent="0.25">
      <c r="A3503" s="314"/>
      <c r="B3503" s="18">
        <v>2023</v>
      </c>
      <c r="C3503" s="18" t="s">
        <v>750</v>
      </c>
      <c r="D3503" s="18" t="s">
        <v>1338</v>
      </c>
      <c r="E3503" s="18" t="s">
        <v>703</v>
      </c>
      <c r="F3503" s="18" t="s">
        <v>805</v>
      </c>
      <c r="G3503" s="18" t="s">
        <v>673</v>
      </c>
      <c r="H3503" s="18" t="s">
        <v>987</v>
      </c>
      <c r="I3503" s="315">
        <v>3.2555729505635291</v>
      </c>
      <c r="J3503" s="315">
        <v>5.944907466116472E-3</v>
      </c>
      <c r="K3503" s="316" t="str">
        <f t="shared" si="56"/>
        <v>Lawn and Garden Equipment</v>
      </c>
      <c r="L3503" s="316" t="str">
        <f t="shared" si="57"/>
        <v>Gasoline</v>
      </c>
      <c r="M3503" s="194"/>
      <c r="N3503" s="317"/>
      <c r="O3503" s="317"/>
      <c r="P3503" s="317"/>
      <c r="Q3503" s="317"/>
      <c r="R3503" s="317"/>
      <c r="S3503" s="317"/>
      <c r="T3503" s="317"/>
      <c r="U3503" s="317"/>
      <c r="V3503" s="317"/>
      <c r="W3503" s="317"/>
      <c r="X3503" s="317"/>
      <c r="Y3503" s="317"/>
      <c r="Z3503" s="317"/>
    </row>
    <row r="3504" spans="1:26" x14ac:dyDescent="0.25">
      <c r="A3504" s="314"/>
      <c r="B3504" s="18">
        <v>2023</v>
      </c>
      <c r="C3504" s="18" t="s">
        <v>793</v>
      </c>
      <c r="D3504" s="18" t="s">
        <v>1281</v>
      </c>
      <c r="E3504" s="18" t="s">
        <v>703</v>
      </c>
      <c r="F3504" s="18" t="s">
        <v>704</v>
      </c>
      <c r="G3504" s="18" t="s">
        <v>674</v>
      </c>
      <c r="H3504" s="18" t="s">
        <v>770</v>
      </c>
      <c r="I3504" s="315">
        <v>3.2514697093349025</v>
      </c>
      <c r="J3504" s="315">
        <v>3.5792393082939621E-4</v>
      </c>
      <c r="K3504" s="316" t="str">
        <f t="shared" si="56"/>
        <v>Construction and Mining Equipment</v>
      </c>
      <c r="L3504" s="316" t="str">
        <f t="shared" si="57"/>
        <v>Gasoline</v>
      </c>
      <c r="M3504" s="194"/>
      <c r="N3504" s="317"/>
      <c r="O3504" s="317"/>
      <c r="P3504" s="317"/>
      <c r="Q3504" s="317"/>
      <c r="R3504" s="317"/>
      <c r="S3504" s="317"/>
      <c r="T3504" s="317"/>
      <c r="U3504" s="317"/>
      <c r="V3504" s="317"/>
      <c r="W3504" s="317"/>
      <c r="X3504" s="317"/>
      <c r="Y3504" s="317"/>
      <c r="Z3504" s="317"/>
    </row>
    <row r="3505" spans="1:26" x14ac:dyDescent="0.25">
      <c r="A3505" s="314"/>
      <c r="B3505" s="18">
        <v>2023</v>
      </c>
      <c r="C3505" s="18" t="s">
        <v>753</v>
      </c>
      <c r="D3505" s="18" t="s">
        <v>1226</v>
      </c>
      <c r="E3505" s="18" t="s">
        <v>703</v>
      </c>
      <c r="F3505" s="18" t="s">
        <v>805</v>
      </c>
      <c r="G3505" s="18" t="s">
        <v>677</v>
      </c>
      <c r="H3505" s="18" t="s">
        <v>747</v>
      </c>
      <c r="I3505" s="315">
        <v>3.2413802800105525</v>
      </c>
      <c r="J3505" s="315">
        <v>6.5542811615977433E-3</v>
      </c>
      <c r="K3505" s="316" t="str">
        <f t="shared" si="56"/>
        <v>Commercial Equipment</v>
      </c>
      <c r="L3505" s="316" t="str">
        <f t="shared" si="57"/>
        <v>Gasoline</v>
      </c>
      <c r="M3505" s="194"/>
      <c r="N3505" s="317"/>
      <c r="O3505" s="317"/>
      <c r="P3505" s="317"/>
      <c r="Q3505" s="317"/>
      <c r="R3505" s="317"/>
      <c r="S3505" s="317"/>
      <c r="T3505" s="317"/>
      <c r="U3505" s="317"/>
      <c r="V3505" s="317"/>
      <c r="W3505" s="317"/>
      <c r="X3505" s="317"/>
      <c r="Y3505" s="317"/>
      <c r="Z3505" s="317"/>
    </row>
    <row r="3506" spans="1:26" x14ac:dyDescent="0.25">
      <c r="A3506" s="314"/>
      <c r="B3506" s="18">
        <v>2023</v>
      </c>
      <c r="C3506" s="18" t="s">
        <v>778</v>
      </c>
      <c r="D3506" s="18" t="s">
        <v>1425</v>
      </c>
      <c r="E3506" s="18" t="s">
        <v>56</v>
      </c>
      <c r="F3506" s="18" t="s">
        <v>672</v>
      </c>
      <c r="G3506" s="18" t="s">
        <v>674</v>
      </c>
      <c r="H3506" s="18" t="s">
        <v>791</v>
      </c>
      <c r="I3506" s="315">
        <v>3.2412704259151397</v>
      </c>
      <c r="J3506" s="315">
        <v>6.2307674420054957E-4</v>
      </c>
      <c r="K3506" s="316" t="str">
        <f t="shared" si="56"/>
        <v>Construction and Mining Equipment</v>
      </c>
      <c r="L3506" s="316" t="str">
        <f t="shared" si="57"/>
        <v>LPG</v>
      </c>
      <c r="M3506" s="194"/>
      <c r="N3506" s="317"/>
      <c r="O3506" s="317"/>
      <c r="P3506" s="317"/>
      <c r="Q3506" s="317"/>
      <c r="R3506" s="317"/>
      <c r="S3506" s="317"/>
      <c r="T3506" s="317"/>
      <c r="U3506" s="317"/>
      <c r="V3506" s="317"/>
      <c r="W3506" s="317"/>
      <c r="X3506" s="317"/>
      <c r="Y3506" s="317"/>
      <c r="Z3506" s="317"/>
    </row>
    <row r="3507" spans="1:26" x14ac:dyDescent="0.25">
      <c r="A3507" s="314"/>
      <c r="B3507" s="18">
        <v>2023</v>
      </c>
      <c r="C3507" s="18" t="s">
        <v>773</v>
      </c>
      <c r="D3507" s="18" t="s">
        <v>1338</v>
      </c>
      <c r="E3507" s="18" t="s">
        <v>703</v>
      </c>
      <c r="F3507" s="18" t="s">
        <v>805</v>
      </c>
      <c r="G3507" s="18" t="s">
        <v>673</v>
      </c>
      <c r="H3507" s="18" t="s">
        <v>987</v>
      </c>
      <c r="I3507" s="315">
        <v>3.2348599128223827</v>
      </c>
      <c r="J3507" s="315">
        <v>5.9070830457943358E-3</v>
      </c>
      <c r="K3507" s="316" t="str">
        <f t="shared" si="56"/>
        <v>Lawn and Garden Equipment</v>
      </c>
      <c r="L3507" s="316" t="str">
        <f t="shared" si="57"/>
        <v>Gasoline</v>
      </c>
      <c r="M3507" s="194"/>
      <c r="N3507" s="317"/>
      <c r="O3507" s="317"/>
      <c r="P3507" s="317"/>
      <c r="Q3507" s="317"/>
      <c r="R3507" s="317"/>
      <c r="S3507" s="317"/>
      <c r="T3507" s="317"/>
      <c r="U3507" s="317"/>
      <c r="V3507" s="317"/>
      <c r="W3507" s="317"/>
      <c r="X3507" s="317"/>
      <c r="Y3507" s="317"/>
      <c r="Z3507" s="317"/>
    </row>
    <row r="3508" spans="1:26" x14ac:dyDescent="0.25">
      <c r="A3508" s="314"/>
      <c r="B3508" s="18">
        <v>2023</v>
      </c>
      <c r="C3508" s="18" t="s">
        <v>750</v>
      </c>
      <c r="D3508" s="18" t="s">
        <v>1339</v>
      </c>
      <c r="E3508" s="18" t="s">
        <v>56</v>
      </c>
      <c r="F3508" s="18" t="s">
        <v>672</v>
      </c>
      <c r="G3508" s="18" t="s">
        <v>674</v>
      </c>
      <c r="H3508" s="18" t="s">
        <v>770</v>
      </c>
      <c r="I3508" s="315">
        <v>3.2247847846147848</v>
      </c>
      <c r="J3508" s="315">
        <v>2.3812635548352469E-4</v>
      </c>
      <c r="K3508" s="316" t="str">
        <f t="shared" si="56"/>
        <v>Construction and Mining Equipment</v>
      </c>
      <c r="L3508" s="316" t="str">
        <f t="shared" si="57"/>
        <v>LPG</v>
      </c>
      <c r="M3508" s="194"/>
      <c r="N3508" s="317"/>
      <c r="O3508" s="317"/>
      <c r="P3508" s="317"/>
      <c r="Q3508" s="317"/>
      <c r="R3508" s="317"/>
      <c r="S3508" s="317"/>
      <c r="T3508" s="317"/>
      <c r="U3508" s="317"/>
      <c r="V3508" s="317"/>
      <c r="W3508" s="317"/>
      <c r="X3508" s="317"/>
      <c r="Y3508" s="317"/>
      <c r="Z3508" s="317"/>
    </row>
    <row r="3509" spans="1:26" x14ac:dyDescent="0.25">
      <c r="A3509" s="314"/>
      <c r="B3509" s="18">
        <v>2023</v>
      </c>
      <c r="C3509" s="18" t="s">
        <v>792</v>
      </c>
      <c r="D3509" s="18" t="s">
        <v>1081</v>
      </c>
      <c r="E3509" s="18" t="s">
        <v>703</v>
      </c>
      <c r="F3509" s="18" t="s">
        <v>805</v>
      </c>
      <c r="G3509" s="18" t="s">
        <v>674</v>
      </c>
      <c r="H3509" s="18" t="s">
        <v>1082</v>
      </c>
      <c r="I3509" s="315">
        <v>3.2164239925681897</v>
      </c>
      <c r="J3509" s="315">
        <v>5.2171506957777178E-3</v>
      </c>
      <c r="K3509" s="316" t="str">
        <f t="shared" si="56"/>
        <v>Construction and Mining Equipment</v>
      </c>
      <c r="L3509" s="316" t="str">
        <f t="shared" si="57"/>
        <v>Gasoline</v>
      </c>
      <c r="M3509" s="194"/>
      <c r="N3509" s="317"/>
      <c r="O3509" s="317"/>
      <c r="P3509" s="317"/>
      <c r="Q3509" s="317"/>
      <c r="R3509" s="317"/>
      <c r="S3509" s="317"/>
      <c r="T3509" s="317"/>
      <c r="U3509" s="317"/>
      <c r="V3509" s="317"/>
      <c r="W3509" s="317"/>
      <c r="X3509" s="317"/>
      <c r="Y3509" s="317"/>
      <c r="Z3509" s="317"/>
    </row>
    <row r="3510" spans="1:26" x14ac:dyDescent="0.25">
      <c r="A3510" s="314"/>
      <c r="B3510" s="18">
        <v>2023</v>
      </c>
      <c r="C3510" s="18" t="s">
        <v>743</v>
      </c>
      <c r="D3510" s="18" t="s">
        <v>1637</v>
      </c>
      <c r="E3510" s="18" t="s">
        <v>703</v>
      </c>
      <c r="F3510" s="18" t="s">
        <v>704</v>
      </c>
      <c r="G3510" s="18" t="s">
        <v>678</v>
      </c>
      <c r="H3510" s="18" t="s">
        <v>1638</v>
      </c>
      <c r="I3510" s="315">
        <v>3.2118551494127816</v>
      </c>
      <c r="J3510" s="315">
        <v>1.9202499636951744E-3</v>
      </c>
      <c r="K3510" s="316" t="str">
        <f t="shared" si="56"/>
        <v>Agricultural Equipment</v>
      </c>
      <c r="L3510" s="316" t="str">
        <f t="shared" si="57"/>
        <v>Gasoline</v>
      </c>
      <c r="M3510" s="194"/>
      <c r="N3510" s="317"/>
      <c r="O3510" s="317"/>
      <c r="P3510" s="317"/>
      <c r="Q3510" s="317"/>
      <c r="R3510" s="317"/>
      <c r="S3510" s="317"/>
      <c r="T3510" s="317"/>
      <c r="U3510" s="317"/>
      <c r="V3510" s="317"/>
      <c r="W3510" s="317"/>
      <c r="X3510" s="317"/>
      <c r="Y3510" s="317"/>
      <c r="Z3510" s="317"/>
    </row>
    <row r="3511" spans="1:26" x14ac:dyDescent="0.25">
      <c r="A3511" s="314"/>
      <c r="B3511" s="18">
        <v>2023</v>
      </c>
      <c r="C3511" s="18" t="s">
        <v>762</v>
      </c>
      <c r="D3511" s="18" t="s">
        <v>1213</v>
      </c>
      <c r="E3511" s="18" t="s">
        <v>56</v>
      </c>
      <c r="F3511" s="18" t="s">
        <v>672</v>
      </c>
      <c r="G3511" s="18" t="s">
        <v>674</v>
      </c>
      <c r="H3511" s="18" t="s">
        <v>715</v>
      </c>
      <c r="I3511" s="315">
        <v>3.2060537044945119</v>
      </c>
      <c r="J3511" s="315">
        <v>1.4559781453127139E-4</v>
      </c>
      <c r="K3511" s="316" t="str">
        <f t="shared" si="56"/>
        <v>Construction and Mining Equipment</v>
      </c>
      <c r="L3511" s="316" t="str">
        <f t="shared" si="57"/>
        <v>LPG</v>
      </c>
      <c r="M3511" s="194"/>
      <c r="N3511" s="317"/>
      <c r="O3511" s="317"/>
      <c r="P3511" s="317"/>
      <c r="Q3511" s="317"/>
      <c r="R3511" s="317"/>
      <c r="S3511" s="317"/>
      <c r="T3511" s="317"/>
      <c r="U3511" s="317"/>
      <c r="V3511" s="317"/>
      <c r="W3511" s="317"/>
      <c r="X3511" s="317"/>
      <c r="Y3511" s="317"/>
      <c r="Z3511" s="317"/>
    </row>
    <row r="3512" spans="1:26" x14ac:dyDescent="0.25">
      <c r="A3512" s="314"/>
      <c r="B3512" s="18">
        <v>2023</v>
      </c>
      <c r="C3512" s="18" t="s">
        <v>787</v>
      </c>
      <c r="D3512" s="18" t="s">
        <v>1573</v>
      </c>
      <c r="E3512" s="18" t="s">
        <v>703</v>
      </c>
      <c r="F3512" s="18" t="s">
        <v>704</v>
      </c>
      <c r="G3512" s="18" t="s">
        <v>678</v>
      </c>
      <c r="H3512" s="18" t="s">
        <v>764</v>
      </c>
      <c r="I3512" s="315">
        <v>3.2008370061236007</v>
      </c>
      <c r="J3512" s="315">
        <v>6.2356837382406829E-4</v>
      </c>
      <c r="K3512" s="316" t="str">
        <f t="shared" si="56"/>
        <v>Agricultural Equipment</v>
      </c>
      <c r="L3512" s="316" t="str">
        <f t="shared" si="57"/>
        <v>Gasoline</v>
      </c>
      <c r="M3512" s="194"/>
      <c r="N3512" s="317"/>
      <c r="O3512" s="317"/>
      <c r="P3512" s="317"/>
      <c r="Q3512" s="317"/>
      <c r="R3512" s="317"/>
      <c r="S3512" s="317"/>
      <c r="T3512" s="317"/>
      <c r="U3512" s="317"/>
      <c r="V3512" s="317"/>
      <c r="W3512" s="317"/>
      <c r="X3512" s="317"/>
      <c r="Y3512" s="317"/>
      <c r="Z3512" s="317"/>
    </row>
    <row r="3513" spans="1:26" x14ac:dyDescent="0.25">
      <c r="A3513" s="314"/>
      <c r="B3513" s="18">
        <v>2023</v>
      </c>
      <c r="C3513" s="18" t="s">
        <v>759</v>
      </c>
      <c r="D3513" s="18" t="s">
        <v>1016</v>
      </c>
      <c r="E3513" s="18" t="s">
        <v>56</v>
      </c>
      <c r="F3513" s="18" t="s">
        <v>672</v>
      </c>
      <c r="G3513" s="18" t="s">
        <v>675</v>
      </c>
      <c r="H3513" s="18" t="s">
        <v>802</v>
      </c>
      <c r="I3513" s="315">
        <v>3.197030450261948</v>
      </c>
      <c r="J3513" s="315">
        <v>1.4667283286828655E-4</v>
      </c>
      <c r="K3513" s="316" t="str">
        <f t="shared" si="56"/>
        <v>Industrial Equipment</v>
      </c>
      <c r="L3513" s="316" t="str">
        <f t="shared" si="57"/>
        <v>LPG</v>
      </c>
      <c r="M3513" s="194"/>
      <c r="N3513" s="317"/>
      <c r="O3513" s="317"/>
      <c r="P3513" s="317"/>
      <c r="Q3513" s="317"/>
      <c r="R3513" s="317"/>
      <c r="S3513" s="317"/>
      <c r="T3513" s="317"/>
      <c r="U3513" s="317"/>
      <c r="V3513" s="317"/>
      <c r="W3513" s="317"/>
      <c r="X3513" s="317"/>
      <c r="Y3513" s="317"/>
      <c r="Z3513" s="317"/>
    </row>
    <row r="3514" spans="1:26" x14ac:dyDescent="0.25">
      <c r="A3514" s="314"/>
      <c r="B3514" s="18">
        <v>2023</v>
      </c>
      <c r="C3514" s="18" t="s">
        <v>762</v>
      </c>
      <c r="D3514" s="18" t="s">
        <v>1214</v>
      </c>
      <c r="E3514" s="18" t="s">
        <v>713</v>
      </c>
      <c r="F3514" s="18" t="s">
        <v>714</v>
      </c>
      <c r="G3514" s="18" t="s">
        <v>674</v>
      </c>
      <c r="H3514" s="18" t="s">
        <v>999</v>
      </c>
      <c r="I3514" s="315">
        <v>3.1809454797465473</v>
      </c>
      <c r="J3514" s="315">
        <v>9.4171667411415132E-5</v>
      </c>
      <c r="K3514" s="316" t="str">
        <f t="shared" si="56"/>
        <v>Construction and Mining Equipment</v>
      </c>
      <c r="L3514" s="316" t="str">
        <f t="shared" si="57"/>
        <v>Diesel</v>
      </c>
      <c r="M3514" s="194"/>
      <c r="N3514" s="317"/>
      <c r="O3514" s="317"/>
      <c r="P3514" s="317"/>
      <c r="Q3514" s="317"/>
      <c r="R3514" s="317"/>
      <c r="S3514" s="317"/>
      <c r="T3514" s="317"/>
      <c r="U3514" s="317"/>
      <c r="V3514" s="317"/>
      <c r="W3514" s="317"/>
      <c r="X3514" s="317"/>
      <c r="Y3514" s="317"/>
      <c r="Z3514" s="317"/>
    </row>
    <row r="3515" spans="1:26" x14ac:dyDescent="0.25">
      <c r="A3515" s="314"/>
      <c r="B3515" s="18">
        <v>2023</v>
      </c>
      <c r="C3515" s="18" t="s">
        <v>710</v>
      </c>
      <c r="D3515" s="18" t="s">
        <v>1320</v>
      </c>
      <c r="E3515" s="18" t="s">
        <v>713</v>
      </c>
      <c r="F3515" s="18" t="s">
        <v>676</v>
      </c>
      <c r="G3515" s="18" t="s">
        <v>79</v>
      </c>
      <c r="H3515" s="18" t="s">
        <v>730</v>
      </c>
      <c r="I3515" s="315">
        <v>3.1734814528022972</v>
      </c>
      <c r="J3515" s="315">
        <v>2.0750361193824494E-4</v>
      </c>
      <c r="K3515" s="316" t="str">
        <f t="shared" si="56"/>
        <v>Pleasure Craft</v>
      </c>
      <c r="L3515" s="316" t="str">
        <f t="shared" si="57"/>
        <v>Diesel</v>
      </c>
      <c r="M3515" s="194"/>
      <c r="N3515" s="317"/>
      <c r="O3515" s="317"/>
      <c r="P3515" s="317"/>
      <c r="Q3515" s="317"/>
      <c r="R3515" s="317"/>
      <c r="S3515" s="317"/>
      <c r="T3515" s="317"/>
      <c r="U3515" s="317"/>
      <c r="V3515" s="317"/>
      <c r="W3515" s="317"/>
      <c r="X3515" s="317"/>
      <c r="Y3515" s="317"/>
      <c r="Z3515" s="317"/>
    </row>
    <row r="3516" spans="1:26" x14ac:dyDescent="0.25">
      <c r="A3516" s="314"/>
      <c r="B3516" s="18">
        <v>2023</v>
      </c>
      <c r="C3516" s="18" t="s">
        <v>732</v>
      </c>
      <c r="D3516" s="18" t="s">
        <v>1445</v>
      </c>
      <c r="E3516" s="18" t="s">
        <v>56</v>
      </c>
      <c r="F3516" s="18" t="s">
        <v>601</v>
      </c>
      <c r="G3516" s="18" t="s">
        <v>677</v>
      </c>
      <c r="H3516" s="18" t="s">
        <v>841</v>
      </c>
      <c r="I3516" s="315">
        <v>3.157020912632174</v>
      </c>
      <c r="J3516" s="315">
        <v>3.4299804315387851E-2</v>
      </c>
      <c r="K3516" s="316" t="str">
        <f t="shared" si="56"/>
        <v>Commercial Equipment</v>
      </c>
      <c r="L3516" s="316" t="str">
        <f t="shared" si="57"/>
        <v>CNG</v>
      </c>
      <c r="M3516" s="194"/>
      <c r="N3516" s="317"/>
      <c r="O3516" s="317"/>
      <c r="P3516" s="317"/>
      <c r="Q3516" s="317"/>
      <c r="R3516" s="317"/>
      <c r="S3516" s="317"/>
      <c r="T3516" s="317"/>
      <c r="U3516" s="317"/>
      <c r="V3516" s="317"/>
      <c r="W3516" s="317"/>
      <c r="X3516" s="317"/>
      <c r="Y3516" s="317"/>
      <c r="Z3516" s="317"/>
    </row>
    <row r="3517" spans="1:26" x14ac:dyDescent="0.25">
      <c r="A3517" s="314"/>
      <c r="B3517" s="18">
        <v>2023</v>
      </c>
      <c r="C3517" s="18" t="s">
        <v>760</v>
      </c>
      <c r="D3517" s="18" t="s">
        <v>1539</v>
      </c>
      <c r="E3517" s="18" t="s">
        <v>703</v>
      </c>
      <c r="F3517" s="18" t="s">
        <v>704</v>
      </c>
      <c r="G3517" s="18" t="s">
        <v>678</v>
      </c>
      <c r="H3517" s="18" t="s">
        <v>1230</v>
      </c>
      <c r="I3517" s="315">
        <v>3.1540210015989025</v>
      </c>
      <c r="J3517" s="315">
        <v>1.8824115460984378E-3</v>
      </c>
      <c r="K3517" s="316" t="str">
        <f t="shared" si="56"/>
        <v>Agricultural Equipment</v>
      </c>
      <c r="L3517" s="316" t="str">
        <f t="shared" si="57"/>
        <v>Gasoline</v>
      </c>
      <c r="M3517" s="194"/>
      <c r="N3517" s="317"/>
      <c r="O3517" s="317"/>
      <c r="P3517" s="317"/>
      <c r="Q3517" s="317"/>
      <c r="R3517" s="317"/>
      <c r="S3517" s="317"/>
      <c r="T3517" s="317"/>
      <c r="U3517" s="317"/>
      <c r="V3517" s="317"/>
      <c r="W3517" s="317"/>
      <c r="X3517" s="317"/>
      <c r="Y3517" s="317"/>
      <c r="Z3517" s="317"/>
    </row>
    <row r="3518" spans="1:26" x14ac:dyDescent="0.25">
      <c r="A3518" s="314"/>
      <c r="B3518" s="18">
        <v>2023</v>
      </c>
      <c r="C3518" s="18" t="s">
        <v>759</v>
      </c>
      <c r="D3518" s="18" t="s">
        <v>1030</v>
      </c>
      <c r="E3518" s="18" t="s">
        <v>703</v>
      </c>
      <c r="F3518" s="18" t="s">
        <v>704</v>
      </c>
      <c r="G3518" s="18" t="s">
        <v>677</v>
      </c>
      <c r="H3518" s="18" t="s">
        <v>1031</v>
      </c>
      <c r="I3518" s="315">
        <v>3.1478438840879037</v>
      </c>
      <c r="J3518" s="315">
        <v>2.1767148293527715E-3</v>
      </c>
      <c r="K3518" s="316" t="str">
        <f t="shared" si="56"/>
        <v>Commercial Equipment</v>
      </c>
      <c r="L3518" s="316" t="str">
        <f t="shared" si="57"/>
        <v>Gasoline</v>
      </c>
      <c r="M3518" s="194"/>
      <c r="N3518" s="317"/>
      <c r="O3518" s="317"/>
      <c r="P3518" s="317"/>
      <c r="Q3518" s="317"/>
      <c r="R3518" s="317"/>
      <c r="S3518" s="317"/>
      <c r="T3518" s="317"/>
      <c r="U3518" s="317"/>
      <c r="V3518" s="317"/>
      <c r="W3518" s="317"/>
      <c r="X3518" s="317"/>
      <c r="Y3518" s="317"/>
      <c r="Z3518" s="317"/>
    </row>
    <row r="3519" spans="1:26" x14ac:dyDescent="0.25">
      <c r="A3519" s="314"/>
      <c r="B3519" s="18">
        <v>2023</v>
      </c>
      <c r="C3519" s="18" t="s">
        <v>792</v>
      </c>
      <c r="D3519" s="18" t="s">
        <v>1226</v>
      </c>
      <c r="E3519" s="18" t="s">
        <v>703</v>
      </c>
      <c r="F3519" s="18" t="s">
        <v>805</v>
      </c>
      <c r="G3519" s="18" t="s">
        <v>677</v>
      </c>
      <c r="H3519" s="18" t="s">
        <v>747</v>
      </c>
      <c r="I3519" s="315">
        <v>3.1446223324550258</v>
      </c>
      <c r="J3519" s="315">
        <v>6.358627251331927E-3</v>
      </c>
      <c r="K3519" s="316" t="str">
        <f t="shared" si="56"/>
        <v>Commercial Equipment</v>
      </c>
      <c r="L3519" s="316" t="str">
        <f t="shared" si="57"/>
        <v>Gasoline</v>
      </c>
      <c r="M3519" s="194"/>
      <c r="N3519" s="317"/>
      <c r="O3519" s="317"/>
      <c r="P3519" s="317"/>
      <c r="Q3519" s="317"/>
      <c r="R3519" s="317"/>
      <c r="S3519" s="317"/>
      <c r="T3519" s="317"/>
      <c r="U3519" s="317"/>
      <c r="V3519" s="317"/>
      <c r="W3519" s="317"/>
      <c r="X3519" s="317"/>
      <c r="Y3519" s="317"/>
      <c r="Z3519" s="317"/>
    </row>
    <row r="3520" spans="1:26" x14ac:dyDescent="0.25">
      <c r="A3520" s="314"/>
      <c r="B3520" s="18">
        <v>2023</v>
      </c>
      <c r="C3520" s="18" t="s">
        <v>706</v>
      </c>
      <c r="D3520" s="18" t="s">
        <v>1663</v>
      </c>
      <c r="E3520" s="18" t="s">
        <v>713</v>
      </c>
      <c r="F3520" s="18" t="s">
        <v>714</v>
      </c>
      <c r="G3520" s="18" t="s">
        <v>674</v>
      </c>
      <c r="H3520" s="18" t="s">
        <v>1082</v>
      </c>
      <c r="I3520" s="315">
        <v>3.1356353097097167</v>
      </c>
      <c r="J3520" s="315">
        <v>3.7226639748859949E-4</v>
      </c>
      <c r="K3520" s="316" t="str">
        <f t="shared" si="56"/>
        <v>Construction and Mining Equipment</v>
      </c>
      <c r="L3520" s="316" t="str">
        <f t="shared" si="57"/>
        <v>Diesel</v>
      </c>
      <c r="M3520" s="194"/>
      <c r="N3520" s="317"/>
      <c r="O3520" s="317"/>
      <c r="P3520" s="317"/>
      <c r="Q3520" s="317"/>
      <c r="R3520" s="317"/>
      <c r="S3520" s="317"/>
      <c r="T3520" s="317"/>
      <c r="U3520" s="317"/>
      <c r="V3520" s="317"/>
      <c r="W3520" s="317"/>
      <c r="X3520" s="317"/>
      <c r="Y3520" s="317"/>
      <c r="Z3520" s="317"/>
    </row>
    <row r="3521" spans="1:26" x14ac:dyDescent="0.25">
      <c r="A3521" s="314"/>
      <c r="B3521" s="18">
        <v>2023</v>
      </c>
      <c r="C3521" s="18" t="s">
        <v>781</v>
      </c>
      <c r="D3521" s="18" t="s">
        <v>1228</v>
      </c>
      <c r="E3521" s="18" t="s">
        <v>703</v>
      </c>
      <c r="F3521" s="18" t="s">
        <v>704</v>
      </c>
      <c r="G3521" s="18" t="s">
        <v>675</v>
      </c>
      <c r="H3521" s="18" t="s">
        <v>1078</v>
      </c>
      <c r="I3521" s="315">
        <v>3.1290271248295096</v>
      </c>
      <c r="J3521" s="315">
        <v>1.05322151457041E-3</v>
      </c>
      <c r="K3521" s="316" t="str">
        <f t="shared" si="56"/>
        <v>Industrial Equipment</v>
      </c>
      <c r="L3521" s="316" t="str">
        <f t="shared" si="57"/>
        <v>Gasoline</v>
      </c>
      <c r="M3521" s="194"/>
      <c r="N3521" s="317"/>
      <c r="O3521" s="317"/>
      <c r="P3521" s="317"/>
      <c r="Q3521" s="317"/>
      <c r="R3521" s="317"/>
      <c r="S3521" s="317"/>
      <c r="T3521" s="317"/>
      <c r="U3521" s="317"/>
      <c r="V3521" s="317"/>
      <c r="W3521" s="317"/>
      <c r="X3521" s="317"/>
      <c r="Y3521" s="317"/>
      <c r="Z3521" s="317"/>
    </row>
    <row r="3522" spans="1:26" ht="12.75" x14ac:dyDescent="0.2">
      <c r="A3522" s="230"/>
      <c r="B3522" s="18">
        <v>2023</v>
      </c>
      <c r="C3522" s="18" t="s">
        <v>722</v>
      </c>
      <c r="D3522" s="18" t="s">
        <v>1409</v>
      </c>
      <c r="E3522" s="18" t="s">
        <v>703</v>
      </c>
      <c r="F3522" s="18" t="s">
        <v>704</v>
      </c>
      <c r="G3522" s="18" t="s">
        <v>678</v>
      </c>
      <c r="H3522" s="18" t="s">
        <v>1222</v>
      </c>
      <c r="I3522" s="315">
        <v>3.1268029726475128</v>
      </c>
      <c r="J3522" s="315">
        <v>2.0668429854261623E-3</v>
      </c>
      <c r="K3522" s="316" t="str">
        <f t="shared" si="56"/>
        <v>Agricultural Equipment</v>
      </c>
      <c r="L3522" s="316" t="str">
        <f t="shared" si="57"/>
        <v>Gasoline</v>
      </c>
      <c r="M3522" s="8"/>
      <c r="N3522" s="2"/>
      <c r="O3522" s="2"/>
      <c r="P3522" s="2"/>
      <c r="Q3522" s="2"/>
      <c r="R3522" s="2"/>
      <c r="S3522" s="2"/>
      <c r="T3522" s="2"/>
      <c r="U3522" s="2"/>
      <c r="V3522" s="2"/>
      <c r="W3522" s="2"/>
      <c r="X3522" s="2"/>
      <c r="Y3522" s="2"/>
      <c r="Z3522" s="2"/>
    </row>
    <row r="3523" spans="1:26" ht="12.75" x14ac:dyDescent="0.2">
      <c r="A3523" s="230"/>
      <c r="B3523" s="18">
        <v>2023</v>
      </c>
      <c r="C3523" s="18" t="s">
        <v>792</v>
      </c>
      <c r="D3523" s="18" t="s">
        <v>1292</v>
      </c>
      <c r="E3523" s="18" t="s">
        <v>703</v>
      </c>
      <c r="F3523" s="18" t="s">
        <v>795</v>
      </c>
      <c r="G3523" s="18" t="s">
        <v>675</v>
      </c>
      <c r="H3523" s="18" t="s">
        <v>1293</v>
      </c>
      <c r="I3523" s="315">
        <v>3.1151265868232918</v>
      </c>
      <c r="J3523" s="315">
        <v>2.1050769541673658E-3</v>
      </c>
      <c r="K3523" s="316" t="str">
        <f t="shared" si="56"/>
        <v>Industrial Equipment</v>
      </c>
      <c r="L3523" s="316" t="str">
        <f t="shared" si="57"/>
        <v>Gasoline</v>
      </c>
      <c r="M3523" s="8"/>
      <c r="N3523" s="2"/>
      <c r="O3523" s="2"/>
      <c r="P3523" s="2"/>
      <c r="Q3523" s="2"/>
      <c r="R3523" s="2"/>
      <c r="S3523" s="2"/>
      <c r="T3523" s="2"/>
      <c r="U3523" s="2"/>
      <c r="V3523" s="2"/>
      <c r="W3523" s="2"/>
      <c r="X3523" s="2"/>
      <c r="Y3523" s="2"/>
      <c r="Z3523" s="2"/>
    </row>
    <row r="3524" spans="1:26" ht="12.75" x14ac:dyDescent="0.2">
      <c r="A3524" s="230"/>
      <c r="B3524" s="18">
        <v>2023</v>
      </c>
      <c r="C3524" s="18" t="s">
        <v>781</v>
      </c>
      <c r="D3524" s="18" t="s">
        <v>1035</v>
      </c>
      <c r="E3524" s="18" t="s">
        <v>703</v>
      </c>
      <c r="F3524" s="18" t="s">
        <v>704</v>
      </c>
      <c r="G3524" s="18" t="s">
        <v>674</v>
      </c>
      <c r="H3524" s="18" t="s">
        <v>1036</v>
      </c>
      <c r="I3524" s="315">
        <v>3.1005091960720699</v>
      </c>
      <c r="J3524" s="315">
        <v>2.1877477019669367E-3</v>
      </c>
      <c r="K3524" s="316" t="str">
        <f t="shared" si="56"/>
        <v>Construction and Mining Equipment</v>
      </c>
      <c r="L3524" s="316" t="str">
        <f t="shared" si="57"/>
        <v>Gasoline</v>
      </c>
      <c r="M3524" s="8"/>
      <c r="N3524" s="2"/>
      <c r="O3524" s="2"/>
      <c r="P3524" s="2"/>
      <c r="Q3524" s="2"/>
      <c r="R3524" s="2"/>
      <c r="S3524" s="2"/>
      <c r="T3524" s="2"/>
      <c r="U3524" s="2"/>
      <c r="V3524" s="2"/>
      <c r="W3524" s="2"/>
      <c r="X3524" s="2"/>
      <c r="Y3524" s="2"/>
      <c r="Z3524" s="2"/>
    </row>
    <row r="3525" spans="1:26" ht="12.75" x14ac:dyDescent="0.2">
      <c r="A3525" s="230"/>
      <c r="B3525" s="18">
        <v>2023</v>
      </c>
      <c r="C3525" s="18" t="s">
        <v>787</v>
      </c>
      <c r="D3525" s="18" t="s">
        <v>1226</v>
      </c>
      <c r="E3525" s="18" t="s">
        <v>703</v>
      </c>
      <c r="F3525" s="18" t="s">
        <v>805</v>
      </c>
      <c r="G3525" s="18" t="s">
        <v>677</v>
      </c>
      <c r="H3525" s="18" t="s">
        <v>747</v>
      </c>
      <c r="I3525" s="315">
        <v>3.0962432561429343</v>
      </c>
      <c r="J3525" s="315">
        <v>6.260813824683611E-3</v>
      </c>
      <c r="K3525" s="316" t="str">
        <f t="shared" si="56"/>
        <v>Commercial Equipment</v>
      </c>
      <c r="L3525" s="316" t="str">
        <f t="shared" si="57"/>
        <v>Gasoline</v>
      </c>
      <c r="M3525" s="8"/>
      <c r="N3525" s="2"/>
      <c r="O3525" s="2"/>
      <c r="P3525" s="2"/>
      <c r="Q3525" s="2"/>
      <c r="R3525" s="2"/>
      <c r="S3525" s="2"/>
      <c r="T3525" s="2"/>
      <c r="U3525" s="2"/>
      <c r="V3525" s="2"/>
      <c r="W3525" s="2"/>
      <c r="X3525" s="2"/>
      <c r="Y3525" s="2"/>
      <c r="Z3525" s="2"/>
    </row>
    <row r="3526" spans="1:26" ht="12.75" x14ac:dyDescent="0.2">
      <c r="A3526" s="230"/>
      <c r="B3526" s="18">
        <v>2023</v>
      </c>
      <c r="C3526" s="18" t="s">
        <v>773</v>
      </c>
      <c r="D3526" s="18" t="s">
        <v>1407</v>
      </c>
      <c r="E3526" s="18" t="s">
        <v>56</v>
      </c>
      <c r="F3526" s="18" t="s">
        <v>672</v>
      </c>
      <c r="G3526" s="18" t="s">
        <v>675</v>
      </c>
      <c r="H3526" s="18" t="s">
        <v>1078</v>
      </c>
      <c r="I3526" s="315">
        <v>3.0944735895248856</v>
      </c>
      <c r="J3526" s="315">
        <v>2.7804078511839284E-4</v>
      </c>
      <c r="K3526" s="316" t="str">
        <f t="shared" si="56"/>
        <v>Industrial Equipment</v>
      </c>
      <c r="L3526" s="316" t="str">
        <f t="shared" si="57"/>
        <v>LPG</v>
      </c>
      <c r="M3526" s="8"/>
      <c r="N3526" s="2"/>
      <c r="O3526" s="2"/>
      <c r="P3526" s="2"/>
      <c r="Q3526" s="2"/>
      <c r="R3526" s="2"/>
      <c r="S3526" s="2"/>
      <c r="T3526" s="2"/>
      <c r="U3526" s="2"/>
      <c r="V3526" s="2"/>
      <c r="W3526" s="2"/>
      <c r="X3526" s="2"/>
      <c r="Y3526" s="2"/>
      <c r="Z3526" s="2"/>
    </row>
    <row r="3527" spans="1:26" ht="12.75" x14ac:dyDescent="0.2">
      <c r="A3527" s="230"/>
      <c r="B3527" s="18">
        <v>2023</v>
      </c>
      <c r="C3527" s="18" t="s">
        <v>759</v>
      </c>
      <c r="D3527" s="18" t="s">
        <v>1034</v>
      </c>
      <c r="E3527" s="18" t="s">
        <v>713</v>
      </c>
      <c r="F3527" s="18" t="s">
        <v>714</v>
      </c>
      <c r="G3527" s="18" t="s">
        <v>677</v>
      </c>
      <c r="H3527" s="18" t="s">
        <v>1031</v>
      </c>
      <c r="I3527" s="315">
        <v>3.0889968881830923</v>
      </c>
      <c r="J3527" s="315">
        <v>5.3680075453406362E-5</v>
      </c>
      <c r="K3527" s="316" t="str">
        <f t="shared" si="56"/>
        <v>Commercial Equipment</v>
      </c>
      <c r="L3527" s="316" t="str">
        <f t="shared" si="57"/>
        <v>Diesel</v>
      </c>
      <c r="M3527" s="8"/>
      <c r="N3527" s="2"/>
      <c r="O3527" s="2"/>
      <c r="P3527" s="2"/>
      <c r="Q3527" s="2"/>
      <c r="R3527" s="2"/>
      <c r="S3527" s="2"/>
      <c r="T3527" s="2"/>
      <c r="U3527" s="2"/>
      <c r="V3527" s="2"/>
      <c r="W3527" s="2"/>
      <c r="X3527" s="2"/>
      <c r="Y3527" s="2"/>
      <c r="Z3527" s="2"/>
    </row>
    <row r="3528" spans="1:26" ht="12.75" x14ac:dyDescent="0.2">
      <c r="A3528" s="230"/>
      <c r="B3528" s="18">
        <v>2023</v>
      </c>
      <c r="C3528" s="18" t="s">
        <v>787</v>
      </c>
      <c r="D3528" s="18" t="s">
        <v>1349</v>
      </c>
      <c r="E3528" s="18" t="s">
        <v>703</v>
      </c>
      <c r="F3528" s="18" t="s">
        <v>704</v>
      </c>
      <c r="G3528" s="18" t="s">
        <v>673</v>
      </c>
      <c r="H3528" s="18" t="s">
        <v>978</v>
      </c>
      <c r="I3528" s="315">
        <v>3.0793123139054792</v>
      </c>
      <c r="J3528" s="315">
        <v>2.1465247998239379E-3</v>
      </c>
      <c r="K3528" s="316" t="str">
        <f t="shared" si="56"/>
        <v>Lawn and Garden Equipment</v>
      </c>
      <c r="L3528" s="316" t="str">
        <f t="shared" si="57"/>
        <v>Gasoline</v>
      </c>
      <c r="M3528" s="8"/>
      <c r="N3528" s="2"/>
      <c r="O3528" s="2"/>
      <c r="P3528" s="2"/>
      <c r="Q3528" s="2"/>
      <c r="R3528" s="2"/>
      <c r="S3528" s="2"/>
      <c r="T3528" s="2"/>
      <c r="U3528" s="2"/>
      <c r="V3528" s="2"/>
      <c r="W3528" s="2"/>
      <c r="X3528" s="2"/>
      <c r="Y3528" s="2"/>
      <c r="Z3528" s="2"/>
    </row>
    <row r="3529" spans="1:26" ht="12.75" x14ac:dyDescent="0.2">
      <c r="A3529" s="230"/>
      <c r="B3529" s="18">
        <v>2023</v>
      </c>
      <c r="C3529" s="18" t="s">
        <v>792</v>
      </c>
      <c r="D3529" s="18" t="s">
        <v>1083</v>
      </c>
      <c r="E3529" s="18" t="s">
        <v>703</v>
      </c>
      <c r="F3529" s="18" t="s">
        <v>704</v>
      </c>
      <c r="G3529" s="18" t="s">
        <v>674</v>
      </c>
      <c r="H3529" s="18" t="s">
        <v>861</v>
      </c>
      <c r="I3529" s="315">
        <v>3.073963332660318</v>
      </c>
      <c r="J3529" s="315">
        <v>2.3250838205333183E-3</v>
      </c>
      <c r="K3529" s="316" t="str">
        <f t="shared" si="56"/>
        <v>Construction and Mining Equipment</v>
      </c>
      <c r="L3529" s="316" t="str">
        <f t="shared" si="57"/>
        <v>Gasoline</v>
      </c>
      <c r="M3529" s="8"/>
      <c r="N3529" s="2"/>
      <c r="O3529" s="2"/>
      <c r="P3529" s="2"/>
      <c r="Q3529" s="2"/>
      <c r="R3529" s="2"/>
      <c r="S3529" s="2"/>
      <c r="T3529" s="2"/>
      <c r="U3529" s="2"/>
      <c r="V3529" s="2"/>
      <c r="W3529" s="2"/>
      <c r="X3529" s="2"/>
      <c r="Y3529" s="2"/>
      <c r="Z3529" s="2"/>
    </row>
    <row r="3530" spans="1:26" ht="12.75" x14ac:dyDescent="0.2">
      <c r="A3530" s="230"/>
      <c r="B3530" s="18">
        <v>2023</v>
      </c>
      <c r="C3530" s="18" t="s">
        <v>701</v>
      </c>
      <c r="D3530" s="18" t="s">
        <v>1320</v>
      </c>
      <c r="E3530" s="18" t="s">
        <v>713</v>
      </c>
      <c r="F3530" s="18" t="s">
        <v>676</v>
      </c>
      <c r="G3530" s="18" t="s">
        <v>79</v>
      </c>
      <c r="H3530" s="18" t="s">
        <v>730</v>
      </c>
      <c r="I3530" s="315">
        <v>3.0711118680222573</v>
      </c>
      <c r="J3530" s="315">
        <v>2.0080991347913579E-4</v>
      </c>
      <c r="K3530" s="316" t="str">
        <f t="shared" si="56"/>
        <v>Pleasure Craft</v>
      </c>
      <c r="L3530" s="316" t="str">
        <f t="shared" si="57"/>
        <v>Diesel</v>
      </c>
      <c r="M3530" s="8"/>
      <c r="N3530" s="2"/>
      <c r="O3530" s="2"/>
      <c r="P3530" s="2"/>
      <c r="Q3530" s="2"/>
      <c r="R3530" s="2"/>
      <c r="S3530" s="2"/>
      <c r="T3530" s="2"/>
      <c r="U3530" s="2"/>
      <c r="V3530" s="2"/>
      <c r="W3530" s="2"/>
      <c r="X3530" s="2"/>
      <c r="Y3530" s="2"/>
      <c r="Z3530" s="2"/>
    </row>
    <row r="3531" spans="1:26" ht="12.75" x14ac:dyDescent="0.2">
      <c r="A3531" s="230"/>
      <c r="B3531" s="18">
        <v>2023</v>
      </c>
      <c r="C3531" s="18" t="s">
        <v>778</v>
      </c>
      <c r="D3531" s="18" t="s">
        <v>1428</v>
      </c>
      <c r="E3531" s="18" t="s">
        <v>56</v>
      </c>
      <c r="F3531" s="18" t="s">
        <v>601</v>
      </c>
      <c r="G3531" s="18" t="s">
        <v>678</v>
      </c>
      <c r="H3531" s="18" t="s">
        <v>1154</v>
      </c>
      <c r="I3531" s="315">
        <v>3.0703138766135152</v>
      </c>
      <c r="J3531" s="315">
        <v>1.248648140276685E-2</v>
      </c>
      <c r="K3531" s="316" t="str">
        <f t="shared" si="56"/>
        <v>Agricultural Equipment</v>
      </c>
      <c r="L3531" s="316" t="str">
        <f t="shared" si="57"/>
        <v>CNG</v>
      </c>
      <c r="M3531" s="8"/>
      <c r="N3531" s="2"/>
      <c r="O3531" s="2"/>
      <c r="P3531" s="2"/>
      <c r="Q3531" s="2"/>
      <c r="R3531" s="2"/>
      <c r="S3531" s="2"/>
      <c r="T3531" s="2"/>
      <c r="U3531" s="2"/>
      <c r="V3531" s="2"/>
      <c r="W3531" s="2"/>
      <c r="X3531" s="2"/>
      <c r="Y3531" s="2"/>
      <c r="Z3531" s="2"/>
    </row>
    <row r="3532" spans="1:26" ht="12.75" x14ac:dyDescent="0.2">
      <c r="A3532" s="230"/>
      <c r="B3532" s="18">
        <v>2023</v>
      </c>
      <c r="C3532" s="18" t="s">
        <v>701</v>
      </c>
      <c r="D3532" s="18" t="s">
        <v>1539</v>
      </c>
      <c r="E3532" s="18" t="s">
        <v>703</v>
      </c>
      <c r="F3532" s="18" t="s">
        <v>704</v>
      </c>
      <c r="G3532" s="18" t="s">
        <v>678</v>
      </c>
      <c r="H3532" s="18" t="s">
        <v>1230</v>
      </c>
      <c r="I3532" s="315">
        <v>3.0640998174102956</v>
      </c>
      <c r="J3532" s="315">
        <v>1.8285125032349281E-3</v>
      </c>
      <c r="K3532" s="316" t="str">
        <f t="shared" si="56"/>
        <v>Agricultural Equipment</v>
      </c>
      <c r="L3532" s="316" t="str">
        <f t="shared" si="57"/>
        <v>Gasoline</v>
      </c>
      <c r="M3532" s="8"/>
      <c r="N3532" s="2"/>
      <c r="O3532" s="2"/>
      <c r="P3532" s="2"/>
      <c r="Q3532" s="2"/>
      <c r="R3532" s="2"/>
      <c r="S3532" s="2"/>
      <c r="T3532" s="2"/>
      <c r="U3532" s="2"/>
      <c r="V3532" s="2"/>
      <c r="W3532" s="2"/>
      <c r="X3532" s="2"/>
      <c r="Y3532" s="2"/>
      <c r="Z3532" s="2"/>
    </row>
    <row r="3533" spans="1:26" ht="12.75" x14ac:dyDescent="0.2">
      <c r="A3533" s="230"/>
      <c r="B3533" s="18">
        <v>2023</v>
      </c>
      <c r="C3533" s="18" t="s">
        <v>750</v>
      </c>
      <c r="D3533" s="18" t="s">
        <v>1349</v>
      </c>
      <c r="E3533" s="18" t="s">
        <v>703</v>
      </c>
      <c r="F3533" s="18" t="s">
        <v>704</v>
      </c>
      <c r="G3533" s="18" t="s">
        <v>673</v>
      </c>
      <c r="H3533" s="18" t="s">
        <v>978</v>
      </c>
      <c r="I3533" s="315">
        <v>3.0594248224291789</v>
      </c>
      <c r="J3533" s="315">
        <v>2.1253445771708822E-3</v>
      </c>
      <c r="K3533" s="316" t="str">
        <f t="shared" si="56"/>
        <v>Lawn and Garden Equipment</v>
      </c>
      <c r="L3533" s="316" t="str">
        <f t="shared" si="57"/>
        <v>Gasoline</v>
      </c>
      <c r="M3533" s="8"/>
      <c r="N3533" s="2"/>
      <c r="O3533" s="2"/>
      <c r="P3533" s="2"/>
      <c r="Q3533" s="2"/>
      <c r="R3533" s="2"/>
      <c r="S3533" s="2"/>
      <c r="T3533" s="2"/>
      <c r="U3533" s="2"/>
      <c r="V3533" s="2"/>
      <c r="W3533" s="2"/>
      <c r="X3533" s="2"/>
      <c r="Y3533" s="2"/>
      <c r="Z3533" s="2"/>
    </row>
    <row r="3534" spans="1:26" ht="12.75" x14ac:dyDescent="0.2">
      <c r="A3534" s="230"/>
      <c r="B3534" s="18">
        <v>2023</v>
      </c>
      <c r="C3534" s="18" t="s">
        <v>709</v>
      </c>
      <c r="D3534" s="18" t="s">
        <v>1654</v>
      </c>
      <c r="E3534" s="18" t="s">
        <v>56</v>
      </c>
      <c r="F3534" s="18" t="s">
        <v>672</v>
      </c>
      <c r="G3534" s="18" t="s">
        <v>674</v>
      </c>
      <c r="H3534" s="18" t="s">
        <v>994</v>
      </c>
      <c r="I3534" s="315">
        <v>3.0508813902353387</v>
      </c>
      <c r="J3534" s="315">
        <v>7.5628412622026132E-4</v>
      </c>
      <c r="K3534" s="316" t="str">
        <f t="shared" si="56"/>
        <v>Construction and Mining Equipment</v>
      </c>
      <c r="L3534" s="316" t="str">
        <f t="shared" si="57"/>
        <v>LPG</v>
      </c>
      <c r="M3534" s="8"/>
      <c r="N3534" s="2"/>
      <c r="O3534" s="2"/>
      <c r="P3534" s="2"/>
      <c r="Q3534" s="2"/>
      <c r="R3534" s="2"/>
      <c r="S3534" s="2"/>
      <c r="T3534" s="2"/>
      <c r="U3534" s="2"/>
      <c r="V3534" s="2"/>
      <c r="W3534" s="2"/>
      <c r="X3534" s="2"/>
      <c r="Y3534" s="2"/>
      <c r="Z3534" s="2"/>
    </row>
    <row r="3535" spans="1:26" ht="12.75" x14ac:dyDescent="0.2">
      <c r="A3535" s="230"/>
      <c r="B3535" s="18">
        <v>2023</v>
      </c>
      <c r="C3535" s="18" t="s">
        <v>773</v>
      </c>
      <c r="D3535" s="18" t="s">
        <v>1349</v>
      </c>
      <c r="E3535" s="18" t="s">
        <v>703</v>
      </c>
      <c r="F3535" s="18" t="s">
        <v>704</v>
      </c>
      <c r="G3535" s="18" t="s">
        <v>673</v>
      </c>
      <c r="H3535" s="18" t="s">
        <v>978</v>
      </c>
      <c r="I3535" s="315">
        <v>3.0399623039883985</v>
      </c>
      <c r="J3535" s="315">
        <v>2.1093951855559348E-3</v>
      </c>
      <c r="K3535" s="316" t="str">
        <f t="shared" si="56"/>
        <v>Lawn and Garden Equipment</v>
      </c>
      <c r="L3535" s="316" t="str">
        <f t="shared" si="57"/>
        <v>Gasoline</v>
      </c>
      <c r="M3535" s="8"/>
      <c r="N3535" s="2"/>
      <c r="O3535" s="2"/>
      <c r="P3535" s="2"/>
      <c r="Q3535" s="2"/>
      <c r="R3535" s="2"/>
      <c r="S3535" s="2"/>
      <c r="T3535" s="2"/>
      <c r="U3535" s="2"/>
      <c r="V3535" s="2"/>
      <c r="W3535" s="2"/>
      <c r="X3535" s="2"/>
      <c r="Y3535" s="2"/>
      <c r="Z3535" s="2"/>
    </row>
    <row r="3536" spans="1:26" ht="12.75" x14ac:dyDescent="0.2">
      <c r="A3536" s="230"/>
      <c r="B3536" s="18">
        <v>2023</v>
      </c>
      <c r="C3536" s="18" t="s">
        <v>759</v>
      </c>
      <c r="D3536" s="18" t="s">
        <v>1037</v>
      </c>
      <c r="E3536" s="18" t="s">
        <v>56</v>
      </c>
      <c r="F3536" s="18" t="s">
        <v>672</v>
      </c>
      <c r="G3536" s="18" t="s">
        <v>677</v>
      </c>
      <c r="H3536" s="18" t="s">
        <v>841</v>
      </c>
      <c r="I3536" s="315">
        <v>3.0384671271500752</v>
      </c>
      <c r="J3536" s="315">
        <v>3.0757590032307432E-4</v>
      </c>
      <c r="K3536" s="316" t="str">
        <f t="shared" si="56"/>
        <v>Commercial Equipment</v>
      </c>
      <c r="L3536" s="316" t="str">
        <f t="shared" si="57"/>
        <v>LPG</v>
      </c>
      <c r="M3536" s="8"/>
      <c r="N3536" s="2"/>
      <c r="O3536" s="2"/>
      <c r="P3536" s="2"/>
      <c r="Q3536" s="2"/>
      <c r="R3536" s="2"/>
      <c r="S3536" s="2"/>
      <c r="T3536" s="2"/>
      <c r="U3536" s="2"/>
      <c r="V3536" s="2"/>
      <c r="W3536" s="2"/>
      <c r="X3536" s="2"/>
      <c r="Y3536" s="2"/>
      <c r="Z3536" s="2"/>
    </row>
    <row r="3537" spans="1:26" ht="12.75" x14ac:dyDescent="0.2">
      <c r="A3537" s="230"/>
      <c r="B3537" s="18">
        <v>2023</v>
      </c>
      <c r="C3537" s="18" t="s">
        <v>760</v>
      </c>
      <c r="D3537" s="18" t="s">
        <v>1445</v>
      </c>
      <c r="E3537" s="18" t="s">
        <v>56</v>
      </c>
      <c r="F3537" s="18" t="s">
        <v>601</v>
      </c>
      <c r="G3537" s="18" t="s">
        <v>677</v>
      </c>
      <c r="H3537" s="18" t="s">
        <v>841</v>
      </c>
      <c r="I3537" s="315">
        <v>3.0355966218401194</v>
      </c>
      <c r="J3537" s="315">
        <v>3.2980510547306274E-2</v>
      </c>
      <c r="K3537" s="316" t="str">
        <f t="shared" si="56"/>
        <v>Commercial Equipment</v>
      </c>
      <c r="L3537" s="316" t="str">
        <f t="shared" si="57"/>
        <v>CNG</v>
      </c>
      <c r="M3537" s="8"/>
      <c r="N3537" s="2"/>
      <c r="O3537" s="2"/>
      <c r="P3537" s="2"/>
      <c r="Q3537" s="2"/>
      <c r="R3537" s="2"/>
      <c r="S3537" s="2"/>
      <c r="T3537" s="2"/>
      <c r="U3537" s="2"/>
      <c r="V3537" s="2"/>
      <c r="W3537" s="2"/>
      <c r="X3537" s="2"/>
      <c r="Y3537" s="2"/>
      <c r="Z3537" s="2"/>
    </row>
    <row r="3538" spans="1:26" ht="12.75" x14ac:dyDescent="0.2">
      <c r="A3538" s="230"/>
      <c r="B3538" s="18">
        <v>2023</v>
      </c>
      <c r="C3538" s="18" t="s">
        <v>773</v>
      </c>
      <c r="D3538" s="18" t="s">
        <v>1281</v>
      </c>
      <c r="E3538" s="18" t="s">
        <v>703</v>
      </c>
      <c r="F3538" s="18" t="s">
        <v>704</v>
      </c>
      <c r="G3538" s="18" t="s">
        <v>674</v>
      </c>
      <c r="H3538" s="18" t="s">
        <v>770</v>
      </c>
      <c r="I3538" s="315">
        <v>3.0327250731559068</v>
      </c>
      <c r="J3538" s="315">
        <v>3.3316470360240491E-4</v>
      </c>
      <c r="K3538" s="316" t="str">
        <f t="shared" si="56"/>
        <v>Construction and Mining Equipment</v>
      </c>
      <c r="L3538" s="316" t="str">
        <f t="shared" si="57"/>
        <v>Gasoline</v>
      </c>
      <c r="M3538" s="8"/>
      <c r="N3538" s="2"/>
      <c r="O3538" s="2"/>
      <c r="P3538" s="2"/>
      <c r="Q3538" s="2"/>
      <c r="R3538" s="2"/>
      <c r="S3538" s="2"/>
      <c r="T3538" s="2"/>
      <c r="U3538" s="2"/>
      <c r="V3538" s="2"/>
      <c r="W3538" s="2"/>
      <c r="X3538" s="2"/>
      <c r="Y3538" s="2"/>
      <c r="Z3538" s="2"/>
    </row>
    <row r="3539" spans="1:26" ht="12.75" x14ac:dyDescent="0.2">
      <c r="A3539" s="230"/>
      <c r="B3539" s="18">
        <v>2023</v>
      </c>
      <c r="C3539" s="18" t="s">
        <v>787</v>
      </c>
      <c r="D3539" s="18" t="s">
        <v>1360</v>
      </c>
      <c r="E3539" s="18" t="s">
        <v>713</v>
      </c>
      <c r="F3539" s="18" t="s">
        <v>714</v>
      </c>
      <c r="G3539" s="18" t="s">
        <v>674</v>
      </c>
      <c r="H3539" s="18" t="s">
        <v>1220</v>
      </c>
      <c r="I3539" s="315">
        <v>3.0303638811527041</v>
      </c>
      <c r="J3539" s="315">
        <v>1.3480215458828388E-4</v>
      </c>
      <c r="K3539" s="316" t="str">
        <f t="shared" si="56"/>
        <v>Construction and Mining Equipment</v>
      </c>
      <c r="L3539" s="316" t="str">
        <f t="shared" si="57"/>
        <v>Diesel</v>
      </c>
      <c r="M3539" s="8"/>
      <c r="N3539" s="2"/>
      <c r="O3539" s="2"/>
      <c r="P3539" s="2"/>
      <c r="Q3539" s="2"/>
      <c r="R3539" s="2"/>
      <c r="S3539" s="2"/>
      <c r="T3539" s="2"/>
      <c r="U3539" s="2"/>
      <c r="V3539" s="2"/>
      <c r="W3539" s="2"/>
      <c r="X3539" s="2"/>
      <c r="Y3539" s="2"/>
      <c r="Z3539" s="2"/>
    </row>
    <row r="3540" spans="1:26" ht="12.75" x14ac:dyDescent="0.2">
      <c r="A3540" s="230"/>
      <c r="B3540" s="18">
        <v>2023</v>
      </c>
      <c r="C3540" s="18" t="s">
        <v>743</v>
      </c>
      <c r="D3540" s="18" t="s">
        <v>1401</v>
      </c>
      <c r="E3540" s="18" t="s">
        <v>56</v>
      </c>
      <c r="F3540" s="18" t="s">
        <v>601</v>
      </c>
      <c r="G3540" s="18" t="s">
        <v>677</v>
      </c>
      <c r="H3540" s="18" t="s">
        <v>785</v>
      </c>
      <c r="I3540" s="315">
        <v>3.0228407490887004</v>
      </c>
      <c r="J3540" s="315">
        <v>1.3102633150762993E-2</v>
      </c>
      <c r="K3540" s="316" t="str">
        <f t="shared" si="56"/>
        <v>Commercial Equipment</v>
      </c>
      <c r="L3540" s="316" t="str">
        <f t="shared" si="57"/>
        <v>CNG</v>
      </c>
      <c r="M3540" s="8"/>
      <c r="N3540" s="2"/>
      <c r="O3540" s="2"/>
      <c r="P3540" s="2"/>
      <c r="Q3540" s="2"/>
      <c r="R3540" s="2"/>
      <c r="S3540" s="2"/>
      <c r="T3540" s="2"/>
      <c r="U3540" s="2"/>
      <c r="V3540" s="2"/>
      <c r="W3540" s="2"/>
      <c r="X3540" s="2"/>
      <c r="Y3540" s="2"/>
      <c r="Z3540" s="2"/>
    </row>
    <row r="3541" spans="1:26" ht="12.75" x14ac:dyDescent="0.2">
      <c r="A3541" s="230"/>
      <c r="B3541" s="18">
        <v>2023</v>
      </c>
      <c r="C3541" s="18" t="s">
        <v>722</v>
      </c>
      <c r="D3541" s="18" t="s">
        <v>1435</v>
      </c>
      <c r="E3541" s="18" t="s">
        <v>56</v>
      </c>
      <c r="F3541" s="18" t="s">
        <v>672</v>
      </c>
      <c r="G3541" s="18" t="s">
        <v>674</v>
      </c>
      <c r="H3541" s="18" t="s">
        <v>863</v>
      </c>
      <c r="I3541" s="315">
        <v>3.0174692245545782</v>
      </c>
      <c r="J3541" s="315">
        <v>2.009508248604974E-4</v>
      </c>
      <c r="K3541" s="316" t="str">
        <f t="shared" si="56"/>
        <v>Construction and Mining Equipment</v>
      </c>
      <c r="L3541" s="316" t="str">
        <f t="shared" si="57"/>
        <v>LPG</v>
      </c>
      <c r="M3541" s="8"/>
      <c r="N3541" s="2"/>
      <c r="O3541" s="2"/>
      <c r="P3541" s="2"/>
      <c r="Q3541" s="2"/>
      <c r="R3541" s="2"/>
      <c r="S3541" s="2"/>
      <c r="T3541" s="2"/>
      <c r="U3541" s="2"/>
      <c r="V3541" s="2"/>
      <c r="W3541" s="2"/>
      <c r="X3541" s="2"/>
      <c r="Y3541" s="2"/>
      <c r="Z3541" s="2"/>
    </row>
    <row r="3542" spans="1:26" ht="12.75" x14ac:dyDescent="0.2">
      <c r="A3542" s="230"/>
      <c r="B3542" s="18">
        <v>2023</v>
      </c>
      <c r="C3542" s="18" t="s">
        <v>760</v>
      </c>
      <c r="D3542" s="18" t="s">
        <v>1573</v>
      </c>
      <c r="E3542" s="18" t="s">
        <v>703</v>
      </c>
      <c r="F3542" s="18" t="s">
        <v>704</v>
      </c>
      <c r="G3542" s="18" t="s">
        <v>678</v>
      </c>
      <c r="H3542" s="18" t="s">
        <v>764</v>
      </c>
      <c r="I3542" s="315">
        <v>2.9984570598941627</v>
      </c>
      <c r="J3542" s="315">
        <v>5.8395801342768982E-4</v>
      </c>
      <c r="K3542" s="316" t="str">
        <f t="shared" si="56"/>
        <v>Agricultural Equipment</v>
      </c>
      <c r="L3542" s="316" t="str">
        <f t="shared" si="57"/>
        <v>Gasoline</v>
      </c>
      <c r="M3542" s="8"/>
      <c r="N3542" s="2"/>
      <c r="O3542" s="2"/>
      <c r="P3542" s="2"/>
      <c r="Q3542" s="2"/>
      <c r="R3542" s="2"/>
      <c r="S3542" s="2"/>
      <c r="T3542" s="2"/>
      <c r="U3542" s="2"/>
      <c r="V3542" s="2"/>
      <c r="W3542" s="2"/>
      <c r="X3542" s="2"/>
      <c r="Y3542" s="2"/>
      <c r="Z3542" s="2"/>
    </row>
    <row r="3543" spans="1:26" ht="12.75" x14ac:dyDescent="0.2">
      <c r="A3543" s="230"/>
      <c r="B3543" s="18">
        <v>2023</v>
      </c>
      <c r="C3543" s="18" t="s">
        <v>787</v>
      </c>
      <c r="D3543" s="18" t="s">
        <v>1361</v>
      </c>
      <c r="E3543" s="18" t="s">
        <v>56</v>
      </c>
      <c r="F3543" s="18" t="s">
        <v>672</v>
      </c>
      <c r="G3543" s="18" t="s">
        <v>674</v>
      </c>
      <c r="H3543" s="18" t="s">
        <v>783</v>
      </c>
      <c r="I3543" s="315">
        <v>2.993227991604245</v>
      </c>
      <c r="J3543" s="315">
        <v>1.3740854737802146E-4</v>
      </c>
      <c r="K3543" s="316" t="str">
        <f t="shared" si="56"/>
        <v>Construction and Mining Equipment</v>
      </c>
      <c r="L3543" s="316" t="str">
        <f t="shared" si="57"/>
        <v>LPG</v>
      </c>
      <c r="M3543" s="8"/>
      <c r="N3543" s="2"/>
      <c r="O3543" s="2"/>
      <c r="P3543" s="2"/>
      <c r="Q3543" s="2"/>
      <c r="R3543" s="2"/>
      <c r="S3543" s="2"/>
      <c r="T3543" s="2"/>
      <c r="U3543" s="2"/>
      <c r="V3543" s="2"/>
      <c r="W3543" s="2"/>
      <c r="X3543" s="2"/>
      <c r="Y3543" s="2"/>
      <c r="Z3543" s="2"/>
    </row>
    <row r="3544" spans="1:26" ht="12.75" x14ac:dyDescent="0.2">
      <c r="A3544" s="230"/>
      <c r="B3544" s="18">
        <v>2023</v>
      </c>
      <c r="C3544" s="18" t="s">
        <v>731</v>
      </c>
      <c r="D3544" s="18" t="s">
        <v>1081</v>
      </c>
      <c r="E3544" s="18" t="s">
        <v>703</v>
      </c>
      <c r="F3544" s="18" t="s">
        <v>805</v>
      </c>
      <c r="G3544" s="18" t="s">
        <v>674</v>
      </c>
      <c r="H3544" s="18" t="s">
        <v>1082</v>
      </c>
      <c r="I3544" s="315">
        <v>2.9849292508573528</v>
      </c>
      <c r="J3544" s="315">
        <v>4.8416595086848337E-3</v>
      </c>
      <c r="K3544" s="316" t="str">
        <f t="shared" si="56"/>
        <v>Construction and Mining Equipment</v>
      </c>
      <c r="L3544" s="316" t="str">
        <f t="shared" si="57"/>
        <v>Gasoline</v>
      </c>
      <c r="M3544" s="8"/>
      <c r="N3544" s="2"/>
      <c r="O3544" s="2"/>
      <c r="P3544" s="2"/>
      <c r="Q3544" s="2"/>
      <c r="R3544" s="2"/>
      <c r="S3544" s="2"/>
      <c r="T3544" s="2"/>
      <c r="U3544" s="2"/>
      <c r="V3544" s="2"/>
      <c r="W3544" s="2"/>
      <c r="X3544" s="2"/>
      <c r="Y3544" s="2"/>
      <c r="Z3544" s="2"/>
    </row>
    <row r="3545" spans="1:26" ht="12.75" x14ac:dyDescent="0.2">
      <c r="A3545" s="230"/>
      <c r="B3545" s="18">
        <v>2023</v>
      </c>
      <c r="C3545" s="18" t="s">
        <v>722</v>
      </c>
      <c r="D3545" s="18" t="s">
        <v>1574</v>
      </c>
      <c r="E3545" s="18" t="s">
        <v>56</v>
      </c>
      <c r="F3545" s="18" t="s">
        <v>1575</v>
      </c>
      <c r="G3545" s="18" t="s">
        <v>675</v>
      </c>
      <c r="H3545" s="18" t="s">
        <v>1576</v>
      </c>
      <c r="I3545" s="315">
        <v>2.9835256815789934</v>
      </c>
      <c r="J3545" s="315">
        <v>1.3036592616432773E-2</v>
      </c>
      <c r="K3545" s="316" t="str">
        <f t="shared" si="56"/>
        <v>Industrial Equipment</v>
      </c>
      <c r="L3545" s="316" t="str">
        <f t="shared" si="57"/>
        <v>CNG</v>
      </c>
      <c r="M3545" s="8"/>
      <c r="N3545" s="2"/>
      <c r="O3545" s="2"/>
      <c r="P3545" s="2"/>
      <c r="Q3545" s="2"/>
      <c r="R3545" s="2"/>
      <c r="S3545" s="2"/>
      <c r="T3545" s="2"/>
      <c r="U3545" s="2"/>
      <c r="V3545" s="2"/>
      <c r="W3545" s="2"/>
      <c r="X3545" s="2"/>
      <c r="Y3545" s="2"/>
      <c r="Z3545" s="2"/>
    </row>
    <row r="3546" spans="1:26" ht="12.75" x14ac:dyDescent="0.2">
      <c r="A3546" s="230"/>
      <c r="B3546" s="18">
        <v>2023</v>
      </c>
      <c r="C3546" s="18" t="s">
        <v>743</v>
      </c>
      <c r="D3546" s="18" t="s">
        <v>1574</v>
      </c>
      <c r="E3546" s="18" t="s">
        <v>56</v>
      </c>
      <c r="F3546" s="18" t="s">
        <v>1575</v>
      </c>
      <c r="G3546" s="18" t="s">
        <v>675</v>
      </c>
      <c r="H3546" s="18" t="s">
        <v>1576</v>
      </c>
      <c r="I3546" s="315">
        <v>2.9835256815789934</v>
      </c>
      <c r="J3546" s="315">
        <v>1.3036592616432773E-2</v>
      </c>
      <c r="K3546" s="316" t="str">
        <f t="shared" si="56"/>
        <v>Industrial Equipment</v>
      </c>
      <c r="L3546" s="316" t="str">
        <f t="shared" si="57"/>
        <v>CNG</v>
      </c>
      <c r="M3546" s="8"/>
      <c r="N3546" s="2"/>
      <c r="O3546" s="2"/>
      <c r="P3546" s="2"/>
      <c r="Q3546" s="2"/>
      <c r="R3546" s="2"/>
      <c r="S3546" s="2"/>
      <c r="T3546" s="2"/>
      <c r="U3546" s="2"/>
      <c r="V3546" s="2"/>
      <c r="W3546" s="2"/>
      <c r="X3546" s="2"/>
      <c r="Y3546" s="2"/>
      <c r="Z3546" s="2"/>
    </row>
    <row r="3547" spans="1:26" ht="12.75" x14ac:dyDescent="0.2">
      <c r="A3547" s="230"/>
      <c r="B3547" s="18">
        <v>2023</v>
      </c>
      <c r="C3547" s="18" t="s">
        <v>792</v>
      </c>
      <c r="D3547" s="18" t="s">
        <v>1338</v>
      </c>
      <c r="E3547" s="18" t="s">
        <v>703</v>
      </c>
      <c r="F3547" s="18" t="s">
        <v>805</v>
      </c>
      <c r="G3547" s="18" t="s">
        <v>673</v>
      </c>
      <c r="H3547" s="18" t="s">
        <v>987</v>
      </c>
      <c r="I3547" s="315">
        <v>2.9667111549611764</v>
      </c>
      <c r="J3547" s="315">
        <v>5.4174267964047455E-3</v>
      </c>
      <c r="K3547" s="316" t="str">
        <f t="shared" si="56"/>
        <v>Lawn and Garden Equipment</v>
      </c>
      <c r="L3547" s="316" t="str">
        <f t="shared" si="57"/>
        <v>Gasoline</v>
      </c>
      <c r="M3547" s="8"/>
      <c r="N3547" s="2"/>
      <c r="O3547" s="2"/>
      <c r="P3547" s="2"/>
      <c r="Q3547" s="2"/>
      <c r="R3547" s="2"/>
      <c r="S3547" s="2"/>
      <c r="T3547" s="2"/>
      <c r="U3547" s="2"/>
      <c r="V3547" s="2"/>
      <c r="W3547" s="2"/>
      <c r="X3547" s="2"/>
      <c r="Y3547" s="2"/>
      <c r="Z3547" s="2"/>
    </row>
    <row r="3548" spans="1:26" ht="12.75" x14ac:dyDescent="0.2">
      <c r="A3548" s="230"/>
      <c r="B3548" s="18">
        <v>2023</v>
      </c>
      <c r="C3548" s="18" t="s">
        <v>786</v>
      </c>
      <c r="D3548" s="18" t="s">
        <v>1081</v>
      </c>
      <c r="E3548" s="18" t="s">
        <v>703</v>
      </c>
      <c r="F3548" s="18" t="s">
        <v>805</v>
      </c>
      <c r="G3548" s="18" t="s">
        <v>674</v>
      </c>
      <c r="H3548" s="18" t="s">
        <v>1082</v>
      </c>
      <c r="I3548" s="315">
        <v>2.9646003489623776</v>
      </c>
      <c r="J3548" s="315">
        <v>4.8086870227522773E-3</v>
      </c>
      <c r="K3548" s="316" t="str">
        <f t="shared" si="56"/>
        <v>Construction and Mining Equipment</v>
      </c>
      <c r="L3548" s="316" t="str">
        <f t="shared" si="57"/>
        <v>Gasoline</v>
      </c>
      <c r="M3548" s="8"/>
      <c r="N3548" s="2"/>
      <c r="O3548" s="2"/>
      <c r="P3548" s="2"/>
      <c r="Q3548" s="2"/>
      <c r="R3548" s="2"/>
      <c r="S3548" s="2"/>
      <c r="T3548" s="2"/>
      <c r="U3548" s="2"/>
      <c r="V3548" s="2"/>
      <c r="W3548" s="2"/>
      <c r="X3548" s="2"/>
      <c r="Y3548" s="2"/>
      <c r="Z3548" s="2"/>
    </row>
    <row r="3549" spans="1:26" ht="12.75" x14ac:dyDescent="0.2">
      <c r="A3549" s="230"/>
      <c r="B3549" s="18">
        <v>2023</v>
      </c>
      <c r="C3549" s="18" t="s">
        <v>727</v>
      </c>
      <c r="D3549" s="18" t="s">
        <v>1295</v>
      </c>
      <c r="E3549" s="18" t="s">
        <v>703</v>
      </c>
      <c r="F3549" s="18" t="s">
        <v>704</v>
      </c>
      <c r="G3549" s="18" t="s">
        <v>674</v>
      </c>
      <c r="H3549" s="18" t="s">
        <v>859</v>
      </c>
      <c r="I3549" s="315">
        <v>2.9607163485994801</v>
      </c>
      <c r="J3549" s="315">
        <v>9.5312338834554371E-4</v>
      </c>
      <c r="K3549" s="316" t="str">
        <f t="shared" si="56"/>
        <v>Construction and Mining Equipment</v>
      </c>
      <c r="L3549" s="316" t="str">
        <f t="shared" si="57"/>
        <v>Gasoline</v>
      </c>
      <c r="M3549" s="8"/>
      <c r="N3549" s="2"/>
      <c r="O3549" s="2"/>
      <c r="P3549" s="2"/>
      <c r="Q3549" s="2"/>
      <c r="R3549" s="2"/>
      <c r="S3549" s="2"/>
      <c r="T3549" s="2"/>
      <c r="U3549" s="2"/>
      <c r="V3549" s="2"/>
      <c r="W3549" s="2"/>
      <c r="X3549" s="2"/>
      <c r="Y3549" s="2"/>
      <c r="Z3549" s="2"/>
    </row>
    <row r="3550" spans="1:26" ht="12.75" x14ac:dyDescent="0.2">
      <c r="A3550" s="230"/>
      <c r="B3550" s="18">
        <v>2023</v>
      </c>
      <c r="C3550" s="18" t="s">
        <v>787</v>
      </c>
      <c r="D3550" s="18" t="s">
        <v>1362</v>
      </c>
      <c r="E3550" s="18" t="s">
        <v>56</v>
      </c>
      <c r="F3550" s="18" t="s">
        <v>672</v>
      </c>
      <c r="G3550" s="18" t="s">
        <v>674</v>
      </c>
      <c r="H3550" s="18" t="s">
        <v>859</v>
      </c>
      <c r="I3550" s="315">
        <v>2.9575041197860439</v>
      </c>
      <c r="J3550" s="315">
        <v>7.3352375989138715E-4</v>
      </c>
      <c r="K3550" s="316" t="str">
        <f t="shared" si="56"/>
        <v>Construction and Mining Equipment</v>
      </c>
      <c r="L3550" s="316" t="str">
        <f t="shared" si="57"/>
        <v>LPG</v>
      </c>
      <c r="M3550" s="8"/>
      <c r="N3550" s="2"/>
      <c r="O3550" s="2"/>
      <c r="P3550" s="2"/>
      <c r="Q3550" s="2"/>
      <c r="R3550" s="2"/>
      <c r="S3550" s="2"/>
      <c r="T3550" s="2"/>
      <c r="U3550" s="2"/>
      <c r="V3550" s="2"/>
      <c r="W3550" s="2"/>
      <c r="X3550" s="2"/>
      <c r="Y3550" s="2"/>
      <c r="Z3550" s="2"/>
    </row>
    <row r="3551" spans="1:26" ht="12.75" x14ac:dyDescent="0.2">
      <c r="A3551" s="230"/>
      <c r="B3551" s="18">
        <v>2023</v>
      </c>
      <c r="C3551" s="18" t="s">
        <v>760</v>
      </c>
      <c r="D3551" s="18" t="s">
        <v>1457</v>
      </c>
      <c r="E3551" s="18" t="s">
        <v>56</v>
      </c>
      <c r="F3551" s="18" t="s">
        <v>601</v>
      </c>
      <c r="G3551" s="18" t="s">
        <v>675</v>
      </c>
      <c r="H3551" s="18" t="s">
        <v>772</v>
      </c>
      <c r="I3551" s="315">
        <v>2.9428873980645882</v>
      </c>
      <c r="J3551" s="315">
        <v>1.200408364580699E-2</v>
      </c>
      <c r="K3551" s="316" t="str">
        <f t="shared" si="56"/>
        <v>Industrial Equipment</v>
      </c>
      <c r="L3551" s="316" t="str">
        <f t="shared" si="57"/>
        <v>CNG</v>
      </c>
      <c r="M3551" s="8"/>
      <c r="N3551" s="2"/>
      <c r="O3551" s="2"/>
      <c r="P3551" s="2"/>
      <c r="Q3551" s="2"/>
      <c r="R3551" s="2"/>
      <c r="S3551" s="2"/>
      <c r="T3551" s="2"/>
      <c r="U3551" s="2"/>
      <c r="V3551" s="2"/>
      <c r="W3551" s="2"/>
      <c r="X3551" s="2"/>
      <c r="Y3551" s="2"/>
      <c r="Z3551" s="2"/>
    </row>
    <row r="3552" spans="1:26" ht="12.75" x14ac:dyDescent="0.2">
      <c r="A3552" s="230"/>
      <c r="B3552" s="18">
        <v>2023</v>
      </c>
      <c r="C3552" s="18" t="s">
        <v>781</v>
      </c>
      <c r="D3552" s="18" t="s">
        <v>1051</v>
      </c>
      <c r="E3552" s="18" t="s">
        <v>703</v>
      </c>
      <c r="F3552" s="18" t="s">
        <v>704</v>
      </c>
      <c r="G3552" s="18" t="s">
        <v>674</v>
      </c>
      <c r="H3552" s="18" t="s">
        <v>783</v>
      </c>
      <c r="I3552" s="315">
        <v>2.9186805757425405</v>
      </c>
      <c r="J3552" s="315">
        <v>1.7761890706146245E-3</v>
      </c>
      <c r="K3552" s="316" t="str">
        <f t="shared" si="56"/>
        <v>Construction and Mining Equipment</v>
      </c>
      <c r="L3552" s="316" t="str">
        <f t="shared" si="57"/>
        <v>Gasoline</v>
      </c>
      <c r="M3552" s="8"/>
      <c r="N3552" s="2"/>
      <c r="O3552" s="2"/>
      <c r="P3552" s="2"/>
      <c r="Q3552" s="2"/>
      <c r="R3552" s="2"/>
      <c r="S3552" s="2"/>
      <c r="T3552" s="2"/>
      <c r="U3552" s="2"/>
      <c r="V3552" s="2"/>
      <c r="W3552" s="2"/>
      <c r="X3552" s="2"/>
      <c r="Y3552" s="2"/>
      <c r="Z3552" s="2"/>
    </row>
    <row r="3553" spans="1:26" ht="12.75" x14ac:dyDescent="0.2">
      <c r="A3553" s="230"/>
      <c r="B3553" s="18">
        <v>2023</v>
      </c>
      <c r="C3553" s="18" t="s">
        <v>759</v>
      </c>
      <c r="D3553" s="18" t="s">
        <v>1022</v>
      </c>
      <c r="E3553" s="18" t="s">
        <v>703</v>
      </c>
      <c r="F3553" s="18" t="s">
        <v>704</v>
      </c>
      <c r="G3553" s="18" t="s">
        <v>675</v>
      </c>
      <c r="H3553" s="18" t="s">
        <v>772</v>
      </c>
      <c r="I3553" s="315">
        <v>2.9152537635708713</v>
      </c>
      <c r="J3553" s="315">
        <v>2.0469788184770062E-4</v>
      </c>
      <c r="K3553" s="316" t="str">
        <f t="shared" si="56"/>
        <v>Industrial Equipment</v>
      </c>
      <c r="L3553" s="316" t="str">
        <f t="shared" si="57"/>
        <v>Gasoline</v>
      </c>
      <c r="M3553" s="8"/>
      <c r="N3553" s="2"/>
      <c r="O3553" s="2"/>
      <c r="P3553" s="2"/>
      <c r="Q3553" s="2"/>
      <c r="R3553" s="2"/>
      <c r="S3553" s="2"/>
      <c r="T3553" s="2"/>
      <c r="U3553" s="2"/>
      <c r="V3553" s="2"/>
      <c r="W3553" s="2"/>
      <c r="X3553" s="2"/>
      <c r="Y3553" s="2"/>
      <c r="Z3553" s="2"/>
    </row>
    <row r="3554" spans="1:26" ht="12.75" x14ac:dyDescent="0.2">
      <c r="A3554" s="230"/>
      <c r="B3554" s="18">
        <v>2023</v>
      </c>
      <c r="C3554" s="18" t="s">
        <v>701</v>
      </c>
      <c r="D3554" s="18" t="s">
        <v>1573</v>
      </c>
      <c r="E3554" s="18" t="s">
        <v>703</v>
      </c>
      <c r="F3554" s="18" t="s">
        <v>704</v>
      </c>
      <c r="G3554" s="18" t="s">
        <v>678</v>
      </c>
      <c r="H3554" s="18" t="s">
        <v>764</v>
      </c>
      <c r="I3554" s="315">
        <v>2.9129704362309092</v>
      </c>
      <c r="J3554" s="315">
        <v>5.6721183699720513E-4</v>
      </c>
      <c r="K3554" s="316" t="str">
        <f t="shared" si="56"/>
        <v>Agricultural Equipment</v>
      </c>
      <c r="L3554" s="316" t="str">
        <f t="shared" si="57"/>
        <v>Gasoline</v>
      </c>
      <c r="M3554" s="8"/>
      <c r="N3554" s="2"/>
      <c r="O3554" s="2"/>
      <c r="P3554" s="2"/>
      <c r="Q3554" s="2"/>
      <c r="R3554" s="2"/>
      <c r="S3554" s="2"/>
      <c r="T3554" s="2"/>
      <c r="U3554" s="2"/>
      <c r="V3554" s="2"/>
      <c r="W3554" s="2"/>
      <c r="X3554" s="2"/>
      <c r="Y3554" s="2"/>
      <c r="Z3554" s="2"/>
    </row>
    <row r="3555" spans="1:26" ht="12.75" x14ac:dyDescent="0.2">
      <c r="A3555" s="230"/>
      <c r="B3555" s="18">
        <v>2023</v>
      </c>
      <c r="C3555" s="18" t="s">
        <v>750</v>
      </c>
      <c r="D3555" s="18" t="s">
        <v>1075</v>
      </c>
      <c r="E3555" s="18" t="s">
        <v>56</v>
      </c>
      <c r="F3555" s="18" t="s">
        <v>672</v>
      </c>
      <c r="G3555" s="18" t="s">
        <v>675</v>
      </c>
      <c r="H3555" s="18" t="s">
        <v>772</v>
      </c>
      <c r="I3555" s="315">
        <v>2.9129374032899227</v>
      </c>
      <c r="J3555" s="315">
        <v>1.3419795989347145E-4</v>
      </c>
      <c r="K3555" s="316" t="str">
        <f t="shared" si="56"/>
        <v>Industrial Equipment</v>
      </c>
      <c r="L3555" s="316" t="str">
        <f t="shared" si="57"/>
        <v>LPG</v>
      </c>
      <c r="M3555" s="8"/>
      <c r="N3555" s="2"/>
      <c r="O3555" s="2"/>
      <c r="P3555" s="2"/>
      <c r="Q3555" s="2"/>
      <c r="R3555" s="2"/>
      <c r="S3555" s="2"/>
      <c r="T3555" s="2"/>
      <c r="U3555" s="2"/>
      <c r="V3555" s="2"/>
      <c r="W3555" s="2"/>
      <c r="X3555" s="2"/>
      <c r="Y3555" s="2"/>
      <c r="Z3555" s="2"/>
    </row>
    <row r="3556" spans="1:26" ht="12.75" x14ac:dyDescent="0.2">
      <c r="A3556" s="230"/>
      <c r="B3556" s="18">
        <v>2023</v>
      </c>
      <c r="C3556" s="18" t="s">
        <v>778</v>
      </c>
      <c r="D3556" s="18" t="s">
        <v>1435</v>
      </c>
      <c r="E3556" s="18" t="s">
        <v>56</v>
      </c>
      <c r="F3556" s="18" t="s">
        <v>672</v>
      </c>
      <c r="G3556" s="18" t="s">
        <v>674</v>
      </c>
      <c r="H3556" s="18" t="s">
        <v>863</v>
      </c>
      <c r="I3556" s="315">
        <v>2.9086705863020557</v>
      </c>
      <c r="J3556" s="315">
        <v>1.9370529411308986E-4</v>
      </c>
      <c r="K3556" s="316" t="str">
        <f t="shared" si="56"/>
        <v>Construction and Mining Equipment</v>
      </c>
      <c r="L3556" s="316" t="str">
        <f t="shared" si="57"/>
        <v>LPG</v>
      </c>
      <c r="M3556" s="8"/>
      <c r="N3556" s="2"/>
      <c r="O3556" s="2"/>
      <c r="P3556" s="2"/>
      <c r="Q3556" s="2"/>
      <c r="R3556" s="2"/>
      <c r="S3556" s="2"/>
      <c r="T3556" s="2"/>
      <c r="U3556" s="2"/>
      <c r="V3556" s="2"/>
      <c r="W3556" s="2"/>
      <c r="X3556" s="2"/>
      <c r="Y3556" s="2"/>
      <c r="Z3556" s="2"/>
    </row>
    <row r="3557" spans="1:26" ht="12.75" x14ac:dyDescent="0.2">
      <c r="A3557" s="230"/>
      <c r="B3557" s="18">
        <v>2023</v>
      </c>
      <c r="C3557" s="18" t="s">
        <v>753</v>
      </c>
      <c r="D3557" s="18" t="s">
        <v>1219</v>
      </c>
      <c r="E3557" s="18" t="s">
        <v>703</v>
      </c>
      <c r="F3557" s="18" t="s">
        <v>704</v>
      </c>
      <c r="G3557" s="18" t="s">
        <v>674</v>
      </c>
      <c r="H3557" s="18" t="s">
        <v>1220</v>
      </c>
      <c r="I3557" s="315">
        <v>2.907157410786859</v>
      </c>
      <c r="J3557" s="315">
        <v>1.9534480872921709E-3</v>
      </c>
      <c r="K3557" s="316" t="str">
        <f t="shared" si="56"/>
        <v>Construction and Mining Equipment</v>
      </c>
      <c r="L3557" s="316" t="str">
        <f t="shared" si="57"/>
        <v>Gasoline</v>
      </c>
      <c r="M3557" s="8"/>
      <c r="N3557" s="2"/>
      <c r="O3557" s="2"/>
      <c r="P3557" s="2"/>
      <c r="Q3557" s="2"/>
      <c r="R3557" s="2"/>
      <c r="S3557" s="2"/>
      <c r="T3557" s="2"/>
      <c r="U3557" s="2"/>
      <c r="V3557" s="2"/>
      <c r="W3557" s="2"/>
      <c r="X3557" s="2"/>
      <c r="Y3557" s="2"/>
      <c r="Z3557" s="2"/>
    </row>
    <row r="3558" spans="1:26" ht="12.75" x14ac:dyDescent="0.2">
      <c r="A3558" s="230"/>
      <c r="B3558" s="18">
        <v>2023</v>
      </c>
      <c r="C3558" s="18" t="s">
        <v>787</v>
      </c>
      <c r="D3558" s="18" t="s">
        <v>1366</v>
      </c>
      <c r="E3558" s="18" t="s">
        <v>703</v>
      </c>
      <c r="F3558" s="18" t="s">
        <v>704</v>
      </c>
      <c r="G3558" s="18" t="s">
        <v>674</v>
      </c>
      <c r="H3558" s="18" t="s">
        <v>791</v>
      </c>
      <c r="I3558" s="315">
        <v>2.8976833594004243</v>
      </c>
      <c r="J3558" s="315">
        <v>9.0832093185981057E-4</v>
      </c>
      <c r="K3558" s="316" t="str">
        <f t="shared" si="56"/>
        <v>Construction and Mining Equipment</v>
      </c>
      <c r="L3558" s="316" t="str">
        <f t="shared" si="57"/>
        <v>Gasoline</v>
      </c>
      <c r="M3558" s="8"/>
      <c r="N3558" s="2"/>
      <c r="O3558" s="2"/>
      <c r="P3558" s="2"/>
      <c r="Q3558" s="2"/>
      <c r="R3558" s="2"/>
      <c r="S3558" s="2"/>
      <c r="T3558" s="2"/>
      <c r="U3558" s="2"/>
      <c r="V3558" s="2"/>
      <c r="W3558" s="2"/>
      <c r="X3558" s="2"/>
      <c r="Y3558" s="2"/>
      <c r="Z3558" s="2"/>
    </row>
    <row r="3559" spans="1:26" ht="12.75" x14ac:dyDescent="0.2">
      <c r="A3559" s="230"/>
      <c r="B3559" s="18">
        <v>2023</v>
      </c>
      <c r="C3559" s="18" t="s">
        <v>706</v>
      </c>
      <c r="D3559" s="18" t="s">
        <v>1679</v>
      </c>
      <c r="E3559" s="18" t="s">
        <v>56</v>
      </c>
      <c r="F3559" s="18" t="s">
        <v>672</v>
      </c>
      <c r="G3559" s="18" t="s">
        <v>674</v>
      </c>
      <c r="H3559" s="18" t="s">
        <v>959</v>
      </c>
      <c r="I3559" s="315">
        <v>2.8957163693694365</v>
      </c>
      <c r="J3559" s="315">
        <v>4.9187857768765917E-4</v>
      </c>
      <c r="K3559" s="316" t="str">
        <f t="shared" si="56"/>
        <v>Construction and Mining Equipment</v>
      </c>
      <c r="L3559" s="316" t="str">
        <f t="shared" si="57"/>
        <v>LPG</v>
      </c>
      <c r="M3559" s="8"/>
      <c r="N3559" s="2"/>
      <c r="O3559" s="2"/>
      <c r="P3559" s="2"/>
      <c r="Q3559" s="2"/>
      <c r="R3559" s="2"/>
      <c r="S3559" s="2"/>
      <c r="T3559" s="2"/>
      <c r="U3559" s="2"/>
      <c r="V3559" s="2"/>
      <c r="W3559" s="2"/>
      <c r="X3559" s="2"/>
      <c r="Y3559" s="2"/>
      <c r="Z3559" s="2"/>
    </row>
    <row r="3560" spans="1:26" ht="12.75" x14ac:dyDescent="0.2">
      <c r="A3560" s="230"/>
      <c r="B3560" s="18">
        <v>2023</v>
      </c>
      <c r="C3560" s="18" t="s">
        <v>793</v>
      </c>
      <c r="D3560" s="18" t="s">
        <v>1295</v>
      </c>
      <c r="E3560" s="18" t="s">
        <v>703</v>
      </c>
      <c r="F3560" s="18" t="s">
        <v>704</v>
      </c>
      <c r="G3560" s="18" t="s">
        <v>674</v>
      </c>
      <c r="H3560" s="18" t="s">
        <v>859</v>
      </c>
      <c r="I3560" s="315">
        <v>2.8907230864377538</v>
      </c>
      <c r="J3560" s="315">
        <v>9.3164086519179458E-4</v>
      </c>
      <c r="K3560" s="316" t="str">
        <f t="shared" si="56"/>
        <v>Construction and Mining Equipment</v>
      </c>
      <c r="L3560" s="316" t="str">
        <f t="shared" si="57"/>
        <v>Gasoline</v>
      </c>
      <c r="M3560" s="8"/>
      <c r="N3560" s="2"/>
      <c r="O3560" s="2"/>
      <c r="P3560" s="2"/>
      <c r="Q3560" s="2"/>
      <c r="R3560" s="2"/>
      <c r="S3560" s="2"/>
      <c r="T3560" s="2"/>
      <c r="U3560" s="2"/>
      <c r="V3560" s="2"/>
      <c r="W3560" s="2"/>
      <c r="X3560" s="2"/>
      <c r="Y3560" s="2"/>
      <c r="Z3560" s="2"/>
    </row>
    <row r="3561" spans="1:26" ht="12.75" x14ac:dyDescent="0.2">
      <c r="A3561" s="230"/>
      <c r="B3561" s="18">
        <v>2023</v>
      </c>
      <c r="C3561" s="18" t="s">
        <v>753</v>
      </c>
      <c r="D3561" s="18" t="s">
        <v>1223</v>
      </c>
      <c r="E3561" s="18" t="s">
        <v>713</v>
      </c>
      <c r="F3561" s="18" t="s">
        <v>714</v>
      </c>
      <c r="G3561" s="18" t="s">
        <v>674</v>
      </c>
      <c r="H3561" s="18" t="s">
        <v>1036</v>
      </c>
      <c r="I3561" s="315">
        <v>2.8604378531194867</v>
      </c>
      <c r="J3561" s="315">
        <v>2.7974826651614755E-4</v>
      </c>
      <c r="K3561" s="316" t="str">
        <f t="shared" si="56"/>
        <v>Construction and Mining Equipment</v>
      </c>
      <c r="L3561" s="316" t="str">
        <f t="shared" si="57"/>
        <v>Diesel</v>
      </c>
      <c r="M3561" s="8"/>
      <c r="N3561" s="2"/>
      <c r="O3561" s="2"/>
      <c r="P3561" s="2"/>
      <c r="Q3561" s="2"/>
      <c r="R3561" s="2"/>
      <c r="S3561" s="2"/>
      <c r="T3561" s="2"/>
      <c r="U3561" s="2"/>
      <c r="V3561" s="2"/>
      <c r="W3561" s="2"/>
      <c r="X3561" s="2"/>
      <c r="Y3561" s="2"/>
      <c r="Z3561" s="2"/>
    </row>
    <row r="3562" spans="1:26" ht="12.75" x14ac:dyDescent="0.2">
      <c r="A3562" s="230"/>
      <c r="B3562" s="18">
        <v>2023</v>
      </c>
      <c r="C3562" s="18" t="s">
        <v>762</v>
      </c>
      <c r="D3562" s="18" t="s">
        <v>1218</v>
      </c>
      <c r="E3562" s="18" t="s">
        <v>703</v>
      </c>
      <c r="F3562" s="18" t="s">
        <v>704</v>
      </c>
      <c r="G3562" s="18" t="s">
        <v>673</v>
      </c>
      <c r="H3562" s="18" t="s">
        <v>996</v>
      </c>
      <c r="I3562" s="315">
        <v>2.8568419241634948</v>
      </c>
      <c r="J3562" s="315">
        <v>1.9876237852278723E-3</v>
      </c>
      <c r="K3562" s="316" t="str">
        <f t="shared" si="56"/>
        <v>Lawn and Garden Equipment</v>
      </c>
      <c r="L3562" s="316" t="str">
        <f t="shared" si="57"/>
        <v>Gasoline</v>
      </c>
      <c r="M3562" s="8"/>
      <c r="N3562" s="2"/>
      <c r="O3562" s="2"/>
      <c r="P3562" s="2"/>
      <c r="Q3562" s="2"/>
      <c r="R3562" s="2"/>
      <c r="S3562" s="2"/>
      <c r="T3562" s="2"/>
      <c r="U3562" s="2"/>
      <c r="V3562" s="2"/>
      <c r="W3562" s="2"/>
      <c r="X3562" s="2"/>
      <c r="Y3562" s="2"/>
      <c r="Z3562" s="2"/>
    </row>
    <row r="3563" spans="1:26" ht="12.75" x14ac:dyDescent="0.2">
      <c r="A3563" s="230"/>
      <c r="B3563" s="18">
        <v>2023</v>
      </c>
      <c r="C3563" s="18" t="s">
        <v>711</v>
      </c>
      <c r="D3563" s="18" t="s">
        <v>1409</v>
      </c>
      <c r="E3563" s="18" t="s">
        <v>703</v>
      </c>
      <c r="F3563" s="18" t="s">
        <v>704</v>
      </c>
      <c r="G3563" s="18" t="s">
        <v>678</v>
      </c>
      <c r="H3563" s="18" t="s">
        <v>1222</v>
      </c>
      <c r="I3563" s="315">
        <v>2.8532581572993827</v>
      </c>
      <c r="J3563" s="315">
        <v>1.8840994092421577E-3</v>
      </c>
      <c r="K3563" s="316" t="str">
        <f t="shared" si="56"/>
        <v>Agricultural Equipment</v>
      </c>
      <c r="L3563" s="316" t="str">
        <f t="shared" si="57"/>
        <v>Gasoline</v>
      </c>
      <c r="M3563" s="8"/>
      <c r="N3563" s="2"/>
      <c r="O3563" s="2"/>
      <c r="P3563" s="2"/>
      <c r="Q3563" s="2"/>
      <c r="R3563" s="2"/>
      <c r="S3563" s="2"/>
      <c r="T3563" s="2"/>
      <c r="U3563" s="2"/>
      <c r="V3563" s="2"/>
      <c r="W3563" s="2"/>
      <c r="X3563" s="2"/>
      <c r="Y3563" s="2"/>
      <c r="Z3563" s="2"/>
    </row>
    <row r="3564" spans="1:26" ht="12.75" x14ac:dyDescent="0.2">
      <c r="A3564" s="230"/>
      <c r="B3564" s="18">
        <v>2023</v>
      </c>
      <c r="C3564" s="18" t="s">
        <v>731</v>
      </c>
      <c r="D3564" s="18" t="s">
        <v>1083</v>
      </c>
      <c r="E3564" s="18" t="s">
        <v>703</v>
      </c>
      <c r="F3564" s="18" t="s">
        <v>704</v>
      </c>
      <c r="G3564" s="18" t="s">
        <v>674</v>
      </c>
      <c r="H3564" s="18" t="s">
        <v>861</v>
      </c>
      <c r="I3564" s="315">
        <v>2.8527234708503943</v>
      </c>
      <c r="J3564" s="315">
        <v>2.1378635254076335E-3</v>
      </c>
      <c r="K3564" s="316" t="str">
        <f t="shared" si="56"/>
        <v>Construction and Mining Equipment</v>
      </c>
      <c r="L3564" s="316" t="str">
        <f t="shared" si="57"/>
        <v>Gasoline</v>
      </c>
      <c r="M3564" s="8"/>
      <c r="N3564" s="2"/>
      <c r="O3564" s="2"/>
      <c r="P3564" s="2"/>
      <c r="Q3564" s="2"/>
      <c r="R3564" s="2"/>
      <c r="S3564" s="2"/>
      <c r="T3564" s="2"/>
      <c r="U3564" s="2"/>
      <c r="V3564" s="2"/>
      <c r="W3564" s="2"/>
      <c r="X3564" s="2"/>
      <c r="Y3564" s="2"/>
      <c r="Z3564" s="2"/>
    </row>
    <row r="3565" spans="1:26" ht="12.75" x14ac:dyDescent="0.2">
      <c r="A3565" s="230"/>
      <c r="B3565" s="18">
        <v>2023</v>
      </c>
      <c r="C3565" s="18" t="s">
        <v>792</v>
      </c>
      <c r="D3565" s="18" t="s">
        <v>1084</v>
      </c>
      <c r="E3565" s="18" t="s">
        <v>703</v>
      </c>
      <c r="F3565" s="18" t="s">
        <v>704</v>
      </c>
      <c r="G3565" s="18" t="s">
        <v>674</v>
      </c>
      <c r="H3565" s="18" t="s">
        <v>863</v>
      </c>
      <c r="I3565" s="315">
        <v>2.8432072073457824</v>
      </c>
      <c r="J3565" s="315">
        <v>1.674312220281498E-3</v>
      </c>
      <c r="K3565" s="316" t="str">
        <f t="shared" si="56"/>
        <v>Construction and Mining Equipment</v>
      </c>
      <c r="L3565" s="316" t="str">
        <f t="shared" si="57"/>
        <v>Gasoline</v>
      </c>
      <c r="M3565" s="8"/>
      <c r="N3565" s="2"/>
      <c r="O3565" s="2"/>
      <c r="P3565" s="2"/>
      <c r="Q3565" s="2"/>
      <c r="R3565" s="2"/>
      <c r="S3565" s="2"/>
      <c r="T3565" s="2"/>
      <c r="U3565" s="2"/>
      <c r="V3565" s="2"/>
      <c r="W3565" s="2"/>
      <c r="X3565" s="2"/>
      <c r="Y3565" s="2"/>
      <c r="Z3565" s="2"/>
    </row>
    <row r="3566" spans="1:26" x14ac:dyDescent="0.25">
      <c r="A3566" s="314"/>
      <c r="B3566" s="18">
        <v>2023</v>
      </c>
      <c r="C3566" s="18" t="s">
        <v>786</v>
      </c>
      <c r="D3566" s="18" t="s">
        <v>1083</v>
      </c>
      <c r="E3566" s="18" t="s">
        <v>703</v>
      </c>
      <c r="F3566" s="18" t="s">
        <v>704</v>
      </c>
      <c r="G3566" s="18" t="s">
        <v>674</v>
      </c>
      <c r="H3566" s="18" t="s">
        <v>861</v>
      </c>
      <c r="I3566" s="315">
        <v>2.8332945781524157</v>
      </c>
      <c r="J3566" s="315">
        <v>2.1290078586571936E-3</v>
      </c>
      <c r="K3566" s="316" t="str">
        <f t="shared" si="56"/>
        <v>Construction and Mining Equipment</v>
      </c>
      <c r="L3566" s="316" t="str">
        <f t="shared" si="57"/>
        <v>Gasoline</v>
      </c>
      <c r="M3566" s="194"/>
      <c r="N3566" s="317"/>
      <c r="O3566" s="317"/>
      <c r="P3566" s="317"/>
      <c r="Q3566" s="317"/>
      <c r="R3566" s="317"/>
      <c r="S3566" s="317"/>
      <c r="T3566" s="317"/>
      <c r="U3566" s="317"/>
      <c r="V3566" s="317"/>
      <c r="W3566" s="317"/>
      <c r="X3566" s="317"/>
      <c r="Y3566" s="317"/>
      <c r="Z3566" s="317"/>
    </row>
    <row r="3567" spans="1:26" x14ac:dyDescent="0.25">
      <c r="A3567" s="314"/>
      <c r="B3567" s="18">
        <v>2023</v>
      </c>
      <c r="C3567" s="18" t="s">
        <v>750</v>
      </c>
      <c r="D3567" s="18" t="s">
        <v>1360</v>
      </c>
      <c r="E3567" s="18" t="s">
        <v>713</v>
      </c>
      <c r="F3567" s="18" t="s">
        <v>714</v>
      </c>
      <c r="G3567" s="18" t="s">
        <v>674</v>
      </c>
      <c r="H3567" s="18" t="s">
        <v>1220</v>
      </c>
      <c r="I3567" s="315">
        <v>2.8331253515675527</v>
      </c>
      <c r="J3567" s="315">
        <v>1.2602835963080889E-4</v>
      </c>
      <c r="K3567" s="316" t="str">
        <f t="shared" si="56"/>
        <v>Construction and Mining Equipment</v>
      </c>
      <c r="L3567" s="316" t="str">
        <f t="shared" si="57"/>
        <v>Diesel</v>
      </c>
      <c r="M3567" s="194"/>
      <c r="N3567" s="317"/>
      <c r="O3567" s="317"/>
      <c r="P3567" s="317"/>
      <c r="Q3567" s="317"/>
      <c r="R3567" s="317"/>
      <c r="S3567" s="317"/>
      <c r="T3567" s="317"/>
      <c r="U3567" s="317"/>
      <c r="V3567" s="317"/>
      <c r="W3567" s="317"/>
      <c r="X3567" s="317"/>
      <c r="Y3567" s="317"/>
      <c r="Z3567" s="317"/>
    </row>
    <row r="3568" spans="1:26" x14ac:dyDescent="0.25">
      <c r="A3568" s="314"/>
      <c r="B3568" s="18">
        <v>2023</v>
      </c>
      <c r="C3568" s="18" t="s">
        <v>750</v>
      </c>
      <c r="D3568" s="18" t="s">
        <v>1077</v>
      </c>
      <c r="E3568" s="18" t="s">
        <v>713</v>
      </c>
      <c r="F3568" s="18" t="s">
        <v>714</v>
      </c>
      <c r="G3568" s="18" t="s">
        <v>675</v>
      </c>
      <c r="H3568" s="18" t="s">
        <v>1078</v>
      </c>
      <c r="I3568" s="315">
        <v>2.8164694642596655</v>
      </c>
      <c r="J3568" s="315">
        <v>7.1423564827871104E-5</v>
      </c>
      <c r="K3568" s="316" t="str">
        <f t="shared" si="56"/>
        <v>Industrial Equipment</v>
      </c>
      <c r="L3568" s="316" t="str">
        <f t="shared" si="57"/>
        <v>Diesel</v>
      </c>
      <c r="M3568" s="194"/>
      <c r="N3568" s="317"/>
      <c r="O3568" s="317"/>
      <c r="P3568" s="317"/>
      <c r="Q3568" s="317"/>
      <c r="R3568" s="317"/>
      <c r="S3568" s="317"/>
      <c r="T3568" s="317"/>
      <c r="U3568" s="317"/>
      <c r="V3568" s="317"/>
      <c r="W3568" s="317"/>
      <c r="X3568" s="317"/>
      <c r="Y3568" s="317"/>
      <c r="Z3568" s="317"/>
    </row>
    <row r="3569" spans="1:26" x14ac:dyDescent="0.25">
      <c r="A3569" s="314"/>
      <c r="B3569" s="18">
        <v>2023</v>
      </c>
      <c r="C3569" s="18" t="s">
        <v>750</v>
      </c>
      <c r="D3569" s="18" t="s">
        <v>1361</v>
      </c>
      <c r="E3569" s="18" t="s">
        <v>56</v>
      </c>
      <c r="F3569" s="18" t="s">
        <v>672</v>
      </c>
      <c r="G3569" s="18" t="s">
        <v>674</v>
      </c>
      <c r="H3569" s="18" t="s">
        <v>783</v>
      </c>
      <c r="I3569" s="315">
        <v>2.7984084376333356</v>
      </c>
      <c r="J3569" s="315">
        <v>1.2846499140403697E-4</v>
      </c>
      <c r="K3569" s="316" t="str">
        <f t="shared" si="56"/>
        <v>Construction and Mining Equipment</v>
      </c>
      <c r="L3569" s="316" t="str">
        <f t="shared" si="57"/>
        <v>LPG</v>
      </c>
      <c r="M3569" s="194"/>
      <c r="N3569" s="317"/>
      <c r="O3569" s="317"/>
      <c r="P3569" s="317"/>
      <c r="Q3569" s="317"/>
      <c r="R3569" s="317"/>
      <c r="S3569" s="317"/>
      <c r="T3569" s="317"/>
      <c r="U3569" s="317"/>
      <c r="V3569" s="317"/>
      <c r="W3569" s="317"/>
      <c r="X3569" s="317"/>
      <c r="Y3569" s="317"/>
      <c r="Z3569" s="317"/>
    </row>
    <row r="3570" spans="1:26" x14ac:dyDescent="0.25">
      <c r="A3570" s="314"/>
      <c r="B3570" s="18">
        <v>2023</v>
      </c>
      <c r="C3570" s="18" t="s">
        <v>810</v>
      </c>
      <c r="D3570" s="18" t="s">
        <v>1218</v>
      </c>
      <c r="E3570" s="18" t="s">
        <v>703</v>
      </c>
      <c r="F3570" s="18" t="s">
        <v>704</v>
      </c>
      <c r="G3570" s="18" t="s">
        <v>673</v>
      </c>
      <c r="H3570" s="18" t="s">
        <v>996</v>
      </c>
      <c r="I3570" s="315">
        <v>2.7881203432034094</v>
      </c>
      <c r="J3570" s="315">
        <v>1.962444735393427E-3</v>
      </c>
      <c r="K3570" s="316" t="str">
        <f t="shared" si="56"/>
        <v>Lawn and Garden Equipment</v>
      </c>
      <c r="L3570" s="316" t="str">
        <f t="shared" si="57"/>
        <v>Gasoline</v>
      </c>
      <c r="M3570" s="194"/>
      <c r="N3570" s="317"/>
      <c r="O3570" s="317"/>
      <c r="P3570" s="317"/>
      <c r="Q3570" s="317"/>
      <c r="R3570" s="317"/>
      <c r="S3570" s="317"/>
      <c r="T3570" s="317"/>
      <c r="U3570" s="317"/>
      <c r="V3570" s="317"/>
      <c r="W3570" s="317"/>
      <c r="X3570" s="317"/>
      <c r="Y3570" s="317"/>
      <c r="Z3570" s="317"/>
    </row>
    <row r="3571" spans="1:26" x14ac:dyDescent="0.25">
      <c r="A3571" s="314"/>
      <c r="B3571" s="18">
        <v>2023</v>
      </c>
      <c r="C3571" s="18" t="s">
        <v>792</v>
      </c>
      <c r="D3571" s="18" t="s">
        <v>1349</v>
      </c>
      <c r="E3571" s="18" t="s">
        <v>703</v>
      </c>
      <c r="F3571" s="18" t="s">
        <v>704</v>
      </c>
      <c r="G3571" s="18" t="s">
        <v>673</v>
      </c>
      <c r="H3571" s="18" t="s">
        <v>978</v>
      </c>
      <c r="I3571" s="315">
        <v>2.7879721054763213</v>
      </c>
      <c r="J3571" s="315">
        <v>1.9507649641071982E-3</v>
      </c>
      <c r="K3571" s="316" t="str">
        <f t="shared" si="56"/>
        <v>Lawn and Garden Equipment</v>
      </c>
      <c r="L3571" s="316" t="str">
        <f t="shared" si="57"/>
        <v>Gasoline</v>
      </c>
      <c r="M3571" s="194"/>
      <c r="N3571" s="317"/>
      <c r="O3571" s="317"/>
      <c r="P3571" s="317"/>
      <c r="Q3571" s="317"/>
      <c r="R3571" s="317"/>
      <c r="S3571" s="317"/>
      <c r="T3571" s="317"/>
      <c r="U3571" s="317"/>
      <c r="V3571" s="317"/>
      <c r="W3571" s="317"/>
      <c r="X3571" s="317"/>
      <c r="Y3571" s="317"/>
      <c r="Z3571" s="317"/>
    </row>
    <row r="3572" spans="1:26" x14ac:dyDescent="0.25">
      <c r="A3572" s="314"/>
      <c r="B3572" s="18">
        <v>2023</v>
      </c>
      <c r="C3572" s="18" t="s">
        <v>786</v>
      </c>
      <c r="D3572" s="18" t="s">
        <v>1212</v>
      </c>
      <c r="E3572" s="18" t="s">
        <v>56</v>
      </c>
      <c r="F3572" s="18" t="s">
        <v>672</v>
      </c>
      <c r="G3572" s="18" t="s">
        <v>675</v>
      </c>
      <c r="H3572" s="18" t="s">
        <v>798</v>
      </c>
      <c r="I3572" s="315">
        <v>2.783855402647577</v>
      </c>
      <c r="J3572" s="315">
        <v>1.2578512448635756E-4</v>
      </c>
      <c r="K3572" s="316" t="str">
        <f t="shared" si="56"/>
        <v>Industrial Equipment</v>
      </c>
      <c r="L3572" s="316" t="str">
        <f t="shared" si="57"/>
        <v>LPG</v>
      </c>
      <c r="M3572" s="194"/>
      <c r="N3572" s="317"/>
      <c r="O3572" s="317"/>
      <c r="P3572" s="317"/>
      <c r="Q3572" s="317"/>
      <c r="R3572" s="317"/>
      <c r="S3572" s="317"/>
      <c r="T3572" s="317"/>
      <c r="U3572" s="317"/>
      <c r="V3572" s="317"/>
      <c r="W3572" s="317"/>
      <c r="X3572" s="317"/>
      <c r="Y3572" s="317"/>
      <c r="Z3572" s="317"/>
    </row>
    <row r="3573" spans="1:26" x14ac:dyDescent="0.25">
      <c r="A3573" s="314"/>
      <c r="B3573" s="18">
        <v>2023</v>
      </c>
      <c r="C3573" s="18" t="s">
        <v>753</v>
      </c>
      <c r="D3573" s="18" t="s">
        <v>1218</v>
      </c>
      <c r="E3573" s="18" t="s">
        <v>703</v>
      </c>
      <c r="F3573" s="18" t="s">
        <v>704</v>
      </c>
      <c r="G3573" s="18" t="s">
        <v>673</v>
      </c>
      <c r="H3573" s="18" t="s">
        <v>996</v>
      </c>
      <c r="I3573" s="315">
        <v>2.7809539948096997</v>
      </c>
      <c r="J3573" s="315">
        <v>1.9326441358664974E-3</v>
      </c>
      <c r="K3573" s="316" t="str">
        <f t="shared" si="56"/>
        <v>Lawn and Garden Equipment</v>
      </c>
      <c r="L3573" s="316" t="str">
        <f t="shared" si="57"/>
        <v>Gasoline</v>
      </c>
      <c r="M3573" s="194"/>
      <c r="N3573" s="317"/>
      <c r="O3573" s="317"/>
      <c r="P3573" s="317"/>
      <c r="Q3573" s="317"/>
      <c r="R3573" s="317"/>
      <c r="S3573" s="317"/>
      <c r="T3573" s="317"/>
      <c r="U3573" s="317"/>
      <c r="V3573" s="317"/>
      <c r="W3573" s="317"/>
      <c r="X3573" s="317"/>
      <c r="Y3573" s="317"/>
      <c r="Z3573" s="317"/>
    </row>
    <row r="3574" spans="1:26" x14ac:dyDescent="0.25">
      <c r="A3574" s="314"/>
      <c r="B3574" s="18">
        <v>2023</v>
      </c>
      <c r="C3574" s="18" t="s">
        <v>722</v>
      </c>
      <c r="D3574" s="18" t="s">
        <v>1428</v>
      </c>
      <c r="E3574" s="18" t="s">
        <v>56</v>
      </c>
      <c r="F3574" s="18" t="s">
        <v>601</v>
      </c>
      <c r="G3574" s="18" t="s">
        <v>678</v>
      </c>
      <c r="H3574" s="18" t="s">
        <v>1154</v>
      </c>
      <c r="I3574" s="315">
        <v>2.775667109470711</v>
      </c>
      <c r="J3574" s="315">
        <v>1.1288196804275554E-2</v>
      </c>
      <c r="K3574" s="316" t="str">
        <f t="shared" si="56"/>
        <v>Agricultural Equipment</v>
      </c>
      <c r="L3574" s="316" t="str">
        <f t="shared" si="57"/>
        <v>CNG</v>
      </c>
      <c r="M3574" s="194"/>
      <c r="N3574" s="317"/>
      <c r="O3574" s="317"/>
      <c r="P3574" s="317"/>
      <c r="Q3574" s="317"/>
      <c r="R3574" s="317"/>
      <c r="S3574" s="317"/>
      <c r="T3574" s="317"/>
      <c r="U3574" s="317"/>
      <c r="V3574" s="317"/>
      <c r="W3574" s="317"/>
      <c r="X3574" s="317"/>
      <c r="Y3574" s="317"/>
      <c r="Z3574" s="317"/>
    </row>
    <row r="3575" spans="1:26" x14ac:dyDescent="0.25">
      <c r="A3575" s="314"/>
      <c r="B3575" s="18">
        <v>2023</v>
      </c>
      <c r="C3575" s="18" t="s">
        <v>750</v>
      </c>
      <c r="D3575" s="18" t="s">
        <v>1362</v>
      </c>
      <c r="E3575" s="18" t="s">
        <v>56</v>
      </c>
      <c r="F3575" s="18" t="s">
        <v>672</v>
      </c>
      <c r="G3575" s="18" t="s">
        <v>674</v>
      </c>
      <c r="H3575" s="18" t="s">
        <v>859</v>
      </c>
      <c r="I3575" s="315">
        <v>2.7650092580194685</v>
      </c>
      <c r="J3575" s="315">
        <v>6.8578111437484217E-4</v>
      </c>
      <c r="K3575" s="316" t="str">
        <f t="shared" si="56"/>
        <v>Construction and Mining Equipment</v>
      </c>
      <c r="L3575" s="316" t="str">
        <f t="shared" si="57"/>
        <v>LPG</v>
      </c>
      <c r="M3575" s="194"/>
      <c r="N3575" s="317"/>
      <c r="O3575" s="317"/>
      <c r="P3575" s="317"/>
      <c r="Q3575" s="317"/>
      <c r="R3575" s="317"/>
      <c r="S3575" s="317"/>
      <c r="T3575" s="317"/>
      <c r="U3575" s="317"/>
      <c r="V3575" s="317"/>
      <c r="W3575" s="317"/>
      <c r="X3575" s="317"/>
      <c r="Y3575" s="317"/>
      <c r="Z3575" s="317"/>
    </row>
    <row r="3576" spans="1:26" x14ac:dyDescent="0.25">
      <c r="A3576" s="314"/>
      <c r="B3576" s="18">
        <v>2023</v>
      </c>
      <c r="C3576" s="18" t="s">
        <v>762</v>
      </c>
      <c r="D3576" s="18" t="s">
        <v>1212</v>
      </c>
      <c r="E3576" s="18" t="s">
        <v>56</v>
      </c>
      <c r="F3576" s="18" t="s">
        <v>672</v>
      </c>
      <c r="G3576" s="18" t="s">
        <v>675</v>
      </c>
      <c r="H3576" s="18" t="s">
        <v>798</v>
      </c>
      <c r="I3576" s="315">
        <v>2.7505069635321231</v>
      </c>
      <c r="J3576" s="315">
        <v>1.2427834555962165E-4</v>
      </c>
      <c r="K3576" s="316" t="str">
        <f t="shared" si="56"/>
        <v>Industrial Equipment</v>
      </c>
      <c r="L3576" s="316" t="str">
        <f t="shared" si="57"/>
        <v>LPG</v>
      </c>
      <c r="M3576" s="194"/>
      <c r="N3576" s="317"/>
      <c r="O3576" s="317"/>
      <c r="P3576" s="317"/>
      <c r="Q3576" s="317"/>
      <c r="R3576" s="317"/>
      <c r="S3576" s="317"/>
      <c r="T3576" s="317"/>
      <c r="U3576" s="317"/>
      <c r="V3576" s="317"/>
      <c r="W3576" s="317"/>
      <c r="X3576" s="317"/>
      <c r="Y3576" s="317"/>
      <c r="Z3576" s="317"/>
    </row>
    <row r="3577" spans="1:26" x14ac:dyDescent="0.25">
      <c r="A3577" s="314"/>
      <c r="B3577" s="18">
        <v>2023</v>
      </c>
      <c r="C3577" s="18" t="s">
        <v>810</v>
      </c>
      <c r="D3577" s="18" t="s">
        <v>1219</v>
      </c>
      <c r="E3577" s="18" t="s">
        <v>703</v>
      </c>
      <c r="F3577" s="18" t="s">
        <v>704</v>
      </c>
      <c r="G3577" s="18" t="s">
        <v>674</v>
      </c>
      <c r="H3577" s="18" t="s">
        <v>1220</v>
      </c>
      <c r="I3577" s="315">
        <v>2.7400390124524829</v>
      </c>
      <c r="J3577" s="315">
        <v>1.8691433505374621E-3</v>
      </c>
      <c r="K3577" s="316" t="str">
        <f t="shared" si="56"/>
        <v>Construction and Mining Equipment</v>
      </c>
      <c r="L3577" s="316" t="str">
        <f t="shared" si="57"/>
        <v>Gasoline</v>
      </c>
      <c r="M3577" s="194"/>
      <c r="N3577" s="317"/>
      <c r="O3577" s="317"/>
      <c r="P3577" s="317"/>
      <c r="Q3577" s="317"/>
      <c r="R3577" s="317"/>
      <c r="S3577" s="317"/>
      <c r="T3577" s="317"/>
      <c r="U3577" s="317"/>
      <c r="V3577" s="317"/>
      <c r="W3577" s="317"/>
      <c r="X3577" s="317"/>
      <c r="Y3577" s="317"/>
      <c r="Z3577" s="317"/>
    </row>
    <row r="3578" spans="1:26" x14ac:dyDescent="0.25">
      <c r="A3578" s="314"/>
      <c r="B3578" s="18">
        <v>2023</v>
      </c>
      <c r="C3578" s="18" t="s">
        <v>754</v>
      </c>
      <c r="D3578" s="18" t="s">
        <v>1657</v>
      </c>
      <c r="E3578" s="18" t="s">
        <v>713</v>
      </c>
      <c r="F3578" s="18" t="s">
        <v>714</v>
      </c>
      <c r="G3578" s="18" t="s">
        <v>678</v>
      </c>
      <c r="H3578" s="18" t="s">
        <v>1638</v>
      </c>
      <c r="I3578" s="315">
        <v>2.7293693168061468</v>
      </c>
      <c r="J3578" s="315">
        <v>3.02898863645874E-5</v>
      </c>
      <c r="K3578" s="316" t="str">
        <f t="shared" si="56"/>
        <v>Agricultural Equipment</v>
      </c>
      <c r="L3578" s="316" t="str">
        <f t="shared" si="57"/>
        <v>Diesel</v>
      </c>
      <c r="M3578" s="194"/>
      <c r="N3578" s="317"/>
      <c r="O3578" s="317"/>
      <c r="P3578" s="317"/>
      <c r="Q3578" s="317"/>
      <c r="R3578" s="317"/>
      <c r="S3578" s="317"/>
      <c r="T3578" s="317"/>
      <c r="U3578" s="317"/>
      <c r="V3578" s="317"/>
      <c r="W3578" s="317"/>
      <c r="X3578" s="317"/>
      <c r="Y3578" s="317"/>
      <c r="Z3578" s="317"/>
    </row>
    <row r="3579" spans="1:26" x14ac:dyDescent="0.25">
      <c r="A3579" s="314"/>
      <c r="B3579" s="18">
        <v>2023</v>
      </c>
      <c r="C3579" s="18" t="s">
        <v>759</v>
      </c>
      <c r="D3579" s="18" t="s">
        <v>1023</v>
      </c>
      <c r="E3579" s="18" t="s">
        <v>703</v>
      </c>
      <c r="F3579" s="18" t="s">
        <v>704</v>
      </c>
      <c r="G3579" s="18" t="s">
        <v>674</v>
      </c>
      <c r="H3579" s="18" t="s">
        <v>736</v>
      </c>
      <c r="I3579" s="315">
        <v>2.7253773817716285</v>
      </c>
      <c r="J3579" s="315">
        <v>1.8070842913252806E-3</v>
      </c>
      <c r="K3579" s="316" t="str">
        <f t="shared" si="56"/>
        <v>Construction and Mining Equipment</v>
      </c>
      <c r="L3579" s="316" t="str">
        <f t="shared" si="57"/>
        <v>Gasoline</v>
      </c>
      <c r="M3579" s="194"/>
      <c r="N3579" s="317"/>
      <c r="O3579" s="317"/>
      <c r="P3579" s="317"/>
      <c r="Q3579" s="317"/>
      <c r="R3579" s="317"/>
      <c r="S3579" s="317"/>
      <c r="T3579" s="317"/>
      <c r="U3579" s="317"/>
      <c r="V3579" s="317"/>
      <c r="W3579" s="317"/>
      <c r="X3579" s="317"/>
      <c r="Y3579" s="317"/>
      <c r="Z3579" s="317"/>
    </row>
    <row r="3580" spans="1:26" x14ac:dyDescent="0.25">
      <c r="A3580" s="314"/>
      <c r="B3580" s="18">
        <v>2023</v>
      </c>
      <c r="C3580" s="18" t="s">
        <v>754</v>
      </c>
      <c r="D3580" s="18" t="s">
        <v>1407</v>
      </c>
      <c r="E3580" s="18" t="s">
        <v>56</v>
      </c>
      <c r="F3580" s="18" t="s">
        <v>672</v>
      </c>
      <c r="G3580" s="18" t="s">
        <v>675</v>
      </c>
      <c r="H3580" s="18" t="s">
        <v>1078</v>
      </c>
      <c r="I3580" s="315">
        <v>2.7114855912084881</v>
      </c>
      <c r="J3580" s="315">
        <v>2.4362903176908634E-4</v>
      </c>
      <c r="K3580" s="316" t="str">
        <f t="shared" si="56"/>
        <v>Industrial Equipment</v>
      </c>
      <c r="L3580" s="316" t="str">
        <f t="shared" si="57"/>
        <v>LPG</v>
      </c>
      <c r="M3580" s="194"/>
      <c r="N3580" s="317"/>
      <c r="O3580" s="317"/>
      <c r="P3580" s="317"/>
      <c r="Q3580" s="317"/>
      <c r="R3580" s="317"/>
      <c r="S3580" s="317"/>
      <c r="T3580" s="317"/>
      <c r="U3580" s="317"/>
      <c r="V3580" s="317"/>
      <c r="W3580" s="317"/>
      <c r="X3580" s="317"/>
      <c r="Y3580" s="317"/>
      <c r="Z3580" s="317"/>
    </row>
    <row r="3581" spans="1:26" x14ac:dyDescent="0.25">
      <c r="A3581" s="314"/>
      <c r="B3581" s="18">
        <v>2023</v>
      </c>
      <c r="C3581" s="18" t="s">
        <v>706</v>
      </c>
      <c r="D3581" s="18" t="s">
        <v>1685</v>
      </c>
      <c r="E3581" s="18" t="s">
        <v>56</v>
      </c>
      <c r="F3581" s="18" t="s">
        <v>672</v>
      </c>
      <c r="G3581" s="18" t="s">
        <v>674</v>
      </c>
      <c r="H3581" s="18" t="s">
        <v>1072</v>
      </c>
      <c r="I3581" s="315">
        <v>2.7111703931474032</v>
      </c>
      <c r="J3581" s="315">
        <v>1.8812454995173651E-4</v>
      </c>
      <c r="K3581" s="316" t="str">
        <f t="shared" si="56"/>
        <v>Construction and Mining Equipment</v>
      </c>
      <c r="L3581" s="316" t="str">
        <f t="shared" si="57"/>
        <v>LPG</v>
      </c>
      <c r="M3581" s="194"/>
      <c r="N3581" s="317"/>
      <c r="O3581" s="317"/>
      <c r="P3581" s="317"/>
      <c r="Q3581" s="317"/>
      <c r="R3581" s="317"/>
      <c r="S3581" s="317"/>
      <c r="T3581" s="317"/>
      <c r="U3581" s="317"/>
      <c r="V3581" s="317"/>
      <c r="W3581" s="317"/>
      <c r="X3581" s="317"/>
      <c r="Y3581" s="317"/>
      <c r="Z3581" s="317"/>
    </row>
    <row r="3582" spans="1:26" x14ac:dyDescent="0.25">
      <c r="A3582" s="314"/>
      <c r="B3582" s="18">
        <v>2023</v>
      </c>
      <c r="C3582" s="18" t="s">
        <v>762</v>
      </c>
      <c r="D3582" s="18" t="s">
        <v>1215</v>
      </c>
      <c r="E3582" s="18" t="s">
        <v>56</v>
      </c>
      <c r="F3582" s="18" t="s">
        <v>672</v>
      </c>
      <c r="G3582" s="18" t="s">
        <v>674</v>
      </c>
      <c r="H3582" s="18" t="s">
        <v>756</v>
      </c>
      <c r="I3582" s="315">
        <v>2.7101978060620988</v>
      </c>
      <c r="J3582" s="315">
        <v>5.0139727599098364E-4</v>
      </c>
      <c r="K3582" s="316" t="str">
        <f t="shared" si="56"/>
        <v>Construction and Mining Equipment</v>
      </c>
      <c r="L3582" s="316" t="str">
        <f t="shared" si="57"/>
        <v>LPG</v>
      </c>
      <c r="M3582" s="194"/>
      <c r="N3582" s="317"/>
      <c r="O3582" s="317"/>
      <c r="P3582" s="317"/>
      <c r="Q3582" s="317"/>
      <c r="R3582" s="317"/>
      <c r="S3582" s="317"/>
      <c r="T3582" s="317"/>
      <c r="U3582" s="317"/>
      <c r="V3582" s="317"/>
      <c r="W3582" s="317"/>
      <c r="X3582" s="317"/>
      <c r="Y3582" s="317"/>
      <c r="Z3582" s="317"/>
    </row>
    <row r="3583" spans="1:26" x14ac:dyDescent="0.25">
      <c r="A3583" s="314"/>
      <c r="B3583" s="18">
        <v>2023</v>
      </c>
      <c r="C3583" s="18" t="s">
        <v>750</v>
      </c>
      <c r="D3583" s="18" t="s">
        <v>1366</v>
      </c>
      <c r="E3583" s="18" t="s">
        <v>703</v>
      </c>
      <c r="F3583" s="18" t="s">
        <v>704</v>
      </c>
      <c r="G3583" s="18" t="s">
        <v>674</v>
      </c>
      <c r="H3583" s="18" t="s">
        <v>791</v>
      </c>
      <c r="I3583" s="315">
        <v>2.709081794980766</v>
      </c>
      <c r="J3583" s="315">
        <v>8.4575115881946143E-4</v>
      </c>
      <c r="K3583" s="316" t="str">
        <f t="shared" si="56"/>
        <v>Construction and Mining Equipment</v>
      </c>
      <c r="L3583" s="316" t="str">
        <f t="shared" si="57"/>
        <v>Gasoline</v>
      </c>
      <c r="M3583" s="194"/>
      <c r="N3583" s="317"/>
      <c r="O3583" s="317"/>
      <c r="P3583" s="317"/>
      <c r="Q3583" s="317"/>
      <c r="R3583" s="317"/>
      <c r="S3583" s="317"/>
      <c r="T3583" s="317"/>
      <c r="U3583" s="317"/>
      <c r="V3583" s="317"/>
      <c r="W3583" s="317"/>
      <c r="X3583" s="317"/>
      <c r="Y3583" s="317"/>
      <c r="Z3583" s="317"/>
    </row>
    <row r="3584" spans="1:26" x14ac:dyDescent="0.25">
      <c r="A3584" s="314"/>
      <c r="B3584" s="18">
        <v>2023</v>
      </c>
      <c r="C3584" s="18" t="s">
        <v>773</v>
      </c>
      <c r="D3584" s="18" t="s">
        <v>1295</v>
      </c>
      <c r="E3584" s="18" t="s">
        <v>703</v>
      </c>
      <c r="F3584" s="18" t="s">
        <v>704</v>
      </c>
      <c r="G3584" s="18" t="s">
        <v>674</v>
      </c>
      <c r="H3584" s="18" t="s">
        <v>859</v>
      </c>
      <c r="I3584" s="315">
        <v>2.6962466594257659</v>
      </c>
      <c r="J3584" s="315">
        <v>8.6748382319603798E-4</v>
      </c>
      <c r="K3584" s="316" t="str">
        <f t="shared" si="56"/>
        <v>Construction and Mining Equipment</v>
      </c>
      <c r="L3584" s="316" t="str">
        <f t="shared" si="57"/>
        <v>Gasoline</v>
      </c>
      <c r="M3584" s="194"/>
      <c r="N3584" s="317"/>
      <c r="O3584" s="317"/>
      <c r="P3584" s="317"/>
      <c r="Q3584" s="317"/>
      <c r="R3584" s="317"/>
      <c r="S3584" s="317"/>
      <c r="T3584" s="317"/>
      <c r="U3584" s="317"/>
      <c r="V3584" s="317"/>
      <c r="W3584" s="317"/>
      <c r="X3584" s="317"/>
      <c r="Y3584" s="317"/>
      <c r="Z3584" s="317"/>
    </row>
    <row r="3585" spans="1:26" x14ac:dyDescent="0.25">
      <c r="A3585" s="314"/>
      <c r="B3585" s="18">
        <v>2023</v>
      </c>
      <c r="C3585" s="18" t="s">
        <v>810</v>
      </c>
      <c r="D3585" s="18" t="s">
        <v>1223</v>
      </c>
      <c r="E3585" s="18" t="s">
        <v>713</v>
      </c>
      <c r="F3585" s="18" t="s">
        <v>714</v>
      </c>
      <c r="G3585" s="18" t="s">
        <v>674</v>
      </c>
      <c r="H3585" s="18" t="s">
        <v>1036</v>
      </c>
      <c r="I3585" s="315">
        <v>2.696004213372964</v>
      </c>
      <c r="J3585" s="315">
        <v>2.6366683199933972E-4</v>
      </c>
      <c r="K3585" s="316" t="str">
        <f t="shared" si="56"/>
        <v>Construction and Mining Equipment</v>
      </c>
      <c r="L3585" s="316" t="str">
        <f t="shared" si="57"/>
        <v>Diesel</v>
      </c>
      <c r="M3585" s="194"/>
      <c r="N3585" s="317"/>
      <c r="O3585" s="317"/>
      <c r="P3585" s="317"/>
      <c r="Q3585" s="317"/>
      <c r="R3585" s="317"/>
      <c r="S3585" s="317"/>
      <c r="T3585" s="317"/>
      <c r="U3585" s="317"/>
      <c r="V3585" s="317"/>
      <c r="W3585" s="317"/>
      <c r="X3585" s="317"/>
      <c r="Y3585" s="317"/>
      <c r="Z3585" s="317"/>
    </row>
    <row r="3586" spans="1:26" x14ac:dyDescent="0.25">
      <c r="A3586" s="314"/>
      <c r="B3586" s="18">
        <v>2023</v>
      </c>
      <c r="C3586" s="18" t="s">
        <v>786</v>
      </c>
      <c r="D3586" s="18" t="s">
        <v>1394</v>
      </c>
      <c r="E3586" s="18" t="s">
        <v>703</v>
      </c>
      <c r="F3586" s="18" t="s">
        <v>805</v>
      </c>
      <c r="G3586" s="18" t="s">
        <v>681</v>
      </c>
      <c r="H3586" s="18" t="s">
        <v>1395</v>
      </c>
      <c r="I3586" s="315">
        <v>2.692362105754261</v>
      </c>
      <c r="J3586" s="315">
        <v>4.6634780341671088E-3</v>
      </c>
      <c r="K3586" s="316" t="str">
        <f t="shared" si="56"/>
        <v>Logging Equipment</v>
      </c>
      <c r="L3586" s="316" t="str">
        <f t="shared" si="57"/>
        <v>Gasoline</v>
      </c>
      <c r="M3586" s="194"/>
      <c r="N3586" s="317"/>
      <c r="O3586" s="317"/>
      <c r="P3586" s="317"/>
      <c r="Q3586" s="317"/>
      <c r="R3586" s="317"/>
      <c r="S3586" s="317"/>
      <c r="T3586" s="317"/>
      <c r="U3586" s="317"/>
      <c r="V3586" s="317"/>
      <c r="W3586" s="317"/>
      <c r="X3586" s="317"/>
      <c r="Y3586" s="317"/>
      <c r="Z3586" s="317"/>
    </row>
    <row r="3587" spans="1:26" x14ac:dyDescent="0.25">
      <c r="A3587" s="314"/>
      <c r="B3587" s="18">
        <v>2023</v>
      </c>
      <c r="C3587" s="18" t="s">
        <v>709</v>
      </c>
      <c r="D3587" s="18" t="s">
        <v>1655</v>
      </c>
      <c r="E3587" s="18" t="s">
        <v>56</v>
      </c>
      <c r="F3587" s="18" t="s">
        <v>672</v>
      </c>
      <c r="G3587" s="18" t="s">
        <v>677</v>
      </c>
      <c r="H3587" s="18" t="s">
        <v>789</v>
      </c>
      <c r="I3587" s="315">
        <v>2.689486807973644</v>
      </c>
      <c r="J3587" s="315">
        <v>3.7961097188576707E-4</v>
      </c>
      <c r="K3587" s="316" t="str">
        <f t="shared" si="56"/>
        <v>Commercial Equipment</v>
      </c>
      <c r="L3587" s="316" t="str">
        <f t="shared" si="57"/>
        <v>LPG</v>
      </c>
      <c r="M3587" s="194"/>
      <c r="N3587" s="317"/>
      <c r="O3587" s="317"/>
      <c r="P3587" s="317"/>
      <c r="Q3587" s="317"/>
      <c r="R3587" s="317"/>
      <c r="S3587" s="317"/>
      <c r="T3587" s="317"/>
      <c r="U3587" s="317"/>
      <c r="V3587" s="317"/>
      <c r="W3587" s="317"/>
      <c r="X3587" s="317"/>
      <c r="Y3587" s="317"/>
      <c r="Z3587" s="317"/>
    </row>
    <row r="3588" spans="1:26" x14ac:dyDescent="0.25">
      <c r="A3588" s="314"/>
      <c r="B3588" s="18">
        <v>2023</v>
      </c>
      <c r="C3588" s="18" t="s">
        <v>753</v>
      </c>
      <c r="D3588" s="18" t="s">
        <v>1227</v>
      </c>
      <c r="E3588" s="18" t="s">
        <v>56</v>
      </c>
      <c r="F3588" s="18" t="s">
        <v>672</v>
      </c>
      <c r="G3588" s="18" t="s">
        <v>674</v>
      </c>
      <c r="H3588" s="18" t="s">
        <v>850</v>
      </c>
      <c r="I3588" s="315">
        <v>2.6874476232797653</v>
      </c>
      <c r="J3588" s="315">
        <v>1.7257723724248397E-4</v>
      </c>
      <c r="K3588" s="316" t="str">
        <f t="shared" si="56"/>
        <v>Construction and Mining Equipment</v>
      </c>
      <c r="L3588" s="316" t="str">
        <f t="shared" si="57"/>
        <v>LPG</v>
      </c>
      <c r="M3588" s="194"/>
      <c r="N3588" s="317"/>
      <c r="O3588" s="317"/>
      <c r="P3588" s="317"/>
      <c r="Q3588" s="317"/>
      <c r="R3588" s="317"/>
      <c r="S3588" s="317"/>
      <c r="T3588" s="317"/>
      <c r="U3588" s="317"/>
      <c r="V3588" s="317"/>
      <c r="W3588" s="317"/>
      <c r="X3588" s="317"/>
      <c r="Y3588" s="317"/>
      <c r="Z3588" s="317"/>
    </row>
    <row r="3589" spans="1:26" x14ac:dyDescent="0.25">
      <c r="A3589" s="314"/>
      <c r="B3589" s="18">
        <v>2023</v>
      </c>
      <c r="C3589" s="18" t="s">
        <v>722</v>
      </c>
      <c r="D3589" s="18" t="s">
        <v>1394</v>
      </c>
      <c r="E3589" s="18" t="s">
        <v>703</v>
      </c>
      <c r="F3589" s="18" t="s">
        <v>805</v>
      </c>
      <c r="G3589" s="18" t="s">
        <v>681</v>
      </c>
      <c r="H3589" s="18" t="s">
        <v>1395</v>
      </c>
      <c r="I3589" s="315">
        <v>2.6812578347056299</v>
      </c>
      <c r="J3589" s="315">
        <v>4.6442426541700357E-3</v>
      </c>
      <c r="K3589" s="316" t="str">
        <f t="shared" si="56"/>
        <v>Logging Equipment</v>
      </c>
      <c r="L3589" s="316" t="str">
        <f t="shared" si="57"/>
        <v>Gasoline</v>
      </c>
      <c r="M3589" s="194"/>
      <c r="N3589" s="317"/>
      <c r="O3589" s="317"/>
      <c r="P3589" s="317"/>
      <c r="Q3589" s="317"/>
      <c r="R3589" s="317"/>
      <c r="S3589" s="317"/>
      <c r="T3589" s="317"/>
      <c r="U3589" s="317"/>
      <c r="V3589" s="317"/>
      <c r="W3589" s="317"/>
      <c r="X3589" s="317"/>
      <c r="Y3589" s="317"/>
      <c r="Z3589" s="317"/>
    </row>
    <row r="3590" spans="1:26" x14ac:dyDescent="0.25">
      <c r="A3590" s="314"/>
      <c r="B3590" s="18">
        <v>2023</v>
      </c>
      <c r="C3590" s="18" t="s">
        <v>810</v>
      </c>
      <c r="D3590" s="18" t="s">
        <v>1212</v>
      </c>
      <c r="E3590" s="18" t="s">
        <v>56</v>
      </c>
      <c r="F3590" s="18" t="s">
        <v>672</v>
      </c>
      <c r="G3590" s="18" t="s">
        <v>675</v>
      </c>
      <c r="H3590" s="18" t="s">
        <v>798</v>
      </c>
      <c r="I3590" s="315">
        <v>2.6790458890874249</v>
      </c>
      <c r="J3590" s="315">
        <v>1.2104925138226116E-4</v>
      </c>
      <c r="K3590" s="316" t="str">
        <f t="shared" si="56"/>
        <v>Industrial Equipment</v>
      </c>
      <c r="L3590" s="316" t="str">
        <f t="shared" si="57"/>
        <v>LPG</v>
      </c>
      <c r="M3590" s="194"/>
      <c r="N3590" s="317"/>
      <c r="O3590" s="317"/>
      <c r="P3590" s="317"/>
      <c r="Q3590" s="317"/>
      <c r="R3590" s="317"/>
      <c r="S3590" s="317"/>
      <c r="T3590" s="317"/>
      <c r="U3590" s="317"/>
      <c r="V3590" s="317"/>
      <c r="W3590" s="317"/>
      <c r="X3590" s="317"/>
      <c r="Y3590" s="317"/>
      <c r="Z3590" s="317"/>
    </row>
    <row r="3591" spans="1:26" x14ac:dyDescent="0.25">
      <c r="A3591" s="314"/>
      <c r="B3591" s="18">
        <v>2023</v>
      </c>
      <c r="C3591" s="18" t="s">
        <v>793</v>
      </c>
      <c r="D3591" s="18" t="s">
        <v>1338</v>
      </c>
      <c r="E3591" s="18" t="s">
        <v>703</v>
      </c>
      <c r="F3591" s="18" t="s">
        <v>805</v>
      </c>
      <c r="G3591" s="18" t="s">
        <v>673</v>
      </c>
      <c r="H3591" s="18" t="s">
        <v>987</v>
      </c>
      <c r="I3591" s="315">
        <v>2.6732205438477745</v>
      </c>
      <c r="J3591" s="315">
        <v>4.881491420404672E-3</v>
      </c>
      <c r="K3591" s="316" t="str">
        <f t="shared" si="56"/>
        <v>Lawn and Garden Equipment</v>
      </c>
      <c r="L3591" s="316" t="str">
        <f t="shared" si="57"/>
        <v>Gasoline</v>
      </c>
      <c r="M3591" s="194"/>
      <c r="N3591" s="317"/>
      <c r="O3591" s="317"/>
      <c r="P3591" s="317"/>
      <c r="Q3591" s="317"/>
      <c r="R3591" s="317"/>
      <c r="S3591" s="317"/>
      <c r="T3591" s="317"/>
      <c r="U3591" s="317"/>
      <c r="V3591" s="317"/>
      <c r="W3591" s="317"/>
      <c r="X3591" s="317"/>
      <c r="Y3591" s="317"/>
      <c r="Z3591" s="317"/>
    </row>
    <row r="3592" spans="1:26" x14ac:dyDescent="0.25">
      <c r="A3592" s="314"/>
      <c r="B3592" s="18">
        <v>2023</v>
      </c>
      <c r="C3592" s="18" t="s">
        <v>701</v>
      </c>
      <c r="D3592" s="18" t="s">
        <v>1654</v>
      </c>
      <c r="E3592" s="18" t="s">
        <v>56</v>
      </c>
      <c r="F3592" s="18" t="s">
        <v>672</v>
      </c>
      <c r="G3592" s="18" t="s">
        <v>674</v>
      </c>
      <c r="H3592" s="18" t="s">
        <v>994</v>
      </c>
      <c r="I3592" s="315">
        <v>2.6714500583006942</v>
      </c>
      <c r="J3592" s="315">
        <v>6.622267560132233E-4</v>
      </c>
      <c r="K3592" s="316" t="str">
        <f t="shared" si="56"/>
        <v>Construction and Mining Equipment</v>
      </c>
      <c r="L3592" s="316" t="str">
        <f t="shared" si="57"/>
        <v>LPG</v>
      </c>
      <c r="M3592" s="194"/>
      <c r="N3592" s="317"/>
      <c r="O3592" s="317"/>
      <c r="P3592" s="317"/>
      <c r="Q3592" s="317"/>
      <c r="R3592" s="317"/>
      <c r="S3592" s="317"/>
      <c r="T3592" s="317"/>
      <c r="U3592" s="317"/>
      <c r="V3592" s="317"/>
      <c r="W3592" s="317"/>
      <c r="X3592" s="317"/>
      <c r="Y3592" s="317"/>
      <c r="Z3592" s="317"/>
    </row>
    <row r="3593" spans="1:26" x14ac:dyDescent="0.25">
      <c r="A3593" s="314"/>
      <c r="B3593" s="18">
        <v>2023</v>
      </c>
      <c r="C3593" s="18" t="s">
        <v>706</v>
      </c>
      <c r="D3593" s="18" t="s">
        <v>1539</v>
      </c>
      <c r="E3593" s="18" t="s">
        <v>703</v>
      </c>
      <c r="F3593" s="18" t="s">
        <v>704</v>
      </c>
      <c r="G3593" s="18" t="s">
        <v>678</v>
      </c>
      <c r="H3593" s="18" t="s">
        <v>1230</v>
      </c>
      <c r="I3593" s="315">
        <v>2.6709666802584291</v>
      </c>
      <c r="J3593" s="315">
        <v>1.5936726148775226E-3</v>
      </c>
      <c r="K3593" s="316" t="str">
        <f t="shared" si="56"/>
        <v>Agricultural Equipment</v>
      </c>
      <c r="L3593" s="316" t="str">
        <f t="shared" si="57"/>
        <v>Gasoline</v>
      </c>
      <c r="M3593" s="194"/>
      <c r="N3593" s="317"/>
      <c r="O3593" s="317"/>
      <c r="P3593" s="317"/>
      <c r="Q3593" s="317"/>
      <c r="R3593" s="317"/>
      <c r="S3593" s="317"/>
      <c r="T3593" s="317"/>
      <c r="U3593" s="317"/>
      <c r="V3593" s="317"/>
      <c r="W3593" s="317"/>
      <c r="X3593" s="317"/>
      <c r="Y3593" s="317"/>
      <c r="Z3593" s="317"/>
    </row>
    <row r="3594" spans="1:26" x14ac:dyDescent="0.25">
      <c r="A3594" s="314"/>
      <c r="B3594" s="18">
        <v>2023</v>
      </c>
      <c r="C3594" s="18" t="s">
        <v>781</v>
      </c>
      <c r="D3594" s="18" t="s">
        <v>1071</v>
      </c>
      <c r="E3594" s="18" t="s">
        <v>713</v>
      </c>
      <c r="F3594" s="18" t="s">
        <v>714</v>
      </c>
      <c r="G3594" s="18" t="s">
        <v>674</v>
      </c>
      <c r="H3594" s="18" t="s">
        <v>1072</v>
      </c>
      <c r="I3594" s="315">
        <v>2.6672342877995114</v>
      </c>
      <c r="J3594" s="315">
        <v>3.5712525443632553E-5</v>
      </c>
      <c r="K3594" s="316" t="str">
        <f t="shared" si="56"/>
        <v>Construction and Mining Equipment</v>
      </c>
      <c r="L3594" s="316" t="str">
        <f t="shared" si="57"/>
        <v>Diesel</v>
      </c>
      <c r="M3594" s="194"/>
      <c r="N3594" s="317"/>
      <c r="O3594" s="317"/>
      <c r="P3594" s="317"/>
      <c r="Q3594" s="317"/>
      <c r="R3594" s="317"/>
      <c r="S3594" s="317"/>
      <c r="T3594" s="317"/>
      <c r="U3594" s="317"/>
      <c r="V3594" s="317"/>
      <c r="W3594" s="317"/>
      <c r="X3594" s="317"/>
      <c r="Y3594" s="317"/>
      <c r="Z3594" s="317"/>
    </row>
    <row r="3595" spans="1:26" x14ac:dyDescent="0.25">
      <c r="A3595" s="314"/>
      <c r="B3595" s="18">
        <v>2023</v>
      </c>
      <c r="C3595" s="18" t="s">
        <v>731</v>
      </c>
      <c r="D3595" s="18" t="s">
        <v>1084</v>
      </c>
      <c r="E3595" s="18" t="s">
        <v>703</v>
      </c>
      <c r="F3595" s="18" t="s">
        <v>704</v>
      </c>
      <c r="G3595" s="18" t="s">
        <v>674</v>
      </c>
      <c r="H3595" s="18" t="s">
        <v>863</v>
      </c>
      <c r="I3595" s="315">
        <v>2.638573662205506</v>
      </c>
      <c r="J3595" s="315">
        <v>1.5386143780456013E-3</v>
      </c>
      <c r="K3595" s="316" t="str">
        <f t="shared" si="56"/>
        <v>Construction and Mining Equipment</v>
      </c>
      <c r="L3595" s="316" t="str">
        <f t="shared" si="57"/>
        <v>Gasoline</v>
      </c>
      <c r="M3595" s="194"/>
      <c r="N3595" s="317"/>
      <c r="O3595" s="317"/>
      <c r="P3595" s="317"/>
      <c r="Q3595" s="317"/>
      <c r="R3595" s="317"/>
      <c r="S3595" s="317"/>
      <c r="T3595" s="317"/>
      <c r="U3595" s="317"/>
      <c r="V3595" s="317"/>
      <c r="W3595" s="317"/>
      <c r="X3595" s="317"/>
      <c r="Y3595" s="317"/>
      <c r="Z3595" s="317"/>
    </row>
    <row r="3596" spans="1:26" x14ac:dyDescent="0.25">
      <c r="A3596" s="314"/>
      <c r="B3596" s="18">
        <v>2023</v>
      </c>
      <c r="C3596" s="18" t="s">
        <v>711</v>
      </c>
      <c r="D3596" s="18" t="s">
        <v>1655</v>
      </c>
      <c r="E3596" s="18" t="s">
        <v>56</v>
      </c>
      <c r="F3596" s="18" t="s">
        <v>672</v>
      </c>
      <c r="G3596" s="18" t="s">
        <v>677</v>
      </c>
      <c r="H3596" s="18" t="s">
        <v>789</v>
      </c>
      <c r="I3596" s="315">
        <v>2.6335390218775023</v>
      </c>
      <c r="J3596" s="315">
        <v>3.7171513536162984E-4</v>
      </c>
      <c r="K3596" s="316" t="str">
        <f t="shared" si="56"/>
        <v>Commercial Equipment</v>
      </c>
      <c r="L3596" s="316" t="str">
        <f t="shared" si="57"/>
        <v>LPG</v>
      </c>
      <c r="M3596" s="194"/>
      <c r="N3596" s="317"/>
      <c r="O3596" s="317"/>
      <c r="P3596" s="317"/>
      <c r="Q3596" s="317"/>
      <c r="R3596" s="317"/>
      <c r="S3596" s="317"/>
      <c r="T3596" s="317"/>
      <c r="U3596" s="317"/>
      <c r="V3596" s="317"/>
      <c r="W3596" s="317"/>
      <c r="X3596" s="317"/>
      <c r="Y3596" s="317"/>
      <c r="Z3596" s="317"/>
    </row>
    <row r="3597" spans="1:26" x14ac:dyDescent="0.25">
      <c r="A3597" s="314"/>
      <c r="B3597" s="18">
        <v>2023</v>
      </c>
      <c r="C3597" s="18" t="s">
        <v>773</v>
      </c>
      <c r="D3597" s="18" t="s">
        <v>1401</v>
      </c>
      <c r="E3597" s="18" t="s">
        <v>56</v>
      </c>
      <c r="F3597" s="18" t="s">
        <v>601</v>
      </c>
      <c r="G3597" s="18" t="s">
        <v>677</v>
      </c>
      <c r="H3597" s="18" t="s">
        <v>785</v>
      </c>
      <c r="I3597" s="315">
        <v>2.6224647126514271</v>
      </c>
      <c r="J3597" s="315">
        <v>1.1367195160885321E-2</v>
      </c>
      <c r="K3597" s="316" t="str">
        <f t="shared" si="56"/>
        <v>Commercial Equipment</v>
      </c>
      <c r="L3597" s="316" t="str">
        <f t="shared" si="57"/>
        <v>CNG</v>
      </c>
      <c r="M3597" s="194"/>
      <c r="N3597" s="317"/>
      <c r="O3597" s="317"/>
      <c r="P3597" s="317"/>
      <c r="Q3597" s="317"/>
      <c r="R3597" s="317"/>
      <c r="S3597" s="317"/>
      <c r="T3597" s="317"/>
      <c r="U3597" s="317"/>
      <c r="V3597" s="317"/>
      <c r="W3597" s="317"/>
      <c r="X3597" s="317"/>
      <c r="Y3597" s="317"/>
      <c r="Z3597" s="317"/>
    </row>
    <row r="3598" spans="1:26" x14ac:dyDescent="0.25">
      <c r="A3598" s="314"/>
      <c r="B3598" s="18">
        <v>2023</v>
      </c>
      <c r="C3598" s="18" t="s">
        <v>786</v>
      </c>
      <c r="D3598" s="18" t="s">
        <v>1084</v>
      </c>
      <c r="E3598" s="18" t="s">
        <v>703</v>
      </c>
      <c r="F3598" s="18" t="s">
        <v>704</v>
      </c>
      <c r="G3598" s="18" t="s">
        <v>674</v>
      </c>
      <c r="H3598" s="18" t="s">
        <v>863</v>
      </c>
      <c r="I3598" s="315">
        <v>2.6206028119644458</v>
      </c>
      <c r="J3598" s="315">
        <v>1.5324956268029349E-3</v>
      </c>
      <c r="K3598" s="316" t="str">
        <f t="shared" si="56"/>
        <v>Construction and Mining Equipment</v>
      </c>
      <c r="L3598" s="316" t="str">
        <f t="shared" si="57"/>
        <v>Gasoline</v>
      </c>
      <c r="M3598" s="194"/>
      <c r="N3598" s="317"/>
      <c r="O3598" s="317"/>
      <c r="P3598" s="317"/>
      <c r="Q3598" s="317"/>
      <c r="R3598" s="317"/>
      <c r="S3598" s="317"/>
      <c r="T3598" s="317"/>
      <c r="U3598" s="317"/>
      <c r="V3598" s="317"/>
      <c r="W3598" s="317"/>
      <c r="X3598" s="317"/>
      <c r="Y3598" s="317"/>
      <c r="Z3598" s="317"/>
    </row>
    <row r="3599" spans="1:26" x14ac:dyDescent="0.25">
      <c r="A3599" s="314"/>
      <c r="B3599" s="18">
        <v>2023</v>
      </c>
      <c r="C3599" s="18" t="s">
        <v>709</v>
      </c>
      <c r="D3599" s="18" t="s">
        <v>1617</v>
      </c>
      <c r="E3599" s="18" t="s">
        <v>703</v>
      </c>
      <c r="F3599" s="18" t="s">
        <v>805</v>
      </c>
      <c r="G3599" s="18" t="s">
        <v>675</v>
      </c>
      <c r="H3599" s="18" t="s">
        <v>802</v>
      </c>
      <c r="I3599" s="315">
        <v>2.6203012641558785</v>
      </c>
      <c r="J3599" s="315">
        <v>5.8548076026189921E-3</v>
      </c>
      <c r="K3599" s="316" t="str">
        <f t="shared" si="56"/>
        <v>Industrial Equipment</v>
      </c>
      <c r="L3599" s="316" t="str">
        <f t="shared" si="57"/>
        <v>Gasoline</v>
      </c>
      <c r="M3599" s="194"/>
      <c r="N3599" s="317"/>
      <c r="O3599" s="317"/>
      <c r="P3599" s="317"/>
      <c r="Q3599" s="317"/>
      <c r="R3599" s="317"/>
      <c r="S3599" s="317"/>
      <c r="T3599" s="317"/>
      <c r="U3599" s="317"/>
      <c r="V3599" s="317"/>
      <c r="W3599" s="317"/>
      <c r="X3599" s="317"/>
      <c r="Y3599" s="317"/>
      <c r="Z3599" s="317"/>
    </row>
    <row r="3600" spans="1:26" x14ac:dyDescent="0.25">
      <c r="A3600" s="314"/>
      <c r="B3600" s="18">
        <v>2023</v>
      </c>
      <c r="C3600" s="18" t="s">
        <v>778</v>
      </c>
      <c r="D3600" s="18" t="s">
        <v>1440</v>
      </c>
      <c r="E3600" s="18" t="s">
        <v>703</v>
      </c>
      <c r="F3600" s="18" t="s">
        <v>704</v>
      </c>
      <c r="G3600" s="18" t="s">
        <v>678</v>
      </c>
      <c r="H3600" s="18" t="s">
        <v>1154</v>
      </c>
      <c r="I3600" s="315">
        <v>2.6183052172148824</v>
      </c>
      <c r="J3600" s="315">
        <v>2.6412293245695105E-4</v>
      </c>
      <c r="K3600" s="316" t="str">
        <f t="shared" si="56"/>
        <v>Agricultural Equipment</v>
      </c>
      <c r="L3600" s="316" t="str">
        <f t="shared" si="57"/>
        <v>Gasoline</v>
      </c>
      <c r="M3600" s="194"/>
      <c r="N3600" s="317"/>
      <c r="O3600" s="317"/>
      <c r="P3600" s="317"/>
      <c r="Q3600" s="317"/>
      <c r="R3600" s="317"/>
      <c r="S3600" s="317"/>
      <c r="T3600" s="317"/>
      <c r="U3600" s="317"/>
      <c r="V3600" s="317"/>
      <c r="W3600" s="317"/>
      <c r="X3600" s="317"/>
      <c r="Y3600" s="317"/>
      <c r="Z3600" s="317"/>
    </row>
    <row r="3601" spans="1:26" x14ac:dyDescent="0.25">
      <c r="A3601" s="314"/>
      <c r="B3601" s="18">
        <v>2023</v>
      </c>
      <c r="C3601" s="18" t="s">
        <v>709</v>
      </c>
      <c r="D3601" s="18" t="s">
        <v>1409</v>
      </c>
      <c r="E3601" s="18" t="s">
        <v>703</v>
      </c>
      <c r="F3601" s="18" t="s">
        <v>704</v>
      </c>
      <c r="G3601" s="18" t="s">
        <v>678</v>
      </c>
      <c r="H3601" s="18" t="s">
        <v>1222</v>
      </c>
      <c r="I3601" s="315">
        <v>2.6180809302338615</v>
      </c>
      <c r="J3601" s="315">
        <v>1.7287997593864049E-3</v>
      </c>
      <c r="K3601" s="316" t="str">
        <f t="shared" si="56"/>
        <v>Agricultural Equipment</v>
      </c>
      <c r="L3601" s="316" t="str">
        <f t="shared" si="57"/>
        <v>Gasoline</v>
      </c>
      <c r="M3601" s="194"/>
      <c r="N3601" s="317"/>
      <c r="O3601" s="317"/>
      <c r="P3601" s="317"/>
      <c r="Q3601" s="317"/>
      <c r="R3601" s="317"/>
      <c r="S3601" s="317"/>
      <c r="T3601" s="317"/>
      <c r="U3601" s="317"/>
      <c r="V3601" s="317"/>
      <c r="W3601" s="317"/>
      <c r="X3601" s="317"/>
      <c r="Y3601" s="317"/>
      <c r="Z3601" s="317"/>
    </row>
    <row r="3602" spans="1:26" x14ac:dyDescent="0.25">
      <c r="A3602" s="314"/>
      <c r="B3602" s="18">
        <v>2023</v>
      </c>
      <c r="C3602" s="18" t="s">
        <v>810</v>
      </c>
      <c r="D3602" s="18" t="s">
        <v>1539</v>
      </c>
      <c r="E3602" s="18" t="s">
        <v>703</v>
      </c>
      <c r="F3602" s="18" t="s">
        <v>704</v>
      </c>
      <c r="G3602" s="18" t="s">
        <v>678</v>
      </c>
      <c r="H3602" s="18" t="s">
        <v>1230</v>
      </c>
      <c r="I3602" s="315">
        <v>2.5766722429320534</v>
      </c>
      <c r="J3602" s="315">
        <v>1.5489569511000663E-3</v>
      </c>
      <c r="K3602" s="316" t="str">
        <f t="shared" si="56"/>
        <v>Agricultural Equipment</v>
      </c>
      <c r="L3602" s="316" t="str">
        <f t="shared" si="57"/>
        <v>Gasoline</v>
      </c>
      <c r="M3602" s="194"/>
      <c r="N3602" s="317"/>
      <c r="O3602" s="317"/>
      <c r="P3602" s="317"/>
      <c r="Q3602" s="317"/>
      <c r="R3602" s="317"/>
      <c r="S3602" s="317"/>
      <c r="T3602" s="317"/>
      <c r="U3602" s="317"/>
      <c r="V3602" s="317"/>
      <c r="W3602" s="317"/>
      <c r="X3602" s="317"/>
      <c r="Y3602" s="317"/>
      <c r="Z3602" s="317"/>
    </row>
    <row r="3603" spans="1:26" x14ac:dyDescent="0.25">
      <c r="A3603" s="314"/>
      <c r="B3603" s="18">
        <v>2023</v>
      </c>
      <c r="C3603" s="18" t="s">
        <v>792</v>
      </c>
      <c r="D3603" s="18" t="s">
        <v>1009</v>
      </c>
      <c r="E3603" s="18" t="s">
        <v>713</v>
      </c>
      <c r="F3603" s="18" t="s">
        <v>714</v>
      </c>
      <c r="G3603" s="18" t="s">
        <v>673</v>
      </c>
      <c r="H3603" s="18" t="s">
        <v>1010</v>
      </c>
      <c r="I3603" s="315">
        <v>2.5753842755921195</v>
      </c>
      <c r="J3603" s="315">
        <v>3.7583792382710528E-5</v>
      </c>
      <c r="K3603" s="316" t="str">
        <f t="shared" si="56"/>
        <v>Lawn and Garden Equipment</v>
      </c>
      <c r="L3603" s="316" t="str">
        <f t="shared" si="57"/>
        <v>Diesel</v>
      </c>
      <c r="M3603" s="194"/>
      <c r="N3603" s="317"/>
      <c r="O3603" s="317"/>
      <c r="P3603" s="317"/>
      <c r="Q3603" s="317"/>
      <c r="R3603" s="317"/>
      <c r="S3603" s="317"/>
      <c r="T3603" s="317"/>
      <c r="U3603" s="317"/>
      <c r="V3603" s="317"/>
      <c r="W3603" s="317"/>
      <c r="X3603" s="317"/>
      <c r="Y3603" s="317"/>
      <c r="Z3603" s="317"/>
    </row>
    <row r="3604" spans="1:26" x14ac:dyDescent="0.25">
      <c r="A3604" s="314"/>
      <c r="B3604" s="18">
        <v>2023</v>
      </c>
      <c r="C3604" s="18" t="s">
        <v>727</v>
      </c>
      <c r="D3604" s="18" t="s">
        <v>1339</v>
      </c>
      <c r="E3604" s="18" t="s">
        <v>56</v>
      </c>
      <c r="F3604" s="18" t="s">
        <v>672</v>
      </c>
      <c r="G3604" s="18" t="s">
        <v>674</v>
      </c>
      <c r="H3604" s="18" t="s">
        <v>770</v>
      </c>
      <c r="I3604" s="315">
        <v>2.5742240775975902</v>
      </c>
      <c r="J3604" s="315">
        <v>1.9008726305032219E-4</v>
      </c>
      <c r="K3604" s="316" t="str">
        <f t="shared" si="56"/>
        <v>Construction and Mining Equipment</v>
      </c>
      <c r="L3604" s="316" t="str">
        <f t="shared" si="57"/>
        <v>LPG</v>
      </c>
      <c r="M3604" s="194"/>
      <c r="N3604" s="317"/>
      <c r="O3604" s="317"/>
      <c r="P3604" s="317"/>
      <c r="Q3604" s="317"/>
      <c r="R3604" s="317"/>
      <c r="S3604" s="317"/>
      <c r="T3604" s="317"/>
      <c r="U3604" s="317"/>
      <c r="V3604" s="317"/>
      <c r="W3604" s="317"/>
      <c r="X3604" s="317"/>
      <c r="Y3604" s="317"/>
      <c r="Z3604" s="317"/>
    </row>
    <row r="3605" spans="1:26" x14ac:dyDescent="0.25">
      <c r="A3605" s="314"/>
      <c r="B3605" s="18">
        <v>2023</v>
      </c>
      <c r="C3605" s="18" t="s">
        <v>760</v>
      </c>
      <c r="D3605" s="18" t="s">
        <v>1483</v>
      </c>
      <c r="E3605" s="18" t="s">
        <v>703</v>
      </c>
      <c r="F3605" s="18" t="s">
        <v>805</v>
      </c>
      <c r="G3605" s="18" t="s">
        <v>674</v>
      </c>
      <c r="H3605" s="18" t="s">
        <v>994</v>
      </c>
      <c r="I3605" s="315">
        <v>2.5618309726459354</v>
      </c>
      <c r="J3605" s="315">
        <v>5.3713340236445613E-3</v>
      </c>
      <c r="K3605" s="316" t="str">
        <f t="shared" si="56"/>
        <v>Construction and Mining Equipment</v>
      </c>
      <c r="L3605" s="316" t="str">
        <f t="shared" si="57"/>
        <v>Gasoline</v>
      </c>
      <c r="M3605" s="194"/>
      <c r="N3605" s="317"/>
      <c r="O3605" s="317"/>
      <c r="P3605" s="317"/>
      <c r="Q3605" s="317"/>
      <c r="R3605" s="317"/>
      <c r="S3605" s="317"/>
      <c r="T3605" s="317"/>
      <c r="U3605" s="317"/>
      <c r="V3605" s="317"/>
      <c r="W3605" s="317"/>
      <c r="X3605" s="317"/>
      <c r="Y3605" s="317"/>
      <c r="Z3605" s="317"/>
    </row>
    <row r="3606" spans="1:26" x14ac:dyDescent="0.25">
      <c r="A3606" s="314"/>
      <c r="B3606" s="18">
        <v>2023</v>
      </c>
      <c r="C3606" s="18" t="s">
        <v>743</v>
      </c>
      <c r="D3606" s="18" t="s">
        <v>1317</v>
      </c>
      <c r="E3606" s="18" t="s">
        <v>713</v>
      </c>
      <c r="F3606" s="18" t="s">
        <v>714</v>
      </c>
      <c r="G3606" s="18" t="s">
        <v>673</v>
      </c>
      <c r="H3606" s="18" t="s">
        <v>865</v>
      </c>
      <c r="I3606" s="315">
        <v>2.5508148489600826</v>
      </c>
      <c r="J3606" s="315">
        <v>8.0562781423210121E-5</v>
      </c>
      <c r="K3606" s="316" t="str">
        <f t="shared" si="56"/>
        <v>Lawn and Garden Equipment</v>
      </c>
      <c r="L3606" s="316" t="str">
        <f t="shared" si="57"/>
        <v>Diesel</v>
      </c>
      <c r="M3606" s="194"/>
      <c r="N3606" s="317"/>
      <c r="O3606" s="317"/>
      <c r="P3606" s="317"/>
      <c r="Q3606" s="317"/>
      <c r="R3606" s="317"/>
      <c r="S3606" s="317"/>
      <c r="T3606" s="317"/>
      <c r="U3606" s="317"/>
      <c r="V3606" s="317"/>
      <c r="W3606" s="317"/>
      <c r="X3606" s="317"/>
      <c r="Y3606" s="317"/>
      <c r="Z3606" s="317"/>
    </row>
    <row r="3607" spans="1:26" x14ac:dyDescent="0.25">
      <c r="A3607" s="314"/>
      <c r="B3607" s="18">
        <v>2023</v>
      </c>
      <c r="C3607" s="18" t="s">
        <v>753</v>
      </c>
      <c r="D3607" s="18" t="s">
        <v>1247</v>
      </c>
      <c r="E3607" s="18" t="s">
        <v>56</v>
      </c>
      <c r="F3607" s="18" t="s">
        <v>672</v>
      </c>
      <c r="G3607" s="18" t="s">
        <v>674</v>
      </c>
      <c r="H3607" s="18" t="s">
        <v>967</v>
      </c>
      <c r="I3607" s="315">
        <v>2.5500691763988863</v>
      </c>
      <c r="J3607" s="315">
        <v>1.2047810408333054E-4</v>
      </c>
      <c r="K3607" s="316" t="str">
        <f t="shared" si="56"/>
        <v>Construction and Mining Equipment</v>
      </c>
      <c r="L3607" s="316" t="str">
        <f t="shared" si="57"/>
        <v>LPG</v>
      </c>
      <c r="M3607" s="194"/>
      <c r="N3607" s="317"/>
      <c r="O3607" s="317"/>
      <c r="P3607" s="317"/>
      <c r="Q3607" s="317"/>
      <c r="R3607" s="317"/>
      <c r="S3607" s="317"/>
      <c r="T3607" s="317"/>
      <c r="U3607" s="317"/>
      <c r="V3607" s="317"/>
      <c r="W3607" s="317"/>
      <c r="X3607" s="317"/>
      <c r="Y3607" s="317"/>
      <c r="Z3607" s="317"/>
    </row>
    <row r="3608" spans="1:26" x14ac:dyDescent="0.25">
      <c r="A3608" s="314"/>
      <c r="B3608" s="18">
        <v>2023</v>
      </c>
      <c r="C3608" s="18" t="s">
        <v>753</v>
      </c>
      <c r="D3608" s="18" t="s">
        <v>1248</v>
      </c>
      <c r="E3608" s="18" t="s">
        <v>703</v>
      </c>
      <c r="F3608" s="18" t="s">
        <v>704</v>
      </c>
      <c r="G3608" s="18" t="s">
        <v>674</v>
      </c>
      <c r="H3608" s="18" t="s">
        <v>959</v>
      </c>
      <c r="I3608" s="315">
        <v>2.5460360615192887</v>
      </c>
      <c r="J3608" s="315">
        <v>1.6977991276126262E-3</v>
      </c>
      <c r="K3608" s="316" t="str">
        <f t="shared" si="56"/>
        <v>Construction and Mining Equipment</v>
      </c>
      <c r="L3608" s="316" t="str">
        <f t="shared" si="57"/>
        <v>Gasoline</v>
      </c>
      <c r="M3608" s="194"/>
      <c r="N3608" s="317"/>
      <c r="O3608" s="317"/>
      <c r="P3608" s="317"/>
      <c r="Q3608" s="317"/>
      <c r="R3608" s="317"/>
      <c r="S3608" s="317"/>
      <c r="T3608" s="317"/>
      <c r="U3608" s="317"/>
      <c r="V3608" s="317"/>
      <c r="W3608" s="317"/>
      <c r="X3608" s="317"/>
      <c r="Y3608" s="317"/>
      <c r="Z3608" s="317"/>
    </row>
    <row r="3609" spans="1:26" x14ac:dyDescent="0.25">
      <c r="A3609" s="314"/>
      <c r="B3609" s="18">
        <v>2023</v>
      </c>
      <c r="C3609" s="18" t="s">
        <v>710</v>
      </c>
      <c r="D3609" s="18" t="s">
        <v>1655</v>
      </c>
      <c r="E3609" s="18" t="s">
        <v>56</v>
      </c>
      <c r="F3609" s="18" t="s">
        <v>672</v>
      </c>
      <c r="G3609" s="18" t="s">
        <v>677</v>
      </c>
      <c r="H3609" s="18" t="s">
        <v>789</v>
      </c>
      <c r="I3609" s="315">
        <v>2.5416259201094125</v>
      </c>
      <c r="J3609" s="315">
        <v>3.587402694280237E-4</v>
      </c>
      <c r="K3609" s="316" t="str">
        <f t="shared" si="56"/>
        <v>Commercial Equipment</v>
      </c>
      <c r="L3609" s="316" t="str">
        <f t="shared" si="57"/>
        <v>LPG</v>
      </c>
      <c r="M3609" s="194"/>
      <c r="N3609" s="317"/>
      <c r="O3609" s="317"/>
      <c r="P3609" s="317"/>
      <c r="Q3609" s="317"/>
      <c r="R3609" s="317"/>
      <c r="S3609" s="317"/>
      <c r="T3609" s="317"/>
      <c r="U3609" s="317"/>
      <c r="V3609" s="317"/>
      <c r="W3609" s="317"/>
      <c r="X3609" s="317"/>
      <c r="Y3609" s="317"/>
      <c r="Z3609" s="317"/>
    </row>
    <row r="3610" spans="1:26" x14ac:dyDescent="0.25">
      <c r="A3610" s="314"/>
      <c r="B3610" s="18">
        <v>2023</v>
      </c>
      <c r="C3610" s="18" t="s">
        <v>706</v>
      </c>
      <c r="D3610" s="18" t="s">
        <v>1573</v>
      </c>
      <c r="E3610" s="18" t="s">
        <v>703</v>
      </c>
      <c r="F3610" s="18" t="s">
        <v>704</v>
      </c>
      <c r="G3610" s="18" t="s">
        <v>678</v>
      </c>
      <c r="H3610" s="18" t="s">
        <v>764</v>
      </c>
      <c r="I3610" s="315">
        <v>2.5392279527967929</v>
      </c>
      <c r="J3610" s="315">
        <v>4.9433715661899801E-4</v>
      </c>
      <c r="K3610" s="316" t="str">
        <f t="shared" si="56"/>
        <v>Agricultural Equipment</v>
      </c>
      <c r="L3610" s="316" t="str">
        <f t="shared" si="57"/>
        <v>Gasoline</v>
      </c>
      <c r="M3610" s="194"/>
      <c r="N3610" s="317"/>
      <c r="O3610" s="317"/>
      <c r="P3610" s="317"/>
      <c r="Q3610" s="317"/>
      <c r="R3610" s="317"/>
      <c r="S3610" s="317"/>
      <c r="T3610" s="317"/>
      <c r="U3610" s="317"/>
      <c r="V3610" s="317"/>
      <c r="W3610" s="317"/>
      <c r="X3610" s="317"/>
      <c r="Y3610" s="317"/>
      <c r="Z3610" s="317"/>
    </row>
    <row r="3611" spans="1:26" x14ac:dyDescent="0.25">
      <c r="A3611" s="314"/>
      <c r="B3611" s="18">
        <v>2023</v>
      </c>
      <c r="C3611" s="18" t="s">
        <v>792</v>
      </c>
      <c r="D3611" s="18" t="s">
        <v>1158</v>
      </c>
      <c r="E3611" s="18" t="s">
        <v>703</v>
      </c>
      <c r="F3611" s="18" t="s">
        <v>704</v>
      </c>
      <c r="G3611" s="18" t="s">
        <v>674</v>
      </c>
      <c r="H3611" s="18" t="s">
        <v>715</v>
      </c>
      <c r="I3611" s="315">
        <v>2.5359369775518035</v>
      </c>
      <c r="J3611" s="315">
        <v>1.7698396647674572E-4</v>
      </c>
      <c r="K3611" s="316" t="str">
        <f t="shared" si="56"/>
        <v>Construction and Mining Equipment</v>
      </c>
      <c r="L3611" s="316" t="str">
        <f t="shared" si="57"/>
        <v>Gasoline</v>
      </c>
      <c r="M3611" s="194"/>
      <c r="N3611" s="317"/>
      <c r="O3611" s="317"/>
      <c r="P3611" s="317"/>
      <c r="Q3611" s="317"/>
      <c r="R3611" s="317"/>
      <c r="S3611" s="317"/>
      <c r="T3611" s="317"/>
      <c r="U3611" s="317"/>
      <c r="V3611" s="317"/>
      <c r="W3611" s="317"/>
      <c r="X3611" s="317"/>
      <c r="Y3611" s="317"/>
      <c r="Z3611" s="317"/>
    </row>
    <row r="3612" spans="1:26" x14ac:dyDescent="0.25">
      <c r="A3612" s="314"/>
      <c r="B3612" s="18">
        <v>2023</v>
      </c>
      <c r="C3612" s="18" t="s">
        <v>810</v>
      </c>
      <c r="D3612" s="18" t="s">
        <v>1227</v>
      </c>
      <c r="E3612" s="18" t="s">
        <v>56</v>
      </c>
      <c r="F3612" s="18" t="s">
        <v>672</v>
      </c>
      <c r="G3612" s="18" t="s">
        <v>674</v>
      </c>
      <c r="H3612" s="18" t="s">
        <v>850</v>
      </c>
      <c r="I3612" s="315">
        <v>2.5329587253479895</v>
      </c>
      <c r="J3612" s="315">
        <v>1.6265654206350344E-4</v>
      </c>
      <c r="K3612" s="316" t="str">
        <f t="shared" si="56"/>
        <v>Construction and Mining Equipment</v>
      </c>
      <c r="L3612" s="316" t="str">
        <f t="shared" si="57"/>
        <v>LPG</v>
      </c>
      <c r="M3612" s="194"/>
      <c r="N3612" s="317"/>
      <c r="O3612" s="317"/>
      <c r="P3612" s="317"/>
      <c r="Q3612" s="317"/>
      <c r="R3612" s="317"/>
      <c r="S3612" s="317"/>
      <c r="T3612" s="317"/>
      <c r="U3612" s="317"/>
      <c r="V3612" s="317"/>
      <c r="W3612" s="317"/>
      <c r="X3612" s="317"/>
      <c r="Y3612" s="317"/>
      <c r="Z3612" s="317"/>
    </row>
    <row r="3613" spans="1:26" x14ac:dyDescent="0.25">
      <c r="A3613" s="314"/>
      <c r="B3613" s="18">
        <v>2023</v>
      </c>
      <c r="C3613" s="18" t="s">
        <v>711</v>
      </c>
      <c r="D3613" s="18" t="s">
        <v>1428</v>
      </c>
      <c r="E3613" s="18" t="s">
        <v>56</v>
      </c>
      <c r="F3613" s="18" t="s">
        <v>601</v>
      </c>
      <c r="G3613" s="18" t="s">
        <v>678</v>
      </c>
      <c r="H3613" s="18" t="s">
        <v>1154</v>
      </c>
      <c r="I3613" s="315">
        <v>2.5328410089417983</v>
      </c>
      <c r="J3613" s="315">
        <v>1.0300666093024062E-2</v>
      </c>
      <c r="K3613" s="316" t="str">
        <f t="shared" si="56"/>
        <v>Agricultural Equipment</v>
      </c>
      <c r="L3613" s="316" t="str">
        <f t="shared" si="57"/>
        <v>CNG</v>
      </c>
      <c r="M3613" s="194"/>
      <c r="N3613" s="317"/>
      <c r="O3613" s="317"/>
      <c r="P3613" s="317"/>
      <c r="Q3613" s="317"/>
      <c r="R3613" s="317"/>
      <c r="S3613" s="317"/>
      <c r="T3613" s="317"/>
      <c r="U3613" s="317"/>
      <c r="V3613" s="317"/>
      <c r="W3613" s="317"/>
      <c r="X3613" s="317"/>
      <c r="Y3613" s="317"/>
      <c r="Z3613" s="317"/>
    </row>
    <row r="3614" spans="1:26" x14ac:dyDescent="0.25">
      <c r="A3614" s="314"/>
      <c r="B3614" s="18">
        <v>2023</v>
      </c>
      <c r="C3614" s="18" t="s">
        <v>743</v>
      </c>
      <c r="D3614" s="18" t="s">
        <v>1416</v>
      </c>
      <c r="E3614" s="18" t="s">
        <v>56</v>
      </c>
      <c r="F3614" s="18" t="s">
        <v>672</v>
      </c>
      <c r="G3614" s="18" t="s">
        <v>674</v>
      </c>
      <c r="H3614" s="18" t="s">
        <v>861</v>
      </c>
      <c r="I3614" s="315">
        <v>2.5303108244872381</v>
      </c>
      <c r="J3614" s="315">
        <v>1.7091343827246716E-3</v>
      </c>
      <c r="K3614" s="316" t="str">
        <f t="shared" si="56"/>
        <v>Construction and Mining Equipment</v>
      </c>
      <c r="L3614" s="316" t="str">
        <f t="shared" si="57"/>
        <v>LPG</v>
      </c>
      <c r="M3614" s="194"/>
      <c r="N3614" s="317"/>
      <c r="O3614" s="317"/>
      <c r="P3614" s="317"/>
      <c r="Q3614" s="317"/>
      <c r="R3614" s="317"/>
      <c r="S3614" s="317"/>
      <c r="T3614" s="317"/>
      <c r="U3614" s="317"/>
      <c r="V3614" s="317"/>
      <c r="W3614" s="317"/>
      <c r="X3614" s="317"/>
      <c r="Y3614" s="317"/>
      <c r="Z3614" s="317"/>
    </row>
    <row r="3615" spans="1:26" x14ac:dyDescent="0.25">
      <c r="A3615" s="314"/>
      <c r="B3615" s="18">
        <v>2023</v>
      </c>
      <c r="C3615" s="18" t="s">
        <v>793</v>
      </c>
      <c r="D3615" s="18" t="s">
        <v>1339</v>
      </c>
      <c r="E3615" s="18" t="s">
        <v>56</v>
      </c>
      <c r="F3615" s="18" t="s">
        <v>672</v>
      </c>
      <c r="G3615" s="18" t="s">
        <v>674</v>
      </c>
      <c r="H3615" s="18" t="s">
        <v>770</v>
      </c>
      <c r="I3615" s="315">
        <v>2.5133690768539214</v>
      </c>
      <c r="J3615" s="315">
        <v>1.8559358130196746E-4</v>
      </c>
      <c r="K3615" s="316" t="str">
        <f t="shared" si="56"/>
        <v>Construction and Mining Equipment</v>
      </c>
      <c r="L3615" s="316" t="str">
        <f t="shared" si="57"/>
        <v>LPG</v>
      </c>
      <c r="M3615" s="194"/>
      <c r="N3615" s="317"/>
      <c r="O3615" s="317"/>
      <c r="P3615" s="317"/>
      <c r="Q3615" s="317"/>
      <c r="R3615" s="317"/>
      <c r="S3615" s="317"/>
      <c r="T3615" s="317"/>
      <c r="U3615" s="317"/>
      <c r="V3615" s="317"/>
      <c r="W3615" s="317"/>
      <c r="X3615" s="317"/>
      <c r="Y3615" s="317"/>
      <c r="Z3615" s="317"/>
    </row>
    <row r="3616" spans="1:26" x14ac:dyDescent="0.25">
      <c r="A3616" s="314"/>
      <c r="B3616" s="18">
        <v>2023</v>
      </c>
      <c r="C3616" s="18" t="s">
        <v>793</v>
      </c>
      <c r="D3616" s="18" t="s">
        <v>1349</v>
      </c>
      <c r="E3616" s="18" t="s">
        <v>703</v>
      </c>
      <c r="F3616" s="18" t="s">
        <v>704</v>
      </c>
      <c r="G3616" s="18" t="s">
        <v>673</v>
      </c>
      <c r="H3616" s="18" t="s">
        <v>978</v>
      </c>
      <c r="I3616" s="315">
        <v>2.5121593165638423</v>
      </c>
      <c r="J3616" s="315">
        <v>1.7458386967037546E-3</v>
      </c>
      <c r="K3616" s="316" t="str">
        <f t="shared" si="56"/>
        <v>Lawn and Garden Equipment</v>
      </c>
      <c r="L3616" s="316" t="str">
        <f t="shared" si="57"/>
        <v>Gasoline</v>
      </c>
      <c r="M3616" s="194"/>
      <c r="N3616" s="317"/>
      <c r="O3616" s="317"/>
      <c r="P3616" s="317"/>
      <c r="Q3616" s="317"/>
      <c r="R3616" s="317"/>
      <c r="S3616" s="317"/>
      <c r="T3616" s="317"/>
      <c r="U3616" s="317"/>
      <c r="V3616" s="317"/>
      <c r="W3616" s="317"/>
      <c r="X3616" s="317"/>
      <c r="Y3616" s="317"/>
      <c r="Z3616" s="317"/>
    </row>
    <row r="3617" spans="1:26" x14ac:dyDescent="0.25">
      <c r="A3617" s="314"/>
      <c r="B3617" s="18">
        <v>2023</v>
      </c>
      <c r="C3617" s="18" t="s">
        <v>792</v>
      </c>
      <c r="D3617" s="18" t="s">
        <v>1407</v>
      </c>
      <c r="E3617" s="18" t="s">
        <v>56</v>
      </c>
      <c r="F3617" s="18" t="s">
        <v>672</v>
      </c>
      <c r="G3617" s="18" t="s">
        <v>675</v>
      </c>
      <c r="H3617" s="18" t="s">
        <v>1078</v>
      </c>
      <c r="I3617" s="315">
        <v>2.5089085474914885</v>
      </c>
      <c r="J3617" s="315">
        <v>2.2542732283042414E-4</v>
      </c>
      <c r="K3617" s="316" t="str">
        <f t="shared" si="56"/>
        <v>Industrial Equipment</v>
      </c>
      <c r="L3617" s="316" t="str">
        <f t="shared" si="57"/>
        <v>LPG</v>
      </c>
      <c r="M3617" s="194"/>
      <c r="N3617" s="317"/>
      <c r="O3617" s="317"/>
      <c r="P3617" s="317"/>
      <c r="Q3617" s="317"/>
      <c r="R3617" s="317"/>
      <c r="S3617" s="317"/>
      <c r="T3617" s="317"/>
      <c r="U3617" s="317"/>
      <c r="V3617" s="317"/>
      <c r="W3617" s="317"/>
      <c r="X3617" s="317"/>
      <c r="Y3617" s="317"/>
      <c r="Z3617" s="317"/>
    </row>
    <row r="3618" spans="1:26" x14ac:dyDescent="0.25">
      <c r="A3618" s="314"/>
      <c r="B3618" s="18">
        <v>2023</v>
      </c>
      <c r="C3618" s="18" t="s">
        <v>709</v>
      </c>
      <c r="D3618" s="18" t="s">
        <v>1656</v>
      </c>
      <c r="E3618" s="18" t="s">
        <v>56</v>
      </c>
      <c r="F3618" s="18" t="s">
        <v>672</v>
      </c>
      <c r="G3618" s="18" t="s">
        <v>677</v>
      </c>
      <c r="H3618" s="18" t="s">
        <v>1031</v>
      </c>
      <c r="I3618" s="315">
        <v>2.5039588518759324</v>
      </c>
      <c r="J3618" s="315">
        <v>1.2644341273522413E-4</v>
      </c>
      <c r="K3618" s="316" t="str">
        <f t="shared" ref="K3618:K3872" si="58">IF(F3618="Pleasure Craft","Pleasure Craft",IF(F3618="Railroad Equipment","Railroad Equipment",G3618))</f>
        <v>Commercial Equipment</v>
      </c>
      <c r="L3618" s="316" t="str">
        <f t="shared" ref="L3618:L3872" si="59">IF(E3618="Non-Road Gasoline","Gasoline",IF(E3618="Non-Road Diesel","Diesel",IF(RIGHT(F3618,3)="LPG","LPG",IF(RIGHT(F3618,3)="CNG","CNG",G3618))))</f>
        <v>LPG</v>
      </c>
      <c r="M3618" s="194"/>
      <c r="N3618" s="317"/>
      <c r="O3618" s="317"/>
      <c r="P3618" s="317"/>
      <c r="Q3618" s="317"/>
      <c r="R3618" s="317"/>
      <c r="S3618" s="317"/>
      <c r="T3618" s="317"/>
      <c r="U3618" s="317"/>
      <c r="V3618" s="317"/>
      <c r="W3618" s="317"/>
      <c r="X3618" s="317"/>
      <c r="Y3618" s="317"/>
      <c r="Z3618" s="317"/>
    </row>
    <row r="3619" spans="1:26" x14ac:dyDescent="0.25">
      <c r="A3619" s="314"/>
      <c r="B3619" s="18">
        <v>2023</v>
      </c>
      <c r="C3619" s="18" t="s">
        <v>787</v>
      </c>
      <c r="D3619" s="18" t="s">
        <v>1407</v>
      </c>
      <c r="E3619" s="18" t="s">
        <v>56</v>
      </c>
      <c r="F3619" s="18" t="s">
        <v>672</v>
      </c>
      <c r="G3619" s="18" t="s">
        <v>675</v>
      </c>
      <c r="H3619" s="18" t="s">
        <v>1078</v>
      </c>
      <c r="I3619" s="315">
        <v>2.4729797725244929</v>
      </c>
      <c r="J3619" s="315">
        <v>2.2219917058589279E-4</v>
      </c>
      <c r="K3619" s="316" t="str">
        <f t="shared" si="58"/>
        <v>Industrial Equipment</v>
      </c>
      <c r="L3619" s="316" t="str">
        <f t="shared" si="59"/>
        <v>LPG</v>
      </c>
      <c r="M3619" s="194"/>
      <c r="N3619" s="317"/>
      <c r="O3619" s="317"/>
      <c r="P3619" s="317"/>
      <c r="Q3619" s="317"/>
      <c r="R3619" s="317"/>
      <c r="S3619" s="317"/>
      <c r="T3619" s="317"/>
      <c r="U3619" s="317"/>
      <c r="V3619" s="317"/>
      <c r="W3619" s="317"/>
      <c r="X3619" s="317"/>
      <c r="Y3619" s="317"/>
      <c r="Z3619" s="317"/>
    </row>
    <row r="3620" spans="1:26" x14ac:dyDescent="0.25">
      <c r="A3620" s="314"/>
      <c r="B3620" s="18">
        <v>2023</v>
      </c>
      <c r="C3620" s="18" t="s">
        <v>773</v>
      </c>
      <c r="D3620" s="18" t="s">
        <v>1637</v>
      </c>
      <c r="E3620" s="18" t="s">
        <v>703</v>
      </c>
      <c r="F3620" s="18" t="s">
        <v>704</v>
      </c>
      <c r="G3620" s="18" t="s">
        <v>678</v>
      </c>
      <c r="H3620" s="18" t="s">
        <v>1638</v>
      </c>
      <c r="I3620" s="315">
        <v>2.4670971186687916</v>
      </c>
      <c r="J3620" s="315">
        <v>1.4678143957137467E-3</v>
      </c>
      <c r="K3620" s="316" t="str">
        <f t="shared" si="58"/>
        <v>Agricultural Equipment</v>
      </c>
      <c r="L3620" s="316" t="str">
        <f t="shared" si="59"/>
        <v>Gasoline</v>
      </c>
      <c r="M3620" s="194"/>
      <c r="N3620" s="317"/>
      <c r="O3620" s="317"/>
      <c r="P3620" s="317"/>
      <c r="Q3620" s="317"/>
      <c r="R3620" s="317"/>
      <c r="S3620" s="317"/>
      <c r="T3620" s="317"/>
      <c r="U3620" s="317"/>
      <c r="V3620" s="317"/>
      <c r="W3620" s="317"/>
      <c r="X3620" s="317"/>
      <c r="Y3620" s="317"/>
      <c r="Z3620" s="317"/>
    </row>
    <row r="3621" spans="1:26" x14ac:dyDescent="0.25">
      <c r="A3621" s="314"/>
      <c r="B3621" s="18">
        <v>2023</v>
      </c>
      <c r="C3621" s="18" t="s">
        <v>731</v>
      </c>
      <c r="D3621" s="18" t="s">
        <v>1405</v>
      </c>
      <c r="E3621" s="18" t="s">
        <v>56</v>
      </c>
      <c r="F3621" s="18" t="s">
        <v>1025</v>
      </c>
      <c r="G3621" s="18" t="s">
        <v>679</v>
      </c>
      <c r="H3621" s="18" t="s">
        <v>1406</v>
      </c>
      <c r="I3621" s="315">
        <v>2.4585453659891221</v>
      </c>
      <c r="J3621" s="315">
        <v>8.5044243443875166E-4</v>
      </c>
      <c r="K3621" s="316" t="str">
        <f t="shared" si="58"/>
        <v>Recreational Equipment</v>
      </c>
      <c r="L3621" s="316" t="str">
        <f t="shared" si="59"/>
        <v>LPG</v>
      </c>
      <c r="M3621" s="194"/>
      <c r="N3621" s="317"/>
      <c r="O3621" s="317"/>
      <c r="P3621" s="317"/>
      <c r="Q3621" s="317"/>
      <c r="R3621" s="317"/>
      <c r="S3621" s="317"/>
      <c r="T3621" s="317"/>
      <c r="U3621" s="317"/>
      <c r="V3621" s="317"/>
      <c r="W3621" s="317"/>
      <c r="X3621" s="317"/>
      <c r="Y3621" s="317"/>
      <c r="Z3621" s="317"/>
    </row>
    <row r="3622" spans="1:26" x14ac:dyDescent="0.25">
      <c r="A3622" s="314"/>
      <c r="B3622" s="18">
        <v>2023</v>
      </c>
      <c r="C3622" s="18" t="s">
        <v>722</v>
      </c>
      <c r="D3622" s="18" t="s">
        <v>1405</v>
      </c>
      <c r="E3622" s="18" t="s">
        <v>56</v>
      </c>
      <c r="F3622" s="18" t="s">
        <v>1025</v>
      </c>
      <c r="G3622" s="18" t="s">
        <v>679</v>
      </c>
      <c r="H3622" s="18" t="s">
        <v>1406</v>
      </c>
      <c r="I3622" s="315">
        <v>2.4585453659891221</v>
      </c>
      <c r="J3622" s="315">
        <v>8.5044243443875166E-4</v>
      </c>
      <c r="K3622" s="316" t="str">
        <f t="shared" si="58"/>
        <v>Recreational Equipment</v>
      </c>
      <c r="L3622" s="316" t="str">
        <f t="shared" si="59"/>
        <v>LPG</v>
      </c>
      <c r="M3622" s="194"/>
      <c r="N3622" s="317"/>
      <c r="O3622" s="317"/>
      <c r="P3622" s="317"/>
      <c r="Q3622" s="317"/>
      <c r="R3622" s="317"/>
      <c r="S3622" s="317"/>
      <c r="T3622" s="317"/>
      <c r="U3622" s="317"/>
      <c r="V3622" s="317"/>
      <c r="W3622" s="317"/>
      <c r="X3622" s="317"/>
      <c r="Y3622" s="317"/>
      <c r="Z3622" s="317"/>
    </row>
    <row r="3623" spans="1:26" x14ac:dyDescent="0.25">
      <c r="A3623" s="314"/>
      <c r="B3623" s="18">
        <v>2023</v>
      </c>
      <c r="C3623" s="18" t="s">
        <v>743</v>
      </c>
      <c r="D3623" s="18" t="s">
        <v>1320</v>
      </c>
      <c r="E3623" s="18" t="s">
        <v>713</v>
      </c>
      <c r="F3623" s="18" t="s">
        <v>676</v>
      </c>
      <c r="G3623" s="18" t="s">
        <v>79</v>
      </c>
      <c r="H3623" s="18" t="s">
        <v>730</v>
      </c>
      <c r="I3623" s="315">
        <v>2.456888948234123</v>
      </c>
      <c r="J3623" s="315">
        <v>1.606480520159934E-4</v>
      </c>
      <c r="K3623" s="316" t="str">
        <f t="shared" si="58"/>
        <v>Pleasure Craft</v>
      </c>
      <c r="L3623" s="316" t="str">
        <f t="shared" si="59"/>
        <v>Diesel</v>
      </c>
      <c r="M3623" s="194"/>
      <c r="N3623" s="317"/>
      <c r="O3623" s="317"/>
      <c r="P3623" s="317"/>
      <c r="Q3623" s="317"/>
      <c r="R3623" s="317"/>
      <c r="S3623" s="317"/>
      <c r="T3623" s="317"/>
      <c r="U3623" s="317"/>
      <c r="V3623" s="317"/>
      <c r="W3623" s="317"/>
      <c r="X3623" s="317"/>
      <c r="Y3623" s="317"/>
      <c r="Z3623" s="317"/>
    </row>
    <row r="3624" spans="1:26" x14ac:dyDescent="0.25">
      <c r="A3624" s="314"/>
      <c r="B3624" s="18">
        <v>2023</v>
      </c>
      <c r="C3624" s="18" t="s">
        <v>781</v>
      </c>
      <c r="D3624" s="18" t="s">
        <v>1073</v>
      </c>
      <c r="E3624" s="18" t="s">
        <v>703</v>
      </c>
      <c r="F3624" s="18" t="s">
        <v>704</v>
      </c>
      <c r="G3624" s="18" t="s">
        <v>674</v>
      </c>
      <c r="H3624" s="18" t="s">
        <v>1072</v>
      </c>
      <c r="I3624" s="315">
        <v>2.4524469050912208</v>
      </c>
      <c r="J3624" s="315">
        <v>1.7258422845864412E-3</v>
      </c>
      <c r="K3624" s="316" t="str">
        <f t="shared" si="58"/>
        <v>Construction and Mining Equipment</v>
      </c>
      <c r="L3624" s="316" t="str">
        <f t="shared" si="59"/>
        <v>Gasoline</v>
      </c>
      <c r="M3624" s="194"/>
      <c r="N3624" s="317"/>
      <c r="O3624" s="317"/>
      <c r="P3624" s="317"/>
      <c r="Q3624" s="317"/>
      <c r="R3624" s="317"/>
      <c r="S3624" s="317"/>
      <c r="T3624" s="317"/>
      <c r="U3624" s="317"/>
      <c r="V3624" s="317"/>
      <c r="W3624" s="317"/>
      <c r="X3624" s="317"/>
      <c r="Y3624" s="317"/>
      <c r="Z3624" s="317"/>
    </row>
    <row r="3625" spans="1:26" x14ac:dyDescent="0.25">
      <c r="A3625" s="314"/>
      <c r="B3625" s="18">
        <v>2023</v>
      </c>
      <c r="C3625" s="18" t="s">
        <v>711</v>
      </c>
      <c r="D3625" s="18" t="s">
        <v>1656</v>
      </c>
      <c r="E3625" s="18" t="s">
        <v>56</v>
      </c>
      <c r="F3625" s="18" t="s">
        <v>672</v>
      </c>
      <c r="G3625" s="18" t="s">
        <v>677</v>
      </c>
      <c r="H3625" s="18" t="s">
        <v>1031</v>
      </c>
      <c r="I3625" s="315">
        <v>2.4518709234796749</v>
      </c>
      <c r="J3625" s="315">
        <v>1.2381313107033681E-4</v>
      </c>
      <c r="K3625" s="316" t="str">
        <f t="shared" si="58"/>
        <v>Commercial Equipment</v>
      </c>
      <c r="L3625" s="316" t="str">
        <f t="shared" si="59"/>
        <v>LPG</v>
      </c>
      <c r="M3625" s="194"/>
      <c r="N3625" s="317"/>
      <c r="O3625" s="317"/>
      <c r="P3625" s="317"/>
      <c r="Q3625" s="317"/>
      <c r="R3625" s="317"/>
      <c r="S3625" s="317"/>
      <c r="T3625" s="317"/>
      <c r="U3625" s="317"/>
      <c r="V3625" s="317"/>
      <c r="W3625" s="317"/>
      <c r="X3625" s="317"/>
      <c r="Y3625" s="317"/>
      <c r="Z3625" s="317"/>
    </row>
    <row r="3626" spans="1:26" x14ac:dyDescent="0.25">
      <c r="A3626" s="314"/>
      <c r="B3626" s="18">
        <v>2023</v>
      </c>
      <c r="C3626" s="18" t="s">
        <v>810</v>
      </c>
      <c r="D3626" s="18" t="s">
        <v>1573</v>
      </c>
      <c r="E3626" s="18" t="s">
        <v>703</v>
      </c>
      <c r="F3626" s="18" t="s">
        <v>704</v>
      </c>
      <c r="G3626" s="18" t="s">
        <v>678</v>
      </c>
      <c r="H3626" s="18" t="s">
        <v>764</v>
      </c>
      <c r="I3626" s="315">
        <v>2.449583122911434</v>
      </c>
      <c r="J3626" s="315">
        <v>4.8174099282056326E-4</v>
      </c>
      <c r="K3626" s="316" t="str">
        <f t="shared" si="58"/>
        <v>Agricultural Equipment</v>
      </c>
      <c r="L3626" s="316" t="str">
        <f t="shared" si="59"/>
        <v>Gasoline</v>
      </c>
      <c r="M3626" s="194"/>
      <c r="N3626" s="317"/>
      <c r="O3626" s="317"/>
      <c r="P3626" s="317"/>
      <c r="Q3626" s="317"/>
      <c r="R3626" s="317"/>
      <c r="S3626" s="317"/>
      <c r="T3626" s="317"/>
      <c r="U3626" s="317"/>
      <c r="V3626" s="317"/>
      <c r="W3626" s="317"/>
      <c r="X3626" s="317"/>
      <c r="Y3626" s="317"/>
      <c r="Z3626" s="317"/>
    </row>
    <row r="3627" spans="1:26" x14ac:dyDescent="0.25">
      <c r="A3627" s="314"/>
      <c r="B3627" s="18">
        <v>2023</v>
      </c>
      <c r="C3627" s="18" t="s">
        <v>781</v>
      </c>
      <c r="D3627" s="18" t="s">
        <v>1074</v>
      </c>
      <c r="E3627" s="18" t="s">
        <v>713</v>
      </c>
      <c r="F3627" s="18" t="s">
        <v>714</v>
      </c>
      <c r="G3627" s="18" t="s">
        <v>674</v>
      </c>
      <c r="H3627" s="18" t="s">
        <v>967</v>
      </c>
      <c r="I3627" s="315">
        <v>2.4451237146986387</v>
      </c>
      <c r="J3627" s="315">
        <v>4.2018315271420905E-5</v>
      </c>
      <c r="K3627" s="316" t="str">
        <f t="shared" si="58"/>
        <v>Construction and Mining Equipment</v>
      </c>
      <c r="L3627" s="316" t="str">
        <f t="shared" si="59"/>
        <v>Diesel</v>
      </c>
      <c r="M3627" s="194"/>
      <c r="N3627" s="317"/>
      <c r="O3627" s="317"/>
      <c r="P3627" s="317"/>
      <c r="Q3627" s="317"/>
      <c r="R3627" s="317"/>
      <c r="S3627" s="317"/>
      <c r="T3627" s="317"/>
      <c r="U3627" s="317"/>
      <c r="V3627" s="317"/>
      <c r="W3627" s="317"/>
      <c r="X3627" s="317"/>
      <c r="Y3627" s="317"/>
      <c r="Z3627" s="317"/>
    </row>
    <row r="3628" spans="1:26" x14ac:dyDescent="0.25">
      <c r="A3628" s="314"/>
      <c r="B3628" s="18">
        <v>2023</v>
      </c>
      <c r="C3628" s="18" t="s">
        <v>743</v>
      </c>
      <c r="D3628" s="18" t="s">
        <v>1425</v>
      </c>
      <c r="E3628" s="18" t="s">
        <v>56</v>
      </c>
      <c r="F3628" s="18" t="s">
        <v>672</v>
      </c>
      <c r="G3628" s="18" t="s">
        <v>674</v>
      </c>
      <c r="H3628" s="18" t="s">
        <v>791</v>
      </c>
      <c r="I3628" s="315">
        <v>2.4243610977074455</v>
      </c>
      <c r="J3628" s="315">
        <v>4.6604040397876909E-4</v>
      </c>
      <c r="K3628" s="316" t="str">
        <f t="shared" si="58"/>
        <v>Construction and Mining Equipment</v>
      </c>
      <c r="L3628" s="316" t="str">
        <f t="shared" si="59"/>
        <v>LPG</v>
      </c>
      <c r="M3628" s="194"/>
      <c r="N3628" s="317"/>
      <c r="O3628" s="317"/>
      <c r="P3628" s="317"/>
      <c r="Q3628" s="317"/>
      <c r="R3628" s="317"/>
      <c r="S3628" s="317"/>
      <c r="T3628" s="317"/>
      <c r="U3628" s="317"/>
      <c r="V3628" s="317"/>
      <c r="W3628" s="317"/>
      <c r="X3628" s="317"/>
      <c r="Y3628" s="317"/>
      <c r="Z3628" s="317"/>
    </row>
    <row r="3629" spans="1:26" x14ac:dyDescent="0.25">
      <c r="A3629" s="314"/>
      <c r="B3629" s="18">
        <v>2023</v>
      </c>
      <c r="C3629" s="18" t="s">
        <v>759</v>
      </c>
      <c r="D3629" s="18" t="s">
        <v>1539</v>
      </c>
      <c r="E3629" s="18" t="s">
        <v>703</v>
      </c>
      <c r="F3629" s="18" t="s">
        <v>704</v>
      </c>
      <c r="G3629" s="18" t="s">
        <v>678</v>
      </c>
      <c r="H3629" s="18" t="s">
        <v>1230</v>
      </c>
      <c r="I3629" s="315">
        <v>2.4140375148950288</v>
      </c>
      <c r="J3629" s="315">
        <v>1.4363320566823704E-3</v>
      </c>
      <c r="K3629" s="316" t="str">
        <f t="shared" si="58"/>
        <v>Agricultural Equipment</v>
      </c>
      <c r="L3629" s="316" t="str">
        <f t="shared" si="59"/>
        <v>Gasoline</v>
      </c>
      <c r="M3629" s="194"/>
      <c r="N3629" s="317"/>
      <c r="O3629" s="317"/>
      <c r="P3629" s="317"/>
      <c r="Q3629" s="317"/>
      <c r="R3629" s="317"/>
      <c r="S3629" s="317"/>
      <c r="T3629" s="317"/>
      <c r="U3629" s="317"/>
      <c r="V3629" s="317"/>
      <c r="W3629" s="317"/>
      <c r="X3629" s="317"/>
      <c r="Y3629" s="317"/>
      <c r="Z3629" s="317"/>
    </row>
    <row r="3630" spans="1:26" x14ac:dyDescent="0.25">
      <c r="A3630" s="314"/>
      <c r="B3630" s="18">
        <v>2023</v>
      </c>
      <c r="C3630" s="18" t="s">
        <v>781</v>
      </c>
      <c r="D3630" s="18" t="s">
        <v>1657</v>
      </c>
      <c r="E3630" s="18" t="s">
        <v>713</v>
      </c>
      <c r="F3630" s="18" t="s">
        <v>714</v>
      </c>
      <c r="G3630" s="18" t="s">
        <v>678</v>
      </c>
      <c r="H3630" s="18" t="s">
        <v>1638</v>
      </c>
      <c r="I3630" s="315">
        <v>2.4116598071950497</v>
      </c>
      <c r="J3630" s="315">
        <v>2.6764024321268649E-5</v>
      </c>
      <c r="K3630" s="316" t="str">
        <f t="shared" si="58"/>
        <v>Agricultural Equipment</v>
      </c>
      <c r="L3630" s="316" t="str">
        <f t="shared" si="59"/>
        <v>Diesel</v>
      </c>
      <c r="M3630" s="194"/>
      <c r="N3630" s="317"/>
      <c r="O3630" s="317"/>
      <c r="P3630" s="317"/>
      <c r="Q3630" s="317"/>
      <c r="R3630" s="317"/>
      <c r="S3630" s="317"/>
      <c r="T3630" s="317"/>
      <c r="U3630" s="317"/>
      <c r="V3630" s="317"/>
      <c r="W3630" s="317"/>
      <c r="X3630" s="317"/>
      <c r="Y3630" s="317"/>
      <c r="Z3630" s="317"/>
    </row>
    <row r="3631" spans="1:26" x14ac:dyDescent="0.25">
      <c r="A3631" s="314"/>
      <c r="B3631" s="18">
        <v>2023</v>
      </c>
      <c r="C3631" s="18" t="s">
        <v>759</v>
      </c>
      <c r="D3631" s="18" t="s">
        <v>1035</v>
      </c>
      <c r="E3631" s="18" t="s">
        <v>703</v>
      </c>
      <c r="F3631" s="18" t="s">
        <v>704</v>
      </c>
      <c r="G3631" s="18" t="s">
        <v>674</v>
      </c>
      <c r="H3631" s="18" t="s">
        <v>1036</v>
      </c>
      <c r="I3631" s="315">
        <v>2.4062629114025267</v>
      </c>
      <c r="J3631" s="315">
        <v>1.6934514982614661E-3</v>
      </c>
      <c r="K3631" s="316" t="str">
        <f t="shared" si="58"/>
        <v>Construction and Mining Equipment</v>
      </c>
      <c r="L3631" s="316" t="str">
        <f t="shared" si="59"/>
        <v>Gasoline</v>
      </c>
      <c r="M3631" s="194"/>
      <c r="N3631" s="317"/>
      <c r="O3631" s="317"/>
      <c r="P3631" s="317"/>
      <c r="Q3631" s="317"/>
      <c r="R3631" s="317"/>
      <c r="S3631" s="317"/>
      <c r="T3631" s="317"/>
      <c r="U3631" s="317"/>
      <c r="V3631" s="317"/>
      <c r="W3631" s="317"/>
      <c r="X3631" s="317"/>
      <c r="Y3631" s="317"/>
      <c r="Z3631" s="317"/>
    </row>
    <row r="3632" spans="1:26" x14ac:dyDescent="0.25">
      <c r="A3632" s="314"/>
      <c r="B3632" s="18">
        <v>2023</v>
      </c>
      <c r="C3632" s="18" t="s">
        <v>810</v>
      </c>
      <c r="D3632" s="18" t="s">
        <v>1247</v>
      </c>
      <c r="E3632" s="18" t="s">
        <v>56</v>
      </c>
      <c r="F3632" s="18" t="s">
        <v>672</v>
      </c>
      <c r="G3632" s="18" t="s">
        <v>674</v>
      </c>
      <c r="H3632" s="18" t="s">
        <v>967</v>
      </c>
      <c r="I3632" s="315">
        <v>2.4034778516354236</v>
      </c>
      <c r="J3632" s="315">
        <v>1.1355244810708835E-4</v>
      </c>
      <c r="K3632" s="316" t="str">
        <f t="shared" si="58"/>
        <v>Construction and Mining Equipment</v>
      </c>
      <c r="L3632" s="316" t="str">
        <f t="shared" si="59"/>
        <v>LPG</v>
      </c>
      <c r="M3632" s="194"/>
      <c r="N3632" s="317"/>
      <c r="O3632" s="317"/>
      <c r="P3632" s="317"/>
      <c r="Q3632" s="317"/>
      <c r="R3632" s="317"/>
      <c r="S3632" s="317"/>
      <c r="T3632" s="317"/>
      <c r="U3632" s="317"/>
      <c r="V3632" s="317"/>
      <c r="W3632" s="317"/>
      <c r="X3632" s="317"/>
      <c r="Y3632" s="317"/>
      <c r="Z3632" s="317"/>
    </row>
    <row r="3633" spans="1:26" ht="12.75" x14ac:dyDescent="0.2">
      <c r="A3633" s="230"/>
      <c r="B3633" s="18">
        <v>2023</v>
      </c>
      <c r="C3633" s="18" t="s">
        <v>731</v>
      </c>
      <c r="D3633" s="18" t="s">
        <v>1218</v>
      </c>
      <c r="E3633" s="18" t="s">
        <v>703</v>
      </c>
      <c r="F3633" s="18" t="s">
        <v>704</v>
      </c>
      <c r="G3633" s="18" t="s">
        <v>673</v>
      </c>
      <c r="H3633" s="18" t="s">
        <v>996</v>
      </c>
      <c r="I3633" s="315">
        <v>2.400378249111935</v>
      </c>
      <c r="J3633" s="315">
        <v>1.6678529300567268E-3</v>
      </c>
      <c r="K3633" s="316" t="str">
        <f t="shared" si="58"/>
        <v>Lawn and Garden Equipment</v>
      </c>
      <c r="L3633" s="316" t="str">
        <f t="shared" si="59"/>
        <v>Gasoline</v>
      </c>
      <c r="M3633" s="8"/>
      <c r="N3633" s="2"/>
      <c r="O3633" s="2"/>
      <c r="P3633" s="2"/>
      <c r="Q3633" s="2"/>
      <c r="R3633" s="2"/>
      <c r="S3633" s="2"/>
      <c r="T3633" s="2"/>
      <c r="U3633" s="2"/>
      <c r="V3633" s="2"/>
      <c r="W3633" s="2"/>
      <c r="X3633" s="2"/>
      <c r="Y3633" s="2"/>
      <c r="Z3633" s="2"/>
    </row>
    <row r="3634" spans="1:26" x14ac:dyDescent="0.25">
      <c r="A3634" s="314"/>
      <c r="B3634" s="18">
        <v>2023</v>
      </c>
      <c r="C3634" s="18" t="s">
        <v>810</v>
      </c>
      <c r="D3634" s="18" t="s">
        <v>1248</v>
      </c>
      <c r="E3634" s="18" t="s">
        <v>703</v>
      </c>
      <c r="F3634" s="18" t="s">
        <v>704</v>
      </c>
      <c r="G3634" s="18" t="s">
        <v>674</v>
      </c>
      <c r="H3634" s="18" t="s">
        <v>959</v>
      </c>
      <c r="I3634" s="315">
        <v>2.3996759546268622</v>
      </c>
      <c r="J3634" s="315">
        <v>1.6246259586502254E-3</v>
      </c>
      <c r="K3634" s="316" t="str">
        <f t="shared" si="58"/>
        <v>Construction and Mining Equipment</v>
      </c>
      <c r="L3634" s="316" t="str">
        <f t="shared" si="59"/>
        <v>Gasoline</v>
      </c>
      <c r="M3634" s="194"/>
      <c r="N3634" s="317"/>
      <c r="O3634" s="317"/>
      <c r="P3634" s="317"/>
      <c r="Q3634" s="317"/>
      <c r="R3634" s="317"/>
      <c r="S3634" s="317"/>
      <c r="T3634" s="317"/>
      <c r="U3634" s="317"/>
      <c r="V3634" s="317"/>
      <c r="W3634" s="317"/>
      <c r="X3634" s="317"/>
      <c r="Y3634" s="317"/>
      <c r="Z3634" s="317"/>
    </row>
    <row r="3635" spans="1:26" x14ac:dyDescent="0.25">
      <c r="A3635" s="314"/>
      <c r="B3635" s="18">
        <v>2023</v>
      </c>
      <c r="C3635" s="18" t="s">
        <v>722</v>
      </c>
      <c r="D3635" s="18" t="s">
        <v>1655</v>
      </c>
      <c r="E3635" s="18" t="s">
        <v>56</v>
      </c>
      <c r="F3635" s="18" t="s">
        <v>672</v>
      </c>
      <c r="G3635" s="18" t="s">
        <v>677</v>
      </c>
      <c r="H3635" s="18" t="s">
        <v>789</v>
      </c>
      <c r="I3635" s="315">
        <v>2.3897657614984342</v>
      </c>
      <c r="J3635" s="315">
        <v>3.3730676653162637E-4</v>
      </c>
      <c r="K3635" s="316" t="str">
        <f t="shared" si="58"/>
        <v>Commercial Equipment</v>
      </c>
      <c r="L3635" s="316" t="str">
        <f t="shared" si="59"/>
        <v>LPG</v>
      </c>
      <c r="M3635" s="194"/>
      <c r="N3635" s="317"/>
      <c r="O3635" s="317"/>
      <c r="P3635" s="317"/>
      <c r="Q3635" s="317"/>
      <c r="R3635" s="317"/>
      <c r="S3635" s="317"/>
      <c r="T3635" s="317"/>
      <c r="U3635" s="317"/>
      <c r="V3635" s="317"/>
      <c r="W3635" s="317"/>
      <c r="X3635" s="317"/>
      <c r="Y3635" s="317"/>
      <c r="Z3635" s="317"/>
    </row>
    <row r="3636" spans="1:26" x14ac:dyDescent="0.25">
      <c r="A3636" s="314"/>
      <c r="B3636" s="18">
        <v>2023</v>
      </c>
      <c r="C3636" s="18" t="s">
        <v>786</v>
      </c>
      <c r="D3636" s="18" t="s">
        <v>1657</v>
      </c>
      <c r="E3636" s="18" t="s">
        <v>713</v>
      </c>
      <c r="F3636" s="18" t="s">
        <v>714</v>
      </c>
      <c r="G3636" s="18" t="s">
        <v>678</v>
      </c>
      <c r="H3636" s="18" t="s">
        <v>1638</v>
      </c>
      <c r="I3636" s="315">
        <v>2.3866832275766501</v>
      </c>
      <c r="J3636" s="315">
        <v>2.6486886961904585E-5</v>
      </c>
      <c r="K3636" s="316" t="str">
        <f t="shared" si="58"/>
        <v>Agricultural Equipment</v>
      </c>
      <c r="L3636" s="316" t="str">
        <f t="shared" si="59"/>
        <v>Diesel</v>
      </c>
      <c r="M3636" s="194"/>
      <c r="N3636" s="317"/>
      <c r="O3636" s="317"/>
      <c r="P3636" s="317"/>
      <c r="Q3636" s="317"/>
      <c r="R3636" s="317"/>
      <c r="S3636" s="317"/>
      <c r="T3636" s="317"/>
      <c r="U3636" s="317"/>
      <c r="V3636" s="317"/>
      <c r="W3636" s="317"/>
      <c r="X3636" s="317"/>
      <c r="Y3636" s="317"/>
      <c r="Z3636" s="317"/>
    </row>
    <row r="3637" spans="1:26" x14ac:dyDescent="0.25">
      <c r="A3637" s="314"/>
      <c r="B3637" s="18">
        <v>2023</v>
      </c>
      <c r="C3637" s="18" t="s">
        <v>750</v>
      </c>
      <c r="D3637" s="18" t="s">
        <v>1539</v>
      </c>
      <c r="E3637" s="18" t="s">
        <v>703</v>
      </c>
      <c r="F3637" s="18" t="s">
        <v>704</v>
      </c>
      <c r="G3637" s="18" t="s">
        <v>678</v>
      </c>
      <c r="H3637" s="18" t="s">
        <v>1230</v>
      </c>
      <c r="I3637" s="315">
        <v>2.3683813155184392</v>
      </c>
      <c r="J3637" s="315">
        <v>1.4102760223611425E-3</v>
      </c>
      <c r="K3637" s="316" t="str">
        <f t="shared" si="58"/>
        <v>Agricultural Equipment</v>
      </c>
      <c r="L3637" s="316" t="str">
        <f t="shared" si="59"/>
        <v>Gasoline</v>
      </c>
      <c r="M3637" s="194"/>
      <c r="N3637" s="317"/>
      <c r="O3637" s="317"/>
      <c r="P3637" s="317"/>
      <c r="Q3637" s="317"/>
      <c r="R3637" s="317"/>
      <c r="S3637" s="317"/>
      <c r="T3637" s="317"/>
      <c r="U3637" s="317"/>
      <c r="V3637" s="317"/>
      <c r="W3637" s="317"/>
      <c r="X3637" s="317"/>
      <c r="Y3637" s="317"/>
      <c r="Z3637" s="317"/>
    </row>
    <row r="3638" spans="1:26" x14ac:dyDescent="0.25">
      <c r="A3638" s="314"/>
      <c r="B3638" s="18">
        <v>2023</v>
      </c>
      <c r="C3638" s="18" t="s">
        <v>722</v>
      </c>
      <c r="D3638" s="18" t="s">
        <v>1440</v>
      </c>
      <c r="E3638" s="18" t="s">
        <v>703</v>
      </c>
      <c r="F3638" s="18" t="s">
        <v>704</v>
      </c>
      <c r="G3638" s="18" t="s">
        <v>678</v>
      </c>
      <c r="H3638" s="18" t="s">
        <v>1154</v>
      </c>
      <c r="I3638" s="315">
        <v>2.3670385157261182</v>
      </c>
      <c r="J3638" s="315">
        <v>2.3920091509949842E-4</v>
      </c>
      <c r="K3638" s="316" t="str">
        <f t="shared" si="58"/>
        <v>Agricultural Equipment</v>
      </c>
      <c r="L3638" s="316" t="str">
        <f t="shared" si="59"/>
        <v>Gasoline</v>
      </c>
      <c r="M3638" s="194"/>
      <c r="N3638" s="317"/>
      <c r="O3638" s="317"/>
      <c r="P3638" s="317"/>
      <c r="Q3638" s="317"/>
      <c r="R3638" s="317"/>
      <c r="S3638" s="317"/>
      <c r="T3638" s="317"/>
      <c r="U3638" s="317"/>
      <c r="V3638" s="317"/>
      <c r="W3638" s="317"/>
      <c r="X3638" s="317"/>
      <c r="Y3638" s="317"/>
      <c r="Z3638" s="317"/>
    </row>
    <row r="3639" spans="1:26" x14ac:dyDescent="0.25">
      <c r="A3639" s="314"/>
      <c r="B3639" s="18">
        <v>2023</v>
      </c>
      <c r="C3639" s="18" t="s">
        <v>710</v>
      </c>
      <c r="D3639" s="18" t="s">
        <v>1656</v>
      </c>
      <c r="E3639" s="18" t="s">
        <v>56</v>
      </c>
      <c r="F3639" s="18" t="s">
        <v>672</v>
      </c>
      <c r="G3639" s="18" t="s">
        <v>677</v>
      </c>
      <c r="H3639" s="18" t="s">
        <v>1031</v>
      </c>
      <c r="I3639" s="315">
        <v>2.3662977280779485</v>
      </c>
      <c r="J3639" s="315">
        <v>1.1949188906109522E-4</v>
      </c>
      <c r="K3639" s="316" t="str">
        <f t="shared" si="58"/>
        <v>Commercial Equipment</v>
      </c>
      <c r="L3639" s="316" t="str">
        <f t="shared" si="59"/>
        <v>LPG</v>
      </c>
      <c r="M3639" s="194"/>
      <c r="N3639" s="317"/>
      <c r="O3639" s="317"/>
      <c r="P3639" s="317"/>
      <c r="Q3639" s="317"/>
      <c r="R3639" s="317"/>
      <c r="S3639" s="317"/>
      <c r="T3639" s="317"/>
      <c r="U3639" s="317"/>
      <c r="V3639" s="317"/>
      <c r="W3639" s="317"/>
      <c r="X3639" s="317"/>
      <c r="Y3639" s="317"/>
      <c r="Z3639" s="317"/>
    </row>
    <row r="3640" spans="1:26" x14ac:dyDescent="0.25">
      <c r="A3640" s="314"/>
      <c r="B3640" s="18">
        <v>2023</v>
      </c>
      <c r="C3640" s="18" t="s">
        <v>781</v>
      </c>
      <c r="D3640" s="18" t="s">
        <v>1076</v>
      </c>
      <c r="E3640" s="18" t="s">
        <v>703</v>
      </c>
      <c r="F3640" s="18" t="s">
        <v>704</v>
      </c>
      <c r="G3640" s="18" t="s">
        <v>674</v>
      </c>
      <c r="H3640" s="18" t="s">
        <v>756</v>
      </c>
      <c r="I3640" s="315">
        <v>2.3644063916960043</v>
      </c>
      <c r="J3640" s="315">
        <v>1.0365784392378252E-3</v>
      </c>
      <c r="K3640" s="316" t="str">
        <f t="shared" si="58"/>
        <v>Construction and Mining Equipment</v>
      </c>
      <c r="L3640" s="316" t="str">
        <f t="shared" si="59"/>
        <v>Gasoline</v>
      </c>
      <c r="M3640" s="194"/>
      <c r="N3640" s="317"/>
      <c r="O3640" s="317"/>
      <c r="P3640" s="317"/>
      <c r="Q3640" s="317"/>
      <c r="R3640" s="317"/>
      <c r="S3640" s="317"/>
      <c r="T3640" s="317"/>
      <c r="U3640" s="317"/>
      <c r="V3640" s="317"/>
      <c r="W3640" s="317"/>
      <c r="X3640" s="317"/>
      <c r="Y3640" s="317"/>
      <c r="Z3640" s="317"/>
    </row>
    <row r="3641" spans="1:26" x14ac:dyDescent="0.25">
      <c r="A3641" s="314"/>
      <c r="B3641" s="18">
        <v>2023</v>
      </c>
      <c r="C3641" s="18" t="s">
        <v>731</v>
      </c>
      <c r="D3641" s="18" t="s">
        <v>1158</v>
      </c>
      <c r="E3641" s="18" t="s">
        <v>703</v>
      </c>
      <c r="F3641" s="18" t="s">
        <v>704</v>
      </c>
      <c r="G3641" s="18" t="s">
        <v>674</v>
      </c>
      <c r="H3641" s="18" t="s">
        <v>715</v>
      </c>
      <c r="I3641" s="315">
        <v>2.3534188609590521</v>
      </c>
      <c r="J3641" s="315">
        <v>1.6263744213944261E-4</v>
      </c>
      <c r="K3641" s="316" t="str">
        <f t="shared" si="58"/>
        <v>Construction and Mining Equipment</v>
      </c>
      <c r="L3641" s="316" t="str">
        <f t="shared" si="59"/>
        <v>Gasoline</v>
      </c>
      <c r="M3641" s="194"/>
      <c r="N3641" s="317"/>
      <c r="O3641" s="317"/>
      <c r="P3641" s="317"/>
      <c r="Q3641" s="317"/>
      <c r="R3641" s="317"/>
      <c r="S3641" s="317"/>
      <c r="T3641" s="317"/>
      <c r="U3641" s="317"/>
      <c r="V3641" s="317"/>
      <c r="W3641" s="317"/>
      <c r="X3641" s="317"/>
      <c r="Y3641" s="317"/>
      <c r="Z3641" s="317"/>
    </row>
    <row r="3642" spans="1:26" x14ac:dyDescent="0.25">
      <c r="A3642" s="314"/>
      <c r="B3642" s="18">
        <v>2023</v>
      </c>
      <c r="C3642" s="18" t="s">
        <v>773</v>
      </c>
      <c r="D3642" s="18" t="s">
        <v>1339</v>
      </c>
      <c r="E3642" s="18" t="s">
        <v>56</v>
      </c>
      <c r="F3642" s="18" t="s">
        <v>672</v>
      </c>
      <c r="G3642" s="18" t="s">
        <v>674</v>
      </c>
      <c r="H3642" s="18" t="s">
        <v>770</v>
      </c>
      <c r="I3642" s="315">
        <v>2.3442796850747256</v>
      </c>
      <c r="J3642" s="315">
        <v>1.7310756025768899E-4</v>
      </c>
      <c r="K3642" s="316" t="str">
        <f t="shared" si="58"/>
        <v>Construction and Mining Equipment</v>
      </c>
      <c r="L3642" s="316" t="str">
        <f t="shared" si="59"/>
        <v>LPG</v>
      </c>
      <c r="M3642" s="194"/>
      <c r="N3642" s="317"/>
      <c r="O3642" s="317"/>
      <c r="P3642" s="317"/>
      <c r="Q3642" s="317"/>
      <c r="R3642" s="317"/>
      <c r="S3642" s="317"/>
      <c r="T3642" s="317"/>
      <c r="U3642" s="317"/>
      <c r="V3642" s="317"/>
      <c r="W3642" s="317"/>
      <c r="X3642" s="317"/>
      <c r="Y3642" s="317"/>
      <c r="Z3642" s="317"/>
    </row>
    <row r="3643" spans="1:26" x14ac:dyDescent="0.25">
      <c r="A3643" s="314"/>
      <c r="B3643" s="18">
        <v>2023</v>
      </c>
      <c r="C3643" s="18" t="s">
        <v>727</v>
      </c>
      <c r="D3643" s="18" t="s">
        <v>1657</v>
      </c>
      <c r="E3643" s="18" t="s">
        <v>713</v>
      </c>
      <c r="F3643" s="18" t="s">
        <v>714</v>
      </c>
      <c r="G3643" s="18" t="s">
        <v>678</v>
      </c>
      <c r="H3643" s="18" t="s">
        <v>1638</v>
      </c>
      <c r="I3643" s="315">
        <v>2.3415011223105755</v>
      </c>
      <c r="J3643" s="315">
        <v>2.5985436469032997E-5</v>
      </c>
      <c r="K3643" s="316" t="str">
        <f t="shared" si="58"/>
        <v>Agricultural Equipment</v>
      </c>
      <c r="L3643" s="316" t="str">
        <f t="shared" si="59"/>
        <v>Diesel</v>
      </c>
      <c r="M3643" s="194"/>
      <c r="N3643" s="317"/>
      <c r="O3643" s="317"/>
      <c r="P3643" s="317"/>
      <c r="Q3643" s="317"/>
      <c r="R3643" s="317"/>
      <c r="S3643" s="317"/>
      <c r="T3643" s="317"/>
      <c r="U3643" s="317"/>
      <c r="V3643" s="317"/>
      <c r="W3643" s="317"/>
      <c r="X3643" s="317"/>
      <c r="Y3643" s="317"/>
      <c r="Z3643" s="317"/>
    </row>
    <row r="3644" spans="1:26" x14ac:dyDescent="0.25">
      <c r="A3644" s="314"/>
      <c r="B3644" s="18">
        <v>2023</v>
      </c>
      <c r="C3644" s="18" t="s">
        <v>786</v>
      </c>
      <c r="D3644" s="18" t="s">
        <v>1158</v>
      </c>
      <c r="E3644" s="18" t="s">
        <v>703</v>
      </c>
      <c r="F3644" s="18" t="s">
        <v>704</v>
      </c>
      <c r="G3644" s="18" t="s">
        <v>674</v>
      </c>
      <c r="H3644" s="18" t="s">
        <v>715</v>
      </c>
      <c r="I3644" s="315">
        <v>2.3373903386863488</v>
      </c>
      <c r="J3644" s="315">
        <v>1.6199130279549511E-4</v>
      </c>
      <c r="K3644" s="316" t="str">
        <f t="shared" si="58"/>
        <v>Construction and Mining Equipment</v>
      </c>
      <c r="L3644" s="316" t="str">
        <f t="shared" si="59"/>
        <v>Gasoline</v>
      </c>
      <c r="M3644" s="194"/>
      <c r="N3644" s="317"/>
      <c r="O3644" s="317"/>
      <c r="P3644" s="317"/>
      <c r="Q3644" s="317"/>
      <c r="R3644" s="317"/>
      <c r="S3644" s="317"/>
      <c r="T3644" s="317"/>
      <c r="U3644" s="317"/>
      <c r="V3644" s="317"/>
      <c r="W3644" s="317"/>
      <c r="X3644" s="317"/>
      <c r="Y3644" s="317"/>
      <c r="Z3644" s="317"/>
    </row>
    <row r="3645" spans="1:26" x14ac:dyDescent="0.25">
      <c r="A3645" s="314"/>
      <c r="B3645" s="18">
        <v>2023</v>
      </c>
      <c r="C3645" s="18" t="s">
        <v>709</v>
      </c>
      <c r="D3645" s="18" t="s">
        <v>1428</v>
      </c>
      <c r="E3645" s="18" t="s">
        <v>56</v>
      </c>
      <c r="F3645" s="18" t="s">
        <v>601</v>
      </c>
      <c r="G3645" s="18" t="s">
        <v>678</v>
      </c>
      <c r="H3645" s="18" t="s">
        <v>1154</v>
      </c>
      <c r="I3645" s="315">
        <v>2.3240689138273196</v>
      </c>
      <c r="J3645" s="315">
        <v>9.4516275510818631E-3</v>
      </c>
      <c r="K3645" s="316" t="str">
        <f t="shared" si="58"/>
        <v>Agricultural Equipment</v>
      </c>
      <c r="L3645" s="316" t="str">
        <f t="shared" si="59"/>
        <v>CNG</v>
      </c>
      <c r="M3645" s="194"/>
      <c r="N3645" s="317"/>
      <c r="O3645" s="317"/>
      <c r="P3645" s="317"/>
      <c r="Q3645" s="317"/>
      <c r="R3645" s="317"/>
      <c r="S3645" s="317"/>
      <c r="T3645" s="317"/>
      <c r="U3645" s="317"/>
      <c r="V3645" s="317"/>
      <c r="W3645" s="317"/>
      <c r="X3645" s="317"/>
      <c r="Y3645" s="317"/>
      <c r="Z3645" s="317"/>
    </row>
    <row r="3646" spans="1:26" x14ac:dyDescent="0.25">
      <c r="A3646" s="314"/>
      <c r="B3646" s="18">
        <v>2023</v>
      </c>
      <c r="C3646" s="18" t="s">
        <v>754</v>
      </c>
      <c r="D3646" s="18" t="s">
        <v>1416</v>
      </c>
      <c r="E3646" s="18" t="s">
        <v>56</v>
      </c>
      <c r="F3646" s="18" t="s">
        <v>672</v>
      </c>
      <c r="G3646" s="18" t="s">
        <v>674</v>
      </c>
      <c r="H3646" s="18" t="s">
        <v>861</v>
      </c>
      <c r="I3646" s="315">
        <v>2.3204132113273279</v>
      </c>
      <c r="J3646" s="315">
        <v>1.56735722765911E-3</v>
      </c>
      <c r="K3646" s="316" t="str">
        <f t="shared" si="58"/>
        <v>Construction and Mining Equipment</v>
      </c>
      <c r="L3646" s="316" t="str">
        <f t="shared" si="59"/>
        <v>LPG</v>
      </c>
      <c r="M3646" s="194"/>
      <c r="N3646" s="317"/>
      <c r="O3646" s="317"/>
      <c r="P3646" s="317"/>
      <c r="Q3646" s="317"/>
      <c r="R3646" s="317"/>
      <c r="S3646" s="317"/>
      <c r="T3646" s="317"/>
      <c r="U3646" s="317"/>
      <c r="V3646" s="317"/>
      <c r="W3646" s="317"/>
      <c r="X3646" s="317"/>
      <c r="Y3646" s="317"/>
      <c r="Z3646" s="317"/>
    </row>
    <row r="3647" spans="1:26" x14ac:dyDescent="0.25">
      <c r="A3647" s="314"/>
      <c r="B3647" s="18">
        <v>2023</v>
      </c>
      <c r="C3647" s="18" t="s">
        <v>778</v>
      </c>
      <c r="D3647" s="18" t="s">
        <v>1460</v>
      </c>
      <c r="E3647" s="18" t="s">
        <v>703</v>
      </c>
      <c r="F3647" s="18" t="s">
        <v>704</v>
      </c>
      <c r="G3647" s="18" t="s">
        <v>678</v>
      </c>
      <c r="H3647" s="18" t="s">
        <v>1080</v>
      </c>
      <c r="I3647" s="315">
        <v>2.3045461788054298</v>
      </c>
      <c r="J3647" s="315">
        <v>1.4013198518295444E-3</v>
      </c>
      <c r="K3647" s="316" t="str">
        <f t="shared" si="58"/>
        <v>Agricultural Equipment</v>
      </c>
      <c r="L3647" s="316" t="str">
        <f t="shared" si="59"/>
        <v>Gasoline</v>
      </c>
      <c r="M3647" s="194"/>
      <c r="N3647" s="317"/>
      <c r="O3647" s="317"/>
      <c r="P3647" s="317"/>
      <c r="Q3647" s="317"/>
      <c r="R3647" s="317"/>
      <c r="S3647" s="317"/>
      <c r="T3647" s="317"/>
      <c r="U3647" s="317"/>
      <c r="V3647" s="317"/>
      <c r="W3647" s="317"/>
      <c r="X3647" s="317"/>
      <c r="Y3647" s="317"/>
      <c r="Z3647" s="317"/>
    </row>
    <row r="3648" spans="1:26" x14ac:dyDescent="0.25">
      <c r="A3648" s="314"/>
      <c r="B3648" s="18">
        <v>2023</v>
      </c>
      <c r="C3648" s="18" t="s">
        <v>759</v>
      </c>
      <c r="D3648" s="18" t="s">
        <v>1573</v>
      </c>
      <c r="E3648" s="18" t="s">
        <v>703</v>
      </c>
      <c r="F3648" s="18" t="s">
        <v>704</v>
      </c>
      <c r="G3648" s="18" t="s">
        <v>678</v>
      </c>
      <c r="H3648" s="18" t="s">
        <v>764</v>
      </c>
      <c r="I3648" s="315">
        <v>2.2949671477409699</v>
      </c>
      <c r="J3648" s="315">
        <v>4.45087576147817E-4</v>
      </c>
      <c r="K3648" s="316" t="str">
        <f t="shared" si="58"/>
        <v>Agricultural Equipment</v>
      </c>
      <c r="L3648" s="316" t="str">
        <f t="shared" si="59"/>
        <v>Gasoline</v>
      </c>
      <c r="M3648" s="194"/>
      <c r="N3648" s="317"/>
      <c r="O3648" s="317"/>
      <c r="P3648" s="317"/>
      <c r="Q3648" s="317"/>
      <c r="R3648" s="317"/>
      <c r="S3648" s="317"/>
      <c r="T3648" s="317"/>
      <c r="U3648" s="317"/>
      <c r="V3648" s="317"/>
      <c r="W3648" s="317"/>
      <c r="X3648" s="317"/>
      <c r="Y3648" s="317"/>
      <c r="Z3648" s="317"/>
    </row>
    <row r="3649" spans="1:26" x14ac:dyDescent="0.25">
      <c r="A3649" s="314"/>
      <c r="B3649" s="18">
        <v>2023</v>
      </c>
      <c r="C3649" s="18" t="s">
        <v>731</v>
      </c>
      <c r="D3649" s="18" t="s">
        <v>1226</v>
      </c>
      <c r="E3649" s="18" t="s">
        <v>703</v>
      </c>
      <c r="F3649" s="18" t="s">
        <v>805</v>
      </c>
      <c r="G3649" s="18" t="s">
        <v>677</v>
      </c>
      <c r="H3649" s="18" t="s">
        <v>747</v>
      </c>
      <c r="I3649" s="315">
        <v>2.2738032313701826</v>
      </c>
      <c r="J3649" s="315">
        <v>4.5977822738291528E-3</v>
      </c>
      <c r="K3649" s="316" t="str">
        <f t="shared" si="58"/>
        <v>Commercial Equipment</v>
      </c>
      <c r="L3649" s="316" t="str">
        <f t="shared" si="59"/>
        <v>Gasoline</v>
      </c>
      <c r="M3649" s="194"/>
      <c r="N3649" s="317"/>
      <c r="O3649" s="317"/>
      <c r="P3649" s="317"/>
      <c r="Q3649" s="317"/>
      <c r="R3649" s="317"/>
      <c r="S3649" s="317"/>
      <c r="T3649" s="317"/>
      <c r="U3649" s="317"/>
      <c r="V3649" s="317"/>
      <c r="W3649" s="317"/>
      <c r="X3649" s="317"/>
      <c r="Y3649" s="317"/>
      <c r="Z3649" s="317"/>
    </row>
    <row r="3650" spans="1:26" x14ac:dyDescent="0.25">
      <c r="A3650" s="314"/>
      <c r="B3650" s="18">
        <v>2023</v>
      </c>
      <c r="C3650" s="18" t="s">
        <v>760</v>
      </c>
      <c r="D3650" s="18" t="s">
        <v>1564</v>
      </c>
      <c r="E3650" s="18" t="s">
        <v>703</v>
      </c>
      <c r="F3650" s="18" t="s">
        <v>704</v>
      </c>
      <c r="G3650" s="18" t="s">
        <v>674</v>
      </c>
      <c r="H3650" s="18" t="s">
        <v>981</v>
      </c>
      <c r="I3650" s="315">
        <v>2.2723970911982807</v>
      </c>
      <c r="J3650" s="315">
        <v>1.6825278708673458E-3</v>
      </c>
      <c r="K3650" s="316" t="str">
        <f t="shared" si="58"/>
        <v>Construction and Mining Equipment</v>
      </c>
      <c r="L3650" s="316" t="str">
        <f t="shared" si="59"/>
        <v>Gasoline</v>
      </c>
      <c r="M3650" s="194"/>
      <c r="N3650" s="317"/>
      <c r="O3650" s="317"/>
      <c r="P3650" s="317"/>
      <c r="Q3650" s="317"/>
      <c r="R3650" s="317"/>
      <c r="S3650" s="317"/>
      <c r="T3650" s="317"/>
      <c r="U3650" s="317"/>
      <c r="V3650" s="317"/>
      <c r="W3650" s="317"/>
      <c r="X3650" s="317"/>
      <c r="Y3650" s="317"/>
      <c r="Z3650" s="317"/>
    </row>
    <row r="3651" spans="1:26" x14ac:dyDescent="0.25">
      <c r="A3651" s="314"/>
      <c r="B3651" s="18">
        <v>2023</v>
      </c>
      <c r="C3651" s="18" t="s">
        <v>759</v>
      </c>
      <c r="D3651" s="18" t="s">
        <v>1051</v>
      </c>
      <c r="E3651" s="18" t="s">
        <v>703</v>
      </c>
      <c r="F3651" s="18" t="s">
        <v>704</v>
      </c>
      <c r="G3651" s="18" t="s">
        <v>674</v>
      </c>
      <c r="H3651" s="18" t="s">
        <v>783</v>
      </c>
      <c r="I3651" s="315">
        <v>2.2651464967249773</v>
      </c>
      <c r="J3651" s="315">
        <v>1.3748793746173706E-3</v>
      </c>
      <c r="K3651" s="316" t="str">
        <f t="shared" si="58"/>
        <v>Construction and Mining Equipment</v>
      </c>
      <c r="L3651" s="316" t="str">
        <f t="shared" si="59"/>
        <v>Gasoline</v>
      </c>
      <c r="M3651" s="194"/>
      <c r="N3651" s="317"/>
      <c r="O3651" s="317"/>
      <c r="P3651" s="317"/>
      <c r="Q3651" s="317"/>
      <c r="R3651" s="317"/>
      <c r="S3651" s="317"/>
      <c r="T3651" s="317"/>
      <c r="U3651" s="317"/>
      <c r="V3651" s="317"/>
      <c r="W3651" s="317"/>
      <c r="X3651" s="317"/>
      <c r="Y3651" s="317"/>
      <c r="Z3651" s="317"/>
    </row>
    <row r="3652" spans="1:26" x14ac:dyDescent="0.25">
      <c r="A3652" s="314"/>
      <c r="B3652" s="18">
        <v>2023</v>
      </c>
      <c r="C3652" s="18" t="s">
        <v>727</v>
      </c>
      <c r="D3652" s="18" t="s">
        <v>1360</v>
      </c>
      <c r="E3652" s="18" t="s">
        <v>713</v>
      </c>
      <c r="F3652" s="18" t="s">
        <v>714</v>
      </c>
      <c r="G3652" s="18" t="s">
        <v>674</v>
      </c>
      <c r="H3652" s="18" t="s">
        <v>1220</v>
      </c>
      <c r="I3652" s="315">
        <v>2.2615760627548354</v>
      </c>
      <c r="J3652" s="315">
        <v>1.0060362475599409E-4</v>
      </c>
      <c r="K3652" s="316" t="str">
        <f t="shared" si="58"/>
        <v>Construction and Mining Equipment</v>
      </c>
      <c r="L3652" s="316" t="str">
        <f t="shared" si="59"/>
        <v>Diesel</v>
      </c>
      <c r="M3652" s="194"/>
      <c r="N3652" s="317"/>
      <c r="O3652" s="317"/>
      <c r="P3652" s="317"/>
      <c r="Q3652" s="317"/>
      <c r="R3652" s="317"/>
      <c r="S3652" s="317"/>
      <c r="T3652" s="317"/>
      <c r="U3652" s="317"/>
      <c r="V3652" s="317"/>
      <c r="W3652" s="317"/>
      <c r="X3652" s="317"/>
      <c r="Y3652" s="317"/>
      <c r="Z3652" s="317"/>
    </row>
    <row r="3653" spans="1:26" x14ac:dyDescent="0.25">
      <c r="A3653" s="314"/>
      <c r="B3653" s="18">
        <v>2023</v>
      </c>
      <c r="C3653" s="18" t="s">
        <v>722</v>
      </c>
      <c r="D3653" s="18" t="s">
        <v>1588</v>
      </c>
      <c r="E3653" s="18" t="s">
        <v>56</v>
      </c>
      <c r="F3653" s="18" t="s">
        <v>1575</v>
      </c>
      <c r="G3653" s="18" t="s">
        <v>675</v>
      </c>
      <c r="H3653" s="18" t="s">
        <v>1589</v>
      </c>
      <c r="I3653" s="315">
        <v>2.2536643471154023</v>
      </c>
      <c r="J3653" s="315">
        <v>9.4842240688743952E-3</v>
      </c>
      <c r="K3653" s="316" t="str">
        <f t="shared" si="58"/>
        <v>Industrial Equipment</v>
      </c>
      <c r="L3653" s="316" t="str">
        <f t="shared" si="59"/>
        <v>CNG</v>
      </c>
      <c r="M3653" s="194"/>
      <c r="N3653" s="317"/>
      <c r="O3653" s="317"/>
      <c r="P3653" s="317"/>
      <c r="Q3653" s="317"/>
      <c r="R3653" s="317"/>
      <c r="S3653" s="317"/>
      <c r="T3653" s="317"/>
      <c r="U3653" s="317"/>
      <c r="V3653" s="317"/>
      <c r="W3653" s="317"/>
      <c r="X3653" s="317"/>
      <c r="Y3653" s="317"/>
      <c r="Z3653" s="317"/>
    </row>
    <row r="3654" spans="1:26" x14ac:dyDescent="0.25">
      <c r="A3654" s="314"/>
      <c r="B3654" s="18">
        <v>2023</v>
      </c>
      <c r="C3654" s="18" t="s">
        <v>750</v>
      </c>
      <c r="D3654" s="18" t="s">
        <v>1573</v>
      </c>
      <c r="E3654" s="18" t="s">
        <v>703</v>
      </c>
      <c r="F3654" s="18" t="s">
        <v>704</v>
      </c>
      <c r="G3654" s="18" t="s">
        <v>678</v>
      </c>
      <c r="H3654" s="18" t="s">
        <v>764</v>
      </c>
      <c r="I3654" s="315">
        <v>2.2515663102063259</v>
      </c>
      <c r="J3654" s="315">
        <v>4.3713543883084656E-4</v>
      </c>
      <c r="K3654" s="316" t="str">
        <f t="shared" si="58"/>
        <v>Agricultural Equipment</v>
      </c>
      <c r="L3654" s="316" t="str">
        <f t="shared" si="59"/>
        <v>Gasoline</v>
      </c>
      <c r="M3654" s="194"/>
      <c r="N3654" s="317"/>
      <c r="O3654" s="317"/>
      <c r="P3654" s="317"/>
      <c r="Q3654" s="317"/>
      <c r="R3654" s="317"/>
      <c r="S3654" s="317"/>
      <c r="T3654" s="317"/>
      <c r="U3654" s="317"/>
      <c r="V3654" s="317"/>
      <c r="W3654" s="317"/>
      <c r="X3654" s="317"/>
      <c r="Y3654" s="317"/>
      <c r="Z3654" s="317"/>
    </row>
    <row r="3655" spans="1:26" x14ac:dyDescent="0.25">
      <c r="A3655" s="314"/>
      <c r="B3655" s="18">
        <v>2023</v>
      </c>
      <c r="C3655" s="18" t="s">
        <v>754</v>
      </c>
      <c r="D3655" s="18" t="s">
        <v>1445</v>
      </c>
      <c r="E3655" s="18" t="s">
        <v>56</v>
      </c>
      <c r="F3655" s="18" t="s">
        <v>601</v>
      </c>
      <c r="G3655" s="18" t="s">
        <v>677</v>
      </c>
      <c r="H3655" s="18" t="s">
        <v>841</v>
      </c>
      <c r="I3655" s="315">
        <v>2.2395955578114766</v>
      </c>
      <c r="J3655" s="315">
        <v>2.4332291738869229E-2</v>
      </c>
      <c r="K3655" s="316" t="str">
        <f t="shared" si="58"/>
        <v>Commercial Equipment</v>
      </c>
      <c r="L3655" s="316" t="str">
        <f t="shared" si="59"/>
        <v>CNG</v>
      </c>
      <c r="M3655" s="194"/>
      <c r="N3655" s="317"/>
      <c r="O3655" s="317"/>
      <c r="P3655" s="317"/>
      <c r="Q3655" s="317"/>
      <c r="R3655" s="317"/>
      <c r="S3655" s="317"/>
      <c r="T3655" s="317"/>
      <c r="U3655" s="317"/>
      <c r="V3655" s="317"/>
      <c r="W3655" s="317"/>
      <c r="X3655" s="317"/>
      <c r="Y3655" s="317"/>
      <c r="Z3655" s="317"/>
    </row>
    <row r="3656" spans="1:26" x14ac:dyDescent="0.25">
      <c r="A3656" s="314"/>
      <c r="B3656" s="18">
        <v>2023</v>
      </c>
      <c r="C3656" s="18" t="s">
        <v>709</v>
      </c>
      <c r="D3656" s="18" t="s">
        <v>1663</v>
      </c>
      <c r="E3656" s="18" t="s">
        <v>713</v>
      </c>
      <c r="F3656" s="18" t="s">
        <v>714</v>
      </c>
      <c r="G3656" s="18" t="s">
        <v>674</v>
      </c>
      <c r="H3656" s="18" t="s">
        <v>1082</v>
      </c>
      <c r="I3656" s="315">
        <v>2.2366709878455611</v>
      </c>
      <c r="J3656" s="315">
        <v>2.6553970300428014E-4</v>
      </c>
      <c r="K3656" s="316" t="str">
        <f t="shared" si="58"/>
        <v>Construction and Mining Equipment</v>
      </c>
      <c r="L3656" s="316" t="str">
        <f t="shared" si="59"/>
        <v>Diesel</v>
      </c>
      <c r="M3656" s="194"/>
      <c r="N3656" s="317"/>
      <c r="O3656" s="317"/>
      <c r="P3656" s="317"/>
      <c r="Q3656" s="317"/>
      <c r="R3656" s="317"/>
      <c r="S3656" s="317"/>
      <c r="T3656" s="317"/>
      <c r="U3656" s="317"/>
      <c r="V3656" s="317"/>
      <c r="W3656" s="317"/>
      <c r="X3656" s="317"/>
      <c r="Y3656" s="317"/>
      <c r="Z3656" s="317"/>
    </row>
    <row r="3657" spans="1:26" x14ac:dyDescent="0.25">
      <c r="A3657" s="314"/>
      <c r="B3657" s="18">
        <v>2023</v>
      </c>
      <c r="C3657" s="18" t="s">
        <v>727</v>
      </c>
      <c r="D3657" s="18" t="s">
        <v>1361</v>
      </c>
      <c r="E3657" s="18" t="s">
        <v>56</v>
      </c>
      <c r="F3657" s="18" t="s">
        <v>672</v>
      </c>
      <c r="G3657" s="18" t="s">
        <v>674</v>
      </c>
      <c r="H3657" s="18" t="s">
        <v>783</v>
      </c>
      <c r="I3657" s="315">
        <v>2.233863198290051</v>
      </c>
      <c r="J3657" s="315">
        <v>1.0254872736539802E-4</v>
      </c>
      <c r="K3657" s="316" t="str">
        <f t="shared" si="58"/>
        <v>Construction and Mining Equipment</v>
      </c>
      <c r="L3657" s="316" t="str">
        <f t="shared" si="59"/>
        <v>LPG</v>
      </c>
      <c r="M3657" s="194"/>
      <c r="N3657" s="317"/>
      <c r="O3657" s="317"/>
      <c r="P3657" s="317"/>
      <c r="Q3657" s="317"/>
      <c r="R3657" s="317"/>
      <c r="S3657" s="317"/>
      <c r="T3657" s="317"/>
      <c r="U3657" s="317"/>
      <c r="V3657" s="317"/>
      <c r="W3657" s="317"/>
      <c r="X3657" s="317"/>
      <c r="Y3657" s="317"/>
      <c r="Z3657" s="317"/>
    </row>
    <row r="3658" spans="1:26" x14ac:dyDescent="0.25">
      <c r="A3658" s="314"/>
      <c r="B3658" s="18">
        <v>2023</v>
      </c>
      <c r="C3658" s="18" t="s">
        <v>722</v>
      </c>
      <c r="D3658" s="18" t="s">
        <v>1656</v>
      </c>
      <c r="E3658" s="18" t="s">
        <v>56</v>
      </c>
      <c r="F3658" s="18" t="s">
        <v>672</v>
      </c>
      <c r="G3658" s="18" t="s">
        <v>677</v>
      </c>
      <c r="H3658" s="18" t="s">
        <v>1031</v>
      </c>
      <c r="I3658" s="315">
        <v>2.2249157664441266</v>
      </c>
      <c r="J3658" s="315">
        <v>1.1235244467095026E-4</v>
      </c>
      <c r="K3658" s="316" t="str">
        <f t="shared" si="58"/>
        <v>Commercial Equipment</v>
      </c>
      <c r="L3658" s="316" t="str">
        <f t="shared" si="59"/>
        <v>LPG</v>
      </c>
      <c r="M3658" s="194"/>
      <c r="N3658" s="317"/>
      <c r="O3658" s="317"/>
      <c r="P3658" s="317"/>
      <c r="Q3658" s="317"/>
      <c r="R3658" s="317"/>
      <c r="S3658" s="317"/>
      <c r="T3658" s="317"/>
      <c r="U3658" s="317"/>
      <c r="V3658" s="317"/>
      <c r="W3658" s="317"/>
      <c r="X3658" s="317"/>
      <c r="Y3658" s="317"/>
      <c r="Z3658" s="317"/>
    </row>
    <row r="3659" spans="1:26" x14ac:dyDescent="0.25">
      <c r="A3659" s="314"/>
      <c r="B3659" s="18">
        <v>2023</v>
      </c>
      <c r="C3659" s="18" t="s">
        <v>754</v>
      </c>
      <c r="D3659" s="18" t="s">
        <v>1425</v>
      </c>
      <c r="E3659" s="18" t="s">
        <v>56</v>
      </c>
      <c r="F3659" s="18" t="s">
        <v>672</v>
      </c>
      <c r="G3659" s="18" t="s">
        <v>674</v>
      </c>
      <c r="H3659" s="18" t="s">
        <v>791</v>
      </c>
      <c r="I3659" s="315">
        <v>2.2232533275894375</v>
      </c>
      <c r="J3659" s="315">
        <v>4.2738132121629315E-4</v>
      </c>
      <c r="K3659" s="316" t="str">
        <f t="shared" si="58"/>
        <v>Construction and Mining Equipment</v>
      </c>
      <c r="L3659" s="316" t="str">
        <f t="shared" si="59"/>
        <v>LPG</v>
      </c>
      <c r="M3659" s="194"/>
      <c r="N3659" s="317"/>
      <c r="O3659" s="317"/>
      <c r="P3659" s="317"/>
      <c r="Q3659" s="317"/>
      <c r="R3659" s="317"/>
      <c r="S3659" s="317"/>
      <c r="T3659" s="317"/>
      <c r="U3659" s="317"/>
      <c r="V3659" s="317"/>
      <c r="W3659" s="317"/>
      <c r="X3659" s="317"/>
      <c r="Y3659" s="317"/>
      <c r="Z3659" s="317"/>
    </row>
    <row r="3660" spans="1:26" x14ac:dyDescent="0.25">
      <c r="A3660" s="314"/>
      <c r="B3660" s="18">
        <v>2023</v>
      </c>
      <c r="C3660" s="18" t="s">
        <v>753</v>
      </c>
      <c r="D3660" s="18" t="s">
        <v>1281</v>
      </c>
      <c r="E3660" s="18" t="s">
        <v>703</v>
      </c>
      <c r="F3660" s="18" t="s">
        <v>704</v>
      </c>
      <c r="G3660" s="18" t="s">
        <v>674</v>
      </c>
      <c r="H3660" s="18" t="s">
        <v>770</v>
      </c>
      <c r="I3660" s="315">
        <v>2.2184844193715612</v>
      </c>
      <c r="J3660" s="315">
        <v>2.4410793246271316E-4</v>
      </c>
      <c r="K3660" s="316" t="str">
        <f t="shared" si="58"/>
        <v>Construction and Mining Equipment</v>
      </c>
      <c r="L3660" s="316" t="str">
        <f t="shared" si="59"/>
        <v>Gasoline</v>
      </c>
      <c r="M3660" s="194"/>
      <c r="N3660" s="317"/>
      <c r="O3660" s="317"/>
      <c r="P3660" s="317"/>
      <c r="Q3660" s="317"/>
      <c r="R3660" s="317"/>
      <c r="S3660" s="317"/>
      <c r="T3660" s="317"/>
      <c r="U3660" s="317"/>
      <c r="V3660" s="317"/>
      <c r="W3660" s="317"/>
      <c r="X3660" s="317"/>
      <c r="Y3660" s="317"/>
      <c r="Z3660" s="317"/>
    </row>
    <row r="3661" spans="1:26" x14ac:dyDescent="0.25">
      <c r="A3661" s="314"/>
      <c r="B3661" s="18">
        <v>2023</v>
      </c>
      <c r="C3661" s="18" t="s">
        <v>781</v>
      </c>
      <c r="D3661" s="18" t="s">
        <v>1017</v>
      </c>
      <c r="E3661" s="18" t="s">
        <v>703</v>
      </c>
      <c r="F3661" s="18" t="s">
        <v>704</v>
      </c>
      <c r="G3661" s="18" t="s">
        <v>673</v>
      </c>
      <c r="H3661" s="18" t="s">
        <v>806</v>
      </c>
      <c r="I3661" s="315">
        <v>2.2104347288570532</v>
      </c>
      <c r="J3661" s="315">
        <v>1.5566073324617643E-3</v>
      </c>
      <c r="K3661" s="316" t="str">
        <f t="shared" si="58"/>
        <v>Lawn and Garden Equipment</v>
      </c>
      <c r="L3661" s="316" t="str">
        <f t="shared" si="59"/>
        <v>Gasoline</v>
      </c>
      <c r="M3661" s="194"/>
      <c r="N3661" s="317"/>
      <c r="O3661" s="317"/>
      <c r="P3661" s="317"/>
      <c r="Q3661" s="317"/>
      <c r="R3661" s="317"/>
      <c r="S3661" s="317"/>
      <c r="T3661" s="317"/>
      <c r="U3661" s="317"/>
      <c r="V3661" s="317"/>
      <c r="W3661" s="317"/>
      <c r="X3661" s="317"/>
      <c r="Y3661" s="317"/>
      <c r="Z3661" s="317"/>
    </row>
    <row r="3662" spans="1:26" x14ac:dyDescent="0.25">
      <c r="A3662" s="314"/>
      <c r="B3662" s="18">
        <v>2023</v>
      </c>
      <c r="C3662" s="18" t="s">
        <v>732</v>
      </c>
      <c r="D3662" s="18" t="s">
        <v>1394</v>
      </c>
      <c r="E3662" s="18" t="s">
        <v>703</v>
      </c>
      <c r="F3662" s="18" t="s">
        <v>805</v>
      </c>
      <c r="G3662" s="18" t="s">
        <v>681</v>
      </c>
      <c r="H3662" s="18" t="s">
        <v>1395</v>
      </c>
      <c r="I3662" s="315">
        <v>2.2100629089715338</v>
      </c>
      <c r="J3662" s="315">
        <v>3.8280884706325255E-3</v>
      </c>
      <c r="K3662" s="316" t="str">
        <f t="shared" si="58"/>
        <v>Logging Equipment</v>
      </c>
      <c r="L3662" s="316" t="str">
        <f t="shared" si="59"/>
        <v>Gasoline</v>
      </c>
      <c r="M3662" s="194"/>
      <c r="N3662" s="317"/>
      <c r="O3662" s="317"/>
      <c r="P3662" s="317"/>
      <c r="Q3662" s="317"/>
      <c r="R3662" s="317"/>
      <c r="S3662" s="317"/>
      <c r="T3662" s="317"/>
      <c r="U3662" s="317"/>
      <c r="V3662" s="317"/>
      <c r="W3662" s="317"/>
      <c r="X3662" s="317"/>
      <c r="Y3662" s="317"/>
      <c r="Z3662" s="317"/>
    </row>
    <row r="3663" spans="1:26" x14ac:dyDescent="0.25">
      <c r="A3663" s="314"/>
      <c r="B3663" s="18">
        <v>2023</v>
      </c>
      <c r="C3663" s="18" t="s">
        <v>793</v>
      </c>
      <c r="D3663" s="18" t="s">
        <v>1360</v>
      </c>
      <c r="E3663" s="18" t="s">
        <v>713</v>
      </c>
      <c r="F3663" s="18" t="s">
        <v>714</v>
      </c>
      <c r="G3663" s="18" t="s">
        <v>674</v>
      </c>
      <c r="H3663" s="18" t="s">
        <v>1220</v>
      </c>
      <c r="I3663" s="315">
        <v>2.2081126872054786</v>
      </c>
      <c r="J3663" s="315">
        <v>9.8225348854734355E-5</v>
      </c>
      <c r="K3663" s="316" t="str">
        <f t="shared" si="58"/>
        <v>Construction and Mining Equipment</v>
      </c>
      <c r="L3663" s="316" t="str">
        <f t="shared" si="59"/>
        <v>Diesel</v>
      </c>
      <c r="M3663" s="194"/>
      <c r="N3663" s="317"/>
      <c r="O3663" s="317"/>
      <c r="P3663" s="317"/>
      <c r="Q3663" s="317"/>
      <c r="R3663" s="317"/>
      <c r="S3663" s="317"/>
      <c r="T3663" s="317"/>
      <c r="U3663" s="317"/>
      <c r="V3663" s="317"/>
      <c r="W3663" s="317"/>
      <c r="X3663" s="317"/>
      <c r="Y3663" s="317"/>
      <c r="Z3663" s="317"/>
    </row>
    <row r="3664" spans="1:26" x14ac:dyDescent="0.25">
      <c r="A3664" s="314"/>
      <c r="B3664" s="18">
        <v>2023</v>
      </c>
      <c r="C3664" s="18" t="s">
        <v>727</v>
      </c>
      <c r="D3664" s="18" t="s">
        <v>1362</v>
      </c>
      <c r="E3664" s="18" t="s">
        <v>56</v>
      </c>
      <c r="F3664" s="18" t="s">
        <v>672</v>
      </c>
      <c r="G3664" s="18" t="s">
        <v>674</v>
      </c>
      <c r="H3664" s="18" t="s">
        <v>859</v>
      </c>
      <c r="I3664" s="315">
        <v>2.207201368821905</v>
      </c>
      <c r="J3664" s="315">
        <v>5.4743290190242475E-4</v>
      </c>
      <c r="K3664" s="316" t="str">
        <f t="shared" si="58"/>
        <v>Construction and Mining Equipment</v>
      </c>
      <c r="L3664" s="316" t="str">
        <f t="shared" si="59"/>
        <v>LPG</v>
      </c>
      <c r="M3664" s="194"/>
      <c r="N3664" s="317"/>
      <c r="O3664" s="317"/>
      <c r="P3664" s="317"/>
      <c r="Q3664" s="317"/>
      <c r="R3664" s="317"/>
      <c r="S3664" s="317"/>
      <c r="T3664" s="317"/>
      <c r="U3664" s="317"/>
      <c r="V3664" s="317"/>
      <c r="W3664" s="317"/>
      <c r="X3664" s="317"/>
      <c r="Y3664" s="317"/>
      <c r="Z3664" s="317"/>
    </row>
    <row r="3665" spans="1:26" x14ac:dyDescent="0.25">
      <c r="A3665" s="314"/>
      <c r="B3665" s="18">
        <v>2023</v>
      </c>
      <c r="C3665" s="18" t="s">
        <v>753</v>
      </c>
      <c r="D3665" s="18" t="s">
        <v>1657</v>
      </c>
      <c r="E3665" s="18" t="s">
        <v>713</v>
      </c>
      <c r="F3665" s="18" t="s">
        <v>714</v>
      </c>
      <c r="G3665" s="18" t="s">
        <v>678</v>
      </c>
      <c r="H3665" s="18" t="s">
        <v>1638</v>
      </c>
      <c r="I3665" s="315">
        <v>2.1940793107288914</v>
      </c>
      <c r="J3665" s="315">
        <v>2.4349388153808222E-5</v>
      </c>
      <c r="K3665" s="316" t="str">
        <f t="shared" si="58"/>
        <v>Agricultural Equipment</v>
      </c>
      <c r="L3665" s="316" t="str">
        <f t="shared" si="59"/>
        <v>Diesel</v>
      </c>
      <c r="M3665" s="194"/>
      <c r="N3665" s="317"/>
      <c r="O3665" s="317"/>
      <c r="P3665" s="317"/>
      <c r="Q3665" s="317"/>
      <c r="R3665" s="317"/>
      <c r="S3665" s="317"/>
      <c r="T3665" s="317"/>
      <c r="U3665" s="317"/>
      <c r="V3665" s="317"/>
      <c r="W3665" s="317"/>
      <c r="X3665" s="317"/>
      <c r="Y3665" s="317"/>
      <c r="Z3665" s="317"/>
    </row>
    <row r="3666" spans="1:26" x14ac:dyDescent="0.25">
      <c r="A3666" s="314"/>
      <c r="B3666" s="18">
        <v>2023</v>
      </c>
      <c r="C3666" s="18" t="s">
        <v>762</v>
      </c>
      <c r="D3666" s="18" t="s">
        <v>1219</v>
      </c>
      <c r="E3666" s="18" t="s">
        <v>703</v>
      </c>
      <c r="F3666" s="18" t="s">
        <v>704</v>
      </c>
      <c r="G3666" s="18" t="s">
        <v>674</v>
      </c>
      <c r="H3666" s="18" t="s">
        <v>1220</v>
      </c>
      <c r="I3666" s="315">
        <v>2.1900674592084219</v>
      </c>
      <c r="J3666" s="315">
        <v>1.4739025024788949E-3</v>
      </c>
      <c r="K3666" s="316" t="str">
        <f t="shared" si="58"/>
        <v>Construction and Mining Equipment</v>
      </c>
      <c r="L3666" s="316" t="str">
        <f t="shared" si="59"/>
        <v>Gasoline</v>
      </c>
      <c r="M3666" s="194"/>
      <c r="N3666" s="317"/>
      <c r="O3666" s="317"/>
      <c r="P3666" s="317"/>
      <c r="Q3666" s="317"/>
      <c r="R3666" s="317"/>
      <c r="S3666" s="317"/>
      <c r="T3666" s="317"/>
      <c r="U3666" s="317"/>
      <c r="V3666" s="317"/>
      <c r="W3666" s="317"/>
      <c r="X3666" s="317"/>
      <c r="Y3666" s="317"/>
      <c r="Z3666" s="317"/>
    </row>
    <row r="3667" spans="1:26" x14ac:dyDescent="0.25">
      <c r="A3667" s="314"/>
      <c r="B3667" s="18">
        <v>2023</v>
      </c>
      <c r="C3667" s="18" t="s">
        <v>793</v>
      </c>
      <c r="D3667" s="18" t="s">
        <v>1361</v>
      </c>
      <c r="E3667" s="18" t="s">
        <v>56</v>
      </c>
      <c r="F3667" s="18" t="s">
        <v>672</v>
      </c>
      <c r="G3667" s="18" t="s">
        <v>674</v>
      </c>
      <c r="H3667" s="18" t="s">
        <v>783</v>
      </c>
      <c r="I3667" s="315">
        <v>2.1810540310477795</v>
      </c>
      <c r="J3667" s="315">
        <v>1.0012442407946973E-4</v>
      </c>
      <c r="K3667" s="316" t="str">
        <f t="shared" si="58"/>
        <v>Construction and Mining Equipment</v>
      </c>
      <c r="L3667" s="316" t="str">
        <f t="shared" si="59"/>
        <v>LPG</v>
      </c>
      <c r="M3667" s="194"/>
      <c r="N3667" s="317"/>
      <c r="O3667" s="317"/>
      <c r="P3667" s="317"/>
      <c r="Q3667" s="317"/>
      <c r="R3667" s="317"/>
      <c r="S3667" s="317"/>
      <c r="T3667" s="317"/>
      <c r="U3667" s="317"/>
      <c r="V3667" s="317"/>
      <c r="W3667" s="317"/>
      <c r="X3667" s="317"/>
      <c r="Y3667" s="317"/>
      <c r="Z3667" s="317"/>
    </row>
    <row r="3668" spans="1:26" x14ac:dyDescent="0.25">
      <c r="A3668" s="314"/>
      <c r="B3668" s="18">
        <v>2023</v>
      </c>
      <c r="C3668" s="18" t="s">
        <v>731</v>
      </c>
      <c r="D3668" s="18" t="s">
        <v>1657</v>
      </c>
      <c r="E3668" s="18" t="s">
        <v>713</v>
      </c>
      <c r="F3668" s="18" t="s">
        <v>714</v>
      </c>
      <c r="G3668" s="18" t="s">
        <v>678</v>
      </c>
      <c r="H3668" s="18" t="s">
        <v>1638</v>
      </c>
      <c r="I3668" s="315">
        <v>2.1763565342893041</v>
      </c>
      <c r="J3668" s="315">
        <v>2.4152720021996624E-5</v>
      </c>
      <c r="K3668" s="316" t="str">
        <f t="shared" si="58"/>
        <v>Agricultural Equipment</v>
      </c>
      <c r="L3668" s="316" t="str">
        <f t="shared" si="59"/>
        <v>Diesel</v>
      </c>
      <c r="M3668" s="194"/>
      <c r="N3668" s="317"/>
      <c r="O3668" s="317"/>
      <c r="P3668" s="317"/>
      <c r="Q3668" s="317"/>
      <c r="R3668" s="317"/>
      <c r="S3668" s="317"/>
      <c r="T3668" s="317"/>
      <c r="U3668" s="317"/>
      <c r="V3668" s="317"/>
      <c r="W3668" s="317"/>
      <c r="X3668" s="317"/>
      <c r="Y3668" s="317"/>
      <c r="Z3668" s="317"/>
    </row>
    <row r="3669" spans="1:26" x14ac:dyDescent="0.25">
      <c r="A3669" s="314"/>
      <c r="B3669" s="18">
        <v>2023</v>
      </c>
      <c r="C3669" s="18" t="s">
        <v>743</v>
      </c>
      <c r="D3669" s="18" t="s">
        <v>1435</v>
      </c>
      <c r="E3669" s="18" t="s">
        <v>56</v>
      </c>
      <c r="F3669" s="18" t="s">
        <v>672</v>
      </c>
      <c r="G3669" s="18" t="s">
        <v>674</v>
      </c>
      <c r="H3669" s="18" t="s">
        <v>863</v>
      </c>
      <c r="I3669" s="315">
        <v>2.1755870742348575</v>
      </c>
      <c r="J3669" s="315">
        <v>1.4488494508161894E-4</v>
      </c>
      <c r="K3669" s="316" t="str">
        <f t="shared" si="58"/>
        <v>Construction and Mining Equipment</v>
      </c>
      <c r="L3669" s="316" t="str">
        <f t="shared" si="59"/>
        <v>LPG</v>
      </c>
      <c r="M3669" s="194"/>
      <c r="N3669" s="317"/>
      <c r="O3669" s="317"/>
      <c r="P3669" s="317"/>
      <c r="Q3669" s="317"/>
      <c r="R3669" s="317"/>
      <c r="S3669" s="317"/>
      <c r="T3669" s="317"/>
      <c r="U3669" s="317"/>
      <c r="V3669" s="317"/>
      <c r="W3669" s="317"/>
      <c r="X3669" s="317"/>
      <c r="Y3669" s="317"/>
      <c r="Z3669" s="317"/>
    </row>
    <row r="3670" spans="1:26" x14ac:dyDescent="0.25">
      <c r="A3670" s="314"/>
      <c r="B3670" s="18">
        <v>2023</v>
      </c>
      <c r="C3670" s="18" t="s">
        <v>760</v>
      </c>
      <c r="D3670" s="18" t="s">
        <v>1580</v>
      </c>
      <c r="E3670" s="18" t="s">
        <v>56</v>
      </c>
      <c r="F3670" s="18" t="s">
        <v>672</v>
      </c>
      <c r="G3670" s="18" t="s">
        <v>674</v>
      </c>
      <c r="H3670" s="18" t="s">
        <v>736</v>
      </c>
      <c r="I3670" s="315">
        <v>2.1715163542847717</v>
      </c>
      <c r="J3670" s="315">
        <v>9.9754572359615331E-5</v>
      </c>
      <c r="K3670" s="316" t="str">
        <f t="shared" si="58"/>
        <v>Construction and Mining Equipment</v>
      </c>
      <c r="L3670" s="316" t="str">
        <f t="shared" si="59"/>
        <v>LPG</v>
      </c>
      <c r="M3670" s="194"/>
      <c r="N3670" s="317"/>
      <c r="O3670" s="317"/>
      <c r="P3670" s="317"/>
      <c r="Q3670" s="317"/>
      <c r="R3670" s="317"/>
      <c r="S3670" s="317"/>
      <c r="T3670" s="317"/>
      <c r="U3670" s="317"/>
      <c r="V3670" s="317"/>
      <c r="W3670" s="317"/>
      <c r="X3670" s="317"/>
      <c r="Y3670" s="317"/>
      <c r="Z3670" s="317"/>
    </row>
    <row r="3671" spans="1:26" x14ac:dyDescent="0.25">
      <c r="A3671" s="314"/>
      <c r="B3671" s="18">
        <v>2023</v>
      </c>
      <c r="C3671" s="18" t="s">
        <v>793</v>
      </c>
      <c r="D3671" s="18" t="s">
        <v>1212</v>
      </c>
      <c r="E3671" s="18" t="s">
        <v>56</v>
      </c>
      <c r="F3671" s="18" t="s">
        <v>672</v>
      </c>
      <c r="G3671" s="18" t="s">
        <v>675</v>
      </c>
      <c r="H3671" s="18" t="s">
        <v>798</v>
      </c>
      <c r="I3671" s="315">
        <v>2.1629281943831602</v>
      </c>
      <c r="J3671" s="315">
        <v>9.7729170957967643E-5</v>
      </c>
      <c r="K3671" s="316" t="str">
        <f t="shared" si="58"/>
        <v>Industrial Equipment</v>
      </c>
      <c r="L3671" s="316" t="str">
        <f t="shared" si="59"/>
        <v>LPG</v>
      </c>
      <c r="M3671" s="194"/>
      <c r="N3671" s="317"/>
      <c r="O3671" s="317"/>
      <c r="P3671" s="317"/>
      <c r="Q3671" s="317"/>
      <c r="R3671" s="317"/>
      <c r="S3671" s="317"/>
      <c r="T3671" s="317"/>
      <c r="U3671" s="317"/>
      <c r="V3671" s="317"/>
      <c r="W3671" s="317"/>
      <c r="X3671" s="317"/>
      <c r="Y3671" s="317"/>
      <c r="Z3671" s="317"/>
    </row>
    <row r="3672" spans="1:26" x14ac:dyDescent="0.25">
      <c r="A3672" s="314"/>
      <c r="B3672" s="18">
        <v>2023</v>
      </c>
      <c r="C3672" s="18" t="s">
        <v>727</v>
      </c>
      <c r="D3672" s="18" t="s">
        <v>1366</v>
      </c>
      <c r="E3672" s="18" t="s">
        <v>703</v>
      </c>
      <c r="F3672" s="18" t="s">
        <v>704</v>
      </c>
      <c r="G3672" s="18" t="s">
        <v>674</v>
      </c>
      <c r="H3672" s="18" t="s">
        <v>791</v>
      </c>
      <c r="I3672" s="315">
        <v>2.1625570405670973</v>
      </c>
      <c r="J3672" s="315">
        <v>6.7458715973247251E-4</v>
      </c>
      <c r="K3672" s="316" t="str">
        <f t="shared" si="58"/>
        <v>Construction and Mining Equipment</v>
      </c>
      <c r="L3672" s="316" t="str">
        <f t="shared" si="59"/>
        <v>Gasoline</v>
      </c>
      <c r="M3672" s="194"/>
      <c r="N3672" s="317"/>
      <c r="O3672" s="317"/>
      <c r="P3672" s="317"/>
      <c r="Q3672" s="317"/>
      <c r="R3672" s="317"/>
      <c r="S3672" s="317"/>
      <c r="T3672" s="317"/>
      <c r="U3672" s="317"/>
      <c r="V3672" s="317"/>
      <c r="W3672" s="317"/>
      <c r="X3672" s="317"/>
      <c r="Y3672" s="317"/>
      <c r="Z3672" s="317"/>
    </row>
    <row r="3673" spans="1:26" x14ac:dyDescent="0.25">
      <c r="A3673" s="314"/>
      <c r="B3673" s="18">
        <v>2023</v>
      </c>
      <c r="C3673" s="18" t="s">
        <v>711</v>
      </c>
      <c r="D3673" s="18" t="s">
        <v>1440</v>
      </c>
      <c r="E3673" s="18" t="s">
        <v>703</v>
      </c>
      <c r="F3673" s="18" t="s">
        <v>704</v>
      </c>
      <c r="G3673" s="18" t="s">
        <v>678</v>
      </c>
      <c r="H3673" s="18" t="s">
        <v>1154</v>
      </c>
      <c r="I3673" s="315">
        <v>2.1599591465191592</v>
      </c>
      <c r="J3673" s="315">
        <v>2.1803607088579722E-4</v>
      </c>
      <c r="K3673" s="316" t="str">
        <f t="shared" si="58"/>
        <v>Agricultural Equipment</v>
      </c>
      <c r="L3673" s="316" t="str">
        <f t="shared" si="59"/>
        <v>Gasoline</v>
      </c>
      <c r="M3673" s="194"/>
      <c r="N3673" s="317"/>
      <c r="O3673" s="317"/>
      <c r="P3673" s="317"/>
      <c r="Q3673" s="317"/>
      <c r="R3673" s="317"/>
      <c r="S3673" s="317"/>
      <c r="T3673" s="317"/>
      <c r="U3673" s="317"/>
      <c r="V3673" s="317"/>
      <c r="W3673" s="317"/>
      <c r="X3673" s="317"/>
      <c r="Y3673" s="317"/>
      <c r="Z3673" s="317"/>
    </row>
    <row r="3674" spans="1:26" x14ac:dyDescent="0.25">
      <c r="A3674" s="314"/>
      <c r="B3674" s="18">
        <v>2023</v>
      </c>
      <c r="C3674" s="18" t="s">
        <v>793</v>
      </c>
      <c r="D3674" s="18" t="s">
        <v>1362</v>
      </c>
      <c r="E3674" s="18" t="s">
        <v>56</v>
      </c>
      <c r="F3674" s="18" t="s">
        <v>672</v>
      </c>
      <c r="G3674" s="18" t="s">
        <v>674</v>
      </c>
      <c r="H3674" s="18" t="s">
        <v>859</v>
      </c>
      <c r="I3674" s="315">
        <v>2.1550226143871791</v>
      </c>
      <c r="J3674" s="315">
        <v>5.3449095494843292E-4</v>
      </c>
      <c r="K3674" s="316" t="str">
        <f t="shared" si="58"/>
        <v>Construction and Mining Equipment</v>
      </c>
      <c r="L3674" s="316" t="str">
        <f t="shared" si="59"/>
        <v>LPG</v>
      </c>
      <c r="M3674" s="194"/>
      <c r="N3674" s="317"/>
      <c r="O3674" s="317"/>
      <c r="P3674" s="317"/>
      <c r="Q3674" s="317"/>
      <c r="R3674" s="317"/>
      <c r="S3674" s="317"/>
      <c r="T3674" s="317"/>
      <c r="U3674" s="317"/>
      <c r="V3674" s="317"/>
      <c r="W3674" s="317"/>
      <c r="X3674" s="317"/>
      <c r="Y3674" s="317"/>
      <c r="Z3674" s="317"/>
    </row>
    <row r="3675" spans="1:26" x14ac:dyDescent="0.25">
      <c r="A3675" s="314"/>
      <c r="B3675" s="18">
        <v>2023</v>
      </c>
      <c r="C3675" s="18" t="s">
        <v>762</v>
      </c>
      <c r="D3675" s="18" t="s">
        <v>1223</v>
      </c>
      <c r="E3675" s="18" t="s">
        <v>713</v>
      </c>
      <c r="F3675" s="18" t="s">
        <v>714</v>
      </c>
      <c r="G3675" s="18" t="s">
        <v>674</v>
      </c>
      <c r="H3675" s="18" t="s">
        <v>1036</v>
      </c>
      <c r="I3675" s="315">
        <v>2.1548717890811719</v>
      </c>
      <c r="J3675" s="315">
        <v>2.1074462293744093E-4</v>
      </c>
      <c r="K3675" s="316" t="str">
        <f t="shared" si="58"/>
        <v>Construction and Mining Equipment</v>
      </c>
      <c r="L3675" s="316" t="str">
        <f t="shared" si="59"/>
        <v>Diesel</v>
      </c>
      <c r="M3675" s="194"/>
      <c r="N3675" s="317"/>
      <c r="O3675" s="317"/>
      <c r="P3675" s="317"/>
      <c r="Q3675" s="317"/>
      <c r="R3675" s="317"/>
      <c r="S3675" s="317"/>
      <c r="T3675" s="317"/>
      <c r="U3675" s="317"/>
      <c r="V3675" s="317"/>
      <c r="W3675" s="317"/>
      <c r="X3675" s="317"/>
      <c r="Y3675" s="317"/>
      <c r="Z3675" s="317"/>
    </row>
    <row r="3676" spans="1:26" x14ac:dyDescent="0.25">
      <c r="A3676" s="314"/>
      <c r="B3676" s="18">
        <v>2023</v>
      </c>
      <c r="C3676" s="18" t="s">
        <v>810</v>
      </c>
      <c r="D3676" s="18" t="s">
        <v>1320</v>
      </c>
      <c r="E3676" s="18" t="s">
        <v>713</v>
      </c>
      <c r="F3676" s="18" t="s">
        <v>676</v>
      </c>
      <c r="G3676" s="18" t="s">
        <v>79</v>
      </c>
      <c r="H3676" s="18" t="s">
        <v>730</v>
      </c>
      <c r="I3676" s="315">
        <v>2.1497797708894404</v>
      </c>
      <c r="J3676" s="315">
        <v>1.4056692337145298E-4</v>
      </c>
      <c r="K3676" s="316" t="str">
        <f t="shared" si="58"/>
        <v>Pleasure Craft</v>
      </c>
      <c r="L3676" s="316" t="str">
        <f t="shared" si="59"/>
        <v>Diesel</v>
      </c>
      <c r="M3676" s="194"/>
      <c r="N3676" s="317"/>
      <c r="O3676" s="317"/>
      <c r="P3676" s="317"/>
      <c r="Q3676" s="317"/>
      <c r="R3676" s="317"/>
      <c r="S3676" s="317"/>
      <c r="T3676" s="317"/>
      <c r="U3676" s="317"/>
      <c r="V3676" s="317"/>
      <c r="W3676" s="317"/>
      <c r="X3676" s="317"/>
      <c r="Y3676" s="317"/>
      <c r="Z3676" s="317"/>
    </row>
    <row r="3677" spans="1:26" x14ac:dyDescent="0.25">
      <c r="A3677" s="314"/>
      <c r="B3677" s="18">
        <v>2023</v>
      </c>
      <c r="C3677" s="18" t="s">
        <v>760</v>
      </c>
      <c r="D3677" s="18" t="s">
        <v>1583</v>
      </c>
      <c r="E3677" s="18" t="s">
        <v>703</v>
      </c>
      <c r="F3677" s="18" t="s">
        <v>805</v>
      </c>
      <c r="G3677" s="18" t="s">
        <v>674</v>
      </c>
      <c r="H3677" s="18" t="s">
        <v>1036</v>
      </c>
      <c r="I3677" s="315">
        <v>2.1430504769042584</v>
      </c>
      <c r="J3677" s="315">
        <v>4.4353447685251367E-3</v>
      </c>
      <c r="K3677" s="316" t="str">
        <f t="shared" si="58"/>
        <v>Construction and Mining Equipment</v>
      </c>
      <c r="L3677" s="316" t="str">
        <f t="shared" si="59"/>
        <v>Gasoline</v>
      </c>
      <c r="M3677" s="194"/>
      <c r="N3677" s="317"/>
      <c r="O3677" s="317"/>
      <c r="P3677" s="317"/>
      <c r="Q3677" s="317"/>
      <c r="R3677" s="317"/>
      <c r="S3677" s="317"/>
      <c r="T3677" s="317"/>
      <c r="U3677" s="317"/>
      <c r="V3677" s="317"/>
      <c r="W3677" s="317"/>
      <c r="X3677" s="317"/>
      <c r="Y3677" s="317"/>
      <c r="Z3677" s="317"/>
    </row>
    <row r="3678" spans="1:26" x14ac:dyDescent="0.25">
      <c r="A3678" s="314"/>
      <c r="B3678" s="18">
        <v>2023</v>
      </c>
      <c r="C3678" s="18" t="s">
        <v>778</v>
      </c>
      <c r="D3678" s="18" t="s">
        <v>1228</v>
      </c>
      <c r="E3678" s="18" t="s">
        <v>703</v>
      </c>
      <c r="F3678" s="18" t="s">
        <v>704</v>
      </c>
      <c r="G3678" s="18" t="s">
        <v>675</v>
      </c>
      <c r="H3678" s="18" t="s">
        <v>1078</v>
      </c>
      <c r="I3678" s="315">
        <v>2.1324794344198637</v>
      </c>
      <c r="J3678" s="315">
        <v>7.1799264729342023E-4</v>
      </c>
      <c r="K3678" s="316" t="str">
        <f t="shared" si="58"/>
        <v>Industrial Equipment</v>
      </c>
      <c r="L3678" s="316" t="str">
        <f t="shared" si="59"/>
        <v>Gasoline</v>
      </c>
      <c r="M3678" s="194"/>
      <c r="N3678" s="317"/>
      <c r="O3678" s="317"/>
      <c r="P3678" s="317"/>
      <c r="Q3678" s="317"/>
      <c r="R3678" s="317"/>
      <c r="S3678" s="317"/>
      <c r="T3678" s="317"/>
      <c r="U3678" s="317"/>
      <c r="V3678" s="317"/>
      <c r="W3678" s="317"/>
      <c r="X3678" s="317"/>
      <c r="Y3678" s="317"/>
      <c r="Z3678" s="317"/>
    </row>
    <row r="3679" spans="1:26" x14ac:dyDescent="0.25">
      <c r="A3679" s="314"/>
      <c r="B3679" s="18">
        <v>2023</v>
      </c>
      <c r="C3679" s="18" t="s">
        <v>762</v>
      </c>
      <c r="D3679" s="18" t="s">
        <v>1708</v>
      </c>
      <c r="E3679" s="18" t="s">
        <v>703</v>
      </c>
      <c r="F3679" s="18" t="s">
        <v>704</v>
      </c>
      <c r="G3679" s="18" t="s">
        <v>678</v>
      </c>
      <c r="H3679" s="18" t="s">
        <v>1709</v>
      </c>
      <c r="I3679" s="315">
        <v>2.1283130323812918</v>
      </c>
      <c r="J3679" s="315">
        <v>1.4366994581531531E-3</v>
      </c>
      <c r="K3679" s="316" t="str">
        <f t="shared" si="58"/>
        <v>Agricultural Equipment</v>
      </c>
      <c r="L3679" s="316" t="str">
        <f t="shared" si="59"/>
        <v>Gasoline</v>
      </c>
      <c r="M3679" s="194"/>
      <c r="N3679" s="317"/>
      <c r="O3679" s="317"/>
      <c r="P3679" s="317"/>
      <c r="Q3679" s="317"/>
      <c r="R3679" s="317"/>
      <c r="S3679" s="317"/>
      <c r="T3679" s="317"/>
      <c r="U3679" s="317"/>
      <c r="V3679" s="317"/>
      <c r="W3679" s="317"/>
      <c r="X3679" s="317"/>
      <c r="Y3679" s="317"/>
      <c r="Z3679" s="317"/>
    </row>
    <row r="3680" spans="1:26" x14ac:dyDescent="0.25">
      <c r="A3680" s="314"/>
      <c r="B3680" s="18">
        <v>2023</v>
      </c>
      <c r="C3680" s="18" t="s">
        <v>732</v>
      </c>
      <c r="D3680" s="18" t="s">
        <v>1617</v>
      </c>
      <c r="E3680" s="18" t="s">
        <v>703</v>
      </c>
      <c r="F3680" s="18" t="s">
        <v>805</v>
      </c>
      <c r="G3680" s="18" t="s">
        <v>675</v>
      </c>
      <c r="H3680" s="18" t="s">
        <v>802</v>
      </c>
      <c r="I3680" s="315">
        <v>2.1272227741690641</v>
      </c>
      <c r="J3680" s="315">
        <v>4.7530710299512691E-3</v>
      </c>
      <c r="K3680" s="316" t="str">
        <f t="shared" si="58"/>
        <v>Industrial Equipment</v>
      </c>
      <c r="L3680" s="316" t="str">
        <f t="shared" si="59"/>
        <v>Gasoline</v>
      </c>
      <c r="M3680" s="194"/>
      <c r="N3680" s="317"/>
      <c r="O3680" s="317"/>
      <c r="P3680" s="317"/>
      <c r="Q3680" s="317"/>
      <c r="R3680" s="317"/>
      <c r="S3680" s="317"/>
      <c r="T3680" s="317"/>
      <c r="U3680" s="317"/>
      <c r="V3680" s="317"/>
      <c r="W3680" s="317"/>
      <c r="X3680" s="317"/>
      <c r="Y3680" s="317"/>
      <c r="Z3680" s="317"/>
    </row>
    <row r="3681" spans="1:26" x14ac:dyDescent="0.25">
      <c r="A3681" s="314"/>
      <c r="B3681" s="18">
        <v>2023</v>
      </c>
      <c r="C3681" s="18" t="s">
        <v>732</v>
      </c>
      <c r="D3681" s="18" t="s">
        <v>1483</v>
      </c>
      <c r="E3681" s="18" t="s">
        <v>703</v>
      </c>
      <c r="F3681" s="18" t="s">
        <v>805</v>
      </c>
      <c r="G3681" s="18" t="s">
        <v>674</v>
      </c>
      <c r="H3681" s="18" t="s">
        <v>994</v>
      </c>
      <c r="I3681" s="315">
        <v>2.1272139562168144</v>
      </c>
      <c r="J3681" s="315">
        <v>4.4600797014245422E-3</v>
      </c>
      <c r="K3681" s="316" t="str">
        <f t="shared" si="58"/>
        <v>Construction and Mining Equipment</v>
      </c>
      <c r="L3681" s="316" t="str">
        <f t="shared" si="59"/>
        <v>Gasoline</v>
      </c>
      <c r="M3681" s="194"/>
      <c r="N3681" s="317"/>
      <c r="O3681" s="317"/>
      <c r="P3681" s="317"/>
      <c r="Q3681" s="317"/>
      <c r="R3681" s="317"/>
      <c r="S3681" s="317"/>
      <c r="T3681" s="317"/>
      <c r="U3681" s="317"/>
      <c r="V3681" s="317"/>
      <c r="W3681" s="317"/>
      <c r="X3681" s="317"/>
      <c r="Y3681" s="317"/>
      <c r="Z3681" s="317"/>
    </row>
    <row r="3682" spans="1:26" x14ac:dyDescent="0.25">
      <c r="A3682" s="314"/>
      <c r="B3682" s="18">
        <v>2023</v>
      </c>
      <c r="C3682" s="18" t="s">
        <v>787</v>
      </c>
      <c r="D3682" s="18" t="s">
        <v>1637</v>
      </c>
      <c r="E3682" s="18" t="s">
        <v>703</v>
      </c>
      <c r="F3682" s="18" t="s">
        <v>704</v>
      </c>
      <c r="G3682" s="18" t="s">
        <v>678</v>
      </c>
      <c r="H3682" s="18" t="s">
        <v>1638</v>
      </c>
      <c r="I3682" s="315">
        <v>2.1259771243746641</v>
      </c>
      <c r="J3682" s="315">
        <v>1.2691406626283033E-3</v>
      </c>
      <c r="K3682" s="316" t="str">
        <f t="shared" si="58"/>
        <v>Agricultural Equipment</v>
      </c>
      <c r="L3682" s="316" t="str">
        <f t="shared" si="59"/>
        <v>Gasoline</v>
      </c>
      <c r="M3682" s="194"/>
      <c r="N3682" s="317"/>
      <c r="O3682" s="317"/>
      <c r="P3682" s="317"/>
      <c r="Q3682" s="317"/>
      <c r="R3682" s="317"/>
      <c r="S3682" s="317"/>
      <c r="T3682" s="317"/>
      <c r="U3682" s="317"/>
      <c r="V3682" s="317"/>
      <c r="W3682" s="317"/>
      <c r="X3682" s="317"/>
      <c r="Y3682" s="317"/>
      <c r="Z3682" s="317"/>
    </row>
    <row r="3683" spans="1:26" x14ac:dyDescent="0.25">
      <c r="A3683" s="314"/>
      <c r="B3683" s="18">
        <v>2023</v>
      </c>
      <c r="C3683" s="18" t="s">
        <v>793</v>
      </c>
      <c r="D3683" s="18" t="s">
        <v>1366</v>
      </c>
      <c r="E3683" s="18" t="s">
        <v>703</v>
      </c>
      <c r="F3683" s="18" t="s">
        <v>704</v>
      </c>
      <c r="G3683" s="18" t="s">
        <v>674</v>
      </c>
      <c r="H3683" s="18" t="s">
        <v>791</v>
      </c>
      <c r="I3683" s="315">
        <v>2.1114333135089653</v>
      </c>
      <c r="J3683" s="315">
        <v>6.5945530181858183E-4</v>
      </c>
      <c r="K3683" s="316" t="str">
        <f t="shared" si="58"/>
        <v>Construction and Mining Equipment</v>
      </c>
      <c r="L3683" s="316" t="str">
        <f t="shared" si="59"/>
        <v>Gasoline</v>
      </c>
      <c r="M3683" s="194"/>
      <c r="N3683" s="317"/>
      <c r="O3683" s="317"/>
      <c r="P3683" s="317"/>
      <c r="Q3683" s="317"/>
      <c r="R3683" s="317"/>
      <c r="S3683" s="317"/>
      <c r="T3683" s="317"/>
      <c r="U3683" s="317"/>
      <c r="V3683" s="317"/>
      <c r="W3683" s="317"/>
      <c r="X3683" s="317"/>
      <c r="Y3683" s="317"/>
      <c r="Z3683" s="317"/>
    </row>
    <row r="3684" spans="1:26" x14ac:dyDescent="0.25">
      <c r="A3684" s="314"/>
      <c r="B3684" s="18">
        <v>2023</v>
      </c>
      <c r="C3684" s="18" t="s">
        <v>810</v>
      </c>
      <c r="D3684" s="18" t="s">
        <v>1281</v>
      </c>
      <c r="E3684" s="18" t="s">
        <v>703</v>
      </c>
      <c r="F3684" s="18" t="s">
        <v>704</v>
      </c>
      <c r="G3684" s="18" t="s">
        <v>674</v>
      </c>
      <c r="H3684" s="18" t="s">
        <v>770</v>
      </c>
      <c r="I3684" s="315">
        <v>2.0909541522651818</v>
      </c>
      <c r="J3684" s="315">
        <v>2.3339540817317821E-4</v>
      </c>
      <c r="K3684" s="316" t="str">
        <f t="shared" si="58"/>
        <v>Construction and Mining Equipment</v>
      </c>
      <c r="L3684" s="316" t="str">
        <f t="shared" si="59"/>
        <v>Gasoline</v>
      </c>
      <c r="M3684" s="194"/>
      <c r="N3684" s="317"/>
      <c r="O3684" s="317"/>
      <c r="P3684" s="317"/>
      <c r="Q3684" s="317"/>
      <c r="R3684" s="317"/>
      <c r="S3684" s="317"/>
      <c r="T3684" s="317"/>
      <c r="U3684" s="317"/>
      <c r="V3684" s="317"/>
      <c r="W3684" s="317"/>
      <c r="X3684" s="317"/>
      <c r="Y3684" s="317"/>
      <c r="Z3684" s="317"/>
    </row>
    <row r="3685" spans="1:26" x14ac:dyDescent="0.25">
      <c r="A3685" s="314"/>
      <c r="B3685" s="18">
        <v>2023</v>
      </c>
      <c r="C3685" s="18" t="s">
        <v>722</v>
      </c>
      <c r="D3685" s="18" t="s">
        <v>1460</v>
      </c>
      <c r="E3685" s="18" t="s">
        <v>703</v>
      </c>
      <c r="F3685" s="18" t="s">
        <v>704</v>
      </c>
      <c r="G3685" s="18" t="s">
        <v>678</v>
      </c>
      <c r="H3685" s="18" t="s">
        <v>1080</v>
      </c>
      <c r="I3685" s="315">
        <v>2.0833877509163981</v>
      </c>
      <c r="J3685" s="315">
        <v>1.268668853311583E-3</v>
      </c>
      <c r="K3685" s="316" t="str">
        <f t="shared" si="58"/>
        <v>Agricultural Equipment</v>
      </c>
      <c r="L3685" s="316" t="str">
        <f t="shared" si="59"/>
        <v>Gasoline</v>
      </c>
      <c r="M3685" s="194"/>
      <c r="N3685" s="317"/>
      <c r="O3685" s="317"/>
      <c r="P3685" s="317"/>
      <c r="Q3685" s="317"/>
      <c r="R3685" s="317"/>
      <c r="S3685" s="317"/>
      <c r="T3685" s="317"/>
      <c r="U3685" s="317"/>
      <c r="V3685" s="317"/>
      <c r="W3685" s="317"/>
      <c r="X3685" s="317"/>
      <c r="Y3685" s="317"/>
      <c r="Z3685" s="317"/>
    </row>
    <row r="3686" spans="1:26" x14ac:dyDescent="0.25">
      <c r="A3686" s="314"/>
      <c r="B3686" s="18">
        <v>2023</v>
      </c>
      <c r="C3686" s="18" t="s">
        <v>743</v>
      </c>
      <c r="D3686" s="18" t="s">
        <v>991</v>
      </c>
      <c r="E3686" s="18" t="s">
        <v>703</v>
      </c>
      <c r="F3686" s="18" t="s">
        <v>795</v>
      </c>
      <c r="G3686" s="18" t="s">
        <v>680</v>
      </c>
      <c r="H3686" s="18" t="s">
        <v>992</v>
      </c>
      <c r="I3686" s="315">
        <v>2.0825384007420444</v>
      </c>
      <c r="J3686" s="315">
        <v>6.0173927604151485E-4</v>
      </c>
      <c r="K3686" s="316" t="str">
        <f t="shared" si="58"/>
        <v>Airport Ground Support Equipment</v>
      </c>
      <c r="L3686" s="316" t="str">
        <f t="shared" si="59"/>
        <v>Gasoline</v>
      </c>
      <c r="M3686" s="194"/>
      <c r="N3686" s="317"/>
      <c r="O3686" s="317"/>
      <c r="P3686" s="317"/>
      <c r="Q3686" s="317"/>
      <c r="R3686" s="317"/>
      <c r="S3686" s="317"/>
      <c r="T3686" s="317"/>
      <c r="U3686" s="317"/>
      <c r="V3686" s="317"/>
      <c r="W3686" s="317"/>
      <c r="X3686" s="317"/>
      <c r="Y3686" s="317"/>
      <c r="Z3686" s="317"/>
    </row>
    <row r="3687" spans="1:26" x14ac:dyDescent="0.25">
      <c r="A3687" s="314"/>
      <c r="B3687" s="18">
        <v>2023</v>
      </c>
      <c r="C3687" s="18" t="s">
        <v>773</v>
      </c>
      <c r="D3687" s="18" t="s">
        <v>1457</v>
      </c>
      <c r="E3687" s="18" t="s">
        <v>56</v>
      </c>
      <c r="F3687" s="18" t="s">
        <v>601</v>
      </c>
      <c r="G3687" s="18" t="s">
        <v>675</v>
      </c>
      <c r="H3687" s="18" t="s">
        <v>772</v>
      </c>
      <c r="I3687" s="315">
        <v>2.0797505973070187</v>
      </c>
      <c r="J3687" s="315">
        <v>8.483322687391652E-3</v>
      </c>
      <c r="K3687" s="316" t="str">
        <f t="shared" si="58"/>
        <v>Industrial Equipment</v>
      </c>
      <c r="L3687" s="316" t="str">
        <f t="shared" si="59"/>
        <v>CNG</v>
      </c>
      <c r="M3687" s="194"/>
      <c r="N3687" s="317"/>
      <c r="O3687" s="317"/>
      <c r="P3687" s="317"/>
      <c r="Q3687" s="317"/>
      <c r="R3687" s="317"/>
      <c r="S3687" s="317"/>
      <c r="T3687" s="317"/>
      <c r="U3687" s="317"/>
      <c r="V3687" s="317"/>
      <c r="W3687" s="317"/>
      <c r="X3687" s="317"/>
      <c r="Y3687" s="317"/>
      <c r="Z3687" s="317"/>
    </row>
    <row r="3688" spans="1:26" x14ac:dyDescent="0.25">
      <c r="A3688" s="314"/>
      <c r="B3688" s="18">
        <v>2023</v>
      </c>
      <c r="C3688" s="18" t="s">
        <v>732</v>
      </c>
      <c r="D3688" s="18" t="s">
        <v>1708</v>
      </c>
      <c r="E3688" s="18" t="s">
        <v>703</v>
      </c>
      <c r="F3688" s="18" t="s">
        <v>704</v>
      </c>
      <c r="G3688" s="18" t="s">
        <v>678</v>
      </c>
      <c r="H3688" s="18" t="s">
        <v>1709</v>
      </c>
      <c r="I3688" s="315">
        <v>2.0760898203669629</v>
      </c>
      <c r="J3688" s="315">
        <v>1.4063317732432273E-3</v>
      </c>
      <c r="K3688" s="316" t="str">
        <f t="shared" si="58"/>
        <v>Agricultural Equipment</v>
      </c>
      <c r="L3688" s="316" t="str">
        <f t="shared" si="59"/>
        <v>Gasoline</v>
      </c>
      <c r="M3688" s="194"/>
      <c r="N3688" s="317"/>
      <c r="O3688" s="317"/>
      <c r="P3688" s="317"/>
      <c r="Q3688" s="317"/>
      <c r="R3688" s="317"/>
      <c r="S3688" s="317"/>
      <c r="T3688" s="317"/>
      <c r="U3688" s="317"/>
      <c r="V3688" s="317"/>
      <c r="W3688" s="317"/>
      <c r="X3688" s="317"/>
      <c r="Y3688" s="317"/>
      <c r="Z3688" s="317"/>
    </row>
    <row r="3689" spans="1:26" x14ac:dyDescent="0.25">
      <c r="A3689" s="314"/>
      <c r="B3689" s="18">
        <v>2023</v>
      </c>
      <c r="C3689" s="18" t="s">
        <v>759</v>
      </c>
      <c r="D3689" s="18" t="s">
        <v>1071</v>
      </c>
      <c r="E3689" s="18" t="s">
        <v>713</v>
      </c>
      <c r="F3689" s="18" t="s">
        <v>714</v>
      </c>
      <c r="G3689" s="18" t="s">
        <v>674</v>
      </c>
      <c r="H3689" s="18" t="s">
        <v>1072</v>
      </c>
      <c r="I3689" s="315">
        <v>2.0700030761017629</v>
      </c>
      <c r="J3689" s="315">
        <v>2.7715980436927145E-5</v>
      </c>
      <c r="K3689" s="316" t="str">
        <f t="shared" si="58"/>
        <v>Construction and Mining Equipment</v>
      </c>
      <c r="L3689" s="316" t="str">
        <f t="shared" si="59"/>
        <v>Diesel</v>
      </c>
      <c r="M3689" s="194"/>
      <c r="N3689" s="317"/>
      <c r="O3689" s="317"/>
      <c r="P3689" s="317"/>
      <c r="Q3689" s="317"/>
      <c r="R3689" s="317"/>
      <c r="S3689" s="317"/>
      <c r="T3689" s="317"/>
      <c r="U3689" s="317"/>
      <c r="V3689" s="317"/>
      <c r="W3689" s="317"/>
      <c r="X3689" s="317"/>
      <c r="Y3689" s="317"/>
      <c r="Z3689" s="317"/>
    </row>
    <row r="3690" spans="1:26" x14ac:dyDescent="0.25">
      <c r="A3690" s="314"/>
      <c r="B3690" s="18">
        <v>2023</v>
      </c>
      <c r="C3690" s="18" t="s">
        <v>709</v>
      </c>
      <c r="D3690" s="18" t="s">
        <v>1679</v>
      </c>
      <c r="E3690" s="18" t="s">
        <v>56</v>
      </c>
      <c r="F3690" s="18" t="s">
        <v>672</v>
      </c>
      <c r="G3690" s="18" t="s">
        <v>674</v>
      </c>
      <c r="H3690" s="18" t="s">
        <v>959</v>
      </c>
      <c r="I3690" s="315">
        <v>2.0655355151988188</v>
      </c>
      <c r="J3690" s="315">
        <v>3.5086029308492724E-4</v>
      </c>
      <c r="K3690" s="316" t="str">
        <f t="shared" si="58"/>
        <v>Construction and Mining Equipment</v>
      </c>
      <c r="L3690" s="316" t="str">
        <f t="shared" si="59"/>
        <v>LPG</v>
      </c>
      <c r="M3690" s="194"/>
      <c r="N3690" s="317"/>
      <c r="O3690" s="317"/>
      <c r="P3690" s="317"/>
      <c r="Q3690" s="317"/>
      <c r="R3690" s="317"/>
      <c r="S3690" s="317"/>
      <c r="T3690" s="317"/>
      <c r="U3690" s="317"/>
      <c r="V3690" s="317"/>
      <c r="W3690" s="317"/>
      <c r="X3690" s="317"/>
      <c r="Y3690" s="317"/>
      <c r="Z3690" s="317"/>
    </row>
    <row r="3691" spans="1:26" x14ac:dyDescent="0.25">
      <c r="A3691" s="314"/>
      <c r="B3691" s="18">
        <v>2023</v>
      </c>
      <c r="C3691" s="18" t="s">
        <v>773</v>
      </c>
      <c r="D3691" s="18" t="s">
        <v>1360</v>
      </c>
      <c r="E3691" s="18" t="s">
        <v>713</v>
      </c>
      <c r="F3691" s="18" t="s">
        <v>714</v>
      </c>
      <c r="G3691" s="18" t="s">
        <v>674</v>
      </c>
      <c r="H3691" s="18" t="s">
        <v>1220</v>
      </c>
      <c r="I3691" s="315">
        <v>2.059559330120738</v>
      </c>
      <c r="J3691" s="315">
        <v>9.1617170504933849E-5</v>
      </c>
      <c r="K3691" s="316" t="str">
        <f t="shared" si="58"/>
        <v>Construction and Mining Equipment</v>
      </c>
      <c r="L3691" s="316" t="str">
        <f t="shared" si="59"/>
        <v>Diesel</v>
      </c>
      <c r="M3691" s="194"/>
      <c r="N3691" s="317"/>
      <c r="O3691" s="317"/>
      <c r="P3691" s="317"/>
      <c r="Q3691" s="317"/>
      <c r="R3691" s="317"/>
      <c r="S3691" s="317"/>
      <c r="T3691" s="317"/>
      <c r="U3691" s="317"/>
      <c r="V3691" s="317"/>
      <c r="W3691" s="317"/>
      <c r="X3691" s="317"/>
      <c r="Y3691" s="317"/>
      <c r="Z3691" s="317"/>
    </row>
    <row r="3692" spans="1:26" x14ac:dyDescent="0.25">
      <c r="A3692" s="314"/>
      <c r="B3692" s="18">
        <v>2023</v>
      </c>
      <c r="C3692" s="18" t="s">
        <v>793</v>
      </c>
      <c r="D3692" s="18" t="s">
        <v>1409</v>
      </c>
      <c r="E3692" s="18" t="s">
        <v>703</v>
      </c>
      <c r="F3692" s="18" t="s">
        <v>704</v>
      </c>
      <c r="G3692" s="18" t="s">
        <v>678</v>
      </c>
      <c r="H3692" s="18" t="s">
        <v>1222</v>
      </c>
      <c r="I3692" s="315">
        <v>2.0540075779564</v>
      </c>
      <c r="J3692" s="315">
        <v>1.3547312855754716E-3</v>
      </c>
      <c r="K3692" s="316" t="str">
        <f t="shared" si="58"/>
        <v>Agricultural Equipment</v>
      </c>
      <c r="L3692" s="316" t="str">
        <f t="shared" si="59"/>
        <v>Gasoline</v>
      </c>
      <c r="M3692" s="194"/>
      <c r="N3692" s="317"/>
      <c r="O3692" s="317"/>
      <c r="P3692" s="317"/>
      <c r="Q3692" s="317"/>
      <c r="R3692" s="317"/>
      <c r="S3692" s="317"/>
      <c r="T3692" s="317"/>
      <c r="U3692" s="317"/>
      <c r="V3692" s="317"/>
      <c r="W3692" s="317"/>
      <c r="X3692" s="317"/>
      <c r="Y3692" s="317"/>
      <c r="Z3692" s="317"/>
    </row>
    <row r="3693" spans="1:26" x14ac:dyDescent="0.25">
      <c r="A3693" s="314"/>
      <c r="B3693" s="18">
        <v>2023</v>
      </c>
      <c r="C3693" s="18" t="s">
        <v>792</v>
      </c>
      <c r="D3693" s="18" t="s">
        <v>1017</v>
      </c>
      <c r="E3693" s="18" t="s">
        <v>703</v>
      </c>
      <c r="F3693" s="18" t="s">
        <v>704</v>
      </c>
      <c r="G3693" s="18" t="s">
        <v>673</v>
      </c>
      <c r="H3693" s="18" t="s">
        <v>806</v>
      </c>
      <c r="I3693" s="315">
        <v>2.0466997441651795</v>
      </c>
      <c r="J3693" s="315">
        <v>1.4506081709288407E-3</v>
      </c>
      <c r="K3693" s="316" t="str">
        <f t="shared" si="58"/>
        <v>Lawn and Garden Equipment</v>
      </c>
      <c r="L3693" s="316" t="str">
        <f t="shared" si="59"/>
        <v>Gasoline</v>
      </c>
      <c r="M3693" s="194"/>
      <c r="N3693" s="317"/>
      <c r="O3693" s="317"/>
      <c r="P3693" s="317"/>
      <c r="Q3693" s="317"/>
      <c r="R3693" s="317"/>
      <c r="S3693" s="317"/>
      <c r="T3693" s="317"/>
      <c r="U3693" s="317"/>
      <c r="V3693" s="317"/>
      <c r="W3693" s="317"/>
      <c r="X3693" s="317"/>
      <c r="Y3693" s="317"/>
      <c r="Z3693" s="317"/>
    </row>
    <row r="3694" spans="1:26" x14ac:dyDescent="0.25">
      <c r="A3694" s="314"/>
      <c r="B3694" s="18">
        <v>2023</v>
      </c>
      <c r="C3694" s="18" t="s">
        <v>710</v>
      </c>
      <c r="D3694" s="18" t="s">
        <v>1317</v>
      </c>
      <c r="E3694" s="18" t="s">
        <v>713</v>
      </c>
      <c r="F3694" s="18" t="s">
        <v>714</v>
      </c>
      <c r="G3694" s="18" t="s">
        <v>673</v>
      </c>
      <c r="H3694" s="18" t="s">
        <v>865</v>
      </c>
      <c r="I3694" s="315">
        <v>2.04290977296204</v>
      </c>
      <c r="J3694" s="315">
        <v>6.4521535828962676E-5</v>
      </c>
      <c r="K3694" s="316" t="str">
        <f t="shared" si="58"/>
        <v>Lawn and Garden Equipment</v>
      </c>
      <c r="L3694" s="316" t="str">
        <f t="shared" si="59"/>
        <v>Diesel</v>
      </c>
      <c r="M3694" s="194"/>
      <c r="N3694" s="317"/>
      <c r="O3694" s="317"/>
      <c r="P3694" s="317"/>
      <c r="Q3694" s="317"/>
      <c r="R3694" s="317"/>
      <c r="S3694" s="317"/>
      <c r="T3694" s="317"/>
      <c r="U3694" s="317"/>
      <c r="V3694" s="317"/>
      <c r="W3694" s="317"/>
      <c r="X3694" s="317"/>
      <c r="Y3694" s="317"/>
      <c r="Z3694" s="317"/>
    </row>
    <row r="3695" spans="1:26" x14ac:dyDescent="0.25">
      <c r="A3695" s="314"/>
      <c r="B3695" s="18">
        <v>2023</v>
      </c>
      <c r="C3695" s="18" t="s">
        <v>743</v>
      </c>
      <c r="D3695" s="18" t="s">
        <v>1394</v>
      </c>
      <c r="E3695" s="18" t="s">
        <v>703</v>
      </c>
      <c r="F3695" s="18" t="s">
        <v>805</v>
      </c>
      <c r="G3695" s="18" t="s">
        <v>681</v>
      </c>
      <c r="H3695" s="18" t="s">
        <v>1395</v>
      </c>
      <c r="I3695" s="315">
        <v>2.0376090975632275</v>
      </c>
      <c r="J3695" s="315">
        <v>3.5293702688227193E-3</v>
      </c>
      <c r="K3695" s="316" t="str">
        <f t="shared" si="58"/>
        <v>Logging Equipment</v>
      </c>
      <c r="L3695" s="316" t="str">
        <f t="shared" si="59"/>
        <v>Gasoline</v>
      </c>
      <c r="M3695" s="194"/>
      <c r="N3695" s="317"/>
      <c r="O3695" s="317"/>
      <c r="P3695" s="317"/>
      <c r="Q3695" s="317"/>
      <c r="R3695" s="317"/>
      <c r="S3695" s="317"/>
      <c r="T3695" s="317"/>
      <c r="U3695" s="317"/>
      <c r="V3695" s="317"/>
      <c r="W3695" s="317"/>
      <c r="X3695" s="317"/>
      <c r="Y3695" s="317"/>
      <c r="Z3695" s="317"/>
    </row>
    <row r="3696" spans="1:26" x14ac:dyDescent="0.25">
      <c r="A3696" s="314"/>
      <c r="B3696" s="18">
        <v>2023</v>
      </c>
      <c r="C3696" s="18" t="s">
        <v>743</v>
      </c>
      <c r="D3696" s="18" t="s">
        <v>1445</v>
      </c>
      <c r="E3696" s="18" t="s">
        <v>56</v>
      </c>
      <c r="F3696" s="18" t="s">
        <v>601</v>
      </c>
      <c r="G3696" s="18" t="s">
        <v>677</v>
      </c>
      <c r="H3696" s="18" t="s">
        <v>841</v>
      </c>
      <c r="I3696" s="315">
        <v>2.0372224543355895</v>
      </c>
      <c r="J3696" s="315">
        <v>2.213359675253131E-2</v>
      </c>
      <c r="K3696" s="316" t="str">
        <f t="shared" si="58"/>
        <v>Commercial Equipment</v>
      </c>
      <c r="L3696" s="316" t="str">
        <f t="shared" si="59"/>
        <v>CNG</v>
      </c>
      <c r="M3696" s="194"/>
      <c r="N3696" s="317"/>
      <c r="O3696" s="317"/>
      <c r="P3696" s="317"/>
      <c r="Q3696" s="317"/>
      <c r="R3696" s="317"/>
      <c r="S3696" s="317"/>
      <c r="T3696" s="317"/>
      <c r="U3696" s="317"/>
      <c r="V3696" s="317"/>
      <c r="W3696" s="317"/>
      <c r="X3696" s="317"/>
      <c r="Y3696" s="317"/>
      <c r="Z3696" s="317"/>
    </row>
    <row r="3697" spans="1:26" x14ac:dyDescent="0.25">
      <c r="A3697" s="314"/>
      <c r="B3697" s="18">
        <v>2023</v>
      </c>
      <c r="C3697" s="18" t="s">
        <v>787</v>
      </c>
      <c r="D3697" s="18" t="s">
        <v>1416</v>
      </c>
      <c r="E3697" s="18" t="s">
        <v>56</v>
      </c>
      <c r="F3697" s="18" t="s">
        <v>672</v>
      </c>
      <c r="G3697" s="18" t="s">
        <v>674</v>
      </c>
      <c r="H3697" s="18" t="s">
        <v>861</v>
      </c>
      <c r="I3697" s="315">
        <v>2.0369672149050784</v>
      </c>
      <c r="J3697" s="315">
        <v>1.3758983649598858E-3</v>
      </c>
      <c r="K3697" s="316" t="str">
        <f t="shared" si="58"/>
        <v>Construction and Mining Equipment</v>
      </c>
      <c r="L3697" s="316" t="str">
        <f t="shared" si="59"/>
        <v>LPG</v>
      </c>
      <c r="M3697" s="194"/>
      <c r="N3697" s="317"/>
      <c r="O3697" s="317"/>
      <c r="P3697" s="317"/>
      <c r="Q3697" s="317"/>
      <c r="R3697" s="317"/>
      <c r="S3697" s="317"/>
      <c r="T3697" s="317"/>
      <c r="U3697" s="317"/>
      <c r="V3697" s="317"/>
      <c r="W3697" s="317"/>
      <c r="X3697" s="317"/>
      <c r="Y3697" s="317"/>
      <c r="Z3697" s="317"/>
    </row>
    <row r="3698" spans="1:26" x14ac:dyDescent="0.25">
      <c r="A3698" s="314"/>
      <c r="B3698" s="18">
        <v>2023</v>
      </c>
      <c r="C3698" s="18" t="s">
        <v>773</v>
      </c>
      <c r="D3698" s="18" t="s">
        <v>1361</v>
      </c>
      <c r="E3698" s="18" t="s">
        <v>56</v>
      </c>
      <c r="F3698" s="18" t="s">
        <v>672</v>
      </c>
      <c r="G3698" s="18" t="s">
        <v>674</v>
      </c>
      <c r="H3698" s="18" t="s">
        <v>783</v>
      </c>
      <c r="I3698" s="315">
        <v>2.034321248471501</v>
      </c>
      <c r="J3698" s="315">
        <v>9.338851544127272E-5</v>
      </c>
      <c r="K3698" s="316" t="str">
        <f t="shared" si="58"/>
        <v>Construction and Mining Equipment</v>
      </c>
      <c r="L3698" s="316" t="str">
        <f t="shared" si="59"/>
        <v>LPG</v>
      </c>
      <c r="M3698" s="194"/>
      <c r="N3698" s="317"/>
      <c r="O3698" s="317"/>
      <c r="P3698" s="317"/>
      <c r="Q3698" s="317"/>
      <c r="R3698" s="317"/>
      <c r="S3698" s="317"/>
      <c r="T3698" s="317"/>
      <c r="U3698" s="317"/>
      <c r="V3698" s="317"/>
      <c r="W3698" s="317"/>
      <c r="X3698" s="317"/>
      <c r="Y3698" s="317"/>
      <c r="Z3698" s="317"/>
    </row>
    <row r="3699" spans="1:26" x14ac:dyDescent="0.25">
      <c r="A3699" s="314"/>
      <c r="B3699" s="18">
        <v>2023</v>
      </c>
      <c r="C3699" s="18" t="s">
        <v>762</v>
      </c>
      <c r="D3699" s="18" t="s">
        <v>1227</v>
      </c>
      <c r="E3699" s="18" t="s">
        <v>56</v>
      </c>
      <c r="F3699" s="18" t="s">
        <v>672</v>
      </c>
      <c r="G3699" s="18" t="s">
        <v>674</v>
      </c>
      <c r="H3699" s="18" t="s">
        <v>850</v>
      </c>
      <c r="I3699" s="315">
        <v>2.0245525177309118</v>
      </c>
      <c r="J3699" s="315">
        <v>1.3000876195231673E-4</v>
      </c>
      <c r="K3699" s="316" t="str">
        <f t="shared" si="58"/>
        <v>Construction and Mining Equipment</v>
      </c>
      <c r="L3699" s="316" t="str">
        <f t="shared" si="59"/>
        <v>LPG</v>
      </c>
      <c r="M3699" s="194"/>
      <c r="N3699" s="317"/>
      <c r="O3699" s="317"/>
      <c r="P3699" s="317"/>
      <c r="Q3699" s="317"/>
      <c r="R3699" s="317"/>
      <c r="S3699" s="317"/>
      <c r="T3699" s="317"/>
      <c r="U3699" s="317"/>
      <c r="V3699" s="317"/>
      <c r="W3699" s="317"/>
      <c r="X3699" s="317"/>
      <c r="Y3699" s="317"/>
      <c r="Z3699" s="317"/>
    </row>
    <row r="3700" spans="1:26" x14ac:dyDescent="0.25">
      <c r="A3700" s="314"/>
      <c r="B3700" s="18">
        <v>2023</v>
      </c>
      <c r="C3700" s="18" t="s">
        <v>727</v>
      </c>
      <c r="D3700" s="18" t="s">
        <v>1292</v>
      </c>
      <c r="E3700" s="18" t="s">
        <v>703</v>
      </c>
      <c r="F3700" s="18" t="s">
        <v>795</v>
      </c>
      <c r="G3700" s="18" t="s">
        <v>675</v>
      </c>
      <c r="H3700" s="18" t="s">
        <v>1293</v>
      </c>
      <c r="I3700" s="315">
        <v>2.0216606352245026</v>
      </c>
      <c r="J3700" s="315">
        <v>1.3505811261467749E-3</v>
      </c>
      <c r="K3700" s="316" t="str">
        <f t="shared" si="58"/>
        <v>Industrial Equipment</v>
      </c>
      <c r="L3700" s="316" t="str">
        <f t="shared" si="59"/>
        <v>Gasoline</v>
      </c>
      <c r="M3700" s="194"/>
      <c r="N3700" s="317"/>
      <c r="O3700" s="317"/>
      <c r="P3700" s="317"/>
      <c r="Q3700" s="317"/>
      <c r="R3700" s="317"/>
      <c r="S3700" s="317"/>
      <c r="T3700" s="317"/>
      <c r="U3700" s="317"/>
      <c r="V3700" s="317"/>
      <c r="W3700" s="317"/>
      <c r="X3700" s="317"/>
      <c r="Y3700" s="317"/>
      <c r="Z3700" s="317"/>
    </row>
    <row r="3701" spans="1:26" x14ac:dyDescent="0.25">
      <c r="A3701" s="314"/>
      <c r="B3701" s="18">
        <v>2023</v>
      </c>
      <c r="C3701" s="18" t="s">
        <v>773</v>
      </c>
      <c r="D3701" s="18" t="s">
        <v>1362</v>
      </c>
      <c r="E3701" s="18" t="s">
        <v>56</v>
      </c>
      <c r="F3701" s="18" t="s">
        <v>672</v>
      </c>
      <c r="G3701" s="18" t="s">
        <v>674</v>
      </c>
      <c r="H3701" s="18" t="s">
        <v>859</v>
      </c>
      <c r="I3701" s="315">
        <v>2.0100410266409221</v>
      </c>
      <c r="J3701" s="315">
        <v>4.9853269329421055E-4</v>
      </c>
      <c r="K3701" s="316" t="str">
        <f t="shared" si="58"/>
        <v>Construction and Mining Equipment</v>
      </c>
      <c r="L3701" s="316" t="str">
        <f t="shared" si="59"/>
        <v>LPG</v>
      </c>
      <c r="M3701" s="194"/>
      <c r="N3701" s="317"/>
      <c r="O3701" s="317"/>
      <c r="P3701" s="317"/>
      <c r="Q3701" s="317"/>
      <c r="R3701" s="317"/>
      <c r="S3701" s="317"/>
      <c r="T3701" s="317"/>
      <c r="U3701" s="317"/>
      <c r="V3701" s="317"/>
      <c r="W3701" s="317"/>
      <c r="X3701" s="317"/>
      <c r="Y3701" s="317"/>
      <c r="Z3701" s="317"/>
    </row>
    <row r="3702" spans="1:26" x14ac:dyDescent="0.25">
      <c r="A3702" s="314"/>
      <c r="B3702" s="18">
        <v>2023</v>
      </c>
      <c r="C3702" s="18" t="s">
        <v>727</v>
      </c>
      <c r="D3702" s="18" t="s">
        <v>1228</v>
      </c>
      <c r="E3702" s="18" t="s">
        <v>703</v>
      </c>
      <c r="F3702" s="18" t="s">
        <v>704</v>
      </c>
      <c r="G3702" s="18" t="s">
        <v>675</v>
      </c>
      <c r="H3702" s="18" t="s">
        <v>1078</v>
      </c>
      <c r="I3702" s="315">
        <v>2.0082660874439666</v>
      </c>
      <c r="J3702" s="315">
        <v>6.7460716382663566E-4</v>
      </c>
      <c r="K3702" s="316" t="str">
        <f t="shared" si="58"/>
        <v>Industrial Equipment</v>
      </c>
      <c r="L3702" s="316" t="str">
        <f t="shared" si="59"/>
        <v>Gasoline</v>
      </c>
      <c r="M3702" s="194"/>
      <c r="N3702" s="317"/>
      <c r="O3702" s="317"/>
      <c r="P3702" s="317"/>
      <c r="Q3702" s="317"/>
      <c r="R3702" s="317"/>
      <c r="S3702" s="317"/>
      <c r="T3702" s="317"/>
      <c r="U3702" s="317"/>
      <c r="V3702" s="317"/>
      <c r="W3702" s="317"/>
      <c r="X3702" s="317"/>
      <c r="Y3702" s="317"/>
      <c r="Z3702" s="317"/>
    </row>
    <row r="3703" spans="1:26" x14ac:dyDescent="0.25">
      <c r="A3703" s="314"/>
      <c r="B3703" s="18">
        <v>2023</v>
      </c>
      <c r="C3703" s="18" t="s">
        <v>743</v>
      </c>
      <c r="D3703" s="18" t="s">
        <v>1657</v>
      </c>
      <c r="E3703" s="18" t="s">
        <v>713</v>
      </c>
      <c r="F3703" s="18" t="s">
        <v>714</v>
      </c>
      <c r="G3703" s="18" t="s">
        <v>678</v>
      </c>
      <c r="H3703" s="18" t="s">
        <v>1638</v>
      </c>
      <c r="I3703" s="315">
        <v>2.0051099313177017</v>
      </c>
      <c r="J3703" s="315">
        <v>2.2252299836842637E-5</v>
      </c>
      <c r="K3703" s="316" t="str">
        <f t="shared" si="58"/>
        <v>Agricultural Equipment</v>
      </c>
      <c r="L3703" s="316" t="str">
        <f t="shared" si="59"/>
        <v>Diesel</v>
      </c>
      <c r="M3703" s="194"/>
      <c r="N3703" s="317"/>
      <c r="O3703" s="317"/>
      <c r="P3703" s="317"/>
      <c r="Q3703" s="317"/>
      <c r="R3703" s="317"/>
      <c r="S3703" s="317"/>
      <c r="T3703" s="317"/>
      <c r="U3703" s="317"/>
      <c r="V3703" s="317"/>
      <c r="W3703" s="317"/>
      <c r="X3703" s="317"/>
      <c r="Y3703" s="317"/>
      <c r="Z3703" s="317"/>
    </row>
    <row r="3704" spans="1:26" x14ac:dyDescent="0.25">
      <c r="A3704" s="314"/>
      <c r="B3704" s="18">
        <v>2023</v>
      </c>
      <c r="C3704" s="18" t="s">
        <v>792</v>
      </c>
      <c r="D3704" s="18" t="s">
        <v>1213</v>
      </c>
      <c r="E3704" s="18" t="s">
        <v>56</v>
      </c>
      <c r="F3704" s="18" t="s">
        <v>672</v>
      </c>
      <c r="G3704" s="18" t="s">
        <v>674</v>
      </c>
      <c r="H3704" s="18" t="s">
        <v>715</v>
      </c>
      <c r="I3704" s="315">
        <v>1.9995627160955594</v>
      </c>
      <c r="J3704" s="315">
        <v>9.0806858058940657E-5</v>
      </c>
      <c r="K3704" s="316" t="str">
        <f t="shared" si="58"/>
        <v>Construction and Mining Equipment</v>
      </c>
      <c r="L3704" s="316" t="str">
        <f t="shared" si="59"/>
        <v>LPG</v>
      </c>
      <c r="M3704" s="194"/>
      <c r="N3704" s="317"/>
      <c r="O3704" s="317"/>
      <c r="P3704" s="317"/>
      <c r="Q3704" s="317"/>
      <c r="R3704" s="317"/>
      <c r="S3704" s="317"/>
      <c r="T3704" s="317"/>
      <c r="U3704" s="317"/>
      <c r="V3704" s="317"/>
      <c r="W3704" s="317"/>
      <c r="X3704" s="317"/>
      <c r="Y3704" s="317"/>
      <c r="Z3704" s="317"/>
    </row>
    <row r="3705" spans="1:26" x14ac:dyDescent="0.25">
      <c r="A3705" s="314"/>
      <c r="B3705" s="18">
        <v>2023</v>
      </c>
      <c r="C3705" s="18" t="s">
        <v>781</v>
      </c>
      <c r="D3705" s="18" t="s">
        <v>1218</v>
      </c>
      <c r="E3705" s="18" t="s">
        <v>703</v>
      </c>
      <c r="F3705" s="18" t="s">
        <v>704</v>
      </c>
      <c r="G3705" s="18" t="s">
        <v>673</v>
      </c>
      <c r="H3705" s="18" t="s">
        <v>996</v>
      </c>
      <c r="I3705" s="315">
        <v>1.9974941603625513</v>
      </c>
      <c r="J3705" s="315">
        <v>1.3891246194196816E-3</v>
      </c>
      <c r="K3705" s="316" t="str">
        <f t="shared" si="58"/>
        <v>Lawn and Garden Equipment</v>
      </c>
      <c r="L3705" s="316" t="str">
        <f t="shared" si="59"/>
        <v>Gasoline</v>
      </c>
      <c r="M3705" s="194"/>
      <c r="N3705" s="317"/>
      <c r="O3705" s="317"/>
      <c r="P3705" s="317"/>
      <c r="Q3705" s="317"/>
      <c r="R3705" s="317"/>
      <c r="S3705" s="317"/>
      <c r="T3705" s="317"/>
      <c r="U3705" s="317"/>
      <c r="V3705" s="317"/>
      <c r="W3705" s="317"/>
      <c r="X3705" s="317"/>
      <c r="Y3705" s="317"/>
      <c r="Z3705" s="317"/>
    </row>
    <row r="3706" spans="1:26" x14ac:dyDescent="0.25">
      <c r="A3706" s="314"/>
      <c r="B3706" s="18">
        <v>2023</v>
      </c>
      <c r="C3706" s="18" t="s">
        <v>754</v>
      </c>
      <c r="D3706" s="18" t="s">
        <v>1435</v>
      </c>
      <c r="E3706" s="18" t="s">
        <v>56</v>
      </c>
      <c r="F3706" s="18" t="s">
        <v>672</v>
      </c>
      <c r="G3706" s="18" t="s">
        <v>674</v>
      </c>
      <c r="H3706" s="18" t="s">
        <v>863</v>
      </c>
      <c r="I3706" s="315">
        <v>1.9951161279032525</v>
      </c>
      <c r="J3706" s="315">
        <v>1.3286629088707862E-4</v>
      </c>
      <c r="K3706" s="316" t="str">
        <f t="shared" si="58"/>
        <v>Construction and Mining Equipment</v>
      </c>
      <c r="L3706" s="316" t="str">
        <f t="shared" si="59"/>
        <v>LPG</v>
      </c>
      <c r="M3706" s="194"/>
      <c r="N3706" s="317"/>
      <c r="O3706" s="317"/>
      <c r="P3706" s="317"/>
      <c r="Q3706" s="317"/>
      <c r="R3706" s="317"/>
      <c r="S3706" s="317"/>
      <c r="T3706" s="317"/>
      <c r="U3706" s="317"/>
      <c r="V3706" s="317"/>
      <c r="W3706" s="317"/>
      <c r="X3706" s="317"/>
      <c r="Y3706" s="317"/>
      <c r="Z3706" s="317"/>
    </row>
    <row r="3707" spans="1:26" x14ac:dyDescent="0.25">
      <c r="A3707" s="314"/>
      <c r="B3707" s="18">
        <v>2023</v>
      </c>
      <c r="C3707" s="18" t="s">
        <v>760</v>
      </c>
      <c r="D3707" s="18" t="s">
        <v>1637</v>
      </c>
      <c r="E3707" s="18" t="s">
        <v>703</v>
      </c>
      <c r="F3707" s="18" t="s">
        <v>704</v>
      </c>
      <c r="G3707" s="18" t="s">
        <v>678</v>
      </c>
      <c r="H3707" s="18" t="s">
        <v>1638</v>
      </c>
      <c r="I3707" s="315">
        <v>1.991561958070927</v>
      </c>
      <c r="J3707" s="315">
        <v>1.1886213981157929E-3</v>
      </c>
      <c r="K3707" s="316" t="str">
        <f t="shared" si="58"/>
        <v>Agricultural Equipment</v>
      </c>
      <c r="L3707" s="316" t="str">
        <f t="shared" si="59"/>
        <v>Gasoline</v>
      </c>
      <c r="M3707" s="194"/>
      <c r="N3707" s="317"/>
      <c r="O3707" s="317"/>
      <c r="P3707" s="317"/>
      <c r="Q3707" s="317"/>
      <c r="R3707" s="317"/>
      <c r="S3707" s="317"/>
      <c r="T3707" s="317"/>
      <c r="U3707" s="317"/>
      <c r="V3707" s="317"/>
      <c r="W3707" s="317"/>
      <c r="X3707" s="317"/>
      <c r="Y3707" s="317"/>
      <c r="Z3707" s="317"/>
    </row>
    <row r="3708" spans="1:26" x14ac:dyDescent="0.25">
      <c r="A3708" s="314"/>
      <c r="B3708" s="18">
        <v>2023</v>
      </c>
      <c r="C3708" s="18" t="s">
        <v>743</v>
      </c>
      <c r="D3708" s="18" t="s">
        <v>1617</v>
      </c>
      <c r="E3708" s="18" t="s">
        <v>703</v>
      </c>
      <c r="F3708" s="18" t="s">
        <v>805</v>
      </c>
      <c r="G3708" s="18" t="s">
        <v>675</v>
      </c>
      <c r="H3708" s="18" t="s">
        <v>802</v>
      </c>
      <c r="I3708" s="315">
        <v>1.9852105582387702</v>
      </c>
      <c r="J3708" s="315">
        <v>4.4357605510300093E-3</v>
      </c>
      <c r="K3708" s="316" t="str">
        <f t="shared" si="58"/>
        <v>Industrial Equipment</v>
      </c>
      <c r="L3708" s="316" t="str">
        <f t="shared" si="59"/>
        <v>Gasoline</v>
      </c>
      <c r="M3708" s="194"/>
      <c r="N3708" s="317"/>
      <c r="O3708" s="317"/>
      <c r="P3708" s="317"/>
      <c r="Q3708" s="317"/>
      <c r="R3708" s="317"/>
      <c r="S3708" s="317"/>
      <c r="T3708" s="317"/>
      <c r="U3708" s="317"/>
      <c r="V3708" s="317"/>
      <c r="W3708" s="317"/>
      <c r="X3708" s="317"/>
      <c r="Y3708" s="317"/>
      <c r="Z3708" s="317"/>
    </row>
    <row r="3709" spans="1:26" x14ac:dyDescent="0.25">
      <c r="A3709" s="314"/>
      <c r="B3709" s="18">
        <v>2023</v>
      </c>
      <c r="C3709" s="18" t="s">
        <v>792</v>
      </c>
      <c r="D3709" s="18" t="s">
        <v>1214</v>
      </c>
      <c r="E3709" s="18" t="s">
        <v>713</v>
      </c>
      <c r="F3709" s="18" t="s">
        <v>714</v>
      </c>
      <c r="G3709" s="18" t="s">
        <v>674</v>
      </c>
      <c r="H3709" s="18" t="s">
        <v>999</v>
      </c>
      <c r="I3709" s="315">
        <v>1.983902419624499</v>
      </c>
      <c r="J3709" s="315">
        <v>5.8733315556730148E-5</v>
      </c>
      <c r="K3709" s="316" t="str">
        <f t="shared" si="58"/>
        <v>Construction and Mining Equipment</v>
      </c>
      <c r="L3709" s="316" t="str">
        <f t="shared" si="59"/>
        <v>Diesel</v>
      </c>
      <c r="M3709" s="194"/>
      <c r="N3709" s="317"/>
      <c r="O3709" s="317"/>
      <c r="P3709" s="317"/>
      <c r="Q3709" s="317"/>
      <c r="R3709" s="317"/>
      <c r="S3709" s="317"/>
      <c r="T3709" s="317"/>
      <c r="U3709" s="317"/>
      <c r="V3709" s="317"/>
      <c r="W3709" s="317"/>
      <c r="X3709" s="317"/>
      <c r="Y3709" s="317"/>
      <c r="Z3709" s="317"/>
    </row>
    <row r="3710" spans="1:26" x14ac:dyDescent="0.25">
      <c r="A3710" s="314"/>
      <c r="B3710" s="18">
        <v>2023</v>
      </c>
      <c r="C3710" s="18" t="s">
        <v>759</v>
      </c>
      <c r="D3710" s="18" t="s">
        <v>1075</v>
      </c>
      <c r="E3710" s="18" t="s">
        <v>56</v>
      </c>
      <c r="F3710" s="18" t="s">
        <v>672</v>
      </c>
      <c r="G3710" s="18" t="s">
        <v>675</v>
      </c>
      <c r="H3710" s="18" t="s">
        <v>772</v>
      </c>
      <c r="I3710" s="315">
        <v>1.9825466310740945</v>
      </c>
      <c r="J3710" s="315">
        <v>9.1335066854210826E-5</v>
      </c>
      <c r="K3710" s="316" t="str">
        <f t="shared" si="58"/>
        <v>Industrial Equipment</v>
      </c>
      <c r="L3710" s="316" t="str">
        <f t="shared" si="59"/>
        <v>LPG</v>
      </c>
      <c r="M3710" s="194"/>
      <c r="N3710" s="317"/>
      <c r="O3710" s="317"/>
      <c r="P3710" s="317"/>
      <c r="Q3710" s="317"/>
      <c r="R3710" s="317"/>
      <c r="S3710" s="317"/>
      <c r="T3710" s="317"/>
      <c r="U3710" s="317"/>
      <c r="V3710" s="317"/>
      <c r="W3710" s="317"/>
      <c r="X3710" s="317"/>
      <c r="Y3710" s="317"/>
      <c r="Z3710" s="317"/>
    </row>
    <row r="3711" spans="1:26" x14ac:dyDescent="0.25">
      <c r="A3711" s="314"/>
      <c r="B3711" s="18">
        <v>2023</v>
      </c>
      <c r="C3711" s="18" t="s">
        <v>709</v>
      </c>
      <c r="D3711" s="18" t="s">
        <v>1440</v>
      </c>
      <c r="E3711" s="18" t="s">
        <v>703</v>
      </c>
      <c r="F3711" s="18" t="s">
        <v>704</v>
      </c>
      <c r="G3711" s="18" t="s">
        <v>678</v>
      </c>
      <c r="H3711" s="18" t="s">
        <v>1154</v>
      </c>
      <c r="I3711" s="315">
        <v>1.9819244910510396</v>
      </c>
      <c r="J3711" s="315">
        <v>2.0006422499625976E-4</v>
      </c>
      <c r="K3711" s="316" t="str">
        <f t="shared" si="58"/>
        <v>Agricultural Equipment</v>
      </c>
      <c r="L3711" s="316" t="str">
        <f t="shared" si="59"/>
        <v>Gasoline</v>
      </c>
      <c r="M3711" s="194"/>
      <c r="N3711" s="317"/>
      <c r="O3711" s="317"/>
      <c r="P3711" s="317"/>
      <c r="Q3711" s="317"/>
      <c r="R3711" s="317"/>
      <c r="S3711" s="317"/>
      <c r="T3711" s="317"/>
      <c r="U3711" s="317"/>
      <c r="V3711" s="317"/>
      <c r="W3711" s="317"/>
      <c r="X3711" s="317"/>
      <c r="Y3711" s="317"/>
      <c r="Z3711" s="317"/>
    </row>
    <row r="3712" spans="1:26" x14ac:dyDescent="0.25">
      <c r="A3712" s="314"/>
      <c r="B3712" s="18">
        <v>2023</v>
      </c>
      <c r="C3712" s="18" t="s">
        <v>753</v>
      </c>
      <c r="D3712" s="18" t="s">
        <v>1295</v>
      </c>
      <c r="E3712" s="18" t="s">
        <v>703</v>
      </c>
      <c r="F3712" s="18" t="s">
        <v>704</v>
      </c>
      <c r="G3712" s="18" t="s">
        <v>674</v>
      </c>
      <c r="H3712" s="18" t="s">
        <v>859</v>
      </c>
      <c r="I3712" s="315">
        <v>1.9723461471145953</v>
      </c>
      <c r="J3712" s="315">
        <v>6.3543319576051481E-4</v>
      </c>
      <c r="K3712" s="316" t="str">
        <f t="shared" si="58"/>
        <v>Construction and Mining Equipment</v>
      </c>
      <c r="L3712" s="316" t="str">
        <f t="shared" si="59"/>
        <v>Gasoline</v>
      </c>
      <c r="M3712" s="194"/>
      <c r="N3712" s="317"/>
      <c r="O3712" s="317"/>
      <c r="P3712" s="317"/>
      <c r="Q3712" s="317"/>
      <c r="R3712" s="317"/>
      <c r="S3712" s="317"/>
      <c r="T3712" s="317"/>
      <c r="U3712" s="317"/>
      <c r="V3712" s="317"/>
      <c r="W3712" s="317"/>
      <c r="X3712" s="317"/>
      <c r="Y3712" s="317"/>
      <c r="Z3712" s="317"/>
    </row>
    <row r="3713" spans="1:26" x14ac:dyDescent="0.25">
      <c r="A3713" s="314"/>
      <c r="B3713" s="18">
        <v>2023</v>
      </c>
      <c r="C3713" s="18" t="s">
        <v>760</v>
      </c>
      <c r="D3713" s="18" t="s">
        <v>1588</v>
      </c>
      <c r="E3713" s="18" t="s">
        <v>56</v>
      </c>
      <c r="F3713" s="18" t="s">
        <v>1575</v>
      </c>
      <c r="G3713" s="18" t="s">
        <v>675</v>
      </c>
      <c r="H3713" s="18" t="s">
        <v>1589</v>
      </c>
      <c r="I3713" s="315">
        <v>1.9715018837597786</v>
      </c>
      <c r="J3713" s="315">
        <v>8.2967753710368828E-3</v>
      </c>
      <c r="K3713" s="316" t="str">
        <f t="shared" si="58"/>
        <v>Industrial Equipment</v>
      </c>
      <c r="L3713" s="316" t="str">
        <f t="shared" si="59"/>
        <v>CNG</v>
      </c>
      <c r="M3713" s="194"/>
      <c r="N3713" s="317"/>
      <c r="O3713" s="317"/>
      <c r="P3713" s="317"/>
      <c r="Q3713" s="317"/>
      <c r="R3713" s="317"/>
      <c r="S3713" s="317"/>
      <c r="T3713" s="317"/>
      <c r="U3713" s="317"/>
      <c r="V3713" s="317"/>
      <c r="W3713" s="317"/>
      <c r="X3713" s="317"/>
      <c r="Y3713" s="317"/>
      <c r="Z3713" s="317"/>
    </row>
    <row r="3714" spans="1:26" x14ac:dyDescent="0.25">
      <c r="A3714" s="314"/>
      <c r="B3714" s="18">
        <v>2023</v>
      </c>
      <c r="C3714" s="18" t="s">
        <v>773</v>
      </c>
      <c r="D3714" s="18" t="s">
        <v>1366</v>
      </c>
      <c r="E3714" s="18" t="s">
        <v>703</v>
      </c>
      <c r="F3714" s="18" t="s">
        <v>704</v>
      </c>
      <c r="G3714" s="18" t="s">
        <v>674</v>
      </c>
      <c r="H3714" s="18" t="s">
        <v>791</v>
      </c>
      <c r="I3714" s="315">
        <v>1.9693853714968479</v>
      </c>
      <c r="J3714" s="315">
        <v>6.1393911330301311E-4</v>
      </c>
      <c r="K3714" s="316" t="str">
        <f t="shared" si="58"/>
        <v>Construction and Mining Equipment</v>
      </c>
      <c r="L3714" s="316" t="str">
        <f t="shared" si="59"/>
        <v>Gasoline</v>
      </c>
      <c r="M3714" s="194"/>
      <c r="N3714" s="317"/>
      <c r="O3714" s="317"/>
      <c r="P3714" s="317"/>
      <c r="Q3714" s="317"/>
      <c r="R3714" s="317"/>
      <c r="S3714" s="317"/>
      <c r="T3714" s="317"/>
      <c r="U3714" s="317"/>
      <c r="V3714" s="317"/>
      <c r="W3714" s="317"/>
      <c r="X3714" s="317"/>
      <c r="Y3714" s="317"/>
      <c r="Z3714" s="317"/>
    </row>
    <row r="3715" spans="1:26" x14ac:dyDescent="0.25">
      <c r="A3715" s="314"/>
      <c r="B3715" s="18">
        <v>2023</v>
      </c>
      <c r="C3715" s="18" t="s">
        <v>706</v>
      </c>
      <c r="D3715" s="18" t="s">
        <v>1715</v>
      </c>
      <c r="E3715" s="18" t="s">
        <v>703</v>
      </c>
      <c r="F3715" s="18" t="s">
        <v>805</v>
      </c>
      <c r="G3715" s="18" t="s">
        <v>677</v>
      </c>
      <c r="H3715" s="18" t="s">
        <v>1031</v>
      </c>
      <c r="I3715" s="315">
        <v>1.9684613079078612</v>
      </c>
      <c r="J3715" s="315">
        <v>4.398341363959276E-3</v>
      </c>
      <c r="K3715" s="316" t="str">
        <f t="shared" si="58"/>
        <v>Commercial Equipment</v>
      </c>
      <c r="L3715" s="316" t="str">
        <f t="shared" si="59"/>
        <v>Gasoline</v>
      </c>
      <c r="M3715" s="194"/>
      <c r="N3715" s="317"/>
      <c r="O3715" s="317"/>
      <c r="P3715" s="317"/>
      <c r="Q3715" s="317"/>
      <c r="R3715" s="317"/>
      <c r="S3715" s="317"/>
      <c r="T3715" s="317"/>
      <c r="U3715" s="317"/>
      <c r="V3715" s="317"/>
      <c r="W3715" s="317"/>
      <c r="X3715" s="317"/>
      <c r="Y3715" s="317"/>
      <c r="Z3715" s="317"/>
    </row>
    <row r="3716" spans="1:26" x14ac:dyDescent="0.25">
      <c r="A3716" s="314"/>
      <c r="B3716" s="18">
        <v>2023</v>
      </c>
      <c r="C3716" s="18" t="s">
        <v>706</v>
      </c>
      <c r="D3716" s="18" t="s">
        <v>1717</v>
      </c>
      <c r="E3716" s="18" t="s">
        <v>56</v>
      </c>
      <c r="F3716" s="18" t="s">
        <v>601</v>
      </c>
      <c r="G3716" s="18" t="s">
        <v>675</v>
      </c>
      <c r="H3716" s="18" t="s">
        <v>802</v>
      </c>
      <c r="I3716" s="315">
        <v>1.9629587089782352</v>
      </c>
      <c r="J3716" s="315">
        <v>7.8215915462919051E-3</v>
      </c>
      <c r="K3716" s="316" t="str">
        <f t="shared" si="58"/>
        <v>Industrial Equipment</v>
      </c>
      <c r="L3716" s="316" t="str">
        <f t="shared" si="59"/>
        <v>CNG</v>
      </c>
      <c r="M3716" s="194"/>
      <c r="N3716" s="317"/>
      <c r="O3716" s="317"/>
      <c r="P3716" s="317"/>
      <c r="Q3716" s="317"/>
      <c r="R3716" s="317"/>
      <c r="S3716" s="317"/>
      <c r="T3716" s="317"/>
      <c r="U3716" s="317"/>
      <c r="V3716" s="317"/>
      <c r="W3716" s="317"/>
      <c r="X3716" s="317"/>
      <c r="Y3716" s="317"/>
      <c r="Z3716" s="317"/>
    </row>
    <row r="3717" spans="1:26" x14ac:dyDescent="0.25">
      <c r="A3717" s="314"/>
      <c r="B3717" s="18">
        <v>2023</v>
      </c>
      <c r="C3717" s="18" t="s">
        <v>701</v>
      </c>
      <c r="D3717" s="18" t="s">
        <v>1663</v>
      </c>
      <c r="E3717" s="18" t="s">
        <v>713</v>
      </c>
      <c r="F3717" s="18" t="s">
        <v>714</v>
      </c>
      <c r="G3717" s="18" t="s">
        <v>674</v>
      </c>
      <c r="H3717" s="18" t="s">
        <v>1082</v>
      </c>
      <c r="I3717" s="315">
        <v>1.9585025931669493</v>
      </c>
      <c r="J3717" s="315">
        <v>2.3251538397577531E-4</v>
      </c>
      <c r="K3717" s="316" t="str">
        <f t="shared" si="58"/>
        <v>Construction and Mining Equipment</v>
      </c>
      <c r="L3717" s="316" t="str">
        <f t="shared" si="59"/>
        <v>Diesel</v>
      </c>
      <c r="M3717" s="194"/>
      <c r="N3717" s="317"/>
      <c r="O3717" s="317"/>
      <c r="P3717" s="317"/>
      <c r="Q3717" s="317"/>
      <c r="R3717" s="317"/>
      <c r="S3717" s="317"/>
      <c r="T3717" s="317"/>
      <c r="U3717" s="317"/>
      <c r="V3717" s="317"/>
      <c r="W3717" s="317"/>
      <c r="X3717" s="317"/>
      <c r="Y3717" s="317"/>
      <c r="Z3717" s="317"/>
    </row>
    <row r="3718" spans="1:26" x14ac:dyDescent="0.25">
      <c r="A3718" s="314"/>
      <c r="B3718" s="18">
        <v>2023</v>
      </c>
      <c r="C3718" s="18" t="s">
        <v>787</v>
      </c>
      <c r="D3718" s="18" t="s">
        <v>1425</v>
      </c>
      <c r="E3718" s="18" t="s">
        <v>56</v>
      </c>
      <c r="F3718" s="18" t="s">
        <v>672</v>
      </c>
      <c r="G3718" s="18" t="s">
        <v>674</v>
      </c>
      <c r="H3718" s="18" t="s">
        <v>791</v>
      </c>
      <c r="I3718" s="315">
        <v>1.9516761484942278</v>
      </c>
      <c r="J3718" s="315">
        <v>3.7517497519124892E-4</v>
      </c>
      <c r="K3718" s="316" t="str">
        <f t="shared" si="58"/>
        <v>Construction and Mining Equipment</v>
      </c>
      <c r="L3718" s="316" t="str">
        <f t="shared" si="59"/>
        <v>LPG</v>
      </c>
      <c r="M3718" s="194"/>
      <c r="N3718" s="317"/>
      <c r="O3718" s="317"/>
      <c r="P3718" s="317"/>
      <c r="Q3718" s="317"/>
      <c r="R3718" s="317"/>
      <c r="S3718" s="317"/>
      <c r="T3718" s="317"/>
      <c r="U3718" s="317"/>
      <c r="V3718" s="317"/>
      <c r="W3718" s="317"/>
      <c r="X3718" s="317"/>
      <c r="Y3718" s="317"/>
      <c r="Z3718" s="317"/>
    </row>
    <row r="3719" spans="1:26" x14ac:dyDescent="0.25">
      <c r="A3719" s="314"/>
      <c r="B3719" s="18">
        <v>2023</v>
      </c>
      <c r="C3719" s="18" t="s">
        <v>701</v>
      </c>
      <c r="D3719" s="18" t="s">
        <v>1637</v>
      </c>
      <c r="E3719" s="18" t="s">
        <v>703</v>
      </c>
      <c r="F3719" s="18" t="s">
        <v>704</v>
      </c>
      <c r="G3719" s="18" t="s">
        <v>678</v>
      </c>
      <c r="H3719" s="18" t="s">
        <v>1638</v>
      </c>
      <c r="I3719" s="315">
        <v>1.9347805310149282</v>
      </c>
      <c r="J3719" s="315">
        <v>1.1545871648741006E-3</v>
      </c>
      <c r="K3719" s="316" t="str">
        <f t="shared" si="58"/>
        <v>Agricultural Equipment</v>
      </c>
      <c r="L3719" s="316" t="str">
        <f t="shared" si="59"/>
        <v>Gasoline</v>
      </c>
      <c r="M3719" s="194"/>
      <c r="N3719" s="317"/>
      <c r="O3719" s="317"/>
      <c r="P3719" s="317"/>
      <c r="Q3719" s="317"/>
      <c r="R3719" s="317"/>
      <c r="S3719" s="317"/>
      <c r="T3719" s="317"/>
      <c r="U3719" s="317"/>
      <c r="V3719" s="317"/>
      <c r="W3719" s="317"/>
      <c r="X3719" s="317"/>
      <c r="Y3719" s="317"/>
      <c r="Z3719" s="317"/>
    </row>
    <row r="3720" spans="1:26" x14ac:dyDescent="0.25">
      <c r="A3720" s="314"/>
      <c r="B3720" s="18">
        <v>2023</v>
      </c>
      <c r="C3720" s="18" t="s">
        <v>709</v>
      </c>
      <c r="D3720" s="18" t="s">
        <v>1685</v>
      </c>
      <c r="E3720" s="18" t="s">
        <v>56</v>
      </c>
      <c r="F3720" s="18" t="s">
        <v>672</v>
      </c>
      <c r="G3720" s="18" t="s">
        <v>674</v>
      </c>
      <c r="H3720" s="18" t="s">
        <v>1072</v>
      </c>
      <c r="I3720" s="315">
        <v>1.9338973870329734</v>
      </c>
      <c r="J3720" s="315">
        <v>1.3419055414473792E-4</v>
      </c>
      <c r="K3720" s="316" t="str">
        <f t="shared" si="58"/>
        <v>Construction and Mining Equipment</v>
      </c>
      <c r="L3720" s="316" t="str">
        <f t="shared" si="59"/>
        <v>LPG</v>
      </c>
      <c r="M3720" s="194"/>
      <c r="N3720" s="317"/>
      <c r="O3720" s="317"/>
      <c r="P3720" s="317"/>
      <c r="Q3720" s="317"/>
      <c r="R3720" s="317"/>
      <c r="S3720" s="317"/>
      <c r="T3720" s="317"/>
      <c r="U3720" s="317"/>
      <c r="V3720" s="317"/>
      <c r="W3720" s="317"/>
      <c r="X3720" s="317"/>
      <c r="Y3720" s="317"/>
      <c r="Z3720" s="317"/>
    </row>
    <row r="3721" spans="1:26" x14ac:dyDescent="0.25">
      <c r="A3721" s="314"/>
      <c r="B3721" s="18">
        <v>2023</v>
      </c>
      <c r="C3721" s="18" t="s">
        <v>722</v>
      </c>
      <c r="D3721" s="18" t="s">
        <v>1617</v>
      </c>
      <c r="E3721" s="18" t="s">
        <v>703</v>
      </c>
      <c r="F3721" s="18" t="s">
        <v>805</v>
      </c>
      <c r="G3721" s="18" t="s">
        <v>675</v>
      </c>
      <c r="H3721" s="18" t="s">
        <v>802</v>
      </c>
      <c r="I3721" s="315">
        <v>1.9280812222488306</v>
      </c>
      <c r="J3721" s="315">
        <v>4.308113740434636E-3</v>
      </c>
      <c r="K3721" s="316" t="str">
        <f t="shared" si="58"/>
        <v>Industrial Equipment</v>
      </c>
      <c r="L3721" s="316" t="str">
        <f t="shared" si="59"/>
        <v>Gasoline</v>
      </c>
      <c r="M3721" s="194"/>
      <c r="N3721" s="317"/>
      <c r="O3721" s="317"/>
      <c r="P3721" s="317"/>
      <c r="Q3721" s="317"/>
      <c r="R3721" s="317"/>
      <c r="S3721" s="317"/>
      <c r="T3721" s="317"/>
      <c r="U3721" s="317"/>
      <c r="V3721" s="317"/>
      <c r="W3721" s="317"/>
      <c r="X3721" s="317"/>
      <c r="Y3721" s="317"/>
      <c r="Z3721" s="317"/>
    </row>
    <row r="3722" spans="1:26" x14ac:dyDescent="0.25">
      <c r="A3722" s="314"/>
      <c r="B3722" s="18">
        <v>2023</v>
      </c>
      <c r="C3722" s="18" t="s">
        <v>762</v>
      </c>
      <c r="D3722" s="18" t="s">
        <v>1247</v>
      </c>
      <c r="E3722" s="18" t="s">
        <v>56</v>
      </c>
      <c r="F3722" s="18" t="s">
        <v>672</v>
      </c>
      <c r="G3722" s="18" t="s">
        <v>674</v>
      </c>
      <c r="H3722" s="18" t="s">
        <v>967</v>
      </c>
      <c r="I3722" s="315">
        <v>1.9210600759201999</v>
      </c>
      <c r="J3722" s="315">
        <v>9.0760617107079784E-5</v>
      </c>
      <c r="K3722" s="316" t="str">
        <f t="shared" si="58"/>
        <v>Construction and Mining Equipment</v>
      </c>
      <c r="L3722" s="316" t="str">
        <f t="shared" si="59"/>
        <v>LPG</v>
      </c>
      <c r="M3722" s="194"/>
      <c r="N3722" s="317"/>
      <c r="O3722" s="317"/>
      <c r="P3722" s="317"/>
      <c r="Q3722" s="317"/>
      <c r="R3722" s="317"/>
      <c r="S3722" s="317"/>
      <c r="T3722" s="317"/>
      <c r="U3722" s="317"/>
      <c r="V3722" s="317"/>
      <c r="W3722" s="317"/>
      <c r="X3722" s="317"/>
      <c r="Y3722" s="317"/>
      <c r="Z3722" s="317"/>
    </row>
    <row r="3723" spans="1:26" x14ac:dyDescent="0.25">
      <c r="A3723" s="314"/>
      <c r="B3723" s="18">
        <v>2023</v>
      </c>
      <c r="C3723" s="18" t="s">
        <v>762</v>
      </c>
      <c r="D3723" s="18" t="s">
        <v>1248</v>
      </c>
      <c r="E3723" s="18" t="s">
        <v>703</v>
      </c>
      <c r="F3723" s="18" t="s">
        <v>704</v>
      </c>
      <c r="G3723" s="18" t="s">
        <v>674</v>
      </c>
      <c r="H3723" s="18" t="s">
        <v>959</v>
      </c>
      <c r="I3723" s="315">
        <v>1.9180210636495123</v>
      </c>
      <c r="J3723" s="315">
        <v>1.281019885435679E-3</v>
      </c>
      <c r="K3723" s="316" t="str">
        <f t="shared" si="58"/>
        <v>Construction and Mining Equipment</v>
      </c>
      <c r="L3723" s="316" t="str">
        <f t="shared" si="59"/>
        <v>Gasoline</v>
      </c>
      <c r="M3723" s="194"/>
      <c r="N3723" s="317"/>
      <c r="O3723" s="317"/>
      <c r="P3723" s="317"/>
      <c r="Q3723" s="317"/>
      <c r="R3723" s="317"/>
      <c r="S3723" s="317"/>
      <c r="T3723" s="317"/>
      <c r="U3723" s="317"/>
      <c r="V3723" s="317"/>
      <c r="W3723" s="317"/>
      <c r="X3723" s="317"/>
      <c r="Y3723" s="317"/>
      <c r="Z3723" s="317"/>
    </row>
    <row r="3724" spans="1:26" x14ac:dyDescent="0.25">
      <c r="A3724" s="314"/>
      <c r="B3724" s="18">
        <v>2023</v>
      </c>
      <c r="C3724" s="18" t="s">
        <v>759</v>
      </c>
      <c r="D3724" s="18" t="s">
        <v>1077</v>
      </c>
      <c r="E3724" s="18" t="s">
        <v>713</v>
      </c>
      <c r="F3724" s="18" t="s">
        <v>714</v>
      </c>
      <c r="G3724" s="18" t="s">
        <v>675</v>
      </c>
      <c r="H3724" s="18" t="s">
        <v>1078</v>
      </c>
      <c r="I3724" s="315">
        <v>1.9168891543648856</v>
      </c>
      <c r="J3724" s="315">
        <v>4.8610875522420212E-5</v>
      </c>
      <c r="K3724" s="316" t="str">
        <f t="shared" si="58"/>
        <v>Industrial Equipment</v>
      </c>
      <c r="L3724" s="316" t="str">
        <f t="shared" si="59"/>
        <v>Diesel</v>
      </c>
      <c r="M3724" s="194"/>
      <c r="N3724" s="317"/>
      <c r="O3724" s="317"/>
      <c r="P3724" s="317"/>
      <c r="Q3724" s="317"/>
      <c r="R3724" s="317"/>
      <c r="S3724" s="317"/>
      <c r="T3724" s="317"/>
      <c r="U3724" s="317"/>
      <c r="V3724" s="317"/>
      <c r="W3724" s="317"/>
      <c r="X3724" s="317"/>
      <c r="Y3724" s="317"/>
      <c r="Z3724" s="317"/>
    </row>
    <row r="3725" spans="1:26" x14ac:dyDescent="0.25">
      <c r="A3725" s="314"/>
      <c r="B3725" s="18">
        <v>2023</v>
      </c>
      <c r="C3725" s="18" t="s">
        <v>750</v>
      </c>
      <c r="D3725" s="18" t="s">
        <v>1416</v>
      </c>
      <c r="E3725" s="18" t="s">
        <v>56</v>
      </c>
      <c r="F3725" s="18" t="s">
        <v>672</v>
      </c>
      <c r="G3725" s="18" t="s">
        <v>674</v>
      </c>
      <c r="H3725" s="18" t="s">
        <v>861</v>
      </c>
      <c r="I3725" s="315">
        <v>1.9043882637662406</v>
      </c>
      <c r="J3725" s="315">
        <v>1.2863461351810034E-3</v>
      </c>
      <c r="K3725" s="316" t="str">
        <f t="shared" si="58"/>
        <v>Construction and Mining Equipment</v>
      </c>
      <c r="L3725" s="316" t="str">
        <f t="shared" si="59"/>
        <v>LPG</v>
      </c>
      <c r="M3725" s="194"/>
      <c r="N3725" s="317"/>
      <c r="O3725" s="317"/>
      <c r="P3725" s="317"/>
      <c r="Q3725" s="317"/>
      <c r="R3725" s="317"/>
      <c r="S3725" s="317"/>
      <c r="T3725" s="317"/>
      <c r="U3725" s="317"/>
      <c r="V3725" s="317"/>
      <c r="W3725" s="317"/>
      <c r="X3725" s="317"/>
      <c r="Y3725" s="317"/>
      <c r="Z3725" s="317"/>
    </row>
    <row r="3726" spans="1:26" x14ac:dyDescent="0.25">
      <c r="A3726" s="314"/>
      <c r="B3726" s="18">
        <v>2023</v>
      </c>
      <c r="C3726" s="18" t="s">
        <v>759</v>
      </c>
      <c r="D3726" s="18" t="s">
        <v>1073</v>
      </c>
      <c r="E3726" s="18" t="s">
        <v>703</v>
      </c>
      <c r="F3726" s="18" t="s">
        <v>704</v>
      </c>
      <c r="G3726" s="18" t="s">
        <v>674</v>
      </c>
      <c r="H3726" s="18" t="s">
        <v>1072</v>
      </c>
      <c r="I3726" s="315">
        <v>1.903309880361389</v>
      </c>
      <c r="J3726" s="315">
        <v>1.3359086429521633E-3</v>
      </c>
      <c r="K3726" s="316" t="str">
        <f t="shared" si="58"/>
        <v>Construction and Mining Equipment</v>
      </c>
      <c r="L3726" s="316" t="str">
        <f t="shared" si="59"/>
        <v>Gasoline</v>
      </c>
      <c r="M3726" s="194"/>
      <c r="N3726" s="317"/>
      <c r="O3726" s="317"/>
      <c r="P3726" s="317"/>
      <c r="Q3726" s="317"/>
      <c r="R3726" s="317"/>
      <c r="S3726" s="317"/>
      <c r="T3726" s="317"/>
      <c r="U3726" s="317"/>
      <c r="V3726" s="317"/>
      <c r="W3726" s="317"/>
      <c r="X3726" s="317"/>
      <c r="Y3726" s="317"/>
      <c r="Z3726" s="317"/>
    </row>
    <row r="3727" spans="1:26" x14ac:dyDescent="0.25">
      <c r="A3727" s="314"/>
      <c r="B3727" s="18">
        <v>2023</v>
      </c>
      <c r="C3727" s="18" t="s">
        <v>711</v>
      </c>
      <c r="D3727" s="18" t="s">
        <v>1460</v>
      </c>
      <c r="E3727" s="18" t="s">
        <v>703</v>
      </c>
      <c r="F3727" s="18" t="s">
        <v>704</v>
      </c>
      <c r="G3727" s="18" t="s">
        <v>678</v>
      </c>
      <c r="H3727" s="18" t="s">
        <v>1080</v>
      </c>
      <c r="I3727" s="315">
        <v>1.9011257684401826</v>
      </c>
      <c r="J3727" s="315">
        <v>1.1566540663217469E-3</v>
      </c>
      <c r="K3727" s="316" t="str">
        <f t="shared" si="58"/>
        <v>Agricultural Equipment</v>
      </c>
      <c r="L3727" s="316" t="str">
        <f t="shared" si="59"/>
        <v>Gasoline</v>
      </c>
      <c r="M3727" s="194"/>
      <c r="N3727" s="317"/>
      <c r="O3727" s="317"/>
      <c r="P3727" s="317"/>
      <c r="Q3727" s="317"/>
      <c r="R3727" s="317"/>
      <c r="S3727" s="317"/>
      <c r="T3727" s="317"/>
      <c r="U3727" s="317"/>
      <c r="V3727" s="317"/>
      <c r="W3727" s="317"/>
      <c r="X3727" s="317"/>
      <c r="Y3727" s="317"/>
      <c r="Z3727" s="317"/>
    </row>
    <row r="3728" spans="1:26" x14ac:dyDescent="0.25">
      <c r="A3728" s="314"/>
      <c r="B3728" s="18">
        <v>2023</v>
      </c>
      <c r="C3728" s="18" t="s">
        <v>759</v>
      </c>
      <c r="D3728" s="18" t="s">
        <v>1074</v>
      </c>
      <c r="E3728" s="18" t="s">
        <v>713</v>
      </c>
      <c r="F3728" s="18" t="s">
        <v>714</v>
      </c>
      <c r="G3728" s="18" t="s">
        <v>674</v>
      </c>
      <c r="H3728" s="18" t="s">
        <v>967</v>
      </c>
      <c r="I3728" s="315">
        <v>1.8976259326519078</v>
      </c>
      <c r="J3728" s="315">
        <v>3.2609764411795464E-5</v>
      </c>
      <c r="K3728" s="316" t="str">
        <f t="shared" si="58"/>
        <v>Construction and Mining Equipment</v>
      </c>
      <c r="L3728" s="316" t="str">
        <f t="shared" si="59"/>
        <v>Diesel</v>
      </c>
      <c r="M3728" s="194"/>
      <c r="N3728" s="317"/>
      <c r="O3728" s="317"/>
      <c r="P3728" s="317"/>
      <c r="Q3728" s="317"/>
      <c r="R3728" s="317"/>
      <c r="S3728" s="317"/>
      <c r="T3728" s="317"/>
      <c r="U3728" s="317"/>
      <c r="V3728" s="317"/>
      <c r="W3728" s="317"/>
      <c r="X3728" s="317"/>
      <c r="Y3728" s="317"/>
      <c r="Z3728" s="317"/>
    </row>
    <row r="3729" spans="1:26" x14ac:dyDescent="0.25">
      <c r="A3729" s="314"/>
      <c r="B3729" s="18">
        <v>2023</v>
      </c>
      <c r="C3729" s="18" t="s">
        <v>732</v>
      </c>
      <c r="D3729" s="18" t="s">
        <v>1564</v>
      </c>
      <c r="E3729" s="18" t="s">
        <v>703</v>
      </c>
      <c r="F3729" s="18" t="s">
        <v>704</v>
      </c>
      <c r="G3729" s="18" t="s">
        <v>674</v>
      </c>
      <c r="H3729" s="18" t="s">
        <v>981</v>
      </c>
      <c r="I3729" s="315">
        <v>1.8868826489119201</v>
      </c>
      <c r="J3729" s="315">
        <v>1.400187772320334E-3</v>
      </c>
      <c r="K3729" s="316" t="str">
        <f t="shared" si="58"/>
        <v>Construction and Mining Equipment</v>
      </c>
      <c r="L3729" s="316" t="str">
        <f t="shared" si="59"/>
        <v>Gasoline</v>
      </c>
      <c r="M3729" s="194"/>
      <c r="N3729" s="317"/>
      <c r="O3729" s="317"/>
      <c r="P3729" s="317"/>
      <c r="Q3729" s="317"/>
      <c r="R3729" s="317"/>
      <c r="S3729" s="317"/>
      <c r="T3729" s="317"/>
      <c r="U3729" s="317"/>
      <c r="V3729" s="317"/>
      <c r="W3729" s="317"/>
      <c r="X3729" s="317"/>
      <c r="Y3729" s="317"/>
      <c r="Z3729" s="317"/>
    </row>
    <row r="3730" spans="1:26" x14ac:dyDescent="0.25">
      <c r="A3730" s="314"/>
      <c r="B3730" s="18">
        <v>2023</v>
      </c>
      <c r="C3730" s="18" t="s">
        <v>706</v>
      </c>
      <c r="D3730" s="18" t="s">
        <v>1730</v>
      </c>
      <c r="E3730" s="18" t="s">
        <v>703</v>
      </c>
      <c r="F3730" s="18" t="s">
        <v>805</v>
      </c>
      <c r="G3730" s="18" t="s">
        <v>674</v>
      </c>
      <c r="H3730" s="18" t="s">
        <v>959</v>
      </c>
      <c r="I3730" s="315">
        <v>1.8718206749638999</v>
      </c>
      <c r="J3730" s="315">
        <v>4.1824026095724194E-3</v>
      </c>
      <c r="K3730" s="316" t="str">
        <f t="shared" si="58"/>
        <v>Construction and Mining Equipment</v>
      </c>
      <c r="L3730" s="316" t="str">
        <f t="shared" si="59"/>
        <v>Gasoline</v>
      </c>
      <c r="M3730" s="194"/>
      <c r="N3730" s="317"/>
      <c r="O3730" s="317"/>
      <c r="P3730" s="317"/>
      <c r="Q3730" s="317"/>
      <c r="R3730" s="317"/>
      <c r="S3730" s="317"/>
      <c r="T3730" s="317"/>
      <c r="U3730" s="317"/>
      <c r="V3730" s="317"/>
      <c r="W3730" s="317"/>
      <c r="X3730" s="317"/>
      <c r="Y3730" s="317"/>
      <c r="Z3730" s="317"/>
    </row>
    <row r="3731" spans="1:26" x14ac:dyDescent="0.25">
      <c r="A3731" s="314"/>
      <c r="B3731" s="18">
        <v>2023</v>
      </c>
      <c r="C3731" s="18" t="s">
        <v>781</v>
      </c>
      <c r="D3731" s="18" t="s">
        <v>1081</v>
      </c>
      <c r="E3731" s="18" t="s">
        <v>703</v>
      </c>
      <c r="F3731" s="18" t="s">
        <v>805</v>
      </c>
      <c r="G3731" s="18" t="s">
        <v>674</v>
      </c>
      <c r="H3731" s="18" t="s">
        <v>1082</v>
      </c>
      <c r="I3731" s="315">
        <v>1.8596432640244775</v>
      </c>
      <c r="J3731" s="315">
        <v>3.016411520358793E-3</v>
      </c>
      <c r="K3731" s="316" t="str">
        <f t="shared" si="58"/>
        <v>Construction and Mining Equipment</v>
      </c>
      <c r="L3731" s="316" t="str">
        <f t="shared" si="59"/>
        <v>Gasoline</v>
      </c>
      <c r="M3731" s="194"/>
      <c r="N3731" s="317"/>
      <c r="O3731" s="317"/>
      <c r="P3731" s="317"/>
      <c r="Q3731" s="317"/>
      <c r="R3731" s="317"/>
      <c r="S3731" s="317"/>
      <c r="T3731" s="317"/>
      <c r="U3731" s="317"/>
      <c r="V3731" s="317"/>
      <c r="W3731" s="317"/>
      <c r="X3731" s="317"/>
      <c r="Y3731" s="317"/>
      <c r="Z3731" s="317"/>
    </row>
    <row r="3732" spans="1:26" x14ac:dyDescent="0.25">
      <c r="A3732" s="314"/>
      <c r="B3732" s="18">
        <v>2023</v>
      </c>
      <c r="C3732" s="18" t="s">
        <v>810</v>
      </c>
      <c r="D3732" s="18" t="s">
        <v>1295</v>
      </c>
      <c r="E3732" s="18" t="s">
        <v>703</v>
      </c>
      <c r="F3732" s="18" t="s">
        <v>704</v>
      </c>
      <c r="G3732" s="18" t="s">
        <v>674</v>
      </c>
      <c r="H3732" s="18" t="s">
        <v>859</v>
      </c>
      <c r="I3732" s="315">
        <v>1.8589654965043114</v>
      </c>
      <c r="J3732" s="315">
        <v>6.0613817774744251E-4</v>
      </c>
      <c r="K3732" s="316" t="str">
        <f t="shared" si="58"/>
        <v>Construction and Mining Equipment</v>
      </c>
      <c r="L3732" s="316" t="str">
        <f t="shared" si="59"/>
        <v>Gasoline</v>
      </c>
      <c r="M3732" s="194"/>
      <c r="N3732" s="317"/>
      <c r="O3732" s="317"/>
      <c r="P3732" s="317"/>
      <c r="Q3732" s="317"/>
      <c r="R3732" s="317"/>
      <c r="S3732" s="317"/>
      <c r="T3732" s="317"/>
      <c r="U3732" s="317"/>
      <c r="V3732" s="317"/>
      <c r="W3732" s="317"/>
      <c r="X3732" s="317"/>
      <c r="Y3732" s="317"/>
      <c r="Z3732" s="317"/>
    </row>
    <row r="3733" spans="1:26" ht="12.75" x14ac:dyDescent="0.2">
      <c r="A3733" s="230"/>
      <c r="B3733" s="18">
        <v>2023</v>
      </c>
      <c r="C3733" s="18" t="s">
        <v>731</v>
      </c>
      <c r="D3733" s="18" t="s">
        <v>1213</v>
      </c>
      <c r="E3733" s="18" t="s">
        <v>56</v>
      </c>
      <c r="F3733" s="18" t="s">
        <v>672</v>
      </c>
      <c r="G3733" s="18" t="s">
        <v>674</v>
      </c>
      <c r="H3733" s="18" t="s">
        <v>715</v>
      </c>
      <c r="I3733" s="315">
        <v>1.855648667066923</v>
      </c>
      <c r="J3733" s="315">
        <v>8.4271311559087157E-5</v>
      </c>
      <c r="K3733" s="316" t="str">
        <f t="shared" si="58"/>
        <v>Construction and Mining Equipment</v>
      </c>
      <c r="L3733" s="316" t="str">
        <f t="shared" si="59"/>
        <v>LPG</v>
      </c>
      <c r="M3733" s="8"/>
      <c r="N3733" s="2"/>
      <c r="O3733" s="2"/>
      <c r="P3733" s="2"/>
      <c r="Q3733" s="2"/>
      <c r="R3733" s="2"/>
      <c r="S3733" s="2"/>
      <c r="T3733" s="2"/>
      <c r="U3733" s="2"/>
      <c r="V3733" s="2"/>
      <c r="W3733" s="2"/>
      <c r="X3733" s="2"/>
      <c r="Y3733" s="2"/>
      <c r="Z3733" s="2"/>
    </row>
    <row r="3734" spans="1:26" ht="12.75" x14ac:dyDescent="0.2">
      <c r="A3734" s="230"/>
      <c r="B3734" s="18">
        <v>2023</v>
      </c>
      <c r="C3734" s="18" t="s">
        <v>711</v>
      </c>
      <c r="D3734" s="18" t="s">
        <v>1654</v>
      </c>
      <c r="E3734" s="18" t="s">
        <v>56</v>
      </c>
      <c r="F3734" s="18" t="s">
        <v>672</v>
      </c>
      <c r="G3734" s="18" t="s">
        <v>674</v>
      </c>
      <c r="H3734" s="18" t="s">
        <v>994</v>
      </c>
      <c r="I3734" s="315">
        <v>1.8465070960237413</v>
      </c>
      <c r="J3734" s="315">
        <v>4.5773164433884114E-4</v>
      </c>
      <c r="K3734" s="316" t="str">
        <f t="shared" si="58"/>
        <v>Construction and Mining Equipment</v>
      </c>
      <c r="L3734" s="316" t="str">
        <f t="shared" si="59"/>
        <v>LPG</v>
      </c>
      <c r="M3734" s="8"/>
      <c r="N3734" s="2"/>
      <c r="O3734" s="2"/>
      <c r="P3734" s="2"/>
      <c r="Q3734" s="2"/>
      <c r="R3734" s="2"/>
      <c r="S3734" s="2"/>
      <c r="T3734" s="2"/>
      <c r="U3734" s="2"/>
      <c r="V3734" s="2"/>
      <c r="W3734" s="2"/>
      <c r="X3734" s="2"/>
      <c r="Y3734" s="2"/>
      <c r="Z3734" s="2"/>
    </row>
    <row r="3735" spans="1:26" ht="12.75" x14ac:dyDescent="0.2">
      <c r="A3735" s="230"/>
      <c r="B3735" s="18">
        <v>2023</v>
      </c>
      <c r="C3735" s="18" t="s">
        <v>786</v>
      </c>
      <c r="D3735" s="18" t="s">
        <v>1213</v>
      </c>
      <c r="E3735" s="18" t="s">
        <v>56</v>
      </c>
      <c r="F3735" s="18" t="s">
        <v>672</v>
      </c>
      <c r="G3735" s="18" t="s">
        <v>674</v>
      </c>
      <c r="H3735" s="18" t="s">
        <v>715</v>
      </c>
      <c r="I3735" s="315">
        <v>1.8430101810509538</v>
      </c>
      <c r="J3735" s="315">
        <v>8.3697293570180516E-5</v>
      </c>
      <c r="K3735" s="316" t="str">
        <f t="shared" si="58"/>
        <v>Construction and Mining Equipment</v>
      </c>
      <c r="L3735" s="316" t="str">
        <f t="shared" si="59"/>
        <v>LPG</v>
      </c>
      <c r="M3735" s="8"/>
      <c r="N3735" s="2"/>
      <c r="O3735" s="2"/>
      <c r="P3735" s="2"/>
      <c r="Q3735" s="2"/>
      <c r="R3735" s="2"/>
      <c r="S3735" s="2"/>
      <c r="T3735" s="2"/>
      <c r="U3735" s="2"/>
      <c r="V3735" s="2"/>
      <c r="W3735" s="2"/>
      <c r="X3735" s="2"/>
      <c r="Y3735" s="2"/>
      <c r="Z3735" s="2"/>
    </row>
    <row r="3736" spans="1:26" ht="12.75" x14ac:dyDescent="0.2">
      <c r="A3736" s="230"/>
      <c r="B3736" s="18">
        <v>2023</v>
      </c>
      <c r="C3736" s="18" t="s">
        <v>731</v>
      </c>
      <c r="D3736" s="18" t="s">
        <v>1214</v>
      </c>
      <c r="E3736" s="18" t="s">
        <v>713</v>
      </c>
      <c r="F3736" s="18" t="s">
        <v>714</v>
      </c>
      <c r="G3736" s="18" t="s">
        <v>674</v>
      </c>
      <c r="H3736" s="18" t="s">
        <v>999</v>
      </c>
      <c r="I3736" s="315">
        <v>1.841115316519282</v>
      </c>
      <c r="J3736" s="315">
        <v>5.4506067545368099E-5</v>
      </c>
      <c r="K3736" s="316" t="str">
        <f t="shared" si="58"/>
        <v>Construction and Mining Equipment</v>
      </c>
      <c r="L3736" s="316" t="str">
        <f t="shared" si="59"/>
        <v>Diesel</v>
      </c>
      <c r="M3736" s="8"/>
      <c r="N3736" s="2"/>
      <c r="O3736" s="2"/>
      <c r="P3736" s="2"/>
      <c r="Q3736" s="2"/>
      <c r="R3736" s="2"/>
      <c r="S3736" s="2"/>
      <c r="T3736" s="2"/>
      <c r="U3736" s="2"/>
      <c r="V3736" s="2"/>
      <c r="W3736" s="2"/>
      <c r="X3736" s="2"/>
      <c r="Y3736" s="2"/>
      <c r="Z3736" s="2"/>
    </row>
    <row r="3737" spans="1:26" ht="12.75" x14ac:dyDescent="0.2">
      <c r="A3737" s="230"/>
      <c r="B3737" s="18">
        <v>2023</v>
      </c>
      <c r="C3737" s="18" t="s">
        <v>722</v>
      </c>
      <c r="D3737" s="18" t="s">
        <v>1483</v>
      </c>
      <c r="E3737" s="18" t="s">
        <v>703</v>
      </c>
      <c r="F3737" s="18" t="s">
        <v>805</v>
      </c>
      <c r="G3737" s="18" t="s">
        <v>674</v>
      </c>
      <c r="H3737" s="18" t="s">
        <v>994</v>
      </c>
      <c r="I3737" s="315">
        <v>1.8388429084797855</v>
      </c>
      <c r="J3737" s="315">
        <v>3.8554631962627469E-3</v>
      </c>
      <c r="K3737" s="316" t="str">
        <f t="shared" si="58"/>
        <v>Construction and Mining Equipment</v>
      </c>
      <c r="L3737" s="316" t="str">
        <f t="shared" si="59"/>
        <v>Gasoline</v>
      </c>
      <c r="M3737" s="8"/>
      <c r="N3737" s="2"/>
      <c r="O3737" s="2"/>
      <c r="P3737" s="2"/>
      <c r="Q3737" s="2"/>
      <c r="R3737" s="2"/>
      <c r="S3737" s="2"/>
      <c r="T3737" s="2"/>
      <c r="U3737" s="2"/>
      <c r="V3737" s="2"/>
      <c r="W3737" s="2"/>
      <c r="X3737" s="2"/>
      <c r="Y3737" s="2"/>
      <c r="Z3737" s="2"/>
    </row>
    <row r="3738" spans="1:26" ht="12.75" x14ac:dyDescent="0.2">
      <c r="A3738" s="230"/>
      <c r="B3738" s="18">
        <v>2023</v>
      </c>
      <c r="C3738" s="18" t="s">
        <v>759</v>
      </c>
      <c r="D3738" s="18" t="s">
        <v>1076</v>
      </c>
      <c r="E3738" s="18" t="s">
        <v>703</v>
      </c>
      <c r="F3738" s="18" t="s">
        <v>704</v>
      </c>
      <c r="G3738" s="18" t="s">
        <v>674</v>
      </c>
      <c r="H3738" s="18" t="s">
        <v>756</v>
      </c>
      <c r="I3738" s="315">
        <v>1.8349825741702015</v>
      </c>
      <c r="J3738" s="315">
        <v>8.0249558307538601E-4</v>
      </c>
      <c r="K3738" s="316" t="str">
        <f t="shared" si="58"/>
        <v>Construction and Mining Equipment</v>
      </c>
      <c r="L3738" s="316" t="str">
        <f t="shared" si="59"/>
        <v>Gasoline</v>
      </c>
      <c r="M3738" s="8"/>
      <c r="N3738" s="2"/>
      <c r="O3738" s="2"/>
      <c r="P3738" s="2"/>
      <c r="Q3738" s="2"/>
      <c r="R3738" s="2"/>
      <c r="S3738" s="2"/>
      <c r="T3738" s="2"/>
      <c r="U3738" s="2"/>
      <c r="V3738" s="2"/>
      <c r="W3738" s="2"/>
      <c r="X3738" s="2"/>
      <c r="Y3738" s="2"/>
      <c r="Z3738" s="2"/>
    </row>
    <row r="3739" spans="1:26" ht="12.75" x14ac:dyDescent="0.2">
      <c r="A3739" s="230"/>
      <c r="B3739" s="18">
        <v>2023</v>
      </c>
      <c r="C3739" s="18" t="s">
        <v>786</v>
      </c>
      <c r="D3739" s="18" t="s">
        <v>1214</v>
      </c>
      <c r="E3739" s="18" t="s">
        <v>713</v>
      </c>
      <c r="F3739" s="18" t="s">
        <v>714</v>
      </c>
      <c r="G3739" s="18" t="s">
        <v>674</v>
      </c>
      <c r="H3739" s="18" t="s">
        <v>999</v>
      </c>
      <c r="I3739" s="315">
        <v>1.8285762395531682</v>
      </c>
      <c r="J3739" s="315">
        <v>5.4134855521420776E-5</v>
      </c>
      <c r="K3739" s="316" t="str">
        <f t="shared" si="58"/>
        <v>Construction and Mining Equipment</v>
      </c>
      <c r="L3739" s="316" t="str">
        <f t="shared" si="59"/>
        <v>Diesel</v>
      </c>
      <c r="M3739" s="8"/>
      <c r="N3739" s="2"/>
      <c r="O3739" s="2"/>
      <c r="P3739" s="2"/>
      <c r="Q3739" s="2"/>
      <c r="R3739" s="2"/>
      <c r="S3739" s="2"/>
      <c r="T3739" s="2"/>
      <c r="U3739" s="2"/>
      <c r="V3739" s="2"/>
      <c r="W3739" s="2"/>
      <c r="X3739" s="2"/>
      <c r="Y3739" s="2"/>
      <c r="Z3739" s="2"/>
    </row>
    <row r="3740" spans="1:26" ht="12.75" x14ac:dyDescent="0.2">
      <c r="A3740" s="230"/>
      <c r="B3740" s="18">
        <v>2023</v>
      </c>
      <c r="C3740" s="18" t="s">
        <v>750</v>
      </c>
      <c r="D3740" s="18" t="s">
        <v>1425</v>
      </c>
      <c r="E3740" s="18" t="s">
        <v>56</v>
      </c>
      <c r="F3740" s="18" t="s">
        <v>672</v>
      </c>
      <c r="G3740" s="18" t="s">
        <v>674</v>
      </c>
      <c r="H3740" s="18" t="s">
        <v>791</v>
      </c>
      <c r="I3740" s="315">
        <v>1.8246474709800944</v>
      </c>
      <c r="J3740" s="315">
        <v>3.5075580626413506E-4</v>
      </c>
      <c r="K3740" s="316" t="str">
        <f t="shared" si="58"/>
        <v>Construction and Mining Equipment</v>
      </c>
      <c r="L3740" s="316" t="str">
        <f t="shared" si="59"/>
        <v>LPG</v>
      </c>
      <c r="M3740" s="8"/>
      <c r="N3740" s="2"/>
      <c r="O3740" s="2"/>
      <c r="P3740" s="2"/>
      <c r="Q3740" s="2"/>
      <c r="R3740" s="2"/>
      <c r="S3740" s="2"/>
      <c r="T3740" s="2"/>
      <c r="U3740" s="2"/>
      <c r="V3740" s="2"/>
      <c r="W3740" s="2"/>
      <c r="X3740" s="2"/>
      <c r="Y3740" s="2"/>
      <c r="Z3740" s="2"/>
    </row>
    <row r="3741" spans="1:26" ht="12.75" x14ac:dyDescent="0.2">
      <c r="A3741" s="230"/>
      <c r="B3741" s="18">
        <v>2023</v>
      </c>
      <c r="C3741" s="18" t="s">
        <v>793</v>
      </c>
      <c r="D3741" s="18" t="s">
        <v>1428</v>
      </c>
      <c r="E3741" s="18" t="s">
        <v>56</v>
      </c>
      <c r="F3741" s="18" t="s">
        <v>601</v>
      </c>
      <c r="G3741" s="18" t="s">
        <v>678</v>
      </c>
      <c r="H3741" s="18" t="s">
        <v>1154</v>
      </c>
      <c r="I3741" s="315">
        <v>1.8233435018260622</v>
      </c>
      <c r="J3741" s="315">
        <v>7.4152496921329287E-3</v>
      </c>
      <c r="K3741" s="316" t="str">
        <f t="shared" si="58"/>
        <v>Agricultural Equipment</v>
      </c>
      <c r="L3741" s="316" t="str">
        <f t="shared" si="59"/>
        <v>CNG</v>
      </c>
      <c r="M3741" s="8"/>
      <c r="N3741" s="2"/>
      <c r="O3741" s="2"/>
      <c r="P3741" s="2"/>
      <c r="Q3741" s="2"/>
      <c r="R3741" s="2"/>
      <c r="S3741" s="2"/>
      <c r="T3741" s="2"/>
      <c r="U3741" s="2"/>
      <c r="V3741" s="2"/>
      <c r="W3741" s="2"/>
      <c r="X3741" s="2"/>
      <c r="Y3741" s="2"/>
      <c r="Z3741" s="2"/>
    </row>
    <row r="3742" spans="1:26" ht="12.75" x14ac:dyDescent="0.2">
      <c r="A3742" s="230"/>
      <c r="B3742" s="18">
        <v>2023</v>
      </c>
      <c r="C3742" s="18" t="s">
        <v>754</v>
      </c>
      <c r="D3742" s="18" t="s">
        <v>1457</v>
      </c>
      <c r="E3742" s="18" t="s">
        <v>56</v>
      </c>
      <c r="F3742" s="18" t="s">
        <v>601</v>
      </c>
      <c r="G3742" s="18" t="s">
        <v>675</v>
      </c>
      <c r="H3742" s="18" t="s">
        <v>772</v>
      </c>
      <c r="I3742" s="315">
        <v>1.8223506985235511</v>
      </c>
      <c r="J3742" s="315">
        <v>7.4333896088982403E-3</v>
      </c>
      <c r="K3742" s="316" t="str">
        <f t="shared" si="58"/>
        <v>Industrial Equipment</v>
      </c>
      <c r="L3742" s="316" t="str">
        <f t="shared" si="59"/>
        <v>CNG</v>
      </c>
      <c r="M3742" s="8"/>
      <c r="N3742" s="2"/>
      <c r="O3742" s="2"/>
      <c r="P3742" s="2"/>
      <c r="Q3742" s="2"/>
      <c r="R3742" s="2"/>
      <c r="S3742" s="2"/>
      <c r="T3742" s="2"/>
      <c r="U3742" s="2"/>
      <c r="V3742" s="2"/>
      <c r="W3742" s="2"/>
      <c r="X3742" s="2"/>
      <c r="Y3742" s="2"/>
      <c r="Z3742" s="2"/>
    </row>
    <row r="3743" spans="1:26" ht="12.75" x14ac:dyDescent="0.2">
      <c r="A3743" s="230"/>
      <c r="B3743" s="18">
        <v>2023</v>
      </c>
      <c r="C3743" s="18" t="s">
        <v>810</v>
      </c>
      <c r="D3743" s="18" t="s">
        <v>1317</v>
      </c>
      <c r="E3743" s="18" t="s">
        <v>713</v>
      </c>
      <c r="F3743" s="18" t="s">
        <v>714</v>
      </c>
      <c r="G3743" s="18" t="s">
        <v>673</v>
      </c>
      <c r="H3743" s="18" t="s">
        <v>865</v>
      </c>
      <c r="I3743" s="315">
        <v>1.8171733029601662</v>
      </c>
      <c r="J3743" s="315">
        <v>5.7392048846955955E-5</v>
      </c>
      <c r="K3743" s="316" t="str">
        <f t="shared" si="58"/>
        <v>Lawn and Garden Equipment</v>
      </c>
      <c r="L3743" s="316" t="str">
        <f t="shared" si="59"/>
        <v>Diesel</v>
      </c>
      <c r="M3743" s="8"/>
      <c r="N3743" s="2"/>
      <c r="O3743" s="2"/>
      <c r="P3743" s="2"/>
      <c r="Q3743" s="2"/>
      <c r="R3743" s="2"/>
      <c r="S3743" s="2"/>
      <c r="T3743" s="2"/>
      <c r="U3743" s="2"/>
      <c r="V3743" s="2"/>
      <c r="W3743" s="2"/>
      <c r="X3743" s="2"/>
      <c r="Y3743" s="2"/>
      <c r="Z3743" s="2"/>
    </row>
    <row r="3744" spans="1:26" ht="12.75" x14ac:dyDescent="0.2">
      <c r="A3744" s="230"/>
      <c r="B3744" s="18">
        <v>2023</v>
      </c>
      <c r="C3744" s="18" t="s">
        <v>759</v>
      </c>
      <c r="D3744" s="18" t="s">
        <v>1317</v>
      </c>
      <c r="E3744" s="18" t="s">
        <v>713</v>
      </c>
      <c r="F3744" s="18" t="s">
        <v>714</v>
      </c>
      <c r="G3744" s="18" t="s">
        <v>673</v>
      </c>
      <c r="H3744" s="18" t="s">
        <v>865</v>
      </c>
      <c r="I3744" s="315">
        <v>1.8171733029601662</v>
      </c>
      <c r="J3744" s="315">
        <v>5.7392048846955955E-5</v>
      </c>
      <c r="K3744" s="316" t="str">
        <f t="shared" si="58"/>
        <v>Lawn and Garden Equipment</v>
      </c>
      <c r="L3744" s="316" t="str">
        <f t="shared" si="59"/>
        <v>Diesel</v>
      </c>
      <c r="M3744" s="8"/>
      <c r="N3744" s="2"/>
      <c r="O3744" s="2"/>
      <c r="P3744" s="2"/>
      <c r="Q3744" s="2"/>
      <c r="R3744" s="2"/>
      <c r="S3744" s="2"/>
      <c r="T3744" s="2"/>
      <c r="U3744" s="2"/>
      <c r="V3744" s="2"/>
      <c r="W3744" s="2"/>
      <c r="X3744" s="2"/>
      <c r="Y3744" s="2"/>
      <c r="Z3744" s="2"/>
    </row>
    <row r="3745" spans="1:26" ht="12.75" x14ac:dyDescent="0.2">
      <c r="A3745" s="230"/>
      <c r="B3745" s="18">
        <v>2023</v>
      </c>
      <c r="C3745" s="18" t="s">
        <v>727</v>
      </c>
      <c r="D3745" s="18" t="s">
        <v>1317</v>
      </c>
      <c r="E3745" s="18" t="s">
        <v>713</v>
      </c>
      <c r="F3745" s="18" t="s">
        <v>714</v>
      </c>
      <c r="G3745" s="18" t="s">
        <v>673</v>
      </c>
      <c r="H3745" s="18" t="s">
        <v>865</v>
      </c>
      <c r="I3745" s="315">
        <v>1.8171733029601662</v>
      </c>
      <c r="J3745" s="315">
        <v>5.7392048846955955E-5</v>
      </c>
      <c r="K3745" s="316" t="str">
        <f t="shared" si="58"/>
        <v>Lawn and Garden Equipment</v>
      </c>
      <c r="L3745" s="316" t="str">
        <f t="shared" si="59"/>
        <v>Diesel</v>
      </c>
      <c r="M3745" s="8"/>
      <c r="N3745" s="2"/>
      <c r="O3745" s="2"/>
      <c r="P3745" s="2"/>
      <c r="Q3745" s="2"/>
      <c r="R3745" s="2"/>
      <c r="S3745" s="2"/>
      <c r="T3745" s="2"/>
      <c r="U3745" s="2"/>
      <c r="V3745" s="2"/>
      <c r="W3745" s="2"/>
      <c r="X3745" s="2"/>
      <c r="Y3745" s="2"/>
      <c r="Z3745" s="2"/>
    </row>
    <row r="3746" spans="1:26" ht="12.75" x14ac:dyDescent="0.2">
      <c r="A3746" s="230"/>
      <c r="B3746" s="18">
        <v>2023</v>
      </c>
      <c r="C3746" s="18" t="s">
        <v>732</v>
      </c>
      <c r="D3746" s="18" t="s">
        <v>1588</v>
      </c>
      <c r="E3746" s="18" t="s">
        <v>56</v>
      </c>
      <c r="F3746" s="18" t="s">
        <v>1575</v>
      </c>
      <c r="G3746" s="18" t="s">
        <v>675</v>
      </c>
      <c r="H3746" s="18" t="s">
        <v>1589</v>
      </c>
      <c r="I3746" s="315">
        <v>1.8131817779956811</v>
      </c>
      <c r="J3746" s="315">
        <v>7.630520432520849E-3</v>
      </c>
      <c r="K3746" s="316" t="str">
        <f t="shared" si="58"/>
        <v>Industrial Equipment</v>
      </c>
      <c r="L3746" s="316" t="str">
        <f t="shared" si="59"/>
        <v>CNG</v>
      </c>
      <c r="M3746" s="8"/>
      <c r="N3746" s="2"/>
      <c r="O3746" s="2"/>
      <c r="P3746" s="2"/>
      <c r="Q3746" s="2"/>
      <c r="R3746" s="2"/>
      <c r="S3746" s="2"/>
      <c r="T3746" s="2"/>
      <c r="U3746" s="2"/>
      <c r="V3746" s="2"/>
      <c r="W3746" s="2"/>
      <c r="X3746" s="2"/>
      <c r="Y3746" s="2"/>
      <c r="Z3746" s="2"/>
    </row>
    <row r="3747" spans="1:26" ht="12.75" x14ac:dyDescent="0.2">
      <c r="A3747" s="230"/>
      <c r="B3747" s="18">
        <v>2023</v>
      </c>
      <c r="C3747" s="18" t="s">
        <v>701</v>
      </c>
      <c r="D3747" s="18" t="s">
        <v>1679</v>
      </c>
      <c r="E3747" s="18" t="s">
        <v>56</v>
      </c>
      <c r="F3747" s="18" t="s">
        <v>672</v>
      </c>
      <c r="G3747" s="18" t="s">
        <v>674</v>
      </c>
      <c r="H3747" s="18" t="s">
        <v>959</v>
      </c>
      <c r="I3747" s="315">
        <v>1.8086497367251895</v>
      </c>
      <c r="J3747" s="315">
        <v>3.0722504395294366E-4</v>
      </c>
      <c r="K3747" s="316" t="str">
        <f t="shared" si="58"/>
        <v>Construction and Mining Equipment</v>
      </c>
      <c r="L3747" s="316" t="str">
        <f t="shared" si="59"/>
        <v>LPG</v>
      </c>
      <c r="M3747" s="8"/>
      <c r="N3747" s="2"/>
      <c r="O3747" s="2"/>
      <c r="P3747" s="2"/>
      <c r="Q3747" s="2"/>
      <c r="R3747" s="2"/>
      <c r="S3747" s="2"/>
      <c r="T3747" s="2"/>
      <c r="U3747" s="2"/>
      <c r="V3747" s="2"/>
      <c r="W3747" s="2"/>
      <c r="X3747" s="2"/>
      <c r="Y3747" s="2"/>
      <c r="Z3747" s="2"/>
    </row>
    <row r="3748" spans="1:26" ht="12.75" x14ac:dyDescent="0.2">
      <c r="A3748" s="230"/>
      <c r="B3748" s="18">
        <v>2023</v>
      </c>
      <c r="C3748" s="18" t="s">
        <v>731</v>
      </c>
      <c r="D3748" s="18" t="s">
        <v>1317</v>
      </c>
      <c r="E3748" s="18" t="s">
        <v>713</v>
      </c>
      <c r="F3748" s="18" t="s">
        <v>714</v>
      </c>
      <c r="G3748" s="18" t="s">
        <v>673</v>
      </c>
      <c r="H3748" s="18" t="s">
        <v>865</v>
      </c>
      <c r="I3748" s="315">
        <v>1.805887031796487</v>
      </c>
      <c r="J3748" s="315">
        <v>5.7035597209799278E-5</v>
      </c>
      <c r="K3748" s="316" t="str">
        <f t="shared" si="58"/>
        <v>Lawn and Garden Equipment</v>
      </c>
      <c r="L3748" s="316" t="str">
        <f t="shared" si="59"/>
        <v>Diesel</v>
      </c>
      <c r="M3748" s="8"/>
      <c r="N3748" s="2"/>
      <c r="O3748" s="2"/>
      <c r="P3748" s="2"/>
      <c r="Q3748" s="2"/>
      <c r="R3748" s="2"/>
      <c r="S3748" s="2"/>
      <c r="T3748" s="2"/>
      <c r="U3748" s="2"/>
      <c r="V3748" s="2"/>
      <c r="W3748" s="2"/>
      <c r="X3748" s="2"/>
      <c r="Y3748" s="2"/>
      <c r="Z3748" s="2"/>
    </row>
    <row r="3749" spans="1:26" ht="12.75" x14ac:dyDescent="0.2">
      <c r="A3749" s="230"/>
      <c r="B3749" s="18">
        <v>2023</v>
      </c>
      <c r="C3749" s="18" t="s">
        <v>762</v>
      </c>
      <c r="D3749" s="18" t="s">
        <v>1292</v>
      </c>
      <c r="E3749" s="18" t="s">
        <v>703</v>
      </c>
      <c r="F3749" s="18" t="s">
        <v>795</v>
      </c>
      <c r="G3749" s="18" t="s">
        <v>675</v>
      </c>
      <c r="H3749" s="18" t="s">
        <v>1293</v>
      </c>
      <c r="I3749" s="315">
        <v>1.8049450775146145</v>
      </c>
      <c r="J3749" s="315">
        <v>1.2091426244565334E-3</v>
      </c>
      <c r="K3749" s="316" t="str">
        <f t="shared" si="58"/>
        <v>Industrial Equipment</v>
      </c>
      <c r="L3749" s="316" t="str">
        <f t="shared" si="59"/>
        <v>Gasoline</v>
      </c>
      <c r="M3749" s="8"/>
      <c r="N3749" s="2"/>
      <c r="O3749" s="2"/>
      <c r="P3749" s="2"/>
      <c r="Q3749" s="2"/>
      <c r="R3749" s="2"/>
      <c r="S3749" s="2"/>
      <c r="T3749" s="2"/>
      <c r="U3749" s="2"/>
      <c r="V3749" s="2"/>
      <c r="W3749" s="2"/>
      <c r="X3749" s="2"/>
      <c r="Y3749" s="2"/>
      <c r="Z3749" s="2"/>
    </row>
    <row r="3750" spans="1:26" ht="12.75" x14ac:dyDescent="0.2">
      <c r="A3750" s="230"/>
      <c r="B3750" s="18">
        <v>2023</v>
      </c>
      <c r="C3750" s="18" t="s">
        <v>732</v>
      </c>
      <c r="D3750" s="18" t="s">
        <v>1580</v>
      </c>
      <c r="E3750" s="18" t="s">
        <v>56</v>
      </c>
      <c r="F3750" s="18" t="s">
        <v>672</v>
      </c>
      <c r="G3750" s="18" t="s">
        <v>674</v>
      </c>
      <c r="H3750" s="18" t="s">
        <v>736</v>
      </c>
      <c r="I3750" s="315">
        <v>1.8031159907730554</v>
      </c>
      <c r="J3750" s="315">
        <v>8.2831130568512078E-5</v>
      </c>
      <c r="K3750" s="316" t="str">
        <f t="shared" si="58"/>
        <v>Construction and Mining Equipment</v>
      </c>
      <c r="L3750" s="316" t="str">
        <f t="shared" si="59"/>
        <v>LPG</v>
      </c>
      <c r="M3750" s="8"/>
      <c r="N3750" s="2"/>
      <c r="O3750" s="2"/>
      <c r="P3750" s="2"/>
      <c r="Q3750" s="2"/>
      <c r="R3750" s="2"/>
      <c r="S3750" s="2"/>
      <c r="T3750" s="2"/>
      <c r="U3750" s="2"/>
      <c r="V3750" s="2"/>
      <c r="W3750" s="2"/>
      <c r="X3750" s="2"/>
      <c r="Y3750" s="2"/>
      <c r="Z3750" s="2"/>
    </row>
    <row r="3751" spans="1:26" ht="12.75" x14ac:dyDescent="0.2">
      <c r="A3751" s="230"/>
      <c r="B3751" s="18">
        <v>2023</v>
      </c>
      <c r="C3751" s="18" t="s">
        <v>701</v>
      </c>
      <c r="D3751" s="18" t="s">
        <v>1737</v>
      </c>
      <c r="E3751" s="18" t="s">
        <v>703</v>
      </c>
      <c r="F3751" s="18" t="s">
        <v>805</v>
      </c>
      <c r="G3751" s="18" t="s">
        <v>673</v>
      </c>
      <c r="H3751" s="18" t="s">
        <v>705</v>
      </c>
      <c r="I3751" s="315">
        <v>1.7939939700794629</v>
      </c>
      <c r="J3751" s="315">
        <v>3.5975109630669486E-3</v>
      </c>
      <c r="K3751" s="316" t="str">
        <f t="shared" si="58"/>
        <v>Lawn and Garden Equipment</v>
      </c>
      <c r="L3751" s="316" t="str">
        <f t="shared" si="59"/>
        <v>Gasoline</v>
      </c>
      <c r="M3751" s="8"/>
      <c r="N3751" s="2"/>
      <c r="O3751" s="2"/>
      <c r="P3751" s="2"/>
      <c r="Q3751" s="2"/>
      <c r="R3751" s="2"/>
      <c r="S3751" s="2"/>
      <c r="T3751" s="2"/>
      <c r="U3751" s="2"/>
      <c r="V3751" s="2"/>
      <c r="W3751" s="2"/>
      <c r="X3751" s="2"/>
      <c r="Y3751" s="2"/>
      <c r="Z3751" s="2"/>
    </row>
    <row r="3752" spans="1:26" ht="12.75" x14ac:dyDescent="0.2">
      <c r="A3752" s="230"/>
      <c r="B3752" s="18">
        <v>2023</v>
      </c>
      <c r="C3752" s="18" t="s">
        <v>793</v>
      </c>
      <c r="D3752" s="18" t="s">
        <v>1226</v>
      </c>
      <c r="E3752" s="18" t="s">
        <v>703</v>
      </c>
      <c r="F3752" s="18" t="s">
        <v>805</v>
      </c>
      <c r="G3752" s="18" t="s">
        <v>677</v>
      </c>
      <c r="H3752" s="18" t="s">
        <v>747</v>
      </c>
      <c r="I3752" s="315">
        <v>1.7900153125676854</v>
      </c>
      <c r="J3752" s="315">
        <v>3.6195281547911464E-3</v>
      </c>
      <c r="K3752" s="316" t="str">
        <f t="shared" si="58"/>
        <v>Commercial Equipment</v>
      </c>
      <c r="L3752" s="316" t="str">
        <f t="shared" si="59"/>
        <v>Gasoline</v>
      </c>
      <c r="M3752" s="8"/>
      <c r="N3752" s="2"/>
      <c r="O3752" s="2"/>
      <c r="P3752" s="2"/>
      <c r="Q3752" s="2"/>
      <c r="R3752" s="2"/>
      <c r="S3752" s="2"/>
      <c r="T3752" s="2"/>
      <c r="U3752" s="2"/>
      <c r="V3752" s="2"/>
      <c r="W3752" s="2"/>
      <c r="X3752" s="2"/>
      <c r="Y3752" s="2"/>
      <c r="Z3752" s="2"/>
    </row>
    <row r="3753" spans="1:26" ht="12.75" x14ac:dyDescent="0.2">
      <c r="A3753" s="230"/>
      <c r="B3753" s="18">
        <v>2023</v>
      </c>
      <c r="C3753" s="18" t="s">
        <v>753</v>
      </c>
      <c r="D3753" s="18" t="s">
        <v>1317</v>
      </c>
      <c r="E3753" s="18" t="s">
        <v>713</v>
      </c>
      <c r="F3753" s="18" t="s">
        <v>714</v>
      </c>
      <c r="G3753" s="18" t="s">
        <v>673</v>
      </c>
      <c r="H3753" s="18" t="s">
        <v>865</v>
      </c>
      <c r="I3753" s="315">
        <v>1.7833139589683553</v>
      </c>
      <c r="J3753" s="315">
        <v>5.6322674224623716E-5</v>
      </c>
      <c r="K3753" s="316" t="str">
        <f t="shared" si="58"/>
        <v>Lawn and Garden Equipment</v>
      </c>
      <c r="L3753" s="316" t="str">
        <f t="shared" si="59"/>
        <v>Diesel</v>
      </c>
      <c r="M3753" s="8"/>
      <c r="N3753" s="2"/>
      <c r="O3753" s="2"/>
      <c r="P3753" s="2"/>
      <c r="Q3753" s="2"/>
      <c r="R3753" s="2"/>
      <c r="S3753" s="2"/>
      <c r="T3753" s="2"/>
      <c r="U3753" s="2"/>
      <c r="V3753" s="2"/>
      <c r="W3753" s="2"/>
      <c r="X3753" s="2"/>
      <c r="Y3753" s="2"/>
      <c r="Z3753" s="2"/>
    </row>
    <row r="3754" spans="1:26" ht="12.75" x14ac:dyDescent="0.2">
      <c r="A3754" s="230"/>
      <c r="B3754" s="18">
        <v>2023</v>
      </c>
      <c r="C3754" s="18" t="s">
        <v>732</v>
      </c>
      <c r="D3754" s="18" t="s">
        <v>1583</v>
      </c>
      <c r="E3754" s="18" t="s">
        <v>703</v>
      </c>
      <c r="F3754" s="18" t="s">
        <v>805</v>
      </c>
      <c r="G3754" s="18" t="s">
        <v>674</v>
      </c>
      <c r="H3754" s="18" t="s">
        <v>1036</v>
      </c>
      <c r="I3754" s="315">
        <v>1.7794792504364416</v>
      </c>
      <c r="J3754" s="315">
        <v>3.6828840218531482E-3</v>
      </c>
      <c r="K3754" s="316" t="str">
        <f t="shared" si="58"/>
        <v>Construction and Mining Equipment</v>
      </c>
      <c r="L3754" s="316" t="str">
        <f t="shared" si="59"/>
        <v>Gasoline</v>
      </c>
      <c r="M3754" s="8"/>
      <c r="N3754" s="2"/>
      <c r="O3754" s="2"/>
      <c r="P3754" s="2"/>
      <c r="Q3754" s="2"/>
      <c r="R3754" s="2"/>
      <c r="S3754" s="2"/>
      <c r="T3754" s="2"/>
      <c r="U3754" s="2"/>
      <c r="V3754" s="2"/>
      <c r="W3754" s="2"/>
      <c r="X3754" s="2"/>
      <c r="Y3754" s="2"/>
      <c r="Z3754" s="2"/>
    </row>
    <row r="3755" spans="1:26" ht="12.75" x14ac:dyDescent="0.2">
      <c r="A3755" s="230"/>
      <c r="B3755" s="18">
        <v>2023</v>
      </c>
      <c r="C3755" s="18" t="s">
        <v>781</v>
      </c>
      <c r="D3755" s="18" t="s">
        <v>1083</v>
      </c>
      <c r="E3755" s="18" t="s">
        <v>703</v>
      </c>
      <c r="F3755" s="18" t="s">
        <v>704</v>
      </c>
      <c r="G3755" s="18" t="s">
        <v>674</v>
      </c>
      <c r="H3755" s="18" t="s">
        <v>861</v>
      </c>
      <c r="I3755" s="315">
        <v>1.777277666706029</v>
      </c>
      <c r="J3755" s="315">
        <v>1.3334031804045131E-3</v>
      </c>
      <c r="K3755" s="316" t="str">
        <f t="shared" si="58"/>
        <v>Construction and Mining Equipment</v>
      </c>
      <c r="L3755" s="316" t="str">
        <f t="shared" si="59"/>
        <v>Gasoline</v>
      </c>
      <c r="M3755" s="8"/>
      <c r="N3755" s="2"/>
      <c r="O3755" s="2"/>
      <c r="P3755" s="2"/>
      <c r="Q3755" s="2"/>
      <c r="R3755" s="2"/>
      <c r="S3755" s="2"/>
      <c r="T3755" s="2"/>
      <c r="U3755" s="2"/>
      <c r="V3755" s="2"/>
      <c r="W3755" s="2"/>
      <c r="X3755" s="2"/>
      <c r="Y3755" s="2"/>
      <c r="Z3755" s="2"/>
    </row>
    <row r="3756" spans="1:26" ht="12.75" x14ac:dyDescent="0.2">
      <c r="A3756" s="230"/>
      <c r="B3756" s="18">
        <v>2023</v>
      </c>
      <c r="C3756" s="18" t="s">
        <v>750</v>
      </c>
      <c r="D3756" s="18" t="s">
        <v>737</v>
      </c>
      <c r="E3756" s="18" t="s">
        <v>713</v>
      </c>
      <c r="F3756" s="18" t="s">
        <v>714</v>
      </c>
      <c r="G3756" s="18" t="s">
        <v>680</v>
      </c>
      <c r="H3756" s="18" t="s">
        <v>680</v>
      </c>
      <c r="I3756" s="315">
        <v>1.7735535189759488</v>
      </c>
      <c r="J3756" s="315">
        <v>1.4320342941043929E-5</v>
      </c>
      <c r="K3756" s="316" t="str">
        <f t="shared" si="58"/>
        <v>Airport Ground Support Equipment</v>
      </c>
      <c r="L3756" s="316" t="str">
        <f t="shared" si="59"/>
        <v>Diesel</v>
      </c>
      <c r="M3756" s="8"/>
      <c r="N3756" s="2"/>
      <c r="O3756" s="2"/>
      <c r="P3756" s="2"/>
      <c r="Q3756" s="2"/>
      <c r="R3756" s="2"/>
      <c r="S3756" s="2"/>
      <c r="T3756" s="2"/>
      <c r="U3756" s="2"/>
      <c r="V3756" s="2"/>
      <c r="W3756" s="2"/>
      <c r="X3756" s="2"/>
      <c r="Y3756" s="2"/>
      <c r="Z3756" s="2"/>
    </row>
    <row r="3757" spans="1:26" ht="12.75" x14ac:dyDescent="0.2">
      <c r="A3757" s="230"/>
      <c r="B3757" s="18">
        <v>2023</v>
      </c>
      <c r="C3757" s="18" t="s">
        <v>778</v>
      </c>
      <c r="D3757" s="18" t="s">
        <v>1483</v>
      </c>
      <c r="E3757" s="18" t="s">
        <v>703</v>
      </c>
      <c r="F3757" s="18" t="s">
        <v>805</v>
      </c>
      <c r="G3757" s="18" t="s">
        <v>674</v>
      </c>
      <c r="H3757" s="18" t="s">
        <v>994</v>
      </c>
      <c r="I3757" s="315">
        <v>1.7725413097734579</v>
      </c>
      <c r="J3757" s="315">
        <v>3.7164464123682086E-3</v>
      </c>
      <c r="K3757" s="316" t="str">
        <f t="shared" si="58"/>
        <v>Construction and Mining Equipment</v>
      </c>
      <c r="L3757" s="316" t="str">
        <f t="shared" si="59"/>
        <v>Gasoline</v>
      </c>
      <c r="M3757" s="8"/>
      <c r="N3757" s="2"/>
      <c r="O3757" s="2"/>
      <c r="P3757" s="2"/>
      <c r="Q3757" s="2"/>
      <c r="R3757" s="2"/>
      <c r="S3757" s="2"/>
      <c r="T3757" s="2"/>
      <c r="U3757" s="2"/>
      <c r="V3757" s="2"/>
      <c r="W3757" s="2"/>
      <c r="X3757" s="2"/>
      <c r="Y3757" s="2"/>
      <c r="Z3757" s="2"/>
    </row>
    <row r="3758" spans="1:26" ht="12.75" x14ac:dyDescent="0.2">
      <c r="A3758" s="230"/>
      <c r="B3758" s="18">
        <v>2023</v>
      </c>
      <c r="C3758" s="18" t="s">
        <v>773</v>
      </c>
      <c r="D3758" s="18" t="s">
        <v>1445</v>
      </c>
      <c r="E3758" s="18" t="s">
        <v>56</v>
      </c>
      <c r="F3758" s="18" t="s">
        <v>601</v>
      </c>
      <c r="G3758" s="18" t="s">
        <v>677</v>
      </c>
      <c r="H3758" s="18" t="s">
        <v>841</v>
      </c>
      <c r="I3758" s="315">
        <v>1.7673917499927443</v>
      </c>
      <c r="J3758" s="315">
        <v>1.9201989697629054E-2</v>
      </c>
      <c r="K3758" s="316" t="str">
        <f t="shared" si="58"/>
        <v>Commercial Equipment</v>
      </c>
      <c r="L3758" s="316" t="str">
        <f t="shared" si="59"/>
        <v>CNG</v>
      </c>
      <c r="M3758" s="8"/>
      <c r="N3758" s="2"/>
      <c r="O3758" s="2"/>
      <c r="P3758" s="2"/>
      <c r="Q3758" s="2"/>
      <c r="R3758" s="2"/>
      <c r="S3758" s="2"/>
      <c r="T3758" s="2"/>
      <c r="U3758" s="2"/>
      <c r="V3758" s="2"/>
      <c r="W3758" s="2"/>
      <c r="X3758" s="2"/>
      <c r="Y3758" s="2"/>
      <c r="Z3758" s="2"/>
    </row>
    <row r="3759" spans="1:26" ht="12.75" x14ac:dyDescent="0.2">
      <c r="A3759" s="230"/>
      <c r="B3759" s="18">
        <v>2023</v>
      </c>
      <c r="C3759" s="18" t="s">
        <v>731</v>
      </c>
      <c r="D3759" s="18" t="s">
        <v>1407</v>
      </c>
      <c r="E3759" s="18" t="s">
        <v>56</v>
      </c>
      <c r="F3759" s="18" t="s">
        <v>672</v>
      </c>
      <c r="G3759" s="18" t="s">
        <v>675</v>
      </c>
      <c r="H3759" s="18" t="s">
        <v>1078</v>
      </c>
      <c r="I3759" s="315">
        <v>1.7624274753950955</v>
      </c>
      <c r="J3759" s="315">
        <v>1.5835551055400391E-4</v>
      </c>
      <c r="K3759" s="316" t="str">
        <f t="shared" si="58"/>
        <v>Industrial Equipment</v>
      </c>
      <c r="L3759" s="316" t="str">
        <f t="shared" si="59"/>
        <v>LPG</v>
      </c>
      <c r="M3759" s="8"/>
      <c r="N3759" s="2"/>
      <c r="O3759" s="2"/>
      <c r="P3759" s="2"/>
      <c r="Q3759" s="2"/>
      <c r="R3759" s="2"/>
      <c r="S3759" s="2"/>
      <c r="T3759" s="2"/>
      <c r="U3759" s="2"/>
      <c r="V3759" s="2"/>
      <c r="W3759" s="2"/>
      <c r="X3759" s="2"/>
      <c r="Y3759" s="2"/>
      <c r="Z3759" s="2"/>
    </row>
    <row r="3760" spans="1:26" ht="12.75" x14ac:dyDescent="0.2">
      <c r="A3760" s="230"/>
      <c r="B3760" s="18">
        <v>2023</v>
      </c>
      <c r="C3760" s="18" t="s">
        <v>787</v>
      </c>
      <c r="D3760" s="18" t="s">
        <v>1435</v>
      </c>
      <c r="E3760" s="18" t="s">
        <v>56</v>
      </c>
      <c r="F3760" s="18" t="s">
        <v>672</v>
      </c>
      <c r="G3760" s="18" t="s">
        <v>674</v>
      </c>
      <c r="H3760" s="18" t="s">
        <v>863</v>
      </c>
      <c r="I3760" s="315">
        <v>1.7514065765967568</v>
      </c>
      <c r="J3760" s="315">
        <v>1.1663627364041348E-4</v>
      </c>
      <c r="K3760" s="316" t="str">
        <f t="shared" si="58"/>
        <v>Construction and Mining Equipment</v>
      </c>
      <c r="L3760" s="316" t="str">
        <f t="shared" si="59"/>
        <v>LPG</v>
      </c>
      <c r="M3760" s="8"/>
      <c r="N3760" s="2"/>
      <c r="O3760" s="2"/>
      <c r="P3760" s="2"/>
      <c r="Q3760" s="2"/>
      <c r="R3760" s="2"/>
      <c r="S3760" s="2"/>
      <c r="T3760" s="2"/>
      <c r="U3760" s="2"/>
      <c r="V3760" s="2"/>
      <c r="W3760" s="2"/>
      <c r="X3760" s="2"/>
      <c r="Y3760" s="2"/>
      <c r="Z3760" s="2"/>
    </row>
    <row r="3761" spans="1:26" ht="12.75" x14ac:dyDescent="0.2">
      <c r="A3761" s="230"/>
      <c r="B3761" s="18">
        <v>2023</v>
      </c>
      <c r="C3761" s="18" t="s">
        <v>762</v>
      </c>
      <c r="D3761" s="18" t="s">
        <v>1744</v>
      </c>
      <c r="E3761" s="18" t="s">
        <v>703</v>
      </c>
      <c r="F3761" s="18" t="s">
        <v>704</v>
      </c>
      <c r="G3761" s="18" t="s">
        <v>678</v>
      </c>
      <c r="H3761" s="18" t="s">
        <v>1745</v>
      </c>
      <c r="I3761" s="315">
        <v>1.7495878002067089</v>
      </c>
      <c r="J3761" s="315">
        <v>1.1154137856699893E-3</v>
      </c>
      <c r="K3761" s="316" t="str">
        <f t="shared" si="58"/>
        <v>Agricultural Equipment</v>
      </c>
      <c r="L3761" s="316" t="str">
        <f t="shared" si="59"/>
        <v>Gasoline</v>
      </c>
      <c r="M3761" s="8"/>
      <c r="N3761" s="2"/>
      <c r="O3761" s="2"/>
      <c r="P3761" s="2"/>
      <c r="Q3761" s="2"/>
      <c r="R3761" s="2"/>
      <c r="S3761" s="2"/>
      <c r="T3761" s="2"/>
      <c r="U3761" s="2"/>
      <c r="V3761" s="2"/>
      <c r="W3761" s="2"/>
      <c r="X3761" s="2"/>
      <c r="Y3761" s="2"/>
      <c r="Z3761" s="2"/>
    </row>
    <row r="3762" spans="1:26" ht="12.75" x14ac:dyDescent="0.2">
      <c r="A3762" s="230"/>
      <c r="B3762" s="18">
        <v>2023</v>
      </c>
      <c r="C3762" s="18" t="s">
        <v>709</v>
      </c>
      <c r="D3762" s="18" t="s">
        <v>1460</v>
      </c>
      <c r="E3762" s="18" t="s">
        <v>703</v>
      </c>
      <c r="F3762" s="18" t="s">
        <v>704</v>
      </c>
      <c r="G3762" s="18" t="s">
        <v>678</v>
      </c>
      <c r="H3762" s="18" t="s">
        <v>1080</v>
      </c>
      <c r="I3762" s="315">
        <v>1.7444249602793445</v>
      </c>
      <c r="J3762" s="315">
        <v>1.0613149581060574E-3</v>
      </c>
      <c r="K3762" s="316" t="str">
        <f t="shared" si="58"/>
        <v>Agricultural Equipment</v>
      </c>
      <c r="L3762" s="316" t="str">
        <f t="shared" si="59"/>
        <v>Gasoline</v>
      </c>
      <c r="M3762" s="8"/>
      <c r="N3762" s="2"/>
      <c r="O3762" s="2"/>
      <c r="P3762" s="2"/>
      <c r="Q3762" s="2"/>
      <c r="R3762" s="2"/>
      <c r="S3762" s="2"/>
      <c r="T3762" s="2"/>
      <c r="U3762" s="2"/>
      <c r="V3762" s="2"/>
      <c r="W3762" s="2"/>
      <c r="X3762" s="2"/>
      <c r="Y3762" s="2"/>
      <c r="Z3762" s="2"/>
    </row>
    <row r="3763" spans="1:26" ht="12.75" x14ac:dyDescent="0.2">
      <c r="A3763" s="230"/>
      <c r="B3763" s="18">
        <v>2023</v>
      </c>
      <c r="C3763" s="18" t="s">
        <v>750</v>
      </c>
      <c r="D3763" s="18" t="s">
        <v>1226</v>
      </c>
      <c r="E3763" s="18" t="s">
        <v>703</v>
      </c>
      <c r="F3763" s="18" t="s">
        <v>805</v>
      </c>
      <c r="G3763" s="18" t="s">
        <v>677</v>
      </c>
      <c r="H3763" s="18" t="s">
        <v>747</v>
      </c>
      <c r="I3763" s="315">
        <v>1.741637673620025</v>
      </c>
      <c r="J3763" s="315">
        <v>3.5217070377528215E-3</v>
      </c>
      <c r="K3763" s="316" t="str">
        <f t="shared" si="58"/>
        <v>Commercial Equipment</v>
      </c>
      <c r="L3763" s="316" t="str">
        <f t="shared" si="59"/>
        <v>Gasoline</v>
      </c>
      <c r="M3763" s="8"/>
      <c r="N3763" s="2"/>
      <c r="O3763" s="2"/>
      <c r="P3763" s="2"/>
      <c r="Q3763" s="2"/>
      <c r="R3763" s="2"/>
      <c r="S3763" s="2"/>
      <c r="T3763" s="2"/>
      <c r="U3763" s="2"/>
      <c r="V3763" s="2"/>
      <c r="W3763" s="2"/>
      <c r="X3763" s="2"/>
      <c r="Y3763" s="2"/>
      <c r="Z3763" s="2"/>
    </row>
    <row r="3764" spans="1:26" ht="12.75" x14ac:dyDescent="0.2">
      <c r="A3764" s="230"/>
      <c r="B3764" s="18">
        <v>2023</v>
      </c>
      <c r="C3764" s="18" t="s">
        <v>701</v>
      </c>
      <c r="D3764" s="18" t="s">
        <v>1715</v>
      </c>
      <c r="E3764" s="18" t="s">
        <v>703</v>
      </c>
      <c r="F3764" s="18" t="s">
        <v>805</v>
      </c>
      <c r="G3764" s="18" t="s">
        <v>677</v>
      </c>
      <c r="H3764" s="18" t="s">
        <v>1031</v>
      </c>
      <c r="I3764" s="315">
        <v>1.7204491860815405</v>
      </c>
      <c r="J3764" s="315">
        <v>3.8441780569377767E-3</v>
      </c>
      <c r="K3764" s="316" t="str">
        <f t="shared" si="58"/>
        <v>Commercial Equipment</v>
      </c>
      <c r="L3764" s="316" t="str">
        <f t="shared" si="59"/>
        <v>Gasoline</v>
      </c>
      <c r="M3764" s="8"/>
      <c r="N3764" s="2"/>
      <c r="O3764" s="2"/>
      <c r="P3764" s="2"/>
      <c r="Q3764" s="2"/>
      <c r="R3764" s="2"/>
      <c r="S3764" s="2"/>
      <c r="T3764" s="2"/>
      <c r="U3764" s="2"/>
      <c r="V3764" s="2"/>
      <c r="W3764" s="2"/>
      <c r="X3764" s="2"/>
      <c r="Y3764" s="2"/>
      <c r="Z3764" s="2"/>
    </row>
    <row r="3765" spans="1:26" ht="12.75" x14ac:dyDescent="0.2">
      <c r="A3765" s="230"/>
      <c r="B3765" s="18">
        <v>2023</v>
      </c>
      <c r="C3765" s="18" t="s">
        <v>753</v>
      </c>
      <c r="D3765" s="18" t="s">
        <v>1339</v>
      </c>
      <c r="E3765" s="18" t="s">
        <v>56</v>
      </c>
      <c r="F3765" s="18" t="s">
        <v>672</v>
      </c>
      <c r="G3765" s="18" t="s">
        <v>674</v>
      </c>
      <c r="H3765" s="18" t="s">
        <v>770</v>
      </c>
      <c r="I3765" s="315">
        <v>1.7148761073151151</v>
      </c>
      <c r="J3765" s="315">
        <v>1.2663083534132576E-4</v>
      </c>
      <c r="K3765" s="316" t="str">
        <f t="shared" si="58"/>
        <v>Construction and Mining Equipment</v>
      </c>
      <c r="L3765" s="316" t="str">
        <f t="shared" si="59"/>
        <v>LPG</v>
      </c>
      <c r="M3765" s="8"/>
      <c r="N3765" s="2"/>
      <c r="O3765" s="2"/>
      <c r="P3765" s="2"/>
      <c r="Q3765" s="2"/>
      <c r="R3765" s="2"/>
      <c r="S3765" s="2"/>
      <c r="T3765" s="2"/>
      <c r="U3765" s="2"/>
      <c r="V3765" s="2"/>
      <c r="W3765" s="2"/>
      <c r="X3765" s="2"/>
      <c r="Y3765" s="2"/>
      <c r="Z3765" s="2"/>
    </row>
    <row r="3766" spans="1:26" ht="12.75" x14ac:dyDescent="0.2">
      <c r="A3766" s="230"/>
      <c r="B3766" s="18">
        <v>2023</v>
      </c>
      <c r="C3766" s="18" t="s">
        <v>732</v>
      </c>
      <c r="D3766" s="18" t="s">
        <v>1744</v>
      </c>
      <c r="E3766" s="18" t="s">
        <v>703</v>
      </c>
      <c r="F3766" s="18" t="s">
        <v>704</v>
      </c>
      <c r="G3766" s="18" t="s">
        <v>678</v>
      </c>
      <c r="H3766" s="18" t="s">
        <v>1745</v>
      </c>
      <c r="I3766" s="315">
        <v>1.7066572496910362</v>
      </c>
      <c r="J3766" s="315">
        <v>1.0918373809717709E-3</v>
      </c>
      <c r="K3766" s="316" t="str">
        <f t="shared" si="58"/>
        <v>Agricultural Equipment</v>
      </c>
      <c r="L3766" s="316" t="str">
        <f t="shared" si="59"/>
        <v>Gasoline</v>
      </c>
      <c r="M3766" s="8"/>
      <c r="N3766" s="2"/>
      <c r="O3766" s="2"/>
      <c r="P3766" s="2"/>
      <c r="Q3766" s="2"/>
      <c r="R3766" s="2"/>
      <c r="S3766" s="2"/>
      <c r="T3766" s="2"/>
      <c r="U3766" s="2"/>
      <c r="V3766" s="2"/>
      <c r="W3766" s="2"/>
      <c r="X3766" s="2"/>
      <c r="Y3766" s="2"/>
      <c r="Z3766" s="2"/>
    </row>
    <row r="3767" spans="1:26" ht="12.75" x14ac:dyDescent="0.2">
      <c r="A3767" s="230"/>
      <c r="B3767" s="18">
        <v>2023</v>
      </c>
      <c r="C3767" s="18" t="s">
        <v>754</v>
      </c>
      <c r="D3767" s="18" t="s">
        <v>1708</v>
      </c>
      <c r="E3767" s="18" t="s">
        <v>703</v>
      </c>
      <c r="F3767" s="18" t="s">
        <v>704</v>
      </c>
      <c r="G3767" s="18" t="s">
        <v>678</v>
      </c>
      <c r="H3767" s="18" t="s">
        <v>1709</v>
      </c>
      <c r="I3767" s="315">
        <v>1.7063782551961117</v>
      </c>
      <c r="J3767" s="315">
        <v>1.1554704251023108E-3</v>
      </c>
      <c r="K3767" s="316" t="str">
        <f t="shared" si="58"/>
        <v>Agricultural Equipment</v>
      </c>
      <c r="L3767" s="316" t="str">
        <f t="shared" si="59"/>
        <v>Gasoline</v>
      </c>
      <c r="M3767" s="8"/>
      <c r="N3767" s="2"/>
      <c r="O3767" s="2"/>
      <c r="P3767" s="2"/>
      <c r="Q3767" s="2"/>
      <c r="R3767" s="2"/>
      <c r="S3767" s="2"/>
      <c r="T3767" s="2"/>
      <c r="U3767" s="2"/>
      <c r="V3767" s="2"/>
      <c r="W3767" s="2"/>
      <c r="X3767" s="2"/>
      <c r="Y3767" s="2"/>
      <c r="Z3767" s="2"/>
    </row>
    <row r="3768" spans="1:26" ht="12.75" x14ac:dyDescent="0.2">
      <c r="A3768" s="230"/>
      <c r="B3768" s="18">
        <v>2023</v>
      </c>
      <c r="C3768" s="18" t="s">
        <v>753</v>
      </c>
      <c r="D3768" s="18" t="s">
        <v>1407</v>
      </c>
      <c r="E3768" s="18" t="s">
        <v>56</v>
      </c>
      <c r="F3768" s="18" t="s">
        <v>672</v>
      </c>
      <c r="G3768" s="18" t="s">
        <v>675</v>
      </c>
      <c r="H3768" s="18" t="s">
        <v>1078</v>
      </c>
      <c r="I3768" s="315">
        <v>1.7054762810942181</v>
      </c>
      <c r="J3768" s="315">
        <v>1.5323841413119918E-4</v>
      </c>
      <c r="K3768" s="316" t="str">
        <f t="shared" si="58"/>
        <v>Industrial Equipment</v>
      </c>
      <c r="L3768" s="316" t="str">
        <f t="shared" si="59"/>
        <v>LPG</v>
      </c>
      <c r="M3768" s="8"/>
      <c r="N3768" s="2"/>
      <c r="O3768" s="2"/>
      <c r="P3768" s="2"/>
      <c r="Q3768" s="2"/>
      <c r="R3768" s="2"/>
      <c r="S3768" s="2"/>
      <c r="T3768" s="2"/>
      <c r="U3768" s="2"/>
      <c r="V3768" s="2"/>
      <c r="W3768" s="2"/>
      <c r="X3768" s="2"/>
      <c r="Y3768" s="2"/>
      <c r="Z3768" s="2"/>
    </row>
    <row r="3769" spans="1:26" ht="12.75" x14ac:dyDescent="0.2">
      <c r="A3769" s="230"/>
      <c r="B3769" s="18">
        <v>2023</v>
      </c>
      <c r="C3769" s="18" t="s">
        <v>701</v>
      </c>
      <c r="D3769" s="18" t="s">
        <v>1685</v>
      </c>
      <c r="E3769" s="18" t="s">
        <v>56</v>
      </c>
      <c r="F3769" s="18" t="s">
        <v>672</v>
      </c>
      <c r="G3769" s="18" t="s">
        <v>674</v>
      </c>
      <c r="H3769" s="18" t="s">
        <v>1072</v>
      </c>
      <c r="I3769" s="315">
        <v>1.6933836725033056</v>
      </c>
      <c r="J3769" s="315">
        <v>1.17501657808425E-4</v>
      </c>
      <c r="K3769" s="316" t="str">
        <f t="shared" si="58"/>
        <v>Construction and Mining Equipment</v>
      </c>
      <c r="L3769" s="316" t="str">
        <f t="shared" si="59"/>
        <v>LPG</v>
      </c>
      <c r="M3769" s="8"/>
      <c r="N3769" s="2"/>
      <c r="O3769" s="2"/>
      <c r="P3769" s="2"/>
      <c r="Q3769" s="2"/>
      <c r="R3769" s="2"/>
      <c r="S3769" s="2"/>
      <c r="T3769" s="2"/>
      <c r="U3769" s="2"/>
      <c r="V3769" s="2"/>
      <c r="W3769" s="2"/>
      <c r="X3769" s="2"/>
      <c r="Y3769" s="2"/>
      <c r="Z3769" s="2"/>
    </row>
    <row r="3770" spans="1:26" ht="12.75" x14ac:dyDescent="0.2">
      <c r="A3770" s="230"/>
      <c r="B3770" s="18">
        <v>2023</v>
      </c>
      <c r="C3770" s="18" t="s">
        <v>810</v>
      </c>
      <c r="D3770" s="18" t="s">
        <v>1226</v>
      </c>
      <c r="E3770" s="18" t="s">
        <v>703</v>
      </c>
      <c r="F3770" s="18" t="s">
        <v>805</v>
      </c>
      <c r="G3770" s="18" t="s">
        <v>677</v>
      </c>
      <c r="H3770" s="18" t="s">
        <v>747</v>
      </c>
      <c r="I3770" s="315">
        <v>1.6932588960299928</v>
      </c>
      <c r="J3770" s="315">
        <v>3.4238768563459826E-3</v>
      </c>
      <c r="K3770" s="316" t="str">
        <f t="shared" si="58"/>
        <v>Commercial Equipment</v>
      </c>
      <c r="L3770" s="316" t="str">
        <f t="shared" si="59"/>
        <v>Gasoline</v>
      </c>
      <c r="M3770" s="8"/>
      <c r="N3770" s="2"/>
      <c r="O3770" s="2"/>
      <c r="P3770" s="2"/>
      <c r="Q3770" s="2"/>
      <c r="R3770" s="2"/>
      <c r="S3770" s="2"/>
      <c r="T3770" s="2"/>
      <c r="U3770" s="2"/>
      <c r="V3770" s="2"/>
      <c r="W3770" s="2"/>
      <c r="X3770" s="2"/>
      <c r="Y3770" s="2"/>
      <c r="Z3770" s="2"/>
    </row>
    <row r="3771" spans="1:26" ht="12.75" x14ac:dyDescent="0.2">
      <c r="A3771" s="230"/>
      <c r="B3771" s="18">
        <v>2023</v>
      </c>
      <c r="C3771" s="18" t="s">
        <v>792</v>
      </c>
      <c r="D3771" s="18" t="s">
        <v>1215</v>
      </c>
      <c r="E3771" s="18" t="s">
        <v>56</v>
      </c>
      <c r="F3771" s="18" t="s">
        <v>672</v>
      </c>
      <c r="G3771" s="18" t="s">
        <v>674</v>
      </c>
      <c r="H3771" s="18" t="s">
        <v>756</v>
      </c>
      <c r="I3771" s="315">
        <v>1.6903046570429661</v>
      </c>
      <c r="J3771" s="315">
        <v>3.127132108100021E-4</v>
      </c>
      <c r="K3771" s="316" t="str">
        <f t="shared" si="58"/>
        <v>Construction and Mining Equipment</v>
      </c>
      <c r="L3771" s="316" t="str">
        <f t="shared" si="59"/>
        <v>LPG</v>
      </c>
      <c r="M3771" s="8"/>
      <c r="N3771" s="2"/>
      <c r="O3771" s="2"/>
      <c r="P3771" s="2"/>
      <c r="Q3771" s="2"/>
      <c r="R3771" s="2"/>
      <c r="S3771" s="2"/>
      <c r="T3771" s="2"/>
      <c r="U3771" s="2"/>
      <c r="V3771" s="2"/>
      <c r="W3771" s="2"/>
      <c r="X3771" s="2"/>
      <c r="Y3771" s="2"/>
      <c r="Z3771" s="2"/>
    </row>
    <row r="3772" spans="1:26" ht="12.75" x14ac:dyDescent="0.2">
      <c r="A3772" s="230"/>
      <c r="B3772" s="18">
        <v>2023</v>
      </c>
      <c r="C3772" s="18" t="s">
        <v>706</v>
      </c>
      <c r="D3772" s="18" t="s">
        <v>1637</v>
      </c>
      <c r="E3772" s="18" t="s">
        <v>703</v>
      </c>
      <c r="F3772" s="18" t="s">
        <v>704</v>
      </c>
      <c r="G3772" s="18" t="s">
        <v>678</v>
      </c>
      <c r="H3772" s="18" t="s">
        <v>1638</v>
      </c>
      <c r="I3772" s="315">
        <v>1.686543470334156</v>
      </c>
      <c r="J3772" s="315">
        <v>1.0063013487030279E-3</v>
      </c>
      <c r="K3772" s="316" t="str">
        <f t="shared" si="58"/>
        <v>Agricultural Equipment</v>
      </c>
      <c r="L3772" s="316" t="str">
        <f t="shared" si="59"/>
        <v>Gasoline</v>
      </c>
      <c r="M3772" s="8"/>
      <c r="N3772" s="2"/>
      <c r="O3772" s="2"/>
      <c r="P3772" s="2"/>
      <c r="Q3772" s="2"/>
      <c r="R3772" s="2"/>
      <c r="S3772" s="2"/>
      <c r="T3772" s="2"/>
      <c r="U3772" s="2"/>
      <c r="V3772" s="2"/>
      <c r="W3772" s="2"/>
      <c r="X3772" s="2"/>
      <c r="Y3772" s="2"/>
      <c r="Z3772" s="2"/>
    </row>
    <row r="3773" spans="1:26" ht="12.75" x14ac:dyDescent="0.2">
      <c r="A3773" s="230"/>
      <c r="B3773" s="18">
        <v>2023</v>
      </c>
      <c r="C3773" s="18" t="s">
        <v>792</v>
      </c>
      <c r="D3773" s="18" t="s">
        <v>1457</v>
      </c>
      <c r="E3773" s="18" t="s">
        <v>56</v>
      </c>
      <c r="F3773" s="18" t="s">
        <v>601</v>
      </c>
      <c r="G3773" s="18" t="s">
        <v>675</v>
      </c>
      <c r="H3773" s="18" t="s">
        <v>772</v>
      </c>
      <c r="I3773" s="315">
        <v>1.6862013578192017</v>
      </c>
      <c r="J3773" s="315">
        <v>6.8780347523965659E-3</v>
      </c>
      <c r="K3773" s="316" t="str">
        <f t="shared" si="58"/>
        <v>Industrial Equipment</v>
      </c>
      <c r="L3773" s="316" t="str">
        <f t="shared" si="59"/>
        <v>CNG</v>
      </c>
      <c r="M3773" s="8"/>
      <c r="N3773" s="2"/>
      <c r="O3773" s="2"/>
      <c r="P3773" s="2"/>
      <c r="Q3773" s="2"/>
      <c r="R3773" s="2"/>
      <c r="S3773" s="2"/>
      <c r="T3773" s="2"/>
      <c r="U3773" s="2"/>
      <c r="V3773" s="2"/>
      <c r="W3773" s="2"/>
      <c r="X3773" s="2"/>
      <c r="Y3773" s="2"/>
      <c r="Z3773" s="2"/>
    </row>
    <row r="3774" spans="1:26" ht="12.75" x14ac:dyDescent="0.2">
      <c r="A3774" s="230"/>
      <c r="B3774" s="18">
        <v>2023</v>
      </c>
      <c r="C3774" s="18" t="s">
        <v>701</v>
      </c>
      <c r="D3774" s="18" t="s">
        <v>1394</v>
      </c>
      <c r="E3774" s="18" t="s">
        <v>703</v>
      </c>
      <c r="F3774" s="18" t="s">
        <v>805</v>
      </c>
      <c r="G3774" s="18" t="s">
        <v>681</v>
      </c>
      <c r="H3774" s="18" t="s">
        <v>1395</v>
      </c>
      <c r="I3774" s="315">
        <v>1.6832536331260211</v>
      </c>
      <c r="J3774" s="315">
        <v>2.9155912923463636E-3</v>
      </c>
      <c r="K3774" s="316" t="str">
        <f t="shared" si="58"/>
        <v>Logging Equipment</v>
      </c>
      <c r="L3774" s="316" t="str">
        <f t="shared" si="59"/>
        <v>Gasoline</v>
      </c>
      <c r="M3774" s="8"/>
      <c r="N3774" s="2"/>
      <c r="O3774" s="2"/>
      <c r="P3774" s="2"/>
      <c r="Q3774" s="2"/>
      <c r="R3774" s="2"/>
      <c r="S3774" s="2"/>
      <c r="T3774" s="2"/>
      <c r="U3774" s="2"/>
      <c r="V3774" s="2"/>
      <c r="W3774" s="2"/>
      <c r="X3774" s="2"/>
      <c r="Y3774" s="2"/>
      <c r="Z3774" s="2"/>
    </row>
    <row r="3775" spans="1:26" ht="12.75" x14ac:dyDescent="0.2">
      <c r="A3775" s="230"/>
      <c r="B3775" s="18">
        <v>2023</v>
      </c>
      <c r="C3775" s="18" t="s">
        <v>759</v>
      </c>
      <c r="D3775" s="18" t="s">
        <v>1001</v>
      </c>
      <c r="E3775" s="18" t="s">
        <v>713</v>
      </c>
      <c r="F3775" s="18" t="s">
        <v>683</v>
      </c>
      <c r="G3775" s="18" t="s">
        <v>79</v>
      </c>
      <c r="H3775" s="18" t="s">
        <v>1002</v>
      </c>
      <c r="I3775" s="315">
        <v>1.6769559644441361</v>
      </c>
      <c r="J3775" s="315">
        <v>5.6365274200384864E-5</v>
      </c>
      <c r="K3775" s="316" t="str">
        <f t="shared" si="58"/>
        <v>Railroad Equipment</v>
      </c>
      <c r="L3775" s="316" t="str">
        <f t="shared" si="59"/>
        <v>Diesel</v>
      </c>
      <c r="M3775" s="8"/>
      <c r="N3775" s="2"/>
      <c r="O3775" s="2"/>
      <c r="P3775" s="2"/>
      <c r="Q3775" s="2"/>
      <c r="R3775" s="2"/>
      <c r="S3775" s="2"/>
      <c r="T3775" s="2"/>
      <c r="U3775" s="2"/>
      <c r="V3775" s="2"/>
      <c r="W3775" s="2"/>
      <c r="X3775" s="2"/>
      <c r="Y3775" s="2"/>
      <c r="Z3775" s="2"/>
    </row>
    <row r="3776" spans="1:26" ht="12.75" x14ac:dyDescent="0.2">
      <c r="A3776" s="230"/>
      <c r="B3776" s="18">
        <v>2023</v>
      </c>
      <c r="C3776" s="18" t="s">
        <v>727</v>
      </c>
      <c r="D3776" s="18" t="s">
        <v>1001</v>
      </c>
      <c r="E3776" s="18" t="s">
        <v>713</v>
      </c>
      <c r="F3776" s="18" t="s">
        <v>683</v>
      </c>
      <c r="G3776" s="18" t="s">
        <v>79</v>
      </c>
      <c r="H3776" s="18" t="s">
        <v>1002</v>
      </c>
      <c r="I3776" s="315">
        <v>1.6769559644441361</v>
      </c>
      <c r="J3776" s="315">
        <v>5.6365274200384864E-5</v>
      </c>
      <c r="K3776" s="316" t="str">
        <f t="shared" si="58"/>
        <v>Railroad Equipment</v>
      </c>
      <c r="L3776" s="316" t="str">
        <f t="shared" si="59"/>
        <v>Diesel</v>
      </c>
      <c r="M3776" s="8"/>
      <c r="N3776" s="2"/>
      <c r="O3776" s="2"/>
      <c r="P3776" s="2"/>
      <c r="Q3776" s="2"/>
      <c r="R3776" s="2"/>
      <c r="S3776" s="2"/>
      <c r="T3776" s="2"/>
      <c r="U3776" s="2"/>
      <c r="V3776" s="2"/>
      <c r="W3776" s="2"/>
      <c r="X3776" s="2"/>
      <c r="Y3776" s="2"/>
      <c r="Z3776" s="2"/>
    </row>
    <row r="3777" spans="1:26" x14ac:dyDescent="0.25">
      <c r="A3777" s="314"/>
      <c r="B3777" s="18">
        <v>2023</v>
      </c>
      <c r="C3777" s="18" t="s">
        <v>762</v>
      </c>
      <c r="D3777" s="18" t="s">
        <v>1281</v>
      </c>
      <c r="E3777" s="18" t="s">
        <v>703</v>
      </c>
      <c r="F3777" s="18" t="s">
        <v>704</v>
      </c>
      <c r="G3777" s="18" t="s">
        <v>674</v>
      </c>
      <c r="H3777" s="18" t="s">
        <v>770</v>
      </c>
      <c r="I3777" s="315">
        <v>1.6712654273566154</v>
      </c>
      <c r="J3777" s="315">
        <v>1.8416806019126456E-4</v>
      </c>
      <c r="K3777" s="316" t="str">
        <f t="shared" si="58"/>
        <v>Construction and Mining Equipment</v>
      </c>
      <c r="L3777" s="316" t="str">
        <f t="shared" si="59"/>
        <v>Gasoline</v>
      </c>
      <c r="M3777" s="194"/>
      <c r="N3777" s="317"/>
      <c r="O3777" s="317"/>
      <c r="P3777" s="317"/>
      <c r="Q3777" s="317"/>
      <c r="R3777" s="317"/>
      <c r="S3777" s="317"/>
      <c r="T3777" s="317"/>
      <c r="U3777" s="317"/>
      <c r="V3777" s="317"/>
      <c r="W3777" s="317"/>
      <c r="X3777" s="317"/>
      <c r="Y3777" s="317"/>
      <c r="Z3777" s="317"/>
    </row>
    <row r="3778" spans="1:26" x14ac:dyDescent="0.25">
      <c r="A3778" s="314"/>
      <c r="B3778" s="18">
        <v>2023</v>
      </c>
      <c r="C3778" s="18" t="s">
        <v>786</v>
      </c>
      <c r="D3778" s="18" t="s">
        <v>1228</v>
      </c>
      <c r="E3778" s="18" t="s">
        <v>703</v>
      </c>
      <c r="F3778" s="18" t="s">
        <v>704</v>
      </c>
      <c r="G3778" s="18" t="s">
        <v>675</v>
      </c>
      <c r="H3778" s="18" t="s">
        <v>1078</v>
      </c>
      <c r="I3778" s="315">
        <v>1.6621780910525834</v>
      </c>
      <c r="J3778" s="315">
        <v>5.604692717051682E-4</v>
      </c>
      <c r="K3778" s="316" t="str">
        <f t="shared" si="58"/>
        <v>Industrial Equipment</v>
      </c>
      <c r="L3778" s="316" t="str">
        <f t="shared" si="59"/>
        <v>Gasoline</v>
      </c>
      <c r="M3778" s="194"/>
      <c r="N3778" s="317"/>
      <c r="O3778" s="317"/>
      <c r="P3778" s="317"/>
      <c r="Q3778" s="317"/>
      <c r="R3778" s="317"/>
      <c r="S3778" s="317"/>
      <c r="T3778" s="317"/>
      <c r="U3778" s="317"/>
      <c r="V3778" s="317"/>
      <c r="W3778" s="317"/>
      <c r="X3778" s="317"/>
      <c r="Y3778" s="317"/>
      <c r="Z3778" s="317"/>
    </row>
    <row r="3779" spans="1:26" x14ac:dyDescent="0.25">
      <c r="A3779" s="314"/>
      <c r="B3779" s="18">
        <v>2023</v>
      </c>
      <c r="C3779" s="18" t="s">
        <v>787</v>
      </c>
      <c r="D3779" s="18" t="s">
        <v>1457</v>
      </c>
      <c r="E3779" s="18" t="s">
        <v>56</v>
      </c>
      <c r="F3779" s="18" t="s">
        <v>601</v>
      </c>
      <c r="G3779" s="18" t="s">
        <v>675</v>
      </c>
      <c r="H3779" s="18" t="s">
        <v>772</v>
      </c>
      <c r="I3779" s="315">
        <v>1.6620523341788547</v>
      </c>
      <c r="J3779" s="315">
        <v>6.7795328594958465E-3</v>
      </c>
      <c r="K3779" s="316" t="str">
        <f t="shared" si="58"/>
        <v>Industrial Equipment</v>
      </c>
      <c r="L3779" s="316" t="str">
        <f t="shared" si="59"/>
        <v>CNG</v>
      </c>
      <c r="M3779" s="194"/>
      <c r="N3779" s="317"/>
      <c r="O3779" s="317"/>
      <c r="P3779" s="317"/>
      <c r="Q3779" s="317"/>
      <c r="R3779" s="317"/>
      <c r="S3779" s="317"/>
      <c r="T3779" s="317"/>
      <c r="U3779" s="317"/>
      <c r="V3779" s="317"/>
      <c r="W3779" s="317"/>
      <c r="X3779" s="317"/>
      <c r="Y3779" s="317"/>
      <c r="Z3779" s="317"/>
    </row>
    <row r="3780" spans="1:26" x14ac:dyDescent="0.25">
      <c r="A3780" s="314"/>
      <c r="B3780" s="18">
        <v>2023</v>
      </c>
      <c r="C3780" s="18" t="s">
        <v>781</v>
      </c>
      <c r="D3780" s="18" t="s">
        <v>1084</v>
      </c>
      <c r="E3780" s="18" t="s">
        <v>703</v>
      </c>
      <c r="F3780" s="18" t="s">
        <v>704</v>
      </c>
      <c r="G3780" s="18" t="s">
        <v>674</v>
      </c>
      <c r="H3780" s="18" t="s">
        <v>863</v>
      </c>
      <c r="I3780" s="315">
        <v>1.6438606949651768</v>
      </c>
      <c r="J3780" s="315">
        <v>9.5971280528070371E-4</v>
      </c>
      <c r="K3780" s="316" t="str">
        <f t="shared" si="58"/>
        <v>Construction and Mining Equipment</v>
      </c>
      <c r="L3780" s="316" t="str">
        <f t="shared" si="59"/>
        <v>Gasoline</v>
      </c>
      <c r="M3780" s="194"/>
      <c r="N3780" s="317"/>
      <c r="O3780" s="317"/>
      <c r="P3780" s="317"/>
      <c r="Q3780" s="317"/>
      <c r="R3780" s="317"/>
      <c r="S3780" s="317"/>
      <c r="T3780" s="317"/>
      <c r="U3780" s="317"/>
      <c r="V3780" s="317"/>
      <c r="W3780" s="317"/>
      <c r="X3780" s="317"/>
      <c r="Y3780" s="317"/>
      <c r="Z3780" s="317"/>
    </row>
    <row r="3781" spans="1:26" x14ac:dyDescent="0.25">
      <c r="A3781" s="314"/>
      <c r="B3781" s="18">
        <v>2023</v>
      </c>
      <c r="C3781" s="18" t="s">
        <v>762</v>
      </c>
      <c r="D3781" s="18" t="s">
        <v>1228</v>
      </c>
      <c r="E3781" s="18" t="s">
        <v>703</v>
      </c>
      <c r="F3781" s="18" t="s">
        <v>704</v>
      </c>
      <c r="G3781" s="18" t="s">
        <v>675</v>
      </c>
      <c r="H3781" s="18" t="s">
        <v>1078</v>
      </c>
      <c r="I3781" s="315">
        <v>1.6422656464614844</v>
      </c>
      <c r="J3781" s="315">
        <v>5.5314845267490998E-4</v>
      </c>
      <c r="K3781" s="316" t="str">
        <f t="shared" si="58"/>
        <v>Industrial Equipment</v>
      </c>
      <c r="L3781" s="316" t="str">
        <f t="shared" si="59"/>
        <v>Gasoline</v>
      </c>
      <c r="M3781" s="194"/>
      <c r="N3781" s="317"/>
      <c r="O3781" s="317"/>
      <c r="P3781" s="317"/>
      <c r="Q3781" s="317"/>
      <c r="R3781" s="317"/>
      <c r="S3781" s="317"/>
      <c r="T3781" s="317"/>
      <c r="U3781" s="317"/>
      <c r="V3781" s="317"/>
      <c r="W3781" s="317"/>
      <c r="X3781" s="317"/>
      <c r="Y3781" s="317"/>
      <c r="Z3781" s="317"/>
    </row>
    <row r="3782" spans="1:26" x14ac:dyDescent="0.25">
      <c r="A3782" s="314"/>
      <c r="B3782" s="18">
        <v>2023</v>
      </c>
      <c r="C3782" s="18" t="s">
        <v>727</v>
      </c>
      <c r="D3782" s="18" t="s">
        <v>1401</v>
      </c>
      <c r="E3782" s="18" t="s">
        <v>56</v>
      </c>
      <c r="F3782" s="18" t="s">
        <v>601</v>
      </c>
      <c r="G3782" s="18" t="s">
        <v>677</v>
      </c>
      <c r="H3782" s="18" t="s">
        <v>785</v>
      </c>
      <c r="I3782" s="315">
        <v>1.6415421227953939</v>
      </c>
      <c r="J3782" s="315">
        <v>7.1153355353338306E-3</v>
      </c>
      <c r="K3782" s="316" t="str">
        <f t="shared" si="58"/>
        <v>Commercial Equipment</v>
      </c>
      <c r="L3782" s="316" t="str">
        <f t="shared" si="59"/>
        <v>CNG</v>
      </c>
      <c r="M3782" s="194"/>
      <c r="N3782" s="317"/>
      <c r="O3782" s="317"/>
      <c r="P3782" s="317"/>
      <c r="Q3782" s="317"/>
      <c r="R3782" s="317"/>
      <c r="S3782" s="317"/>
      <c r="T3782" s="317"/>
      <c r="U3782" s="317"/>
      <c r="V3782" s="317"/>
      <c r="W3782" s="317"/>
      <c r="X3782" s="317"/>
      <c r="Y3782" s="317"/>
      <c r="Z3782" s="317"/>
    </row>
    <row r="3783" spans="1:26" x14ac:dyDescent="0.25">
      <c r="A3783" s="314"/>
      <c r="B3783" s="18">
        <v>2023</v>
      </c>
      <c r="C3783" s="18" t="s">
        <v>759</v>
      </c>
      <c r="D3783" s="18" t="s">
        <v>1218</v>
      </c>
      <c r="E3783" s="18" t="s">
        <v>703</v>
      </c>
      <c r="F3783" s="18" t="s">
        <v>704</v>
      </c>
      <c r="G3783" s="18" t="s">
        <v>673</v>
      </c>
      <c r="H3783" s="18" t="s">
        <v>996</v>
      </c>
      <c r="I3783" s="315">
        <v>1.6374365269775983</v>
      </c>
      <c r="J3783" s="315">
        <v>1.1366178328750813E-3</v>
      </c>
      <c r="K3783" s="316" t="str">
        <f t="shared" si="58"/>
        <v>Lawn and Garden Equipment</v>
      </c>
      <c r="L3783" s="316" t="str">
        <f t="shared" si="59"/>
        <v>Gasoline</v>
      </c>
      <c r="M3783" s="194"/>
      <c r="N3783" s="317"/>
      <c r="O3783" s="317"/>
      <c r="P3783" s="317"/>
      <c r="Q3783" s="317"/>
      <c r="R3783" s="317"/>
      <c r="S3783" s="317"/>
      <c r="T3783" s="317"/>
      <c r="U3783" s="317"/>
      <c r="V3783" s="317"/>
      <c r="W3783" s="317"/>
      <c r="X3783" s="317"/>
      <c r="Y3783" s="317"/>
      <c r="Z3783" s="317"/>
    </row>
    <row r="3784" spans="1:26" x14ac:dyDescent="0.25">
      <c r="A3784" s="314"/>
      <c r="B3784" s="18">
        <v>2023</v>
      </c>
      <c r="C3784" s="18" t="s">
        <v>750</v>
      </c>
      <c r="D3784" s="18" t="s">
        <v>1435</v>
      </c>
      <c r="E3784" s="18" t="s">
        <v>56</v>
      </c>
      <c r="F3784" s="18" t="s">
        <v>672</v>
      </c>
      <c r="G3784" s="18" t="s">
        <v>674</v>
      </c>
      <c r="H3784" s="18" t="s">
        <v>863</v>
      </c>
      <c r="I3784" s="315">
        <v>1.6374128378473338</v>
      </c>
      <c r="J3784" s="315">
        <v>1.0904478437647799E-4</v>
      </c>
      <c r="K3784" s="316" t="str">
        <f t="shared" si="58"/>
        <v>Construction and Mining Equipment</v>
      </c>
      <c r="L3784" s="316" t="str">
        <f t="shared" si="59"/>
        <v>LPG</v>
      </c>
      <c r="M3784" s="194"/>
      <c r="N3784" s="317"/>
      <c r="O3784" s="317"/>
      <c r="P3784" s="317"/>
      <c r="Q3784" s="317"/>
      <c r="R3784" s="317"/>
      <c r="S3784" s="317"/>
      <c r="T3784" s="317"/>
      <c r="U3784" s="317"/>
      <c r="V3784" s="317"/>
      <c r="W3784" s="317"/>
      <c r="X3784" s="317"/>
      <c r="Y3784" s="317"/>
      <c r="Z3784" s="317"/>
    </row>
    <row r="3785" spans="1:26" x14ac:dyDescent="0.25">
      <c r="A3785" s="314"/>
      <c r="B3785" s="18">
        <v>2023</v>
      </c>
      <c r="C3785" s="18" t="s">
        <v>722</v>
      </c>
      <c r="D3785" s="18" t="s">
        <v>1564</v>
      </c>
      <c r="E3785" s="18" t="s">
        <v>703</v>
      </c>
      <c r="F3785" s="18" t="s">
        <v>704</v>
      </c>
      <c r="G3785" s="18" t="s">
        <v>674</v>
      </c>
      <c r="H3785" s="18" t="s">
        <v>981</v>
      </c>
      <c r="I3785" s="315">
        <v>1.6310920975959464</v>
      </c>
      <c r="J3785" s="315">
        <v>1.2070960344610952E-3</v>
      </c>
      <c r="K3785" s="316" t="str">
        <f t="shared" si="58"/>
        <v>Construction and Mining Equipment</v>
      </c>
      <c r="L3785" s="316" t="str">
        <f t="shared" si="59"/>
        <v>Gasoline</v>
      </c>
      <c r="M3785" s="194"/>
      <c r="N3785" s="317"/>
      <c r="O3785" s="317"/>
      <c r="P3785" s="317"/>
      <c r="Q3785" s="317"/>
      <c r="R3785" s="317"/>
      <c r="S3785" s="317"/>
      <c r="T3785" s="317"/>
      <c r="U3785" s="317"/>
      <c r="V3785" s="317"/>
      <c r="W3785" s="317"/>
      <c r="X3785" s="317"/>
      <c r="Y3785" s="317"/>
      <c r="Z3785" s="317"/>
    </row>
    <row r="3786" spans="1:26" x14ac:dyDescent="0.25">
      <c r="A3786" s="314"/>
      <c r="B3786" s="18">
        <v>2023</v>
      </c>
      <c r="C3786" s="18" t="s">
        <v>786</v>
      </c>
      <c r="D3786" s="18" t="s">
        <v>1218</v>
      </c>
      <c r="E3786" s="18" t="s">
        <v>703</v>
      </c>
      <c r="F3786" s="18" t="s">
        <v>704</v>
      </c>
      <c r="G3786" s="18" t="s">
        <v>673</v>
      </c>
      <c r="H3786" s="18" t="s">
        <v>996</v>
      </c>
      <c r="I3786" s="315">
        <v>1.6307600273227261</v>
      </c>
      <c r="J3786" s="315">
        <v>1.1354391002516679E-3</v>
      </c>
      <c r="K3786" s="316" t="str">
        <f t="shared" si="58"/>
        <v>Lawn and Garden Equipment</v>
      </c>
      <c r="L3786" s="316" t="str">
        <f t="shared" si="59"/>
        <v>Gasoline</v>
      </c>
      <c r="M3786" s="194"/>
      <c r="N3786" s="317"/>
      <c r="O3786" s="317"/>
      <c r="P3786" s="317"/>
      <c r="Q3786" s="317"/>
      <c r="R3786" s="317"/>
      <c r="S3786" s="317"/>
      <c r="T3786" s="317"/>
      <c r="U3786" s="317"/>
      <c r="V3786" s="317"/>
      <c r="W3786" s="317"/>
      <c r="X3786" s="317"/>
      <c r="Y3786" s="317"/>
      <c r="Z3786" s="317"/>
    </row>
    <row r="3787" spans="1:26" x14ac:dyDescent="0.25">
      <c r="A3787" s="314"/>
      <c r="B3787" s="18">
        <v>2023</v>
      </c>
      <c r="C3787" s="18" t="s">
        <v>810</v>
      </c>
      <c r="D3787" s="18" t="s">
        <v>1637</v>
      </c>
      <c r="E3787" s="18" t="s">
        <v>703</v>
      </c>
      <c r="F3787" s="18" t="s">
        <v>704</v>
      </c>
      <c r="G3787" s="18" t="s">
        <v>678</v>
      </c>
      <c r="H3787" s="18" t="s">
        <v>1638</v>
      </c>
      <c r="I3787" s="315">
        <v>1.6270025274765578</v>
      </c>
      <c r="J3787" s="315">
        <v>9.7806635267446741E-4</v>
      </c>
      <c r="K3787" s="316" t="str">
        <f t="shared" si="58"/>
        <v>Agricultural Equipment</v>
      </c>
      <c r="L3787" s="316" t="str">
        <f t="shared" si="59"/>
        <v>Gasoline</v>
      </c>
      <c r="M3787" s="194"/>
      <c r="N3787" s="317"/>
      <c r="O3787" s="317"/>
      <c r="P3787" s="317"/>
      <c r="Q3787" s="317"/>
      <c r="R3787" s="317"/>
      <c r="S3787" s="317"/>
      <c r="T3787" s="317"/>
      <c r="U3787" s="317"/>
      <c r="V3787" s="317"/>
      <c r="W3787" s="317"/>
      <c r="X3787" s="317"/>
      <c r="Y3787" s="317"/>
      <c r="Z3787" s="317"/>
    </row>
    <row r="3788" spans="1:26" x14ac:dyDescent="0.25">
      <c r="A3788" s="314"/>
      <c r="B3788" s="18">
        <v>2023</v>
      </c>
      <c r="C3788" s="18" t="s">
        <v>810</v>
      </c>
      <c r="D3788" s="18" t="s">
        <v>1339</v>
      </c>
      <c r="E3788" s="18" t="s">
        <v>56</v>
      </c>
      <c r="F3788" s="18" t="s">
        <v>672</v>
      </c>
      <c r="G3788" s="18" t="s">
        <v>674</v>
      </c>
      <c r="H3788" s="18" t="s">
        <v>770</v>
      </c>
      <c r="I3788" s="315">
        <v>1.616296020593422</v>
      </c>
      <c r="J3788" s="315">
        <v>1.1935139243323289E-4</v>
      </c>
      <c r="K3788" s="316" t="str">
        <f t="shared" si="58"/>
        <v>Construction and Mining Equipment</v>
      </c>
      <c r="L3788" s="316" t="str">
        <f t="shared" si="59"/>
        <v>LPG</v>
      </c>
      <c r="M3788" s="194"/>
      <c r="N3788" s="317"/>
      <c r="O3788" s="317"/>
      <c r="P3788" s="317"/>
      <c r="Q3788" s="317"/>
      <c r="R3788" s="317"/>
      <c r="S3788" s="317"/>
      <c r="T3788" s="317"/>
      <c r="U3788" s="317"/>
      <c r="V3788" s="317"/>
      <c r="W3788" s="317"/>
      <c r="X3788" s="317"/>
      <c r="Y3788" s="317"/>
      <c r="Z3788" s="317"/>
    </row>
    <row r="3789" spans="1:26" x14ac:dyDescent="0.25">
      <c r="A3789" s="314"/>
      <c r="B3789" s="18">
        <v>2023</v>
      </c>
      <c r="C3789" s="18" t="s">
        <v>810</v>
      </c>
      <c r="D3789" s="18" t="s">
        <v>1228</v>
      </c>
      <c r="E3789" s="18" t="s">
        <v>703</v>
      </c>
      <c r="F3789" s="18" t="s">
        <v>704</v>
      </c>
      <c r="G3789" s="18" t="s">
        <v>675</v>
      </c>
      <c r="H3789" s="18" t="s">
        <v>1078</v>
      </c>
      <c r="I3789" s="315">
        <v>1.5995962682386293</v>
      </c>
      <c r="J3789" s="315">
        <v>5.4636376725778705E-4</v>
      </c>
      <c r="K3789" s="316" t="str">
        <f t="shared" si="58"/>
        <v>Industrial Equipment</v>
      </c>
      <c r="L3789" s="316" t="str">
        <f t="shared" si="59"/>
        <v>Gasoline</v>
      </c>
      <c r="M3789" s="194"/>
      <c r="N3789" s="317"/>
      <c r="O3789" s="317"/>
      <c r="P3789" s="317"/>
      <c r="Q3789" s="317"/>
      <c r="R3789" s="317"/>
      <c r="S3789" s="317"/>
      <c r="T3789" s="317"/>
      <c r="U3789" s="317"/>
      <c r="V3789" s="317"/>
      <c r="W3789" s="317"/>
      <c r="X3789" s="317"/>
      <c r="Y3789" s="317"/>
      <c r="Z3789" s="317"/>
    </row>
    <row r="3790" spans="1:26" x14ac:dyDescent="0.25">
      <c r="A3790" s="314"/>
      <c r="B3790" s="18">
        <v>2023</v>
      </c>
      <c r="C3790" s="18" t="s">
        <v>762</v>
      </c>
      <c r="D3790" s="18" t="s">
        <v>1338</v>
      </c>
      <c r="E3790" s="18" t="s">
        <v>703</v>
      </c>
      <c r="F3790" s="18" t="s">
        <v>805</v>
      </c>
      <c r="G3790" s="18" t="s">
        <v>673</v>
      </c>
      <c r="H3790" s="18" t="s">
        <v>987</v>
      </c>
      <c r="I3790" s="315">
        <v>1.593540616701185</v>
      </c>
      <c r="J3790" s="315">
        <v>2.9099181851706389E-3</v>
      </c>
      <c r="K3790" s="316" t="str">
        <f t="shared" si="58"/>
        <v>Lawn and Garden Equipment</v>
      </c>
      <c r="L3790" s="316" t="str">
        <f t="shared" si="59"/>
        <v>Gasoline</v>
      </c>
      <c r="M3790" s="194"/>
      <c r="N3790" s="317"/>
      <c r="O3790" s="317"/>
      <c r="P3790" s="317"/>
      <c r="Q3790" s="317"/>
      <c r="R3790" s="317"/>
      <c r="S3790" s="317"/>
      <c r="T3790" s="317"/>
      <c r="U3790" s="317"/>
      <c r="V3790" s="317"/>
      <c r="W3790" s="317"/>
      <c r="X3790" s="317"/>
      <c r="Y3790" s="317"/>
      <c r="Z3790" s="317"/>
    </row>
    <row r="3791" spans="1:26" x14ac:dyDescent="0.25">
      <c r="A3791" s="314"/>
      <c r="B3791" s="18">
        <v>2023</v>
      </c>
      <c r="C3791" s="18" t="s">
        <v>778</v>
      </c>
      <c r="D3791" s="18" t="s">
        <v>1539</v>
      </c>
      <c r="E3791" s="18" t="s">
        <v>703</v>
      </c>
      <c r="F3791" s="18" t="s">
        <v>704</v>
      </c>
      <c r="G3791" s="18" t="s">
        <v>678</v>
      </c>
      <c r="H3791" s="18" t="s">
        <v>1230</v>
      </c>
      <c r="I3791" s="315">
        <v>1.5826666294116376</v>
      </c>
      <c r="J3791" s="315">
        <v>9.4308118406156982E-4</v>
      </c>
      <c r="K3791" s="316" t="str">
        <f t="shared" si="58"/>
        <v>Agricultural Equipment</v>
      </c>
      <c r="L3791" s="316" t="str">
        <f t="shared" si="59"/>
        <v>Gasoline</v>
      </c>
      <c r="M3791" s="194"/>
      <c r="N3791" s="317"/>
      <c r="O3791" s="317"/>
      <c r="P3791" s="317"/>
      <c r="Q3791" s="317"/>
      <c r="R3791" s="317"/>
      <c r="S3791" s="317"/>
      <c r="T3791" s="317"/>
      <c r="U3791" s="317"/>
      <c r="V3791" s="317"/>
      <c r="W3791" s="317"/>
      <c r="X3791" s="317"/>
      <c r="Y3791" s="317"/>
      <c r="Z3791" s="317"/>
    </row>
    <row r="3792" spans="1:26" x14ac:dyDescent="0.25">
      <c r="A3792" s="314"/>
      <c r="B3792" s="18">
        <v>2023</v>
      </c>
      <c r="C3792" s="18" t="s">
        <v>762</v>
      </c>
      <c r="D3792" s="18" t="s">
        <v>1401</v>
      </c>
      <c r="E3792" s="18" t="s">
        <v>56</v>
      </c>
      <c r="F3792" s="18" t="s">
        <v>601</v>
      </c>
      <c r="G3792" s="18" t="s">
        <v>677</v>
      </c>
      <c r="H3792" s="18" t="s">
        <v>785</v>
      </c>
      <c r="I3792" s="315">
        <v>1.5814867517558531</v>
      </c>
      <c r="J3792" s="315">
        <v>6.8550145225934724E-3</v>
      </c>
      <c r="K3792" s="316" t="str">
        <f t="shared" si="58"/>
        <v>Commercial Equipment</v>
      </c>
      <c r="L3792" s="316" t="str">
        <f t="shared" si="59"/>
        <v>CNG</v>
      </c>
      <c r="M3792" s="194"/>
      <c r="N3792" s="317"/>
      <c r="O3792" s="317"/>
      <c r="P3792" s="317"/>
      <c r="Q3792" s="317"/>
      <c r="R3792" s="317"/>
      <c r="S3792" s="317"/>
      <c r="T3792" s="317"/>
      <c r="U3792" s="317"/>
      <c r="V3792" s="317"/>
      <c r="W3792" s="317"/>
      <c r="X3792" s="317"/>
      <c r="Y3792" s="317"/>
      <c r="Z3792" s="317"/>
    </row>
    <row r="3793" spans="1:26" x14ac:dyDescent="0.25">
      <c r="A3793" s="314"/>
      <c r="B3793" s="18">
        <v>2023</v>
      </c>
      <c r="C3793" s="18" t="s">
        <v>778</v>
      </c>
      <c r="D3793" s="18" t="s">
        <v>1564</v>
      </c>
      <c r="E3793" s="18" t="s">
        <v>703</v>
      </c>
      <c r="F3793" s="18" t="s">
        <v>704</v>
      </c>
      <c r="G3793" s="18" t="s">
        <v>674</v>
      </c>
      <c r="H3793" s="18" t="s">
        <v>981</v>
      </c>
      <c r="I3793" s="315">
        <v>1.5722804967566217</v>
      </c>
      <c r="J3793" s="315">
        <v>1.1607331590250867E-3</v>
      </c>
      <c r="K3793" s="316" t="str">
        <f t="shared" si="58"/>
        <v>Construction and Mining Equipment</v>
      </c>
      <c r="L3793" s="316" t="str">
        <f t="shared" si="59"/>
        <v>Gasoline</v>
      </c>
      <c r="M3793" s="194"/>
      <c r="N3793" s="317"/>
      <c r="O3793" s="317"/>
      <c r="P3793" s="317"/>
      <c r="Q3793" s="317"/>
      <c r="R3793" s="317"/>
      <c r="S3793" s="317"/>
      <c r="T3793" s="317"/>
      <c r="U3793" s="317"/>
      <c r="V3793" s="317"/>
      <c r="W3793" s="317"/>
      <c r="X3793" s="317"/>
      <c r="Y3793" s="317"/>
      <c r="Z3793" s="317"/>
    </row>
    <row r="3794" spans="1:26" x14ac:dyDescent="0.25">
      <c r="A3794" s="314"/>
      <c r="B3794" s="18">
        <v>2023</v>
      </c>
      <c r="C3794" s="18" t="s">
        <v>731</v>
      </c>
      <c r="D3794" s="18" t="s">
        <v>1215</v>
      </c>
      <c r="E3794" s="18" t="s">
        <v>56</v>
      </c>
      <c r="F3794" s="18" t="s">
        <v>672</v>
      </c>
      <c r="G3794" s="18" t="s">
        <v>674</v>
      </c>
      <c r="H3794" s="18" t="s">
        <v>756</v>
      </c>
      <c r="I3794" s="315">
        <v>1.5686486997585483</v>
      </c>
      <c r="J3794" s="315">
        <v>2.9020639249653245E-4</v>
      </c>
      <c r="K3794" s="316" t="str">
        <f t="shared" si="58"/>
        <v>Construction and Mining Equipment</v>
      </c>
      <c r="L3794" s="316" t="str">
        <f t="shared" si="59"/>
        <v>LPG</v>
      </c>
      <c r="M3794" s="194"/>
      <c r="N3794" s="317"/>
      <c r="O3794" s="317"/>
      <c r="P3794" s="317"/>
      <c r="Q3794" s="317"/>
      <c r="R3794" s="317"/>
      <c r="S3794" s="317"/>
      <c r="T3794" s="317"/>
      <c r="U3794" s="317"/>
      <c r="V3794" s="317"/>
      <c r="W3794" s="317"/>
      <c r="X3794" s="317"/>
      <c r="Y3794" s="317"/>
      <c r="Z3794" s="317"/>
    </row>
    <row r="3795" spans="1:26" x14ac:dyDescent="0.25">
      <c r="A3795" s="314"/>
      <c r="B3795" s="18">
        <v>2023</v>
      </c>
      <c r="C3795" s="18" t="s">
        <v>722</v>
      </c>
      <c r="D3795" s="18" t="s">
        <v>1580</v>
      </c>
      <c r="E3795" s="18" t="s">
        <v>56</v>
      </c>
      <c r="F3795" s="18" t="s">
        <v>672</v>
      </c>
      <c r="G3795" s="18" t="s">
        <v>674</v>
      </c>
      <c r="H3795" s="18" t="s">
        <v>736</v>
      </c>
      <c r="I3795" s="315">
        <v>1.5586813255764613</v>
      </c>
      <c r="J3795" s="315">
        <v>7.1602345296766857E-5</v>
      </c>
      <c r="K3795" s="316" t="str">
        <f t="shared" si="58"/>
        <v>Construction and Mining Equipment</v>
      </c>
      <c r="L3795" s="316" t="str">
        <f t="shared" si="59"/>
        <v>LPG</v>
      </c>
      <c r="M3795" s="194"/>
      <c r="N3795" s="317"/>
      <c r="O3795" s="317"/>
      <c r="P3795" s="317"/>
      <c r="Q3795" s="317"/>
      <c r="R3795" s="317"/>
      <c r="S3795" s="317"/>
      <c r="T3795" s="317"/>
      <c r="U3795" s="317"/>
      <c r="V3795" s="317"/>
      <c r="W3795" s="317"/>
      <c r="X3795" s="317"/>
      <c r="Y3795" s="317"/>
      <c r="Z3795" s="317"/>
    </row>
    <row r="3796" spans="1:26" x14ac:dyDescent="0.25">
      <c r="A3796" s="314"/>
      <c r="B3796" s="18">
        <v>2023</v>
      </c>
      <c r="C3796" s="18" t="s">
        <v>786</v>
      </c>
      <c r="D3796" s="18" t="s">
        <v>1215</v>
      </c>
      <c r="E3796" s="18" t="s">
        <v>56</v>
      </c>
      <c r="F3796" s="18" t="s">
        <v>672</v>
      </c>
      <c r="G3796" s="18" t="s">
        <v>674</v>
      </c>
      <c r="H3796" s="18" t="s">
        <v>756</v>
      </c>
      <c r="I3796" s="315">
        <v>1.5579656858852269</v>
      </c>
      <c r="J3796" s="315">
        <v>2.8822992027984016E-4</v>
      </c>
      <c r="K3796" s="316" t="str">
        <f t="shared" si="58"/>
        <v>Construction and Mining Equipment</v>
      </c>
      <c r="L3796" s="316" t="str">
        <f t="shared" si="59"/>
        <v>LPG</v>
      </c>
      <c r="M3796" s="194"/>
      <c r="N3796" s="317"/>
      <c r="O3796" s="317"/>
      <c r="P3796" s="317"/>
      <c r="Q3796" s="317"/>
      <c r="R3796" s="317"/>
      <c r="S3796" s="317"/>
      <c r="T3796" s="317"/>
      <c r="U3796" s="317"/>
      <c r="V3796" s="317"/>
      <c r="W3796" s="317"/>
      <c r="X3796" s="317"/>
      <c r="Y3796" s="317"/>
      <c r="Z3796" s="317"/>
    </row>
    <row r="3797" spans="1:26" x14ac:dyDescent="0.25">
      <c r="A3797" s="314"/>
      <c r="B3797" s="18">
        <v>2023</v>
      </c>
      <c r="C3797" s="18" t="s">
        <v>810</v>
      </c>
      <c r="D3797" s="18" t="s">
        <v>1338</v>
      </c>
      <c r="E3797" s="18" t="s">
        <v>703</v>
      </c>
      <c r="F3797" s="18" t="s">
        <v>805</v>
      </c>
      <c r="G3797" s="18" t="s">
        <v>673</v>
      </c>
      <c r="H3797" s="18" t="s">
        <v>987</v>
      </c>
      <c r="I3797" s="315">
        <v>1.5552067541390764</v>
      </c>
      <c r="J3797" s="315">
        <v>2.8399192375626056E-3</v>
      </c>
      <c r="K3797" s="316" t="str">
        <f t="shared" si="58"/>
        <v>Lawn and Garden Equipment</v>
      </c>
      <c r="L3797" s="316" t="str">
        <f t="shared" si="59"/>
        <v>Gasoline</v>
      </c>
      <c r="M3797" s="194"/>
      <c r="N3797" s="317"/>
      <c r="O3797" s="317"/>
      <c r="P3797" s="317"/>
      <c r="Q3797" s="317"/>
      <c r="R3797" s="317"/>
      <c r="S3797" s="317"/>
      <c r="T3797" s="317"/>
      <c r="U3797" s="317"/>
      <c r="V3797" s="317"/>
      <c r="W3797" s="317"/>
      <c r="X3797" s="317"/>
      <c r="Y3797" s="317"/>
      <c r="Z3797" s="317"/>
    </row>
    <row r="3798" spans="1:26" x14ac:dyDescent="0.25">
      <c r="A3798" s="314"/>
      <c r="B3798" s="18">
        <v>2023</v>
      </c>
      <c r="C3798" s="18" t="s">
        <v>793</v>
      </c>
      <c r="D3798" s="18" t="s">
        <v>1440</v>
      </c>
      <c r="E3798" s="18" t="s">
        <v>703</v>
      </c>
      <c r="F3798" s="18" t="s">
        <v>704</v>
      </c>
      <c r="G3798" s="18" t="s">
        <v>678</v>
      </c>
      <c r="H3798" s="18" t="s">
        <v>1154</v>
      </c>
      <c r="I3798" s="315">
        <v>1.5549140753480841</v>
      </c>
      <c r="J3798" s="315">
        <v>1.5676245603756778E-4</v>
      </c>
      <c r="K3798" s="316" t="str">
        <f t="shared" si="58"/>
        <v>Agricultural Equipment</v>
      </c>
      <c r="L3798" s="316" t="str">
        <f t="shared" si="59"/>
        <v>Gasoline</v>
      </c>
      <c r="M3798" s="194"/>
      <c r="N3798" s="317"/>
      <c r="O3798" s="317"/>
      <c r="P3798" s="317"/>
      <c r="Q3798" s="317"/>
      <c r="R3798" s="317"/>
      <c r="S3798" s="317"/>
      <c r="T3798" s="317"/>
      <c r="U3798" s="317"/>
      <c r="V3798" s="317"/>
      <c r="W3798" s="317"/>
      <c r="X3798" s="317"/>
      <c r="Y3798" s="317"/>
      <c r="Z3798" s="317"/>
    </row>
    <row r="3799" spans="1:26" x14ac:dyDescent="0.25">
      <c r="A3799" s="314"/>
      <c r="B3799" s="18">
        <v>2023</v>
      </c>
      <c r="C3799" s="18" t="s">
        <v>753</v>
      </c>
      <c r="D3799" s="18" t="s">
        <v>1338</v>
      </c>
      <c r="E3799" s="18" t="s">
        <v>703</v>
      </c>
      <c r="F3799" s="18" t="s">
        <v>805</v>
      </c>
      <c r="G3799" s="18" t="s">
        <v>673</v>
      </c>
      <c r="H3799" s="18" t="s">
        <v>987</v>
      </c>
      <c r="I3799" s="315">
        <v>1.5512104575606522</v>
      </c>
      <c r="J3799" s="315">
        <v>2.8326226051400717E-3</v>
      </c>
      <c r="K3799" s="316" t="str">
        <f t="shared" si="58"/>
        <v>Lawn and Garden Equipment</v>
      </c>
      <c r="L3799" s="316" t="str">
        <f t="shared" si="59"/>
        <v>Gasoline</v>
      </c>
      <c r="M3799" s="194"/>
      <c r="N3799" s="317"/>
      <c r="O3799" s="317"/>
      <c r="P3799" s="317"/>
      <c r="Q3799" s="317"/>
      <c r="R3799" s="317"/>
      <c r="S3799" s="317"/>
      <c r="T3799" s="317"/>
      <c r="U3799" s="317"/>
      <c r="V3799" s="317"/>
      <c r="W3799" s="317"/>
      <c r="X3799" s="317"/>
      <c r="Y3799" s="317"/>
      <c r="Z3799" s="317"/>
    </row>
    <row r="3800" spans="1:26" x14ac:dyDescent="0.25">
      <c r="A3800" s="314"/>
      <c r="B3800" s="18">
        <v>2023</v>
      </c>
      <c r="C3800" s="18" t="s">
        <v>773</v>
      </c>
      <c r="D3800" s="18" t="s">
        <v>1657</v>
      </c>
      <c r="E3800" s="18" t="s">
        <v>713</v>
      </c>
      <c r="F3800" s="18" t="s">
        <v>714</v>
      </c>
      <c r="G3800" s="18" t="s">
        <v>678</v>
      </c>
      <c r="H3800" s="18" t="s">
        <v>1638</v>
      </c>
      <c r="I3800" s="315">
        <v>1.5401686552825311</v>
      </c>
      <c r="J3800" s="315">
        <v>1.7092447654195649E-5</v>
      </c>
      <c r="K3800" s="316" t="str">
        <f t="shared" si="58"/>
        <v>Agricultural Equipment</v>
      </c>
      <c r="L3800" s="316" t="str">
        <f t="shared" si="59"/>
        <v>Diesel</v>
      </c>
      <c r="M3800" s="194"/>
      <c r="N3800" s="317"/>
      <c r="O3800" s="317"/>
      <c r="P3800" s="317"/>
      <c r="Q3800" s="317"/>
      <c r="R3800" s="317"/>
      <c r="S3800" s="317"/>
      <c r="T3800" s="317"/>
      <c r="U3800" s="317"/>
      <c r="V3800" s="317"/>
      <c r="W3800" s="317"/>
      <c r="X3800" s="317"/>
      <c r="Y3800" s="317"/>
      <c r="Z3800" s="317"/>
    </row>
    <row r="3801" spans="1:26" x14ac:dyDescent="0.25">
      <c r="A3801" s="314"/>
      <c r="B3801" s="18">
        <v>2023</v>
      </c>
      <c r="C3801" s="18" t="s">
        <v>722</v>
      </c>
      <c r="D3801" s="18" t="s">
        <v>1583</v>
      </c>
      <c r="E3801" s="18" t="s">
        <v>703</v>
      </c>
      <c r="F3801" s="18" t="s">
        <v>805</v>
      </c>
      <c r="G3801" s="18" t="s">
        <v>674</v>
      </c>
      <c r="H3801" s="18" t="s">
        <v>1036</v>
      </c>
      <c r="I3801" s="315">
        <v>1.5382482653545657</v>
      </c>
      <c r="J3801" s="315">
        <v>3.1836232306613789E-3</v>
      </c>
      <c r="K3801" s="316" t="str">
        <f t="shared" si="58"/>
        <v>Construction and Mining Equipment</v>
      </c>
      <c r="L3801" s="316" t="str">
        <f t="shared" si="59"/>
        <v>Gasoline</v>
      </c>
      <c r="M3801" s="194"/>
      <c r="N3801" s="317"/>
      <c r="O3801" s="317"/>
      <c r="P3801" s="317"/>
      <c r="Q3801" s="317"/>
      <c r="R3801" s="317"/>
      <c r="S3801" s="317"/>
      <c r="T3801" s="317"/>
      <c r="U3801" s="317"/>
      <c r="V3801" s="317"/>
      <c r="W3801" s="317"/>
      <c r="X3801" s="317"/>
      <c r="Y3801" s="317"/>
      <c r="Z3801" s="317"/>
    </row>
    <row r="3802" spans="1:26" x14ac:dyDescent="0.25">
      <c r="A3802" s="314"/>
      <c r="B3802" s="18">
        <v>2023</v>
      </c>
      <c r="C3802" s="18" t="s">
        <v>781</v>
      </c>
      <c r="D3802" s="18" t="s">
        <v>1320</v>
      </c>
      <c r="E3802" s="18" t="s">
        <v>713</v>
      </c>
      <c r="F3802" s="18" t="s">
        <v>676</v>
      </c>
      <c r="G3802" s="18" t="s">
        <v>79</v>
      </c>
      <c r="H3802" s="18" t="s">
        <v>730</v>
      </c>
      <c r="I3802" s="315">
        <v>1.5355574335588629</v>
      </c>
      <c r="J3802" s="315">
        <v>1.0040495950730148E-4</v>
      </c>
      <c r="K3802" s="316" t="str">
        <f t="shared" si="58"/>
        <v>Pleasure Craft</v>
      </c>
      <c r="L3802" s="316" t="str">
        <f t="shared" si="59"/>
        <v>Diesel</v>
      </c>
      <c r="M3802" s="194"/>
      <c r="N3802" s="317"/>
      <c r="O3802" s="317"/>
      <c r="P3802" s="317"/>
      <c r="Q3802" s="317"/>
      <c r="R3802" s="317"/>
      <c r="S3802" s="317"/>
      <c r="T3802" s="317"/>
      <c r="U3802" s="317"/>
      <c r="V3802" s="317"/>
      <c r="W3802" s="317"/>
      <c r="X3802" s="317"/>
      <c r="Y3802" s="317"/>
      <c r="Z3802" s="317"/>
    </row>
    <row r="3803" spans="1:26" x14ac:dyDescent="0.25">
      <c r="A3803" s="314"/>
      <c r="B3803" s="18">
        <v>2023</v>
      </c>
      <c r="C3803" s="18" t="s">
        <v>792</v>
      </c>
      <c r="D3803" s="18" t="s">
        <v>1409</v>
      </c>
      <c r="E3803" s="18" t="s">
        <v>703</v>
      </c>
      <c r="F3803" s="18" t="s">
        <v>704</v>
      </c>
      <c r="G3803" s="18" t="s">
        <v>678</v>
      </c>
      <c r="H3803" s="18" t="s">
        <v>1222</v>
      </c>
      <c r="I3803" s="315">
        <v>1.5349708463722926</v>
      </c>
      <c r="J3803" s="315">
        <v>1.0188923007852305E-3</v>
      </c>
      <c r="K3803" s="316" t="str">
        <f t="shared" si="58"/>
        <v>Agricultural Equipment</v>
      </c>
      <c r="L3803" s="316" t="str">
        <f t="shared" si="59"/>
        <v>Gasoline</v>
      </c>
      <c r="M3803" s="194"/>
      <c r="N3803" s="317"/>
      <c r="O3803" s="317"/>
      <c r="P3803" s="317"/>
      <c r="Q3803" s="317"/>
      <c r="R3803" s="317"/>
      <c r="S3803" s="317"/>
      <c r="T3803" s="317"/>
      <c r="U3803" s="317"/>
      <c r="V3803" s="317"/>
      <c r="W3803" s="317"/>
      <c r="X3803" s="317"/>
      <c r="Y3803" s="317"/>
      <c r="Z3803" s="317"/>
    </row>
    <row r="3804" spans="1:26" x14ac:dyDescent="0.25">
      <c r="A3804" s="314"/>
      <c r="B3804" s="18">
        <v>2023</v>
      </c>
      <c r="C3804" s="18" t="s">
        <v>759</v>
      </c>
      <c r="D3804" s="18" t="s">
        <v>1637</v>
      </c>
      <c r="E3804" s="18" t="s">
        <v>703</v>
      </c>
      <c r="F3804" s="18" t="s">
        <v>704</v>
      </c>
      <c r="G3804" s="18" t="s">
        <v>678</v>
      </c>
      <c r="H3804" s="18" t="s">
        <v>1638</v>
      </c>
      <c r="I3804" s="315">
        <v>1.5243069005200807</v>
      </c>
      <c r="J3804" s="315">
        <v>9.0695087437234439E-4</v>
      </c>
      <c r="K3804" s="316" t="str">
        <f t="shared" si="58"/>
        <v>Agricultural Equipment</v>
      </c>
      <c r="L3804" s="316" t="str">
        <f t="shared" si="59"/>
        <v>Gasoline</v>
      </c>
      <c r="M3804" s="194"/>
      <c r="N3804" s="317"/>
      <c r="O3804" s="317"/>
      <c r="P3804" s="317"/>
      <c r="Q3804" s="317"/>
      <c r="R3804" s="317"/>
      <c r="S3804" s="317"/>
      <c r="T3804" s="317"/>
      <c r="U3804" s="317"/>
      <c r="V3804" s="317"/>
      <c r="W3804" s="317"/>
      <c r="X3804" s="317"/>
      <c r="Y3804" s="317"/>
      <c r="Z3804" s="317"/>
    </row>
    <row r="3805" spans="1:26" x14ac:dyDescent="0.25">
      <c r="A3805" s="314"/>
      <c r="B3805" s="18">
        <v>2023</v>
      </c>
      <c r="C3805" s="18" t="s">
        <v>778</v>
      </c>
      <c r="D3805" s="18" t="s">
        <v>1401</v>
      </c>
      <c r="E3805" s="18" t="s">
        <v>56</v>
      </c>
      <c r="F3805" s="18" t="s">
        <v>601</v>
      </c>
      <c r="G3805" s="18" t="s">
        <v>677</v>
      </c>
      <c r="H3805" s="18" t="s">
        <v>785</v>
      </c>
      <c r="I3805" s="315">
        <v>1.5214305407959994</v>
      </c>
      <c r="J3805" s="315">
        <v>6.594716888512593E-3</v>
      </c>
      <c r="K3805" s="316" t="str">
        <f t="shared" si="58"/>
        <v>Commercial Equipment</v>
      </c>
      <c r="L3805" s="316" t="str">
        <f t="shared" si="59"/>
        <v>CNG</v>
      </c>
      <c r="M3805" s="194"/>
      <c r="N3805" s="317"/>
      <c r="O3805" s="317"/>
      <c r="P3805" s="317"/>
      <c r="Q3805" s="317"/>
      <c r="R3805" s="317"/>
      <c r="S3805" s="317"/>
      <c r="T3805" s="317"/>
      <c r="U3805" s="317"/>
      <c r="V3805" s="317"/>
      <c r="W3805" s="317"/>
      <c r="X3805" s="317"/>
      <c r="Y3805" s="317"/>
      <c r="Z3805" s="317"/>
    </row>
    <row r="3806" spans="1:26" x14ac:dyDescent="0.25">
      <c r="A3806" s="314"/>
      <c r="B3806" s="18">
        <v>2023</v>
      </c>
      <c r="C3806" s="18" t="s">
        <v>727</v>
      </c>
      <c r="D3806" s="18" t="s">
        <v>1416</v>
      </c>
      <c r="E3806" s="18" t="s">
        <v>56</v>
      </c>
      <c r="F3806" s="18" t="s">
        <v>672</v>
      </c>
      <c r="G3806" s="18" t="s">
        <v>674</v>
      </c>
      <c r="H3806" s="18" t="s">
        <v>861</v>
      </c>
      <c r="I3806" s="315">
        <v>1.5202004273071563</v>
      </c>
      <c r="J3806" s="315">
        <v>1.0268410198116204E-3</v>
      </c>
      <c r="K3806" s="316" t="str">
        <f t="shared" si="58"/>
        <v>Construction and Mining Equipment</v>
      </c>
      <c r="L3806" s="316" t="str">
        <f t="shared" si="59"/>
        <v>LPG</v>
      </c>
      <c r="M3806" s="194"/>
      <c r="N3806" s="317"/>
      <c r="O3806" s="317"/>
      <c r="P3806" s="317"/>
      <c r="Q3806" s="317"/>
      <c r="R3806" s="317"/>
      <c r="S3806" s="317"/>
      <c r="T3806" s="317"/>
      <c r="U3806" s="317"/>
      <c r="V3806" s="317"/>
      <c r="W3806" s="317"/>
      <c r="X3806" s="317"/>
      <c r="Y3806" s="317"/>
      <c r="Z3806" s="317"/>
    </row>
    <row r="3807" spans="1:26" x14ac:dyDescent="0.25">
      <c r="A3807" s="314"/>
      <c r="B3807" s="18">
        <v>2023</v>
      </c>
      <c r="C3807" s="18" t="s">
        <v>781</v>
      </c>
      <c r="D3807" s="18" t="s">
        <v>1708</v>
      </c>
      <c r="E3807" s="18" t="s">
        <v>703</v>
      </c>
      <c r="F3807" s="18" t="s">
        <v>704</v>
      </c>
      <c r="G3807" s="18" t="s">
        <v>678</v>
      </c>
      <c r="H3807" s="18" t="s">
        <v>1709</v>
      </c>
      <c r="I3807" s="315">
        <v>1.507747767403387</v>
      </c>
      <c r="J3807" s="315">
        <v>1.0173411187392157E-3</v>
      </c>
      <c r="K3807" s="316" t="str">
        <f t="shared" si="58"/>
        <v>Agricultural Equipment</v>
      </c>
      <c r="L3807" s="316" t="str">
        <f t="shared" si="59"/>
        <v>Gasoline</v>
      </c>
      <c r="M3807" s="194"/>
      <c r="N3807" s="317"/>
      <c r="O3807" s="317"/>
      <c r="P3807" s="317"/>
      <c r="Q3807" s="317"/>
      <c r="R3807" s="317"/>
      <c r="S3807" s="317"/>
      <c r="T3807" s="317"/>
      <c r="U3807" s="317"/>
      <c r="V3807" s="317"/>
      <c r="W3807" s="317"/>
      <c r="X3807" s="317"/>
      <c r="Y3807" s="317"/>
      <c r="Z3807" s="317"/>
    </row>
    <row r="3808" spans="1:26" x14ac:dyDescent="0.25">
      <c r="A3808" s="314"/>
      <c r="B3808" s="18">
        <v>2023</v>
      </c>
      <c r="C3808" s="18" t="s">
        <v>753</v>
      </c>
      <c r="D3808" s="18" t="s">
        <v>1360</v>
      </c>
      <c r="E3808" s="18" t="s">
        <v>713</v>
      </c>
      <c r="F3808" s="18" t="s">
        <v>714</v>
      </c>
      <c r="G3808" s="18" t="s">
        <v>674</v>
      </c>
      <c r="H3808" s="18" t="s">
        <v>1220</v>
      </c>
      <c r="I3808" s="315">
        <v>1.50659984876933</v>
      </c>
      <c r="J3808" s="315">
        <v>6.7019285341696645E-5</v>
      </c>
      <c r="K3808" s="316" t="str">
        <f t="shared" si="58"/>
        <v>Construction and Mining Equipment</v>
      </c>
      <c r="L3808" s="316" t="str">
        <f t="shared" si="59"/>
        <v>Diesel</v>
      </c>
      <c r="M3808" s="194"/>
      <c r="N3808" s="317"/>
      <c r="O3808" s="317"/>
      <c r="P3808" s="317"/>
      <c r="Q3808" s="317"/>
      <c r="R3808" s="317"/>
      <c r="S3808" s="317"/>
      <c r="T3808" s="317"/>
      <c r="U3808" s="317"/>
      <c r="V3808" s="317"/>
      <c r="W3808" s="317"/>
      <c r="X3808" s="317"/>
      <c r="Y3808" s="317"/>
      <c r="Z3808" s="317"/>
    </row>
    <row r="3809" spans="1:26" x14ac:dyDescent="0.25">
      <c r="A3809" s="314"/>
      <c r="B3809" s="18">
        <v>2023</v>
      </c>
      <c r="C3809" s="18" t="s">
        <v>778</v>
      </c>
      <c r="D3809" s="18" t="s">
        <v>1573</v>
      </c>
      <c r="E3809" s="18" t="s">
        <v>703</v>
      </c>
      <c r="F3809" s="18" t="s">
        <v>704</v>
      </c>
      <c r="G3809" s="18" t="s">
        <v>678</v>
      </c>
      <c r="H3809" s="18" t="s">
        <v>764</v>
      </c>
      <c r="I3809" s="315">
        <v>1.5046057927704914</v>
      </c>
      <c r="J3809" s="315">
        <v>2.9239542198667215E-4</v>
      </c>
      <c r="K3809" s="316" t="str">
        <f t="shared" si="58"/>
        <v>Agricultural Equipment</v>
      </c>
      <c r="L3809" s="316" t="str">
        <f t="shared" si="59"/>
        <v>Gasoline</v>
      </c>
      <c r="M3809" s="194"/>
      <c r="N3809" s="317"/>
      <c r="O3809" s="317"/>
      <c r="P3809" s="317"/>
      <c r="Q3809" s="317"/>
      <c r="R3809" s="317"/>
      <c r="S3809" s="317"/>
      <c r="T3809" s="317"/>
      <c r="U3809" s="317"/>
      <c r="V3809" s="317"/>
      <c r="W3809" s="317"/>
      <c r="X3809" s="317"/>
      <c r="Y3809" s="317"/>
      <c r="Z3809" s="317"/>
    </row>
    <row r="3810" spans="1:26" x14ac:dyDescent="0.25">
      <c r="A3810" s="314"/>
      <c r="B3810" s="18">
        <v>2023</v>
      </c>
      <c r="C3810" s="18" t="s">
        <v>778</v>
      </c>
      <c r="D3810" s="18" t="s">
        <v>1580</v>
      </c>
      <c r="E3810" s="18" t="s">
        <v>56</v>
      </c>
      <c r="F3810" s="18" t="s">
        <v>672</v>
      </c>
      <c r="G3810" s="18" t="s">
        <v>674</v>
      </c>
      <c r="H3810" s="18" t="s">
        <v>736</v>
      </c>
      <c r="I3810" s="315">
        <v>1.5024803477760702</v>
      </c>
      <c r="J3810" s="315">
        <v>6.9020713136125618E-5</v>
      </c>
      <c r="K3810" s="316" t="str">
        <f t="shared" si="58"/>
        <v>Construction and Mining Equipment</v>
      </c>
      <c r="L3810" s="316" t="str">
        <f t="shared" si="59"/>
        <v>LPG</v>
      </c>
      <c r="M3810" s="194"/>
      <c r="N3810" s="317"/>
      <c r="O3810" s="317"/>
      <c r="P3810" s="317"/>
      <c r="Q3810" s="317"/>
      <c r="R3810" s="317"/>
      <c r="S3810" s="317"/>
      <c r="T3810" s="317"/>
      <c r="U3810" s="317"/>
      <c r="V3810" s="317"/>
      <c r="W3810" s="317"/>
      <c r="X3810" s="317"/>
      <c r="Y3810" s="317"/>
      <c r="Z3810" s="317"/>
    </row>
    <row r="3811" spans="1:26" x14ac:dyDescent="0.25">
      <c r="A3811" s="314"/>
      <c r="B3811" s="18">
        <v>2023</v>
      </c>
      <c r="C3811" s="18" t="s">
        <v>786</v>
      </c>
      <c r="D3811" s="18" t="s">
        <v>1226</v>
      </c>
      <c r="E3811" s="18" t="s">
        <v>703</v>
      </c>
      <c r="F3811" s="18" t="s">
        <v>805</v>
      </c>
      <c r="G3811" s="18" t="s">
        <v>677</v>
      </c>
      <c r="H3811" s="18" t="s">
        <v>747</v>
      </c>
      <c r="I3811" s="315">
        <v>1.4997430310602655</v>
      </c>
      <c r="J3811" s="315">
        <v>3.0325807861163582E-3</v>
      </c>
      <c r="K3811" s="316" t="str">
        <f t="shared" si="58"/>
        <v>Commercial Equipment</v>
      </c>
      <c r="L3811" s="316" t="str">
        <f t="shared" si="59"/>
        <v>Gasoline</v>
      </c>
      <c r="M3811" s="194"/>
      <c r="N3811" s="317"/>
      <c r="O3811" s="317"/>
      <c r="P3811" s="317"/>
      <c r="Q3811" s="317"/>
      <c r="R3811" s="317"/>
      <c r="S3811" s="317"/>
      <c r="T3811" s="317"/>
      <c r="U3811" s="317"/>
      <c r="V3811" s="317"/>
      <c r="W3811" s="317"/>
      <c r="X3811" s="317"/>
      <c r="Y3811" s="317"/>
      <c r="Z3811" s="317"/>
    </row>
    <row r="3812" spans="1:26" x14ac:dyDescent="0.25">
      <c r="A3812" s="314"/>
      <c r="B3812" s="18">
        <v>2023</v>
      </c>
      <c r="C3812" s="18" t="s">
        <v>762</v>
      </c>
      <c r="D3812" s="18" t="s">
        <v>1349</v>
      </c>
      <c r="E3812" s="18" t="s">
        <v>703</v>
      </c>
      <c r="F3812" s="18" t="s">
        <v>704</v>
      </c>
      <c r="G3812" s="18" t="s">
        <v>673</v>
      </c>
      <c r="H3812" s="18" t="s">
        <v>978</v>
      </c>
      <c r="I3812" s="315">
        <v>1.4975300603006132</v>
      </c>
      <c r="J3812" s="315">
        <v>1.0415976730528836E-3</v>
      </c>
      <c r="K3812" s="316" t="str">
        <f t="shared" si="58"/>
        <v>Lawn and Garden Equipment</v>
      </c>
      <c r="L3812" s="316" t="str">
        <f t="shared" si="59"/>
        <v>Gasoline</v>
      </c>
      <c r="M3812" s="194"/>
      <c r="N3812" s="317"/>
      <c r="O3812" s="317"/>
      <c r="P3812" s="317"/>
      <c r="Q3812" s="317"/>
      <c r="R3812" s="317"/>
      <c r="S3812" s="317"/>
      <c r="T3812" s="317"/>
      <c r="U3812" s="317"/>
      <c r="V3812" s="317"/>
      <c r="W3812" s="317"/>
      <c r="X3812" s="317"/>
      <c r="Y3812" s="317"/>
      <c r="Z3812" s="317"/>
    </row>
    <row r="3813" spans="1:26" x14ac:dyDescent="0.25">
      <c r="A3813" s="314"/>
      <c r="B3813" s="18">
        <v>2023</v>
      </c>
      <c r="C3813" s="18" t="s">
        <v>750</v>
      </c>
      <c r="D3813" s="18" t="s">
        <v>1637</v>
      </c>
      <c r="E3813" s="18" t="s">
        <v>703</v>
      </c>
      <c r="F3813" s="18" t="s">
        <v>704</v>
      </c>
      <c r="G3813" s="18" t="s">
        <v>678</v>
      </c>
      <c r="H3813" s="18" t="s">
        <v>1638</v>
      </c>
      <c r="I3813" s="315">
        <v>1.4954785599152012</v>
      </c>
      <c r="J3813" s="315">
        <v>8.9049781736930914E-4</v>
      </c>
      <c r="K3813" s="316" t="str">
        <f t="shared" si="58"/>
        <v>Agricultural Equipment</v>
      </c>
      <c r="L3813" s="316" t="str">
        <f t="shared" si="59"/>
        <v>Gasoline</v>
      </c>
      <c r="M3813" s="194"/>
      <c r="N3813" s="317"/>
      <c r="O3813" s="317"/>
      <c r="P3813" s="317"/>
      <c r="Q3813" s="317"/>
      <c r="R3813" s="317"/>
      <c r="S3813" s="317"/>
      <c r="T3813" s="317"/>
      <c r="U3813" s="317"/>
      <c r="V3813" s="317"/>
      <c r="W3813" s="317"/>
      <c r="X3813" s="317"/>
      <c r="Y3813" s="317"/>
      <c r="Z3813" s="317"/>
    </row>
    <row r="3814" spans="1:26" x14ac:dyDescent="0.25">
      <c r="A3814" s="314"/>
      <c r="B3814" s="18">
        <v>2023</v>
      </c>
      <c r="C3814" s="18" t="s">
        <v>786</v>
      </c>
      <c r="D3814" s="18" t="s">
        <v>1708</v>
      </c>
      <c r="E3814" s="18" t="s">
        <v>703</v>
      </c>
      <c r="F3814" s="18" t="s">
        <v>704</v>
      </c>
      <c r="G3814" s="18" t="s">
        <v>678</v>
      </c>
      <c r="H3814" s="18" t="s">
        <v>1709</v>
      </c>
      <c r="I3814" s="315">
        <v>1.4921364365911158</v>
      </c>
      <c r="J3814" s="315">
        <v>1.0080104261878519E-3</v>
      </c>
      <c r="K3814" s="316" t="str">
        <f t="shared" si="58"/>
        <v>Agricultural Equipment</v>
      </c>
      <c r="L3814" s="316" t="str">
        <f t="shared" si="59"/>
        <v>Gasoline</v>
      </c>
      <c r="M3814" s="194"/>
      <c r="N3814" s="317"/>
      <c r="O3814" s="317"/>
      <c r="P3814" s="317"/>
      <c r="Q3814" s="317"/>
      <c r="R3814" s="317"/>
      <c r="S3814" s="317"/>
      <c r="T3814" s="317"/>
      <c r="U3814" s="317"/>
      <c r="V3814" s="317"/>
      <c r="W3814" s="317"/>
      <c r="X3814" s="317"/>
      <c r="Y3814" s="317"/>
      <c r="Z3814" s="317"/>
    </row>
    <row r="3815" spans="1:26" x14ac:dyDescent="0.25">
      <c r="A3815" s="314"/>
      <c r="B3815" s="18">
        <v>2023</v>
      </c>
      <c r="C3815" s="18" t="s">
        <v>710</v>
      </c>
      <c r="D3815" s="18" t="s">
        <v>1717</v>
      </c>
      <c r="E3815" s="18" t="s">
        <v>56</v>
      </c>
      <c r="F3815" s="18" t="s">
        <v>601</v>
      </c>
      <c r="G3815" s="18" t="s">
        <v>675</v>
      </c>
      <c r="H3815" s="18" t="s">
        <v>802</v>
      </c>
      <c r="I3815" s="315">
        <v>1.4893418473212006</v>
      </c>
      <c r="J3815" s="315">
        <v>5.9344199255178193E-3</v>
      </c>
      <c r="K3815" s="316" t="str">
        <f t="shared" si="58"/>
        <v>Industrial Equipment</v>
      </c>
      <c r="L3815" s="316" t="str">
        <f t="shared" si="59"/>
        <v>CNG</v>
      </c>
      <c r="M3815" s="194"/>
      <c r="N3815" s="317"/>
      <c r="O3815" s="317"/>
      <c r="P3815" s="317"/>
      <c r="Q3815" s="317"/>
      <c r="R3815" s="317"/>
      <c r="S3815" s="317"/>
      <c r="T3815" s="317"/>
      <c r="U3815" s="317"/>
      <c r="V3815" s="317"/>
      <c r="W3815" s="317"/>
      <c r="X3815" s="317"/>
      <c r="Y3815" s="317"/>
      <c r="Z3815" s="317"/>
    </row>
    <row r="3816" spans="1:26" x14ac:dyDescent="0.25">
      <c r="A3816" s="314"/>
      <c r="B3816" s="18">
        <v>2023</v>
      </c>
      <c r="C3816" s="18" t="s">
        <v>753</v>
      </c>
      <c r="D3816" s="18" t="s">
        <v>1361</v>
      </c>
      <c r="E3816" s="18" t="s">
        <v>56</v>
      </c>
      <c r="F3816" s="18" t="s">
        <v>672</v>
      </c>
      <c r="G3816" s="18" t="s">
        <v>674</v>
      </c>
      <c r="H3816" s="18" t="s">
        <v>783</v>
      </c>
      <c r="I3816" s="315">
        <v>1.4881371821260654</v>
      </c>
      <c r="J3816" s="315">
        <v>6.8315149977481008E-5</v>
      </c>
      <c r="K3816" s="316" t="str">
        <f t="shared" si="58"/>
        <v>Construction and Mining Equipment</v>
      </c>
      <c r="L3816" s="316" t="str">
        <f t="shared" si="59"/>
        <v>LPG</v>
      </c>
      <c r="M3816" s="194"/>
      <c r="N3816" s="317"/>
      <c r="O3816" s="317"/>
      <c r="P3816" s="317"/>
      <c r="Q3816" s="317"/>
      <c r="R3816" s="317"/>
      <c r="S3816" s="317"/>
      <c r="T3816" s="317"/>
      <c r="U3816" s="317"/>
      <c r="V3816" s="317"/>
      <c r="W3816" s="317"/>
      <c r="X3816" s="317"/>
      <c r="Y3816" s="317"/>
      <c r="Z3816" s="317"/>
    </row>
    <row r="3817" spans="1:26" x14ac:dyDescent="0.25">
      <c r="A3817" s="314"/>
      <c r="B3817" s="18">
        <v>2023</v>
      </c>
      <c r="C3817" s="18" t="s">
        <v>762</v>
      </c>
      <c r="D3817" s="18" t="s">
        <v>1295</v>
      </c>
      <c r="E3817" s="18" t="s">
        <v>703</v>
      </c>
      <c r="F3817" s="18" t="s">
        <v>704</v>
      </c>
      <c r="G3817" s="18" t="s">
        <v>674</v>
      </c>
      <c r="H3817" s="18" t="s">
        <v>859</v>
      </c>
      <c r="I3817" s="315">
        <v>1.4858400904944209</v>
      </c>
      <c r="J3817" s="315">
        <v>4.7928909932092316E-4</v>
      </c>
      <c r="K3817" s="316" t="str">
        <f t="shared" si="58"/>
        <v>Construction and Mining Equipment</v>
      </c>
      <c r="L3817" s="316" t="str">
        <f t="shared" si="59"/>
        <v>Gasoline</v>
      </c>
      <c r="M3817" s="194"/>
      <c r="N3817" s="317"/>
      <c r="O3817" s="317"/>
      <c r="P3817" s="317"/>
      <c r="Q3817" s="317"/>
      <c r="R3817" s="317"/>
      <c r="S3817" s="317"/>
      <c r="T3817" s="317"/>
      <c r="U3817" s="317"/>
      <c r="V3817" s="317"/>
      <c r="W3817" s="317"/>
      <c r="X3817" s="317"/>
      <c r="Y3817" s="317"/>
      <c r="Z3817" s="317"/>
    </row>
    <row r="3818" spans="1:26" x14ac:dyDescent="0.25">
      <c r="A3818" s="314"/>
      <c r="B3818" s="18">
        <v>2023</v>
      </c>
      <c r="C3818" s="18" t="s">
        <v>793</v>
      </c>
      <c r="D3818" s="18" t="s">
        <v>1416</v>
      </c>
      <c r="E3818" s="18" t="s">
        <v>56</v>
      </c>
      <c r="F3818" s="18" t="s">
        <v>672</v>
      </c>
      <c r="G3818" s="18" t="s">
        <v>674</v>
      </c>
      <c r="H3818" s="18" t="s">
        <v>861</v>
      </c>
      <c r="I3818" s="315">
        <v>1.4842623094713545</v>
      </c>
      <c r="J3818" s="315">
        <v>1.0025659987524895E-3</v>
      </c>
      <c r="K3818" s="316" t="str">
        <f t="shared" si="58"/>
        <v>Construction and Mining Equipment</v>
      </c>
      <c r="L3818" s="316" t="str">
        <f t="shared" si="59"/>
        <v>LPG</v>
      </c>
      <c r="M3818" s="194"/>
      <c r="N3818" s="317"/>
      <c r="O3818" s="317"/>
      <c r="P3818" s="317"/>
      <c r="Q3818" s="317"/>
      <c r="R3818" s="317"/>
      <c r="S3818" s="317"/>
      <c r="T3818" s="317"/>
      <c r="U3818" s="317"/>
      <c r="V3818" s="317"/>
      <c r="W3818" s="317"/>
      <c r="X3818" s="317"/>
      <c r="Y3818" s="317"/>
      <c r="Z3818" s="317"/>
    </row>
    <row r="3819" spans="1:26" x14ac:dyDescent="0.25">
      <c r="A3819" s="314"/>
      <c r="B3819" s="18">
        <v>2023</v>
      </c>
      <c r="C3819" s="18" t="s">
        <v>778</v>
      </c>
      <c r="D3819" s="18" t="s">
        <v>1583</v>
      </c>
      <c r="E3819" s="18" t="s">
        <v>703</v>
      </c>
      <c r="F3819" s="18" t="s">
        <v>805</v>
      </c>
      <c r="G3819" s="18" t="s">
        <v>674</v>
      </c>
      <c r="H3819" s="18" t="s">
        <v>1036</v>
      </c>
      <c r="I3819" s="315">
        <v>1.4827849188404765</v>
      </c>
      <c r="J3819" s="315">
        <v>3.068829299612514E-3</v>
      </c>
      <c r="K3819" s="316" t="str">
        <f t="shared" si="58"/>
        <v>Construction and Mining Equipment</v>
      </c>
      <c r="L3819" s="316" t="str">
        <f t="shared" si="59"/>
        <v>Gasoline</v>
      </c>
      <c r="M3819" s="194"/>
      <c r="N3819" s="317"/>
      <c r="O3819" s="317"/>
      <c r="P3819" s="317"/>
      <c r="Q3819" s="317"/>
      <c r="R3819" s="317"/>
      <c r="S3819" s="317"/>
      <c r="T3819" s="317"/>
      <c r="U3819" s="317"/>
      <c r="V3819" s="317"/>
      <c r="W3819" s="317"/>
      <c r="X3819" s="317"/>
      <c r="Y3819" s="317"/>
      <c r="Z3819" s="317"/>
    </row>
    <row r="3820" spans="1:26" x14ac:dyDescent="0.25">
      <c r="A3820" s="314"/>
      <c r="B3820" s="18">
        <v>2023</v>
      </c>
      <c r="C3820" s="18" t="s">
        <v>750</v>
      </c>
      <c r="D3820" s="18" t="s">
        <v>1212</v>
      </c>
      <c r="E3820" s="18" t="s">
        <v>56</v>
      </c>
      <c r="F3820" s="18" t="s">
        <v>672</v>
      </c>
      <c r="G3820" s="18" t="s">
        <v>675</v>
      </c>
      <c r="H3820" s="18" t="s">
        <v>798</v>
      </c>
      <c r="I3820" s="315">
        <v>1.481653503658283</v>
      </c>
      <c r="J3820" s="315">
        <v>6.694669230572248E-5</v>
      </c>
      <c r="K3820" s="316" t="str">
        <f t="shared" si="58"/>
        <v>Industrial Equipment</v>
      </c>
      <c r="L3820" s="316" t="str">
        <f t="shared" si="59"/>
        <v>LPG</v>
      </c>
      <c r="M3820" s="194"/>
      <c r="N3820" s="317"/>
      <c r="O3820" s="317"/>
      <c r="P3820" s="317"/>
      <c r="Q3820" s="317"/>
      <c r="R3820" s="317"/>
      <c r="S3820" s="317"/>
      <c r="T3820" s="317"/>
      <c r="U3820" s="317"/>
      <c r="V3820" s="317"/>
      <c r="W3820" s="317"/>
      <c r="X3820" s="317"/>
      <c r="Y3820" s="317"/>
      <c r="Z3820" s="317"/>
    </row>
    <row r="3821" spans="1:26" x14ac:dyDescent="0.25">
      <c r="A3821" s="314"/>
      <c r="B3821" s="18">
        <v>2023</v>
      </c>
      <c r="C3821" s="18" t="s">
        <v>753</v>
      </c>
      <c r="D3821" s="18" t="s">
        <v>1362</v>
      </c>
      <c r="E3821" s="18" t="s">
        <v>56</v>
      </c>
      <c r="F3821" s="18" t="s">
        <v>672</v>
      </c>
      <c r="G3821" s="18" t="s">
        <v>674</v>
      </c>
      <c r="H3821" s="18" t="s">
        <v>859</v>
      </c>
      <c r="I3821" s="315">
        <v>1.4703754176808697</v>
      </c>
      <c r="J3821" s="315">
        <v>3.6468434668891699E-4</v>
      </c>
      <c r="K3821" s="316" t="str">
        <f t="shared" si="58"/>
        <v>Construction and Mining Equipment</v>
      </c>
      <c r="L3821" s="316" t="str">
        <f t="shared" si="59"/>
        <v>LPG</v>
      </c>
      <c r="M3821" s="194"/>
      <c r="N3821" s="317"/>
      <c r="O3821" s="317"/>
      <c r="P3821" s="317"/>
      <c r="Q3821" s="317"/>
      <c r="R3821" s="317"/>
      <c r="S3821" s="317"/>
      <c r="T3821" s="317"/>
      <c r="U3821" s="317"/>
      <c r="V3821" s="317"/>
      <c r="W3821" s="317"/>
      <c r="X3821" s="317"/>
      <c r="Y3821" s="317"/>
      <c r="Z3821" s="317"/>
    </row>
    <row r="3822" spans="1:26" x14ac:dyDescent="0.25">
      <c r="A3822" s="314"/>
      <c r="B3822" s="18">
        <v>2023</v>
      </c>
      <c r="C3822" s="18" t="s">
        <v>781</v>
      </c>
      <c r="D3822" s="18" t="s">
        <v>1158</v>
      </c>
      <c r="E3822" s="18" t="s">
        <v>703</v>
      </c>
      <c r="F3822" s="18" t="s">
        <v>704</v>
      </c>
      <c r="G3822" s="18" t="s">
        <v>674</v>
      </c>
      <c r="H3822" s="18" t="s">
        <v>715</v>
      </c>
      <c r="I3822" s="315">
        <v>1.4662052780507291</v>
      </c>
      <c r="J3822" s="315">
        <v>1.0144544605009156E-4</v>
      </c>
      <c r="K3822" s="316" t="str">
        <f t="shared" si="58"/>
        <v>Construction and Mining Equipment</v>
      </c>
      <c r="L3822" s="316" t="str">
        <f t="shared" si="59"/>
        <v>Gasoline</v>
      </c>
      <c r="M3822" s="194"/>
      <c r="N3822" s="317"/>
      <c r="O3822" s="317"/>
      <c r="P3822" s="317"/>
      <c r="Q3822" s="317"/>
      <c r="R3822" s="317"/>
      <c r="S3822" s="317"/>
      <c r="T3822" s="317"/>
      <c r="U3822" s="317"/>
      <c r="V3822" s="317"/>
      <c r="W3822" s="317"/>
      <c r="X3822" s="317"/>
      <c r="Y3822" s="317"/>
      <c r="Z3822" s="317"/>
    </row>
    <row r="3823" spans="1:26" x14ac:dyDescent="0.25">
      <c r="A3823" s="314"/>
      <c r="B3823" s="18">
        <v>2023</v>
      </c>
      <c r="C3823" s="18" t="s">
        <v>727</v>
      </c>
      <c r="D3823" s="18" t="s">
        <v>1708</v>
      </c>
      <c r="E3823" s="18" t="s">
        <v>703</v>
      </c>
      <c r="F3823" s="18" t="s">
        <v>704</v>
      </c>
      <c r="G3823" s="18" t="s">
        <v>678</v>
      </c>
      <c r="H3823" s="18" t="s">
        <v>1709</v>
      </c>
      <c r="I3823" s="315">
        <v>1.4638874620379785</v>
      </c>
      <c r="J3823" s="315">
        <v>9.8645895282828129E-4</v>
      </c>
      <c r="K3823" s="316" t="str">
        <f t="shared" si="58"/>
        <v>Agricultural Equipment</v>
      </c>
      <c r="L3823" s="316" t="str">
        <f t="shared" si="59"/>
        <v>Gasoline</v>
      </c>
      <c r="M3823" s="194"/>
      <c r="N3823" s="317"/>
      <c r="O3823" s="317"/>
      <c r="P3823" s="317"/>
      <c r="Q3823" s="317"/>
      <c r="R3823" s="317"/>
      <c r="S3823" s="317"/>
      <c r="T3823" s="317"/>
      <c r="U3823" s="317"/>
      <c r="V3823" s="317"/>
      <c r="W3823" s="317"/>
      <c r="X3823" s="317"/>
      <c r="Y3823" s="317"/>
      <c r="Z3823" s="317"/>
    </row>
    <row r="3824" spans="1:26" x14ac:dyDescent="0.25">
      <c r="A3824" s="314"/>
      <c r="B3824" s="18">
        <v>2023</v>
      </c>
      <c r="C3824" s="18" t="s">
        <v>810</v>
      </c>
      <c r="D3824" s="18" t="s">
        <v>1349</v>
      </c>
      <c r="E3824" s="18" t="s">
        <v>703</v>
      </c>
      <c r="F3824" s="18" t="s">
        <v>704</v>
      </c>
      <c r="G3824" s="18" t="s">
        <v>673</v>
      </c>
      <c r="H3824" s="18" t="s">
        <v>978</v>
      </c>
      <c r="I3824" s="315">
        <v>1.4615074152231713</v>
      </c>
      <c r="J3824" s="315">
        <v>1.0284026519654667E-3</v>
      </c>
      <c r="K3824" s="316" t="str">
        <f t="shared" si="58"/>
        <v>Lawn and Garden Equipment</v>
      </c>
      <c r="L3824" s="316" t="str">
        <f t="shared" si="59"/>
        <v>Gasoline</v>
      </c>
      <c r="M3824" s="194"/>
      <c r="N3824" s="317"/>
      <c r="O3824" s="317"/>
      <c r="P3824" s="317"/>
      <c r="Q3824" s="317"/>
      <c r="R3824" s="317"/>
      <c r="S3824" s="317"/>
      <c r="T3824" s="317"/>
      <c r="U3824" s="317"/>
      <c r="V3824" s="317"/>
      <c r="W3824" s="317"/>
      <c r="X3824" s="317"/>
      <c r="Y3824" s="317"/>
      <c r="Z3824" s="317"/>
    </row>
    <row r="3825" spans="1:26" x14ac:dyDescent="0.25">
      <c r="A3825" s="314"/>
      <c r="B3825" s="18">
        <v>2023</v>
      </c>
      <c r="C3825" s="18" t="s">
        <v>753</v>
      </c>
      <c r="D3825" s="18" t="s">
        <v>1349</v>
      </c>
      <c r="E3825" s="18" t="s">
        <v>703</v>
      </c>
      <c r="F3825" s="18" t="s">
        <v>704</v>
      </c>
      <c r="G3825" s="18" t="s">
        <v>673</v>
      </c>
      <c r="H3825" s="18" t="s">
        <v>978</v>
      </c>
      <c r="I3825" s="315">
        <v>1.4577501007326952</v>
      </c>
      <c r="J3825" s="315">
        <v>1.0127855875903084E-3</v>
      </c>
      <c r="K3825" s="316" t="str">
        <f t="shared" si="58"/>
        <v>Lawn and Garden Equipment</v>
      </c>
      <c r="L3825" s="316" t="str">
        <f t="shared" si="59"/>
        <v>Gasoline</v>
      </c>
      <c r="M3825" s="194"/>
      <c r="N3825" s="317"/>
      <c r="O3825" s="317"/>
      <c r="P3825" s="317"/>
      <c r="Q3825" s="317"/>
      <c r="R3825" s="317"/>
      <c r="S3825" s="317"/>
      <c r="T3825" s="317"/>
      <c r="U3825" s="317"/>
      <c r="V3825" s="317"/>
      <c r="W3825" s="317"/>
      <c r="X3825" s="317"/>
      <c r="Y3825" s="317"/>
      <c r="Z3825" s="317"/>
    </row>
    <row r="3826" spans="1:26" x14ac:dyDescent="0.25">
      <c r="A3826" s="314"/>
      <c r="B3826" s="18">
        <v>2023</v>
      </c>
      <c r="C3826" s="18" t="s">
        <v>727</v>
      </c>
      <c r="D3826" s="18" t="s">
        <v>1425</v>
      </c>
      <c r="E3826" s="18" t="s">
        <v>56</v>
      </c>
      <c r="F3826" s="18" t="s">
        <v>672</v>
      </c>
      <c r="G3826" s="18" t="s">
        <v>674</v>
      </c>
      <c r="H3826" s="18" t="s">
        <v>791</v>
      </c>
      <c r="I3826" s="315">
        <v>1.4565468455864155</v>
      </c>
      <c r="J3826" s="315">
        <v>2.7999500209619762E-4</v>
      </c>
      <c r="K3826" s="316" t="str">
        <f t="shared" si="58"/>
        <v>Construction and Mining Equipment</v>
      </c>
      <c r="L3826" s="316" t="str">
        <f t="shared" si="59"/>
        <v>LPG</v>
      </c>
      <c r="M3826" s="194"/>
      <c r="N3826" s="317"/>
      <c r="O3826" s="317"/>
      <c r="P3826" s="317"/>
      <c r="Q3826" s="317"/>
      <c r="R3826" s="317"/>
      <c r="S3826" s="317"/>
      <c r="T3826" s="317"/>
      <c r="U3826" s="317"/>
      <c r="V3826" s="317"/>
      <c r="W3826" s="317"/>
      <c r="X3826" s="317"/>
      <c r="Y3826" s="317"/>
      <c r="Z3826" s="317"/>
    </row>
    <row r="3827" spans="1:26" x14ac:dyDescent="0.25">
      <c r="A3827" s="314"/>
      <c r="B3827" s="18">
        <v>2023</v>
      </c>
      <c r="C3827" s="18" t="s">
        <v>753</v>
      </c>
      <c r="D3827" s="18" t="s">
        <v>1292</v>
      </c>
      <c r="E3827" s="18" t="s">
        <v>703</v>
      </c>
      <c r="F3827" s="18" t="s">
        <v>795</v>
      </c>
      <c r="G3827" s="18" t="s">
        <v>675</v>
      </c>
      <c r="H3827" s="18" t="s">
        <v>1293</v>
      </c>
      <c r="I3827" s="315">
        <v>1.4467435808264917</v>
      </c>
      <c r="J3827" s="315">
        <v>9.6750566128814101E-4</v>
      </c>
      <c r="K3827" s="316" t="str">
        <f t="shared" si="58"/>
        <v>Industrial Equipment</v>
      </c>
      <c r="L3827" s="316" t="str">
        <f t="shared" si="59"/>
        <v>Gasoline</v>
      </c>
      <c r="M3827" s="194"/>
      <c r="N3827" s="317"/>
      <c r="O3827" s="317"/>
      <c r="P3827" s="317"/>
      <c r="Q3827" s="317"/>
      <c r="R3827" s="317"/>
      <c r="S3827" s="317"/>
      <c r="T3827" s="317"/>
      <c r="U3827" s="317"/>
      <c r="V3827" s="317"/>
      <c r="W3827" s="317"/>
      <c r="X3827" s="317"/>
      <c r="Y3827" s="317"/>
      <c r="Z3827" s="317"/>
    </row>
    <row r="3828" spans="1:26" x14ac:dyDescent="0.25">
      <c r="A3828" s="314"/>
      <c r="B3828" s="18">
        <v>2023</v>
      </c>
      <c r="C3828" s="18" t="s">
        <v>759</v>
      </c>
      <c r="D3828" s="18" t="s">
        <v>1081</v>
      </c>
      <c r="E3828" s="18" t="s">
        <v>703</v>
      </c>
      <c r="F3828" s="18" t="s">
        <v>805</v>
      </c>
      <c r="G3828" s="18" t="s">
        <v>674</v>
      </c>
      <c r="H3828" s="18" t="s">
        <v>1082</v>
      </c>
      <c r="I3828" s="315">
        <v>1.4432424923566802</v>
      </c>
      <c r="J3828" s="315">
        <v>2.3409902616538299E-3</v>
      </c>
      <c r="K3828" s="316" t="str">
        <f t="shared" si="58"/>
        <v>Construction and Mining Equipment</v>
      </c>
      <c r="L3828" s="316" t="str">
        <f t="shared" si="59"/>
        <v>Gasoline</v>
      </c>
      <c r="M3828" s="194"/>
      <c r="N3828" s="317"/>
      <c r="O3828" s="317"/>
      <c r="P3828" s="317"/>
      <c r="Q3828" s="317"/>
      <c r="R3828" s="317"/>
      <c r="S3828" s="317"/>
      <c r="T3828" s="317"/>
      <c r="U3828" s="317"/>
      <c r="V3828" s="317"/>
      <c r="W3828" s="317"/>
      <c r="X3828" s="317"/>
      <c r="Y3828" s="317"/>
      <c r="Z3828" s="317"/>
    </row>
    <row r="3829" spans="1:26" x14ac:dyDescent="0.25">
      <c r="A3829" s="314"/>
      <c r="B3829" s="18">
        <v>2023</v>
      </c>
      <c r="C3829" s="18" t="s">
        <v>753</v>
      </c>
      <c r="D3829" s="18" t="s">
        <v>1366</v>
      </c>
      <c r="E3829" s="18" t="s">
        <v>703</v>
      </c>
      <c r="F3829" s="18" t="s">
        <v>704</v>
      </c>
      <c r="G3829" s="18" t="s">
        <v>674</v>
      </c>
      <c r="H3829" s="18" t="s">
        <v>791</v>
      </c>
      <c r="I3829" s="315">
        <v>1.4406346241541081</v>
      </c>
      <c r="J3829" s="315">
        <v>4.4977141091661309E-4</v>
      </c>
      <c r="K3829" s="316" t="str">
        <f t="shared" si="58"/>
        <v>Construction and Mining Equipment</v>
      </c>
      <c r="L3829" s="316" t="str">
        <f t="shared" si="59"/>
        <v>Gasoline</v>
      </c>
      <c r="M3829" s="194"/>
      <c r="N3829" s="317"/>
      <c r="O3829" s="317"/>
      <c r="P3829" s="317"/>
      <c r="Q3829" s="317"/>
      <c r="R3829" s="317"/>
      <c r="S3829" s="317"/>
      <c r="T3829" s="317"/>
      <c r="U3829" s="317"/>
      <c r="V3829" s="317"/>
      <c r="W3829" s="317"/>
      <c r="X3829" s="317"/>
      <c r="Y3829" s="317"/>
      <c r="Z3829" s="317"/>
    </row>
    <row r="3830" spans="1:26" x14ac:dyDescent="0.25">
      <c r="A3830" s="314"/>
      <c r="B3830" s="18">
        <v>2023</v>
      </c>
      <c r="C3830" s="18" t="s">
        <v>722</v>
      </c>
      <c r="D3830" s="18" t="s">
        <v>1539</v>
      </c>
      <c r="E3830" s="18" t="s">
        <v>703</v>
      </c>
      <c r="F3830" s="18" t="s">
        <v>704</v>
      </c>
      <c r="G3830" s="18" t="s">
        <v>678</v>
      </c>
      <c r="H3830" s="18" t="s">
        <v>1230</v>
      </c>
      <c r="I3830" s="315">
        <v>1.4307834211643515</v>
      </c>
      <c r="J3830" s="315">
        <v>8.5369596215166261E-4</v>
      </c>
      <c r="K3830" s="316" t="str">
        <f t="shared" si="58"/>
        <v>Agricultural Equipment</v>
      </c>
      <c r="L3830" s="316" t="str">
        <f t="shared" si="59"/>
        <v>Gasoline</v>
      </c>
      <c r="M3830" s="194"/>
      <c r="N3830" s="317"/>
      <c r="O3830" s="317"/>
      <c r="P3830" s="317"/>
      <c r="Q3830" s="317"/>
      <c r="R3830" s="317"/>
      <c r="S3830" s="317"/>
      <c r="T3830" s="317"/>
      <c r="U3830" s="317"/>
      <c r="V3830" s="317"/>
      <c r="W3830" s="317"/>
      <c r="X3830" s="317"/>
      <c r="Y3830" s="317"/>
      <c r="Z3830" s="317"/>
    </row>
    <row r="3831" spans="1:26" x14ac:dyDescent="0.25">
      <c r="A3831" s="314"/>
      <c r="B3831" s="18">
        <v>2023</v>
      </c>
      <c r="C3831" s="18" t="s">
        <v>793</v>
      </c>
      <c r="D3831" s="18" t="s">
        <v>1425</v>
      </c>
      <c r="E3831" s="18" t="s">
        <v>56</v>
      </c>
      <c r="F3831" s="18" t="s">
        <v>672</v>
      </c>
      <c r="G3831" s="18" t="s">
        <v>674</v>
      </c>
      <c r="H3831" s="18" t="s">
        <v>791</v>
      </c>
      <c r="I3831" s="315">
        <v>1.4221136828922403</v>
      </c>
      <c r="J3831" s="315">
        <v>2.7337586049090576E-4</v>
      </c>
      <c r="K3831" s="316" t="str">
        <f t="shared" si="58"/>
        <v>Construction and Mining Equipment</v>
      </c>
      <c r="L3831" s="316" t="str">
        <f t="shared" si="59"/>
        <v>LPG</v>
      </c>
      <c r="M3831" s="194"/>
      <c r="N3831" s="317"/>
      <c r="O3831" s="317"/>
      <c r="P3831" s="317"/>
      <c r="Q3831" s="317"/>
      <c r="R3831" s="317"/>
      <c r="S3831" s="317"/>
      <c r="T3831" s="317"/>
      <c r="U3831" s="317"/>
      <c r="V3831" s="317"/>
      <c r="W3831" s="317"/>
      <c r="X3831" s="317"/>
      <c r="Y3831" s="317"/>
      <c r="Z3831" s="317"/>
    </row>
    <row r="3832" spans="1:26" x14ac:dyDescent="0.25">
      <c r="A3832" s="314"/>
      <c r="B3832" s="18">
        <v>2023</v>
      </c>
      <c r="C3832" s="18" t="s">
        <v>810</v>
      </c>
      <c r="D3832" s="18" t="s">
        <v>1360</v>
      </c>
      <c r="E3832" s="18" t="s">
        <v>713</v>
      </c>
      <c r="F3832" s="18" t="s">
        <v>714</v>
      </c>
      <c r="G3832" s="18" t="s">
        <v>674</v>
      </c>
      <c r="H3832" s="18" t="s">
        <v>1220</v>
      </c>
      <c r="I3832" s="315">
        <v>1.4199921791451693</v>
      </c>
      <c r="J3832" s="315">
        <v>6.3166710244963277E-5</v>
      </c>
      <c r="K3832" s="316" t="str">
        <f t="shared" si="58"/>
        <v>Construction and Mining Equipment</v>
      </c>
      <c r="L3832" s="316" t="str">
        <f t="shared" si="59"/>
        <v>Diesel</v>
      </c>
      <c r="M3832" s="194"/>
      <c r="N3832" s="317"/>
      <c r="O3832" s="317"/>
      <c r="P3832" s="317"/>
      <c r="Q3832" s="317"/>
      <c r="R3832" s="317"/>
      <c r="S3832" s="317"/>
      <c r="T3832" s="317"/>
      <c r="U3832" s="317"/>
      <c r="V3832" s="317"/>
      <c r="W3832" s="317"/>
      <c r="X3832" s="317"/>
      <c r="Y3832" s="317"/>
      <c r="Z3832" s="317"/>
    </row>
    <row r="3833" spans="1:26" x14ac:dyDescent="0.25">
      <c r="A3833" s="314"/>
      <c r="B3833" s="18">
        <v>2023</v>
      </c>
      <c r="C3833" s="18" t="s">
        <v>760</v>
      </c>
      <c r="D3833" s="18" t="s">
        <v>1617</v>
      </c>
      <c r="E3833" s="18" t="s">
        <v>703</v>
      </c>
      <c r="F3833" s="18" t="s">
        <v>805</v>
      </c>
      <c r="G3833" s="18" t="s">
        <v>675</v>
      </c>
      <c r="H3833" s="18" t="s">
        <v>802</v>
      </c>
      <c r="I3833" s="315">
        <v>1.4196358510932954</v>
      </c>
      <c r="J3833" s="315">
        <v>3.172043639963869E-3</v>
      </c>
      <c r="K3833" s="316" t="str">
        <f t="shared" si="58"/>
        <v>Industrial Equipment</v>
      </c>
      <c r="L3833" s="316" t="str">
        <f t="shared" si="59"/>
        <v>Gasoline</v>
      </c>
      <c r="M3833" s="194"/>
      <c r="N3833" s="317"/>
      <c r="O3833" s="317"/>
      <c r="P3833" s="317"/>
      <c r="Q3833" s="317"/>
      <c r="R3833" s="317"/>
      <c r="S3833" s="317"/>
      <c r="T3833" s="317"/>
      <c r="U3833" s="317"/>
      <c r="V3833" s="317"/>
      <c r="W3833" s="317"/>
      <c r="X3833" s="317"/>
      <c r="Y3833" s="317"/>
      <c r="Z3833" s="317"/>
    </row>
    <row r="3834" spans="1:26" x14ac:dyDescent="0.25">
      <c r="A3834" s="314"/>
      <c r="B3834" s="18">
        <v>2023</v>
      </c>
      <c r="C3834" s="18" t="s">
        <v>754</v>
      </c>
      <c r="D3834" s="18" t="s">
        <v>1744</v>
      </c>
      <c r="E3834" s="18" t="s">
        <v>703</v>
      </c>
      <c r="F3834" s="18" t="s">
        <v>704</v>
      </c>
      <c r="G3834" s="18" t="s">
        <v>678</v>
      </c>
      <c r="H3834" s="18" t="s">
        <v>1745</v>
      </c>
      <c r="I3834" s="315">
        <v>1.4027337772816491</v>
      </c>
      <c r="J3834" s="315">
        <v>8.9707510404274024E-4</v>
      </c>
      <c r="K3834" s="316" t="str">
        <f t="shared" si="58"/>
        <v>Agricultural Equipment</v>
      </c>
      <c r="L3834" s="316" t="str">
        <f t="shared" si="59"/>
        <v>Gasoline</v>
      </c>
      <c r="M3834" s="194"/>
      <c r="N3834" s="317"/>
      <c r="O3834" s="317"/>
      <c r="P3834" s="317"/>
      <c r="Q3834" s="317"/>
      <c r="R3834" s="317"/>
      <c r="S3834" s="317"/>
      <c r="T3834" s="317"/>
      <c r="U3834" s="317"/>
      <c r="V3834" s="317"/>
      <c r="W3834" s="317"/>
      <c r="X3834" s="317"/>
      <c r="Y3834" s="317"/>
      <c r="Z3834" s="317"/>
    </row>
    <row r="3835" spans="1:26" x14ac:dyDescent="0.25">
      <c r="A3835" s="314"/>
      <c r="B3835" s="18">
        <v>2023</v>
      </c>
      <c r="C3835" s="18" t="s">
        <v>810</v>
      </c>
      <c r="D3835" s="18" t="s">
        <v>1361</v>
      </c>
      <c r="E3835" s="18" t="s">
        <v>56</v>
      </c>
      <c r="F3835" s="18" t="s">
        <v>672</v>
      </c>
      <c r="G3835" s="18" t="s">
        <v>674</v>
      </c>
      <c r="H3835" s="18" t="s">
        <v>783</v>
      </c>
      <c r="I3835" s="315">
        <v>1.4025908595993268</v>
      </c>
      <c r="J3835" s="315">
        <v>6.4387970236302316E-5</v>
      </c>
      <c r="K3835" s="316" t="str">
        <f t="shared" si="58"/>
        <v>Construction and Mining Equipment</v>
      </c>
      <c r="L3835" s="316" t="str">
        <f t="shared" si="59"/>
        <v>LPG</v>
      </c>
      <c r="M3835" s="194"/>
      <c r="N3835" s="317"/>
      <c r="O3835" s="317"/>
      <c r="P3835" s="317"/>
      <c r="Q3835" s="317"/>
      <c r="R3835" s="317"/>
      <c r="S3835" s="317"/>
      <c r="T3835" s="317"/>
      <c r="U3835" s="317"/>
      <c r="V3835" s="317"/>
      <c r="W3835" s="317"/>
      <c r="X3835" s="317"/>
      <c r="Y3835" s="317"/>
      <c r="Z3835" s="317"/>
    </row>
    <row r="3836" spans="1:26" x14ac:dyDescent="0.25">
      <c r="A3836" s="314"/>
      <c r="B3836" s="18">
        <v>2023</v>
      </c>
      <c r="C3836" s="18" t="s">
        <v>778</v>
      </c>
      <c r="D3836" s="18" t="s">
        <v>1317</v>
      </c>
      <c r="E3836" s="18" t="s">
        <v>713</v>
      </c>
      <c r="F3836" s="18" t="s">
        <v>714</v>
      </c>
      <c r="G3836" s="18" t="s">
        <v>673</v>
      </c>
      <c r="H3836" s="18" t="s">
        <v>865</v>
      </c>
      <c r="I3836" s="315">
        <v>1.3995627263958188</v>
      </c>
      <c r="J3836" s="315">
        <v>4.4202532808306211E-5</v>
      </c>
      <c r="K3836" s="316" t="str">
        <f t="shared" si="58"/>
        <v>Lawn and Garden Equipment</v>
      </c>
      <c r="L3836" s="316" t="str">
        <f t="shared" si="59"/>
        <v>Diesel</v>
      </c>
      <c r="M3836" s="194"/>
      <c r="N3836" s="317"/>
      <c r="O3836" s="317"/>
      <c r="P3836" s="317"/>
      <c r="Q3836" s="317"/>
      <c r="R3836" s="317"/>
      <c r="S3836" s="317"/>
      <c r="T3836" s="317"/>
      <c r="U3836" s="317"/>
      <c r="V3836" s="317"/>
      <c r="W3836" s="317"/>
      <c r="X3836" s="317"/>
      <c r="Y3836" s="317"/>
      <c r="Z3836" s="317"/>
    </row>
    <row r="3837" spans="1:26" x14ac:dyDescent="0.25">
      <c r="A3837" s="314"/>
      <c r="B3837" s="18">
        <v>2023</v>
      </c>
      <c r="C3837" s="18" t="s">
        <v>810</v>
      </c>
      <c r="D3837" s="18" t="s">
        <v>1362</v>
      </c>
      <c r="E3837" s="18" t="s">
        <v>56</v>
      </c>
      <c r="F3837" s="18" t="s">
        <v>672</v>
      </c>
      <c r="G3837" s="18" t="s">
        <v>674</v>
      </c>
      <c r="H3837" s="18" t="s">
        <v>859</v>
      </c>
      <c r="I3837" s="315">
        <v>1.3858511904420734</v>
      </c>
      <c r="J3837" s="315">
        <v>3.4372039145205561E-4</v>
      </c>
      <c r="K3837" s="316" t="str">
        <f t="shared" si="58"/>
        <v>Construction and Mining Equipment</v>
      </c>
      <c r="L3837" s="316" t="str">
        <f t="shared" si="59"/>
        <v>LPG</v>
      </c>
      <c r="M3837" s="194"/>
      <c r="N3837" s="317"/>
      <c r="O3837" s="317"/>
      <c r="P3837" s="317"/>
      <c r="Q3837" s="317"/>
      <c r="R3837" s="317"/>
      <c r="S3837" s="317"/>
      <c r="T3837" s="317"/>
      <c r="U3837" s="317"/>
      <c r="V3837" s="317"/>
      <c r="W3837" s="317"/>
      <c r="X3837" s="317"/>
      <c r="Y3837" s="317"/>
      <c r="Z3837" s="317"/>
    </row>
    <row r="3838" spans="1:26" x14ac:dyDescent="0.25">
      <c r="A3838" s="314"/>
      <c r="B3838" s="18">
        <v>2023</v>
      </c>
      <c r="C3838" s="18" t="s">
        <v>773</v>
      </c>
      <c r="D3838" s="18" t="s">
        <v>1416</v>
      </c>
      <c r="E3838" s="18" t="s">
        <v>56</v>
      </c>
      <c r="F3838" s="18" t="s">
        <v>672</v>
      </c>
      <c r="G3838" s="18" t="s">
        <v>674</v>
      </c>
      <c r="H3838" s="18" t="s">
        <v>861</v>
      </c>
      <c r="I3838" s="315">
        <v>1.384407548003131</v>
      </c>
      <c r="J3838" s="315">
        <v>9.3511773868863778E-4</v>
      </c>
      <c r="K3838" s="316" t="str">
        <f t="shared" si="58"/>
        <v>Construction and Mining Equipment</v>
      </c>
      <c r="L3838" s="316" t="str">
        <f t="shared" si="59"/>
        <v>LPG</v>
      </c>
      <c r="M3838" s="194"/>
      <c r="N3838" s="317"/>
      <c r="O3838" s="317"/>
      <c r="P3838" s="317"/>
      <c r="Q3838" s="317"/>
      <c r="R3838" s="317"/>
      <c r="S3838" s="317"/>
      <c r="T3838" s="317"/>
      <c r="U3838" s="317"/>
      <c r="V3838" s="317"/>
      <c r="W3838" s="317"/>
      <c r="X3838" s="317"/>
      <c r="Y3838" s="317"/>
      <c r="Z3838" s="317"/>
    </row>
    <row r="3839" spans="1:26" x14ac:dyDescent="0.25">
      <c r="A3839" s="314"/>
      <c r="B3839" s="18">
        <v>2023</v>
      </c>
      <c r="C3839" s="18" t="s">
        <v>754</v>
      </c>
      <c r="D3839" s="18" t="s">
        <v>1588</v>
      </c>
      <c r="E3839" s="18" t="s">
        <v>56</v>
      </c>
      <c r="F3839" s="18" t="s">
        <v>1575</v>
      </c>
      <c r="G3839" s="18" t="s">
        <v>675</v>
      </c>
      <c r="H3839" s="18" t="s">
        <v>1589</v>
      </c>
      <c r="I3839" s="315">
        <v>1.3815278879385315</v>
      </c>
      <c r="J3839" s="315">
        <v>5.8139627486376065E-3</v>
      </c>
      <c r="K3839" s="316" t="str">
        <f t="shared" si="58"/>
        <v>Industrial Equipment</v>
      </c>
      <c r="L3839" s="316" t="str">
        <f t="shared" si="59"/>
        <v>CNG</v>
      </c>
      <c r="M3839" s="194"/>
      <c r="N3839" s="317"/>
      <c r="O3839" s="317"/>
      <c r="P3839" s="317"/>
      <c r="Q3839" s="317"/>
      <c r="R3839" s="317"/>
      <c r="S3839" s="317"/>
      <c r="T3839" s="317"/>
      <c r="U3839" s="317"/>
      <c r="V3839" s="317"/>
      <c r="W3839" s="317"/>
      <c r="X3839" s="317"/>
      <c r="Y3839" s="317"/>
      <c r="Z3839" s="317"/>
    </row>
    <row r="3840" spans="1:26" x14ac:dyDescent="0.25">
      <c r="A3840" s="314"/>
      <c r="B3840" s="18">
        <v>2023</v>
      </c>
      <c r="C3840" s="18" t="s">
        <v>759</v>
      </c>
      <c r="D3840" s="18" t="s">
        <v>1083</v>
      </c>
      <c r="E3840" s="18" t="s">
        <v>703</v>
      </c>
      <c r="F3840" s="18" t="s">
        <v>704</v>
      </c>
      <c r="G3840" s="18" t="s">
        <v>674</v>
      </c>
      <c r="H3840" s="18" t="s">
        <v>861</v>
      </c>
      <c r="I3840" s="315">
        <v>1.3793204110408612</v>
      </c>
      <c r="J3840" s="315">
        <v>1.0322973174895871E-3</v>
      </c>
      <c r="K3840" s="316" t="str">
        <f t="shared" si="58"/>
        <v>Construction and Mining Equipment</v>
      </c>
      <c r="L3840" s="316" t="str">
        <f t="shared" si="59"/>
        <v>Gasoline</v>
      </c>
      <c r="M3840" s="194"/>
      <c r="N3840" s="317"/>
      <c r="O3840" s="317"/>
      <c r="P3840" s="317"/>
      <c r="Q3840" s="317"/>
      <c r="R3840" s="317"/>
      <c r="S3840" s="317"/>
      <c r="T3840" s="317"/>
      <c r="U3840" s="317"/>
      <c r="V3840" s="317"/>
      <c r="W3840" s="317"/>
      <c r="X3840" s="317"/>
      <c r="Y3840" s="317"/>
      <c r="Z3840" s="317"/>
    </row>
    <row r="3841" spans="1:26" x14ac:dyDescent="0.25">
      <c r="A3841" s="314"/>
      <c r="B3841" s="18">
        <v>2023</v>
      </c>
      <c r="C3841" s="18" t="s">
        <v>753</v>
      </c>
      <c r="D3841" s="18" t="s">
        <v>1708</v>
      </c>
      <c r="E3841" s="18" t="s">
        <v>703</v>
      </c>
      <c r="F3841" s="18" t="s">
        <v>704</v>
      </c>
      <c r="G3841" s="18" t="s">
        <v>678</v>
      </c>
      <c r="H3841" s="18" t="s">
        <v>1709</v>
      </c>
      <c r="I3841" s="315">
        <v>1.3717203880196989</v>
      </c>
      <c r="J3841" s="315">
        <v>9.2492599801401447E-4</v>
      </c>
      <c r="K3841" s="316" t="str">
        <f t="shared" si="58"/>
        <v>Agricultural Equipment</v>
      </c>
      <c r="L3841" s="316" t="str">
        <f t="shared" si="59"/>
        <v>Gasoline</v>
      </c>
      <c r="M3841" s="194"/>
      <c r="N3841" s="317"/>
      <c r="O3841" s="317"/>
      <c r="P3841" s="317"/>
      <c r="Q3841" s="317"/>
      <c r="R3841" s="317"/>
      <c r="S3841" s="317"/>
      <c r="T3841" s="317"/>
      <c r="U3841" s="317"/>
      <c r="V3841" s="317"/>
      <c r="W3841" s="317"/>
      <c r="X3841" s="317"/>
      <c r="Y3841" s="317"/>
      <c r="Z3841" s="317"/>
    </row>
    <row r="3842" spans="1:26" x14ac:dyDescent="0.25">
      <c r="A3842" s="314"/>
      <c r="B3842" s="18">
        <v>2023</v>
      </c>
      <c r="C3842" s="18" t="s">
        <v>793</v>
      </c>
      <c r="D3842" s="18" t="s">
        <v>1460</v>
      </c>
      <c r="E3842" s="18" t="s">
        <v>703</v>
      </c>
      <c r="F3842" s="18" t="s">
        <v>704</v>
      </c>
      <c r="G3842" s="18" t="s">
        <v>678</v>
      </c>
      <c r="H3842" s="18" t="s">
        <v>1080</v>
      </c>
      <c r="I3842" s="315">
        <v>1.3685843398238939</v>
      </c>
      <c r="J3842" s="315">
        <v>8.3180321548181446E-4</v>
      </c>
      <c r="K3842" s="316" t="str">
        <f t="shared" si="58"/>
        <v>Agricultural Equipment</v>
      </c>
      <c r="L3842" s="316" t="str">
        <f t="shared" si="59"/>
        <v>Gasoline</v>
      </c>
      <c r="M3842" s="194"/>
      <c r="N3842" s="317"/>
      <c r="O3842" s="317"/>
      <c r="P3842" s="317"/>
      <c r="Q3842" s="317"/>
      <c r="R3842" s="317"/>
      <c r="S3842" s="317"/>
      <c r="T3842" s="317"/>
      <c r="U3842" s="317"/>
      <c r="V3842" s="317"/>
      <c r="W3842" s="317"/>
      <c r="X3842" s="317"/>
      <c r="Y3842" s="317"/>
      <c r="Z3842" s="317"/>
    </row>
    <row r="3843" spans="1:26" x14ac:dyDescent="0.25">
      <c r="A3843" s="314"/>
      <c r="B3843" s="18">
        <v>2023</v>
      </c>
      <c r="C3843" s="18" t="s">
        <v>792</v>
      </c>
      <c r="D3843" s="18" t="s">
        <v>1219</v>
      </c>
      <c r="E3843" s="18" t="s">
        <v>703</v>
      </c>
      <c r="F3843" s="18" t="s">
        <v>704</v>
      </c>
      <c r="G3843" s="18" t="s">
        <v>674</v>
      </c>
      <c r="H3843" s="18" t="s">
        <v>1220</v>
      </c>
      <c r="I3843" s="315">
        <v>1.3659086666925486</v>
      </c>
      <c r="J3843" s="315">
        <v>9.2657918646591743E-4</v>
      </c>
      <c r="K3843" s="316" t="str">
        <f t="shared" si="58"/>
        <v>Construction and Mining Equipment</v>
      </c>
      <c r="L3843" s="316" t="str">
        <f t="shared" si="59"/>
        <v>Gasoline</v>
      </c>
      <c r="M3843" s="194"/>
      <c r="N3843" s="317"/>
      <c r="O3843" s="317"/>
      <c r="P3843" s="317"/>
      <c r="Q3843" s="317"/>
      <c r="R3843" s="317"/>
      <c r="S3843" s="317"/>
      <c r="T3843" s="317"/>
      <c r="U3843" s="317"/>
      <c r="V3843" s="317"/>
      <c r="W3843" s="317"/>
      <c r="X3843" s="317"/>
      <c r="Y3843" s="317"/>
      <c r="Z3843" s="317"/>
    </row>
    <row r="3844" spans="1:26" ht="12.75" x14ac:dyDescent="0.2">
      <c r="A3844" s="230"/>
      <c r="B3844" s="18">
        <v>2023</v>
      </c>
      <c r="C3844" s="18" t="s">
        <v>792</v>
      </c>
      <c r="D3844" s="18" t="s">
        <v>1428</v>
      </c>
      <c r="E3844" s="18" t="s">
        <v>56</v>
      </c>
      <c r="F3844" s="18" t="s">
        <v>601</v>
      </c>
      <c r="G3844" s="18" t="s">
        <v>678</v>
      </c>
      <c r="H3844" s="18" t="s">
        <v>1154</v>
      </c>
      <c r="I3844" s="315">
        <v>1.362594908339954</v>
      </c>
      <c r="J3844" s="315">
        <v>5.5414628502310596E-3</v>
      </c>
      <c r="K3844" s="316" t="str">
        <f t="shared" si="58"/>
        <v>Agricultural Equipment</v>
      </c>
      <c r="L3844" s="316" t="str">
        <f t="shared" si="59"/>
        <v>CNG</v>
      </c>
      <c r="M3844" s="8"/>
      <c r="N3844" s="2"/>
      <c r="O3844" s="2"/>
      <c r="P3844" s="2"/>
      <c r="Q3844" s="2"/>
      <c r="R3844" s="2"/>
      <c r="S3844" s="2"/>
      <c r="T3844" s="2"/>
      <c r="U3844" s="2"/>
      <c r="V3844" s="2"/>
      <c r="W3844" s="2"/>
      <c r="X3844" s="2"/>
      <c r="Y3844" s="2"/>
      <c r="Z3844" s="2"/>
    </row>
    <row r="3845" spans="1:26" x14ac:dyDescent="0.25">
      <c r="A3845" s="314"/>
      <c r="B3845" s="18">
        <v>2023</v>
      </c>
      <c r="C3845" s="18" t="s">
        <v>731</v>
      </c>
      <c r="D3845" s="18" t="s">
        <v>1708</v>
      </c>
      <c r="E3845" s="18" t="s">
        <v>703</v>
      </c>
      <c r="F3845" s="18" t="s">
        <v>704</v>
      </c>
      <c r="G3845" s="18" t="s">
        <v>678</v>
      </c>
      <c r="H3845" s="18" t="s">
        <v>1709</v>
      </c>
      <c r="I3845" s="315">
        <v>1.3606392497987785</v>
      </c>
      <c r="J3845" s="315">
        <v>9.1728430723717893E-4</v>
      </c>
      <c r="K3845" s="316" t="str">
        <f t="shared" si="58"/>
        <v>Agricultural Equipment</v>
      </c>
      <c r="L3845" s="316" t="str">
        <f t="shared" si="59"/>
        <v>Gasoline</v>
      </c>
      <c r="M3845" s="194"/>
      <c r="N3845" s="317"/>
      <c r="O3845" s="317"/>
      <c r="P3845" s="317"/>
      <c r="Q3845" s="317"/>
      <c r="R3845" s="317"/>
      <c r="S3845" s="317"/>
      <c r="T3845" s="317"/>
      <c r="U3845" s="317"/>
      <c r="V3845" s="317"/>
      <c r="W3845" s="317"/>
      <c r="X3845" s="317"/>
      <c r="Y3845" s="317"/>
      <c r="Z3845" s="317"/>
    </row>
    <row r="3846" spans="1:26" x14ac:dyDescent="0.25">
      <c r="A3846" s="314"/>
      <c r="B3846" s="18">
        <v>2023</v>
      </c>
      <c r="C3846" s="18" t="s">
        <v>722</v>
      </c>
      <c r="D3846" s="18" t="s">
        <v>1573</v>
      </c>
      <c r="E3846" s="18" t="s">
        <v>703</v>
      </c>
      <c r="F3846" s="18" t="s">
        <v>704</v>
      </c>
      <c r="G3846" s="18" t="s">
        <v>678</v>
      </c>
      <c r="H3846" s="18" t="s">
        <v>764</v>
      </c>
      <c r="I3846" s="315">
        <v>1.3602138135422284</v>
      </c>
      <c r="J3846" s="315">
        <v>2.6480581942660644E-4</v>
      </c>
      <c r="K3846" s="316" t="str">
        <f t="shared" si="58"/>
        <v>Agricultural Equipment</v>
      </c>
      <c r="L3846" s="316" t="str">
        <f t="shared" si="59"/>
        <v>Gasoline</v>
      </c>
      <c r="M3846" s="194"/>
      <c r="N3846" s="317"/>
      <c r="O3846" s="317"/>
      <c r="P3846" s="317"/>
      <c r="Q3846" s="317"/>
      <c r="R3846" s="317"/>
      <c r="S3846" s="317"/>
      <c r="T3846" s="317"/>
      <c r="U3846" s="317"/>
      <c r="V3846" s="317"/>
      <c r="W3846" s="317"/>
      <c r="X3846" s="317"/>
      <c r="Y3846" s="317"/>
      <c r="Z3846" s="317"/>
    </row>
    <row r="3847" spans="1:26" x14ac:dyDescent="0.25">
      <c r="A3847" s="314"/>
      <c r="B3847" s="18">
        <v>2023</v>
      </c>
      <c r="C3847" s="18" t="s">
        <v>810</v>
      </c>
      <c r="D3847" s="18" t="s">
        <v>1366</v>
      </c>
      <c r="E3847" s="18" t="s">
        <v>703</v>
      </c>
      <c r="F3847" s="18" t="s">
        <v>704</v>
      </c>
      <c r="G3847" s="18" t="s">
        <v>674</v>
      </c>
      <c r="H3847" s="18" t="s">
        <v>791</v>
      </c>
      <c r="I3847" s="315">
        <v>1.35782007543426</v>
      </c>
      <c r="J3847" s="315">
        <v>4.2953775459074196E-4</v>
      </c>
      <c r="K3847" s="316" t="str">
        <f t="shared" si="58"/>
        <v>Construction and Mining Equipment</v>
      </c>
      <c r="L3847" s="316" t="str">
        <f t="shared" si="59"/>
        <v>Gasoline</v>
      </c>
      <c r="M3847" s="194"/>
      <c r="N3847" s="317"/>
      <c r="O3847" s="317"/>
      <c r="P3847" s="317"/>
      <c r="Q3847" s="317"/>
      <c r="R3847" s="317"/>
      <c r="S3847" s="317"/>
      <c r="T3847" s="317"/>
      <c r="U3847" s="317"/>
      <c r="V3847" s="317"/>
      <c r="W3847" s="317"/>
      <c r="X3847" s="317"/>
      <c r="Y3847" s="317"/>
      <c r="Z3847" s="317"/>
    </row>
    <row r="3848" spans="1:26" x14ac:dyDescent="0.25">
      <c r="A3848" s="314"/>
      <c r="B3848" s="18">
        <v>2023</v>
      </c>
      <c r="C3848" s="18" t="s">
        <v>711</v>
      </c>
      <c r="D3848" s="18" t="s">
        <v>1663</v>
      </c>
      <c r="E3848" s="18" t="s">
        <v>713</v>
      </c>
      <c r="F3848" s="18" t="s">
        <v>714</v>
      </c>
      <c r="G3848" s="18" t="s">
        <v>674</v>
      </c>
      <c r="H3848" s="18" t="s">
        <v>1082</v>
      </c>
      <c r="I3848" s="315">
        <v>1.3537175288017014</v>
      </c>
      <c r="J3848" s="315">
        <v>1.6071469149998266E-4</v>
      </c>
      <c r="K3848" s="316" t="str">
        <f t="shared" si="58"/>
        <v>Construction and Mining Equipment</v>
      </c>
      <c r="L3848" s="316" t="str">
        <f t="shared" si="59"/>
        <v>Diesel</v>
      </c>
      <c r="M3848" s="194"/>
      <c r="N3848" s="317"/>
      <c r="O3848" s="317"/>
      <c r="P3848" s="317"/>
      <c r="Q3848" s="317"/>
      <c r="R3848" s="317"/>
      <c r="S3848" s="317"/>
      <c r="T3848" s="317"/>
      <c r="U3848" s="317"/>
      <c r="V3848" s="317"/>
      <c r="W3848" s="317"/>
      <c r="X3848" s="317"/>
      <c r="Y3848" s="317"/>
      <c r="Z3848" s="317"/>
    </row>
    <row r="3849" spans="1:26" x14ac:dyDescent="0.25">
      <c r="A3849" s="314"/>
      <c r="B3849" s="18">
        <v>2023</v>
      </c>
      <c r="C3849" s="18" t="s">
        <v>792</v>
      </c>
      <c r="D3849" s="18" t="s">
        <v>1223</v>
      </c>
      <c r="E3849" s="18" t="s">
        <v>713</v>
      </c>
      <c r="F3849" s="18" t="s">
        <v>714</v>
      </c>
      <c r="G3849" s="18" t="s">
        <v>674</v>
      </c>
      <c r="H3849" s="18" t="s">
        <v>1036</v>
      </c>
      <c r="I3849" s="315">
        <v>1.3439572069525241</v>
      </c>
      <c r="J3849" s="315">
        <v>1.3143782904713583E-4</v>
      </c>
      <c r="K3849" s="316" t="str">
        <f t="shared" si="58"/>
        <v>Construction and Mining Equipment</v>
      </c>
      <c r="L3849" s="316" t="str">
        <f t="shared" si="59"/>
        <v>Diesel</v>
      </c>
      <c r="M3849" s="194"/>
      <c r="N3849" s="317"/>
      <c r="O3849" s="317"/>
      <c r="P3849" s="317"/>
      <c r="Q3849" s="317"/>
      <c r="R3849" s="317"/>
      <c r="S3849" s="317"/>
      <c r="T3849" s="317"/>
      <c r="U3849" s="317"/>
      <c r="V3849" s="317"/>
      <c r="W3849" s="317"/>
      <c r="X3849" s="317"/>
      <c r="Y3849" s="317"/>
      <c r="Z3849" s="317"/>
    </row>
    <row r="3850" spans="1:26" x14ac:dyDescent="0.25">
      <c r="A3850" s="314"/>
      <c r="B3850" s="18">
        <v>2023</v>
      </c>
      <c r="C3850" s="18" t="s">
        <v>753</v>
      </c>
      <c r="D3850" s="18" t="s">
        <v>1401</v>
      </c>
      <c r="E3850" s="18" t="s">
        <v>56</v>
      </c>
      <c r="F3850" s="18" t="s">
        <v>601</v>
      </c>
      <c r="G3850" s="18" t="s">
        <v>677</v>
      </c>
      <c r="H3850" s="18" t="s">
        <v>785</v>
      </c>
      <c r="I3850" s="315">
        <v>1.3412593920577252</v>
      </c>
      <c r="J3850" s="315">
        <v>5.81375988549472E-3</v>
      </c>
      <c r="K3850" s="316" t="str">
        <f t="shared" si="58"/>
        <v>Commercial Equipment</v>
      </c>
      <c r="L3850" s="316" t="str">
        <f t="shared" si="59"/>
        <v>CNG</v>
      </c>
      <c r="M3850" s="194"/>
      <c r="N3850" s="317"/>
      <c r="O3850" s="317"/>
      <c r="P3850" s="317"/>
      <c r="Q3850" s="317"/>
      <c r="R3850" s="317"/>
      <c r="S3850" s="317"/>
      <c r="T3850" s="317"/>
      <c r="U3850" s="317"/>
      <c r="V3850" s="317"/>
      <c r="W3850" s="317"/>
      <c r="X3850" s="317"/>
      <c r="Y3850" s="317"/>
      <c r="Z3850" s="317"/>
    </row>
    <row r="3851" spans="1:26" x14ac:dyDescent="0.25">
      <c r="A3851" s="314"/>
      <c r="B3851" s="18">
        <v>2023</v>
      </c>
      <c r="C3851" s="18" t="s">
        <v>731</v>
      </c>
      <c r="D3851" s="18" t="s">
        <v>1338</v>
      </c>
      <c r="E3851" s="18" t="s">
        <v>703</v>
      </c>
      <c r="F3851" s="18" t="s">
        <v>805</v>
      </c>
      <c r="G3851" s="18" t="s">
        <v>673</v>
      </c>
      <c r="H3851" s="18" t="s">
        <v>987</v>
      </c>
      <c r="I3851" s="315">
        <v>1.338925710472356</v>
      </c>
      <c r="J3851" s="315">
        <v>2.444973084108619E-3</v>
      </c>
      <c r="K3851" s="316" t="str">
        <f t="shared" si="58"/>
        <v>Lawn and Garden Equipment</v>
      </c>
      <c r="L3851" s="316" t="str">
        <f t="shared" si="59"/>
        <v>Gasoline</v>
      </c>
      <c r="M3851" s="194"/>
      <c r="N3851" s="317"/>
      <c r="O3851" s="317"/>
      <c r="P3851" s="317"/>
      <c r="Q3851" s="317"/>
      <c r="R3851" s="317"/>
      <c r="S3851" s="317"/>
      <c r="T3851" s="317"/>
      <c r="U3851" s="317"/>
      <c r="V3851" s="317"/>
      <c r="W3851" s="317"/>
      <c r="X3851" s="317"/>
      <c r="Y3851" s="317"/>
      <c r="Z3851" s="317"/>
    </row>
    <row r="3852" spans="1:26" x14ac:dyDescent="0.25">
      <c r="A3852" s="314"/>
      <c r="B3852" s="18">
        <v>2023</v>
      </c>
      <c r="C3852" s="18" t="s">
        <v>709</v>
      </c>
      <c r="D3852" s="18" t="s">
        <v>1730</v>
      </c>
      <c r="E3852" s="18" t="s">
        <v>703</v>
      </c>
      <c r="F3852" s="18" t="s">
        <v>805</v>
      </c>
      <c r="G3852" s="18" t="s">
        <v>674</v>
      </c>
      <c r="H3852" s="18" t="s">
        <v>959</v>
      </c>
      <c r="I3852" s="315">
        <v>1.3351837804370561</v>
      </c>
      <c r="J3852" s="315">
        <v>2.9833408049500659E-3</v>
      </c>
      <c r="K3852" s="316" t="str">
        <f t="shared" si="58"/>
        <v>Construction and Mining Equipment</v>
      </c>
      <c r="L3852" s="316" t="str">
        <f t="shared" si="59"/>
        <v>Gasoline</v>
      </c>
      <c r="M3852" s="194"/>
      <c r="N3852" s="317"/>
      <c r="O3852" s="317"/>
      <c r="P3852" s="317"/>
      <c r="Q3852" s="317"/>
      <c r="R3852" s="317"/>
      <c r="S3852" s="317"/>
      <c r="T3852" s="317"/>
      <c r="U3852" s="317"/>
      <c r="V3852" s="317"/>
      <c r="W3852" s="317"/>
      <c r="X3852" s="317"/>
      <c r="Y3852" s="317"/>
      <c r="Z3852" s="317"/>
    </row>
    <row r="3853" spans="1:26" x14ac:dyDescent="0.25">
      <c r="A3853" s="314"/>
      <c r="B3853" s="18">
        <v>2023</v>
      </c>
      <c r="C3853" s="18" t="s">
        <v>787</v>
      </c>
      <c r="D3853" s="18" t="s">
        <v>1657</v>
      </c>
      <c r="E3853" s="18" t="s">
        <v>713</v>
      </c>
      <c r="F3853" s="18" t="s">
        <v>714</v>
      </c>
      <c r="G3853" s="18" t="s">
        <v>678</v>
      </c>
      <c r="H3853" s="18" t="s">
        <v>1638</v>
      </c>
      <c r="I3853" s="315">
        <v>1.3272125382712003</v>
      </c>
      <c r="J3853" s="315">
        <v>1.4729103314705885E-5</v>
      </c>
      <c r="K3853" s="316" t="str">
        <f t="shared" si="58"/>
        <v>Agricultural Equipment</v>
      </c>
      <c r="L3853" s="316" t="str">
        <f t="shared" si="59"/>
        <v>Diesel</v>
      </c>
      <c r="M3853" s="194"/>
      <c r="N3853" s="317"/>
      <c r="O3853" s="317"/>
      <c r="P3853" s="317"/>
      <c r="Q3853" s="317"/>
      <c r="R3853" s="317"/>
      <c r="S3853" s="317"/>
      <c r="T3853" s="317"/>
      <c r="U3853" s="317"/>
      <c r="V3853" s="317"/>
      <c r="W3853" s="317"/>
      <c r="X3853" s="317"/>
      <c r="Y3853" s="317"/>
      <c r="Z3853" s="317"/>
    </row>
    <row r="3854" spans="1:26" x14ac:dyDescent="0.25">
      <c r="A3854" s="314"/>
      <c r="B3854" s="18">
        <v>2023</v>
      </c>
      <c r="C3854" s="18" t="s">
        <v>773</v>
      </c>
      <c r="D3854" s="18" t="s">
        <v>1425</v>
      </c>
      <c r="E3854" s="18" t="s">
        <v>56</v>
      </c>
      <c r="F3854" s="18" t="s">
        <v>672</v>
      </c>
      <c r="G3854" s="18" t="s">
        <v>674</v>
      </c>
      <c r="H3854" s="18" t="s">
        <v>791</v>
      </c>
      <c r="I3854" s="315">
        <v>1.3264394633097967</v>
      </c>
      <c r="J3854" s="315">
        <v>2.5498421489136667E-4</v>
      </c>
      <c r="K3854" s="316" t="str">
        <f t="shared" si="58"/>
        <v>Construction and Mining Equipment</v>
      </c>
      <c r="L3854" s="316" t="str">
        <f t="shared" si="59"/>
        <v>LPG</v>
      </c>
      <c r="M3854" s="194"/>
      <c r="N3854" s="317"/>
      <c r="O3854" s="317"/>
      <c r="P3854" s="317"/>
      <c r="Q3854" s="317"/>
      <c r="R3854" s="317"/>
      <c r="S3854" s="317"/>
      <c r="T3854" s="317"/>
      <c r="U3854" s="317"/>
      <c r="V3854" s="317"/>
      <c r="W3854" s="317"/>
      <c r="X3854" s="317"/>
      <c r="Y3854" s="317"/>
      <c r="Z3854" s="317"/>
    </row>
    <row r="3855" spans="1:26" x14ac:dyDescent="0.25">
      <c r="A3855" s="314"/>
      <c r="B3855" s="18">
        <v>2023</v>
      </c>
      <c r="C3855" s="18" t="s">
        <v>743</v>
      </c>
      <c r="D3855" s="18" t="s">
        <v>1483</v>
      </c>
      <c r="E3855" s="18" t="s">
        <v>703</v>
      </c>
      <c r="F3855" s="18" t="s">
        <v>805</v>
      </c>
      <c r="G3855" s="18" t="s">
        <v>674</v>
      </c>
      <c r="H3855" s="18" t="s">
        <v>994</v>
      </c>
      <c r="I3855" s="315">
        <v>1.3258007493929875</v>
      </c>
      <c r="J3855" s="315">
        <v>2.7797754331625102E-3</v>
      </c>
      <c r="K3855" s="316" t="str">
        <f t="shared" si="58"/>
        <v>Construction and Mining Equipment</v>
      </c>
      <c r="L3855" s="316" t="str">
        <f t="shared" si="59"/>
        <v>Gasoline</v>
      </c>
      <c r="M3855" s="194"/>
      <c r="N3855" s="317"/>
      <c r="O3855" s="317"/>
      <c r="P3855" s="317"/>
      <c r="Q3855" s="317"/>
      <c r="R3855" s="317"/>
      <c r="S3855" s="317"/>
      <c r="T3855" s="317"/>
      <c r="U3855" s="317"/>
      <c r="V3855" s="317"/>
      <c r="W3855" s="317"/>
      <c r="X3855" s="317"/>
      <c r="Y3855" s="317"/>
      <c r="Z3855" s="317"/>
    </row>
    <row r="3856" spans="1:26" x14ac:dyDescent="0.25">
      <c r="A3856" s="314"/>
      <c r="B3856" s="18">
        <v>2023</v>
      </c>
      <c r="C3856" s="18" t="s">
        <v>709</v>
      </c>
      <c r="D3856" s="18" t="s">
        <v>1715</v>
      </c>
      <c r="E3856" s="18" t="s">
        <v>703</v>
      </c>
      <c r="F3856" s="18" t="s">
        <v>805</v>
      </c>
      <c r="G3856" s="18" t="s">
        <v>677</v>
      </c>
      <c r="H3856" s="18" t="s">
        <v>1031</v>
      </c>
      <c r="I3856" s="315">
        <v>1.3142593050693447</v>
      </c>
      <c r="J3856" s="315">
        <v>2.9365882578569831E-3</v>
      </c>
      <c r="K3856" s="316" t="str">
        <f t="shared" si="58"/>
        <v>Commercial Equipment</v>
      </c>
      <c r="L3856" s="316" t="str">
        <f t="shared" si="59"/>
        <v>Gasoline</v>
      </c>
      <c r="M3856" s="194"/>
      <c r="N3856" s="317"/>
      <c r="O3856" s="317"/>
      <c r="P3856" s="317"/>
      <c r="Q3856" s="317"/>
      <c r="R3856" s="317"/>
      <c r="S3856" s="317"/>
      <c r="T3856" s="317"/>
      <c r="U3856" s="317"/>
      <c r="V3856" s="317"/>
      <c r="W3856" s="317"/>
      <c r="X3856" s="317"/>
      <c r="Y3856" s="317"/>
      <c r="Z3856" s="317"/>
    </row>
    <row r="3857" spans="1:26" x14ac:dyDescent="0.25">
      <c r="A3857" s="314"/>
      <c r="B3857" s="18">
        <v>2023</v>
      </c>
      <c r="C3857" s="18" t="s">
        <v>727</v>
      </c>
      <c r="D3857" s="18" t="s">
        <v>1435</v>
      </c>
      <c r="E3857" s="18" t="s">
        <v>56</v>
      </c>
      <c r="F3857" s="18" t="s">
        <v>672</v>
      </c>
      <c r="G3857" s="18" t="s">
        <v>674</v>
      </c>
      <c r="H3857" s="18" t="s">
        <v>863</v>
      </c>
      <c r="I3857" s="315">
        <v>1.3070844679904481</v>
      </c>
      <c r="J3857" s="315">
        <v>8.7046295246423385E-5</v>
      </c>
      <c r="K3857" s="316" t="str">
        <f t="shared" si="58"/>
        <v>Construction and Mining Equipment</v>
      </c>
      <c r="L3857" s="316" t="str">
        <f t="shared" si="59"/>
        <v>LPG</v>
      </c>
      <c r="M3857" s="194"/>
      <c r="N3857" s="317"/>
      <c r="O3857" s="317"/>
      <c r="P3857" s="317"/>
      <c r="Q3857" s="317"/>
      <c r="R3857" s="317"/>
      <c r="S3857" s="317"/>
      <c r="T3857" s="317"/>
      <c r="U3857" s="317"/>
      <c r="V3857" s="317"/>
      <c r="W3857" s="317"/>
      <c r="X3857" s="317"/>
      <c r="Y3857" s="317"/>
      <c r="Z3857" s="317"/>
    </row>
    <row r="3858" spans="1:26" x14ac:dyDescent="0.25">
      <c r="A3858" s="314"/>
      <c r="B3858" s="18">
        <v>2023</v>
      </c>
      <c r="C3858" s="18" t="s">
        <v>711</v>
      </c>
      <c r="D3858" s="18" t="s">
        <v>1539</v>
      </c>
      <c r="E3858" s="18" t="s">
        <v>703</v>
      </c>
      <c r="F3858" s="18" t="s">
        <v>704</v>
      </c>
      <c r="G3858" s="18" t="s">
        <v>678</v>
      </c>
      <c r="H3858" s="18" t="s">
        <v>1230</v>
      </c>
      <c r="I3858" s="315">
        <v>1.3056123851257828</v>
      </c>
      <c r="J3858" s="315">
        <v>7.7838339098532745E-4</v>
      </c>
      <c r="K3858" s="316" t="str">
        <f t="shared" si="58"/>
        <v>Agricultural Equipment</v>
      </c>
      <c r="L3858" s="316" t="str">
        <f t="shared" si="59"/>
        <v>Gasoline</v>
      </c>
      <c r="M3858" s="194"/>
      <c r="N3858" s="317"/>
      <c r="O3858" s="317"/>
      <c r="P3858" s="317"/>
      <c r="Q3858" s="317"/>
      <c r="R3858" s="317"/>
      <c r="S3858" s="317"/>
      <c r="T3858" s="317"/>
      <c r="U3858" s="317"/>
      <c r="V3858" s="317"/>
      <c r="W3858" s="317"/>
      <c r="X3858" s="317"/>
      <c r="Y3858" s="317"/>
      <c r="Z3858" s="317"/>
    </row>
    <row r="3859" spans="1:26" x14ac:dyDescent="0.25">
      <c r="A3859" s="314"/>
      <c r="B3859" s="18">
        <v>2023</v>
      </c>
      <c r="C3859" s="18" t="s">
        <v>792</v>
      </c>
      <c r="D3859" s="18" t="s">
        <v>1401</v>
      </c>
      <c r="E3859" s="18" t="s">
        <v>56</v>
      </c>
      <c r="F3859" s="18" t="s">
        <v>601</v>
      </c>
      <c r="G3859" s="18" t="s">
        <v>677</v>
      </c>
      <c r="H3859" s="18" t="s">
        <v>785</v>
      </c>
      <c r="I3859" s="315">
        <v>1.3012231248588146</v>
      </c>
      <c r="J3859" s="315">
        <v>5.6402051274777997E-3</v>
      </c>
      <c r="K3859" s="316" t="str">
        <f t="shared" si="58"/>
        <v>Commercial Equipment</v>
      </c>
      <c r="L3859" s="316" t="str">
        <f t="shared" si="59"/>
        <v>CNG</v>
      </c>
      <c r="M3859" s="194"/>
      <c r="N3859" s="317"/>
      <c r="O3859" s="317"/>
      <c r="P3859" s="317"/>
      <c r="Q3859" s="317"/>
      <c r="R3859" s="317"/>
      <c r="S3859" s="317"/>
      <c r="T3859" s="317"/>
      <c r="U3859" s="317"/>
      <c r="V3859" s="317"/>
      <c r="W3859" s="317"/>
      <c r="X3859" s="317"/>
      <c r="Y3859" s="317"/>
      <c r="Z3859" s="317"/>
    </row>
    <row r="3860" spans="1:26" x14ac:dyDescent="0.25">
      <c r="A3860" s="314"/>
      <c r="B3860" s="18">
        <v>2023</v>
      </c>
      <c r="C3860" s="18" t="s">
        <v>762</v>
      </c>
      <c r="D3860" s="18" t="s">
        <v>1339</v>
      </c>
      <c r="E3860" s="18" t="s">
        <v>56</v>
      </c>
      <c r="F3860" s="18" t="s">
        <v>672</v>
      </c>
      <c r="G3860" s="18" t="s">
        <v>674</v>
      </c>
      <c r="H3860" s="18" t="s">
        <v>770</v>
      </c>
      <c r="I3860" s="315">
        <v>1.2918779669277312</v>
      </c>
      <c r="J3860" s="315">
        <v>9.5395574629042433E-5</v>
      </c>
      <c r="K3860" s="316" t="str">
        <f t="shared" si="58"/>
        <v>Construction and Mining Equipment</v>
      </c>
      <c r="L3860" s="316" t="str">
        <f t="shared" si="59"/>
        <v>LPG</v>
      </c>
      <c r="M3860" s="194"/>
      <c r="N3860" s="317"/>
      <c r="O3860" s="317"/>
      <c r="P3860" s="317"/>
      <c r="Q3860" s="317"/>
      <c r="R3860" s="317"/>
      <c r="S3860" s="317"/>
      <c r="T3860" s="317"/>
      <c r="U3860" s="317"/>
      <c r="V3860" s="317"/>
      <c r="W3860" s="317"/>
      <c r="X3860" s="317"/>
      <c r="Y3860" s="317"/>
      <c r="Z3860" s="317"/>
    </row>
    <row r="3861" spans="1:26" x14ac:dyDescent="0.25">
      <c r="A3861" s="314"/>
      <c r="B3861" s="18">
        <v>2023</v>
      </c>
      <c r="C3861" s="18" t="s">
        <v>793</v>
      </c>
      <c r="D3861" s="18" t="s">
        <v>1228</v>
      </c>
      <c r="E3861" s="18" t="s">
        <v>703</v>
      </c>
      <c r="F3861" s="18" t="s">
        <v>704</v>
      </c>
      <c r="G3861" s="18" t="s">
        <v>675</v>
      </c>
      <c r="H3861" s="18" t="s">
        <v>1078</v>
      </c>
      <c r="I3861" s="315">
        <v>1.2914352211407161</v>
      </c>
      <c r="J3861" s="315">
        <v>4.3446394833973731E-4</v>
      </c>
      <c r="K3861" s="316" t="str">
        <f t="shared" si="58"/>
        <v>Industrial Equipment</v>
      </c>
      <c r="L3861" s="316" t="str">
        <f t="shared" si="59"/>
        <v>Gasoline</v>
      </c>
      <c r="M3861" s="194"/>
      <c r="N3861" s="317"/>
      <c r="O3861" s="317"/>
      <c r="P3861" s="317"/>
      <c r="Q3861" s="317"/>
      <c r="R3861" s="317"/>
      <c r="S3861" s="317"/>
      <c r="T3861" s="317"/>
      <c r="U3861" s="317"/>
      <c r="V3861" s="317"/>
      <c r="W3861" s="317"/>
      <c r="X3861" s="317"/>
      <c r="Y3861" s="317"/>
      <c r="Z3861" s="317"/>
    </row>
    <row r="3862" spans="1:26" x14ac:dyDescent="0.25">
      <c r="A3862" s="314"/>
      <c r="B3862" s="18">
        <v>2023</v>
      </c>
      <c r="C3862" s="18" t="s">
        <v>711</v>
      </c>
      <c r="D3862" s="18" t="s">
        <v>1715</v>
      </c>
      <c r="E3862" s="18" t="s">
        <v>703</v>
      </c>
      <c r="F3862" s="18" t="s">
        <v>805</v>
      </c>
      <c r="G3862" s="18" t="s">
        <v>677</v>
      </c>
      <c r="H3862" s="18" t="s">
        <v>1031</v>
      </c>
      <c r="I3862" s="315">
        <v>1.28692002295023</v>
      </c>
      <c r="J3862" s="315">
        <v>2.8755015730609398E-3</v>
      </c>
      <c r="K3862" s="316" t="str">
        <f t="shared" si="58"/>
        <v>Commercial Equipment</v>
      </c>
      <c r="L3862" s="316" t="str">
        <f t="shared" si="59"/>
        <v>Gasoline</v>
      </c>
      <c r="M3862" s="194"/>
      <c r="N3862" s="317"/>
      <c r="O3862" s="317"/>
      <c r="P3862" s="317"/>
      <c r="Q3862" s="317"/>
      <c r="R3862" s="317"/>
      <c r="S3862" s="317"/>
      <c r="T3862" s="317"/>
      <c r="U3862" s="317"/>
      <c r="V3862" s="317"/>
      <c r="W3862" s="317"/>
      <c r="X3862" s="317"/>
      <c r="Y3862" s="317"/>
      <c r="Z3862" s="317"/>
    </row>
    <row r="3863" spans="1:26" x14ac:dyDescent="0.25">
      <c r="A3863" s="314"/>
      <c r="B3863" s="18">
        <v>2023</v>
      </c>
      <c r="C3863" s="18" t="s">
        <v>731</v>
      </c>
      <c r="D3863" s="18" t="s">
        <v>1292</v>
      </c>
      <c r="E3863" s="18" t="s">
        <v>703</v>
      </c>
      <c r="F3863" s="18" t="s">
        <v>795</v>
      </c>
      <c r="G3863" s="18" t="s">
        <v>675</v>
      </c>
      <c r="H3863" s="18" t="s">
        <v>1293</v>
      </c>
      <c r="I3863" s="315">
        <v>1.2837018715010089</v>
      </c>
      <c r="J3863" s="315">
        <v>8.5824355429088431E-4</v>
      </c>
      <c r="K3863" s="316" t="str">
        <f t="shared" si="58"/>
        <v>Industrial Equipment</v>
      </c>
      <c r="L3863" s="316" t="str">
        <f t="shared" si="59"/>
        <v>Gasoline</v>
      </c>
      <c r="M3863" s="194"/>
      <c r="N3863" s="317"/>
      <c r="O3863" s="317"/>
      <c r="P3863" s="317"/>
      <c r="Q3863" s="317"/>
      <c r="R3863" s="317"/>
      <c r="S3863" s="317"/>
      <c r="T3863" s="317"/>
      <c r="U3863" s="317"/>
      <c r="V3863" s="317"/>
      <c r="W3863" s="317"/>
      <c r="X3863" s="317"/>
      <c r="Y3863" s="317"/>
      <c r="Z3863" s="317"/>
    </row>
    <row r="3864" spans="1:26" x14ac:dyDescent="0.25">
      <c r="A3864" s="314"/>
      <c r="B3864" s="18">
        <v>2023</v>
      </c>
      <c r="C3864" s="18" t="s">
        <v>787</v>
      </c>
      <c r="D3864" s="18" t="s">
        <v>1401</v>
      </c>
      <c r="E3864" s="18" t="s">
        <v>56</v>
      </c>
      <c r="F3864" s="18" t="s">
        <v>601</v>
      </c>
      <c r="G3864" s="18" t="s">
        <v>677</v>
      </c>
      <c r="H3864" s="18" t="s">
        <v>785</v>
      </c>
      <c r="I3864" s="315">
        <v>1.2812049544573401</v>
      </c>
      <c r="J3864" s="315">
        <v>5.5534423702497566E-3</v>
      </c>
      <c r="K3864" s="316" t="str">
        <f t="shared" si="58"/>
        <v>Commercial Equipment</v>
      </c>
      <c r="L3864" s="316" t="str">
        <f t="shared" si="59"/>
        <v>CNG</v>
      </c>
      <c r="M3864" s="194"/>
      <c r="N3864" s="317"/>
      <c r="O3864" s="317"/>
      <c r="P3864" s="317"/>
      <c r="Q3864" s="317"/>
      <c r="R3864" s="317"/>
      <c r="S3864" s="317"/>
      <c r="T3864" s="317"/>
      <c r="U3864" s="317"/>
      <c r="V3864" s="317"/>
      <c r="W3864" s="317"/>
      <c r="X3864" s="317"/>
      <c r="Y3864" s="317"/>
      <c r="Z3864" s="317"/>
    </row>
    <row r="3865" spans="1:26" x14ac:dyDescent="0.25">
      <c r="A3865" s="314"/>
      <c r="B3865" s="18">
        <v>2023</v>
      </c>
      <c r="C3865" s="18" t="s">
        <v>781</v>
      </c>
      <c r="D3865" s="18" t="s">
        <v>1292</v>
      </c>
      <c r="E3865" s="18" t="s">
        <v>703</v>
      </c>
      <c r="F3865" s="18" t="s">
        <v>795</v>
      </c>
      <c r="G3865" s="18" t="s">
        <v>675</v>
      </c>
      <c r="H3865" s="18" t="s">
        <v>1293</v>
      </c>
      <c r="I3865" s="315">
        <v>1.2775130434124871</v>
      </c>
      <c r="J3865" s="315">
        <v>8.5523072245417137E-4</v>
      </c>
      <c r="K3865" s="316" t="str">
        <f t="shared" si="58"/>
        <v>Industrial Equipment</v>
      </c>
      <c r="L3865" s="316" t="str">
        <f t="shared" si="59"/>
        <v>Gasoline</v>
      </c>
      <c r="M3865" s="194"/>
      <c r="N3865" s="317"/>
      <c r="O3865" s="317"/>
      <c r="P3865" s="317"/>
      <c r="Q3865" s="317"/>
      <c r="R3865" s="317"/>
      <c r="S3865" s="317"/>
      <c r="T3865" s="317"/>
      <c r="U3865" s="317"/>
      <c r="V3865" s="317"/>
      <c r="W3865" s="317"/>
      <c r="X3865" s="317"/>
      <c r="Y3865" s="317"/>
      <c r="Z3865" s="317"/>
    </row>
    <row r="3866" spans="1:26" x14ac:dyDescent="0.25">
      <c r="A3866" s="314"/>
      <c r="B3866" s="18">
        <v>2023</v>
      </c>
      <c r="C3866" s="18" t="s">
        <v>793</v>
      </c>
      <c r="D3866" s="18" t="s">
        <v>1435</v>
      </c>
      <c r="E3866" s="18" t="s">
        <v>56</v>
      </c>
      <c r="F3866" s="18" t="s">
        <v>672</v>
      </c>
      <c r="G3866" s="18" t="s">
        <v>674</v>
      </c>
      <c r="H3866" s="18" t="s">
        <v>863</v>
      </c>
      <c r="I3866" s="315">
        <v>1.2761844205385129</v>
      </c>
      <c r="J3866" s="315">
        <v>8.4988560860882755E-5</v>
      </c>
      <c r="K3866" s="316" t="str">
        <f t="shared" si="58"/>
        <v>Construction and Mining Equipment</v>
      </c>
      <c r="L3866" s="316" t="str">
        <f t="shared" si="59"/>
        <v>LPG</v>
      </c>
      <c r="M3866" s="194"/>
      <c r="N3866" s="317"/>
      <c r="O3866" s="317"/>
      <c r="P3866" s="317"/>
      <c r="Q3866" s="317"/>
      <c r="R3866" s="317"/>
      <c r="S3866" s="317"/>
      <c r="T3866" s="317"/>
      <c r="U3866" s="317"/>
      <c r="V3866" s="317"/>
      <c r="W3866" s="317"/>
      <c r="X3866" s="317"/>
      <c r="Y3866" s="317"/>
      <c r="Z3866" s="317"/>
    </row>
    <row r="3867" spans="1:26" x14ac:dyDescent="0.25">
      <c r="A3867" s="314"/>
      <c r="B3867" s="18">
        <v>2023</v>
      </c>
      <c r="C3867" s="18" t="s">
        <v>759</v>
      </c>
      <c r="D3867" s="18" t="s">
        <v>1084</v>
      </c>
      <c r="E3867" s="18" t="s">
        <v>703</v>
      </c>
      <c r="F3867" s="18" t="s">
        <v>704</v>
      </c>
      <c r="G3867" s="18" t="s">
        <v>674</v>
      </c>
      <c r="H3867" s="18" t="s">
        <v>863</v>
      </c>
      <c r="I3867" s="315">
        <v>1.2757768368945139</v>
      </c>
      <c r="J3867" s="315">
        <v>7.4287942019194472E-4</v>
      </c>
      <c r="K3867" s="316" t="str">
        <f t="shared" si="58"/>
        <v>Construction and Mining Equipment</v>
      </c>
      <c r="L3867" s="316" t="str">
        <f t="shared" si="59"/>
        <v>Gasoline</v>
      </c>
      <c r="M3867" s="194"/>
      <c r="N3867" s="317"/>
      <c r="O3867" s="317"/>
      <c r="P3867" s="317"/>
      <c r="Q3867" s="317"/>
      <c r="R3867" s="317"/>
      <c r="S3867" s="317"/>
      <c r="T3867" s="317"/>
      <c r="U3867" s="317"/>
      <c r="V3867" s="317"/>
      <c r="W3867" s="317"/>
      <c r="X3867" s="317"/>
      <c r="Y3867" s="317"/>
      <c r="Z3867" s="317"/>
    </row>
    <row r="3868" spans="1:26" x14ac:dyDescent="0.25">
      <c r="A3868" s="314"/>
      <c r="B3868" s="18">
        <v>2023</v>
      </c>
      <c r="C3868" s="18" t="s">
        <v>731</v>
      </c>
      <c r="D3868" s="18" t="s">
        <v>1219</v>
      </c>
      <c r="E3868" s="18" t="s">
        <v>703</v>
      </c>
      <c r="F3868" s="18" t="s">
        <v>704</v>
      </c>
      <c r="G3868" s="18" t="s">
        <v>674</v>
      </c>
      <c r="H3868" s="18" t="s">
        <v>1220</v>
      </c>
      <c r="I3868" s="315">
        <v>1.267599882036353</v>
      </c>
      <c r="J3868" s="315">
        <v>8.5154503234561294E-4</v>
      </c>
      <c r="K3868" s="316" t="str">
        <f t="shared" si="58"/>
        <v>Construction and Mining Equipment</v>
      </c>
      <c r="L3868" s="316" t="str">
        <f t="shared" si="59"/>
        <v>Gasoline</v>
      </c>
      <c r="M3868" s="194"/>
      <c r="N3868" s="317"/>
      <c r="O3868" s="317"/>
      <c r="P3868" s="317"/>
      <c r="Q3868" s="317"/>
      <c r="R3868" s="317"/>
      <c r="S3868" s="317"/>
      <c r="T3868" s="317"/>
      <c r="U3868" s="317"/>
      <c r="V3868" s="317"/>
      <c r="W3868" s="317"/>
      <c r="X3868" s="317"/>
      <c r="Y3868" s="317"/>
      <c r="Z3868" s="317"/>
    </row>
    <row r="3869" spans="1:26" x14ac:dyDescent="0.25">
      <c r="A3869" s="314"/>
      <c r="B3869" s="18">
        <v>2023</v>
      </c>
      <c r="C3869" s="18" t="s">
        <v>792</v>
      </c>
      <c r="D3869" s="18" t="s">
        <v>1227</v>
      </c>
      <c r="E3869" s="18" t="s">
        <v>56</v>
      </c>
      <c r="F3869" s="18" t="s">
        <v>672</v>
      </c>
      <c r="G3869" s="18" t="s">
        <v>674</v>
      </c>
      <c r="H3869" s="18" t="s">
        <v>850</v>
      </c>
      <c r="I3869" s="315">
        <v>1.2626791557325798</v>
      </c>
      <c r="J3869" s="315">
        <v>8.1084233392395889E-5</v>
      </c>
      <c r="K3869" s="316" t="str">
        <f t="shared" si="58"/>
        <v>Construction and Mining Equipment</v>
      </c>
      <c r="L3869" s="316" t="str">
        <f t="shared" si="59"/>
        <v>LPG</v>
      </c>
      <c r="M3869" s="194"/>
      <c r="N3869" s="317"/>
      <c r="O3869" s="317"/>
      <c r="P3869" s="317"/>
      <c r="Q3869" s="317"/>
      <c r="R3869" s="317"/>
      <c r="S3869" s="317"/>
      <c r="T3869" s="317"/>
      <c r="U3869" s="317"/>
      <c r="V3869" s="317"/>
      <c r="W3869" s="317"/>
      <c r="X3869" s="317"/>
      <c r="Y3869" s="317"/>
      <c r="Z3869" s="317"/>
    </row>
    <row r="3870" spans="1:26" x14ac:dyDescent="0.25">
      <c r="A3870" s="314"/>
      <c r="B3870" s="18">
        <v>2023</v>
      </c>
      <c r="C3870" s="18" t="s">
        <v>781</v>
      </c>
      <c r="D3870" s="18" t="s">
        <v>1407</v>
      </c>
      <c r="E3870" s="18" t="s">
        <v>56</v>
      </c>
      <c r="F3870" s="18" t="s">
        <v>672</v>
      </c>
      <c r="G3870" s="18" t="s">
        <v>675</v>
      </c>
      <c r="H3870" s="18" t="s">
        <v>1078</v>
      </c>
      <c r="I3870" s="315">
        <v>1.2613339636071532</v>
      </c>
      <c r="J3870" s="315">
        <v>1.1333190478069737E-4</v>
      </c>
      <c r="K3870" s="316" t="str">
        <f t="shared" si="58"/>
        <v>Industrial Equipment</v>
      </c>
      <c r="L3870" s="316" t="str">
        <f t="shared" si="59"/>
        <v>LPG</v>
      </c>
      <c r="M3870" s="194"/>
      <c r="N3870" s="317"/>
      <c r="O3870" s="317"/>
      <c r="P3870" s="317"/>
      <c r="Q3870" s="317"/>
      <c r="R3870" s="317"/>
      <c r="S3870" s="317"/>
      <c r="T3870" s="317"/>
      <c r="U3870" s="317"/>
      <c r="V3870" s="317"/>
      <c r="W3870" s="317"/>
      <c r="X3870" s="317"/>
      <c r="Y3870" s="317"/>
      <c r="Z3870" s="317"/>
    </row>
    <row r="3871" spans="1:26" x14ac:dyDescent="0.25">
      <c r="A3871" s="314"/>
      <c r="B3871" s="18">
        <v>2023</v>
      </c>
      <c r="C3871" s="18" t="s">
        <v>810</v>
      </c>
      <c r="D3871" s="18" t="s">
        <v>1292</v>
      </c>
      <c r="E3871" s="18" t="s">
        <v>703</v>
      </c>
      <c r="F3871" s="18" t="s">
        <v>795</v>
      </c>
      <c r="G3871" s="18" t="s">
        <v>675</v>
      </c>
      <c r="H3871" s="18" t="s">
        <v>1293</v>
      </c>
      <c r="I3871" s="315">
        <v>1.2593267472868865</v>
      </c>
      <c r="J3871" s="315">
        <v>8.5581494360665721E-4</v>
      </c>
      <c r="K3871" s="316" t="str">
        <f t="shared" si="58"/>
        <v>Industrial Equipment</v>
      </c>
      <c r="L3871" s="316" t="str">
        <f t="shared" si="59"/>
        <v>Gasoline</v>
      </c>
      <c r="M3871" s="194"/>
      <c r="N3871" s="317"/>
      <c r="O3871" s="317"/>
      <c r="P3871" s="317"/>
      <c r="Q3871" s="317"/>
      <c r="R3871" s="317"/>
      <c r="S3871" s="317"/>
      <c r="T3871" s="317"/>
      <c r="U3871" s="317"/>
      <c r="V3871" s="317"/>
      <c r="W3871" s="317"/>
      <c r="X3871" s="317"/>
      <c r="Y3871" s="317"/>
      <c r="Z3871" s="317"/>
    </row>
    <row r="3872" spans="1:26" x14ac:dyDescent="0.25">
      <c r="A3872" s="314"/>
      <c r="B3872" s="18">
        <v>2023</v>
      </c>
      <c r="C3872" s="18" t="s">
        <v>786</v>
      </c>
      <c r="D3872" s="18" t="s">
        <v>1219</v>
      </c>
      <c r="E3872" s="18" t="s">
        <v>703</v>
      </c>
      <c r="F3872" s="18" t="s">
        <v>704</v>
      </c>
      <c r="G3872" s="18" t="s">
        <v>674</v>
      </c>
      <c r="H3872" s="18" t="s">
        <v>1220</v>
      </c>
      <c r="I3872" s="315">
        <v>1.2589663950990186</v>
      </c>
      <c r="J3872" s="315">
        <v>8.4813989088143029E-4</v>
      </c>
      <c r="K3872" s="316" t="str">
        <f t="shared" si="58"/>
        <v>Construction and Mining Equipment</v>
      </c>
      <c r="L3872" s="316" t="str">
        <f t="shared" si="59"/>
        <v>Gasoline</v>
      </c>
      <c r="M3872" s="194"/>
      <c r="N3872" s="317"/>
      <c r="O3872" s="317"/>
      <c r="P3872" s="317"/>
      <c r="Q3872" s="317"/>
      <c r="R3872" s="317"/>
      <c r="S3872" s="317"/>
      <c r="T3872" s="317"/>
      <c r="U3872" s="317"/>
      <c r="V3872" s="317"/>
      <c r="W3872" s="317"/>
      <c r="X3872" s="317"/>
      <c r="Y3872" s="317"/>
      <c r="Z3872" s="317"/>
    </row>
    <row r="3873" spans="1:26" x14ac:dyDescent="0.25">
      <c r="A3873" s="314"/>
      <c r="B3873" s="18">
        <v>2023</v>
      </c>
      <c r="C3873" s="18" t="s">
        <v>731</v>
      </c>
      <c r="D3873" s="18" t="s">
        <v>1349</v>
      </c>
      <c r="E3873" s="18" t="s">
        <v>703</v>
      </c>
      <c r="F3873" s="18" t="s">
        <v>704</v>
      </c>
      <c r="G3873" s="18" t="s">
        <v>673</v>
      </c>
      <c r="H3873" s="18" t="s">
        <v>978</v>
      </c>
      <c r="I3873" s="315">
        <v>1.2582562862736246</v>
      </c>
      <c r="J3873" s="315">
        <v>8.7402441159483281E-4</v>
      </c>
      <c r="K3873" s="316" t="str">
        <f t="shared" ref="K3873:K4127" si="60">IF(F3873="Pleasure Craft","Pleasure Craft",IF(F3873="Railroad Equipment","Railroad Equipment",G3873))</f>
        <v>Lawn and Garden Equipment</v>
      </c>
      <c r="L3873" s="316" t="str">
        <f t="shared" ref="L3873:L4127" si="61">IF(E3873="Non-Road Gasoline","Gasoline",IF(E3873="Non-Road Diesel","Diesel",IF(RIGHT(F3873,3)="LPG","LPG",IF(RIGHT(F3873,3)="CNG","CNG",G3873))))</f>
        <v>Gasoline</v>
      </c>
      <c r="M3873" s="194"/>
      <c r="N3873" s="317"/>
      <c r="O3873" s="317"/>
      <c r="P3873" s="317"/>
      <c r="Q3873" s="317"/>
      <c r="R3873" s="317"/>
      <c r="S3873" s="317"/>
      <c r="T3873" s="317"/>
      <c r="U3873" s="317"/>
      <c r="V3873" s="317"/>
      <c r="W3873" s="317"/>
      <c r="X3873" s="317"/>
      <c r="Y3873" s="317"/>
      <c r="Z3873" s="317"/>
    </row>
    <row r="3874" spans="1:26" x14ac:dyDescent="0.25">
      <c r="A3874" s="314"/>
      <c r="B3874" s="18">
        <v>2023</v>
      </c>
      <c r="C3874" s="18" t="s">
        <v>781</v>
      </c>
      <c r="D3874" s="18" t="s">
        <v>1226</v>
      </c>
      <c r="E3874" s="18" t="s">
        <v>703</v>
      </c>
      <c r="F3874" s="18" t="s">
        <v>805</v>
      </c>
      <c r="G3874" s="18" t="s">
        <v>677</v>
      </c>
      <c r="H3874" s="18" t="s">
        <v>747</v>
      </c>
      <c r="I3874" s="315">
        <v>1.257848336425984</v>
      </c>
      <c r="J3874" s="315">
        <v>2.5434551239660822E-3</v>
      </c>
      <c r="K3874" s="316" t="str">
        <f t="shared" si="60"/>
        <v>Commercial Equipment</v>
      </c>
      <c r="L3874" s="316" t="str">
        <f t="shared" si="61"/>
        <v>Gasoline</v>
      </c>
      <c r="M3874" s="194"/>
      <c r="N3874" s="317"/>
      <c r="O3874" s="317"/>
      <c r="P3874" s="317"/>
      <c r="Q3874" s="317"/>
      <c r="R3874" s="317"/>
      <c r="S3874" s="317"/>
      <c r="T3874" s="317"/>
      <c r="U3874" s="317"/>
      <c r="V3874" s="317"/>
      <c r="W3874" s="317"/>
      <c r="X3874" s="317"/>
      <c r="Y3874" s="317"/>
      <c r="Z3874" s="317"/>
    </row>
    <row r="3875" spans="1:26" x14ac:dyDescent="0.25">
      <c r="A3875" s="314"/>
      <c r="B3875" s="18">
        <v>2023</v>
      </c>
      <c r="C3875" s="18" t="s">
        <v>743</v>
      </c>
      <c r="D3875" s="18" t="s">
        <v>1708</v>
      </c>
      <c r="E3875" s="18" t="s">
        <v>703</v>
      </c>
      <c r="F3875" s="18" t="s">
        <v>704</v>
      </c>
      <c r="G3875" s="18" t="s">
        <v>678</v>
      </c>
      <c r="H3875" s="18" t="s">
        <v>1709</v>
      </c>
      <c r="I3875" s="315">
        <v>1.2535783027599596</v>
      </c>
      <c r="J3875" s="315">
        <v>8.4980522644784921E-4</v>
      </c>
      <c r="K3875" s="316" t="str">
        <f t="shared" si="60"/>
        <v>Agricultural Equipment</v>
      </c>
      <c r="L3875" s="316" t="str">
        <f t="shared" si="61"/>
        <v>Gasoline</v>
      </c>
      <c r="M3875" s="194"/>
      <c r="N3875" s="317"/>
      <c r="O3875" s="317"/>
      <c r="P3875" s="317"/>
      <c r="Q3875" s="317"/>
      <c r="R3875" s="317"/>
      <c r="S3875" s="317"/>
      <c r="T3875" s="317"/>
      <c r="U3875" s="317"/>
      <c r="V3875" s="317"/>
      <c r="W3875" s="317"/>
      <c r="X3875" s="317"/>
      <c r="Y3875" s="317"/>
      <c r="Z3875" s="317"/>
    </row>
    <row r="3876" spans="1:26" x14ac:dyDescent="0.25">
      <c r="A3876" s="314"/>
      <c r="B3876" s="18">
        <v>2023</v>
      </c>
      <c r="C3876" s="18" t="s">
        <v>711</v>
      </c>
      <c r="D3876" s="18" t="s">
        <v>1679</v>
      </c>
      <c r="E3876" s="18" t="s">
        <v>56</v>
      </c>
      <c r="F3876" s="18" t="s">
        <v>672</v>
      </c>
      <c r="G3876" s="18" t="s">
        <v>674</v>
      </c>
      <c r="H3876" s="18" t="s">
        <v>959</v>
      </c>
      <c r="I3876" s="315">
        <v>1.2501390635151426</v>
      </c>
      <c r="J3876" s="315">
        <v>2.1235401401771328E-4</v>
      </c>
      <c r="K3876" s="316" t="str">
        <f t="shared" si="60"/>
        <v>Construction and Mining Equipment</v>
      </c>
      <c r="L3876" s="316" t="str">
        <f t="shared" si="61"/>
        <v>LPG</v>
      </c>
      <c r="M3876" s="194"/>
      <c r="N3876" s="317"/>
      <c r="O3876" s="317"/>
      <c r="P3876" s="317"/>
      <c r="Q3876" s="317"/>
      <c r="R3876" s="317"/>
      <c r="S3876" s="317"/>
      <c r="T3876" s="317"/>
      <c r="U3876" s="317"/>
      <c r="V3876" s="317"/>
      <c r="W3876" s="317"/>
      <c r="X3876" s="317"/>
      <c r="Y3876" s="317"/>
      <c r="Z3876" s="317"/>
    </row>
    <row r="3877" spans="1:26" x14ac:dyDescent="0.25">
      <c r="A3877" s="314"/>
      <c r="B3877" s="18">
        <v>2023</v>
      </c>
      <c r="C3877" s="18" t="s">
        <v>731</v>
      </c>
      <c r="D3877" s="18" t="s">
        <v>1223</v>
      </c>
      <c r="E3877" s="18" t="s">
        <v>713</v>
      </c>
      <c r="F3877" s="18" t="s">
        <v>714</v>
      </c>
      <c r="G3877" s="18" t="s">
        <v>674</v>
      </c>
      <c r="H3877" s="18" t="s">
        <v>1036</v>
      </c>
      <c r="I3877" s="315">
        <v>1.2472288449912274</v>
      </c>
      <c r="J3877" s="315">
        <v>1.2197789948442774E-4</v>
      </c>
      <c r="K3877" s="316" t="str">
        <f t="shared" si="60"/>
        <v>Construction and Mining Equipment</v>
      </c>
      <c r="L3877" s="316" t="str">
        <f t="shared" si="61"/>
        <v>Diesel</v>
      </c>
      <c r="M3877" s="194"/>
      <c r="N3877" s="317"/>
      <c r="O3877" s="317"/>
      <c r="P3877" s="317"/>
      <c r="Q3877" s="317"/>
      <c r="R3877" s="317"/>
      <c r="S3877" s="317"/>
      <c r="T3877" s="317"/>
      <c r="U3877" s="317"/>
      <c r="V3877" s="317"/>
      <c r="W3877" s="317"/>
      <c r="X3877" s="317"/>
      <c r="Y3877" s="317"/>
      <c r="Z3877" s="317"/>
    </row>
    <row r="3878" spans="1:26" x14ac:dyDescent="0.25">
      <c r="A3878" s="314"/>
      <c r="B3878" s="18">
        <v>2023</v>
      </c>
      <c r="C3878" s="18" t="s">
        <v>760</v>
      </c>
      <c r="D3878" s="18" t="s">
        <v>1657</v>
      </c>
      <c r="E3878" s="18" t="s">
        <v>713</v>
      </c>
      <c r="F3878" s="18" t="s">
        <v>714</v>
      </c>
      <c r="G3878" s="18" t="s">
        <v>678</v>
      </c>
      <c r="H3878" s="18" t="s">
        <v>1638</v>
      </c>
      <c r="I3878" s="315">
        <v>1.2432997088016373</v>
      </c>
      <c r="J3878" s="315">
        <v>1.3797856604324655E-5</v>
      </c>
      <c r="K3878" s="316" t="str">
        <f t="shared" si="60"/>
        <v>Agricultural Equipment</v>
      </c>
      <c r="L3878" s="316" t="str">
        <f t="shared" si="61"/>
        <v>Diesel</v>
      </c>
      <c r="M3878" s="194"/>
      <c r="N3878" s="317"/>
      <c r="O3878" s="317"/>
      <c r="P3878" s="317"/>
      <c r="Q3878" s="317"/>
      <c r="R3878" s="317"/>
      <c r="S3878" s="317"/>
      <c r="T3878" s="317"/>
      <c r="U3878" s="317"/>
      <c r="V3878" s="317"/>
      <c r="W3878" s="317"/>
      <c r="X3878" s="317"/>
      <c r="Y3878" s="317"/>
      <c r="Z3878" s="317"/>
    </row>
    <row r="3879" spans="1:26" x14ac:dyDescent="0.25">
      <c r="A3879" s="314"/>
      <c r="B3879" s="18">
        <v>2023</v>
      </c>
      <c r="C3879" s="18" t="s">
        <v>710</v>
      </c>
      <c r="D3879" s="18" t="s">
        <v>1715</v>
      </c>
      <c r="E3879" s="18" t="s">
        <v>703</v>
      </c>
      <c r="F3879" s="18" t="s">
        <v>805</v>
      </c>
      <c r="G3879" s="18" t="s">
        <v>677</v>
      </c>
      <c r="H3879" s="18" t="s">
        <v>1031</v>
      </c>
      <c r="I3879" s="315">
        <v>1.2420044674449988</v>
      </c>
      <c r="J3879" s="315">
        <v>2.775140529032345E-3</v>
      </c>
      <c r="K3879" s="316" t="str">
        <f t="shared" si="60"/>
        <v>Commercial Equipment</v>
      </c>
      <c r="L3879" s="316" t="str">
        <f t="shared" si="61"/>
        <v>Gasoline</v>
      </c>
      <c r="M3879" s="194"/>
      <c r="N3879" s="317"/>
      <c r="O3879" s="317"/>
      <c r="P3879" s="317"/>
      <c r="Q3879" s="317"/>
      <c r="R3879" s="317"/>
      <c r="S3879" s="317"/>
      <c r="T3879" s="317"/>
      <c r="U3879" s="317"/>
      <c r="V3879" s="317"/>
      <c r="W3879" s="317"/>
      <c r="X3879" s="317"/>
      <c r="Y3879" s="317"/>
      <c r="Z3879" s="317"/>
    </row>
    <row r="3880" spans="1:26" x14ac:dyDescent="0.25">
      <c r="A3880" s="314"/>
      <c r="B3880" s="18">
        <v>2023</v>
      </c>
      <c r="C3880" s="18" t="s">
        <v>711</v>
      </c>
      <c r="D3880" s="18" t="s">
        <v>1573</v>
      </c>
      <c r="E3880" s="18" t="s">
        <v>703</v>
      </c>
      <c r="F3880" s="18" t="s">
        <v>704</v>
      </c>
      <c r="G3880" s="18" t="s">
        <v>678</v>
      </c>
      <c r="H3880" s="18" t="s">
        <v>764</v>
      </c>
      <c r="I3880" s="315">
        <v>1.2412165780560429</v>
      </c>
      <c r="J3880" s="315">
        <v>2.4137548705819255E-4</v>
      </c>
      <c r="K3880" s="316" t="str">
        <f t="shared" si="60"/>
        <v>Agricultural Equipment</v>
      </c>
      <c r="L3880" s="316" t="str">
        <f t="shared" si="61"/>
        <v>Gasoline</v>
      </c>
      <c r="M3880" s="194"/>
      <c r="N3880" s="317"/>
      <c r="O3880" s="317"/>
      <c r="P3880" s="317"/>
      <c r="Q3880" s="317"/>
      <c r="R3880" s="317"/>
      <c r="S3880" s="317"/>
      <c r="T3880" s="317"/>
      <c r="U3880" s="317"/>
      <c r="V3880" s="317"/>
      <c r="W3880" s="317"/>
      <c r="X3880" s="317"/>
      <c r="Y3880" s="317"/>
      <c r="Z3880" s="317"/>
    </row>
    <row r="3881" spans="1:26" x14ac:dyDescent="0.25">
      <c r="A3881" s="314"/>
      <c r="B3881" s="18">
        <v>2023</v>
      </c>
      <c r="C3881" s="18" t="s">
        <v>781</v>
      </c>
      <c r="D3881" s="18" t="s">
        <v>1744</v>
      </c>
      <c r="E3881" s="18" t="s">
        <v>703</v>
      </c>
      <c r="F3881" s="18" t="s">
        <v>704</v>
      </c>
      <c r="G3881" s="18" t="s">
        <v>678</v>
      </c>
      <c r="H3881" s="18" t="s">
        <v>1745</v>
      </c>
      <c r="I3881" s="315">
        <v>1.2394498333299571</v>
      </c>
      <c r="J3881" s="315">
        <v>7.8983527047291296E-4</v>
      </c>
      <c r="K3881" s="316" t="str">
        <f t="shared" si="60"/>
        <v>Agricultural Equipment</v>
      </c>
      <c r="L3881" s="316" t="str">
        <f t="shared" si="61"/>
        <v>Gasoline</v>
      </c>
      <c r="M3881" s="194"/>
      <c r="N3881" s="317"/>
      <c r="O3881" s="317"/>
      <c r="P3881" s="317"/>
      <c r="Q3881" s="317"/>
      <c r="R3881" s="317"/>
      <c r="S3881" s="317"/>
      <c r="T3881" s="317"/>
      <c r="U3881" s="317"/>
      <c r="V3881" s="317"/>
      <c r="W3881" s="317"/>
      <c r="X3881" s="317"/>
      <c r="Y3881" s="317"/>
      <c r="Z3881" s="317"/>
    </row>
    <row r="3882" spans="1:26" x14ac:dyDescent="0.25">
      <c r="A3882" s="314"/>
      <c r="B3882" s="18">
        <v>2023</v>
      </c>
      <c r="C3882" s="18" t="s">
        <v>786</v>
      </c>
      <c r="D3882" s="18" t="s">
        <v>1223</v>
      </c>
      <c r="E3882" s="18" t="s">
        <v>713</v>
      </c>
      <c r="F3882" s="18" t="s">
        <v>714</v>
      </c>
      <c r="G3882" s="18" t="s">
        <v>674</v>
      </c>
      <c r="H3882" s="18" t="s">
        <v>1036</v>
      </c>
      <c r="I3882" s="315">
        <v>1.2387345737019908</v>
      </c>
      <c r="J3882" s="315">
        <v>1.2114709455838246E-4</v>
      </c>
      <c r="K3882" s="316" t="str">
        <f t="shared" si="60"/>
        <v>Construction and Mining Equipment</v>
      </c>
      <c r="L3882" s="316" t="str">
        <f t="shared" si="61"/>
        <v>Diesel</v>
      </c>
      <c r="M3882" s="194"/>
      <c r="N3882" s="317"/>
      <c r="O3882" s="317"/>
      <c r="P3882" s="317"/>
      <c r="Q3882" s="317"/>
      <c r="R3882" s="317"/>
      <c r="S3882" s="317"/>
      <c r="T3882" s="317"/>
      <c r="U3882" s="317"/>
      <c r="V3882" s="317"/>
      <c r="W3882" s="317"/>
      <c r="X3882" s="317"/>
      <c r="Y3882" s="317"/>
      <c r="Z3882" s="317"/>
    </row>
    <row r="3883" spans="1:26" x14ac:dyDescent="0.25">
      <c r="A3883" s="314"/>
      <c r="B3883" s="18">
        <v>2023</v>
      </c>
      <c r="C3883" s="18" t="s">
        <v>732</v>
      </c>
      <c r="D3883" s="18" t="s">
        <v>1320</v>
      </c>
      <c r="E3883" s="18" t="s">
        <v>713</v>
      </c>
      <c r="F3883" s="18" t="s">
        <v>676</v>
      </c>
      <c r="G3883" s="18" t="s">
        <v>79</v>
      </c>
      <c r="H3883" s="18" t="s">
        <v>730</v>
      </c>
      <c r="I3883" s="315">
        <v>1.2284452393232195</v>
      </c>
      <c r="J3883" s="315">
        <v>8.0324048022052669E-5</v>
      </c>
      <c r="K3883" s="316" t="str">
        <f t="shared" si="60"/>
        <v>Pleasure Craft</v>
      </c>
      <c r="L3883" s="316" t="str">
        <f t="shared" si="61"/>
        <v>Diesel</v>
      </c>
      <c r="M3883" s="194"/>
      <c r="N3883" s="317"/>
      <c r="O3883" s="317"/>
      <c r="P3883" s="317"/>
      <c r="Q3883" s="317"/>
      <c r="R3883" s="317"/>
      <c r="S3883" s="317"/>
      <c r="T3883" s="317"/>
      <c r="U3883" s="317"/>
      <c r="V3883" s="317"/>
      <c r="W3883" s="317"/>
      <c r="X3883" s="317"/>
      <c r="Y3883" s="317"/>
      <c r="Z3883" s="317"/>
    </row>
    <row r="3884" spans="1:26" x14ac:dyDescent="0.25">
      <c r="A3884" s="314"/>
      <c r="B3884" s="18">
        <v>2023</v>
      </c>
      <c r="C3884" s="18" t="s">
        <v>786</v>
      </c>
      <c r="D3884" s="18" t="s">
        <v>1744</v>
      </c>
      <c r="E3884" s="18" t="s">
        <v>703</v>
      </c>
      <c r="F3884" s="18" t="s">
        <v>704</v>
      </c>
      <c r="G3884" s="18" t="s">
        <v>678</v>
      </c>
      <c r="H3884" s="18" t="s">
        <v>1745</v>
      </c>
      <c r="I3884" s="315">
        <v>1.2266160979336898</v>
      </c>
      <c r="J3884" s="315">
        <v>7.8259116907510636E-4</v>
      </c>
      <c r="K3884" s="316" t="str">
        <f t="shared" si="60"/>
        <v>Agricultural Equipment</v>
      </c>
      <c r="L3884" s="316" t="str">
        <f t="shared" si="61"/>
        <v>Gasoline</v>
      </c>
      <c r="M3884" s="194"/>
      <c r="N3884" s="317"/>
      <c r="O3884" s="317"/>
      <c r="P3884" s="317"/>
      <c r="Q3884" s="317"/>
      <c r="R3884" s="317"/>
      <c r="S3884" s="317"/>
      <c r="T3884" s="317"/>
      <c r="U3884" s="317"/>
      <c r="V3884" s="317"/>
      <c r="W3884" s="317"/>
      <c r="X3884" s="317"/>
      <c r="Y3884" s="317"/>
      <c r="Z3884" s="317"/>
    </row>
    <row r="3885" spans="1:26" x14ac:dyDescent="0.25">
      <c r="A3885" s="314"/>
      <c r="B3885" s="18">
        <v>2023</v>
      </c>
      <c r="C3885" s="18" t="s">
        <v>754</v>
      </c>
      <c r="D3885" s="18" t="s">
        <v>1483</v>
      </c>
      <c r="E3885" s="18" t="s">
        <v>703</v>
      </c>
      <c r="F3885" s="18" t="s">
        <v>805</v>
      </c>
      <c r="G3885" s="18" t="s">
        <v>674</v>
      </c>
      <c r="H3885" s="18" t="s">
        <v>994</v>
      </c>
      <c r="I3885" s="315">
        <v>1.2158209534875684</v>
      </c>
      <c r="J3885" s="315">
        <v>2.5491845546678337E-3</v>
      </c>
      <c r="K3885" s="316" t="str">
        <f t="shared" si="60"/>
        <v>Construction and Mining Equipment</v>
      </c>
      <c r="L3885" s="316" t="str">
        <f t="shared" si="61"/>
        <v>Gasoline</v>
      </c>
      <c r="M3885" s="194"/>
      <c r="N3885" s="317"/>
      <c r="O3885" s="317"/>
      <c r="P3885" s="317"/>
      <c r="Q3885" s="317"/>
      <c r="R3885" s="317"/>
      <c r="S3885" s="317"/>
      <c r="T3885" s="317"/>
      <c r="U3885" s="317"/>
      <c r="V3885" s="317"/>
      <c r="W3885" s="317"/>
      <c r="X3885" s="317"/>
      <c r="Y3885" s="317"/>
      <c r="Z3885" s="317"/>
    </row>
    <row r="3886" spans="1:26" x14ac:dyDescent="0.25">
      <c r="A3886" s="314"/>
      <c r="B3886" s="18">
        <v>2023</v>
      </c>
      <c r="C3886" s="18" t="s">
        <v>701</v>
      </c>
      <c r="D3886" s="18" t="s">
        <v>1657</v>
      </c>
      <c r="E3886" s="18" t="s">
        <v>713</v>
      </c>
      <c r="F3886" s="18" t="s">
        <v>714</v>
      </c>
      <c r="G3886" s="18" t="s">
        <v>678</v>
      </c>
      <c r="H3886" s="18" t="s">
        <v>1638</v>
      </c>
      <c r="I3886" s="315">
        <v>1.2078522533186065</v>
      </c>
      <c r="J3886" s="315">
        <v>1.3404473202482402E-5</v>
      </c>
      <c r="K3886" s="316" t="str">
        <f t="shared" si="60"/>
        <v>Agricultural Equipment</v>
      </c>
      <c r="L3886" s="316" t="str">
        <f t="shared" si="61"/>
        <v>Diesel</v>
      </c>
      <c r="M3886" s="194"/>
      <c r="N3886" s="317"/>
      <c r="O3886" s="317"/>
      <c r="P3886" s="317"/>
      <c r="Q3886" s="317"/>
      <c r="R3886" s="317"/>
      <c r="S3886" s="317"/>
      <c r="T3886" s="317"/>
      <c r="U3886" s="317"/>
      <c r="V3886" s="317"/>
      <c r="W3886" s="317"/>
      <c r="X3886" s="317"/>
      <c r="Y3886" s="317"/>
      <c r="Z3886" s="317"/>
    </row>
    <row r="3887" spans="1:26" x14ac:dyDescent="0.25">
      <c r="A3887" s="314"/>
      <c r="B3887" s="18">
        <v>2023</v>
      </c>
      <c r="C3887" s="18" t="s">
        <v>727</v>
      </c>
      <c r="D3887" s="18" t="s">
        <v>1744</v>
      </c>
      <c r="E3887" s="18" t="s">
        <v>703</v>
      </c>
      <c r="F3887" s="18" t="s">
        <v>704</v>
      </c>
      <c r="G3887" s="18" t="s">
        <v>678</v>
      </c>
      <c r="H3887" s="18" t="s">
        <v>1745</v>
      </c>
      <c r="I3887" s="315">
        <v>1.2033932961155696</v>
      </c>
      <c r="J3887" s="315">
        <v>7.6585954062428625E-4</v>
      </c>
      <c r="K3887" s="316" t="str">
        <f t="shared" si="60"/>
        <v>Agricultural Equipment</v>
      </c>
      <c r="L3887" s="316" t="str">
        <f t="shared" si="61"/>
        <v>Gasoline</v>
      </c>
      <c r="M3887" s="194"/>
      <c r="N3887" s="317"/>
      <c r="O3887" s="317"/>
      <c r="P3887" s="317"/>
      <c r="Q3887" s="317"/>
      <c r="R3887" s="317"/>
      <c r="S3887" s="317"/>
      <c r="T3887" s="317"/>
      <c r="U3887" s="317"/>
      <c r="V3887" s="317"/>
      <c r="W3887" s="317"/>
      <c r="X3887" s="317"/>
      <c r="Y3887" s="317"/>
      <c r="Z3887" s="317"/>
    </row>
    <row r="3888" spans="1:26" x14ac:dyDescent="0.25">
      <c r="A3888" s="314"/>
      <c r="B3888" s="18">
        <v>2023</v>
      </c>
      <c r="C3888" s="18" t="s">
        <v>792</v>
      </c>
      <c r="D3888" s="18" t="s">
        <v>1247</v>
      </c>
      <c r="E3888" s="18" t="s">
        <v>56</v>
      </c>
      <c r="F3888" s="18" t="s">
        <v>672</v>
      </c>
      <c r="G3888" s="18" t="s">
        <v>674</v>
      </c>
      <c r="H3888" s="18" t="s">
        <v>967</v>
      </c>
      <c r="I3888" s="315">
        <v>1.1981326714395466</v>
      </c>
      <c r="J3888" s="315">
        <v>5.6605849109378849E-5</v>
      </c>
      <c r="K3888" s="316" t="str">
        <f t="shared" si="60"/>
        <v>Construction and Mining Equipment</v>
      </c>
      <c r="L3888" s="316" t="str">
        <f t="shared" si="61"/>
        <v>LPG</v>
      </c>
      <c r="M3888" s="194"/>
      <c r="N3888" s="317"/>
      <c r="O3888" s="317"/>
      <c r="P3888" s="317"/>
      <c r="Q3888" s="317"/>
      <c r="R3888" s="317"/>
      <c r="S3888" s="317"/>
      <c r="T3888" s="317"/>
      <c r="U3888" s="317"/>
      <c r="V3888" s="317"/>
      <c r="W3888" s="317"/>
      <c r="X3888" s="317"/>
      <c r="Y3888" s="317"/>
      <c r="Z3888" s="317"/>
    </row>
    <row r="3889" spans="1:26" x14ac:dyDescent="0.25">
      <c r="A3889" s="314"/>
      <c r="B3889" s="18">
        <v>2023</v>
      </c>
      <c r="C3889" s="18" t="s">
        <v>709</v>
      </c>
      <c r="D3889" s="18" t="s">
        <v>1539</v>
      </c>
      <c r="E3889" s="18" t="s">
        <v>703</v>
      </c>
      <c r="F3889" s="18" t="s">
        <v>704</v>
      </c>
      <c r="G3889" s="18" t="s">
        <v>678</v>
      </c>
      <c r="H3889" s="18" t="s">
        <v>1230</v>
      </c>
      <c r="I3889" s="315">
        <v>1.1979974612573145</v>
      </c>
      <c r="J3889" s="315">
        <v>7.1422425438194418E-4</v>
      </c>
      <c r="K3889" s="316" t="str">
        <f t="shared" si="60"/>
        <v>Agricultural Equipment</v>
      </c>
      <c r="L3889" s="316" t="str">
        <f t="shared" si="61"/>
        <v>Gasoline</v>
      </c>
      <c r="M3889" s="194"/>
      <c r="N3889" s="317"/>
      <c r="O3889" s="317"/>
      <c r="P3889" s="317"/>
      <c r="Q3889" s="317"/>
      <c r="R3889" s="317"/>
      <c r="S3889" s="317"/>
      <c r="T3889" s="317"/>
      <c r="U3889" s="317"/>
      <c r="V3889" s="317"/>
      <c r="W3889" s="317"/>
      <c r="X3889" s="317"/>
      <c r="Y3889" s="317"/>
      <c r="Z3889" s="317"/>
    </row>
    <row r="3890" spans="1:26" x14ac:dyDescent="0.25">
      <c r="A3890" s="314"/>
      <c r="B3890" s="18">
        <v>2023</v>
      </c>
      <c r="C3890" s="18" t="s">
        <v>792</v>
      </c>
      <c r="D3890" s="18" t="s">
        <v>1248</v>
      </c>
      <c r="E3890" s="18" t="s">
        <v>703</v>
      </c>
      <c r="F3890" s="18" t="s">
        <v>704</v>
      </c>
      <c r="G3890" s="18" t="s">
        <v>674</v>
      </c>
      <c r="H3890" s="18" t="s">
        <v>959</v>
      </c>
      <c r="I3890" s="315">
        <v>1.1962381591846096</v>
      </c>
      <c r="J3890" s="315">
        <v>8.0534854089693813E-4</v>
      </c>
      <c r="K3890" s="316" t="str">
        <f t="shared" si="60"/>
        <v>Construction and Mining Equipment</v>
      </c>
      <c r="L3890" s="316" t="str">
        <f t="shared" si="61"/>
        <v>Gasoline</v>
      </c>
      <c r="M3890" s="194"/>
      <c r="N3890" s="317"/>
      <c r="O3890" s="317"/>
      <c r="P3890" s="317"/>
      <c r="Q3890" s="317"/>
      <c r="R3890" s="317"/>
      <c r="S3890" s="317"/>
      <c r="T3890" s="317"/>
      <c r="U3890" s="317"/>
      <c r="V3890" s="317"/>
      <c r="W3890" s="317"/>
      <c r="X3890" s="317"/>
      <c r="Y3890" s="317"/>
      <c r="Z3890" s="317"/>
    </row>
    <row r="3891" spans="1:26" x14ac:dyDescent="0.25">
      <c r="A3891" s="314"/>
      <c r="B3891" s="18">
        <v>2023</v>
      </c>
      <c r="C3891" s="18" t="s">
        <v>773</v>
      </c>
      <c r="D3891" s="18" t="s">
        <v>1435</v>
      </c>
      <c r="E3891" s="18" t="s">
        <v>56</v>
      </c>
      <c r="F3891" s="18" t="s">
        <v>672</v>
      </c>
      <c r="G3891" s="18" t="s">
        <v>674</v>
      </c>
      <c r="H3891" s="18" t="s">
        <v>863</v>
      </c>
      <c r="I3891" s="315">
        <v>1.1903286779350268</v>
      </c>
      <c r="J3891" s="315">
        <v>7.9270841195458333E-5</v>
      </c>
      <c r="K3891" s="316" t="str">
        <f t="shared" si="60"/>
        <v>Construction and Mining Equipment</v>
      </c>
      <c r="L3891" s="316" t="str">
        <f t="shared" si="61"/>
        <v>LPG</v>
      </c>
      <c r="M3891" s="194"/>
      <c r="N3891" s="317"/>
      <c r="O3891" s="317"/>
      <c r="P3891" s="317"/>
      <c r="Q3891" s="317"/>
      <c r="R3891" s="317"/>
      <c r="S3891" s="317"/>
      <c r="T3891" s="317"/>
      <c r="U3891" s="317"/>
      <c r="V3891" s="317"/>
      <c r="W3891" s="317"/>
      <c r="X3891" s="317"/>
      <c r="Y3891" s="317"/>
      <c r="Z3891" s="317"/>
    </row>
    <row r="3892" spans="1:26" x14ac:dyDescent="0.25">
      <c r="A3892" s="314"/>
      <c r="B3892" s="18">
        <v>2023</v>
      </c>
      <c r="C3892" s="18" t="s">
        <v>731</v>
      </c>
      <c r="D3892" s="18" t="s">
        <v>1457</v>
      </c>
      <c r="E3892" s="18" t="s">
        <v>56</v>
      </c>
      <c r="F3892" s="18" t="s">
        <v>601</v>
      </c>
      <c r="G3892" s="18" t="s">
        <v>675</v>
      </c>
      <c r="H3892" s="18" t="s">
        <v>772</v>
      </c>
      <c r="I3892" s="315">
        <v>1.1845026746994909</v>
      </c>
      <c r="J3892" s="315">
        <v>4.8315965242900511E-3</v>
      </c>
      <c r="K3892" s="316" t="str">
        <f t="shared" si="60"/>
        <v>Industrial Equipment</v>
      </c>
      <c r="L3892" s="316" t="str">
        <f t="shared" si="61"/>
        <v>CNG</v>
      </c>
      <c r="M3892" s="194"/>
      <c r="N3892" s="317"/>
      <c r="O3892" s="317"/>
      <c r="P3892" s="317"/>
      <c r="Q3892" s="317"/>
      <c r="R3892" s="317"/>
      <c r="S3892" s="317"/>
      <c r="T3892" s="317"/>
      <c r="U3892" s="317"/>
      <c r="V3892" s="317"/>
      <c r="W3892" s="317"/>
      <c r="X3892" s="317"/>
      <c r="Y3892" s="317"/>
      <c r="Z3892" s="317"/>
    </row>
    <row r="3893" spans="1:26" x14ac:dyDescent="0.25">
      <c r="A3893" s="314"/>
      <c r="B3893" s="18">
        <v>2023</v>
      </c>
      <c r="C3893" s="18" t="s">
        <v>701</v>
      </c>
      <c r="D3893" s="18" t="s">
        <v>1792</v>
      </c>
      <c r="E3893" s="18" t="s">
        <v>713</v>
      </c>
      <c r="F3893" s="18" t="s">
        <v>714</v>
      </c>
      <c r="G3893" s="18" t="s">
        <v>673</v>
      </c>
      <c r="H3893" s="18" t="s">
        <v>749</v>
      </c>
      <c r="I3893" s="315">
        <v>1.1761421250281705</v>
      </c>
      <c r="J3893" s="315">
        <v>6.0733614986424717E-5</v>
      </c>
      <c r="K3893" s="316" t="str">
        <f t="shared" si="60"/>
        <v>Lawn and Garden Equipment</v>
      </c>
      <c r="L3893" s="316" t="str">
        <f t="shared" si="61"/>
        <v>Diesel</v>
      </c>
      <c r="M3893" s="194"/>
      <c r="N3893" s="317"/>
      <c r="O3893" s="317"/>
      <c r="P3893" s="317"/>
      <c r="Q3893" s="317"/>
      <c r="R3893" s="317"/>
      <c r="S3893" s="317"/>
      <c r="T3893" s="317"/>
      <c r="U3893" s="317"/>
      <c r="V3893" s="317"/>
      <c r="W3893" s="317"/>
      <c r="X3893" s="317"/>
      <c r="Y3893" s="317"/>
      <c r="Z3893" s="317"/>
    </row>
    <row r="3894" spans="1:26" x14ac:dyDescent="0.25">
      <c r="A3894" s="314"/>
      <c r="B3894" s="18">
        <v>2023</v>
      </c>
      <c r="C3894" s="18" t="s">
        <v>743</v>
      </c>
      <c r="D3894" s="18" t="s">
        <v>1564</v>
      </c>
      <c r="E3894" s="18" t="s">
        <v>703</v>
      </c>
      <c r="F3894" s="18" t="s">
        <v>704</v>
      </c>
      <c r="G3894" s="18" t="s">
        <v>674</v>
      </c>
      <c r="H3894" s="18" t="s">
        <v>981</v>
      </c>
      <c r="I3894" s="315">
        <v>1.1760120471465814</v>
      </c>
      <c r="J3894" s="315">
        <v>8.734767105964919E-4</v>
      </c>
      <c r="K3894" s="316" t="str">
        <f t="shared" si="60"/>
        <v>Construction and Mining Equipment</v>
      </c>
      <c r="L3894" s="316" t="str">
        <f t="shared" si="61"/>
        <v>Gasoline</v>
      </c>
      <c r="M3894" s="194"/>
      <c r="N3894" s="317"/>
      <c r="O3894" s="317"/>
      <c r="P3894" s="317"/>
      <c r="Q3894" s="317"/>
      <c r="R3894" s="317"/>
      <c r="S3894" s="317"/>
      <c r="T3894" s="317"/>
      <c r="U3894" s="317"/>
      <c r="V3894" s="317"/>
      <c r="W3894" s="317"/>
      <c r="X3894" s="317"/>
      <c r="Y3894" s="317"/>
      <c r="Z3894" s="317"/>
    </row>
    <row r="3895" spans="1:26" x14ac:dyDescent="0.25">
      <c r="A3895" s="314"/>
      <c r="B3895" s="18">
        <v>2023</v>
      </c>
      <c r="C3895" s="18" t="s">
        <v>731</v>
      </c>
      <c r="D3895" s="18" t="s">
        <v>1227</v>
      </c>
      <c r="E3895" s="18" t="s">
        <v>56</v>
      </c>
      <c r="F3895" s="18" t="s">
        <v>672</v>
      </c>
      <c r="G3895" s="18" t="s">
        <v>674</v>
      </c>
      <c r="H3895" s="18" t="s">
        <v>850</v>
      </c>
      <c r="I3895" s="315">
        <v>1.1718001775249025</v>
      </c>
      <c r="J3895" s="315">
        <v>7.52483913176889E-5</v>
      </c>
      <c r="K3895" s="316" t="str">
        <f t="shared" si="60"/>
        <v>Construction and Mining Equipment</v>
      </c>
      <c r="L3895" s="316" t="str">
        <f t="shared" si="61"/>
        <v>LPG</v>
      </c>
      <c r="M3895" s="194"/>
      <c r="N3895" s="317"/>
      <c r="O3895" s="317"/>
      <c r="P3895" s="317"/>
      <c r="Q3895" s="317"/>
      <c r="R3895" s="317"/>
      <c r="S3895" s="317"/>
      <c r="T3895" s="317"/>
      <c r="U3895" s="317"/>
      <c r="V3895" s="317"/>
      <c r="W3895" s="317"/>
      <c r="X3895" s="317"/>
      <c r="Y3895" s="317"/>
      <c r="Z3895" s="317"/>
    </row>
    <row r="3896" spans="1:26" x14ac:dyDescent="0.25">
      <c r="A3896" s="314"/>
      <c r="B3896" s="18">
        <v>2023</v>
      </c>
      <c r="C3896" s="18" t="s">
        <v>711</v>
      </c>
      <c r="D3896" s="18" t="s">
        <v>1685</v>
      </c>
      <c r="E3896" s="18" t="s">
        <v>56</v>
      </c>
      <c r="F3896" s="18" t="s">
        <v>672</v>
      </c>
      <c r="G3896" s="18" t="s">
        <v>674</v>
      </c>
      <c r="H3896" s="18" t="s">
        <v>1072</v>
      </c>
      <c r="I3896" s="315">
        <v>1.170466732308062</v>
      </c>
      <c r="J3896" s="315">
        <v>8.1217172202222539E-5</v>
      </c>
      <c r="K3896" s="316" t="str">
        <f t="shared" si="60"/>
        <v>Construction and Mining Equipment</v>
      </c>
      <c r="L3896" s="316" t="str">
        <f t="shared" si="61"/>
        <v>LPG</v>
      </c>
      <c r="M3896" s="194"/>
      <c r="N3896" s="317"/>
      <c r="O3896" s="317"/>
      <c r="P3896" s="317"/>
      <c r="Q3896" s="317"/>
      <c r="R3896" s="317"/>
      <c r="S3896" s="317"/>
      <c r="T3896" s="317"/>
      <c r="U3896" s="317"/>
      <c r="V3896" s="317"/>
      <c r="W3896" s="317"/>
      <c r="X3896" s="317"/>
      <c r="Y3896" s="317"/>
      <c r="Z3896" s="317"/>
    </row>
    <row r="3897" spans="1:26" x14ac:dyDescent="0.25">
      <c r="A3897" s="314"/>
      <c r="B3897" s="18">
        <v>2023</v>
      </c>
      <c r="C3897" s="18" t="s">
        <v>701</v>
      </c>
      <c r="D3897" s="18" t="s">
        <v>1730</v>
      </c>
      <c r="E3897" s="18" t="s">
        <v>703</v>
      </c>
      <c r="F3897" s="18" t="s">
        <v>805</v>
      </c>
      <c r="G3897" s="18" t="s">
        <v>674</v>
      </c>
      <c r="H3897" s="18" t="s">
        <v>959</v>
      </c>
      <c r="I3897" s="315">
        <v>1.1691294934556273</v>
      </c>
      <c r="J3897" s="315">
        <v>2.6123107938641481E-3</v>
      </c>
      <c r="K3897" s="316" t="str">
        <f t="shared" si="60"/>
        <v>Construction and Mining Equipment</v>
      </c>
      <c r="L3897" s="316" t="str">
        <f t="shared" si="61"/>
        <v>Gasoline</v>
      </c>
      <c r="M3897" s="194"/>
      <c r="N3897" s="317"/>
      <c r="O3897" s="317"/>
      <c r="P3897" s="317"/>
      <c r="Q3897" s="317"/>
      <c r="R3897" s="317"/>
      <c r="S3897" s="317"/>
      <c r="T3897" s="317"/>
      <c r="U3897" s="317"/>
      <c r="V3897" s="317"/>
      <c r="W3897" s="317"/>
      <c r="X3897" s="317"/>
      <c r="Y3897" s="317"/>
      <c r="Z3897" s="317"/>
    </row>
    <row r="3898" spans="1:26" x14ac:dyDescent="0.25">
      <c r="A3898" s="314"/>
      <c r="B3898" s="18">
        <v>2023</v>
      </c>
      <c r="C3898" s="18" t="s">
        <v>743</v>
      </c>
      <c r="D3898" s="18" t="s">
        <v>1588</v>
      </c>
      <c r="E3898" s="18" t="s">
        <v>56</v>
      </c>
      <c r="F3898" s="18" t="s">
        <v>1575</v>
      </c>
      <c r="G3898" s="18" t="s">
        <v>675</v>
      </c>
      <c r="H3898" s="18" t="s">
        <v>1589</v>
      </c>
      <c r="I3898" s="315">
        <v>1.1687693452599404</v>
      </c>
      <c r="J3898" s="315">
        <v>4.9186202627953101E-3</v>
      </c>
      <c r="K3898" s="316" t="str">
        <f t="shared" si="60"/>
        <v>Industrial Equipment</v>
      </c>
      <c r="L3898" s="316" t="str">
        <f t="shared" si="61"/>
        <v>CNG</v>
      </c>
      <c r="M3898" s="194"/>
      <c r="N3898" s="317"/>
      <c r="O3898" s="317"/>
      <c r="P3898" s="317"/>
      <c r="Q3898" s="317"/>
      <c r="R3898" s="317"/>
      <c r="S3898" s="317"/>
      <c r="T3898" s="317"/>
      <c r="U3898" s="317"/>
      <c r="V3898" s="317"/>
      <c r="W3898" s="317"/>
      <c r="X3898" s="317"/>
      <c r="Y3898" s="317"/>
      <c r="Z3898" s="317"/>
    </row>
    <row r="3899" spans="1:26" x14ac:dyDescent="0.25">
      <c r="A3899" s="314"/>
      <c r="B3899" s="18">
        <v>2023</v>
      </c>
      <c r="C3899" s="18" t="s">
        <v>722</v>
      </c>
      <c r="D3899" s="18" t="s">
        <v>1715</v>
      </c>
      <c r="E3899" s="18" t="s">
        <v>703</v>
      </c>
      <c r="F3899" s="18" t="s">
        <v>805</v>
      </c>
      <c r="G3899" s="18" t="s">
        <v>677</v>
      </c>
      <c r="H3899" s="18" t="s">
        <v>1031</v>
      </c>
      <c r="I3899" s="315">
        <v>1.1677970581077308</v>
      </c>
      <c r="J3899" s="315">
        <v>2.6093323015031881E-3</v>
      </c>
      <c r="K3899" s="316" t="str">
        <f t="shared" si="60"/>
        <v>Commercial Equipment</v>
      </c>
      <c r="L3899" s="316" t="str">
        <f t="shared" si="61"/>
        <v>Gasoline</v>
      </c>
      <c r="M3899" s="194"/>
      <c r="N3899" s="317"/>
      <c r="O3899" s="317"/>
      <c r="P3899" s="317"/>
      <c r="Q3899" s="317"/>
      <c r="R3899" s="317"/>
      <c r="S3899" s="317"/>
      <c r="T3899" s="317"/>
      <c r="U3899" s="317"/>
      <c r="V3899" s="317"/>
      <c r="W3899" s="317"/>
      <c r="X3899" s="317"/>
      <c r="Y3899" s="317"/>
      <c r="Z3899" s="317"/>
    </row>
    <row r="3900" spans="1:26" x14ac:dyDescent="0.25">
      <c r="A3900" s="314"/>
      <c r="B3900" s="18">
        <v>2023</v>
      </c>
      <c r="C3900" s="18" t="s">
        <v>786</v>
      </c>
      <c r="D3900" s="18" t="s">
        <v>1227</v>
      </c>
      <c r="E3900" s="18" t="s">
        <v>56</v>
      </c>
      <c r="F3900" s="18" t="s">
        <v>672</v>
      </c>
      <c r="G3900" s="18" t="s">
        <v>674</v>
      </c>
      <c r="H3900" s="18" t="s">
        <v>850</v>
      </c>
      <c r="I3900" s="315">
        <v>1.1638190951247411</v>
      </c>
      <c r="J3900" s="315">
        <v>7.4735816611656885E-5</v>
      </c>
      <c r="K3900" s="316" t="str">
        <f t="shared" si="60"/>
        <v>Construction and Mining Equipment</v>
      </c>
      <c r="L3900" s="316" t="str">
        <f t="shared" si="61"/>
        <v>LPG</v>
      </c>
      <c r="M3900" s="194"/>
      <c r="N3900" s="317"/>
      <c r="O3900" s="317"/>
      <c r="P3900" s="317"/>
      <c r="Q3900" s="317"/>
      <c r="R3900" s="317"/>
      <c r="S3900" s="317"/>
      <c r="T3900" s="317"/>
      <c r="U3900" s="317"/>
      <c r="V3900" s="317"/>
      <c r="W3900" s="317"/>
      <c r="X3900" s="317"/>
      <c r="Y3900" s="317"/>
      <c r="Z3900" s="317"/>
    </row>
    <row r="3901" spans="1:26" x14ac:dyDescent="0.25">
      <c r="A3901" s="314"/>
      <c r="B3901" s="18">
        <v>2023</v>
      </c>
      <c r="C3901" s="18" t="s">
        <v>792</v>
      </c>
      <c r="D3901" s="18" t="s">
        <v>1440</v>
      </c>
      <c r="E3901" s="18" t="s">
        <v>703</v>
      </c>
      <c r="F3901" s="18" t="s">
        <v>704</v>
      </c>
      <c r="G3901" s="18" t="s">
        <v>678</v>
      </c>
      <c r="H3901" s="18" t="s">
        <v>1154</v>
      </c>
      <c r="I3901" s="315">
        <v>1.1619955259612742</v>
      </c>
      <c r="J3901" s="315">
        <v>1.1795337895183541E-4</v>
      </c>
      <c r="K3901" s="316" t="str">
        <f t="shared" si="60"/>
        <v>Agricultural Equipment</v>
      </c>
      <c r="L3901" s="316" t="str">
        <f t="shared" si="61"/>
        <v>Gasoline</v>
      </c>
      <c r="M3901" s="194"/>
      <c r="N3901" s="317"/>
      <c r="O3901" s="317"/>
      <c r="P3901" s="317"/>
      <c r="Q3901" s="317"/>
      <c r="R3901" s="317"/>
      <c r="S3901" s="317"/>
      <c r="T3901" s="317"/>
      <c r="U3901" s="317"/>
      <c r="V3901" s="317"/>
      <c r="W3901" s="317"/>
      <c r="X3901" s="317"/>
      <c r="Y3901" s="317"/>
      <c r="Z3901" s="317"/>
    </row>
    <row r="3902" spans="1:26" x14ac:dyDescent="0.25">
      <c r="A3902" s="314"/>
      <c r="B3902" s="18">
        <v>2023</v>
      </c>
      <c r="C3902" s="18" t="s">
        <v>743</v>
      </c>
      <c r="D3902" s="18" t="s">
        <v>1024</v>
      </c>
      <c r="E3902" s="18" t="s">
        <v>56</v>
      </c>
      <c r="F3902" s="18" t="s">
        <v>1025</v>
      </c>
      <c r="G3902" s="18" t="s">
        <v>680</v>
      </c>
      <c r="H3902" s="18" t="s">
        <v>1026</v>
      </c>
      <c r="I3902" s="315">
        <v>1.1617434121121479</v>
      </c>
      <c r="J3902" s="315">
        <v>5.2917867021759714E-5</v>
      </c>
      <c r="K3902" s="316" t="str">
        <f t="shared" si="60"/>
        <v>Airport Ground Support Equipment</v>
      </c>
      <c r="L3902" s="316" t="str">
        <f t="shared" si="61"/>
        <v>LPG</v>
      </c>
      <c r="M3902" s="194"/>
      <c r="N3902" s="317"/>
      <c r="O3902" s="317"/>
      <c r="P3902" s="317"/>
      <c r="Q3902" s="317"/>
      <c r="R3902" s="317"/>
      <c r="S3902" s="317"/>
      <c r="T3902" s="317"/>
      <c r="U3902" s="317"/>
      <c r="V3902" s="317"/>
      <c r="W3902" s="317"/>
      <c r="X3902" s="317"/>
      <c r="Y3902" s="317"/>
      <c r="Z3902" s="317"/>
    </row>
    <row r="3903" spans="1:26" x14ac:dyDescent="0.25">
      <c r="A3903" s="314"/>
      <c r="B3903" s="18">
        <v>2023</v>
      </c>
      <c r="C3903" s="18" t="s">
        <v>781</v>
      </c>
      <c r="D3903" s="18" t="s">
        <v>1213</v>
      </c>
      <c r="E3903" s="18" t="s">
        <v>56</v>
      </c>
      <c r="F3903" s="18" t="s">
        <v>672</v>
      </c>
      <c r="G3903" s="18" t="s">
        <v>674</v>
      </c>
      <c r="H3903" s="18" t="s">
        <v>715</v>
      </c>
      <c r="I3903" s="315">
        <v>1.1560890151459895</v>
      </c>
      <c r="J3903" s="315">
        <v>5.2501892680920731E-5</v>
      </c>
      <c r="K3903" s="316" t="str">
        <f t="shared" si="60"/>
        <v>Construction and Mining Equipment</v>
      </c>
      <c r="L3903" s="316" t="str">
        <f t="shared" si="61"/>
        <v>LPG</v>
      </c>
      <c r="M3903" s="194"/>
      <c r="N3903" s="317"/>
      <c r="O3903" s="317"/>
      <c r="P3903" s="317"/>
      <c r="Q3903" s="317"/>
      <c r="R3903" s="317"/>
      <c r="S3903" s="317"/>
      <c r="T3903" s="317"/>
      <c r="U3903" s="317"/>
      <c r="V3903" s="317"/>
      <c r="W3903" s="317"/>
      <c r="X3903" s="317"/>
      <c r="Y3903" s="317"/>
      <c r="Z3903" s="317"/>
    </row>
    <row r="3904" spans="1:26" x14ac:dyDescent="0.25">
      <c r="A3904" s="314"/>
      <c r="B3904" s="18">
        <v>2023</v>
      </c>
      <c r="C3904" s="18" t="s">
        <v>773</v>
      </c>
      <c r="D3904" s="18" t="s">
        <v>1317</v>
      </c>
      <c r="E3904" s="18" t="s">
        <v>713</v>
      </c>
      <c r="F3904" s="18" t="s">
        <v>714</v>
      </c>
      <c r="G3904" s="18" t="s">
        <v>673</v>
      </c>
      <c r="H3904" s="18" t="s">
        <v>865</v>
      </c>
      <c r="I3904" s="315">
        <v>1.1512528239555861</v>
      </c>
      <c r="J3904" s="315">
        <v>3.6360219206708087E-5</v>
      </c>
      <c r="K3904" s="316" t="str">
        <f t="shared" si="60"/>
        <v>Lawn and Garden Equipment</v>
      </c>
      <c r="L3904" s="316" t="str">
        <f t="shared" si="61"/>
        <v>Diesel</v>
      </c>
      <c r="M3904" s="194"/>
      <c r="N3904" s="317"/>
      <c r="O3904" s="317"/>
      <c r="P3904" s="317"/>
      <c r="Q3904" s="317"/>
      <c r="R3904" s="317"/>
      <c r="S3904" s="317"/>
      <c r="T3904" s="317"/>
      <c r="U3904" s="317"/>
      <c r="V3904" s="317"/>
      <c r="W3904" s="317"/>
      <c r="X3904" s="317"/>
      <c r="Y3904" s="317"/>
      <c r="Z3904" s="317"/>
    </row>
    <row r="3905" spans="1:26" x14ac:dyDescent="0.25">
      <c r="A3905" s="314"/>
      <c r="B3905" s="18">
        <v>2023</v>
      </c>
      <c r="C3905" s="18" t="s">
        <v>781</v>
      </c>
      <c r="D3905" s="18" t="s">
        <v>1214</v>
      </c>
      <c r="E3905" s="18" t="s">
        <v>713</v>
      </c>
      <c r="F3905" s="18" t="s">
        <v>714</v>
      </c>
      <c r="G3905" s="18" t="s">
        <v>674</v>
      </c>
      <c r="H3905" s="18" t="s">
        <v>999</v>
      </c>
      <c r="I3905" s="315">
        <v>1.1470352553359884</v>
      </c>
      <c r="J3905" s="315">
        <v>3.3957879648334215E-5</v>
      </c>
      <c r="K3905" s="316" t="str">
        <f t="shared" si="60"/>
        <v>Construction and Mining Equipment</v>
      </c>
      <c r="L3905" s="316" t="str">
        <f t="shared" si="61"/>
        <v>Diesel</v>
      </c>
      <c r="M3905" s="194"/>
      <c r="N3905" s="317"/>
      <c r="O3905" s="317"/>
      <c r="P3905" s="317"/>
      <c r="Q3905" s="317"/>
      <c r="R3905" s="317"/>
      <c r="S3905" s="317"/>
      <c r="T3905" s="317"/>
      <c r="U3905" s="317"/>
      <c r="V3905" s="317"/>
      <c r="W3905" s="317"/>
      <c r="X3905" s="317"/>
      <c r="Y3905" s="317"/>
      <c r="Z3905" s="317"/>
    </row>
    <row r="3906" spans="1:26" x14ac:dyDescent="0.25">
      <c r="A3906" s="314"/>
      <c r="B3906" s="18">
        <v>2023</v>
      </c>
      <c r="C3906" s="18" t="s">
        <v>753</v>
      </c>
      <c r="D3906" s="18" t="s">
        <v>1457</v>
      </c>
      <c r="E3906" s="18" t="s">
        <v>56</v>
      </c>
      <c r="F3906" s="18" t="s">
        <v>601</v>
      </c>
      <c r="G3906" s="18" t="s">
        <v>675</v>
      </c>
      <c r="H3906" s="18" t="s">
        <v>772</v>
      </c>
      <c r="I3906" s="315">
        <v>1.1462254261573677</v>
      </c>
      <c r="J3906" s="315">
        <v>4.675477303287115E-3</v>
      </c>
      <c r="K3906" s="316" t="str">
        <f t="shared" si="60"/>
        <v>Industrial Equipment</v>
      </c>
      <c r="L3906" s="316" t="str">
        <f t="shared" si="61"/>
        <v>CNG</v>
      </c>
      <c r="M3906" s="194"/>
      <c r="N3906" s="317"/>
      <c r="O3906" s="317"/>
      <c r="P3906" s="317"/>
      <c r="Q3906" s="317"/>
      <c r="R3906" s="317"/>
      <c r="S3906" s="317"/>
      <c r="T3906" s="317"/>
      <c r="U3906" s="317"/>
      <c r="V3906" s="317"/>
      <c r="W3906" s="317"/>
      <c r="X3906" s="317"/>
      <c r="Y3906" s="317"/>
      <c r="Z3906" s="317"/>
    </row>
    <row r="3907" spans="1:26" x14ac:dyDescent="0.25">
      <c r="A3907" s="314"/>
      <c r="B3907" s="18">
        <v>2023</v>
      </c>
      <c r="C3907" s="18" t="s">
        <v>760</v>
      </c>
      <c r="D3907" s="18" t="s">
        <v>1654</v>
      </c>
      <c r="E3907" s="18" t="s">
        <v>56</v>
      </c>
      <c r="F3907" s="18" t="s">
        <v>672</v>
      </c>
      <c r="G3907" s="18" t="s">
        <v>674</v>
      </c>
      <c r="H3907" s="18" t="s">
        <v>994</v>
      </c>
      <c r="I3907" s="315">
        <v>1.143361702914635</v>
      </c>
      <c r="J3907" s="315">
        <v>2.8342879152466266E-4</v>
      </c>
      <c r="K3907" s="316" t="str">
        <f t="shared" si="60"/>
        <v>Construction and Mining Equipment</v>
      </c>
      <c r="L3907" s="316" t="str">
        <f t="shared" si="61"/>
        <v>LPG</v>
      </c>
      <c r="M3907" s="194"/>
      <c r="N3907" s="317"/>
      <c r="O3907" s="317"/>
      <c r="P3907" s="317"/>
      <c r="Q3907" s="317"/>
      <c r="R3907" s="317"/>
      <c r="S3907" s="317"/>
      <c r="T3907" s="317"/>
      <c r="U3907" s="317"/>
      <c r="V3907" s="317"/>
      <c r="W3907" s="317"/>
      <c r="X3907" s="317"/>
      <c r="Y3907" s="317"/>
      <c r="Z3907" s="317"/>
    </row>
    <row r="3908" spans="1:26" x14ac:dyDescent="0.25">
      <c r="A3908" s="314"/>
      <c r="B3908" s="18">
        <v>2023</v>
      </c>
      <c r="C3908" s="18" t="s">
        <v>709</v>
      </c>
      <c r="D3908" s="18" t="s">
        <v>1573</v>
      </c>
      <c r="E3908" s="18" t="s">
        <v>703</v>
      </c>
      <c r="F3908" s="18" t="s">
        <v>704</v>
      </c>
      <c r="G3908" s="18" t="s">
        <v>678</v>
      </c>
      <c r="H3908" s="18" t="s">
        <v>764</v>
      </c>
      <c r="I3908" s="315">
        <v>1.1389094593889624</v>
      </c>
      <c r="J3908" s="315">
        <v>2.2147967303851203E-4</v>
      </c>
      <c r="K3908" s="316" t="str">
        <f t="shared" si="60"/>
        <v>Agricultural Equipment</v>
      </c>
      <c r="L3908" s="316" t="str">
        <f t="shared" si="61"/>
        <v>Gasoline</v>
      </c>
      <c r="M3908" s="194"/>
      <c r="N3908" s="317"/>
      <c r="O3908" s="317"/>
      <c r="P3908" s="317"/>
      <c r="Q3908" s="317"/>
      <c r="R3908" s="317"/>
      <c r="S3908" s="317"/>
      <c r="T3908" s="317"/>
      <c r="U3908" s="317"/>
      <c r="V3908" s="317"/>
      <c r="W3908" s="317"/>
      <c r="X3908" s="317"/>
      <c r="Y3908" s="317"/>
      <c r="Z3908" s="317"/>
    </row>
    <row r="3909" spans="1:26" x14ac:dyDescent="0.25">
      <c r="A3909" s="314"/>
      <c r="B3909" s="18">
        <v>2023</v>
      </c>
      <c r="C3909" s="18" t="s">
        <v>759</v>
      </c>
      <c r="D3909" s="18" t="s">
        <v>1158</v>
      </c>
      <c r="E3909" s="18" t="s">
        <v>703</v>
      </c>
      <c r="F3909" s="18" t="s">
        <v>704</v>
      </c>
      <c r="G3909" s="18" t="s">
        <v>674</v>
      </c>
      <c r="H3909" s="18" t="s">
        <v>715</v>
      </c>
      <c r="I3909" s="315">
        <v>1.1379017520759211</v>
      </c>
      <c r="J3909" s="315">
        <v>7.8525070752353301E-5</v>
      </c>
      <c r="K3909" s="316" t="str">
        <f t="shared" si="60"/>
        <v>Construction and Mining Equipment</v>
      </c>
      <c r="L3909" s="316" t="str">
        <f t="shared" si="61"/>
        <v>Gasoline</v>
      </c>
      <c r="M3909" s="194"/>
      <c r="N3909" s="317"/>
      <c r="O3909" s="317"/>
      <c r="P3909" s="317"/>
      <c r="Q3909" s="317"/>
      <c r="R3909" s="317"/>
      <c r="S3909" s="317"/>
      <c r="T3909" s="317"/>
      <c r="U3909" s="317"/>
      <c r="V3909" s="317"/>
      <c r="W3909" s="317"/>
      <c r="X3909" s="317"/>
      <c r="Y3909" s="317"/>
      <c r="Z3909" s="317"/>
    </row>
    <row r="3910" spans="1:26" x14ac:dyDescent="0.25">
      <c r="A3910" s="314"/>
      <c r="B3910" s="18">
        <v>2023</v>
      </c>
      <c r="C3910" s="18" t="s">
        <v>762</v>
      </c>
      <c r="D3910" s="18" t="s">
        <v>1360</v>
      </c>
      <c r="E3910" s="18" t="s">
        <v>713</v>
      </c>
      <c r="F3910" s="18" t="s">
        <v>714</v>
      </c>
      <c r="G3910" s="18" t="s">
        <v>674</v>
      </c>
      <c r="H3910" s="18" t="s">
        <v>1220</v>
      </c>
      <c r="I3910" s="315">
        <v>1.1349764346320601</v>
      </c>
      <c r="J3910" s="315">
        <v>5.0488097930159162E-5</v>
      </c>
      <c r="K3910" s="316" t="str">
        <f t="shared" si="60"/>
        <v>Construction and Mining Equipment</v>
      </c>
      <c r="L3910" s="316" t="str">
        <f t="shared" si="61"/>
        <v>Diesel</v>
      </c>
      <c r="M3910" s="194"/>
      <c r="N3910" s="317"/>
      <c r="O3910" s="317"/>
      <c r="P3910" s="317"/>
      <c r="Q3910" s="317"/>
      <c r="R3910" s="317"/>
      <c r="S3910" s="317"/>
      <c r="T3910" s="317"/>
      <c r="U3910" s="317"/>
      <c r="V3910" s="317"/>
      <c r="W3910" s="317"/>
      <c r="X3910" s="317"/>
      <c r="Y3910" s="317"/>
      <c r="Z3910" s="317"/>
    </row>
    <row r="3911" spans="1:26" x14ac:dyDescent="0.25">
      <c r="A3911" s="314"/>
      <c r="B3911" s="18">
        <v>2023</v>
      </c>
      <c r="C3911" s="18" t="s">
        <v>753</v>
      </c>
      <c r="D3911" s="18" t="s">
        <v>1744</v>
      </c>
      <c r="E3911" s="18" t="s">
        <v>703</v>
      </c>
      <c r="F3911" s="18" t="s">
        <v>704</v>
      </c>
      <c r="G3911" s="18" t="s">
        <v>678</v>
      </c>
      <c r="H3911" s="18" t="s">
        <v>1745</v>
      </c>
      <c r="I3911" s="315">
        <v>1.1276272405851302</v>
      </c>
      <c r="J3911" s="315">
        <v>7.1808707060209227E-4</v>
      </c>
      <c r="K3911" s="316" t="str">
        <f t="shared" si="60"/>
        <v>Agricultural Equipment</v>
      </c>
      <c r="L3911" s="316" t="str">
        <f t="shared" si="61"/>
        <v>Gasoline</v>
      </c>
      <c r="M3911" s="194"/>
      <c r="N3911" s="317"/>
      <c r="O3911" s="317"/>
      <c r="P3911" s="317"/>
      <c r="Q3911" s="317"/>
      <c r="R3911" s="317"/>
      <c r="S3911" s="317"/>
      <c r="T3911" s="317"/>
      <c r="U3911" s="317"/>
      <c r="V3911" s="317"/>
      <c r="W3911" s="317"/>
      <c r="X3911" s="317"/>
      <c r="Y3911" s="317"/>
      <c r="Z3911" s="317"/>
    </row>
    <row r="3912" spans="1:26" x14ac:dyDescent="0.25">
      <c r="A3912" s="314"/>
      <c r="B3912" s="18">
        <v>2023</v>
      </c>
      <c r="C3912" s="18" t="s">
        <v>792</v>
      </c>
      <c r="D3912" s="18" t="s">
        <v>1320</v>
      </c>
      <c r="E3912" s="18" t="s">
        <v>713</v>
      </c>
      <c r="F3912" s="18" t="s">
        <v>676</v>
      </c>
      <c r="G3912" s="18" t="s">
        <v>79</v>
      </c>
      <c r="H3912" s="18" t="s">
        <v>730</v>
      </c>
      <c r="I3912" s="315">
        <v>1.1260746850084427</v>
      </c>
      <c r="J3912" s="315">
        <v>7.3630291907644905E-5</v>
      </c>
      <c r="K3912" s="316" t="str">
        <f t="shared" si="60"/>
        <v>Pleasure Craft</v>
      </c>
      <c r="L3912" s="316" t="str">
        <f t="shared" si="61"/>
        <v>Diesel</v>
      </c>
      <c r="M3912" s="194"/>
      <c r="N3912" s="317"/>
      <c r="O3912" s="317"/>
      <c r="P3912" s="317"/>
      <c r="Q3912" s="317"/>
      <c r="R3912" s="317"/>
      <c r="S3912" s="317"/>
      <c r="T3912" s="317"/>
      <c r="U3912" s="317"/>
      <c r="V3912" s="317"/>
      <c r="W3912" s="317"/>
      <c r="X3912" s="317"/>
      <c r="Y3912" s="317"/>
      <c r="Z3912" s="317"/>
    </row>
    <row r="3913" spans="1:26" x14ac:dyDescent="0.25">
      <c r="A3913" s="314"/>
      <c r="B3913" s="18">
        <v>2023</v>
      </c>
      <c r="C3913" s="18" t="s">
        <v>743</v>
      </c>
      <c r="D3913" s="18" t="s">
        <v>1580</v>
      </c>
      <c r="E3913" s="18" t="s">
        <v>56</v>
      </c>
      <c r="F3913" s="18" t="s">
        <v>672</v>
      </c>
      <c r="G3913" s="18" t="s">
        <v>674</v>
      </c>
      <c r="H3913" s="18" t="s">
        <v>736</v>
      </c>
      <c r="I3913" s="315">
        <v>1.1238039399055364</v>
      </c>
      <c r="J3913" s="315">
        <v>5.1625040519726051E-5</v>
      </c>
      <c r="K3913" s="316" t="str">
        <f t="shared" si="60"/>
        <v>Construction and Mining Equipment</v>
      </c>
      <c r="L3913" s="316" t="str">
        <f t="shared" si="61"/>
        <v>LPG</v>
      </c>
      <c r="M3913" s="194"/>
      <c r="N3913" s="317"/>
      <c r="O3913" s="317"/>
      <c r="P3913" s="317"/>
      <c r="Q3913" s="317"/>
      <c r="R3913" s="317"/>
      <c r="S3913" s="317"/>
      <c r="T3913" s="317"/>
      <c r="U3913" s="317"/>
      <c r="V3913" s="317"/>
      <c r="W3913" s="317"/>
      <c r="X3913" s="317"/>
      <c r="Y3913" s="317"/>
      <c r="Z3913" s="317"/>
    </row>
    <row r="3914" spans="1:26" x14ac:dyDescent="0.25">
      <c r="A3914" s="314"/>
      <c r="B3914" s="18">
        <v>2023</v>
      </c>
      <c r="C3914" s="18" t="s">
        <v>762</v>
      </c>
      <c r="D3914" s="18" t="s">
        <v>1361</v>
      </c>
      <c r="E3914" s="18" t="s">
        <v>56</v>
      </c>
      <c r="F3914" s="18" t="s">
        <v>672</v>
      </c>
      <c r="G3914" s="18" t="s">
        <v>674</v>
      </c>
      <c r="H3914" s="18" t="s">
        <v>783</v>
      </c>
      <c r="I3914" s="315">
        <v>1.1210678552163871</v>
      </c>
      <c r="J3914" s="315">
        <v>5.1464264338400927E-5</v>
      </c>
      <c r="K3914" s="316" t="str">
        <f t="shared" si="60"/>
        <v>Construction and Mining Equipment</v>
      </c>
      <c r="L3914" s="316" t="str">
        <f t="shared" si="61"/>
        <v>LPG</v>
      </c>
      <c r="M3914" s="194"/>
      <c r="N3914" s="317"/>
      <c r="O3914" s="317"/>
      <c r="P3914" s="317"/>
      <c r="Q3914" s="317"/>
      <c r="R3914" s="317"/>
      <c r="S3914" s="317"/>
      <c r="T3914" s="317"/>
      <c r="U3914" s="317"/>
      <c r="V3914" s="317"/>
      <c r="W3914" s="317"/>
      <c r="X3914" s="317"/>
      <c r="Y3914" s="317"/>
      <c r="Z3914" s="317"/>
    </row>
    <row r="3915" spans="1:26" x14ac:dyDescent="0.25">
      <c r="A3915" s="314"/>
      <c r="B3915" s="18">
        <v>2023</v>
      </c>
      <c r="C3915" s="18" t="s">
        <v>731</v>
      </c>
      <c r="D3915" s="18" t="s">
        <v>1744</v>
      </c>
      <c r="E3915" s="18" t="s">
        <v>703</v>
      </c>
      <c r="F3915" s="18" t="s">
        <v>704</v>
      </c>
      <c r="G3915" s="18" t="s">
        <v>678</v>
      </c>
      <c r="H3915" s="18" t="s">
        <v>1745</v>
      </c>
      <c r="I3915" s="315">
        <v>1.1185184490401432</v>
      </c>
      <c r="J3915" s="315">
        <v>7.1215356184560941E-4</v>
      </c>
      <c r="K3915" s="316" t="str">
        <f t="shared" si="60"/>
        <v>Agricultural Equipment</v>
      </c>
      <c r="L3915" s="316" t="str">
        <f t="shared" si="61"/>
        <v>Gasoline</v>
      </c>
      <c r="M3915" s="194"/>
      <c r="N3915" s="317"/>
      <c r="O3915" s="317"/>
      <c r="P3915" s="317"/>
      <c r="Q3915" s="317"/>
      <c r="R3915" s="317"/>
      <c r="S3915" s="317"/>
      <c r="T3915" s="317"/>
      <c r="U3915" s="317"/>
      <c r="V3915" s="317"/>
      <c r="W3915" s="317"/>
      <c r="X3915" s="317"/>
      <c r="Y3915" s="317"/>
      <c r="Z3915" s="317"/>
    </row>
    <row r="3916" spans="1:26" x14ac:dyDescent="0.25">
      <c r="A3916" s="314"/>
      <c r="B3916" s="18">
        <v>2023</v>
      </c>
      <c r="C3916" s="18" t="s">
        <v>781</v>
      </c>
      <c r="D3916" s="18" t="s">
        <v>1338</v>
      </c>
      <c r="E3916" s="18" t="s">
        <v>703</v>
      </c>
      <c r="F3916" s="18" t="s">
        <v>805</v>
      </c>
      <c r="G3916" s="18" t="s">
        <v>673</v>
      </c>
      <c r="H3916" s="18" t="s">
        <v>987</v>
      </c>
      <c r="I3916" s="315">
        <v>1.1141969317373044</v>
      </c>
      <c r="J3916" s="315">
        <v>2.0346031594702272E-3</v>
      </c>
      <c r="K3916" s="316" t="str">
        <f t="shared" si="60"/>
        <v>Lawn and Garden Equipment</v>
      </c>
      <c r="L3916" s="316" t="str">
        <f t="shared" si="61"/>
        <v>Gasoline</v>
      </c>
      <c r="M3916" s="194"/>
      <c r="N3916" s="317"/>
      <c r="O3916" s="317"/>
      <c r="P3916" s="317"/>
      <c r="Q3916" s="317"/>
      <c r="R3916" s="317"/>
      <c r="S3916" s="317"/>
      <c r="T3916" s="317"/>
      <c r="U3916" s="317"/>
      <c r="V3916" s="317"/>
      <c r="W3916" s="317"/>
      <c r="X3916" s="317"/>
      <c r="Y3916" s="317"/>
      <c r="Z3916" s="317"/>
    </row>
    <row r="3917" spans="1:26" x14ac:dyDescent="0.25">
      <c r="A3917" s="314"/>
      <c r="B3917" s="18">
        <v>2023</v>
      </c>
      <c r="C3917" s="18" t="s">
        <v>731</v>
      </c>
      <c r="D3917" s="18" t="s">
        <v>1247</v>
      </c>
      <c r="E3917" s="18" t="s">
        <v>56</v>
      </c>
      <c r="F3917" s="18" t="s">
        <v>672</v>
      </c>
      <c r="G3917" s="18" t="s">
        <v>674</v>
      </c>
      <c r="H3917" s="18" t="s">
        <v>967</v>
      </c>
      <c r="I3917" s="315">
        <v>1.1118996543126494</v>
      </c>
      <c r="J3917" s="315">
        <v>5.253172753477248E-5</v>
      </c>
      <c r="K3917" s="316" t="str">
        <f t="shared" si="60"/>
        <v>Construction and Mining Equipment</v>
      </c>
      <c r="L3917" s="316" t="str">
        <f t="shared" si="61"/>
        <v>LPG</v>
      </c>
      <c r="M3917" s="194"/>
      <c r="N3917" s="317"/>
      <c r="O3917" s="317"/>
      <c r="P3917" s="317"/>
      <c r="Q3917" s="317"/>
      <c r="R3917" s="317"/>
      <c r="S3917" s="317"/>
      <c r="T3917" s="317"/>
      <c r="U3917" s="317"/>
      <c r="V3917" s="317"/>
      <c r="W3917" s="317"/>
      <c r="X3917" s="317"/>
      <c r="Y3917" s="317"/>
      <c r="Z3917" s="317"/>
    </row>
    <row r="3918" spans="1:26" x14ac:dyDescent="0.25">
      <c r="A3918" s="314"/>
      <c r="B3918" s="18">
        <v>2023</v>
      </c>
      <c r="C3918" s="18" t="s">
        <v>778</v>
      </c>
      <c r="D3918" s="18" t="s">
        <v>1588</v>
      </c>
      <c r="E3918" s="18" t="s">
        <v>56</v>
      </c>
      <c r="F3918" s="18" t="s">
        <v>1575</v>
      </c>
      <c r="G3918" s="18" t="s">
        <v>675</v>
      </c>
      <c r="H3918" s="18" t="s">
        <v>1589</v>
      </c>
      <c r="I3918" s="315">
        <v>1.1117833207742984</v>
      </c>
      <c r="J3918" s="315">
        <v>4.6787779991262083E-3</v>
      </c>
      <c r="K3918" s="316" t="str">
        <f t="shared" si="60"/>
        <v>Industrial Equipment</v>
      </c>
      <c r="L3918" s="316" t="str">
        <f t="shared" si="61"/>
        <v>CNG</v>
      </c>
      <c r="M3918" s="194"/>
      <c r="N3918" s="317"/>
      <c r="O3918" s="317"/>
      <c r="P3918" s="317"/>
      <c r="Q3918" s="317"/>
      <c r="R3918" s="317"/>
      <c r="S3918" s="317"/>
      <c r="T3918" s="317"/>
      <c r="U3918" s="317"/>
      <c r="V3918" s="317"/>
      <c r="W3918" s="317"/>
      <c r="X3918" s="317"/>
      <c r="Y3918" s="317"/>
      <c r="Z3918" s="317"/>
    </row>
    <row r="3919" spans="1:26" x14ac:dyDescent="0.25">
      <c r="A3919" s="314"/>
      <c r="B3919" s="18">
        <v>2023</v>
      </c>
      <c r="C3919" s="18" t="s">
        <v>701</v>
      </c>
      <c r="D3919" s="18" t="s">
        <v>1717</v>
      </c>
      <c r="E3919" s="18" t="s">
        <v>56</v>
      </c>
      <c r="F3919" s="18" t="s">
        <v>601</v>
      </c>
      <c r="G3919" s="18" t="s">
        <v>675</v>
      </c>
      <c r="H3919" s="18" t="s">
        <v>802</v>
      </c>
      <c r="I3919" s="315">
        <v>1.1106334262687465</v>
      </c>
      <c r="J3919" s="315">
        <v>4.4254159903978985E-3</v>
      </c>
      <c r="K3919" s="316" t="str">
        <f t="shared" si="60"/>
        <v>Industrial Equipment</v>
      </c>
      <c r="L3919" s="316" t="str">
        <f t="shared" si="61"/>
        <v>CNG</v>
      </c>
      <c r="M3919" s="194"/>
      <c r="N3919" s="317"/>
      <c r="O3919" s="317"/>
      <c r="P3919" s="317"/>
      <c r="Q3919" s="317"/>
      <c r="R3919" s="317"/>
      <c r="S3919" s="317"/>
      <c r="T3919" s="317"/>
      <c r="U3919" s="317"/>
      <c r="V3919" s="317"/>
      <c r="W3919" s="317"/>
      <c r="X3919" s="317"/>
      <c r="Y3919" s="317"/>
      <c r="Z3919" s="317"/>
    </row>
    <row r="3920" spans="1:26" x14ac:dyDescent="0.25">
      <c r="A3920" s="314"/>
      <c r="B3920" s="18">
        <v>2023</v>
      </c>
      <c r="C3920" s="18" t="s">
        <v>731</v>
      </c>
      <c r="D3920" s="18" t="s">
        <v>1248</v>
      </c>
      <c r="E3920" s="18" t="s">
        <v>703</v>
      </c>
      <c r="F3920" s="18" t="s">
        <v>704</v>
      </c>
      <c r="G3920" s="18" t="s">
        <v>674</v>
      </c>
      <c r="H3920" s="18" t="s">
        <v>959</v>
      </c>
      <c r="I3920" s="315">
        <v>1.1101415211918413</v>
      </c>
      <c r="J3920" s="315">
        <v>7.4010194367186163E-4</v>
      </c>
      <c r="K3920" s="316" t="str">
        <f t="shared" si="60"/>
        <v>Construction and Mining Equipment</v>
      </c>
      <c r="L3920" s="316" t="str">
        <f t="shared" si="61"/>
        <v>Gasoline</v>
      </c>
      <c r="M3920" s="194"/>
      <c r="N3920" s="317"/>
      <c r="O3920" s="317"/>
      <c r="P3920" s="317"/>
      <c r="Q3920" s="317"/>
      <c r="R3920" s="317"/>
      <c r="S3920" s="317"/>
      <c r="T3920" s="317"/>
      <c r="U3920" s="317"/>
      <c r="V3920" s="317"/>
      <c r="W3920" s="317"/>
      <c r="X3920" s="317"/>
      <c r="Y3920" s="317"/>
      <c r="Z3920" s="317"/>
    </row>
    <row r="3921" spans="1:26" x14ac:dyDescent="0.25">
      <c r="A3921" s="314"/>
      <c r="B3921" s="18">
        <v>2023</v>
      </c>
      <c r="C3921" s="18" t="s">
        <v>743</v>
      </c>
      <c r="D3921" s="18" t="s">
        <v>1583</v>
      </c>
      <c r="E3921" s="18" t="s">
        <v>703</v>
      </c>
      <c r="F3921" s="18" t="s">
        <v>805</v>
      </c>
      <c r="G3921" s="18" t="s">
        <v>674</v>
      </c>
      <c r="H3921" s="18" t="s">
        <v>1036</v>
      </c>
      <c r="I3921" s="315">
        <v>1.1090725444369915</v>
      </c>
      <c r="J3921" s="315">
        <v>2.295380964281289E-3</v>
      </c>
      <c r="K3921" s="316" t="str">
        <f t="shared" si="60"/>
        <v>Construction and Mining Equipment</v>
      </c>
      <c r="L3921" s="316" t="str">
        <f t="shared" si="61"/>
        <v>Gasoline</v>
      </c>
      <c r="M3921" s="194"/>
      <c r="N3921" s="317"/>
      <c r="O3921" s="317"/>
      <c r="P3921" s="317"/>
      <c r="Q3921" s="317"/>
      <c r="R3921" s="317"/>
      <c r="S3921" s="317"/>
      <c r="T3921" s="317"/>
      <c r="U3921" s="317"/>
      <c r="V3921" s="317"/>
      <c r="W3921" s="317"/>
      <c r="X3921" s="317"/>
      <c r="Y3921" s="317"/>
      <c r="Z3921" s="317"/>
    </row>
    <row r="3922" spans="1:26" x14ac:dyDescent="0.25">
      <c r="A3922" s="314"/>
      <c r="B3922" s="18">
        <v>2023</v>
      </c>
      <c r="C3922" s="18" t="s">
        <v>762</v>
      </c>
      <c r="D3922" s="18" t="s">
        <v>1362</v>
      </c>
      <c r="E3922" s="18" t="s">
        <v>56</v>
      </c>
      <c r="F3922" s="18" t="s">
        <v>672</v>
      </c>
      <c r="G3922" s="18" t="s">
        <v>674</v>
      </c>
      <c r="H3922" s="18" t="s">
        <v>859</v>
      </c>
      <c r="I3922" s="315">
        <v>1.1076877071847071</v>
      </c>
      <c r="J3922" s="315">
        <v>2.7472999744924118E-4</v>
      </c>
      <c r="K3922" s="316" t="str">
        <f t="shared" si="60"/>
        <v>Construction and Mining Equipment</v>
      </c>
      <c r="L3922" s="316" t="str">
        <f t="shared" si="61"/>
        <v>LPG</v>
      </c>
      <c r="M3922" s="194"/>
      <c r="N3922" s="317"/>
      <c r="O3922" s="317"/>
      <c r="P3922" s="317"/>
      <c r="Q3922" s="317"/>
      <c r="R3922" s="317"/>
      <c r="S3922" s="317"/>
      <c r="T3922" s="317"/>
      <c r="U3922" s="317"/>
      <c r="V3922" s="317"/>
      <c r="W3922" s="317"/>
      <c r="X3922" s="317"/>
      <c r="Y3922" s="317"/>
      <c r="Z3922" s="317"/>
    </row>
    <row r="3923" spans="1:26" x14ac:dyDescent="0.25">
      <c r="A3923" s="314"/>
      <c r="B3923" s="18">
        <v>2023</v>
      </c>
      <c r="C3923" s="18" t="s">
        <v>727</v>
      </c>
      <c r="D3923" s="18" t="s">
        <v>1445</v>
      </c>
      <c r="E3923" s="18" t="s">
        <v>56</v>
      </c>
      <c r="F3923" s="18" t="s">
        <v>601</v>
      </c>
      <c r="G3923" s="18" t="s">
        <v>677</v>
      </c>
      <c r="H3923" s="18" t="s">
        <v>841</v>
      </c>
      <c r="I3923" s="315">
        <v>1.1063070536559674</v>
      </c>
      <c r="J3923" s="315">
        <v>1.2019564996427862E-2</v>
      </c>
      <c r="K3923" s="316" t="str">
        <f t="shared" si="60"/>
        <v>Commercial Equipment</v>
      </c>
      <c r="L3923" s="316" t="str">
        <f t="shared" si="61"/>
        <v>CNG</v>
      </c>
      <c r="M3923" s="194"/>
      <c r="N3923" s="317"/>
      <c r="O3923" s="317"/>
      <c r="P3923" s="317"/>
      <c r="Q3923" s="317"/>
      <c r="R3923" s="317"/>
      <c r="S3923" s="317"/>
      <c r="T3923" s="317"/>
      <c r="U3923" s="317"/>
      <c r="V3923" s="317"/>
      <c r="W3923" s="317"/>
      <c r="X3923" s="317"/>
      <c r="Y3923" s="317"/>
      <c r="Z3923" s="317"/>
    </row>
    <row r="3924" spans="1:26" x14ac:dyDescent="0.25">
      <c r="A3924" s="314"/>
      <c r="B3924" s="18">
        <v>2023</v>
      </c>
      <c r="C3924" s="18" t="s">
        <v>786</v>
      </c>
      <c r="D3924" s="18" t="s">
        <v>1247</v>
      </c>
      <c r="E3924" s="18" t="s">
        <v>56</v>
      </c>
      <c r="F3924" s="18" t="s">
        <v>672</v>
      </c>
      <c r="G3924" s="18" t="s">
        <v>674</v>
      </c>
      <c r="H3924" s="18" t="s">
        <v>967</v>
      </c>
      <c r="I3924" s="315">
        <v>1.1043266636531066</v>
      </c>
      <c r="J3924" s="315">
        <v>5.2174001773108392E-5</v>
      </c>
      <c r="K3924" s="316" t="str">
        <f t="shared" si="60"/>
        <v>Construction and Mining Equipment</v>
      </c>
      <c r="L3924" s="316" t="str">
        <f t="shared" si="61"/>
        <v>LPG</v>
      </c>
      <c r="M3924" s="194"/>
      <c r="N3924" s="317"/>
      <c r="O3924" s="317"/>
      <c r="P3924" s="317"/>
      <c r="Q3924" s="317"/>
      <c r="R3924" s="317"/>
      <c r="S3924" s="317"/>
      <c r="T3924" s="317"/>
      <c r="U3924" s="317"/>
      <c r="V3924" s="317"/>
      <c r="W3924" s="317"/>
      <c r="X3924" s="317"/>
      <c r="Y3924" s="317"/>
      <c r="Z3924" s="317"/>
    </row>
    <row r="3925" spans="1:26" x14ac:dyDescent="0.25">
      <c r="A3925" s="314"/>
      <c r="B3925" s="18">
        <v>2023</v>
      </c>
      <c r="C3925" s="18" t="s">
        <v>786</v>
      </c>
      <c r="D3925" s="18" t="s">
        <v>1248</v>
      </c>
      <c r="E3925" s="18" t="s">
        <v>703</v>
      </c>
      <c r="F3925" s="18" t="s">
        <v>704</v>
      </c>
      <c r="G3925" s="18" t="s">
        <v>674</v>
      </c>
      <c r="H3925" s="18" t="s">
        <v>959</v>
      </c>
      <c r="I3925" s="315">
        <v>1.1025797646346818</v>
      </c>
      <c r="J3925" s="315">
        <v>7.3715147076149025E-4</v>
      </c>
      <c r="K3925" s="316" t="str">
        <f t="shared" si="60"/>
        <v>Construction and Mining Equipment</v>
      </c>
      <c r="L3925" s="316" t="str">
        <f t="shared" si="61"/>
        <v>Gasoline</v>
      </c>
      <c r="M3925" s="194"/>
      <c r="N3925" s="317"/>
      <c r="O3925" s="317"/>
      <c r="P3925" s="317"/>
      <c r="Q3925" s="317"/>
      <c r="R3925" s="317"/>
      <c r="S3925" s="317"/>
      <c r="T3925" s="317"/>
      <c r="U3925" s="317"/>
      <c r="V3925" s="317"/>
      <c r="W3925" s="317"/>
      <c r="X3925" s="317"/>
      <c r="Y3925" s="317"/>
      <c r="Z3925" s="317"/>
    </row>
    <row r="3926" spans="1:26" x14ac:dyDescent="0.25">
      <c r="A3926" s="314"/>
      <c r="B3926" s="18">
        <v>2023</v>
      </c>
      <c r="C3926" s="18" t="s">
        <v>762</v>
      </c>
      <c r="D3926" s="18" t="s">
        <v>1366</v>
      </c>
      <c r="E3926" s="18" t="s">
        <v>703</v>
      </c>
      <c r="F3926" s="18" t="s">
        <v>704</v>
      </c>
      <c r="G3926" s="18" t="s">
        <v>674</v>
      </c>
      <c r="H3926" s="18" t="s">
        <v>791</v>
      </c>
      <c r="I3926" s="315">
        <v>1.0852830096508495</v>
      </c>
      <c r="J3926" s="315">
        <v>3.3929058022321546E-4</v>
      </c>
      <c r="K3926" s="316" t="str">
        <f t="shared" si="60"/>
        <v>Construction and Mining Equipment</v>
      </c>
      <c r="L3926" s="316" t="str">
        <f t="shared" si="61"/>
        <v>Gasoline</v>
      </c>
      <c r="M3926" s="194"/>
      <c r="N3926" s="317"/>
      <c r="O3926" s="317"/>
      <c r="P3926" s="317"/>
      <c r="Q3926" s="317"/>
      <c r="R3926" s="317"/>
      <c r="S3926" s="317"/>
      <c r="T3926" s="317"/>
      <c r="U3926" s="317"/>
      <c r="V3926" s="317"/>
      <c r="W3926" s="317"/>
      <c r="X3926" s="317"/>
      <c r="Y3926" s="317"/>
      <c r="Z3926" s="317"/>
    </row>
    <row r="3927" spans="1:26" x14ac:dyDescent="0.25">
      <c r="A3927" s="314"/>
      <c r="B3927" s="18">
        <v>2023</v>
      </c>
      <c r="C3927" s="18" t="s">
        <v>754</v>
      </c>
      <c r="D3927" s="18" t="s">
        <v>1564</v>
      </c>
      <c r="E3927" s="18" t="s">
        <v>703</v>
      </c>
      <c r="F3927" s="18" t="s">
        <v>704</v>
      </c>
      <c r="G3927" s="18" t="s">
        <v>674</v>
      </c>
      <c r="H3927" s="18" t="s">
        <v>981</v>
      </c>
      <c r="I3927" s="315">
        <v>1.0784584248593467</v>
      </c>
      <c r="J3927" s="315">
        <v>7.9991473042185612E-4</v>
      </c>
      <c r="K3927" s="316" t="str">
        <f t="shared" si="60"/>
        <v>Construction and Mining Equipment</v>
      </c>
      <c r="L3927" s="316" t="str">
        <f t="shared" si="61"/>
        <v>Gasoline</v>
      </c>
      <c r="M3927" s="194"/>
      <c r="N3927" s="317"/>
      <c r="O3927" s="317"/>
      <c r="P3927" s="317"/>
      <c r="Q3927" s="317"/>
      <c r="R3927" s="317"/>
      <c r="S3927" s="317"/>
      <c r="T3927" s="317"/>
      <c r="U3927" s="317"/>
      <c r="V3927" s="317"/>
      <c r="W3927" s="317"/>
      <c r="X3927" s="317"/>
      <c r="Y3927" s="317"/>
      <c r="Z3927" s="317"/>
    </row>
    <row r="3928" spans="1:26" x14ac:dyDescent="0.25">
      <c r="A3928" s="314"/>
      <c r="B3928" s="18">
        <v>2023</v>
      </c>
      <c r="C3928" s="18" t="s">
        <v>711</v>
      </c>
      <c r="D3928" s="18" t="s">
        <v>1717</v>
      </c>
      <c r="E3928" s="18" t="s">
        <v>56</v>
      </c>
      <c r="F3928" s="18" t="s">
        <v>601</v>
      </c>
      <c r="G3928" s="18" t="s">
        <v>675</v>
      </c>
      <c r="H3928" s="18" t="s">
        <v>802</v>
      </c>
      <c r="I3928" s="315">
        <v>1.0726082260789194</v>
      </c>
      <c r="J3928" s="315">
        <v>4.2739104840854138E-3</v>
      </c>
      <c r="K3928" s="316" t="str">
        <f t="shared" si="60"/>
        <v>Industrial Equipment</v>
      </c>
      <c r="L3928" s="316" t="str">
        <f t="shared" si="61"/>
        <v>CNG</v>
      </c>
      <c r="M3928" s="194"/>
      <c r="N3928" s="317"/>
      <c r="O3928" s="317"/>
      <c r="P3928" s="317"/>
      <c r="Q3928" s="317"/>
      <c r="R3928" s="317"/>
      <c r="S3928" s="317"/>
      <c r="T3928" s="317"/>
      <c r="U3928" s="317"/>
      <c r="V3928" s="317"/>
      <c r="W3928" s="317"/>
      <c r="X3928" s="317"/>
      <c r="Y3928" s="317"/>
      <c r="Z3928" s="317"/>
    </row>
    <row r="3929" spans="1:26" x14ac:dyDescent="0.25">
      <c r="A3929" s="314"/>
      <c r="B3929" s="18">
        <v>2023</v>
      </c>
      <c r="C3929" s="18" t="s">
        <v>762</v>
      </c>
      <c r="D3929" s="18" t="s">
        <v>1317</v>
      </c>
      <c r="E3929" s="18" t="s">
        <v>713</v>
      </c>
      <c r="F3929" s="18" t="s">
        <v>714</v>
      </c>
      <c r="G3929" s="18" t="s">
        <v>673</v>
      </c>
      <c r="H3929" s="18" t="s">
        <v>865</v>
      </c>
      <c r="I3929" s="315">
        <v>1.072245437624274</v>
      </c>
      <c r="J3929" s="315">
        <v>3.3864870624825949E-5</v>
      </c>
      <c r="K3929" s="316" t="str">
        <f t="shared" si="60"/>
        <v>Lawn and Garden Equipment</v>
      </c>
      <c r="L3929" s="316" t="str">
        <f t="shared" si="61"/>
        <v>Diesel</v>
      </c>
      <c r="M3929" s="194"/>
      <c r="N3929" s="317"/>
      <c r="O3929" s="317"/>
      <c r="P3929" s="317"/>
      <c r="Q3929" s="317"/>
      <c r="R3929" s="317"/>
      <c r="S3929" s="317"/>
      <c r="T3929" s="317"/>
      <c r="U3929" s="317"/>
      <c r="V3929" s="317"/>
      <c r="W3929" s="317"/>
      <c r="X3929" s="317"/>
      <c r="Y3929" s="317"/>
      <c r="Z3929" s="317"/>
    </row>
    <row r="3930" spans="1:26" x14ac:dyDescent="0.25">
      <c r="A3930" s="314"/>
      <c r="B3930" s="18">
        <v>2023</v>
      </c>
      <c r="C3930" s="18" t="s">
        <v>759</v>
      </c>
      <c r="D3930" s="18" t="s">
        <v>1292</v>
      </c>
      <c r="E3930" s="18" t="s">
        <v>703</v>
      </c>
      <c r="F3930" s="18" t="s">
        <v>795</v>
      </c>
      <c r="G3930" s="18" t="s">
        <v>675</v>
      </c>
      <c r="H3930" s="18" t="s">
        <v>1293</v>
      </c>
      <c r="I3930" s="315">
        <v>1.0719983666946515</v>
      </c>
      <c r="J3930" s="315">
        <v>7.1559521551388969E-4</v>
      </c>
      <c r="K3930" s="316" t="str">
        <f t="shared" si="60"/>
        <v>Industrial Equipment</v>
      </c>
      <c r="L3930" s="316" t="str">
        <f t="shared" si="61"/>
        <v>Gasoline</v>
      </c>
      <c r="M3930" s="194"/>
      <c r="N3930" s="317"/>
      <c r="O3930" s="317"/>
      <c r="P3930" s="317"/>
      <c r="Q3930" s="317"/>
      <c r="R3930" s="317"/>
      <c r="S3930" s="317"/>
      <c r="T3930" s="317"/>
      <c r="U3930" s="317"/>
      <c r="V3930" s="317"/>
      <c r="W3930" s="317"/>
      <c r="X3930" s="317"/>
      <c r="Y3930" s="317"/>
      <c r="Z3930" s="317"/>
    </row>
    <row r="3931" spans="1:26" x14ac:dyDescent="0.25">
      <c r="A3931" s="314"/>
      <c r="B3931" s="18">
        <v>2023</v>
      </c>
      <c r="C3931" s="18" t="s">
        <v>706</v>
      </c>
      <c r="D3931" s="18" t="s">
        <v>1806</v>
      </c>
      <c r="E3931" s="18" t="s">
        <v>56</v>
      </c>
      <c r="F3931" s="18" t="s">
        <v>601</v>
      </c>
      <c r="G3931" s="18" t="s">
        <v>675</v>
      </c>
      <c r="H3931" s="18" t="s">
        <v>798</v>
      </c>
      <c r="I3931" s="315">
        <v>1.0694842877995536</v>
      </c>
      <c r="J3931" s="315">
        <v>4.256850952005062E-3</v>
      </c>
      <c r="K3931" s="316" t="str">
        <f t="shared" si="60"/>
        <v>Industrial Equipment</v>
      </c>
      <c r="L3931" s="316" t="str">
        <f t="shared" si="61"/>
        <v>CNG</v>
      </c>
      <c r="M3931" s="194"/>
      <c r="N3931" s="317"/>
      <c r="O3931" s="317"/>
      <c r="P3931" s="317"/>
      <c r="Q3931" s="317"/>
      <c r="R3931" s="317"/>
      <c r="S3931" s="317"/>
      <c r="T3931" s="317"/>
      <c r="U3931" s="317"/>
      <c r="V3931" s="317"/>
      <c r="W3931" s="317"/>
      <c r="X3931" s="317"/>
      <c r="Y3931" s="317"/>
      <c r="Z3931" s="317"/>
    </row>
    <row r="3932" spans="1:26" x14ac:dyDescent="0.25">
      <c r="A3932" s="314"/>
      <c r="B3932" s="18">
        <v>2023</v>
      </c>
      <c r="C3932" s="18" t="s">
        <v>787</v>
      </c>
      <c r="D3932" s="18" t="s">
        <v>1483</v>
      </c>
      <c r="E3932" s="18" t="s">
        <v>703</v>
      </c>
      <c r="F3932" s="18" t="s">
        <v>805</v>
      </c>
      <c r="G3932" s="18" t="s">
        <v>674</v>
      </c>
      <c r="H3932" s="18" t="s">
        <v>994</v>
      </c>
      <c r="I3932" s="315">
        <v>1.0673048879497142</v>
      </c>
      <c r="J3932" s="315">
        <v>2.2377943709323408E-3</v>
      </c>
      <c r="K3932" s="316" t="str">
        <f t="shared" si="60"/>
        <v>Construction and Mining Equipment</v>
      </c>
      <c r="L3932" s="316" t="str">
        <f t="shared" si="61"/>
        <v>Gasoline</v>
      </c>
      <c r="M3932" s="194"/>
      <c r="N3932" s="317"/>
      <c r="O3932" s="317"/>
      <c r="P3932" s="317"/>
      <c r="Q3932" s="317"/>
      <c r="R3932" s="317"/>
      <c r="S3932" s="317"/>
      <c r="T3932" s="317"/>
      <c r="U3932" s="317"/>
      <c r="V3932" s="317"/>
      <c r="W3932" s="317"/>
      <c r="X3932" s="317"/>
      <c r="Y3932" s="317"/>
      <c r="Z3932" s="317"/>
    </row>
    <row r="3933" spans="1:26" x14ac:dyDescent="0.25">
      <c r="A3933" s="314"/>
      <c r="B3933" s="18">
        <v>2023</v>
      </c>
      <c r="C3933" s="18" t="s">
        <v>762</v>
      </c>
      <c r="D3933" s="18" t="s">
        <v>1445</v>
      </c>
      <c r="E3933" s="18" t="s">
        <v>56</v>
      </c>
      <c r="F3933" s="18" t="s">
        <v>601</v>
      </c>
      <c r="G3933" s="18" t="s">
        <v>677</v>
      </c>
      <c r="H3933" s="18" t="s">
        <v>841</v>
      </c>
      <c r="I3933" s="315">
        <v>1.0658323768494837</v>
      </c>
      <c r="J3933" s="315">
        <v>1.1579825547965501E-2</v>
      </c>
      <c r="K3933" s="316" t="str">
        <f t="shared" si="60"/>
        <v>Commercial Equipment</v>
      </c>
      <c r="L3933" s="316" t="str">
        <f t="shared" si="61"/>
        <v>CNG</v>
      </c>
      <c r="M3933" s="194"/>
      <c r="N3933" s="317"/>
      <c r="O3933" s="317"/>
      <c r="P3933" s="317"/>
      <c r="Q3933" s="317"/>
      <c r="R3933" s="317"/>
      <c r="S3933" s="317"/>
      <c r="T3933" s="317"/>
      <c r="U3933" s="317"/>
      <c r="V3933" s="317"/>
      <c r="W3933" s="317"/>
      <c r="X3933" s="317"/>
      <c r="Y3933" s="317"/>
      <c r="Z3933" s="317"/>
    </row>
    <row r="3934" spans="1:26" x14ac:dyDescent="0.25">
      <c r="A3934" s="314"/>
      <c r="B3934" s="18">
        <v>2023</v>
      </c>
      <c r="C3934" s="18" t="s">
        <v>810</v>
      </c>
      <c r="D3934" s="18" t="s">
        <v>1403</v>
      </c>
      <c r="E3934" s="18" t="s">
        <v>703</v>
      </c>
      <c r="F3934" s="18" t="s">
        <v>683</v>
      </c>
      <c r="G3934" s="18" t="s">
        <v>1404</v>
      </c>
      <c r="H3934" s="18" t="s">
        <v>1002</v>
      </c>
      <c r="I3934" s="315">
        <v>1.0647499162249219</v>
      </c>
      <c r="J3934" s="315">
        <v>6.9816394511314347E-4</v>
      </c>
      <c r="K3934" s="316" t="str">
        <f t="shared" si="60"/>
        <v>Railroad Equipment</v>
      </c>
      <c r="L3934" s="316" t="str">
        <f t="shared" si="61"/>
        <v>Gasoline</v>
      </c>
      <c r="M3934" s="194"/>
      <c r="N3934" s="317"/>
      <c r="O3934" s="317"/>
      <c r="P3934" s="317"/>
      <c r="Q3934" s="317"/>
      <c r="R3934" s="317"/>
      <c r="S3934" s="317"/>
      <c r="T3934" s="317"/>
      <c r="U3934" s="317"/>
      <c r="V3934" s="317"/>
      <c r="W3934" s="317"/>
      <c r="X3934" s="317"/>
      <c r="Y3934" s="317"/>
      <c r="Z3934" s="317"/>
    </row>
    <row r="3935" spans="1:26" x14ac:dyDescent="0.25">
      <c r="A3935" s="314"/>
      <c r="B3935" s="18">
        <v>2023</v>
      </c>
      <c r="C3935" s="18" t="s">
        <v>706</v>
      </c>
      <c r="D3935" s="18" t="s">
        <v>1657</v>
      </c>
      <c r="E3935" s="18" t="s">
        <v>713</v>
      </c>
      <c r="F3935" s="18" t="s">
        <v>714</v>
      </c>
      <c r="G3935" s="18" t="s">
        <v>678</v>
      </c>
      <c r="H3935" s="18" t="s">
        <v>1638</v>
      </c>
      <c r="I3935" s="315">
        <v>1.0528812317417353</v>
      </c>
      <c r="J3935" s="315">
        <v>1.1684637788781622E-5</v>
      </c>
      <c r="K3935" s="316" t="str">
        <f t="shared" si="60"/>
        <v>Agricultural Equipment</v>
      </c>
      <c r="L3935" s="316" t="str">
        <f t="shared" si="61"/>
        <v>Diesel</v>
      </c>
      <c r="M3935" s="194"/>
      <c r="N3935" s="317"/>
      <c r="O3935" s="317"/>
      <c r="P3935" s="317"/>
      <c r="Q3935" s="317"/>
      <c r="R3935" s="317"/>
      <c r="S3935" s="317"/>
      <c r="T3935" s="317"/>
      <c r="U3935" s="317"/>
      <c r="V3935" s="317"/>
      <c r="W3935" s="317"/>
      <c r="X3935" s="317"/>
      <c r="Y3935" s="317"/>
      <c r="Z3935" s="317"/>
    </row>
    <row r="3936" spans="1:26" x14ac:dyDescent="0.25">
      <c r="A3936" s="314"/>
      <c r="B3936" s="18">
        <v>2023</v>
      </c>
      <c r="C3936" s="18" t="s">
        <v>781</v>
      </c>
      <c r="D3936" s="18" t="s">
        <v>1349</v>
      </c>
      <c r="E3936" s="18" t="s">
        <v>703</v>
      </c>
      <c r="F3936" s="18" t="s">
        <v>704</v>
      </c>
      <c r="G3936" s="18" t="s">
        <v>673</v>
      </c>
      <c r="H3936" s="18" t="s">
        <v>978</v>
      </c>
      <c r="I3936" s="315">
        <v>1.0470677633951362</v>
      </c>
      <c r="J3936" s="315">
        <v>7.2795886981713283E-4</v>
      </c>
      <c r="K3936" s="316" t="str">
        <f t="shared" si="60"/>
        <v>Lawn and Garden Equipment</v>
      </c>
      <c r="L3936" s="316" t="str">
        <f t="shared" si="61"/>
        <v>Gasoline</v>
      </c>
      <c r="M3936" s="194"/>
      <c r="N3936" s="317"/>
      <c r="O3936" s="317"/>
      <c r="P3936" s="317"/>
      <c r="Q3936" s="317"/>
      <c r="R3936" s="317"/>
      <c r="S3936" s="317"/>
      <c r="T3936" s="317"/>
      <c r="U3936" s="317"/>
      <c r="V3936" s="317"/>
      <c r="W3936" s="317"/>
      <c r="X3936" s="317"/>
      <c r="Y3936" s="317"/>
      <c r="Z3936" s="317"/>
    </row>
    <row r="3937" spans="1:26" x14ac:dyDescent="0.25">
      <c r="A3937" s="314"/>
      <c r="B3937" s="18">
        <v>2023</v>
      </c>
      <c r="C3937" s="18" t="s">
        <v>792</v>
      </c>
      <c r="D3937" s="18" t="s">
        <v>1281</v>
      </c>
      <c r="E3937" s="18" t="s">
        <v>703</v>
      </c>
      <c r="F3937" s="18" t="s">
        <v>704</v>
      </c>
      <c r="G3937" s="18" t="s">
        <v>674</v>
      </c>
      <c r="H3937" s="18" t="s">
        <v>770</v>
      </c>
      <c r="I3937" s="315">
        <v>1.0423400818153987</v>
      </c>
      <c r="J3937" s="315">
        <v>1.1573218454986116E-4</v>
      </c>
      <c r="K3937" s="316" t="str">
        <f t="shared" si="60"/>
        <v>Construction and Mining Equipment</v>
      </c>
      <c r="L3937" s="316" t="str">
        <f t="shared" si="61"/>
        <v>Gasoline</v>
      </c>
      <c r="M3937" s="194"/>
      <c r="N3937" s="317"/>
      <c r="O3937" s="317"/>
      <c r="P3937" s="317"/>
      <c r="Q3937" s="317"/>
      <c r="R3937" s="317"/>
      <c r="S3937" s="317"/>
      <c r="T3937" s="317"/>
      <c r="U3937" s="317"/>
      <c r="V3937" s="317"/>
      <c r="W3937" s="317"/>
      <c r="X3937" s="317"/>
      <c r="Y3937" s="317"/>
      <c r="Z3937" s="317"/>
    </row>
    <row r="3938" spans="1:26" x14ac:dyDescent="0.25">
      <c r="A3938" s="314"/>
      <c r="B3938" s="18">
        <v>2023</v>
      </c>
      <c r="C3938" s="18" t="s">
        <v>754</v>
      </c>
      <c r="D3938" s="18" t="s">
        <v>1580</v>
      </c>
      <c r="E3938" s="18" t="s">
        <v>56</v>
      </c>
      <c r="F3938" s="18" t="s">
        <v>672</v>
      </c>
      <c r="G3938" s="18" t="s">
        <v>674</v>
      </c>
      <c r="H3938" s="18" t="s">
        <v>736</v>
      </c>
      <c r="I3938" s="315">
        <v>1.0305818916280201</v>
      </c>
      <c r="J3938" s="315">
        <v>4.7342614696736114E-5</v>
      </c>
      <c r="K3938" s="316" t="str">
        <f t="shared" si="60"/>
        <v>Construction and Mining Equipment</v>
      </c>
      <c r="L3938" s="316" t="str">
        <f t="shared" si="61"/>
        <v>LPG</v>
      </c>
      <c r="M3938" s="194"/>
      <c r="N3938" s="317"/>
      <c r="O3938" s="317"/>
      <c r="P3938" s="317"/>
      <c r="Q3938" s="317"/>
      <c r="R3938" s="317"/>
      <c r="S3938" s="317"/>
      <c r="T3938" s="317"/>
      <c r="U3938" s="317"/>
      <c r="V3938" s="317"/>
      <c r="W3938" s="317"/>
      <c r="X3938" s="317"/>
      <c r="Y3938" s="317"/>
      <c r="Z3938" s="317"/>
    </row>
    <row r="3939" spans="1:26" x14ac:dyDescent="0.25">
      <c r="A3939" s="314"/>
      <c r="B3939" s="18">
        <v>2023</v>
      </c>
      <c r="C3939" s="18" t="s">
        <v>743</v>
      </c>
      <c r="D3939" s="18" t="s">
        <v>1744</v>
      </c>
      <c r="E3939" s="18" t="s">
        <v>703</v>
      </c>
      <c r="F3939" s="18" t="s">
        <v>704</v>
      </c>
      <c r="G3939" s="18" t="s">
        <v>678</v>
      </c>
      <c r="H3939" s="18" t="s">
        <v>1745</v>
      </c>
      <c r="I3939" s="315">
        <v>1.03050851802219</v>
      </c>
      <c r="J3939" s="315">
        <v>6.5976507866574643E-4</v>
      </c>
      <c r="K3939" s="316" t="str">
        <f t="shared" si="60"/>
        <v>Agricultural Equipment</v>
      </c>
      <c r="L3939" s="316" t="str">
        <f t="shared" si="61"/>
        <v>Gasoline</v>
      </c>
      <c r="M3939" s="194"/>
      <c r="N3939" s="317"/>
      <c r="O3939" s="317"/>
      <c r="P3939" s="317"/>
      <c r="Q3939" s="317"/>
      <c r="R3939" s="317"/>
      <c r="S3939" s="317"/>
      <c r="T3939" s="317"/>
      <c r="U3939" s="317"/>
      <c r="V3939" s="317"/>
      <c r="W3939" s="317"/>
      <c r="X3939" s="317"/>
      <c r="Y3939" s="317"/>
      <c r="Z3939" s="317"/>
    </row>
    <row r="3940" spans="1:26" x14ac:dyDescent="0.25">
      <c r="A3940" s="314"/>
      <c r="B3940" s="18">
        <v>2023</v>
      </c>
      <c r="C3940" s="18" t="s">
        <v>778</v>
      </c>
      <c r="D3940" s="18" t="s">
        <v>1445</v>
      </c>
      <c r="E3940" s="18" t="s">
        <v>56</v>
      </c>
      <c r="F3940" s="18" t="s">
        <v>601</v>
      </c>
      <c r="G3940" s="18" t="s">
        <v>677</v>
      </c>
      <c r="H3940" s="18" t="s">
        <v>841</v>
      </c>
      <c r="I3940" s="315">
        <v>1.0253574350953727</v>
      </c>
      <c r="J3940" s="315">
        <v>1.1140096542580765E-2</v>
      </c>
      <c r="K3940" s="316" t="str">
        <f t="shared" si="60"/>
        <v>Commercial Equipment</v>
      </c>
      <c r="L3940" s="316" t="str">
        <f t="shared" si="61"/>
        <v>CNG</v>
      </c>
      <c r="M3940" s="194"/>
      <c r="N3940" s="317"/>
      <c r="O3940" s="317"/>
      <c r="P3940" s="317"/>
      <c r="Q3940" s="317"/>
      <c r="R3940" s="317"/>
      <c r="S3940" s="317"/>
      <c r="T3940" s="317"/>
      <c r="U3940" s="317"/>
      <c r="V3940" s="317"/>
      <c r="W3940" s="317"/>
      <c r="X3940" s="317"/>
      <c r="Y3940" s="317"/>
      <c r="Z3940" s="317"/>
    </row>
    <row r="3941" spans="1:26" x14ac:dyDescent="0.25">
      <c r="A3941" s="314"/>
      <c r="B3941" s="18">
        <v>2023</v>
      </c>
      <c r="C3941" s="18" t="s">
        <v>792</v>
      </c>
      <c r="D3941" s="18" t="s">
        <v>1460</v>
      </c>
      <c r="E3941" s="18" t="s">
        <v>703</v>
      </c>
      <c r="F3941" s="18" t="s">
        <v>704</v>
      </c>
      <c r="G3941" s="18" t="s">
        <v>678</v>
      </c>
      <c r="H3941" s="18" t="s">
        <v>1080</v>
      </c>
      <c r="I3941" s="315">
        <v>1.0227505544248696</v>
      </c>
      <c r="J3941" s="315">
        <v>6.2506960276332451E-4</v>
      </c>
      <c r="K3941" s="316" t="str">
        <f t="shared" si="60"/>
        <v>Agricultural Equipment</v>
      </c>
      <c r="L3941" s="316" t="str">
        <f t="shared" si="61"/>
        <v>Gasoline</v>
      </c>
      <c r="M3941" s="194"/>
      <c r="N3941" s="317"/>
      <c r="O3941" s="317"/>
      <c r="P3941" s="317"/>
      <c r="Q3941" s="317"/>
      <c r="R3941" s="317"/>
      <c r="S3941" s="317"/>
      <c r="T3941" s="317"/>
      <c r="U3941" s="317"/>
      <c r="V3941" s="317"/>
      <c r="W3941" s="317"/>
      <c r="X3941" s="317"/>
      <c r="Y3941" s="317"/>
      <c r="Z3941" s="317"/>
    </row>
    <row r="3942" spans="1:26" x14ac:dyDescent="0.25">
      <c r="A3942" s="314"/>
      <c r="B3942" s="18">
        <v>2023</v>
      </c>
      <c r="C3942" s="18" t="s">
        <v>754</v>
      </c>
      <c r="D3942" s="18" t="s">
        <v>1583</v>
      </c>
      <c r="E3942" s="18" t="s">
        <v>703</v>
      </c>
      <c r="F3942" s="18" t="s">
        <v>805</v>
      </c>
      <c r="G3942" s="18" t="s">
        <v>674</v>
      </c>
      <c r="H3942" s="18" t="s">
        <v>1036</v>
      </c>
      <c r="I3942" s="315">
        <v>1.0170722361460522</v>
      </c>
      <c r="J3942" s="315">
        <v>2.1049735467790925E-3</v>
      </c>
      <c r="K3942" s="316" t="str">
        <f t="shared" si="60"/>
        <v>Construction and Mining Equipment</v>
      </c>
      <c r="L3942" s="316" t="str">
        <f t="shared" si="61"/>
        <v>Gasoline</v>
      </c>
      <c r="M3942" s="194"/>
      <c r="N3942" s="317"/>
      <c r="O3942" s="317"/>
      <c r="P3942" s="317"/>
      <c r="Q3942" s="317"/>
      <c r="R3942" s="317"/>
      <c r="S3942" s="317"/>
      <c r="T3942" s="317"/>
      <c r="U3942" s="317"/>
      <c r="V3942" s="317"/>
      <c r="W3942" s="317"/>
      <c r="X3942" s="317"/>
      <c r="Y3942" s="317"/>
      <c r="Z3942" s="317"/>
    </row>
    <row r="3943" spans="1:26" ht="12.75" x14ac:dyDescent="0.2">
      <c r="A3943" s="230"/>
      <c r="B3943" s="18">
        <v>2023</v>
      </c>
      <c r="C3943" s="18" t="s">
        <v>810</v>
      </c>
      <c r="D3943" s="18" t="s">
        <v>1657</v>
      </c>
      <c r="E3943" s="18" t="s">
        <v>713</v>
      </c>
      <c r="F3943" s="18" t="s">
        <v>714</v>
      </c>
      <c r="G3943" s="18" t="s">
        <v>678</v>
      </c>
      <c r="H3943" s="18" t="s">
        <v>1638</v>
      </c>
      <c r="I3943" s="315">
        <v>1.0157103841433601</v>
      </c>
      <c r="J3943" s="315">
        <v>1.127213011611387E-5</v>
      </c>
      <c r="K3943" s="316" t="str">
        <f t="shared" si="60"/>
        <v>Agricultural Equipment</v>
      </c>
      <c r="L3943" s="316" t="str">
        <f t="shared" si="61"/>
        <v>Diesel</v>
      </c>
      <c r="M3943" s="8"/>
      <c r="N3943" s="2"/>
      <c r="O3943" s="2"/>
      <c r="P3943" s="2"/>
      <c r="Q3943" s="2"/>
      <c r="R3943" s="2"/>
      <c r="S3943" s="2"/>
      <c r="T3943" s="2"/>
      <c r="U3943" s="2"/>
      <c r="V3943" s="2"/>
      <c r="W3943" s="2"/>
      <c r="X3943" s="2"/>
      <c r="Y3943" s="2"/>
      <c r="Z3943" s="2"/>
    </row>
    <row r="3944" spans="1:26" ht="12.75" x14ac:dyDescent="0.2">
      <c r="A3944" s="230"/>
      <c r="B3944" s="18">
        <v>2023</v>
      </c>
      <c r="C3944" s="18" t="s">
        <v>753</v>
      </c>
      <c r="D3944" s="18" t="s">
        <v>1416</v>
      </c>
      <c r="E3944" s="18" t="s">
        <v>56</v>
      </c>
      <c r="F3944" s="18" t="s">
        <v>672</v>
      </c>
      <c r="G3944" s="18" t="s">
        <v>674</v>
      </c>
      <c r="H3944" s="18" t="s">
        <v>861</v>
      </c>
      <c r="I3944" s="315">
        <v>1.0127150615212879</v>
      </c>
      <c r="J3944" s="315">
        <v>6.8405245664509597E-4</v>
      </c>
      <c r="K3944" s="316" t="str">
        <f t="shared" si="60"/>
        <v>Construction and Mining Equipment</v>
      </c>
      <c r="L3944" s="316" t="str">
        <f t="shared" si="61"/>
        <v>LPG</v>
      </c>
      <c r="M3944" s="8"/>
      <c r="N3944" s="2"/>
      <c r="O3944" s="2"/>
      <c r="P3944" s="2"/>
      <c r="Q3944" s="2"/>
      <c r="R3944" s="2"/>
      <c r="S3944" s="2"/>
      <c r="T3944" s="2"/>
      <c r="U3944" s="2"/>
      <c r="V3944" s="2"/>
      <c r="W3944" s="2"/>
      <c r="X3944" s="2"/>
      <c r="Y3944" s="2"/>
      <c r="Z3944" s="2"/>
    </row>
    <row r="3945" spans="1:26" ht="12.75" x14ac:dyDescent="0.2">
      <c r="A3945" s="230"/>
      <c r="B3945" s="18">
        <v>2023</v>
      </c>
      <c r="C3945" s="18" t="s">
        <v>759</v>
      </c>
      <c r="D3945" s="18" t="s">
        <v>1212</v>
      </c>
      <c r="E3945" s="18" t="s">
        <v>56</v>
      </c>
      <c r="F3945" s="18" t="s">
        <v>672</v>
      </c>
      <c r="G3945" s="18" t="s">
        <v>675</v>
      </c>
      <c r="H3945" s="18" t="s">
        <v>798</v>
      </c>
      <c r="I3945" s="315">
        <v>1.0084132201793181</v>
      </c>
      <c r="J3945" s="315">
        <v>4.5563929381917044E-5</v>
      </c>
      <c r="K3945" s="316" t="str">
        <f t="shared" si="60"/>
        <v>Industrial Equipment</v>
      </c>
      <c r="L3945" s="316" t="str">
        <f t="shared" si="61"/>
        <v>LPG</v>
      </c>
      <c r="M3945" s="8"/>
      <c r="N3945" s="2"/>
      <c r="O3945" s="2"/>
      <c r="P3945" s="2"/>
      <c r="Q3945" s="2"/>
      <c r="R3945" s="2"/>
      <c r="S3945" s="2"/>
      <c r="T3945" s="2"/>
      <c r="U3945" s="2"/>
      <c r="V3945" s="2"/>
      <c r="W3945" s="2"/>
      <c r="X3945" s="2"/>
      <c r="Y3945" s="2"/>
      <c r="Z3945" s="2"/>
    </row>
    <row r="3946" spans="1:26" ht="12.75" x14ac:dyDescent="0.2">
      <c r="A3946" s="230"/>
      <c r="B3946" s="18">
        <v>2023</v>
      </c>
      <c r="C3946" s="18" t="s">
        <v>773</v>
      </c>
      <c r="D3946" s="18" t="s">
        <v>1617</v>
      </c>
      <c r="E3946" s="18" t="s">
        <v>703</v>
      </c>
      <c r="F3946" s="18" t="s">
        <v>805</v>
      </c>
      <c r="G3946" s="18" t="s">
        <v>675</v>
      </c>
      <c r="H3946" s="18" t="s">
        <v>802</v>
      </c>
      <c r="I3946" s="315">
        <v>1.0032607627946286</v>
      </c>
      <c r="J3946" s="315">
        <v>2.2416923529404377E-3</v>
      </c>
      <c r="K3946" s="316" t="str">
        <f t="shared" si="60"/>
        <v>Industrial Equipment</v>
      </c>
      <c r="L3946" s="316" t="str">
        <f t="shared" si="61"/>
        <v>Gasoline</v>
      </c>
      <c r="M3946" s="8"/>
      <c r="N3946" s="2"/>
      <c r="O3946" s="2"/>
      <c r="P3946" s="2"/>
      <c r="Q3946" s="2"/>
      <c r="R3946" s="2"/>
      <c r="S3946" s="2"/>
      <c r="T3946" s="2"/>
      <c r="U3946" s="2"/>
      <c r="V3946" s="2"/>
      <c r="W3946" s="2"/>
      <c r="X3946" s="2"/>
      <c r="Y3946" s="2"/>
      <c r="Z3946" s="2"/>
    </row>
    <row r="3947" spans="1:26" ht="12.75" x14ac:dyDescent="0.2">
      <c r="A3947" s="230"/>
      <c r="B3947" s="18">
        <v>2023</v>
      </c>
      <c r="C3947" s="18" t="s">
        <v>778</v>
      </c>
      <c r="D3947" s="18" t="s">
        <v>1637</v>
      </c>
      <c r="E3947" s="18" t="s">
        <v>703</v>
      </c>
      <c r="F3947" s="18" t="s">
        <v>704</v>
      </c>
      <c r="G3947" s="18" t="s">
        <v>678</v>
      </c>
      <c r="H3947" s="18" t="s">
        <v>1638</v>
      </c>
      <c r="I3947" s="315">
        <v>0.99935100138813748</v>
      </c>
      <c r="J3947" s="315">
        <v>5.9549483700748656E-4</v>
      </c>
      <c r="K3947" s="316" t="str">
        <f t="shared" si="60"/>
        <v>Agricultural Equipment</v>
      </c>
      <c r="L3947" s="316" t="str">
        <f t="shared" si="61"/>
        <v>Gasoline</v>
      </c>
      <c r="M3947" s="8"/>
      <c r="N3947" s="2"/>
      <c r="O3947" s="2"/>
      <c r="P3947" s="2"/>
      <c r="Q3947" s="2"/>
      <c r="R3947" s="2"/>
      <c r="S3947" s="2"/>
      <c r="T3947" s="2"/>
      <c r="U3947" s="2"/>
      <c r="V3947" s="2"/>
      <c r="W3947" s="2"/>
      <c r="X3947" s="2"/>
      <c r="Y3947" s="2"/>
      <c r="Z3947" s="2"/>
    </row>
    <row r="3948" spans="1:26" ht="12.75" x14ac:dyDescent="0.2">
      <c r="A3948" s="230"/>
      <c r="B3948" s="18">
        <v>2023</v>
      </c>
      <c r="C3948" s="18" t="s">
        <v>750</v>
      </c>
      <c r="D3948" s="18" t="s">
        <v>1483</v>
      </c>
      <c r="E3948" s="18" t="s">
        <v>703</v>
      </c>
      <c r="F3948" s="18" t="s">
        <v>805</v>
      </c>
      <c r="G3948" s="18" t="s">
        <v>674</v>
      </c>
      <c r="H3948" s="18" t="s">
        <v>994</v>
      </c>
      <c r="I3948" s="315">
        <v>0.99783776414377667</v>
      </c>
      <c r="J3948" s="315">
        <v>2.0921432931999382E-3</v>
      </c>
      <c r="K3948" s="316" t="str">
        <f t="shared" si="60"/>
        <v>Construction and Mining Equipment</v>
      </c>
      <c r="L3948" s="316" t="str">
        <f t="shared" si="61"/>
        <v>Gasoline</v>
      </c>
      <c r="M3948" s="8"/>
      <c r="N3948" s="2"/>
      <c r="O3948" s="2"/>
      <c r="P3948" s="2"/>
      <c r="Q3948" s="2"/>
      <c r="R3948" s="2"/>
      <c r="S3948" s="2"/>
      <c r="T3948" s="2"/>
      <c r="U3948" s="2"/>
      <c r="V3948" s="2"/>
      <c r="W3948" s="2"/>
      <c r="X3948" s="2"/>
      <c r="Y3948" s="2"/>
      <c r="Z3948" s="2"/>
    </row>
    <row r="3949" spans="1:26" ht="12.75" x14ac:dyDescent="0.2">
      <c r="A3949" s="230"/>
      <c r="B3949" s="18">
        <v>2023</v>
      </c>
      <c r="C3949" s="18" t="s">
        <v>781</v>
      </c>
      <c r="D3949" s="18" t="s">
        <v>1215</v>
      </c>
      <c r="E3949" s="18" t="s">
        <v>56</v>
      </c>
      <c r="F3949" s="18" t="s">
        <v>672</v>
      </c>
      <c r="G3949" s="18" t="s">
        <v>674</v>
      </c>
      <c r="H3949" s="18" t="s">
        <v>756</v>
      </c>
      <c r="I3949" s="315">
        <v>0.9772853043110773</v>
      </c>
      <c r="J3949" s="315">
        <v>1.8080185433241348E-4</v>
      </c>
      <c r="K3949" s="316" t="str">
        <f t="shared" si="60"/>
        <v>Construction and Mining Equipment</v>
      </c>
      <c r="L3949" s="316" t="str">
        <f t="shared" si="61"/>
        <v>LPG</v>
      </c>
      <c r="M3949" s="8"/>
      <c r="N3949" s="2"/>
      <c r="O3949" s="2"/>
      <c r="P3949" s="2"/>
      <c r="Q3949" s="2"/>
      <c r="R3949" s="2"/>
      <c r="S3949" s="2"/>
      <c r="T3949" s="2"/>
      <c r="U3949" s="2"/>
      <c r="V3949" s="2"/>
      <c r="W3949" s="2"/>
      <c r="X3949" s="2"/>
      <c r="Y3949" s="2"/>
      <c r="Z3949" s="2"/>
    </row>
    <row r="3950" spans="1:26" ht="12.75" x14ac:dyDescent="0.2">
      <c r="A3950" s="230"/>
      <c r="B3950" s="18">
        <v>2023</v>
      </c>
      <c r="C3950" s="18" t="s">
        <v>793</v>
      </c>
      <c r="D3950" s="18" t="s">
        <v>1317</v>
      </c>
      <c r="E3950" s="18" t="s">
        <v>713</v>
      </c>
      <c r="F3950" s="18" t="s">
        <v>714</v>
      </c>
      <c r="G3950" s="18" t="s">
        <v>673</v>
      </c>
      <c r="H3950" s="18" t="s">
        <v>865</v>
      </c>
      <c r="I3950" s="315">
        <v>0.97066412858711537</v>
      </c>
      <c r="J3950" s="315">
        <v>3.0656623683000128E-5</v>
      </c>
      <c r="K3950" s="316" t="str">
        <f t="shared" si="60"/>
        <v>Lawn and Garden Equipment</v>
      </c>
      <c r="L3950" s="316" t="str">
        <f t="shared" si="61"/>
        <v>Diesel</v>
      </c>
      <c r="M3950" s="8"/>
      <c r="N3950" s="2"/>
      <c r="O3950" s="2"/>
      <c r="P3950" s="2"/>
      <c r="Q3950" s="2"/>
      <c r="R3950" s="2"/>
      <c r="S3950" s="2"/>
      <c r="T3950" s="2"/>
      <c r="U3950" s="2"/>
      <c r="V3950" s="2"/>
      <c r="W3950" s="2"/>
      <c r="X3950" s="2"/>
      <c r="Y3950" s="2"/>
      <c r="Z3950" s="2"/>
    </row>
    <row r="3951" spans="1:26" ht="12.75" x14ac:dyDescent="0.2">
      <c r="A3951" s="230"/>
      <c r="B3951" s="18">
        <v>2023</v>
      </c>
      <c r="C3951" s="18" t="s">
        <v>753</v>
      </c>
      <c r="D3951" s="18" t="s">
        <v>1425</v>
      </c>
      <c r="E3951" s="18" t="s">
        <v>56</v>
      </c>
      <c r="F3951" s="18" t="s">
        <v>672</v>
      </c>
      <c r="G3951" s="18" t="s">
        <v>674</v>
      </c>
      <c r="H3951" s="18" t="s">
        <v>791</v>
      </c>
      <c r="I3951" s="315">
        <v>0.97031027286396154</v>
      </c>
      <c r="J3951" s="315">
        <v>1.8652484630033304E-4</v>
      </c>
      <c r="K3951" s="316" t="str">
        <f t="shared" si="60"/>
        <v>Construction and Mining Equipment</v>
      </c>
      <c r="L3951" s="316" t="str">
        <f t="shared" si="61"/>
        <v>LPG</v>
      </c>
      <c r="M3951" s="8"/>
      <c r="N3951" s="2"/>
      <c r="O3951" s="2"/>
      <c r="P3951" s="2"/>
      <c r="Q3951" s="2"/>
      <c r="R3951" s="2"/>
      <c r="S3951" s="2"/>
      <c r="T3951" s="2"/>
      <c r="U3951" s="2"/>
      <c r="V3951" s="2"/>
      <c r="W3951" s="2"/>
      <c r="X3951" s="2"/>
      <c r="Y3951" s="2"/>
      <c r="Z3951" s="2"/>
    </row>
    <row r="3952" spans="1:26" ht="12.75" x14ac:dyDescent="0.2">
      <c r="A3952" s="230"/>
      <c r="B3952" s="18">
        <v>2023</v>
      </c>
      <c r="C3952" s="18" t="s">
        <v>731</v>
      </c>
      <c r="D3952" s="18" t="s">
        <v>1281</v>
      </c>
      <c r="E3952" s="18" t="s">
        <v>703</v>
      </c>
      <c r="F3952" s="18" t="s">
        <v>704</v>
      </c>
      <c r="G3952" s="18" t="s">
        <v>674</v>
      </c>
      <c r="H3952" s="18" t="s">
        <v>770</v>
      </c>
      <c r="I3952" s="315">
        <v>0.96732016596941284</v>
      </c>
      <c r="J3952" s="315">
        <v>1.0641254391180459E-4</v>
      </c>
      <c r="K3952" s="316" t="str">
        <f t="shared" si="60"/>
        <v>Construction and Mining Equipment</v>
      </c>
      <c r="L3952" s="316" t="str">
        <f t="shared" si="61"/>
        <v>Gasoline</v>
      </c>
      <c r="M3952" s="8"/>
      <c r="N3952" s="2"/>
      <c r="O3952" s="2"/>
      <c r="P3952" s="2"/>
      <c r="Q3952" s="2"/>
      <c r="R3952" s="2"/>
      <c r="S3952" s="2"/>
      <c r="T3952" s="2"/>
      <c r="U3952" s="2"/>
      <c r="V3952" s="2"/>
      <c r="W3952" s="2"/>
      <c r="X3952" s="2"/>
      <c r="Y3952" s="2"/>
      <c r="Z3952" s="2"/>
    </row>
    <row r="3953" spans="1:26" ht="12.75" x14ac:dyDescent="0.2">
      <c r="A3953" s="230"/>
      <c r="B3953" s="18">
        <v>2023</v>
      </c>
      <c r="C3953" s="18" t="s">
        <v>773</v>
      </c>
      <c r="D3953" s="18" t="s">
        <v>1708</v>
      </c>
      <c r="E3953" s="18" t="s">
        <v>703</v>
      </c>
      <c r="F3953" s="18" t="s">
        <v>704</v>
      </c>
      <c r="G3953" s="18" t="s">
        <v>678</v>
      </c>
      <c r="H3953" s="18" t="s">
        <v>1709</v>
      </c>
      <c r="I3953" s="315">
        <v>0.96290071967014701</v>
      </c>
      <c r="J3953" s="315">
        <v>6.4845431122841969E-4</v>
      </c>
      <c r="K3953" s="316" t="str">
        <f t="shared" si="60"/>
        <v>Agricultural Equipment</v>
      </c>
      <c r="L3953" s="316" t="str">
        <f t="shared" si="61"/>
        <v>Gasoline</v>
      </c>
      <c r="M3953" s="8"/>
      <c r="N3953" s="2"/>
      <c r="O3953" s="2"/>
      <c r="P3953" s="2"/>
      <c r="Q3953" s="2"/>
      <c r="R3953" s="2"/>
      <c r="S3953" s="2"/>
      <c r="T3953" s="2"/>
      <c r="U3953" s="2"/>
      <c r="V3953" s="2"/>
      <c r="W3953" s="2"/>
      <c r="X3953" s="2"/>
      <c r="Y3953" s="2"/>
      <c r="Z3953" s="2"/>
    </row>
    <row r="3954" spans="1:26" ht="12.75" x14ac:dyDescent="0.2">
      <c r="A3954" s="230"/>
      <c r="B3954" s="18">
        <v>2023</v>
      </c>
      <c r="C3954" s="18" t="s">
        <v>786</v>
      </c>
      <c r="D3954" s="18" t="s">
        <v>1281</v>
      </c>
      <c r="E3954" s="18" t="s">
        <v>703</v>
      </c>
      <c r="F3954" s="18" t="s">
        <v>704</v>
      </c>
      <c r="G3954" s="18" t="s">
        <v>674</v>
      </c>
      <c r="H3954" s="18" t="s">
        <v>770</v>
      </c>
      <c r="I3954" s="315">
        <v>0.96073197232295193</v>
      </c>
      <c r="J3954" s="315">
        <v>1.0597194268828237E-4</v>
      </c>
      <c r="K3954" s="316" t="str">
        <f t="shared" si="60"/>
        <v>Construction and Mining Equipment</v>
      </c>
      <c r="L3954" s="316" t="str">
        <f t="shared" si="61"/>
        <v>Gasoline</v>
      </c>
      <c r="M3954" s="8"/>
      <c r="N3954" s="2"/>
      <c r="O3954" s="2"/>
      <c r="P3954" s="2"/>
      <c r="Q3954" s="2"/>
      <c r="R3954" s="2"/>
      <c r="S3954" s="2"/>
      <c r="T3954" s="2"/>
      <c r="U3954" s="2"/>
      <c r="V3954" s="2"/>
      <c r="W3954" s="2"/>
      <c r="X3954" s="2"/>
      <c r="Y3954" s="2"/>
      <c r="Z3954" s="2"/>
    </row>
    <row r="3955" spans="1:26" ht="12.75" x14ac:dyDescent="0.2">
      <c r="A3955" s="230"/>
      <c r="B3955" s="18">
        <v>2023</v>
      </c>
      <c r="C3955" s="18" t="s">
        <v>810</v>
      </c>
      <c r="D3955" s="18" t="s">
        <v>1416</v>
      </c>
      <c r="E3955" s="18" t="s">
        <v>56</v>
      </c>
      <c r="F3955" s="18" t="s">
        <v>672</v>
      </c>
      <c r="G3955" s="18" t="s">
        <v>674</v>
      </c>
      <c r="H3955" s="18" t="s">
        <v>861</v>
      </c>
      <c r="I3955" s="315">
        <v>0.95449916494652087</v>
      </c>
      <c r="J3955" s="315">
        <v>6.4472966519591574E-4</v>
      </c>
      <c r="K3955" s="316" t="str">
        <f t="shared" si="60"/>
        <v>Construction and Mining Equipment</v>
      </c>
      <c r="L3955" s="316" t="str">
        <f t="shared" si="61"/>
        <v>LPG</v>
      </c>
      <c r="M3955" s="8"/>
      <c r="N3955" s="2"/>
      <c r="O3955" s="2"/>
      <c r="P3955" s="2"/>
      <c r="Q3955" s="2"/>
      <c r="R3955" s="2"/>
      <c r="S3955" s="2"/>
      <c r="T3955" s="2"/>
      <c r="U3955" s="2"/>
      <c r="V3955" s="2"/>
      <c r="W3955" s="2"/>
      <c r="X3955" s="2"/>
      <c r="Y3955" s="2"/>
      <c r="Z3955" s="2"/>
    </row>
    <row r="3956" spans="1:26" ht="12.75" x14ac:dyDescent="0.2">
      <c r="A3956" s="230"/>
      <c r="B3956" s="18">
        <v>2023</v>
      </c>
      <c r="C3956" s="18" t="s">
        <v>759</v>
      </c>
      <c r="D3956" s="18" t="s">
        <v>1657</v>
      </c>
      <c r="E3956" s="18" t="s">
        <v>713</v>
      </c>
      <c r="F3956" s="18" t="s">
        <v>714</v>
      </c>
      <c r="G3956" s="18" t="s">
        <v>678</v>
      </c>
      <c r="H3956" s="18" t="s">
        <v>1638</v>
      </c>
      <c r="I3956" s="315">
        <v>0.95160007708238448</v>
      </c>
      <c r="J3956" s="315">
        <v>1.0560639354783147E-5</v>
      </c>
      <c r="K3956" s="316" t="str">
        <f t="shared" si="60"/>
        <v>Agricultural Equipment</v>
      </c>
      <c r="L3956" s="316" t="str">
        <f t="shared" si="61"/>
        <v>Diesel</v>
      </c>
      <c r="M3956" s="8"/>
      <c r="N3956" s="2"/>
      <c r="O3956" s="2"/>
      <c r="P3956" s="2"/>
      <c r="Q3956" s="2"/>
      <c r="R3956" s="2"/>
      <c r="S3956" s="2"/>
      <c r="T3956" s="2"/>
      <c r="U3956" s="2"/>
      <c r="V3956" s="2"/>
      <c r="W3956" s="2"/>
      <c r="X3956" s="2"/>
      <c r="Y3956" s="2"/>
      <c r="Z3956" s="2"/>
    </row>
    <row r="3957" spans="1:26" ht="12.75" x14ac:dyDescent="0.2">
      <c r="A3957" s="230"/>
      <c r="B3957" s="18">
        <v>2023</v>
      </c>
      <c r="C3957" s="18" t="s">
        <v>732</v>
      </c>
      <c r="D3957" s="18" t="s">
        <v>1654</v>
      </c>
      <c r="E3957" s="18" t="s">
        <v>56</v>
      </c>
      <c r="F3957" s="18" t="s">
        <v>672</v>
      </c>
      <c r="G3957" s="18" t="s">
        <v>674</v>
      </c>
      <c r="H3957" s="18" t="s">
        <v>994</v>
      </c>
      <c r="I3957" s="315">
        <v>0.94938916121428607</v>
      </c>
      <c r="J3957" s="315">
        <v>2.3534483846664316E-4</v>
      </c>
      <c r="K3957" s="316" t="str">
        <f t="shared" si="60"/>
        <v>Construction and Mining Equipment</v>
      </c>
      <c r="L3957" s="316" t="str">
        <f t="shared" si="61"/>
        <v>LPG</v>
      </c>
      <c r="M3957" s="8"/>
      <c r="N3957" s="2"/>
      <c r="O3957" s="2"/>
      <c r="P3957" s="2"/>
      <c r="Q3957" s="2"/>
      <c r="R3957" s="2"/>
      <c r="S3957" s="2"/>
      <c r="T3957" s="2"/>
      <c r="U3957" s="2"/>
      <c r="V3957" s="2"/>
      <c r="W3957" s="2"/>
      <c r="X3957" s="2"/>
      <c r="Y3957" s="2"/>
      <c r="Z3957" s="2"/>
    </row>
    <row r="3958" spans="1:26" ht="12.75" x14ac:dyDescent="0.2">
      <c r="A3958" s="230"/>
      <c r="B3958" s="18">
        <v>2023</v>
      </c>
      <c r="C3958" s="18" t="s">
        <v>787</v>
      </c>
      <c r="D3958" s="18" t="s">
        <v>1564</v>
      </c>
      <c r="E3958" s="18" t="s">
        <v>703</v>
      </c>
      <c r="F3958" s="18" t="s">
        <v>704</v>
      </c>
      <c r="G3958" s="18" t="s">
        <v>674</v>
      </c>
      <c r="H3958" s="18" t="s">
        <v>981</v>
      </c>
      <c r="I3958" s="315">
        <v>0.94672177358330323</v>
      </c>
      <c r="J3958" s="315">
        <v>7.0131851270107293E-4</v>
      </c>
      <c r="K3958" s="316" t="str">
        <f t="shared" si="60"/>
        <v>Construction and Mining Equipment</v>
      </c>
      <c r="L3958" s="316" t="str">
        <f t="shared" si="61"/>
        <v>Gasoline</v>
      </c>
      <c r="M3958" s="8"/>
      <c r="N3958" s="2"/>
      <c r="O3958" s="2"/>
      <c r="P3958" s="2"/>
      <c r="Q3958" s="2"/>
      <c r="R3958" s="2"/>
      <c r="S3958" s="2"/>
      <c r="T3958" s="2"/>
      <c r="U3958" s="2"/>
      <c r="V3958" s="2"/>
      <c r="W3958" s="2"/>
      <c r="X3958" s="2"/>
      <c r="Y3958" s="2"/>
      <c r="Z3958" s="2"/>
    </row>
    <row r="3959" spans="1:26" ht="12.75" x14ac:dyDescent="0.2">
      <c r="A3959" s="230"/>
      <c r="B3959" s="18">
        <v>2023</v>
      </c>
      <c r="C3959" s="18" t="s">
        <v>706</v>
      </c>
      <c r="D3959" s="18" t="s">
        <v>1825</v>
      </c>
      <c r="E3959" s="18" t="s">
        <v>56</v>
      </c>
      <c r="F3959" s="18" t="s">
        <v>601</v>
      </c>
      <c r="G3959" s="18" t="s">
        <v>674</v>
      </c>
      <c r="H3959" s="18" t="s">
        <v>859</v>
      </c>
      <c r="I3959" s="315">
        <v>0.94505334831163346</v>
      </c>
      <c r="J3959" s="315">
        <v>2.0305670891402672E-2</v>
      </c>
      <c r="K3959" s="316" t="str">
        <f t="shared" si="60"/>
        <v>Construction and Mining Equipment</v>
      </c>
      <c r="L3959" s="316" t="str">
        <f t="shared" si="61"/>
        <v>CNG</v>
      </c>
      <c r="M3959" s="8"/>
      <c r="N3959" s="2"/>
      <c r="O3959" s="2"/>
      <c r="P3959" s="2"/>
      <c r="Q3959" s="2"/>
      <c r="R3959" s="2"/>
      <c r="S3959" s="2"/>
      <c r="T3959" s="2"/>
      <c r="U3959" s="2"/>
      <c r="V3959" s="2"/>
      <c r="W3959" s="2"/>
      <c r="X3959" s="2"/>
      <c r="Y3959" s="2"/>
      <c r="Z3959" s="2"/>
    </row>
    <row r="3960" spans="1:26" ht="12.75" x14ac:dyDescent="0.2">
      <c r="A3960" s="230"/>
      <c r="B3960" s="18">
        <v>2023</v>
      </c>
      <c r="C3960" s="18" t="s">
        <v>731</v>
      </c>
      <c r="D3960" s="18" t="s">
        <v>1401</v>
      </c>
      <c r="E3960" s="18" t="s">
        <v>56</v>
      </c>
      <c r="F3960" s="18" t="s">
        <v>601</v>
      </c>
      <c r="G3960" s="18" t="s">
        <v>677</v>
      </c>
      <c r="H3960" s="18" t="s">
        <v>785</v>
      </c>
      <c r="I3960" s="315">
        <v>0.94088484546308315</v>
      </c>
      <c r="J3960" s="315">
        <v>4.0783021453330874E-3</v>
      </c>
      <c r="K3960" s="316" t="str">
        <f t="shared" si="60"/>
        <v>Commercial Equipment</v>
      </c>
      <c r="L3960" s="316" t="str">
        <f t="shared" si="61"/>
        <v>CNG</v>
      </c>
      <c r="M3960" s="8"/>
      <c r="N3960" s="2"/>
      <c r="O3960" s="2"/>
      <c r="P3960" s="2"/>
      <c r="Q3960" s="2"/>
      <c r="R3960" s="2"/>
      <c r="S3960" s="2"/>
      <c r="T3960" s="2"/>
      <c r="U3960" s="2"/>
      <c r="V3960" s="2"/>
      <c r="W3960" s="2"/>
      <c r="X3960" s="2"/>
      <c r="Y3960" s="2"/>
      <c r="Z3960" s="2"/>
    </row>
    <row r="3961" spans="1:26" ht="12.75" x14ac:dyDescent="0.2">
      <c r="A3961" s="230"/>
      <c r="B3961" s="18">
        <v>2023</v>
      </c>
      <c r="C3961" s="18" t="s">
        <v>793</v>
      </c>
      <c r="D3961" s="18" t="s">
        <v>1539</v>
      </c>
      <c r="E3961" s="18" t="s">
        <v>703</v>
      </c>
      <c r="F3961" s="18" t="s">
        <v>704</v>
      </c>
      <c r="G3961" s="18" t="s">
        <v>678</v>
      </c>
      <c r="H3961" s="18" t="s">
        <v>1230</v>
      </c>
      <c r="I3961" s="315">
        <v>0.93988570888287537</v>
      </c>
      <c r="J3961" s="315">
        <v>5.5982286005565893E-4</v>
      </c>
      <c r="K3961" s="316" t="str">
        <f t="shared" si="60"/>
        <v>Agricultural Equipment</v>
      </c>
      <c r="L3961" s="316" t="str">
        <f t="shared" si="61"/>
        <v>Gasoline</v>
      </c>
      <c r="M3961" s="8"/>
      <c r="N3961" s="2"/>
      <c r="O3961" s="2"/>
      <c r="P3961" s="2"/>
      <c r="Q3961" s="2"/>
      <c r="R3961" s="2"/>
      <c r="S3961" s="2"/>
      <c r="T3961" s="2"/>
      <c r="U3961" s="2"/>
      <c r="V3961" s="2"/>
      <c r="W3961" s="2"/>
      <c r="X3961" s="2"/>
      <c r="Y3961" s="2"/>
      <c r="Z3961" s="2"/>
    </row>
    <row r="3962" spans="1:26" ht="12.75" x14ac:dyDescent="0.2">
      <c r="A3962" s="230"/>
      <c r="B3962" s="18">
        <v>2023</v>
      </c>
      <c r="C3962" s="18" t="s">
        <v>732</v>
      </c>
      <c r="D3962" s="18" t="s">
        <v>1655</v>
      </c>
      <c r="E3962" s="18" t="s">
        <v>56</v>
      </c>
      <c r="F3962" s="18" t="s">
        <v>672</v>
      </c>
      <c r="G3962" s="18" t="s">
        <v>677</v>
      </c>
      <c r="H3962" s="18" t="s">
        <v>789</v>
      </c>
      <c r="I3962" s="315">
        <v>0.93512626312354674</v>
      </c>
      <c r="J3962" s="315">
        <v>1.3198958110401213E-4</v>
      </c>
      <c r="K3962" s="316" t="str">
        <f t="shared" si="60"/>
        <v>Commercial Equipment</v>
      </c>
      <c r="L3962" s="316" t="str">
        <f t="shared" si="61"/>
        <v>LPG</v>
      </c>
      <c r="M3962" s="8"/>
      <c r="N3962" s="2"/>
      <c r="O3962" s="2"/>
      <c r="P3962" s="2"/>
      <c r="Q3962" s="2"/>
      <c r="R3962" s="2"/>
      <c r="S3962" s="2"/>
      <c r="T3962" s="2"/>
      <c r="U3962" s="2"/>
      <c r="V3962" s="2"/>
      <c r="W3962" s="2"/>
      <c r="X3962" s="2"/>
      <c r="Y3962" s="2"/>
      <c r="Z3962" s="2"/>
    </row>
    <row r="3963" spans="1:26" ht="12.75" x14ac:dyDescent="0.2">
      <c r="A3963" s="230"/>
      <c r="B3963" s="18">
        <v>2023</v>
      </c>
      <c r="C3963" s="18" t="s">
        <v>750</v>
      </c>
      <c r="D3963" s="18" t="s">
        <v>1657</v>
      </c>
      <c r="E3963" s="18" t="s">
        <v>713</v>
      </c>
      <c r="F3963" s="18" t="s">
        <v>714</v>
      </c>
      <c r="G3963" s="18" t="s">
        <v>678</v>
      </c>
      <c r="H3963" s="18" t="s">
        <v>1638</v>
      </c>
      <c r="I3963" s="315">
        <v>0.93360258177554545</v>
      </c>
      <c r="J3963" s="315">
        <v>1.0360911497100512E-5</v>
      </c>
      <c r="K3963" s="316" t="str">
        <f t="shared" si="60"/>
        <v>Agricultural Equipment</v>
      </c>
      <c r="L3963" s="316" t="str">
        <f t="shared" si="61"/>
        <v>Diesel</v>
      </c>
      <c r="M3963" s="8"/>
      <c r="N3963" s="2"/>
      <c r="O3963" s="2"/>
      <c r="P3963" s="2"/>
      <c r="Q3963" s="2"/>
      <c r="R3963" s="2"/>
      <c r="S3963" s="2"/>
      <c r="T3963" s="2"/>
      <c r="U3963" s="2"/>
      <c r="V3963" s="2"/>
      <c r="W3963" s="2"/>
      <c r="X3963" s="2"/>
      <c r="Y3963" s="2"/>
      <c r="Z3963" s="2"/>
    </row>
    <row r="3964" spans="1:26" ht="12.75" x14ac:dyDescent="0.2">
      <c r="A3964" s="230"/>
      <c r="B3964" s="18">
        <v>2023</v>
      </c>
      <c r="C3964" s="18" t="s">
        <v>792</v>
      </c>
      <c r="D3964" s="18" t="s">
        <v>1295</v>
      </c>
      <c r="E3964" s="18" t="s">
        <v>703</v>
      </c>
      <c r="F3964" s="18" t="s">
        <v>704</v>
      </c>
      <c r="G3964" s="18" t="s">
        <v>674</v>
      </c>
      <c r="H3964" s="18" t="s">
        <v>859</v>
      </c>
      <c r="I3964" s="315">
        <v>0.92669284192147927</v>
      </c>
      <c r="J3964" s="315">
        <v>3.0081920038815363E-4</v>
      </c>
      <c r="K3964" s="316" t="str">
        <f t="shared" si="60"/>
        <v>Construction and Mining Equipment</v>
      </c>
      <c r="L3964" s="316" t="str">
        <f t="shared" si="61"/>
        <v>Gasoline</v>
      </c>
      <c r="M3964" s="8"/>
      <c r="N3964" s="2"/>
      <c r="O3964" s="2"/>
      <c r="P3964" s="2"/>
      <c r="Q3964" s="2"/>
      <c r="R3964" s="2"/>
      <c r="S3964" s="2"/>
      <c r="T3964" s="2"/>
      <c r="U3964" s="2"/>
      <c r="V3964" s="2"/>
      <c r="W3964" s="2"/>
      <c r="X3964" s="2"/>
      <c r="Y3964" s="2"/>
      <c r="Z3964" s="2"/>
    </row>
    <row r="3965" spans="1:26" ht="12.75" x14ac:dyDescent="0.2">
      <c r="A3965" s="230"/>
      <c r="B3965" s="18">
        <v>2023</v>
      </c>
      <c r="C3965" s="18" t="s">
        <v>810</v>
      </c>
      <c r="D3965" s="18" t="s">
        <v>1425</v>
      </c>
      <c r="E3965" s="18" t="s">
        <v>56</v>
      </c>
      <c r="F3965" s="18" t="s">
        <v>672</v>
      </c>
      <c r="G3965" s="18" t="s">
        <v>674</v>
      </c>
      <c r="H3965" s="18" t="s">
        <v>791</v>
      </c>
      <c r="I3965" s="315">
        <v>0.91453200427029313</v>
      </c>
      <c r="J3965" s="315">
        <v>1.7580240127102324E-4</v>
      </c>
      <c r="K3965" s="316" t="str">
        <f t="shared" si="60"/>
        <v>Construction and Mining Equipment</v>
      </c>
      <c r="L3965" s="316" t="str">
        <f t="shared" si="61"/>
        <v>LPG</v>
      </c>
      <c r="M3965" s="8"/>
      <c r="N3965" s="2"/>
      <c r="O3965" s="2"/>
      <c r="P3965" s="2"/>
      <c r="Q3965" s="2"/>
      <c r="R3965" s="2"/>
      <c r="S3965" s="2"/>
      <c r="T3965" s="2"/>
      <c r="U3965" s="2"/>
      <c r="V3965" s="2"/>
      <c r="W3965" s="2"/>
      <c r="X3965" s="2"/>
      <c r="Y3965" s="2"/>
      <c r="Z3965" s="2"/>
    </row>
    <row r="3966" spans="1:26" ht="12.75" x14ac:dyDescent="0.2">
      <c r="A3966" s="230"/>
      <c r="B3966" s="18">
        <v>2023</v>
      </c>
      <c r="C3966" s="18" t="s">
        <v>759</v>
      </c>
      <c r="D3966" s="18" t="s">
        <v>1338</v>
      </c>
      <c r="E3966" s="18" t="s">
        <v>703</v>
      </c>
      <c r="F3966" s="18" t="s">
        <v>805</v>
      </c>
      <c r="G3966" s="18" t="s">
        <v>673</v>
      </c>
      <c r="H3966" s="18" t="s">
        <v>987</v>
      </c>
      <c r="I3966" s="315">
        <v>0.91335830763814752</v>
      </c>
      <c r="J3966" s="315">
        <v>1.6678590850362717E-3</v>
      </c>
      <c r="K3966" s="316" t="str">
        <f t="shared" si="60"/>
        <v>Lawn and Garden Equipment</v>
      </c>
      <c r="L3966" s="316" t="str">
        <f t="shared" si="61"/>
        <v>Gasoline</v>
      </c>
      <c r="M3966" s="8"/>
      <c r="N3966" s="2"/>
      <c r="O3966" s="2"/>
      <c r="P3966" s="2"/>
      <c r="Q3966" s="2"/>
      <c r="R3966" s="2"/>
      <c r="S3966" s="2"/>
      <c r="T3966" s="2"/>
      <c r="U3966" s="2"/>
      <c r="V3966" s="2"/>
      <c r="W3966" s="2"/>
      <c r="X3966" s="2"/>
      <c r="Y3966" s="2"/>
      <c r="Z3966" s="2"/>
    </row>
    <row r="3967" spans="1:26" ht="12.75" x14ac:dyDescent="0.2">
      <c r="A3967" s="230"/>
      <c r="B3967" s="18">
        <v>2023</v>
      </c>
      <c r="C3967" s="18" t="s">
        <v>786</v>
      </c>
      <c r="D3967" s="18" t="s">
        <v>1338</v>
      </c>
      <c r="E3967" s="18" t="s">
        <v>703</v>
      </c>
      <c r="F3967" s="18" t="s">
        <v>805</v>
      </c>
      <c r="G3967" s="18" t="s">
        <v>673</v>
      </c>
      <c r="H3967" s="18" t="s">
        <v>987</v>
      </c>
      <c r="I3967" s="315">
        <v>0.90963397112110822</v>
      </c>
      <c r="J3967" s="315">
        <v>1.6610552105691386E-3</v>
      </c>
      <c r="K3967" s="316" t="str">
        <f t="shared" si="60"/>
        <v>Lawn and Garden Equipment</v>
      </c>
      <c r="L3967" s="316" t="str">
        <f t="shared" si="61"/>
        <v>Gasoline</v>
      </c>
      <c r="M3967" s="8"/>
      <c r="N3967" s="2"/>
      <c r="O3967" s="2"/>
      <c r="P3967" s="2"/>
      <c r="Q3967" s="2"/>
      <c r="R3967" s="2"/>
      <c r="S3967" s="2"/>
      <c r="T3967" s="2"/>
      <c r="U3967" s="2"/>
      <c r="V3967" s="2"/>
      <c r="W3967" s="2"/>
      <c r="X3967" s="2"/>
      <c r="Y3967" s="2"/>
      <c r="Z3967" s="2"/>
    </row>
    <row r="3968" spans="1:26" ht="12.75" x14ac:dyDescent="0.2">
      <c r="A3968" s="230"/>
      <c r="B3968" s="18">
        <v>2023</v>
      </c>
      <c r="C3968" s="18" t="s">
        <v>787</v>
      </c>
      <c r="D3968" s="18" t="s">
        <v>1580</v>
      </c>
      <c r="E3968" s="18" t="s">
        <v>56</v>
      </c>
      <c r="F3968" s="18" t="s">
        <v>672</v>
      </c>
      <c r="G3968" s="18" t="s">
        <v>674</v>
      </c>
      <c r="H3968" s="18" t="s">
        <v>736</v>
      </c>
      <c r="I3968" s="315">
        <v>0.9046929453414464</v>
      </c>
      <c r="J3968" s="315">
        <v>4.155954462847324E-5</v>
      </c>
      <c r="K3968" s="316" t="str">
        <f t="shared" si="60"/>
        <v>Construction and Mining Equipment</v>
      </c>
      <c r="L3968" s="316" t="str">
        <f t="shared" si="61"/>
        <v>LPG</v>
      </c>
      <c r="M3968" s="8"/>
      <c r="N3968" s="2"/>
      <c r="O3968" s="2"/>
      <c r="P3968" s="2"/>
      <c r="Q3968" s="2"/>
      <c r="R3968" s="2"/>
      <c r="S3968" s="2"/>
      <c r="T3968" s="2"/>
      <c r="U3968" s="2"/>
      <c r="V3968" s="2"/>
      <c r="W3968" s="2"/>
      <c r="X3968" s="2"/>
      <c r="Y3968" s="2"/>
      <c r="Z3968" s="2"/>
    </row>
    <row r="3969" spans="1:26" ht="12.75" x14ac:dyDescent="0.2">
      <c r="A3969" s="230"/>
      <c r="B3969" s="18">
        <v>2023</v>
      </c>
      <c r="C3969" s="18" t="s">
        <v>753</v>
      </c>
      <c r="D3969" s="18" t="s">
        <v>1445</v>
      </c>
      <c r="E3969" s="18" t="s">
        <v>56</v>
      </c>
      <c r="F3969" s="18" t="s">
        <v>601</v>
      </c>
      <c r="G3969" s="18" t="s">
        <v>677</v>
      </c>
      <c r="H3969" s="18" t="s">
        <v>841</v>
      </c>
      <c r="I3969" s="315">
        <v>0.90393374874452947</v>
      </c>
      <c r="J3969" s="315">
        <v>9.8208782266285717E-3</v>
      </c>
      <c r="K3969" s="316" t="str">
        <f t="shared" si="60"/>
        <v>Commercial Equipment</v>
      </c>
      <c r="L3969" s="316" t="str">
        <f t="shared" si="61"/>
        <v>CNG</v>
      </c>
      <c r="M3969" s="8"/>
      <c r="N3969" s="2"/>
      <c r="O3969" s="2"/>
      <c r="P3969" s="2"/>
      <c r="Q3969" s="2"/>
      <c r="R3969" s="2"/>
      <c r="S3969" s="2"/>
      <c r="T3969" s="2"/>
      <c r="U3969" s="2"/>
      <c r="V3969" s="2"/>
      <c r="W3969" s="2"/>
      <c r="X3969" s="2"/>
      <c r="Y3969" s="2"/>
      <c r="Z3969" s="2"/>
    </row>
    <row r="3970" spans="1:26" ht="12.75" x14ac:dyDescent="0.2">
      <c r="A3970" s="230"/>
      <c r="B3970" s="18">
        <v>2023</v>
      </c>
      <c r="C3970" s="18" t="s">
        <v>722</v>
      </c>
      <c r="D3970" s="18" t="s">
        <v>1637</v>
      </c>
      <c r="E3970" s="18" t="s">
        <v>703</v>
      </c>
      <c r="F3970" s="18" t="s">
        <v>704</v>
      </c>
      <c r="G3970" s="18" t="s">
        <v>678</v>
      </c>
      <c r="H3970" s="18" t="s">
        <v>1638</v>
      </c>
      <c r="I3970" s="315">
        <v>0.90344758333614805</v>
      </c>
      <c r="J3970" s="315">
        <v>5.3905401119534431E-4</v>
      </c>
      <c r="K3970" s="316" t="str">
        <f t="shared" si="60"/>
        <v>Agricultural Equipment</v>
      </c>
      <c r="L3970" s="316" t="str">
        <f t="shared" si="61"/>
        <v>Gasoline</v>
      </c>
      <c r="M3970" s="8"/>
      <c r="N3970" s="2"/>
      <c r="O3970" s="2"/>
      <c r="P3970" s="2"/>
      <c r="Q3970" s="2"/>
      <c r="R3970" s="2"/>
      <c r="S3970" s="2"/>
      <c r="T3970" s="2"/>
      <c r="U3970" s="2"/>
      <c r="V3970" s="2"/>
      <c r="W3970" s="2"/>
      <c r="X3970" s="2"/>
      <c r="Y3970" s="2"/>
      <c r="Z3970" s="2"/>
    </row>
    <row r="3971" spans="1:26" ht="12.75" x14ac:dyDescent="0.2">
      <c r="A3971" s="230"/>
      <c r="B3971" s="18">
        <v>2023</v>
      </c>
      <c r="C3971" s="18" t="s">
        <v>760</v>
      </c>
      <c r="D3971" s="18" t="s">
        <v>1655</v>
      </c>
      <c r="E3971" s="18" t="s">
        <v>56</v>
      </c>
      <c r="F3971" s="18" t="s">
        <v>672</v>
      </c>
      <c r="G3971" s="18" t="s">
        <v>677</v>
      </c>
      <c r="H3971" s="18" t="s">
        <v>789</v>
      </c>
      <c r="I3971" s="315">
        <v>0.89915993690985596</v>
      </c>
      <c r="J3971" s="315">
        <v>1.2691306972434255E-4</v>
      </c>
      <c r="K3971" s="316" t="str">
        <f t="shared" si="60"/>
        <v>Commercial Equipment</v>
      </c>
      <c r="L3971" s="316" t="str">
        <f t="shared" si="61"/>
        <v>LPG</v>
      </c>
      <c r="M3971" s="8"/>
      <c r="N3971" s="2"/>
      <c r="O3971" s="2"/>
      <c r="P3971" s="2"/>
      <c r="Q3971" s="2"/>
      <c r="R3971" s="2"/>
      <c r="S3971" s="2"/>
      <c r="T3971" s="2"/>
      <c r="U3971" s="2"/>
      <c r="V3971" s="2"/>
      <c r="W3971" s="2"/>
      <c r="X3971" s="2"/>
      <c r="Y3971" s="2"/>
      <c r="Z3971" s="2"/>
    </row>
    <row r="3972" spans="1:26" ht="12.75" x14ac:dyDescent="0.2">
      <c r="A3972" s="230"/>
      <c r="B3972" s="18">
        <v>2023</v>
      </c>
      <c r="C3972" s="18" t="s">
        <v>759</v>
      </c>
      <c r="D3972" s="18" t="s">
        <v>1213</v>
      </c>
      <c r="E3972" s="18" t="s">
        <v>56</v>
      </c>
      <c r="F3972" s="18" t="s">
        <v>672</v>
      </c>
      <c r="G3972" s="18" t="s">
        <v>674</v>
      </c>
      <c r="H3972" s="18" t="s">
        <v>715</v>
      </c>
      <c r="I3972" s="315">
        <v>0.89722466900862108</v>
      </c>
      <c r="J3972" s="315">
        <v>4.074597604248657E-5</v>
      </c>
      <c r="K3972" s="316" t="str">
        <f t="shared" si="60"/>
        <v>Construction and Mining Equipment</v>
      </c>
      <c r="L3972" s="316" t="str">
        <f t="shared" si="61"/>
        <v>LPG</v>
      </c>
      <c r="M3972" s="8"/>
      <c r="N3972" s="2"/>
      <c r="O3972" s="2"/>
      <c r="P3972" s="2"/>
      <c r="Q3972" s="2"/>
      <c r="R3972" s="2"/>
      <c r="S3972" s="2"/>
      <c r="T3972" s="2"/>
      <c r="U3972" s="2"/>
      <c r="V3972" s="2"/>
      <c r="W3972" s="2"/>
      <c r="X3972" s="2"/>
      <c r="Y3972" s="2"/>
      <c r="Z3972" s="2"/>
    </row>
    <row r="3973" spans="1:26" ht="12.75" x14ac:dyDescent="0.2">
      <c r="A3973" s="230"/>
      <c r="B3973" s="18">
        <v>2023</v>
      </c>
      <c r="C3973" s="18" t="s">
        <v>793</v>
      </c>
      <c r="D3973" s="18" t="s">
        <v>1573</v>
      </c>
      <c r="E3973" s="18" t="s">
        <v>703</v>
      </c>
      <c r="F3973" s="18" t="s">
        <v>704</v>
      </c>
      <c r="G3973" s="18" t="s">
        <v>678</v>
      </c>
      <c r="H3973" s="18" t="s">
        <v>764</v>
      </c>
      <c r="I3973" s="315">
        <v>0.89352911752414865</v>
      </c>
      <c r="J3973" s="315">
        <v>1.7354285874185963E-4</v>
      </c>
      <c r="K3973" s="316" t="str">
        <f t="shared" si="60"/>
        <v>Agricultural Equipment</v>
      </c>
      <c r="L3973" s="316" t="str">
        <f t="shared" si="61"/>
        <v>Gasoline</v>
      </c>
      <c r="M3973" s="8"/>
      <c r="N3973" s="2"/>
      <c r="O3973" s="2"/>
      <c r="P3973" s="2"/>
      <c r="Q3973" s="2"/>
      <c r="R3973" s="2"/>
      <c r="S3973" s="2"/>
      <c r="T3973" s="2"/>
      <c r="U3973" s="2"/>
      <c r="V3973" s="2"/>
      <c r="W3973" s="2"/>
      <c r="X3973" s="2"/>
      <c r="Y3973" s="2"/>
      <c r="Z3973" s="2"/>
    </row>
    <row r="3974" spans="1:26" ht="12.75" x14ac:dyDescent="0.2">
      <c r="A3974" s="230"/>
      <c r="B3974" s="18">
        <v>2023</v>
      </c>
      <c r="C3974" s="18" t="s">
        <v>787</v>
      </c>
      <c r="D3974" s="18" t="s">
        <v>1583</v>
      </c>
      <c r="E3974" s="18" t="s">
        <v>703</v>
      </c>
      <c r="F3974" s="18" t="s">
        <v>805</v>
      </c>
      <c r="G3974" s="18" t="s">
        <v>674</v>
      </c>
      <c r="H3974" s="18" t="s">
        <v>1036</v>
      </c>
      <c r="I3974" s="315">
        <v>0.89283319907305025</v>
      </c>
      <c r="J3974" s="315">
        <v>1.8478438566685827E-3</v>
      </c>
      <c r="K3974" s="316" t="str">
        <f t="shared" si="60"/>
        <v>Construction and Mining Equipment</v>
      </c>
      <c r="L3974" s="316" t="str">
        <f t="shared" si="61"/>
        <v>Gasoline</v>
      </c>
      <c r="M3974" s="8"/>
      <c r="N3974" s="2"/>
      <c r="O3974" s="2"/>
      <c r="P3974" s="2"/>
      <c r="Q3974" s="2"/>
      <c r="R3974" s="2"/>
      <c r="S3974" s="2"/>
      <c r="T3974" s="2"/>
      <c r="U3974" s="2"/>
      <c r="V3974" s="2"/>
      <c r="W3974" s="2"/>
      <c r="X3974" s="2"/>
      <c r="Y3974" s="2"/>
      <c r="Z3974" s="2"/>
    </row>
    <row r="3975" spans="1:26" ht="12.75" x14ac:dyDescent="0.2">
      <c r="A3975" s="230"/>
      <c r="B3975" s="18">
        <v>2023</v>
      </c>
      <c r="C3975" s="18" t="s">
        <v>786</v>
      </c>
      <c r="D3975" s="18" t="s">
        <v>1317</v>
      </c>
      <c r="E3975" s="18" t="s">
        <v>713</v>
      </c>
      <c r="F3975" s="18" t="s">
        <v>714</v>
      </c>
      <c r="G3975" s="18" t="s">
        <v>673</v>
      </c>
      <c r="H3975" s="18" t="s">
        <v>865</v>
      </c>
      <c r="I3975" s="315">
        <v>0.891656308166901</v>
      </c>
      <c r="J3975" s="315">
        <v>2.8161341773109488E-5</v>
      </c>
      <c r="K3975" s="316" t="str">
        <f t="shared" si="60"/>
        <v>Lawn and Garden Equipment</v>
      </c>
      <c r="L3975" s="316" t="str">
        <f t="shared" si="61"/>
        <v>Diesel</v>
      </c>
      <c r="M3975" s="8"/>
      <c r="N3975" s="2"/>
      <c r="O3975" s="2"/>
      <c r="P3975" s="2"/>
      <c r="Q3975" s="2"/>
      <c r="R3975" s="2"/>
      <c r="S3975" s="2"/>
      <c r="T3975" s="2"/>
      <c r="U3975" s="2"/>
      <c r="V3975" s="2"/>
      <c r="W3975" s="2"/>
      <c r="X3975" s="2"/>
      <c r="Y3975" s="2"/>
      <c r="Z3975" s="2"/>
    </row>
    <row r="3976" spans="1:26" ht="12.75" x14ac:dyDescent="0.2">
      <c r="A3976" s="230"/>
      <c r="B3976" s="18">
        <v>2023</v>
      </c>
      <c r="C3976" s="18" t="s">
        <v>787</v>
      </c>
      <c r="D3976" s="18" t="s">
        <v>1224</v>
      </c>
      <c r="E3976" s="18" t="s">
        <v>703</v>
      </c>
      <c r="F3976" s="18" t="s">
        <v>704</v>
      </c>
      <c r="G3976" s="18" t="s">
        <v>681</v>
      </c>
      <c r="H3976" s="18" t="s">
        <v>1225</v>
      </c>
      <c r="I3976" s="315">
        <v>0.89150418463097092</v>
      </c>
      <c r="J3976" s="315">
        <v>6.0563377198651698E-4</v>
      </c>
      <c r="K3976" s="316" t="str">
        <f t="shared" si="60"/>
        <v>Logging Equipment</v>
      </c>
      <c r="L3976" s="316" t="str">
        <f t="shared" si="61"/>
        <v>Gasoline</v>
      </c>
      <c r="M3976" s="8"/>
      <c r="N3976" s="2"/>
      <c r="O3976" s="2"/>
      <c r="P3976" s="2"/>
      <c r="Q3976" s="2"/>
      <c r="R3976" s="2"/>
      <c r="S3976" s="2"/>
      <c r="T3976" s="2"/>
      <c r="U3976" s="2"/>
      <c r="V3976" s="2"/>
      <c r="W3976" s="2"/>
      <c r="X3976" s="2"/>
      <c r="Y3976" s="2"/>
      <c r="Z3976" s="2"/>
    </row>
    <row r="3977" spans="1:26" ht="12.75" x14ac:dyDescent="0.2">
      <c r="A3977" s="230"/>
      <c r="B3977" s="18">
        <v>2023</v>
      </c>
      <c r="C3977" s="18" t="s">
        <v>759</v>
      </c>
      <c r="D3977" s="18" t="s">
        <v>1214</v>
      </c>
      <c r="E3977" s="18" t="s">
        <v>713</v>
      </c>
      <c r="F3977" s="18" t="s">
        <v>714</v>
      </c>
      <c r="G3977" s="18" t="s">
        <v>674</v>
      </c>
      <c r="H3977" s="18" t="s">
        <v>999</v>
      </c>
      <c r="I3977" s="315">
        <v>0.89019723188945121</v>
      </c>
      <c r="J3977" s="315">
        <v>2.6354241955825478E-5</v>
      </c>
      <c r="K3977" s="316" t="str">
        <f t="shared" si="60"/>
        <v>Construction and Mining Equipment</v>
      </c>
      <c r="L3977" s="316" t="str">
        <f t="shared" si="61"/>
        <v>Diesel</v>
      </c>
      <c r="M3977" s="8"/>
      <c r="N3977" s="2"/>
      <c r="O3977" s="2"/>
      <c r="P3977" s="2"/>
      <c r="Q3977" s="2"/>
      <c r="R3977" s="2"/>
      <c r="S3977" s="2"/>
      <c r="T3977" s="2"/>
      <c r="U3977" s="2"/>
      <c r="V3977" s="2"/>
      <c r="W3977" s="2"/>
      <c r="X3977" s="2"/>
      <c r="Y3977" s="2"/>
      <c r="Z3977" s="2"/>
    </row>
    <row r="3978" spans="1:26" ht="12.75" x14ac:dyDescent="0.2">
      <c r="A3978" s="230"/>
      <c r="B3978" s="18">
        <v>2023</v>
      </c>
      <c r="C3978" s="18" t="s">
        <v>750</v>
      </c>
      <c r="D3978" s="18" t="s">
        <v>1564</v>
      </c>
      <c r="E3978" s="18" t="s">
        <v>703</v>
      </c>
      <c r="F3978" s="18" t="s">
        <v>704</v>
      </c>
      <c r="G3978" s="18" t="s">
        <v>674</v>
      </c>
      <c r="H3978" s="18" t="s">
        <v>981</v>
      </c>
      <c r="I3978" s="315">
        <v>0.88510211649156678</v>
      </c>
      <c r="J3978" s="315">
        <v>6.5259237906152882E-4</v>
      </c>
      <c r="K3978" s="316" t="str">
        <f t="shared" si="60"/>
        <v>Construction and Mining Equipment</v>
      </c>
      <c r="L3978" s="316" t="str">
        <f t="shared" si="61"/>
        <v>Gasoline</v>
      </c>
      <c r="M3978" s="8"/>
      <c r="N3978" s="2"/>
      <c r="O3978" s="2"/>
      <c r="P3978" s="2"/>
      <c r="Q3978" s="2"/>
      <c r="R3978" s="2"/>
      <c r="S3978" s="2"/>
      <c r="T3978" s="2"/>
      <c r="U3978" s="2"/>
      <c r="V3978" s="2"/>
      <c r="W3978" s="2"/>
      <c r="X3978" s="2"/>
      <c r="Y3978" s="2"/>
      <c r="Z3978" s="2"/>
    </row>
    <row r="3979" spans="1:26" ht="12.75" x14ac:dyDescent="0.2">
      <c r="A3979" s="230"/>
      <c r="B3979" s="18">
        <v>2023</v>
      </c>
      <c r="C3979" s="18" t="s">
        <v>750</v>
      </c>
      <c r="D3979" s="18" t="s">
        <v>1228</v>
      </c>
      <c r="E3979" s="18" t="s">
        <v>703</v>
      </c>
      <c r="F3979" s="18" t="s">
        <v>704</v>
      </c>
      <c r="G3979" s="18" t="s">
        <v>675</v>
      </c>
      <c r="H3979" s="18" t="s">
        <v>1078</v>
      </c>
      <c r="I3979" s="315">
        <v>0.88466129826919093</v>
      </c>
      <c r="J3979" s="315">
        <v>2.9746323578412311E-4</v>
      </c>
      <c r="K3979" s="316" t="str">
        <f t="shared" si="60"/>
        <v>Industrial Equipment</v>
      </c>
      <c r="L3979" s="316" t="str">
        <f t="shared" si="61"/>
        <v>Gasoline</v>
      </c>
      <c r="M3979" s="8"/>
      <c r="N3979" s="2"/>
      <c r="O3979" s="2"/>
      <c r="P3979" s="2"/>
      <c r="Q3979" s="2"/>
      <c r="R3979" s="2"/>
      <c r="S3979" s="2"/>
      <c r="T3979" s="2"/>
      <c r="U3979" s="2"/>
      <c r="V3979" s="2"/>
      <c r="W3979" s="2"/>
      <c r="X3979" s="2"/>
      <c r="Y3979" s="2"/>
      <c r="Z3979" s="2"/>
    </row>
    <row r="3980" spans="1:26" ht="12.75" x14ac:dyDescent="0.2">
      <c r="A3980" s="230"/>
      <c r="B3980" s="18">
        <v>2023</v>
      </c>
      <c r="C3980" s="18" t="s">
        <v>754</v>
      </c>
      <c r="D3980" s="18" t="s">
        <v>1617</v>
      </c>
      <c r="E3980" s="18" t="s">
        <v>703</v>
      </c>
      <c r="F3980" s="18" t="s">
        <v>805</v>
      </c>
      <c r="G3980" s="18" t="s">
        <v>675</v>
      </c>
      <c r="H3980" s="18" t="s">
        <v>802</v>
      </c>
      <c r="I3980" s="315">
        <v>0.87909332913013527</v>
      </c>
      <c r="J3980" s="315">
        <v>1.9642502758012445E-3</v>
      </c>
      <c r="K3980" s="316" t="str">
        <f t="shared" si="60"/>
        <v>Industrial Equipment</v>
      </c>
      <c r="L3980" s="316" t="str">
        <f t="shared" si="61"/>
        <v>Gasoline</v>
      </c>
      <c r="M3980" s="8"/>
      <c r="N3980" s="2"/>
      <c r="O3980" s="2"/>
      <c r="P3980" s="2"/>
      <c r="Q3980" s="2"/>
      <c r="R3980" s="2"/>
      <c r="S3980" s="2"/>
      <c r="T3980" s="2"/>
      <c r="U3980" s="2"/>
      <c r="V3980" s="2"/>
      <c r="W3980" s="2"/>
      <c r="X3980" s="2"/>
      <c r="Y3980" s="2"/>
      <c r="Z3980" s="2"/>
    </row>
    <row r="3981" spans="1:26" ht="12.75" x14ac:dyDescent="0.2">
      <c r="A3981" s="230"/>
      <c r="B3981" s="18">
        <v>2023</v>
      </c>
      <c r="C3981" s="18" t="s">
        <v>792</v>
      </c>
      <c r="D3981" s="18" t="s">
        <v>1445</v>
      </c>
      <c r="E3981" s="18" t="s">
        <v>56</v>
      </c>
      <c r="F3981" s="18" t="s">
        <v>601</v>
      </c>
      <c r="G3981" s="18" t="s">
        <v>677</v>
      </c>
      <c r="H3981" s="18" t="s">
        <v>841</v>
      </c>
      <c r="I3981" s="315">
        <v>0.87695064033755799</v>
      </c>
      <c r="J3981" s="315">
        <v>9.5277012817006051E-3</v>
      </c>
      <c r="K3981" s="316" t="str">
        <f t="shared" si="60"/>
        <v>Commercial Equipment</v>
      </c>
      <c r="L3981" s="316" t="str">
        <f t="shared" si="61"/>
        <v>CNG</v>
      </c>
      <c r="M3981" s="8"/>
      <c r="N3981" s="2"/>
      <c r="O3981" s="2"/>
      <c r="P3981" s="2"/>
      <c r="Q3981" s="2"/>
      <c r="R3981" s="2"/>
      <c r="S3981" s="2"/>
      <c r="T3981" s="2"/>
      <c r="U3981" s="2"/>
      <c r="V3981" s="2"/>
      <c r="W3981" s="2"/>
      <c r="X3981" s="2"/>
      <c r="Y3981" s="2"/>
      <c r="Z3981" s="2"/>
    </row>
    <row r="3982" spans="1:26" ht="12.75" x14ac:dyDescent="0.2">
      <c r="A3982" s="230"/>
      <c r="B3982" s="18">
        <v>2023</v>
      </c>
      <c r="C3982" s="18" t="s">
        <v>709</v>
      </c>
      <c r="D3982" s="18" t="s">
        <v>1737</v>
      </c>
      <c r="E3982" s="18" t="s">
        <v>703</v>
      </c>
      <c r="F3982" s="18" t="s">
        <v>805</v>
      </c>
      <c r="G3982" s="18" t="s">
        <v>673</v>
      </c>
      <c r="H3982" s="18" t="s">
        <v>705</v>
      </c>
      <c r="I3982" s="315">
        <v>0.87651570135553292</v>
      </c>
      <c r="J3982" s="315">
        <v>1.7576869714863339E-3</v>
      </c>
      <c r="K3982" s="316" t="str">
        <f t="shared" si="60"/>
        <v>Lawn and Garden Equipment</v>
      </c>
      <c r="L3982" s="316" t="str">
        <f t="shared" si="61"/>
        <v>Gasoline</v>
      </c>
      <c r="M3982" s="8"/>
      <c r="N3982" s="2"/>
      <c r="O3982" s="2"/>
      <c r="P3982" s="2"/>
      <c r="Q3982" s="2"/>
      <c r="R3982" s="2"/>
      <c r="S3982" s="2"/>
      <c r="T3982" s="2"/>
      <c r="U3982" s="2"/>
      <c r="V3982" s="2"/>
      <c r="W3982" s="2"/>
      <c r="X3982" s="2"/>
      <c r="Y3982" s="2"/>
      <c r="Z3982" s="2"/>
    </row>
    <row r="3983" spans="1:26" ht="12.75" x14ac:dyDescent="0.2">
      <c r="A3983" s="230"/>
      <c r="B3983" s="18">
        <v>2023</v>
      </c>
      <c r="C3983" s="18" t="s">
        <v>762</v>
      </c>
      <c r="D3983" s="18" t="s">
        <v>1830</v>
      </c>
      <c r="E3983" s="18" t="s">
        <v>703</v>
      </c>
      <c r="F3983" s="18" t="s">
        <v>805</v>
      </c>
      <c r="G3983" s="18" t="s">
        <v>678</v>
      </c>
      <c r="H3983" s="18" t="s">
        <v>1222</v>
      </c>
      <c r="I3983" s="315">
        <v>0.87500600484221203</v>
      </c>
      <c r="J3983" s="315">
        <v>1.4374866504311982E-3</v>
      </c>
      <c r="K3983" s="316" t="str">
        <f t="shared" si="60"/>
        <v>Agricultural Equipment</v>
      </c>
      <c r="L3983" s="316" t="str">
        <f t="shared" si="61"/>
        <v>Gasoline</v>
      </c>
      <c r="M3983" s="8"/>
      <c r="N3983" s="2"/>
      <c r="O3983" s="2"/>
      <c r="P3983" s="2"/>
      <c r="Q3983" s="2"/>
      <c r="R3983" s="2"/>
      <c r="S3983" s="2"/>
      <c r="T3983" s="2"/>
      <c r="U3983" s="2"/>
      <c r="V3983" s="2"/>
      <c r="W3983" s="2"/>
      <c r="X3983" s="2"/>
      <c r="Y3983" s="2"/>
      <c r="Z3983" s="2"/>
    </row>
    <row r="3984" spans="1:26" ht="12.75" x14ac:dyDescent="0.2">
      <c r="A3984" s="230"/>
      <c r="B3984" s="18">
        <v>2023</v>
      </c>
      <c r="C3984" s="18" t="s">
        <v>753</v>
      </c>
      <c r="D3984" s="18" t="s">
        <v>1435</v>
      </c>
      <c r="E3984" s="18" t="s">
        <v>56</v>
      </c>
      <c r="F3984" s="18" t="s">
        <v>672</v>
      </c>
      <c r="G3984" s="18" t="s">
        <v>674</v>
      </c>
      <c r="H3984" s="18" t="s">
        <v>863</v>
      </c>
      <c r="I3984" s="315">
        <v>0.87074266833637515</v>
      </c>
      <c r="J3984" s="315">
        <v>5.7987802997406049E-5</v>
      </c>
      <c r="K3984" s="316" t="str">
        <f t="shared" si="60"/>
        <v>Construction and Mining Equipment</v>
      </c>
      <c r="L3984" s="316" t="str">
        <f t="shared" si="61"/>
        <v>LPG</v>
      </c>
      <c r="M3984" s="8"/>
      <c r="N3984" s="2"/>
      <c r="O3984" s="2"/>
      <c r="P3984" s="2"/>
      <c r="Q3984" s="2"/>
      <c r="R3984" s="2"/>
      <c r="S3984" s="2"/>
      <c r="T3984" s="2"/>
      <c r="U3984" s="2"/>
      <c r="V3984" s="2"/>
      <c r="W3984" s="2"/>
      <c r="X3984" s="2"/>
      <c r="Y3984" s="2"/>
      <c r="Z3984" s="2"/>
    </row>
    <row r="3985" spans="1:26" ht="12.75" x14ac:dyDescent="0.2">
      <c r="A3985" s="230"/>
      <c r="B3985" s="18">
        <v>2023</v>
      </c>
      <c r="C3985" s="18" t="s">
        <v>732</v>
      </c>
      <c r="D3985" s="18" t="s">
        <v>1656</v>
      </c>
      <c r="E3985" s="18" t="s">
        <v>56</v>
      </c>
      <c r="F3985" s="18" t="s">
        <v>672</v>
      </c>
      <c r="G3985" s="18" t="s">
        <v>677</v>
      </c>
      <c r="H3985" s="18" t="s">
        <v>1031</v>
      </c>
      <c r="I3985" s="315">
        <v>0.87061880229254618</v>
      </c>
      <c r="J3985" s="315">
        <v>4.3964070778497803E-5</v>
      </c>
      <c r="K3985" s="316" t="str">
        <f t="shared" si="60"/>
        <v>Commercial Equipment</v>
      </c>
      <c r="L3985" s="316" t="str">
        <f t="shared" si="61"/>
        <v>LPG</v>
      </c>
      <c r="M3985" s="8"/>
      <c r="N3985" s="2"/>
      <c r="O3985" s="2"/>
      <c r="P3985" s="2"/>
      <c r="Q3985" s="2"/>
      <c r="R3985" s="2"/>
      <c r="S3985" s="2"/>
      <c r="T3985" s="2"/>
      <c r="U3985" s="2"/>
      <c r="V3985" s="2"/>
      <c r="W3985" s="2"/>
      <c r="X3985" s="2"/>
      <c r="Y3985" s="2"/>
      <c r="Z3985" s="2"/>
    </row>
    <row r="3986" spans="1:26" ht="12.75" x14ac:dyDescent="0.2">
      <c r="A3986" s="230"/>
      <c r="B3986" s="18">
        <v>2023</v>
      </c>
      <c r="C3986" s="18" t="s">
        <v>706</v>
      </c>
      <c r="D3986" s="18" t="s">
        <v>1737</v>
      </c>
      <c r="E3986" s="18" t="s">
        <v>703</v>
      </c>
      <c r="F3986" s="18" t="s">
        <v>805</v>
      </c>
      <c r="G3986" s="18" t="s">
        <v>673</v>
      </c>
      <c r="H3986" s="18" t="s">
        <v>705</v>
      </c>
      <c r="I3986" s="315">
        <v>0.86747886169448418</v>
      </c>
      <c r="J3986" s="315">
        <v>1.7395642280725555E-3</v>
      </c>
      <c r="K3986" s="316" t="str">
        <f t="shared" si="60"/>
        <v>Lawn and Garden Equipment</v>
      </c>
      <c r="L3986" s="316" t="str">
        <f t="shared" si="61"/>
        <v>Gasoline</v>
      </c>
      <c r="M3986" s="8"/>
      <c r="N3986" s="2"/>
      <c r="O3986" s="2"/>
      <c r="P3986" s="2"/>
      <c r="Q3986" s="2"/>
      <c r="R3986" s="2"/>
      <c r="S3986" s="2"/>
      <c r="T3986" s="2"/>
      <c r="U3986" s="2"/>
      <c r="V3986" s="2"/>
      <c r="W3986" s="2"/>
      <c r="X3986" s="2"/>
      <c r="Y3986" s="2"/>
      <c r="Z3986" s="2"/>
    </row>
    <row r="3987" spans="1:26" x14ac:dyDescent="0.25">
      <c r="A3987" s="314"/>
      <c r="B3987" s="18">
        <v>2023</v>
      </c>
      <c r="C3987" s="18" t="s">
        <v>787</v>
      </c>
      <c r="D3987" s="18" t="s">
        <v>1445</v>
      </c>
      <c r="E3987" s="18" t="s">
        <v>56</v>
      </c>
      <c r="F3987" s="18" t="s">
        <v>601</v>
      </c>
      <c r="G3987" s="18" t="s">
        <v>677</v>
      </c>
      <c r="H3987" s="18" t="s">
        <v>841</v>
      </c>
      <c r="I3987" s="315">
        <v>0.86345945879656916</v>
      </c>
      <c r="J3987" s="315">
        <v>9.3811189716405917E-3</v>
      </c>
      <c r="K3987" s="316" t="str">
        <f t="shared" si="60"/>
        <v>Commercial Equipment</v>
      </c>
      <c r="L3987" s="316" t="str">
        <f t="shared" si="61"/>
        <v>CNG</v>
      </c>
      <c r="M3987" s="194"/>
      <c r="N3987" s="317"/>
      <c r="O3987" s="317"/>
      <c r="P3987" s="317"/>
      <c r="Q3987" s="317"/>
      <c r="R3987" s="317"/>
      <c r="S3987" s="317"/>
      <c r="T3987" s="317"/>
      <c r="U3987" s="317"/>
      <c r="V3987" s="317"/>
      <c r="W3987" s="317"/>
      <c r="X3987" s="317"/>
      <c r="Y3987" s="317"/>
      <c r="Z3987" s="317"/>
    </row>
    <row r="3988" spans="1:26" x14ac:dyDescent="0.25">
      <c r="A3988" s="314"/>
      <c r="B3988" s="18">
        <v>2023</v>
      </c>
      <c r="C3988" s="18" t="s">
        <v>731</v>
      </c>
      <c r="D3988" s="18" t="s">
        <v>1295</v>
      </c>
      <c r="E3988" s="18" t="s">
        <v>703</v>
      </c>
      <c r="F3988" s="18" t="s">
        <v>704</v>
      </c>
      <c r="G3988" s="18" t="s">
        <v>674</v>
      </c>
      <c r="H3988" s="18" t="s">
        <v>859</v>
      </c>
      <c r="I3988" s="315">
        <v>0.85999666030503052</v>
      </c>
      <c r="J3988" s="315">
        <v>2.7701144473352314E-4</v>
      </c>
      <c r="K3988" s="316" t="str">
        <f t="shared" si="60"/>
        <v>Construction and Mining Equipment</v>
      </c>
      <c r="L3988" s="316" t="str">
        <f t="shared" si="61"/>
        <v>Gasoline</v>
      </c>
      <c r="M3988" s="194"/>
      <c r="N3988" s="317"/>
      <c r="O3988" s="317"/>
      <c r="P3988" s="317"/>
      <c r="Q3988" s="317"/>
      <c r="R3988" s="317"/>
      <c r="S3988" s="317"/>
      <c r="T3988" s="317"/>
      <c r="U3988" s="317"/>
      <c r="V3988" s="317"/>
      <c r="W3988" s="317"/>
      <c r="X3988" s="317"/>
      <c r="Y3988" s="317"/>
      <c r="Z3988" s="317"/>
    </row>
    <row r="3989" spans="1:26" x14ac:dyDescent="0.25">
      <c r="A3989" s="314"/>
      <c r="B3989" s="18">
        <v>2023</v>
      </c>
      <c r="C3989" s="18" t="s">
        <v>778</v>
      </c>
      <c r="D3989" s="18" t="s">
        <v>1407</v>
      </c>
      <c r="E3989" s="18" t="s">
        <v>56</v>
      </c>
      <c r="F3989" s="18" t="s">
        <v>672</v>
      </c>
      <c r="G3989" s="18" t="s">
        <v>675</v>
      </c>
      <c r="H3989" s="18" t="s">
        <v>1078</v>
      </c>
      <c r="I3989" s="315">
        <v>0.85961935160350955</v>
      </c>
      <c r="J3989" s="315">
        <v>7.7237326950745821E-5</v>
      </c>
      <c r="K3989" s="316" t="str">
        <f t="shared" si="60"/>
        <v>Industrial Equipment</v>
      </c>
      <c r="L3989" s="316" t="str">
        <f t="shared" si="61"/>
        <v>LPG</v>
      </c>
      <c r="M3989" s="194"/>
      <c r="N3989" s="317"/>
      <c r="O3989" s="317"/>
      <c r="P3989" s="317"/>
      <c r="Q3989" s="317"/>
      <c r="R3989" s="317"/>
      <c r="S3989" s="317"/>
      <c r="T3989" s="317"/>
      <c r="U3989" s="317"/>
      <c r="V3989" s="317"/>
      <c r="W3989" s="317"/>
      <c r="X3989" s="317"/>
      <c r="Y3989" s="317"/>
      <c r="Z3989" s="317"/>
    </row>
    <row r="3990" spans="1:26" x14ac:dyDescent="0.25">
      <c r="A3990" s="314"/>
      <c r="B3990" s="18">
        <v>2023</v>
      </c>
      <c r="C3990" s="18" t="s">
        <v>759</v>
      </c>
      <c r="D3990" s="18" t="s">
        <v>1349</v>
      </c>
      <c r="E3990" s="18" t="s">
        <v>703</v>
      </c>
      <c r="F3990" s="18" t="s">
        <v>704</v>
      </c>
      <c r="G3990" s="18" t="s">
        <v>673</v>
      </c>
      <c r="H3990" s="18" t="s">
        <v>978</v>
      </c>
      <c r="I3990" s="315">
        <v>0.85832894113426472</v>
      </c>
      <c r="J3990" s="315">
        <v>5.9563443028653258E-4</v>
      </c>
      <c r="K3990" s="316" t="str">
        <f t="shared" si="60"/>
        <v>Lawn and Garden Equipment</v>
      </c>
      <c r="L3990" s="316" t="str">
        <f t="shared" si="61"/>
        <v>Gasoline</v>
      </c>
      <c r="M3990" s="194"/>
      <c r="N3990" s="317"/>
      <c r="O3990" s="317"/>
      <c r="P3990" s="317"/>
      <c r="Q3990" s="317"/>
      <c r="R3990" s="317"/>
      <c r="S3990" s="317"/>
      <c r="T3990" s="317"/>
      <c r="U3990" s="317"/>
      <c r="V3990" s="317"/>
      <c r="W3990" s="317"/>
      <c r="X3990" s="317"/>
      <c r="Y3990" s="317"/>
      <c r="Z3990" s="317"/>
    </row>
    <row r="3991" spans="1:26" x14ac:dyDescent="0.25">
      <c r="A3991" s="314"/>
      <c r="B3991" s="18">
        <v>2023</v>
      </c>
      <c r="C3991" s="18" t="s">
        <v>786</v>
      </c>
      <c r="D3991" s="18" t="s">
        <v>1349</v>
      </c>
      <c r="E3991" s="18" t="s">
        <v>703</v>
      </c>
      <c r="F3991" s="18" t="s">
        <v>704</v>
      </c>
      <c r="G3991" s="18" t="s">
        <v>673</v>
      </c>
      <c r="H3991" s="18" t="s">
        <v>978</v>
      </c>
      <c r="I3991" s="315">
        <v>0.85482901004423373</v>
      </c>
      <c r="J3991" s="315">
        <v>5.9501719337409895E-4</v>
      </c>
      <c r="K3991" s="316" t="str">
        <f t="shared" si="60"/>
        <v>Lawn and Garden Equipment</v>
      </c>
      <c r="L3991" s="316" t="str">
        <f t="shared" si="61"/>
        <v>Gasoline</v>
      </c>
      <c r="M3991" s="194"/>
      <c r="N3991" s="317"/>
      <c r="O3991" s="317"/>
      <c r="P3991" s="317"/>
      <c r="Q3991" s="317"/>
      <c r="R3991" s="317"/>
      <c r="S3991" s="317"/>
      <c r="T3991" s="317"/>
      <c r="U3991" s="317"/>
      <c r="V3991" s="317"/>
      <c r="W3991" s="317"/>
      <c r="X3991" s="317"/>
      <c r="Y3991" s="317"/>
      <c r="Z3991" s="317"/>
    </row>
    <row r="3992" spans="1:26" x14ac:dyDescent="0.25">
      <c r="A3992" s="314"/>
      <c r="B3992" s="18">
        <v>2023</v>
      </c>
      <c r="C3992" s="18" t="s">
        <v>786</v>
      </c>
      <c r="D3992" s="18" t="s">
        <v>1295</v>
      </c>
      <c r="E3992" s="18" t="s">
        <v>703</v>
      </c>
      <c r="F3992" s="18" t="s">
        <v>704</v>
      </c>
      <c r="G3992" s="18" t="s">
        <v>674</v>
      </c>
      <c r="H3992" s="18" t="s">
        <v>859</v>
      </c>
      <c r="I3992" s="315">
        <v>0.85413875395723371</v>
      </c>
      <c r="J3992" s="315">
        <v>2.757438069887265E-4</v>
      </c>
      <c r="K3992" s="316" t="str">
        <f t="shared" si="60"/>
        <v>Construction and Mining Equipment</v>
      </c>
      <c r="L3992" s="316" t="str">
        <f t="shared" si="61"/>
        <v>Gasoline</v>
      </c>
      <c r="M3992" s="194"/>
      <c r="N3992" s="317"/>
      <c r="O3992" s="317"/>
      <c r="P3992" s="317"/>
      <c r="Q3992" s="317"/>
      <c r="R3992" s="317"/>
      <c r="S3992" s="317"/>
      <c r="T3992" s="317"/>
      <c r="U3992" s="317"/>
      <c r="V3992" s="317"/>
      <c r="W3992" s="317"/>
      <c r="X3992" s="317"/>
      <c r="Y3992" s="317"/>
      <c r="Z3992" s="317"/>
    </row>
    <row r="3993" spans="1:26" x14ac:dyDescent="0.25">
      <c r="A3993" s="314"/>
      <c r="B3993" s="18">
        <v>2023</v>
      </c>
      <c r="C3993" s="18" t="s">
        <v>732</v>
      </c>
      <c r="D3993" s="18" t="s">
        <v>1830</v>
      </c>
      <c r="E3993" s="18" t="s">
        <v>703</v>
      </c>
      <c r="F3993" s="18" t="s">
        <v>805</v>
      </c>
      <c r="G3993" s="18" t="s">
        <v>678</v>
      </c>
      <c r="H3993" s="18" t="s">
        <v>1222</v>
      </c>
      <c r="I3993" s="315">
        <v>0.8535349015775493</v>
      </c>
      <c r="J3993" s="315">
        <v>1.4022153963270201E-3</v>
      </c>
      <c r="K3993" s="316" t="str">
        <f t="shared" si="60"/>
        <v>Agricultural Equipment</v>
      </c>
      <c r="L3993" s="316" t="str">
        <f t="shared" si="61"/>
        <v>Gasoline</v>
      </c>
      <c r="M3993" s="194"/>
      <c r="N3993" s="317"/>
      <c r="O3993" s="317"/>
      <c r="P3993" s="317"/>
      <c r="Q3993" s="317"/>
      <c r="R3993" s="317"/>
      <c r="S3993" s="317"/>
      <c r="T3993" s="317"/>
      <c r="U3993" s="317"/>
      <c r="V3993" s="317"/>
      <c r="W3993" s="317"/>
      <c r="X3993" s="317"/>
      <c r="Y3993" s="317"/>
      <c r="Z3993" s="317"/>
    </row>
    <row r="3994" spans="1:26" x14ac:dyDescent="0.25">
      <c r="A3994" s="314"/>
      <c r="B3994" s="18">
        <v>2023</v>
      </c>
      <c r="C3994" s="18" t="s">
        <v>781</v>
      </c>
      <c r="D3994" s="18" t="s">
        <v>1457</v>
      </c>
      <c r="E3994" s="18" t="s">
        <v>56</v>
      </c>
      <c r="F3994" s="18" t="s">
        <v>601</v>
      </c>
      <c r="G3994" s="18" t="s">
        <v>675</v>
      </c>
      <c r="H3994" s="18" t="s">
        <v>772</v>
      </c>
      <c r="I3994" s="315">
        <v>0.84772465848727485</v>
      </c>
      <c r="J3994" s="315">
        <v>3.4578820237859643E-3</v>
      </c>
      <c r="K3994" s="316" t="str">
        <f t="shared" si="60"/>
        <v>Industrial Equipment</v>
      </c>
      <c r="L3994" s="316" t="str">
        <f t="shared" si="61"/>
        <v>CNG</v>
      </c>
      <c r="M3994" s="194"/>
      <c r="N3994" s="317"/>
      <c r="O3994" s="317"/>
      <c r="P3994" s="317"/>
      <c r="Q3994" s="317"/>
      <c r="R3994" s="317"/>
      <c r="S3994" s="317"/>
      <c r="T3994" s="317"/>
      <c r="U3994" s="317"/>
      <c r="V3994" s="317"/>
      <c r="W3994" s="317"/>
      <c r="X3994" s="317"/>
      <c r="Y3994" s="317"/>
      <c r="Z3994" s="317"/>
    </row>
    <row r="3995" spans="1:26" x14ac:dyDescent="0.25">
      <c r="A3995" s="314"/>
      <c r="B3995" s="18">
        <v>2023</v>
      </c>
      <c r="C3995" s="18" t="s">
        <v>750</v>
      </c>
      <c r="D3995" s="18" t="s">
        <v>1580</v>
      </c>
      <c r="E3995" s="18" t="s">
        <v>56</v>
      </c>
      <c r="F3995" s="18" t="s">
        <v>672</v>
      </c>
      <c r="G3995" s="18" t="s">
        <v>674</v>
      </c>
      <c r="H3995" s="18" t="s">
        <v>736</v>
      </c>
      <c r="I3995" s="315">
        <v>0.84580949188944454</v>
      </c>
      <c r="J3995" s="315">
        <v>3.8854653444808629E-5</v>
      </c>
      <c r="K3995" s="316" t="str">
        <f t="shared" si="60"/>
        <v>Construction and Mining Equipment</v>
      </c>
      <c r="L3995" s="316" t="str">
        <f t="shared" si="61"/>
        <v>LPG</v>
      </c>
      <c r="M3995" s="194"/>
      <c r="N3995" s="317"/>
      <c r="O3995" s="317"/>
      <c r="P3995" s="317"/>
      <c r="Q3995" s="317"/>
      <c r="R3995" s="317"/>
      <c r="S3995" s="317"/>
      <c r="T3995" s="317"/>
      <c r="U3995" s="317"/>
      <c r="V3995" s="317"/>
      <c r="W3995" s="317"/>
      <c r="X3995" s="317"/>
      <c r="Y3995" s="317"/>
      <c r="Z3995" s="317"/>
    </row>
    <row r="3996" spans="1:26" x14ac:dyDescent="0.25">
      <c r="A3996" s="314"/>
      <c r="B3996" s="18">
        <v>2023</v>
      </c>
      <c r="C3996" s="18" t="s">
        <v>760</v>
      </c>
      <c r="D3996" s="18" t="s">
        <v>1663</v>
      </c>
      <c r="E3996" s="18" t="s">
        <v>713</v>
      </c>
      <c r="F3996" s="18" t="s">
        <v>714</v>
      </c>
      <c r="G3996" s="18" t="s">
        <v>674</v>
      </c>
      <c r="H3996" s="18" t="s">
        <v>1082</v>
      </c>
      <c r="I3996" s="315">
        <v>0.83822557674889542</v>
      </c>
      <c r="J3996" s="315">
        <v>9.9514929864746572E-5</v>
      </c>
      <c r="K3996" s="316" t="str">
        <f t="shared" si="60"/>
        <v>Construction and Mining Equipment</v>
      </c>
      <c r="L3996" s="316" t="str">
        <f t="shared" si="61"/>
        <v>Diesel</v>
      </c>
      <c r="M3996" s="194"/>
      <c r="N3996" s="317"/>
      <c r="O3996" s="317"/>
      <c r="P3996" s="317"/>
      <c r="Q3996" s="317"/>
      <c r="R3996" s="317"/>
      <c r="S3996" s="317"/>
      <c r="T3996" s="317"/>
      <c r="U3996" s="317"/>
      <c r="V3996" s="317"/>
      <c r="W3996" s="317"/>
      <c r="X3996" s="317"/>
      <c r="Y3996" s="317"/>
      <c r="Z3996" s="317"/>
    </row>
    <row r="3997" spans="1:26" x14ac:dyDescent="0.25">
      <c r="A3997" s="314"/>
      <c r="B3997" s="18">
        <v>2023</v>
      </c>
      <c r="C3997" s="18" t="s">
        <v>760</v>
      </c>
      <c r="D3997" s="18" t="s">
        <v>1656</v>
      </c>
      <c r="E3997" s="18" t="s">
        <v>56</v>
      </c>
      <c r="F3997" s="18" t="s">
        <v>672</v>
      </c>
      <c r="G3997" s="18" t="s">
        <v>677</v>
      </c>
      <c r="H3997" s="18" t="s">
        <v>1031</v>
      </c>
      <c r="I3997" s="315">
        <v>0.83713336897155155</v>
      </c>
      <c r="J3997" s="315">
        <v>4.2273042550755223E-5</v>
      </c>
      <c r="K3997" s="316" t="str">
        <f t="shared" si="60"/>
        <v>Commercial Equipment</v>
      </c>
      <c r="L3997" s="316" t="str">
        <f t="shared" si="61"/>
        <v>LPG</v>
      </c>
      <c r="M3997" s="194"/>
      <c r="N3997" s="317"/>
      <c r="O3997" s="317"/>
      <c r="P3997" s="317"/>
      <c r="Q3997" s="317"/>
      <c r="R3997" s="317"/>
      <c r="S3997" s="317"/>
      <c r="T3997" s="317"/>
      <c r="U3997" s="317"/>
      <c r="V3997" s="317"/>
      <c r="W3997" s="317"/>
      <c r="X3997" s="317"/>
      <c r="Y3997" s="317"/>
      <c r="Z3997" s="317"/>
    </row>
    <row r="3998" spans="1:26" x14ac:dyDescent="0.25">
      <c r="A3998" s="314"/>
      <c r="B3998" s="18">
        <v>2023</v>
      </c>
      <c r="C3998" s="18" t="s">
        <v>750</v>
      </c>
      <c r="D3998" s="18" t="s">
        <v>1583</v>
      </c>
      <c r="E3998" s="18" t="s">
        <v>703</v>
      </c>
      <c r="F3998" s="18" t="s">
        <v>805</v>
      </c>
      <c r="G3998" s="18" t="s">
        <v>674</v>
      </c>
      <c r="H3998" s="18" t="s">
        <v>1036</v>
      </c>
      <c r="I3998" s="315">
        <v>0.83472148962093384</v>
      </c>
      <c r="J3998" s="315">
        <v>1.7275743434911691E-3</v>
      </c>
      <c r="K3998" s="316" t="str">
        <f t="shared" si="60"/>
        <v>Construction and Mining Equipment</v>
      </c>
      <c r="L3998" s="316" t="str">
        <f t="shared" si="61"/>
        <v>Gasoline</v>
      </c>
      <c r="M3998" s="194"/>
      <c r="N3998" s="317"/>
      <c r="O3998" s="317"/>
      <c r="P3998" s="317"/>
      <c r="Q3998" s="317"/>
      <c r="R3998" s="317"/>
      <c r="S3998" s="317"/>
      <c r="T3998" s="317"/>
      <c r="U3998" s="317"/>
      <c r="V3998" s="317"/>
      <c r="W3998" s="317"/>
      <c r="X3998" s="317"/>
      <c r="Y3998" s="317"/>
      <c r="Z3998" s="317"/>
    </row>
    <row r="3999" spans="1:26" x14ac:dyDescent="0.25">
      <c r="A3999" s="314"/>
      <c r="B3999" s="18">
        <v>2023</v>
      </c>
      <c r="C3999" s="18" t="s">
        <v>787</v>
      </c>
      <c r="D3999" s="18" t="s">
        <v>1708</v>
      </c>
      <c r="E3999" s="18" t="s">
        <v>703</v>
      </c>
      <c r="F3999" s="18" t="s">
        <v>704</v>
      </c>
      <c r="G3999" s="18" t="s">
        <v>678</v>
      </c>
      <c r="H3999" s="18" t="s">
        <v>1709</v>
      </c>
      <c r="I3999" s="315">
        <v>0.82976253513533138</v>
      </c>
      <c r="J3999" s="315">
        <v>5.6135855179496278E-4</v>
      </c>
      <c r="K3999" s="316" t="str">
        <f t="shared" si="60"/>
        <v>Agricultural Equipment</v>
      </c>
      <c r="L3999" s="316" t="str">
        <f t="shared" si="61"/>
        <v>Gasoline</v>
      </c>
      <c r="M3999" s="194"/>
      <c r="N3999" s="317"/>
      <c r="O3999" s="317"/>
      <c r="P3999" s="317"/>
      <c r="Q3999" s="317"/>
      <c r="R3999" s="317"/>
      <c r="S3999" s="317"/>
      <c r="T3999" s="317"/>
      <c r="U3999" s="317"/>
      <c r="V3999" s="317"/>
      <c r="W3999" s="317"/>
      <c r="X3999" s="317"/>
      <c r="Y3999" s="317"/>
      <c r="Z3999" s="317"/>
    </row>
    <row r="4000" spans="1:26" x14ac:dyDescent="0.25">
      <c r="A4000" s="314"/>
      <c r="B4000" s="18">
        <v>2023</v>
      </c>
      <c r="C4000" s="18" t="s">
        <v>711</v>
      </c>
      <c r="D4000" s="18" t="s">
        <v>1637</v>
      </c>
      <c r="E4000" s="18" t="s">
        <v>703</v>
      </c>
      <c r="F4000" s="18" t="s">
        <v>704</v>
      </c>
      <c r="G4000" s="18" t="s">
        <v>678</v>
      </c>
      <c r="H4000" s="18" t="s">
        <v>1638</v>
      </c>
      <c r="I4000" s="315">
        <v>0.82441044812266939</v>
      </c>
      <c r="J4000" s="315">
        <v>4.9149873838356831E-4</v>
      </c>
      <c r="K4000" s="316" t="str">
        <f t="shared" si="60"/>
        <v>Agricultural Equipment</v>
      </c>
      <c r="L4000" s="316" t="str">
        <f t="shared" si="61"/>
        <v>Gasoline</v>
      </c>
      <c r="M4000" s="194"/>
      <c r="N4000" s="317"/>
      <c r="O4000" s="317"/>
      <c r="P4000" s="317"/>
      <c r="Q4000" s="317"/>
      <c r="R4000" s="317"/>
      <c r="S4000" s="317"/>
      <c r="T4000" s="317"/>
      <c r="U4000" s="317"/>
      <c r="V4000" s="317"/>
      <c r="W4000" s="317"/>
      <c r="X4000" s="317"/>
      <c r="Y4000" s="317"/>
      <c r="Z4000" s="317"/>
    </row>
    <row r="4001" spans="1:26" x14ac:dyDescent="0.25">
      <c r="A4001" s="314"/>
      <c r="B4001" s="18">
        <v>2023</v>
      </c>
      <c r="C4001" s="18" t="s">
        <v>750</v>
      </c>
      <c r="D4001" s="18" t="s">
        <v>1317</v>
      </c>
      <c r="E4001" s="18" t="s">
        <v>713</v>
      </c>
      <c r="F4001" s="18" t="s">
        <v>714</v>
      </c>
      <c r="G4001" s="18" t="s">
        <v>673</v>
      </c>
      <c r="H4001" s="18" t="s">
        <v>865</v>
      </c>
      <c r="I4001" s="315">
        <v>0.82393596143485348</v>
      </c>
      <c r="J4001" s="315">
        <v>2.6022516665237397E-5</v>
      </c>
      <c r="K4001" s="316" t="str">
        <f t="shared" si="60"/>
        <v>Lawn and Garden Equipment</v>
      </c>
      <c r="L4001" s="316" t="str">
        <f t="shared" si="61"/>
        <v>Diesel</v>
      </c>
      <c r="M4001" s="194"/>
      <c r="N4001" s="317"/>
      <c r="O4001" s="317"/>
      <c r="P4001" s="317"/>
      <c r="Q4001" s="317"/>
      <c r="R4001" s="317"/>
      <c r="S4001" s="317"/>
      <c r="T4001" s="317"/>
      <c r="U4001" s="317"/>
      <c r="V4001" s="317"/>
      <c r="W4001" s="317"/>
      <c r="X4001" s="317"/>
      <c r="Y4001" s="317"/>
      <c r="Z4001" s="317"/>
    </row>
    <row r="4002" spans="1:26" x14ac:dyDescent="0.25">
      <c r="A4002" s="314"/>
      <c r="B4002" s="18">
        <v>2023</v>
      </c>
      <c r="C4002" s="18" t="s">
        <v>810</v>
      </c>
      <c r="D4002" s="18" t="s">
        <v>1435</v>
      </c>
      <c r="E4002" s="18" t="s">
        <v>56</v>
      </c>
      <c r="F4002" s="18" t="s">
        <v>672</v>
      </c>
      <c r="G4002" s="18" t="s">
        <v>674</v>
      </c>
      <c r="H4002" s="18" t="s">
        <v>863</v>
      </c>
      <c r="I4002" s="315">
        <v>0.82068763976407499</v>
      </c>
      <c r="J4002" s="315">
        <v>5.4654346383006935E-5</v>
      </c>
      <c r="K4002" s="316" t="str">
        <f t="shared" si="60"/>
        <v>Construction and Mining Equipment</v>
      </c>
      <c r="L4002" s="316" t="str">
        <f t="shared" si="61"/>
        <v>LPG</v>
      </c>
      <c r="M4002" s="194"/>
      <c r="N4002" s="317"/>
      <c r="O4002" s="317"/>
      <c r="P4002" s="317"/>
      <c r="Q4002" s="317"/>
      <c r="R4002" s="317"/>
      <c r="S4002" s="317"/>
      <c r="T4002" s="317"/>
      <c r="U4002" s="317"/>
      <c r="V4002" s="317"/>
      <c r="W4002" s="317"/>
      <c r="X4002" s="317"/>
      <c r="Y4002" s="317"/>
      <c r="Z4002" s="317"/>
    </row>
    <row r="4003" spans="1:26" x14ac:dyDescent="0.25">
      <c r="A4003" s="314"/>
      <c r="B4003" s="18">
        <v>2023</v>
      </c>
      <c r="C4003" s="18" t="s">
        <v>722</v>
      </c>
      <c r="D4003" s="18" t="s">
        <v>1654</v>
      </c>
      <c r="E4003" s="18" t="s">
        <v>56</v>
      </c>
      <c r="F4003" s="18" t="s">
        <v>672</v>
      </c>
      <c r="G4003" s="18" t="s">
        <v>674</v>
      </c>
      <c r="H4003" s="18" t="s">
        <v>994</v>
      </c>
      <c r="I4003" s="315">
        <v>0.82068763976407499</v>
      </c>
      <c r="J4003" s="315">
        <v>2.0344085469000566E-4</v>
      </c>
      <c r="K4003" s="316" t="str">
        <f t="shared" si="60"/>
        <v>Construction and Mining Equipment</v>
      </c>
      <c r="L4003" s="316" t="str">
        <f t="shared" si="61"/>
        <v>LPG</v>
      </c>
      <c r="M4003" s="194"/>
      <c r="N4003" s="317"/>
      <c r="O4003" s="317"/>
      <c r="P4003" s="317"/>
      <c r="Q4003" s="317"/>
      <c r="R4003" s="317"/>
      <c r="S4003" s="317"/>
      <c r="T4003" s="317"/>
      <c r="U4003" s="317"/>
      <c r="V4003" s="317"/>
      <c r="W4003" s="317"/>
      <c r="X4003" s="317"/>
      <c r="Y4003" s="317"/>
      <c r="Z4003" s="317"/>
    </row>
    <row r="4004" spans="1:26" x14ac:dyDescent="0.25">
      <c r="A4004" s="314"/>
      <c r="B4004" s="18">
        <v>2023</v>
      </c>
      <c r="C4004" s="18" t="s">
        <v>706</v>
      </c>
      <c r="D4004" s="18" t="s">
        <v>1833</v>
      </c>
      <c r="E4004" s="18" t="s">
        <v>703</v>
      </c>
      <c r="F4004" s="18" t="s">
        <v>704</v>
      </c>
      <c r="G4004" s="18" t="s">
        <v>674</v>
      </c>
      <c r="H4004" s="18" t="s">
        <v>1082</v>
      </c>
      <c r="I4004" s="315">
        <v>0.8189974926218283</v>
      </c>
      <c r="J4004" s="315">
        <v>5.3168117383631123E-4</v>
      </c>
      <c r="K4004" s="316" t="str">
        <f t="shared" si="60"/>
        <v>Construction and Mining Equipment</v>
      </c>
      <c r="L4004" s="316" t="str">
        <f t="shared" si="61"/>
        <v>Gasoline</v>
      </c>
      <c r="M4004" s="194"/>
      <c r="N4004" s="317"/>
      <c r="O4004" s="317"/>
      <c r="P4004" s="317"/>
      <c r="Q4004" s="317"/>
      <c r="R4004" s="317"/>
      <c r="S4004" s="317"/>
      <c r="T4004" s="317"/>
      <c r="U4004" s="317"/>
      <c r="V4004" s="317"/>
      <c r="W4004" s="317"/>
      <c r="X4004" s="317"/>
      <c r="Y4004" s="317"/>
      <c r="Z4004" s="317"/>
    </row>
    <row r="4005" spans="1:26" x14ac:dyDescent="0.25">
      <c r="A4005" s="314"/>
      <c r="B4005" s="18">
        <v>2023</v>
      </c>
      <c r="C4005" s="18" t="s">
        <v>754</v>
      </c>
      <c r="D4005" s="18" t="s">
        <v>1320</v>
      </c>
      <c r="E4005" s="18" t="s">
        <v>713</v>
      </c>
      <c r="F4005" s="18" t="s">
        <v>676</v>
      </c>
      <c r="G4005" s="18" t="s">
        <v>79</v>
      </c>
      <c r="H4005" s="18" t="s">
        <v>730</v>
      </c>
      <c r="I4005" s="315">
        <v>0.81896358155404447</v>
      </c>
      <c r="J4005" s="315">
        <v>5.3549308919703408E-5</v>
      </c>
      <c r="K4005" s="316" t="str">
        <f t="shared" si="60"/>
        <v>Pleasure Craft</v>
      </c>
      <c r="L4005" s="316" t="str">
        <f t="shared" si="61"/>
        <v>Diesel</v>
      </c>
      <c r="M4005" s="194"/>
      <c r="N4005" s="317"/>
      <c r="O4005" s="317"/>
      <c r="P4005" s="317"/>
      <c r="Q4005" s="317"/>
      <c r="R4005" s="317"/>
      <c r="S4005" s="317"/>
      <c r="T4005" s="317"/>
      <c r="U4005" s="317"/>
      <c r="V4005" s="317"/>
      <c r="W4005" s="317"/>
      <c r="X4005" s="317"/>
      <c r="Y4005" s="317"/>
      <c r="Z4005" s="317"/>
    </row>
    <row r="4006" spans="1:26" x14ac:dyDescent="0.25">
      <c r="A4006" s="314"/>
      <c r="B4006" s="18">
        <v>2023</v>
      </c>
      <c r="C4006" s="18" t="s">
        <v>786</v>
      </c>
      <c r="D4006" s="18" t="s">
        <v>1292</v>
      </c>
      <c r="E4006" s="18" t="s">
        <v>703</v>
      </c>
      <c r="F4006" s="18" t="s">
        <v>795</v>
      </c>
      <c r="G4006" s="18" t="s">
        <v>675</v>
      </c>
      <c r="H4006" s="18" t="s">
        <v>1293</v>
      </c>
      <c r="I4006" s="315">
        <v>0.81777452094499437</v>
      </c>
      <c r="J4006" s="315">
        <v>5.4844834566949801E-4</v>
      </c>
      <c r="K4006" s="316" t="str">
        <f t="shared" si="60"/>
        <v>Industrial Equipment</v>
      </c>
      <c r="L4006" s="316" t="str">
        <f t="shared" si="61"/>
        <v>Gasoline</v>
      </c>
      <c r="M4006" s="194"/>
      <c r="N4006" s="317"/>
      <c r="O4006" s="317"/>
      <c r="P4006" s="317"/>
      <c r="Q4006" s="317"/>
      <c r="R4006" s="317"/>
      <c r="S4006" s="317"/>
      <c r="T4006" s="317"/>
      <c r="U4006" s="317"/>
      <c r="V4006" s="317"/>
      <c r="W4006" s="317"/>
      <c r="X4006" s="317"/>
      <c r="Y4006" s="317"/>
      <c r="Z4006" s="317"/>
    </row>
    <row r="4007" spans="1:26" x14ac:dyDescent="0.25">
      <c r="A4007" s="314"/>
      <c r="B4007" s="18">
        <v>2023</v>
      </c>
      <c r="C4007" s="18" t="s">
        <v>709</v>
      </c>
      <c r="D4007" s="18" t="s">
        <v>1717</v>
      </c>
      <c r="E4007" s="18" t="s">
        <v>56</v>
      </c>
      <c r="F4007" s="18" t="s">
        <v>601</v>
      </c>
      <c r="G4007" s="18" t="s">
        <v>675</v>
      </c>
      <c r="H4007" s="18" t="s">
        <v>802</v>
      </c>
      <c r="I4007" s="315">
        <v>0.81545674146514502</v>
      </c>
      <c r="J4007" s="315">
        <v>3.2492634715450817E-3</v>
      </c>
      <c r="K4007" s="316" t="str">
        <f t="shared" si="60"/>
        <v>Industrial Equipment</v>
      </c>
      <c r="L4007" s="316" t="str">
        <f t="shared" si="61"/>
        <v>CNG</v>
      </c>
      <c r="M4007" s="194"/>
      <c r="N4007" s="317"/>
      <c r="O4007" s="317"/>
      <c r="P4007" s="317"/>
      <c r="Q4007" s="317"/>
      <c r="R4007" s="317"/>
      <c r="S4007" s="317"/>
      <c r="T4007" s="317"/>
      <c r="U4007" s="317"/>
      <c r="V4007" s="317"/>
      <c r="W4007" s="317"/>
      <c r="X4007" s="317"/>
      <c r="Y4007" s="317"/>
      <c r="Z4007" s="317"/>
    </row>
    <row r="4008" spans="1:26" x14ac:dyDescent="0.25">
      <c r="A4008" s="314"/>
      <c r="B4008" s="18">
        <v>2023</v>
      </c>
      <c r="C4008" s="18" t="s">
        <v>762</v>
      </c>
      <c r="D4008" s="18" t="s">
        <v>737</v>
      </c>
      <c r="E4008" s="18" t="s">
        <v>713</v>
      </c>
      <c r="F4008" s="18" t="s">
        <v>714</v>
      </c>
      <c r="G4008" s="18" t="s">
        <v>680</v>
      </c>
      <c r="H4008" s="18" t="s">
        <v>680</v>
      </c>
      <c r="I4008" s="315">
        <v>0.81517354393738894</v>
      </c>
      <c r="J4008" s="315">
        <v>6.5820282075772718E-6</v>
      </c>
      <c r="K4008" s="316" t="str">
        <f t="shared" si="60"/>
        <v>Airport Ground Support Equipment</v>
      </c>
      <c r="L4008" s="316" t="str">
        <f t="shared" si="61"/>
        <v>Diesel</v>
      </c>
      <c r="M4008" s="194"/>
      <c r="N4008" s="317"/>
      <c r="O4008" s="317"/>
      <c r="P4008" s="317"/>
      <c r="Q4008" s="317"/>
      <c r="R4008" s="317"/>
      <c r="S4008" s="317"/>
      <c r="T4008" s="317"/>
      <c r="U4008" s="317"/>
      <c r="V4008" s="317"/>
      <c r="W4008" s="317"/>
      <c r="X4008" s="317"/>
      <c r="Y4008" s="317"/>
      <c r="Z4008" s="317"/>
    </row>
    <row r="4009" spans="1:26" x14ac:dyDescent="0.25">
      <c r="A4009" s="314"/>
      <c r="B4009" s="18">
        <v>2023</v>
      </c>
      <c r="C4009" s="18" t="s">
        <v>792</v>
      </c>
      <c r="D4009" s="18" t="s">
        <v>1617</v>
      </c>
      <c r="E4009" s="18" t="s">
        <v>703</v>
      </c>
      <c r="F4009" s="18" t="s">
        <v>805</v>
      </c>
      <c r="G4009" s="18" t="s">
        <v>675</v>
      </c>
      <c r="H4009" s="18" t="s">
        <v>802</v>
      </c>
      <c r="I4009" s="315">
        <v>0.81341422131072261</v>
      </c>
      <c r="J4009" s="315">
        <v>1.8174983910909236E-3</v>
      </c>
      <c r="K4009" s="316" t="str">
        <f t="shared" si="60"/>
        <v>Industrial Equipment</v>
      </c>
      <c r="L4009" s="316" t="str">
        <f t="shared" si="61"/>
        <v>Gasoline</v>
      </c>
      <c r="M4009" s="194"/>
      <c r="N4009" s="317"/>
      <c r="O4009" s="317"/>
      <c r="P4009" s="317"/>
      <c r="Q4009" s="317"/>
      <c r="R4009" s="317"/>
      <c r="S4009" s="317"/>
      <c r="T4009" s="317"/>
      <c r="U4009" s="317"/>
      <c r="V4009" s="317"/>
      <c r="W4009" s="317"/>
      <c r="X4009" s="317"/>
      <c r="Y4009" s="317"/>
      <c r="Z4009" s="317"/>
    </row>
    <row r="4010" spans="1:26" x14ac:dyDescent="0.25">
      <c r="A4010" s="314"/>
      <c r="B4010" s="18">
        <v>2023</v>
      </c>
      <c r="C4010" s="18" t="s">
        <v>710</v>
      </c>
      <c r="D4010" s="18" t="s">
        <v>1806</v>
      </c>
      <c r="E4010" s="18" t="s">
        <v>56</v>
      </c>
      <c r="F4010" s="18" t="s">
        <v>601</v>
      </c>
      <c r="G4010" s="18" t="s">
        <v>675</v>
      </c>
      <c r="H4010" s="18" t="s">
        <v>798</v>
      </c>
      <c r="I4010" s="315">
        <v>0.81144280911678102</v>
      </c>
      <c r="J4010" s="315">
        <v>3.2297703722870847E-3</v>
      </c>
      <c r="K4010" s="316" t="str">
        <f t="shared" si="60"/>
        <v>Industrial Equipment</v>
      </c>
      <c r="L4010" s="316" t="str">
        <f t="shared" si="61"/>
        <v>CNG</v>
      </c>
      <c r="M4010" s="194"/>
      <c r="N4010" s="317"/>
      <c r="O4010" s="317"/>
      <c r="P4010" s="317"/>
      <c r="Q4010" s="317"/>
      <c r="R4010" s="317"/>
      <c r="S4010" s="317"/>
      <c r="T4010" s="317"/>
      <c r="U4010" s="317"/>
      <c r="V4010" s="317"/>
      <c r="W4010" s="317"/>
      <c r="X4010" s="317"/>
      <c r="Y4010" s="317"/>
      <c r="Z4010" s="317"/>
    </row>
    <row r="4011" spans="1:26" x14ac:dyDescent="0.25">
      <c r="A4011" s="314"/>
      <c r="B4011" s="18">
        <v>2023</v>
      </c>
      <c r="C4011" s="18" t="s">
        <v>727</v>
      </c>
      <c r="D4011" s="18" t="s">
        <v>1407</v>
      </c>
      <c r="E4011" s="18" t="s">
        <v>56</v>
      </c>
      <c r="F4011" s="18" t="s">
        <v>672</v>
      </c>
      <c r="G4011" s="18" t="s">
        <v>675</v>
      </c>
      <c r="H4011" s="18" t="s">
        <v>1078</v>
      </c>
      <c r="I4011" s="315">
        <v>0.80954864886945987</v>
      </c>
      <c r="J4011" s="315">
        <v>7.2738376883132674E-5</v>
      </c>
      <c r="K4011" s="316" t="str">
        <f t="shared" si="60"/>
        <v>Industrial Equipment</v>
      </c>
      <c r="L4011" s="316" t="str">
        <f t="shared" si="61"/>
        <v>LPG</v>
      </c>
      <c r="M4011" s="194"/>
      <c r="N4011" s="317"/>
      <c r="O4011" s="317"/>
      <c r="P4011" s="317"/>
      <c r="Q4011" s="317"/>
      <c r="R4011" s="317"/>
      <c r="S4011" s="317"/>
      <c r="T4011" s="317"/>
      <c r="U4011" s="317"/>
      <c r="V4011" s="317"/>
      <c r="W4011" s="317"/>
      <c r="X4011" s="317"/>
      <c r="Y4011" s="317"/>
      <c r="Z4011" s="317"/>
    </row>
    <row r="4012" spans="1:26" x14ac:dyDescent="0.25">
      <c r="A4012" s="314"/>
      <c r="B4012" s="18">
        <v>2023</v>
      </c>
      <c r="C4012" s="18" t="s">
        <v>711</v>
      </c>
      <c r="D4012" s="18" t="s">
        <v>1730</v>
      </c>
      <c r="E4012" s="18" t="s">
        <v>703</v>
      </c>
      <c r="F4012" s="18" t="s">
        <v>805</v>
      </c>
      <c r="G4012" s="18" t="s">
        <v>674</v>
      </c>
      <c r="H4012" s="18" t="s">
        <v>959</v>
      </c>
      <c r="I4012" s="315">
        <v>0.80810306729376158</v>
      </c>
      <c r="J4012" s="315">
        <v>1.8056293392855699E-3</v>
      </c>
      <c r="K4012" s="316" t="str">
        <f t="shared" si="60"/>
        <v>Construction and Mining Equipment</v>
      </c>
      <c r="L4012" s="316" t="str">
        <f t="shared" si="61"/>
        <v>Gasoline</v>
      </c>
      <c r="M4012" s="194"/>
      <c r="N4012" s="317"/>
      <c r="O4012" s="317"/>
      <c r="P4012" s="317"/>
      <c r="Q4012" s="317"/>
      <c r="R4012" s="317"/>
      <c r="S4012" s="317"/>
      <c r="T4012" s="317"/>
      <c r="U4012" s="317"/>
      <c r="V4012" s="317"/>
      <c r="W4012" s="317"/>
      <c r="X4012" s="317"/>
      <c r="Y4012" s="317"/>
      <c r="Z4012" s="317"/>
    </row>
    <row r="4013" spans="1:26" x14ac:dyDescent="0.25">
      <c r="A4013" s="314"/>
      <c r="B4013" s="18">
        <v>2023</v>
      </c>
      <c r="C4013" s="18" t="s">
        <v>792</v>
      </c>
      <c r="D4013" s="18" t="s">
        <v>1339</v>
      </c>
      <c r="E4013" s="18" t="s">
        <v>56</v>
      </c>
      <c r="F4013" s="18" t="s">
        <v>672</v>
      </c>
      <c r="G4013" s="18" t="s">
        <v>674</v>
      </c>
      <c r="H4013" s="18" t="s">
        <v>770</v>
      </c>
      <c r="I4013" s="315">
        <v>0.80572267735226455</v>
      </c>
      <c r="J4013" s="315">
        <v>5.9496613235262525E-5</v>
      </c>
      <c r="K4013" s="316" t="str">
        <f t="shared" si="60"/>
        <v>Construction and Mining Equipment</v>
      </c>
      <c r="L4013" s="316" t="str">
        <f t="shared" si="61"/>
        <v>LPG</v>
      </c>
      <c r="M4013" s="194"/>
      <c r="N4013" s="317"/>
      <c r="O4013" s="317"/>
      <c r="P4013" s="317"/>
      <c r="Q4013" s="317"/>
      <c r="R4013" s="317"/>
      <c r="S4013" s="317"/>
      <c r="T4013" s="317"/>
      <c r="U4013" s="317"/>
      <c r="V4013" s="317"/>
      <c r="W4013" s="317"/>
      <c r="X4013" s="317"/>
      <c r="Y4013" s="317"/>
      <c r="Z4013" s="317"/>
    </row>
    <row r="4014" spans="1:26" x14ac:dyDescent="0.25">
      <c r="A4014" s="314"/>
      <c r="B4014" s="18">
        <v>2023</v>
      </c>
      <c r="C4014" s="18" t="s">
        <v>787</v>
      </c>
      <c r="D4014" s="18" t="s">
        <v>1617</v>
      </c>
      <c r="E4014" s="18" t="s">
        <v>703</v>
      </c>
      <c r="F4014" s="18" t="s">
        <v>805</v>
      </c>
      <c r="G4014" s="18" t="s">
        <v>675</v>
      </c>
      <c r="H4014" s="18" t="s">
        <v>802</v>
      </c>
      <c r="I4014" s="315">
        <v>0.80176617479077006</v>
      </c>
      <c r="J4014" s="315">
        <v>1.7914697791125646E-3</v>
      </c>
      <c r="K4014" s="316" t="str">
        <f t="shared" si="60"/>
        <v>Industrial Equipment</v>
      </c>
      <c r="L4014" s="316" t="str">
        <f t="shared" si="61"/>
        <v>Gasoline</v>
      </c>
      <c r="M4014" s="194"/>
      <c r="N4014" s="317"/>
      <c r="O4014" s="317"/>
      <c r="P4014" s="317"/>
      <c r="Q4014" s="317"/>
      <c r="R4014" s="317"/>
      <c r="S4014" s="317"/>
      <c r="T4014" s="317"/>
      <c r="U4014" s="317"/>
      <c r="V4014" s="317"/>
      <c r="W4014" s="317"/>
      <c r="X4014" s="317"/>
      <c r="Y4014" s="317"/>
      <c r="Z4014" s="317"/>
    </row>
    <row r="4015" spans="1:26" x14ac:dyDescent="0.25">
      <c r="A4015" s="314"/>
      <c r="B4015" s="18">
        <v>2023</v>
      </c>
      <c r="C4015" s="18" t="s">
        <v>727</v>
      </c>
      <c r="D4015" s="18" t="s">
        <v>1483</v>
      </c>
      <c r="E4015" s="18" t="s">
        <v>703</v>
      </c>
      <c r="F4015" s="18" t="s">
        <v>805</v>
      </c>
      <c r="G4015" s="18" t="s">
        <v>674</v>
      </c>
      <c r="H4015" s="18" t="s">
        <v>994</v>
      </c>
      <c r="I4015" s="315">
        <v>0.79653590596111645</v>
      </c>
      <c r="J4015" s="315">
        <v>1.6700791268086184E-3</v>
      </c>
      <c r="K4015" s="316" t="str">
        <f t="shared" si="60"/>
        <v>Construction and Mining Equipment</v>
      </c>
      <c r="L4015" s="316" t="str">
        <f t="shared" si="61"/>
        <v>Gasoline</v>
      </c>
      <c r="M4015" s="194"/>
      <c r="N4015" s="317"/>
      <c r="O4015" s="317"/>
      <c r="P4015" s="317"/>
      <c r="Q4015" s="317"/>
      <c r="R4015" s="317"/>
      <c r="S4015" s="317"/>
      <c r="T4015" s="317"/>
      <c r="U4015" s="317"/>
      <c r="V4015" s="317"/>
      <c r="W4015" s="317"/>
      <c r="X4015" s="317"/>
      <c r="Y4015" s="317"/>
      <c r="Z4015" s="317"/>
    </row>
    <row r="4016" spans="1:26" x14ac:dyDescent="0.25">
      <c r="A4016" s="314"/>
      <c r="B4016" s="18">
        <v>2023</v>
      </c>
      <c r="C4016" s="18" t="s">
        <v>773</v>
      </c>
      <c r="D4016" s="18" t="s">
        <v>1744</v>
      </c>
      <c r="E4016" s="18" t="s">
        <v>703</v>
      </c>
      <c r="F4016" s="18" t="s">
        <v>704</v>
      </c>
      <c r="G4016" s="18" t="s">
        <v>678</v>
      </c>
      <c r="H4016" s="18" t="s">
        <v>1745</v>
      </c>
      <c r="I4016" s="315">
        <v>0.79155662935999216</v>
      </c>
      <c r="J4016" s="315">
        <v>5.0344216431483365E-4</v>
      </c>
      <c r="K4016" s="316" t="str">
        <f t="shared" si="60"/>
        <v>Agricultural Equipment</v>
      </c>
      <c r="L4016" s="316" t="str">
        <f t="shared" si="61"/>
        <v>Gasoline</v>
      </c>
      <c r="M4016" s="194"/>
      <c r="N4016" s="317"/>
      <c r="O4016" s="317"/>
      <c r="P4016" s="317"/>
      <c r="Q4016" s="317"/>
      <c r="R4016" s="317"/>
      <c r="S4016" s="317"/>
      <c r="T4016" s="317"/>
      <c r="U4016" s="317"/>
      <c r="V4016" s="317"/>
      <c r="W4016" s="317"/>
      <c r="X4016" s="317"/>
      <c r="Y4016" s="317"/>
      <c r="Z4016" s="317"/>
    </row>
    <row r="4017" spans="1:26" x14ac:dyDescent="0.25">
      <c r="A4017" s="314"/>
      <c r="B4017" s="18">
        <v>2023</v>
      </c>
      <c r="C4017" s="18" t="s">
        <v>778</v>
      </c>
      <c r="D4017" s="18" t="s">
        <v>1654</v>
      </c>
      <c r="E4017" s="18" t="s">
        <v>56</v>
      </c>
      <c r="F4017" s="18" t="s">
        <v>672</v>
      </c>
      <c r="G4017" s="18" t="s">
        <v>674</v>
      </c>
      <c r="H4017" s="18" t="s">
        <v>994</v>
      </c>
      <c r="I4017" s="315">
        <v>0.79109648661248511</v>
      </c>
      <c r="J4017" s="315">
        <v>1.9610556100449031E-4</v>
      </c>
      <c r="K4017" s="316" t="str">
        <f t="shared" si="60"/>
        <v>Construction and Mining Equipment</v>
      </c>
      <c r="L4017" s="316" t="str">
        <f t="shared" si="61"/>
        <v>LPG</v>
      </c>
      <c r="M4017" s="194"/>
      <c r="N4017" s="317"/>
      <c r="O4017" s="317"/>
      <c r="P4017" s="317"/>
      <c r="Q4017" s="317"/>
      <c r="R4017" s="317"/>
      <c r="S4017" s="317"/>
      <c r="T4017" s="317"/>
      <c r="U4017" s="317"/>
      <c r="V4017" s="317"/>
      <c r="W4017" s="317"/>
      <c r="X4017" s="317"/>
      <c r="Y4017" s="317"/>
      <c r="Z4017" s="317"/>
    </row>
    <row r="4018" spans="1:26" x14ac:dyDescent="0.25">
      <c r="A4018" s="314"/>
      <c r="B4018" s="18">
        <v>2023</v>
      </c>
      <c r="C4018" s="18" t="s">
        <v>781</v>
      </c>
      <c r="D4018" s="18" t="s">
        <v>1219</v>
      </c>
      <c r="E4018" s="18" t="s">
        <v>703</v>
      </c>
      <c r="F4018" s="18" t="s">
        <v>704</v>
      </c>
      <c r="G4018" s="18" t="s">
        <v>674</v>
      </c>
      <c r="H4018" s="18" t="s">
        <v>1220</v>
      </c>
      <c r="I4018" s="315">
        <v>0.78972843592522257</v>
      </c>
      <c r="J4018" s="315">
        <v>5.3114710579013266E-4</v>
      </c>
      <c r="K4018" s="316" t="str">
        <f t="shared" si="60"/>
        <v>Construction and Mining Equipment</v>
      </c>
      <c r="L4018" s="316" t="str">
        <f t="shared" si="61"/>
        <v>Gasoline</v>
      </c>
      <c r="M4018" s="194"/>
      <c r="N4018" s="317"/>
      <c r="O4018" s="317"/>
      <c r="P4018" s="317"/>
      <c r="Q4018" s="317"/>
      <c r="R4018" s="317"/>
      <c r="S4018" s="317"/>
      <c r="T4018" s="317"/>
      <c r="U4018" s="317"/>
      <c r="V4018" s="317"/>
      <c r="W4018" s="317"/>
      <c r="X4018" s="317"/>
      <c r="Y4018" s="317"/>
      <c r="Z4018" s="317"/>
    </row>
    <row r="4019" spans="1:26" x14ac:dyDescent="0.25">
      <c r="A4019" s="314"/>
      <c r="B4019" s="18">
        <v>2023</v>
      </c>
      <c r="C4019" s="18" t="s">
        <v>787</v>
      </c>
      <c r="D4019" s="18" t="s">
        <v>1588</v>
      </c>
      <c r="E4019" s="18" t="s">
        <v>56</v>
      </c>
      <c r="F4019" s="18" t="s">
        <v>1575</v>
      </c>
      <c r="G4019" s="18" t="s">
        <v>675</v>
      </c>
      <c r="H4019" s="18" t="s">
        <v>1589</v>
      </c>
      <c r="I4019" s="315">
        <v>0.78358374873055237</v>
      </c>
      <c r="J4019" s="315">
        <v>3.2976068021717151E-3</v>
      </c>
      <c r="K4019" s="316" t="str">
        <f t="shared" si="60"/>
        <v>Industrial Equipment</v>
      </c>
      <c r="L4019" s="316" t="str">
        <f t="shared" si="61"/>
        <v>CNG</v>
      </c>
      <c r="M4019" s="194"/>
      <c r="N4019" s="317"/>
      <c r="O4019" s="317"/>
      <c r="P4019" s="317"/>
      <c r="Q4019" s="317"/>
      <c r="R4019" s="317"/>
      <c r="S4019" s="317"/>
      <c r="T4019" s="317"/>
      <c r="U4019" s="317"/>
      <c r="V4019" s="317"/>
      <c r="W4019" s="317"/>
      <c r="X4019" s="317"/>
      <c r="Y4019" s="317"/>
      <c r="Z4019" s="317"/>
    </row>
    <row r="4020" spans="1:26" x14ac:dyDescent="0.25">
      <c r="A4020" s="314"/>
      <c r="B4020" s="18">
        <v>2023</v>
      </c>
      <c r="C4020" s="18" t="s">
        <v>750</v>
      </c>
      <c r="D4020" s="18" t="s">
        <v>1588</v>
      </c>
      <c r="E4020" s="18" t="s">
        <v>56</v>
      </c>
      <c r="F4020" s="18" t="s">
        <v>1575</v>
      </c>
      <c r="G4020" s="18" t="s">
        <v>675</v>
      </c>
      <c r="H4020" s="18" t="s">
        <v>1589</v>
      </c>
      <c r="I4020" s="315">
        <v>0.77998650270630976</v>
      </c>
      <c r="J4020" s="315">
        <v>3.2824633977004292E-3</v>
      </c>
      <c r="K4020" s="316" t="str">
        <f t="shared" si="60"/>
        <v>Industrial Equipment</v>
      </c>
      <c r="L4020" s="316" t="str">
        <f t="shared" si="61"/>
        <v>CNG</v>
      </c>
      <c r="M4020" s="194"/>
      <c r="N4020" s="317"/>
      <c r="O4020" s="317"/>
      <c r="P4020" s="317"/>
      <c r="Q4020" s="317"/>
      <c r="R4020" s="317"/>
      <c r="S4020" s="317"/>
      <c r="T4020" s="317"/>
      <c r="U4020" s="317"/>
      <c r="V4020" s="317"/>
      <c r="W4020" s="317"/>
      <c r="X4020" s="317"/>
      <c r="Y4020" s="317"/>
      <c r="Z4020" s="317"/>
    </row>
    <row r="4021" spans="1:26" x14ac:dyDescent="0.25">
      <c r="A4021" s="314"/>
      <c r="B4021" s="18">
        <v>2023</v>
      </c>
      <c r="C4021" s="18" t="s">
        <v>793</v>
      </c>
      <c r="D4021" s="18" t="s">
        <v>1483</v>
      </c>
      <c r="E4021" s="18" t="s">
        <v>703</v>
      </c>
      <c r="F4021" s="18" t="s">
        <v>805</v>
      </c>
      <c r="G4021" s="18" t="s">
        <v>674</v>
      </c>
      <c r="H4021" s="18" t="s">
        <v>994</v>
      </c>
      <c r="I4021" s="315">
        <v>0.77770511504134132</v>
      </c>
      <c r="J4021" s="315">
        <v>1.6305967270467011E-3</v>
      </c>
      <c r="K4021" s="316" t="str">
        <f t="shared" si="60"/>
        <v>Construction and Mining Equipment</v>
      </c>
      <c r="L4021" s="316" t="str">
        <f t="shared" si="61"/>
        <v>Gasoline</v>
      </c>
      <c r="M4021" s="194"/>
      <c r="N4021" s="317"/>
      <c r="O4021" s="317"/>
      <c r="P4021" s="317"/>
      <c r="Q4021" s="317"/>
      <c r="R4021" s="317"/>
      <c r="S4021" s="317"/>
      <c r="T4021" s="317"/>
      <c r="U4021" s="317"/>
      <c r="V4021" s="317"/>
      <c r="W4021" s="317"/>
      <c r="X4021" s="317"/>
      <c r="Y4021" s="317"/>
      <c r="Z4021" s="317"/>
    </row>
    <row r="4022" spans="1:26" x14ac:dyDescent="0.25">
      <c r="A4022" s="314"/>
      <c r="B4022" s="18">
        <v>2023</v>
      </c>
      <c r="C4022" s="18" t="s">
        <v>760</v>
      </c>
      <c r="D4022" s="18" t="s">
        <v>1708</v>
      </c>
      <c r="E4022" s="18" t="s">
        <v>703</v>
      </c>
      <c r="F4022" s="18" t="s">
        <v>704</v>
      </c>
      <c r="G4022" s="18" t="s">
        <v>678</v>
      </c>
      <c r="H4022" s="18" t="s">
        <v>1709</v>
      </c>
      <c r="I4022" s="315">
        <v>0.77730017478480884</v>
      </c>
      <c r="J4022" s="315">
        <v>5.2569939762958271E-4</v>
      </c>
      <c r="K4022" s="316" t="str">
        <f t="shared" si="60"/>
        <v>Agricultural Equipment</v>
      </c>
      <c r="L4022" s="316" t="str">
        <f t="shared" si="61"/>
        <v>Gasoline</v>
      </c>
      <c r="M4022" s="194"/>
      <c r="N4022" s="317"/>
      <c r="O4022" s="317"/>
      <c r="P4022" s="317"/>
      <c r="Q4022" s="317"/>
      <c r="R4022" s="317"/>
      <c r="S4022" s="317"/>
      <c r="T4022" s="317"/>
      <c r="U4022" s="317"/>
      <c r="V4022" s="317"/>
      <c r="W4022" s="317"/>
      <c r="X4022" s="317"/>
      <c r="Y4022" s="317"/>
      <c r="Z4022" s="317"/>
    </row>
    <row r="4023" spans="1:26" x14ac:dyDescent="0.25">
      <c r="A4023" s="314"/>
      <c r="B4023" s="18">
        <v>2023</v>
      </c>
      <c r="C4023" s="18" t="s">
        <v>781</v>
      </c>
      <c r="D4023" s="18" t="s">
        <v>1223</v>
      </c>
      <c r="E4023" s="18" t="s">
        <v>713</v>
      </c>
      <c r="F4023" s="18" t="s">
        <v>714</v>
      </c>
      <c r="G4023" s="18" t="s">
        <v>674</v>
      </c>
      <c r="H4023" s="18" t="s">
        <v>1036</v>
      </c>
      <c r="I4023" s="315">
        <v>0.77703782842683455</v>
      </c>
      <c r="J4023" s="315">
        <v>7.5993544671187332E-5</v>
      </c>
      <c r="K4023" s="316" t="str">
        <f t="shared" si="60"/>
        <v>Construction and Mining Equipment</v>
      </c>
      <c r="L4023" s="316" t="str">
        <f t="shared" si="61"/>
        <v>Diesel</v>
      </c>
      <c r="M4023" s="194"/>
      <c r="N4023" s="317"/>
      <c r="O4023" s="317"/>
      <c r="P4023" s="317"/>
      <c r="Q4023" s="317"/>
      <c r="R4023" s="317"/>
      <c r="S4023" s="317"/>
      <c r="T4023" s="317"/>
      <c r="U4023" s="317"/>
      <c r="V4023" s="317"/>
      <c r="W4023" s="317"/>
      <c r="X4023" s="317"/>
      <c r="Y4023" s="317"/>
      <c r="Z4023" s="317"/>
    </row>
    <row r="4024" spans="1:26" x14ac:dyDescent="0.25">
      <c r="A4024" s="314"/>
      <c r="B4024" s="18">
        <v>2023</v>
      </c>
      <c r="C4024" s="18" t="s">
        <v>760</v>
      </c>
      <c r="D4024" s="18" t="s">
        <v>1679</v>
      </c>
      <c r="E4024" s="18" t="s">
        <v>56</v>
      </c>
      <c r="F4024" s="18" t="s">
        <v>672</v>
      </c>
      <c r="G4024" s="18" t="s">
        <v>674</v>
      </c>
      <c r="H4024" s="18" t="s">
        <v>959</v>
      </c>
      <c r="I4024" s="315">
        <v>0.77409011570944763</v>
      </c>
      <c r="J4024" s="315">
        <v>1.3149015335419569E-4</v>
      </c>
      <c r="K4024" s="316" t="str">
        <f t="shared" si="60"/>
        <v>Construction and Mining Equipment</v>
      </c>
      <c r="L4024" s="316" t="str">
        <f t="shared" si="61"/>
        <v>LPG</v>
      </c>
      <c r="M4024" s="194"/>
      <c r="N4024" s="317"/>
      <c r="O4024" s="317"/>
      <c r="P4024" s="317"/>
      <c r="Q4024" s="317"/>
      <c r="R4024" s="317"/>
      <c r="S4024" s="317"/>
      <c r="T4024" s="317"/>
      <c r="U4024" s="317"/>
      <c r="V4024" s="317"/>
      <c r="W4024" s="317"/>
      <c r="X4024" s="317"/>
      <c r="Y4024" s="317"/>
      <c r="Z4024" s="317"/>
    </row>
    <row r="4025" spans="1:26" x14ac:dyDescent="0.25">
      <c r="A4025" s="314"/>
      <c r="B4025" s="18">
        <v>2023</v>
      </c>
      <c r="C4025" s="18" t="s">
        <v>762</v>
      </c>
      <c r="D4025" s="18" t="s">
        <v>1416</v>
      </c>
      <c r="E4025" s="18" t="s">
        <v>56</v>
      </c>
      <c r="F4025" s="18" t="s">
        <v>672</v>
      </c>
      <c r="G4025" s="18" t="s">
        <v>674</v>
      </c>
      <c r="H4025" s="18" t="s">
        <v>861</v>
      </c>
      <c r="I4025" s="315">
        <v>0.76291483546700012</v>
      </c>
      <c r="J4025" s="315">
        <v>5.1532202591840341E-4</v>
      </c>
      <c r="K4025" s="316" t="str">
        <f t="shared" si="60"/>
        <v>Construction and Mining Equipment</v>
      </c>
      <c r="L4025" s="316" t="str">
        <f t="shared" si="61"/>
        <v>LPG</v>
      </c>
      <c r="M4025" s="194"/>
      <c r="N4025" s="317"/>
      <c r="O4025" s="317"/>
      <c r="P4025" s="317"/>
      <c r="Q4025" s="317"/>
      <c r="R4025" s="317"/>
      <c r="S4025" s="317"/>
      <c r="T4025" s="317"/>
      <c r="U4025" s="317"/>
      <c r="V4025" s="317"/>
      <c r="W4025" s="317"/>
      <c r="X4025" s="317"/>
      <c r="Y4025" s="317"/>
      <c r="Z4025" s="317"/>
    </row>
    <row r="4026" spans="1:26" x14ac:dyDescent="0.25">
      <c r="A4026" s="314"/>
      <c r="B4026" s="18">
        <v>2023</v>
      </c>
      <c r="C4026" s="18" t="s">
        <v>759</v>
      </c>
      <c r="D4026" s="18" t="s">
        <v>1215</v>
      </c>
      <c r="E4026" s="18" t="s">
        <v>56</v>
      </c>
      <c r="F4026" s="18" t="s">
        <v>672</v>
      </c>
      <c r="G4026" s="18" t="s">
        <v>674</v>
      </c>
      <c r="H4026" s="18" t="s">
        <v>756</v>
      </c>
      <c r="I4026" s="315">
        <v>0.75845638982548991</v>
      </c>
      <c r="J4026" s="315">
        <v>1.4031772535855446E-4</v>
      </c>
      <c r="K4026" s="316" t="str">
        <f t="shared" si="60"/>
        <v>Construction and Mining Equipment</v>
      </c>
      <c r="L4026" s="316" t="str">
        <f t="shared" si="61"/>
        <v>LPG</v>
      </c>
      <c r="M4026" s="194"/>
      <c r="N4026" s="317"/>
      <c r="O4026" s="317"/>
      <c r="P4026" s="317"/>
      <c r="Q4026" s="317"/>
      <c r="R4026" s="317"/>
      <c r="S4026" s="317"/>
      <c r="T4026" s="317"/>
      <c r="U4026" s="317"/>
      <c r="V4026" s="317"/>
      <c r="W4026" s="317"/>
      <c r="X4026" s="317"/>
      <c r="Y4026" s="317"/>
      <c r="Z4026" s="317"/>
    </row>
    <row r="4027" spans="1:26" x14ac:dyDescent="0.25">
      <c r="A4027" s="314"/>
      <c r="B4027" s="18">
        <v>2023</v>
      </c>
      <c r="C4027" s="18" t="s">
        <v>709</v>
      </c>
      <c r="D4027" s="18" t="s">
        <v>1637</v>
      </c>
      <c r="E4027" s="18" t="s">
        <v>703</v>
      </c>
      <c r="F4027" s="18" t="s">
        <v>704</v>
      </c>
      <c r="G4027" s="18" t="s">
        <v>678</v>
      </c>
      <c r="H4027" s="18" t="s">
        <v>1638</v>
      </c>
      <c r="I4027" s="315">
        <v>0.75645810408376257</v>
      </c>
      <c r="J4027" s="315">
        <v>4.5098666775132397E-4</v>
      </c>
      <c r="K4027" s="316" t="str">
        <f t="shared" si="60"/>
        <v>Agricultural Equipment</v>
      </c>
      <c r="L4027" s="316" t="str">
        <f t="shared" si="61"/>
        <v>Gasoline</v>
      </c>
      <c r="M4027" s="194"/>
      <c r="N4027" s="317"/>
      <c r="O4027" s="317"/>
      <c r="P4027" s="317"/>
      <c r="Q4027" s="317"/>
      <c r="R4027" s="317"/>
      <c r="S4027" s="317"/>
      <c r="T4027" s="317"/>
      <c r="U4027" s="317"/>
      <c r="V4027" s="317"/>
      <c r="W4027" s="317"/>
      <c r="X4027" s="317"/>
      <c r="Y4027" s="317"/>
      <c r="Z4027" s="317"/>
    </row>
    <row r="4028" spans="1:26" x14ac:dyDescent="0.25">
      <c r="A4028" s="314"/>
      <c r="B4028" s="18">
        <v>2023</v>
      </c>
      <c r="C4028" s="18" t="s">
        <v>701</v>
      </c>
      <c r="D4028" s="18" t="s">
        <v>1708</v>
      </c>
      <c r="E4028" s="18" t="s">
        <v>703</v>
      </c>
      <c r="F4028" s="18" t="s">
        <v>704</v>
      </c>
      <c r="G4028" s="18" t="s">
        <v>678</v>
      </c>
      <c r="H4028" s="18" t="s">
        <v>1709</v>
      </c>
      <c r="I4028" s="315">
        <v>0.75513915274013843</v>
      </c>
      <c r="J4028" s="315">
        <v>5.1062472997760906E-4</v>
      </c>
      <c r="K4028" s="316" t="str">
        <f t="shared" si="60"/>
        <v>Agricultural Equipment</v>
      </c>
      <c r="L4028" s="316" t="str">
        <f t="shared" si="61"/>
        <v>Gasoline</v>
      </c>
      <c r="M4028" s="194"/>
      <c r="N4028" s="317"/>
      <c r="O4028" s="317"/>
      <c r="P4028" s="317"/>
      <c r="Q4028" s="317"/>
      <c r="R4028" s="317"/>
      <c r="S4028" s="317"/>
      <c r="T4028" s="317"/>
      <c r="U4028" s="317"/>
      <c r="V4028" s="317"/>
      <c r="W4028" s="317"/>
      <c r="X4028" s="317"/>
      <c r="Y4028" s="317"/>
      <c r="Z4028" s="317"/>
    </row>
    <row r="4029" spans="1:26" x14ac:dyDescent="0.25">
      <c r="A4029" s="314"/>
      <c r="B4029" s="18">
        <v>2023</v>
      </c>
      <c r="C4029" s="18" t="s">
        <v>731</v>
      </c>
      <c r="D4029" s="18" t="s">
        <v>1339</v>
      </c>
      <c r="E4029" s="18" t="s">
        <v>56</v>
      </c>
      <c r="F4029" s="18" t="s">
        <v>672</v>
      </c>
      <c r="G4029" s="18" t="s">
        <v>674</v>
      </c>
      <c r="H4029" s="18" t="s">
        <v>770</v>
      </c>
      <c r="I4029" s="315">
        <v>0.74773253015101426</v>
      </c>
      <c r="J4029" s="315">
        <v>5.5214460888166821E-5</v>
      </c>
      <c r="K4029" s="316" t="str">
        <f t="shared" si="60"/>
        <v>Construction and Mining Equipment</v>
      </c>
      <c r="L4029" s="316" t="str">
        <f t="shared" si="61"/>
        <v>LPG</v>
      </c>
      <c r="M4029" s="194"/>
      <c r="N4029" s="317"/>
      <c r="O4029" s="317"/>
      <c r="P4029" s="317"/>
      <c r="Q4029" s="317"/>
      <c r="R4029" s="317"/>
      <c r="S4029" s="317"/>
      <c r="T4029" s="317"/>
      <c r="U4029" s="317"/>
      <c r="V4029" s="317"/>
      <c r="W4029" s="317"/>
      <c r="X4029" s="317"/>
      <c r="Y4029" s="317"/>
      <c r="Z4029" s="317"/>
    </row>
    <row r="4030" spans="1:26" x14ac:dyDescent="0.25">
      <c r="A4030" s="314"/>
      <c r="B4030" s="18">
        <v>2023</v>
      </c>
      <c r="C4030" s="18" t="s">
        <v>773</v>
      </c>
      <c r="D4030" s="18" t="s">
        <v>1588</v>
      </c>
      <c r="E4030" s="18" t="s">
        <v>56</v>
      </c>
      <c r="F4030" s="18" t="s">
        <v>1575</v>
      </c>
      <c r="G4030" s="18" t="s">
        <v>675</v>
      </c>
      <c r="H4030" s="18" t="s">
        <v>1589</v>
      </c>
      <c r="I4030" s="315">
        <v>0.74713241993792034</v>
      </c>
      <c r="J4030" s="315">
        <v>3.1441955729573081E-3</v>
      </c>
      <c r="K4030" s="316" t="str">
        <f t="shared" si="60"/>
        <v>Industrial Equipment</v>
      </c>
      <c r="L4030" s="316" t="str">
        <f t="shared" si="61"/>
        <v>CNG</v>
      </c>
      <c r="M4030" s="194"/>
      <c r="N4030" s="317"/>
      <c r="O4030" s="317"/>
      <c r="P4030" s="317"/>
      <c r="Q4030" s="317"/>
      <c r="R4030" s="317"/>
      <c r="S4030" s="317"/>
      <c r="T4030" s="317"/>
      <c r="U4030" s="317"/>
      <c r="V4030" s="317"/>
      <c r="W4030" s="317"/>
      <c r="X4030" s="317"/>
      <c r="Y4030" s="317"/>
      <c r="Z4030" s="317"/>
    </row>
    <row r="4031" spans="1:26" x14ac:dyDescent="0.25">
      <c r="A4031" s="314"/>
      <c r="B4031" s="18">
        <v>2023</v>
      </c>
      <c r="C4031" s="18" t="s">
        <v>786</v>
      </c>
      <c r="D4031" s="18" t="s">
        <v>1339</v>
      </c>
      <c r="E4031" s="18" t="s">
        <v>56</v>
      </c>
      <c r="F4031" s="18" t="s">
        <v>672</v>
      </c>
      <c r="G4031" s="18" t="s">
        <v>674</v>
      </c>
      <c r="H4031" s="18" t="s">
        <v>770</v>
      </c>
      <c r="I4031" s="315">
        <v>0.74263997272896198</v>
      </c>
      <c r="J4031" s="315">
        <v>5.4838446895748745E-5</v>
      </c>
      <c r="K4031" s="316" t="str">
        <f t="shared" si="60"/>
        <v>Construction and Mining Equipment</v>
      </c>
      <c r="L4031" s="316" t="str">
        <f t="shared" si="61"/>
        <v>LPG</v>
      </c>
      <c r="M4031" s="194"/>
      <c r="N4031" s="317"/>
      <c r="O4031" s="317"/>
      <c r="P4031" s="317"/>
      <c r="Q4031" s="317"/>
      <c r="R4031" s="317"/>
      <c r="S4031" s="317"/>
      <c r="T4031" s="317"/>
      <c r="U4031" s="317"/>
      <c r="V4031" s="317"/>
      <c r="W4031" s="317"/>
      <c r="X4031" s="317"/>
      <c r="Y4031" s="317"/>
      <c r="Z4031" s="317"/>
    </row>
    <row r="4032" spans="1:26" x14ac:dyDescent="0.25">
      <c r="A4032" s="314"/>
      <c r="B4032" s="18">
        <v>2023</v>
      </c>
      <c r="C4032" s="18" t="s">
        <v>793</v>
      </c>
      <c r="D4032" s="18" t="s">
        <v>1401</v>
      </c>
      <c r="E4032" s="18" t="s">
        <v>56</v>
      </c>
      <c r="F4032" s="18" t="s">
        <v>601</v>
      </c>
      <c r="G4032" s="18" t="s">
        <v>677</v>
      </c>
      <c r="H4032" s="18" t="s">
        <v>785</v>
      </c>
      <c r="I4032" s="315">
        <v>0.74069689048740495</v>
      </c>
      <c r="J4032" s="315">
        <v>3.2105785890379161E-3</v>
      </c>
      <c r="K4032" s="316" t="str">
        <f t="shared" si="60"/>
        <v>Commercial Equipment</v>
      </c>
      <c r="L4032" s="316" t="str">
        <f t="shared" si="61"/>
        <v>CNG</v>
      </c>
      <c r="M4032" s="194"/>
      <c r="N4032" s="317"/>
      <c r="O4032" s="317"/>
      <c r="P4032" s="317"/>
      <c r="Q4032" s="317"/>
      <c r="R4032" s="317"/>
      <c r="S4032" s="317"/>
      <c r="T4032" s="317"/>
      <c r="U4032" s="317"/>
      <c r="V4032" s="317"/>
      <c r="W4032" s="317"/>
      <c r="X4032" s="317"/>
      <c r="Y4032" s="317"/>
      <c r="Z4032" s="317"/>
    </row>
    <row r="4033" spans="1:26" x14ac:dyDescent="0.25">
      <c r="A4033" s="314"/>
      <c r="B4033" s="18">
        <v>2023</v>
      </c>
      <c r="C4033" s="18" t="s">
        <v>762</v>
      </c>
      <c r="D4033" s="18" t="s">
        <v>1425</v>
      </c>
      <c r="E4033" s="18" t="s">
        <v>56</v>
      </c>
      <c r="F4033" s="18" t="s">
        <v>672</v>
      </c>
      <c r="G4033" s="18" t="s">
        <v>674</v>
      </c>
      <c r="H4033" s="18" t="s">
        <v>791</v>
      </c>
      <c r="I4033" s="315">
        <v>0.73097056758176537</v>
      </c>
      <c r="J4033" s="315">
        <v>1.4051597617610251E-4</v>
      </c>
      <c r="K4033" s="316" t="str">
        <f t="shared" si="60"/>
        <v>Construction and Mining Equipment</v>
      </c>
      <c r="L4033" s="316" t="str">
        <f t="shared" si="61"/>
        <v>LPG</v>
      </c>
      <c r="M4033" s="194"/>
      <c r="N4033" s="317"/>
      <c r="O4033" s="317"/>
      <c r="P4033" s="317"/>
      <c r="Q4033" s="317"/>
      <c r="R4033" s="317"/>
      <c r="S4033" s="317"/>
      <c r="T4033" s="317"/>
      <c r="U4033" s="317"/>
      <c r="V4033" s="317"/>
      <c r="W4033" s="317"/>
      <c r="X4033" s="317"/>
      <c r="Y4033" s="317"/>
      <c r="Z4033" s="317"/>
    </row>
    <row r="4034" spans="1:26" x14ac:dyDescent="0.25">
      <c r="A4034" s="314"/>
      <c r="B4034" s="18">
        <v>2023</v>
      </c>
      <c r="C4034" s="18" t="s">
        <v>781</v>
      </c>
      <c r="D4034" s="18" t="s">
        <v>1227</v>
      </c>
      <c r="E4034" s="18" t="s">
        <v>56</v>
      </c>
      <c r="F4034" s="18" t="s">
        <v>672</v>
      </c>
      <c r="G4034" s="18" t="s">
        <v>674</v>
      </c>
      <c r="H4034" s="18" t="s">
        <v>850</v>
      </c>
      <c r="I4034" s="315">
        <v>0.730044218634465</v>
      </c>
      <c r="J4034" s="315">
        <v>4.6880630222339496E-5</v>
      </c>
      <c r="K4034" s="316" t="str">
        <f t="shared" si="60"/>
        <v>Construction and Mining Equipment</v>
      </c>
      <c r="L4034" s="316" t="str">
        <f t="shared" si="61"/>
        <v>LPG</v>
      </c>
      <c r="M4034" s="194"/>
      <c r="N4034" s="317"/>
      <c r="O4034" s="317"/>
      <c r="P4034" s="317"/>
      <c r="Q4034" s="317"/>
      <c r="R4034" s="317"/>
      <c r="S4034" s="317"/>
      <c r="T4034" s="317"/>
      <c r="U4034" s="317"/>
      <c r="V4034" s="317"/>
      <c r="W4034" s="317"/>
      <c r="X4034" s="317"/>
      <c r="Y4034" s="317"/>
      <c r="Z4034" s="317"/>
    </row>
    <row r="4035" spans="1:26" x14ac:dyDescent="0.25">
      <c r="A4035" s="314"/>
      <c r="B4035" s="18">
        <v>2023</v>
      </c>
      <c r="C4035" s="18" t="s">
        <v>759</v>
      </c>
      <c r="D4035" s="18" t="s">
        <v>1226</v>
      </c>
      <c r="E4035" s="18" t="s">
        <v>703</v>
      </c>
      <c r="F4035" s="18" t="s">
        <v>805</v>
      </c>
      <c r="G4035" s="18" t="s">
        <v>677</v>
      </c>
      <c r="H4035" s="18" t="s">
        <v>747</v>
      </c>
      <c r="I4035" s="315">
        <v>0.72568184012341097</v>
      </c>
      <c r="J4035" s="315">
        <v>1.4673782327029451E-3</v>
      </c>
      <c r="K4035" s="316" t="str">
        <f t="shared" si="60"/>
        <v>Commercial Equipment</v>
      </c>
      <c r="L4035" s="316" t="str">
        <f t="shared" si="61"/>
        <v>Gasoline</v>
      </c>
      <c r="M4035" s="194"/>
      <c r="N4035" s="317"/>
      <c r="O4035" s="317"/>
      <c r="P4035" s="317"/>
      <c r="Q4035" s="317"/>
      <c r="R4035" s="317"/>
      <c r="S4035" s="317"/>
      <c r="T4035" s="317"/>
      <c r="U4035" s="317"/>
      <c r="V4035" s="317"/>
      <c r="W4035" s="317"/>
      <c r="X4035" s="317"/>
      <c r="Y4035" s="317"/>
      <c r="Z4035" s="317"/>
    </row>
    <row r="4036" spans="1:26" x14ac:dyDescent="0.25">
      <c r="A4036" s="314"/>
      <c r="B4036" s="18">
        <v>2023</v>
      </c>
      <c r="C4036" s="18" t="s">
        <v>773</v>
      </c>
      <c r="D4036" s="18" t="s">
        <v>1483</v>
      </c>
      <c r="E4036" s="18" t="s">
        <v>703</v>
      </c>
      <c r="F4036" s="18" t="s">
        <v>805</v>
      </c>
      <c r="G4036" s="18" t="s">
        <v>674</v>
      </c>
      <c r="H4036" s="18" t="s">
        <v>994</v>
      </c>
      <c r="I4036" s="315">
        <v>0.7253843554730891</v>
      </c>
      <c r="J4036" s="315">
        <v>1.5208966583567607E-3</v>
      </c>
      <c r="K4036" s="316" t="str">
        <f t="shared" si="60"/>
        <v>Construction and Mining Equipment</v>
      </c>
      <c r="L4036" s="316" t="str">
        <f t="shared" si="61"/>
        <v>Gasoline</v>
      </c>
      <c r="M4036" s="194"/>
      <c r="N4036" s="317"/>
      <c r="O4036" s="317"/>
      <c r="P4036" s="317"/>
      <c r="Q4036" s="317"/>
      <c r="R4036" s="317"/>
      <c r="S4036" s="317"/>
      <c r="T4036" s="317"/>
      <c r="U4036" s="317"/>
      <c r="V4036" s="317"/>
      <c r="W4036" s="317"/>
      <c r="X4036" s="317"/>
      <c r="Y4036" s="317"/>
      <c r="Z4036" s="317"/>
    </row>
    <row r="4037" spans="1:26" x14ac:dyDescent="0.25">
      <c r="A4037" s="314"/>
      <c r="B4037" s="18">
        <v>2023</v>
      </c>
      <c r="C4037" s="18" t="s">
        <v>760</v>
      </c>
      <c r="D4037" s="18" t="s">
        <v>1685</v>
      </c>
      <c r="E4037" s="18" t="s">
        <v>56</v>
      </c>
      <c r="F4037" s="18" t="s">
        <v>672</v>
      </c>
      <c r="G4037" s="18" t="s">
        <v>674</v>
      </c>
      <c r="H4037" s="18" t="s">
        <v>1072</v>
      </c>
      <c r="I4037" s="315">
        <v>0.72475643941680956</v>
      </c>
      <c r="J4037" s="315">
        <v>5.0289860606338871E-5</v>
      </c>
      <c r="K4037" s="316" t="str">
        <f t="shared" si="60"/>
        <v>Construction and Mining Equipment</v>
      </c>
      <c r="L4037" s="316" t="str">
        <f t="shared" si="61"/>
        <v>LPG</v>
      </c>
      <c r="M4037" s="194"/>
      <c r="N4037" s="317"/>
      <c r="O4037" s="317"/>
      <c r="P4037" s="317"/>
      <c r="Q4037" s="317"/>
      <c r="R4037" s="317"/>
      <c r="S4037" s="317"/>
      <c r="T4037" s="317"/>
      <c r="U4037" s="317"/>
      <c r="V4037" s="317"/>
      <c r="W4037" s="317"/>
      <c r="X4037" s="317"/>
      <c r="Y4037" s="317"/>
      <c r="Z4037" s="317"/>
    </row>
    <row r="4038" spans="1:26" x14ac:dyDescent="0.25">
      <c r="A4038" s="314"/>
      <c r="B4038" s="18">
        <v>2023</v>
      </c>
      <c r="C4038" s="18" t="s">
        <v>711</v>
      </c>
      <c r="D4038" s="18" t="s">
        <v>1737</v>
      </c>
      <c r="E4038" s="18" t="s">
        <v>703</v>
      </c>
      <c r="F4038" s="18" t="s">
        <v>805</v>
      </c>
      <c r="G4038" s="18" t="s">
        <v>673</v>
      </c>
      <c r="H4038" s="18" t="s">
        <v>705</v>
      </c>
      <c r="I4038" s="315">
        <v>0.72169353832957917</v>
      </c>
      <c r="J4038" s="315">
        <v>1.4472216327735443E-3</v>
      </c>
      <c r="K4038" s="316" t="str">
        <f t="shared" si="60"/>
        <v>Lawn and Garden Equipment</v>
      </c>
      <c r="L4038" s="316" t="str">
        <f t="shared" si="61"/>
        <v>Gasoline</v>
      </c>
      <c r="M4038" s="194"/>
      <c r="N4038" s="317"/>
      <c r="O4038" s="317"/>
      <c r="P4038" s="317"/>
      <c r="Q4038" s="317"/>
      <c r="R4038" s="317"/>
      <c r="S4038" s="317"/>
      <c r="T4038" s="317"/>
      <c r="U4038" s="317"/>
      <c r="V4038" s="317"/>
      <c r="W4038" s="317"/>
      <c r="X4038" s="317"/>
      <c r="Y4038" s="317"/>
      <c r="Z4038" s="317"/>
    </row>
    <row r="4039" spans="1:26" x14ac:dyDescent="0.25">
      <c r="A4039" s="314"/>
      <c r="B4039" s="18">
        <v>2023</v>
      </c>
      <c r="C4039" s="18" t="s">
        <v>750</v>
      </c>
      <c r="D4039" s="18" t="s">
        <v>1401</v>
      </c>
      <c r="E4039" s="18" t="s">
        <v>56</v>
      </c>
      <c r="F4039" s="18" t="s">
        <v>601</v>
      </c>
      <c r="G4039" s="18" t="s">
        <v>677</v>
      </c>
      <c r="H4039" s="18" t="s">
        <v>785</v>
      </c>
      <c r="I4039" s="315">
        <v>0.72067786576775228</v>
      </c>
      <c r="J4039" s="315">
        <v>3.1238068426054479E-3</v>
      </c>
      <c r="K4039" s="316" t="str">
        <f t="shared" si="60"/>
        <v>Commercial Equipment</v>
      </c>
      <c r="L4039" s="316" t="str">
        <f t="shared" si="61"/>
        <v>CNG</v>
      </c>
      <c r="M4039" s="194"/>
      <c r="N4039" s="317"/>
      <c r="O4039" s="317"/>
      <c r="P4039" s="317"/>
      <c r="Q4039" s="317"/>
      <c r="R4039" s="317"/>
      <c r="S4039" s="317"/>
      <c r="T4039" s="317"/>
      <c r="U4039" s="317"/>
      <c r="V4039" s="317"/>
      <c r="W4039" s="317"/>
      <c r="X4039" s="317"/>
      <c r="Y4039" s="317"/>
      <c r="Z4039" s="317"/>
    </row>
    <row r="4040" spans="1:26" x14ac:dyDescent="0.25">
      <c r="A4040" s="314"/>
      <c r="B4040" s="18">
        <v>2023</v>
      </c>
      <c r="C4040" s="18" t="s">
        <v>762</v>
      </c>
      <c r="D4040" s="18" t="s">
        <v>1838</v>
      </c>
      <c r="E4040" s="18" t="s">
        <v>713</v>
      </c>
      <c r="F4040" s="18" t="s">
        <v>714</v>
      </c>
      <c r="G4040" s="18" t="s">
        <v>678</v>
      </c>
      <c r="H4040" s="18" t="s">
        <v>1745</v>
      </c>
      <c r="I4040" s="315">
        <v>0.71475199537459033</v>
      </c>
      <c r="J4040" s="315">
        <v>5.1724942265191169E-6</v>
      </c>
      <c r="K4040" s="316" t="str">
        <f t="shared" si="60"/>
        <v>Agricultural Equipment</v>
      </c>
      <c r="L4040" s="316" t="str">
        <f t="shared" si="61"/>
        <v>Diesel</v>
      </c>
      <c r="M4040" s="194"/>
      <c r="N4040" s="317"/>
      <c r="O4040" s="317"/>
      <c r="P4040" s="317"/>
      <c r="Q4040" s="317"/>
      <c r="R4040" s="317"/>
      <c r="S4040" s="317"/>
      <c r="T4040" s="317"/>
      <c r="U4040" s="317"/>
      <c r="V4040" s="317"/>
      <c r="W4040" s="317"/>
      <c r="X4040" s="317"/>
      <c r="Y4040" s="317"/>
      <c r="Z4040" s="317"/>
    </row>
    <row r="4041" spans="1:26" x14ac:dyDescent="0.25">
      <c r="A4041" s="314"/>
      <c r="B4041" s="18">
        <v>2023</v>
      </c>
      <c r="C4041" s="18" t="s">
        <v>792</v>
      </c>
      <c r="D4041" s="18" t="s">
        <v>1360</v>
      </c>
      <c r="E4041" s="18" t="s">
        <v>713</v>
      </c>
      <c r="F4041" s="18" t="s">
        <v>714</v>
      </c>
      <c r="G4041" s="18" t="s">
        <v>674</v>
      </c>
      <c r="H4041" s="18" t="s">
        <v>1220</v>
      </c>
      <c r="I4041" s="315">
        <v>0.70786534676935253</v>
      </c>
      <c r="J4041" s="315">
        <v>3.1488589230811198E-5</v>
      </c>
      <c r="K4041" s="316" t="str">
        <f t="shared" si="60"/>
        <v>Construction and Mining Equipment</v>
      </c>
      <c r="L4041" s="316" t="str">
        <f t="shared" si="61"/>
        <v>Diesel</v>
      </c>
      <c r="M4041" s="194"/>
      <c r="N4041" s="317"/>
      <c r="O4041" s="317"/>
      <c r="P4041" s="317"/>
      <c r="Q4041" s="317"/>
      <c r="R4041" s="317"/>
      <c r="S4041" s="317"/>
      <c r="T4041" s="317"/>
      <c r="U4041" s="317"/>
      <c r="V4041" s="317"/>
      <c r="W4041" s="317"/>
      <c r="X4041" s="317"/>
      <c r="Y4041" s="317"/>
      <c r="Z4041" s="317"/>
    </row>
    <row r="4042" spans="1:26" x14ac:dyDescent="0.25">
      <c r="A4042" s="314"/>
      <c r="B4042" s="18">
        <v>2023</v>
      </c>
      <c r="C4042" s="18" t="s">
        <v>727</v>
      </c>
      <c r="D4042" s="18" t="s">
        <v>1564</v>
      </c>
      <c r="E4042" s="18" t="s">
        <v>703</v>
      </c>
      <c r="F4042" s="18" t="s">
        <v>704</v>
      </c>
      <c r="G4042" s="18" t="s">
        <v>674</v>
      </c>
      <c r="H4042" s="18" t="s">
        <v>981</v>
      </c>
      <c r="I4042" s="315">
        <v>0.70654336191667144</v>
      </c>
      <c r="J4042" s="315">
        <v>5.2045395941351894E-4</v>
      </c>
      <c r="K4042" s="316" t="str">
        <f t="shared" si="60"/>
        <v>Construction and Mining Equipment</v>
      </c>
      <c r="L4042" s="316" t="str">
        <f t="shared" si="61"/>
        <v>Gasoline</v>
      </c>
      <c r="M4042" s="194"/>
      <c r="N4042" s="317"/>
      <c r="O4042" s="317"/>
      <c r="P4042" s="317"/>
      <c r="Q4042" s="317"/>
      <c r="R4042" s="317"/>
      <c r="S4042" s="317"/>
      <c r="T4042" s="317"/>
      <c r="U4042" s="317"/>
      <c r="V4042" s="317"/>
      <c r="W4042" s="317"/>
      <c r="X4042" s="317"/>
      <c r="Y4042" s="317"/>
      <c r="Z4042" s="317"/>
    </row>
    <row r="4043" spans="1:26" x14ac:dyDescent="0.25">
      <c r="A4043" s="314"/>
      <c r="B4043" s="18">
        <v>2023</v>
      </c>
      <c r="C4043" s="18" t="s">
        <v>792</v>
      </c>
      <c r="D4043" s="18" t="s">
        <v>1539</v>
      </c>
      <c r="E4043" s="18" t="s">
        <v>703</v>
      </c>
      <c r="F4043" s="18" t="s">
        <v>704</v>
      </c>
      <c r="G4043" s="18" t="s">
        <v>678</v>
      </c>
      <c r="H4043" s="18" t="s">
        <v>1230</v>
      </c>
      <c r="I4043" s="315">
        <v>0.70238212968719871</v>
      </c>
      <c r="J4043" s="315">
        <v>4.2047548643383805E-4</v>
      </c>
      <c r="K4043" s="316" t="str">
        <f t="shared" si="60"/>
        <v>Agricultural Equipment</v>
      </c>
      <c r="L4043" s="316" t="str">
        <f t="shared" si="61"/>
        <v>Gasoline</v>
      </c>
      <c r="M4043" s="194"/>
      <c r="N4043" s="317"/>
      <c r="O4043" s="317"/>
      <c r="P4043" s="317"/>
      <c r="Q4043" s="317"/>
      <c r="R4043" s="317"/>
      <c r="S4043" s="317"/>
      <c r="T4043" s="317"/>
      <c r="U4043" s="317"/>
      <c r="V4043" s="317"/>
      <c r="W4043" s="317"/>
      <c r="X4043" s="317"/>
      <c r="Y4043" s="317"/>
      <c r="Z4043" s="317"/>
    </row>
    <row r="4044" spans="1:26" x14ac:dyDescent="0.25">
      <c r="A4044" s="314"/>
      <c r="B4044" s="18">
        <v>2023</v>
      </c>
      <c r="C4044" s="18" t="s">
        <v>793</v>
      </c>
      <c r="D4044" s="18" t="s">
        <v>1588</v>
      </c>
      <c r="E4044" s="18" t="s">
        <v>56</v>
      </c>
      <c r="F4044" s="18" t="s">
        <v>1575</v>
      </c>
      <c r="G4044" s="18" t="s">
        <v>675</v>
      </c>
      <c r="H4044" s="18" t="s">
        <v>1589</v>
      </c>
      <c r="I4044" s="315">
        <v>0.70154684525141664</v>
      </c>
      <c r="J4044" s="315">
        <v>2.9523600015152625E-3</v>
      </c>
      <c r="K4044" s="316" t="str">
        <f t="shared" si="60"/>
        <v>Industrial Equipment</v>
      </c>
      <c r="L4044" s="316" t="str">
        <f t="shared" si="61"/>
        <v>CNG</v>
      </c>
      <c r="M4044" s="194"/>
      <c r="N4044" s="317"/>
      <c r="O4044" s="317"/>
      <c r="P4044" s="317"/>
      <c r="Q4044" s="317"/>
      <c r="R4044" s="317"/>
      <c r="S4044" s="317"/>
      <c r="T4044" s="317"/>
      <c r="U4044" s="317"/>
      <c r="V4044" s="317"/>
      <c r="W4044" s="317"/>
      <c r="X4044" s="317"/>
      <c r="Y4044" s="317"/>
      <c r="Z4044" s="317"/>
    </row>
    <row r="4045" spans="1:26" x14ac:dyDescent="0.25">
      <c r="A4045" s="314"/>
      <c r="B4045" s="18">
        <v>2023</v>
      </c>
      <c r="C4045" s="18" t="s">
        <v>754</v>
      </c>
      <c r="D4045" s="18" t="s">
        <v>1830</v>
      </c>
      <c r="E4045" s="18" t="s">
        <v>703</v>
      </c>
      <c r="F4045" s="18" t="s">
        <v>805</v>
      </c>
      <c r="G4045" s="18" t="s">
        <v>678</v>
      </c>
      <c r="H4045" s="18" t="s">
        <v>1222</v>
      </c>
      <c r="I4045" s="315">
        <v>0.70153732937275193</v>
      </c>
      <c r="J4045" s="315">
        <v>1.1525076457151028E-3</v>
      </c>
      <c r="K4045" s="316" t="str">
        <f t="shared" si="60"/>
        <v>Agricultural Equipment</v>
      </c>
      <c r="L4045" s="316" t="str">
        <f t="shared" si="61"/>
        <v>Gasoline</v>
      </c>
      <c r="M4045" s="194"/>
      <c r="N4045" s="317"/>
      <c r="O4045" s="317"/>
      <c r="P4045" s="317"/>
      <c r="Q4045" s="317"/>
      <c r="R4045" s="317"/>
      <c r="S4045" s="317"/>
      <c r="T4045" s="317"/>
      <c r="U4045" s="317"/>
      <c r="V4045" s="317"/>
      <c r="W4045" s="317"/>
      <c r="X4045" s="317"/>
      <c r="Y4045" s="317"/>
      <c r="Z4045" s="317"/>
    </row>
    <row r="4046" spans="1:26" x14ac:dyDescent="0.25">
      <c r="A4046" s="314"/>
      <c r="B4046" s="18">
        <v>2023</v>
      </c>
      <c r="C4046" s="18" t="s">
        <v>810</v>
      </c>
      <c r="D4046" s="18" t="s">
        <v>1401</v>
      </c>
      <c r="E4046" s="18" t="s">
        <v>56</v>
      </c>
      <c r="F4046" s="18" t="s">
        <v>601</v>
      </c>
      <c r="G4046" s="18" t="s">
        <v>677</v>
      </c>
      <c r="H4046" s="18" t="s">
        <v>785</v>
      </c>
      <c r="I4046" s="315">
        <v>0.70065771626535489</v>
      </c>
      <c r="J4046" s="315">
        <v>3.0370354599040909E-3</v>
      </c>
      <c r="K4046" s="316" t="str">
        <f t="shared" si="60"/>
        <v>Commercial Equipment</v>
      </c>
      <c r="L4046" s="316" t="str">
        <f t="shared" si="61"/>
        <v>CNG</v>
      </c>
      <c r="M4046" s="194"/>
      <c r="N4046" s="317"/>
      <c r="O4046" s="317"/>
      <c r="P4046" s="317"/>
      <c r="Q4046" s="317"/>
      <c r="R4046" s="317"/>
      <c r="S4046" s="317"/>
      <c r="T4046" s="317"/>
      <c r="U4046" s="317"/>
      <c r="V4046" s="317"/>
      <c r="W4046" s="317"/>
      <c r="X4046" s="317"/>
      <c r="Y4046" s="317"/>
      <c r="Z4046" s="317"/>
    </row>
    <row r="4047" spans="1:26" x14ac:dyDescent="0.25">
      <c r="A4047" s="314"/>
      <c r="B4047" s="18">
        <v>2023</v>
      </c>
      <c r="C4047" s="18" t="s">
        <v>792</v>
      </c>
      <c r="D4047" s="18" t="s">
        <v>1361</v>
      </c>
      <c r="E4047" s="18" t="s">
        <v>56</v>
      </c>
      <c r="F4047" s="18" t="s">
        <v>672</v>
      </c>
      <c r="G4047" s="18" t="s">
        <v>674</v>
      </c>
      <c r="H4047" s="18" t="s">
        <v>783</v>
      </c>
      <c r="I4047" s="315">
        <v>0.69919108575107003</v>
      </c>
      <c r="J4047" s="315">
        <v>3.2097354661041801E-5</v>
      </c>
      <c r="K4047" s="316" t="str">
        <f t="shared" si="60"/>
        <v>Construction and Mining Equipment</v>
      </c>
      <c r="L4047" s="316" t="str">
        <f t="shared" si="61"/>
        <v>LPG</v>
      </c>
      <c r="M4047" s="194"/>
      <c r="N4047" s="317"/>
      <c r="O4047" s="317"/>
      <c r="P4047" s="317"/>
      <c r="Q4047" s="317"/>
      <c r="R4047" s="317"/>
      <c r="S4047" s="317"/>
      <c r="T4047" s="317"/>
      <c r="U4047" s="317"/>
      <c r="V4047" s="317"/>
      <c r="W4047" s="317"/>
      <c r="X4047" s="317"/>
      <c r="Y4047" s="317"/>
      <c r="Z4047" s="317"/>
    </row>
    <row r="4048" spans="1:26" x14ac:dyDescent="0.25">
      <c r="A4048" s="314"/>
      <c r="B4048" s="18">
        <v>2023</v>
      </c>
      <c r="C4048" s="18" t="s">
        <v>732</v>
      </c>
      <c r="D4048" s="18" t="s">
        <v>1838</v>
      </c>
      <c r="E4048" s="18" t="s">
        <v>713</v>
      </c>
      <c r="F4048" s="18" t="s">
        <v>714</v>
      </c>
      <c r="G4048" s="18" t="s">
        <v>678</v>
      </c>
      <c r="H4048" s="18" t="s">
        <v>1745</v>
      </c>
      <c r="I4048" s="315">
        <v>0.69721429440710847</v>
      </c>
      <c r="J4048" s="315">
        <v>5.0455770416030464E-6</v>
      </c>
      <c r="K4048" s="316" t="str">
        <f t="shared" si="60"/>
        <v>Agricultural Equipment</v>
      </c>
      <c r="L4048" s="316" t="str">
        <f t="shared" si="61"/>
        <v>Diesel</v>
      </c>
      <c r="M4048" s="194"/>
      <c r="N4048" s="317"/>
      <c r="O4048" s="317"/>
      <c r="P4048" s="317"/>
      <c r="Q4048" s="317"/>
      <c r="R4048" s="317"/>
      <c r="S4048" s="317"/>
      <c r="T4048" s="317"/>
      <c r="U4048" s="317"/>
      <c r="V4048" s="317"/>
      <c r="W4048" s="317"/>
      <c r="X4048" s="317"/>
      <c r="Y4048" s="317"/>
      <c r="Z4048" s="317"/>
    </row>
    <row r="4049" spans="1:26" x14ac:dyDescent="0.25">
      <c r="A4049" s="314"/>
      <c r="B4049" s="18">
        <v>2023</v>
      </c>
      <c r="C4049" s="18" t="s">
        <v>732</v>
      </c>
      <c r="D4049" s="18" t="s">
        <v>1663</v>
      </c>
      <c r="E4049" s="18" t="s">
        <v>713</v>
      </c>
      <c r="F4049" s="18" t="s">
        <v>714</v>
      </c>
      <c r="G4049" s="18" t="s">
        <v>674</v>
      </c>
      <c r="H4049" s="18" t="s">
        <v>1082</v>
      </c>
      <c r="I4049" s="315">
        <v>0.69601969089755322</v>
      </c>
      <c r="J4049" s="315">
        <v>8.2632163606061835E-5</v>
      </c>
      <c r="K4049" s="316" t="str">
        <f t="shared" si="60"/>
        <v>Construction and Mining Equipment</v>
      </c>
      <c r="L4049" s="316" t="str">
        <f t="shared" si="61"/>
        <v>Diesel</v>
      </c>
      <c r="M4049" s="194"/>
      <c r="N4049" s="317"/>
      <c r="O4049" s="317"/>
      <c r="P4049" s="317"/>
      <c r="Q4049" s="317"/>
      <c r="R4049" s="317"/>
      <c r="S4049" s="317"/>
      <c r="T4049" s="317"/>
      <c r="U4049" s="317"/>
      <c r="V4049" s="317"/>
      <c r="W4049" s="317"/>
      <c r="X4049" s="317"/>
      <c r="Y4049" s="317"/>
      <c r="Z4049" s="317"/>
    </row>
    <row r="4050" spans="1:26" x14ac:dyDescent="0.25">
      <c r="A4050" s="314"/>
      <c r="B4050" s="18">
        <v>2023</v>
      </c>
      <c r="C4050" s="18" t="s">
        <v>781</v>
      </c>
      <c r="D4050" s="18" t="s">
        <v>1247</v>
      </c>
      <c r="E4050" s="18" t="s">
        <v>56</v>
      </c>
      <c r="F4050" s="18" t="s">
        <v>672</v>
      </c>
      <c r="G4050" s="18" t="s">
        <v>674</v>
      </c>
      <c r="H4050" s="18" t="s">
        <v>967</v>
      </c>
      <c r="I4050" s="315">
        <v>0.69272539734835403</v>
      </c>
      <c r="J4050" s="315">
        <v>3.2727822042150577E-5</v>
      </c>
      <c r="K4050" s="316" t="str">
        <f t="shared" si="60"/>
        <v>Construction and Mining Equipment</v>
      </c>
      <c r="L4050" s="316" t="str">
        <f t="shared" si="61"/>
        <v>LPG</v>
      </c>
      <c r="M4050" s="194"/>
      <c r="N4050" s="317"/>
      <c r="O4050" s="317"/>
      <c r="P4050" s="317"/>
      <c r="Q4050" s="317"/>
      <c r="R4050" s="317"/>
      <c r="S4050" s="317"/>
      <c r="T4050" s="317"/>
      <c r="U4050" s="317"/>
      <c r="V4050" s="317"/>
      <c r="W4050" s="317"/>
      <c r="X4050" s="317"/>
      <c r="Y4050" s="317"/>
      <c r="Z4050" s="317"/>
    </row>
    <row r="4051" spans="1:26" x14ac:dyDescent="0.25">
      <c r="A4051" s="314"/>
      <c r="B4051" s="18">
        <v>2023</v>
      </c>
      <c r="C4051" s="18" t="s">
        <v>781</v>
      </c>
      <c r="D4051" s="18" t="s">
        <v>1248</v>
      </c>
      <c r="E4051" s="18" t="s">
        <v>703</v>
      </c>
      <c r="F4051" s="18" t="s">
        <v>704</v>
      </c>
      <c r="G4051" s="18" t="s">
        <v>674</v>
      </c>
      <c r="H4051" s="18" t="s">
        <v>959</v>
      </c>
      <c r="I4051" s="315">
        <v>0.69162930127281741</v>
      </c>
      <c r="J4051" s="315">
        <v>4.6163778848358451E-4</v>
      </c>
      <c r="K4051" s="316" t="str">
        <f t="shared" si="60"/>
        <v>Construction and Mining Equipment</v>
      </c>
      <c r="L4051" s="316" t="str">
        <f t="shared" si="61"/>
        <v>Gasoline</v>
      </c>
      <c r="M4051" s="194"/>
      <c r="N4051" s="317"/>
      <c r="O4051" s="317"/>
      <c r="P4051" s="317"/>
      <c r="Q4051" s="317"/>
      <c r="R4051" s="317"/>
      <c r="S4051" s="317"/>
      <c r="T4051" s="317"/>
      <c r="U4051" s="317"/>
      <c r="V4051" s="317"/>
      <c r="W4051" s="317"/>
      <c r="X4051" s="317"/>
      <c r="Y4051" s="317"/>
      <c r="Z4051" s="317"/>
    </row>
    <row r="4052" spans="1:26" x14ac:dyDescent="0.25">
      <c r="A4052" s="314"/>
      <c r="B4052" s="18">
        <v>2023</v>
      </c>
      <c r="C4052" s="18" t="s">
        <v>792</v>
      </c>
      <c r="D4052" s="18" t="s">
        <v>1362</v>
      </c>
      <c r="E4052" s="18" t="s">
        <v>56</v>
      </c>
      <c r="F4052" s="18" t="s">
        <v>672</v>
      </c>
      <c r="G4052" s="18" t="s">
        <v>674</v>
      </c>
      <c r="H4052" s="18" t="s">
        <v>859</v>
      </c>
      <c r="I4052" s="315">
        <v>0.69084592648918297</v>
      </c>
      <c r="J4052" s="315">
        <v>1.713443959862068E-4</v>
      </c>
      <c r="K4052" s="316" t="str">
        <f t="shared" si="60"/>
        <v>Construction and Mining Equipment</v>
      </c>
      <c r="L4052" s="316" t="str">
        <f t="shared" si="61"/>
        <v>LPG</v>
      </c>
      <c r="M4052" s="194"/>
      <c r="N4052" s="317"/>
      <c r="O4052" s="317"/>
      <c r="P4052" s="317"/>
      <c r="Q4052" s="317"/>
      <c r="R4052" s="317"/>
      <c r="S4052" s="317"/>
      <c r="T4052" s="317"/>
      <c r="U4052" s="317"/>
      <c r="V4052" s="317"/>
      <c r="W4052" s="317"/>
      <c r="X4052" s="317"/>
      <c r="Y4052" s="317"/>
      <c r="Z4052" s="317"/>
    </row>
    <row r="4053" spans="1:26" x14ac:dyDescent="0.25">
      <c r="A4053" s="314"/>
      <c r="B4053" s="18">
        <v>2023</v>
      </c>
      <c r="C4053" s="18" t="s">
        <v>793</v>
      </c>
      <c r="D4053" s="18" t="s">
        <v>1564</v>
      </c>
      <c r="E4053" s="18" t="s">
        <v>703</v>
      </c>
      <c r="F4053" s="18" t="s">
        <v>704</v>
      </c>
      <c r="G4053" s="18" t="s">
        <v>674</v>
      </c>
      <c r="H4053" s="18" t="s">
        <v>981</v>
      </c>
      <c r="I4053" s="315">
        <v>0.68984032812696883</v>
      </c>
      <c r="J4053" s="315">
        <v>5.0887871180739432E-4</v>
      </c>
      <c r="K4053" s="316" t="str">
        <f t="shared" si="60"/>
        <v>Construction and Mining Equipment</v>
      </c>
      <c r="L4053" s="316" t="str">
        <f t="shared" si="61"/>
        <v>Gasoline</v>
      </c>
      <c r="M4053" s="194"/>
      <c r="N4053" s="317"/>
      <c r="O4053" s="317"/>
      <c r="P4053" s="317"/>
      <c r="Q4053" s="317"/>
      <c r="R4053" s="317"/>
      <c r="S4053" s="317"/>
      <c r="T4053" s="317"/>
      <c r="U4053" s="317"/>
      <c r="V4053" s="317"/>
      <c r="W4053" s="317"/>
      <c r="X4053" s="317"/>
      <c r="Y4053" s="317"/>
      <c r="Z4053" s="317"/>
    </row>
    <row r="4054" spans="1:26" ht="12.75" x14ac:dyDescent="0.2">
      <c r="A4054" s="230"/>
      <c r="B4054" s="18">
        <v>2023</v>
      </c>
      <c r="C4054" s="18" t="s">
        <v>787</v>
      </c>
      <c r="D4054" s="18" t="s">
        <v>1744</v>
      </c>
      <c r="E4054" s="18" t="s">
        <v>703</v>
      </c>
      <c r="F4054" s="18" t="s">
        <v>704</v>
      </c>
      <c r="G4054" s="18" t="s">
        <v>678</v>
      </c>
      <c r="H4054" s="18" t="s">
        <v>1745</v>
      </c>
      <c r="I4054" s="315">
        <v>0.68210918573379375</v>
      </c>
      <c r="J4054" s="315">
        <v>4.3582304341763662E-4</v>
      </c>
      <c r="K4054" s="316" t="str">
        <f t="shared" si="60"/>
        <v>Agricultural Equipment</v>
      </c>
      <c r="L4054" s="316" t="str">
        <f t="shared" si="61"/>
        <v>Gasoline</v>
      </c>
      <c r="M4054" s="8"/>
      <c r="N4054" s="2"/>
      <c r="O4054" s="2"/>
      <c r="P4054" s="2"/>
      <c r="Q4054" s="2"/>
      <c r="R4054" s="2"/>
      <c r="S4054" s="2"/>
      <c r="T4054" s="2"/>
      <c r="U4054" s="2"/>
      <c r="V4054" s="2"/>
      <c r="W4054" s="2"/>
      <c r="X4054" s="2"/>
      <c r="Y4054" s="2"/>
      <c r="Z4054" s="2"/>
    </row>
    <row r="4055" spans="1:26" x14ac:dyDescent="0.25">
      <c r="A4055" s="314"/>
      <c r="B4055" s="18">
        <v>2023</v>
      </c>
      <c r="C4055" s="18" t="s">
        <v>792</v>
      </c>
      <c r="D4055" s="18" t="s">
        <v>1366</v>
      </c>
      <c r="E4055" s="18" t="s">
        <v>703</v>
      </c>
      <c r="F4055" s="18" t="s">
        <v>704</v>
      </c>
      <c r="G4055" s="18" t="s">
        <v>674</v>
      </c>
      <c r="H4055" s="18" t="s">
        <v>791</v>
      </c>
      <c r="I4055" s="315">
        <v>0.6768731555378994</v>
      </c>
      <c r="J4055" s="315">
        <v>2.1308237972018684E-4</v>
      </c>
      <c r="K4055" s="316" t="str">
        <f t="shared" si="60"/>
        <v>Construction and Mining Equipment</v>
      </c>
      <c r="L4055" s="316" t="str">
        <f t="shared" si="61"/>
        <v>Gasoline</v>
      </c>
      <c r="M4055" s="194"/>
      <c r="N4055" s="317"/>
      <c r="O4055" s="317"/>
      <c r="P4055" s="317"/>
      <c r="Q4055" s="317"/>
      <c r="R4055" s="317"/>
      <c r="S4055" s="317"/>
      <c r="T4055" s="317"/>
      <c r="U4055" s="317"/>
      <c r="V4055" s="317"/>
      <c r="W4055" s="317"/>
      <c r="X4055" s="317"/>
      <c r="Y4055" s="317"/>
      <c r="Z4055" s="317"/>
    </row>
    <row r="4056" spans="1:26" x14ac:dyDescent="0.25">
      <c r="A4056" s="314"/>
      <c r="B4056" s="18">
        <v>2023</v>
      </c>
      <c r="C4056" s="18" t="s">
        <v>727</v>
      </c>
      <c r="D4056" s="18" t="s">
        <v>1580</v>
      </c>
      <c r="E4056" s="18" t="s">
        <v>56</v>
      </c>
      <c r="F4056" s="18" t="s">
        <v>672</v>
      </c>
      <c r="G4056" s="18" t="s">
        <v>674</v>
      </c>
      <c r="H4056" s="18" t="s">
        <v>736</v>
      </c>
      <c r="I4056" s="315">
        <v>0.67517697582476766</v>
      </c>
      <c r="J4056" s="315">
        <v>3.101612595285271E-5</v>
      </c>
      <c r="K4056" s="316" t="str">
        <f t="shared" si="60"/>
        <v>Construction and Mining Equipment</v>
      </c>
      <c r="L4056" s="316" t="str">
        <f t="shared" si="61"/>
        <v>LPG</v>
      </c>
      <c r="M4056" s="194"/>
      <c r="N4056" s="317"/>
      <c r="O4056" s="317"/>
      <c r="P4056" s="317"/>
      <c r="Q4056" s="317"/>
      <c r="R4056" s="317"/>
      <c r="S4056" s="317"/>
      <c r="T4056" s="317"/>
      <c r="U4056" s="317"/>
      <c r="V4056" s="317"/>
      <c r="W4056" s="317"/>
      <c r="X4056" s="317"/>
      <c r="Y4056" s="317"/>
      <c r="Z4056" s="317"/>
    </row>
    <row r="4057" spans="1:26" x14ac:dyDescent="0.25">
      <c r="A4057" s="314"/>
      <c r="B4057" s="18">
        <v>2023</v>
      </c>
      <c r="C4057" s="18" t="s">
        <v>709</v>
      </c>
      <c r="D4057" s="18" t="s">
        <v>1825</v>
      </c>
      <c r="E4057" s="18" t="s">
        <v>56</v>
      </c>
      <c r="F4057" s="18" t="s">
        <v>601</v>
      </c>
      <c r="G4057" s="18" t="s">
        <v>674</v>
      </c>
      <c r="H4057" s="18" t="s">
        <v>859</v>
      </c>
      <c r="I4057" s="315">
        <v>0.67411305776652219</v>
      </c>
      <c r="J4057" s="315">
        <v>1.4484183596270612E-2</v>
      </c>
      <c r="K4057" s="316" t="str">
        <f t="shared" si="60"/>
        <v>Construction and Mining Equipment</v>
      </c>
      <c r="L4057" s="316" t="str">
        <f t="shared" si="61"/>
        <v>CNG</v>
      </c>
      <c r="M4057" s="194"/>
      <c r="N4057" s="317"/>
      <c r="O4057" s="317"/>
      <c r="P4057" s="317"/>
      <c r="Q4057" s="317"/>
      <c r="R4057" s="317"/>
      <c r="S4057" s="317"/>
      <c r="T4057" s="317"/>
      <c r="U4057" s="317"/>
      <c r="V4057" s="317"/>
      <c r="W4057" s="317"/>
      <c r="X4057" s="317"/>
      <c r="Y4057" s="317"/>
      <c r="Z4057" s="317"/>
    </row>
    <row r="4058" spans="1:26" x14ac:dyDescent="0.25">
      <c r="A4058" s="314"/>
      <c r="B4058" s="18">
        <v>2023</v>
      </c>
      <c r="C4058" s="18" t="s">
        <v>786</v>
      </c>
      <c r="D4058" s="18" t="s">
        <v>1407</v>
      </c>
      <c r="E4058" s="18" t="s">
        <v>56</v>
      </c>
      <c r="F4058" s="18" t="s">
        <v>672</v>
      </c>
      <c r="G4058" s="18" t="s">
        <v>675</v>
      </c>
      <c r="H4058" s="18" t="s">
        <v>1078</v>
      </c>
      <c r="I4058" s="315">
        <v>0.67003652545215042</v>
      </c>
      <c r="J4058" s="315">
        <v>6.0203318835482334E-5</v>
      </c>
      <c r="K4058" s="316" t="str">
        <f t="shared" si="60"/>
        <v>Industrial Equipment</v>
      </c>
      <c r="L4058" s="316" t="str">
        <f t="shared" si="61"/>
        <v>LPG</v>
      </c>
      <c r="M4058" s="194"/>
      <c r="N4058" s="317"/>
      <c r="O4058" s="317"/>
      <c r="P4058" s="317"/>
      <c r="Q4058" s="317"/>
      <c r="R4058" s="317"/>
      <c r="S4058" s="317"/>
      <c r="T4058" s="317"/>
      <c r="U4058" s="317"/>
      <c r="V4058" s="317"/>
      <c r="W4058" s="317"/>
      <c r="X4058" s="317"/>
      <c r="Y4058" s="317"/>
      <c r="Z4058" s="317"/>
    </row>
    <row r="4059" spans="1:26" x14ac:dyDescent="0.25">
      <c r="A4059" s="314"/>
      <c r="B4059" s="18">
        <v>2023</v>
      </c>
      <c r="C4059" s="18" t="s">
        <v>792</v>
      </c>
      <c r="D4059" s="18" t="s">
        <v>1573</v>
      </c>
      <c r="E4059" s="18" t="s">
        <v>703</v>
      </c>
      <c r="F4059" s="18" t="s">
        <v>704</v>
      </c>
      <c r="G4059" s="18" t="s">
        <v>678</v>
      </c>
      <c r="H4059" s="18" t="s">
        <v>764</v>
      </c>
      <c r="I4059" s="315">
        <v>0.66773865433422253</v>
      </c>
      <c r="J4059" s="315">
        <v>1.3057947486490795E-4</v>
      </c>
      <c r="K4059" s="316" t="str">
        <f t="shared" si="60"/>
        <v>Agricultural Equipment</v>
      </c>
      <c r="L4059" s="316" t="str">
        <f t="shared" si="61"/>
        <v>Gasoline</v>
      </c>
      <c r="M4059" s="194"/>
      <c r="N4059" s="317"/>
      <c r="O4059" s="317"/>
      <c r="P4059" s="317"/>
      <c r="Q4059" s="317"/>
      <c r="R4059" s="317"/>
      <c r="S4059" s="317"/>
      <c r="T4059" s="317"/>
      <c r="U4059" s="317"/>
      <c r="V4059" s="317"/>
      <c r="W4059" s="317"/>
      <c r="X4059" s="317"/>
      <c r="Y4059" s="317"/>
      <c r="Z4059" s="317"/>
    </row>
    <row r="4060" spans="1:26" x14ac:dyDescent="0.25">
      <c r="A4060" s="314"/>
      <c r="B4060" s="18">
        <v>2023</v>
      </c>
      <c r="C4060" s="18" t="s">
        <v>727</v>
      </c>
      <c r="D4060" s="18" t="s">
        <v>1583</v>
      </c>
      <c r="E4060" s="18" t="s">
        <v>703</v>
      </c>
      <c r="F4060" s="18" t="s">
        <v>805</v>
      </c>
      <c r="G4060" s="18" t="s">
        <v>674</v>
      </c>
      <c r="H4060" s="18" t="s">
        <v>1036</v>
      </c>
      <c r="I4060" s="315">
        <v>0.66632613676593266</v>
      </c>
      <c r="J4060" s="315">
        <v>1.3790564389130986E-3</v>
      </c>
      <c r="K4060" s="316" t="str">
        <f t="shared" si="60"/>
        <v>Construction and Mining Equipment</v>
      </c>
      <c r="L4060" s="316" t="str">
        <f t="shared" si="61"/>
        <v>Gasoline</v>
      </c>
      <c r="M4060" s="194"/>
      <c r="N4060" s="317"/>
      <c r="O4060" s="317"/>
      <c r="P4060" s="317"/>
      <c r="Q4060" s="317"/>
      <c r="R4060" s="317"/>
      <c r="S4060" s="317"/>
      <c r="T4060" s="317"/>
      <c r="U4060" s="317"/>
      <c r="V4060" s="317"/>
      <c r="W4060" s="317"/>
      <c r="X4060" s="317"/>
      <c r="Y4060" s="317"/>
      <c r="Z4060" s="317"/>
    </row>
    <row r="4061" spans="1:26" x14ac:dyDescent="0.25">
      <c r="A4061" s="314"/>
      <c r="B4061" s="18">
        <v>2023</v>
      </c>
      <c r="C4061" s="18" t="s">
        <v>787</v>
      </c>
      <c r="D4061" s="18" t="s">
        <v>1317</v>
      </c>
      <c r="E4061" s="18" t="s">
        <v>713</v>
      </c>
      <c r="F4061" s="18" t="s">
        <v>714</v>
      </c>
      <c r="G4061" s="18" t="s">
        <v>673</v>
      </c>
      <c r="H4061" s="18" t="s">
        <v>865</v>
      </c>
      <c r="I4061" s="315">
        <v>0.66592043056316486</v>
      </c>
      <c r="J4061" s="315">
        <v>2.1031867420427081E-5</v>
      </c>
      <c r="K4061" s="316" t="str">
        <f t="shared" si="60"/>
        <v>Lawn and Garden Equipment</v>
      </c>
      <c r="L4061" s="316" t="str">
        <f t="shared" si="61"/>
        <v>Diesel</v>
      </c>
      <c r="M4061" s="194"/>
      <c r="N4061" s="317"/>
      <c r="O4061" s="317"/>
      <c r="P4061" s="317"/>
      <c r="Q4061" s="317"/>
      <c r="R4061" s="317"/>
      <c r="S4061" s="317"/>
      <c r="T4061" s="317"/>
      <c r="U4061" s="317"/>
      <c r="V4061" s="317"/>
      <c r="W4061" s="317"/>
      <c r="X4061" s="317"/>
      <c r="Y4061" s="317"/>
      <c r="Z4061" s="317"/>
    </row>
    <row r="4062" spans="1:26" x14ac:dyDescent="0.25">
      <c r="A4062" s="314"/>
      <c r="B4062" s="18">
        <v>2023</v>
      </c>
      <c r="C4062" s="18" t="s">
        <v>754</v>
      </c>
      <c r="D4062" s="18" t="s">
        <v>1655</v>
      </c>
      <c r="E4062" s="18" t="s">
        <v>56</v>
      </c>
      <c r="F4062" s="18" t="s">
        <v>672</v>
      </c>
      <c r="G4062" s="18" t="s">
        <v>677</v>
      </c>
      <c r="H4062" s="18" t="s">
        <v>789</v>
      </c>
      <c r="I4062" s="315">
        <v>0.66338040698441447</v>
      </c>
      <c r="J4062" s="315">
        <v>9.3633649497340408E-5</v>
      </c>
      <c r="K4062" s="316" t="str">
        <f t="shared" si="60"/>
        <v>Commercial Equipment</v>
      </c>
      <c r="L4062" s="316" t="str">
        <f t="shared" si="61"/>
        <v>LPG</v>
      </c>
      <c r="M4062" s="194"/>
      <c r="N4062" s="317"/>
      <c r="O4062" s="317"/>
      <c r="P4062" s="317"/>
      <c r="Q4062" s="317"/>
      <c r="R4062" s="317"/>
      <c r="S4062" s="317"/>
      <c r="T4062" s="317"/>
      <c r="U4062" s="317"/>
      <c r="V4062" s="317"/>
      <c r="W4062" s="317"/>
      <c r="X4062" s="317"/>
      <c r="Y4062" s="317"/>
      <c r="Z4062" s="317"/>
    </row>
    <row r="4063" spans="1:26" x14ac:dyDescent="0.25">
      <c r="A4063" s="314"/>
      <c r="B4063" s="18">
        <v>2023</v>
      </c>
      <c r="C4063" s="18" t="s">
        <v>762</v>
      </c>
      <c r="D4063" s="18" t="s">
        <v>1407</v>
      </c>
      <c r="E4063" s="18" t="s">
        <v>56</v>
      </c>
      <c r="F4063" s="18" t="s">
        <v>672</v>
      </c>
      <c r="G4063" s="18" t="s">
        <v>675</v>
      </c>
      <c r="H4063" s="18" t="s">
        <v>1078</v>
      </c>
      <c r="I4063" s="315">
        <v>0.66200982025451516</v>
      </c>
      <c r="J4063" s="315">
        <v>5.9481976384247726E-5</v>
      </c>
      <c r="K4063" s="316" t="str">
        <f t="shared" si="60"/>
        <v>Industrial Equipment</v>
      </c>
      <c r="L4063" s="316" t="str">
        <f t="shared" si="61"/>
        <v>LPG</v>
      </c>
      <c r="M4063" s="194"/>
      <c r="N4063" s="317"/>
      <c r="O4063" s="317"/>
      <c r="P4063" s="317"/>
      <c r="Q4063" s="317"/>
      <c r="R4063" s="317"/>
      <c r="S4063" s="317"/>
      <c r="T4063" s="317"/>
      <c r="U4063" s="317"/>
      <c r="V4063" s="317"/>
      <c r="W4063" s="317"/>
      <c r="X4063" s="317"/>
      <c r="Y4063" s="317"/>
      <c r="Z4063" s="317"/>
    </row>
    <row r="4064" spans="1:26" x14ac:dyDescent="0.25">
      <c r="A4064" s="314"/>
      <c r="B4064" s="18">
        <v>2023</v>
      </c>
      <c r="C4064" s="18" t="s">
        <v>732</v>
      </c>
      <c r="D4064" s="18" t="s">
        <v>1717</v>
      </c>
      <c r="E4064" s="18" t="s">
        <v>56</v>
      </c>
      <c r="F4064" s="18" t="s">
        <v>601</v>
      </c>
      <c r="G4064" s="18" t="s">
        <v>675</v>
      </c>
      <c r="H4064" s="18" t="s">
        <v>802</v>
      </c>
      <c r="I4064" s="315">
        <v>0.66200771930997748</v>
      </c>
      <c r="J4064" s="315">
        <v>2.637826685842783E-3</v>
      </c>
      <c r="K4064" s="316" t="str">
        <f t="shared" si="60"/>
        <v>Industrial Equipment</v>
      </c>
      <c r="L4064" s="316" t="str">
        <f t="shared" si="61"/>
        <v>CNG</v>
      </c>
      <c r="M4064" s="194"/>
      <c r="N4064" s="317"/>
      <c r="O4064" s="317"/>
      <c r="P4064" s="317"/>
      <c r="Q4064" s="317"/>
      <c r="R4064" s="317"/>
      <c r="S4064" s="317"/>
      <c r="T4064" s="317"/>
      <c r="U4064" s="317"/>
      <c r="V4064" s="317"/>
      <c r="W4064" s="317"/>
      <c r="X4064" s="317"/>
      <c r="Y4064" s="317"/>
      <c r="Z4064" s="317"/>
    </row>
    <row r="4065" spans="1:26" x14ac:dyDescent="0.25">
      <c r="A4065" s="314"/>
      <c r="B4065" s="18">
        <v>2023</v>
      </c>
      <c r="C4065" s="18" t="s">
        <v>793</v>
      </c>
      <c r="D4065" s="18" t="s">
        <v>1580</v>
      </c>
      <c r="E4065" s="18" t="s">
        <v>56</v>
      </c>
      <c r="F4065" s="18" t="s">
        <v>672</v>
      </c>
      <c r="G4065" s="18" t="s">
        <v>674</v>
      </c>
      <c r="H4065" s="18" t="s">
        <v>736</v>
      </c>
      <c r="I4065" s="315">
        <v>0.65921600947850778</v>
      </c>
      <c r="J4065" s="315">
        <v>3.0282925906817125E-5</v>
      </c>
      <c r="K4065" s="316" t="str">
        <f t="shared" si="60"/>
        <v>Construction and Mining Equipment</v>
      </c>
      <c r="L4065" s="316" t="str">
        <f t="shared" si="61"/>
        <v>LPG</v>
      </c>
      <c r="M4065" s="194"/>
      <c r="N4065" s="317"/>
      <c r="O4065" s="317"/>
      <c r="P4065" s="317"/>
      <c r="Q4065" s="317"/>
      <c r="R4065" s="317"/>
      <c r="S4065" s="317"/>
      <c r="T4065" s="317"/>
      <c r="U4065" s="317"/>
      <c r="V4065" s="317"/>
      <c r="W4065" s="317"/>
      <c r="X4065" s="317"/>
      <c r="Y4065" s="317"/>
      <c r="Z4065" s="317"/>
    </row>
    <row r="4066" spans="1:26" x14ac:dyDescent="0.25">
      <c r="A4066" s="314"/>
      <c r="B4066" s="18">
        <v>2023</v>
      </c>
      <c r="C4066" s="18" t="s">
        <v>706</v>
      </c>
      <c r="D4066" s="18" t="s">
        <v>1708</v>
      </c>
      <c r="E4066" s="18" t="s">
        <v>703</v>
      </c>
      <c r="F4066" s="18" t="s">
        <v>704</v>
      </c>
      <c r="G4066" s="18" t="s">
        <v>678</v>
      </c>
      <c r="H4066" s="18" t="s">
        <v>1709</v>
      </c>
      <c r="I4066" s="315">
        <v>0.65825257748424537</v>
      </c>
      <c r="J4066" s="315">
        <v>4.4502045244904456E-4</v>
      </c>
      <c r="K4066" s="316" t="str">
        <f t="shared" si="60"/>
        <v>Agricultural Equipment</v>
      </c>
      <c r="L4066" s="316" t="str">
        <f t="shared" si="61"/>
        <v>Gasoline</v>
      </c>
      <c r="M4066" s="194"/>
      <c r="N4066" s="317"/>
      <c r="O4066" s="317"/>
      <c r="P4066" s="317"/>
      <c r="Q4066" s="317"/>
      <c r="R4066" s="317"/>
      <c r="S4066" s="317"/>
      <c r="T4066" s="317"/>
      <c r="U4066" s="317"/>
      <c r="V4066" s="317"/>
      <c r="W4066" s="317"/>
      <c r="X4066" s="317"/>
      <c r="Y4066" s="317"/>
      <c r="Z4066" s="317"/>
    </row>
    <row r="4067" spans="1:26" x14ac:dyDescent="0.25">
      <c r="A4067" s="314"/>
      <c r="B4067" s="18">
        <v>2023</v>
      </c>
      <c r="C4067" s="18" t="s">
        <v>731</v>
      </c>
      <c r="D4067" s="18" t="s">
        <v>1360</v>
      </c>
      <c r="E4067" s="18" t="s">
        <v>713</v>
      </c>
      <c r="F4067" s="18" t="s">
        <v>714</v>
      </c>
      <c r="G4067" s="18" t="s">
        <v>674</v>
      </c>
      <c r="H4067" s="18" t="s">
        <v>1220</v>
      </c>
      <c r="I4067" s="315">
        <v>0.65691831966266778</v>
      </c>
      <c r="J4067" s="315">
        <v>2.9222247176907864E-5</v>
      </c>
      <c r="K4067" s="316" t="str">
        <f t="shared" si="60"/>
        <v>Construction and Mining Equipment</v>
      </c>
      <c r="L4067" s="316" t="str">
        <f t="shared" si="61"/>
        <v>Diesel</v>
      </c>
      <c r="M4067" s="194"/>
      <c r="N4067" s="317"/>
      <c r="O4067" s="317"/>
      <c r="P4067" s="317"/>
      <c r="Q4067" s="317"/>
      <c r="R4067" s="317"/>
      <c r="S4067" s="317"/>
      <c r="T4067" s="317"/>
      <c r="U4067" s="317"/>
      <c r="V4067" s="317"/>
      <c r="W4067" s="317"/>
      <c r="X4067" s="317"/>
      <c r="Y4067" s="317"/>
      <c r="Z4067" s="317"/>
    </row>
    <row r="4068" spans="1:26" x14ac:dyDescent="0.25">
      <c r="A4068" s="314"/>
      <c r="B4068" s="18">
        <v>2023</v>
      </c>
      <c r="C4068" s="18" t="s">
        <v>762</v>
      </c>
      <c r="D4068" s="18" t="s">
        <v>1435</v>
      </c>
      <c r="E4068" s="18" t="s">
        <v>56</v>
      </c>
      <c r="F4068" s="18" t="s">
        <v>672</v>
      </c>
      <c r="G4068" s="18" t="s">
        <v>674</v>
      </c>
      <c r="H4068" s="18" t="s">
        <v>863</v>
      </c>
      <c r="I4068" s="315">
        <v>0.65596260068543377</v>
      </c>
      <c r="J4068" s="315">
        <v>4.3684317085515583E-5</v>
      </c>
      <c r="K4068" s="316" t="str">
        <f t="shared" si="60"/>
        <v>Construction and Mining Equipment</v>
      </c>
      <c r="L4068" s="316" t="str">
        <f t="shared" si="61"/>
        <v>LPG</v>
      </c>
      <c r="M4068" s="194"/>
      <c r="N4068" s="317"/>
      <c r="O4068" s="317"/>
      <c r="P4068" s="317"/>
      <c r="Q4068" s="317"/>
      <c r="R4068" s="317"/>
      <c r="S4068" s="317"/>
      <c r="T4068" s="317"/>
      <c r="U4068" s="317"/>
      <c r="V4068" s="317"/>
      <c r="W4068" s="317"/>
      <c r="X4068" s="317"/>
      <c r="Y4068" s="317"/>
      <c r="Z4068" s="317"/>
    </row>
    <row r="4069" spans="1:26" x14ac:dyDescent="0.25">
      <c r="A4069" s="314"/>
      <c r="B4069" s="18">
        <v>2023</v>
      </c>
      <c r="C4069" s="18" t="s">
        <v>786</v>
      </c>
      <c r="D4069" s="18" t="s">
        <v>1360</v>
      </c>
      <c r="E4069" s="18" t="s">
        <v>713</v>
      </c>
      <c r="F4069" s="18" t="s">
        <v>714</v>
      </c>
      <c r="G4069" s="18" t="s">
        <v>674</v>
      </c>
      <c r="H4069" s="18" t="s">
        <v>1220</v>
      </c>
      <c r="I4069" s="315">
        <v>0.65244457689508817</v>
      </c>
      <c r="J4069" s="315">
        <v>2.9023222621782035E-5</v>
      </c>
      <c r="K4069" s="316" t="str">
        <f t="shared" si="60"/>
        <v>Construction and Mining Equipment</v>
      </c>
      <c r="L4069" s="316" t="str">
        <f t="shared" si="61"/>
        <v>Diesel</v>
      </c>
      <c r="M4069" s="194"/>
      <c r="N4069" s="317"/>
      <c r="O4069" s="317"/>
      <c r="P4069" s="317"/>
      <c r="Q4069" s="317"/>
      <c r="R4069" s="317"/>
      <c r="S4069" s="317"/>
      <c r="T4069" s="317"/>
      <c r="U4069" s="317"/>
      <c r="V4069" s="317"/>
      <c r="W4069" s="317"/>
      <c r="X4069" s="317"/>
      <c r="Y4069" s="317"/>
      <c r="Z4069" s="317"/>
    </row>
    <row r="4070" spans="1:26" x14ac:dyDescent="0.25">
      <c r="A4070" s="314"/>
      <c r="B4070" s="18">
        <v>2023</v>
      </c>
      <c r="C4070" s="18" t="s">
        <v>793</v>
      </c>
      <c r="D4070" s="18" t="s">
        <v>1583</v>
      </c>
      <c r="E4070" s="18" t="s">
        <v>703</v>
      </c>
      <c r="F4070" s="18" t="s">
        <v>805</v>
      </c>
      <c r="G4070" s="18" t="s">
        <v>674</v>
      </c>
      <c r="H4070" s="18" t="s">
        <v>1036</v>
      </c>
      <c r="I4070" s="315">
        <v>0.65057439205333889</v>
      </c>
      <c r="J4070" s="315">
        <v>1.3464551683060578E-3</v>
      </c>
      <c r="K4070" s="316" t="str">
        <f t="shared" si="60"/>
        <v>Construction and Mining Equipment</v>
      </c>
      <c r="L4070" s="316" t="str">
        <f t="shared" si="61"/>
        <v>Gasoline</v>
      </c>
      <c r="M4070" s="194"/>
      <c r="N4070" s="317"/>
      <c r="O4070" s="317"/>
      <c r="P4070" s="317"/>
      <c r="Q4070" s="317"/>
      <c r="R4070" s="317"/>
      <c r="S4070" s="317"/>
      <c r="T4070" s="317"/>
      <c r="U4070" s="317"/>
      <c r="V4070" s="317"/>
      <c r="W4070" s="317"/>
      <c r="X4070" s="317"/>
      <c r="Y4070" s="317"/>
      <c r="Z4070" s="317"/>
    </row>
    <row r="4071" spans="1:26" x14ac:dyDescent="0.25">
      <c r="A4071" s="314"/>
      <c r="B4071" s="18">
        <v>2023</v>
      </c>
      <c r="C4071" s="18" t="s">
        <v>731</v>
      </c>
      <c r="D4071" s="18" t="s">
        <v>1361</v>
      </c>
      <c r="E4071" s="18" t="s">
        <v>56</v>
      </c>
      <c r="F4071" s="18" t="s">
        <v>672</v>
      </c>
      <c r="G4071" s="18" t="s">
        <v>674</v>
      </c>
      <c r="H4071" s="18" t="s">
        <v>783</v>
      </c>
      <c r="I4071" s="315">
        <v>0.64886824471170756</v>
      </c>
      <c r="J4071" s="315">
        <v>2.9787241315442151E-5</v>
      </c>
      <c r="K4071" s="316" t="str">
        <f t="shared" si="60"/>
        <v>Construction and Mining Equipment</v>
      </c>
      <c r="L4071" s="316" t="str">
        <f t="shared" si="61"/>
        <v>LPG</v>
      </c>
      <c r="M4071" s="194"/>
      <c r="N4071" s="317"/>
      <c r="O4071" s="317"/>
      <c r="P4071" s="317"/>
      <c r="Q4071" s="317"/>
      <c r="R4071" s="317"/>
      <c r="S4071" s="317"/>
      <c r="T4071" s="317"/>
      <c r="U4071" s="317"/>
      <c r="V4071" s="317"/>
      <c r="W4071" s="317"/>
      <c r="X4071" s="317"/>
      <c r="Y4071" s="317"/>
      <c r="Z4071" s="317"/>
    </row>
    <row r="4072" spans="1:26" x14ac:dyDescent="0.25">
      <c r="A4072" s="314"/>
      <c r="B4072" s="18">
        <v>2023</v>
      </c>
      <c r="C4072" s="18" t="s">
        <v>810</v>
      </c>
      <c r="D4072" s="18" t="s">
        <v>1407</v>
      </c>
      <c r="E4072" s="18" t="s">
        <v>56</v>
      </c>
      <c r="F4072" s="18" t="s">
        <v>672</v>
      </c>
      <c r="G4072" s="18" t="s">
        <v>675</v>
      </c>
      <c r="H4072" s="18" t="s">
        <v>1078</v>
      </c>
      <c r="I4072" s="315">
        <v>0.64480914034014902</v>
      </c>
      <c r="J4072" s="315">
        <v>5.7936515785575582E-5</v>
      </c>
      <c r="K4072" s="316" t="str">
        <f t="shared" si="60"/>
        <v>Industrial Equipment</v>
      </c>
      <c r="L4072" s="316" t="str">
        <f t="shared" si="61"/>
        <v>LPG</v>
      </c>
      <c r="M4072" s="194"/>
      <c r="N4072" s="317"/>
      <c r="O4072" s="317"/>
      <c r="P4072" s="317"/>
      <c r="Q4072" s="317"/>
      <c r="R4072" s="317"/>
      <c r="S4072" s="317"/>
      <c r="T4072" s="317"/>
      <c r="U4072" s="317"/>
      <c r="V4072" s="317"/>
      <c r="W4072" s="317"/>
      <c r="X4072" s="317"/>
      <c r="Y4072" s="317"/>
      <c r="Z4072" s="317"/>
    </row>
    <row r="4073" spans="1:26" x14ac:dyDescent="0.25">
      <c r="A4073" s="314"/>
      <c r="B4073" s="18">
        <v>2023</v>
      </c>
      <c r="C4073" s="18" t="s">
        <v>786</v>
      </c>
      <c r="D4073" s="18" t="s">
        <v>1361</v>
      </c>
      <c r="E4073" s="18" t="s">
        <v>56</v>
      </c>
      <c r="F4073" s="18" t="s">
        <v>672</v>
      </c>
      <c r="G4073" s="18" t="s">
        <v>674</v>
      </c>
      <c r="H4073" s="18" t="s">
        <v>783</v>
      </c>
      <c r="I4073" s="315">
        <v>0.64444902329498321</v>
      </c>
      <c r="J4073" s="315">
        <v>2.958437647249477E-5</v>
      </c>
      <c r="K4073" s="316" t="str">
        <f t="shared" si="60"/>
        <v>Construction and Mining Equipment</v>
      </c>
      <c r="L4073" s="316" t="str">
        <f t="shared" si="61"/>
        <v>LPG</v>
      </c>
      <c r="M4073" s="194"/>
      <c r="N4073" s="317"/>
      <c r="O4073" s="317"/>
      <c r="P4073" s="317"/>
      <c r="Q4073" s="317"/>
      <c r="R4073" s="317"/>
      <c r="S4073" s="317"/>
      <c r="T4073" s="317"/>
      <c r="U4073" s="317"/>
      <c r="V4073" s="317"/>
      <c r="W4073" s="317"/>
      <c r="X4073" s="317"/>
      <c r="Y4073" s="317"/>
      <c r="Z4073" s="317"/>
    </row>
    <row r="4074" spans="1:26" x14ac:dyDescent="0.25">
      <c r="A4074" s="314"/>
      <c r="B4074" s="18">
        <v>2023</v>
      </c>
      <c r="C4074" s="18" t="s">
        <v>773</v>
      </c>
      <c r="D4074" s="18" t="s">
        <v>1564</v>
      </c>
      <c r="E4074" s="18" t="s">
        <v>703</v>
      </c>
      <c r="F4074" s="18" t="s">
        <v>704</v>
      </c>
      <c r="G4074" s="18" t="s">
        <v>674</v>
      </c>
      <c r="H4074" s="18" t="s">
        <v>981</v>
      </c>
      <c r="I4074" s="315">
        <v>0.64343040172745714</v>
      </c>
      <c r="J4074" s="315">
        <v>4.7361608386641094E-4</v>
      </c>
      <c r="K4074" s="316" t="str">
        <f t="shared" si="60"/>
        <v>Construction and Mining Equipment</v>
      </c>
      <c r="L4074" s="316" t="str">
        <f t="shared" si="61"/>
        <v>Gasoline</v>
      </c>
      <c r="M4074" s="194"/>
      <c r="N4074" s="317"/>
      <c r="O4074" s="317"/>
      <c r="P4074" s="317"/>
      <c r="Q4074" s="317"/>
      <c r="R4074" s="317"/>
      <c r="S4074" s="317"/>
      <c r="T4074" s="317"/>
      <c r="U4074" s="317"/>
      <c r="V4074" s="317"/>
      <c r="W4074" s="317"/>
      <c r="X4074" s="317"/>
      <c r="Y4074" s="317"/>
      <c r="Z4074" s="317"/>
    </row>
    <row r="4075" spans="1:26" x14ac:dyDescent="0.25">
      <c r="A4075" s="314"/>
      <c r="B4075" s="18">
        <v>2023</v>
      </c>
      <c r="C4075" s="18" t="s">
        <v>732</v>
      </c>
      <c r="D4075" s="18" t="s">
        <v>1679</v>
      </c>
      <c r="E4075" s="18" t="s">
        <v>56</v>
      </c>
      <c r="F4075" s="18" t="s">
        <v>672</v>
      </c>
      <c r="G4075" s="18" t="s">
        <v>674</v>
      </c>
      <c r="H4075" s="18" t="s">
        <v>959</v>
      </c>
      <c r="I4075" s="315">
        <v>0.64276478910023849</v>
      </c>
      <c r="J4075" s="315">
        <v>1.0918275444959322E-4</v>
      </c>
      <c r="K4075" s="316" t="str">
        <f t="shared" si="60"/>
        <v>Construction and Mining Equipment</v>
      </c>
      <c r="L4075" s="316" t="str">
        <f t="shared" si="61"/>
        <v>LPG</v>
      </c>
      <c r="M4075" s="194"/>
      <c r="N4075" s="317"/>
      <c r="O4075" s="317"/>
      <c r="P4075" s="317"/>
      <c r="Q4075" s="317"/>
      <c r="R4075" s="317"/>
      <c r="S4075" s="317"/>
      <c r="T4075" s="317"/>
      <c r="U4075" s="317"/>
      <c r="V4075" s="317"/>
      <c r="W4075" s="317"/>
      <c r="X4075" s="317"/>
      <c r="Y4075" s="317"/>
      <c r="Z4075" s="317"/>
    </row>
    <row r="4076" spans="1:26" x14ac:dyDescent="0.25">
      <c r="A4076" s="314"/>
      <c r="B4076" s="18">
        <v>2023</v>
      </c>
      <c r="C4076" s="18" t="s">
        <v>792</v>
      </c>
      <c r="D4076" s="18" t="s">
        <v>1588</v>
      </c>
      <c r="E4076" s="18" t="s">
        <v>56</v>
      </c>
      <c r="F4076" s="18" t="s">
        <v>1575</v>
      </c>
      <c r="G4076" s="18" t="s">
        <v>675</v>
      </c>
      <c r="H4076" s="18" t="s">
        <v>1589</v>
      </c>
      <c r="I4076" s="315">
        <v>0.64166168052435846</v>
      </c>
      <c r="J4076" s="315">
        <v>2.700346777654866E-3</v>
      </c>
      <c r="K4076" s="316" t="str">
        <f t="shared" si="60"/>
        <v>Industrial Equipment</v>
      </c>
      <c r="L4076" s="316" t="str">
        <f t="shared" si="61"/>
        <v>CNG</v>
      </c>
      <c r="M4076" s="194"/>
      <c r="N4076" s="317"/>
      <c r="O4076" s="317"/>
      <c r="P4076" s="317"/>
      <c r="Q4076" s="317"/>
      <c r="R4076" s="317"/>
      <c r="S4076" s="317"/>
      <c r="T4076" s="317"/>
      <c r="U4076" s="317"/>
      <c r="V4076" s="317"/>
      <c r="W4076" s="317"/>
      <c r="X4076" s="317"/>
      <c r="Y4076" s="317"/>
      <c r="Z4076" s="317"/>
    </row>
    <row r="4077" spans="1:26" x14ac:dyDescent="0.25">
      <c r="A4077" s="314"/>
      <c r="B4077" s="18">
        <v>2023</v>
      </c>
      <c r="C4077" s="18" t="s">
        <v>731</v>
      </c>
      <c r="D4077" s="18" t="s">
        <v>1362</v>
      </c>
      <c r="E4077" s="18" t="s">
        <v>56</v>
      </c>
      <c r="F4077" s="18" t="s">
        <v>672</v>
      </c>
      <c r="G4077" s="18" t="s">
        <v>674</v>
      </c>
      <c r="H4077" s="18" t="s">
        <v>859</v>
      </c>
      <c r="I4077" s="315">
        <v>0.64112420761752986</v>
      </c>
      <c r="J4077" s="315">
        <v>1.5901231899346244E-4</v>
      </c>
      <c r="K4077" s="316" t="str">
        <f t="shared" si="60"/>
        <v>Construction and Mining Equipment</v>
      </c>
      <c r="L4077" s="316" t="str">
        <f t="shared" si="61"/>
        <v>LPG</v>
      </c>
      <c r="M4077" s="194"/>
      <c r="N4077" s="317"/>
      <c r="O4077" s="317"/>
      <c r="P4077" s="317"/>
      <c r="Q4077" s="317"/>
      <c r="R4077" s="317"/>
      <c r="S4077" s="317"/>
      <c r="T4077" s="317"/>
      <c r="U4077" s="317"/>
      <c r="V4077" s="317"/>
      <c r="W4077" s="317"/>
      <c r="X4077" s="317"/>
      <c r="Y4077" s="317"/>
      <c r="Z4077" s="317"/>
    </row>
    <row r="4078" spans="1:26" x14ac:dyDescent="0.25">
      <c r="A4078" s="314"/>
      <c r="B4078" s="18">
        <v>2023</v>
      </c>
      <c r="C4078" s="18" t="s">
        <v>760</v>
      </c>
      <c r="D4078" s="18" t="s">
        <v>1744</v>
      </c>
      <c r="E4078" s="18" t="s">
        <v>703</v>
      </c>
      <c r="F4078" s="18" t="s">
        <v>704</v>
      </c>
      <c r="G4078" s="18" t="s">
        <v>678</v>
      </c>
      <c r="H4078" s="18" t="s">
        <v>1745</v>
      </c>
      <c r="I4078" s="315">
        <v>0.63898271754813529</v>
      </c>
      <c r="J4078" s="315">
        <v>4.0813874373217107E-4</v>
      </c>
      <c r="K4078" s="316" t="str">
        <f t="shared" si="60"/>
        <v>Agricultural Equipment</v>
      </c>
      <c r="L4078" s="316" t="str">
        <f t="shared" si="61"/>
        <v>Gasoline</v>
      </c>
      <c r="M4078" s="194"/>
      <c r="N4078" s="317"/>
      <c r="O4078" s="317"/>
      <c r="P4078" s="317"/>
      <c r="Q4078" s="317"/>
      <c r="R4078" s="317"/>
      <c r="S4078" s="317"/>
      <c r="T4078" s="317"/>
      <c r="U4078" s="317"/>
      <c r="V4078" s="317"/>
      <c r="W4078" s="317"/>
      <c r="X4078" s="317"/>
      <c r="Y4078" s="317"/>
      <c r="Z4078" s="317"/>
    </row>
    <row r="4079" spans="1:26" x14ac:dyDescent="0.25">
      <c r="A4079" s="314"/>
      <c r="B4079" s="18">
        <v>2023</v>
      </c>
      <c r="C4079" s="18" t="s">
        <v>786</v>
      </c>
      <c r="D4079" s="18" t="s">
        <v>1362</v>
      </c>
      <c r="E4079" s="18" t="s">
        <v>56</v>
      </c>
      <c r="F4079" s="18" t="s">
        <v>672</v>
      </c>
      <c r="G4079" s="18" t="s">
        <v>674</v>
      </c>
      <c r="H4079" s="18" t="s">
        <v>859</v>
      </c>
      <c r="I4079" s="315">
        <v>0.63675758113077652</v>
      </c>
      <c r="J4079" s="315">
        <v>1.5792931521125541E-4</v>
      </c>
      <c r="K4079" s="316" t="str">
        <f t="shared" si="60"/>
        <v>Construction and Mining Equipment</v>
      </c>
      <c r="L4079" s="316" t="str">
        <f t="shared" si="61"/>
        <v>LPG</v>
      </c>
      <c r="M4079" s="194"/>
      <c r="N4079" s="317"/>
      <c r="O4079" s="317"/>
      <c r="P4079" s="317"/>
      <c r="Q4079" s="317"/>
      <c r="R4079" s="317"/>
      <c r="S4079" s="317"/>
      <c r="T4079" s="317"/>
      <c r="U4079" s="317"/>
      <c r="V4079" s="317"/>
      <c r="W4079" s="317"/>
      <c r="X4079" s="317"/>
      <c r="Y4079" s="317"/>
      <c r="Z4079" s="317"/>
    </row>
    <row r="4080" spans="1:26" x14ac:dyDescent="0.25">
      <c r="A4080" s="314"/>
      <c r="B4080" s="18">
        <v>2023</v>
      </c>
      <c r="C4080" s="18" t="s">
        <v>810</v>
      </c>
      <c r="D4080" s="18" t="s">
        <v>1708</v>
      </c>
      <c r="E4080" s="18" t="s">
        <v>703</v>
      </c>
      <c r="F4080" s="18" t="s">
        <v>704</v>
      </c>
      <c r="G4080" s="18" t="s">
        <v>678</v>
      </c>
      <c r="H4080" s="18" t="s">
        <v>1709</v>
      </c>
      <c r="I4080" s="315">
        <v>0.63501452003483694</v>
      </c>
      <c r="J4080" s="315">
        <v>4.336805888224283E-4</v>
      </c>
      <c r="K4080" s="316" t="str">
        <f t="shared" si="60"/>
        <v>Agricultural Equipment</v>
      </c>
      <c r="L4080" s="316" t="str">
        <f t="shared" si="61"/>
        <v>Gasoline</v>
      </c>
      <c r="M4080" s="194"/>
      <c r="N4080" s="317"/>
      <c r="O4080" s="317"/>
      <c r="P4080" s="317"/>
      <c r="Q4080" s="317"/>
      <c r="R4080" s="317"/>
      <c r="S4080" s="317"/>
      <c r="T4080" s="317"/>
      <c r="U4080" s="317"/>
      <c r="V4080" s="317"/>
      <c r="W4080" s="317"/>
      <c r="X4080" s="317"/>
      <c r="Y4080" s="317"/>
      <c r="Z4080" s="317"/>
    </row>
    <row r="4081" spans="1:26" x14ac:dyDescent="0.25">
      <c r="A4081" s="314"/>
      <c r="B4081" s="18">
        <v>2023</v>
      </c>
      <c r="C4081" s="18" t="s">
        <v>731</v>
      </c>
      <c r="D4081" s="18" t="s">
        <v>1445</v>
      </c>
      <c r="E4081" s="18" t="s">
        <v>56</v>
      </c>
      <c r="F4081" s="18" t="s">
        <v>601</v>
      </c>
      <c r="G4081" s="18" t="s">
        <v>677</v>
      </c>
      <c r="H4081" s="18" t="s">
        <v>841</v>
      </c>
      <c r="I4081" s="315">
        <v>0.63410315776805093</v>
      </c>
      <c r="J4081" s="315">
        <v>6.8892697641079435E-3</v>
      </c>
      <c r="K4081" s="316" t="str">
        <f t="shared" si="60"/>
        <v>Commercial Equipment</v>
      </c>
      <c r="L4081" s="316" t="str">
        <f t="shared" si="61"/>
        <v>CNG</v>
      </c>
      <c r="M4081" s="194"/>
      <c r="N4081" s="317"/>
      <c r="O4081" s="317"/>
      <c r="P4081" s="317"/>
      <c r="Q4081" s="317"/>
      <c r="R4081" s="317"/>
      <c r="S4081" s="317"/>
      <c r="T4081" s="317"/>
      <c r="U4081" s="317"/>
      <c r="V4081" s="317"/>
      <c r="W4081" s="317"/>
      <c r="X4081" s="317"/>
      <c r="Y4081" s="317"/>
      <c r="Z4081" s="317"/>
    </row>
    <row r="4082" spans="1:26" x14ac:dyDescent="0.25">
      <c r="A4082" s="314"/>
      <c r="B4082" s="18">
        <v>2023</v>
      </c>
      <c r="C4082" s="18" t="s">
        <v>731</v>
      </c>
      <c r="D4082" s="18" t="s">
        <v>1366</v>
      </c>
      <c r="E4082" s="18" t="s">
        <v>703</v>
      </c>
      <c r="F4082" s="18" t="s">
        <v>704</v>
      </c>
      <c r="G4082" s="18" t="s">
        <v>674</v>
      </c>
      <c r="H4082" s="18" t="s">
        <v>791</v>
      </c>
      <c r="I4082" s="315">
        <v>0.62815577925205568</v>
      </c>
      <c r="J4082" s="315">
        <v>1.9606984582553342E-4</v>
      </c>
      <c r="K4082" s="316" t="str">
        <f t="shared" si="60"/>
        <v>Construction and Mining Equipment</v>
      </c>
      <c r="L4082" s="316" t="str">
        <f t="shared" si="61"/>
        <v>Gasoline</v>
      </c>
      <c r="M4082" s="194"/>
      <c r="N4082" s="317"/>
      <c r="O4082" s="317"/>
      <c r="P4082" s="317"/>
      <c r="Q4082" s="317"/>
      <c r="R4082" s="317"/>
      <c r="S4082" s="317"/>
      <c r="T4082" s="317"/>
      <c r="U4082" s="317"/>
      <c r="V4082" s="317"/>
      <c r="W4082" s="317"/>
      <c r="X4082" s="317"/>
      <c r="Y4082" s="317"/>
      <c r="Z4082" s="317"/>
    </row>
    <row r="4083" spans="1:26" x14ac:dyDescent="0.25">
      <c r="A4083" s="314"/>
      <c r="B4083" s="18">
        <v>2023</v>
      </c>
      <c r="C4083" s="18" t="s">
        <v>778</v>
      </c>
      <c r="D4083" s="18" t="s">
        <v>1657</v>
      </c>
      <c r="E4083" s="18" t="s">
        <v>713</v>
      </c>
      <c r="F4083" s="18" t="s">
        <v>714</v>
      </c>
      <c r="G4083" s="18" t="s">
        <v>678</v>
      </c>
      <c r="H4083" s="18" t="s">
        <v>1638</v>
      </c>
      <c r="I4083" s="315">
        <v>0.6238785220795936</v>
      </c>
      <c r="J4083" s="315">
        <v>6.9236686606387676E-6</v>
      </c>
      <c r="K4083" s="316" t="str">
        <f t="shared" si="60"/>
        <v>Agricultural Equipment</v>
      </c>
      <c r="L4083" s="316" t="str">
        <f t="shared" si="61"/>
        <v>Diesel</v>
      </c>
      <c r="M4083" s="194"/>
      <c r="N4083" s="317"/>
      <c r="O4083" s="317"/>
      <c r="P4083" s="317"/>
      <c r="Q4083" s="317"/>
      <c r="R4083" s="317"/>
      <c r="S4083" s="317"/>
      <c r="T4083" s="317"/>
      <c r="U4083" s="317"/>
      <c r="V4083" s="317"/>
      <c r="W4083" s="317"/>
      <c r="X4083" s="317"/>
      <c r="Y4083" s="317"/>
      <c r="Z4083" s="317"/>
    </row>
    <row r="4084" spans="1:26" x14ac:dyDescent="0.25">
      <c r="A4084" s="314"/>
      <c r="B4084" s="18">
        <v>2023</v>
      </c>
      <c r="C4084" s="18" t="s">
        <v>786</v>
      </c>
      <c r="D4084" s="18" t="s">
        <v>1366</v>
      </c>
      <c r="E4084" s="18" t="s">
        <v>703</v>
      </c>
      <c r="F4084" s="18" t="s">
        <v>704</v>
      </c>
      <c r="G4084" s="18" t="s">
        <v>674</v>
      </c>
      <c r="H4084" s="18" t="s">
        <v>791</v>
      </c>
      <c r="I4084" s="315">
        <v>0.62387767850935461</v>
      </c>
      <c r="J4084" s="315">
        <v>1.9521554955957834E-4</v>
      </c>
      <c r="K4084" s="316" t="str">
        <f t="shared" si="60"/>
        <v>Construction and Mining Equipment</v>
      </c>
      <c r="L4084" s="316" t="str">
        <f t="shared" si="61"/>
        <v>Gasoline</v>
      </c>
      <c r="M4084" s="194"/>
      <c r="N4084" s="317"/>
      <c r="O4084" s="317"/>
      <c r="P4084" s="317"/>
      <c r="Q4084" s="317"/>
      <c r="R4084" s="317"/>
      <c r="S4084" s="317"/>
      <c r="T4084" s="317"/>
      <c r="U4084" s="317"/>
      <c r="V4084" s="317"/>
      <c r="W4084" s="317"/>
      <c r="X4084" s="317"/>
      <c r="Y4084" s="317"/>
      <c r="Z4084" s="317"/>
    </row>
    <row r="4085" spans="1:26" x14ac:dyDescent="0.25">
      <c r="A4085" s="314"/>
      <c r="B4085" s="18">
        <v>2023</v>
      </c>
      <c r="C4085" s="18" t="s">
        <v>701</v>
      </c>
      <c r="D4085" s="18" t="s">
        <v>1744</v>
      </c>
      <c r="E4085" s="18" t="s">
        <v>703</v>
      </c>
      <c r="F4085" s="18" t="s">
        <v>704</v>
      </c>
      <c r="G4085" s="18" t="s">
        <v>678</v>
      </c>
      <c r="H4085" s="18" t="s">
        <v>1745</v>
      </c>
      <c r="I4085" s="315">
        <v>0.62076505632955981</v>
      </c>
      <c r="J4085" s="315">
        <v>3.9643471586465708E-4</v>
      </c>
      <c r="K4085" s="316" t="str">
        <f t="shared" si="60"/>
        <v>Agricultural Equipment</v>
      </c>
      <c r="L4085" s="316" t="str">
        <f t="shared" si="61"/>
        <v>Gasoline</v>
      </c>
      <c r="M4085" s="194"/>
      <c r="N4085" s="317"/>
      <c r="O4085" s="317"/>
      <c r="P4085" s="317"/>
      <c r="Q4085" s="317"/>
      <c r="R4085" s="317"/>
      <c r="S4085" s="317"/>
      <c r="T4085" s="317"/>
      <c r="U4085" s="317"/>
      <c r="V4085" s="317"/>
      <c r="W4085" s="317"/>
      <c r="X4085" s="317"/>
      <c r="Y4085" s="317"/>
      <c r="Z4085" s="317"/>
    </row>
    <row r="4086" spans="1:26" x14ac:dyDescent="0.25">
      <c r="A4086" s="314"/>
      <c r="B4086" s="18">
        <v>2023</v>
      </c>
      <c r="C4086" s="18" t="s">
        <v>786</v>
      </c>
      <c r="D4086" s="18" t="s">
        <v>1401</v>
      </c>
      <c r="E4086" s="18" t="s">
        <v>56</v>
      </c>
      <c r="F4086" s="18" t="s">
        <v>601</v>
      </c>
      <c r="G4086" s="18" t="s">
        <v>677</v>
      </c>
      <c r="H4086" s="18" t="s">
        <v>785</v>
      </c>
      <c r="I4086" s="315">
        <v>0.62058364903314711</v>
      </c>
      <c r="J4086" s="315">
        <v>2.6899465937579611E-3</v>
      </c>
      <c r="K4086" s="316" t="str">
        <f t="shared" si="60"/>
        <v>Commercial Equipment</v>
      </c>
      <c r="L4086" s="316" t="str">
        <f t="shared" si="61"/>
        <v>CNG</v>
      </c>
      <c r="M4086" s="194"/>
      <c r="N4086" s="317"/>
      <c r="O4086" s="317"/>
      <c r="P4086" s="317"/>
      <c r="Q4086" s="317"/>
      <c r="R4086" s="317"/>
      <c r="S4086" s="317"/>
      <c r="T4086" s="317"/>
      <c r="U4086" s="317"/>
      <c r="V4086" s="317"/>
      <c r="W4086" s="317"/>
      <c r="X4086" s="317"/>
      <c r="Y4086" s="317"/>
      <c r="Z4086" s="317"/>
    </row>
    <row r="4087" spans="1:26" x14ac:dyDescent="0.25">
      <c r="A4087" s="314"/>
      <c r="B4087" s="18">
        <v>2023</v>
      </c>
      <c r="C4087" s="18" t="s">
        <v>781</v>
      </c>
      <c r="D4087" s="18" t="s">
        <v>1830</v>
      </c>
      <c r="E4087" s="18" t="s">
        <v>703</v>
      </c>
      <c r="F4087" s="18" t="s">
        <v>805</v>
      </c>
      <c r="G4087" s="18" t="s">
        <v>678</v>
      </c>
      <c r="H4087" s="18" t="s">
        <v>1222</v>
      </c>
      <c r="I4087" s="315">
        <v>0.61987531706576826</v>
      </c>
      <c r="J4087" s="315">
        <v>1.0183502517452298E-3</v>
      </c>
      <c r="K4087" s="316" t="str">
        <f t="shared" si="60"/>
        <v>Agricultural Equipment</v>
      </c>
      <c r="L4087" s="316" t="str">
        <f t="shared" si="61"/>
        <v>Gasoline</v>
      </c>
      <c r="M4087" s="194"/>
      <c r="N4087" s="317"/>
      <c r="O4087" s="317"/>
      <c r="P4087" s="317"/>
      <c r="Q4087" s="317"/>
      <c r="R4087" s="317"/>
      <c r="S4087" s="317"/>
      <c r="T4087" s="317"/>
      <c r="U4087" s="317"/>
      <c r="V4087" s="317"/>
      <c r="W4087" s="317"/>
      <c r="X4087" s="317"/>
      <c r="Y4087" s="317"/>
      <c r="Z4087" s="317"/>
    </row>
    <row r="4088" spans="1:26" x14ac:dyDescent="0.25">
      <c r="A4088" s="314"/>
      <c r="B4088" s="18">
        <v>2023</v>
      </c>
      <c r="C4088" s="18" t="s">
        <v>743</v>
      </c>
      <c r="D4088" s="18" t="s">
        <v>1717</v>
      </c>
      <c r="E4088" s="18" t="s">
        <v>56</v>
      </c>
      <c r="F4088" s="18" t="s">
        <v>601</v>
      </c>
      <c r="G4088" s="18" t="s">
        <v>675</v>
      </c>
      <c r="H4088" s="18" t="s">
        <v>802</v>
      </c>
      <c r="I4088" s="315">
        <v>0.6178109077833277</v>
      </c>
      <c r="J4088" s="315">
        <v>2.4617255556464517E-3</v>
      </c>
      <c r="K4088" s="316" t="str">
        <f t="shared" si="60"/>
        <v>Industrial Equipment</v>
      </c>
      <c r="L4088" s="316" t="str">
        <f t="shared" si="61"/>
        <v>CNG</v>
      </c>
      <c r="M4088" s="194"/>
      <c r="N4088" s="317"/>
      <c r="O4088" s="317"/>
      <c r="P4088" s="317"/>
      <c r="Q4088" s="317"/>
      <c r="R4088" s="317"/>
      <c r="S4088" s="317"/>
      <c r="T4088" s="317"/>
      <c r="U4088" s="317"/>
      <c r="V4088" s="317"/>
      <c r="W4088" s="317"/>
      <c r="X4088" s="317"/>
      <c r="Y4088" s="317"/>
      <c r="Z4088" s="317"/>
    </row>
    <row r="4089" spans="1:26" x14ac:dyDescent="0.25">
      <c r="A4089" s="314"/>
      <c r="B4089" s="18">
        <v>2023</v>
      </c>
      <c r="C4089" s="18" t="s">
        <v>754</v>
      </c>
      <c r="D4089" s="18" t="s">
        <v>1656</v>
      </c>
      <c r="E4089" s="18" t="s">
        <v>56</v>
      </c>
      <c r="F4089" s="18" t="s">
        <v>672</v>
      </c>
      <c r="G4089" s="18" t="s">
        <v>677</v>
      </c>
      <c r="H4089" s="18" t="s">
        <v>1031</v>
      </c>
      <c r="I4089" s="315">
        <v>0.61761768554168917</v>
      </c>
      <c r="J4089" s="315">
        <v>3.1188136656304254E-5</v>
      </c>
      <c r="K4089" s="316" t="str">
        <f t="shared" si="60"/>
        <v>Commercial Equipment</v>
      </c>
      <c r="L4089" s="316" t="str">
        <f t="shared" si="61"/>
        <v>LPG</v>
      </c>
      <c r="M4089" s="194"/>
      <c r="N4089" s="317"/>
      <c r="O4089" s="317"/>
      <c r="P4089" s="317"/>
      <c r="Q4089" s="317"/>
      <c r="R4089" s="317"/>
      <c r="S4089" s="317"/>
      <c r="T4089" s="317"/>
      <c r="U4089" s="317"/>
      <c r="V4089" s="317"/>
      <c r="W4089" s="317"/>
      <c r="X4089" s="317"/>
      <c r="Y4089" s="317"/>
      <c r="Z4089" s="317"/>
    </row>
    <row r="4090" spans="1:26" x14ac:dyDescent="0.25">
      <c r="A4090" s="314"/>
      <c r="B4090" s="18">
        <v>2023</v>
      </c>
      <c r="C4090" s="18" t="s">
        <v>773</v>
      </c>
      <c r="D4090" s="18" t="s">
        <v>1580</v>
      </c>
      <c r="E4090" s="18" t="s">
        <v>56</v>
      </c>
      <c r="F4090" s="18" t="s">
        <v>672</v>
      </c>
      <c r="G4090" s="18" t="s">
        <v>674</v>
      </c>
      <c r="H4090" s="18" t="s">
        <v>736</v>
      </c>
      <c r="I4090" s="315">
        <v>0.61486686450312955</v>
      </c>
      <c r="J4090" s="315">
        <v>2.824560582722766E-5</v>
      </c>
      <c r="K4090" s="316" t="str">
        <f t="shared" si="60"/>
        <v>Construction and Mining Equipment</v>
      </c>
      <c r="L4090" s="316" t="str">
        <f t="shared" si="61"/>
        <v>LPG</v>
      </c>
      <c r="M4090" s="194"/>
      <c r="N4090" s="317"/>
      <c r="O4090" s="317"/>
      <c r="P4090" s="317"/>
      <c r="Q4090" s="317"/>
      <c r="R4090" s="317"/>
      <c r="S4090" s="317"/>
      <c r="T4090" s="317"/>
      <c r="U4090" s="317"/>
      <c r="V4090" s="317"/>
      <c r="W4090" s="317"/>
      <c r="X4090" s="317"/>
      <c r="Y4090" s="317"/>
      <c r="Z4090" s="317"/>
    </row>
    <row r="4091" spans="1:26" x14ac:dyDescent="0.25">
      <c r="A4091" s="314"/>
      <c r="B4091" s="18">
        <v>2023</v>
      </c>
      <c r="C4091" s="18" t="s">
        <v>786</v>
      </c>
      <c r="D4091" s="18" t="s">
        <v>1830</v>
      </c>
      <c r="E4091" s="18" t="s">
        <v>703</v>
      </c>
      <c r="F4091" s="18" t="s">
        <v>805</v>
      </c>
      <c r="G4091" s="18" t="s">
        <v>678</v>
      </c>
      <c r="H4091" s="18" t="s">
        <v>1222</v>
      </c>
      <c r="I4091" s="315">
        <v>0.61345668113824647</v>
      </c>
      <c r="J4091" s="315">
        <v>1.0078054281614777E-3</v>
      </c>
      <c r="K4091" s="316" t="str">
        <f t="shared" si="60"/>
        <v>Agricultural Equipment</v>
      </c>
      <c r="L4091" s="316" t="str">
        <f t="shared" si="61"/>
        <v>Gasoline</v>
      </c>
      <c r="M4091" s="194"/>
      <c r="N4091" s="317"/>
      <c r="O4091" s="317"/>
      <c r="P4091" s="317"/>
      <c r="Q4091" s="317"/>
      <c r="R4091" s="317"/>
      <c r="S4091" s="317"/>
      <c r="T4091" s="317"/>
      <c r="U4091" s="317"/>
      <c r="V4091" s="317"/>
      <c r="W4091" s="317"/>
      <c r="X4091" s="317"/>
      <c r="Y4091" s="317"/>
      <c r="Z4091" s="317"/>
    </row>
    <row r="4092" spans="1:26" x14ac:dyDescent="0.25">
      <c r="A4092" s="314"/>
      <c r="B4092" s="18">
        <v>2023</v>
      </c>
      <c r="C4092" s="18" t="s">
        <v>759</v>
      </c>
      <c r="D4092" s="18" t="s">
        <v>1219</v>
      </c>
      <c r="E4092" s="18" t="s">
        <v>703</v>
      </c>
      <c r="F4092" s="18" t="s">
        <v>704</v>
      </c>
      <c r="G4092" s="18" t="s">
        <v>674</v>
      </c>
      <c r="H4092" s="18" t="s">
        <v>1220</v>
      </c>
      <c r="I4092" s="315">
        <v>0.61289769965444663</v>
      </c>
      <c r="J4092" s="315">
        <v>4.1115026302256759E-4</v>
      </c>
      <c r="K4092" s="316" t="str">
        <f t="shared" si="60"/>
        <v>Construction and Mining Equipment</v>
      </c>
      <c r="L4092" s="316" t="str">
        <f t="shared" si="61"/>
        <v>Gasoline</v>
      </c>
      <c r="M4092" s="194"/>
      <c r="N4092" s="317"/>
      <c r="O4092" s="317"/>
      <c r="P4092" s="317"/>
      <c r="Q4092" s="317"/>
      <c r="R4092" s="317"/>
      <c r="S4092" s="317"/>
      <c r="T4092" s="317"/>
      <c r="U4092" s="317"/>
      <c r="V4092" s="317"/>
      <c r="W4092" s="317"/>
      <c r="X4092" s="317"/>
      <c r="Y4092" s="317"/>
      <c r="Z4092" s="317"/>
    </row>
    <row r="4093" spans="1:26" x14ac:dyDescent="0.25">
      <c r="A4093" s="314"/>
      <c r="B4093" s="18">
        <v>2023</v>
      </c>
      <c r="C4093" s="18" t="s">
        <v>773</v>
      </c>
      <c r="D4093" s="18" t="s">
        <v>1583</v>
      </c>
      <c r="E4093" s="18" t="s">
        <v>703</v>
      </c>
      <c r="F4093" s="18" t="s">
        <v>805</v>
      </c>
      <c r="G4093" s="18" t="s">
        <v>674</v>
      </c>
      <c r="H4093" s="18" t="s">
        <v>1036</v>
      </c>
      <c r="I4093" s="315">
        <v>0.60680623692630364</v>
      </c>
      <c r="J4093" s="315">
        <v>1.2558707967031588E-3</v>
      </c>
      <c r="K4093" s="316" t="str">
        <f t="shared" si="60"/>
        <v>Construction and Mining Equipment</v>
      </c>
      <c r="L4093" s="316" t="str">
        <f t="shared" si="61"/>
        <v>Gasoline</v>
      </c>
      <c r="M4093" s="194"/>
      <c r="N4093" s="317"/>
      <c r="O4093" s="317"/>
      <c r="P4093" s="317"/>
      <c r="Q4093" s="317"/>
      <c r="R4093" s="317"/>
      <c r="S4093" s="317"/>
      <c r="T4093" s="317"/>
      <c r="U4093" s="317"/>
      <c r="V4093" s="317"/>
      <c r="W4093" s="317"/>
      <c r="X4093" s="317"/>
      <c r="Y4093" s="317"/>
      <c r="Z4093" s="317"/>
    </row>
    <row r="4094" spans="1:26" x14ac:dyDescent="0.25">
      <c r="A4094" s="314"/>
      <c r="B4094" s="18">
        <v>2023</v>
      </c>
      <c r="C4094" s="18" t="s">
        <v>701</v>
      </c>
      <c r="D4094" s="18" t="s">
        <v>1806</v>
      </c>
      <c r="E4094" s="18" t="s">
        <v>56</v>
      </c>
      <c r="F4094" s="18" t="s">
        <v>601</v>
      </c>
      <c r="G4094" s="18" t="s">
        <v>675</v>
      </c>
      <c r="H4094" s="18" t="s">
        <v>798</v>
      </c>
      <c r="I4094" s="315">
        <v>0.60510962339338847</v>
      </c>
      <c r="J4094" s="315">
        <v>2.4085059411450907E-3</v>
      </c>
      <c r="K4094" s="316" t="str">
        <f t="shared" si="60"/>
        <v>Industrial Equipment</v>
      </c>
      <c r="L4094" s="316" t="str">
        <f t="shared" si="61"/>
        <v>CNG</v>
      </c>
      <c r="M4094" s="194"/>
      <c r="N4094" s="317"/>
      <c r="O4094" s="317"/>
      <c r="P4094" s="317"/>
      <c r="Q4094" s="317"/>
      <c r="R4094" s="317"/>
      <c r="S4094" s="317"/>
      <c r="T4094" s="317"/>
      <c r="U4094" s="317"/>
      <c r="V4094" s="317"/>
      <c r="W4094" s="317"/>
      <c r="X4094" s="317"/>
      <c r="Y4094" s="317"/>
      <c r="Z4094" s="317"/>
    </row>
    <row r="4095" spans="1:26" x14ac:dyDescent="0.25">
      <c r="A4095" s="314"/>
      <c r="B4095" s="18">
        <v>2023</v>
      </c>
      <c r="C4095" s="18" t="s">
        <v>743</v>
      </c>
      <c r="D4095" s="18" t="s">
        <v>1655</v>
      </c>
      <c r="E4095" s="18" t="s">
        <v>56</v>
      </c>
      <c r="F4095" s="18" t="s">
        <v>672</v>
      </c>
      <c r="G4095" s="18" t="s">
        <v>677</v>
      </c>
      <c r="H4095" s="18" t="s">
        <v>789</v>
      </c>
      <c r="I4095" s="315">
        <v>0.60343527467857683</v>
      </c>
      <c r="J4095" s="315">
        <v>8.5172719372836694E-5</v>
      </c>
      <c r="K4095" s="316" t="str">
        <f t="shared" si="60"/>
        <v>Commercial Equipment</v>
      </c>
      <c r="L4095" s="316" t="str">
        <f t="shared" si="61"/>
        <v>LPG</v>
      </c>
      <c r="M4095" s="194"/>
      <c r="N4095" s="317"/>
      <c r="O4095" s="317"/>
      <c r="P4095" s="317"/>
      <c r="Q4095" s="317"/>
      <c r="R4095" s="317"/>
      <c r="S4095" s="317"/>
      <c r="T4095" s="317"/>
      <c r="U4095" s="317"/>
      <c r="V4095" s="317"/>
      <c r="W4095" s="317"/>
      <c r="X4095" s="317"/>
      <c r="Y4095" s="317"/>
      <c r="Z4095" s="317"/>
    </row>
    <row r="4096" spans="1:26" x14ac:dyDescent="0.25">
      <c r="A4096" s="314"/>
      <c r="B4096" s="18">
        <v>2023</v>
      </c>
      <c r="C4096" s="18" t="s">
        <v>759</v>
      </c>
      <c r="D4096" s="18" t="s">
        <v>1223</v>
      </c>
      <c r="E4096" s="18" t="s">
        <v>713</v>
      </c>
      <c r="F4096" s="18" t="s">
        <v>714</v>
      </c>
      <c r="G4096" s="18" t="s">
        <v>674</v>
      </c>
      <c r="H4096" s="18" t="s">
        <v>1036</v>
      </c>
      <c r="I4096" s="315">
        <v>0.60304786695121804</v>
      </c>
      <c r="J4096" s="315">
        <v>5.8977533074129606E-5</v>
      </c>
      <c r="K4096" s="316" t="str">
        <f t="shared" si="60"/>
        <v>Construction and Mining Equipment</v>
      </c>
      <c r="L4096" s="316" t="str">
        <f t="shared" si="61"/>
        <v>Diesel</v>
      </c>
      <c r="M4096" s="194"/>
      <c r="N4096" s="317"/>
      <c r="O4096" s="317"/>
      <c r="P4096" s="317"/>
      <c r="Q4096" s="317"/>
      <c r="R4096" s="317"/>
      <c r="S4096" s="317"/>
      <c r="T4096" s="317"/>
      <c r="U4096" s="317"/>
      <c r="V4096" s="317"/>
      <c r="W4096" s="317"/>
      <c r="X4096" s="317"/>
      <c r="Y4096" s="317"/>
      <c r="Z4096" s="317"/>
    </row>
    <row r="4097" spans="1:26" x14ac:dyDescent="0.25">
      <c r="A4097" s="314"/>
      <c r="B4097" s="18">
        <v>2023</v>
      </c>
      <c r="C4097" s="18" t="s">
        <v>781</v>
      </c>
      <c r="D4097" s="18" t="s">
        <v>1281</v>
      </c>
      <c r="E4097" s="18" t="s">
        <v>703</v>
      </c>
      <c r="F4097" s="18" t="s">
        <v>704</v>
      </c>
      <c r="G4097" s="18" t="s">
        <v>674</v>
      </c>
      <c r="H4097" s="18" t="s">
        <v>770</v>
      </c>
      <c r="I4097" s="315">
        <v>0.60265085578060906</v>
      </c>
      <c r="J4097" s="315">
        <v>6.6370434210174181E-5</v>
      </c>
      <c r="K4097" s="316" t="str">
        <f t="shared" si="60"/>
        <v>Construction and Mining Equipment</v>
      </c>
      <c r="L4097" s="316" t="str">
        <f t="shared" si="61"/>
        <v>Gasoline</v>
      </c>
      <c r="M4097" s="194"/>
      <c r="N4097" s="317"/>
      <c r="O4097" s="317"/>
      <c r="P4097" s="317"/>
      <c r="Q4097" s="317"/>
      <c r="R4097" s="317"/>
      <c r="S4097" s="317"/>
      <c r="T4097" s="317"/>
      <c r="U4097" s="317"/>
      <c r="V4097" s="317"/>
      <c r="W4097" s="317"/>
      <c r="X4097" s="317"/>
      <c r="Y4097" s="317"/>
      <c r="Z4097" s="317"/>
    </row>
    <row r="4098" spans="1:26" x14ac:dyDescent="0.25">
      <c r="A4098" s="314"/>
      <c r="B4098" s="18">
        <v>2023</v>
      </c>
      <c r="C4098" s="18" t="s">
        <v>759</v>
      </c>
      <c r="D4098" s="18" t="s">
        <v>1228</v>
      </c>
      <c r="E4098" s="18" t="s">
        <v>703</v>
      </c>
      <c r="F4098" s="18" t="s">
        <v>704</v>
      </c>
      <c r="G4098" s="18" t="s">
        <v>675</v>
      </c>
      <c r="H4098" s="18" t="s">
        <v>1078</v>
      </c>
      <c r="I4098" s="315">
        <v>0.60210042566989652</v>
      </c>
      <c r="J4098" s="315">
        <v>2.0210113340217214E-4</v>
      </c>
      <c r="K4098" s="316" t="str">
        <f t="shared" si="60"/>
        <v>Industrial Equipment</v>
      </c>
      <c r="L4098" s="316" t="str">
        <f t="shared" si="61"/>
        <v>Gasoline</v>
      </c>
      <c r="M4098" s="194"/>
      <c r="N4098" s="317"/>
      <c r="O4098" s="317"/>
      <c r="P4098" s="317"/>
      <c r="Q4098" s="317"/>
      <c r="R4098" s="317"/>
      <c r="S4098" s="317"/>
      <c r="T4098" s="317"/>
      <c r="U4098" s="317"/>
      <c r="V4098" s="317"/>
      <c r="W4098" s="317"/>
      <c r="X4098" s="317"/>
      <c r="Y4098" s="317"/>
      <c r="Z4098" s="317"/>
    </row>
    <row r="4099" spans="1:26" x14ac:dyDescent="0.25">
      <c r="A4099" s="314"/>
      <c r="B4099" s="18">
        <v>2023</v>
      </c>
      <c r="C4099" s="18" t="s">
        <v>727</v>
      </c>
      <c r="D4099" s="18" t="s">
        <v>1830</v>
      </c>
      <c r="E4099" s="18" t="s">
        <v>703</v>
      </c>
      <c r="F4099" s="18" t="s">
        <v>805</v>
      </c>
      <c r="G4099" s="18" t="s">
        <v>678</v>
      </c>
      <c r="H4099" s="18" t="s">
        <v>1222</v>
      </c>
      <c r="I4099" s="315">
        <v>0.60184249688303404</v>
      </c>
      <c r="J4099" s="315">
        <v>9.8872641249628614E-4</v>
      </c>
      <c r="K4099" s="316" t="str">
        <f t="shared" si="60"/>
        <v>Agricultural Equipment</v>
      </c>
      <c r="L4099" s="316" t="str">
        <f t="shared" si="61"/>
        <v>Gasoline</v>
      </c>
      <c r="M4099" s="194"/>
      <c r="N4099" s="317"/>
      <c r="O4099" s="317"/>
      <c r="P4099" s="317"/>
      <c r="Q4099" s="317"/>
      <c r="R4099" s="317"/>
      <c r="S4099" s="317"/>
      <c r="T4099" s="317"/>
      <c r="U4099" s="317"/>
      <c r="V4099" s="317"/>
      <c r="W4099" s="317"/>
      <c r="X4099" s="317"/>
      <c r="Y4099" s="317"/>
      <c r="Z4099" s="317"/>
    </row>
    <row r="4100" spans="1:26" x14ac:dyDescent="0.25">
      <c r="A4100" s="314"/>
      <c r="B4100" s="18">
        <v>2023</v>
      </c>
      <c r="C4100" s="18" t="s">
        <v>732</v>
      </c>
      <c r="D4100" s="18" t="s">
        <v>1685</v>
      </c>
      <c r="E4100" s="18" t="s">
        <v>56</v>
      </c>
      <c r="F4100" s="18" t="s">
        <v>672</v>
      </c>
      <c r="G4100" s="18" t="s">
        <v>674</v>
      </c>
      <c r="H4100" s="18" t="s">
        <v>1072</v>
      </c>
      <c r="I4100" s="315">
        <v>0.6018006418689138</v>
      </c>
      <c r="J4100" s="315">
        <v>4.1758200672603848E-5</v>
      </c>
      <c r="K4100" s="316" t="str">
        <f t="shared" si="60"/>
        <v>Construction and Mining Equipment</v>
      </c>
      <c r="L4100" s="316" t="str">
        <f t="shared" si="61"/>
        <v>LPG</v>
      </c>
      <c r="M4100" s="194"/>
      <c r="N4100" s="317"/>
      <c r="O4100" s="317"/>
      <c r="P4100" s="317"/>
      <c r="Q4100" s="317"/>
      <c r="R4100" s="317"/>
      <c r="S4100" s="317"/>
      <c r="T4100" s="317"/>
      <c r="U4100" s="317"/>
      <c r="V4100" s="317"/>
      <c r="W4100" s="317"/>
      <c r="X4100" s="317"/>
      <c r="Y4100" s="317"/>
      <c r="Z4100" s="317"/>
    </row>
    <row r="4101" spans="1:26" x14ac:dyDescent="0.25">
      <c r="A4101" s="314"/>
      <c r="B4101" s="18">
        <v>2023</v>
      </c>
      <c r="C4101" s="18" t="s">
        <v>722</v>
      </c>
      <c r="D4101" s="18" t="s">
        <v>1663</v>
      </c>
      <c r="E4101" s="18" t="s">
        <v>713</v>
      </c>
      <c r="F4101" s="18" t="s">
        <v>714</v>
      </c>
      <c r="G4101" s="18" t="s">
        <v>674</v>
      </c>
      <c r="H4101" s="18" t="s">
        <v>1082</v>
      </c>
      <c r="I4101" s="315">
        <v>0.60166559298986566</v>
      </c>
      <c r="J4101" s="315">
        <v>7.1430326417413917E-5</v>
      </c>
      <c r="K4101" s="316" t="str">
        <f t="shared" si="60"/>
        <v>Construction and Mining Equipment</v>
      </c>
      <c r="L4101" s="316" t="str">
        <f t="shared" si="61"/>
        <v>Diesel</v>
      </c>
      <c r="M4101" s="194"/>
      <c r="N4101" s="317"/>
      <c r="O4101" s="317"/>
      <c r="P4101" s="317"/>
      <c r="Q4101" s="317"/>
      <c r="R4101" s="317"/>
      <c r="S4101" s="317"/>
      <c r="T4101" s="317"/>
      <c r="U4101" s="317"/>
      <c r="V4101" s="317"/>
      <c r="W4101" s="317"/>
      <c r="X4101" s="317"/>
      <c r="Y4101" s="317"/>
      <c r="Z4101" s="317"/>
    </row>
    <row r="4102" spans="1:26" x14ac:dyDescent="0.25">
      <c r="A4102" s="314"/>
      <c r="B4102" s="18">
        <v>2023</v>
      </c>
      <c r="C4102" s="18" t="s">
        <v>722</v>
      </c>
      <c r="D4102" s="18" t="s">
        <v>1717</v>
      </c>
      <c r="E4102" s="18" t="s">
        <v>56</v>
      </c>
      <c r="F4102" s="18" t="s">
        <v>601</v>
      </c>
      <c r="G4102" s="18" t="s">
        <v>675</v>
      </c>
      <c r="H4102" s="18" t="s">
        <v>802</v>
      </c>
      <c r="I4102" s="315">
        <v>0.60003228848417045</v>
      </c>
      <c r="J4102" s="315">
        <v>2.390886402969322E-3</v>
      </c>
      <c r="K4102" s="316" t="str">
        <f t="shared" si="60"/>
        <v>Industrial Equipment</v>
      </c>
      <c r="L4102" s="316" t="str">
        <f t="shared" si="61"/>
        <v>CNG</v>
      </c>
      <c r="M4102" s="194"/>
      <c r="N4102" s="317"/>
      <c r="O4102" s="317"/>
      <c r="P4102" s="317"/>
      <c r="Q4102" s="317"/>
      <c r="R4102" s="317"/>
      <c r="S4102" s="317"/>
      <c r="T4102" s="317"/>
      <c r="U4102" s="317"/>
      <c r="V4102" s="317"/>
      <c r="W4102" s="317"/>
      <c r="X4102" s="317"/>
      <c r="Y4102" s="317"/>
      <c r="Z4102" s="317"/>
    </row>
    <row r="4103" spans="1:26" x14ac:dyDescent="0.25">
      <c r="A4103" s="314"/>
      <c r="B4103" s="18">
        <v>2023</v>
      </c>
      <c r="C4103" s="18" t="s">
        <v>759</v>
      </c>
      <c r="D4103" s="18" t="s">
        <v>1708</v>
      </c>
      <c r="E4103" s="18" t="s">
        <v>703</v>
      </c>
      <c r="F4103" s="18" t="s">
        <v>704</v>
      </c>
      <c r="G4103" s="18" t="s">
        <v>678</v>
      </c>
      <c r="H4103" s="18" t="s">
        <v>1709</v>
      </c>
      <c r="I4103" s="315">
        <v>0.59493289631485624</v>
      </c>
      <c r="J4103" s="315">
        <v>4.0068389118364911E-4</v>
      </c>
      <c r="K4103" s="316" t="str">
        <f t="shared" si="60"/>
        <v>Agricultural Equipment</v>
      </c>
      <c r="L4103" s="316" t="str">
        <f t="shared" si="61"/>
        <v>Gasoline</v>
      </c>
      <c r="M4103" s="194"/>
      <c r="N4103" s="317"/>
      <c r="O4103" s="317"/>
      <c r="P4103" s="317"/>
      <c r="Q4103" s="317"/>
      <c r="R4103" s="317"/>
      <c r="S4103" s="317"/>
      <c r="T4103" s="317"/>
      <c r="U4103" s="317"/>
      <c r="V4103" s="317"/>
      <c r="W4103" s="317"/>
      <c r="X4103" s="317"/>
      <c r="Y4103" s="317"/>
      <c r="Z4103" s="317"/>
    </row>
    <row r="4104" spans="1:26" x14ac:dyDescent="0.25">
      <c r="A4104" s="314"/>
      <c r="B4104" s="18">
        <v>2023</v>
      </c>
      <c r="C4104" s="18" t="s">
        <v>793</v>
      </c>
      <c r="D4104" s="18" t="s">
        <v>1637</v>
      </c>
      <c r="E4104" s="18" t="s">
        <v>703</v>
      </c>
      <c r="F4104" s="18" t="s">
        <v>704</v>
      </c>
      <c r="G4104" s="18" t="s">
        <v>678</v>
      </c>
      <c r="H4104" s="18" t="s">
        <v>1638</v>
      </c>
      <c r="I4104" s="315">
        <v>0.59347721573014034</v>
      </c>
      <c r="J4104" s="315">
        <v>3.5349180219448309E-4</v>
      </c>
      <c r="K4104" s="316" t="str">
        <f t="shared" si="60"/>
        <v>Agricultural Equipment</v>
      </c>
      <c r="L4104" s="316" t="str">
        <f t="shared" si="61"/>
        <v>Gasoline</v>
      </c>
      <c r="M4104" s="194"/>
      <c r="N4104" s="317"/>
      <c r="O4104" s="317"/>
      <c r="P4104" s="317"/>
      <c r="Q4104" s="317"/>
      <c r="R4104" s="317"/>
      <c r="S4104" s="317"/>
      <c r="T4104" s="317"/>
      <c r="U4104" s="317"/>
      <c r="V4104" s="317"/>
      <c r="W4104" s="317"/>
      <c r="X4104" s="317"/>
      <c r="Y4104" s="317"/>
      <c r="Z4104" s="317"/>
    </row>
    <row r="4105" spans="1:26" x14ac:dyDescent="0.25">
      <c r="A4105" s="314"/>
      <c r="B4105" s="18">
        <v>2023</v>
      </c>
      <c r="C4105" s="18" t="s">
        <v>743</v>
      </c>
      <c r="D4105" s="18" t="s">
        <v>1654</v>
      </c>
      <c r="E4105" s="18" t="s">
        <v>56</v>
      </c>
      <c r="F4105" s="18" t="s">
        <v>672</v>
      </c>
      <c r="G4105" s="18" t="s">
        <v>674</v>
      </c>
      <c r="H4105" s="18" t="s">
        <v>994</v>
      </c>
      <c r="I4105" s="315">
        <v>0.59171354082735295</v>
      </c>
      <c r="J4105" s="315">
        <v>1.4668031507873982E-4</v>
      </c>
      <c r="K4105" s="316" t="str">
        <f t="shared" si="60"/>
        <v>Construction and Mining Equipment</v>
      </c>
      <c r="L4105" s="316" t="str">
        <f t="shared" si="61"/>
        <v>LPG</v>
      </c>
      <c r="M4105" s="194"/>
      <c r="N4105" s="317"/>
      <c r="O4105" s="317"/>
      <c r="P4105" s="317"/>
      <c r="Q4105" s="317"/>
      <c r="R4105" s="317"/>
      <c r="S4105" s="317"/>
      <c r="T4105" s="317"/>
      <c r="U4105" s="317"/>
      <c r="V4105" s="317"/>
      <c r="W4105" s="317"/>
      <c r="X4105" s="317"/>
      <c r="Y4105" s="317"/>
      <c r="Z4105" s="317"/>
    </row>
    <row r="4106" spans="1:26" x14ac:dyDescent="0.25">
      <c r="A4106" s="314"/>
      <c r="B4106" s="18">
        <v>2023</v>
      </c>
      <c r="C4106" s="18" t="s">
        <v>701</v>
      </c>
      <c r="D4106" s="18" t="s">
        <v>1825</v>
      </c>
      <c r="E4106" s="18" t="s">
        <v>56</v>
      </c>
      <c r="F4106" s="18" t="s">
        <v>601</v>
      </c>
      <c r="G4106" s="18" t="s">
        <v>674</v>
      </c>
      <c r="H4106" s="18" t="s">
        <v>859</v>
      </c>
      <c r="I4106" s="315">
        <v>0.59027520548182566</v>
      </c>
      <c r="J4106" s="315">
        <v>1.2682825577441331E-2</v>
      </c>
      <c r="K4106" s="316" t="str">
        <f t="shared" si="60"/>
        <v>Construction and Mining Equipment</v>
      </c>
      <c r="L4106" s="316" t="str">
        <f t="shared" si="61"/>
        <v>CNG</v>
      </c>
      <c r="M4106" s="194"/>
      <c r="N4106" s="317"/>
      <c r="O4106" s="317"/>
      <c r="P4106" s="317"/>
      <c r="Q4106" s="317"/>
      <c r="R4106" s="317"/>
      <c r="S4106" s="317"/>
      <c r="T4106" s="317"/>
      <c r="U4106" s="317"/>
      <c r="V4106" s="317"/>
      <c r="W4106" s="317"/>
      <c r="X4106" s="317"/>
      <c r="Y4106" s="317"/>
      <c r="Z4106" s="317"/>
    </row>
    <row r="4107" spans="1:26" x14ac:dyDescent="0.25">
      <c r="A4107" s="314"/>
      <c r="B4107" s="18">
        <v>2023</v>
      </c>
      <c r="C4107" s="18" t="s">
        <v>732</v>
      </c>
      <c r="D4107" s="18" t="s">
        <v>1839</v>
      </c>
      <c r="E4107" s="18" t="s">
        <v>56</v>
      </c>
      <c r="F4107" s="18" t="s">
        <v>683</v>
      </c>
      <c r="G4107" s="18" t="s">
        <v>672</v>
      </c>
      <c r="H4107" s="18" t="s">
        <v>1002</v>
      </c>
      <c r="I4107" s="315">
        <v>0.58822796262583654</v>
      </c>
      <c r="J4107" s="315">
        <v>4.7360770511560189E-5</v>
      </c>
      <c r="K4107" s="316" t="str">
        <f t="shared" si="60"/>
        <v>Railroad Equipment</v>
      </c>
      <c r="L4107" s="316" t="str">
        <f t="shared" si="61"/>
        <v>LPG</v>
      </c>
      <c r="M4107" s="194"/>
      <c r="N4107" s="317"/>
      <c r="O4107" s="317"/>
      <c r="P4107" s="317"/>
      <c r="Q4107" s="317"/>
      <c r="R4107" s="317"/>
      <c r="S4107" s="317"/>
      <c r="T4107" s="317"/>
      <c r="U4107" s="317"/>
      <c r="V4107" s="317"/>
      <c r="W4107" s="317"/>
      <c r="X4107" s="317"/>
      <c r="Y4107" s="317"/>
      <c r="Z4107" s="317"/>
    </row>
    <row r="4108" spans="1:26" x14ac:dyDescent="0.25">
      <c r="A4108" s="314"/>
      <c r="B4108" s="18">
        <v>2023</v>
      </c>
      <c r="C4108" s="18" t="s">
        <v>722</v>
      </c>
      <c r="D4108" s="18" t="s">
        <v>1737</v>
      </c>
      <c r="E4108" s="18" t="s">
        <v>703</v>
      </c>
      <c r="F4108" s="18" t="s">
        <v>805</v>
      </c>
      <c r="G4108" s="18" t="s">
        <v>673</v>
      </c>
      <c r="H4108" s="18" t="s">
        <v>705</v>
      </c>
      <c r="I4108" s="315">
        <v>0.58675267393187236</v>
      </c>
      <c r="J4108" s="315">
        <v>1.1766227745593767E-3</v>
      </c>
      <c r="K4108" s="316" t="str">
        <f t="shared" si="60"/>
        <v>Lawn and Garden Equipment</v>
      </c>
      <c r="L4108" s="316" t="str">
        <f t="shared" si="61"/>
        <v>Gasoline</v>
      </c>
      <c r="M4108" s="194"/>
      <c r="N4108" s="317"/>
      <c r="O4108" s="317"/>
      <c r="P4108" s="317"/>
      <c r="Q4108" s="317"/>
      <c r="R4108" s="317"/>
      <c r="S4108" s="317"/>
      <c r="T4108" s="317"/>
      <c r="U4108" s="317"/>
      <c r="V4108" s="317"/>
      <c r="W4108" s="317"/>
      <c r="X4108" s="317"/>
      <c r="Y4108" s="317"/>
      <c r="Z4108" s="317"/>
    </row>
    <row r="4109" spans="1:26" x14ac:dyDescent="0.25">
      <c r="A4109" s="314"/>
      <c r="B4109" s="18">
        <v>2023</v>
      </c>
      <c r="C4109" s="18" t="s">
        <v>711</v>
      </c>
      <c r="D4109" s="18" t="s">
        <v>1806</v>
      </c>
      <c r="E4109" s="18" t="s">
        <v>56</v>
      </c>
      <c r="F4109" s="18" t="s">
        <v>601</v>
      </c>
      <c r="G4109" s="18" t="s">
        <v>675</v>
      </c>
      <c r="H4109" s="18" t="s">
        <v>798</v>
      </c>
      <c r="I4109" s="315">
        <v>0.58439253823745618</v>
      </c>
      <c r="J4109" s="315">
        <v>2.3260457166550926E-3</v>
      </c>
      <c r="K4109" s="316" t="str">
        <f t="shared" si="60"/>
        <v>Industrial Equipment</v>
      </c>
      <c r="L4109" s="316" t="str">
        <f t="shared" si="61"/>
        <v>CNG</v>
      </c>
      <c r="M4109" s="194"/>
      <c r="N4109" s="317"/>
      <c r="O4109" s="317"/>
      <c r="P4109" s="317"/>
      <c r="Q4109" s="317"/>
      <c r="R4109" s="317"/>
      <c r="S4109" s="317"/>
      <c r="T4109" s="317"/>
      <c r="U4109" s="317"/>
      <c r="V4109" s="317"/>
      <c r="W4109" s="317"/>
      <c r="X4109" s="317"/>
      <c r="Y4109" s="317"/>
      <c r="Z4109" s="317"/>
    </row>
    <row r="4110" spans="1:26" x14ac:dyDescent="0.25">
      <c r="A4110" s="314"/>
      <c r="B4110" s="18">
        <v>2023</v>
      </c>
      <c r="C4110" s="18" t="s">
        <v>709</v>
      </c>
      <c r="D4110" s="18" t="s">
        <v>1833</v>
      </c>
      <c r="E4110" s="18" t="s">
        <v>703</v>
      </c>
      <c r="F4110" s="18" t="s">
        <v>704</v>
      </c>
      <c r="G4110" s="18" t="s">
        <v>674</v>
      </c>
      <c r="H4110" s="18" t="s">
        <v>1082</v>
      </c>
      <c r="I4110" s="315">
        <v>0.58419685402817856</v>
      </c>
      <c r="J4110" s="315">
        <v>3.7867770224343507E-4</v>
      </c>
      <c r="K4110" s="316" t="str">
        <f t="shared" si="60"/>
        <v>Construction and Mining Equipment</v>
      </c>
      <c r="L4110" s="316" t="str">
        <f t="shared" si="61"/>
        <v>Gasoline</v>
      </c>
      <c r="M4110" s="194"/>
      <c r="N4110" s="317"/>
      <c r="O4110" s="317"/>
      <c r="P4110" s="317"/>
      <c r="Q4110" s="317"/>
      <c r="R4110" s="317"/>
      <c r="S4110" s="317"/>
      <c r="T4110" s="317"/>
      <c r="U4110" s="317"/>
      <c r="V4110" s="317"/>
      <c r="W4110" s="317"/>
      <c r="X4110" s="317"/>
      <c r="Y4110" s="317"/>
      <c r="Z4110" s="317"/>
    </row>
    <row r="4111" spans="1:26" x14ac:dyDescent="0.25">
      <c r="A4111" s="314"/>
      <c r="B4111" s="18">
        <v>2023</v>
      </c>
      <c r="C4111" s="18" t="s">
        <v>750</v>
      </c>
      <c r="D4111" s="18" t="s">
        <v>1708</v>
      </c>
      <c r="E4111" s="18" t="s">
        <v>703</v>
      </c>
      <c r="F4111" s="18" t="s">
        <v>704</v>
      </c>
      <c r="G4111" s="18" t="s">
        <v>678</v>
      </c>
      <c r="H4111" s="18" t="s">
        <v>1709</v>
      </c>
      <c r="I4111" s="315">
        <v>0.58368105761174016</v>
      </c>
      <c r="J4111" s="315">
        <v>3.9352542510514058E-4</v>
      </c>
      <c r="K4111" s="316" t="str">
        <f t="shared" si="60"/>
        <v>Agricultural Equipment</v>
      </c>
      <c r="L4111" s="316" t="str">
        <f t="shared" si="61"/>
        <v>Gasoline</v>
      </c>
      <c r="M4111" s="194"/>
      <c r="N4111" s="317"/>
      <c r="O4111" s="317"/>
      <c r="P4111" s="317"/>
      <c r="Q4111" s="317"/>
      <c r="R4111" s="317"/>
      <c r="S4111" s="317"/>
      <c r="T4111" s="317"/>
      <c r="U4111" s="317"/>
      <c r="V4111" s="317"/>
      <c r="W4111" s="317"/>
      <c r="X4111" s="317"/>
      <c r="Y4111" s="317"/>
      <c r="Z4111" s="317"/>
    </row>
    <row r="4112" spans="1:26" x14ac:dyDescent="0.25">
      <c r="A4112" s="314"/>
      <c r="B4112" s="18">
        <v>2023</v>
      </c>
      <c r="C4112" s="18" t="s">
        <v>778</v>
      </c>
      <c r="D4112" s="18" t="s">
        <v>1663</v>
      </c>
      <c r="E4112" s="18" t="s">
        <v>713</v>
      </c>
      <c r="F4112" s="18" t="s">
        <v>714</v>
      </c>
      <c r="G4112" s="18" t="s">
        <v>674</v>
      </c>
      <c r="H4112" s="18" t="s">
        <v>1082</v>
      </c>
      <c r="I4112" s="315">
        <v>0.57997163886393888</v>
      </c>
      <c r="J4112" s="315">
        <v>6.8854828137481864E-5</v>
      </c>
      <c r="K4112" s="316" t="str">
        <f t="shared" si="60"/>
        <v>Construction and Mining Equipment</v>
      </c>
      <c r="L4112" s="316" t="str">
        <f t="shared" si="61"/>
        <v>Diesel</v>
      </c>
      <c r="M4112" s="194"/>
      <c r="N4112" s="317"/>
      <c r="O4112" s="317"/>
      <c r="P4112" s="317"/>
      <c r="Q4112" s="317"/>
      <c r="R4112" s="317"/>
      <c r="S4112" s="317"/>
      <c r="T4112" s="317"/>
      <c r="U4112" s="317"/>
      <c r="V4112" s="317"/>
      <c r="W4112" s="317"/>
      <c r="X4112" s="317"/>
      <c r="Y4112" s="317"/>
      <c r="Z4112" s="317"/>
    </row>
    <row r="4113" spans="1:26" x14ac:dyDescent="0.25">
      <c r="A4113" s="314"/>
      <c r="B4113" s="18">
        <v>2023</v>
      </c>
      <c r="C4113" s="18" t="s">
        <v>778</v>
      </c>
      <c r="D4113" s="18" t="s">
        <v>1457</v>
      </c>
      <c r="E4113" s="18" t="s">
        <v>56</v>
      </c>
      <c r="F4113" s="18" t="s">
        <v>601</v>
      </c>
      <c r="G4113" s="18" t="s">
        <v>675</v>
      </c>
      <c r="H4113" s="18" t="s">
        <v>772</v>
      </c>
      <c r="I4113" s="315">
        <v>0.57773653569271732</v>
      </c>
      <c r="J4113" s="315">
        <v>2.3565965820322009E-3</v>
      </c>
      <c r="K4113" s="316" t="str">
        <f t="shared" si="60"/>
        <v>Industrial Equipment</v>
      </c>
      <c r="L4113" s="316" t="str">
        <f t="shared" si="61"/>
        <v>CNG</v>
      </c>
      <c r="M4113" s="194"/>
      <c r="N4113" s="317"/>
      <c r="O4113" s="317"/>
      <c r="P4113" s="317"/>
      <c r="Q4113" s="317"/>
      <c r="R4113" s="317"/>
      <c r="S4113" s="317"/>
      <c r="T4113" s="317"/>
      <c r="U4113" s="317"/>
      <c r="V4113" s="317"/>
      <c r="W4113" s="317"/>
      <c r="X4113" s="317"/>
      <c r="Y4113" s="317"/>
      <c r="Z4113" s="317"/>
    </row>
    <row r="4114" spans="1:26" x14ac:dyDescent="0.25">
      <c r="A4114" s="314"/>
      <c r="B4114" s="18">
        <v>2023</v>
      </c>
      <c r="C4114" s="18" t="s">
        <v>810</v>
      </c>
      <c r="D4114" s="18" t="s">
        <v>1840</v>
      </c>
      <c r="E4114" s="18" t="s">
        <v>703</v>
      </c>
      <c r="F4114" s="18" t="s">
        <v>704</v>
      </c>
      <c r="G4114" s="18" t="s">
        <v>681</v>
      </c>
      <c r="H4114" s="18" t="s">
        <v>895</v>
      </c>
      <c r="I4114" s="315">
        <v>0.57707584007096357</v>
      </c>
      <c r="J4114" s="315">
        <v>4.585732571577191E-4</v>
      </c>
      <c r="K4114" s="316" t="str">
        <f t="shared" si="60"/>
        <v>Logging Equipment</v>
      </c>
      <c r="L4114" s="316" t="str">
        <f t="shared" si="61"/>
        <v>Gasoline</v>
      </c>
      <c r="M4114" s="194"/>
      <c r="N4114" s="317"/>
      <c r="O4114" s="317"/>
      <c r="P4114" s="317"/>
      <c r="Q4114" s="317"/>
      <c r="R4114" s="317"/>
      <c r="S4114" s="317"/>
      <c r="T4114" s="317"/>
      <c r="U4114" s="317"/>
      <c r="V4114" s="317"/>
      <c r="W4114" s="317"/>
      <c r="X4114" s="317"/>
      <c r="Y4114" s="317"/>
      <c r="Z4114" s="317"/>
    </row>
    <row r="4115" spans="1:26" x14ac:dyDescent="0.25">
      <c r="A4115" s="314"/>
      <c r="B4115" s="18">
        <v>2023</v>
      </c>
      <c r="C4115" s="18" t="s">
        <v>709</v>
      </c>
      <c r="D4115" s="18" t="s">
        <v>1792</v>
      </c>
      <c r="E4115" s="18" t="s">
        <v>713</v>
      </c>
      <c r="F4115" s="18" t="s">
        <v>714</v>
      </c>
      <c r="G4115" s="18" t="s">
        <v>673</v>
      </c>
      <c r="H4115" s="18" t="s">
        <v>749</v>
      </c>
      <c r="I4115" s="315">
        <v>0.57464258581140404</v>
      </c>
      <c r="J4115" s="315">
        <v>2.9673359789537676E-5</v>
      </c>
      <c r="K4115" s="316" t="str">
        <f t="shared" si="60"/>
        <v>Lawn and Garden Equipment</v>
      </c>
      <c r="L4115" s="316" t="str">
        <f t="shared" si="61"/>
        <v>Diesel</v>
      </c>
      <c r="M4115" s="194"/>
      <c r="N4115" s="317"/>
      <c r="O4115" s="317"/>
      <c r="P4115" s="317"/>
      <c r="Q4115" s="317"/>
      <c r="R4115" s="317"/>
      <c r="S4115" s="317"/>
      <c r="T4115" s="317"/>
      <c r="U4115" s="317"/>
      <c r="V4115" s="317"/>
      <c r="W4115" s="317"/>
      <c r="X4115" s="317"/>
      <c r="Y4115" s="317"/>
      <c r="Z4115" s="317"/>
    </row>
    <row r="4116" spans="1:26" x14ac:dyDescent="0.25">
      <c r="A4116" s="314"/>
      <c r="B4116" s="18">
        <v>2023</v>
      </c>
      <c r="C4116" s="18" t="s">
        <v>754</v>
      </c>
      <c r="D4116" s="18" t="s">
        <v>1838</v>
      </c>
      <c r="E4116" s="18" t="s">
        <v>713</v>
      </c>
      <c r="F4116" s="18" t="s">
        <v>714</v>
      </c>
      <c r="G4116" s="18" t="s">
        <v>678</v>
      </c>
      <c r="H4116" s="18" t="s">
        <v>1745</v>
      </c>
      <c r="I4116" s="315">
        <v>0.57305287479475087</v>
      </c>
      <c r="J4116" s="315">
        <v>4.1470536253483409E-6</v>
      </c>
      <c r="K4116" s="316" t="str">
        <f t="shared" si="60"/>
        <v>Agricultural Equipment</v>
      </c>
      <c r="L4116" s="316" t="str">
        <f t="shared" si="61"/>
        <v>Diesel</v>
      </c>
      <c r="M4116" s="194"/>
      <c r="N4116" s="317"/>
      <c r="O4116" s="317"/>
      <c r="P4116" s="317"/>
      <c r="Q4116" s="317"/>
      <c r="R4116" s="317"/>
      <c r="S4116" s="317"/>
      <c r="T4116" s="317"/>
      <c r="U4116" s="317"/>
      <c r="V4116" s="317"/>
      <c r="W4116" s="317"/>
      <c r="X4116" s="317"/>
      <c r="Y4116" s="317"/>
      <c r="Z4116" s="317"/>
    </row>
    <row r="4117" spans="1:26" x14ac:dyDescent="0.25">
      <c r="A4117" s="314"/>
      <c r="B4117" s="18">
        <v>2023</v>
      </c>
      <c r="C4117" s="18" t="s">
        <v>731</v>
      </c>
      <c r="D4117" s="18" t="s">
        <v>1617</v>
      </c>
      <c r="E4117" s="18" t="s">
        <v>703</v>
      </c>
      <c r="F4117" s="18" t="s">
        <v>805</v>
      </c>
      <c r="G4117" s="18" t="s">
        <v>675</v>
      </c>
      <c r="H4117" s="18" t="s">
        <v>802</v>
      </c>
      <c r="I4117" s="315">
        <v>0.57139838499124995</v>
      </c>
      <c r="J4117" s="315">
        <v>1.2767344679021255E-3</v>
      </c>
      <c r="K4117" s="316" t="str">
        <f t="shared" si="60"/>
        <v>Industrial Equipment</v>
      </c>
      <c r="L4117" s="316" t="str">
        <f t="shared" si="61"/>
        <v>Gasoline</v>
      </c>
      <c r="M4117" s="194"/>
      <c r="N4117" s="317"/>
      <c r="O4117" s="317"/>
      <c r="P4117" s="317"/>
      <c r="Q4117" s="317"/>
      <c r="R4117" s="317"/>
      <c r="S4117" s="317"/>
      <c r="T4117" s="317"/>
      <c r="U4117" s="317"/>
      <c r="V4117" s="317"/>
      <c r="W4117" s="317"/>
      <c r="X4117" s="317"/>
      <c r="Y4117" s="317"/>
      <c r="Z4117" s="317"/>
    </row>
    <row r="4118" spans="1:26" x14ac:dyDescent="0.25">
      <c r="A4118" s="314"/>
      <c r="B4118" s="18">
        <v>2023</v>
      </c>
      <c r="C4118" s="18" t="s">
        <v>706</v>
      </c>
      <c r="D4118" s="18" t="s">
        <v>1792</v>
      </c>
      <c r="E4118" s="18" t="s">
        <v>713</v>
      </c>
      <c r="F4118" s="18" t="s">
        <v>714</v>
      </c>
      <c r="G4118" s="18" t="s">
        <v>673</v>
      </c>
      <c r="H4118" s="18" t="s">
        <v>749</v>
      </c>
      <c r="I4118" s="315">
        <v>0.56871901266824976</v>
      </c>
      <c r="J4118" s="315">
        <v>2.9367479034519956E-5</v>
      </c>
      <c r="K4118" s="316" t="str">
        <f t="shared" si="60"/>
        <v>Lawn and Garden Equipment</v>
      </c>
      <c r="L4118" s="316" t="str">
        <f t="shared" si="61"/>
        <v>Diesel</v>
      </c>
      <c r="M4118" s="194"/>
      <c r="N4118" s="317"/>
      <c r="O4118" s="317"/>
      <c r="P4118" s="317"/>
      <c r="Q4118" s="317"/>
      <c r="R4118" s="317"/>
      <c r="S4118" s="317"/>
      <c r="T4118" s="317"/>
      <c r="U4118" s="317"/>
      <c r="V4118" s="317"/>
      <c r="W4118" s="317"/>
      <c r="X4118" s="317"/>
      <c r="Y4118" s="317"/>
      <c r="Z4118" s="317"/>
    </row>
    <row r="4119" spans="1:26" x14ac:dyDescent="0.25">
      <c r="A4119" s="314"/>
      <c r="B4119" s="18">
        <v>2023</v>
      </c>
      <c r="C4119" s="18" t="s">
        <v>759</v>
      </c>
      <c r="D4119" s="18" t="s">
        <v>1227</v>
      </c>
      <c r="E4119" s="18" t="s">
        <v>56</v>
      </c>
      <c r="F4119" s="18" t="s">
        <v>672</v>
      </c>
      <c r="G4119" s="18" t="s">
        <v>674</v>
      </c>
      <c r="H4119" s="18" t="s">
        <v>850</v>
      </c>
      <c r="I4119" s="315">
        <v>0.56657735838582224</v>
      </c>
      <c r="J4119" s="315">
        <v>3.6383366649561922E-5</v>
      </c>
      <c r="K4119" s="316" t="str">
        <f t="shared" si="60"/>
        <v>Construction and Mining Equipment</v>
      </c>
      <c r="L4119" s="316" t="str">
        <f t="shared" si="61"/>
        <v>LPG</v>
      </c>
      <c r="M4119" s="194"/>
      <c r="N4119" s="317"/>
      <c r="O4119" s="317"/>
      <c r="P4119" s="317"/>
      <c r="Q4119" s="317"/>
      <c r="R4119" s="317"/>
      <c r="S4119" s="317"/>
      <c r="T4119" s="317"/>
      <c r="U4119" s="317"/>
      <c r="V4119" s="317"/>
      <c r="W4119" s="317"/>
      <c r="X4119" s="317"/>
      <c r="Y4119" s="317"/>
      <c r="Z4119" s="317"/>
    </row>
    <row r="4120" spans="1:26" x14ac:dyDescent="0.25">
      <c r="A4120" s="314"/>
      <c r="B4120" s="18">
        <v>2023</v>
      </c>
      <c r="C4120" s="18" t="s">
        <v>722</v>
      </c>
      <c r="D4120" s="18" t="s">
        <v>1657</v>
      </c>
      <c r="E4120" s="18" t="s">
        <v>713</v>
      </c>
      <c r="F4120" s="18" t="s">
        <v>714</v>
      </c>
      <c r="G4120" s="18" t="s">
        <v>678</v>
      </c>
      <c r="H4120" s="18" t="s">
        <v>1638</v>
      </c>
      <c r="I4120" s="315">
        <v>0.56400730044013492</v>
      </c>
      <c r="J4120" s="315">
        <v>6.2592174039009532E-6</v>
      </c>
      <c r="K4120" s="316" t="str">
        <f t="shared" si="60"/>
        <v>Agricultural Equipment</v>
      </c>
      <c r="L4120" s="316" t="str">
        <f t="shared" si="61"/>
        <v>Diesel</v>
      </c>
      <c r="M4120" s="194"/>
      <c r="N4120" s="317"/>
      <c r="O4120" s="317"/>
      <c r="P4120" s="317"/>
      <c r="Q4120" s="317"/>
      <c r="R4120" s="317"/>
      <c r="S4120" s="317"/>
      <c r="T4120" s="317"/>
      <c r="U4120" s="317"/>
      <c r="V4120" s="317"/>
      <c r="W4120" s="317"/>
      <c r="X4120" s="317"/>
      <c r="Y4120" s="317"/>
      <c r="Z4120" s="317"/>
    </row>
    <row r="4121" spans="1:26" x14ac:dyDescent="0.25">
      <c r="A4121" s="314"/>
      <c r="B4121" s="18">
        <v>2023</v>
      </c>
      <c r="C4121" s="18" t="s">
        <v>753</v>
      </c>
      <c r="D4121" s="18" t="s">
        <v>1830</v>
      </c>
      <c r="E4121" s="18" t="s">
        <v>703</v>
      </c>
      <c r="F4121" s="18" t="s">
        <v>805</v>
      </c>
      <c r="G4121" s="18" t="s">
        <v>678</v>
      </c>
      <c r="H4121" s="18" t="s">
        <v>1222</v>
      </c>
      <c r="I4121" s="315">
        <v>0.56394997448272888</v>
      </c>
      <c r="J4121" s="315">
        <v>9.2647555762610692E-4</v>
      </c>
      <c r="K4121" s="316" t="str">
        <f t="shared" si="60"/>
        <v>Agricultural Equipment</v>
      </c>
      <c r="L4121" s="316" t="str">
        <f t="shared" si="61"/>
        <v>Gasoline</v>
      </c>
      <c r="M4121" s="194"/>
      <c r="N4121" s="317"/>
      <c r="O4121" s="317"/>
      <c r="P4121" s="317"/>
      <c r="Q4121" s="317"/>
      <c r="R4121" s="317"/>
      <c r="S4121" s="317"/>
      <c r="T4121" s="317"/>
      <c r="U4121" s="317"/>
      <c r="V4121" s="317"/>
      <c r="W4121" s="317"/>
      <c r="X4121" s="317"/>
      <c r="Y4121" s="317"/>
      <c r="Z4121" s="317"/>
    </row>
    <row r="4122" spans="1:26" x14ac:dyDescent="0.25">
      <c r="A4122" s="314"/>
      <c r="B4122" s="18">
        <v>2023</v>
      </c>
      <c r="C4122" s="18" t="s">
        <v>743</v>
      </c>
      <c r="D4122" s="18" t="s">
        <v>1656</v>
      </c>
      <c r="E4122" s="18" t="s">
        <v>56</v>
      </c>
      <c r="F4122" s="18" t="s">
        <v>672</v>
      </c>
      <c r="G4122" s="18" t="s">
        <v>677</v>
      </c>
      <c r="H4122" s="18" t="s">
        <v>1031</v>
      </c>
      <c r="I4122" s="315">
        <v>0.56181043142181963</v>
      </c>
      <c r="J4122" s="315">
        <v>2.8369931302345872E-5</v>
      </c>
      <c r="K4122" s="316" t="str">
        <f t="shared" si="60"/>
        <v>Commercial Equipment</v>
      </c>
      <c r="L4122" s="316" t="str">
        <f t="shared" si="61"/>
        <v>LPG</v>
      </c>
      <c r="M4122" s="194"/>
      <c r="N4122" s="317"/>
      <c r="O4122" s="317"/>
      <c r="P4122" s="317"/>
      <c r="Q4122" s="317"/>
      <c r="R4122" s="317"/>
      <c r="S4122" s="317"/>
      <c r="T4122" s="317"/>
      <c r="U4122" s="317"/>
      <c r="V4122" s="317"/>
      <c r="W4122" s="317"/>
      <c r="X4122" s="317"/>
      <c r="Y4122" s="317"/>
      <c r="Z4122" s="317"/>
    </row>
    <row r="4123" spans="1:26" x14ac:dyDescent="0.25">
      <c r="A4123" s="314"/>
      <c r="B4123" s="18">
        <v>2023</v>
      </c>
      <c r="C4123" s="18" t="s">
        <v>731</v>
      </c>
      <c r="D4123" s="18" t="s">
        <v>1830</v>
      </c>
      <c r="E4123" s="18" t="s">
        <v>703</v>
      </c>
      <c r="F4123" s="18" t="s">
        <v>805</v>
      </c>
      <c r="G4123" s="18" t="s">
        <v>678</v>
      </c>
      <c r="H4123" s="18" t="s">
        <v>1222</v>
      </c>
      <c r="I4123" s="315">
        <v>0.55939481283127979</v>
      </c>
      <c r="J4123" s="315">
        <v>9.1899156593504164E-4</v>
      </c>
      <c r="K4123" s="316" t="str">
        <f t="shared" si="60"/>
        <v>Agricultural Equipment</v>
      </c>
      <c r="L4123" s="316" t="str">
        <f t="shared" si="61"/>
        <v>Gasoline</v>
      </c>
      <c r="M4123" s="194"/>
      <c r="N4123" s="317"/>
      <c r="O4123" s="317"/>
      <c r="P4123" s="317"/>
      <c r="Q4123" s="317"/>
      <c r="R4123" s="317"/>
      <c r="S4123" s="317"/>
      <c r="T4123" s="317"/>
      <c r="U4123" s="317"/>
      <c r="V4123" s="317"/>
      <c r="W4123" s="317"/>
      <c r="X4123" s="317"/>
      <c r="Y4123" s="317"/>
      <c r="Z4123" s="317"/>
    </row>
    <row r="4124" spans="1:26" x14ac:dyDescent="0.25">
      <c r="A4124" s="314"/>
      <c r="B4124" s="18">
        <v>2023</v>
      </c>
      <c r="C4124" s="18" t="s">
        <v>722</v>
      </c>
      <c r="D4124" s="18" t="s">
        <v>1679</v>
      </c>
      <c r="E4124" s="18" t="s">
        <v>56</v>
      </c>
      <c r="F4124" s="18" t="s">
        <v>672</v>
      </c>
      <c r="G4124" s="18" t="s">
        <v>674</v>
      </c>
      <c r="H4124" s="18" t="s">
        <v>959</v>
      </c>
      <c r="I4124" s="315">
        <v>0.55562955983571649</v>
      </c>
      <c r="J4124" s="315">
        <v>9.4381635318167856E-5</v>
      </c>
      <c r="K4124" s="316" t="str">
        <f t="shared" si="60"/>
        <v>Construction and Mining Equipment</v>
      </c>
      <c r="L4124" s="316" t="str">
        <f t="shared" si="61"/>
        <v>LPG</v>
      </c>
      <c r="M4124" s="194"/>
      <c r="N4124" s="317"/>
      <c r="O4124" s="317"/>
      <c r="P4124" s="317"/>
      <c r="Q4124" s="317"/>
      <c r="R4124" s="317"/>
      <c r="S4124" s="317"/>
      <c r="T4124" s="317"/>
      <c r="U4124" s="317"/>
      <c r="V4124" s="317"/>
      <c r="W4124" s="317"/>
      <c r="X4124" s="317"/>
      <c r="Y4124" s="317"/>
      <c r="Z4124" s="317"/>
    </row>
    <row r="4125" spans="1:26" x14ac:dyDescent="0.25">
      <c r="A4125" s="314"/>
      <c r="B4125" s="18">
        <v>2023</v>
      </c>
      <c r="C4125" s="18" t="s">
        <v>753</v>
      </c>
      <c r="D4125" s="18" t="s">
        <v>1617</v>
      </c>
      <c r="E4125" s="18" t="s">
        <v>703</v>
      </c>
      <c r="F4125" s="18" t="s">
        <v>805</v>
      </c>
      <c r="G4125" s="18" t="s">
        <v>675</v>
      </c>
      <c r="H4125" s="18" t="s">
        <v>802</v>
      </c>
      <c r="I4125" s="315">
        <v>0.55293277095699989</v>
      </c>
      <c r="J4125" s="315">
        <v>1.2354800742401554E-3</v>
      </c>
      <c r="K4125" s="316" t="str">
        <f t="shared" si="60"/>
        <v>Industrial Equipment</v>
      </c>
      <c r="L4125" s="316" t="str">
        <f t="shared" si="61"/>
        <v>Gasoline</v>
      </c>
      <c r="M4125" s="194"/>
      <c r="N4125" s="317"/>
      <c r="O4125" s="317"/>
      <c r="P4125" s="317"/>
      <c r="Q4125" s="317"/>
      <c r="R4125" s="317"/>
      <c r="S4125" s="317"/>
      <c r="T4125" s="317"/>
      <c r="U4125" s="317"/>
      <c r="V4125" s="317"/>
      <c r="W4125" s="317"/>
      <c r="X4125" s="317"/>
      <c r="Y4125" s="317"/>
      <c r="Z4125" s="317"/>
    </row>
    <row r="4126" spans="1:26" x14ac:dyDescent="0.25">
      <c r="A4126" s="314"/>
      <c r="B4126" s="18">
        <v>2023</v>
      </c>
      <c r="C4126" s="18" t="s">
        <v>727</v>
      </c>
      <c r="D4126" s="18" t="s">
        <v>1457</v>
      </c>
      <c r="E4126" s="18" t="s">
        <v>56</v>
      </c>
      <c r="F4126" s="18" t="s">
        <v>601</v>
      </c>
      <c r="G4126" s="18" t="s">
        <v>675</v>
      </c>
      <c r="H4126" s="18" t="s">
        <v>772</v>
      </c>
      <c r="I4126" s="315">
        <v>0.54408545614566783</v>
      </c>
      <c r="J4126" s="315">
        <v>2.2193310138979914E-3</v>
      </c>
      <c r="K4126" s="316" t="str">
        <f t="shared" si="60"/>
        <v>Industrial Equipment</v>
      </c>
      <c r="L4126" s="316" t="str">
        <f t="shared" si="61"/>
        <v>CNG</v>
      </c>
      <c r="M4126" s="194"/>
      <c r="N4126" s="317"/>
      <c r="O4126" s="317"/>
      <c r="P4126" s="317"/>
      <c r="Q4126" s="317"/>
      <c r="R4126" s="317"/>
      <c r="S4126" s="317"/>
      <c r="T4126" s="317"/>
      <c r="U4126" s="317"/>
      <c r="V4126" s="317"/>
      <c r="W4126" s="317"/>
      <c r="X4126" s="317"/>
      <c r="Y4126" s="317"/>
      <c r="Z4126" s="317"/>
    </row>
    <row r="4127" spans="1:26" x14ac:dyDescent="0.25">
      <c r="A4127" s="314"/>
      <c r="B4127" s="18">
        <v>2023</v>
      </c>
      <c r="C4127" s="18" t="s">
        <v>754</v>
      </c>
      <c r="D4127" s="18" t="s">
        <v>1654</v>
      </c>
      <c r="E4127" s="18" t="s">
        <v>56</v>
      </c>
      <c r="F4127" s="18" t="s">
        <v>672</v>
      </c>
      <c r="G4127" s="18" t="s">
        <v>674</v>
      </c>
      <c r="H4127" s="18" t="s">
        <v>994</v>
      </c>
      <c r="I4127" s="315">
        <v>0.5426294352431914</v>
      </c>
      <c r="J4127" s="315">
        <v>1.34512638207897E-4</v>
      </c>
      <c r="K4127" s="316" t="str">
        <f t="shared" si="60"/>
        <v>Construction and Mining Equipment</v>
      </c>
      <c r="L4127" s="316" t="str">
        <f t="shared" si="61"/>
        <v>LPG</v>
      </c>
      <c r="M4127" s="194"/>
      <c r="N4127" s="317"/>
      <c r="O4127" s="317"/>
      <c r="P4127" s="317"/>
      <c r="Q4127" s="317"/>
      <c r="R4127" s="317"/>
      <c r="S4127" s="317"/>
      <c r="T4127" s="317"/>
      <c r="U4127" s="317"/>
      <c r="V4127" s="317"/>
      <c r="W4127" s="317"/>
      <c r="X4127" s="317"/>
      <c r="Y4127" s="317"/>
      <c r="Z4127" s="317"/>
    </row>
    <row r="4128" spans="1:26" x14ac:dyDescent="0.25">
      <c r="A4128" s="314"/>
      <c r="B4128" s="18">
        <v>2023</v>
      </c>
      <c r="C4128" s="18" t="s">
        <v>706</v>
      </c>
      <c r="D4128" s="18" t="s">
        <v>1744</v>
      </c>
      <c r="E4128" s="18" t="s">
        <v>703</v>
      </c>
      <c r="F4128" s="18" t="s">
        <v>704</v>
      </c>
      <c r="G4128" s="18" t="s">
        <v>678</v>
      </c>
      <c r="H4128" s="18" t="s">
        <v>1745</v>
      </c>
      <c r="I4128" s="315">
        <v>0.54111978945879657</v>
      </c>
      <c r="J4128" s="315">
        <v>3.4550158981557481E-4</v>
      </c>
      <c r="K4128" s="316" t="str">
        <f t="shared" ref="K4128:K4382" si="62">IF(F4128="Pleasure Craft","Pleasure Craft",IF(F4128="Railroad Equipment","Railroad Equipment",G4128))</f>
        <v>Agricultural Equipment</v>
      </c>
      <c r="L4128" s="316" t="str">
        <f t="shared" ref="L4128:L4382" si="63">IF(E4128="Non-Road Gasoline","Gasoline",IF(E4128="Non-Road Diesel","Diesel",IF(RIGHT(F4128,3)="LPG","LPG",IF(RIGHT(F4128,3)="CNG","CNG",G4128))))</f>
        <v>Gasoline</v>
      </c>
      <c r="M4128" s="194"/>
      <c r="N4128" s="317"/>
      <c r="O4128" s="317"/>
      <c r="P4128" s="317"/>
      <c r="Q4128" s="317"/>
      <c r="R4128" s="317"/>
      <c r="S4128" s="317"/>
      <c r="T4128" s="317"/>
      <c r="U4128" s="317"/>
      <c r="V4128" s="317"/>
      <c r="W4128" s="317"/>
      <c r="X4128" s="317"/>
      <c r="Y4128" s="317"/>
      <c r="Z4128" s="317"/>
    </row>
    <row r="4129" spans="1:26" x14ac:dyDescent="0.25">
      <c r="A4129" s="314"/>
      <c r="B4129" s="18">
        <v>2023</v>
      </c>
      <c r="C4129" s="18" t="s">
        <v>759</v>
      </c>
      <c r="D4129" s="18" t="s">
        <v>1247</v>
      </c>
      <c r="E4129" s="18" t="s">
        <v>56</v>
      </c>
      <c r="F4129" s="18" t="s">
        <v>672</v>
      </c>
      <c r="G4129" s="18" t="s">
        <v>674</v>
      </c>
      <c r="H4129" s="18" t="s">
        <v>967</v>
      </c>
      <c r="I4129" s="315">
        <v>0.53761466834210336</v>
      </c>
      <c r="J4129" s="315">
        <v>2.5399634108098771E-5</v>
      </c>
      <c r="K4129" s="316" t="str">
        <f t="shared" si="62"/>
        <v>Construction and Mining Equipment</v>
      </c>
      <c r="L4129" s="316" t="str">
        <f t="shared" si="63"/>
        <v>LPG</v>
      </c>
      <c r="M4129" s="194"/>
      <c r="N4129" s="317"/>
      <c r="O4129" s="317"/>
      <c r="P4129" s="317"/>
      <c r="Q4129" s="317"/>
      <c r="R4129" s="317"/>
      <c r="S4129" s="317"/>
      <c r="T4129" s="317"/>
      <c r="U4129" s="317"/>
      <c r="V4129" s="317"/>
      <c r="W4129" s="317"/>
      <c r="X4129" s="317"/>
      <c r="Y4129" s="317"/>
      <c r="Z4129" s="317"/>
    </row>
    <row r="4130" spans="1:26" x14ac:dyDescent="0.25">
      <c r="A4130" s="314"/>
      <c r="B4130" s="18">
        <v>2023</v>
      </c>
      <c r="C4130" s="18" t="s">
        <v>759</v>
      </c>
      <c r="D4130" s="18" t="s">
        <v>1248</v>
      </c>
      <c r="E4130" s="18" t="s">
        <v>703</v>
      </c>
      <c r="F4130" s="18" t="s">
        <v>704</v>
      </c>
      <c r="G4130" s="18" t="s">
        <v>674</v>
      </c>
      <c r="H4130" s="18" t="s">
        <v>959</v>
      </c>
      <c r="I4130" s="315">
        <v>0.53676465976818388</v>
      </c>
      <c r="J4130" s="315">
        <v>3.5734064147507119E-4</v>
      </c>
      <c r="K4130" s="316" t="str">
        <f t="shared" si="62"/>
        <v>Construction and Mining Equipment</v>
      </c>
      <c r="L4130" s="316" t="str">
        <f t="shared" si="63"/>
        <v>Gasoline</v>
      </c>
      <c r="M4130" s="194"/>
      <c r="N4130" s="317"/>
      <c r="O4130" s="317"/>
      <c r="P4130" s="317"/>
      <c r="Q4130" s="317"/>
      <c r="R4130" s="317"/>
      <c r="S4130" s="317"/>
      <c r="T4130" s="317"/>
      <c r="U4130" s="317"/>
      <c r="V4130" s="317"/>
      <c r="W4130" s="317"/>
      <c r="X4130" s="317"/>
      <c r="Y4130" s="317"/>
      <c r="Z4130" s="317"/>
    </row>
    <row r="4131" spans="1:26" x14ac:dyDescent="0.25">
      <c r="A4131" s="314"/>
      <c r="B4131" s="18">
        <v>2023</v>
      </c>
      <c r="C4131" s="18" t="s">
        <v>781</v>
      </c>
      <c r="D4131" s="18" t="s">
        <v>1295</v>
      </c>
      <c r="E4131" s="18" t="s">
        <v>703</v>
      </c>
      <c r="F4131" s="18" t="s">
        <v>704</v>
      </c>
      <c r="G4131" s="18" t="s">
        <v>674</v>
      </c>
      <c r="H4131" s="18" t="s">
        <v>859</v>
      </c>
      <c r="I4131" s="315">
        <v>0.53578732771171755</v>
      </c>
      <c r="J4131" s="315">
        <v>1.7274288371505611E-4</v>
      </c>
      <c r="K4131" s="316" t="str">
        <f t="shared" si="62"/>
        <v>Construction and Mining Equipment</v>
      </c>
      <c r="L4131" s="316" t="str">
        <f t="shared" si="63"/>
        <v>Gasoline</v>
      </c>
      <c r="M4131" s="194"/>
      <c r="N4131" s="317"/>
      <c r="O4131" s="317"/>
      <c r="P4131" s="317"/>
      <c r="Q4131" s="317"/>
      <c r="R4131" s="317"/>
      <c r="S4131" s="317"/>
      <c r="T4131" s="317"/>
      <c r="U4131" s="317"/>
      <c r="V4131" s="317"/>
      <c r="W4131" s="317"/>
      <c r="X4131" s="317"/>
      <c r="Y4131" s="317"/>
      <c r="Z4131" s="317"/>
    </row>
    <row r="4132" spans="1:26" x14ac:dyDescent="0.25">
      <c r="A4132" s="314"/>
      <c r="B4132" s="18">
        <v>2023</v>
      </c>
      <c r="C4132" s="18" t="s">
        <v>778</v>
      </c>
      <c r="D4132" s="18" t="s">
        <v>1679</v>
      </c>
      <c r="E4132" s="18" t="s">
        <v>56</v>
      </c>
      <c r="F4132" s="18" t="s">
        <v>672</v>
      </c>
      <c r="G4132" s="18" t="s">
        <v>674</v>
      </c>
      <c r="H4132" s="18" t="s">
        <v>959</v>
      </c>
      <c r="I4132" s="315">
        <v>0.53559560553923113</v>
      </c>
      <c r="J4132" s="315">
        <v>9.0978574015192443E-5</v>
      </c>
      <c r="K4132" s="316" t="str">
        <f t="shared" si="62"/>
        <v>Construction and Mining Equipment</v>
      </c>
      <c r="L4132" s="316" t="str">
        <f t="shared" si="63"/>
        <v>LPG</v>
      </c>
      <c r="M4132" s="194"/>
      <c r="N4132" s="317"/>
      <c r="O4132" s="317"/>
      <c r="P4132" s="317"/>
      <c r="Q4132" s="317"/>
      <c r="R4132" s="317"/>
      <c r="S4132" s="317"/>
      <c r="T4132" s="317"/>
      <c r="U4132" s="317"/>
      <c r="V4132" s="317"/>
      <c r="W4132" s="317"/>
      <c r="X4132" s="317"/>
      <c r="Y4132" s="317"/>
      <c r="Z4132" s="317"/>
    </row>
    <row r="4133" spans="1:26" x14ac:dyDescent="0.25">
      <c r="A4133" s="314"/>
      <c r="B4133" s="18">
        <v>2023</v>
      </c>
      <c r="C4133" s="18" t="s">
        <v>753</v>
      </c>
      <c r="D4133" s="18" t="s">
        <v>1483</v>
      </c>
      <c r="E4133" s="18" t="s">
        <v>703</v>
      </c>
      <c r="F4133" s="18" t="s">
        <v>805</v>
      </c>
      <c r="G4133" s="18" t="s">
        <v>674</v>
      </c>
      <c r="H4133" s="18" t="s">
        <v>994</v>
      </c>
      <c r="I4133" s="315">
        <v>0.53062981694552391</v>
      </c>
      <c r="J4133" s="315">
        <v>1.1125590111968192E-3</v>
      </c>
      <c r="K4133" s="316" t="str">
        <f t="shared" si="62"/>
        <v>Construction and Mining Equipment</v>
      </c>
      <c r="L4133" s="316" t="str">
        <f t="shared" si="63"/>
        <v>Gasoline</v>
      </c>
      <c r="M4133" s="194"/>
      <c r="N4133" s="317"/>
      <c r="O4133" s="317"/>
      <c r="P4133" s="317"/>
      <c r="Q4133" s="317"/>
      <c r="R4133" s="317"/>
      <c r="S4133" s="317"/>
      <c r="T4133" s="317"/>
      <c r="U4133" s="317"/>
      <c r="V4133" s="317"/>
      <c r="W4133" s="317"/>
      <c r="X4133" s="317"/>
      <c r="Y4133" s="317"/>
      <c r="Z4133" s="317"/>
    </row>
    <row r="4134" spans="1:26" x14ac:dyDescent="0.25">
      <c r="A4134" s="314"/>
      <c r="B4134" s="18">
        <v>2023</v>
      </c>
      <c r="C4134" s="18" t="s">
        <v>773</v>
      </c>
      <c r="D4134" s="18" t="s">
        <v>1655</v>
      </c>
      <c r="E4134" s="18" t="s">
        <v>56</v>
      </c>
      <c r="F4134" s="18" t="s">
        <v>672</v>
      </c>
      <c r="G4134" s="18" t="s">
        <v>677</v>
      </c>
      <c r="H4134" s="18" t="s">
        <v>789</v>
      </c>
      <c r="I4134" s="315">
        <v>0.52350979522996</v>
      </c>
      <c r="J4134" s="315">
        <v>7.389166212637085E-5</v>
      </c>
      <c r="K4134" s="316" t="str">
        <f t="shared" si="62"/>
        <v>Commercial Equipment</v>
      </c>
      <c r="L4134" s="316" t="str">
        <f t="shared" si="63"/>
        <v>LPG</v>
      </c>
      <c r="M4134" s="194"/>
      <c r="N4134" s="317"/>
      <c r="O4134" s="317"/>
      <c r="P4134" s="317"/>
      <c r="Q4134" s="317"/>
      <c r="R4134" s="317"/>
      <c r="S4134" s="317"/>
      <c r="T4134" s="317"/>
      <c r="U4134" s="317"/>
      <c r="V4134" s="317"/>
      <c r="W4134" s="317"/>
      <c r="X4134" s="317"/>
      <c r="Y4134" s="317"/>
      <c r="Z4134" s="317"/>
    </row>
    <row r="4135" spans="1:26" x14ac:dyDescent="0.25">
      <c r="A4135" s="314"/>
      <c r="B4135" s="18">
        <v>2023</v>
      </c>
      <c r="C4135" s="18" t="s">
        <v>810</v>
      </c>
      <c r="D4135" s="18" t="s">
        <v>1744</v>
      </c>
      <c r="E4135" s="18" t="s">
        <v>703</v>
      </c>
      <c r="F4135" s="18" t="s">
        <v>704</v>
      </c>
      <c r="G4135" s="18" t="s">
        <v>678</v>
      </c>
      <c r="H4135" s="18" t="s">
        <v>1745</v>
      </c>
      <c r="I4135" s="315">
        <v>0.52201583832475873</v>
      </c>
      <c r="J4135" s="315">
        <v>3.3669746548335315E-4</v>
      </c>
      <c r="K4135" s="316" t="str">
        <f t="shared" si="62"/>
        <v>Agricultural Equipment</v>
      </c>
      <c r="L4135" s="316" t="str">
        <f t="shared" si="63"/>
        <v>Gasoline</v>
      </c>
      <c r="M4135" s="194"/>
      <c r="N4135" s="317"/>
      <c r="O4135" s="317"/>
      <c r="P4135" s="317"/>
      <c r="Q4135" s="317"/>
      <c r="R4135" s="317"/>
      <c r="S4135" s="317"/>
      <c r="T4135" s="317"/>
      <c r="U4135" s="317"/>
      <c r="V4135" s="317"/>
      <c r="W4135" s="317"/>
      <c r="X4135" s="317"/>
      <c r="Y4135" s="317"/>
      <c r="Z4135" s="317"/>
    </row>
    <row r="4136" spans="1:26" x14ac:dyDescent="0.25">
      <c r="A4136" s="314"/>
      <c r="B4136" s="18">
        <v>2023</v>
      </c>
      <c r="C4136" s="18" t="s">
        <v>793</v>
      </c>
      <c r="D4136" s="18" t="s">
        <v>1407</v>
      </c>
      <c r="E4136" s="18" t="s">
        <v>56</v>
      </c>
      <c r="F4136" s="18" t="s">
        <v>672</v>
      </c>
      <c r="G4136" s="18" t="s">
        <v>675</v>
      </c>
      <c r="H4136" s="18" t="s">
        <v>1078</v>
      </c>
      <c r="I4136" s="315">
        <v>0.52058794255830909</v>
      </c>
      <c r="J4136" s="315">
        <v>4.6775148274028735E-5</v>
      </c>
      <c r="K4136" s="316" t="str">
        <f t="shared" si="62"/>
        <v>Industrial Equipment</v>
      </c>
      <c r="L4136" s="316" t="str">
        <f t="shared" si="63"/>
        <v>LPG</v>
      </c>
      <c r="M4136" s="194"/>
      <c r="N4136" s="317"/>
      <c r="O4136" s="317"/>
      <c r="P4136" s="317"/>
      <c r="Q4136" s="317"/>
      <c r="R4136" s="317"/>
      <c r="S4136" s="317"/>
      <c r="T4136" s="317"/>
      <c r="U4136" s="317"/>
      <c r="V4136" s="317"/>
      <c r="W4136" s="317"/>
      <c r="X4136" s="317"/>
      <c r="Y4136" s="317"/>
      <c r="Z4136" s="317"/>
    </row>
    <row r="4137" spans="1:26" x14ac:dyDescent="0.25">
      <c r="A4137" s="314"/>
      <c r="B4137" s="18">
        <v>2023</v>
      </c>
      <c r="C4137" s="18" t="s">
        <v>781</v>
      </c>
      <c r="D4137" s="18" t="s">
        <v>1401</v>
      </c>
      <c r="E4137" s="18" t="s">
        <v>56</v>
      </c>
      <c r="F4137" s="18" t="s">
        <v>601</v>
      </c>
      <c r="G4137" s="18" t="s">
        <v>677</v>
      </c>
      <c r="H4137" s="18" t="s">
        <v>785</v>
      </c>
      <c r="I4137" s="315">
        <v>0.52048967760048492</v>
      </c>
      <c r="J4137" s="315">
        <v>2.2560842213935825E-3</v>
      </c>
      <c r="K4137" s="316" t="str">
        <f t="shared" si="62"/>
        <v>Commercial Equipment</v>
      </c>
      <c r="L4137" s="316" t="str">
        <f t="shared" si="63"/>
        <v>CNG</v>
      </c>
      <c r="M4137" s="194"/>
      <c r="N4137" s="317"/>
      <c r="O4137" s="317"/>
      <c r="P4137" s="317"/>
      <c r="Q4137" s="317"/>
      <c r="R4137" s="317"/>
      <c r="S4137" s="317"/>
      <c r="T4137" s="317"/>
      <c r="U4137" s="317"/>
      <c r="V4137" s="317"/>
      <c r="W4137" s="317"/>
      <c r="X4137" s="317"/>
      <c r="Y4137" s="317"/>
      <c r="Z4137" s="317"/>
    </row>
    <row r="4138" spans="1:26" x14ac:dyDescent="0.25">
      <c r="A4138" s="314"/>
      <c r="B4138" s="18">
        <v>2023</v>
      </c>
      <c r="C4138" s="18" t="s">
        <v>722</v>
      </c>
      <c r="D4138" s="18" t="s">
        <v>1685</v>
      </c>
      <c r="E4138" s="18" t="s">
        <v>56</v>
      </c>
      <c r="F4138" s="18" t="s">
        <v>672</v>
      </c>
      <c r="G4138" s="18" t="s">
        <v>674</v>
      </c>
      <c r="H4138" s="18" t="s">
        <v>1072</v>
      </c>
      <c r="I4138" s="315">
        <v>0.52021887670179345</v>
      </c>
      <c r="J4138" s="315">
        <v>3.6097300901995171E-5</v>
      </c>
      <c r="K4138" s="316" t="str">
        <f t="shared" si="62"/>
        <v>Construction and Mining Equipment</v>
      </c>
      <c r="L4138" s="316" t="str">
        <f t="shared" si="63"/>
        <v>LPG</v>
      </c>
      <c r="M4138" s="194"/>
      <c r="N4138" s="317"/>
      <c r="O4138" s="317"/>
      <c r="P4138" s="317"/>
      <c r="Q4138" s="317"/>
      <c r="R4138" s="317"/>
      <c r="S4138" s="317"/>
      <c r="T4138" s="317"/>
      <c r="U4138" s="317"/>
      <c r="V4138" s="317"/>
      <c r="W4138" s="317"/>
      <c r="X4138" s="317"/>
      <c r="Y4138" s="317"/>
      <c r="Z4138" s="317"/>
    </row>
    <row r="4139" spans="1:26" x14ac:dyDescent="0.25">
      <c r="A4139" s="314"/>
      <c r="B4139" s="18">
        <v>2023</v>
      </c>
      <c r="C4139" s="18" t="s">
        <v>743</v>
      </c>
      <c r="D4139" s="18" t="s">
        <v>1830</v>
      </c>
      <c r="E4139" s="18" t="s">
        <v>703</v>
      </c>
      <c r="F4139" s="18" t="s">
        <v>805</v>
      </c>
      <c r="G4139" s="18" t="s">
        <v>678</v>
      </c>
      <c r="H4139" s="18" t="s">
        <v>1222</v>
      </c>
      <c r="I4139" s="315">
        <v>0.51537868181161806</v>
      </c>
      <c r="J4139" s="315">
        <v>8.466806447975303E-4</v>
      </c>
      <c r="K4139" s="316" t="str">
        <f t="shared" si="62"/>
        <v>Agricultural Equipment</v>
      </c>
      <c r="L4139" s="316" t="str">
        <f t="shared" si="63"/>
        <v>Gasoline</v>
      </c>
      <c r="M4139" s="194"/>
      <c r="N4139" s="317"/>
      <c r="O4139" s="317"/>
      <c r="P4139" s="317"/>
      <c r="Q4139" s="317"/>
      <c r="R4139" s="317"/>
      <c r="S4139" s="317"/>
      <c r="T4139" s="317"/>
      <c r="U4139" s="317"/>
      <c r="V4139" s="317"/>
      <c r="W4139" s="317"/>
      <c r="X4139" s="317"/>
      <c r="Y4139" s="317"/>
      <c r="Z4139" s="317"/>
    </row>
    <row r="4140" spans="1:26" x14ac:dyDescent="0.25">
      <c r="A4140" s="314"/>
      <c r="B4140" s="18">
        <v>2023</v>
      </c>
      <c r="C4140" s="18" t="s">
        <v>711</v>
      </c>
      <c r="D4140" s="18" t="s">
        <v>1657</v>
      </c>
      <c r="E4140" s="18" t="s">
        <v>713</v>
      </c>
      <c r="F4140" s="18" t="s">
        <v>714</v>
      </c>
      <c r="G4140" s="18" t="s">
        <v>678</v>
      </c>
      <c r="H4140" s="18" t="s">
        <v>1638</v>
      </c>
      <c r="I4140" s="315">
        <v>0.51466621276237634</v>
      </c>
      <c r="J4140" s="315">
        <v>5.711652298095881E-6</v>
      </c>
      <c r="K4140" s="316" t="str">
        <f t="shared" si="62"/>
        <v>Agricultural Equipment</v>
      </c>
      <c r="L4140" s="316" t="str">
        <f t="shared" si="63"/>
        <v>Diesel</v>
      </c>
      <c r="M4140" s="194"/>
      <c r="N4140" s="317"/>
      <c r="O4140" s="317"/>
      <c r="P4140" s="317"/>
      <c r="Q4140" s="317"/>
      <c r="R4140" s="317"/>
      <c r="S4140" s="317"/>
      <c r="T4140" s="317"/>
      <c r="U4140" s="317"/>
      <c r="V4140" s="317"/>
      <c r="W4140" s="317"/>
      <c r="X4140" s="317"/>
      <c r="Y4140" s="317"/>
      <c r="Z4140" s="317"/>
    </row>
    <row r="4141" spans="1:26" x14ac:dyDescent="0.25">
      <c r="A4141" s="314"/>
      <c r="B4141" s="18">
        <v>2023</v>
      </c>
      <c r="C4141" s="18" t="s">
        <v>701</v>
      </c>
      <c r="D4141" s="18" t="s">
        <v>1833</v>
      </c>
      <c r="E4141" s="18" t="s">
        <v>703</v>
      </c>
      <c r="F4141" s="18" t="s">
        <v>704</v>
      </c>
      <c r="G4141" s="18" t="s">
        <v>674</v>
      </c>
      <c r="H4141" s="18" t="s">
        <v>1082</v>
      </c>
      <c r="I4141" s="315">
        <v>0.5115418587614784</v>
      </c>
      <c r="J4141" s="315">
        <v>3.3219846268097054E-4</v>
      </c>
      <c r="K4141" s="316" t="str">
        <f t="shared" si="62"/>
        <v>Construction and Mining Equipment</v>
      </c>
      <c r="L4141" s="316" t="str">
        <f t="shared" si="63"/>
        <v>Gasoline</v>
      </c>
      <c r="M4141" s="194"/>
      <c r="N4141" s="317"/>
      <c r="O4141" s="317"/>
      <c r="P4141" s="317"/>
      <c r="Q4141" s="317"/>
      <c r="R4141" s="317"/>
      <c r="S4141" s="317"/>
      <c r="T4141" s="317"/>
      <c r="U4141" s="317"/>
      <c r="V4141" s="317"/>
      <c r="W4141" s="317"/>
      <c r="X4141" s="317"/>
      <c r="Y4141" s="317"/>
      <c r="Z4141" s="317"/>
    </row>
    <row r="4142" spans="1:26" x14ac:dyDescent="0.25">
      <c r="A4142" s="314"/>
      <c r="B4142" s="18">
        <v>2023</v>
      </c>
      <c r="C4142" s="18" t="s">
        <v>709</v>
      </c>
      <c r="D4142" s="18" t="s">
        <v>737</v>
      </c>
      <c r="E4142" s="18" t="s">
        <v>713</v>
      </c>
      <c r="F4142" s="18" t="s">
        <v>714</v>
      </c>
      <c r="G4142" s="18" t="s">
        <v>680</v>
      </c>
      <c r="H4142" s="18" t="s">
        <v>680</v>
      </c>
      <c r="I4142" s="315">
        <v>0.50673112474570914</v>
      </c>
      <c r="J4142" s="315">
        <v>4.0915295254391603E-6</v>
      </c>
      <c r="K4142" s="316" t="str">
        <f t="shared" si="62"/>
        <v>Airport Ground Support Equipment</v>
      </c>
      <c r="L4142" s="316" t="str">
        <f t="shared" si="63"/>
        <v>Diesel</v>
      </c>
      <c r="M4142" s="194"/>
      <c r="N4142" s="317"/>
      <c r="O4142" s="317"/>
      <c r="P4142" s="317"/>
      <c r="Q4142" s="317"/>
      <c r="R4142" s="317"/>
      <c r="S4142" s="317"/>
      <c r="T4142" s="317"/>
      <c r="U4142" s="317"/>
      <c r="V4142" s="317"/>
      <c r="W4142" s="317"/>
      <c r="X4142" s="317"/>
      <c r="Y4142" s="317"/>
      <c r="Z4142" s="317"/>
    </row>
    <row r="4143" spans="1:26" x14ac:dyDescent="0.25">
      <c r="A4143" s="314"/>
      <c r="B4143" s="18">
        <v>2023</v>
      </c>
      <c r="C4143" s="18" t="s">
        <v>781</v>
      </c>
      <c r="D4143" s="18" t="s">
        <v>1838</v>
      </c>
      <c r="E4143" s="18" t="s">
        <v>713</v>
      </c>
      <c r="F4143" s="18" t="s">
        <v>714</v>
      </c>
      <c r="G4143" s="18" t="s">
        <v>678</v>
      </c>
      <c r="H4143" s="18" t="s">
        <v>1745</v>
      </c>
      <c r="I4143" s="315">
        <v>0.50634765944309656</v>
      </c>
      <c r="J4143" s="315">
        <v>3.6643173123971398E-6</v>
      </c>
      <c r="K4143" s="316" t="str">
        <f t="shared" si="62"/>
        <v>Agricultural Equipment</v>
      </c>
      <c r="L4143" s="316" t="str">
        <f t="shared" si="63"/>
        <v>Diesel</v>
      </c>
      <c r="M4143" s="194"/>
      <c r="N4143" s="317"/>
      <c r="O4143" s="317"/>
      <c r="P4143" s="317"/>
      <c r="Q4143" s="317"/>
      <c r="R4143" s="317"/>
      <c r="S4143" s="317"/>
      <c r="T4143" s="317"/>
      <c r="U4143" s="317"/>
      <c r="V4143" s="317"/>
      <c r="W4143" s="317"/>
      <c r="X4143" s="317"/>
      <c r="Y4143" s="317"/>
      <c r="Z4143" s="317"/>
    </row>
    <row r="4144" spans="1:26" x14ac:dyDescent="0.25">
      <c r="A4144" s="314"/>
      <c r="B4144" s="18">
        <v>2023</v>
      </c>
      <c r="C4144" s="18" t="s">
        <v>778</v>
      </c>
      <c r="D4144" s="18" t="s">
        <v>1685</v>
      </c>
      <c r="E4144" s="18" t="s">
        <v>56</v>
      </c>
      <c r="F4144" s="18" t="s">
        <v>672</v>
      </c>
      <c r="G4144" s="18" t="s">
        <v>674</v>
      </c>
      <c r="H4144" s="18" t="s">
        <v>1072</v>
      </c>
      <c r="I4144" s="315">
        <v>0.50146199950962544</v>
      </c>
      <c r="J4144" s="315">
        <v>3.479576909765505E-5</v>
      </c>
      <c r="K4144" s="316" t="str">
        <f t="shared" si="62"/>
        <v>Construction and Mining Equipment</v>
      </c>
      <c r="L4144" s="316" t="str">
        <f t="shared" si="63"/>
        <v>LPG</v>
      </c>
      <c r="M4144" s="194"/>
      <c r="N4144" s="317"/>
      <c r="O4144" s="317"/>
      <c r="P4144" s="317"/>
      <c r="Q4144" s="317"/>
      <c r="R4144" s="317"/>
      <c r="S4144" s="317"/>
      <c r="T4144" s="317"/>
      <c r="U4144" s="317"/>
      <c r="V4144" s="317"/>
      <c r="W4144" s="317"/>
      <c r="X4144" s="317"/>
      <c r="Y4144" s="317"/>
      <c r="Z4144" s="317"/>
    </row>
    <row r="4145" spans="1:26" x14ac:dyDescent="0.25">
      <c r="A4145" s="314"/>
      <c r="B4145" s="18">
        <v>2023</v>
      </c>
      <c r="C4145" s="18" t="s">
        <v>786</v>
      </c>
      <c r="D4145" s="18" t="s">
        <v>1838</v>
      </c>
      <c r="E4145" s="18" t="s">
        <v>713</v>
      </c>
      <c r="F4145" s="18" t="s">
        <v>714</v>
      </c>
      <c r="G4145" s="18" t="s">
        <v>678</v>
      </c>
      <c r="H4145" s="18" t="s">
        <v>1745</v>
      </c>
      <c r="I4145" s="315">
        <v>0.50110348451288222</v>
      </c>
      <c r="J4145" s="315">
        <v>3.6263791955242487E-6</v>
      </c>
      <c r="K4145" s="316" t="str">
        <f t="shared" si="62"/>
        <v>Agricultural Equipment</v>
      </c>
      <c r="L4145" s="316" t="str">
        <f t="shared" si="63"/>
        <v>Diesel</v>
      </c>
      <c r="M4145" s="194"/>
      <c r="N4145" s="317"/>
      <c r="O4145" s="317"/>
      <c r="P4145" s="317"/>
      <c r="Q4145" s="317"/>
      <c r="R4145" s="317"/>
      <c r="S4145" s="317"/>
      <c r="T4145" s="317"/>
      <c r="U4145" s="317"/>
      <c r="V4145" s="317"/>
      <c r="W4145" s="317"/>
      <c r="X4145" s="317"/>
      <c r="Y4145" s="317"/>
      <c r="Z4145" s="317"/>
    </row>
    <row r="4146" spans="1:26" x14ac:dyDescent="0.25">
      <c r="A4146" s="314"/>
      <c r="B4146" s="18">
        <v>2023</v>
      </c>
      <c r="C4146" s="18" t="s">
        <v>760</v>
      </c>
      <c r="D4146" s="18" t="s">
        <v>1730</v>
      </c>
      <c r="E4146" s="18" t="s">
        <v>703</v>
      </c>
      <c r="F4146" s="18" t="s">
        <v>805</v>
      </c>
      <c r="G4146" s="18" t="s">
        <v>674</v>
      </c>
      <c r="H4146" s="18" t="s">
        <v>959</v>
      </c>
      <c r="I4146" s="315">
        <v>0.50037929674526738</v>
      </c>
      <c r="J4146" s="315">
        <v>1.1180513282416241E-3</v>
      </c>
      <c r="K4146" s="316" t="str">
        <f t="shared" si="62"/>
        <v>Construction and Mining Equipment</v>
      </c>
      <c r="L4146" s="316" t="str">
        <f t="shared" si="63"/>
        <v>Gasoline</v>
      </c>
      <c r="M4146" s="194"/>
      <c r="N4146" s="317"/>
      <c r="O4146" s="317"/>
      <c r="P4146" s="317"/>
      <c r="Q4146" s="317"/>
      <c r="R4146" s="317"/>
      <c r="S4146" s="317"/>
      <c r="T4146" s="317"/>
      <c r="U4146" s="317"/>
      <c r="V4146" s="317"/>
      <c r="W4146" s="317"/>
      <c r="X4146" s="317"/>
      <c r="Y4146" s="317"/>
      <c r="Z4146" s="317"/>
    </row>
    <row r="4147" spans="1:26" x14ac:dyDescent="0.25">
      <c r="A4147" s="314"/>
      <c r="B4147" s="18">
        <v>2023</v>
      </c>
      <c r="C4147" s="18" t="s">
        <v>810</v>
      </c>
      <c r="D4147" s="18" t="s">
        <v>1483</v>
      </c>
      <c r="E4147" s="18" t="s">
        <v>703</v>
      </c>
      <c r="F4147" s="18" t="s">
        <v>805</v>
      </c>
      <c r="G4147" s="18" t="s">
        <v>674</v>
      </c>
      <c r="H4147" s="18" t="s">
        <v>994</v>
      </c>
      <c r="I4147" s="315">
        <v>0.5001265012514241</v>
      </c>
      <c r="J4147" s="315">
        <v>1.0486034110593751E-3</v>
      </c>
      <c r="K4147" s="316" t="str">
        <f t="shared" si="62"/>
        <v>Construction and Mining Equipment</v>
      </c>
      <c r="L4147" s="316" t="str">
        <f t="shared" si="63"/>
        <v>Gasoline</v>
      </c>
      <c r="M4147" s="194"/>
      <c r="N4147" s="317"/>
      <c r="O4147" s="317"/>
      <c r="P4147" s="317"/>
      <c r="Q4147" s="317"/>
      <c r="R4147" s="317"/>
      <c r="S4147" s="317"/>
      <c r="T4147" s="317"/>
      <c r="U4147" s="317"/>
      <c r="V4147" s="317"/>
      <c r="W4147" s="317"/>
      <c r="X4147" s="317"/>
      <c r="Y4147" s="317"/>
      <c r="Z4147" s="317"/>
    </row>
    <row r="4148" spans="1:26" x14ac:dyDescent="0.25">
      <c r="A4148" s="314"/>
      <c r="B4148" s="18">
        <v>2023</v>
      </c>
      <c r="C4148" s="18" t="s">
        <v>793</v>
      </c>
      <c r="D4148" s="18" t="s">
        <v>1445</v>
      </c>
      <c r="E4148" s="18" t="s">
        <v>56</v>
      </c>
      <c r="F4148" s="18" t="s">
        <v>601</v>
      </c>
      <c r="G4148" s="18" t="s">
        <v>677</v>
      </c>
      <c r="H4148" s="18" t="s">
        <v>841</v>
      </c>
      <c r="I4148" s="315">
        <v>0.4991872134003294</v>
      </c>
      <c r="J4148" s="315">
        <v>5.4234687233791976E-3</v>
      </c>
      <c r="K4148" s="316" t="str">
        <f t="shared" si="62"/>
        <v>Commercial Equipment</v>
      </c>
      <c r="L4148" s="316" t="str">
        <f t="shared" si="63"/>
        <v>CNG</v>
      </c>
      <c r="M4148" s="194"/>
      <c r="N4148" s="317"/>
      <c r="O4148" s="317"/>
      <c r="P4148" s="317"/>
      <c r="Q4148" s="317"/>
      <c r="R4148" s="317"/>
      <c r="S4148" s="317"/>
      <c r="T4148" s="317"/>
      <c r="U4148" s="317"/>
      <c r="V4148" s="317"/>
      <c r="W4148" s="317"/>
      <c r="X4148" s="317"/>
      <c r="Y4148" s="317"/>
      <c r="Z4148" s="317"/>
    </row>
    <row r="4149" spans="1:26" x14ac:dyDescent="0.25">
      <c r="A4149" s="314"/>
      <c r="B4149" s="18">
        <v>2023</v>
      </c>
      <c r="C4149" s="18" t="s">
        <v>727</v>
      </c>
      <c r="D4149" s="18" t="s">
        <v>1838</v>
      </c>
      <c r="E4149" s="18" t="s">
        <v>713</v>
      </c>
      <c r="F4149" s="18" t="s">
        <v>714</v>
      </c>
      <c r="G4149" s="18" t="s">
        <v>678</v>
      </c>
      <c r="H4149" s="18" t="s">
        <v>1745</v>
      </c>
      <c r="I4149" s="315">
        <v>0.49161709168359163</v>
      </c>
      <c r="J4149" s="315">
        <v>3.5577214219028087E-6</v>
      </c>
      <c r="K4149" s="316" t="str">
        <f t="shared" si="62"/>
        <v>Agricultural Equipment</v>
      </c>
      <c r="L4149" s="316" t="str">
        <f t="shared" si="63"/>
        <v>Diesel</v>
      </c>
      <c r="M4149" s="194"/>
      <c r="N4149" s="317"/>
      <c r="O4149" s="317"/>
      <c r="P4149" s="317"/>
      <c r="Q4149" s="317"/>
      <c r="R4149" s="317"/>
      <c r="S4149" s="317"/>
      <c r="T4149" s="317"/>
      <c r="U4149" s="317"/>
      <c r="V4149" s="317"/>
      <c r="W4149" s="317"/>
      <c r="X4149" s="317"/>
      <c r="Y4149" s="317"/>
      <c r="Z4149" s="317"/>
    </row>
    <row r="4150" spans="1:26" x14ac:dyDescent="0.25">
      <c r="A4150" s="314"/>
      <c r="B4150" s="18">
        <v>2023</v>
      </c>
      <c r="C4150" s="18" t="s">
        <v>759</v>
      </c>
      <c r="D4150" s="18" t="s">
        <v>1744</v>
      </c>
      <c r="E4150" s="18" t="s">
        <v>703</v>
      </c>
      <c r="F4150" s="18" t="s">
        <v>704</v>
      </c>
      <c r="G4150" s="18" t="s">
        <v>678</v>
      </c>
      <c r="H4150" s="18" t="s">
        <v>1745</v>
      </c>
      <c r="I4150" s="315">
        <v>0.48906585226890742</v>
      </c>
      <c r="J4150" s="315">
        <v>3.1107946030702142E-4</v>
      </c>
      <c r="K4150" s="316" t="str">
        <f t="shared" si="62"/>
        <v>Agricultural Equipment</v>
      </c>
      <c r="L4150" s="316" t="str">
        <f t="shared" si="63"/>
        <v>Gasoline</v>
      </c>
      <c r="M4150" s="194"/>
      <c r="N4150" s="317"/>
      <c r="O4150" s="317"/>
      <c r="P4150" s="317"/>
      <c r="Q4150" s="317"/>
      <c r="R4150" s="317"/>
      <c r="S4150" s="317"/>
      <c r="T4150" s="317"/>
      <c r="U4150" s="317"/>
      <c r="V4150" s="317"/>
      <c r="W4150" s="317"/>
      <c r="X4150" s="317"/>
      <c r="Y4150" s="317"/>
      <c r="Z4150" s="317"/>
    </row>
    <row r="4151" spans="1:26" x14ac:dyDescent="0.25">
      <c r="A4151" s="314"/>
      <c r="B4151" s="18">
        <v>2023</v>
      </c>
      <c r="C4151" s="18" t="s">
        <v>706</v>
      </c>
      <c r="D4151" s="18" t="s">
        <v>1839</v>
      </c>
      <c r="E4151" s="18" t="s">
        <v>56</v>
      </c>
      <c r="F4151" s="18" t="s">
        <v>683</v>
      </c>
      <c r="G4151" s="18" t="s">
        <v>672</v>
      </c>
      <c r="H4151" s="18" t="s">
        <v>1002</v>
      </c>
      <c r="I4151" s="315">
        <v>0.48768431555898001</v>
      </c>
      <c r="J4151" s="315">
        <v>3.9265450427911994E-5</v>
      </c>
      <c r="K4151" s="316" t="str">
        <f t="shared" si="62"/>
        <v>Railroad Equipment</v>
      </c>
      <c r="L4151" s="316" t="str">
        <f t="shared" si="63"/>
        <v>LPG</v>
      </c>
      <c r="M4151" s="194"/>
      <c r="N4151" s="317"/>
      <c r="O4151" s="317"/>
      <c r="P4151" s="317"/>
      <c r="Q4151" s="317"/>
      <c r="R4151" s="317"/>
      <c r="S4151" s="317"/>
      <c r="T4151" s="317"/>
      <c r="U4151" s="317"/>
      <c r="V4151" s="317"/>
      <c r="W4151" s="317"/>
      <c r="X4151" s="317"/>
      <c r="Y4151" s="317"/>
      <c r="Z4151" s="317"/>
    </row>
    <row r="4152" spans="1:26" x14ac:dyDescent="0.25">
      <c r="A4152" s="314"/>
      <c r="B4152" s="18">
        <v>2023</v>
      </c>
      <c r="C4152" s="18" t="s">
        <v>773</v>
      </c>
      <c r="D4152" s="18" t="s">
        <v>1656</v>
      </c>
      <c r="E4152" s="18" t="s">
        <v>56</v>
      </c>
      <c r="F4152" s="18" t="s">
        <v>672</v>
      </c>
      <c r="G4152" s="18" t="s">
        <v>677</v>
      </c>
      <c r="H4152" s="18" t="s">
        <v>1031</v>
      </c>
      <c r="I4152" s="315">
        <v>0.48739805340528597</v>
      </c>
      <c r="J4152" s="315">
        <v>2.4612321669763106E-5</v>
      </c>
      <c r="K4152" s="316" t="str">
        <f t="shared" si="62"/>
        <v>Commercial Equipment</v>
      </c>
      <c r="L4152" s="316" t="str">
        <f t="shared" si="63"/>
        <v>LPG</v>
      </c>
      <c r="M4152" s="194"/>
      <c r="N4152" s="317"/>
      <c r="O4152" s="317"/>
      <c r="P4152" s="317"/>
      <c r="Q4152" s="317"/>
      <c r="R4152" s="317"/>
      <c r="S4152" s="317"/>
      <c r="T4152" s="317"/>
      <c r="U4152" s="317"/>
      <c r="V4152" s="317"/>
      <c r="W4152" s="317"/>
      <c r="X4152" s="317"/>
      <c r="Y4152" s="317"/>
      <c r="Z4152" s="317"/>
    </row>
    <row r="4153" spans="1:26" ht="12.75" x14ac:dyDescent="0.2">
      <c r="A4153" s="230"/>
      <c r="B4153" s="18">
        <v>2023</v>
      </c>
      <c r="C4153" s="18" t="s">
        <v>750</v>
      </c>
      <c r="D4153" s="18" t="s">
        <v>1445</v>
      </c>
      <c r="E4153" s="18" t="s">
        <v>56</v>
      </c>
      <c r="F4153" s="18" t="s">
        <v>601</v>
      </c>
      <c r="G4153" s="18" t="s">
        <v>677</v>
      </c>
      <c r="H4153" s="18" t="s">
        <v>841</v>
      </c>
      <c r="I4153" s="315">
        <v>0.48569558444904909</v>
      </c>
      <c r="J4153" s="315">
        <v>5.2768795896814885E-3</v>
      </c>
      <c r="K4153" s="316" t="str">
        <f t="shared" si="62"/>
        <v>Commercial Equipment</v>
      </c>
      <c r="L4153" s="316" t="str">
        <f t="shared" si="63"/>
        <v>CNG</v>
      </c>
      <c r="M4153" s="8"/>
      <c r="N4153" s="2"/>
      <c r="O4153" s="2"/>
      <c r="P4153" s="2"/>
      <c r="Q4153" s="2"/>
      <c r="R4153" s="2"/>
      <c r="S4153" s="2"/>
      <c r="T4153" s="2"/>
      <c r="U4153" s="2"/>
      <c r="V4153" s="2"/>
      <c r="W4153" s="2"/>
      <c r="X4153" s="2"/>
      <c r="Y4153" s="2"/>
      <c r="Z4153" s="2"/>
    </row>
    <row r="4154" spans="1:26" ht="12.75" x14ac:dyDescent="0.2">
      <c r="A4154" s="230"/>
      <c r="B4154" s="18">
        <v>2023</v>
      </c>
      <c r="C4154" s="18" t="s">
        <v>773</v>
      </c>
      <c r="D4154" s="18" t="s">
        <v>1840</v>
      </c>
      <c r="E4154" s="18" t="s">
        <v>703</v>
      </c>
      <c r="F4154" s="18" t="s">
        <v>704</v>
      </c>
      <c r="G4154" s="18" t="s">
        <v>681</v>
      </c>
      <c r="H4154" s="18" t="s">
        <v>895</v>
      </c>
      <c r="I4154" s="315">
        <v>0.48297474689712006</v>
      </c>
      <c r="J4154" s="315">
        <v>3.7697162810268979E-4</v>
      </c>
      <c r="K4154" s="316" t="str">
        <f t="shared" si="62"/>
        <v>Logging Equipment</v>
      </c>
      <c r="L4154" s="316" t="str">
        <f t="shared" si="63"/>
        <v>Gasoline</v>
      </c>
      <c r="M4154" s="8"/>
      <c r="N4154" s="2"/>
      <c r="O4154" s="2"/>
      <c r="P4154" s="2"/>
      <c r="Q4154" s="2"/>
      <c r="R4154" s="2"/>
      <c r="S4154" s="2"/>
      <c r="T4154" s="2"/>
      <c r="U4154" s="2"/>
      <c r="V4154" s="2"/>
      <c r="W4154" s="2"/>
      <c r="X4154" s="2"/>
      <c r="Y4154" s="2"/>
      <c r="Z4154" s="2"/>
    </row>
    <row r="4155" spans="1:26" ht="12.75" x14ac:dyDescent="0.2">
      <c r="A4155" s="230"/>
      <c r="B4155" s="18">
        <v>2023</v>
      </c>
      <c r="C4155" s="18" t="s">
        <v>706</v>
      </c>
      <c r="D4155" s="18" t="s">
        <v>1841</v>
      </c>
      <c r="E4155" s="18" t="s">
        <v>703</v>
      </c>
      <c r="F4155" s="18" t="s">
        <v>805</v>
      </c>
      <c r="G4155" s="18" t="s">
        <v>675</v>
      </c>
      <c r="H4155" s="18" t="s">
        <v>798</v>
      </c>
      <c r="I4155" s="315">
        <v>0.4826624222193035</v>
      </c>
      <c r="J4155" s="315">
        <v>1.0784643601216472E-3</v>
      </c>
      <c r="K4155" s="316" t="str">
        <f t="shared" si="62"/>
        <v>Industrial Equipment</v>
      </c>
      <c r="L4155" s="316" t="str">
        <f t="shared" si="63"/>
        <v>Gasoline</v>
      </c>
      <c r="M4155" s="8"/>
      <c r="N4155" s="2"/>
      <c r="O4155" s="2"/>
      <c r="P4155" s="2"/>
      <c r="Q4155" s="2"/>
      <c r="R4155" s="2"/>
      <c r="S4155" s="2"/>
      <c r="T4155" s="2"/>
      <c r="U4155" s="2"/>
      <c r="V4155" s="2"/>
      <c r="W4155" s="2"/>
      <c r="X4155" s="2"/>
      <c r="Y4155" s="2"/>
      <c r="Z4155" s="2"/>
    </row>
    <row r="4156" spans="1:26" ht="12.75" x14ac:dyDescent="0.2">
      <c r="A4156" s="230"/>
      <c r="B4156" s="18">
        <v>2023</v>
      </c>
      <c r="C4156" s="18" t="s">
        <v>750</v>
      </c>
      <c r="D4156" s="18" t="s">
        <v>1744</v>
      </c>
      <c r="E4156" s="18" t="s">
        <v>703</v>
      </c>
      <c r="F4156" s="18" t="s">
        <v>704</v>
      </c>
      <c r="G4156" s="18" t="s">
        <v>678</v>
      </c>
      <c r="H4156" s="18" t="s">
        <v>1745</v>
      </c>
      <c r="I4156" s="315">
        <v>0.47981653917600947</v>
      </c>
      <c r="J4156" s="315">
        <v>3.0552200655797586E-4</v>
      </c>
      <c r="K4156" s="316" t="str">
        <f t="shared" si="62"/>
        <v>Agricultural Equipment</v>
      </c>
      <c r="L4156" s="316" t="str">
        <f t="shared" si="63"/>
        <v>Gasoline</v>
      </c>
      <c r="M4156" s="8"/>
      <c r="N4156" s="2"/>
      <c r="O4156" s="2"/>
      <c r="P4156" s="2"/>
      <c r="Q4156" s="2"/>
      <c r="R4156" s="2"/>
      <c r="S4156" s="2"/>
      <c r="T4156" s="2"/>
      <c r="U4156" s="2"/>
      <c r="V4156" s="2"/>
      <c r="W4156" s="2"/>
      <c r="X4156" s="2"/>
      <c r="Y4156" s="2"/>
      <c r="Z4156" s="2"/>
    </row>
    <row r="4157" spans="1:26" ht="12.75" x14ac:dyDescent="0.2">
      <c r="A4157" s="230"/>
      <c r="B4157" s="18">
        <v>2023</v>
      </c>
      <c r="C4157" s="18" t="s">
        <v>787</v>
      </c>
      <c r="D4157" s="18" t="s">
        <v>1654</v>
      </c>
      <c r="E4157" s="18" t="s">
        <v>56</v>
      </c>
      <c r="F4157" s="18" t="s">
        <v>672</v>
      </c>
      <c r="G4157" s="18" t="s">
        <v>674</v>
      </c>
      <c r="H4157" s="18" t="s">
        <v>994</v>
      </c>
      <c r="I4157" s="315">
        <v>0.47634545925453275</v>
      </c>
      <c r="J4157" s="315">
        <v>1.1808154229198173E-4</v>
      </c>
      <c r="K4157" s="316" t="str">
        <f t="shared" si="62"/>
        <v>Construction and Mining Equipment</v>
      </c>
      <c r="L4157" s="316" t="str">
        <f t="shared" si="63"/>
        <v>LPG</v>
      </c>
      <c r="M4157" s="8"/>
      <c r="N4157" s="2"/>
      <c r="O4157" s="2"/>
      <c r="P4157" s="2"/>
      <c r="Q4157" s="2"/>
      <c r="R4157" s="2"/>
      <c r="S4157" s="2"/>
      <c r="T4157" s="2"/>
      <c r="U4157" s="2"/>
      <c r="V4157" s="2"/>
      <c r="W4157" s="2"/>
      <c r="X4157" s="2"/>
      <c r="Y4157" s="2"/>
      <c r="Z4157" s="2"/>
    </row>
    <row r="4158" spans="1:26" ht="12.75" x14ac:dyDescent="0.2">
      <c r="A4158" s="230"/>
      <c r="B4158" s="18">
        <v>2023</v>
      </c>
      <c r="C4158" s="18" t="s">
        <v>792</v>
      </c>
      <c r="D4158" s="18" t="s">
        <v>1416</v>
      </c>
      <c r="E4158" s="18" t="s">
        <v>56</v>
      </c>
      <c r="F4158" s="18" t="s">
        <v>672</v>
      </c>
      <c r="G4158" s="18" t="s">
        <v>674</v>
      </c>
      <c r="H4158" s="18" t="s">
        <v>861</v>
      </c>
      <c r="I4158" s="315">
        <v>0.47581717709701021</v>
      </c>
      <c r="J4158" s="315">
        <v>3.2139743185653812E-4</v>
      </c>
      <c r="K4158" s="316" t="str">
        <f t="shared" si="62"/>
        <v>Construction and Mining Equipment</v>
      </c>
      <c r="L4158" s="316" t="str">
        <f t="shared" si="63"/>
        <v>LPG</v>
      </c>
      <c r="M4158" s="8"/>
      <c r="N4158" s="2"/>
      <c r="O4158" s="2"/>
      <c r="P4158" s="2"/>
      <c r="Q4158" s="2"/>
      <c r="R4158" s="2"/>
      <c r="S4158" s="2"/>
      <c r="T4158" s="2"/>
      <c r="U4158" s="2"/>
      <c r="V4158" s="2"/>
      <c r="W4158" s="2"/>
      <c r="X4158" s="2"/>
      <c r="Y4158" s="2"/>
      <c r="Z4158" s="2"/>
    </row>
    <row r="4159" spans="1:26" ht="12.75" x14ac:dyDescent="0.2">
      <c r="A4159" s="230"/>
      <c r="B4159" s="18">
        <v>2023</v>
      </c>
      <c r="C4159" s="18" t="s">
        <v>711</v>
      </c>
      <c r="D4159" s="18" t="s">
        <v>1792</v>
      </c>
      <c r="E4159" s="18" t="s">
        <v>713</v>
      </c>
      <c r="F4159" s="18" t="s">
        <v>714</v>
      </c>
      <c r="G4159" s="18" t="s">
        <v>673</v>
      </c>
      <c r="H4159" s="18" t="s">
        <v>749</v>
      </c>
      <c r="I4159" s="315">
        <v>0.47314231917749217</v>
      </c>
      <c r="J4159" s="315">
        <v>2.4432098261037733E-5</v>
      </c>
      <c r="K4159" s="316" t="str">
        <f t="shared" si="62"/>
        <v>Lawn and Garden Equipment</v>
      </c>
      <c r="L4159" s="316" t="str">
        <f t="shared" si="63"/>
        <v>Diesel</v>
      </c>
      <c r="M4159" s="8"/>
      <c r="N4159" s="2"/>
      <c r="O4159" s="2"/>
      <c r="P4159" s="2"/>
      <c r="Q4159" s="2"/>
      <c r="R4159" s="2"/>
      <c r="S4159" s="2"/>
      <c r="T4159" s="2"/>
      <c r="U4159" s="2"/>
      <c r="V4159" s="2"/>
      <c r="W4159" s="2"/>
      <c r="X4159" s="2"/>
      <c r="Y4159" s="2"/>
      <c r="Z4159" s="2"/>
    </row>
    <row r="4160" spans="1:26" ht="12.75" x14ac:dyDescent="0.2">
      <c r="A4160" s="230"/>
      <c r="B4160" s="18">
        <v>2023</v>
      </c>
      <c r="C4160" s="18" t="s">
        <v>709</v>
      </c>
      <c r="D4160" s="18" t="s">
        <v>1657</v>
      </c>
      <c r="E4160" s="18" t="s">
        <v>713</v>
      </c>
      <c r="F4160" s="18" t="s">
        <v>714</v>
      </c>
      <c r="G4160" s="18" t="s">
        <v>678</v>
      </c>
      <c r="H4160" s="18" t="s">
        <v>1638</v>
      </c>
      <c r="I4160" s="315">
        <v>0.47224433128263743</v>
      </c>
      <c r="J4160" s="315">
        <v>5.2408606239345764E-6</v>
      </c>
      <c r="K4160" s="316" t="str">
        <f t="shared" si="62"/>
        <v>Agricultural Equipment</v>
      </c>
      <c r="L4160" s="316" t="str">
        <f t="shared" si="63"/>
        <v>Diesel</v>
      </c>
      <c r="M4160" s="8"/>
      <c r="N4160" s="2"/>
      <c r="O4160" s="2"/>
      <c r="P4160" s="2"/>
      <c r="Q4160" s="2"/>
      <c r="R4160" s="2"/>
      <c r="S4160" s="2"/>
      <c r="T4160" s="2"/>
      <c r="U4160" s="2"/>
      <c r="V4160" s="2"/>
      <c r="W4160" s="2"/>
      <c r="X4160" s="2"/>
      <c r="Y4160" s="2"/>
      <c r="Z4160" s="2"/>
    </row>
    <row r="4161" spans="1:26" ht="12.75" x14ac:dyDescent="0.2">
      <c r="A4161" s="230"/>
      <c r="B4161" s="18">
        <v>2023</v>
      </c>
      <c r="C4161" s="18" t="s">
        <v>810</v>
      </c>
      <c r="D4161" s="18" t="s">
        <v>1445</v>
      </c>
      <c r="E4161" s="18" t="s">
        <v>56</v>
      </c>
      <c r="F4161" s="18" t="s">
        <v>601</v>
      </c>
      <c r="G4161" s="18" t="s">
        <v>677</v>
      </c>
      <c r="H4161" s="18" t="s">
        <v>841</v>
      </c>
      <c r="I4161" s="315">
        <v>0.47220393235353708</v>
      </c>
      <c r="J4161" s="315">
        <v>5.130296093816003E-3</v>
      </c>
      <c r="K4161" s="316" t="str">
        <f t="shared" si="62"/>
        <v>Commercial Equipment</v>
      </c>
      <c r="L4161" s="316" t="str">
        <f t="shared" si="63"/>
        <v>CNG</v>
      </c>
      <c r="M4161" s="8"/>
      <c r="N4161" s="2"/>
      <c r="O4161" s="2"/>
      <c r="P4161" s="2"/>
      <c r="Q4161" s="2"/>
      <c r="R4161" s="2"/>
      <c r="S4161" s="2"/>
      <c r="T4161" s="2"/>
      <c r="U4161" s="2"/>
      <c r="V4161" s="2"/>
      <c r="W4161" s="2"/>
      <c r="X4161" s="2"/>
      <c r="Y4161" s="2"/>
      <c r="Z4161" s="2"/>
    </row>
    <row r="4162" spans="1:26" ht="12.75" x14ac:dyDescent="0.2">
      <c r="A4162" s="230"/>
      <c r="B4162" s="18">
        <v>2023</v>
      </c>
      <c r="C4162" s="18" t="s">
        <v>753</v>
      </c>
      <c r="D4162" s="18" t="s">
        <v>1564</v>
      </c>
      <c r="E4162" s="18" t="s">
        <v>703</v>
      </c>
      <c r="F4162" s="18" t="s">
        <v>704</v>
      </c>
      <c r="G4162" s="18" t="s">
        <v>674</v>
      </c>
      <c r="H4162" s="18" t="s">
        <v>981</v>
      </c>
      <c r="I4162" s="315">
        <v>0.47067965763184155</v>
      </c>
      <c r="J4162" s="315">
        <v>3.4705137089563037E-4</v>
      </c>
      <c r="K4162" s="316" t="str">
        <f t="shared" si="62"/>
        <v>Construction and Mining Equipment</v>
      </c>
      <c r="L4162" s="316" t="str">
        <f t="shared" si="63"/>
        <v>Gasoline</v>
      </c>
      <c r="M4162" s="8"/>
      <c r="N4162" s="2"/>
      <c r="O4162" s="2"/>
      <c r="P4162" s="2"/>
      <c r="Q4162" s="2"/>
      <c r="R4162" s="2"/>
      <c r="S4162" s="2"/>
      <c r="T4162" s="2"/>
      <c r="U4162" s="2"/>
      <c r="V4162" s="2"/>
      <c r="W4162" s="2"/>
      <c r="X4162" s="2"/>
      <c r="Y4162" s="2"/>
      <c r="Z4162" s="2"/>
    </row>
    <row r="4163" spans="1:26" ht="12.75" x14ac:dyDescent="0.2">
      <c r="A4163" s="230"/>
      <c r="B4163" s="18">
        <v>2023</v>
      </c>
      <c r="C4163" s="18" t="s">
        <v>759</v>
      </c>
      <c r="D4163" s="18" t="s">
        <v>1281</v>
      </c>
      <c r="E4163" s="18" t="s">
        <v>703</v>
      </c>
      <c r="F4163" s="18" t="s">
        <v>704</v>
      </c>
      <c r="G4163" s="18" t="s">
        <v>674</v>
      </c>
      <c r="H4163" s="18" t="s">
        <v>770</v>
      </c>
      <c r="I4163" s="315">
        <v>0.4677089768211965</v>
      </c>
      <c r="J4163" s="315">
        <v>5.1382719565065197E-5</v>
      </c>
      <c r="K4163" s="316" t="str">
        <f t="shared" si="62"/>
        <v>Construction and Mining Equipment</v>
      </c>
      <c r="L4163" s="316" t="str">
        <f t="shared" si="63"/>
        <v>Gasoline</v>
      </c>
      <c r="M4163" s="8"/>
      <c r="N4163" s="2"/>
      <c r="O4163" s="2"/>
      <c r="P4163" s="2"/>
      <c r="Q4163" s="2"/>
      <c r="R4163" s="2"/>
      <c r="S4163" s="2"/>
      <c r="T4163" s="2"/>
      <c r="U4163" s="2"/>
      <c r="V4163" s="2"/>
      <c r="W4163" s="2"/>
      <c r="X4163" s="2"/>
      <c r="Y4163" s="2"/>
      <c r="Z4163" s="2"/>
    </row>
    <row r="4164" spans="1:26" ht="12.75" x14ac:dyDescent="0.2">
      <c r="A4164" s="230"/>
      <c r="B4164" s="18">
        <v>2023</v>
      </c>
      <c r="C4164" s="18" t="s">
        <v>781</v>
      </c>
      <c r="D4164" s="18" t="s">
        <v>1339</v>
      </c>
      <c r="E4164" s="18" t="s">
        <v>56</v>
      </c>
      <c r="F4164" s="18" t="s">
        <v>672</v>
      </c>
      <c r="G4164" s="18" t="s">
        <v>674</v>
      </c>
      <c r="H4164" s="18" t="s">
        <v>770</v>
      </c>
      <c r="I4164" s="315">
        <v>0.46584576626489677</v>
      </c>
      <c r="J4164" s="315">
        <v>3.4399227621978673E-5</v>
      </c>
      <c r="K4164" s="316" t="str">
        <f t="shared" si="62"/>
        <v>Construction and Mining Equipment</v>
      </c>
      <c r="L4164" s="316" t="str">
        <f t="shared" si="63"/>
        <v>LPG</v>
      </c>
      <c r="M4164" s="8"/>
      <c r="N4164" s="2"/>
      <c r="O4164" s="2"/>
      <c r="P4164" s="2"/>
      <c r="Q4164" s="2"/>
      <c r="R4164" s="2"/>
      <c r="S4164" s="2"/>
      <c r="T4164" s="2"/>
      <c r="U4164" s="2"/>
      <c r="V4164" s="2"/>
      <c r="W4164" s="2"/>
      <c r="X4164" s="2"/>
      <c r="Y4164" s="2"/>
      <c r="Z4164" s="2"/>
    </row>
    <row r="4165" spans="1:26" ht="12.75" x14ac:dyDescent="0.2">
      <c r="A4165" s="230"/>
      <c r="B4165" s="18">
        <v>2023</v>
      </c>
      <c r="C4165" s="18" t="s">
        <v>753</v>
      </c>
      <c r="D4165" s="18" t="s">
        <v>1838</v>
      </c>
      <c r="E4165" s="18" t="s">
        <v>713</v>
      </c>
      <c r="F4165" s="18" t="s">
        <v>714</v>
      </c>
      <c r="G4165" s="18" t="s">
        <v>678</v>
      </c>
      <c r="H4165" s="18" t="s">
        <v>1745</v>
      </c>
      <c r="I4165" s="315">
        <v>0.4606651662178074</v>
      </c>
      <c r="J4165" s="315">
        <v>3.3337284246228184E-6</v>
      </c>
      <c r="K4165" s="316" t="str">
        <f t="shared" si="62"/>
        <v>Agricultural Equipment</v>
      </c>
      <c r="L4165" s="316" t="str">
        <f t="shared" si="63"/>
        <v>Diesel</v>
      </c>
      <c r="M4165" s="8"/>
      <c r="N4165" s="2"/>
      <c r="O4165" s="2"/>
      <c r="P4165" s="2"/>
      <c r="Q4165" s="2"/>
      <c r="R4165" s="2"/>
      <c r="S4165" s="2"/>
      <c r="T4165" s="2"/>
      <c r="U4165" s="2"/>
      <c r="V4165" s="2"/>
      <c r="W4165" s="2"/>
      <c r="X4165" s="2"/>
      <c r="Y4165" s="2"/>
      <c r="Z4165" s="2"/>
    </row>
    <row r="4166" spans="1:26" ht="12.75" x14ac:dyDescent="0.2">
      <c r="A4166" s="230"/>
      <c r="B4166" s="18">
        <v>2023</v>
      </c>
      <c r="C4166" s="18" t="s">
        <v>732</v>
      </c>
      <c r="D4166" s="18" t="s">
        <v>1715</v>
      </c>
      <c r="E4166" s="18" t="s">
        <v>703</v>
      </c>
      <c r="F4166" s="18" t="s">
        <v>805</v>
      </c>
      <c r="G4166" s="18" t="s">
        <v>677</v>
      </c>
      <c r="H4166" s="18" t="s">
        <v>1031</v>
      </c>
      <c r="I4166" s="315">
        <v>0.45696360996580371</v>
      </c>
      <c r="J4166" s="315">
        <v>1.0210447360412349E-3</v>
      </c>
      <c r="K4166" s="316" t="str">
        <f t="shared" si="62"/>
        <v>Commercial Equipment</v>
      </c>
      <c r="L4166" s="316" t="str">
        <f t="shared" si="63"/>
        <v>Gasoline</v>
      </c>
      <c r="M4166" s="8"/>
      <c r="N4166" s="2"/>
      <c r="O4166" s="2"/>
      <c r="P4166" s="2"/>
      <c r="Q4166" s="2"/>
      <c r="R4166" s="2"/>
      <c r="S4166" s="2"/>
      <c r="T4166" s="2"/>
      <c r="U4166" s="2"/>
      <c r="V4166" s="2"/>
      <c r="W4166" s="2"/>
      <c r="X4166" s="2"/>
      <c r="Y4166" s="2"/>
      <c r="Z4166" s="2"/>
    </row>
    <row r="4167" spans="1:26" ht="12.75" x14ac:dyDescent="0.2">
      <c r="A4167" s="230"/>
      <c r="B4167" s="18">
        <v>2023</v>
      </c>
      <c r="C4167" s="18" t="s">
        <v>731</v>
      </c>
      <c r="D4167" s="18" t="s">
        <v>1838</v>
      </c>
      <c r="E4167" s="18" t="s">
        <v>713</v>
      </c>
      <c r="F4167" s="18" t="s">
        <v>714</v>
      </c>
      <c r="G4167" s="18" t="s">
        <v>678</v>
      </c>
      <c r="H4167" s="18" t="s">
        <v>1745</v>
      </c>
      <c r="I4167" s="315">
        <v>0.45694442842694671</v>
      </c>
      <c r="J4167" s="315">
        <v>3.3067951473858965E-6</v>
      </c>
      <c r="K4167" s="316" t="str">
        <f t="shared" si="62"/>
        <v>Agricultural Equipment</v>
      </c>
      <c r="L4167" s="316" t="str">
        <f t="shared" si="63"/>
        <v>Diesel</v>
      </c>
      <c r="M4167" s="8"/>
      <c r="N4167" s="2"/>
      <c r="O4167" s="2"/>
      <c r="P4167" s="2"/>
      <c r="Q4167" s="2"/>
      <c r="R4167" s="2"/>
      <c r="S4167" s="2"/>
      <c r="T4167" s="2"/>
      <c r="U4167" s="2"/>
      <c r="V4167" s="2"/>
      <c r="W4167" s="2"/>
      <c r="X4167" s="2"/>
      <c r="Y4167" s="2"/>
      <c r="Z4167" s="2"/>
    </row>
    <row r="4168" spans="1:26" ht="12.75" x14ac:dyDescent="0.2">
      <c r="A4168" s="230"/>
      <c r="B4168" s="18">
        <v>2023</v>
      </c>
      <c r="C4168" s="18" t="s">
        <v>792</v>
      </c>
      <c r="D4168" s="18" t="s">
        <v>1425</v>
      </c>
      <c r="E4168" s="18" t="s">
        <v>56</v>
      </c>
      <c r="F4168" s="18" t="s">
        <v>672</v>
      </c>
      <c r="G4168" s="18" t="s">
        <v>674</v>
      </c>
      <c r="H4168" s="18" t="s">
        <v>791</v>
      </c>
      <c r="I4168" s="315">
        <v>0.455894174228547</v>
      </c>
      <c r="J4168" s="315">
        <v>8.7637428341266619E-5</v>
      </c>
      <c r="K4168" s="316" t="str">
        <f t="shared" si="62"/>
        <v>Construction and Mining Equipment</v>
      </c>
      <c r="L4168" s="316" t="str">
        <f t="shared" si="63"/>
        <v>LPG</v>
      </c>
      <c r="M4168" s="8"/>
      <c r="N4168" s="2"/>
      <c r="O4168" s="2"/>
      <c r="P4168" s="2"/>
      <c r="Q4168" s="2"/>
      <c r="R4168" s="2"/>
      <c r="S4168" s="2"/>
      <c r="T4168" s="2"/>
      <c r="U4168" s="2"/>
      <c r="V4168" s="2"/>
      <c r="W4168" s="2"/>
      <c r="X4168" s="2"/>
      <c r="Y4168" s="2"/>
      <c r="Z4168" s="2"/>
    </row>
    <row r="4169" spans="1:26" ht="12.75" x14ac:dyDescent="0.2">
      <c r="A4169" s="230"/>
      <c r="B4169" s="18">
        <v>2023</v>
      </c>
      <c r="C4169" s="18" t="s">
        <v>732</v>
      </c>
      <c r="D4169" s="18" t="s">
        <v>1737</v>
      </c>
      <c r="E4169" s="18" t="s">
        <v>703</v>
      </c>
      <c r="F4169" s="18" t="s">
        <v>805</v>
      </c>
      <c r="G4169" s="18" t="s">
        <v>673</v>
      </c>
      <c r="H4169" s="18" t="s">
        <v>705</v>
      </c>
      <c r="I4169" s="315">
        <v>0.45422111723434322</v>
      </c>
      <c r="J4169" s="315">
        <v>9.108561312654753E-4</v>
      </c>
      <c r="K4169" s="316" t="str">
        <f t="shared" si="62"/>
        <v>Lawn and Garden Equipment</v>
      </c>
      <c r="L4169" s="316" t="str">
        <f t="shared" si="63"/>
        <v>Gasoline</v>
      </c>
      <c r="M4169" s="8"/>
      <c r="N4169" s="2"/>
      <c r="O4169" s="2"/>
      <c r="P4169" s="2"/>
      <c r="Q4169" s="2"/>
      <c r="R4169" s="2"/>
      <c r="S4169" s="2"/>
      <c r="T4169" s="2"/>
      <c r="U4169" s="2"/>
      <c r="V4169" s="2"/>
      <c r="W4169" s="2"/>
      <c r="X4169" s="2"/>
      <c r="Y4169" s="2"/>
      <c r="Z4169" s="2"/>
    </row>
    <row r="4170" spans="1:26" ht="12.75" x14ac:dyDescent="0.2">
      <c r="A4170" s="230"/>
      <c r="B4170" s="18">
        <v>2023</v>
      </c>
      <c r="C4170" s="18" t="s">
        <v>786</v>
      </c>
      <c r="D4170" s="18" t="s">
        <v>1457</v>
      </c>
      <c r="E4170" s="18" t="s">
        <v>56</v>
      </c>
      <c r="F4170" s="18" t="s">
        <v>601</v>
      </c>
      <c r="G4170" s="18" t="s">
        <v>675</v>
      </c>
      <c r="H4170" s="18" t="s">
        <v>772</v>
      </c>
      <c r="I4170" s="315">
        <v>0.45032126567987202</v>
      </c>
      <c r="J4170" s="315">
        <v>1.836867213362523E-3</v>
      </c>
      <c r="K4170" s="316" t="str">
        <f t="shared" si="62"/>
        <v>Industrial Equipment</v>
      </c>
      <c r="L4170" s="316" t="str">
        <f t="shared" si="63"/>
        <v>CNG</v>
      </c>
      <c r="M4170" s="8"/>
      <c r="N4170" s="2"/>
      <c r="O4170" s="2"/>
      <c r="P4170" s="2"/>
      <c r="Q4170" s="2"/>
      <c r="R4170" s="2"/>
      <c r="S4170" s="2"/>
      <c r="T4170" s="2"/>
      <c r="U4170" s="2"/>
      <c r="V4170" s="2"/>
      <c r="W4170" s="2"/>
      <c r="X4170" s="2"/>
      <c r="Y4170" s="2"/>
      <c r="Z4170" s="2"/>
    </row>
    <row r="4171" spans="1:26" ht="12.75" x14ac:dyDescent="0.2">
      <c r="A4171" s="230"/>
      <c r="B4171" s="18">
        <v>2023</v>
      </c>
      <c r="C4171" s="18" t="s">
        <v>753</v>
      </c>
      <c r="D4171" s="18" t="s">
        <v>1580</v>
      </c>
      <c r="E4171" s="18" t="s">
        <v>56</v>
      </c>
      <c r="F4171" s="18" t="s">
        <v>672</v>
      </c>
      <c r="G4171" s="18" t="s">
        <v>674</v>
      </c>
      <c r="H4171" s="18" t="s">
        <v>736</v>
      </c>
      <c r="I4171" s="315">
        <v>0.44978429346889176</v>
      </c>
      <c r="J4171" s="315">
        <v>2.0662084233803414E-5</v>
      </c>
      <c r="K4171" s="316" t="str">
        <f t="shared" si="62"/>
        <v>Construction and Mining Equipment</v>
      </c>
      <c r="L4171" s="316" t="str">
        <f t="shared" si="63"/>
        <v>LPG</v>
      </c>
      <c r="M4171" s="8"/>
      <c r="N4171" s="2"/>
      <c r="O4171" s="2"/>
      <c r="P4171" s="2"/>
      <c r="Q4171" s="2"/>
      <c r="R4171" s="2"/>
      <c r="S4171" s="2"/>
      <c r="T4171" s="2"/>
      <c r="U4171" s="2"/>
      <c r="V4171" s="2"/>
      <c r="W4171" s="2"/>
      <c r="X4171" s="2"/>
      <c r="Y4171" s="2"/>
      <c r="Z4171" s="2"/>
    </row>
    <row r="4172" spans="1:26" ht="12.75" x14ac:dyDescent="0.2">
      <c r="A4172" s="230"/>
      <c r="B4172" s="18">
        <v>2023</v>
      </c>
      <c r="C4172" s="18" t="s">
        <v>750</v>
      </c>
      <c r="D4172" s="18" t="s">
        <v>1654</v>
      </c>
      <c r="E4172" s="18" t="s">
        <v>56</v>
      </c>
      <c r="F4172" s="18" t="s">
        <v>672</v>
      </c>
      <c r="G4172" s="18" t="s">
        <v>674</v>
      </c>
      <c r="H4172" s="18" t="s">
        <v>994</v>
      </c>
      <c r="I4172" s="315">
        <v>0.44534119978644132</v>
      </c>
      <c r="J4172" s="315">
        <v>1.1039598237955116E-4</v>
      </c>
      <c r="K4172" s="316" t="str">
        <f t="shared" si="62"/>
        <v>Construction and Mining Equipment</v>
      </c>
      <c r="L4172" s="316" t="str">
        <f t="shared" si="63"/>
        <v>LPG</v>
      </c>
      <c r="M4172" s="8"/>
      <c r="N4172" s="2"/>
      <c r="O4172" s="2"/>
      <c r="P4172" s="2"/>
      <c r="Q4172" s="2"/>
      <c r="R4172" s="2"/>
      <c r="S4172" s="2"/>
      <c r="T4172" s="2"/>
      <c r="U4172" s="2"/>
      <c r="V4172" s="2"/>
      <c r="W4172" s="2"/>
      <c r="X4172" s="2"/>
      <c r="Y4172" s="2"/>
      <c r="Z4172" s="2"/>
    </row>
    <row r="4173" spans="1:26" ht="12.75" x14ac:dyDescent="0.2">
      <c r="A4173" s="230"/>
      <c r="B4173" s="18">
        <v>2023</v>
      </c>
      <c r="C4173" s="18" t="s">
        <v>762</v>
      </c>
      <c r="D4173" s="18" t="s">
        <v>1457</v>
      </c>
      <c r="E4173" s="18" t="s">
        <v>56</v>
      </c>
      <c r="F4173" s="18" t="s">
        <v>601</v>
      </c>
      <c r="G4173" s="18" t="s">
        <v>675</v>
      </c>
      <c r="H4173" s="18" t="s">
        <v>772</v>
      </c>
      <c r="I4173" s="315">
        <v>0.44492758727194304</v>
      </c>
      <c r="J4173" s="315">
        <v>1.8148621641864921E-3</v>
      </c>
      <c r="K4173" s="316" t="str">
        <f t="shared" si="62"/>
        <v>Industrial Equipment</v>
      </c>
      <c r="L4173" s="316" t="str">
        <f t="shared" si="63"/>
        <v>CNG</v>
      </c>
      <c r="M4173" s="8"/>
      <c r="N4173" s="2"/>
      <c r="O4173" s="2"/>
      <c r="P4173" s="2"/>
      <c r="Q4173" s="2"/>
      <c r="R4173" s="2"/>
      <c r="S4173" s="2"/>
      <c r="T4173" s="2"/>
      <c r="U4173" s="2"/>
      <c r="V4173" s="2"/>
      <c r="W4173" s="2"/>
      <c r="X4173" s="2"/>
      <c r="Y4173" s="2"/>
      <c r="Z4173" s="2"/>
    </row>
    <row r="4174" spans="1:26" ht="12.75" x14ac:dyDescent="0.2">
      <c r="A4174" s="230"/>
      <c r="B4174" s="18">
        <v>2023</v>
      </c>
      <c r="C4174" s="18" t="s">
        <v>709</v>
      </c>
      <c r="D4174" s="18" t="s">
        <v>1806</v>
      </c>
      <c r="E4174" s="18" t="s">
        <v>56</v>
      </c>
      <c r="F4174" s="18" t="s">
        <v>601</v>
      </c>
      <c r="G4174" s="18" t="s">
        <v>675</v>
      </c>
      <c r="H4174" s="18" t="s">
        <v>798</v>
      </c>
      <c r="I4174" s="315">
        <v>0.44428883440016298</v>
      </c>
      <c r="J4174" s="315">
        <v>1.7683895108115354E-3</v>
      </c>
      <c r="K4174" s="316" t="str">
        <f t="shared" si="62"/>
        <v>Industrial Equipment</v>
      </c>
      <c r="L4174" s="316" t="str">
        <f t="shared" si="63"/>
        <v>CNG</v>
      </c>
      <c r="M4174" s="8"/>
      <c r="N4174" s="2"/>
      <c r="O4174" s="2"/>
      <c r="P4174" s="2"/>
      <c r="Q4174" s="2"/>
      <c r="R4174" s="2"/>
      <c r="S4174" s="2"/>
      <c r="T4174" s="2"/>
      <c r="U4174" s="2"/>
      <c r="V4174" s="2"/>
      <c r="W4174" s="2"/>
      <c r="X4174" s="2"/>
      <c r="Y4174" s="2"/>
      <c r="Z4174" s="2"/>
    </row>
    <row r="4175" spans="1:26" ht="12.75" x14ac:dyDescent="0.2">
      <c r="A4175" s="230"/>
      <c r="B4175" s="18">
        <v>2023</v>
      </c>
      <c r="C4175" s="18" t="s">
        <v>753</v>
      </c>
      <c r="D4175" s="18" t="s">
        <v>1583</v>
      </c>
      <c r="E4175" s="18" t="s">
        <v>703</v>
      </c>
      <c r="F4175" s="18" t="s">
        <v>805</v>
      </c>
      <c r="G4175" s="18" t="s">
        <v>674</v>
      </c>
      <c r="H4175" s="18" t="s">
        <v>1036</v>
      </c>
      <c r="I4175" s="315">
        <v>0.44388800772804304</v>
      </c>
      <c r="J4175" s="315">
        <v>9.1868900045465756E-4</v>
      </c>
      <c r="K4175" s="316" t="str">
        <f t="shared" si="62"/>
        <v>Construction and Mining Equipment</v>
      </c>
      <c r="L4175" s="316" t="str">
        <f t="shared" si="63"/>
        <v>Gasoline</v>
      </c>
      <c r="M4175" s="8"/>
      <c r="N4175" s="2"/>
      <c r="O4175" s="2"/>
      <c r="P4175" s="2"/>
      <c r="Q4175" s="2"/>
      <c r="R4175" s="2"/>
      <c r="S4175" s="2"/>
      <c r="T4175" s="2"/>
      <c r="U4175" s="2"/>
      <c r="V4175" s="2"/>
      <c r="W4175" s="2"/>
      <c r="X4175" s="2"/>
      <c r="Y4175" s="2"/>
      <c r="Z4175" s="2"/>
    </row>
    <row r="4176" spans="1:26" ht="12.75" x14ac:dyDescent="0.2">
      <c r="A4176" s="230"/>
      <c r="B4176" s="18">
        <v>2023</v>
      </c>
      <c r="C4176" s="18" t="s">
        <v>810</v>
      </c>
      <c r="D4176" s="18" t="s">
        <v>1564</v>
      </c>
      <c r="E4176" s="18" t="s">
        <v>703</v>
      </c>
      <c r="F4176" s="18" t="s">
        <v>704</v>
      </c>
      <c r="G4176" s="18" t="s">
        <v>674</v>
      </c>
      <c r="H4176" s="18" t="s">
        <v>981</v>
      </c>
      <c r="I4176" s="315">
        <v>0.44362188855755497</v>
      </c>
      <c r="J4176" s="315">
        <v>3.3211868552848295E-4</v>
      </c>
      <c r="K4176" s="316" t="str">
        <f t="shared" si="62"/>
        <v>Construction and Mining Equipment</v>
      </c>
      <c r="L4176" s="316" t="str">
        <f t="shared" si="63"/>
        <v>Gasoline</v>
      </c>
      <c r="M4176" s="8"/>
      <c r="N4176" s="2"/>
      <c r="O4176" s="2"/>
      <c r="P4176" s="2"/>
      <c r="Q4176" s="2"/>
      <c r="R4176" s="2"/>
      <c r="S4176" s="2"/>
      <c r="T4176" s="2"/>
      <c r="U4176" s="2"/>
      <c r="V4176" s="2"/>
      <c r="W4176" s="2"/>
      <c r="X4176" s="2"/>
      <c r="Y4176" s="2"/>
      <c r="Z4176" s="2"/>
    </row>
    <row r="4177" spans="1:26" ht="12.75" x14ac:dyDescent="0.2">
      <c r="A4177" s="230"/>
      <c r="B4177" s="18">
        <v>2023</v>
      </c>
      <c r="C4177" s="18" t="s">
        <v>792</v>
      </c>
      <c r="D4177" s="18" t="s">
        <v>1637</v>
      </c>
      <c r="E4177" s="18" t="s">
        <v>703</v>
      </c>
      <c r="F4177" s="18" t="s">
        <v>704</v>
      </c>
      <c r="G4177" s="18" t="s">
        <v>678</v>
      </c>
      <c r="H4177" s="18" t="s">
        <v>1638</v>
      </c>
      <c r="I4177" s="315">
        <v>0.44350819611915926</v>
      </c>
      <c r="J4177" s="315">
        <v>2.6550312330690548E-4</v>
      </c>
      <c r="K4177" s="316" t="str">
        <f t="shared" si="62"/>
        <v>Agricultural Equipment</v>
      </c>
      <c r="L4177" s="316" t="str">
        <f t="shared" si="63"/>
        <v>Gasoline</v>
      </c>
      <c r="M4177" s="8"/>
      <c r="N4177" s="2"/>
      <c r="O4177" s="2"/>
      <c r="P4177" s="2"/>
      <c r="Q4177" s="2"/>
      <c r="R4177" s="2"/>
      <c r="S4177" s="2"/>
      <c r="T4177" s="2"/>
      <c r="U4177" s="2"/>
      <c r="V4177" s="2"/>
      <c r="W4177" s="2"/>
      <c r="X4177" s="2"/>
      <c r="Y4177" s="2"/>
      <c r="Z4177" s="2"/>
    </row>
    <row r="4178" spans="1:26" ht="12.75" x14ac:dyDescent="0.2">
      <c r="A4178" s="230"/>
      <c r="B4178" s="18">
        <v>2023</v>
      </c>
      <c r="C4178" s="18" t="s">
        <v>760</v>
      </c>
      <c r="D4178" s="18" t="s">
        <v>1717</v>
      </c>
      <c r="E4178" s="18" t="s">
        <v>56</v>
      </c>
      <c r="F4178" s="18" t="s">
        <v>601</v>
      </c>
      <c r="G4178" s="18" t="s">
        <v>675</v>
      </c>
      <c r="H4178" s="18" t="s">
        <v>802</v>
      </c>
      <c r="I4178" s="315">
        <v>0.44180063304353379</v>
      </c>
      <c r="J4178" s="315">
        <v>1.7603946718169141E-3</v>
      </c>
      <c r="K4178" s="316" t="str">
        <f t="shared" si="62"/>
        <v>Industrial Equipment</v>
      </c>
      <c r="L4178" s="316" t="str">
        <f t="shared" si="63"/>
        <v>CNG</v>
      </c>
      <c r="M4178" s="8"/>
      <c r="N4178" s="2"/>
      <c r="O4178" s="2"/>
      <c r="P4178" s="2"/>
      <c r="Q4178" s="2"/>
      <c r="R4178" s="2"/>
      <c r="S4178" s="2"/>
      <c r="T4178" s="2"/>
      <c r="U4178" s="2"/>
      <c r="V4178" s="2"/>
      <c r="W4178" s="2"/>
      <c r="X4178" s="2"/>
      <c r="Y4178" s="2"/>
      <c r="Z4178" s="2"/>
    </row>
    <row r="4179" spans="1:26" ht="12.75" x14ac:dyDescent="0.2">
      <c r="A4179" s="230"/>
      <c r="B4179" s="18">
        <v>2023</v>
      </c>
      <c r="C4179" s="18" t="s">
        <v>731</v>
      </c>
      <c r="D4179" s="18" t="s">
        <v>1416</v>
      </c>
      <c r="E4179" s="18" t="s">
        <v>56</v>
      </c>
      <c r="F4179" s="18" t="s">
        <v>672</v>
      </c>
      <c r="G4179" s="18" t="s">
        <v>674</v>
      </c>
      <c r="H4179" s="18" t="s">
        <v>861</v>
      </c>
      <c r="I4179" s="315">
        <v>0.44157137785716383</v>
      </c>
      <c r="J4179" s="315">
        <v>2.9826563042603324E-4</v>
      </c>
      <c r="K4179" s="316" t="str">
        <f t="shared" si="62"/>
        <v>Construction and Mining Equipment</v>
      </c>
      <c r="L4179" s="316" t="str">
        <f t="shared" si="63"/>
        <v>LPG</v>
      </c>
      <c r="M4179" s="8"/>
      <c r="N4179" s="2"/>
      <c r="O4179" s="2"/>
      <c r="P4179" s="2"/>
      <c r="Q4179" s="2"/>
      <c r="R4179" s="2"/>
      <c r="S4179" s="2"/>
      <c r="T4179" s="2"/>
      <c r="U4179" s="2"/>
      <c r="V4179" s="2"/>
      <c r="W4179" s="2"/>
      <c r="X4179" s="2"/>
      <c r="Y4179" s="2"/>
      <c r="Z4179" s="2"/>
    </row>
    <row r="4180" spans="1:26" ht="12.75" x14ac:dyDescent="0.2">
      <c r="A4180" s="230"/>
      <c r="B4180" s="18">
        <v>2023</v>
      </c>
      <c r="C4180" s="18" t="s">
        <v>760</v>
      </c>
      <c r="D4180" s="18" t="s">
        <v>1715</v>
      </c>
      <c r="E4180" s="18" t="s">
        <v>703</v>
      </c>
      <c r="F4180" s="18" t="s">
        <v>805</v>
      </c>
      <c r="G4180" s="18" t="s">
        <v>677</v>
      </c>
      <c r="H4180" s="18" t="s">
        <v>1031</v>
      </c>
      <c r="I4180" s="315">
        <v>0.43938875739330191</v>
      </c>
      <c r="J4180" s="315">
        <v>9.8177215630532557E-4</v>
      </c>
      <c r="K4180" s="316" t="str">
        <f t="shared" si="62"/>
        <v>Commercial Equipment</v>
      </c>
      <c r="L4180" s="316" t="str">
        <f t="shared" si="63"/>
        <v>Gasoline</v>
      </c>
      <c r="M4180" s="8"/>
      <c r="N4180" s="2"/>
      <c r="O4180" s="2"/>
      <c r="P4180" s="2"/>
      <c r="Q4180" s="2"/>
      <c r="R4180" s="2"/>
      <c r="S4180" s="2"/>
      <c r="T4180" s="2"/>
      <c r="U4180" s="2"/>
      <c r="V4180" s="2"/>
      <c r="W4180" s="2"/>
      <c r="X4180" s="2"/>
      <c r="Y4180" s="2"/>
      <c r="Z4180" s="2"/>
    </row>
    <row r="4181" spans="1:26" ht="12.75" x14ac:dyDescent="0.2">
      <c r="A4181" s="230"/>
      <c r="B4181" s="18">
        <v>2023</v>
      </c>
      <c r="C4181" s="18" t="s">
        <v>786</v>
      </c>
      <c r="D4181" s="18" t="s">
        <v>1416</v>
      </c>
      <c r="E4181" s="18" t="s">
        <v>56</v>
      </c>
      <c r="F4181" s="18" t="s">
        <v>672</v>
      </c>
      <c r="G4181" s="18" t="s">
        <v>674</v>
      </c>
      <c r="H4181" s="18" t="s">
        <v>861</v>
      </c>
      <c r="I4181" s="315">
        <v>0.43856416582800983</v>
      </c>
      <c r="J4181" s="315">
        <v>2.9623433471278107E-4</v>
      </c>
      <c r="K4181" s="316" t="str">
        <f t="shared" si="62"/>
        <v>Construction and Mining Equipment</v>
      </c>
      <c r="L4181" s="316" t="str">
        <f t="shared" si="63"/>
        <v>LPG</v>
      </c>
      <c r="M4181" s="8"/>
      <c r="N4181" s="2"/>
      <c r="O4181" s="2"/>
      <c r="P4181" s="2"/>
      <c r="Q4181" s="2"/>
      <c r="R4181" s="2"/>
      <c r="S4181" s="2"/>
      <c r="T4181" s="2"/>
      <c r="U4181" s="2"/>
      <c r="V4181" s="2"/>
      <c r="W4181" s="2"/>
      <c r="X4181" s="2"/>
      <c r="Y4181" s="2"/>
      <c r="Z4181" s="2"/>
    </row>
    <row r="4182" spans="1:26" ht="12.75" x14ac:dyDescent="0.2">
      <c r="A4182" s="230"/>
      <c r="B4182" s="18">
        <v>2023</v>
      </c>
      <c r="C4182" s="18" t="s">
        <v>743</v>
      </c>
      <c r="D4182" s="18" t="s">
        <v>1663</v>
      </c>
      <c r="E4182" s="18" t="s">
        <v>713</v>
      </c>
      <c r="F4182" s="18" t="s">
        <v>714</v>
      </c>
      <c r="G4182" s="18" t="s">
        <v>674</v>
      </c>
      <c r="H4182" s="18" t="s">
        <v>1082</v>
      </c>
      <c r="I4182" s="315">
        <v>0.43379944651421776</v>
      </c>
      <c r="J4182" s="315">
        <v>5.150107515384803E-5</v>
      </c>
      <c r="K4182" s="316" t="str">
        <f t="shared" si="62"/>
        <v>Construction and Mining Equipment</v>
      </c>
      <c r="L4182" s="316" t="str">
        <f t="shared" si="63"/>
        <v>Diesel</v>
      </c>
      <c r="M4182" s="8"/>
      <c r="N4182" s="2"/>
      <c r="O4182" s="2"/>
      <c r="P4182" s="2"/>
      <c r="Q4182" s="2"/>
      <c r="R4182" s="2"/>
      <c r="S4182" s="2"/>
      <c r="T4182" s="2"/>
      <c r="U4182" s="2"/>
      <c r="V4182" s="2"/>
      <c r="W4182" s="2"/>
      <c r="X4182" s="2"/>
      <c r="Y4182" s="2"/>
      <c r="Z4182" s="2"/>
    </row>
    <row r="4183" spans="1:26" ht="12.75" x14ac:dyDescent="0.2">
      <c r="A4183" s="230"/>
      <c r="B4183" s="18">
        <v>2023</v>
      </c>
      <c r="C4183" s="18" t="s">
        <v>810</v>
      </c>
      <c r="D4183" s="18" t="s">
        <v>1457</v>
      </c>
      <c r="E4183" s="18" t="s">
        <v>56</v>
      </c>
      <c r="F4183" s="18" t="s">
        <v>601</v>
      </c>
      <c r="G4183" s="18" t="s">
        <v>675</v>
      </c>
      <c r="H4183" s="18" t="s">
        <v>772</v>
      </c>
      <c r="I4183" s="315">
        <v>0.43336689333916278</v>
      </c>
      <c r="J4183" s="315">
        <v>1.7677107160222012E-3</v>
      </c>
      <c r="K4183" s="316" t="str">
        <f t="shared" si="62"/>
        <v>Industrial Equipment</v>
      </c>
      <c r="L4183" s="316" t="str">
        <f t="shared" si="63"/>
        <v>CNG</v>
      </c>
      <c r="M4183" s="8"/>
      <c r="N4183" s="2"/>
      <c r="O4183" s="2"/>
      <c r="P4183" s="2"/>
      <c r="Q4183" s="2"/>
      <c r="R4183" s="2"/>
      <c r="S4183" s="2"/>
      <c r="T4183" s="2"/>
      <c r="U4183" s="2"/>
      <c r="V4183" s="2"/>
      <c r="W4183" s="2"/>
      <c r="X4183" s="2"/>
      <c r="Y4183" s="2"/>
      <c r="Z4183" s="2"/>
    </row>
    <row r="4184" spans="1:26" ht="12.75" x14ac:dyDescent="0.2">
      <c r="A4184" s="230"/>
      <c r="B4184" s="18">
        <v>2023</v>
      </c>
      <c r="C4184" s="18" t="s">
        <v>810</v>
      </c>
      <c r="D4184" s="18" t="s">
        <v>1580</v>
      </c>
      <c r="E4184" s="18" t="s">
        <v>56</v>
      </c>
      <c r="F4184" s="18" t="s">
        <v>672</v>
      </c>
      <c r="G4184" s="18" t="s">
        <v>674</v>
      </c>
      <c r="H4184" s="18" t="s">
        <v>736</v>
      </c>
      <c r="I4184" s="315">
        <v>0.42392856803455065</v>
      </c>
      <c r="J4184" s="315">
        <v>1.9474321323189194E-5</v>
      </c>
      <c r="K4184" s="316" t="str">
        <f t="shared" si="62"/>
        <v>Construction and Mining Equipment</v>
      </c>
      <c r="L4184" s="316" t="str">
        <f t="shared" si="63"/>
        <v>LPG</v>
      </c>
      <c r="M4184" s="8"/>
      <c r="N4184" s="2"/>
      <c r="O4184" s="2"/>
      <c r="P4184" s="2"/>
      <c r="Q4184" s="2"/>
      <c r="R4184" s="2"/>
      <c r="S4184" s="2"/>
      <c r="T4184" s="2"/>
      <c r="U4184" s="2"/>
      <c r="V4184" s="2"/>
      <c r="W4184" s="2"/>
      <c r="X4184" s="2"/>
      <c r="Y4184" s="2"/>
      <c r="Z4184" s="2"/>
    </row>
    <row r="4185" spans="1:26" ht="12.75" x14ac:dyDescent="0.2">
      <c r="A4185" s="230"/>
      <c r="B4185" s="18">
        <v>2023</v>
      </c>
      <c r="C4185" s="18" t="s">
        <v>731</v>
      </c>
      <c r="D4185" s="18" t="s">
        <v>1425</v>
      </c>
      <c r="E4185" s="18" t="s">
        <v>56</v>
      </c>
      <c r="F4185" s="18" t="s">
        <v>672</v>
      </c>
      <c r="G4185" s="18" t="s">
        <v>674</v>
      </c>
      <c r="H4185" s="18" t="s">
        <v>791</v>
      </c>
      <c r="I4185" s="315">
        <v>0.42308166839027994</v>
      </c>
      <c r="J4185" s="315">
        <v>8.1329973918843135E-5</v>
      </c>
      <c r="K4185" s="316" t="str">
        <f t="shared" si="62"/>
        <v>Construction and Mining Equipment</v>
      </c>
      <c r="L4185" s="316" t="str">
        <f t="shared" si="63"/>
        <v>LPG</v>
      </c>
      <c r="M4185" s="8"/>
      <c r="N4185" s="2"/>
      <c r="O4185" s="2"/>
      <c r="P4185" s="2"/>
      <c r="Q4185" s="2"/>
      <c r="R4185" s="2"/>
      <c r="S4185" s="2"/>
      <c r="T4185" s="2"/>
      <c r="U4185" s="2"/>
      <c r="V4185" s="2"/>
      <c r="W4185" s="2"/>
      <c r="X4185" s="2"/>
      <c r="Y4185" s="2"/>
      <c r="Z4185" s="2"/>
    </row>
    <row r="4186" spans="1:26" ht="12.75" x14ac:dyDescent="0.2">
      <c r="A4186" s="230"/>
      <c r="B4186" s="18">
        <v>2023</v>
      </c>
      <c r="C4186" s="18" t="s">
        <v>743</v>
      </c>
      <c r="D4186" s="18" t="s">
        <v>1838</v>
      </c>
      <c r="E4186" s="18" t="s">
        <v>713</v>
      </c>
      <c r="F4186" s="18" t="s">
        <v>714</v>
      </c>
      <c r="G4186" s="18" t="s">
        <v>678</v>
      </c>
      <c r="H4186" s="18" t="s">
        <v>1745</v>
      </c>
      <c r="I4186" s="315">
        <v>0.42098953315934828</v>
      </c>
      <c r="J4186" s="315">
        <v>3.0466025225560549E-6</v>
      </c>
      <c r="K4186" s="316" t="str">
        <f t="shared" si="62"/>
        <v>Agricultural Equipment</v>
      </c>
      <c r="L4186" s="316" t="str">
        <f t="shared" si="63"/>
        <v>Diesel</v>
      </c>
      <c r="M4186" s="8"/>
      <c r="N4186" s="2"/>
      <c r="O4186" s="2"/>
      <c r="P4186" s="2"/>
      <c r="Q4186" s="2"/>
      <c r="R4186" s="2"/>
      <c r="S4186" s="2"/>
      <c r="T4186" s="2"/>
      <c r="U4186" s="2"/>
      <c r="V4186" s="2"/>
      <c r="W4186" s="2"/>
      <c r="X4186" s="2"/>
      <c r="Y4186" s="2"/>
      <c r="Z4186" s="2"/>
    </row>
    <row r="4187" spans="1:26" ht="12.75" x14ac:dyDescent="0.2">
      <c r="A4187" s="230"/>
      <c r="B4187" s="18">
        <v>2023</v>
      </c>
      <c r="C4187" s="18" t="s">
        <v>786</v>
      </c>
      <c r="D4187" s="18" t="s">
        <v>1425</v>
      </c>
      <c r="E4187" s="18" t="s">
        <v>56</v>
      </c>
      <c r="F4187" s="18" t="s">
        <v>672</v>
      </c>
      <c r="G4187" s="18" t="s">
        <v>674</v>
      </c>
      <c r="H4187" s="18" t="s">
        <v>791</v>
      </c>
      <c r="I4187" s="315">
        <v>0.42020021081278391</v>
      </c>
      <c r="J4187" s="315">
        <v>8.0776026063700921E-5</v>
      </c>
      <c r="K4187" s="316" t="str">
        <f t="shared" si="62"/>
        <v>Construction and Mining Equipment</v>
      </c>
      <c r="L4187" s="316" t="str">
        <f t="shared" si="63"/>
        <v>LPG</v>
      </c>
      <c r="M4187" s="8"/>
      <c r="N4187" s="2"/>
      <c r="O4187" s="2"/>
      <c r="P4187" s="2"/>
      <c r="Q4187" s="2"/>
      <c r="R4187" s="2"/>
      <c r="S4187" s="2"/>
      <c r="T4187" s="2"/>
      <c r="U4187" s="2"/>
      <c r="V4187" s="2"/>
      <c r="W4187" s="2"/>
      <c r="X4187" s="2"/>
      <c r="Y4187" s="2"/>
      <c r="Z4187" s="2"/>
    </row>
    <row r="4188" spans="1:26" ht="12.75" x14ac:dyDescent="0.2">
      <c r="A4188" s="230"/>
      <c r="B4188" s="18">
        <v>2023</v>
      </c>
      <c r="C4188" s="18" t="s">
        <v>810</v>
      </c>
      <c r="D4188" s="18" t="s">
        <v>1583</v>
      </c>
      <c r="E4188" s="18" t="s">
        <v>703</v>
      </c>
      <c r="F4188" s="18" t="s">
        <v>805</v>
      </c>
      <c r="G4188" s="18" t="s">
        <v>674</v>
      </c>
      <c r="H4188" s="18" t="s">
        <v>1036</v>
      </c>
      <c r="I4188" s="315">
        <v>0.41837158480290637</v>
      </c>
      <c r="J4188" s="315">
        <v>8.6587748568969162E-4</v>
      </c>
      <c r="K4188" s="316" t="str">
        <f t="shared" si="62"/>
        <v>Construction and Mining Equipment</v>
      </c>
      <c r="L4188" s="316" t="str">
        <f t="shared" si="63"/>
        <v>Gasoline</v>
      </c>
      <c r="M4188" s="8"/>
      <c r="N4188" s="2"/>
      <c r="O4188" s="2"/>
      <c r="P4188" s="2"/>
      <c r="Q4188" s="2"/>
      <c r="R4188" s="2"/>
      <c r="S4188" s="2"/>
      <c r="T4188" s="2"/>
      <c r="U4188" s="2"/>
      <c r="V4188" s="2"/>
      <c r="W4188" s="2"/>
      <c r="X4188" s="2"/>
      <c r="Y4188" s="2"/>
      <c r="Z4188" s="2"/>
    </row>
    <row r="4189" spans="1:26" ht="12.75" x14ac:dyDescent="0.2">
      <c r="A4189" s="230"/>
      <c r="B4189" s="18">
        <v>2023</v>
      </c>
      <c r="C4189" s="18" t="s">
        <v>786</v>
      </c>
      <c r="D4189" s="18" t="s">
        <v>1445</v>
      </c>
      <c r="E4189" s="18" t="s">
        <v>56</v>
      </c>
      <c r="F4189" s="18" t="s">
        <v>601</v>
      </c>
      <c r="G4189" s="18" t="s">
        <v>677</v>
      </c>
      <c r="H4189" s="18" t="s">
        <v>841</v>
      </c>
      <c r="I4189" s="315">
        <v>0.41823665736379445</v>
      </c>
      <c r="J4189" s="315">
        <v>4.5439779090043573E-3</v>
      </c>
      <c r="K4189" s="316" t="str">
        <f t="shared" si="62"/>
        <v>Commercial Equipment</v>
      </c>
      <c r="L4189" s="316" t="str">
        <f t="shared" si="63"/>
        <v>CNG</v>
      </c>
      <c r="M4189" s="8"/>
      <c r="N4189" s="2"/>
      <c r="O4189" s="2"/>
      <c r="P4189" s="2"/>
      <c r="Q4189" s="2"/>
      <c r="R4189" s="2"/>
      <c r="S4189" s="2"/>
      <c r="T4189" s="2"/>
      <c r="U4189" s="2"/>
      <c r="V4189" s="2"/>
      <c r="W4189" s="2"/>
      <c r="X4189" s="2"/>
      <c r="Y4189" s="2"/>
      <c r="Z4189" s="2"/>
    </row>
    <row r="4190" spans="1:26" ht="12.75" x14ac:dyDescent="0.2">
      <c r="A4190" s="230"/>
      <c r="B4190" s="18">
        <v>2023</v>
      </c>
      <c r="C4190" s="18" t="s">
        <v>727</v>
      </c>
      <c r="D4190" s="18" t="s">
        <v>1588</v>
      </c>
      <c r="E4190" s="18" t="s">
        <v>56</v>
      </c>
      <c r="F4190" s="18" t="s">
        <v>1575</v>
      </c>
      <c r="G4190" s="18" t="s">
        <v>675</v>
      </c>
      <c r="H4190" s="18" t="s">
        <v>1589</v>
      </c>
      <c r="I4190" s="315">
        <v>0.4164280100063501</v>
      </c>
      <c r="J4190" s="315">
        <v>1.7524771309396373E-3</v>
      </c>
      <c r="K4190" s="316" t="str">
        <f t="shared" si="62"/>
        <v>Industrial Equipment</v>
      </c>
      <c r="L4190" s="316" t="str">
        <f t="shared" si="63"/>
        <v>CNG</v>
      </c>
      <c r="M4190" s="8"/>
      <c r="N4190" s="2"/>
      <c r="O4190" s="2"/>
      <c r="P4190" s="2"/>
      <c r="Q4190" s="2"/>
      <c r="R4190" s="2"/>
      <c r="S4190" s="2"/>
      <c r="T4190" s="2"/>
      <c r="U4190" s="2"/>
      <c r="V4190" s="2"/>
      <c r="W4190" s="2"/>
      <c r="X4190" s="2"/>
      <c r="Y4190" s="2"/>
      <c r="Z4190" s="2"/>
    </row>
    <row r="4191" spans="1:26" ht="12.75" x14ac:dyDescent="0.2">
      <c r="A4191" s="230"/>
      <c r="B4191" s="18">
        <v>2023</v>
      </c>
      <c r="C4191" s="18" t="s">
        <v>759</v>
      </c>
      <c r="D4191" s="18" t="s">
        <v>1295</v>
      </c>
      <c r="E4191" s="18" t="s">
        <v>703</v>
      </c>
      <c r="F4191" s="18" t="s">
        <v>704</v>
      </c>
      <c r="G4191" s="18" t="s">
        <v>674</v>
      </c>
      <c r="H4191" s="18" t="s">
        <v>859</v>
      </c>
      <c r="I4191" s="315">
        <v>0.41581706247315775</v>
      </c>
      <c r="J4191" s="315">
        <v>1.3378796635385781E-4</v>
      </c>
      <c r="K4191" s="316" t="str">
        <f t="shared" si="62"/>
        <v>Construction and Mining Equipment</v>
      </c>
      <c r="L4191" s="316" t="str">
        <f t="shared" si="63"/>
        <v>Gasoline</v>
      </c>
      <c r="M4191" s="8"/>
      <c r="N4191" s="2"/>
      <c r="O4191" s="2"/>
      <c r="P4191" s="2"/>
      <c r="Q4191" s="2"/>
      <c r="R4191" s="2"/>
      <c r="S4191" s="2"/>
      <c r="T4191" s="2"/>
      <c r="U4191" s="2"/>
      <c r="V4191" s="2"/>
      <c r="W4191" s="2"/>
      <c r="X4191" s="2"/>
      <c r="Y4191" s="2"/>
      <c r="Z4191" s="2"/>
    </row>
    <row r="4192" spans="1:26" ht="12.75" x14ac:dyDescent="0.2">
      <c r="A4192" s="230"/>
      <c r="B4192" s="18">
        <v>2023</v>
      </c>
      <c r="C4192" s="18" t="s">
        <v>732</v>
      </c>
      <c r="D4192" s="18" t="s">
        <v>1730</v>
      </c>
      <c r="E4192" s="18" t="s">
        <v>703</v>
      </c>
      <c r="F4192" s="18" t="s">
        <v>805</v>
      </c>
      <c r="G4192" s="18" t="s">
        <v>674</v>
      </c>
      <c r="H4192" s="18" t="s">
        <v>959</v>
      </c>
      <c r="I4192" s="315">
        <v>0.41548925746653143</v>
      </c>
      <c r="J4192" s="315">
        <v>9.2837187151508752E-4</v>
      </c>
      <c r="K4192" s="316" t="str">
        <f t="shared" si="62"/>
        <v>Construction and Mining Equipment</v>
      </c>
      <c r="L4192" s="316" t="str">
        <f t="shared" si="63"/>
        <v>Gasoline</v>
      </c>
      <c r="M4192" s="8"/>
      <c r="N4192" s="2"/>
      <c r="O4192" s="2"/>
      <c r="P4192" s="2"/>
      <c r="Q4192" s="2"/>
      <c r="R4192" s="2"/>
      <c r="S4192" s="2"/>
      <c r="T4192" s="2"/>
      <c r="U4192" s="2"/>
      <c r="V4192" s="2"/>
      <c r="W4192" s="2"/>
      <c r="X4192" s="2"/>
      <c r="Y4192" s="2"/>
      <c r="Z4192" s="2"/>
    </row>
    <row r="4193" spans="1:26" ht="12.75" x14ac:dyDescent="0.2">
      <c r="A4193" s="230"/>
      <c r="B4193" s="18">
        <v>2023</v>
      </c>
      <c r="C4193" s="18" t="s">
        <v>722</v>
      </c>
      <c r="D4193" s="18" t="s">
        <v>1320</v>
      </c>
      <c r="E4193" s="18" t="s">
        <v>713</v>
      </c>
      <c r="F4193" s="18" t="s">
        <v>676</v>
      </c>
      <c r="G4193" s="18" t="s">
        <v>79</v>
      </c>
      <c r="H4193" s="18" t="s">
        <v>730</v>
      </c>
      <c r="I4193" s="315">
        <v>0.40948203866923572</v>
      </c>
      <c r="J4193" s="315">
        <v>2.6774675617973735E-5</v>
      </c>
      <c r="K4193" s="316" t="str">
        <f t="shared" si="62"/>
        <v>Pleasure Craft</v>
      </c>
      <c r="L4193" s="316" t="str">
        <f t="shared" si="63"/>
        <v>Diesel</v>
      </c>
      <c r="M4193" s="8"/>
      <c r="N4193" s="2"/>
      <c r="O4193" s="2"/>
      <c r="P4193" s="2"/>
      <c r="Q4193" s="2"/>
      <c r="R4193" s="2"/>
      <c r="S4193" s="2"/>
      <c r="T4193" s="2"/>
      <c r="U4193" s="2"/>
      <c r="V4193" s="2"/>
      <c r="W4193" s="2"/>
      <c r="X4193" s="2"/>
      <c r="Y4193" s="2"/>
      <c r="Z4193" s="2"/>
    </row>
    <row r="4194" spans="1:26" ht="12.75" x14ac:dyDescent="0.2">
      <c r="A4194" s="230"/>
      <c r="B4194" s="18">
        <v>2023</v>
      </c>
      <c r="C4194" s="18" t="s">
        <v>781</v>
      </c>
      <c r="D4194" s="18" t="s">
        <v>1360</v>
      </c>
      <c r="E4194" s="18" t="s">
        <v>713</v>
      </c>
      <c r="F4194" s="18" t="s">
        <v>714</v>
      </c>
      <c r="G4194" s="18" t="s">
        <v>674</v>
      </c>
      <c r="H4194" s="18" t="s">
        <v>1220</v>
      </c>
      <c r="I4194" s="315">
        <v>0.40926702300080853</v>
      </c>
      <c r="J4194" s="315">
        <v>1.8205783204684527E-5</v>
      </c>
      <c r="K4194" s="316" t="str">
        <f t="shared" si="62"/>
        <v>Construction and Mining Equipment</v>
      </c>
      <c r="L4194" s="316" t="str">
        <f t="shared" si="63"/>
        <v>Diesel</v>
      </c>
      <c r="M4194" s="8"/>
      <c r="N4194" s="2"/>
      <c r="O4194" s="2"/>
      <c r="P4194" s="2"/>
      <c r="Q4194" s="2"/>
      <c r="R4194" s="2"/>
      <c r="S4194" s="2"/>
      <c r="T4194" s="2"/>
      <c r="U4194" s="2"/>
      <c r="V4194" s="2"/>
      <c r="W4194" s="2"/>
      <c r="X4194" s="2"/>
      <c r="Y4194" s="2"/>
      <c r="Z4194" s="2"/>
    </row>
    <row r="4195" spans="1:26" ht="12.75" x14ac:dyDescent="0.2">
      <c r="A4195" s="230"/>
      <c r="B4195" s="18">
        <v>2023</v>
      </c>
      <c r="C4195" s="18" t="s">
        <v>792</v>
      </c>
      <c r="D4195" s="18" t="s">
        <v>1435</v>
      </c>
      <c r="E4195" s="18" t="s">
        <v>56</v>
      </c>
      <c r="F4195" s="18" t="s">
        <v>672</v>
      </c>
      <c r="G4195" s="18" t="s">
        <v>674</v>
      </c>
      <c r="H4195" s="18" t="s">
        <v>863</v>
      </c>
      <c r="I4195" s="315">
        <v>0.40911272410894478</v>
      </c>
      <c r="J4195" s="315">
        <v>2.7245181174597183E-5</v>
      </c>
      <c r="K4195" s="316" t="str">
        <f t="shared" si="62"/>
        <v>Construction and Mining Equipment</v>
      </c>
      <c r="L4195" s="316" t="str">
        <f t="shared" si="63"/>
        <v>LPG</v>
      </c>
      <c r="M4195" s="8"/>
      <c r="N4195" s="2"/>
      <c r="O4195" s="2"/>
      <c r="P4195" s="2"/>
      <c r="Q4195" s="2"/>
      <c r="R4195" s="2"/>
      <c r="S4195" s="2"/>
      <c r="T4195" s="2"/>
      <c r="U4195" s="2"/>
      <c r="V4195" s="2"/>
      <c r="W4195" s="2"/>
      <c r="X4195" s="2"/>
      <c r="Y4195" s="2"/>
      <c r="Z4195" s="2"/>
    </row>
    <row r="4196" spans="1:26" ht="12.75" x14ac:dyDescent="0.2">
      <c r="A4196" s="230"/>
      <c r="B4196" s="18">
        <v>2023</v>
      </c>
      <c r="C4196" s="18" t="s">
        <v>781</v>
      </c>
      <c r="D4196" s="18" t="s">
        <v>1617</v>
      </c>
      <c r="E4196" s="18" t="s">
        <v>703</v>
      </c>
      <c r="F4196" s="18" t="s">
        <v>805</v>
      </c>
      <c r="G4196" s="18" t="s">
        <v>675</v>
      </c>
      <c r="H4196" s="18" t="s">
        <v>802</v>
      </c>
      <c r="I4196" s="315">
        <v>0.4089371989963716</v>
      </c>
      <c r="J4196" s="315">
        <v>9.1373471623026653E-4</v>
      </c>
      <c r="K4196" s="316" t="str">
        <f t="shared" si="62"/>
        <v>Industrial Equipment</v>
      </c>
      <c r="L4196" s="316" t="str">
        <f t="shared" si="63"/>
        <v>Gasoline</v>
      </c>
      <c r="M4196" s="8"/>
      <c r="N4196" s="2"/>
      <c r="O4196" s="2"/>
      <c r="P4196" s="2"/>
      <c r="Q4196" s="2"/>
      <c r="R4196" s="2"/>
      <c r="S4196" s="2"/>
      <c r="T4196" s="2"/>
      <c r="U4196" s="2"/>
      <c r="V4196" s="2"/>
      <c r="W4196" s="2"/>
      <c r="X4196" s="2"/>
      <c r="Y4196" s="2"/>
      <c r="Z4196" s="2"/>
    </row>
    <row r="4197" spans="1:26" x14ac:dyDescent="0.25">
      <c r="A4197" s="314"/>
      <c r="B4197" s="18">
        <v>2023</v>
      </c>
      <c r="C4197" s="18" t="s">
        <v>711</v>
      </c>
      <c r="D4197" s="18" t="s">
        <v>1825</v>
      </c>
      <c r="E4197" s="18" t="s">
        <v>56</v>
      </c>
      <c r="F4197" s="18" t="s">
        <v>601</v>
      </c>
      <c r="G4197" s="18" t="s">
        <v>674</v>
      </c>
      <c r="H4197" s="18" t="s">
        <v>859</v>
      </c>
      <c r="I4197" s="315">
        <v>0.40799792453394584</v>
      </c>
      <c r="J4197" s="315">
        <v>8.7663672262680396E-3</v>
      </c>
      <c r="K4197" s="316" t="str">
        <f t="shared" si="62"/>
        <v>Construction and Mining Equipment</v>
      </c>
      <c r="L4197" s="316" t="str">
        <f t="shared" si="63"/>
        <v>CNG</v>
      </c>
      <c r="M4197" s="194"/>
      <c r="N4197" s="317"/>
      <c r="O4197" s="317"/>
      <c r="P4197" s="317"/>
      <c r="Q4197" s="317"/>
      <c r="R4197" s="317"/>
      <c r="S4197" s="317"/>
      <c r="T4197" s="317"/>
      <c r="U4197" s="317"/>
      <c r="V4197" s="317"/>
      <c r="W4197" s="317"/>
      <c r="X4197" s="317"/>
      <c r="Y4197" s="317"/>
      <c r="Z4197" s="317"/>
    </row>
    <row r="4198" spans="1:26" x14ac:dyDescent="0.25">
      <c r="A4198" s="314"/>
      <c r="B4198" s="18">
        <v>2023</v>
      </c>
      <c r="C4198" s="18" t="s">
        <v>727</v>
      </c>
      <c r="D4198" s="18" t="s">
        <v>1840</v>
      </c>
      <c r="E4198" s="18" t="s">
        <v>703</v>
      </c>
      <c r="F4198" s="18" t="s">
        <v>704</v>
      </c>
      <c r="G4198" s="18" t="s">
        <v>681</v>
      </c>
      <c r="H4198" s="18" t="s">
        <v>895</v>
      </c>
      <c r="I4198" s="315">
        <v>0.40672371637243393</v>
      </c>
      <c r="J4198" s="315">
        <v>3.1772264983769547E-4</v>
      </c>
      <c r="K4198" s="316" t="str">
        <f t="shared" si="62"/>
        <v>Logging Equipment</v>
      </c>
      <c r="L4198" s="316" t="str">
        <f t="shared" si="63"/>
        <v>Gasoline</v>
      </c>
      <c r="M4198" s="194"/>
      <c r="N4198" s="317"/>
      <c r="O4198" s="317"/>
      <c r="P4198" s="317"/>
      <c r="Q4198" s="317"/>
      <c r="R4198" s="317"/>
      <c r="S4198" s="317"/>
      <c r="T4198" s="317"/>
      <c r="U4198" s="317"/>
      <c r="V4198" s="317"/>
      <c r="W4198" s="317"/>
      <c r="X4198" s="317"/>
      <c r="Y4198" s="317"/>
      <c r="Z4198" s="317"/>
    </row>
    <row r="4199" spans="1:26" x14ac:dyDescent="0.25">
      <c r="A4199" s="314"/>
      <c r="B4199" s="18">
        <v>2023</v>
      </c>
      <c r="C4199" s="18" t="s">
        <v>781</v>
      </c>
      <c r="D4199" s="18" t="s">
        <v>1361</v>
      </c>
      <c r="E4199" s="18" t="s">
        <v>56</v>
      </c>
      <c r="F4199" s="18" t="s">
        <v>672</v>
      </c>
      <c r="G4199" s="18" t="s">
        <v>674</v>
      </c>
      <c r="H4199" s="18" t="s">
        <v>783</v>
      </c>
      <c r="I4199" s="315">
        <v>0.40425199417968055</v>
      </c>
      <c r="J4199" s="315">
        <v>1.8557779509414992E-5</v>
      </c>
      <c r="K4199" s="316" t="str">
        <f t="shared" si="62"/>
        <v>Construction and Mining Equipment</v>
      </c>
      <c r="L4199" s="316" t="str">
        <f t="shared" si="63"/>
        <v>LPG</v>
      </c>
      <c r="M4199" s="194"/>
      <c r="N4199" s="317"/>
      <c r="O4199" s="317"/>
      <c r="P4199" s="317"/>
      <c r="Q4199" s="317"/>
      <c r="R4199" s="317"/>
      <c r="S4199" s="317"/>
      <c r="T4199" s="317"/>
      <c r="U4199" s="317"/>
      <c r="V4199" s="317"/>
      <c r="W4199" s="317"/>
      <c r="X4199" s="317"/>
      <c r="Y4199" s="317"/>
      <c r="Z4199" s="317"/>
    </row>
    <row r="4200" spans="1:26" x14ac:dyDescent="0.25">
      <c r="A4200" s="314"/>
      <c r="B4200" s="18">
        <v>2023</v>
      </c>
      <c r="C4200" s="18" t="s">
        <v>778</v>
      </c>
      <c r="D4200" s="18" t="s">
        <v>1840</v>
      </c>
      <c r="E4200" s="18" t="s">
        <v>703</v>
      </c>
      <c r="F4200" s="18" t="s">
        <v>704</v>
      </c>
      <c r="G4200" s="18" t="s">
        <v>681</v>
      </c>
      <c r="H4200" s="18" t="s">
        <v>895</v>
      </c>
      <c r="I4200" s="315">
        <v>0.40419751582058122</v>
      </c>
      <c r="J4200" s="315">
        <v>3.1650045377750889E-4</v>
      </c>
      <c r="K4200" s="316" t="str">
        <f t="shared" si="62"/>
        <v>Logging Equipment</v>
      </c>
      <c r="L4200" s="316" t="str">
        <f t="shared" si="63"/>
        <v>Gasoline</v>
      </c>
      <c r="M4200" s="194"/>
      <c r="N4200" s="317"/>
      <c r="O4200" s="317"/>
      <c r="P4200" s="317"/>
      <c r="Q4200" s="317"/>
      <c r="R4200" s="317"/>
      <c r="S4200" s="317"/>
      <c r="T4200" s="317"/>
      <c r="U4200" s="317"/>
      <c r="V4200" s="317"/>
      <c r="W4200" s="317"/>
      <c r="X4200" s="317"/>
      <c r="Y4200" s="317"/>
      <c r="Z4200" s="317"/>
    </row>
    <row r="4201" spans="1:26" x14ac:dyDescent="0.25">
      <c r="A4201" s="314"/>
      <c r="B4201" s="18">
        <v>2023</v>
      </c>
      <c r="C4201" s="18" t="s">
        <v>743</v>
      </c>
      <c r="D4201" s="18" t="s">
        <v>1679</v>
      </c>
      <c r="E4201" s="18" t="s">
        <v>56</v>
      </c>
      <c r="F4201" s="18" t="s">
        <v>672</v>
      </c>
      <c r="G4201" s="18" t="s">
        <v>674</v>
      </c>
      <c r="H4201" s="18" t="s">
        <v>959</v>
      </c>
      <c r="I4201" s="315">
        <v>0.40060718070426971</v>
      </c>
      <c r="J4201" s="315">
        <v>6.80489091359139E-5</v>
      </c>
      <c r="K4201" s="316" t="str">
        <f t="shared" si="62"/>
        <v>Construction and Mining Equipment</v>
      </c>
      <c r="L4201" s="316" t="str">
        <f t="shared" si="63"/>
        <v>LPG</v>
      </c>
      <c r="M4201" s="194"/>
      <c r="N4201" s="317"/>
      <c r="O4201" s="317"/>
      <c r="P4201" s="317"/>
      <c r="Q4201" s="317"/>
      <c r="R4201" s="317"/>
      <c r="S4201" s="317"/>
      <c r="T4201" s="317"/>
      <c r="U4201" s="317"/>
      <c r="V4201" s="317"/>
      <c r="W4201" s="317"/>
      <c r="X4201" s="317"/>
      <c r="Y4201" s="317"/>
      <c r="Z4201" s="317"/>
    </row>
    <row r="4202" spans="1:26" x14ac:dyDescent="0.25">
      <c r="A4202" s="314"/>
      <c r="B4202" s="18">
        <v>2023</v>
      </c>
      <c r="C4202" s="18" t="s">
        <v>787</v>
      </c>
      <c r="D4202" s="18" t="s">
        <v>1394</v>
      </c>
      <c r="E4202" s="18" t="s">
        <v>703</v>
      </c>
      <c r="F4202" s="18" t="s">
        <v>805</v>
      </c>
      <c r="G4202" s="18" t="s">
        <v>681</v>
      </c>
      <c r="H4202" s="18" t="s">
        <v>1395</v>
      </c>
      <c r="I4202" s="315">
        <v>0.39991712810485286</v>
      </c>
      <c r="J4202" s="315">
        <v>6.9270149948583962E-4</v>
      </c>
      <c r="K4202" s="316" t="str">
        <f t="shared" si="62"/>
        <v>Logging Equipment</v>
      </c>
      <c r="L4202" s="316" t="str">
        <f t="shared" si="63"/>
        <v>Gasoline</v>
      </c>
      <c r="M4202" s="194"/>
      <c r="N4202" s="317"/>
      <c r="O4202" s="317"/>
      <c r="P4202" s="317"/>
      <c r="Q4202" s="317"/>
      <c r="R4202" s="317"/>
      <c r="S4202" s="317"/>
      <c r="T4202" s="317"/>
      <c r="U4202" s="317"/>
      <c r="V4202" s="317"/>
      <c r="W4202" s="317"/>
      <c r="X4202" s="317"/>
      <c r="Y4202" s="317"/>
      <c r="Z4202" s="317"/>
    </row>
    <row r="4203" spans="1:26" x14ac:dyDescent="0.25">
      <c r="A4203" s="314"/>
      <c r="B4203" s="18">
        <v>2023</v>
      </c>
      <c r="C4203" s="18" t="s">
        <v>762</v>
      </c>
      <c r="D4203" s="18" t="s">
        <v>1483</v>
      </c>
      <c r="E4203" s="18" t="s">
        <v>703</v>
      </c>
      <c r="F4203" s="18" t="s">
        <v>805</v>
      </c>
      <c r="G4203" s="18" t="s">
        <v>674</v>
      </c>
      <c r="H4203" s="18" t="s">
        <v>994</v>
      </c>
      <c r="I4203" s="315">
        <v>0.39974221517066211</v>
      </c>
      <c r="J4203" s="315">
        <v>8.3813176996340606E-4</v>
      </c>
      <c r="K4203" s="316" t="str">
        <f t="shared" si="62"/>
        <v>Construction and Mining Equipment</v>
      </c>
      <c r="L4203" s="316" t="str">
        <f t="shared" si="63"/>
        <v>Gasoline</v>
      </c>
      <c r="M4203" s="194"/>
      <c r="N4203" s="317"/>
      <c r="O4203" s="317"/>
      <c r="P4203" s="317"/>
      <c r="Q4203" s="317"/>
      <c r="R4203" s="317"/>
      <c r="S4203" s="317"/>
      <c r="T4203" s="317"/>
      <c r="U4203" s="317"/>
      <c r="V4203" s="317"/>
      <c r="W4203" s="317"/>
      <c r="X4203" s="317"/>
      <c r="Y4203" s="317"/>
      <c r="Z4203" s="317"/>
    </row>
    <row r="4204" spans="1:26" x14ac:dyDescent="0.25">
      <c r="A4204" s="314"/>
      <c r="B4204" s="18">
        <v>2023</v>
      </c>
      <c r="C4204" s="18" t="s">
        <v>781</v>
      </c>
      <c r="D4204" s="18" t="s">
        <v>1362</v>
      </c>
      <c r="E4204" s="18" t="s">
        <v>56</v>
      </c>
      <c r="F4204" s="18" t="s">
        <v>672</v>
      </c>
      <c r="G4204" s="18" t="s">
        <v>674</v>
      </c>
      <c r="H4204" s="18" t="s">
        <v>859</v>
      </c>
      <c r="I4204" s="315">
        <v>0.39942721703133377</v>
      </c>
      <c r="J4204" s="315">
        <v>9.9066437266122511E-5</v>
      </c>
      <c r="K4204" s="316" t="str">
        <f t="shared" si="62"/>
        <v>Construction and Mining Equipment</v>
      </c>
      <c r="L4204" s="316" t="str">
        <f t="shared" si="63"/>
        <v>LPG</v>
      </c>
      <c r="M4204" s="194"/>
      <c r="N4204" s="317"/>
      <c r="O4204" s="317"/>
      <c r="P4204" s="317"/>
      <c r="Q4204" s="317"/>
      <c r="R4204" s="317"/>
      <c r="S4204" s="317"/>
      <c r="T4204" s="317"/>
      <c r="U4204" s="317"/>
      <c r="V4204" s="317"/>
      <c r="W4204" s="317"/>
      <c r="X4204" s="317"/>
      <c r="Y4204" s="317"/>
      <c r="Z4204" s="317"/>
    </row>
    <row r="4205" spans="1:26" x14ac:dyDescent="0.25">
      <c r="A4205" s="314"/>
      <c r="B4205" s="18">
        <v>2023</v>
      </c>
      <c r="C4205" s="18" t="s">
        <v>754</v>
      </c>
      <c r="D4205" s="18" t="s">
        <v>1663</v>
      </c>
      <c r="E4205" s="18" t="s">
        <v>713</v>
      </c>
      <c r="F4205" s="18" t="s">
        <v>714</v>
      </c>
      <c r="G4205" s="18" t="s">
        <v>674</v>
      </c>
      <c r="H4205" s="18" t="s">
        <v>1082</v>
      </c>
      <c r="I4205" s="315">
        <v>0.39781452021003005</v>
      </c>
      <c r="J4205" s="315">
        <v>4.7228857085425631E-5</v>
      </c>
      <c r="K4205" s="316" t="str">
        <f t="shared" si="62"/>
        <v>Construction and Mining Equipment</v>
      </c>
      <c r="L4205" s="316" t="str">
        <f t="shared" si="63"/>
        <v>Diesel</v>
      </c>
      <c r="M4205" s="194"/>
      <c r="N4205" s="317"/>
      <c r="O4205" s="317"/>
      <c r="P4205" s="317"/>
      <c r="Q4205" s="317"/>
      <c r="R4205" s="317"/>
      <c r="S4205" s="317"/>
      <c r="T4205" s="317"/>
      <c r="U4205" s="317"/>
      <c r="V4205" s="317"/>
      <c r="W4205" s="317"/>
      <c r="X4205" s="317"/>
      <c r="Y4205" s="317"/>
      <c r="Z4205" s="317"/>
    </row>
    <row r="4206" spans="1:26" x14ac:dyDescent="0.25">
      <c r="A4206" s="314"/>
      <c r="B4206" s="18">
        <v>2023</v>
      </c>
      <c r="C4206" s="18" t="s">
        <v>773</v>
      </c>
      <c r="D4206" s="18" t="s">
        <v>1830</v>
      </c>
      <c r="E4206" s="18" t="s">
        <v>703</v>
      </c>
      <c r="F4206" s="18" t="s">
        <v>805</v>
      </c>
      <c r="G4206" s="18" t="s">
        <v>678</v>
      </c>
      <c r="H4206" s="18" t="s">
        <v>1222</v>
      </c>
      <c r="I4206" s="315">
        <v>0.39587383201721177</v>
      </c>
      <c r="J4206" s="315">
        <v>6.5035395273801413E-4</v>
      </c>
      <c r="K4206" s="316" t="str">
        <f t="shared" si="62"/>
        <v>Agricultural Equipment</v>
      </c>
      <c r="L4206" s="316" t="str">
        <f t="shared" si="63"/>
        <v>Gasoline</v>
      </c>
      <c r="M4206" s="194"/>
      <c r="N4206" s="317"/>
      <c r="O4206" s="317"/>
      <c r="P4206" s="317"/>
      <c r="Q4206" s="317"/>
      <c r="R4206" s="317"/>
      <c r="S4206" s="317"/>
      <c r="T4206" s="317"/>
      <c r="U4206" s="317"/>
      <c r="V4206" s="317"/>
      <c r="W4206" s="317"/>
      <c r="X4206" s="317"/>
      <c r="Y4206" s="317"/>
      <c r="Z4206" s="317"/>
    </row>
    <row r="4207" spans="1:26" x14ac:dyDescent="0.25">
      <c r="A4207" s="314"/>
      <c r="B4207" s="18">
        <v>2023</v>
      </c>
      <c r="C4207" s="18" t="s">
        <v>781</v>
      </c>
      <c r="D4207" s="18" t="s">
        <v>1366</v>
      </c>
      <c r="E4207" s="18" t="s">
        <v>703</v>
      </c>
      <c r="F4207" s="18" t="s">
        <v>704</v>
      </c>
      <c r="G4207" s="18" t="s">
        <v>674</v>
      </c>
      <c r="H4207" s="18" t="s">
        <v>791</v>
      </c>
      <c r="I4207" s="315">
        <v>0.39134822218556176</v>
      </c>
      <c r="J4207" s="315">
        <v>1.2227938827538812E-4</v>
      </c>
      <c r="K4207" s="316" t="str">
        <f t="shared" si="62"/>
        <v>Construction and Mining Equipment</v>
      </c>
      <c r="L4207" s="316" t="str">
        <f t="shared" si="63"/>
        <v>Gasoline</v>
      </c>
      <c r="M4207" s="194"/>
      <c r="N4207" s="317"/>
      <c r="O4207" s="317"/>
      <c r="P4207" s="317"/>
      <c r="Q4207" s="317"/>
      <c r="R4207" s="317"/>
      <c r="S4207" s="317"/>
      <c r="T4207" s="317"/>
      <c r="U4207" s="317"/>
      <c r="V4207" s="317"/>
      <c r="W4207" s="317"/>
      <c r="X4207" s="317"/>
      <c r="Y4207" s="317"/>
      <c r="Z4207" s="317"/>
    </row>
    <row r="4208" spans="1:26" x14ac:dyDescent="0.25">
      <c r="A4208" s="314"/>
      <c r="B4208" s="18">
        <v>2023</v>
      </c>
      <c r="C4208" s="18" t="s">
        <v>778</v>
      </c>
      <c r="D4208" s="18" t="s">
        <v>1708</v>
      </c>
      <c r="E4208" s="18" t="s">
        <v>703</v>
      </c>
      <c r="F4208" s="18" t="s">
        <v>704</v>
      </c>
      <c r="G4208" s="18" t="s">
        <v>678</v>
      </c>
      <c r="H4208" s="18" t="s">
        <v>1709</v>
      </c>
      <c r="I4208" s="315">
        <v>0.3900437492408132</v>
      </c>
      <c r="J4208" s="315">
        <v>2.6322490361061174E-4</v>
      </c>
      <c r="K4208" s="316" t="str">
        <f t="shared" si="62"/>
        <v>Agricultural Equipment</v>
      </c>
      <c r="L4208" s="316" t="str">
        <f t="shared" si="63"/>
        <v>Gasoline</v>
      </c>
      <c r="M4208" s="194"/>
      <c r="N4208" s="317"/>
      <c r="O4208" s="317"/>
      <c r="P4208" s="317"/>
      <c r="Q4208" s="317"/>
      <c r="R4208" s="317"/>
      <c r="S4208" s="317"/>
      <c r="T4208" s="317"/>
      <c r="U4208" s="317"/>
      <c r="V4208" s="317"/>
      <c r="W4208" s="317"/>
      <c r="X4208" s="317"/>
      <c r="Y4208" s="317"/>
      <c r="Z4208" s="317"/>
    </row>
    <row r="4209" spans="1:26" x14ac:dyDescent="0.25">
      <c r="A4209" s="314"/>
      <c r="B4209" s="18">
        <v>2023</v>
      </c>
      <c r="C4209" s="18" t="s">
        <v>722</v>
      </c>
      <c r="D4209" s="18" t="s">
        <v>1792</v>
      </c>
      <c r="E4209" s="18" t="s">
        <v>713</v>
      </c>
      <c r="F4209" s="18" t="s">
        <v>714</v>
      </c>
      <c r="G4209" s="18" t="s">
        <v>673</v>
      </c>
      <c r="H4209" s="18" t="s">
        <v>749</v>
      </c>
      <c r="I4209" s="315">
        <v>0.38467485453728995</v>
      </c>
      <c r="J4209" s="315">
        <v>1.9863841790763766E-5</v>
      </c>
      <c r="K4209" s="316" t="str">
        <f t="shared" si="62"/>
        <v>Lawn and Garden Equipment</v>
      </c>
      <c r="L4209" s="316" t="str">
        <f t="shared" si="63"/>
        <v>Diesel</v>
      </c>
      <c r="M4209" s="194"/>
      <c r="N4209" s="317"/>
      <c r="O4209" s="317"/>
      <c r="P4209" s="317"/>
      <c r="Q4209" s="317"/>
      <c r="R4209" s="317"/>
      <c r="S4209" s="317"/>
      <c r="T4209" s="317"/>
      <c r="U4209" s="317"/>
      <c r="V4209" s="317"/>
      <c r="W4209" s="317"/>
      <c r="X4209" s="317"/>
      <c r="Y4209" s="317"/>
      <c r="Z4209" s="317"/>
    </row>
    <row r="4210" spans="1:26" x14ac:dyDescent="0.25">
      <c r="A4210" s="314"/>
      <c r="B4210" s="18">
        <v>2023</v>
      </c>
      <c r="C4210" s="18" t="s">
        <v>701</v>
      </c>
      <c r="D4210" s="18" t="s">
        <v>1839</v>
      </c>
      <c r="E4210" s="18" t="s">
        <v>56</v>
      </c>
      <c r="F4210" s="18" t="s">
        <v>683</v>
      </c>
      <c r="G4210" s="18" t="s">
        <v>672</v>
      </c>
      <c r="H4210" s="18" t="s">
        <v>1002</v>
      </c>
      <c r="I4210" s="315">
        <v>0.38299655199381583</v>
      </c>
      <c r="J4210" s="315">
        <v>3.0836763968350273E-5</v>
      </c>
      <c r="K4210" s="316" t="str">
        <f t="shared" si="62"/>
        <v>Railroad Equipment</v>
      </c>
      <c r="L4210" s="316" t="str">
        <f t="shared" si="63"/>
        <v>LPG</v>
      </c>
      <c r="M4210" s="194"/>
      <c r="N4210" s="317"/>
      <c r="O4210" s="317"/>
      <c r="P4210" s="317"/>
      <c r="Q4210" s="317"/>
      <c r="R4210" s="317"/>
      <c r="S4210" s="317"/>
      <c r="T4210" s="317"/>
      <c r="U4210" s="317"/>
      <c r="V4210" s="317"/>
      <c r="W4210" s="317"/>
      <c r="X4210" s="317"/>
      <c r="Y4210" s="317"/>
      <c r="Z4210" s="317"/>
    </row>
    <row r="4211" spans="1:26" x14ac:dyDescent="0.25">
      <c r="A4211" s="314"/>
      <c r="B4211" s="18">
        <v>2023</v>
      </c>
      <c r="C4211" s="18" t="s">
        <v>731</v>
      </c>
      <c r="D4211" s="18" t="s">
        <v>1435</v>
      </c>
      <c r="E4211" s="18" t="s">
        <v>56</v>
      </c>
      <c r="F4211" s="18" t="s">
        <v>672</v>
      </c>
      <c r="G4211" s="18" t="s">
        <v>674</v>
      </c>
      <c r="H4211" s="18" t="s">
        <v>863</v>
      </c>
      <c r="I4211" s="315">
        <v>0.37966765415158976</v>
      </c>
      <c r="J4211" s="315">
        <v>2.528425814671048E-5</v>
      </c>
      <c r="K4211" s="316" t="str">
        <f t="shared" si="62"/>
        <v>Construction and Mining Equipment</v>
      </c>
      <c r="L4211" s="316" t="str">
        <f t="shared" si="63"/>
        <v>LPG</v>
      </c>
      <c r="M4211" s="194"/>
      <c r="N4211" s="317"/>
      <c r="O4211" s="317"/>
      <c r="P4211" s="317"/>
      <c r="Q4211" s="317"/>
      <c r="R4211" s="317"/>
      <c r="S4211" s="317"/>
      <c r="T4211" s="317"/>
      <c r="U4211" s="317"/>
      <c r="V4211" s="317"/>
      <c r="W4211" s="317"/>
      <c r="X4211" s="317"/>
      <c r="Y4211" s="317"/>
      <c r="Z4211" s="317"/>
    </row>
    <row r="4212" spans="1:26" x14ac:dyDescent="0.25">
      <c r="A4212" s="314"/>
      <c r="B4212" s="18">
        <v>2023</v>
      </c>
      <c r="C4212" s="18" t="s">
        <v>786</v>
      </c>
      <c r="D4212" s="18" t="s">
        <v>1435</v>
      </c>
      <c r="E4212" s="18" t="s">
        <v>56</v>
      </c>
      <c r="F4212" s="18" t="s">
        <v>672</v>
      </c>
      <c r="G4212" s="18" t="s">
        <v>674</v>
      </c>
      <c r="H4212" s="18" t="s">
        <v>863</v>
      </c>
      <c r="I4212" s="315">
        <v>0.37708175924399456</v>
      </c>
      <c r="J4212" s="315">
        <v>2.5112057625602396E-5</v>
      </c>
      <c r="K4212" s="316" t="str">
        <f t="shared" si="62"/>
        <v>Construction and Mining Equipment</v>
      </c>
      <c r="L4212" s="316" t="str">
        <f t="shared" si="63"/>
        <v>LPG</v>
      </c>
      <c r="M4212" s="194"/>
      <c r="N4212" s="317"/>
      <c r="O4212" s="317"/>
      <c r="P4212" s="317"/>
      <c r="Q4212" s="317"/>
      <c r="R4212" s="317"/>
      <c r="S4212" s="317"/>
      <c r="T4212" s="317"/>
      <c r="U4212" s="317"/>
      <c r="V4212" s="317"/>
      <c r="W4212" s="317"/>
      <c r="X4212" s="317"/>
      <c r="Y4212" s="317"/>
      <c r="Z4212" s="317"/>
    </row>
    <row r="4213" spans="1:26" x14ac:dyDescent="0.25">
      <c r="A4213" s="314"/>
      <c r="B4213" s="18">
        <v>2023</v>
      </c>
      <c r="C4213" s="18" t="s">
        <v>743</v>
      </c>
      <c r="D4213" s="18" t="s">
        <v>1685</v>
      </c>
      <c r="E4213" s="18" t="s">
        <v>56</v>
      </c>
      <c r="F4213" s="18" t="s">
        <v>672</v>
      </c>
      <c r="G4213" s="18" t="s">
        <v>674</v>
      </c>
      <c r="H4213" s="18" t="s">
        <v>1072</v>
      </c>
      <c r="I4213" s="315">
        <v>0.37507599021192151</v>
      </c>
      <c r="J4213" s="315">
        <v>2.6026061088910363E-5</v>
      </c>
      <c r="K4213" s="316" t="str">
        <f t="shared" si="62"/>
        <v>Construction and Mining Equipment</v>
      </c>
      <c r="L4213" s="316" t="str">
        <f t="shared" si="63"/>
        <v>LPG</v>
      </c>
      <c r="M4213" s="194"/>
      <c r="N4213" s="317"/>
      <c r="O4213" s="317"/>
      <c r="P4213" s="317"/>
      <c r="Q4213" s="317"/>
      <c r="R4213" s="317"/>
      <c r="S4213" s="317"/>
      <c r="T4213" s="317"/>
      <c r="U4213" s="317"/>
      <c r="V4213" s="317"/>
      <c r="W4213" s="317"/>
      <c r="X4213" s="317"/>
      <c r="Y4213" s="317"/>
      <c r="Z4213" s="317"/>
    </row>
    <row r="4214" spans="1:26" x14ac:dyDescent="0.25">
      <c r="A4214" s="314"/>
      <c r="B4214" s="18">
        <v>2023</v>
      </c>
      <c r="C4214" s="18" t="s">
        <v>762</v>
      </c>
      <c r="D4214" s="18" t="s">
        <v>1588</v>
      </c>
      <c r="E4214" s="18" t="s">
        <v>56</v>
      </c>
      <c r="F4214" s="18" t="s">
        <v>1575</v>
      </c>
      <c r="G4214" s="18" t="s">
        <v>675</v>
      </c>
      <c r="H4214" s="18" t="s">
        <v>1589</v>
      </c>
      <c r="I4214" s="315">
        <v>0.37178804854326813</v>
      </c>
      <c r="J4214" s="315">
        <v>1.5646167484274435E-3</v>
      </c>
      <c r="K4214" s="316" t="str">
        <f t="shared" si="62"/>
        <v>Industrial Equipment</v>
      </c>
      <c r="L4214" s="316" t="str">
        <f t="shared" si="63"/>
        <v>CNG</v>
      </c>
      <c r="M4214" s="194"/>
      <c r="N4214" s="317"/>
      <c r="O4214" s="317"/>
      <c r="P4214" s="317"/>
      <c r="Q4214" s="317"/>
      <c r="R4214" s="317"/>
      <c r="S4214" s="317"/>
      <c r="T4214" s="317"/>
      <c r="U4214" s="317"/>
      <c r="V4214" s="317"/>
      <c r="W4214" s="317"/>
      <c r="X4214" s="317"/>
      <c r="Y4214" s="317"/>
      <c r="Z4214" s="317"/>
    </row>
    <row r="4215" spans="1:26" x14ac:dyDescent="0.25">
      <c r="A4215" s="314"/>
      <c r="B4215" s="18">
        <v>2023</v>
      </c>
      <c r="C4215" s="18" t="s">
        <v>793</v>
      </c>
      <c r="D4215" s="18" t="s">
        <v>1657</v>
      </c>
      <c r="E4215" s="18" t="s">
        <v>713</v>
      </c>
      <c r="F4215" s="18" t="s">
        <v>714</v>
      </c>
      <c r="G4215" s="18" t="s">
        <v>678</v>
      </c>
      <c r="H4215" s="18" t="s">
        <v>1638</v>
      </c>
      <c r="I4215" s="315">
        <v>0.3704978946621435</v>
      </c>
      <c r="J4215" s="315">
        <v>4.1117051793026637E-6</v>
      </c>
      <c r="K4215" s="316" t="str">
        <f t="shared" si="62"/>
        <v>Agricultural Equipment</v>
      </c>
      <c r="L4215" s="316" t="str">
        <f t="shared" si="63"/>
        <v>Diesel</v>
      </c>
      <c r="M4215" s="194"/>
      <c r="N4215" s="317"/>
      <c r="O4215" s="317"/>
      <c r="P4215" s="317"/>
      <c r="Q4215" s="317"/>
      <c r="R4215" s="317"/>
      <c r="S4215" s="317"/>
      <c r="T4215" s="317"/>
      <c r="U4215" s="317"/>
      <c r="V4215" s="317"/>
      <c r="W4215" s="317"/>
      <c r="X4215" s="317"/>
      <c r="Y4215" s="317"/>
      <c r="Z4215" s="317"/>
    </row>
    <row r="4216" spans="1:26" x14ac:dyDescent="0.25">
      <c r="A4216" s="314"/>
      <c r="B4216" s="18">
        <v>2023</v>
      </c>
      <c r="C4216" s="18" t="s">
        <v>754</v>
      </c>
      <c r="D4216" s="18" t="s">
        <v>1679</v>
      </c>
      <c r="E4216" s="18" t="s">
        <v>56</v>
      </c>
      <c r="F4216" s="18" t="s">
        <v>672</v>
      </c>
      <c r="G4216" s="18" t="s">
        <v>674</v>
      </c>
      <c r="H4216" s="18" t="s">
        <v>959</v>
      </c>
      <c r="I4216" s="315">
        <v>0.367376042340753</v>
      </c>
      <c r="J4216" s="315">
        <v>6.2404034657668778E-5</v>
      </c>
      <c r="K4216" s="316" t="str">
        <f t="shared" si="62"/>
        <v>Construction and Mining Equipment</v>
      </c>
      <c r="L4216" s="316" t="str">
        <f t="shared" si="63"/>
        <v>LPG</v>
      </c>
      <c r="M4216" s="194"/>
      <c r="N4216" s="317"/>
      <c r="O4216" s="317"/>
      <c r="P4216" s="317"/>
      <c r="Q4216" s="317"/>
      <c r="R4216" s="317"/>
      <c r="S4216" s="317"/>
      <c r="T4216" s="317"/>
      <c r="U4216" s="317"/>
      <c r="V4216" s="317"/>
      <c r="W4216" s="317"/>
      <c r="X4216" s="317"/>
      <c r="Y4216" s="317"/>
      <c r="Z4216" s="317"/>
    </row>
    <row r="4217" spans="1:26" x14ac:dyDescent="0.25">
      <c r="A4217" s="314"/>
      <c r="B4217" s="18">
        <v>2023</v>
      </c>
      <c r="C4217" s="18" t="s">
        <v>710</v>
      </c>
      <c r="D4217" s="18" t="s">
        <v>1841</v>
      </c>
      <c r="E4217" s="18" t="s">
        <v>703</v>
      </c>
      <c r="F4217" s="18" t="s">
        <v>805</v>
      </c>
      <c r="G4217" s="18" t="s">
        <v>675</v>
      </c>
      <c r="H4217" s="18" t="s">
        <v>798</v>
      </c>
      <c r="I4217" s="315">
        <v>0.36620740073846481</v>
      </c>
      <c r="J4217" s="315">
        <v>8.182566910152144E-4</v>
      </c>
      <c r="K4217" s="316" t="str">
        <f t="shared" si="62"/>
        <v>Industrial Equipment</v>
      </c>
      <c r="L4217" s="316" t="str">
        <f t="shared" si="63"/>
        <v>Gasoline</v>
      </c>
      <c r="M4217" s="194"/>
      <c r="N4217" s="317"/>
      <c r="O4217" s="317"/>
      <c r="P4217" s="317"/>
      <c r="Q4217" s="317"/>
      <c r="R4217" s="317"/>
      <c r="S4217" s="317"/>
      <c r="T4217" s="317"/>
      <c r="U4217" s="317"/>
      <c r="V4217" s="317"/>
      <c r="W4217" s="317"/>
      <c r="X4217" s="317"/>
      <c r="Y4217" s="317"/>
      <c r="Z4217" s="317"/>
    </row>
    <row r="4218" spans="1:26" x14ac:dyDescent="0.25">
      <c r="A4218" s="314"/>
      <c r="B4218" s="18">
        <v>2023</v>
      </c>
      <c r="C4218" s="18" t="s">
        <v>759</v>
      </c>
      <c r="D4218" s="18" t="s">
        <v>1339</v>
      </c>
      <c r="E4218" s="18" t="s">
        <v>56</v>
      </c>
      <c r="F4218" s="18" t="s">
        <v>672</v>
      </c>
      <c r="G4218" s="18" t="s">
        <v>674</v>
      </c>
      <c r="H4218" s="18" t="s">
        <v>770</v>
      </c>
      <c r="I4218" s="315">
        <v>0.36153654450438505</v>
      </c>
      <c r="J4218" s="315">
        <v>2.6696759046148435E-5</v>
      </c>
      <c r="K4218" s="316" t="str">
        <f t="shared" si="62"/>
        <v>Construction and Mining Equipment</v>
      </c>
      <c r="L4218" s="316" t="str">
        <f t="shared" si="63"/>
        <v>LPG</v>
      </c>
      <c r="M4218" s="194"/>
      <c r="N4218" s="317"/>
      <c r="O4218" s="317"/>
      <c r="P4218" s="317"/>
      <c r="Q4218" s="317"/>
      <c r="R4218" s="317"/>
      <c r="S4218" s="317"/>
      <c r="T4218" s="317"/>
      <c r="U4218" s="317"/>
      <c r="V4218" s="317"/>
      <c r="W4218" s="317"/>
      <c r="X4218" s="317"/>
      <c r="Y4218" s="317"/>
      <c r="Z4218" s="317"/>
    </row>
    <row r="4219" spans="1:26" x14ac:dyDescent="0.25">
      <c r="A4219" s="314"/>
      <c r="B4219" s="18">
        <v>2023</v>
      </c>
      <c r="C4219" s="18" t="s">
        <v>732</v>
      </c>
      <c r="D4219" s="18" t="s">
        <v>1806</v>
      </c>
      <c r="E4219" s="18" t="s">
        <v>56</v>
      </c>
      <c r="F4219" s="18" t="s">
        <v>601</v>
      </c>
      <c r="G4219" s="18" t="s">
        <v>675</v>
      </c>
      <c r="H4219" s="18" t="s">
        <v>798</v>
      </c>
      <c r="I4219" s="315">
        <v>0.36068400994615085</v>
      </c>
      <c r="J4219" s="315">
        <v>1.4356206646603969E-3</v>
      </c>
      <c r="K4219" s="316" t="str">
        <f t="shared" si="62"/>
        <v>Industrial Equipment</v>
      </c>
      <c r="L4219" s="316" t="str">
        <f t="shared" si="63"/>
        <v>CNG</v>
      </c>
      <c r="M4219" s="194"/>
      <c r="N4219" s="317"/>
      <c r="O4219" s="317"/>
      <c r="P4219" s="317"/>
      <c r="Q4219" s="317"/>
      <c r="R4219" s="317"/>
      <c r="S4219" s="317"/>
      <c r="T4219" s="317"/>
      <c r="U4219" s="317"/>
      <c r="V4219" s="317"/>
      <c r="W4219" s="317"/>
      <c r="X4219" s="317"/>
      <c r="Y4219" s="317"/>
      <c r="Z4219" s="317"/>
    </row>
    <row r="4220" spans="1:26" x14ac:dyDescent="0.25">
      <c r="A4220" s="314"/>
      <c r="B4220" s="18">
        <v>2023</v>
      </c>
      <c r="C4220" s="18" t="s">
        <v>722</v>
      </c>
      <c r="D4220" s="18" t="s">
        <v>1730</v>
      </c>
      <c r="E4220" s="18" t="s">
        <v>703</v>
      </c>
      <c r="F4220" s="18" t="s">
        <v>805</v>
      </c>
      <c r="G4220" s="18" t="s">
        <v>674</v>
      </c>
      <c r="H4220" s="18" t="s">
        <v>959</v>
      </c>
      <c r="I4220" s="315">
        <v>0.35916525848768527</v>
      </c>
      <c r="J4220" s="315">
        <v>8.0252001790856822E-4</v>
      </c>
      <c r="K4220" s="316" t="str">
        <f t="shared" si="62"/>
        <v>Construction and Mining Equipment</v>
      </c>
      <c r="L4220" s="316" t="str">
        <f t="shared" si="63"/>
        <v>Gasoline</v>
      </c>
      <c r="M4220" s="194"/>
      <c r="N4220" s="317"/>
      <c r="O4220" s="317"/>
      <c r="P4220" s="317"/>
      <c r="Q4220" s="317"/>
      <c r="R4220" s="317"/>
      <c r="S4220" s="317"/>
      <c r="T4220" s="317"/>
      <c r="U4220" s="317"/>
      <c r="V4220" s="317"/>
      <c r="W4220" s="317"/>
      <c r="X4220" s="317"/>
      <c r="Y4220" s="317"/>
      <c r="Z4220" s="317"/>
    </row>
    <row r="4221" spans="1:26" x14ac:dyDescent="0.25">
      <c r="A4221" s="314"/>
      <c r="B4221" s="18">
        <v>2023</v>
      </c>
      <c r="C4221" s="18" t="s">
        <v>750</v>
      </c>
      <c r="D4221" s="18" t="s">
        <v>1407</v>
      </c>
      <c r="E4221" s="18" t="s">
        <v>56</v>
      </c>
      <c r="F4221" s="18" t="s">
        <v>672</v>
      </c>
      <c r="G4221" s="18" t="s">
        <v>675</v>
      </c>
      <c r="H4221" s="18" t="s">
        <v>1078</v>
      </c>
      <c r="I4221" s="315">
        <v>0.35661295561574202</v>
      </c>
      <c r="J4221" s="315">
        <v>3.2041997961019839E-5</v>
      </c>
      <c r="K4221" s="316" t="str">
        <f t="shared" si="62"/>
        <v>Industrial Equipment</v>
      </c>
      <c r="L4221" s="316" t="str">
        <f t="shared" si="63"/>
        <v>LPG</v>
      </c>
      <c r="M4221" s="194"/>
      <c r="N4221" s="317"/>
      <c r="O4221" s="317"/>
      <c r="P4221" s="317"/>
      <c r="Q4221" s="317"/>
      <c r="R4221" s="317"/>
      <c r="S4221" s="317"/>
      <c r="T4221" s="317"/>
      <c r="U4221" s="317"/>
      <c r="V4221" s="317"/>
      <c r="W4221" s="317"/>
      <c r="X4221" s="317"/>
      <c r="Y4221" s="317"/>
      <c r="Z4221" s="317"/>
    </row>
    <row r="4222" spans="1:26" x14ac:dyDescent="0.25">
      <c r="A4222" s="314"/>
      <c r="B4222" s="18">
        <v>2023</v>
      </c>
      <c r="C4222" s="18" t="s">
        <v>753</v>
      </c>
      <c r="D4222" s="18" t="s">
        <v>991</v>
      </c>
      <c r="E4222" s="18" t="s">
        <v>703</v>
      </c>
      <c r="F4222" s="18" t="s">
        <v>795</v>
      </c>
      <c r="G4222" s="18" t="s">
        <v>680</v>
      </c>
      <c r="H4222" s="18" t="s">
        <v>992</v>
      </c>
      <c r="I4222" s="315">
        <v>0.35659913063773152</v>
      </c>
      <c r="J4222" s="315">
        <v>1.0221764443949092E-4</v>
      </c>
      <c r="K4222" s="316" t="str">
        <f t="shared" si="62"/>
        <v>Airport Ground Support Equipment</v>
      </c>
      <c r="L4222" s="316" t="str">
        <f t="shared" si="63"/>
        <v>Gasoline</v>
      </c>
      <c r="M4222" s="194"/>
      <c r="N4222" s="317"/>
      <c r="O4222" s="317"/>
      <c r="P4222" s="317"/>
      <c r="Q4222" s="317"/>
      <c r="R4222" s="317"/>
      <c r="S4222" s="317"/>
      <c r="T4222" s="317"/>
      <c r="U4222" s="317"/>
      <c r="V4222" s="317"/>
      <c r="W4222" s="317"/>
      <c r="X4222" s="317"/>
      <c r="Y4222" s="317"/>
      <c r="Z4222" s="317"/>
    </row>
    <row r="4223" spans="1:26" x14ac:dyDescent="0.25">
      <c r="A4223" s="314"/>
      <c r="B4223" s="18">
        <v>2023</v>
      </c>
      <c r="C4223" s="18" t="s">
        <v>727</v>
      </c>
      <c r="D4223" s="18" t="s">
        <v>1654</v>
      </c>
      <c r="E4223" s="18" t="s">
        <v>56</v>
      </c>
      <c r="F4223" s="18" t="s">
        <v>672</v>
      </c>
      <c r="G4223" s="18" t="s">
        <v>674</v>
      </c>
      <c r="H4223" s="18" t="s">
        <v>994</v>
      </c>
      <c r="I4223" s="315">
        <v>0.35549972480251274</v>
      </c>
      <c r="J4223" s="315">
        <v>8.8124867616156828E-5</v>
      </c>
      <c r="K4223" s="316" t="str">
        <f t="shared" si="62"/>
        <v>Construction and Mining Equipment</v>
      </c>
      <c r="L4223" s="316" t="str">
        <f t="shared" si="63"/>
        <v>LPG</v>
      </c>
      <c r="M4223" s="194"/>
      <c r="N4223" s="317"/>
      <c r="O4223" s="317"/>
      <c r="P4223" s="317"/>
      <c r="Q4223" s="317"/>
      <c r="R4223" s="317"/>
      <c r="S4223" s="317"/>
      <c r="T4223" s="317"/>
      <c r="U4223" s="317"/>
      <c r="V4223" s="317"/>
      <c r="W4223" s="317"/>
      <c r="X4223" s="317"/>
      <c r="Y4223" s="317"/>
      <c r="Z4223" s="317"/>
    </row>
    <row r="4224" spans="1:26" x14ac:dyDescent="0.25">
      <c r="A4224" s="314"/>
      <c r="B4224" s="18">
        <v>2023</v>
      </c>
      <c r="C4224" s="18" t="s">
        <v>762</v>
      </c>
      <c r="D4224" s="18" t="s">
        <v>1564</v>
      </c>
      <c r="E4224" s="18" t="s">
        <v>703</v>
      </c>
      <c r="F4224" s="18" t="s">
        <v>704</v>
      </c>
      <c r="G4224" s="18" t="s">
        <v>674</v>
      </c>
      <c r="H4224" s="18" t="s">
        <v>981</v>
      </c>
      <c r="I4224" s="315">
        <v>0.35457956760996939</v>
      </c>
      <c r="J4224" s="315">
        <v>2.6185870000735559E-4</v>
      </c>
      <c r="K4224" s="316" t="str">
        <f t="shared" si="62"/>
        <v>Construction and Mining Equipment</v>
      </c>
      <c r="L4224" s="316" t="str">
        <f t="shared" si="63"/>
        <v>Gasoline</v>
      </c>
      <c r="M4224" s="194"/>
      <c r="N4224" s="317"/>
      <c r="O4224" s="317"/>
      <c r="P4224" s="317"/>
      <c r="Q4224" s="317"/>
      <c r="R4224" s="317"/>
      <c r="S4224" s="317"/>
      <c r="T4224" s="317"/>
      <c r="U4224" s="317"/>
      <c r="V4224" s="317"/>
      <c r="W4224" s="317"/>
      <c r="X4224" s="317"/>
      <c r="Y4224" s="317"/>
      <c r="Z4224" s="317"/>
    </row>
    <row r="4225" spans="1:26" x14ac:dyDescent="0.25">
      <c r="A4225" s="314"/>
      <c r="B4225" s="18">
        <v>2023</v>
      </c>
      <c r="C4225" s="18" t="s">
        <v>711</v>
      </c>
      <c r="D4225" s="18" t="s">
        <v>1833</v>
      </c>
      <c r="E4225" s="18" t="s">
        <v>703</v>
      </c>
      <c r="F4225" s="18" t="s">
        <v>704</v>
      </c>
      <c r="G4225" s="18" t="s">
        <v>674</v>
      </c>
      <c r="H4225" s="18" t="s">
        <v>1082</v>
      </c>
      <c r="I4225" s="315">
        <v>0.35357747082198487</v>
      </c>
      <c r="J4225" s="315">
        <v>2.2920315491697113E-4</v>
      </c>
      <c r="K4225" s="316" t="str">
        <f t="shared" si="62"/>
        <v>Construction and Mining Equipment</v>
      </c>
      <c r="L4225" s="316" t="str">
        <f t="shared" si="63"/>
        <v>Gasoline</v>
      </c>
      <c r="M4225" s="194"/>
      <c r="N4225" s="317"/>
      <c r="O4225" s="317"/>
      <c r="P4225" s="317"/>
      <c r="Q4225" s="317"/>
      <c r="R4225" s="317"/>
      <c r="S4225" s="317"/>
      <c r="T4225" s="317"/>
      <c r="U4225" s="317"/>
      <c r="V4225" s="317"/>
      <c r="W4225" s="317"/>
      <c r="X4225" s="317"/>
      <c r="Y4225" s="317"/>
      <c r="Z4225" s="317"/>
    </row>
    <row r="4226" spans="1:26" x14ac:dyDescent="0.25">
      <c r="A4226" s="314"/>
      <c r="B4226" s="18">
        <v>2023</v>
      </c>
      <c r="C4226" s="18" t="s">
        <v>722</v>
      </c>
      <c r="D4226" s="18" t="s">
        <v>1708</v>
      </c>
      <c r="E4226" s="18" t="s">
        <v>703</v>
      </c>
      <c r="F4226" s="18" t="s">
        <v>704</v>
      </c>
      <c r="G4226" s="18" t="s">
        <v>678</v>
      </c>
      <c r="H4226" s="18" t="s">
        <v>1709</v>
      </c>
      <c r="I4226" s="315">
        <v>0.35261306793897979</v>
      </c>
      <c r="J4226" s="315">
        <v>2.3838775270921167E-4</v>
      </c>
      <c r="K4226" s="316" t="str">
        <f t="shared" si="62"/>
        <v>Agricultural Equipment</v>
      </c>
      <c r="L4226" s="316" t="str">
        <f t="shared" si="63"/>
        <v>Gasoline</v>
      </c>
      <c r="M4226" s="194"/>
      <c r="N4226" s="317"/>
      <c r="O4226" s="317"/>
      <c r="P4226" s="317"/>
      <c r="Q4226" s="317"/>
      <c r="R4226" s="317"/>
      <c r="S4226" s="317"/>
      <c r="T4226" s="317"/>
      <c r="U4226" s="317"/>
      <c r="V4226" s="317"/>
      <c r="W4226" s="317"/>
      <c r="X4226" s="317"/>
      <c r="Y4226" s="317"/>
      <c r="Z4226" s="317"/>
    </row>
    <row r="4227" spans="1:26" x14ac:dyDescent="0.25">
      <c r="A4227" s="314"/>
      <c r="B4227" s="18">
        <v>2023</v>
      </c>
      <c r="C4227" s="18" t="s">
        <v>781</v>
      </c>
      <c r="D4227" s="18" t="s">
        <v>1445</v>
      </c>
      <c r="E4227" s="18" t="s">
        <v>56</v>
      </c>
      <c r="F4227" s="18" t="s">
        <v>601</v>
      </c>
      <c r="G4227" s="18" t="s">
        <v>677</v>
      </c>
      <c r="H4227" s="18" t="s">
        <v>841</v>
      </c>
      <c r="I4227" s="315">
        <v>0.35077993025885945</v>
      </c>
      <c r="J4227" s="315">
        <v>3.8110768317424237E-3</v>
      </c>
      <c r="K4227" s="316" t="str">
        <f t="shared" si="62"/>
        <v>Commercial Equipment</v>
      </c>
      <c r="L4227" s="316" t="str">
        <f t="shared" si="63"/>
        <v>CNG</v>
      </c>
      <c r="M4227" s="194"/>
      <c r="N4227" s="317"/>
      <c r="O4227" s="317"/>
      <c r="P4227" s="317"/>
      <c r="Q4227" s="317"/>
      <c r="R4227" s="317"/>
      <c r="S4227" s="317"/>
      <c r="T4227" s="317"/>
      <c r="U4227" s="317"/>
      <c r="V4227" s="317"/>
      <c r="W4227" s="317"/>
      <c r="X4227" s="317"/>
      <c r="Y4227" s="317"/>
      <c r="Z4227" s="317"/>
    </row>
    <row r="4228" spans="1:26" x14ac:dyDescent="0.25">
      <c r="A4228" s="314"/>
      <c r="B4228" s="18">
        <v>2023</v>
      </c>
      <c r="C4228" s="18" t="s">
        <v>793</v>
      </c>
      <c r="D4228" s="18" t="s">
        <v>1457</v>
      </c>
      <c r="E4228" s="18" t="s">
        <v>56</v>
      </c>
      <c r="F4228" s="18" t="s">
        <v>601</v>
      </c>
      <c r="G4228" s="18" t="s">
        <v>675</v>
      </c>
      <c r="H4228" s="18" t="s">
        <v>772</v>
      </c>
      <c r="I4228" s="315">
        <v>0.34987905301861738</v>
      </c>
      <c r="J4228" s="315">
        <v>1.4271605058219325E-3</v>
      </c>
      <c r="K4228" s="316" t="str">
        <f t="shared" si="62"/>
        <v>Industrial Equipment</v>
      </c>
      <c r="L4228" s="316" t="str">
        <f t="shared" si="63"/>
        <v>CNG</v>
      </c>
      <c r="M4228" s="194"/>
      <c r="N4228" s="317"/>
      <c r="O4228" s="317"/>
      <c r="P4228" s="317"/>
      <c r="Q4228" s="317"/>
      <c r="R4228" s="317"/>
      <c r="S4228" s="317"/>
      <c r="T4228" s="317"/>
      <c r="U4228" s="317"/>
      <c r="V4228" s="317"/>
      <c r="W4228" s="317"/>
      <c r="X4228" s="317"/>
      <c r="Y4228" s="317"/>
      <c r="Z4228" s="317"/>
    </row>
    <row r="4229" spans="1:26" x14ac:dyDescent="0.25">
      <c r="A4229" s="314"/>
      <c r="B4229" s="18">
        <v>2023</v>
      </c>
      <c r="C4229" s="18" t="s">
        <v>787</v>
      </c>
      <c r="D4229" s="18" t="s">
        <v>1663</v>
      </c>
      <c r="E4229" s="18" t="s">
        <v>713</v>
      </c>
      <c r="F4229" s="18" t="s">
        <v>714</v>
      </c>
      <c r="G4229" s="18" t="s">
        <v>674</v>
      </c>
      <c r="H4229" s="18" t="s">
        <v>1082</v>
      </c>
      <c r="I4229" s="315">
        <v>0.34921997782947617</v>
      </c>
      <c r="J4229" s="315">
        <v>4.1459705694699146E-5</v>
      </c>
      <c r="K4229" s="316" t="str">
        <f t="shared" si="62"/>
        <v>Construction and Mining Equipment</v>
      </c>
      <c r="L4229" s="316" t="str">
        <f t="shared" si="63"/>
        <v>Diesel</v>
      </c>
      <c r="M4229" s="194"/>
      <c r="N4229" s="317"/>
      <c r="O4229" s="317"/>
      <c r="P4229" s="317"/>
      <c r="Q4229" s="317"/>
      <c r="R4229" s="317"/>
      <c r="S4229" s="317"/>
      <c r="T4229" s="317"/>
      <c r="U4229" s="317"/>
      <c r="V4229" s="317"/>
      <c r="W4229" s="317"/>
      <c r="X4229" s="317"/>
      <c r="Y4229" s="317"/>
      <c r="Z4229" s="317"/>
    </row>
    <row r="4230" spans="1:26" x14ac:dyDescent="0.25">
      <c r="A4230" s="314"/>
      <c r="B4230" s="18">
        <v>2023</v>
      </c>
      <c r="C4230" s="18" t="s">
        <v>793</v>
      </c>
      <c r="D4230" s="18" t="s">
        <v>1654</v>
      </c>
      <c r="E4230" s="18" t="s">
        <v>56</v>
      </c>
      <c r="F4230" s="18" t="s">
        <v>672</v>
      </c>
      <c r="G4230" s="18" t="s">
        <v>674</v>
      </c>
      <c r="H4230" s="18" t="s">
        <v>994</v>
      </c>
      <c r="I4230" s="315">
        <v>0.34709508816205431</v>
      </c>
      <c r="J4230" s="315">
        <v>8.604163019189369E-5</v>
      </c>
      <c r="K4230" s="316" t="str">
        <f t="shared" si="62"/>
        <v>Construction and Mining Equipment</v>
      </c>
      <c r="L4230" s="316" t="str">
        <f t="shared" si="63"/>
        <v>LPG</v>
      </c>
      <c r="M4230" s="194"/>
      <c r="N4230" s="317"/>
      <c r="O4230" s="317"/>
      <c r="P4230" s="317"/>
      <c r="Q4230" s="317"/>
      <c r="R4230" s="317"/>
      <c r="S4230" s="317"/>
      <c r="T4230" s="317"/>
      <c r="U4230" s="317"/>
      <c r="V4230" s="317"/>
      <c r="W4230" s="317"/>
      <c r="X4230" s="317"/>
      <c r="Y4230" s="317"/>
      <c r="Z4230" s="317"/>
    </row>
    <row r="4231" spans="1:26" x14ac:dyDescent="0.25">
      <c r="A4231" s="314"/>
      <c r="B4231" s="18">
        <v>2023</v>
      </c>
      <c r="C4231" s="18" t="s">
        <v>778</v>
      </c>
      <c r="D4231" s="18" t="s">
        <v>1730</v>
      </c>
      <c r="E4231" s="18" t="s">
        <v>703</v>
      </c>
      <c r="F4231" s="18" t="s">
        <v>805</v>
      </c>
      <c r="G4231" s="18" t="s">
        <v>674</v>
      </c>
      <c r="H4231" s="18" t="s">
        <v>959</v>
      </c>
      <c r="I4231" s="315">
        <v>0.34621495340116898</v>
      </c>
      <c r="J4231" s="315">
        <v>7.7358357549919821E-4</v>
      </c>
      <c r="K4231" s="316" t="str">
        <f t="shared" si="62"/>
        <v>Construction and Mining Equipment</v>
      </c>
      <c r="L4231" s="316" t="str">
        <f t="shared" si="63"/>
        <v>Gasoline</v>
      </c>
      <c r="M4231" s="194"/>
      <c r="N4231" s="317"/>
      <c r="O4231" s="317"/>
      <c r="P4231" s="317"/>
      <c r="Q4231" s="317"/>
      <c r="R4231" s="317"/>
      <c r="S4231" s="317"/>
      <c r="T4231" s="317"/>
      <c r="U4231" s="317"/>
      <c r="V4231" s="317"/>
      <c r="W4231" s="317"/>
      <c r="X4231" s="317"/>
      <c r="Y4231" s="317"/>
      <c r="Z4231" s="317"/>
    </row>
    <row r="4232" spans="1:26" x14ac:dyDescent="0.25">
      <c r="A4232" s="314"/>
      <c r="B4232" s="18">
        <v>2023</v>
      </c>
      <c r="C4232" s="18" t="s">
        <v>754</v>
      </c>
      <c r="D4232" s="18" t="s">
        <v>1685</v>
      </c>
      <c r="E4232" s="18" t="s">
        <v>56</v>
      </c>
      <c r="F4232" s="18" t="s">
        <v>672</v>
      </c>
      <c r="G4232" s="18" t="s">
        <v>674</v>
      </c>
      <c r="H4232" s="18" t="s">
        <v>1072</v>
      </c>
      <c r="I4232" s="315">
        <v>0.34396263041701963</v>
      </c>
      <c r="J4232" s="315">
        <v>2.3867114924466591E-5</v>
      </c>
      <c r="K4232" s="316" t="str">
        <f t="shared" si="62"/>
        <v>Construction and Mining Equipment</v>
      </c>
      <c r="L4232" s="316" t="str">
        <f t="shared" si="63"/>
        <v>LPG</v>
      </c>
      <c r="M4232" s="194"/>
      <c r="N4232" s="317"/>
      <c r="O4232" s="317"/>
      <c r="P4232" s="317"/>
      <c r="Q4232" s="317"/>
      <c r="R4232" s="317"/>
      <c r="S4232" s="317"/>
      <c r="T4232" s="317"/>
      <c r="U4232" s="317"/>
      <c r="V4232" s="317"/>
      <c r="W4232" s="317"/>
      <c r="X4232" s="317"/>
      <c r="Y4232" s="317"/>
      <c r="Z4232" s="317"/>
    </row>
    <row r="4233" spans="1:26" x14ac:dyDescent="0.25">
      <c r="A4233" s="314"/>
      <c r="B4233" s="18">
        <v>2023</v>
      </c>
      <c r="C4233" s="18" t="s">
        <v>787</v>
      </c>
      <c r="D4233" s="18" t="s">
        <v>1830</v>
      </c>
      <c r="E4233" s="18" t="s">
        <v>703</v>
      </c>
      <c r="F4233" s="18" t="s">
        <v>805</v>
      </c>
      <c r="G4233" s="18" t="s">
        <v>678</v>
      </c>
      <c r="H4233" s="18" t="s">
        <v>1222</v>
      </c>
      <c r="I4233" s="315">
        <v>0.34113784971560818</v>
      </c>
      <c r="J4233" s="315">
        <v>5.6043048212447413E-4</v>
      </c>
      <c r="K4233" s="316" t="str">
        <f t="shared" si="62"/>
        <v>Agricultural Equipment</v>
      </c>
      <c r="L4233" s="316" t="str">
        <f t="shared" si="63"/>
        <v>Gasoline</v>
      </c>
      <c r="M4233" s="194"/>
      <c r="N4233" s="317"/>
      <c r="O4233" s="317"/>
      <c r="P4233" s="317"/>
      <c r="Q4233" s="317"/>
      <c r="R4233" s="317"/>
      <c r="S4233" s="317"/>
      <c r="T4233" s="317"/>
      <c r="U4233" s="317"/>
      <c r="V4233" s="317"/>
      <c r="W4233" s="317"/>
      <c r="X4233" s="317"/>
      <c r="Y4233" s="317"/>
      <c r="Z4233" s="317"/>
    </row>
    <row r="4234" spans="1:26" x14ac:dyDescent="0.25">
      <c r="A4234" s="314"/>
      <c r="B4234" s="18">
        <v>2023</v>
      </c>
      <c r="C4234" s="18" t="s">
        <v>762</v>
      </c>
      <c r="D4234" s="18" t="s">
        <v>1580</v>
      </c>
      <c r="E4234" s="18" t="s">
        <v>56</v>
      </c>
      <c r="F4234" s="18" t="s">
        <v>672</v>
      </c>
      <c r="G4234" s="18" t="s">
        <v>674</v>
      </c>
      <c r="H4234" s="18" t="s">
        <v>736</v>
      </c>
      <c r="I4234" s="315">
        <v>0.33883861598104331</v>
      </c>
      <c r="J4234" s="315">
        <v>1.5565504171992269E-5</v>
      </c>
      <c r="K4234" s="316" t="str">
        <f t="shared" si="62"/>
        <v>Construction and Mining Equipment</v>
      </c>
      <c r="L4234" s="316" t="str">
        <f t="shared" si="63"/>
        <v>LPG</v>
      </c>
      <c r="M4234" s="194"/>
      <c r="N4234" s="317"/>
      <c r="O4234" s="317"/>
      <c r="P4234" s="317"/>
      <c r="Q4234" s="317"/>
      <c r="R4234" s="317"/>
      <c r="S4234" s="317"/>
      <c r="T4234" s="317"/>
      <c r="U4234" s="317"/>
      <c r="V4234" s="317"/>
      <c r="W4234" s="317"/>
      <c r="X4234" s="317"/>
      <c r="Y4234" s="317"/>
      <c r="Z4234" s="317"/>
    </row>
    <row r="4235" spans="1:26" x14ac:dyDescent="0.25">
      <c r="A4235" s="314"/>
      <c r="B4235" s="18">
        <v>2023</v>
      </c>
      <c r="C4235" s="18" t="s">
        <v>743</v>
      </c>
      <c r="D4235" s="18" t="s">
        <v>1806</v>
      </c>
      <c r="E4235" s="18" t="s">
        <v>56</v>
      </c>
      <c r="F4235" s="18" t="s">
        <v>601</v>
      </c>
      <c r="G4235" s="18" t="s">
        <v>675</v>
      </c>
      <c r="H4235" s="18" t="s">
        <v>798</v>
      </c>
      <c r="I4235" s="315">
        <v>0.33660391793479488</v>
      </c>
      <c r="J4235" s="315">
        <v>1.3397777510437941E-3</v>
      </c>
      <c r="K4235" s="316" t="str">
        <f t="shared" si="62"/>
        <v>Industrial Equipment</v>
      </c>
      <c r="L4235" s="316" t="str">
        <f t="shared" si="63"/>
        <v>CNG</v>
      </c>
      <c r="M4235" s="194"/>
      <c r="N4235" s="317"/>
      <c r="O4235" s="317"/>
      <c r="P4235" s="317"/>
      <c r="Q4235" s="317"/>
      <c r="R4235" s="317"/>
      <c r="S4235" s="317"/>
      <c r="T4235" s="317"/>
      <c r="U4235" s="317"/>
      <c r="V4235" s="317"/>
      <c r="W4235" s="317"/>
      <c r="X4235" s="317"/>
      <c r="Y4235" s="317"/>
      <c r="Z4235" s="317"/>
    </row>
    <row r="4236" spans="1:26" x14ac:dyDescent="0.25">
      <c r="A4236" s="314"/>
      <c r="B4236" s="18">
        <v>2023</v>
      </c>
      <c r="C4236" s="18" t="s">
        <v>762</v>
      </c>
      <c r="D4236" s="18" t="s">
        <v>1583</v>
      </c>
      <c r="E4236" s="18" t="s">
        <v>703</v>
      </c>
      <c r="F4236" s="18" t="s">
        <v>805</v>
      </c>
      <c r="G4236" s="18" t="s">
        <v>674</v>
      </c>
      <c r="H4236" s="18" t="s">
        <v>1036</v>
      </c>
      <c r="I4236" s="315">
        <v>0.33439669057769206</v>
      </c>
      <c r="J4236" s="315">
        <v>6.9208143991223066E-4</v>
      </c>
      <c r="K4236" s="316" t="str">
        <f t="shared" si="62"/>
        <v>Construction and Mining Equipment</v>
      </c>
      <c r="L4236" s="316" t="str">
        <f t="shared" si="63"/>
        <v>Gasoline</v>
      </c>
      <c r="M4236" s="194"/>
      <c r="N4236" s="317"/>
      <c r="O4236" s="317"/>
      <c r="P4236" s="317"/>
      <c r="Q4236" s="317"/>
      <c r="R4236" s="317"/>
      <c r="S4236" s="317"/>
      <c r="T4236" s="317"/>
      <c r="U4236" s="317"/>
      <c r="V4236" s="317"/>
      <c r="W4236" s="317"/>
      <c r="X4236" s="317"/>
      <c r="Y4236" s="317"/>
      <c r="Z4236" s="317"/>
    </row>
    <row r="4237" spans="1:26" x14ac:dyDescent="0.25">
      <c r="A4237" s="314"/>
      <c r="B4237" s="18">
        <v>2023</v>
      </c>
      <c r="C4237" s="18" t="s">
        <v>731</v>
      </c>
      <c r="D4237" s="18" t="s">
        <v>1840</v>
      </c>
      <c r="E4237" s="18" t="s">
        <v>703</v>
      </c>
      <c r="F4237" s="18" t="s">
        <v>704</v>
      </c>
      <c r="G4237" s="18" t="s">
        <v>681</v>
      </c>
      <c r="H4237" s="18" t="s">
        <v>895</v>
      </c>
      <c r="I4237" s="315">
        <v>0.33314091252440642</v>
      </c>
      <c r="J4237" s="315">
        <v>2.6044115369797897E-4</v>
      </c>
      <c r="K4237" s="316" t="str">
        <f t="shared" si="62"/>
        <v>Logging Equipment</v>
      </c>
      <c r="L4237" s="316" t="str">
        <f t="shared" si="63"/>
        <v>Gasoline</v>
      </c>
      <c r="M4237" s="194"/>
      <c r="N4237" s="317"/>
      <c r="O4237" s="317"/>
      <c r="P4237" s="317"/>
      <c r="Q4237" s="317"/>
      <c r="R4237" s="317"/>
      <c r="S4237" s="317"/>
      <c r="T4237" s="317"/>
      <c r="U4237" s="317"/>
      <c r="V4237" s="317"/>
      <c r="W4237" s="317"/>
      <c r="X4237" s="317"/>
      <c r="Y4237" s="317"/>
      <c r="Z4237" s="317"/>
    </row>
    <row r="4238" spans="1:26" x14ac:dyDescent="0.25">
      <c r="A4238" s="314"/>
      <c r="B4238" s="18">
        <v>2023</v>
      </c>
      <c r="C4238" s="18" t="s">
        <v>727</v>
      </c>
      <c r="D4238" s="18" t="s">
        <v>1655</v>
      </c>
      <c r="E4238" s="18" t="s">
        <v>56</v>
      </c>
      <c r="F4238" s="18" t="s">
        <v>672</v>
      </c>
      <c r="G4238" s="18" t="s">
        <v>677</v>
      </c>
      <c r="H4238" s="18" t="s">
        <v>789</v>
      </c>
      <c r="I4238" s="315">
        <v>0.32769389298687573</v>
      </c>
      <c r="J4238" s="315">
        <v>4.625281628875989E-5</v>
      </c>
      <c r="K4238" s="316" t="str">
        <f t="shared" si="62"/>
        <v>Commercial Equipment</v>
      </c>
      <c r="L4238" s="316" t="str">
        <f t="shared" si="63"/>
        <v>LPG</v>
      </c>
      <c r="M4238" s="194"/>
      <c r="N4238" s="317"/>
      <c r="O4238" s="317"/>
      <c r="P4238" s="317"/>
      <c r="Q4238" s="317"/>
      <c r="R4238" s="317"/>
      <c r="S4238" s="317"/>
      <c r="T4238" s="317"/>
      <c r="U4238" s="317"/>
      <c r="V4238" s="317"/>
      <c r="W4238" s="317"/>
      <c r="X4238" s="317"/>
      <c r="Y4238" s="317"/>
      <c r="Z4238" s="317"/>
    </row>
    <row r="4239" spans="1:26" x14ac:dyDescent="0.25">
      <c r="A4239" s="314"/>
      <c r="B4239" s="18">
        <v>2023</v>
      </c>
      <c r="C4239" s="18" t="s">
        <v>722</v>
      </c>
      <c r="D4239" s="18" t="s">
        <v>1806</v>
      </c>
      <c r="E4239" s="18" t="s">
        <v>56</v>
      </c>
      <c r="F4239" s="18" t="s">
        <v>601</v>
      </c>
      <c r="G4239" s="18" t="s">
        <v>675</v>
      </c>
      <c r="H4239" s="18" t="s">
        <v>798</v>
      </c>
      <c r="I4239" s="315">
        <v>0.3269179145008792</v>
      </c>
      <c r="J4239" s="315">
        <v>1.3012231211994272E-3</v>
      </c>
      <c r="K4239" s="316" t="str">
        <f t="shared" si="62"/>
        <v>Industrial Equipment</v>
      </c>
      <c r="L4239" s="316" t="str">
        <f t="shared" si="63"/>
        <v>CNG</v>
      </c>
      <c r="M4239" s="194"/>
      <c r="N4239" s="317"/>
      <c r="O4239" s="317"/>
      <c r="P4239" s="317"/>
      <c r="Q4239" s="317"/>
      <c r="R4239" s="317"/>
      <c r="S4239" s="317"/>
      <c r="T4239" s="317"/>
      <c r="U4239" s="317"/>
      <c r="V4239" s="317"/>
      <c r="W4239" s="317"/>
      <c r="X4239" s="317"/>
      <c r="Y4239" s="317"/>
      <c r="Z4239" s="317"/>
    </row>
    <row r="4240" spans="1:26" x14ac:dyDescent="0.25">
      <c r="A4240" s="314"/>
      <c r="B4240" s="18">
        <v>2023</v>
      </c>
      <c r="C4240" s="18" t="s">
        <v>750</v>
      </c>
      <c r="D4240" s="18" t="s">
        <v>1663</v>
      </c>
      <c r="E4240" s="18" t="s">
        <v>713</v>
      </c>
      <c r="F4240" s="18" t="s">
        <v>714</v>
      </c>
      <c r="G4240" s="18" t="s">
        <v>674</v>
      </c>
      <c r="H4240" s="18" t="s">
        <v>1082</v>
      </c>
      <c r="I4240" s="315">
        <v>0.32649023083179046</v>
      </c>
      <c r="J4240" s="315">
        <v>3.8761226052089743E-5</v>
      </c>
      <c r="K4240" s="316" t="str">
        <f t="shared" si="62"/>
        <v>Construction and Mining Equipment</v>
      </c>
      <c r="L4240" s="316" t="str">
        <f t="shared" si="63"/>
        <v>Diesel</v>
      </c>
      <c r="M4240" s="194"/>
      <c r="N4240" s="317"/>
      <c r="O4240" s="317"/>
      <c r="P4240" s="317"/>
      <c r="Q4240" s="317"/>
      <c r="R4240" s="317"/>
      <c r="S4240" s="317"/>
      <c r="T4240" s="317"/>
      <c r="U4240" s="317"/>
      <c r="V4240" s="317"/>
      <c r="W4240" s="317"/>
      <c r="X4240" s="317"/>
      <c r="Y4240" s="317"/>
      <c r="Z4240" s="317"/>
    </row>
    <row r="4241" spans="1:26" x14ac:dyDescent="0.25">
      <c r="A4241" s="314"/>
      <c r="B4241" s="18">
        <v>2023</v>
      </c>
      <c r="C4241" s="18" t="s">
        <v>754</v>
      </c>
      <c r="D4241" s="18" t="s">
        <v>1715</v>
      </c>
      <c r="E4241" s="18" t="s">
        <v>703</v>
      </c>
      <c r="F4241" s="18" t="s">
        <v>805</v>
      </c>
      <c r="G4241" s="18" t="s">
        <v>677</v>
      </c>
      <c r="H4241" s="18" t="s">
        <v>1031</v>
      </c>
      <c r="I4241" s="315">
        <v>0.32417111991946479</v>
      </c>
      <c r="J4241" s="315">
        <v>7.2432973050084364E-4</v>
      </c>
      <c r="K4241" s="316" t="str">
        <f t="shared" si="62"/>
        <v>Commercial Equipment</v>
      </c>
      <c r="L4241" s="316" t="str">
        <f t="shared" si="63"/>
        <v>Gasoline</v>
      </c>
      <c r="M4241" s="194"/>
      <c r="N4241" s="317"/>
      <c r="O4241" s="317"/>
      <c r="P4241" s="317"/>
      <c r="Q4241" s="317"/>
      <c r="R4241" s="317"/>
      <c r="S4241" s="317"/>
      <c r="T4241" s="317"/>
      <c r="U4241" s="317"/>
      <c r="V4241" s="317"/>
      <c r="W4241" s="317"/>
      <c r="X4241" s="317"/>
      <c r="Y4241" s="317"/>
      <c r="Z4241" s="317"/>
    </row>
    <row r="4242" spans="1:26" x14ac:dyDescent="0.25">
      <c r="A4242" s="314"/>
      <c r="B4242" s="18">
        <v>2023</v>
      </c>
      <c r="C4242" s="18" t="s">
        <v>773</v>
      </c>
      <c r="D4242" s="18" t="s">
        <v>1654</v>
      </c>
      <c r="E4242" s="18" t="s">
        <v>56</v>
      </c>
      <c r="F4242" s="18" t="s">
        <v>672</v>
      </c>
      <c r="G4242" s="18" t="s">
        <v>674</v>
      </c>
      <c r="H4242" s="18" t="s">
        <v>994</v>
      </c>
      <c r="I4242" s="315">
        <v>0.32374391430659061</v>
      </c>
      <c r="J4242" s="315">
        <v>8.0253070722413866E-5</v>
      </c>
      <c r="K4242" s="316" t="str">
        <f t="shared" si="62"/>
        <v>Construction and Mining Equipment</v>
      </c>
      <c r="L4242" s="316" t="str">
        <f t="shared" si="63"/>
        <v>LPG</v>
      </c>
      <c r="M4242" s="194"/>
      <c r="N4242" s="317"/>
      <c r="O4242" s="317"/>
      <c r="P4242" s="317"/>
      <c r="Q4242" s="317"/>
      <c r="R4242" s="317"/>
      <c r="S4242" s="317"/>
      <c r="T4242" s="317"/>
      <c r="U4242" s="317"/>
      <c r="V4242" s="317"/>
      <c r="W4242" s="317"/>
      <c r="X4242" s="317"/>
      <c r="Y4242" s="317"/>
      <c r="Z4242" s="317"/>
    </row>
    <row r="4243" spans="1:26" x14ac:dyDescent="0.25">
      <c r="A4243" s="314"/>
      <c r="B4243" s="18">
        <v>2023</v>
      </c>
      <c r="C4243" s="18" t="s">
        <v>773</v>
      </c>
      <c r="D4243" s="18" t="s">
        <v>1838</v>
      </c>
      <c r="E4243" s="18" t="s">
        <v>713</v>
      </c>
      <c r="F4243" s="18" t="s">
        <v>714</v>
      </c>
      <c r="G4243" s="18" t="s">
        <v>678</v>
      </c>
      <c r="H4243" s="18" t="s">
        <v>1745</v>
      </c>
      <c r="I4243" s="315">
        <v>0.32337106556241962</v>
      </c>
      <c r="J4243" s="315">
        <v>2.3401610181186036E-6</v>
      </c>
      <c r="K4243" s="316" t="str">
        <f t="shared" si="62"/>
        <v>Agricultural Equipment</v>
      </c>
      <c r="L4243" s="316" t="str">
        <f t="shared" si="63"/>
        <v>Diesel</v>
      </c>
      <c r="M4243" s="194"/>
      <c r="N4243" s="317"/>
      <c r="O4243" s="317"/>
      <c r="P4243" s="317"/>
      <c r="Q4243" s="317"/>
      <c r="R4243" s="317"/>
      <c r="S4243" s="317"/>
      <c r="T4243" s="317"/>
      <c r="U4243" s="317"/>
      <c r="V4243" s="317"/>
      <c r="W4243" s="317"/>
      <c r="X4243" s="317"/>
      <c r="Y4243" s="317"/>
      <c r="Z4243" s="317"/>
    </row>
    <row r="4244" spans="1:26" x14ac:dyDescent="0.25">
      <c r="A4244" s="314"/>
      <c r="B4244" s="18">
        <v>2023</v>
      </c>
      <c r="C4244" s="18" t="s">
        <v>787</v>
      </c>
      <c r="D4244" s="18" t="s">
        <v>1679</v>
      </c>
      <c r="E4244" s="18" t="s">
        <v>56</v>
      </c>
      <c r="F4244" s="18" t="s">
        <v>672</v>
      </c>
      <c r="G4244" s="18" t="s">
        <v>674</v>
      </c>
      <c r="H4244" s="18" t="s">
        <v>959</v>
      </c>
      <c r="I4244" s="315">
        <v>0.32249945687743814</v>
      </c>
      <c r="J4244" s="315">
        <v>5.4781168058144423E-5</v>
      </c>
      <c r="K4244" s="316" t="str">
        <f t="shared" si="62"/>
        <v>Construction and Mining Equipment</v>
      </c>
      <c r="L4244" s="316" t="str">
        <f t="shared" si="63"/>
        <v>LPG</v>
      </c>
      <c r="M4244" s="194"/>
      <c r="N4244" s="317"/>
      <c r="O4244" s="317"/>
      <c r="P4244" s="317"/>
      <c r="Q4244" s="317"/>
      <c r="R4244" s="317"/>
      <c r="S4244" s="317"/>
      <c r="T4244" s="317"/>
      <c r="U4244" s="317"/>
      <c r="V4244" s="317"/>
      <c r="W4244" s="317"/>
      <c r="X4244" s="317"/>
      <c r="Y4244" s="317"/>
      <c r="Z4244" s="317"/>
    </row>
    <row r="4245" spans="1:26" x14ac:dyDescent="0.25">
      <c r="A4245" s="314"/>
      <c r="B4245" s="18">
        <v>2023</v>
      </c>
      <c r="C4245" s="18" t="s">
        <v>711</v>
      </c>
      <c r="D4245" s="18" t="s">
        <v>1708</v>
      </c>
      <c r="E4245" s="18" t="s">
        <v>703</v>
      </c>
      <c r="F4245" s="18" t="s">
        <v>704</v>
      </c>
      <c r="G4245" s="18" t="s">
        <v>678</v>
      </c>
      <c r="H4245" s="18" t="s">
        <v>1709</v>
      </c>
      <c r="I4245" s="315">
        <v>0.32176474235301888</v>
      </c>
      <c r="J4245" s="315">
        <v>2.1729483969822069E-4</v>
      </c>
      <c r="K4245" s="316" t="str">
        <f t="shared" si="62"/>
        <v>Agricultural Equipment</v>
      </c>
      <c r="L4245" s="316" t="str">
        <f t="shared" si="63"/>
        <v>Gasoline</v>
      </c>
      <c r="M4245" s="194"/>
      <c r="N4245" s="317"/>
      <c r="O4245" s="317"/>
      <c r="P4245" s="317"/>
      <c r="Q4245" s="317"/>
      <c r="R4245" s="317"/>
      <c r="S4245" s="317"/>
      <c r="T4245" s="317"/>
      <c r="U4245" s="317"/>
      <c r="V4245" s="317"/>
      <c r="W4245" s="317"/>
      <c r="X4245" s="317"/>
      <c r="Y4245" s="317"/>
      <c r="Z4245" s="317"/>
    </row>
    <row r="4246" spans="1:26" x14ac:dyDescent="0.25">
      <c r="A4246" s="314"/>
      <c r="B4246" s="18">
        <v>2023</v>
      </c>
      <c r="C4246" s="18" t="s">
        <v>778</v>
      </c>
      <c r="D4246" s="18" t="s">
        <v>1744</v>
      </c>
      <c r="E4246" s="18" t="s">
        <v>703</v>
      </c>
      <c r="F4246" s="18" t="s">
        <v>704</v>
      </c>
      <c r="G4246" s="18" t="s">
        <v>678</v>
      </c>
      <c r="H4246" s="18" t="s">
        <v>1745</v>
      </c>
      <c r="I4246" s="315">
        <v>0.32063724501323515</v>
      </c>
      <c r="J4246" s="315">
        <v>2.0436044985595877E-4</v>
      </c>
      <c r="K4246" s="316" t="str">
        <f t="shared" si="62"/>
        <v>Agricultural Equipment</v>
      </c>
      <c r="L4246" s="316" t="str">
        <f t="shared" si="63"/>
        <v>Gasoline</v>
      </c>
      <c r="M4246" s="194"/>
      <c r="N4246" s="317"/>
      <c r="O4246" s="317"/>
      <c r="P4246" s="317"/>
      <c r="Q4246" s="317"/>
      <c r="R4246" s="317"/>
      <c r="S4246" s="317"/>
      <c r="T4246" s="317"/>
      <c r="U4246" s="317"/>
      <c r="V4246" s="317"/>
      <c r="W4246" s="317"/>
      <c r="X4246" s="317"/>
      <c r="Y4246" s="317"/>
      <c r="Z4246" s="317"/>
    </row>
    <row r="4247" spans="1:26" x14ac:dyDescent="0.25">
      <c r="A4247" s="314"/>
      <c r="B4247" s="18">
        <v>2023</v>
      </c>
      <c r="C4247" s="18" t="s">
        <v>722</v>
      </c>
      <c r="D4247" s="18" t="s">
        <v>1839</v>
      </c>
      <c r="E4247" s="18" t="s">
        <v>56</v>
      </c>
      <c r="F4247" s="18" t="s">
        <v>683</v>
      </c>
      <c r="G4247" s="18" t="s">
        <v>672</v>
      </c>
      <c r="H4247" s="18" t="s">
        <v>1002</v>
      </c>
      <c r="I4247" s="315">
        <v>0.32053672736982253</v>
      </c>
      <c r="J4247" s="315">
        <v>2.5807815350963062E-5</v>
      </c>
      <c r="K4247" s="316" t="str">
        <f t="shared" si="62"/>
        <v>Railroad Equipment</v>
      </c>
      <c r="L4247" s="316" t="str">
        <f t="shared" si="63"/>
        <v>LPG</v>
      </c>
      <c r="M4247" s="194"/>
      <c r="N4247" s="317"/>
      <c r="O4247" s="317"/>
      <c r="P4247" s="317"/>
      <c r="Q4247" s="317"/>
      <c r="R4247" s="317"/>
      <c r="S4247" s="317"/>
      <c r="T4247" s="317"/>
      <c r="U4247" s="317"/>
      <c r="V4247" s="317"/>
      <c r="W4247" s="317"/>
      <c r="X4247" s="317"/>
      <c r="Y4247" s="317"/>
      <c r="Z4247" s="317"/>
    </row>
    <row r="4248" spans="1:26" x14ac:dyDescent="0.25">
      <c r="A4248" s="314"/>
      <c r="B4248" s="18">
        <v>2023</v>
      </c>
      <c r="C4248" s="18" t="s">
        <v>760</v>
      </c>
      <c r="D4248" s="18" t="s">
        <v>1830</v>
      </c>
      <c r="E4248" s="18" t="s">
        <v>703</v>
      </c>
      <c r="F4248" s="18" t="s">
        <v>805</v>
      </c>
      <c r="G4248" s="18" t="s">
        <v>678</v>
      </c>
      <c r="H4248" s="18" t="s">
        <v>1222</v>
      </c>
      <c r="I4248" s="315">
        <v>0.31956843517101829</v>
      </c>
      <c r="J4248" s="315">
        <v>5.249971148840371E-4</v>
      </c>
      <c r="K4248" s="316" t="str">
        <f t="shared" si="62"/>
        <v>Agricultural Equipment</v>
      </c>
      <c r="L4248" s="316" t="str">
        <f t="shared" si="63"/>
        <v>Gasoline</v>
      </c>
      <c r="M4248" s="194"/>
      <c r="N4248" s="317"/>
      <c r="O4248" s="317"/>
      <c r="P4248" s="317"/>
      <c r="Q4248" s="317"/>
      <c r="R4248" s="317"/>
      <c r="S4248" s="317"/>
      <c r="T4248" s="317"/>
      <c r="U4248" s="317"/>
      <c r="V4248" s="317"/>
      <c r="W4248" s="317"/>
      <c r="X4248" s="317"/>
      <c r="Y4248" s="317"/>
      <c r="Z4248" s="317"/>
    </row>
    <row r="4249" spans="1:26" x14ac:dyDescent="0.25">
      <c r="A4249" s="314"/>
      <c r="B4249" s="18">
        <v>2023</v>
      </c>
      <c r="C4249" s="18" t="s">
        <v>759</v>
      </c>
      <c r="D4249" s="18" t="s">
        <v>1360</v>
      </c>
      <c r="E4249" s="18" t="s">
        <v>713</v>
      </c>
      <c r="F4249" s="18" t="s">
        <v>714</v>
      </c>
      <c r="G4249" s="18" t="s">
        <v>674</v>
      </c>
      <c r="H4249" s="18" t="s">
        <v>1220</v>
      </c>
      <c r="I4249" s="315">
        <v>0.31762660717525221</v>
      </c>
      <c r="J4249" s="315">
        <v>1.4129254531369051E-5</v>
      </c>
      <c r="K4249" s="316" t="str">
        <f t="shared" si="62"/>
        <v>Construction and Mining Equipment</v>
      </c>
      <c r="L4249" s="316" t="str">
        <f t="shared" si="63"/>
        <v>Diesel</v>
      </c>
      <c r="M4249" s="194"/>
      <c r="N4249" s="317"/>
      <c r="O4249" s="317"/>
      <c r="P4249" s="317"/>
      <c r="Q4249" s="317"/>
      <c r="R4249" s="317"/>
      <c r="S4249" s="317"/>
      <c r="T4249" s="317"/>
      <c r="U4249" s="317"/>
      <c r="V4249" s="317"/>
      <c r="W4249" s="317"/>
      <c r="X4249" s="317"/>
      <c r="Y4249" s="317"/>
      <c r="Z4249" s="317"/>
    </row>
    <row r="4250" spans="1:26" x14ac:dyDescent="0.25">
      <c r="A4250" s="314"/>
      <c r="B4250" s="18">
        <v>2023</v>
      </c>
      <c r="C4250" s="18" t="s">
        <v>762</v>
      </c>
      <c r="D4250" s="18" t="s">
        <v>1655</v>
      </c>
      <c r="E4250" s="18" t="s">
        <v>56</v>
      </c>
      <c r="F4250" s="18" t="s">
        <v>672</v>
      </c>
      <c r="G4250" s="18" t="s">
        <v>677</v>
      </c>
      <c r="H4250" s="18" t="s">
        <v>789</v>
      </c>
      <c r="I4250" s="315">
        <v>0.31570487245978168</v>
      </c>
      <c r="J4250" s="315">
        <v>4.4560599795793836E-5</v>
      </c>
      <c r="K4250" s="316" t="str">
        <f t="shared" si="62"/>
        <v>Commercial Equipment</v>
      </c>
      <c r="L4250" s="316" t="str">
        <f t="shared" si="63"/>
        <v>LPG</v>
      </c>
      <c r="M4250" s="194"/>
      <c r="N4250" s="317"/>
      <c r="O4250" s="317"/>
      <c r="P4250" s="317"/>
      <c r="Q4250" s="317"/>
      <c r="R4250" s="317"/>
      <c r="S4250" s="317"/>
      <c r="T4250" s="317"/>
      <c r="U4250" s="317"/>
      <c r="V4250" s="317"/>
      <c r="W4250" s="317"/>
      <c r="X4250" s="317"/>
      <c r="Y4250" s="317"/>
      <c r="Z4250" s="317"/>
    </row>
    <row r="4251" spans="1:26" x14ac:dyDescent="0.25">
      <c r="A4251" s="314"/>
      <c r="B4251" s="18">
        <v>2023</v>
      </c>
      <c r="C4251" s="18" t="s">
        <v>759</v>
      </c>
      <c r="D4251" s="18" t="s">
        <v>1361</v>
      </c>
      <c r="E4251" s="18" t="s">
        <v>56</v>
      </c>
      <c r="F4251" s="18" t="s">
        <v>672</v>
      </c>
      <c r="G4251" s="18" t="s">
        <v>674</v>
      </c>
      <c r="H4251" s="18" t="s">
        <v>783</v>
      </c>
      <c r="I4251" s="315">
        <v>0.31373419862738061</v>
      </c>
      <c r="J4251" s="315">
        <v>1.440243314268272E-5</v>
      </c>
      <c r="K4251" s="316" t="str">
        <f t="shared" si="62"/>
        <v>Construction and Mining Equipment</v>
      </c>
      <c r="L4251" s="316" t="str">
        <f t="shared" si="63"/>
        <v>LPG</v>
      </c>
      <c r="M4251" s="194"/>
      <c r="N4251" s="317"/>
      <c r="O4251" s="317"/>
      <c r="P4251" s="317"/>
      <c r="Q4251" s="317"/>
      <c r="R4251" s="317"/>
      <c r="S4251" s="317"/>
      <c r="T4251" s="317"/>
      <c r="U4251" s="317"/>
      <c r="V4251" s="317"/>
      <c r="W4251" s="317"/>
      <c r="X4251" s="317"/>
      <c r="Y4251" s="317"/>
      <c r="Z4251" s="317"/>
    </row>
    <row r="4252" spans="1:26" x14ac:dyDescent="0.25">
      <c r="A4252" s="314"/>
      <c r="B4252" s="18">
        <v>2023</v>
      </c>
      <c r="C4252" s="18" t="s">
        <v>773</v>
      </c>
      <c r="D4252" s="18" t="s">
        <v>1717</v>
      </c>
      <c r="E4252" s="18" t="s">
        <v>56</v>
      </c>
      <c r="F4252" s="18" t="s">
        <v>601</v>
      </c>
      <c r="G4252" s="18" t="s">
        <v>675</v>
      </c>
      <c r="H4252" s="18" t="s">
        <v>802</v>
      </c>
      <c r="I4252" s="315">
        <v>0.31222229715503913</v>
      </c>
      <c r="J4252" s="315">
        <v>1.2440782695609151E-3</v>
      </c>
      <c r="K4252" s="316" t="str">
        <f t="shared" si="62"/>
        <v>Industrial Equipment</v>
      </c>
      <c r="L4252" s="316" t="str">
        <f t="shared" si="63"/>
        <v>CNG</v>
      </c>
      <c r="M4252" s="194"/>
      <c r="N4252" s="317"/>
      <c r="O4252" s="317"/>
      <c r="P4252" s="317"/>
      <c r="Q4252" s="317"/>
      <c r="R4252" s="317"/>
      <c r="S4252" s="317"/>
      <c r="T4252" s="317"/>
      <c r="U4252" s="317"/>
      <c r="V4252" s="317"/>
      <c r="W4252" s="317"/>
      <c r="X4252" s="317"/>
      <c r="Y4252" s="317"/>
      <c r="Z4252" s="317"/>
    </row>
    <row r="4253" spans="1:26" x14ac:dyDescent="0.25">
      <c r="A4253" s="314"/>
      <c r="B4253" s="18">
        <v>2023</v>
      </c>
      <c r="C4253" s="18" t="s">
        <v>701</v>
      </c>
      <c r="D4253" s="18" t="s">
        <v>1830</v>
      </c>
      <c r="E4253" s="18" t="s">
        <v>703</v>
      </c>
      <c r="F4253" s="18" t="s">
        <v>805</v>
      </c>
      <c r="G4253" s="18" t="s">
        <v>678</v>
      </c>
      <c r="H4253" s="18" t="s">
        <v>1222</v>
      </c>
      <c r="I4253" s="315">
        <v>0.31045794436679003</v>
      </c>
      <c r="J4253" s="315">
        <v>5.1002957938197345E-4</v>
      </c>
      <c r="K4253" s="316" t="str">
        <f t="shared" si="62"/>
        <v>Agricultural Equipment</v>
      </c>
      <c r="L4253" s="316" t="str">
        <f t="shared" si="63"/>
        <v>Gasoline</v>
      </c>
      <c r="M4253" s="194"/>
      <c r="N4253" s="317"/>
      <c r="O4253" s="317"/>
      <c r="P4253" s="317"/>
      <c r="Q4253" s="317"/>
      <c r="R4253" s="317"/>
      <c r="S4253" s="317"/>
      <c r="T4253" s="317"/>
      <c r="U4253" s="317"/>
      <c r="V4253" s="317"/>
      <c r="W4253" s="317"/>
      <c r="X4253" s="317"/>
      <c r="Y4253" s="317"/>
      <c r="Z4253" s="317"/>
    </row>
    <row r="4254" spans="1:26" x14ac:dyDescent="0.25">
      <c r="A4254" s="314"/>
      <c r="B4254" s="18">
        <v>2023</v>
      </c>
      <c r="C4254" s="18" t="s">
        <v>759</v>
      </c>
      <c r="D4254" s="18" t="s">
        <v>1362</v>
      </c>
      <c r="E4254" s="18" t="s">
        <v>56</v>
      </c>
      <c r="F4254" s="18" t="s">
        <v>672</v>
      </c>
      <c r="G4254" s="18" t="s">
        <v>674</v>
      </c>
      <c r="H4254" s="18" t="s">
        <v>859</v>
      </c>
      <c r="I4254" s="315">
        <v>0.30999006820808256</v>
      </c>
      <c r="J4254" s="315">
        <v>7.688403135320068E-5</v>
      </c>
      <c r="K4254" s="316" t="str">
        <f t="shared" si="62"/>
        <v>Construction and Mining Equipment</v>
      </c>
      <c r="L4254" s="316" t="str">
        <f t="shared" si="63"/>
        <v>LPG</v>
      </c>
      <c r="M4254" s="194"/>
      <c r="N4254" s="317"/>
      <c r="O4254" s="317"/>
      <c r="P4254" s="317"/>
      <c r="Q4254" s="317"/>
      <c r="R4254" s="317"/>
      <c r="S4254" s="317"/>
      <c r="T4254" s="317"/>
      <c r="U4254" s="317"/>
      <c r="V4254" s="317"/>
      <c r="W4254" s="317"/>
      <c r="X4254" s="317"/>
      <c r="Y4254" s="317"/>
      <c r="Z4254" s="317"/>
    </row>
    <row r="4255" spans="1:26" x14ac:dyDescent="0.25">
      <c r="A4255" s="314"/>
      <c r="B4255" s="18">
        <v>2023</v>
      </c>
      <c r="C4255" s="18" t="s">
        <v>727</v>
      </c>
      <c r="D4255" s="18" t="s">
        <v>1656</v>
      </c>
      <c r="E4255" s="18" t="s">
        <v>56</v>
      </c>
      <c r="F4255" s="18" t="s">
        <v>672</v>
      </c>
      <c r="G4255" s="18" t="s">
        <v>677</v>
      </c>
      <c r="H4255" s="18" t="s">
        <v>1031</v>
      </c>
      <c r="I4255" s="315">
        <v>0.3050887793248489</v>
      </c>
      <c r="J4255" s="315">
        <v>1.5406195519797399E-5</v>
      </c>
      <c r="K4255" s="316" t="str">
        <f t="shared" si="62"/>
        <v>Commercial Equipment</v>
      </c>
      <c r="L4255" s="316" t="str">
        <f t="shared" si="63"/>
        <v>LPG</v>
      </c>
      <c r="M4255" s="194"/>
      <c r="N4255" s="317"/>
      <c r="O4255" s="317"/>
      <c r="P4255" s="317"/>
      <c r="Q4255" s="317"/>
      <c r="R4255" s="317"/>
      <c r="S4255" s="317"/>
      <c r="T4255" s="317"/>
      <c r="U4255" s="317"/>
      <c r="V4255" s="317"/>
      <c r="W4255" s="317"/>
      <c r="X4255" s="317"/>
      <c r="Y4255" s="317"/>
      <c r="Z4255" s="317"/>
    </row>
    <row r="4256" spans="1:26" x14ac:dyDescent="0.25">
      <c r="A4256" s="314"/>
      <c r="B4256" s="18">
        <v>2023</v>
      </c>
      <c r="C4256" s="18" t="s">
        <v>781</v>
      </c>
      <c r="D4256" s="18" t="s">
        <v>1317</v>
      </c>
      <c r="E4256" s="18" t="s">
        <v>713</v>
      </c>
      <c r="F4256" s="18" t="s">
        <v>714</v>
      </c>
      <c r="G4256" s="18" t="s">
        <v>673</v>
      </c>
      <c r="H4256" s="18" t="s">
        <v>865</v>
      </c>
      <c r="I4256" s="315">
        <v>0.3047435361068388</v>
      </c>
      <c r="J4256" s="315">
        <v>9.6247513240781047E-6</v>
      </c>
      <c r="K4256" s="316" t="str">
        <f t="shared" si="62"/>
        <v>Lawn and Garden Equipment</v>
      </c>
      <c r="L4256" s="316" t="str">
        <f t="shared" si="63"/>
        <v>Diesel</v>
      </c>
      <c r="M4256" s="194"/>
      <c r="N4256" s="317"/>
      <c r="O4256" s="317"/>
      <c r="P4256" s="317"/>
      <c r="Q4256" s="317"/>
      <c r="R4256" s="317"/>
      <c r="S4256" s="317"/>
      <c r="T4256" s="317"/>
      <c r="U4256" s="317"/>
      <c r="V4256" s="317"/>
      <c r="W4256" s="317"/>
      <c r="X4256" s="317"/>
      <c r="Y4256" s="317"/>
      <c r="Z4256" s="317"/>
    </row>
    <row r="4257" spans="1:26" x14ac:dyDescent="0.25">
      <c r="A4257" s="314"/>
      <c r="B4257" s="18">
        <v>2023</v>
      </c>
      <c r="C4257" s="18" t="s">
        <v>759</v>
      </c>
      <c r="D4257" s="18" t="s">
        <v>1366</v>
      </c>
      <c r="E4257" s="18" t="s">
        <v>703</v>
      </c>
      <c r="F4257" s="18" t="s">
        <v>704</v>
      </c>
      <c r="G4257" s="18" t="s">
        <v>674</v>
      </c>
      <c r="H4257" s="18" t="s">
        <v>791</v>
      </c>
      <c r="I4257" s="315">
        <v>0.30371968411957462</v>
      </c>
      <c r="J4257" s="315">
        <v>9.4685219743362604E-5</v>
      </c>
      <c r="K4257" s="316" t="str">
        <f t="shared" si="62"/>
        <v>Construction and Mining Equipment</v>
      </c>
      <c r="L4257" s="316" t="str">
        <f t="shared" si="63"/>
        <v>Gasoline</v>
      </c>
      <c r="M4257" s="194"/>
      <c r="N4257" s="317"/>
      <c r="O4257" s="317"/>
      <c r="P4257" s="317"/>
      <c r="Q4257" s="317"/>
      <c r="R4257" s="317"/>
      <c r="S4257" s="317"/>
      <c r="T4257" s="317"/>
      <c r="U4257" s="317"/>
      <c r="V4257" s="317"/>
      <c r="W4257" s="317"/>
      <c r="X4257" s="317"/>
      <c r="Y4257" s="317"/>
      <c r="Z4257" s="317"/>
    </row>
    <row r="4258" spans="1:26" x14ac:dyDescent="0.25">
      <c r="A4258" s="314"/>
      <c r="B4258" s="18">
        <v>2023</v>
      </c>
      <c r="C4258" s="18" t="s">
        <v>778</v>
      </c>
      <c r="D4258" s="18" t="s">
        <v>1655</v>
      </c>
      <c r="E4258" s="18" t="s">
        <v>56</v>
      </c>
      <c r="F4258" s="18" t="s">
        <v>672</v>
      </c>
      <c r="G4258" s="18" t="s">
        <v>677</v>
      </c>
      <c r="H4258" s="18" t="s">
        <v>789</v>
      </c>
      <c r="I4258" s="315">
        <v>0.30371612666951842</v>
      </c>
      <c r="J4258" s="315">
        <v>4.2868407251525401E-5</v>
      </c>
      <c r="K4258" s="316" t="str">
        <f t="shared" si="62"/>
        <v>Commercial Equipment</v>
      </c>
      <c r="L4258" s="316" t="str">
        <f t="shared" si="63"/>
        <v>LPG</v>
      </c>
      <c r="M4258" s="194"/>
      <c r="N4258" s="317"/>
      <c r="O4258" s="317"/>
      <c r="P4258" s="317"/>
      <c r="Q4258" s="317"/>
      <c r="R4258" s="317"/>
      <c r="S4258" s="317"/>
      <c r="T4258" s="317"/>
      <c r="U4258" s="317"/>
      <c r="V4258" s="317"/>
      <c r="W4258" s="317"/>
      <c r="X4258" s="317"/>
      <c r="Y4258" s="317"/>
      <c r="Z4258" s="317"/>
    </row>
    <row r="4259" spans="1:26" x14ac:dyDescent="0.25">
      <c r="A4259" s="314"/>
      <c r="B4259" s="18">
        <v>2023</v>
      </c>
      <c r="C4259" s="18" t="s">
        <v>787</v>
      </c>
      <c r="D4259" s="18" t="s">
        <v>1685</v>
      </c>
      <c r="E4259" s="18" t="s">
        <v>56</v>
      </c>
      <c r="F4259" s="18" t="s">
        <v>672</v>
      </c>
      <c r="G4259" s="18" t="s">
        <v>674</v>
      </c>
      <c r="H4259" s="18" t="s">
        <v>1072</v>
      </c>
      <c r="I4259" s="315">
        <v>0.30194658455263429</v>
      </c>
      <c r="J4259" s="315">
        <v>2.0951679073688086E-5</v>
      </c>
      <c r="K4259" s="316" t="str">
        <f t="shared" si="62"/>
        <v>Construction and Mining Equipment</v>
      </c>
      <c r="L4259" s="316" t="str">
        <f t="shared" si="63"/>
        <v>LPG</v>
      </c>
      <c r="M4259" s="194"/>
      <c r="N4259" s="317"/>
      <c r="O4259" s="317"/>
      <c r="P4259" s="317"/>
      <c r="Q4259" s="317"/>
      <c r="R4259" s="317"/>
      <c r="S4259" s="317"/>
      <c r="T4259" s="317"/>
      <c r="U4259" s="317"/>
      <c r="V4259" s="317"/>
      <c r="W4259" s="317"/>
      <c r="X4259" s="317"/>
      <c r="Y4259" s="317"/>
      <c r="Z4259" s="317"/>
    </row>
    <row r="4260" spans="1:26" x14ac:dyDescent="0.25">
      <c r="A4260" s="314"/>
      <c r="B4260" s="18">
        <v>2023</v>
      </c>
      <c r="C4260" s="18" t="s">
        <v>750</v>
      </c>
      <c r="D4260" s="18" t="s">
        <v>1679</v>
      </c>
      <c r="E4260" s="18" t="s">
        <v>56</v>
      </c>
      <c r="F4260" s="18" t="s">
        <v>672</v>
      </c>
      <c r="G4260" s="18" t="s">
        <v>674</v>
      </c>
      <c r="H4260" s="18" t="s">
        <v>959</v>
      </c>
      <c r="I4260" s="315">
        <v>0.30150931977717005</v>
      </c>
      <c r="J4260" s="315">
        <v>5.1215637287584951E-5</v>
      </c>
      <c r="K4260" s="316" t="str">
        <f t="shared" si="62"/>
        <v>Construction and Mining Equipment</v>
      </c>
      <c r="L4260" s="316" t="str">
        <f t="shared" si="63"/>
        <v>LPG</v>
      </c>
      <c r="M4260" s="194"/>
      <c r="N4260" s="317"/>
      <c r="O4260" s="317"/>
      <c r="P4260" s="317"/>
      <c r="Q4260" s="317"/>
      <c r="R4260" s="317"/>
      <c r="S4260" s="317"/>
      <c r="T4260" s="317"/>
      <c r="U4260" s="317"/>
      <c r="V4260" s="317"/>
      <c r="W4260" s="317"/>
      <c r="X4260" s="317"/>
      <c r="Y4260" s="317"/>
      <c r="Z4260" s="317"/>
    </row>
    <row r="4261" spans="1:26" x14ac:dyDescent="0.25">
      <c r="A4261" s="314"/>
      <c r="B4261" s="18">
        <v>2023</v>
      </c>
      <c r="C4261" s="18" t="s">
        <v>759</v>
      </c>
      <c r="D4261" s="18" t="s">
        <v>1401</v>
      </c>
      <c r="E4261" s="18" t="s">
        <v>56</v>
      </c>
      <c r="F4261" s="18" t="s">
        <v>601</v>
      </c>
      <c r="G4261" s="18" t="s">
        <v>677</v>
      </c>
      <c r="H4261" s="18" t="s">
        <v>785</v>
      </c>
      <c r="I4261" s="315">
        <v>0.30028226368169236</v>
      </c>
      <c r="J4261" s="315">
        <v>1.3015876026373756E-3</v>
      </c>
      <c r="K4261" s="316" t="str">
        <f t="shared" si="62"/>
        <v>Commercial Equipment</v>
      </c>
      <c r="L4261" s="316" t="str">
        <f t="shared" si="63"/>
        <v>CNG</v>
      </c>
      <c r="M4261" s="194"/>
      <c r="N4261" s="317"/>
      <c r="O4261" s="317"/>
      <c r="P4261" s="317"/>
      <c r="Q4261" s="317"/>
      <c r="R4261" s="317"/>
      <c r="S4261" s="317"/>
      <c r="T4261" s="317"/>
      <c r="U4261" s="317"/>
      <c r="V4261" s="317"/>
      <c r="W4261" s="317"/>
      <c r="X4261" s="317"/>
      <c r="Y4261" s="317"/>
      <c r="Z4261" s="317"/>
    </row>
    <row r="4262" spans="1:26" x14ac:dyDescent="0.25">
      <c r="A4262" s="314"/>
      <c r="B4262" s="18">
        <v>2023</v>
      </c>
      <c r="C4262" s="18" t="s">
        <v>706</v>
      </c>
      <c r="D4262" s="18" t="s">
        <v>991</v>
      </c>
      <c r="E4262" s="18" t="s">
        <v>703</v>
      </c>
      <c r="F4262" s="18" t="s">
        <v>795</v>
      </c>
      <c r="G4262" s="18" t="s">
        <v>680</v>
      </c>
      <c r="H4262" s="18" t="s">
        <v>992</v>
      </c>
      <c r="I4262" s="315">
        <v>0.29954326883683702</v>
      </c>
      <c r="J4262" s="315">
        <v>8.6204989071071874E-5</v>
      </c>
      <c r="K4262" s="316" t="str">
        <f t="shared" si="62"/>
        <v>Airport Ground Support Equipment</v>
      </c>
      <c r="L4262" s="316" t="str">
        <f t="shared" si="63"/>
        <v>Gasoline</v>
      </c>
      <c r="M4262" s="194"/>
      <c r="N4262" s="317"/>
      <c r="O4262" s="317"/>
      <c r="P4262" s="317"/>
      <c r="Q4262" s="317"/>
      <c r="R4262" s="317"/>
      <c r="S4262" s="317"/>
      <c r="T4262" s="317"/>
      <c r="U4262" s="317"/>
      <c r="V4262" s="317"/>
      <c r="W4262" s="317"/>
      <c r="X4262" s="317"/>
      <c r="Y4262" s="317"/>
      <c r="Z4262" s="317"/>
    </row>
    <row r="4263" spans="1:26" x14ac:dyDescent="0.25">
      <c r="A4263" s="314"/>
      <c r="B4263" s="18">
        <v>2023</v>
      </c>
      <c r="C4263" s="18" t="s">
        <v>753</v>
      </c>
      <c r="D4263" s="18" t="s">
        <v>1588</v>
      </c>
      <c r="E4263" s="18" t="s">
        <v>56</v>
      </c>
      <c r="F4263" s="18" t="s">
        <v>1575</v>
      </c>
      <c r="G4263" s="18" t="s">
        <v>675</v>
      </c>
      <c r="H4263" s="18" t="s">
        <v>1589</v>
      </c>
      <c r="I4263" s="315">
        <v>0.29800449465770651</v>
      </c>
      <c r="J4263" s="315">
        <v>1.2541097889806881E-3</v>
      </c>
      <c r="K4263" s="316" t="str">
        <f t="shared" si="62"/>
        <v>Industrial Equipment</v>
      </c>
      <c r="L4263" s="316" t="str">
        <f t="shared" si="63"/>
        <v>CNG</v>
      </c>
      <c r="M4263" s="194"/>
      <c r="N4263" s="317"/>
      <c r="O4263" s="317"/>
      <c r="P4263" s="317"/>
      <c r="Q4263" s="317"/>
      <c r="R4263" s="317"/>
      <c r="S4263" s="317"/>
      <c r="T4263" s="317"/>
      <c r="U4263" s="317"/>
      <c r="V4263" s="317"/>
      <c r="W4263" s="317"/>
      <c r="X4263" s="317"/>
      <c r="Y4263" s="317"/>
      <c r="Z4263" s="317"/>
    </row>
    <row r="4264" spans="1:26" ht="12.75" x14ac:dyDescent="0.2">
      <c r="A4264" s="230"/>
      <c r="B4264" s="18">
        <v>2023</v>
      </c>
      <c r="C4264" s="18" t="s">
        <v>732</v>
      </c>
      <c r="D4264" s="18" t="s">
        <v>1792</v>
      </c>
      <c r="E4264" s="18" t="s">
        <v>713</v>
      </c>
      <c r="F4264" s="18" t="s">
        <v>714</v>
      </c>
      <c r="G4264" s="18" t="s">
        <v>673</v>
      </c>
      <c r="H4264" s="18" t="s">
        <v>749</v>
      </c>
      <c r="I4264" s="315">
        <v>0.29778739475955268</v>
      </c>
      <c r="J4264" s="315">
        <v>1.5377140078095867E-5</v>
      </c>
      <c r="K4264" s="316" t="str">
        <f t="shared" si="62"/>
        <v>Lawn and Garden Equipment</v>
      </c>
      <c r="L4264" s="316" t="str">
        <f t="shared" si="63"/>
        <v>Diesel</v>
      </c>
      <c r="M4264" s="8"/>
      <c r="N4264" s="2"/>
      <c r="O4264" s="2"/>
      <c r="P4264" s="2"/>
      <c r="Q4264" s="2"/>
      <c r="R4264" s="2"/>
      <c r="S4264" s="2"/>
      <c r="T4264" s="2"/>
      <c r="U4264" s="2"/>
      <c r="V4264" s="2"/>
      <c r="W4264" s="2"/>
      <c r="X4264" s="2"/>
      <c r="Y4264" s="2"/>
      <c r="Z4264" s="2"/>
    </row>
    <row r="4265" spans="1:26" x14ac:dyDescent="0.25">
      <c r="A4265" s="314"/>
      <c r="B4265" s="18">
        <v>2023</v>
      </c>
      <c r="C4265" s="18" t="s">
        <v>731</v>
      </c>
      <c r="D4265" s="18" t="s">
        <v>737</v>
      </c>
      <c r="E4265" s="18" t="s">
        <v>713</v>
      </c>
      <c r="F4265" s="18" t="s">
        <v>714</v>
      </c>
      <c r="G4265" s="18" t="s">
        <v>680</v>
      </c>
      <c r="H4265" s="18" t="s">
        <v>680</v>
      </c>
      <c r="I4265" s="315">
        <v>0.29742818552837053</v>
      </c>
      <c r="J4265" s="315">
        <v>2.4015481826542125E-6</v>
      </c>
      <c r="K4265" s="316" t="str">
        <f t="shared" si="62"/>
        <v>Airport Ground Support Equipment</v>
      </c>
      <c r="L4265" s="316" t="str">
        <f t="shared" si="63"/>
        <v>Diesel</v>
      </c>
      <c r="M4265" s="194"/>
      <c r="N4265" s="317"/>
      <c r="O4265" s="317"/>
      <c r="P4265" s="317"/>
      <c r="Q4265" s="317"/>
      <c r="R4265" s="317"/>
      <c r="S4265" s="317"/>
      <c r="T4265" s="317"/>
      <c r="U4265" s="317"/>
      <c r="V4265" s="317"/>
      <c r="W4265" s="317"/>
      <c r="X4265" s="317"/>
      <c r="Y4265" s="317"/>
      <c r="Z4265" s="317"/>
    </row>
    <row r="4266" spans="1:26" x14ac:dyDescent="0.25">
      <c r="A4266" s="314"/>
      <c r="B4266" s="18">
        <v>2023</v>
      </c>
      <c r="C4266" s="18" t="s">
        <v>743</v>
      </c>
      <c r="D4266" s="18" t="s">
        <v>1839</v>
      </c>
      <c r="E4266" s="18" t="s">
        <v>56</v>
      </c>
      <c r="F4266" s="18" t="s">
        <v>683</v>
      </c>
      <c r="G4266" s="18" t="s">
        <v>672</v>
      </c>
      <c r="H4266" s="18" t="s">
        <v>1002</v>
      </c>
      <c r="I4266" s="315">
        <v>0.29604617012307083</v>
      </c>
      <c r="J4266" s="315">
        <v>2.383594017137076E-5</v>
      </c>
      <c r="K4266" s="316" t="str">
        <f t="shared" si="62"/>
        <v>Railroad Equipment</v>
      </c>
      <c r="L4266" s="316" t="str">
        <f t="shared" si="63"/>
        <v>LPG</v>
      </c>
      <c r="M4266" s="194"/>
      <c r="N4266" s="317"/>
      <c r="O4266" s="317"/>
      <c r="P4266" s="317"/>
      <c r="Q4266" s="317"/>
      <c r="R4266" s="317"/>
      <c r="S4266" s="317"/>
      <c r="T4266" s="317"/>
      <c r="U4266" s="317"/>
      <c r="V4266" s="317"/>
      <c r="W4266" s="317"/>
      <c r="X4266" s="317"/>
      <c r="Y4266" s="317"/>
      <c r="Z4266" s="317"/>
    </row>
    <row r="4267" spans="1:26" x14ac:dyDescent="0.25">
      <c r="A4267" s="314"/>
      <c r="B4267" s="18">
        <v>2023</v>
      </c>
      <c r="C4267" s="18" t="s">
        <v>709</v>
      </c>
      <c r="D4267" s="18" t="s">
        <v>1708</v>
      </c>
      <c r="E4267" s="18" t="s">
        <v>703</v>
      </c>
      <c r="F4267" s="18" t="s">
        <v>704</v>
      </c>
      <c r="G4267" s="18" t="s">
        <v>678</v>
      </c>
      <c r="H4267" s="18" t="s">
        <v>1709</v>
      </c>
      <c r="I4267" s="315">
        <v>0.29524341994240944</v>
      </c>
      <c r="J4267" s="315">
        <v>1.9938405501291928E-4</v>
      </c>
      <c r="K4267" s="316" t="str">
        <f t="shared" si="62"/>
        <v>Agricultural Equipment</v>
      </c>
      <c r="L4267" s="316" t="str">
        <f t="shared" si="63"/>
        <v>Gasoline</v>
      </c>
      <c r="M4267" s="194"/>
      <c r="N4267" s="317"/>
      <c r="O4267" s="317"/>
      <c r="P4267" s="317"/>
      <c r="Q4267" s="317"/>
      <c r="R4267" s="317"/>
      <c r="S4267" s="317"/>
      <c r="T4267" s="317"/>
      <c r="U4267" s="317"/>
      <c r="V4267" s="317"/>
      <c r="W4267" s="317"/>
      <c r="X4267" s="317"/>
      <c r="Y4267" s="317"/>
      <c r="Z4267" s="317"/>
    </row>
    <row r="4268" spans="1:26" x14ac:dyDescent="0.25">
      <c r="A4268" s="314"/>
      <c r="B4268" s="18">
        <v>2023</v>
      </c>
      <c r="C4268" s="18" t="s">
        <v>743</v>
      </c>
      <c r="D4268" s="18" t="s">
        <v>1715</v>
      </c>
      <c r="E4268" s="18" t="s">
        <v>703</v>
      </c>
      <c r="F4268" s="18" t="s">
        <v>805</v>
      </c>
      <c r="G4268" s="18" t="s">
        <v>677</v>
      </c>
      <c r="H4268" s="18" t="s">
        <v>1031</v>
      </c>
      <c r="I4268" s="315">
        <v>0.29487854209011244</v>
      </c>
      <c r="J4268" s="315">
        <v>6.5887916343367004E-4</v>
      </c>
      <c r="K4268" s="316" t="str">
        <f t="shared" si="62"/>
        <v>Commercial Equipment</v>
      </c>
      <c r="L4268" s="316" t="str">
        <f t="shared" si="63"/>
        <v>Gasoline</v>
      </c>
      <c r="M4268" s="194"/>
      <c r="N4268" s="317"/>
      <c r="O4268" s="317"/>
      <c r="P4268" s="317"/>
      <c r="Q4268" s="317"/>
      <c r="R4268" s="317"/>
      <c r="S4268" s="317"/>
      <c r="T4268" s="317"/>
      <c r="U4268" s="317"/>
      <c r="V4268" s="317"/>
      <c r="W4268" s="317"/>
      <c r="X4268" s="317"/>
      <c r="Y4268" s="317"/>
      <c r="Z4268" s="317"/>
    </row>
    <row r="4269" spans="1:26" x14ac:dyDescent="0.25">
      <c r="A4269" s="314"/>
      <c r="B4269" s="18">
        <v>2023</v>
      </c>
      <c r="C4269" s="18" t="s">
        <v>762</v>
      </c>
      <c r="D4269" s="18" t="s">
        <v>1656</v>
      </c>
      <c r="E4269" s="18" t="s">
        <v>56</v>
      </c>
      <c r="F4269" s="18" t="s">
        <v>672</v>
      </c>
      <c r="G4269" s="18" t="s">
        <v>677</v>
      </c>
      <c r="H4269" s="18" t="s">
        <v>1031</v>
      </c>
      <c r="I4269" s="315">
        <v>0.29392688233525877</v>
      </c>
      <c r="J4269" s="315">
        <v>1.4842547335437672E-5</v>
      </c>
      <c r="K4269" s="316" t="str">
        <f t="shared" si="62"/>
        <v>Commercial Equipment</v>
      </c>
      <c r="L4269" s="316" t="str">
        <f t="shared" si="63"/>
        <v>LPG</v>
      </c>
      <c r="M4269" s="194"/>
      <c r="N4269" s="317"/>
      <c r="O4269" s="317"/>
      <c r="P4269" s="317"/>
      <c r="Q4269" s="317"/>
      <c r="R4269" s="317"/>
      <c r="S4269" s="317"/>
      <c r="T4269" s="317"/>
      <c r="U4269" s="317"/>
      <c r="V4269" s="317"/>
      <c r="W4269" s="317"/>
      <c r="X4269" s="317"/>
      <c r="Y4269" s="317"/>
      <c r="Z4269" s="317"/>
    </row>
    <row r="4270" spans="1:26" x14ac:dyDescent="0.25">
      <c r="A4270" s="314"/>
      <c r="B4270" s="18">
        <v>2023</v>
      </c>
      <c r="C4270" s="18" t="s">
        <v>722</v>
      </c>
      <c r="D4270" s="18" t="s">
        <v>1744</v>
      </c>
      <c r="E4270" s="18" t="s">
        <v>703</v>
      </c>
      <c r="F4270" s="18" t="s">
        <v>704</v>
      </c>
      <c r="G4270" s="18" t="s">
        <v>678</v>
      </c>
      <c r="H4270" s="18" t="s">
        <v>1745</v>
      </c>
      <c r="I4270" s="315">
        <v>0.28986667375173641</v>
      </c>
      <c r="J4270" s="315">
        <v>1.8507759470317244E-4</v>
      </c>
      <c r="K4270" s="316" t="str">
        <f t="shared" si="62"/>
        <v>Agricultural Equipment</v>
      </c>
      <c r="L4270" s="316" t="str">
        <f t="shared" si="63"/>
        <v>Gasoline</v>
      </c>
      <c r="M4270" s="194"/>
      <c r="N4270" s="317"/>
      <c r="O4270" s="317"/>
      <c r="P4270" s="317"/>
      <c r="Q4270" s="317"/>
      <c r="R4270" s="317"/>
      <c r="S4270" s="317"/>
      <c r="T4270" s="317"/>
      <c r="U4270" s="317"/>
      <c r="V4270" s="317"/>
      <c r="W4270" s="317"/>
      <c r="X4270" s="317"/>
      <c r="Y4270" s="317"/>
      <c r="Z4270" s="317"/>
    </row>
    <row r="4271" spans="1:26" x14ac:dyDescent="0.25">
      <c r="A4271" s="314"/>
      <c r="B4271" s="18">
        <v>2023</v>
      </c>
      <c r="C4271" s="18" t="s">
        <v>778</v>
      </c>
      <c r="D4271" s="18" t="s">
        <v>1656</v>
      </c>
      <c r="E4271" s="18" t="s">
        <v>56</v>
      </c>
      <c r="F4271" s="18" t="s">
        <v>672</v>
      </c>
      <c r="G4271" s="18" t="s">
        <v>677</v>
      </c>
      <c r="H4271" s="18" t="s">
        <v>1031</v>
      </c>
      <c r="I4271" s="315">
        <v>0.28276519966529012</v>
      </c>
      <c r="J4271" s="315">
        <v>1.4278908741644349E-5</v>
      </c>
      <c r="K4271" s="316" t="str">
        <f t="shared" si="62"/>
        <v>Commercial Equipment</v>
      </c>
      <c r="L4271" s="316" t="str">
        <f t="shared" si="63"/>
        <v>LPG</v>
      </c>
      <c r="M4271" s="194"/>
      <c r="N4271" s="317"/>
      <c r="O4271" s="317"/>
      <c r="P4271" s="317"/>
      <c r="Q4271" s="317"/>
      <c r="R4271" s="317"/>
      <c r="S4271" s="317"/>
      <c r="T4271" s="317"/>
      <c r="U4271" s="317"/>
      <c r="V4271" s="317"/>
      <c r="W4271" s="317"/>
      <c r="X4271" s="317"/>
      <c r="Y4271" s="317"/>
      <c r="Z4271" s="317"/>
    </row>
    <row r="4272" spans="1:26" x14ac:dyDescent="0.25">
      <c r="A4272" s="314"/>
      <c r="B4272" s="18">
        <v>2023</v>
      </c>
      <c r="C4272" s="18" t="s">
        <v>750</v>
      </c>
      <c r="D4272" s="18" t="s">
        <v>1685</v>
      </c>
      <c r="E4272" s="18" t="s">
        <v>56</v>
      </c>
      <c r="F4272" s="18" t="s">
        <v>672</v>
      </c>
      <c r="G4272" s="18" t="s">
        <v>674</v>
      </c>
      <c r="H4272" s="18" t="s">
        <v>1072</v>
      </c>
      <c r="I4272" s="315">
        <v>0.28229385265396589</v>
      </c>
      <c r="J4272" s="315">
        <v>1.9587991619486401E-5</v>
      </c>
      <c r="K4272" s="316" t="str">
        <f t="shared" si="62"/>
        <v>Construction and Mining Equipment</v>
      </c>
      <c r="L4272" s="316" t="str">
        <f t="shared" si="63"/>
        <v>LPG</v>
      </c>
      <c r="M4272" s="194"/>
      <c r="N4272" s="317"/>
      <c r="O4272" s="317"/>
      <c r="P4272" s="317"/>
      <c r="Q4272" s="317"/>
      <c r="R4272" s="317"/>
      <c r="S4272" s="317"/>
      <c r="T4272" s="317"/>
      <c r="U4272" s="317"/>
      <c r="V4272" s="317"/>
      <c r="W4272" s="317"/>
      <c r="X4272" s="317"/>
      <c r="Y4272" s="317"/>
      <c r="Z4272" s="317"/>
    </row>
    <row r="4273" spans="1:26" x14ac:dyDescent="0.25">
      <c r="A4273" s="314"/>
      <c r="B4273" s="18">
        <v>2023</v>
      </c>
      <c r="C4273" s="18" t="s">
        <v>792</v>
      </c>
      <c r="D4273" s="18" t="s">
        <v>1317</v>
      </c>
      <c r="E4273" s="18" t="s">
        <v>713</v>
      </c>
      <c r="F4273" s="18" t="s">
        <v>714</v>
      </c>
      <c r="G4273" s="18" t="s">
        <v>673</v>
      </c>
      <c r="H4273" s="18" t="s">
        <v>865</v>
      </c>
      <c r="I4273" s="315">
        <v>0.28217008742883215</v>
      </c>
      <c r="J4273" s="315">
        <v>8.9118049109515333E-6</v>
      </c>
      <c r="K4273" s="316" t="str">
        <f t="shared" si="62"/>
        <v>Lawn and Garden Equipment</v>
      </c>
      <c r="L4273" s="316" t="str">
        <f t="shared" si="63"/>
        <v>Diesel</v>
      </c>
      <c r="M4273" s="194"/>
      <c r="N4273" s="317"/>
      <c r="O4273" s="317"/>
      <c r="P4273" s="317"/>
      <c r="Q4273" s="317"/>
      <c r="R4273" s="317"/>
      <c r="S4273" s="317"/>
      <c r="T4273" s="317"/>
      <c r="U4273" s="317"/>
      <c r="V4273" s="317"/>
      <c r="W4273" s="317"/>
      <c r="X4273" s="317"/>
      <c r="Y4273" s="317"/>
      <c r="Z4273" s="317"/>
    </row>
    <row r="4274" spans="1:26" x14ac:dyDescent="0.25">
      <c r="A4274" s="314"/>
      <c r="B4274" s="18">
        <v>2023</v>
      </c>
      <c r="C4274" s="18" t="s">
        <v>778</v>
      </c>
      <c r="D4274" s="18" t="s">
        <v>1617</v>
      </c>
      <c r="E4274" s="18" t="s">
        <v>703</v>
      </c>
      <c r="F4274" s="18" t="s">
        <v>805</v>
      </c>
      <c r="G4274" s="18" t="s">
        <v>675</v>
      </c>
      <c r="H4274" s="18" t="s">
        <v>802</v>
      </c>
      <c r="I4274" s="315">
        <v>0.27869760825689849</v>
      </c>
      <c r="J4274" s="315">
        <v>6.2272287206849677E-4</v>
      </c>
      <c r="K4274" s="316" t="str">
        <f t="shared" si="62"/>
        <v>Industrial Equipment</v>
      </c>
      <c r="L4274" s="316" t="str">
        <f t="shared" si="63"/>
        <v>Gasoline</v>
      </c>
      <c r="M4274" s="194"/>
      <c r="N4274" s="317"/>
      <c r="O4274" s="317"/>
      <c r="P4274" s="317"/>
      <c r="Q4274" s="317"/>
      <c r="R4274" s="317"/>
      <c r="S4274" s="317"/>
      <c r="T4274" s="317"/>
      <c r="U4274" s="317"/>
      <c r="V4274" s="317"/>
      <c r="W4274" s="317"/>
      <c r="X4274" s="317"/>
      <c r="Y4274" s="317"/>
      <c r="Z4274" s="317"/>
    </row>
    <row r="4275" spans="1:26" x14ac:dyDescent="0.25">
      <c r="A4275" s="314"/>
      <c r="B4275" s="18">
        <v>2023</v>
      </c>
      <c r="C4275" s="18" t="s">
        <v>787</v>
      </c>
      <c r="D4275" s="18" t="s">
        <v>1838</v>
      </c>
      <c r="E4275" s="18" t="s">
        <v>713</v>
      </c>
      <c r="F4275" s="18" t="s">
        <v>714</v>
      </c>
      <c r="G4275" s="18" t="s">
        <v>678</v>
      </c>
      <c r="H4275" s="18" t="s">
        <v>1745</v>
      </c>
      <c r="I4275" s="315">
        <v>0.27865925564118443</v>
      </c>
      <c r="J4275" s="315">
        <v>2.0165926774993622E-6</v>
      </c>
      <c r="K4275" s="316" t="str">
        <f t="shared" si="62"/>
        <v>Agricultural Equipment</v>
      </c>
      <c r="L4275" s="316" t="str">
        <f t="shared" si="63"/>
        <v>Diesel</v>
      </c>
      <c r="M4275" s="194"/>
      <c r="N4275" s="317"/>
      <c r="O4275" s="317"/>
      <c r="P4275" s="317"/>
      <c r="Q4275" s="317"/>
      <c r="R4275" s="317"/>
      <c r="S4275" s="317"/>
      <c r="T4275" s="317"/>
      <c r="U4275" s="317"/>
      <c r="V4275" s="317"/>
      <c r="W4275" s="317"/>
      <c r="X4275" s="317"/>
      <c r="Y4275" s="317"/>
      <c r="Z4275" s="317"/>
    </row>
    <row r="4276" spans="1:26" x14ac:dyDescent="0.25">
      <c r="A4276" s="314"/>
      <c r="B4276" s="18">
        <v>2023</v>
      </c>
      <c r="C4276" s="18" t="s">
        <v>792</v>
      </c>
      <c r="D4276" s="18" t="s">
        <v>1657</v>
      </c>
      <c r="E4276" s="18" t="s">
        <v>713</v>
      </c>
      <c r="F4276" s="18" t="s">
        <v>714</v>
      </c>
      <c r="G4276" s="18" t="s">
        <v>678</v>
      </c>
      <c r="H4276" s="18" t="s">
        <v>1638</v>
      </c>
      <c r="I4276" s="315">
        <v>0.27687550390799837</v>
      </c>
      <c r="J4276" s="315">
        <v>3.0727025028164582E-6</v>
      </c>
      <c r="K4276" s="316" t="str">
        <f t="shared" si="62"/>
        <v>Agricultural Equipment</v>
      </c>
      <c r="L4276" s="316" t="str">
        <f t="shared" si="63"/>
        <v>Diesel</v>
      </c>
      <c r="M4276" s="194"/>
      <c r="N4276" s="317"/>
      <c r="O4276" s="317"/>
      <c r="P4276" s="317"/>
      <c r="Q4276" s="317"/>
      <c r="R4276" s="317"/>
      <c r="S4276" s="317"/>
      <c r="T4276" s="317"/>
      <c r="U4276" s="317"/>
      <c r="V4276" s="317"/>
      <c r="W4276" s="317"/>
      <c r="X4276" s="317"/>
      <c r="Y4276" s="317"/>
      <c r="Z4276" s="317"/>
    </row>
    <row r="4277" spans="1:26" x14ac:dyDescent="0.25">
      <c r="A4277" s="314"/>
      <c r="B4277" s="18">
        <v>2023</v>
      </c>
      <c r="C4277" s="18" t="s">
        <v>781</v>
      </c>
      <c r="D4277" s="18" t="s">
        <v>1416</v>
      </c>
      <c r="E4277" s="18" t="s">
        <v>56</v>
      </c>
      <c r="F4277" s="18" t="s">
        <v>672</v>
      </c>
      <c r="G4277" s="18" t="s">
        <v>674</v>
      </c>
      <c r="H4277" s="18" t="s">
        <v>861</v>
      </c>
      <c r="I4277" s="315">
        <v>0.27510384695330953</v>
      </c>
      <c r="J4277" s="315">
        <v>1.8582282531503797E-4</v>
      </c>
      <c r="K4277" s="316" t="str">
        <f t="shared" si="62"/>
        <v>Construction and Mining Equipment</v>
      </c>
      <c r="L4277" s="316" t="str">
        <f t="shared" si="63"/>
        <v>LPG</v>
      </c>
      <c r="M4277" s="194"/>
      <c r="N4277" s="317"/>
      <c r="O4277" s="317"/>
      <c r="P4277" s="317"/>
      <c r="Q4277" s="317"/>
      <c r="R4277" s="317"/>
      <c r="S4277" s="317"/>
      <c r="T4277" s="317"/>
      <c r="U4277" s="317"/>
      <c r="V4277" s="317"/>
      <c r="W4277" s="317"/>
      <c r="X4277" s="317"/>
      <c r="Y4277" s="317"/>
      <c r="Z4277" s="317"/>
    </row>
    <row r="4278" spans="1:26" x14ac:dyDescent="0.25">
      <c r="A4278" s="314"/>
      <c r="B4278" s="18">
        <v>2023</v>
      </c>
      <c r="C4278" s="18" t="s">
        <v>754</v>
      </c>
      <c r="D4278" s="18" t="s">
        <v>1717</v>
      </c>
      <c r="E4278" s="18" t="s">
        <v>56</v>
      </c>
      <c r="F4278" s="18" t="s">
        <v>601</v>
      </c>
      <c r="G4278" s="18" t="s">
        <v>675</v>
      </c>
      <c r="H4278" s="18" t="s">
        <v>802</v>
      </c>
      <c r="I4278" s="315">
        <v>0.27358007847804106</v>
      </c>
      <c r="J4278" s="315">
        <v>1.090105576041503E-3</v>
      </c>
      <c r="K4278" s="316" t="str">
        <f t="shared" si="62"/>
        <v>Industrial Equipment</v>
      </c>
      <c r="L4278" s="316" t="str">
        <f t="shared" si="63"/>
        <v>CNG</v>
      </c>
      <c r="M4278" s="194"/>
      <c r="N4278" s="317"/>
      <c r="O4278" s="317"/>
      <c r="P4278" s="317"/>
      <c r="Q4278" s="317"/>
      <c r="R4278" s="317"/>
      <c r="S4278" s="317"/>
      <c r="T4278" s="317"/>
      <c r="U4278" s="317"/>
      <c r="V4278" s="317"/>
      <c r="W4278" s="317"/>
      <c r="X4278" s="317"/>
      <c r="Y4278" s="317"/>
      <c r="Z4278" s="317"/>
    </row>
    <row r="4279" spans="1:26" x14ac:dyDescent="0.25">
      <c r="A4279" s="314"/>
      <c r="B4279" s="18">
        <v>2023</v>
      </c>
      <c r="C4279" s="18" t="s">
        <v>754</v>
      </c>
      <c r="D4279" s="18" t="s">
        <v>1737</v>
      </c>
      <c r="E4279" s="18" t="s">
        <v>703</v>
      </c>
      <c r="F4279" s="18" t="s">
        <v>805</v>
      </c>
      <c r="G4279" s="18" t="s">
        <v>673</v>
      </c>
      <c r="H4279" s="18" t="s">
        <v>705</v>
      </c>
      <c r="I4279" s="315">
        <v>0.27349676895770086</v>
      </c>
      <c r="J4279" s="315">
        <v>5.4844632972463709E-4</v>
      </c>
      <c r="K4279" s="316" t="str">
        <f t="shared" si="62"/>
        <v>Lawn and Garden Equipment</v>
      </c>
      <c r="L4279" s="316" t="str">
        <f t="shared" si="63"/>
        <v>Gasoline</v>
      </c>
      <c r="M4279" s="194"/>
      <c r="N4279" s="317"/>
      <c r="O4279" s="317"/>
      <c r="P4279" s="317"/>
      <c r="Q4279" s="317"/>
      <c r="R4279" s="317"/>
      <c r="S4279" s="317"/>
      <c r="T4279" s="317"/>
      <c r="U4279" s="317"/>
      <c r="V4279" s="317"/>
      <c r="W4279" s="317"/>
      <c r="X4279" s="317"/>
      <c r="Y4279" s="317"/>
      <c r="Z4279" s="317"/>
    </row>
    <row r="4280" spans="1:26" x14ac:dyDescent="0.25">
      <c r="A4280" s="314"/>
      <c r="B4280" s="18">
        <v>2023</v>
      </c>
      <c r="C4280" s="18" t="s">
        <v>701</v>
      </c>
      <c r="D4280" s="18" t="s">
        <v>1841</v>
      </c>
      <c r="E4280" s="18" t="s">
        <v>703</v>
      </c>
      <c r="F4280" s="18" t="s">
        <v>805</v>
      </c>
      <c r="G4280" s="18" t="s">
        <v>675</v>
      </c>
      <c r="H4280" s="18" t="s">
        <v>798</v>
      </c>
      <c r="I4280" s="315">
        <v>0.27308884959619395</v>
      </c>
      <c r="J4280" s="315">
        <v>6.1019157661912587E-4</v>
      </c>
      <c r="K4280" s="316" t="str">
        <f t="shared" si="62"/>
        <v>Industrial Equipment</v>
      </c>
      <c r="L4280" s="316" t="str">
        <f t="shared" si="63"/>
        <v>Gasoline</v>
      </c>
      <c r="M4280" s="194"/>
      <c r="N4280" s="317"/>
      <c r="O4280" s="317"/>
      <c r="P4280" s="317"/>
      <c r="Q4280" s="317"/>
      <c r="R4280" s="317"/>
      <c r="S4280" s="317"/>
      <c r="T4280" s="317"/>
      <c r="U4280" s="317"/>
      <c r="V4280" s="317"/>
      <c r="W4280" s="317"/>
      <c r="X4280" s="317"/>
      <c r="Y4280" s="317"/>
      <c r="Z4280" s="317"/>
    </row>
    <row r="4281" spans="1:26" x14ac:dyDescent="0.25">
      <c r="A4281" s="314"/>
      <c r="B4281" s="18">
        <v>2023</v>
      </c>
      <c r="C4281" s="18" t="s">
        <v>706</v>
      </c>
      <c r="D4281" s="18" t="s">
        <v>1830</v>
      </c>
      <c r="E4281" s="18" t="s">
        <v>703</v>
      </c>
      <c r="F4281" s="18" t="s">
        <v>805</v>
      </c>
      <c r="G4281" s="18" t="s">
        <v>678</v>
      </c>
      <c r="H4281" s="18" t="s">
        <v>1222</v>
      </c>
      <c r="I4281" s="315">
        <v>0.27062518317712031</v>
      </c>
      <c r="J4281" s="315">
        <v>4.4459112695567019E-4</v>
      </c>
      <c r="K4281" s="316" t="str">
        <f t="shared" si="62"/>
        <v>Agricultural Equipment</v>
      </c>
      <c r="L4281" s="316" t="str">
        <f t="shared" si="63"/>
        <v>Gasoline</v>
      </c>
      <c r="M4281" s="194"/>
      <c r="N4281" s="317"/>
      <c r="O4281" s="317"/>
      <c r="P4281" s="317"/>
      <c r="Q4281" s="317"/>
      <c r="R4281" s="317"/>
      <c r="S4281" s="317"/>
      <c r="T4281" s="317"/>
      <c r="U4281" s="317"/>
      <c r="V4281" s="317"/>
      <c r="W4281" s="317"/>
      <c r="X4281" s="317"/>
      <c r="Y4281" s="317"/>
      <c r="Z4281" s="317"/>
    </row>
    <row r="4282" spans="1:26" x14ac:dyDescent="0.25">
      <c r="A4282" s="314"/>
      <c r="B4282" s="18">
        <v>2023</v>
      </c>
      <c r="C4282" s="18" t="s">
        <v>753</v>
      </c>
      <c r="D4282" s="18" t="s">
        <v>1655</v>
      </c>
      <c r="E4282" s="18" t="s">
        <v>56</v>
      </c>
      <c r="F4282" s="18" t="s">
        <v>672</v>
      </c>
      <c r="G4282" s="18" t="s">
        <v>677</v>
      </c>
      <c r="H4282" s="18" t="s">
        <v>789</v>
      </c>
      <c r="I4282" s="315">
        <v>0.26774981370993745</v>
      </c>
      <c r="J4282" s="315">
        <v>3.7791898409629308E-5</v>
      </c>
      <c r="K4282" s="316" t="str">
        <f t="shared" si="62"/>
        <v>Commercial Equipment</v>
      </c>
      <c r="L4282" s="316" t="str">
        <f t="shared" si="63"/>
        <v>LPG</v>
      </c>
      <c r="M4282" s="194"/>
      <c r="N4282" s="317"/>
      <c r="O4282" s="317"/>
      <c r="P4282" s="317"/>
      <c r="Q4282" s="317"/>
      <c r="R4282" s="317"/>
      <c r="S4282" s="317"/>
      <c r="T4282" s="317"/>
      <c r="U4282" s="317"/>
      <c r="V4282" s="317"/>
      <c r="W4282" s="317"/>
      <c r="X4282" s="317"/>
      <c r="Y4282" s="317"/>
      <c r="Z4282" s="317"/>
    </row>
    <row r="4283" spans="1:26" x14ac:dyDescent="0.25">
      <c r="A4283" s="314"/>
      <c r="B4283" s="18">
        <v>2023</v>
      </c>
      <c r="C4283" s="18" t="s">
        <v>711</v>
      </c>
      <c r="D4283" s="18" t="s">
        <v>1744</v>
      </c>
      <c r="E4283" s="18" t="s">
        <v>703</v>
      </c>
      <c r="F4283" s="18" t="s">
        <v>704</v>
      </c>
      <c r="G4283" s="18" t="s">
        <v>678</v>
      </c>
      <c r="H4283" s="18" t="s">
        <v>1745</v>
      </c>
      <c r="I4283" s="315">
        <v>0.26450788284103594</v>
      </c>
      <c r="J4283" s="315">
        <v>1.6870168378103052E-4</v>
      </c>
      <c r="K4283" s="316" t="str">
        <f t="shared" si="62"/>
        <v>Agricultural Equipment</v>
      </c>
      <c r="L4283" s="316" t="str">
        <f t="shared" si="63"/>
        <v>Gasoline</v>
      </c>
      <c r="M4283" s="194"/>
      <c r="N4283" s="317"/>
      <c r="O4283" s="317"/>
      <c r="P4283" s="317"/>
      <c r="Q4283" s="317"/>
      <c r="R4283" s="317"/>
      <c r="S4283" s="317"/>
      <c r="T4283" s="317"/>
      <c r="U4283" s="317"/>
      <c r="V4283" s="317"/>
      <c r="W4283" s="317"/>
      <c r="X4283" s="317"/>
      <c r="Y4283" s="317"/>
      <c r="Z4283" s="317"/>
    </row>
    <row r="4284" spans="1:26" x14ac:dyDescent="0.25">
      <c r="A4284" s="314"/>
      <c r="B4284" s="18">
        <v>2023</v>
      </c>
      <c r="C4284" s="18" t="s">
        <v>731</v>
      </c>
      <c r="D4284" s="18" t="s">
        <v>1588</v>
      </c>
      <c r="E4284" s="18" t="s">
        <v>56</v>
      </c>
      <c r="F4284" s="18" t="s">
        <v>1575</v>
      </c>
      <c r="G4284" s="18" t="s">
        <v>675</v>
      </c>
      <c r="H4284" s="18" t="s">
        <v>1589</v>
      </c>
      <c r="I4284" s="315">
        <v>0.26442083849600689</v>
      </c>
      <c r="J4284" s="315">
        <v>1.1127783377716841E-3</v>
      </c>
      <c r="K4284" s="316" t="str">
        <f t="shared" si="62"/>
        <v>Industrial Equipment</v>
      </c>
      <c r="L4284" s="316" t="str">
        <f t="shared" si="63"/>
        <v>CNG</v>
      </c>
      <c r="M4284" s="194"/>
      <c r="N4284" s="317"/>
      <c r="O4284" s="317"/>
      <c r="P4284" s="317"/>
      <c r="Q4284" s="317"/>
      <c r="R4284" s="317"/>
      <c r="S4284" s="317"/>
      <c r="T4284" s="317"/>
      <c r="U4284" s="317"/>
      <c r="V4284" s="317"/>
      <c r="W4284" s="317"/>
      <c r="X4284" s="317"/>
      <c r="Y4284" s="317"/>
      <c r="Z4284" s="317"/>
    </row>
    <row r="4285" spans="1:26" x14ac:dyDescent="0.25">
      <c r="A4285" s="314"/>
      <c r="B4285" s="18">
        <v>2023</v>
      </c>
      <c r="C4285" s="18" t="s">
        <v>711</v>
      </c>
      <c r="D4285" s="18" t="s">
        <v>1841</v>
      </c>
      <c r="E4285" s="18" t="s">
        <v>703</v>
      </c>
      <c r="F4285" s="18" t="s">
        <v>805</v>
      </c>
      <c r="G4285" s="18" t="s">
        <v>675</v>
      </c>
      <c r="H4285" s="18" t="s">
        <v>798</v>
      </c>
      <c r="I4285" s="315">
        <v>0.26373892267508048</v>
      </c>
      <c r="J4285" s="315">
        <v>5.8929989976717434E-4</v>
      </c>
      <c r="K4285" s="316" t="str">
        <f t="shared" si="62"/>
        <v>Industrial Equipment</v>
      </c>
      <c r="L4285" s="316" t="str">
        <f t="shared" si="63"/>
        <v>Gasoline</v>
      </c>
      <c r="M4285" s="194"/>
      <c r="N4285" s="317"/>
      <c r="O4285" s="317"/>
      <c r="P4285" s="317"/>
      <c r="Q4285" s="317"/>
      <c r="R4285" s="317"/>
      <c r="S4285" s="317"/>
      <c r="T4285" s="317"/>
      <c r="U4285" s="317"/>
      <c r="V4285" s="317"/>
      <c r="W4285" s="317"/>
      <c r="X4285" s="317"/>
      <c r="Y4285" s="317"/>
      <c r="Z4285" s="317"/>
    </row>
    <row r="4286" spans="1:26" x14ac:dyDescent="0.25">
      <c r="A4286" s="314"/>
      <c r="B4286" s="18">
        <v>2023</v>
      </c>
      <c r="C4286" s="18" t="s">
        <v>781</v>
      </c>
      <c r="D4286" s="18" t="s">
        <v>1425</v>
      </c>
      <c r="E4286" s="18" t="s">
        <v>56</v>
      </c>
      <c r="F4286" s="18" t="s">
        <v>672</v>
      </c>
      <c r="G4286" s="18" t="s">
        <v>674</v>
      </c>
      <c r="H4286" s="18" t="s">
        <v>791</v>
      </c>
      <c r="I4286" s="315">
        <v>0.26358468275391161</v>
      </c>
      <c r="J4286" s="315">
        <v>5.0669496206881301E-5</v>
      </c>
      <c r="K4286" s="316" t="str">
        <f t="shared" si="62"/>
        <v>Construction and Mining Equipment</v>
      </c>
      <c r="L4286" s="316" t="str">
        <f t="shared" si="63"/>
        <v>LPG</v>
      </c>
      <c r="M4286" s="194"/>
      <c r="N4286" s="317"/>
      <c r="O4286" s="317"/>
      <c r="P4286" s="317"/>
      <c r="Q4286" s="317"/>
      <c r="R4286" s="317"/>
      <c r="S4286" s="317"/>
      <c r="T4286" s="317"/>
      <c r="U4286" s="317"/>
      <c r="V4286" s="317"/>
      <c r="W4286" s="317"/>
      <c r="X4286" s="317"/>
      <c r="Y4286" s="317"/>
      <c r="Z4286" s="317"/>
    </row>
    <row r="4287" spans="1:26" x14ac:dyDescent="0.25">
      <c r="A4287" s="314"/>
      <c r="B4287" s="18">
        <v>2023</v>
      </c>
      <c r="C4287" s="18" t="s">
        <v>792</v>
      </c>
      <c r="D4287" s="18" t="s">
        <v>1840</v>
      </c>
      <c r="E4287" s="18" t="s">
        <v>703</v>
      </c>
      <c r="F4287" s="18" t="s">
        <v>704</v>
      </c>
      <c r="G4287" s="18" t="s">
        <v>681</v>
      </c>
      <c r="H4287" s="18" t="s">
        <v>895</v>
      </c>
      <c r="I4287" s="315">
        <v>0.26343230392499639</v>
      </c>
      <c r="J4287" s="315">
        <v>2.0815798967934319E-4</v>
      </c>
      <c r="K4287" s="316" t="str">
        <f t="shared" si="62"/>
        <v>Logging Equipment</v>
      </c>
      <c r="L4287" s="316" t="str">
        <f t="shared" si="63"/>
        <v>Gasoline</v>
      </c>
      <c r="M4287" s="194"/>
      <c r="N4287" s="317"/>
      <c r="O4287" s="317"/>
      <c r="P4287" s="317"/>
      <c r="Q4287" s="317"/>
      <c r="R4287" s="317"/>
      <c r="S4287" s="317"/>
      <c r="T4287" s="317"/>
      <c r="U4287" s="317"/>
      <c r="V4287" s="317"/>
      <c r="W4287" s="317"/>
      <c r="X4287" s="317"/>
      <c r="Y4287" s="317"/>
      <c r="Z4287" s="317"/>
    </row>
    <row r="4288" spans="1:26" x14ac:dyDescent="0.25">
      <c r="A4288" s="314"/>
      <c r="B4288" s="18">
        <v>2023</v>
      </c>
      <c r="C4288" s="18" t="s">
        <v>781</v>
      </c>
      <c r="D4288" s="18" t="s">
        <v>1588</v>
      </c>
      <c r="E4288" s="18" t="s">
        <v>56</v>
      </c>
      <c r="F4288" s="18" t="s">
        <v>1575</v>
      </c>
      <c r="G4288" s="18" t="s">
        <v>675</v>
      </c>
      <c r="H4288" s="18" t="s">
        <v>1589</v>
      </c>
      <c r="I4288" s="315">
        <v>0.26314608045715471</v>
      </c>
      <c r="J4288" s="315">
        <v>1.1074115335843384E-3</v>
      </c>
      <c r="K4288" s="316" t="str">
        <f t="shared" si="62"/>
        <v>Industrial Equipment</v>
      </c>
      <c r="L4288" s="316" t="str">
        <f t="shared" si="63"/>
        <v>CNG</v>
      </c>
      <c r="M4288" s="194"/>
      <c r="N4288" s="317"/>
      <c r="O4288" s="317"/>
      <c r="P4288" s="317"/>
      <c r="Q4288" s="317"/>
      <c r="R4288" s="317"/>
      <c r="S4288" s="317"/>
      <c r="T4288" s="317"/>
      <c r="U4288" s="317"/>
      <c r="V4288" s="317"/>
      <c r="W4288" s="317"/>
      <c r="X4288" s="317"/>
      <c r="Y4288" s="317"/>
      <c r="Z4288" s="317"/>
    </row>
    <row r="4289" spans="1:26" x14ac:dyDescent="0.25">
      <c r="A4289" s="314"/>
      <c r="B4289" s="18">
        <v>2023</v>
      </c>
      <c r="C4289" s="18" t="s">
        <v>727</v>
      </c>
      <c r="D4289" s="18" t="s">
        <v>1617</v>
      </c>
      <c r="E4289" s="18" t="s">
        <v>703</v>
      </c>
      <c r="F4289" s="18" t="s">
        <v>805</v>
      </c>
      <c r="G4289" s="18" t="s">
        <v>675</v>
      </c>
      <c r="H4289" s="18" t="s">
        <v>802</v>
      </c>
      <c r="I4289" s="315">
        <v>0.26246403468540447</v>
      </c>
      <c r="J4289" s="315">
        <v>5.8645049390870004E-4</v>
      </c>
      <c r="K4289" s="316" t="str">
        <f t="shared" si="62"/>
        <v>Industrial Equipment</v>
      </c>
      <c r="L4289" s="316" t="str">
        <f t="shared" si="63"/>
        <v>Gasoline</v>
      </c>
      <c r="M4289" s="194"/>
      <c r="N4289" s="317"/>
      <c r="O4289" s="317"/>
      <c r="P4289" s="317"/>
      <c r="Q4289" s="317"/>
      <c r="R4289" s="317"/>
      <c r="S4289" s="317"/>
      <c r="T4289" s="317"/>
      <c r="U4289" s="317"/>
      <c r="V4289" s="317"/>
      <c r="W4289" s="317"/>
      <c r="X4289" s="317"/>
      <c r="Y4289" s="317"/>
      <c r="Z4289" s="317"/>
    </row>
    <row r="4290" spans="1:26" x14ac:dyDescent="0.25">
      <c r="A4290" s="314"/>
      <c r="B4290" s="18">
        <v>2023</v>
      </c>
      <c r="C4290" s="18" t="s">
        <v>810</v>
      </c>
      <c r="D4290" s="18" t="s">
        <v>1830</v>
      </c>
      <c r="E4290" s="18" t="s">
        <v>703</v>
      </c>
      <c r="F4290" s="18" t="s">
        <v>805</v>
      </c>
      <c r="G4290" s="18" t="s">
        <v>678</v>
      </c>
      <c r="H4290" s="18" t="s">
        <v>1222</v>
      </c>
      <c r="I4290" s="315">
        <v>0.26107110490788038</v>
      </c>
      <c r="J4290" s="315">
        <v>4.2889599383415711E-4</v>
      </c>
      <c r="K4290" s="316" t="str">
        <f t="shared" si="62"/>
        <v>Agricultural Equipment</v>
      </c>
      <c r="L4290" s="316" t="str">
        <f t="shared" si="63"/>
        <v>Gasoline</v>
      </c>
      <c r="M4290" s="194"/>
      <c r="N4290" s="317"/>
      <c r="O4290" s="317"/>
      <c r="P4290" s="317"/>
      <c r="Q4290" s="317"/>
      <c r="R4290" s="317"/>
      <c r="S4290" s="317"/>
      <c r="T4290" s="317"/>
      <c r="U4290" s="317"/>
      <c r="V4290" s="317"/>
      <c r="W4290" s="317"/>
      <c r="X4290" s="317"/>
      <c r="Y4290" s="317"/>
      <c r="Z4290" s="317"/>
    </row>
    <row r="4291" spans="1:26" x14ac:dyDescent="0.25">
      <c r="A4291" s="314"/>
      <c r="B4291" s="18">
        <v>2023</v>
      </c>
      <c r="C4291" s="18" t="s">
        <v>760</v>
      </c>
      <c r="D4291" s="18" t="s">
        <v>1838</v>
      </c>
      <c r="E4291" s="18" t="s">
        <v>713</v>
      </c>
      <c r="F4291" s="18" t="s">
        <v>714</v>
      </c>
      <c r="G4291" s="18" t="s">
        <v>678</v>
      </c>
      <c r="H4291" s="18" t="s">
        <v>1745</v>
      </c>
      <c r="I4291" s="315">
        <v>0.26104085546442513</v>
      </c>
      <c r="J4291" s="315">
        <v>1.8890937647896906E-6</v>
      </c>
      <c r="K4291" s="316" t="str">
        <f t="shared" si="62"/>
        <v>Agricultural Equipment</v>
      </c>
      <c r="L4291" s="316" t="str">
        <f t="shared" si="63"/>
        <v>Diesel</v>
      </c>
      <c r="M4291" s="194"/>
      <c r="N4291" s="317"/>
      <c r="O4291" s="317"/>
      <c r="P4291" s="317"/>
      <c r="Q4291" s="317"/>
      <c r="R4291" s="317"/>
      <c r="S4291" s="317"/>
      <c r="T4291" s="317"/>
      <c r="U4291" s="317"/>
      <c r="V4291" s="317"/>
      <c r="W4291" s="317"/>
      <c r="X4291" s="317"/>
      <c r="Y4291" s="317"/>
      <c r="Z4291" s="317"/>
    </row>
    <row r="4292" spans="1:26" x14ac:dyDescent="0.25">
      <c r="A4292" s="314"/>
      <c r="B4292" s="18">
        <v>2023</v>
      </c>
      <c r="C4292" s="18" t="s">
        <v>727</v>
      </c>
      <c r="D4292" s="18" t="s">
        <v>1663</v>
      </c>
      <c r="E4292" s="18" t="s">
        <v>713</v>
      </c>
      <c r="F4292" s="18" t="s">
        <v>714</v>
      </c>
      <c r="G4292" s="18" t="s">
        <v>674</v>
      </c>
      <c r="H4292" s="18" t="s">
        <v>1082</v>
      </c>
      <c r="I4292" s="315">
        <v>0.26062476690400155</v>
      </c>
      <c r="J4292" s="315">
        <v>3.0941627291249747E-5</v>
      </c>
      <c r="K4292" s="316" t="str">
        <f t="shared" si="62"/>
        <v>Construction and Mining Equipment</v>
      </c>
      <c r="L4292" s="316" t="str">
        <f t="shared" si="63"/>
        <v>Diesel</v>
      </c>
      <c r="M4292" s="194"/>
      <c r="N4292" s="317"/>
      <c r="O4292" s="317"/>
      <c r="P4292" s="317"/>
      <c r="Q4292" s="317"/>
      <c r="R4292" s="317"/>
      <c r="S4292" s="317"/>
      <c r="T4292" s="317"/>
      <c r="U4292" s="317"/>
      <c r="V4292" s="317"/>
      <c r="W4292" s="317"/>
      <c r="X4292" s="317"/>
      <c r="Y4292" s="317"/>
      <c r="Z4292" s="317"/>
    </row>
    <row r="4293" spans="1:26" x14ac:dyDescent="0.25">
      <c r="A4293" s="314"/>
      <c r="B4293" s="18">
        <v>2023</v>
      </c>
      <c r="C4293" s="18" t="s">
        <v>792</v>
      </c>
      <c r="D4293" s="18" t="s">
        <v>1655</v>
      </c>
      <c r="E4293" s="18" t="s">
        <v>56</v>
      </c>
      <c r="F4293" s="18" t="s">
        <v>672</v>
      </c>
      <c r="G4293" s="18" t="s">
        <v>677</v>
      </c>
      <c r="H4293" s="18" t="s">
        <v>789</v>
      </c>
      <c r="I4293" s="315">
        <v>0.25975724423555802</v>
      </c>
      <c r="J4293" s="315">
        <v>3.6663878902757998E-5</v>
      </c>
      <c r="K4293" s="316" t="str">
        <f t="shared" si="62"/>
        <v>Commercial Equipment</v>
      </c>
      <c r="L4293" s="316" t="str">
        <f t="shared" si="63"/>
        <v>LPG</v>
      </c>
      <c r="M4293" s="194"/>
      <c r="N4293" s="317"/>
      <c r="O4293" s="317"/>
      <c r="P4293" s="317"/>
      <c r="Q4293" s="317"/>
      <c r="R4293" s="317"/>
      <c r="S4293" s="317"/>
      <c r="T4293" s="317"/>
      <c r="U4293" s="317"/>
      <c r="V4293" s="317"/>
      <c r="W4293" s="317"/>
      <c r="X4293" s="317"/>
      <c r="Y4293" s="317"/>
      <c r="Z4293" s="317"/>
    </row>
    <row r="4294" spans="1:26" x14ac:dyDescent="0.25">
      <c r="A4294" s="314"/>
      <c r="B4294" s="18">
        <v>2023</v>
      </c>
      <c r="C4294" s="18" t="s">
        <v>810</v>
      </c>
      <c r="D4294" s="18" t="s">
        <v>1588</v>
      </c>
      <c r="E4294" s="18" t="s">
        <v>56</v>
      </c>
      <c r="F4294" s="18" t="s">
        <v>1575</v>
      </c>
      <c r="G4294" s="18" t="s">
        <v>675</v>
      </c>
      <c r="H4294" s="18" t="s">
        <v>1589</v>
      </c>
      <c r="I4294" s="315">
        <v>0.2594001090622462</v>
      </c>
      <c r="J4294" s="315">
        <v>1.0916489659894587E-3</v>
      </c>
      <c r="K4294" s="316" t="str">
        <f t="shared" si="62"/>
        <v>Industrial Equipment</v>
      </c>
      <c r="L4294" s="316" t="str">
        <f t="shared" si="63"/>
        <v>CNG</v>
      </c>
      <c r="M4294" s="194"/>
      <c r="N4294" s="317"/>
      <c r="O4294" s="317"/>
      <c r="P4294" s="317"/>
      <c r="Q4294" s="317"/>
      <c r="R4294" s="317"/>
      <c r="S4294" s="317"/>
      <c r="T4294" s="317"/>
      <c r="U4294" s="317"/>
      <c r="V4294" s="317"/>
      <c r="W4294" s="317"/>
      <c r="X4294" s="317"/>
      <c r="Y4294" s="317"/>
      <c r="Z4294" s="317"/>
    </row>
    <row r="4295" spans="1:26" x14ac:dyDescent="0.25">
      <c r="A4295" s="314"/>
      <c r="B4295" s="18">
        <v>2023</v>
      </c>
      <c r="C4295" s="18" t="s">
        <v>743</v>
      </c>
      <c r="D4295" s="18" t="s">
        <v>1730</v>
      </c>
      <c r="E4295" s="18" t="s">
        <v>703</v>
      </c>
      <c r="F4295" s="18" t="s">
        <v>805</v>
      </c>
      <c r="G4295" s="18" t="s">
        <v>674</v>
      </c>
      <c r="H4295" s="18" t="s">
        <v>959</v>
      </c>
      <c r="I4295" s="315">
        <v>0.25895677662951083</v>
      </c>
      <c r="J4295" s="315">
        <v>5.7861437919464527E-4</v>
      </c>
      <c r="K4295" s="316" t="str">
        <f t="shared" si="62"/>
        <v>Construction and Mining Equipment</v>
      </c>
      <c r="L4295" s="316" t="str">
        <f t="shared" si="63"/>
        <v>Gasoline</v>
      </c>
      <c r="M4295" s="194"/>
      <c r="N4295" s="317"/>
      <c r="O4295" s="317"/>
      <c r="P4295" s="317"/>
      <c r="Q4295" s="317"/>
      <c r="R4295" s="317"/>
      <c r="S4295" s="317"/>
      <c r="T4295" s="317"/>
      <c r="U4295" s="317"/>
      <c r="V4295" s="317"/>
      <c r="W4295" s="317"/>
      <c r="X4295" s="317"/>
      <c r="Y4295" s="317"/>
      <c r="Z4295" s="317"/>
    </row>
    <row r="4296" spans="1:26" x14ac:dyDescent="0.25">
      <c r="A4296" s="314"/>
      <c r="B4296" s="18">
        <v>2023</v>
      </c>
      <c r="C4296" s="18" t="s">
        <v>773</v>
      </c>
      <c r="D4296" s="18" t="s">
        <v>1715</v>
      </c>
      <c r="E4296" s="18" t="s">
        <v>703</v>
      </c>
      <c r="F4296" s="18" t="s">
        <v>805</v>
      </c>
      <c r="G4296" s="18" t="s">
        <v>677</v>
      </c>
      <c r="H4296" s="18" t="s">
        <v>1031</v>
      </c>
      <c r="I4296" s="315">
        <v>0.25582180164652801</v>
      </c>
      <c r="J4296" s="315">
        <v>5.7160923113426065E-4</v>
      </c>
      <c r="K4296" s="316" t="str">
        <f t="shared" si="62"/>
        <v>Commercial Equipment</v>
      </c>
      <c r="L4296" s="316" t="str">
        <f t="shared" si="63"/>
        <v>Gasoline</v>
      </c>
      <c r="M4296" s="194"/>
      <c r="N4296" s="317"/>
      <c r="O4296" s="317"/>
      <c r="P4296" s="317"/>
      <c r="Q4296" s="317"/>
      <c r="R4296" s="317"/>
      <c r="S4296" s="317"/>
      <c r="T4296" s="317"/>
      <c r="U4296" s="317"/>
      <c r="V4296" s="317"/>
      <c r="W4296" s="317"/>
      <c r="X4296" s="317"/>
      <c r="Y4296" s="317"/>
      <c r="Z4296" s="317"/>
    </row>
    <row r="4297" spans="1:26" x14ac:dyDescent="0.25">
      <c r="A4297" s="314"/>
      <c r="B4297" s="18">
        <v>2023</v>
      </c>
      <c r="C4297" s="18" t="s">
        <v>787</v>
      </c>
      <c r="D4297" s="18" t="s">
        <v>1655</v>
      </c>
      <c r="E4297" s="18" t="s">
        <v>56</v>
      </c>
      <c r="F4297" s="18" t="s">
        <v>672</v>
      </c>
      <c r="G4297" s="18" t="s">
        <v>677</v>
      </c>
      <c r="H4297" s="18" t="s">
        <v>789</v>
      </c>
      <c r="I4297" s="315">
        <v>0.25576100797342316</v>
      </c>
      <c r="J4297" s="315">
        <v>3.6099690030968218E-5</v>
      </c>
      <c r="K4297" s="316" t="str">
        <f t="shared" si="62"/>
        <v>Commercial Equipment</v>
      </c>
      <c r="L4297" s="316" t="str">
        <f t="shared" si="63"/>
        <v>LPG</v>
      </c>
      <c r="M4297" s="194"/>
      <c r="N4297" s="317"/>
      <c r="O4297" s="317"/>
      <c r="P4297" s="317"/>
      <c r="Q4297" s="317"/>
      <c r="R4297" s="317"/>
      <c r="S4297" s="317"/>
      <c r="T4297" s="317"/>
      <c r="U4297" s="317"/>
      <c r="V4297" s="317"/>
      <c r="W4297" s="317"/>
      <c r="X4297" s="317"/>
      <c r="Y4297" s="317"/>
      <c r="Z4297" s="317"/>
    </row>
    <row r="4298" spans="1:26" x14ac:dyDescent="0.25">
      <c r="A4298" s="314"/>
      <c r="B4298" s="18">
        <v>2023</v>
      </c>
      <c r="C4298" s="18" t="s">
        <v>760</v>
      </c>
      <c r="D4298" s="18" t="s">
        <v>1839</v>
      </c>
      <c r="E4298" s="18" t="s">
        <v>56</v>
      </c>
      <c r="F4298" s="18" t="s">
        <v>683</v>
      </c>
      <c r="G4298" s="18" t="s">
        <v>672</v>
      </c>
      <c r="H4298" s="18" t="s">
        <v>1002</v>
      </c>
      <c r="I4298" s="315">
        <v>0.25525714689931089</v>
      </c>
      <c r="J4298" s="315">
        <v>2.0551856807121146E-5</v>
      </c>
      <c r="K4298" s="316" t="str">
        <f t="shared" si="62"/>
        <v>Railroad Equipment</v>
      </c>
      <c r="L4298" s="316" t="str">
        <f t="shared" si="63"/>
        <v>LPG</v>
      </c>
      <c r="M4298" s="194"/>
      <c r="N4298" s="317"/>
      <c r="O4298" s="317"/>
      <c r="P4298" s="317"/>
      <c r="Q4298" s="317"/>
      <c r="R4298" s="317"/>
      <c r="S4298" s="317"/>
      <c r="T4298" s="317"/>
      <c r="U4298" s="317"/>
      <c r="V4298" s="317"/>
      <c r="W4298" s="317"/>
      <c r="X4298" s="317"/>
      <c r="Y4298" s="317"/>
      <c r="Z4298" s="317"/>
    </row>
    <row r="4299" spans="1:26" x14ac:dyDescent="0.25">
      <c r="A4299" s="314"/>
      <c r="B4299" s="18">
        <v>2023</v>
      </c>
      <c r="C4299" s="18" t="s">
        <v>793</v>
      </c>
      <c r="D4299" s="18" t="s">
        <v>1663</v>
      </c>
      <c r="E4299" s="18" t="s">
        <v>713</v>
      </c>
      <c r="F4299" s="18" t="s">
        <v>714</v>
      </c>
      <c r="G4299" s="18" t="s">
        <v>674</v>
      </c>
      <c r="H4299" s="18" t="s">
        <v>1082</v>
      </c>
      <c r="I4299" s="315">
        <v>0.25446354181023983</v>
      </c>
      <c r="J4299" s="315">
        <v>3.0210188821397896E-5</v>
      </c>
      <c r="K4299" s="316" t="str">
        <f t="shared" si="62"/>
        <v>Construction and Mining Equipment</v>
      </c>
      <c r="L4299" s="316" t="str">
        <f t="shared" si="63"/>
        <v>Diesel</v>
      </c>
      <c r="M4299" s="194"/>
      <c r="N4299" s="317"/>
      <c r="O4299" s="317"/>
      <c r="P4299" s="317"/>
      <c r="Q4299" s="317"/>
      <c r="R4299" s="317"/>
      <c r="S4299" s="317"/>
      <c r="T4299" s="317"/>
      <c r="U4299" s="317"/>
      <c r="V4299" s="317"/>
      <c r="W4299" s="317"/>
      <c r="X4299" s="317"/>
      <c r="Y4299" s="317"/>
      <c r="Z4299" s="317"/>
    </row>
    <row r="4300" spans="1:26" x14ac:dyDescent="0.25">
      <c r="A4300" s="314"/>
      <c r="B4300" s="18">
        <v>2023</v>
      </c>
      <c r="C4300" s="18" t="s">
        <v>701</v>
      </c>
      <c r="D4300" s="18" t="s">
        <v>1838</v>
      </c>
      <c r="E4300" s="18" t="s">
        <v>713</v>
      </c>
      <c r="F4300" s="18" t="s">
        <v>714</v>
      </c>
      <c r="G4300" s="18" t="s">
        <v>678</v>
      </c>
      <c r="H4300" s="18" t="s">
        <v>1745</v>
      </c>
      <c r="I4300" s="315">
        <v>0.25359881025875874</v>
      </c>
      <c r="J4300" s="315">
        <v>1.835235049233366E-6</v>
      </c>
      <c r="K4300" s="316" t="str">
        <f t="shared" si="62"/>
        <v>Agricultural Equipment</v>
      </c>
      <c r="L4300" s="316" t="str">
        <f t="shared" si="63"/>
        <v>Diesel</v>
      </c>
      <c r="M4300" s="194"/>
      <c r="N4300" s="317"/>
      <c r="O4300" s="317"/>
      <c r="P4300" s="317"/>
      <c r="Q4300" s="317"/>
      <c r="R4300" s="317"/>
      <c r="S4300" s="317"/>
      <c r="T4300" s="317"/>
      <c r="U4300" s="317"/>
      <c r="V4300" s="317"/>
      <c r="W4300" s="317"/>
      <c r="X4300" s="317"/>
      <c r="Y4300" s="317"/>
      <c r="Z4300" s="317"/>
    </row>
    <row r="4301" spans="1:26" x14ac:dyDescent="0.25">
      <c r="A4301" s="314"/>
      <c r="B4301" s="18">
        <v>2023</v>
      </c>
      <c r="C4301" s="18" t="s">
        <v>787</v>
      </c>
      <c r="D4301" s="18" t="s">
        <v>1839</v>
      </c>
      <c r="E4301" s="18" t="s">
        <v>56</v>
      </c>
      <c r="F4301" s="18" t="s">
        <v>683</v>
      </c>
      <c r="G4301" s="18" t="s">
        <v>672</v>
      </c>
      <c r="H4301" s="18" t="s">
        <v>1002</v>
      </c>
      <c r="I4301" s="315">
        <v>0.25317769903003368</v>
      </c>
      <c r="J4301" s="315">
        <v>2.0384430367720187E-5</v>
      </c>
      <c r="K4301" s="316" t="str">
        <f t="shared" si="62"/>
        <v>Railroad Equipment</v>
      </c>
      <c r="L4301" s="316" t="str">
        <f t="shared" si="63"/>
        <v>LPG</v>
      </c>
      <c r="M4301" s="194"/>
      <c r="N4301" s="317"/>
      <c r="O4301" s="317"/>
      <c r="P4301" s="317"/>
      <c r="Q4301" s="317"/>
      <c r="R4301" s="317"/>
      <c r="S4301" s="317"/>
      <c r="T4301" s="317"/>
      <c r="U4301" s="317"/>
      <c r="V4301" s="317"/>
      <c r="W4301" s="317"/>
      <c r="X4301" s="317"/>
      <c r="Y4301" s="317"/>
      <c r="Z4301" s="317"/>
    </row>
    <row r="4302" spans="1:26" x14ac:dyDescent="0.25">
      <c r="A4302" s="314"/>
      <c r="B4302" s="18">
        <v>2023</v>
      </c>
      <c r="C4302" s="18" t="s">
        <v>792</v>
      </c>
      <c r="D4302" s="18" t="s">
        <v>1717</v>
      </c>
      <c r="E4302" s="18" t="s">
        <v>56</v>
      </c>
      <c r="F4302" s="18" t="s">
        <v>601</v>
      </c>
      <c r="G4302" s="18" t="s">
        <v>675</v>
      </c>
      <c r="H4302" s="18" t="s">
        <v>802</v>
      </c>
      <c r="I4302" s="315">
        <v>0.25314068020158675</v>
      </c>
      <c r="J4302" s="315">
        <v>1.0086635974804563E-3</v>
      </c>
      <c r="K4302" s="316" t="str">
        <f t="shared" si="62"/>
        <v>Industrial Equipment</v>
      </c>
      <c r="L4302" s="316" t="str">
        <f t="shared" si="63"/>
        <v>CNG</v>
      </c>
      <c r="M4302" s="194"/>
      <c r="N4302" s="317"/>
      <c r="O4302" s="317"/>
      <c r="P4302" s="317"/>
      <c r="Q4302" s="317"/>
      <c r="R4302" s="317"/>
      <c r="S4302" s="317"/>
      <c r="T4302" s="317"/>
      <c r="U4302" s="317"/>
      <c r="V4302" s="317"/>
      <c r="W4302" s="317"/>
      <c r="X4302" s="317"/>
      <c r="Y4302" s="317"/>
      <c r="Z4302" s="317"/>
    </row>
    <row r="4303" spans="1:26" x14ac:dyDescent="0.25">
      <c r="A4303" s="314"/>
      <c r="B4303" s="18">
        <v>2023</v>
      </c>
      <c r="C4303" s="18" t="s">
        <v>760</v>
      </c>
      <c r="D4303" s="18" t="s">
        <v>1825</v>
      </c>
      <c r="E4303" s="18" t="s">
        <v>56</v>
      </c>
      <c r="F4303" s="18" t="s">
        <v>601</v>
      </c>
      <c r="G4303" s="18" t="s">
        <v>674</v>
      </c>
      <c r="H4303" s="18" t="s">
        <v>859</v>
      </c>
      <c r="I4303" s="315">
        <v>0.25263379246413148</v>
      </c>
      <c r="J4303" s="315">
        <v>5.4281565687828342E-3</v>
      </c>
      <c r="K4303" s="316" t="str">
        <f t="shared" si="62"/>
        <v>Construction and Mining Equipment</v>
      </c>
      <c r="L4303" s="316" t="str">
        <f t="shared" si="63"/>
        <v>CNG</v>
      </c>
      <c r="M4303" s="194"/>
      <c r="N4303" s="317"/>
      <c r="O4303" s="317"/>
      <c r="P4303" s="317"/>
      <c r="Q4303" s="317"/>
      <c r="R4303" s="317"/>
      <c r="S4303" s="317"/>
      <c r="T4303" s="317"/>
      <c r="U4303" s="317"/>
      <c r="V4303" s="317"/>
      <c r="W4303" s="317"/>
      <c r="X4303" s="317"/>
      <c r="Y4303" s="317"/>
      <c r="Z4303" s="317"/>
    </row>
    <row r="4304" spans="1:26" x14ac:dyDescent="0.25">
      <c r="A4304" s="314"/>
      <c r="B4304" s="18">
        <v>2023</v>
      </c>
      <c r="C4304" s="18" t="s">
        <v>711</v>
      </c>
      <c r="D4304" s="18" t="s">
        <v>1839</v>
      </c>
      <c r="E4304" s="18" t="s">
        <v>56</v>
      </c>
      <c r="F4304" s="18" t="s">
        <v>683</v>
      </c>
      <c r="G4304" s="18" t="s">
        <v>672</v>
      </c>
      <c r="H4304" s="18" t="s">
        <v>1002</v>
      </c>
      <c r="I4304" s="315">
        <v>0.25256253968400383</v>
      </c>
      <c r="J4304" s="315">
        <v>2.0334895198997073E-5</v>
      </c>
      <c r="K4304" s="316" t="str">
        <f t="shared" si="62"/>
        <v>Railroad Equipment</v>
      </c>
      <c r="L4304" s="316" t="str">
        <f t="shared" si="63"/>
        <v>LPG</v>
      </c>
      <c r="M4304" s="194"/>
      <c r="N4304" s="317"/>
      <c r="O4304" s="317"/>
      <c r="P4304" s="317"/>
      <c r="Q4304" s="317"/>
      <c r="R4304" s="317"/>
      <c r="S4304" s="317"/>
      <c r="T4304" s="317"/>
      <c r="U4304" s="317"/>
      <c r="V4304" s="317"/>
      <c r="W4304" s="317"/>
      <c r="X4304" s="317"/>
      <c r="Y4304" s="317"/>
      <c r="Z4304" s="317"/>
    </row>
    <row r="4305" spans="1:26" x14ac:dyDescent="0.25">
      <c r="A4305" s="314"/>
      <c r="B4305" s="18">
        <v>2023</v>
      </c>
      <c r="C4305" s="18" t="s">
        <v>709</v>
      </c>
      <c r="D4305" s="18" t="s">
        <v>1839</v>
      </c>
      <c r="E4305" s="18" t="s">
        <v>56</v>
      </c>
      <c r="F4305" s="18" t="s">
        <v>683</v>
      </c>
      <c r="G4305" s="18" t="s">
        <v>672</v>
      </c>
      <c r="H4305" s="18" t="s">
        <v>1002</v>
      </c>
      <c r="I4305" s="315">
        <v>0.25061915244655147</v>
      </c>
      <c r="J4305" s="315">
        <v>2.0178428335726479E-5</v>
      </c>
      <c r="K4305" s="316" t="str">
        <f t="shared" si="62"/>
        <v>Railroad Equipment</v>
      </c>
      <c r="L4305" s="316" t="str">
        <f t="shared" si="63"/>
        <v>LPG</v>
      </c>
      <c r="M4305" s="194"/>
      <c r="N4305" s="317"/>
      <c r="O4305" s="317"/>
      <c r="P4305" s="317"/>
      <c r="Q4305" s="317"/>
      <c r="R4305" s="317"/>
      <c r="S4305" s="317"/>
      <c r="T4305" s="317"/>
      <c r="U4305" s="317"/>
      <c r="V4305" s="317"/>
      <c r="W4305" s="317"/>
      <c r="X4305" s="317"/>
      <c r="Y4305" s="317"/>
      <c r="Z4305" s="317"/>
    </row>
    <row r="4306" spans="1:26" x14ac:dyDescent="0.25">
      <c r="A4306" s="314"/>
      <c r="B4306" s="18">
        <v>2023</v>
      </c>
      <c r="C4306" s="18" t="s">
        <v>701</v>
      </c>
      <c r="D4306" s="18" t="s">
        <v>991</v>
      </c>
      <c r="E4306" s="18" t="s">
        <v>703</v>
      </c>
      <c r="F4306" s="18" t="s">
        <v>795</v>
      </c>
      <c r="G4306" s="18" t="s">
        <v>680</v>
      </c>
      <c r="H4306" s="18" t="s">
        <v>992</v>
      </c>
      <c r="I4306" s="315">
        <v>0.24961936357241443</v>
      </c>
      <c r="J4306" s="315">
        <v>7.1864432755785107E-5</v>
      </c>
      <c r="K4306" s="316" t="str">
        <f t="shared" si="62"/>
        <v>Airport Ground Support Equipment</v>
      </c>
      <c r="L4306" s="316" t="str">
        <f t="shared" si="63"/>
        <v>Gasoline</v>
      </c>
      <c r="M4306" s="194"/>
      <c r="N4306" s="317"/>
      <c r="O4306" s="317"/>
      <c r="P4306" s="317"/>
      <c r="Q4306" s="317"/>
      <c r="R4306" s="317"/>
      <c r="S4306" s="317"/>
      <c r="T4306" s="317"/>
      <c r="U4306" s="317"/>
      <c r="V4306" s="317"/>
      <c r="W4306" s="317"/>
      <c r="X4306" s="317"/>
      <c r="Y4306" s="317"/>
      <c r="Z4306" s="317"/>
    </row>
    <row r="4307" spans="1:26" x14ac:dyDescent="0.25">
      <c r="A4307" s="314"/>
      <c r="B4307" s="18">
        <v>2023</v>
      </c>
      <c r="C4307" s="18" t="s">
        <v>787</v>
      </c>
      <c r="D4307" s="18" t="s">
        <v>1717</v>
      </c>
      <c r="E4307" s="18" t="s">
        <v>56</v>
      </c>
      <c r="F4307" s="18" t="s">
        <v>601</v>
      </c>
      <c r="G4307" s="18" t="s">
        <v>675</v>
      </c>
      <c r="H4307" s="18" t="s">
        <v>802</v>
      </c>
      <c r="I4307" s="315">
        <v>0.2495156782557274</v>
      </c>
      <c r="J4307" s="315">
        <v>9.9421676476234375E-4</v>
      </c>
      <c r="K4307" s="316" t="str">
        <f t="shared" si="62"/>
        <v>Industrial Equipment</v>
      </c>
      <c r="L4307" s="316" t="str">
        <f t="shared" si="63"/>
        <v>CNG</v>
      </c>
      <c r="M4307" s="194"/>
      <c r="N4307" s="317"/>
      <c r="O4307" s="317"/>
      <c r="P4307" s="317"/>
      <c r="Q4307" s="317"/>
      <c r="R4307" s="317"/>
      <c r="S4307" s="317"/>
      <c r="T4307" s="317"/>
      <c r="U4307" s="317"/>
      <c r="V4307" s="317"/>
      <c r="W4307" s="317"/>
      <c r="X4307" s="317"/>
      <c r="Y4307" s="317"/>
      <c r="Z4307" s="317"/>
    </row>
    <row r="4308" spans="1:26" x14ac:dyDescent="0.25">
      <c r="A4308" s="314"/>
      <c r="B4308" s="18">
        <v>2023</v>
      </c>
      <c r="C4308" s="18" t="s">
        <v>792</v>
      </c>
      <c r="D4308" s="18" t="s">
        <v>1483</v>
      </c>
      <c r="E4308" s="18" t="s">
        <v>703</v>
      </c>
      <c r="F4308" s="18" t="s">
        <v>805</v>
      </c>
      <c r="G4308" s="18" t="s">
        <v>674</v>
      </c>
      <c r="H4308" s="18" t="s">
        <v>994</v>
      </c>
      <c r="I4308" s="315">
        <v>0.24931272426836873</v>
      </c>
      <c r="J4308" s="315">
        <v>5.2272790139278763E-4</v>
      </c>
      <c r="K4308" s="316" t="str">
        <f t="shared" si="62"/>
        <v>Construction and Mining Equipment</v>
      </c>
      <c r="L4308" s="316" t="str">
        <f t="shared" si="63"/>
        <v>Gasoline</v>
      </c>
      <c r="M4308" s="194"/>
      <c r="N4308" s="317"/>
      <c r="O4308" s="317"/>
      <c r="P4308" s="317"/>
      <c r="Q4308" s="317"/>
      <c r="R4308" s="317"/>
      <c r="S4308" s="317"/>
      <c r="T4308" s="317"/>
      <c r="U4308" s="317"/>
      <c r="V4308" s="317"/>
      <c r="W4308" s="317"/>
      <c r="X4308" s="317"/>
      <c r="Y4308" s="317"/>
      <c r="Z4308" s="317"/>
    </row>
    <row r="4309" spans="1:26" x14ac:dyDescent="0.25">
      <c r="A4309" s="314"/>
      <c r="B4309" s="18">
        <v>2023</v>
      </c>
      <c r="C4309" s="18" t="s">
        <v>753</v>
      </c>
      <c r="D4309" s="18" t="s">
        <v>1656</v>
      </c>
      <c r="E4309" s="18" t="s">
        <v>56</v>
      </c>
      <c r="F4309" s="18" t="s">
        <v>672</v>
      </c>
      <c r="G4309" s="18" t="s">
        <v>677</v>
      </c>
      <c r="H4309" s="18" t="s">
        <v>1031</v>
      </c>
      <c r="I4309" s="315">
        <v>0.24927982333023802</v>
      </c>
      <c r="J4309" s="315">
        <v>1.2587993194330874E-5</v>
      </c>
      <c r="K4309" s="316" t="str">
        <f t="shared" si="62"/>
        <v>Commercial Equipment</v>
      </c>
      <c r="L4309" s="316" t="str">
        <f t="shared" si="63"/>
        <v>LPG</v>
      </c>
      <c r="M4309" s="194"/>
      <c r="N4309" s="317"/>
      <c r="O4309" s="317"/>
      <c r="P4309" s="317"/>
      <c r="Q4309" s="317"/>
      <c r="R4309" s="317"/>
      <c r="S4309" s="317"/>
      <c r="T4309" s="317"/>
      <c r="U4309" s="317"/>
      <c r="V4309" s="317"/>
      <c r="W4309" s="317"/>
      <c r="X4309" s="317"/>
      <c r="Y4309" s="317"/>
      <c r="Z4309" s="317"/>
    </row>
    <row r="4310" spans="1:26" x14ac:dyDescent="0.25">
      <c r="A4310" s="314"/>
      <c r="B4310" s="18">
        <v>2023</v>
      </c>
      <c r="C4310" s="18" t="s">
        <v>710</v>
      </c>
      <c r="D4310" s="18" t="s">
        <v>1839</v>
      </c>
      <c r="E4310" s="18" t="s">
        <v>56</v>
      </c>
      <c r="F4310" s="18" t="s">
        <v>683</v>
      </c>
      <c r="G4310" s="18" t="s">
        <v>672</v>
      </c>
      <c r="H4310" s="18" t="s">
        <v>1002</v>
      </c>
      <c r="I4310" s="315">
        <v>0.24844167247464091</v>
      </c>
      <c r="J4310" s="315">
        <v>2.0003113229413985E-5</v>
      </c>
      <c r="K4310" s="316" t="str">
        <f t="shared" si="62"/>
        <v>Railroad Equipment</v>
      </c>
      <c r="L4310" s="316" t="str">
        <f t="shared" si="63"/>
        <v>LPG</v>
      </c>
      <c r="M4310" s="194"/>
      <c r="N4310" s="317"/>
      <c r="O4310" s="317"/>
      <c r="P4310" s="317"/>
      <c r="Q4310" s="317"/>
      <c r="R4310" s="317"/>
      <c r="S4310" s="317"/>
      <c r="T4310" s="317"/>
      <c r="U4310" s="317"/>
      <c r="V4310" s="317"/>
      <c r="W4310" s="317"/>
      <c r="X4310" s="317"/>
      <c r="Y4310" s="317"/>
      <c r="Z4310" s="317"/>
    </row>
    <row r="4311" spans="1:26" x14ac:dyDescent="0.25">
      <c r="A4311" s="314"/>
      <c r="B4311" s="18">
        <v>2023</v>
      </c>
      <c r="C4311" s="18" t="s">
        <v>759</v>
      </c>
      <c r="D4311" s="18" t="s">
        <v>1830</v>
      </c>
      <c r="E4311" s="18" t="s">
        <v>703</v>
      </c>
      <c r="F4311" s="18" t="s">
        <v>805</v>
      </c>
      <c r="G4311" s="18" t="s">
        <v>678</v>
      </c>
      <c r="H4311" s="18" t="s">
        <v>1222</v>
      </c>
      <c r="I4311" s="315">
        <v>0.24459222538149497</v>
      </c>
      <c r="J4311" s="315">
        <v>4.0182444978017036E-4</v>
      </c>
      <c r="K4311" s="316" t="str">
        <f t="shared" si="62"/>
        <v>Agricultural Equipment</v>
      </c>
      <c r="L4311" s="316" t="str">
        <f t="shared" si="63"/>
        <v>Gasoline</v>
      </c>
      <c r="M4311" s="194"/>
      <c r="N4311" s="317"/>
      <c r="O4311" s="317"/>
      <c r="P4311" s="317"/>
      <c r="Q4311" s="317"/>
      <c r="R4311" s="317"/>
      <c r="S4311" s="317"/>
      <c r="T4311" s="317"/>
      <c r="U4311" s="317"/>
      <c r="V4311" s="317"/>
      <c r="W4311" s="317"/>
      <c r="X4311" s="317"/>
      <c r="Y4311" s="317"/>
      <c r="Z4311" s="317"/>
    </row>
    <row r="4312" spans="1:26" x14ac:dyDescent="0.25">
      <c r="A4312" s="314"/>
      <c r="B4312" s="18">
        <v>2023</v>
      </c>
      <c r="C4312" s="18" t="s">
        <v>759</v>
      </c>
      <c r="D4312" s="18" t="s">
        <v>1407</v>
      </c>
      <c r="E4312" s="18" t="s">
        <v>56</v>
      </c>
      <c r="F4312" s="18" t="s">
        <v>672</v>
      </c>
      <c r="G4312" s="18" t="s">
        <v>675</v>
      </c>
      <c r="H4312" s="18" t="s">
        <v>1078</v>
      </c>
      <c r="I4312" s="315">
        <v>0.24271129999314769</v>
      </c>
      <c r="J4312" s="315">
        <v>2.1807792664715637E-5</v>
      </c>
      <c r="K4312" s="316" t="str">
        <f t="shared" si="62"/>
        <v>Industrial Equipment</v>
      </c>
      <c r="L4312" s="316" t="str">
        <f t="shared" si="63"/>
        <v>LPG</v>
      </c>
      <c r="M4312" s="194"/>
      <c r="N4312" s="317"/>
      <c r="O4312" s="317"/>
      <c r="P4312" s="317"/>
      <c r="Q4312" s="317"/>
      <c r="R4312" s="317"/>
      <c r="S4312" s="317"/>
      <c r="T4312" s="317"/>
      <c r="U4312" s="317"/>
      <c r="V4312" s="317"/>
      <c r="W4312" s="317"/>
      <c r="X4312" s="317"/>
      <c r="Y4312" s="317"/>
      <c r="Z4312" s="317"/>
    </row>
    <row r="4313" spans="1:26" x14ac:dyDescent="0.25">
      <c r="A4313" s="314"/>
      <c r="B4313" s="18">
        <v>2023</v>
      </c>
      <c r="C4313" s="18" t="s">
        <v>709</v>
      </c>
      <c r="D4313" s="18" t="s">
        <v>1744</v>
      </c>
      <c r="E4313" s="18" t="s">
        <v>703</v>
      </c>
      <c r="F4313" s="18" t="s">
        <v>704</v>
      </c>
      <c r="G4313" s="18" t="s">
        <v>678</v>
      </c>
      <c r="H4313" s="18" t="s">
        <v>1745</v>
      </c>
      <c r="I4313" s="315">
        <v>0.24270573272055579</v>
      </c>
      <c r="J4313" s="315">
        <v>1.5479618020473938E-4</v>
      </c>
      <c r="K4313" s="316" t="str">
        <f t="shared" si="62"/>
        <v>Agricultural Equipment</v>
      </c>
      <c r="L4313" s="316" t="str">
        <f t="shared" si="63"/>
        <v>Gasoline</v>
      </c>
      <c r="M4313" s="194"/>
      <c r="N4313" s="317"/>
      <c r="O4313" s="317"/>
      <c r="P4313" s="317"/>
      <c r="Q4313" s="317"/>
      <c r="R4313" s="317"/>
      <c r="S4313" s="317"/>
      <c r="T4313" s="317"/>
      <c r="U4313" s="317"/>
      <c r="V4313" s="317"/>
      <c r="W4313" s="317"/>
      <c r="X4313" s="317"/>
      <c r="Y4313" s="317"/>
      <c r="Z4313" s="317"/>
    </row>
    <row r="4314" spans="1:26" x14ac:dyDescent="0.25">
      <c r="A4314" s="314"/>
      <c r="B4314" s="18">
        <v>2023</v>
      </c>
      <c r="C4314" s="18" t="s">
        <v>792</v>
      </c>
      <c r="D4314" s="18" t="s">
        <v>1656</v>
      </c>
      <c r="E4314" s="18" t="s">
        <v>56</v>
      </c>
      <c r="F4314" s="18" t="s">
        <v>672</v>
      </c>
      <c r="G4314" s="18" t="s">
        <v>677</v>
      </c>
      <c r="H4314" s="18" t="s">
        <v>1031</v>
      </c>
      <c r="I4314" s="315">
        <v>0.24183854898222815</v>
      </c>
      <c r="J4314" s="315">
        <v>1.2212215997124332E-5</v>
      </c>
      <c r="K4314" s="316" t="str">
        <f t="shared" si="62"/>
        <v>Commercial Equipment</v>
      </c>
      <c r="L4314" s="316" t="str">
        <f t="shared" si="63"/>
        <v>LPG</v>
      </c>
      <c r="M4314" s="194"/>
      <c r="N4314" s="317"/>
      <c r="O4314" s="317"/>
      <c r="P4314" s="317"/>
      <c r="Q4314" s="317"/>
      <c r="R4314" s="317"/>
      <c r="S4314" s="317"/>
      <c r="T4314" s="317"/>
      <c r="U4314" s="317"/>
      <c r="V4314" s="317"/>
      <c r="W4314" s="317"/>
      <c r="X4314" s="317"/>
      <c r="Y4314" s="317"/>
      <c r="Z4314" s="317"/>
    </row>
    <row r="4315" spans="1:26" x14ac:dyDescent="0.25">
      <c r="A4315" s="314"/>
      <c r="B4315" s="18">
        <v>2023</v>
      </c>
      <c r="C4315" s="18" t="s">
        <v>711</v>
      </c>
      <c r="D4315" s="18" t="s">
        <v>1840</v>
      </c>
      <c r="E4315" s="18" t="s">
        <v>703</v>
      </c>
      <c r="F4315" s="18" t="s">
        <v>704</v>
      </c>
      <c r="G4315" s="18" t="s">
        <v>681</v>
      </c>
      <c r="H4315" s="18" t="s">
        <v>895</v>
      </c>
      <c r="I4315" s="315">
        <v>0.24103047863065141</v>
      </c>
      <c r="J4315" s="315">
        <v>1.8892820073404559E-4</v>
      </c>
      <c r="K4315" s="316" t="str">
        <f t="shared" si="62"/>
        <v>Logging Equipment</v>
      </c>
      <c r="L4315" s="316" t="str">
        <f t="shared" si="63"/>
        <v>Gasoline</v>
      </c>
      <c r="M4315" s="194"/>
      <c r="N4315" s="317"/>
      <c r="O4315" s="317"/>
      <c r="P4315" s="317"/>
      <c r="Q4315" s="317"/>
      <c r="R4315" s="317"/>
      <c r="S4315" s="317"/>
      <c r="T4315" s="317"/>
      <c r="U4315" s="317"/>
      <c r="V4315" s="317"/>
      <c r="W4315" s="317"/>
      <c r="X4315" s="317"/>
      <c r="Y4315" s="317"/>
      <c r="Z4315" s="317"/>
    </row>
    <row r="4316" spans="1:26" x14ac:dyDescent="0.25">
      <c r="A4316" s="314"/>
      <c r="B4316" s="18">
        <v>2023</v>
      </c>
      <c r="C4316" s="18" t="s">
        <v>760</v>
      </c>
      <c r="D4316" s="18" t="s">
        <v>1806</v>
      </c>
      <c r="E4316" s="18" t="s">
        <v>56</v>
      </c>
      <c r="F4316" s="18" t="s">
        <v>601</v>
      </c>
      <c r="G4316" s="18" t="s">
        <v>675</v>
      </c>
      <c r="H4316" s="18" t="s">
        <v>798</v>
      </c>
      <c r="I4316" s="315">
        <v>0.24070766039858346</v>
      </c>
      <c r="J4316" s="315">
        <v>9.5808326204484143E-4</v>
      </c>
      <c r="K4316" s="316" t="str">
        <f t="shared" si="62"/>
        <v>Industrial Equipment</v>
      </c>
      <c r="L4316" s="316" t="str">
        <f t="shared" si="63"/>
        <v>CNG</v>
      </c>
      <c r="M4316" s="194"/>
      <c r="N4316" s="317"/>
      <c r="O4316" s="317"/>
      <c r="P4316" s="317"/>
      <c r="Q4316" s="317"/>
      <c r="R4316" s="317"/>
      <c r="S4316" s="317"/>
      <c r="T4316" s="317"/>
      <c r="U4316" s="317"/>
      <c r="V4316" s="317"/>
      <c r="W4316" s="317"/>
      <c r="X4316" s="317"/>
      <c r="Y4316" s="317"/>
      <c r="Z4316" s="317"/>
    </row>
    <row r="4317" spans="1:26" x14ac:dyDescent="0.25">
      <c r="A4317" s="314"/>
      <c r="B4317" s="18">
        <v>2023</v>
      </c>
      <c r="C4317" s="18" t="s">
        <v>727</v>
      </c>
      <c r="D4317" s="18" t="s">
        <v>1679</v>
      </c>
      <c r="E4317" s="18" t="s">
        <v>56</v>
      </c>
      <c r="F4317" s="18" t="s">
        <v>672</v>
      </c>
      <c r="G4317" s="18" t="s">
        <v>674</v>
      </c>
      <c r="H4317" s="18" t="s">
        <v>959</v>
      </c>
      <c r="I4317" s="315">
        <v>0.24068333153888102</v>
      </c>
      <c r="J4317" s="315">
        <v>4.0883509951178373E-5</v>
      </c>
      <c r="K4317" s="316" t="str">
        <f t="shared" si="62"/>
        <v>Construction and Mining Equipment</v>
      </c>
      <c r="L4317" s="316" t="str">
        <f t="shared" si="63"/>
        <v>LPG</v>
      </c>
      <c r="M4317" s="194"/>
      <c r="N4317" s="317"/>
      <c r="O4317" s="317"/>
      <c r="P4317" s="317"/>
      <c r="Q4317" s="317"/>
      <c r="R4317" s="317"/>
      <c r="S4317" s="317"/>
      <c r="T4317" s="317"/>
      <c r="U4317" s="317"/>
      <c r="V4317" s="317"/>
      <c r="W4317" s="317"/>
      <c r="X4317" s="317"/>
      <c r="Y4317" s="317"/>
      <c r="Z4317" s="317"/>
    </row>
    <row r="4318" spans="1:26" x14ac:dyDescent="0.25">
      <c r="A4318" s="314"/>
      <c r="B4318" s="18">
        <v>2023</v>
      </c>
      <c r="C4318" s="18" t="s">
        <v>750</v>
      </c>
      <c r="D4318" s="18" t="s">
        <v>1830</v>
      </c>
      <c r="E4318" s="18" t="s">
        <v>703</v>
      </c>
      <c r="F4318" s="18" t="s">
        <v>805</v>
      </c>
      <c r="G4318" s="18" t="s">
        <v>678</v>
      </c>
      <c r="H4318" s="18" t="s">
        <v>1222</v>
      </c>
      <c r="I4318" s="315">
        <v>0.23996659364880957</v>
      </c>
      <c r="J4318" s="315">
        <v>3.942245441094658E-4</v>
      </c>
      <c r="K4318" s="316" t="str">
        <f t="shared" si="62"/>
        <v>Agricultural Equipment</v>
      </c>
      <c r="L4318" s="316" t="str">
        <f t="shared" si="63"/>
        <v>Gasoline</v>
      </c>
      <c r="M4318" s="194"/>
      <c r="N4318" s="317"/>
      <c r="O4318" s="317"/>
      <c r="P4318" s="317"/>
      <c r="Q4318" s="317"/>
      <c r="R4318" s="317"/>
      <c r="S4318" s="317"/>
      <c r="T4318" s="317"/>
      <c r="U4318" s="317"/>
      <c r="V4318" s="317"/>
      <c r="W4318" s="317"/>
      <c r="X4318" s="317"/>
      <c r="Y4318" s="317"/>
      <c r="Z4318" s="317"/>
    </row>
    <row r="4319" spans="1:26" x14ac:dyDescent="0.25">
      <c r="A4319" s="314"/>
      <c r="B4319" s="18">
        <v>2023</v>
      </c>
      <c r="C4319" s="18" t="s">
        <v>750</v>
      </c>
      <c r="D4319" s="18" t="s">
        <v>1457</v>
      </c>
      <c r="E4319" s="18" t="s">
        <v>56</v>
      </c>
      <c r="F4319" s="18" t="s">
        <v>601</v>
      </c>
      <c r="G4319" s="18" t="s">
        <v>675</v>
      </c>
      <c r="H4319" s="18" t="s">
        <v>772</v>
      </c>
      <c r="I4319" s="315">
        <v>0.23967478258989358</v>
      </c>
      <c r="J4319" s="315">
        <v>9.7763669257278107E-4</v>
      </c>
      <c r="K4319" s="316" t="str">
        <f t="shared" si="62"/>
        <v>Industrial Equipment</v>
      </c>
      <c r="L4319" s="316" t="str">
        <f t="shared" si="63"/>
        <v>CNG</v>
      </c>
      <c r="M4319" s="194"/>
      <c r="N4319" s="317"/>
      <c r="O4319" s="317"/>
      <c r="P4319" s="317"/>
      <c r="Q4319" s="317"/>
      <c r="R4319" s="317"/>
      <c r="S4319" s="317"/>
      <c r="T4319" s="317"/>
      <c r="U4319" s="317"/>
      <c r="V4319" s="317"/>
      <c r="W4319" s="317"/>
      <c r="X4319" s="317"/>
      <c r="Y4319" s="317"/>
      <c r="Z4319" s="317"/>
    </row>
    <row r="4320" spans="1:26" x14ac:dyDescent="0.25">
      <c r="A4320" s="314"/>
      <c r="B4320" s="18">
        <v>2023</v>
      </c>
      <c r="C4320" s="18" t="s">
        <v>787</v>
      </c>
      <c r="D4320" s="18" t="s">
        <v>1656</v>
      </c>
      <c r="E4320" s="18" t="s">
        <v>56</v>
      </c>
      <c r="F4320" s="18" t="s">
        <v>672</v>
      </c>
      <c r="G4320" s="18" t="s">
        <v>677</v>
      </c>
      <c r="H4320" s="18" t="s">
        <v>1031</v>
      </c>
      <c r="I4320" s="315">
        <v>0.23811789529104629</v>
      </c>
      <c r="J4320" s="315">
        <v>1.2024344999705071E-5</v>
      </c>
      <c r="K4320" s="316" t="str">
        <f t="shared" si="62"/>
        <v>Commercial Equipment</v>
      </c>
      <c r="L4320" s="316" t="str">
        <f t="shared" si="63"/>
        <v>LPG</v>
      </c>
      <c r="M4320" s="194"/>
      <c r="N4320" s="317"/>
      <c r="O4320" s="317"/>
      <c r="P4320" s="317"/>
      <c r="Q4320" s="317"/>
      <c r="R4320" s="317"/>
      <c r="S4320" s="317"/>
      <c r="T4320" s="317"/>
      <c r="U4320" s="317"/>
      <c r="V4320" s="317"/>
      <c r="W4320" s="317"/>
      <c r="X4320" s="317"/>
      <c r="Y4320" s="317"/>
      <c r="Z4320" s="317"/>
    </row>
    <row r="4321" spans="1:26" x14ac:dyDescent="0.25">
      <c r="A4321" s="314"/>
      <c r="B4321" s="18">
        <v>2023</v>
      </c>
      <c r="C4321" s="18" t="s">
        <v>754</v>
      </c>
      <c r="D4321" s="18" t="s">
        <v>1730</v>
      </c>
      <c r="E4321" s="18" t="s">
        <v>703</v>
      </c>
      <c r="F4321" s="18" t="s">
        <v>805</v>
      </c>
      <c r="G4321" s="18" t="s">
        <v>674</v>
      </c>
      <c r="H4321" s="18" t="s">
        <v>959</v>
      </c>
      <c r="I4321" s="315">
        <v>0.23747550490631564</v>
      </c>
      <c r="J4321" s="315">
        <v>5.3061655869527551E-4</v>
      </c>
      <c r="K4321" s="316" t="str">
        <f t="shared" si="62"/>
        <v>Construction and Mining Equipment</v>
      </c>
      <c r="L4321" s="316" t="str">
        <f t="shared" si="63"/>
        <v>Gasoline</v>
      </c>
      <c r="M4321" s="194"/>
      <c r="N4321" s="317"/>
      <c r="O4321" s="317"/>
      <c r="P4321" s="317"/>
      <c r="Q4321" s="317"/>
      <c r="R4321" s="317"/>
      <c r="S4321" s="317"/>
      <c r="T4321" s="317"/>
      <c r="U4321" s="317"/>
      <c r="V4321" s="317"/>
      <c r="W4321" s="317"/>
      <c r="X4321" s="317"/>
      <c r="Y4321" s="317"/>
      <c r="Z4321" s="317"/>
    </row>
    <row r="4322" spans="1:26" x14ac:dyDescent="0.25">
      <c r="A4322" s="314"/>
      <c r="B4322" s="18">
        <v>2023</v>
      </c>
      <c r="C4322" s="18" t="s">
        <v>773</v>
      </c>
      <c r="D4322" s="18" t="s">
        <v>1663</v>
      </c>
      <c r="E4322" s="18" t="s">
        <v>713</v>
      </c>
      <c r="F4322" s="18" t="s">
        <v>714</v>
      </c>
      <c r="G4322" s="18" t="s">
        <v>674</v>
      </c>
      <c r="H4322" s="18" t="s">
        <v>1082</v>
      </c>
      <c r="I4322" s="315">
        <v>0.23734416721153673</v>
      </c>
      <c r="J4322" s="315">
        <v>2.8177738347281665E-5</v>
      </c>
      <c r="K4322" s="316" t="str">
        <f t="shared" si="62"/>
        <v>Construction and Mining Equipment</v>
      </c>
      <c r="L4322" s="316" t="str">
        <f t="shared" si="63"/>
        <v>Diesel</v>
      </c>
      <c r="M4322" s="194"/>
      <c r="N4322" s="317"/>
      <c r="O4322" s="317"/>
      <c r="P4322" s="317"/>
      <c r="Q4322" s="317"/>
      <c r="R4322" s="317"/>
      <c r="S4322" s="317"/>
      <c r="T4322" s="317"/>
      <c r="U4322" s="317"/>
      <c r="V4322" s="317"/>
      <c r="W4322" s="317"/>
      <c r="X4322" s="317"/>
      <c r="Y4322" s="317"/>
      <c r="Z4322" s="317"/>
    </row>
    <row r="4323" spans="1:26" x14ac:dyDescent="0.25">
      <c r="A4323" s="314"/>
      <c r="B4323" s="18">
        <v>2023</v>
      </c>
      <c r="C4323" s="18" t="s">
        <v>753</v>
      </c>
      <c r="D4323" s="18" t="s">
        <v>1654</v>
      </c>
      <c r="E4323" s="18" t="s">
        <v>56</v>
      </c>
      <c r="F4323" s="18" t="s">
        <v>672</v>
      </c>
      <c r="G4323" s="18" t="s">
        <v>674</v>
      </c>
      <c r="H4323" s="18" t="s">
        <v>994</v>
      </c>
      <c r="I4323" s="315">
        <v>0.23682360523633533</v>
      </c>
      <c r="J4323" s="315">
        <v>5.8706312981311641E-5</v>
      </c>
      <c r="K4323" s="316" t="str">
        <f t="shared" si="62"/>
        <v>Construction and Mining Equipment</v>
      </c>
      <c r="L4323" s="316" t="str">
        <f t="shared" si="63"/>
        <v>LPG</v>
      </c>
      <c r="M4323" s="194"/>
      <c r="N4323" s="317"/>
      <c r="O4323" s="317"/>
      <c r="P4323" s="317"/>
      <c r="Q4323" s="317"/>
      <c r="R4323" s="317"/>
      <c r="S4323" s="317"/>
      <c r="T4323" s="317"/>
      <c r="U4323" s="317"/>
      <c r="V4323" s="317"/>
      <c r="W4323" s="317"/>
      <c r="X4323" s="317"/>
      <c r="Y4323" s="317"/>
      <c r="Z4323" s="317"/>
    </row>
    <row r="4324" spans="1:26" x14ac:dyDescent="0.25">
      <c r="A4324" s="314"/>
      <c r="B4324" s="18">
        <v>2023</v>
      </c>
      <c r="C4324" s="18" t="s">
        <v>781</v>
      </c>
      <c r="D4324" s="18" t="s">
        <v>1435</v>
      </c>
      <c r="E4324" s="18" t="s">
        <v>56</v>
      </c>
      <c r="F4324" s="18" t="s">
        <v>672</v>
      </c>
      <c r="G4324" s="18" t="s">
        <v>674</v>
      </c>
      <c r="H4324" s="18" t="s">
        <v>863</v>
      </c>
      <c r="I4324" s="315">
        <v>0.23653716099001668</v>
      </c>
      <c r="J4324" s="315">
        <v>1.5752371124781024E-5</v>
      </c>
      <c r="K4324" s="316" t="str">
        <f t="shared" si="62"/>
        <v>Construction and Mining Equipment</v>
      </c>
      <c r="L4324" s="316" t="str">
        <f t="shared" si="63"/>
        <v>LPG</v>
      </c>
      <c r="M4324" s="194"/>
      <c r="N4324" s="317"/>
      <c r="O4324" s="317"/>
      <c r="P4324" s="317"/>
      <c r="Q4324" s="317"/>
      <c r="R4324" s="317"/>
      <c r="S4324" s="317"/>
      <c r="T4324" s="317"/>
      <c r="U4324" s="317"/>
      <c r="V4324" s="317"/>
      <c r="W4324" s="317"/>
      <c r="X4324" s="317"/>
      <c r="Y4324" s="317"/>
      <c r="Z4324" s="317"/>
    </row>
    <row r="4325" spans="1:26" x14ac:dyDescent="0.25">
      <c r="A4325" s="314"/>
      <c r="B4325" s="18">
        <v>2023</v>
      </c>
      <c r="C4325" s="18" t="s">
        <v>793</v>
      </c>
      <c r="D4325" s="18" t="s">
        <v>1679</v>
      </c>
      <c r="E4325" s="18" t="s">
        <v>56</v>
      </c>
      <c r="F4325" s="18" t="s">
        <v>672</v>
      </c>
      <c r="G4325" s="18" t="s">
        <v>674</v>
      </c>
      <c r="H4325" s="18" t="s">
        <v>959</v>
      </c>
      <c r="I4325" s="315">
        <v>0.23499357368534457</v>
      </c>
      <c r="J4325" s="315">
        <v>3.9917008386442424E-5</v>
      </c>
      <c r="K4325" s="316" t="str">
        <f t="shared" si="62"/>
        <v>Construction and Mining Equipment</v>
      </c>
      <c r="L4325" s="316" t="str">
        <f t="shared" si="63"/>
        <v>LPG</v>
      </c>
      <c r="M4325" s="194"/>
      <c r="N4325" s="317"/>
      <c r="O4325" s="317"/>
      <c r="P4325" s="317"/>
      <c r="Q4325" s="317"/>
      <c r="R4325" s="317"/>
      <c r="S4325" s="317"/>
      <c r="T4325" s="317"/>
      <c r="U4325" s="317"/>
      <c r="V4325" s="317"/>
      <c r="W4325" s="317"/>
      <c r="X4325" s="317"/>
      <c r="Y4325" s="317"/>
      <c r="Z4325" s="317"/>
    </row>
    <row r="4326" spans="1:26" x14ac:dyDescent="0.25">
      <c r="A4326" s="314"/>
      <c r="B4326" s="18">
        <v>2023</v>
      </c>
      <c r="C4326" s="18" t="s">
        <v>793</v>
      </c>
      <c r="D4326" s="18" t="s">
        <v>1708</v>
      </c>
      <c r="E4326" s="18" t="s">
        <v>703</v>
      </c>
      <c r="F4326" s="18" t="s">
        <v>704</v>
      </c>
      <c r="G4326" s="18" t="s">
        <v>678</v>
      </c>
      <c r="H4326" s="18" t="s">
        <v>1709</v>
      </c>
      <c r="I4326" s="315">
        <v>0.23163215148652994</v>
      </c>
      <c r="J4326" s="315">
        <v>1.5622954338053715E-4</v>
      </c>
      <c r="K4326" s="316" t="str">
        <f t="shared" si="62"/>
        <v>Agricultural Equipment</v>
      </c>
      <c r="L4326" s="316" t="str">
        <f t="shared" si="63"/>
        <v>Gasoline</v>
      </c>
      <c r="M4326" s="194"/>
      <c r="N4326" s="317"/>
      <c r="O4326" s="317"/>
      <c r="P4326" s="317"/>
      <c r="Q4326" s="317"/>
      <c r="R4326" s="317"/>
      <c r="S4326" s="317"/>
      <c r="T4326" s="317"/>
      <c r="U4326" s="317"/>
      <c r="V4326" s="317"/>
      <c r="W4326" s="317"/>
      <c r="X4326" s="317"/>
      <c r="Y4326" s="317"/>
      <c r="Z4326" s="317"/>
    </row>
    <row r="4327" spans="1:26" x14ac:dyDescent="0.25">
      <c r="A4327" s="314"/>
      <c r="B4327" s="18">
        <v>2023</v>
      </c>
      <c r="C4327" s="18" t="s">
        <v>750</v>
      </c>
      <c r="D4327" s="18" t="s">
        <v>1840</v>
      </c>
      <c r="E4327" s="18" t="s">
        <v>703</v>
      </c>
      <c r="F4327" s="18" t="s">
        <v>704</v>
      </c>
      <c r="G4327" s="18" t="s">
        <v>681</v>
      </c>
      <c r="H4327" s="18" t="s">
        <v>895</v>
      </c>
      <c r="I4327" s="315">
        <v>0.23145190950890754</v>
      </c>
      <c r="J4327" s="315">
        <v>1.8098692239389245E-4</v>
      </c>
      <c r="K4327" s="316" t="str">
        <f t="shared" si="62"/>
        <v>Logging Equipment</v>
      </c>
      <c r="L4327" s="316" t="str">
        <f t="shared" si="63"/>
        <v>Gasoline</v>
      </c>
      <c r="M4327" s="194"/>
      <c r="N4327" s="317"/>
      <c r="O4327" s="317"/>
      <c r="P4327" s="317"/>
      <c r="Q4327" s="317"/>
      <c r="R4327" s="317"/>
      <c r="S4327" s="317"/>
      <c r="T4327" s="317"/>
      <c r="U4327" s="317"/>
      <c r="V4327" s="317"/>
      <c r="W4327" s="317"/>
      <c r="X4327" s="317"/>
      <c r="Y4327" s="317"/>
      <c r="Z4327" s="317"/>
    </row>
    <row r="4328" spans="1:26" x14ac:dyDescent="0.25">
      <c r="A4328" s="314"/>
      <c r="B4328" s="18">
        <v>2023</v>
      </c>
      <c r="C4328" s="18" t="s">
        <v>731</v>
      </c>
      <c r="D4328" s="18" t="s">
        <v>1483</v>
      </c>
      <c r="E4328" s="18" t="s">
        <v>703</v>
      </c>
      <c r="F4328" s="18" t="s">
        <v>805</v>
      </c>
      <c r="G4328" s="18" t="s">
        <v>674</v>
      </c>
      <c r="H4328" s="18" t="s">
        <v>994</v>
      </c>
      <c r="I4328" s="315">
        <v>0.23136909450308918</v>
      </c>
      <c r="J4328" s="315">
        <v>4.851064946074151E-4</v>
      </c>
      <c r="K4328" s="316" t="str">
        <f t="shared" si="62"/>
        <v>Construction and Mining Equipment</v>
      </c>
      <c r="L4328" s="316" t="str">
        <f t="shared" si="63"/>
        <v>Gasoline</v>
      </c>
      <c r="M4328" s="194"/>
      <c r="N4328" s="317"/>
      <c r="O4328" s="317"/>
      <c r="P4328" s="317"/>
      <c r="Q4328" s="317"/>
      <c r="R4328" s="317"/>
      <c r="S4328" s="317"/>
      <c r="T4328" s="317"/>
      <c r="U4328" s="317"/>
      <c r="V4328" s="317"/>
      <c r="W4328" s="317"/>
      <c r="X4328" s="317"/>
      <c r="Y4328" s="317"/>
      <c r="Z4328" s="317"/>
    </row>
    <row r="4329" spans="1:26" x14ac:dyDescent="0.25">
      <c r="A4329" s="314"/>
      <c r="B4329" s="18">
        <v>2023</v>
      </c>
      <c r="C4329" s="18" t="s">
        <v>786</v>
      </c>
      <c r="D4329" s="18" t="s">
        <v>1483</v>
      </c>
      <c r="E4329" s="18" t="s">
        <v>703</v>
      </c>
      <c r="F4329" s="18" t="s">
        <v>805</v>
      </c>
      <c r="G4329" s="18" t="s">
        <v>674</v>
      </c>
      <c r="H4329" s="18" t="s">
        <v>994</v>
      </c>
      <c r="I4329" s="315">
        <v>0.2297932880732029</v>
      </c>
      <c r="J4329" s="315">
        <v>4.8180227781700115E-4</v>
      </c>
      <c r="K4329" s="316" t="str">
        <f t="shared" si="62"/>
        <v>Construction and Mining Equipment</v>
      </c>
      <c r="L4329" s="316" t="str">
        <f t="shared" si="63"/>
        <v>Gasoline</v>
      </c>
      <c r="M4329" s="194"/>
      <c r="N4329" s="317"/>
      <c r="O4329" s="317"/>
      <c r="P4329" s="317"/>
      <c r="Q4329" s="317"/>
      <c r="R4329" s="317"/>
      <c r="S4329" s="317"/>
      <c r="T4329" s="317"/>
      <c r="U4329" s="317"/>
      <c r="V4329" s="317"/>
      <c r="W4329" s="317"/>
      <c r="X4329" s="317"/>
      <c r="Y4329" s="317"/>
      <c r="Z4329" s="317"/>
    </row>
    <row r="4330" spans="1:26" x14ac:dyDescent="0.25">
      <c r="A4330" s="314"/>
      <c r="B4330" s="18">
        <v>2023</v>
      </c>
      <c r="C4330" s="18" t="s">
        <v>727</v>
      </c>
      <c r="D4330" s="18" t="s">
        <v>1685</v>
      </c>
      <c r="E4330" s="18" t="s">
        <v>56</v>
      </c>
      <c r="F4330" s="18" t="s">
        <v>672</v>
      </c>
      <c r="G4330" s="18" t="s">
        <v>674</v>
      </c>
      <c r="H4330" s="18" t="s">
        <v>1072</v>
      </c>
      <c r="I4330" s="315">
        <v>0.22534442639745705</v>
      </c>
      <c r="J4330" s="315">
        <v>1.5636354018321359E-5</v>
      </c>
      <c r="K4330" s="316" t="str">
        <f t="shared" si="62"/>
        <v>Construction and Mining Equipment</v>
      </c>
      <c r="L4330" s="316" t="str">
        <f t="shared" si="63"/>
        <v>LPG</v>
      </c>
      <c r="M4330" s="194"/>
      <c r="N4330" s="317"/>
      <c r="O4330" s="317"/>
      <c r="P4330" s="317"/>
      <c r="Q4330" s="317"/>
      <c r="R4330" s="317"/>
      <c r="S4330" s="317"/>
      <c r="T4330" s="317"/>
      <c r="U4330" s="317"/>
      <c r="V4330" s="317"/>
      <c r="W4330" s="317"/>
      <c r="X4330" s="317"/>
      <c r="Y4330" s="317"/>
      <c r="Z4330" s="317"/>
    </row>
    <row r="4331" spans="1:26" x14ac:dyDescent="0.25">
      <c r="A4331" s="314"/>
      <c r="B4331" s="18">
        <v>2023</v>
      </c>
      <c r="C4331" s="18" t="s">
        <v>810</v>
      </c>
      <c r="D4331" s="18" t="s">
        <v>1654</v>
      </c>
      <c r="E4331" s="18" t="s">
        <v>56</v>
      </c>
      <c r="F4331" s="18" t="s">
        <v>672</v>
      </c>
      <c r="G4331" s="18" t="s">
        <v>674</v>
      </c>
      <c r="H4331" s="18" t="s">
        <v>994</v>
      </c>
      <c r="I4331" s="315">
        <v>0.22320968300614075</v>
      </c>
      <c r="J4331" s="315">
        <v>5.5331632034812185E-5</v>
      </c>
      <c r="K4331" s="316" t="str">
        <f t="shared" si="62"/>
        <v>Construction and Mining Equipment</v>
      </c>
      <c r="L4331" s="316" t="str">
        <f t="shared" si="63"/>
        <v>LPG</v>
      </c>
      <c r="M4331" s="194"/>
      <c r="N4331" s="317"/>
      <c r="O4331" s="317"/>
      <c r="P4331" s="317"/>
      <c r="Q4331" s="317"/>
      <c r="R4331" s="317"/>
      <c r="S4331" s="317"/>
      <c r="T4331" s="317"/>
      <c r="U4331" s="317"/>
      <c r="V4331" s="317"/>
      <c r="W4331" s="317"/>
      <c r="X4331" s="317"/>
      <c r="Y4331" s="317"/>
      <c r="Z4331" s="317"/>
    </row>
    <row r="4332" spans="1:26" x14ac:dyDescent="0.25">
      <c r="A4332" s="314"/>
      <c r="B4332" s="18">
        <v>2023</v>
      </c>
      <c r="C4332" s="18" t="s">
        <v>792</v>
      </c>
      <c r="D4332" s="18" t="s">
        <v>1564</v>
      </c>
      <c r="E4332" s="18" t="s">
        <v>703</v>
      </c>
      <c r="F4332" s="18" t="s">
        <v>704</v>
      </c>
      <c r="G4332" s="18" t="s">
        <v>674</v>
      </c>
      <c r="H4332" s="18" t="s">
        <v>981</v>
      </c>
      <c r="I4332" s="315">
        <v>0.22114552353338623</v>
      </c>
      <c r="J4332" s="315">
        <v>1.6463107478062886E-4</v>
      </c>
      <c r="K4332" s="316" t="str">
        <f t="shared" si="62"/>
        <v>Construction and Mining Equipment</v>
      </c>
      <c r="L4332" s="316" t="str">
        <f t="shared" si="63"/>
        <v>Gasoline</v>
      </c>
      <c r="M4332" s="194"/>
      <c r="N4332" s="317"/>
      <c r="O4332" s="317"/>
      <c r="P4332" s="317"/>
      <c r="Q4332" s="317"/>
      <c r="R4332" s="317"/>
      <c r="S4332" s="317"/>
      <c r="T4332" s="317"/>
      <c r="U4332" s="317"/>
      <c r="V4332" s="317"/>
      <c r="W4332" s="317"/>
      <c r="X4332" s="317"/>
      <c r="Y4332" s="317"/>
      <c r="Z4332" s="317"/>
    </row>
    <row r="4333" spans="1:26" x14ac:dyDescent="0.25">
      <c r="A4333" s="314"/>
      <c r="B4333" s="18">
        <v>2023</v>
      </c>
      <c r="C4333" s="18" t="s">
        <v>706</v>
      </c>
      <c r="D4333" s="18" t="s">
        <v>1838</v>
      </c>
      <c r="E4333" s="18" t="s">
        <v>713</v>
      </c>
      <c r="F4333" s="18" t="s">
        <v>714</v>
      </c>
      <c r="G4333" s="18" t="s">
        <v>678</v>
      </c>
      <c r="H4333" s="18" t="s">
        <v>1745</v>
      </c>
      <c r="I4333" s="315">
        <v>0.22106135498528612</v>
      </c>
      <c r="J4333" s="315">
        <v>1.5997680071120271E-6</v>
      </c>
      <c r="K4333" s="316" t="str">
        <f t="shared" si="62"/>
        <v>Agricultural Equipment</v>
      </c>
      <c r="L4333" s="316" t="str">
        <f t="shared" si="63"/>
        <v>Diesel</v>
      </c>
      <c r="M4333" s="194"/>
      <c r="N4333" s="317"/>
      <c r="O4333" s="317"/>
      <c r="P4333" s="317"/>
      <c r="Q4333" s="317"/>
      <c r="R4333" s="317"/>
      <c r="S4333" s="317"/>
      <c r="T4333" s="317"/>
      <c r="U4333" s="317"/>
      <c r="V4333" s="317"/>
      <c r="W4333" s="317"/>
      <c r="X4333" s="317"/>
      <c r="Y4333" s="317"/>
      <c r="Z4333" s="317"/>
    </row>
    <row r="4334" spans="1:26" x14ac:dyDescent="0.25">
      <c r="A4334" s="314"/>
      <c r="B4334" s="18">
        <v>2023</v>
      </c>
      <c r="C4334" s="18" t="s">
        <v>759</v>
      </c>
      <c r="D4334" s="18" t="s">
        <v>1588</v>
      </c>
      <c r="E4334" s="18" t="s">
        <v>56</v>
      </c>
      <c r="F4334" s="18" t="s">
        <v>1575</v>
      </c>
      <c r="G4334" s="18" t="s">
        <v>675</v>
      </c>
      <c r="H4334" s="18" t="s">
        <v>1589</v>
      </c>
      <c r="I4334" s="315">
        <v>0.22081313680989473</v>
      </c>
      <c r="J4334" s="315">
        <v>9.2926123508038356E-4</v>
      </c>
      <c r="K4334" s="316" t="str">
        <f t="shared" si="62"/>
        <v>Industrial Equipment</v>
      </c>
      <c r="L4334" s="316" t="str">
        <f t="shared" si="63"/>
        <v>CNG</v>
      </c>
      <c r="M4334" s="194"/>
      <c r="N4334" s="317"/>
      <c r="O4334" s="317"/>
      <c r="P4334" s="317"/>
      <c r="Q4334" s="317"/>
      <c r="R4334" s="317"/>
      <c r="S4334" s="317"/>
      <c r="T4334" s="317"/>
      <c r="U4334" s="317"/>
      <c r="V4334" s="317"/>
      <c r="W4334" s="317"/>
      <c r="X4334" s="317"/>
      <c r="Y4334" s="317"/>
      <c r="Z4334" s="317"/>
    </row>
    <row r="4335" spans="1:26" x14ac:dyDescent="0.25">
      <c r="A4335" s="314"/>
      <c r="B4335" s="18">
        <v>2023</v>
      </c>
      <c r="C4335" s="18" t="s">
        <v>810</v>
      </c>
      <c r="D4335" s="18" t="s">
        <v>737</v>
      </c>
      <c r="E4335" s="18" t="s">
        <v>713</v>
      </c>
      <c r="F4335" s="18" t="s">
        <v>714</v>
      </c>
      <c r="G4335" s="18" t="s">
        <v>680</v>
      </c>
      <c r="H4335" s="18" t="s">
        <v>680</v>
      </c>
      <c r="I4335" s="315">
        <v>0.2203170380520427</v>
      </c>
      <c r="J4335" s="315">
        <v>1.7789243577875373E-6</v>
      </c>
      <c r="K4335" s="316" t="str">
        <f t="shared" si="62"/>
        <v>Airport Ground Support Equipment</v>
      </c>
      <c r="L4335" s="316" t="str">
        <f t="shared" si="63"/>
        <v>Diesel</v>
      </c>
      <c r="M4335" s="194"/>
      <c r="N4335" s="317"/>
      <c r="O4335" s="317"/>
      <c r="P4335" s="317"/>
      <c r="Q4335" s="317"/>
      <c r="R4335" s="317"/>
      <c r="S4335" s="317"/>
      <c r="T4335" s="317"/>
      <c r="U4335" s="317"/>
      <c r="V4335" s="317"/>
      <c r="W4335" s="317"/>
      <c r="X4335" s="317"/>
      <c r="Y4335" s="317"/>
      <c r="Z4335" s="317"/>
    </row>
    <row r="4336" spans="1:26" x14ac:dyDescent="0.25">
      <c r="A4336" s="314"/>
      <c r="B4336" s="18">
        <v>2023</v>
      </c>
      <c r="C4336" s="18" t="s">
        <v>793</v>
      </c>
      <c r="D4336" s="18" t="s">
        <v>1685</v>
      </c>
      <c r="E4336" s="18" t="s">
        <v>56</v>
      </c>
      <c r="F4336" s="18" t="s">
        <v>672</v>
      </c>
      <c r="G4336" s="18" t="s">
        <v>674</v>
      </c>
      <c r="H4336" s="18" t="s">
        <v>1072</v>
      </c>
      <c r="I4336" s="315">
        <v>0.22001730551822418</v>
      </c>
      <c r="J4336" s="315">
        <v>1.5266701772392773E-5</v>
      </c>
      <c r="K4336" s="316" t="str">
        <f t="shared" si="62"/>
        <v>Construction and Mining Equipment</v>
      </c>
      <c r="L4336" s="316" t="str">
        <f t="shared" si="63"/>
        <v>LPG</v>
      </c>
      <c r="M4336" s="194"/>
      <c r="N4336" s="317"/>
      <c r="O4336" s="317"/>
      <c r="P4336" s="317"/>
      <c r="Q4336" s="317"/>
      <c r="R4336" s="317"/>
      <c r="S4336" s="317"/>
      <c r="T4336" s="317"/>
      <c r="U4336" s="317"/>
      <c r="V4336" s="317"/>
      <c r="W4336" s="317"/>
      <c r="X4336" s="317"/>
      <c r="Y4336" s="317"/>
      <c r="Z4336" s="317"/>
    </row>
    <row r="4337" spans="1:26" x14ac:dyDescent="0.25">
      <c r="A4337" s="314"/>
      <c r="B4337" s="18">
        <v>2023</v>
      </c>
      <c r="C4337" s="18" t="s">
        <v>773</v>
      </c>
      <c r="D4337" s="18" t="s">
        <v>1679</v>
      </c>
      <c r="E4337" s="18" t="s">
        <v>56</v>
      </c>
      <c r="F4337" s="18" t="s">
        <v>672</v>
      </c>
      <c r="G4337" s="18" t="s">
        <v>674</v>
      </c>
      <c r="H4337" s="18" t="s">
        <v>959</v>
      </c>
      <c r="I4337" s="315">
        <v>0.21918406847230415</v>
      </c>
      <c r="J4337" s="315">
        <v>3.7231490906608708E-5</v>
      </c>
      <c r="K4337" s="316" t="str">
        <f t="shared" si="62"/>
        <v>Construction and Mining Equipment</v>
      </c>
      <c r="L4337" s="316" t="str">
        <f t="shared" si="63"/>
        <v>LPG</v>
      </c>
      <c r="M4337" s="194"/>
      <c r="N4337" s="317"/>
      <c r="O4337" s="317"/>
      <c r="P4337" s="317"/>
      <c r="Q4337" s="317"/>
      <c r="R4337" s="317"/>
      <c r="S4337" s="317"/>
      <c r="T4337" s="317"/>
      <c r="U4337" s="317"/>
      <c r="V4337" s="317"/>
      <c r="W4337" s="317"/>
      <c r="X4337" s="317"/>
      <c r="Y4337" s="317"/>
      <c r="Z4337" s="317"/>
    </row>
    <row r="4338" spans="1:26" x14ac:dyDescent="0.25">
      <c r="A4338" s="314"/>
      <c r="B4338" s="18">
        <v>2023</v>
      </c>
      <c r="C4338" s="18" t="s">
        <v>760</v>
      </c>
      <c r="D4338" s="18" t="s">
        <v>1833</v>
      </c>
      <c r="E4338" s="18" t="s">
        <v>703</v>
      </c>
      <c r="F4338" s="18" t="s">
        <v>704</v>
      </c>
      <c r="G4338" s="18" t="s">
        <v>674</v>
      </c>
      <c r="H4338" s="18" t="s">
        <v>1082</v>
      </c>
      <c r="I4338" s="315">
        <v>0.21893627664023479</v>
      </c>
      <c r="J4338" s="315">
        <v>1.4220791567396413E-4</v>
      </c>
      <c r="K4338" s="316" t="str">
        <f t="shared" si="62"/>
        <v>Construction and Mining Equipment</v>
      </c>
      <c r="L4338" s="316" t="str">
        <f t="shared" si="63"/>
        <v>Gasoline</v>
      </c>
      <c r="M4338" s="194"/>
      <c r="N4338" s="317"/>
      <c r="O4338" s="317"/>
      <c r="P4338" s="317"/>
      <c r="Q4338" s="317"/>
      <c r="R4338" s="317"/>
      <c r="S4338" s="317"/>
      <c r="T4338" s="317"/>
      <c r="U4338" s="317"/>
      <c r="V4338" s="317"/>
      <c r="W4338" s="317"/>
      <c r="X4338" s="317"/>
      <c r="Y4338" s="317"/>
      <c r="Z4338" s="317"/>
    </row>
    <row r="4339" spans="1:26" x14ac:dyDescent="0.25">
      <c r="A4339" s="314"/>
      <c r="B4339" s="18">
        <v>2023</v>
      </c>
      <c r="C4339" s="18" t="s">
        <v>786</v>
      </c>
      <c r="D4339" s="18" t="s">
        <v>1617</v>
      </c>
      <c r="E4339" s="18" t="s">
        <v>703</v>
      </c>
      <c r="F4339" s="18" t="s">
        <v>805</v>
      </c>
      <c r="G4339" s="18" t="s">
        <v>675</v>
      </c>
      <c r="H4339" s="18" t="s">
        <v>802</v>
      </c>
      <c r="I4339" s="315">
        <v>0.21723293920343406</v>
      </c>
      <c r="J4339" s="315">
        <v>4.8538663595967395E-4</v>
      </c>
      <c r="K4339" s="316" t="str">
        <f t="shared" si="62"/>
        <v>Industrial Equipment</v>
      </c>
      <c r="L4339" s="316" t="str">
        <f t="shared" si="63"/>
        <v>Gasoline</v>
      </c>
      <c r="M4339" s="194"/>
      <c r="N4339" s="317"/>
      <c r="O4339" s="317"/>
      <c r="P4339" s="317"/>
      <c r="Q4339" s="317"/>
      <c r="R4339" s="317"/>
      <c r="S4339" s="317"/>
      <c r="T4339" s="317"/>
      <c r="U4339" s="317"/>
      <c r="V4339" s="317"/>
      <c r="W4339" s="317"/>
      <c r="X4339" s="317"/>
      <c r="Y4339" s="317"/>
      <c r="Z4339" s="317"/>
    </row>
    <row r="4340" spans="1:26" x14ac:dyDescent="0.25">
      <c r="A4340" s="314"/>
      <c r="B4340" s="18">
        <v>2023</v>
      </c>
      <c r="C4340" s="18" t="s">
        <v>762</v>
      </c>
      <c r="D4340" s="18" t="s">
        <v>1617</v>
      </c>
      <c r="E4340" s="18" t="s">
        <v>703</v>
      </c>
      <c r="F4340" s="18" t="s">
        <v>805</v>
      </c>
      <c r="G4340" s="18" t="s">
        <v>675</v>
      </c>
      <c r="H4340" s="18" t="s">
        <v>802</v>
      </c>
      <c r="I4340" s="315">
        <v>0.21463063163798907</v>
      </c>
      <c r="J4340" s="315">
        <v>4.7957177614709422E-4</v>
      </c>
      <c r="K4340" s="316" t="str">
        <f t="shared" si="62"/>
        <v>Industrial Equipment</v>
      </c>
      <c r="L4340" s="316" t="str">
        <f t="shared" si="63"/>
        <v>Gasoline</v>
      </c>
      <c r="M4340" s="194"/>
      <c r="N4340" s="317"/>
      <c r="O4340" s="317"/>
      <c r="P4340" s="317"/>
      <c r="Q4340" s="317"/>
      <c r="R4340" s="317"/>
      <c r="S4340" s="317"/>
      <c r="T4340" s="317"/>
      <c r="U4340" s="317"/>
      <c r="V4340" s="317"/>
      <c r="W4340" s="317"/>
      <c r="X4340" s="317"/>
      <c r="Y4340" s="317"/>
      <c r="Z4340" s="317"/>
    </row>
    <row r="4341" spans="1:26" x14ac:dyDescent="0.25">
      <c r="A4341" s="314"/>
      <c r="B4341" s="18">
        <v>2023</v>
      </c>
      <c r="C4341" s="18" t="s">
        <v>773</v>
      </c>
      <c r="D4341" s="18" t="s">
        <v>1403</v>
      </c>
      <c r="E4341" s="18" t="s">
        <v>703</v>
      </c>
      <c r="F4341" s="18" t="s">
        <v>683</v>
      </c>
      <c r="G4341" s="18" t="s">
        <v>1404</v>
      </c>
      <c r="H4341" s="18" t="s">
        <v>1002</v>
      </c>
      <c r="I4341" s="315">
        <v>0.2141929631336065</v>
      </c>
      <c r="J4341" s="315">
        <v>1.3795201539478158E-4</v>
      </c>
      <c r="K4341" s="316" t="str">
        <f t="shared" si="62"/>
        <v>Railroad Equipment</v>
      </c>
      <c r="L4341" s="316" t="str">
        <f t="shared" si="63"/>
        <v>Gasoline</v>
      </c>
      <c r="M4341" s="194"/>
      <c r="N4341" s="317"/>
      <c r="O4341" s="317"/>
      <c r="P4341" s="317"/>
      <c r="Q4341" s="317"/>
      <c r="R4341" s="317"/>
      <c r="S4341" s="317"/>
      <c r="T4341" s="317"/>
      <c r="U4341" s="317"/>
      <c r="V4341" s="317"/>
      <c r="W4341" s="317"/>
      <c r="X4341" s="317"/>
      <c r="Y4341" s="317"/>
      <c r="Z4341" s="317"/>
    </row>
    <row r="4342" spans="1:26" x14ac:dyDescent="0.25">
      <c r="A4342" s="314"/>
      <c r="B4342" s="18">
        <v>2023</v>
      </c>
      <c r="C4342" s="18" t="s">
        <v>759</v>
      </c>
      <c r="D4342" s="18" t="s">
        <v>1416</v>
      </c>
      <c r="E4342" s="18" t="s">
        <v>56</v>
      </c>
      <c r="F4342" s="18" t="s">
        <v>672</v>
      </c>
      <c r="G4342" s="18" t="s">
        <v>674</v>
      </c>
      <c r="H4342" s="18" t="s">
        <v>861</v>
      </c>
      <c r="I4342" s="315">
        <v>0.21350414792640487</v>
      </c>
      <c r="J4342" s="315">
        <v>1.4421442552000341E-4</v>
      </c>
      <c r="K4342" s="316" t="str">
        <f t="shared" si="62"/>
        <v>Construction and Mining Equipment</v>
      </c>
      <c r="L4342" s="316" t="str">
        <f t="shared" si="63"/>
        <v>LPG</v>
      </c>
      <c r="M4342" s="194"/>
      <c r="N4342" s="317"/>
      <c r="O4342" s="317"/>
      <c r="P4342" s="317"/>
      <c r="Q4342" s="317"/>
      <c r="R4342" s="317"/>
      <c r="S4342" s="317"/>
      <c r="T4342" s="317"/>
      <c r="U4342" s="317"/>
      <c r="V4342" s="317"/>
      <c r="W4342" s="317"/>
      <c r="X4342" s="317"/>
      <c r="Y4342" s="317"/>
      <c r="Z4342" s="317"/>
    </row>
    <row r="4343" spans="1:26" x14ac:dyDescent="0.25">
      <c r="A4343" s="314"/>
      <c r="B4343" s="18">
        <v>2023</v>
      </c>
      <c r="C4343" s="18" t="s">
        <v>810</v>
      </c>
      <c r="D4343" s="18" t="s">
        <v>1838</v>
      </c>
      <c r="E4343" s="18" t="s">
        <v>713</v>
      </c>
      <c r="F4343" s="18" t="s">
        <v>714</v>
      </c>
      <c r="G4343" s="18" t="s">
        <v>678</v>
      </c>
      <c r="H4343" s="18" t="s">
        <v>1745</v>
      </c>
      <c r="I4343" s="315">
        <v>0.21325701599928562</v>
      </c>
      <c r="J4343" s="315">
        <v>1.5432908460136092E-6</v>
      </c>
      <c r="K4343" s="316" t="str">
        <f t="shared" si="62"/>
        <v>Agricultural Equipment</v>
      </c>
      <c r="L4343" s="316" t="str">
        <f t="shared" si="63"/>
        <v>Diesel</v>
      </c>
      <c r="M4343" s="194"/>
      <c r="N4343" s="317"/>
      <c r="O4343" s="317"/>
      <c r="P4343" s="317"/>
      <c r="Q4343" s="317"/>
      <c r="R4343" s="317"/>
      <c r="S4343" s="317"/>
      <c r="T4343" s="317"/>
      <c r="U4343" s="317"/>
      <c r="V4343" s="317"/>
      <c r="W4343" s="317"/>
      <c r="X4343" s="317"/>
      <c r="Y4343" s="317"/>
      <c r="Z4343" s="317"/>
    </row>
    <row r="4344" spans="1:26" x14ac:dyDescent="0.25">
      <c r="A4344" s="314"/>
      <c r="B4344" s="18">
        <v>2023</v>
      </c>
      <c r="C4344" s="18" t="s">
        <v>792</v>
      </c>
      <c r="D4344" s="18" t="s">
        <v>1580</v>
      </c>
      <c r="E4344" s="18" t="s">
        <v>56</v>
      </c>
      <c r="F4344" s="18" t="s">
        <v>672</v>
      </c>
      <c r="G4344" s="18" t="s">
        <v>674</v>
      </c>
      <c r="H4344" s="18" t="s">
        <v>736</v>
      </c>
      <c r="I4344" s="315">
        <v>0.21132804804704453</v>
      </c>
      <c r="J4344" s="315">
        <v>9.7079370610863121E-6</v>
      </c>
      <c r="K4344" s="316" t="str">
        <f t="shared" si="62"/>
        <v>Construction and Mining Equipment</v>
      </c>
      <c r="L4344" s="316" t="str">
        <f t="shared" si="63"/>
        <v>LPG</v>
      </c>
      <c r="M4344" s="194"/>
      <c r="N4344" s="317"/>
      <c r="O4344" s="317"/>
      <c r="P4344" s="317"/>
      <c r="Q4344" s="317"/>
      <c r="R4344" s="317"/>
      <c r="S4344" s="317"/>
      <c r="T4344" s="317"/>
      <c r="U4344" s="317"/>
      <c r="V4344" s="317"/>
      <c r="W4344" s="317"/>
      <c r="X4344" s="317"/>
      <c r="Y4344" s="317"/>
      <c r="Z4344" s="317"/>
    </row>
    <row r="4345" spans="1:26" x14ac:dyDescent="0.25">
      <c r="A4345" s="314"/>
      <c r="B4345" s="18">
        <v>2023</v>
      </c>
      <c r="C4345" s="18" t="s">
        <v>732</v>
      </c>
      <c r="D4345" s="18" t="s">
        <v>1825</v>
      </c>
      <c r="E4345" s="18" t="s">
        <v>56</v>
      </c>
      <c r="F4345" s="18" t="s">
        <v>601</v>
      </c>
      <c r="G4345" s="18" t="s">
        <v>674</v>
      </c>
      <c r="H4345" s="18" t="s">
        <v>859</v>
      </c>
      <c r="I4345" s="315">
        <v>0.20977423654257263</v>
      </c>
      <c r="J4345" s="315">
        <v>4.5072670472739492E-3</v>
      </c>
      <c r="K4345" s="316" t="str">
        <f t="shared" si="62"/>
        <v>Construction and Mining Equipment</v>
      </c>
      <c r="L4345" s="316" t="str">
        <f t="shared" si="63"/>
        <v>CNG</v>
      </c>
      <c r="M4345" s="194"/>
      <c r="N4345" s="317"/>
      <c r="O4345" s="317"/>
      <c r="P4345" s="317"/>
      <c r="Q4345" s="317"/>
      <c r="R4345" s="317"/>
      <c r="S4345" s="317"/>
      <c r="T4345" s="317"/>
      <c r="U4345" s="317"/>
      <c r="V4345" s="317"/>
      <c r="W4345" s="317"/>
      <c r="X4345" s="317"/>
      <c r="Y4345" s="317"/>
      <c r="Z4345" s="317"/>
    </row>
    <row r="4346" spans="1:26" x14ac:dyDescent="0.25">
      <c r="A4346" s="314"/>
      <c r="B4346" s="18">
        <v>2023</v>
      </c>
      <c r="C4346" s="18" t="s">
        <v>810</v>
      </c>
      <c r="D4346" s="18" t="s">
        <v>1617</v>
      </c>
      <c r="E4346" s="18" t="s">
        <v>703</v>
      </c>
      <c r="F4346" s="18" t="s">
        <v>805</v>
      </c>
      <c r="G4346" s="18" t="s">
        <v>675</v>
      </c>
      <c r="H4346" s="18" t="s">
        <v>802</v>
      </c>
      <c r="I4346" s="315">
        <v>0.20905429313437118</v>
      </c>
      <c r="J4346" s="315">
        <v>4.6711235839365535E-4</v>
      </c>
      <c r="K4346" s="316" t="str">
        <f t="shared" si="62"/>
        <v>Industrial Equipment</v>
      </c>
      <c r="L4346" s="316" t="str">
        <f t="shared" si="63"/>
        <v>Gasoline</v>
      </c>
      <c r="M4346" s="194"/>
      <c r="N4346" s="317"/>
      <c r="O4346" s="317"/>
      <c r="P4346" s="317"/>
      <c r="Q4346" s="317"/>
      <c r="R4346" s="317"/>
      <c r="S4346" s="317"/>
      <c r="T4346" s="317"/>
      <c r="U4346" s="317"/>
      <c r="V4346" s="317"/>
      <c r="W4346" s="317"/>
      <c r="X4346" s="317"/>
      <c r="Y4346" s="317"/>
      <c r="Z4346" s="317"/>
    </row>
    <row r="4347" spans="1:26" x14ac:dyDescent="0.25">
      <c r="A4347" s="314"/>
      <c r="B4347" s="18">
        <v>2023</v>
      </c>
      <c r="C4347" s="18" t="s">
        <v>792</v>
      </c>
      <c r="D4347" s="18" t="s">
        <v>1583</v>
      </c>
      <c r="E4347" s="18" t="s">
        <v>703</v>
      </c>
      <c r="F4347" s="18" t="s">
        <v>805</v>
      </c>
      <c r="G4347" s="18" t="s">
        <v>674</v>
      </c>
      <c r="H4347" s="18" t="s">
        <v>1036</v>
      </c>
      <c r="I4347" s="315">
        <v>0.20855778615667797</v>
      </c>
      <c r="J4347" s="315">
        <v>4.3163913966624693E-4</v>
      </c>
      <c r="K4347" s="316" t="str">
        <f t="shared" si="62"/>
        <v>Construction and Mining Equipment</v>
      </c>
      <c r="L4347" s="316" t="str">
        <f t="shared" si="63"/>
        <v>Gasoline</v>
      </c>
      <c r="M4347" s="194"/>
      <c r="N4347" s="317"/>
      <c r="O4347" s="317"/>
      <c r="P4347" s="317"/>
      <c r="Q4347" s="317"/>
      <c r="R4347" s="317"/>
      <c r="S4347" s="317"/>
      <c r="T4347" s="317"/>
      <c r="U4347" s="317"/>
      <c r="V4347" s="317"/>
      <c r="W4347" s="317"/>
      <c r="X4347" s="317"/>
      <c r="Y4347" s="317"/>
      <c r="Z4347" s="317"/>
    </row>
    <row r="4348" spans="1:26" x14ac:dyDescent="0.25">
      <c r="A4348" s="314"/>
      <c r="B4348" s="18">
        <v>2023</v>
      </c>
      <c r="C4348" s="18" t="s">
        <v>787</v>
      </c>
      <c r="D4348" s="18" t="s">
        <v>1730</v>
      </c>
      <c r="E4348" s="18" t="s">
        <v>703</v>
      </c>
      <c r="F4348" s="18" t="s">
        <v>805</v>
      </c>
      <c r="G4348" s="18" t="s">
        <v>674</v>
      </c>
      <c r="H4348" s="18" t="s">
        <v>959</v>
      </c>
      <c r="I4348" s="315">
        <v>0.20846717283993665</v>
      </c>
      <c r="J4348" s="315">
        <v>4.6580010419234756E-4</v>
      </c>
      <c r="K4348" s="316" t="str">
        <f t="shared" si="62"/>
        <v>Construction and Mining Equipment</v>
      </c>
      <c r="L4348" s="316" t="str">
        <f t="shared" si="63"/>
        <v>Gasoline</v>
      </c>
      <c r="M4348" s="194"/>
      <c r="N4348" s="317"/>
      <c r="O4348" s="317"/>
      <c r="P4348" s="317"/>
      <c r="Q4348" s="317"/>
      <c r="R4348" s="317"/>
      <c r="S4348" s="317"/>
      <c r="T4348" s="317"/>
      <c r="U4348" s="317"/>
      <c r="V4348" s="317"/>
      <c r="W4348" s="317"/>
      <c r="X4348" s="317"/>
      <c r="Y4348" s="317"/>
      <c r="Z4348" s="317"/>
    </row>
    <row r="4349" spans="1:26" x14ac:dyDescent="0.25">
      <c r="A4349" s="314"/>
      <c r="B4349" s="18">
        <v>2023</v>
      </c>
      <c r="C4349" s="18" t="s">
        <v>731</v>
      </c>
      <c r="D4349" s="18" t="s">
        <v>1564</v>
      </c>
      <c r="E4349" s="18" t="s">
        <v>703</v>
      </c>
      <c r="F4349" s="18" t="s">
        <v>704</v>
      </c>
      <c r="G4349" s="18" t="s">
        <v>674</v>
      </c>
      <c r="H4349" s="18" t="s">
        <v>981</v>
      </c>
      <c r="I4349" s="315">
        <v>0.20522916152066878</v>
      </c>
      <c r="J4349" s="315">
        <v>1.5128589320738701E-4</v>
      </c>
      <c r="K4349" s="316" t="str">
        <f t="shared" si="62"/>
        <v>Construction and Mining Equipment</v>
      </c>
      <c r="L4349" s="316" t="str">
        <f t="shared" si="63"/>
        <v>Gasoline</v>
      </c>
      <c r="M4349" s="194"/>
      <c r="N4349" s="317"/>
      <c r="O4349" s="317"/>
      <c r="P4349" s="317"/>
      <c r="Q4349" s="317"/>
      <c r="R4349" s="317"/>
      <c r="S4349" s="317"/>
      <c r="T4349" s="317"/>
      <c r="U4349" s="317"/>
      <c r="V4349" s="317"/>
      <c r="W4349" s="317"/>
      <c r="X4349" s="317"/>
      <c r="Y4349" s="317"/>
      <c r="Z4349" s="317"/>
    </row>
    <row r="4350" spans="1:26" x14ac:dyDescent="0.25">
      <c r="A4350" s="314"/>
      <c r="B4350" s="18">
        <v>2023</v>
      </c>
      <c r="C4350" s="18" t="s">
        <v>773</v>
      </c>
      <c r="D4350" s="18" t="s">
        <v>1685</v>
      </c>
      <c r="E4350" s="18" t="s">
        <v>56</v>
      </c>
      <c r="F4350" s="18" t="s">
        <v>672</v>
      </c>
      <c r="G4350" s="18" t="s">
        <v>674</v>
      </c>
      <c r="H4350" s="18" t="s">
        <v>1072</v>
      </c>
      <c r="I4350" s="315">
        <v>0.20521533936840736</v>
      </c>
      <c r="J4350" s="315">
        <v>1.423961767144424E-5</v>
      </c>
      <c r="K4350" s="316" t="str">
        <f t="shared" si="62"/>
        <v>Construction and Mining Equipment</v>
      </c>
      <c r="L4350" s="316" t="str">
        <f t="shared" si="63"/>
        <v>LPG</v>
      </c>
      <c r="M4350" s="194"/>
      <c r="N4350" s="317"/>
      <c r="O4350" s="317"/>
      <c r="P4350" s="317"/>
      <c r="Q4350" s="317"/>
      <c r="R4350" s="317"/>
      <c r="S4350" s="317"/>
      <c r="T4350" s="317"/>
      <c r="U4350" s="317"/>
      <c r="V4350" s="317"/>
      <c r="W4350" s="317"/>
      <c r="X4350" s="317"/>
      <c r="Y4350" s="317"/>
      <c r="Z4350" s="317"/>
    </row>
    <row r="4351" spans="1:26" x14ac:dyDescent="0.25">
      <c r="A4351" s="314"/>
      <c r="B4351" s="18">
        <v>2023</v>
      </c>
      <c r="C4351" s="18" t="s">
        <v>759</v>
      </c>
      <c r="D4351" s="18" t="s">
        <v>1425</v>
      </c>
      <c r="E4351" s="18" t="s">
        <v>56</v>
      </c>
      <c r="F4351" s="18" t="s">
        <v>672</v>
      </c>
      <c r="G4351" s="18" t="s">
        <v>674</v>
      </c>
      <c r="H4351" s="18" t="s">
        <v>791</v>
      </c>
      <c r="I4351" s="315">
        <v>0.20456432393927065</v>
      </c>
      <c r="J4351" s="315">
        <v>3.9323843072957688E-5</v>
      </c>
      <c r="K4351" s="316" t="str">
        <f t="shared" si="62"/>
        <v>Construction and Mining Equipment</v>
      </c>
      <c r="L4351" s="316" t="str">
        <f t="shared" si="63"/>
        <v>LPG</v>
      </c>
      <c r="M4351" s="194"/>
      <c r="N4351" s="317"/>
      <c r="O4351" s="317"/>
      <c r="P4351" s="317"/>
      <c r="Q4351" s="317"/>
      <c r="R4351" s="317"/>
      <c r="S4351" s="317"/>
      <c r="T4351" s="317"/>
      <c r="U4351" s="317"/>
      <c r="V4351" s="317"/>
      <c r="W4351" s="317"/>
      <c r="X4351" s="317"/>
      <c r="Y4351" s="317"/>
      <c r="Z4351" s="317"/>
    </row>
    <row r="4352" spans="1:26" x14ac:dyDescent="0.25">
      <c r="A4352" s="314"/>
      <c r="B4352" s="18">
        <v>2023</v>
      </c>
      <c r="C4352" s="18" t="s">
        <v>759</v>
      </c>
      <c r="D4352" s="18" t="s">
        <v>1840</v>
      </c>
      <c r="E4352" s="18" t="s">
        <v>703</v>
      </c>
      <c r="F4352" s="18" t="s">
        <v>704</v>
      </c>
      <c r="G4352" s="18" t="s">
        <v>681</v>
      </c>
      <c r="H4352" s="18" t="s">
        <v>895</v>
      </c>
      <c r="I4352" s="315">
        <v>0.20440323160990709</v>
      </c>
      <c r="J4352" s="315">
        <v>1.5955043804889902E-4</v>
      </c>
      <c r="K4352" s="316" t="str">
        <f t="shared" si="62"/>
        <v>Logging Equipment</v>
      </c>
      <c r="L4352" s="316" t="str">
        <f t="shared" si="63"/>
        <v>Gasoline</v>
      </c>
      <c r="M4352" s="194"/>
      <c r="N4352" s="317"/>
      <c r="O4352" s="317"/>
      <c r="P4352" s="317"/>
      <c r="Q4352" s="317"/>
      <c r="R4352" s="317"/>
      <c r="S4352" s="317"/>
      <c r="T4352" s="317"/>
      <c r="U4352" s="317"/>
      <c r="V4352" s="317"/>
      <c r="W4352" s="317"/>
      <c r="X4352" s="317"/>
      <c r="Y4352" s="317"/>
      <c r="Z4352" s="317"/>
    </row>
    <row r="4353" spans="1:26" x14ac:dyDescent="0.25">
      <c r="A4353" s="314"/>
      <c r="B4353" s="18">
        <v>2023</v>
      </c>
      <c r="C4353" s="18" t="s">
        <v>786</v>
      </c>
      <c r="D4353" s="18" t="s">
        <v>1564</v>
      </c>
      <c r="E4353" s="18" t="s">
        <v>703</v>
      </c>
      <c r="F4353" s="18" t="s">
        <v>704</v>
      </c>
      <c r="G4353" s="18" t="s">
        <v>674</v>
      </c>
      <c r="H4353" s="18" t="s">
        <v>981</v>
      </c>
      <c r="I4353" s="315">
        <v>0.20383131310614599</v>
      </c>
      <c r="J4353" s="315">
        <v>1.5068492504931679E-4</v>
      </c>
      <c r="K4353" s="316" t="str">
        <f t="shared" si="62"/>
        <v>Construction and Mining Equipment</v>
      </c>
      <c r="L4353" s="316" t="str">
        <f t="shared" si="63"/>
        <v>Gasoline</v>
      </c>
      <c r="M4353" s="194"/>
      <c r="N4353" s="317"/>
      <c r="O4353" s="317"/>
      <c r="P4353" s="317"/>
      <c r="Q4353" s="317"/>
      <c r="R4353" s="317"/>
      <c r="S4353" s="317"/>
      <c r="T4353" s="317"/>
      <c r="U4353" s="317"/>
      <c r="V4353" s="317"/>
      <c r="W4353" s="317"/>
      <c r="X4353" s="317"/>
      <c r="Y4353" s="317"/>
      <c r="Z4353" s="317"/>
    </row>
    <row r="4354" spans="1:26" x14ac:dyDescent="0.25">
      <c r="A4354" s="314"/>
      <c r="B4354" s="18">
        <v>2023</v>
      </c>
      <c r="C4354" s="18" t="s">
        <v>792</v>
      </c>
      <c r="D4354" s="18" t="s">
        <v>1839</v>
      </c>
      <c r="E4354" s="18" t="s">
        <v>56</v>
      </c>
      <c r="F4354" s="18" t="s">
        <v>683</v>
      </c>
      <c r="G4354" s="18" t="s">
        <v>672</v>
      </c>
      <c r="H4354" s="18" t="s">
        <v>1002</v>
      </c>
      <c r="I4354" s="315">
        <v>0.2036624110619431</v>
      </c>
      <c r="J4354" s="315">
        <v>1.6397745458340306E-5</v>
      </c>
      <c r="K4354" s="316" t="str">
        <f t="shared" si="62"/>
        <v>Railroad Equipment</v>
      </c>
      <c r="L4354" s="316" t="str">
        <f t="shared" si="63"/>
        <v>LPG</v>
      </c>
      <c r="M4354" s="194"/>
      <c r="N4354" s="317"/>
      <c r="O4354" s="317"/>
      <c r="P4354" s="317"/>
      <c r="Q4354" s="317"/>
      <c r="R4354" s="317"/>
      <c r="S4354" s="317"/>
      <c r="T4354" s="317"/>
      <c r="U4354" s="317"/>
      <c r="V4354" s="317"/>
      <c r="W4354" s="317"/>
      <c r="X4354" s="317"/>
      <c r="Y4354" s="317"/>
      <c r="Z4354" s="317"/>
    </row>
    <row r="4355" spans="1:26" x14ac:dyDescent="0.25">
      <c r="A4355" s="314"/>
      <c r="B4355" s="18">
        <v>2023</v>
      </c>
      <c r="C4355" s="18" t="s">
        <v>759</v>
      </c>
      <c r="D4355" s="18" t="s">
        <v>1445</v>
      </c>
      <c r="E4355" s="18" t="s">
        <v>56</v>
      </c>
      <c r="F4355" s="18" t="s">
        <v>601</v>
      </c>
      <c r="G4355" s="18" t="s">
        <v>677</v>
      </c>
      <c r="H4355" s="18" t="s">
        <v>841</v>
      </c>
      <c r="I4355" s="315">
        <v>0.20237306704390612</v>
      </c>
      <c r="J4355" s="315">
        <v>2.1987019852708761E-3</v>
      </c>
      <c r="K4355" s="316" t="str">
        <f t="shared" si="62"/>
        <v>Commercial Equipment</v>
      </c>
      <c r="L4355" s="316" t="str">
        <f t="shared" si="63"/>
        <v>CNG</v>
      </c>
      <c r="M4355" s="194"/>
      <c r="N4355" s="317"/>
      <c r="O4355" s="317"/>
      <c r="P4355" s="317"/>
      <c r="Q4355" s="317"/>
      <c r="R4355" s="317"/>
      <c r="S4355" s="317"/>
      <c r="T4355" s="317"/>
      <c r="U4355" s="317"/>
      <c r="V4355" s="317"/>
      <c r="W4355" s="317"/>
      <c r="X4355" s="317"/>
      <c r="Y4355" s="317"/>
      <c r="Z4355" s="317"/>
    </row>
    <row r="4356" spans="1:26" x14ac:dyDescent="0.25">
      <c r="A4356" s="314"/>
      <c r="B4356" s="18">
        <v>2023</v>
      </c>
      <c r="C4356" s="18" t="s">
        <v>709</v>
      </c>
      <c r="D4356" s="18" t="s">
        <v>1841</v>
      </c>
      <c r="E4356" s="18" t="s">
        <v>703</v>
      </c>
      <c r="F4356" s="18" t="s">
        <v>805</v>
      </c>
      <c r="G4356" s="18" t="s">
        <v>675</v>
      </c>
      <c r="H4356" s="18" t="s">
        <v>798</v>
      </c>
      <c r="I4356" s="315">
        <v>0.20050924753865157</v>
      </c>
      <c r="J4356" s="315">
        <v>4.480181091557335E-4</v>
      </c>
      <c r="K4356" s="316" t="str">
        <f t="shared" si="62"/>
        <v>Industrial Equipment</v>
      </c>
      <c r="L4356" s="316" t="str">
        <f t="shared" si="63"/>
        <v>Gasoline</v>
      </c>
      <c r="M4356" s="194"/>
      <c r="N4356" s="317"/>
      <c r="O4356" s="317"/>
      <c r="P4356" s="317"/>
      <c r="Q4356" s="317"/>
      <c r="R4356" s="317"/>
      <c r="S4356" s="317"/>
      <c r="T4356" s="317"/>
      <c r="U4356" s="317"/>
      <c r="V4356" s="317"/>
      <c r="W4356" s="317"/>
      <c r="X4356" s="317"/>
      <c r="Y4356" s="317"/>
      <c r="Z4356" s="317"/>
    </row>
    <row r="4357" spans="1:26" x14ac:dyDescent="0.25">
      <c r="A4357" s="314"/>
      <c r="B4357" s="18">
        <v>2023</v>
      </c>
      <c r="C4357" s="18" t="s">
        <v>759</v>
      </c>
      <c r="D4357" s="18" t="s">
        <v>1838</v>
      </c>
      <c r="E4357" s="18" t="s">
        <v>713</v>
      </c>
      <c r="F4357" s="18" t="s">
        <v>714</v>
      </c>
      <c r="G4357" s="18" t="s">
        <v>678</v>
      </c>
      <c r="H4357" s="18" t="s">
        <v>1745</v>
      </c>
      <c r="I4357" s="315">
        <v>0.19979627031710029</v>
      </c>
      <c r="J4357" s="315">
        <v>1.4458798958647448E-6</v>
      </c>
      <c r="K4357" s="316" t="str">
        <f t="shared" si="62"/>
        <v>Agricultural Equipment</v>
      </c>
      <c r="L4357" s="316" t="str">
        <f t="shared" si="63"/>
        <v>Diesel</v>
      </c>
      <c r="M4357" s="194"/>
      <c r="N4357" s="317"/>
      <c r="O4357" s="317"/>
      <c r="P4357" s="317"/>
      <c r="Q4357" s="317"/>
      <c r="R4357" s="317"/>
      <c r="S4357" s="317"/>
      <c r="T4357" s="317"/>
      <c r="U4357" s="317"/>
      <c r="V4357" s="317"/>
      <c r="W4357" s="317"/>
      <c r="X4357" s="317"/>
      <c r="Y4357" s="317"/>
      <c r="Z4357" s="317"/>
    </row>
    <row r="4358" spans="1:26" x14ac:dyDescent="0.25">
      <c r="A4358" s="314"/>
      <c r="B4358" s="18">
        <v>2023</v>
      </c>
      <c r="C4358" s="18" t="s">
        <v>760</v>
      </c>
      <c r="D4358" s="18" t="s">
        <v>1737</v>
      </c>
      <c r="E4358" s="18" t="s">
        <v>703</v>
      </c>
      <c r="F4358" s="18" t="s">
        <v>805</v>
      </c>
      <c r="G4358" s="18" t="s">
        <v>673</v>
      </c>
      <c r="H4358" s="18" t="s">
        <v>705</v>
      </c>
      <c r="I4358" s="315">
        <v>0.19939964593773449</v>
      </c>
      <c r="J4358" s="315">
        <v>3.9985848606473908E-4</v>
      </c>
      <c r="K4358" s="316" t="str">
        <f t="shared" si="62"/>
        <v>Lawn and Garden Equipment</v>
      </c>
      <c r="L4358" s="316" t="str">
        <f t="shared" si="63"/>
        <v>Gasoline</v>
      </c>
      <c r="M4358" s="194"/>
      <c r="N4358" s="317"/>
      <c r="O4358" s="317"/>
      <c r="P4358" s="317"/>
      <c r="Q4358" s="317"/>
      <c r="R4358" s="317"/>
      <c r="S4358" s="317"/>
      <c r="T4358" s="317"/>
      <c r="U4358" s="317"/>
      <c r="V4358" s="317"/>
      <c r="W4358" s="317"/>
      <c r="X4358" s="317"/>
      <c r="Y4358" s="317"/>
      <c r="Z4358" s="317"/>
    </row>
    <row r="4359" spans="1:26" x14ac:dyDescent="0.25">
      <c r="A4359" s="314"/>
      <c r="B4359" s="18">
        <v>2023</v>
      </c>
      <c r="C4359" s="18" t="s">
        <v>753</v>
      </c>
      <c r="D4359" s="18" t="s">
        <v>1024</v>
      </c>
      <c r="E4359" s="18" t="s">
        <v>56</v>
      </c>
      <c r="F4359" s="18" t="s">
        <v>1025</v>
      </c>
      <c r="G4359" s="18" t="s">
        <v>680</v>
      </c>
      <c r="H4359" s="18" t="s">
        <v>1026</v>
      </c>
      <c r="I4359" s="315">
        <v>0.19892865610615634</v>
      </c>
      <c r="J4359" s="315">
        <v>9.0612586794668715E-6</v>
      </c>
      <c r="K4359" s="316" t="str">
        <f t="shared" si="62"/>
        <v>Airport Ground Support Equipment</v>
      </c>
      <c r="L4359" s="316" t="str">
        <f t="shared" si="63"/>
        <v>LPG</v>
      </c>
      <c r="M4359" s="194"/>
      <c r="N4359" s="317"/>
      <c r="O4359" s="317"/>
      <c r="P4359" s="317"/>
      <c r="Q4359" s="317"/>
      <c r="R4359" s="317"/>
      <c r="S4359" s="317"/>
      <c r="T4359" s="317"/>
      <c r="U4359" s="317"/>
      <c r="V4359" s="317"/>
      <c r="W4359" s="317"/>
      <c r="X4359" s="317"/>
      <c r="Y4359" s="317"/>
      <c r="Z4359" s="317"/>
    </row>
    <row r="4360" spans="1:26" x14ac:dyDescent="0.25">
      <c r="A4360" s="314"/>
      <c r="B4360" s="18">
        <v>2023</v>
      </c>
      <c r="C4360" s="18" t="s">
        <v>731</v>
      </c>
      <c r="D4360" s="18" t="s">
        <v>1580</v>
      </c>
      <c r="E4360" s="18" t="s">
        <v>56</v>
      </c>
      <c r="F4360" s="18" t="s">
        <v>672</v>
      </c>
      <c r="G4360" s="18" t="s">
        <v>674</v>
      </c>
      <c r="H4360" s="18" t="s">
        <v>736</v>
      </c>
      <c r="I4360" s="315">
        <v>0.19611820454351034</v>
      </c>
      <c r="J4360" s="315">
        <v>9.0092340360296253E-6</v>
      </c>
      <c r="K4360" s="316" t="str">
        <f t="shared" si="62"/>
        <v>Construction and Mining Equipment</v>
      </c>
      <c r="L4360" s="316" t="str">
        <f t="shared" si="63"/>
        <v>LPG</v>
      </c>
      <c r="M4360" s="194"/>
      <c r="N4360" s="317"/>
      <c r="O4360" s="317"/>
      <c r="P4360" s="317"/>
      <c r="Q4360" s="317"/>
      <c r="R4360" s="317"/>
      <c r="S4360" s="317"/>
      <c r="T4360" s="317"/>
      <c r="U4360" s="317"/>
      <c r="V4360" s="317"/>
      <c r="W4360" s="317"/>
      <c r="X4360" s="317"/>
      <c r="Y4360" s="317"/>
      <c r="Z4360" s="317"/>
    </row>
    <row r="4361" spans="1:26" x14ac:dyDescent="0.25">
      <c r="A4361" s="314"/>
      <c r="B4361" s="18">
        <v>2023</v>
      </c>
      <c r="C4361" s="18" t="s">
        <v>750</v>
      </c>
      <c r="D4361" s="18" t="s">
        <v>1838</v>
      </c>
      <c r="E4361" s="18" t="s">
        <v>713</v>
      </c>
      <c r="F4361" s="18" t="s">
        <v>714</v>
      </c>
      <c r="G4361" s="18" t="s">
        <v>678</v>
      </c>
      <c r="H4361" s="18" t="s">
        <v>1745</v>
      </c>
      <c r="I4361" s="315">
        <v>0.19601764675932112</v>
      </c>
      <c r="J4361" s="315">
        <v>1.4185351057110427E-6</v>
      </c>
      <c r="K4361" s="316" t="str">
        <f t="shared" si="62"/>
        <v>Agricultural Equipment</v>
      </c>
      <c r="L4361" s="316" t="str">
        <f t="shared" si="63"/>
        <v>Diesel</v>
      </c>
      <c r="M4361" s="194"/>
      <c r="N4361" s="317"/>
      <c r="O4361" s="317"/>
      <c r="P4361" s="317"/>
      <c r="Q4361" s="317"/>
      <c r="R4361" s="317"/>
      <c r="S4361" s="317"/>
      <c r="T4361" s="317"/>
      <c r="U4361" s="317"/>
      <c r="V4361" s="317"/>
      <c r="W4361" s="317"/>
      <c r="X4361" s="317"/>
      <c r="Y4361" s="317"/>
      <c r="Z4361" s="317"/>
    </row>
    <row r="4362" spans="1:26" x14ac:dyDescent="0.25">
      <c r="A4362" s="314"/>
      <c r="B4362" s="18">
        <v>2023</v>
      </c>
      <c r="C4362" s="18" t="s">
        <v>750</v>
      </c>
      <c r="D4362" s="18" t="s">
        <v>1730</v>
      </c>
      <c r="E4362" s="18" t="s">
        <v>703</v>
      </c>
      <c r="F4362" s="18" t="s">
        <v>805</v>
      </c>
      <c r="G4362" s="18" t="s">
        <v>674</v>
      </c>
      <c r="H4362" s="18" t="s">
        <v>959</v>
      </c>
      <c r="I4362" s="315">
        <v>0.19489866415039464</v>
      </c>
      <c r="J4362" s="315">
        <v>4.3548195077383752E-4</v>
      </c>
      <c r="K4362" s="316" t="str">
        <f t="shared" si="62"/>
        <v>Construction and Mining Equipment</v>
      </c>
      <c r="L4362" s="316" t="str">
        <f t="shared" si="63"/>
        <v>Gasoline</v>
      </c>
      <c r="M4362" s="194"/>
      <c r="N4362" s="317"/>
      <c r="O4362" s="317"/>
      <c r="P4362" s="317"/>
      <c r="Q4362" s="317"/>
      <c r="R4362" s="317"/>
      <c r="S4362" s="317"/>
      <c r="T4362" s="317"/>
      <c r="U4362" s="317"/>
      <c r="V4362" s="317"/>
      <c r="W4362" s="317"/>
      <c r="X4362" s="317"/>
      <c r="Y4362" s="317"/>
      <c r="Z4362" s="317"/>
    </row>
    <row r="4363" spans="1:26" x14ac:dyDescent="0.25">
      <c r="A4363" s="314"/>
      <c r="B4363" s="18">
        <v>2023</v>
      </c>
      <c r="C4363" s="18" t="s">
        <v>786</v>
      </c>
      <c r="D4363" s="18" t="s">
        <v>1580</v>
      </c>
      <c r="E4363" s="18" t="s">
        <v>56</v>
      </c>
      <c r="F4363" s="18" t="s">
        <v>672</v>
      </c>
      <c r="G4363" s="18" t="s">
        <v>674</v>
      </c>
      <c r="H4363" s="18" t="s">
        <v>736</v>
      </c>
      <c r="I4363" s="315">
        <v>0.19478242826859071</v>
      </c>
      <c r="J4363" s="315">
        <v>8.9478785763389247E-6</v>
      </c>
      <c r="K4363" s="316" t="str">
        <f t="shared" si="62"/>
        <v>Construction and Mining Equipment</v>
      </c>
      <c r="L4363" s="316" t="str">
        <f t="shared" si="63"/>
        <v>LPG</v>
      </c>
      <c r="M4363" s="194"/>
      <c r="N4363" s="317"/>
      <c r="O4363" s="317"/>
      <c r="P4363" s="317"/>
      <c r="Q4363" s="317"/>
      <c r="R4363" s="317"/>
      <c r="S4363" s="317"/>
      <c r="T4363" s="317"/>
      <c r="U4363" s="317"/>
      <c r="V4363" s="317"/>
      <c r="W4363" s="317"/>
      <c r="X4363" s="317"/>
      <c r="Y4363" s="317"/>
      <c r="Z4363" s="317"/>
    </row>
    <row r="4364" spans="1:26" ht="12.75" x14ac:dyDescent="0.2">
      <c r="A4364" s="230"/>
      <c r="B4364" s="18">
        <v>2023</v>
      </c>
      <c r="C4364" s="18" t="s">
        <v>778</v>
      </c>
      <c r="D4364" s="18" t="s">
        <v>1403</v>
      </c>
      <c r="E4364" s="18" t="s">
        <v>703</v>
      </c>
      <c r="F4364" s="18" t="s">
        <v>683</v>
      </c>
      <c r="G4364" s="18" t="s">
        <v>1404</v>
      </c>
      <c r="H4364" s="18" t="s">
        <v>1002</v>
      </c>
      <c r="I4364" s="315">
        <v>0.19427209257886124</v>
      </c>
      <c r="J4364" s="315">
        <v>1.2552439646086917E-4</v>
      </c>
      <c r="K4364" s="316" t="str">
        <f t="shared" si="62"/>
        <v>Railroad Equipment</v>
      </c>
      <c r="L4364" s="316" t="str">
        <f t="shared" si="63"/>
        <v>Gasoline</v>
      </c>
      <c r="M4364" s="8"/>
      <c r="N4364" s="2"/>
      <c r="O4364" s="2"/>
      <c r="P4364" s="2"/>
      <c r="Q4364" s="2"/>
      <c r="R4364" s="2"/>
      <c r="S4364" s="2"/>
      <c r="T4364" s="2"/>
      <c r="U4364" s="2"/>
      <c r="V4364" s="2"/>
      <c r="W4364" s="2"/>
      <c r="X4364" s="2"/>
      <c r="Y4364" s="2"/>
      <c r="Z4364" s="2"/>
    </row>
    <row r="4365" spans="1:26" ht="12.75" x14ac:dyDescent="0.2">
      <c r="A4365" s="230"/>
      <c r="B4365" s="18">
        <v>2023</v>
      </c>
      <c r="C4365" s="18" t="s">
        <v>731</v>
      </c>
      <c r="D4365" s="18" t="s">
        <v>1583</v>
      </c>
      <c r="E4365" s="18" t="s">
        <v>703</v>
      </c>
      <c r="F4365" s="18" t="s">
        <v>805</v>
      </c>
      <c r="G4365" s="18" t="s">
        <v>674</v>
      </c>
      <c r="H4365" s="18" t="s">
        <v>1036</v>
      </c>
      <c r="I4365" s="315">
        <v>0.19354729374297977</v>
      </c>
      <c r="J4365" s="315">
        <v>4.0057331109473671E-4</v>
      </c>
      <c r="K4365" s="316" t="str">
        <f t="shared" si="62"/>
        <v>Construction and Mining Equipment</v>
      </c>
      <c r="L4365" s="316" t="str">
        <f t="shared" si="63"/>
        <v>Gasoline</v>
      </c>
      <c r="M4365" s="8"/>
      <c r="N4365" s="2"/>
      <c r="O4365" s="2"/>
      <c r="P4365" s="2"/>
      <c r="Q4365" s="2"/>
      <c r="R4365" s="2"/>
      <c r="S4365" s="2"/>
      <c r="T4365" s="2"/>
      <c r="U4365" s="2"/>
      <c r="V4365" s="2"/>
      <c r="W4365" s="2"/>
      <c r="X4365" s="2"/>
      <c r="Y4365" s="2"/>
      <c r="Z4365" s="2"/>
    </row>
    <row r="4366" spans="1:26" ht="12.75" x14ac:dyDescent="0.2">
      <c r="A4366" s="230"/>
      <c r="B4366" s="18">
        <v>2023</v>
      </c>
      <c r="C4366" s="18" t="s">
        <v>786</v>
      </c>
      <c r="D4366" s="18" t="s">
        <v>1583</v>
      </c>
      <c r="E4366" s="18" t="s">
        <v>703</v>
      </c>
      <c r="F4366" s="18" t="s">
        <v>805</v>
      </c>
      <c r="G4366" s="18" t="s">
        <v>674</v>
      </c>
      <c r="H4366" s="18" t="s">
        <v>1036</v>
      </c>
      <c r="I4366" s="315">
        <v>0.19222913059836602</v>
      </c>
      <c r="J4366" s="315">
        <v>3.9784508925986038E-4</v>
      </c>
      <c r="K4366" s="316" t="str">
        <f t="shared" si="62"/>
        <v>Construction and Mining Equipment</v>
      </c>
      <c r="L4366" s="316" t="str">
        <f t="shared" si="63"/>
        <v>Gasoline</v>
      </c>
      <c r="M4366" s="8"/>
      <c r="N4366" s="2"/>
      <c r="O4366" s="2"/>
      <c r="P4366" s="2"/>
      <c r="Q4366" s="2"/>
      <c r="R4366" s="2"/>
      <c r="S4366" s="2"/>
      <c r="T4366" s="2"/>
      <c r="U4366" s="2"/>
      <c r="V4366" s="2"/>
      <c r="W4366" s="2"/>
      <c r="X4366" s="2"/>
      <c r="Y4366" s="2"/>
      <c r="Z4366" s="2"/>
    </row>
    <row r="4367" spans="1:26" ht="12.75" x14ac:dyDescent="0.2">
      <c r="A4367" s="230"/>
      <c r="B4367" s="18">
        <v>2023</v>
      </c>
      <c r="C4367" s="18" t="s">
        <v>793</v>
      </c>
      <c r="D4367" s="18" t="s">
        <v>1744</v>
      </c>
      <c r="E4367" s="18" t="s">
        <v>703</v>
      </c>
      <c r="F4367" s="18" t="s">
        <v>704</v>
      </c>
      <c r="G4367" s="18" t="s">
        <v>678</v>
      </c>
      <c r="H4367" s="18" t="s">
        <v>1745</v>
      </c>
      <c r="I4367" s="315">
        <v>0.19041417527722801</v>
      </c>
      <c r="J4367" s="315">
        <v>1.2129231144497871E-4</v>
      </c>
      <c r="K4367" s="316" t="str">
        <f t="shared" si="62"/>
        <v>Agricultural Equipment</v>
      </c>
      <c r="L4367" s="316" t="str">
        <f t="shared" si="63"/>
        <v>Gasoline</v>
      </c>
      <c r="M4367" s="8"/>
      <c r="N4367" s="2"/>
      <c r="O4367" s="2"/>
      <c r="P4367" s="2"/>
      <c r="Q4367" s="2"/>
      <c r="R4367" s="2"/>
      <c r="S4367" s="2"/>
      <c r="T4367" s="2"/>
      <c r="U4367" s="2"/>
      <c r="V4367" s="2"/>
      <c r="W4367" s="2"/>
      <c r="X4367" s="2"/>
      <c r="Y4367" s="2"/>
      <c r="Z4367" s="2"/>
    </row>
    <row r="4368" spans="1:26" ht="12.75" x14ac:dyDescent="0.2">
      <c r="A4368" s="230"/>
      <c r="B4368" s="18">
        <v>2023</v>
      </c>
      <c r="C4368" s="18" t="s">
        <v>731</v>
      </c>
      <c r="D4368" s="18" t="s">
        <v>1655</v>
      </c>
      <c r="E4368" s="18" t="s">
        <v>56</v>
      </c>
      <c r="F4368" s="18" t="s">
        <v>672</v>
      </c>
      <c r="G4368" s="18" t="s">
        <v>677</v>
      </c>
      <c r="H4368" s="18" t="s">
        <v>789</v>
      </c>
      <c r="I4368" s="315">
        <v>0.18782450649746302</v>
      </c>
      <c r="J4368" s="315">
        <v>2.6510723464677355E-5</v>
      </c>
      <c r="K4368" s="316" t="str">
        <f t="shared" si="62"/>
        <v>Commercial Equipment</v>
      </c>
      <c r="L4368" s="316" t="str">
        <f t="shared" si="63"/>
        <v>LPG</v>
      </c>
      <c r="M4368" s="8"/>
      <c r="N4368" s="2"/>
      <c r="O4368" s="2"/>
      <c r="P4368" s="2"/>
      <c r="Q4368" s="2"/>
      <c r="R4368" s="2"/>
      <c r="S4368" s="2"/>
      <c r="T4368" s="2"/>
      <c r="U4368" s="2"/>
      <c r="V4368" s="2"/>
      <c r="W4368" s="2"/>
      <c r="X4368" s="2"/>
      <c r="Y4368" s="2"/>
      <c r="Z4368" s="2"/>
    </row>
    <row r="4369" spans="1:26" ht="12.75" x14ac:dyDescent="0.2">
      <c r="A4369" s="230"/>
      <c r="B4369" s="18">
        <v>2023</v>
      </c>
      <c r="C4369" s="18" t="s">
        <v>759</v>
      </c>
      <c r="D4369" s="18" t="s">
        <v>1435</v>
      </c>
      <c r="E4369" s="18" t="s">
        <v>56</v>
      </c>
      <c r="F4369" s="18" t="s">
        <v>672</v>
      </c>
      <c r="G4369" s="18" t="s">
        <v>674</v>
      </c>
      <c r="H4369" s="18" t="s">
        <v>863</v>
      </c>
      <c r="I4369" s="315">
        <v>0.18357310604038948</v>
      </c>
      <c r="J4369" s="315">
        <v>1.2225194048702853E-5</v>
      </c>
      <c r="K4369" s="316" t="str">
        <f t="shared" si="62"/>
        <v>Construction and Mining Equipment</v>
      </c>
      <c r="L4369" s="316" t="str">
        <f t="shared" si="63"/>
        <v>LPG</v>
      </c>
      <c r="M4369" s="8"/>
      <c r="N4369" s="2"/>
      <c r="O4369" s="2"/>
      <c r="P4369" s="2"/>
      <c r="Q4369" s="2"/>
      <c r="R4369" s="2"/>
      <c r="S4369" s="2"/>
      <c r="T4369" s="2"/>
      <c r="U4369" s="2"/>
      <c r="V4369" s="2"/>
      <c r="W4369" s="2"/>
      <c r="X4369" s="2"/>
      <c r="Y4369" s="2"/>
      <c r="Z4369" s="2"/>
    </row>
    <row r="4370" spans="1:26" ht="12.75" x14ac:dyDescent="0.2">
      <c r="A4370" s="230"/>
      <c r="B4370" s="18">
        <v>2023</v>
      </c>
      <c r="C4370" s="18" t="s">
        <v>732</v>
      </c>
      <c r="D4370" s="18" t="s">
        <v>1833</v>
      </c>
      <c r="E4370" s="18" t="s">
        <v>703</v>
      </c>
      <c r="F4370" s="18" t="s">
        <v>704</v>
      </c>
      <c r="G4370" s="18" t="s">
        <v>674</v>
      </c>
      <c r="H4370" s="18" t="s">
        <v>1082</v>
      </c>
      <c r="I4370" s="315">
        <v>0.18179347638568366</v>
      </c>
      <c r="J4370" s="315">
        <v>1.1834444959967606E-4</v>
      </c>
      <c r="K4370" s="316" t="str">
        <f t="shared" si="62"/>
        <v>Construction and Mining Equipment</v>
      </c>
      <c r="L4370" s="316" t="str">
        <f t="shared" si="63"/>
        <v>Gasoline</v>
      </c>
      <c r="M4370" s="8"/>
      <c r="N4370" s="2"/>
      <c r="O4370" s="2"/>
      <c r="P4370" s="2"/>
      <c r="Q4370" s="2"/>
      <c r="R4370" s="2"/>
      <c r="S4370" s="2"/>
      <c r="T4370" s="2"/>
      <c r="U4370" s="2"/>
      <c r="V4370" s="2"/>
      <c r="W4370" s="2"/>
      <c r="X4370" s="2"/>
      <c r="Y4370" s="2"/>
      <c r="Z4370" s="2"/>
    </row>
    <row r="4371" spans="1:26" ht="12.75" x14ac:dyDescent="0.2">
      <c r="A4371" s="230"/>
      <c r="B4371" s="18">
        <v>2023</v>
      </c>
      <c r="C4371" s="18" t="s">
        <v>722</v>
      </c>
      <c r="D4371" s="18" t="s">
        <v>1825</v>
      </c>
      <c r="E4371" s="18" t="s">
        <v>56</v>
      </c>
      <c r="F4371" s="18" t="s">
        <v>601</v>
      </c>
      <c r="G4371" s="18" t="s">
        <v>674</v>
      </c>
      <c r="H4371" s="18" t="s">
        <v>859</v>
      </c>
      <c r="I4371" s="315">
        <v>0.1813366728495665</v>
      </c>
      <c r="J4371" s="315">
        <v>3.8962457055753152E-3</v>
      </c>
      <c r="K4371" s="316" t="str">
        <f t="shared" si="62"/>
        <v>Construction and Mining Equipment</v>
      </c>
      <c r="L4371" s="316" t="str">
        <f t="shared" si="63"/>
        <v>CNG</v>
      </c>
      <c r="M4371" s="8"/>
      <c r="N4371" s="2"/>
      <c r="O4371" s="2"/>
      <c r="P4371" s="2"/>
      <c r="Q4371" s="2"/>
      <c r="R4371" s="2"/>
      <c r="S4371" s="2"/>
      <c r="T4371" s="2"/>
      <c r="U4371" s="2"/>
      <c r="V4371" s="2"/>
      <c r="W4371" s="2"/>
      <c r="X4371" s="2"/>
      <c r="Y4371" s="2"/>
      <c r="Z4371" s="2"/>
    </row>
    <row r="4372" spans="1:26" ht="12.75" x14ac:dyDescent="0.2">
      <c r="A4372" s="230"/>
      <c r="B4372" s="18">
        <v>2023</v>
      </c>
      <c r="C4372" s="18" t="s">
        <v>754</v>
      </c>
      <c r="D4372" s="18" t="s">
        <v>1792</v>
      </c>
      <c r="E4372" s="18" t="s">
        <v>713</v>
      </c>
      <c r="F4372" s="18" t="s">
        <v>714</v>
      </c>
      <c r="G4372" s="18" t="s">
        <v>673</v>
      </c>
      <c r="H4372" s="18" t="s">
        <v>749</v>
      </c>
      <c r="I4372" s="315">
        <v>0.17930434403719947</v>
      </c>
      <c r="J4372" s="315">
        <v>9.2589112418044865E-6</v>
      </c>
      <c r="K4372" s="316" t="str">
        <f t="shared" si="62"/>
        <v>Lawn and Garden Equipment</v>
      </c>
      <c r="L4372" s="316" t="str">
        <f t="shared" si="63"/>
        <v>Diesel</v>
      </c>
      <c r="M4372" s="8"/>
      <c r="N4372" s="2"/>
      <c r="O4372" s="2"/>
      <c r="P4372" s="2"/>
      <c r="Q4372" s="2"/>
      <c r="R4372" s="2"/>
      <c r="S4372" s="2"/>
      <c r="T4372" s="2"/>
      <c r="U4372" s="2"/>
      <c r="V4372" s="2"/>
      <c r="W4372" s="2"/>
      <c r="X4372" s="2"/>
      <c r="Y4372" s="2"/>
      <c r="Z4372" s="2"/>
    </row>
    <row r="4373" spans="1:26" ht="12.75" x14ac:dyDescent="0.2">
      <c r="A4373" s="230"/>
      <c r="B4373" s="18">
        <v>2023</v>
      </c>
      <c r="C4373" s="18" t="s">
        <v>762</v>
      </c>
      <c r="D4373" s="18" t="s">
        <v>1654</v>
      </c>
      <c r="E4373" s="18" t="s">
        <v>56</v>
      </c>
      <c r="F4373" s="18" t="s">
        <v>672</v>
      </c>
      <c r="G4373" s="18" t="s">
        <v>674</v>
      </c>
      <c r="H4373" s="18" t="s">
        <v>994</v>
      </c>
      <c r="I4373" s="315">
        <v>0.17840787351080067</v>
      </c>
      <c r="J4373" s="315">
        <v>4.4225620504662108E-5</v>
      </c>
      <c r="K4373" s="316" t="str">
        <f t="shared" si="62"/>
        <v>Construction and Mining Equipment</v>
      </c>
      <c r="L4373" s="316" t="str">
        <f t="shared" si="63"/>
        <v>LPG</v>
      </c>
      <c r="M4373" s="8"/>
      <c r="N4373" s="2"/>
      <c r="O4373" s="2"/>
      <c r="P4373" s="2"/>
      <c r="Q4373" s="2"/>
      <c r="R4373" s="2"/>
      <c r="S4373" s="2"/>
      <c r="T4373" s="2"/>
      <c r="U4373" s="2"/>
      <c r="V4373" s="2"/>
      <c r="W4373" s="2"/>
      <c r="X4373" s="2"/>
      <c r="Y4373" s="2"/>
      <c r="Z4373" s="2"/>
    </row>
    <row r="4374" spans="1:26" ht="12.75" x14ac:dyDescent="0.2">
      <c r="A4374" s="230"/>
      <c r="B4374" s="18">
        <v>2023</v>
      </c>
      <c r="C4374" s="18" t="s">
        <v>731</v>
      </c>
      <c r="D4374" s="18" t="s">
        <v>1717</v>
      </c>
      <c r="E4374" s="18" t="s">
        <v>56</v>
      </c>
      <c r="F4374" s="18" t="s">
        <v>601</v>
      </c>
      <c r="G4374" s="18" t="s">
        <v>675</v>
      </c>
      <c r="H4374" s="18" t="s">
        <v>802</v>
      </c>
      <c r="I4374" s="315">
        <v>0.17782326127062947</v>
      </c>
      <c r="J4374" s="315">
        <v>7.0855309973138147E-4</v>
      </c>
      <c r="K4374" s="316" t="str">
        <f t="shared" si="62"/>
        <v>Industrial Equipment</v>
      </c>
      <c r="L4374" s="316" t="str">
        <f t="shared" si="63"/>
        <v>CNG</v>
      </c>
      <c r="M4374" s="8"/>
      <c r="N4374" s="2"/>
      <c r="O4374" s="2"/>
      <c r="P4374" s="2"/>
      <c r="Q4374" s="2"/>
      <c r="R4374" s="2"/>
      <c r="S4374" s="2"/>
      <c r="T4374" s="2"/>
      <c r="U4374" s="2"/>
      <c r="V4374" s="2"/>
      <c r="W4374" s="2"/>
      <c r="X4374" s="2"/>
      <c r="Y4374" s="2"/>
      <c r="Z4374" s="2"/>
    </row>
    <row r="4375" spans="1:26" ht="12.75" x14ac:dyDescent="0.2">
      <c r="A4375" s="230"/>
      <c r="B4375" s="18">
        <v>2023</v>
      </c>
      <c r="C4375" s="18" t="s">
        <v>731</v>
      </c>
      <c r="D4375" s="18" t="s">
        <v>1656</v>
      </c>
      <c r="E4375" s="18" t="s">
        <v>56</v>
      </c>
      <c r="F4375" s="18" t="s">
        <v>672</v>
      </c>
      <c r="G4375" s="18" t="s">
        <v>677</v>
      </c>
      <c r="H4375" s="18" t="s">
        <v>1031</v>
      </c>
      <c r="I4375" s="315">
        <v>0.17486789736629807</v>
      </c>
      <c r="J4375" s="315">
        <v>8.8303854527589495E-6</v>
      </c>
      <c r="K4375" s="316" t="str">
        <f t="shared" si="62"/>
        <v>Commercial Equipment</v>
      </c>
      <c r="L4375" s="316" t="str">
        <f t="shared" si="63"/>
        <v>LPG</v>
      </c>
      <c r="M4375" s="8"/>
      <c r="N4375" s="2"/>
      <c r="O4375" s="2"/>
      <c r="P4375" s="2"/>
      <c r="Q4375" s="2"/>
      <c r="R4375" s="2"/>
      <c r="S4375" s="2"/>
      <c r="T4375" s="2"/>
      <c r="U4375" s="2"/>
      <c r="V4375" s="2"/>
      <c r="W4375" s="2"/>
      <c r="X4375" s="2"/>
      <c r="Y4375" s="2"/>
      <c r="Z4375" s="2"/>
    </row>
    <row r="4376" spans="1:26" ht="12.75" x14ac:dyDescent="0.2">
      <c r="A4376" s="230"/>
      <c r="B4376" s="18">
        <v>2023</v>
      </c>
      <c r="C4376" s="18" t="s">
        <v>778</v>
      </c>
      <c r="D4376" s="18" t="s">
        <v>1825</v>
      </c>
      <c r="E4376" s="18" t="s">
        <v>56</v>
      </c>
      <c r="F4376" s="18" t="s">
        <v>601</v>
      </c>
      <c r="G4376" s="18" t="s">
        <v>674</v>
      </c>
      <c r="H4376" s="18" t="s">
        <v>859</v>
      </c>
      <c r="I4376" s="315">
        <v>0.17479830168624286</v>
      </c>
      <c r="J4376" s="315">
        <v>3.7557651105283312E-3</v>
      </c>
      <c r="K4376" s="316" t="str">
        <f t="shared" si="62"/>
        <v>Construction and Mining Equipment</v>
      </c>
      <c r="L4376" s="316" t="str">
        <f t="shared" si="63"/>
        <v>CNG</v>
      </c>
      <c r="M4376" s="8"/>
      <c r="N4376" s="2"/>
      <c r="O4376" s="2"/>
      <c r="P4376" s="2"/>
      <c r="Q4376" s="2"/>
      <c r="R4376" s="2"/>
      <c r="S4376" s="2"/>
      <c r="T4376" s="2"/>
      <c r="U4376" s="2"/>
      <c r="V4376" s="2"/>
      <c r="W4376" s="2"/>
      <c r="X4376" s="2"/>
      <c r="Y4376" s="2"/>
      <c r="Z4376" s="2"/>
    </row>
    <row r="4377" spans="1:26" ht="12.75" x14ac:dyDescent="0.2">
      <c r="A4377" s="230"/>
      <c r="B4377" s="18">
        <v>2023</v>
      </c>
      <c r="C4377" s="18" t="s">
        <v>753</v>
      </c>
      <c r="D4377" s="18" t="s">
        <v>1663</v>
      </c>
      <c r="E4377" s="18" t="s">
        <v>713</v>
      </c>
      <c r="F4377" s="18" t="s">
        <v>714</v>
      </c>
      <c r="G4377" s="18" t="s">
        <v>674</v>
      </c>
      <c r="H4377" s="18" t="s">
        <v>1082</v>
      </c>
      <c r="I4377" s="315">
        <v>0.17362092089946446</v>
      </c>
      <c r="J4377" s="315">
        <v>2.0612444790512647E-5</v>
      </c>
      <c r="K4377" s="316" t="str">
        <f t="shared" si="62"/>
        <v>Construction and Mining Equipment</v>
      </c>
      <c r="L4377" s="316" t="str">
        <f t="shared" si="63"/>
        <v>Diesel</v>
      </c>
      <c r="M4377" s="8"/>
      <c r="N4377" s="2"/>
      <c r="O4377" s="2"/>
      <c r="P4377" s="2"/>
      <c r="Q4377" s="2"/>
      <c r="R4377" s="2"/>
      <c r="S4377" s="2"/>
      <c r="T4377" s="2"/>
      <c r="U4377" s="2"/>
      <c r="V4377" s="2"/>
      <c r="W4377" s="2"/>
      <c r="X4377" s="2"/>
      <c r="Y4377" s="2"/>
      <c r="Z4377" s="2"/>
    </row>
    <row r="4378" spans="1:26" ht="12.75" x14ac:dyDescent="0.2">
      <c r="A4378" s="230"/>
      <c r="B4378" s="18">
        <v>2023</v>
      </c>
      <c r="C4378" s="18" t="s">
        <v>792</v>
      </c>
      <c r="D4378" s="18" t="s">
        <v>1708</v>
      </c>
      <c r="E4378" s="18" t="s">
        <v>703</v>
      </c>
      <c r="F4378" s="18" t="s">
        <v>704</v>
      </c>
      <c r="G4378" s="18" t="s">
        <v>678</v>
      </c>
      <c r="H4378" s="18" t="s">
        <v>1709</v>
      </c>
      <c r="I4378" s="315">
        <v>0.17310014061831666</v>
      </c>
      <c r="J4378" s="315">
        <v>1.1755240852754323E-4</v>
      </c>
      <c r="K4378" s="316" t="str">
        <f t="shared" si="62"/>
        <v>Agricultural Equipment</v>
      </c>
      <c r="L4378" s="316" t="str">
        <f t="shared" si="63"/>
        <v>Gasoline</v>
      </c>
      <c r="M4378" s="8"/>
      <c r="N4378" s="2"/>
      <c r="O4378" s="2"/>
      <c r="P4378" s="2"/>
      <c r="Q4378" s="2"/>
      <c r="R4378" s="2"/>
      <c r="S4378" s="2"/>
      <c r="T4378" s="2"/>
      <c r="U4378" s="2"/>
      <c r="V4378" s="2"/>
      <c r="W4378" s="2"/>
      <c r="X4378" s="2"/>
      <c r="Y4378" s="2"/>
      <c r="Z4378" s="2"/>
    </row>
    <row r="4379" spans="1:26" ht="12.75" x14ac:dyDescent="0.2">
      <c r="A4379" s="230"/>
      <c r="B4379" s="18">
        <v>2023</v>
      </c>
      <c r="C4379" s="18" t="s">
        <v>753</v>
      </c>
      <c r="D4379" s="18" t="s">
        <v>1717</v>
      </c>
      <c r="E4379" s="18" t="s">
        <v>56</v>
      </c>
      <c r="F4379" s="18" t="s">
        <v>601</v>
      </c>
      <c r="G4379" s="18" t="s">
        <v>675</v>
      </c>
      <c r="H4379" s="18" t="s">
        <v>802</v>
      </c>
      <c r="I4379" s="315">
        <v>0.17207717600881406</v>
      </c>
      <c r="J4379" s="315">
        <v>6.8565565414538496E-4</v>
      </c>
      <c r="K4379" s="316" t="str">
        <f t="shared" si="62"/>
        <v>Industrial Equipment</v>
      </c>
      <c r="L4379" s="316" t="str">
        <f t="shared" si="63"/>
        <v>CNG</v>
      </c>
      <c r="M4379" s="8"/>
      <c r="N4379" s="2"/>
      <c r="O4379" s="2"/>
      <c r="P4379" s="2"/>
      <c r="Q4379" s="2"/>
      <c r="R4379" s="2"/>
      <c r="S4379" s="2"/>
      <c r="T4379" s="2"/>
      <c r="U4379" s="2"/>
      <c r="V4379" s="2"/>
      <c r="W4379" s="2"/>
      <c r="X4379" s="2"/>
      <c r="Y4379" s="2"/>
      <c r="Z4379" s="2"/>
    </row>
    <row r="4380" spans="1:26" ht="12.75" x14ac:dyDescent="0.2">
      <c r="A4380" s="230"/>
      <c r="B4380" s="18">
        <v>2023</v>
      </c>
      <c r="C4380" s="18" t="s">
        <v>773</v>
      </c>
      <c r="D4380" s="18" t="s">
        <v>1806</v>
      </c>
      <c r="E4380" s="18" t="s">
        <v>56</v>
      </c>
      <c r="F4380" s="18" t="s">
        <v>601</v>
      </c>
      <c r="G4380" s="18" t="s">
        <v>675</v>
      </c>
      <c r="H4380" s="18" t="s">
        <v>798</v>
      </c>
      <c r="I4380" s="315">
        <v>0.17010906990780841</v>
      </c>
      <c r="J4380" s="315">
        <v>6.7708228846637814E-4</v>
      </c>
      <c r="K4380" s="316" t="str">
        <f t="shared" si="62"/>
        <v>Industrial Equipment</v>
      </c>
      <c r="L4380" s="316" t="str">
        <f t="shared" si="63"/>
        <v>CNG</v>
      </c>
      <c r="M4380" s="8"/>
      <c r="N4380" s="2"/>
      <c r="O4380" s="2"/>
      <c r="P4380" s="2"/>
      <c r="Q4380" s="2"/>
      <c r="R4380" s="2"/>
      <c r="S4380" s="2"/>
      <c r="T4380" s="2"/>
      <c r="U4380" s="2"/>
      <c r="V4380" s="2"/>
      <c r="W4380" s="2"/>
      <c r="X4380" s="2"/>
      <c r="Y4380" s="2"/>
      <c r="Z4380" s="2"/>
    </row>
    <row r="4381" spans="1:26" ht="12.75" x14ac:dyDescent="0.2">
      <c r="A4381" s="230"/>
      <c r="B4381" s="18">
        <v>2023</v>
      </c>
      <c r="C4381" s="18" t="s">
        <v>793</v>
      </c>
      <c r="D4381" s="18" t="s">
        <v>1617</v>
      </c>
      <c r="E4381" s="18" t="s">
        <v>703</v>
      </c>
      <c r="F4381" s="18" t="s">
        <v>805</v>
      </c>
      <c r="G4381" s="18" t="s">
        <v>675</v>
      </c>
      <c r="H4381" s="18" t="s">
        <v>802</v>
      </c>
      <c r="I4381" s="315">
        <v>0.1687799344967513</v>
      </c>
      <c r="J4381" s="315">
        <v>3.771225902457077E-4</v>
      </c>
      <c r="K4381" s="316" t="str">
        <f t="shared" si="62"/>
        <v>Industrial Equipment</v>
      </c>
      <c r="L4381" s="316" t="str">
        <f t="shared" si="63"/>
        <v>Gasoline</v>
      </c>
      <c r="M4381" s="8"/>
      <c r="N4381" s="2"/>
      <c r="O4381" s="2"/>
      <c r="P4381" s="2"/>
      <c r="Q4381" s="2"/>
      <c r="R4381" s="2"/>
      <c r="S4381" s="2"/>
      <c r="T4381" s="2"/>
      <c r="U4381" s="2"/>
      <c r="V4381" s="2"/>
      <c r="W4381" s="2"/>
      <c r="X4381" s="2"/>
      <c r="Y4381" s="2"/>
      <c r="Z4381" s="2"/>
    </row>
    <row r="4382" spans="1:26" ht="12.75" x14ac:dyDescent="0.2">
      <c r="A4382" s="230"/>
      <c r="B4382" s="18">
        <v>2023</v>
      </c>
      <c r="C4382" s="18" t="s">
        <v>786</v>
      </c>
      <c r="D4382" s="18" t="s">
        <v>1588</v>
      </c>
      <c r="E4382" s="18" t="s">
        <v>56</v>
      </c>
      <c r="F4382" s="18" t="s">
        <v>1575</v>
      </c>
      <c r="G4382" s="18" t="s">
        <v>675</v>
      </c>
      <c r="H4382" s="18" t="s">
        <v>1589</v>
      </c>
      <c r="I4382" s="315">
        <v>0.16844765394069436</v>
      </c>
      <c r="J4382" s="315">
        <v>7.0888743025180202E-4</v>
      </c>
      <c r="K4382" s="316" t="str">
        <f t="shared" si="62"/>
        <v>Industrial Equipment</v>
      </c>
      <c r="L4382" s="316" t="str">
        <f t="shared" si="63"/>
        <v>CNG</v>
      </c>
      <c r="M4382" s="8"/>
      <c r="N4382" s="2"/>
      <c r="O4382" s="2"/>
      <c r="P4382" s="2"/>
      <c r="Q4382" s="2"/>
      <c r="R4382" s="2"/>
      <c r="S4382" s="2"/>
      <c r="T4382" s="2"/>
      <c r="U4382" s="2"/>
      <c r="V4382" s="2"/>
      <c r="W4382" s="2"/>
      <c r="X4382" s="2"/>
      <c r="Y4382" s="2"/>
      <c r="Z4382" s="2"/>
    </row>
    <row r="4383" spans="1:26" ht="12.75" x14ac:dyDescent="0.2">
      <c r="A4383" s="230"/>
      <c r="B4383" s="18">
        <v>2023</v>
      </c>
      <c r="C4383" s="18" t="s">
        <v>706</v>
      </c>
      <c r="D4383" s="18" t="s">
        <v>1024</v>
      </c>
      <c r="E4383" s="18" t="s">
        <v>56</v>
      </c>
      <c r="F4383" s="18" t="s">
        <v>1025</v>
      </c>
      <c r="G4383" s="18" t="s">
        <v>680</v>
      </c>
      <c r="H4383" s="18" t="s">
        <v>1026</v>
      </c>
      <c r="I4383" s="315">
        <v>0.16710014311984209</v>
      </c>
      <c r="J4383" s="315">
        <v>7.6114586464488504E-6</v>
      </c>
      <c r="K4383" s="316" t="str">
        <f t="shared" ref="K4383:K4637" si="64">IF(F4383="Pleasure Craft","Pleasure Craft",IF(F4383="Railroad Equipment","Railroad Equipment",G4383))</f>
        <v>Airport Ground Support Equipment</v>
      </c>
      <c r="L4383" s="316" t="str">
        <f t="shared" ref="L4383:L4637" si="65">IF(E4383="Non-Road Gasoline","Gasoline",IF(E4383="Non-Road Diesel","Diesel",IF(RIGHT(F4383,3)="LPG","LPG",IF(RIGHT(F4383,3)="CNG","CNG",G4383))))</f>
        <v>LPG</v>
      </c>
      <c r="M4383" s="8"/>
      <c r="N4383" s="2"/>
      <c r="O4383" s="2"/>
      <c r="P4383" s="2"/>
      <c r="Q4383" s="2"/>
      <c r="R4383" s="2"/>
      <c r="S4383" s="2"/>
      <c r="T4383" s="2"/>
      <c r="U4383" s="2"/>
      <c r="V4383" s="2"/>
      <c r="W4383" s="2"/>
      <c r="X4383" s="2"/>
      <c r="Y4383" s="2"/>
      <c r="Z4383" s="2"/>
    </row>
    <row r="4384" spans="1:26" ht="12.75" x14ac:dyDescent="0.2">
      <c r="A4384" s="230"/>
      <c r="B4384" s="18">
        <v>2023</v>
      </c>
      <c r="C4384" s="18" t="s">
        <v>762</v>
      </c>
      <c r="D4384" s="18" t="s">
        <v>1842</v>
      </c>
      <c r="E4384" s="18" t="s">
        <v>713</v>
      </c>
      <c r="F4384" s="18" t="s">
        <v>714</v>
      </c>
      <c r="G4384" s="18" t="s">
        <v>678</v>
      </c>
      <c r="H4384" s="18" t="s">
        <v>1709</v>
      </c>
      <c r="I4384" s="315">
        <v>0.16477079744479695</v>
      </c>
      <c r="J4384" s="315">
        <v>2.0387700123094414E-5</v>
      </c>
      <c r="K4384" s="316" t="str">
        <f t="shared" si="64"/>
        <v>Agricultural Equipment</v>
      </c>
      <c r="L4384" s="316" t="str">
        <f t="shared" si="65"/>
        <v>Diesel</v>
      </c>
      <c r="M4384" s="8"/>
      <c r="N4384" s="2"/>
      <c r="O4384" s="2"/>
      <c r="P4384" s="2"/>
      <c r="Q4384" s="2"/>
      <c r="R4384" s="2"/>
      <c r="S4384" s="2"/>
      <c r="T4384" s="2"/>
      <c r="U4384" s="2"/>
      <c r="V4384" s="2"/>
      <c r="W4384" s="2"/>
      <c r="X4384" s="2"/>
      <c r="Y4384" s="2"/>
      <c r="Z4384" s="2"/>
    </row>
    <row r="4385" spans="1:26" ht="12.75" x14ac:dyDescent="0.2">
      <c r="A4385" s="230"/>
      <c r="B4385" s="18">
        <v>2023</v>
      </c>
      <c r="C4385" s="18" t="s">
        <v>762</v>
      </c>
      <c r="D4385" s="18" t="s">
        <v>1843</v>
      </c>
      <c r="E4385" s="18" t="s">
        <v>56</v>
      </c>
      <c r="F4385" s="18" t="s">
        <v>672</v>
      </c>
      <c r="G4385" s="18" t="s">
        <v>678</v>
      </c>
      <c r="H4385" s="18" t="s">
        <v>1154</v>
      </c>
      <c r="I4385" s="315">
        <v>0.16449117802618329</v>
      </c>
      <c r="J4385" s="315">
        <v>7.5489019269947744E-6</v>
      </c>
      <c r="K4385" s="316" t="str">
        <f t="shared" si="64"/>
        <v>Agricultural Equipment</v>
      </c>
      <c r="L4385" s="316" t="str">
        <f t="shared" si="65"/>
        <v>LPG</v>
      </c>
      <c r="M4385" s="8"/>
      <c r="N4385" s="2"/>
      <c r="O4385" s="2"/>
      <c r="P4385" s="2"/>
      <c r="Q4385" s="2"/>
      <c r="R4385" s="2"/>
      <c r="S4385" s="2"/>
      <c r="T4385" s="2"/>
      <c r="U4385" s="2"/>
      <c r="V4385" s="2"/>
      <c r="W4385" s="2"/>
      <c r="X4385" s="2"/>
      <c r="Y4385" s="2"/>
      <c r="Z4385" s="2"/>
    </row>
    <row r="4386" spans="1:26" ht="12.75" x14ac:dyDescent="0.2">
      <c r="A4386" s="230"/>
      <c r="B4386" s="18">
        <v>2023</v>
      </c>
      <c r="C4386" s="18" t="s">
        <v>709</v>
      </c>
      <c r="D4386" s="18" t="s">
        <v>1840</v>
      </c>
      <c r="E4386" s="18" t="s">
        <v>703</v>
      </c>
      <c r="F4386" s="18" t="s">
        <v>704</v>
      </c>
      <c r="G4386" s="18" t="s">
        <v>681</v>
      </c>
      <c r="H4386" s="18" t="s">
        <v>895</v>
      </c>
      <c r="I4386" s="315">
        <v>0.16436802837285402</v>
      </c>
      <c r="J4386" s="315">
        <v>1.2882623556282301E-4</v>
      </c>
      <c r="K4386" s="316" t="str">
        <f t="shared" si="64"/>
        <v>Logging Equipment</v>
      </c>
      <c r="L4386" s="316" t="str">
        <f t="shared" si="65"/>
        <v>Gasoline</v>
      </c>
      <c r="M4386" s="8"/>
      <c r="N4386" s="2"/>
      <c r="O4386" s="2"/>
      <c r="P4386" s="2"/>
      <c r="Q4386" s="2"/>
      <c r="R4386" s="2"/>
      <c r="S4386" s="2"/>
      <c r="T4386" s="2"/>
      <c r="U4386" s="2"/>
      <c r="V4386" s="2"/>
      <c r="W4386" s="2"/>
      <c r="X4386" s="2"/>
      <c r="Y4386" s="2"/>
      <c r="Z4386" s="2"/>
    </row>
    <row r="4387" spans="1:26" ht="12.75" x14ac:dyDescent="0.2">
      <c r="A4387" s="230"/>
      <c r="B4387" s="18">
        <v>2023</v>
      </c>
      <c r="C4387" s="18" t="s">
        <v>810</v>
      </c>
      <c r="D4387" s="18" t="s">
        <v>1663</v>
      </c>
      <c r="E4387" s="18" t="s">
        <v>713</v>
      </c>
      <c r="F4387" s="18" t="s">
        <v>714</v>
      </c>
      <c r="G4387" s="18" t="s">
        <v>674</v>
      </c>
      <c r="H4387" s="18" t="s">
        <v>1082</v>
      </c>
      <c r="I4387" s="315">
        <v>0.16364036264619958</v>
      </c>
      <c r="J4387" s="315">
        <v>1.9427533006843691E-5</v>
      </c>
      <c r="K4387" s="316" t="str">
        <f t="shared" si="64"/>
        <v>Construction and Mining Equipment</v>
      </c>
      <c r="L4387" s="316" t="str">
        <f t="shared" si="65"/>
        <v>Diesel</v>
      </c>
      <c r="M4387" s="8"/>
      <c r="N4387" s="2"/>
      <c r="O4387" s="2"/>
      <c r="P4387" s="2"/>
      <c r="Q4387" s="2"/>
      <c r="R4387" s="2"/>
      <c r="S4387" s="2"/>
      <c r="T4387" s="2"/>
      <c r="U4387" s="2"/>
      <c r="V4387" s="2"/>
      <c r="W4387" s="2"/>
      <c r="X4387" s="2"/>
      <c r="Y4387" s="2"/>
      <c r="Z4387" s="2"/>
    </row>
    <row r="4388" spans="1:26" ht="12.75" x14ac:dyDescent="0.2">
      <c r="A4388" s="230"/>
      <c r="B4388" s="18">
        <v>2023</v>
      </c>
      <c r="C4388" s="18" t="s">
        <v>759</v>
      </c>
      <c r="D4388" s="18" t="s">
        <v>1457</v>
      </c>
      <c r="E4388" s="18" t="s">
        <v>56</v>
      </c>
      <c r="F4388" s="18" t="s">
        <v>601</v>
      </c>
      <c r="G4388" s="18" t="s">
        <v>675</v>
      </c>
      <c r="H4388" s="18" t="s">
        <v>772</v>
      </c>
      <c r="I4388" s="315">
        <v>0.16312274140128927</v>
      </c>
      <c r="J4388" s="315">
        <v>6.6538003253967628E-4</v>
      </c>
      <c r="K4388" s="316" t="str">
        <f t="shared" si="64"/>
        <v>Industrial Equipment</v>
      </c>
      <c r="L4388" s="316" t="str">
        <f t="shared" si="65"/>
        <v>CNG</v>
      </c>
      <c r="M4388" s="8"/>
      <c r="N4388" s="2"/>
      <c r="O4388" s="2"/>
      <c r="P4388" s="2"/>
      <c r="Q4388" s="2"/>
      <c r="R4388" s="2"/>
      <c r="S4388" s="2"/>
      <c r="T4388" s="2"/>
      <c r="U4388" s="2"/>
      <c r="V4388" s="2"/>
      <c r="W4388" s="2"/>
      <c r="X4388" s="2"/>
      <c r="Y4388" s="2"/>
      <c r="Z4388" s="2"/>
    </row>
    <row r="4389" spans="1:26" ht="12.75" x14ac:dyDescent="0.2">
      <c r="A4389" s="230"/>
      <c r="B4389" s="18">
        <v>2023</v>
      </c>
      <c r="C4389" s="18" t="s">
        <v>732</v>
      </c>
      <c r="D4389" s="18" t="s">
        <v>1841</v>
      </c>
      <c r="E4389" s="18" t="s">
        <v>703</v>
      </c>
      <c r="F4389" s="18" t="s">
        <v>805</v>
      </c>
      <c r="G4389" s="18" t="s">
        <v>675</v>
      </c>
      <c r="H4389" s="18" t="s">
        <v>798</v>
      </c>
      <c r="I4389" s="315">
        <v>0.16277798857691661</v>
      </c>
      <c r="J4389" s="315">
        <v>3.6371206143157823E-4</v>
      </c>
      <c r="K4389" s="316" t="str">
        <f t="shared" si="64"/>
        <v>Industrial Equipment</v>
      </c>
      <c r="L4389" s="316" t="str">
        <f t="shared" si="65"/>
        <v>Gasoline</v>
      </c>
      <c r="M4389" s="8"/>
      <c r="N4389" s="2"/>
      <c r="O4389" s="2"/>
      <c r="P4389" s="2"/>
      <c r="Q4389" s="2"/>
      <c r="R4389" s="2"/>
      <c r="S4389" s="2"/>
      <c r="T4389" s="2"/>
      <c r="U4389" s="2"/>
      <c r="V4389" s="2"/>
      <c r="W4389" s="2"/>
      <c r="X4389" s="2"/>
      <c r="Y4389" s="2"/>
      <c r="Z4389" s="2"/>
    </row>
    <row r="4390" spans="1:26" ht="12.75" x14ac:dyDescent="0.2">
      <c r="A4390" s="230"/>
      <c r="B4390" s="18">
        <v>2023</v>
      </c>
      <c r="C4390" s="18" t="s">
        <v>732</v>
      </c>
      <c r="D4390" s="18" t="s">
        <v>1842</v>
      </c>
      <c r="E4390" s="18" t="s">
        <v>713</v>
      </c>
      <c r="F4390" s="18" t="s">
        <v>714</v>
      </c>
      <c r="G4390" s="18" t="s">
        <v>678</v>
      </c>
      <c r="H4390" s="18" t="s">
        <v>1709</v>
      </c>
      <c r="I4390" s="315">
        <v>0.16072781223582369</v>
      </c>
      <c r="J4390" s="315">
        <v>1.9887438126432952E-5</v>
      </c>
      <c r="K4390" s="316" t="str">
        <f t="shared" si="64"/>
        <v>Agricultural Equipment</v>
      </c>
      <c r="L4390" s="316" t="str">
        <f t="shared" si="65"/>
        <v>Diesel</v>
      </c>
      <c r="M4390" s="8"/>
      <c r="N4390" s="2"/>
      <c r="O4390" s="2"/>
      <c r="P4390" s="2"/>
      <c r="Q4390" s="2"/>
      <c r="R4390" s="2"/>
      <c r="S4390" s="2"/>
      <c r="T4390" s="2"/>
      <c r="U4390" s="2"/>
      <c r="V4390" s="2"/>
      <c r="W4390" s="2"/>
      <c r="X4390" s="2"/>
      <c r="Y4390" s="2"/>
      <c r="Z4390" s="2"/>
    </row>
    <row r="4391" spans="1:26" ht="12.75" x14ac:dyDescent="0.2">
      <c r="A4391" s="230"/>
      <c r="B4391" s="18">
        <v>2023</v>
      </c>
      <c r="C4391" s="18" t="s">
        <v>732</v>
      </c>
      <c r="D4391" s="18" t="s">
        <v>1843</v>
      </c>
      <c r="E4391" s="18" t="s">
        <v>56</v>
      </c>
      <c r="F4391" s="18" t="s">
        <v>672</v>
      </c>
      <c r="G4391" s="18" t="s">
        <v>678</v>
      </c>
      <c r="H4391" s="18" t="s">
        <v>1154</v>
      </c>
      <c r="I4391" s="315">
        <v>0.16045504909819497</v>
      </c>
      <c r="J4391" s="315">
        <v>7.3636767037276286E-6</v>
      </c>
      <c r="K4391" s="316" t="str">
        <f t="shared" si="64"/>
        <v>Agricultural Equipment</v>
      </c>
      <c r="L4391" s="316" t="str">
        <f t="shared" si="65"/>
        <v>LPG</v>
      </c>
      <c r="M4391" s="8"/>
      <c r="N4391" s="2"/>
      <c r="O4391" s="2"/>
      <c r="P4391" s="2"/>
      <c r="Q4391" s="2"/>
      <c r="R4391" s="2"/>
      <c r="S4391" s="2"/>
      <c r="T4391" s="2"/>
      <c r="U4391" s="2"/>
      <c r="V4391" s="2"/>
      <c r="W4391" s="2"/>
      <c r="X4391" s="2"/>
      <c r="Y4391" s="2"/>
      <c r="Z4391" s="2"/>
    </row>
    <row r="4392" spans="1:26" ht="12.75" x14ac:dyDescent="0.2">
      <c r="A4392" s="230"/>
      <c r="B4392" s="18">
        <v>2023</v>
      </c>
      <c r="C4392" s="18" t="s">
        <v>778</v>
      </c>
      <c r="D4392" s="18" t="s">
        <v>1830</v>
      </c>
      <c r="E4392" s="18" t="s">
        <v>703</v>
      </c>
      <c r="F4392" s="18" t="s">
        <v>805</v>
      </c>
      <c r="G4392" s="18" t="s">
        <v>678</v>
      </c>
      <c r="H4392" s="18" t="s">
        <v>1222</v>
      </c>
      <c r="I4392" s="315">
        <v>0.16035729711897706</v>
      </c>
      <c r="J4392" s="315">
        <v>2.6344007446226311E-4</v>
      </c>
      <c r="K4392" s="316" t="str">
        <f t="shared" si="64"/>
        <v>Agricultural Equipment</v>
      </c>
      <c r="L4392" s="316" t="str">
        <f t="shared" si="65"/>
        <v>Gasoline</v>
      </c>
      <c r="M4392" s="8"/>
      <c r="N4392" s="2"/>
      <c r="O4392" s="2"/>
      <c r="P4392" s="2"/>
      <c r="Q4392" s="2"/>
      <c r="R4392" s="2"/>
      <c r="S4392" s="2"/>
      <c r="T4392" s="2"/>
      <c r="U4392" s="2"/>
      <c r="V4392" s="2"/>
      <c r="W4392" s="2"/>
      <c r="X4392" s="2"/>
      <c r="Y4392" s="2"/>
      <c r="Z4392" s="2"/>
    </row>
    <row r="4393" spans="1:26" ht="12.75" x14ac:dyDescent="0.2">
      <c r="A4393" s="230"/>
      <c r="B4393" s="18">
        <v>2023</v>
      </c>
      <c r="C4393" s="18" t="s">
        <v>753</v>
      </c>
      <c r="D4393" s="18" t="s">
        <v>1679</v>
      </c>
      <c r="E4393" s="18" t="s">
        <v>56</v>
      </c>
      <c r="F4393" s="18" t="s">
        <v>672</v>
      </c>
      <c r="G4393" s="18" t="s">
        <v>674</v>
      </c>
      <c r="H4393" s="18" t="s">
        <v>959</v>
      </c>
      <c r="I4393" s="315">
        <v>0.16033650484420042</v>
      </c>
      <c r="J4393" s="315">
        <v>2.7235442904023098E-5</v>
      </c>
      <c r="K4393" s="316" t="str">
        <f t="shared" si="64"/>
        <v>Construction and Mining Equipment</v>
      </c>
      <c r="L4393" s="316" t="str">
        <f t="shared" si="65"/>
        <v>LPG</v>
      </c>
      <c r="M4393" s="8"/>
      <c r="N4393" s="2"/>
      <c r="O4393" s="2"/>
      <c r="P4393" s="2"/>
      <c r="Q4393" s="2"/>
      <c r="R4393" s="2"/>
      <c r="S4393" s="2"/>
      <c r="T4393" s="2"/>
      <c r="U4393" s="2"/>
      <c r="V4393" s="2"/>
      <c r="W4393" s="2"/>
      <c r="X4393" s="2"/>
      <c r="Y4393" s="2"/>
      <c r="Z4393" s="2"/>
    </row>
    <row r="4394" spans="1:26" ht="12.75" x14ac:dyDescent="0.2">
      <c r="A4394" s="230"/>
      <c r="B4394" s="18">
        <v>2023</v>
      </c>
      <c r="C4394" s="18" t="s">
        <v>727</v>
      </c>
      <c r="D4394" s="18" t="s">
        <v>1715</v>
      </c>
      <c r="E4394" s="18" t="s">
        <v>703</v>
      </c>
      <c r="F4394" s="18" t="s">
        <v>805</v>
      </c>
      <c r="G4394" s="18" t="s">
        <v>677</v>
      </c>
      <c r="H4394" s="18" t="s">
        <v>1031</v>
      </c>
      <c r="I4394" s="315">
        <v>0.16013269140858352</v>
      </c>
      <c r="J4394" s="315">
        <v>3.5780215774668046E-4</v>
      </c>
      <c r="K4394" s="316" t="str">
        <f t="shared" si="64"/>
        <v>Commercial Equipment</v>
      </c>
      <c r="L4394" s="316" t="str">
        <f t="shared" si="65"/>
        <v>Gasoline</v>
      </c>
      <c r="M4394" s="8"/>
      <c r="N4394" s="2"/>
      <c r="O4394" s="2"/>
      <c r="P4394" s="2"/>
      <c r="Q4394" s="2"/>
      <c r="R4394" s="2"/>
      <c r="S4394" s="2"/>
      <c r="T4394" s="2"/>
      <c r="U4394" s="2"/>
      <c r="V4394" s="2"/>
      <c r="W4394" s="2"/>
      <c r="X4394" s="2"/>
      <c r="Y4394" s="2"/>
      <c r="Z4394" s="2"/>
    </row>
    <row r="4395" spans="1:26" ht="12.75" x14ac:dyDescent="0.2">
      <c r="A4395" s="230"/>
      <c r="B4395" s="18">
        <v>2023</v>
      </c>
      <c r="C4395" s="18" t="s">
        <v>722</v>
      </c>
      <c r="D4395" s="18" t="s">
        <v>1833</v>
      </c>
      <c r="E4395" s="18" t="s">
        <v>703</v>
      </c>
      <c r="F4395" s="18" t="s">
        <v>704</v>
      </c>
      <c r="G4395" s="18" t="s">
        <v>674</v>
      </c>
      <c r="H4395" s="18" t="s">
        <v>1082</v>
      </c>
      <c r="I4395" s="315">
        <v>0.15714913665273636</v>
      </c>
      <c r="J4395" s="315">
        <v>1.0202430933030159E-4</v>
      </c>
      <c r="K4395" s="316" t="str">
        <f t="shared" si="64"/>
        <v>Construction and Mining Equipment</v>
      </c>
      <c r="L4395" s="316" t="str">
        <f t="shared" si="65"/>
        <v>Gasoline</v>
      </c>
      <c r="M4395" s="8"/>
      <c r="N4395" s="2"/>
      <c r="O4395" s="2"/>
      <c r="P4395" s="2"/>
      <c r="Q4395" s="2"/>
      <c r="R4395" s="2"/>
      <c r="S4395" s="2"/>
      <c r="T4395" s="2"/>
      <c r="U4395" s="2"/>
      <c r="V4395" s="2"/>
      <c r="W4395" s="2"/>
      <c r="X4395" s="2"/>
      <c r="Y4395" s="2"/>
      <c r="Z4395" s="2"/>
    </row>
    <row r="4396" spans="1:26" ht="12.75" x14ac:dyDescent="0.2">
      <c r="A4396" s="230"/>
      <c r="B4396" s="18">
        <v>2023</v>
      </c>
      <c r="C4396" s="18" t="s">
        <v>793</v>
      </c>
      <c r="D4396" s="18" t="s">
        <v>1840</v>
      </c>
      <c r="E4396" s="18" t="s">
        <v>703</v>
      </c>
      <c r="F4396" s="18" t="s">
        <v>704</v>
      </c>
      <c r="G4396" s="18" t="s">
        <v>681</v>
      </c>
      <c r="H4396" s="18" t="s">
        <v>895</v>
      </c>
      <c r="I4396" s="315">
        <v>0.15701839608249735</v>
      </c>
      <c r="J4396" s="315">
        <v>1.2284792467350702E-4</v>
      </c>
      <c r="K4396" s="316" t="str">
        <f t="shared" si="64"/>
        <v>Logging Equipment</v>
      </c>
      <c r="L4396" s="316" t="str">
        <f t="shared" si="65"/>
        <v>Gasoline</v>
      </c>
      <c r="M4396" s="8"/>
      <c r="N4396" s="2"/>
      <c r="O4396" s="2"/>
      <c r="P4396" s="2"/>
      <c r="Q4396" s="2"/>
      <c r="R4396" s="2"/>
      <c r="S4396" s="2"/>
      <c r="T4396" s="2"/>
      <c r="U4396" s="2"/>
      <c r="V4396" s="2"/>
      <c r="W4396" s="2"/>
      <c r="X4396" s="2"/>
      <c r="Y4396" s="2"/>
      <c r="Z4396" s="2"/>
    </row>
    <row r="4397" spans="1:26" ht="12.75" x14ac:dyDescent="0.2">
      <c r="A4397" s="230"/>
      <c r="B4397" s="18">
        <v>2023</v>
      </c>
      <c r="C4397" s="18" t="s">
        <v>727</v>
      </c>
      <c r="D4397" s="18" t="s">
        <v>1730</v>
      </c>
      <c r="E4397" s="18" t="s">
        <v>703</v>
      </c>
      <c r="F4397" s="18" t="s">
        <v>805</v>
      </c>
      <c r="G4397" s="18" t="s">
        <v>674</v>
      </c>
      <c r="H4397" s="18" t="s">
        <v>959</v>
      </c>
      <c r="I4397" s="315">
        <v>0.15558023944878785</v>
      </c>
      <c r="J4397" s="315">
        <v>3.4762891778590598E-4</v>
      </c>
      <c r="K4397" s="316" t="str">
        <f t="shared" si="64"/>
        <v>Construction and Mining Equipment</v>
      </c>
      <c r="L4397" s="316" t="str">
        <f t="shared" si="65"/>
        <v>Gasoline</v>
      </c>
      <c r="M4397" s="8"/>
      <c r="N4397" s="2"/>
      <c r="O4397" s="2"/>
      <c r="P4397" s="2"/>
      <c r="Q4397" s="2"/>
      <c r="R4397" s="2"/>
      <c r="S4397" s="2"/>
      <c r="T4397" s="2"/>
      <c r="U4397" s="2"/>
      <c r="V4397" s="2"/>
      <c r="W4397" s="2"/>
      <c r="X4397" s="2"/>
      <c r="Y4397" s="2"/>
      <c r="Z4397" s="2"/>
    </row>
    <row r="4398" spans="1:26" ht="12.75" x14ac:dyDescent="0.2">
      <c r="A4398" s="230"/>
      <c r="B4398" s="18">
        <v>2023</v>
      </c>
      <c r="C4398" s="18" t="s">
        <v>762</v>
      </c>
      <c r="D4398" s="18" t="s">
        <v>1715</v>
      </c>
      <c r="E4398" s="18" t="s">
        <v>703</v>
      </c>
      <c r="F4398" s="18" t="s">
        <v>805</v>
      </c>
      <c r="G4398" s="18" t="s">
        <v>677</v>
      </c>
      <c r="H4398" s="18" t="s">
        <v>1031</v>
      </c>
      <c r="I4398" s="315">
        <v>0.15427430362376515</v>
      </c>
      <c r="J4398" s="315">
        <v>3.4471128254784193E-4</v>
      </c>
      <c r="K4398" s="316" t="str">
        <f t="shared" si="64"/>
        <v>Commercial Equipment</v>
      </c>
      <c r="L4398" s="316" t="str">
        <f t="shared" si="65"/>
        <v>Gasoline</v>
      </c>
      <c r="M4398" s="8"/>
      <c r="N4398" s="2"/>
      <c r="O4398" s="2"/>
      <c r="P4398" s="2"/>
      <c r="Q4398" s="2"/>
      <c r="R4398" s="2"/>
      <c r="S4398" s="2"/>
      <c r="T4398" s="2"/>
      <c r="U4398" s="2"/>
      <c r="V4398" s="2"/>
      <c r="W4398" s="2"/>
      <c r="X4398" s="2"/>
      <c r="Y4398" s="2"/>
      <c r="Z4398" s="2"/>
    </row>
    <row r="4399" spans="1:26" ht="12.75" x14ac:dyDescent="0.2">
      <c r="A4399" s="230"/>
      <c r="B4399" s="18">
        <v>2023</v>
      </c>
      <c r="C4399" s="18" t="s">
        <v>760</v>
      </c>
      <c r="D4399" s="18" t="s">
        <v>1840</v>
      </c>
      <c r="E4399" s="18" t="s">
        <v>703</v>
      </c>
      <c r="F4399" s="18" t="s">
        <v>704</v>
      </c>
      <c r="G4399" s="18" t="s">
        <v>681</v>
      </c>
      <c r="H4399" s="18" t="s">
        <v>895</v>
      </c>
      <c r="I4399" s="315">
        <v>0.1526688219493911</v>
      </c>
      <c r="J4399" s="315">
        <v>1.1993095158900844E-4</v>
      </c>
      <c r="K4399" s="316" t="str">
        <f t="shared" si="64"/>
        <v>Logging Equipment</v>
      </c>
      <c r="L4399" s="316" t="str">
        <f t="shared" si="65"/>
        <v>Gasoline</v>
      </c>
      <c r="M4399" s="8"/>
      <c r="N4399" s="2"/>
      <c r="O4399" s="2"/>
      <c r="P4399" s="2"/>
      <c r="Q4399" s="2"/>
      <c r="R4399" s="2"/>
      <c r="S4399" s="2"/>
      <c r="T4399" s="2"/>
      <c r="U4399" s="2"/>
      <c r="V4399" s="2"/>
      <c r="W4399" s="2"/>
      <c r="X4399" s="2"/>
      <c r="Y4399" s="2"/>
      <c r="Z4399" s="2"/>
    </row>
    <row r="4400" spans="1:26" ht="12.75" x14ac:dyDescent="0.2">
      <c r="A4400" s="230"/>
      <c r="B4400" s="18">
        <v>2023</v>
      </c>
      <c r="C4400" s="18" t="s">
        <v>743</v>
      </c>
      <c r="D4400" s="18" t="s">
        <v>1841</v>
      </c>
      <c r="E4400" s="18" t="s">
        <v>703</v>
      </c>
      <c r="F4400" s="18" t="s">
        <v>805</v>
      </c>
      <c r="G4400" s="18" t="s">
        <v>675</v>
      </c>
      <c r="H4400" s="18" t="s">
        <v>798</v>
      </c>
      <c r="I4400" s="315">
        <v>0.15191093370799852</v>
      </c>
      <c r="J4400" s="315">
        <v>3.3943084081350248E-4</v>
      </c>
      <c r="K4400" s="316" t="str">
        <f t="shared" si="64"/>
        <v>Industrial Equipment</v>
      </c>
      <c r="L4400" s="316" t="str">
        <f t="shared" si="65"/>
        <v>Gasoline</v>
      </c>
      <c r="M4400" s="8"/>
      <c r="N4400" s="2"/>
      <c r="O4400" s="2"/>
      <c r="P4400" s="2"/>
      <c r="Q4400" s="2"/>
      <c r="R4400" s="2"/>
      <c r="S4400" s="2"/>
      <c r="T4400" s="2"/>
      <c r="U4400" s="2"/>
      <c r="V4400" s="2"/>
      <c r="W4400" s="2"/>
      <c r="X4400" s="2"/>
      <c r="Y4400" s="2"/>
      <c r="Z4400" s="2"/>
    </row>
    <row r="4401" spans="1:26" ht="12.75" x14ac:dyDescent="0.2">
      <c r="A4401" s="230"/>
      <c r="B4401" s="18">
        <v>2023</v>
      </c>
      <c r="C4401" s="18" t="s">
        <v>793</v>
      </c>
      <c r="D4401" s="18" t="s">
        <v>1730</v>
      </c>
      <c r="E4401" s="18" t="s">
        <v>703</v>
      </c>
      <c r="F4401" s="18" t="s">
        <v>805</v>
      </c>
      <c r="G4401" s="18" t="s">
        <v>674</v>
      </c>
      <c r="H4401" s="18" t="s">
        <v>959</v>
      </c>
      <c r="I4401" s="315">
        <v>0.15190223238518369</v>
      </c>
      <c r="J4401" s="315">
        <v>3.3941125018752632E-4</v>
      </c>
      <c r="K4401" s="316" t="str">
        <f t="shared" si="64"/>
        <v>Construction and Mining Equipment</v>
      </c>
      <c r="L4401" s="316" t="str">
        <f t="shared" si="65"/>
        <v>Gasoline</v>
      </c>
      <c r="M4401" s="8"/>
      <c r="N4401" s="2"/>
      <c r="O4401" s="2"/>
      <c r="P4401" s="2"/>
      <c r="Q4401" s="2"/>
      <c r="R4401" s="2"/>
      <c r="S4401" s="2"/>
      <c r="T4401" s="2"/>
      <c r="U4401" s="2"/>
      <c r="V4401" s="2"/>
      <c r="W4401" s="2"/>
      <c r="X4401" s="2"/>
      <c r="Y4401" s="2"/>
      <c r="Z4401" s="2"/>
    </row>
    <row r="4402" spans="1:26" ht="12.75" x14ac:dyDescent="0.2">
      <c r="A4402" s="230"/>
      <c r="B4402" s="18">
        <v>2023</v>
      </c>
      <c r="C4402" s="18" t="s">
        <v>778</v>
      </c>
      <c r="D4402" s="18" t="s">
        <v>1833</v>
      </c>
      <c r="E4402" s="18" t="s">
        <v>703</v>
      </c>
      <c r="F4402" s="18" t="s">
        <v>704</v>
      </c>
      <c r="G4402" s="18" t="s">
        <v>674</v>
      </c>
      <c r="H4402" s="18" t="s">
        <v>1082</v>
      </c>
      <c r="I4402" s="315">
        <v>0.15148291244597881</v>
      </c>
      <c r="J4402" s="315">
        <v>9.8105711682114699E-5</v>
      </c>
      <c r="K4402" s="316" t="str">
        <f t="shared" si="64"/>
        <v>Construction and Mining Equipment</v>
      </c>
      <c r="L4402" s="316" t="str">
        <f t="shared" si="65"/>
        <v>Gasoline</v>
      </c>
      <c r="M4402" s="8"/>
      <c r="N4402" s="2"/>
      <c r="O4402" s="2"/>
      <c r="P4402" s="2"/>
      <c r="Q4402" s="2"/>
      <c r="R4402" s="2"/>
      <c r="S4402" s="2"/>
      <c r="T4402" s="2"/>
      <c r="U4402" s="2"/>
      <c r="V4402" s="2"/>
      <c r="W4402" s="2"/>
      <c r="X4402" s="2"/>
      <c r="Y4402" s="2"/>
      <c r="Z4402" s="2"/>
    </row>
    <row r="4403" spans="1:26" ht="12.75" x14ac:dyDescent="0.2">
      <c r="A4403" s="230"/>
      <c r="B4403" s="18">
        <v>2023</v>
      </c>
      <c r="C4403" s="18" t="s">
        <v>810</v>
      </c>
      <c r="D4403" s="18" t="s">
        <v>1679</v>
      </c>
      <c r="E4403" s="18" t="s">
        <v>56</v>
      </c>
      <c r="F4403" s="18" t="s">
        <v>672</v>
      </c>
      <c r="G4403" s="18" t="s">
        <v>674</v>
      </c>
      <c r="H4403" s="18" t="s">
        <v>959</v>
      </c>
      <c r="I4403" s="315">
        <v>0.15111948579251044</v>
      </c>
      <c r="J4403" s="315">
        <v>2.5669810336238101E-5</v>
      </c>
      <c r="K4403" s="316" t="str">
        <f t="shared" si="64"/>
        <v>Construction and Mining Equipment</v>
      </c>
      <c r="L4403" s="316" t="str">
        <f t="shared" si="65"/>
        <v>LPG</v>
      </c>
      <c r="M4403" s="8"/>
      <c r="N4403" s="2"/>
      <c r="O4403" s="2"/>
      <c r="P4403" s="2"/>
      <c r="Q4403" s="2"/>
      <c r="R4403" s="2"/>
      <c r="S4403" s="2"/>
      <c r="T4403" s="2"/>
      <c r="U4403" s="2"/>
      <c r="V4403" s="2"/>
      <c r="W4403" s="2"/>
      <c r="X4403" s="2"/>
      <c r="Y4403" s="2"/>
      <c r="Z4403" s="2"/>
    </row>
    <row r="4404" spans="1:26" ht="12.75" x14ac:dyDescent="0.2">
      <c r="A4404" s="230"/>
      <c r="B4404" s="18">
        <v>2023</v>
      </c>
      <c r="C4404" s="18" t="s">
        <v>762</v>
      </c>
      <c r="D4404" s="18" t="s">
        <v>1844</v>
      </c>
      <c r="E4404" s="18" t="s">
        <v>56</v>
      </c>
      <c r="F4404" s="18" t="s">
        <v>601</v>
      </c>
      <c r="G4404" s="18" t="s">
        <v>678</v>
      </c>
      <c r="H4404" s="18" t="s">
        <v>1080</v>
      </c>
      <c r="I4404" s="315">
        <v>0.15100078873780942</v>
      </c>
      <c r="J4404" s="315">
        <v>5.9470393837775005E-3</v>
      </c>
      <c r="K4404" s="316" t="str">
        <f t="shared" si="64"/>
        <v>Agricultural Equipment</v>
      </c>
      <c r="L4404" s="316" t="str">
        <f t="shared" si="65"/>
        <v>CNG</v>
      </c>
      <c r="M4404" s="8"/>
      <c r="N4404" s="2"/>
      <c r="O4404" s="2"/>
      <c r="P4404" s="2"/>
      <c r="Q4404" s="2"/>
      <c r="R4404" s="2"/>
      <c r="S4404" s="2"/>
      <c r="T4404" s="2"/>
      <c r="U4404" s="2"/>
      <c r="V4404" s="2"/>
      <c r="W4404" s="2"/>
      <c r="X4404" s="2"/>
      <c r="Y4404" s="2"/>
      <c r="Z4404" s="2"/>
    </row>
    <row r="4405" spans="1:26" ht="12.75" x14ac:dyDescent="0.2">
      <c r="A4405" s="230"/>
      <c r="B4405" s="18">
        <v>2023</v>
      </c>
      <c r="C4405" s="18" t="s">
        <v>753</v>
      </c>
      <c r="D4405" s="18" t="s">
        <v>1685</v>
      </c>
      <c r="E4405" s="18" t="s">
        <v>56</v>
      </c>
      <c r="F4405" s="18" t="s">
        <v>672</v>
      </c>
      <c r="G4405" s="18" t="s">
        <v>674</v>
      </c>
      <c r="H4405" s="18" t="s">
        <v>1072</v>
      </c>
      <c r="I4405" s="315">
        <v>0.15011815947532403</v>
      </c>
      <c r="J4405" s="315">
        <v>1.0416497360021232E-5</v>
      </c>
      <c r="K4405" s="316" t="str">
        <f t="shared" si="64"/>
        <v>Construction and Mining Equipment</v>
      </c>
      <c r="L4405" s="316" t="str">
        <f t="shared" si="65"/>
        <v>LPG</v>
      </c>
      <c r="M4405" s="8"/>
      <c r="N4405" s="2"/>
      <c r="O4405" s="2"/>
      <c r="P4405" s="2"/>
      <c r="Q4405" s="2"/>
      <c r="R4405" s="2"/>
      <c r="S4405" s="2"/>
      <c r="T4405" s="2"/>
      <c r="U4405" s="2"/>
      <c r="V4405" s="2"/>
      <c r="W4405" s="2"/>
      <c r="X4405" s="2"/>
      <c r="Y4405" s="2"/>
      <c r="Z4405" s="2"/>
    </row>
    <row r="4406" spans="1:26" ht="12.75" x14ac:dyDescent="0.2">
      <c r="A4406" s="230"/>
      <c r="B4406" s="18">
        <v>2023</v>
      </c>
      <c r="C4406" s="18" t="s">
        <v>754</v>
      </c>
      <c r="D4406" s="18" t="s">
        <v>1806</v>
      </c>
      <c r="E4406" s="18" t="s">
        <v>56</v>
      </c>
      <c r="F4406" s="18" t="s">
        <v>601</v>
      </c>
      <c r="G4406" s="18" t="s">
        <v>675</v>
      </c>
      <c r="H4406" s="18" t="s">
        <v>798</v>
      </c>
      <c r="I4406" s="315">
        <v>0.14905558886213344</v>
      </c>
      <c r="J4406" s="315">
        <v>5.9328321482849777E-4</v>
      </c>
      <c r="K4406" s="316" t="str">
        <f t="shared" si="64"/>
        <v>Industrial Equipment</v>
      </c>
      <c r="L4406" s="316" t="str">
        <f t="shared" si="65"/>
        <v>CNG</v>
      </c>
      <c r="M4406" s="8"/>
      <c r="N4406" s="2"/>
      <c r="O4406" s="2"/>
      <c r="P4406" s="2"/>
      <c r="Q4406" s="2"/>
      <c r="R4406" s="2"/>
      <c r="S4406" s="2"/>
      <c r="T4406" s="2"/>
      <c r="U4406" s="2"/>
      <c r="V4406" s="2"/>
      <c r="W4406" s="2"/>
      <c r="X4406" s="2"/>
      <c r="Y4406" s="2"/>
      <c r="Z4406" s="2"/>
    </row>
    <row r="4407" spans="1:26" ht="12.75" x14ac:dyDescent="0.2">
      <c r="A4407" s="230"/>
      <c r="B4407" s="18">
        <v>2023</v>
      </c>
      <c r="C4407" s="18" t="s">
        <v>778</v>
      </c>
      <c r="D4407" s="18" t="s">
        <v>1715</v>
      </c>
      <c r="E4407" s="18" t="s">
        <v>703</v>
      </c>
      <c r="F4407" s="18" t="s">
        <v>805</v>
      </c>
      <c r="G4407" s="18" t="s">
        <v>677</v>
      </c>
      <c r="H4407" s="18" t="s">
        <v>1031</v>
      </c>
      <c r="I4407" s="315">
        <v>0.14841564756097117</v>
      </c>
      <c r="J4407" s="315">
        <v>3.3162096404945591E-4</v>
      </c>
      <c r="K4407" s="316" t="str">
        <f t="shared" si="64"/>
        <v>Commercial Equipment</v>
      </c>
      <c r="L4407" s="316" t="str">
        <f t="shared" si="65"/>
        <v>Gasoline</v>
      </c>
      <c r="M4407" s="8"/>
      <c r="N4407" s="2"/>
      <c r="O4407" s="2"/>
      <c r="P4407" s="2"/>
      <c r="Q4407" s="2"/>
      <c r="R4407" s="2"/>
      <c r="S4407" s="2"/>
      <c r="T4407" s="2"/>
      <c r="U4407" s="2"/>
      <c r="V4407" s="2"/>
      <c r="W4407" s="2"/>
      <c r="X4407" s="2"/>
      <c r="Y4407" s="2"/>
      <c r="Z4407" s="2"/>
    </row>
    <row r="4408" spans="1:26" x14ac:dyDescent="0.25">
      <c r="A4408" s="314"/>
      <c r="B4408" s="18">
        <v>2023</v>
      </c>
      <c r="C4408" s="18" t="s">
        <v>793</v>
      </c>
      <c r="D4408" s="18" t="s">
        <v>1655</v>
      </c>
      <c r="E4408" s="18" t="s">
        <v>56</v>
      </c>
      <c r="F4408" s="18" t="s">
        <v>672</v>
      </c>
      <c r="G4408" s="18" t="s">
        <v>677</v>
      </c>
      <c r="H4408" s="18" t="s">
        <v>789</v>
      </c>
      <c r="I4408" s="315">
        <v>0.14786179587164355</v>
      </c>
      <c r="J4408" s="315">
        <v>2.0870150087521094E-5</v>
      </c>
      <c r="K4408" s="316" t="str">
        <f t="shared" si="64"/>
        <v>Commercial Equipment</v>
      </c>
      <c r="L4408" s="316" t="str">
        <f t="shared" si="65"/>
        <v>LPG</v>
      </c>
      <c r="M4408" s="194"/>
      <c r="N4408" s="317"/>
      <c r="O4408" s="317"/>
      <c r="P4408" s="317"/>
      <c r="Q4408" s="317"/>
      <c r="R4408" s="317"/>
      <c r="S4408" s="317"/>
      <c r="T4408" s="317"/>
      <c r="U4408" s="317"/>
      <c r="V4408" s="317"/>
      <c r="W4408" s="317"/>
      <c r="X4408" s="317"/>
      <c r="Y4408" s="317"/>
      <c r="Z4408" s="317"/>
    </row>
    <row r="4409" spans="1:26" x14ac:dyDescent="0.25">
      <c r="A4409" s="314"/>
      <c r="B4409" s="18">
        <v>2023</v>
      </c>
      <c r="C4409" s="18" t="s">
        <v>722</v>
      </c>
      <c r="D4409" s="18" t="s">
        <v>1841</v>
      </c>
      <c r="E4409" s="18" t="s">
        <v>703</v>
      </c>
      <c r="F4409" s="18" t="s">
        <v>805</v>
      </c>
      <c r="G4409" s="18" t="s">
        <v>675</v>
      </c>
      <c r="H4409" s="18" t="s">
        <v>798</v>
      </c>
      <c r="I4409" s="315">
        <v>0.14753940328487031</v>
      </c>
      <c r="J4409" s="315">
        <v>3.296631585449241E-4</v>
      </c>
      <c r="K4409" s="316" t="str">
        <f t="shared" si="64"/>
        <v>Industrial Equipment</v>
      </c>
      <c r="L4409" s="316" t="str">
        <f t="shared" si="65"/>
        <v>Gasoline</v>
      </c>
      <c r="M4409" s="194"/>
      <c r="N4409" s="317"/>
      <c r="O4409" s="317"/>
      <c r="P4409" s="317"/>
      <c r="Q4409" s="317"/>
      <c r="R4409" s="317"/>
      <c r="S4409" s="317"/>
      <c r="T4409" s="317"/>
      <c r="U4409" s="317"/>
      <c r="V4409" s="317"/>
      <c r="W4409" s="317"/>
      <c r="X4409" s="317"/>
      <c r="Y4409" s="317"/>
      <c r="Z4409" s="317"/>
    </row>
    <row r="4410" spans="1:26" x14ac:dyDescent="0.25">
      <c r="A4410" s="314"/>
      <c r="B4410" s="18">
        <v>2023</v>
      </c>
      <c r="C4410" s="18" t="s">
        <v>732</v>
      </c>
      <c r="D4410" s="18" t="s">
        <v>1844</v>
      </c>
      <c r="E4410" s="18" t="s">
        <v>56</v>
      </c>
      <c r="F4410" s="18" t="s">
        <v>601</v>
      </c>
      <c r="G4410" s="18" t="s">
        <v>678</v>
      </c>
      <c r="H4410" s="18" t="s">
        <v>1080</v>
      </c>
      <c r="I4410" s="315">
        <v>0.1472956315856504</v>
      </c>
      <c r="J4410" s="315">
        <v>5.8011165949629143E-3</v>
      </c>
      <c r="K4410" s="316" t="str">
        <f t="shared" si="64"/>
        <v>Agricultural Equipment</v>
      </c>
      <c r="L4410" s="316" t="str">
        <f t="shared" si="65"/>
        <v>CNG</v>
      </c>
      <c r="M4410" s="194"/>
      <c r="N4410" s="317"/>
      <c r="O4410" s="317"/>
      <c r="P4410" s="317"/>
      <c r="Q4410" s="317"/>
      <c r="R4410" s="317"/>
      <c r="S4410" s="317"/>
      <c r="T4410" s="317"/>
      <c r="U4410" s="317"/>
      <c r="V4410" s="317"/>
      <c r="W4410" s="317"/>
      <c r="X4410" s="317"/>
      <c r="Y4410" s="317"/>
      <c r="Z4410" s="317"/>
    </row>
    <row r="4411" spans="1:26" x14ac:dyDescent="0.25">
      <c r="A4411" s="314"/>
      <c r="B4411" s="18">
        <v>2023</v>
      </c>
      <c r="C4411" s="18" t="s">
        <v>722</v>
      </c>
      <c r="D4411" s="18" t="s">
        <v>1830</v>
      </c>
      <c r="E4411" s="18" t="s">
        <v>703</v>
      </c>
      <c r="F4411" s="18" t="s">
        <v>805</v>
      </c>
      <c r="G4411" s="18" t="s">
        <v>678</v>
      </c>
      <c r="H4411" s="18" t="s">
        <v>1222</v>
      </c>
      <c r="I4411" s="315">
        <v>0.14496837176766067</v>
      </c>
      <c r="J4411" s="315">
        <v>2.3815889871661481E-4</v>
      </c>
      <c r="K4411" s="316" t="str">
        <f t="shared" si="64"/>
        <v>Agricultural Equipment</v>
      </c>
      <c r="L4411" s="316" t="str">
        <f t="shared" si="65"/>
        <v>Gasoline</v>
      </c>
      <c r="M4411" s="194"/>
      <c r="N4411" s="317"/>
      <c r="O4411" s="317"/>
      <c r="P4411" s="317"/>
      <c r="Q4411" s="317"/>
      <c r="R4411" s="317"/>
      <c r="S4411" s="317"/>
      <c r="T4411" s="317"/>
      <c r="U4411" s="317"/>
      <c r="V4411" s="317"/>
      <c r="W4411" s="317"/>
      <c r="X4411" s="317"/>
      <c r="Y4411" s="317"/>
      <c r="Z4411" s="317"/>
    </row>
    <row r="4412" spans="1:26" x14ac:dyDescent="0.25">
      <c r="A4412" s="314"/>
      <c r="B4412" s="18">
        <v>2023</v>
      </c>
      <c r="C4412" s="18" t="s">
        <v>762</v>
      </c>
      <c r="D4412" s="18" t="s">
        <v>1845</v>
      </c>
      <c r="E4412" s="18" t="s">
        <v>713</v>
      </c>
      <c r="F4412" s="18" t="s">
        <v>714</v>
      </c>
      <c r="G4412" s="18" t="s">
        <v>678</v>
      </c>
      <c r="H4412" s="18" t="s">
        <v>1279</v>
      </c>
      <c r="I4412" s="315">
        <v>0.14416702852837196</v>
      </c>
      <c r="J4412" s="315">
        <v>8.4055409514778869E-7</v>
      </c>
      <c r="K4412" s="316" t="str">
        <f t="shared" si="64"/>
        <v>Agricultural Equipment</v>
      </c>
      <c r="L4412" s="316" t="str">
        <f t="shared" si="65"/>
        <v>Diesel</v>
      </c>
      <c r="M4412" s="194"/>
      <c r="N4412" s="317"/>
      <c r="O4412" s="317"/>
      <c r="P4412" s="317"/>
      <c r="Q4412" s="317"/>
      <c r="R4412" s="317"/>
      <c r="S4412" s="317"/>
      <c r="T4412" s="317"/>
      <c r="U4412" s="317"/>
      <c r="V4412" s="317"/>
      <c r="W4412" s="317"/>
      <c r="X4412" s="317"/>
      <c r="Y4412" s="317"/>
      <c r="Z4412" s="317"/>
    </row>
    <row r="4413" spans="1:26" x14ac:dyDescent="0.25">
      <c r="A4413" s="314"/>
      <c r="B4413" s="18">
        <v>2023</v>
      </c>
      <c r="C4413" s="18" t="s">
        <v>781</v>
      </c>
      <c r="D4413" s="18" t="s">
        <v>1483</v>
      </c>
      <c r="E4413" s="18" t="s">
        <v>703</v>
      </c>
      <c r="F4413" s="18" t="s">
        <v>805</v>
      </c>
      <c r="G4413" s="18" t="s">
        <v>674</v>
      </c>
      <c r="H4413" s="18" t="s">
        <v>994</v>
      </c>
      <c r="I4413" s="315">
        <v>0.14414543023806811</v>
      </c>
      <c r="J4413" s="315">
        <v>3.0222639491404976E-4</v>
      </c>
      <c r="K4413" s="316" t="str">
        <f t="shared" si="64"/>
        <v>Construction and Mining Equipment</v>
      </c>
      <c r="L4413" s="316" t="str">
        <f t="shared" si="65"/>
        <v>Gasoline</v>
      </c>
      <c r="M4413" s="194"/>
      <c r="N4413" s="317"/>
      <c r="O4413" s="317"/>
      <c r="P4413" s="317"/>
      <c r="Q4413" s="317"/>
      <c r="R4413" s="317"/>
      <c r="S4413" s="317"/>
      <c r="T4413" s="317"/>
      <c r="U4413" s="317"/>
      <c r="V4413" s="317"/>
      <c r="W4413" s="317"/>
      <c r="X4413" s="317"/>
      <c r="Y4413" s="317"/>
      <c r="Z4413" s="317"/>
    </row>
    <row r="4414" spans="1:26" x14ac:dyDescent="0.25">
      <c r="A4414" s="314"/>
      <c r="B4414" s="18">
        <v>2023</v>
      </c>
      <c r="C4414" s="18" t="s">
        <v>750</v>
      </c>
      <c r="D4414" s="18" t="s">
        <v>1655</v>
      </c>
      <c r="E4414" s="18" t="s">
        <v>56</v>
      </c>
      <c r="F4414" s="18" t="s">
        <v>672</v>
      </c>
      <c r="G4414" s="18" t="s">
        <v>677</v>
      </c>
      <c r="H4414" s="18" t="s">
        <v>789</v>
      </c>
      <c r="I4414" s="315">
        <v>0.14386544740371715</v>
      </c>
      <c r="J4414" s="315">
        <v>2.0306092284752311E-5</v>
      </c>
      <c r="K4414" s="316" t="str">
        <f t="shared" si="64"/>
        <v>Commercial Equipment</v>
      </c>
      <c r="L4414" s="316" t="str">
        <f t="shared" si="65"/>
        <v>LPG</v>
      </c>
      <c r="M4414" s="194"/>
      <c r="N4414" s="317"/>
      <c r="O4414" s="317"/>
      <c r="P4414" s="317"/>
      <c r="Q4414" s="317"/>
      <c r="R4414" s="317"/>
      <c r="S4414" s="317"/>
      <c r="T4414" s="317"/>
      <c r="U4414" s="317"/>
      <c r="V4414" s="317"/>
      <c r="W4414" s="317"/>
      <c r="X4414" s="317"/>
      <c r="Y4414" s="317"/>
      <c r="Z4414" s="317"/>
    </row>
    <row r="4415" spans="1:26" x14ac:dyDescent="0.25">
      <c r="A4415" s="314"/>
      <c r="B4415" s="18">
        <v>2023</v>
      </c>
      <c r="C4415" s="18" t="s">
        <v>792</v>
      </c>
      <c r="D4415" s="18" t="s">
        <v>1744</v>
      </c>
      <c r="E4415" s="18" t="s">
        <v>703</v>
      </c>
      <c r="F4415" s="18" t="s">
        <v>704</v>
      </c>
      <c r="G4415" s="18" t="s">
        <v>678</v>
      </c>
      <c r="H4415" s="18" t="s">
        <v>1745</v>
      </c>
      <c r="I4415" s="315">
        <v>0.14229759428046188</v>
      </c>
      <c r="J4415" s="315">
        <v>9.1264370380975319E-5</v>
      </c>
      <c r="K4415" s="316" t="str">
        <f t="shared" si="64"/>
        <v>Agricultural Equipment</v>
      </c>
      <c r="L4415" s="316" t="str">
        <f t="shared" si="65"/>
        <v>Gasoline</v>
      </c>
      <c r="M4415" s="194"/>
      <c r="N4415" s="317"/>
      <c r="O4415" s="317"/>
      <c r="P4415" s="317"/>
      <c r="Q4415" s="317"/>
      <c r="R4415" s="317"/>
      <c r="S4415" s="317"/>
      <c r="T4415" s="317"/>
      <c r="U4415" s="317"/>
      <c r="V4415" s="317"/>
      <c r="W4415" s="317"/>
      <c r="X4415" s="317"/>
      <c r="Y4415" s="317"/>
      <c r="Z4415" s="317"/>
    </row>
    <row r="4416" spans="1:26" x14ac:dyDescent="0.25">
      <c r="A4416" s="314"/>
      <c r="B4416" s="18">
        <v>2023</v>
      </c>
      <c r="C4416" s="18" t="s">
        <v>773</v>
      </c>
      <c r="D4416" s="18" t="s">
        <v>1730</v>
      </c>
      <c r="E4416" s="18" t="s">
        <v>703</v>
      </c>
      <c r="F4416" s="18" t="s">
        <v>805</v>
      </c>
      <c r="G4416" s="18" t="s">
        <v>674</v>
      </c>
      <c r="H4416" s="18" t="s">
        <v>959</v>
      </c>
      <c r="I4416" s="315">
        <v>0.14168284338975232</v>
      </c>
      <c r="J4416" s="315">
        <v>3.1657699716593793E-4</v>
      </c>
      <c r="K4416" s="316" t="str">
        <f t="shared" si="64"/>
        <v>Construction and Mining Equipment</v>
      </c>
      <c r="L4416" s="316" t="str">
        <f t="shared" si="65"/>
        <v>Gasoline</v>
      </c>
      <c r="M4416" s="194"/>
      <c r="N4416" s="317"/>
      <c r="O4416" s="317"/>
      <c r="P4416" s="317"/>
      <c r="Q4416" s="317"/>
      <c r="R4416" s="317"/>
      <c r="S4416" s="317"/>
      <c r="T4416" s="317"/>
      <c r="U4416" s="317"/>
      <c r="V4416" s="317"/>
      <c r="W4416" s="317"/>
      <c r="X4416" s="317"/>
      <c r="Y4416" s="317"/>
      <c r="Z4416" s="317"/>
    </row>
    <row r="4417" spans="1:26" x14ac:dyDescent="0.25">
      <c r="A4417" s="314"/>
      <c r="B4417" s="18">
        <v>2023</v>
      </c>
      <c r="C4417" s="18" t="s">
        <v>810</v>
      </c>
      <c r="D4417" s="18" t="s">
        <v>1685</v>
      </c>
      <c r="E4417" s="18" t="s">
        <v>56</v>
      </c>
      <c r="F4417" s="18" t="s">
        <v>672</v>
      </c>
      <c r="G4417" s="18" t="s">
        <v>674</v>
      </c>
      <c r="H4417" s="18" t="s">
        <v>1072</v>
      </c>
      <c r="I4417" s="315">
        <v>0.14148854586643975</v>
      </c>
      <c r="J4417" s="315">
        <v>9.8177048222483805E-6</v>
      </c>
      <c r="K4417" s="316" t="str">
        <f t="shared" si="64"/>
        <v>Construction and Mining Equipment</v>
      </c>
      <c r="L4417" s="316" t="str">
        <f t="shared" si="65"/>
        <v>LPG</v>
      </c>
      <c r="M4417" s="194"/>
      <c r="N4417" s="317"/>
      <c r="O4417" s="317"/>
      <c r="P4417" s="317"/>
      <c r="Q4417" s="317"/>
      <c r="R4417" s="317"/>
      <c r="S4417" s="317"/>
      <c r="T4417" s="317"/>
      <c r="U4417" s="317"/>
      <c r="V4417" s="317"/>
      <c r="W4417" s="317"/>
      <c r="X4417" s="317"/>
      <c r="Y4417" s="317"/>
      <c r="Z4417" s="317"/>
    </row>
    <row r="4418" spans="1:26" x14ac:dyDescent="0.25">
      <c r="A4418" s="314"/>
      <c r="B4418" s="18">
        <v>2023</v>
      </c>
      <c r="C4418" s="18" t="s">
        <v>732</v>
      </c>
      <c r="D4418" s="18" t="s">
        <v>1845</v>
      </c>
      <c r="E4418" s="18" t="s">
        <v>713</v>
      </c>
      <c r="F4418" s="18" t="s">
        <v>714</v>
      </c>
      <c r="G4418" s="18" t="s">
        <v>678</v>
      </c>
      <c r="H4418" s="18" t="s">
        <v>1279</v>
      </c>
      <c r="I4418" s="315">
        <v>0.14062959222781121</v>
      </c>
      <c r="J4418" s="315">
        <v>8.1993036199113104E-7</v>
      </c>
      <c r="K4418" s="316" t="str">
        <f t="shared" si="64"/>
        <v>Agricultural Equipment</v>
      </c>
      <c r="L4418" s="316" t="str">
        <f t="shared" si="65"/>
        <v>Diesel</v>
      </c>
      <c r="M4418" s="194"/>
      <c r="N4418" s="317"/>
      <c r="O4418" s="317"/>
      <c r="P4418" s="317"/>
      <c r="Q4418" s="317"/>
      <c r="R4418" s="317"/>
      <c r="S4418" s="317"/>
      <c r="T4418" s="317"/>
      <c r="U4418" s="317"/>
      <c r="V4418" s="317"/>
      <c r="W4418" s="317"/>
      <c r="X4418" s="317"/>
      <c r="Y4418" s="317"/>
      <c r="Z4418" s="317"/>
    </row>
    <row r="4419" spans="1:26" x14ac:dyDescent="0.25">
      <c r="A4419" s="314"/>
      <c r="B4419" s="18">
        <v>2023</v>
      </c>
      <c r="C4419" s="18" t="s">
        <v>810</v>
      </c>
      <c r="D4419" s="18" t="s">
        <v>1655</v>
      </c>
      <c r="E4419" s="18" t="s">
        <v>56</v>
      </c>
      <c r="F4419" s="18" t="s">
        <v>672</v>
      </c>
      <c r="G4419" s="18" t="s">
        <v>677</v>
      </c>
      <c r="H4419" s="18" t="s">
        <v>789</v>
      </c>
      <c r="I4419" s="315">
        <v>0.13986928282814862</v>
      </c>
      <c r="J4419" s="315">
        <v>1.9742041768842913E-5</v>
      </c>
      <c r="K4419" s="316" t="str">
        <f t="shared" si="64"/>
        <v>Commercial Equipment</v>
      </c>
      <c r="L4419" s="316" t="str">
        <f t="shared" si="65"/>
        <v>LPG</v>
      </c>
      <c r="M4419" s="194"/>
      <c r="N4419" s="317"/>
      <c r="O4419" s="317"/>
      <c r="P4419" s="317"/>
      <c r="Q4419" s="317"/>
      <c r="R4419" s="317"/>
      <c r="S4419" s="317"/>
      <c r="T4419" s="317"/>
      <c r="U4419" s="317"/>
      <c r="V4419" s="317"/>
      <c r="W4419" s="317"/>
      <c r="X4419" s="317"/>
      <c r="Y4419" s="317"/>
      <c r="Z4419" s="317"/>
    </row>
    <row r="4420" spans="1:26" x14ac:dyDescent="0.25">
      <c r="A4420" s="314"/>
      <c r="B4420" s="18">
        <v>2023</v>
      </c>
      <c r="C4420" s="18" t="s">
        <v>754</v>
      </c>
      <c r="D4420" s="18" t="s">
        <v>1839</v>
      </c>
      <c r="E4420" s="18" t="s">
        <v>56</v>
      </c>
      <c r="F4420" s="18" t="s">
        <v>683</v>
      </c>
      <c r="G4420" s="18" t="s">
        <v>672</v>
      </c>
      <c r="H4420" s="18" t="s">
        <v>1002</v>
      </c>
      <c r="I4420" s="315">
        <v>0.13983036720713432</v>
      </c>
      <c r="J4420" s="315">
        <v>1.1258359208191156E-5</v>
      </c>
      <c r="K4420" s="316" t="str">
        <f t="shared" si="64"/>
        <v>Railroad Equipment</v>
      </c>
      <c r="L4420" s="316" t="str">
        <f t="shared" si="65"/>
        <v>LPG</v>
      </c>
      <c r="M4420" s="194"/>
      <c r="N4420" s="317"/>
      <c r="O4420" s="317"/>
      <c r="P4420" s="317"/>
      <c r="Q4420" s="317"/>
      <c r="R4420" s="317"/>
      <c r="S4420" s="317"/>
      <c r="T4420" s="317"/>
      <c r="U4420" s="317"/>
      <c r="V4420" s="317"/>
      <c r="W4420" s="317"/>
      <c r="X4420" s="317"/>
      <c r="Y4420" s="317"/>
      <c r="Z4420" s="317"/>
    </row>
    <row r="4421" spans="1:26" x14ac:dyDescent="0.25">
      <c r="A4421" s="314"/>
      <c r="B4421" s="18">
        <v>2023</v>
      </c>
      <c r="C4421" s="18" t="s">
        <v>701</v>
      </c>
      <c r="D4421" s="18" t="s">
        <v>1024</v>
      </c>
      <c r="E4421" s="18" t="s">
        <v>56</v>
      </c>
      <c r="F4421" s="18" t="s">
        <v>1025</v>
      </c>
      <c r="G4421" s="18" t="s">
        <v>680</v>
      </c>
      <c r="H4421" s="18" t="s">
        <v>1026</v>
      </c>
      <c r="I4421" s="315">
        <v>0.13925008701711153</v>
      </c>
      <c r="J4421" s="315">
        <v>6.3428858932900548E-6</v>
      </c>
      <c r="K4421" s="316" t="str">
        <f t="shared" si="64"/>
        <v>Airport Ground Support Equipment</v>
      </c>
      <c r="L4421" s="316" t="str">
        <f t="shared" si="65"/>
        <v>LPG</v>
      </c>
      <c r="M4421" s="194"/>
      <c r="N4421" s="317"/>
      <c r="O4421" s="317"/>
      <c r="P4421" s="317"/>
      <c r="Q4421" s="317"/>
      <c r="R4421" s="317"/>
      <c r="S4421" s="317"/>
      <c r="T4421" s="317"/>
      <c r="U4421" s="317"/>
      <c r="V4421" s="317"/>
      <c r="W4421" s="317"/>
      <c r="X4421" s="317"/>
      <c r="Y4421" s="317"/>
      <c r="Z4421" s="317"/>
    </row>
    <row r="4422" spans="1:26" x14ac:dyDescent="0.25">
      <c r="A4422" s="314"/>
      <c r="B4422" s="18">
        <v>2023</v>
      </c>
      <c r="C4422" s="18" t="s">
        <v>792</v>
      </c>
      <c r="D4422" s="18" t="s">
        <v>1806</v>
      </c>
      <c r="E4422" s="18" t="s">
        <v>56</v>
      </c>
      <c r="F4422" s="18" t="s">
        <v>601</v>
      </c>
      <c r="G4422" s="18" t="s">
        <v>675</v>
      </c>
      <c r="H4422" s="18" t="s">
        <v>798</v>
      </c>
      <c r="I4422" s="315">
        <v>0.13791958483489325</v>
      </c>
      <c r="J4422" s="315">
        <v>5.489579377524951E-4</v>
      </c>
      <c r="K4422" s="316" t="str">
        <f t="shared" si="64"/>
        <v>Industrial Equipment</v>
      </c>
      <c r="L4422" s="316" t="str">
        <f t="shared" si="65"/>
        <v>CNG</v>
      </c>
      <c r="M4422" s="194"/>
      <c r="N4422" s="317"/>
      <c r="O4422" s="317"/>
      <c r="P4422" s="317"/>
      <c r="Q4422" s="317"/>
      <c r="R4422" s="317"/>
      <c r="S4422" s="317"/>
      <c r="T4422" s="317"/>
      <c r="U4422" s="317"/>
      <c r="V4422" s="317"/>
      <c r="W4422" s="317"/>
      <c r="X4422" s="317"/>
      <c r="Y4422" s="317"/>
      <c r="Z4422" s="317"/>
    </row>
    <row r="4423" spans="1:26" x14ac:dyDescent="0.25">
      <c r="A4423" s="314"/>
      <c r="B4423" s="18">
        <v>2023</v>
      </c>
      <c r="C4423" s="18" t="s">
        <v>793</v>
      </c>
      <c r="D4423" s="18" t="s">
        <v>1656</v>
      </c>
      <c r="E4423" s="18" t="s">
        <v>56</v>
      </c>
      <c r="F4423" s="18" t="s">
        <v>672</v>
      </c>
      <c r="G4423" s="18" t="s">
        <v>677</v>
      </c>
      <c r="H4423" s="18" t="s">
        <v>1031</v>
      </c>
      <c r="I4423" s="315">
        <v>0.13766197123680737</v>
      </c>
      <c r="J4423" s="315">
        <v>6.9515647733298961E-6</v>
      </c>
      <c r="K4423" s="316" t="str">
        <f t="shared" si="64"/>
        <v>Commercial Equipment</v>
      </c>
      <c r="L4423" s="316" t="str">
        <f t="shared" si="65"/>
        <v>LPG</v>
      </c>
      <c r="M4423" s="194"/>
      <c r="N4423" s="317"/>
      <c r="O4423" s="317"/>
      <c r="P4423" s="317"/>
      <c r="Q4423" s="317"/>
      <c r="R4423" s="317"/>
      <c r="S4423" s="317"/>
      <c r="T4423" s="317"/>
      <c r="U4423" s="317"/>
      <c r="V4423" s="317"/>
      <c r="W4423" s="317"/>
      <c r="X4423" s="317"/>
      <c r="Y4423" s="317"/>
      <c r="Z4423" s="317"/>
    </row>
    <row r="4424" spans="1:26" x14ac:dyDescent="0.25">
      <c r="A4424" s="314"/>
      <c r="B4424" s="18">
        <v>2023</v>
      </c>
      <c r="C4424" s="18" t="s">
        <v>743</v>
      </c>
      <c r="D4424" s="18" t="s">
        <v>1737</v>
      </c>
      <c r="E4424" s="18" t="s">
        <v>703</v>
      </c>
      <c r="F4424" s="18" t="s">
        <v>805</v>
      </c>
      <c r="G4424" s="18" t="s">
        <v>673</v>
      </c>
      <c r="H4424" s="18" t="s">
        <v>705</v>
      </c>
      <c r="I4424" s="315">
        <v>0.13614597287804442</v>
      </c>
      <c r="J4424" s="315">
        <v>2.7301529456646349E-4</v>
      </c>
      <c r="K4424" s="316" t="str">
        <f t="shared" si="64"/>
        <v>Lawn and Garden Equipment</v>
      </c>
      <c r="L4424" s="316" t="str">
        <f t="shared" si="65"/>
        <v>Gasoline</v>
      </c>
      <c r="M4424" s="194"/>
      <c r="N4424" s="317"/>
      <c r="O4424" s="317"/>
      <c r="P4424" s="317"/>
      <c r="Q4424" s="317"/>
      <c r="R4424" s="317"/>
      <c r="S4424" s="317"/>
      <c r="T4424" s="317"/>
      <c r="U4424" s="317"/>
      <c r="V4424" s="317"/>
      <c r="W4424" s="317"/>
      <c r="X4424" s="317"/>
      <c r="Y4424" s="317"/>
      <c r="Z4424" s="317"/>
    </row>
    <row r="4425" spans="1:26" x14ac:dyDescent="0.25">
      <c r="A4425" s="314"/>
      <c r="B4425" s="18">
        <v>2023</v>
      </c>
      <c r="C4425" s="18" t="s">
        <v>787</v>
      </c>
      <c r="D4425" s="18" t="s">
        <v>1806</v>
      </c>
      <c r="E4425" s="18" t="s">
        <v>56</v>
      </c>
      <c r="F4425" s="18" t="s">
        <v>601</v>
      </c>
      <c r="G4425" s="18" t="s">
        <v>675</v>
      </c>
      <c r="H4425" s="18" t="s">
        <v>798</v>
      </c>
      <c r="I4425" s="315">
        <v>0.13594439819690401</v>
      </c>
      <c r="J4425" s="315">
        <v>5.4109686711576344E-4</v>
      </c>
      <c r="K4425" s="316" t="str">
        <f t="shared" si="64"/>
        <v>Industrial Equipment</v>
      </c>
      <c r="L4425" s="316" t="str">
        <f t="shared" si="65"/>
        <v>CNG</v>
      </c>
      <c r="M4425" s="194"/>
      <c r="N4425" s="317"/>
      <c r="O4425" s="317"/>
      <c r="P4425" s="317"/>
      <c r="Q4425" s="317"/>
      <c r="R4425" s="317"/>
      <c r="S4425" s="317"/>
      <c r="T4425" s="317"/>
      <c r="U4425" s="317"/>
      <c r="V4425" s="317"/>
      <c r="W4425" s="317"/>
      <c r="X4425" s="317"/>
      <c r="Y4425" s="317"/>
      <c r="Z4425" s="317"/>
    </row>
    <row r="4426" spans="1:26" x14ac:dyDescent="0.25">
      <c r="A4426" s="314"/>
      <c r="B4426" s="18">
        <v>2023</v>
      </c>
      <c r="C4426" s="18" t="s">
        <v>706</v>
      </c>
      <c r="D4426" s="18" t="s">
        <v>1840</v>
      </c>
      <c r="E4426" s="18" t="s">
        <v>703</v>
      </c>
      <c r="F4426" s="18" t="s">
        <v>704</v>
      </c>
      <c r="G4426" s="18" t="s">
        <v>681</v>
      </c>
      <c r="H4426" s="18" t="s">
        <v>895</v>
      </c>
      <c r="I4426" s="315">
        <v>0.13419550460321533</v>
      </c>
      <c r="J4426" s="315">
        <v>1.0535644663920125E-4</v>
      </c>
      <c r="K4426" s="316" t="str">
        <f t="shared" si="64"/>
        <v>Logging Equipment</v>
      </c>
      <c r="L4426" s="316" t="str">
        <f t="shared" si="65"/>
        <v>Gasoline</v>
      </c>
      <c r="M4426" s="194"/>
      <c r="N4426" s="317"/>
      <c r="O4426" s="317"/>
      <c r="P4426" s="317"/>
      <c r="Q4426" s="317"/>
      <c r="R4426" s="317"/>
      <c r="S4426" s="317"/>
      <c r="T4426" s="317"/>
      <c r="U4426" s="317"/>
      <c r="V4426" s="317"/>
      <c r="W4426" s="317"/>
      <c r="X4426" s="317"/>
      <c r="Y4426" s="317"/>
      <c r="Z4426" s="317"/>
    </row>
    <row r="4427" spans="1:26" x14ac:dyDescent="0.25">
      <c r="A4427" s="314"/>
      <c r="B4427" s="18">
        <v>2023</v>
      </c>
      <c r="C4427" s="18" t="s">
        <v>750</v>
      </c>
      <c r="D4427" s="18" t="s">
        <v>1656</v>
      </c>
      <c r="E4427" s="18" t="s">
        <v>56</v>
      </c>
      <c r="F4427" s="18" t="s">
        <v>672</v>
      </c>
      <c r="G4427" s="18" t="s">
        <v>677</v>
      </c>
      <c r="H4427" s="18" t="s">
        <v>1031</v>
      </c>
      <c r="I4427" s="315">
        <v>0.13394136356496986</v>
      </c>
      <c r="J4427" s="315">
        <v>6.7636961442939269E-6</v>
      </c>
      <c r="K4427" s="316" t="str">
        <f t="shared" si="64"/>
        <v>Commercial Equipment</v>
      </c>
      <c r="L4427" s="316" t="str">
        <f t="shared" si="65"/>
        <v>LPG</v>
      </c>
      <c r="M4427" s="194"/>
      <c r="N4427" s="317"/>
      <c r="O4427" s="317"/>
      <c r="P4427" s="317"/>
      <c r="Q4427" s="317"/>
      <c r="R4427" s="317"/>
      <c r="S4427" s="317"/>
      <c r="T4427" s="317"/>
      <c r="U4427" s="317"/>
      <c r="V4427" s="317"/>
      <c r="W4427" s="317"/>
      <c r="X4427" s="317"/>
      <c r="Y4427" s="317"/>
      <c r="Z4427" s="317"/>
    </row>
    <row r="4428" spans="1:26" x14ac:dyDescent="0.25">
      <c r="A4428" s="314"/>
      <c r="B4428" s="18">
        <v>2023</v>
      </c>
      <c r="C4428" s="18" t="s">
        <v>711</v>
      </c>
      <c r="D4428" s="18" t="s">
        <v>1830</v>
      </c>
      <c r="E4428" s="18" t="s">
        <v>703</v>
      </c>
      <c r="F4428" s="18" t="s">
        <v>805</v>
      </c>
      <c r="G4428" s="18" t="s">
        <v>678</v>
      </c>
      <c r="H4428" s="18" t="s">
        <v>1222</v>
      </c>
      <c r="I4428" s="315">
        <v>0.13228603021645985</v>
      </c>
      <c r="J4428" s="315">
        <v>2.1732359219577574E-4</v>
      </c>
      <c r="K4428" s="316" t="str">
        <f t="shared" si="64"/>
        <v>Agricultural Equipment</v>
      </c>
      <c r="L4428" s="316" t="str">
        <f t="shared" si="65"/>
        <v>Gasoline</v>
      </c>
      <c r="M4428" s="194"/>
      <c r="N4428" s="317"/>
      <c r="O4428" s="317"/>
      <c r="P4428" s="317"/>
      <c r="Q4428" s="317"/>
      <c r="R4428" s="317"/>
      <c r="S4428" s="317"/>
      <c r="T4428" s="317"/>
      <c r="U4428" s="317"/>
      <c r="V4428" s="317"/>
      <c r="W4428" s="317"/>
      <c r="X4428" s="317"/>
      <c r="Y4428" s="317"/>
      <c r="Z4428" s="317"/>
    </row>
    <row r="4429" spans="1:26" x14ac:dyDescent="0.25">
      <c r="A4429" s="314"/>
      <c r="B4429" s="18">
        <v>2023</v>
      </c>
      <c r="C4429" s="18" t="s">
        <v>754</v>
      </c>
      <c r="D4429" s="18" t="s">
        <v>1842</v>
      </c>
      <c r="E4429" s="18" t="s">
        <v>713</v>
      </c>
      <c r="F4429" s="18" t="s">
        <v>714</v>
      </c>
      <c r="G4429" s="18" t="s">
        <v>678</v>
      </c>
      <c r="H4429" s="18" t="s">
        <v>1709</v>
      </c>
      <c r="I4429" s="315">
        <v>0.13210524221746742</v>
      </c>
      <c r="J4429" s="315">
        <v>1.6345876062068436E-5</v>
      </c>
      <c r="K4429" s="316" t="str">
        <f t="shared" si="64"/>
        <v>Agricultural Equipment</v>
      </c>
      <c r="L4429" s="316" t="str">
        <f t="shared" si="65"/>
        <v>Diesel</v>
      </c>
      <c r="M4429" s="194"/>
      <c r="N4429" s="317"/>
      <c r="O4429" s="317"/>
      <c r="P4429" s="317"/>
      <c r="Q4429" s="317"/>
      <c r="R4429" s="317"/>
      <c r="S4429" s="317"/>
      <c r="T4429" s="317"/>
      <c r="U4429" s="317"/>
      <c r="V4429" s="317"/>
      <c r="W4429" s="317"/>
      <c r="X4429" s="317"/>
      <c r="Y4429" s="317"/>
      <c r="Z4429" s="317"/>
    </row>
    <row r="4430" spans="1:26" x14ac:dyDescent="0.25">
      <c r="A4430" s="314"/>
      <c r="B4430" s="18">
        <v>2023</v>
      </c>
      <c r="C4430" s="18" t="s">
        <v>754</v>
      </c>
      <c r="D4430" s="18" t="s">
        <v>1843</v>
      </c>
      <c r="E4430" s="18" t="s">
        <v>56</v>
      </c>
      <c r="F4430" s="18" t="s">
        <v>672</v>
      </c>
      <c r="G4430" s="18" t="s">
        <v>678</v>
      </c>
      <c r="H4430" s="18" t="s">
        <v>1154</v>
      </c>
      <c r="I4430" s="315">
        <v>0.13188110322665175</v>
      </c>
      <c r="J4430" s="315">
        <v>6.0523475036696114E-6</v>
      </c>
      <c r="K4430" s="316" t="str">
        <f t="shared" si="64"/>
        <v>Agricultural Equipment</v>
      </c>
      <c r="L4430" s="316" t="str">
        <f t="shared" si="65"/>
        <v>LPG</v>
      </c>
      <c r="M4430" s="194"/>
      <c r="N4430" s="317"/>
      <c r="O4430" s="317"/>
      <c r="P4430" s="317"/>
      <c r="Q4430" s="317"/>
      <c r="R4430" s="317"/>
      <c r="S4430" s="317"/>
      <c r="T4430" s="317"/>
      <c r="U4430" s="317"/>
      <c r="V4430" s="317"/>
      <c r="W4430" s="317"/>
      <c r="X4430" s="317"/>
      <c r="Y4430" s="317"/>
      <c r="Z4430" s="317"/>
    </row>
    <row r="4431" spans="1:26" x14ac:dyDescent="0.25">
      <c r="A4431" s="314"/>
      <c r="B4431" s="18">
        <v>2023</v>
      </c>
      <c r="C4431" s="18" t="s">
        <v>778</v>
      </c>
      <c r="D4431" s="18" t="s">
        <v>1838</v>
      </c>
      <c r="E4431" s="18" t="s">
        <v>713</v>
      </c>
      <c r="F4431" s="18" t="s">
        <v>714</v>
      </c>
      <c r="G4431" s="18" t="s">
        <v>678</v>
      </c>
      <c r="H4431" s="18" t="s">
        <v>1745</v>
      </c>
      <c r="I4431" s="315">
        <v>0.13098853837764457</v>
      </c>
      <c r="J4431" s="315">
        <v>9.4793395939404111E-7</v>
      </c>
      <c r="K4431" s="316" t="str">
        <f t="shared" si="64"/>
        <v>Agricultural Equipment</v>
      </c>
      <c r="L4431" s="316" t="str">
        <f t="shared" si="65"/>
        <v>Diesel</v>
      </c>
      <c r="M4431" s="194"/>
      <c r="N4431" s="317"/>
      <c r="O4431" s="317"/>
      <c r="P4431" s="317"/>
      <c r="Q4431" s="317"/>
      <c r="R4431" s="317"/>
      <c r="S4431" s="317"/>
      <c r="T4431" s="317"/>
      <c r="U4431" s="317"/>
      <c r="V4431" s="317"/>
      <c r="W4431" s="317"/>
      <c r="X4431" s="317"/>
      <c r="Y4431" s="317"/>
      <c r="Z4431" s="317"/>
    </row>
    <row r="4432" spans="1:26" x14ac:dyDescent="0.25">
      <c r="A4432" s="314"/>
      <c r="B4432" s="18">
        <v>2023</v>
      </c>
      <c r="C4432" s="18" t="s">
        <v>753</v>
      </c>
      <c r="D4432" s="18" t="s">
        <v>1715</v>
      </c>
      <c r="E4432" s="18" t="s">
        <v>703</v>
      </c>
      <c r="F4432" s="18" t="s">
        <v>805</v>
      </c>
      <c r="G4432" s="18" t="s">
        <v>677</v>
      </c>
      <c r="H4432" s="18" t="s">
        <v>1031</v>
      </c>
      <c r="I4432" s="315">
        <v>0.13084020062239884</v>
      </c>
      <c r="J4432" s="315">
        <v>2.9234979393585973E-4</v>
      </c>
      <c r="K4432" s="316" t="str">
        <f t="shared" si="64"/>
        <v>Commercial Equipment</v>
      </c>
      <c r="L4432" s="316" t="str">
        <f t="shared" si="65"/>
        <v>Gasoline</v>
      </c>
      <c r="M4432" s="194"/>
      <c r="N4432" s="317"/>
      <c r="O4432" s="317"/>
      <c r="P4432" s="317"/>
      <c r="Q4432" s="317"/>
      <c r="R4432" s="317"/>
      <c r="S4432" s="317"/>
      <c r="T4432" s="317"/>
      <c r="U4432" s="317"/>
      <c r="V4432" s="317"/>
      <c r="W4432" s="317"/>
      <c r="X4432" s="317"/>
      <c r="Y4432" s="317"/>
      <c r="Z4432" s="317"/>
    </row>
    <row r="4433" spans="1:26" x14ac:dyDescent="0.25">
      <c r="A4433" s="314"/>
      <c r="B4433" s="18">
        <v>2023</v>
      </c>
      <c r="C4433" s="18" t="s">
        <v>762</v>
      </c>
      <c r="D4433" s="18" t="s">
        <v>1663</v>
      </c>
      <c r="E4433" s="18" t="s">
        <v>713</v>
      </c>
      <c r="F4433" s="18" t="s">
        <v>714</v>
      </c>
      <c r="G4433" s="18" t="s">
        <v>674</v>
      </c>
      <c r="H4433" s="18" t="s">
        <v>1082</v>
      </c>
      <c r="I4433" s="315">
        <v>0.13079497639012344</v>
      </c>
      <c r="J4433" s="315">
        <v>1.5528104040775396E-5</v>
      </c>
      <c r="K4433" s="316" t="str">
        <f t="shared" si="64"/>
        <v>Construction and Mining Equipment</v>
      </c>
      <c r="L4433" s="316" t="str">
        <f t="shared" si="65"/>
        <v>Diesel</v>
      </c>
      <c r="M4433" s="194"/>
      <c r="N4433" s="317"/>
      <c r="O4433" s="317"/>
      <c r="P4433" s="317"/>
      <c r="Q4433" s="317"/>
      <c r="R4433" s="317"/>
      <c r="S4433" s="317"/>
      <c r="T4433" s="317"/>
      <c r="U4433" s="317"/>
      <c r="V4433" s="317"/>
      <c r="W4433" s="317"/>
      <c r="X4433" s="317"/>
      <c r="Y4433" s="317"/>
      <c r="Z4433" s="317"/>
    </row>
    <row r="4434" spans="1:26" x14ac:dyDescent="0.25">
      <c r="A4434" s="314"/>
      <c r="B4434" s="18">
        <v>2023</v>
      </c>
      <c r="C4434" s="18" t="s">
        <v>743</v>
      </c>
      <c r="D4434" s="18" t="s">
        <v>1825</v>
      </c>
      <c r="E4434" s="18" t="s">
        <v>56</v>
      </c>
      <c r="F4434" s="18" t="s">
        <v>601</v>
      </c>
      <c r="G4434" s="18" t="s">
        <v>674</v>
      </c>
      <c r="H4434" s="18" t="s">
        <v>859</v>
      </c>
      <c r="I4434" s="315">
        <v>0.13074326642425324</v>
      </c>
      <c r="J4434" s="315">
        <v>2.8091856017699529E-3</v>
      </c>
      <c r="K4434" s="316" t="str">
        <f t="shared" si="64"/>
        <v>Construction and Mining Equipment</v>
      </c>
      <c r="L4434" s="316" t="str">
        <f t="shared" si="65"/>
        <v>CNG</v>
      </c>
      <c r="M4434" s="194"/>
      <c r="N4434" s="317"/>
      <c r="O4434" s="317"/>
      <c r="P4434" s="317"/>
      <c r="Q4434" s="317"/>
      <c r="R4434" s="317"/>
      <c r="S4434" s="317"/>
      <c r="T4434" s="317"/>
      <c r="U4434" s="317"/>
      <c r="V4434" s="317"/>
      <c r="W4434" s="317"/>
      <c r="X4434" s="317"/>
      <c r="Y4434" s="317"/>
      <c r="Z4434" s="317"/>
    </row>
    <row r="4435" spans="1:26" x14ac:dyDescent="0.25">
      <c r="A4435" s="314"/>
      <c r="B4435" s="18">
        <v>2023</v>
      </c>
      <c r="C4435" s="18" t="s">
        <v>760</v>
      </c>
      <c r="D4435" s="18" t="s">
        <v>1792</v>
      </c>
      <c r="E4435" s="18" t="s">
        <v>713</v>
      </c>
      <c r="F4435" s="18" t="s">
        <v>714</v>
      </c>
      <c r="G4435" s="18" t="s">
        <v>673</v>
      </c>
      <c r="H4435" s="18" t="s">
        <v>749</v>
      </c>
      <c r="I4435" s="315">
        <v>0.13072629922153095</v>
      </c>
      <c r="J4435" s="315">
        <v>6.7504472305636303E-6</v>
      </c>
      <c r="K4435" s="316" t="str">
        <f t="shared" si="64"/>
        <v>Lawn and Garden Equipment</v>
      </c>
      <c r="L4435" s="316" t="str">
        <f t="shared" si="65"/>
        <v>Diesel</v>
      </c>
      <c r="M4435" s="194"/>
      <c r="N4435" s="317"/>
      <c r="O4435" s="317"/>
      <c r="P4435" s="317"/>
      <c r="Q4435" s="317"/>
      <c r="R4435" s="317"/>
      <c r="S4435" s="317"/>
      <c r="T4435" s="317"/>
      <c r="U4435" s="317"/>
      <c r="V4435" s="317"/>
      <c r="W4435" s="317"/>
      <c r="X4435" s="317"/>
      <c r="Y4435" s="317"/>
      <c r="Z4435" s="317"/>
    </row>
    <row r="4436" spans="1:26" x14ac:dyDescent="0.25">
      <c r="A4436" s="314"/>
      <c r="B4436" s="18">
        <v>2023</v>
      </c>
      <c r="C4436" s="18" t="s">
        <v>810</v>
      </c>
      <c r="D4436" s="18" t="s">
        <v>1656</v>
      </c>
      <c r="E4436" s="18" t="s">
        <v>56</v>
      </c>
      <c r="F4436" s="18" t="s">
        <v>672</v>
      </c>
      <c r="G4436" s="18" t="s">
        <v>677</v>
      </c>
      <c r="H4436" s="18" t="s">
        <v>1031</v>
      </c>
      <c r="I4436" s="315">
        <v>0.13022086096727103</v>
      </c>
      <c r="J4436" s="315">
        <v>6.5758095824797536E-6</v>
      </c>
      <c r="K4436" s="316" t="str">
        <f t="shared" si="64"/>
        <v>Commercial Equipment</v>
      </c>
      <c r="L4436" s="316" t="str">
        <f t="shared" si="65"/>
        <v>LPG</v>
      </c>
      <c r="M4436" s="194"/>
      <c r="N4436" s="317"/>
      <c r="O4436" s="317"/>
      <c r="P4436" s="317"/>
      <c r="Q4436" s="317"/>
      <c r="R4436" s="317"/>
      <c r="S4436" s="317"/>
      <c r="T4436" s="317"/>
      <c r="U4436" s="317"/>
      <c r="V4436" s="317"/>
      <c r="W4436" s="317"/>
      <c r="X4436" s="317"/>
      <c r="Y4436" s="317"/>
      <c r="Z4436" s="317"/>
    </row>
    <row r="4437" spans="1:26" x14ac:dyDescent="0.25">
      <c r="A4437" s="314"/>
      <c r="B4437" s="18">
        <v>2023</v>
      </c>
      <c r="C4437" s="18" t="s">
        <v>781</v>
      </c>
      <c r="D4437" s="18" t="s">
        <v>1564</v>
      </c>
      <c r="E4437" s="18" t="s">
        <v>703</v>
      </c>
      <c r="F4437" s="18" t="s">
        <v>704</v>
      </c>
      <c r="G4437" s="18" t="s">
        <v>674</v>
      </c>
      <c r="H4437" s="18" t="s">
        <v>981</v>
      </c>
      <c r="I4437" s="315">
        <v>0.12785999887028851</v>
      </c>
      <c r="J4437" s="315">
        <v>9.4364910043809129E-5</v>
      </c>
      <c r="K4437" s="316" t="str">
        <f t="shared" si="64"/>
        <v>Construction and Mining Equipment</v>
      </c>
      <c r="L4437" s="316" t="str">
        <f t="shared" si="65"/>
        <v>Gasoline</v>
      </c>
      <c r="M4437" s="194"/>
      <c r="N4437" s="317"/>
      <c r="O4437" s="317"/>
      <c r="P4437" s="317"/>
      <c r="Q4437" s="317"/>
      <c r="R4437" s="317"/>
      <c r="S4437" s="317"/>
      <c r="T4437" s="317"/>
      <c r="U4437" s="317"/>
      <c r="V4437" s="317"/>
      <c r="W4437" s="317"/>
      <c r="X4437" s="317"/>
      <c r="Y4437" s="317"/>
      <c r="Z4437" s="317"/>
    </row>
    <row r="4438" spans="1:26" x14ac:dyDescent="0.25">
      <c r="A4438" s="314"/>
      <c r="B4438" s="18">
        <v>2023</v>
      </c>
      <c r="C4438" s="18" t="s">
        <v>781</v>
      </c>
      <c r="D4438" s="18" t="s">
        <v>1717</v>
      </c>
      <c r="E4438" s="18" t="s">
        <v>56</v>
      </c>
      <c r="F4438" s="18" t="s">
        <v>601</v>
      </c>
      <c r="G4438" s="18" t="s">
        <v>675</v>
      </c>
      <c r="H4438" s="18" t="s">
        <v>802</v>
      </c>
      <c r="I4438" s="315">
        <v>0.12726452693950399</v>
      </c>
      <c r="J4438" s="315">
        <v>5.07096803015123E-4</v>
      </c>
      <c r="K4438" s="316" t="str">
        <f t="shared" si="64"/>
        <v>Industrial Equipment</v>
      </c>
      <c r="L4438" s="316" t="str">
        <f t="shared" si="65"/>
        <v>CNG</v>
      </c>
      <c r="M4438" s="194"/>
      <c r="N4438" s="317"/>
      <c r="O4438" s="317"/>
      <c r="P4438" s="317"/>
      <c r="Q4438" s="317"/>
      <c r="R4438" s="317"/>
      <c r="S4438" s="317"/>
      <c r="T4438" s="317"/>
      <c r="U4438" s="317"/>
      <c r="V4438" s="317"/>
      <c r="W4438" s="317"/>
      <c r="X4438" s="317"/>
      <c r="Y4438" s="317"/>
      <c r="Z4438" s="317"/>
    </row>
    <row r="4439" spans="1:26" x14ac:dyDescent="0.25">
      <c r="A4439" s="314"/>
      <c r="B4439" s="18">
        <v>2023</v>
      </c>
      <c r="C4439" s="18" t="s">
        <v>792</v>
      </c>
      <c r="D4439" s="18" t="s">
        <v>1715</v>
      </c>
      <c r="E4439" s="18" t="s">
        <v>703</v>
      </c>
      <c r="F4439" s="18" t="s">
        <v>805</v>
      </c>
      <c r="G4439" s="18" t="s">
        <v>677</v>
      </c>
      <c r="H4439" s="18" t="s">
        <v>1031</v>
      </c>
      <c r="I4439" s="315">
        <v>0.12693452566976388</v>
      </c>
      <c r="J4439" s="315">
        <v>2.8362307640174885E-4</v>
      </c>
      <c r="K4439" s="316" t="str">
        <f t="shared" si="64"/>
        <v>Commercial Equipment</v>
      </c>
      <c r="L4439" s="316" t="str">
        <f t="shared" si="65"/>
        <v>Gasoline</v>
      </c>
      <c r="M4439" s="194"/>
      <c r="N4439" s="317"/>
      <c r="O4439" s="317"/>
      <c r="P4439" s="317"/>
      <c r="Q4439" s="317"/>
      <c r="R4439" s="317"/>
      <c r="S4439" s="317"/>
      <c r="T4439" s="317"/>
      <c r="U4439" s="317"/>
      <c r="V4439" s="317"/>
      <c r="W4439" s="317"/>
      <c r="X4439" s="317"/>
      <c r="Y4439" s="317"/>
      <c r="Z4439" s="317"/>
    </row>
    <row r="4440" spans="1:26" x14ac:dyDescent="0.25">
      <c r="A4440" s="314"/>
      <c r="B4440" s="18">
        <v>2023</v>
      </c>
      <c r="C4440" s="18" t="s">
        <v>787</v>
      </c>
      <c r="D4440" s="18" t="s">
        <v>1715</v>
      </c>
      <c r="E4440" s="18" t="s">
        <v>703</v>
      </c>
      <c r="F4440" s="18" t="s">
        <v>805</v>
      </c>
      <c r="G4440" s="18" t="s">
        <v>677</v>
      </c>
      <c r="H4440" s="18" t="s">
        <v>1031</v>
      </c>
      <c r="I4440" s="315">
        <v>0.12498161234394602</v>
      </c>
      <c r="J4440" s="315">
        <v>2.792595252402523E-4</v>
      </c>
      <c r="K4440" s="316" t="str">
        <f t="shared" si="64"/>
        <v>Commercial Equipment</v>
      </c>
      <c r="L4440" s="316" t="str">
        <f t="shared" si="65"/>
        <v>Gasoline</v>
      </c>
      <c r="M4440" s="194"/>
      <c r="N4440" s="317"/>
      <c r="O4440" s="317"/>
      <c r="P4440" s="317"/>
      <c r="Q4440" s="317"/>
      <c r="R4440" s="317"/>
      <c r="S4440" s="317"/>
      <c r="T4440" s="317"/>
      <c r="U4440" s="317"/>
      <c r="V4440" s="317"/>
      <c r="W4440" s="317"/>
      <c r="X4440" s="317"/>
      <c r="Y4440" s="317"/>
      <c r="Z4440" s="317"/>
    </row>
    <row r="4441" spans="1:26" x14ac:dyDescent="0.25">
      <c r="A4441" s="314"/>
      <c r="B4441" s="18">
        <v>2023</v>
      </c>
      <c r="C4441" s="18" t="s">
        <v>753</v>
      </c>
      <c r="D4441" s="18" t="s">
        <v>1840</v>
      </c>
      <c r="E4441" s="18" t="s">
        <v>703</v>
      </c>
      <c r="F4441" s="18" t="s">
        <v>704</v>
      </c>
      <c r="G4441" s="18" t="s">
        <v>681</v>
      </c>
      <c r="H4441" s="18" t="s">
        <v>895</v>
      </c>
      <c r="I4441" s="315">
        <v>0.12439419346201164</v>
      </c>
      <c r="J4441" s="315">
        <v>9.7274173758379962E-5</v>
      </c>
      <c r="K4441" s="316" t="str">
        <f t="shared" si="64"/>
        <v>Logging Equipment</v>
      </c>
      <c r="L4441" s="316" t="str">
        <f t="shared" si="65"/>
        <v>Gasoline</v>
      </c>
      <c r="M4441" s="194"/>
      <c r="N4441" s="317"/>
      <c r="O4441" s="317"/>
      <c r="P4441" s="317"/>
      <c r="Q4441" s="317"/>
      <c r="R4441" s="317"/>
      <c r="S4441" s="317"/>
      <c r="T4441" s="317"/>
      <c r="U4441" s="317"/>
      <c r="V4441" s="317"/>
      <c r="W4441" s="317"/>
      <c r="X4441" s="317"/>
      <c r="Y4441" s="317"/>
      <c r="Z4441" s="317"/>
    </row>
    <row r="4442" spans="1:26" x14ac:dyDescent="0.25">
      <c r="A4442" s="314"/>
      <c r="B4442" s="18">
        <v>2023</v>
      </c>
      <c r="C4442" s="18" t="s">
        <v>786</v>
      </c>
      <c r="D4442" s="18" t="s">
        <v>1655</v>
      </c>
      <c r="E4442" s="18" t="s">
        <v>56</v>
      </c>
      <c r="F4442" s="18" t="s">
        <v>672</v>
      </c>
      <c r="G4442" s="18" t="s">
        <v>677</v>
      </c>
      <c r="H4442" s="18" t="s">
        <v>789</v>
      </c>
      <c r="I4442" s="315">
        <v>0.12388418145512613</v>
      </c>
      <c r="J4442" s="315">
        <v>1.7485801749476216E-5</v>
      </c>
      <c r="K4442" s="316" t="str">
        <f t="shared" si="64"/>
        <v>Commercial Equipment</v>
      </c>
      <c r="L4442" s="316" t="str">
        <f t="shared" si="65"/>
        <v>LPG</v>
      </c>
      <c r="M4442" s="194"/>
      <c r="N4442" s="317"/>
      <c r="O4442" s="317"/>
      <c r="P4442" s="317"/>
      <c r="Q4442" s="317"/>
      <c r="R4442" s="317"/>
      <c r="S4442" s="317"/>
      <c r="T4442" s="317"/>
      <c r="U4442" s="317"/>
      <c r="V4442" s="317"/>
      <c r="W4442" s="317"/>
      <c r="X4442" s="317"/>
      <c r="Y4442" s="317"/>
      <c r="Z4442" s="317"/>
    </row>
    <row r="4443" spans="1:26" x14ac:dyDescent="0.25">
      <c r="A4443" s="314"/>
      <c r="B4443" s="18">
        <v>2023</v>
      </c>
      <c r="C4443" s="18" t="s">
        <v>781</v>
      </c>
      <c r="D4443" s="18" t="s">
        <v>1580</v>
      </c>
      <c r="E4443" s="18" t="s">
        <v>56</v>
      </c>
      <c r="F4443" s="18" t="s">
        <v>672</v>
      </c>
      <c r="G4443" s="18" t="s">
        <v>674</v>
      </c>
      <c r="H4443" s="18" t="s">
        <v>736</v>
      </c>
      <c r="I4443" s="315">
        <v>0.1221837428837964</v>
      </c>
      <c r="J4443" s="315">
        <v>5.612849502753075E-6</v>
      </c>
      <c r="K4443" s="316" t="str">
        <f t="shared" si="64"/>
        <v>Construction and Mining Equipment</v>
      </c>
      <c r="L4443" s="316" t="str">
        <f t="shared" si="65"/>
        <v>LPG</v>
      </c>
      <c r="M4443" s="194"/>
      <c r="N4443" s="317"/>
      <c r="O4443" s="317"/>
      <c r="P4443" s="317"/>
      <c r="Q4443" s="317"/>
      <c r="R4443" s="317"/>
      <c r="S4443" s="317"/>
      <c r="T4443" s="317"/>
      <c r="U4443" s="317"/>
      <c r="V4443" s="317"/>
      <c r="W4443" s="317"/>
      <c r="X4443" s="317"/>
      <c r="Y4443" s="317"/>
      <c r="Z4443" s="317"/>
    </row>
    <row r="4444" spans="1:26" x14ac:dyDescent="0.25">
      <c r="A4444" s="314"/>
      <c r="B4444" s="18">
        <v>2023</v>
      </c>
      <c r="C4444" s="18" t="s">
        <v>709</v>
      </c>
      <c r="D4444" s="18" t="s">
        <v>1830</v>
      </c>
      <c r="E4444" s="18" t="s">
        <v>703</v>
      </c>
      <c r="F4444" s="18" t="s">
        <v>805</v>
      </c>
      <c r="G4444" s="18" t="s">
        <v>678</v>
      </c>
      <c r="H4444" s="18" t="s">
        <v>1222</v>
      </c>
      <c r="I4444" s="315">
        <v>0.12138222419996268</v>
      </c>
      <c r="J4444" s="315">
        <v>1.9941068308195527E-4</v>
      </c>
      <c r="K4444" s="316" t="str">
        <f t="shared" si="64"/>
        <v>Agricultural Equipment</v>
      </c>
      <c r="L4444" s="316" t="str">
        <f t="shared" si="65"/>
        <v>Gasoline</v>
      </c>
      <c r="M4444" s="194"/>
      <c r="N4444" s="317"/>
      <c r="O4444" s="317"/>
      <c r="P4444" s="317"/>
      <c r="Q4444" s="317"/>
      <c r="R4444" s="317"/>
      <c r="S4444" s="317"/>
      <c r="T4444" s="317"/>
      <c r="U4444" s="317"/>
      <c r="V4444" s="317"/>
      <c r="W4444" s="317"/>
      <c r="X4444" s="317"/>
      <c r="Y4444" s="317"/>
      <c r="Z4444" s="317"/>
    </row>
    <row r="4445" spans="1:26" x14ac:dyDescent="0.25">
      <c r="A4445" s="314"/>
      <c r="B4445" s="18">
        <v>2023</v>
      </c>
      <c r="C4445" s="18" t="s">
        <v>732</v>
      </c>
      <c r="D4445" s="18" t="s">
        <v>991</v>
      </c>
      <c r="E4445" s="18" t="s">
        <v>703</v>
      </c>
      <c r="F4445" s="18" t="s">
        <v>795</v>
      </c>
      <c r="G4445" s="18" t="s">
        <v>680</v>
      </c>
      <c r="H4445" s="18" t="s">
        <v>992</v>
      </c>
      <c r="I4445" s="315">
        <v>0.12124366732146956</v>
      </c>
      <c r="J4445" s="315">
        <v>3.4998507922489881E-5</v>
      </c>
      <c r="K4445" s="316" t="str">
        <f t="shared" si="64"/>
        <v>Airport Ground Support Equipment</v>
      </c>
      <c r="L4445" s="316" t="str">
        <f t="shared" si="65"/>
        <v>Gasoline</v>
      </c>
      <c r="M4445" s="194"/>
      <c r="N4445" s="317"/>
      <c r="O4445" s="317"/>
      <c r="P4445" s="317"/>
      <c r="Q4445" s="317"/>
      <c r="R4445" s="317"/>
      <c r="S4445" s="317"/>
      <c r="T4445" s="317"/>
      <c r="U4445" s="317"/>
      <c r="V4445" s="317"/>
      <c r="W4445" s="317"/>
      <c r="X4445" s="317"/>
      <c r="Y4445" s="317"/>
      <c r="Z4445" s="317"/>
    </row>
    <row r="4446" spans="1:26" x14ac:dyDescent="0.25">
      <c r="A4446" s="314"/>
      <c r="B4446" s="18">
        <v>2023</v>
      </c>
      <c r="C4446" s="18" t="s">
        <v>754</v>
      </c>
      <c r="D4446" s="18" t="s">
        <v>1844</v>
      </c>
      <c r="E4446" s="18" t="s">
        <v>56</v>
      </c>
      <c r="F4446" s="18" t="s">
        <v>601</v>
      </c>
      <c r="G4446" s="18" t="s">
        <v>678</v>
      </c>
      <c r="H4446" s="18" t="s">
        <v>1080</v>
      </c>
      <c r="I4446" s="315">
        <v>0.12106505354727</v>
      </c>
      <c r="J4446" s="315">
        <v>4.7680482771101339E-3</v>
      </c>
      <c r="K4446" s="316" t="str">
        <f t="shared" si="64"/>
        <v>Agricultural Equipment</v>
      </c>
      <c r="L4446" s="316" t="str">
        <f t="shared" si="65"/>
        <v>CNG</v>
      </c>
      <c r="M4446" s="194"/>
      <c r="N4446" s="317"/>
      <c r="O4446" s="317"/>
      <c r="P4446" s="317"/>
      <c r="Q4446" s="317"/>
      <c r="R4446" s="317"/>
      <c r="S4446" s="317"/>
      <c r="T4446" s="317"/>
      <c r="U4446" s="317"/>
      <c r="V4446" s="317"/>
      <c r="W4446" s="317"/>
      <c r="X4446" s="317"/>
      <c r="Y4446" s="317"/>
      <c r="Z4446" s="317"/>
    </row>
    <row r="4447" spans="1:26" x14ac:dyDescent="0.25">
      <c r="A4447" s="314"/>
      <c r="B4447" s="18">
        <v>2023</v>
      </c>
      <c r="C4447" s="18" t="s">
        <v>762</v>
      </c>
      <c r="D4447" s="18" t="s">
        <v>1679</v>
      </c>
      <c r="E4447" s="18" t="s">
        <v>56</v>
      </c>
      <c r="F4447" s="18" t="s">
        <v>672</v>
      </c>
      <c r="G4447" s="18" t="s">
        <v>674</v>
      </c>
      <c r="H4447" s="18" t="s">
        <v>959</v>
      </c>
      <c r="I4447" s="315">
        <v>0.12078734391041902</v>
      </c>
      <c r="J4447" s="315">
        <v>2.0517446068388471E-5</v>
      </c>
      <c r="K4447" s="316" t="str">
        <f t="shared" si="64"/>
        <v>Construction and Mining Equipment</v>
      </c>
      <c r="L4447" s="316" t="str">
        <f t="shared" si="65"/>
        <v>LPG</v>
      </c>
      <c r="M4447" s="194"/>
      <c r="N4447" s="317"/>
      <c r="O4447" s="317"/>
      <c r="P4447" s="317"/>
      <c r="Q4447" s="317"/>
      <c r="R4447" s="317"/>
      <c r="S4447" s="317"/>
      <c r="T4447" s="317"/>
      <c r="U4447" s="317"/>
      <c r="V4447" s="317"/>
      <c r="W4447" s="317"/>
      <c r="X4447" s="317"/>
      <c r="Y4447" s="317"/>
      <c r="Z4447" s="317"/>
    </row>
    <row r="4448" spans="1:26" x14ac:dyDescent="0.25">
      <c r="A4448" s="314"/>
      <c r="B4448" s="18">
        <v>2023</v>
      </c>
      <c r="C4448" s="18" t="s">
        <v>781</v>
      </c>
      <c r="D4448" s="18" t="s">
        <v>1583</v>
      </c>
      <c r="E4448" s="18" t="s">
        <v>703</v>
      </c>
      <c r="F4448" s="18" t="s">
        <v>805</v>
      </c>
      <c r="G4448" s="18" t="s">
        <v>674</v>
      </c>
      <c r="H4448" s="18" t="s">
        <v>1036</v>
      </c>
      <c r="I4448" s="315">
        <v>0.12058208755979175</v>
      </c>
      <c r="J4448" s="315">
        <v>2.4956162397047504E-4</v>
      </c>
      <c r="K4448" s="316" t="str">
        <f t="shared" si="64"/>
        <v>Construction and Mining Equipment</v>
      </c>
      <c r="L4448" s="316" t="str">
        <f t="shared" si="65"/>
        <v>Gasoline</v>
      </c>
      <c r="M4448" s="194"/>
      <c r="N4448" s="317"/>
      <c r="O4448" s="317"/>
      <c r="P4448" s="317"/>
      <c r="Q4448" s="317"/>
      <c r="R4448" s="317"/>
      <c r="S4448" s="317"/>
      <c r="T4448" s="317"/>
      <c r="U4448" s="317"/>
      <c r="V4448" s="317"/>
      <c r="W4448" s="317"/>
      <c r="X4448" s="317"/>
      <c r="Y4448" s="317"/>
      <c r="Z4448" s="317"/>
    </row>
    <row r="4449" spans="1:26" x14ac:dyDescent="0.25">
      <c r="A4449" s="314"/>
      <c r="B4449" s="18">
        <v>2023</v>
      </c>
      <c r="C4449" s="18" t="s">
        <v>754</v>
      </c>
      <c r="D4449" s="18" t="s">
        <v>1825</v>
      </c>
      <c r="E4449" s="18" t="s">
        <v>56</v>
      </c>
      <c r="F4449" s="18" t="s">
        <v>601</v>
      </c>
      <c r="G4449" s="18" t="s">
        <v>674</v>
      </c>
      <c r="H4449" s="18" t="s">
        <v>859</v>
      </c>
      <c r="I4449" s="315">
        <v>0.11989766844464396</v>
      </c>
      <c r="J4449" s="315">
        <v>2.576154724049067E-3</v>
      </c>
      <c r="K4449" s="316" t="str">
        <f t="shared" si="64"/>
        <v>Construction and Mining Equipment</v>
      </c>
      <c r="L4449" s="316" t="str">
        <f t="shared" si="65"/>
        <v>CNG</v>
      </c>
      <c r="M4449" s="194"/>
      <c r="N4449" s="317"/>
      <c r="O4449" s="317"/>
      <c r="P4449" s="317"/>
      <c r="Q4449" s="317"/>
      <c r="R4449" s="317"/>
      <c r="S4449" s="317"/>
      <c r="T4449" s="317"/>
      <c r="U4449" s="317"/>
      <c r="V4449" s="317"/>
      <c r="W4449" s="317"/>
      <c r="X4449" s="317"/>
      <c r="Y4449" s="317"/>
      <c r="Z4449" s="317"/>
    </row>
    <row r="4450" spans="1:26" x14ac:dyDescent="0.25">
      <c r="A4450" s="314"/>
      <c r="B4450" s="18">
        <v>2023</v>
      </c>
      <c r="C4450" s="18" t="s">
        <v>722</v>
      </c>
      <c r="D4450" s="18" t="s">
        <v>1838</v>
      </c>
      <c r="E4450" s="18" t="s">
        <v>713</v>
      </c>
      <c r="F4450" s="18" t="s">
        <v>714</v>
      </c>
      <c r="G4450" s="18" t="s">
        <v>678</v>
      </c>
      <c r="H4450" s="18" t="s">
        <v>1745</v>
      </c>
      <c r="I4450" s="315">
        <v>0.11841799319973448</v>
      </c>
      <c r="J4450" s="315">
        <v>8.5696351320524837E-7</v>
      </c>
      <c r="K4450" s="316" t="str">
        <f t="shared" si="64"/>
        <v>Agricultural Equipment</v>
      </c>
      <c r="L4450" s="316" t="str">
        <f t="shared" si="65"/>
        <v>Diesel</v>
      </c>
      <c r="M4450" s="194"/>
      <c r="N4450" s="317"/>
      <c r="O4450" s="317"/>
      <c r="P4450" s="317"/>
      <c r="Q4450" s="317"/>
      <c r="R4450" s="317"/>
      <c r="S4450" s="317"/>
      <c r="T4450" s="317"/>
      <c r="U4450" s="317"/>
      <c r="V4450" s="317"/>
      <c r="W4450" s="317"/>
      <c r="X4450" s="317"/>
      <c r="Y4450" s="317"/>
      <c r="Z4450" s="317"/>
    </row>
    <row r="4451" spans="1:26" x14ac:dyDescent="0.25">
      <c r="A4451" s="314"/>
      <c r="B4451" s="18">
        <v>2023</v>
      </c>
      <c r="C4451" s="18" t="s">
        <v>781</v>
      </c>
      <c r="D4451" s="18" t="s">
        <v>1842</v>
      </c>
      <c r="E4451" s="18" t="s">
        <v>713</v>
      </c>
      <c r="F4451" s="18" t="s">
        <v>714</v>
      </c>
      <c r="G4451" s="18" t="s">
        <v>678</v>
      </c>
      <c r="H4451" s="18" t="s">
        <v>1709</v>
      </c>
      <c r="I4451" s="315">
        <v>0.11672763225928419</v>
      </c>
      <c r="J4451" s="315">
        <v>1.4443137849230595E-5</v>
      </c>
      <c r="K4451" s="316" t="str">
        <f t="shared" si="64"/>
        <v>Agricultural Equipment</v>
      </c>
      <c r="L4451" s="316" t="str">
        <f t="shared" si="65"/>
        <v>Diesel</v>
      </c>
      <c r="M4451" s="194"/>
      <c r="N4451" s="317"/>
      <c r="O4451" s="317"/>
      <c r="P4451" s="317"/>
      <c r="Q4451" s="317"/>
      <c r="R4451" s="317"/>
      <c r="S4451" s="317"/>
      <c r="T4451" s="317"/>
      <c r="U4451" s="317"/>
      <c r="V4451" s="317"/>
      <c r="W4451" s="317"/>
      <c r="X4451" s="317"/>
      <c r="Y4451" s="317"/>
      <c r="Z4451" s="317"/>
    </row>
    <row r="4452" spans="1:26" x14ac:dyDescent="0.25">
      <c r="A4452" s="314"/>
      <c r="B4452" s="18">
        <v>2023</v>
      </c>
      <c r="C4452" s="18" t="s">
        <v>781</v>
      </c>
      <c r="D4452" s="18" t="s">
        <v>1843</v>
      </c>
      <c r="E4452" s="18" t="s">
        <v>56</v>
      </c>
      <c r="F4452" s="18" t="s">
        <v>672</v>
      </c>
      <c r="G4452" s="18" t="s">
        <v>678</v>
      </c>
      <c r="H4452" s="18" t="s">
        <v>1154</v>
      </c>
      <c r="I4452" s="315">
        <v>0.11652948285293971</v>
      </c>
      <c r="J4452" s="315">
        <v>5.34782765418072E-6</v>
      </c>
      <c r="K4452" s="316" t="str">
        <f t="shared" si="64"/>
        <v>Agricultural Equipment</v>
      </c>
      <c r="L4452" s="316" t="str">
        <f t="shared" si="65"/>
        <v>LPG</v>
      </c>
      <c r="M4452" s="194"/>
      <c r="N4452" s="317"/>
      <c r="O4452" s="317"/>
      <c r="P4452" s="317"/>
      <c r="Q4452" s="317"/>
      <c r="R4452" s="317"/>
      <c r="S4452" s="317"/>
      <c r="T4452" s="317"/>
      <c r="U4452" s="317"/>
      <c r="V4452" s="317"/>
      <c r="W4452" s="317"/>
      <c r="X4452" s="317"/>
      <c r="Y4452" s="317"/>
      <c r="Z4452" s="317"/>
    </row>
    <row r="4453" spans="1:26" x14ac:dyDescent="0.25">
      <c r="A4453" s="314"/>
      <c r="B4453" s="18">
        <v>2023</v>
      </c>
      <c r="C4453" s="18" t="s">
        <v>750</v>
      </c>
      <c r="D4453" s="18" t="s">
        <v>1617</v>
      </c>
      <c r="E4453" s="18" t="s">
        <v>703</v>
      </c>
      <c r="F4453" s="18" t="s">
        <v>805</v>
      </c>
      <c r="G4453" s="18" t="s">
        <v>675</v>
      </c>
      <c r="H4453" s="18" t="s">
        <v>802</v>
      </c>
      <c r="I4453" s="315">
        <v>0.11561800555040801</v>
      </c>
      <c r="J4453" s="315">
        <v>2.5833741025065878E-4</v>
      </c>
      <c r="K4453" s="316" t="str">
        <f t="shared" si="64"/>
        <v>Industrial Equipment</v>
      </c>
      <c r="L4453" s="316" t="str">
        <f t="shared" si="65"/>
        <v>Gasoline</v>
      </c>
      <c r="M4453" s="194"/>
      <c r="N4453" s="317"/>
      <c r="O4453" s="317"/>
      <c r="P4453" s="317"/>
      <c r="Q4453" s="317"/>
      <c r="R4453" s="317"/>
      <c r="S4453" s="317"/>
      <c r="T4453" s="317"/>
      <c r="U4453" s="317"/>
      <c r="V4453" s="317"/>
      <c r="W4453" s="317"/>
      <c r="X4453" s="317"/>
      <c r="Y4453" s="317"/>
      <c r="Z4453" s="317"/>
    </row>
    <row r="4454" spans="1:26" x14ac:dyDescent="0.25">
      <c r="A4454" s="314"/>
      <c r="B4454" s="18">
        <v>2023</v>
      </c>
      <c r="C4454" s="18" t="s">
        <v>754</v>
      </c>
      <c r="D4454" s="18" t="s">
        <v>1845</v>
      </c>
      <c r="E4454" s="18" t="s">
        <v>713</v>
      </c>
      <c r="F4454" s="18" t="s">
        <v>714</v>
      </c>
      <c r="G4454" s="18" t="s">
        <v>678</v>
      </c>
      <c r="H4454" s="18" t="s">
        <v>1279</v>
      </c>
      <c r="I4454" s="315">
        <v>0.11558614774264413</v>
      </c>
      <c r="J4454" s="315">
        <v>6.7391598324451996E-7</v>
      </c>
      <c r="K4454" s="316" t="str">
        <f t="shared" si="64"/>
        <v>Agricultural Equipment</v>
      </c>
      <c r="L4454" s="316" t="str">
        <f t="shared" si="65"/>
        <v>Diesel</v>
      </c>
      <c r="M4454" s="194"/>
      <c r="N4454" s="317"/>
      <c r="O4454" s="317"/>
      <c r="P4454" s="317"/>
      <c r="Q4454" s="317"/>
      <c r="R4454" s="317"/>
      <c r="S4454" s="317"/>
      <c r="T4454" s="317"/>
      <c r="U4454" s="317"/>
      <c r="V4454" s="317"/>
      <c r="W4454" s="317"/>
      <c r="X4454" s="317"/>
      <c r="Y4454" s="317"/>
      <c r="Z4454" s="317"/>
    </row>
    <row r="4455" spans="1:26" x14ac:dyDescent="0.25">
      <c r="A4455" s="314"/>
      <c r="B4455" s="18">
        <v>2023</v>
      </c>
      <c r="C4455" s="18" t="s">
        <v>786</v>
      </c>
      <c r="D4455" s="18" t="s">
        <v>1842</v>
      </c>
      <c r="E4455" s="18" t="s">
        <v>713</v>
      </c>
      <c r="F4455" s="18" t="s">
        <v>714</v>
      </c>
      <c r="G4455" s="18" t="s">
        <v>678</v>
      </c>
      <c r="H4455" s="18" t="s">
        <v>1709</v>
      </c>
      <c r="I4455" s="315">
        <v>0.11551898306052137</v>
      </c>
      <c r="J4455" s="315">
        <v>1.4293583462666538E-5</v>
      </c>
      <c r="K4455" s="316" t="str">
        <f t="shared" si="64"/>
        <v>Agricultural Equipment</v>
      </c>
      <c r="L4455" s="316" t="str">
        <f t="shared" si="65"/>
        <v>Diesel</v>
      </c>
      <c r="M4455" s="194"/>
      <c r="N4455" s="317"/>
      <c r="O4455" s="317"/>
      <c r="P4455" s="317"/>
      <c r="Q4455" s="317"/>
      <c r="R4455" s="317"/>
      <c r="S4455" s="317"/>
      <c r="T4455" s="317"/>
      <c r="U4455" s="317"/>
      <c r="V4455" s="317"/>
      <c r="W4455" s="317"/>
      <c r="X4455" s="317"/>
      <c r="Y4455" s="317"/>
      <c r="Z4455" s="317"/>
    </row>
    <row r="4456" spans="1:26" x14ac:dyDescent="0.25">
      <c r="A4456" s="314"/>
      <c r="B4456" s="18">
        <v>2023</v>
      </c>
      <c r="C4456" s="18" t="s">
        <v>786</v>
      </c>
      <c r="D4456" s="18" t="s">
        <v>1656</v>
      </c>
      <c r="E4456" s="18" t="s">
        <v>56</v>
      </c>
      <c r="F4456" s="18" t="s">
        <v>672</v>
      </c>
      <c r="G4456" s="18" t="s">
        <v>677</v>
      </c>
      <c r="H4456" s="18" t="s">
        <v>1031</v>
      </c>
      <c r="I4456" s="315">
        <v>0.11533829967311948</v>
      </c>
      <c r="J4456" s="315">
        <v>5.8242951682655683E-6</v>
      </c>
      <c r="K4456" s="316" t="str">
        <f t="shared" si="64"/>
        <v>Commercial Equipment</v>
      </c>
      <c r="L4456" s="316" t="str">
        <f t="shared" si="65"/>
        <v>LPG</v>
      </c>
      <c r="M4456" s="194"/>
      <c r="N4456" s="317"/>
      <c r="O4456" s="317"/>
      <c r="P4456" s="317"/>
      <c r="Q4456" s="317"/>
      <c r="R4456" s="317"/>
      <c r="S4456" s="317"/>
      <c r="T4456" s="317"/>
      <c r="U4456" s="317"/>
      <c r="V4456" s="317"/>
      <c r="W4456" s="317"/>
      <c r="X4456" s="317"/>
      <c r="Y4456" s="317"/>
      <c r="Z4456" s="317"/>
    </row>
    <row r="4457" spans="1:26" x14ac:dyDescent="0.25">
      <c r="A4457" s="314"/>
      <c r="B4457" s="18">
        <v>2023</v>
      </c>
      <c r="C4457" s="18" t="s">
        <v>786</v>
      </c>
      <c r="D4457" s="18" t="s">
        <v>1843</v>
      </c>
      <c r="E4457" s="18" t="s">
        <v>56</v>
      </c>
      <c r="F4457" s="18" t="s">
        <v>672</v>
      </c>
      <c r="G4457" s="18" t="s">
        <v>678</v>
      </c>
      <c r="H4457" s="18" t="s">
        <v>1154</v>
      </c>
      <c r="I4457" s="315">
        <v>0.115322856453293</v>
      </c>
      <c r="J4457" s="315">
        <v>5.2924498301714353E-6</v>
      </c>
      <c r="K4457" s="316" t="str">
        <f t="shared" si="64"/>
        <v>Agricultural Equipment</v>
      </c>
      <c r="L4457" s="316" t="str">
        <f t="shared" si="65"/>
        <v>LPG</v>
      </c>
      <c r="M4457" s="194"/>
      <c r="N4457" s="317"/>
      <c r="O4457" s="317"/>
      <c r="P4457" s="317"/>
      <c r="Q4457" s="317"/>
      <c r="R4457" s="317"/>
      <c r="S4457" s="317"/>
      <c r="T4457" s="317"/>
      <c r="U4457" s="317"/>
      <c r="V4457" s="317"/>
      <c r="W4457" s="317"/>
      <c r="X4457" s="317"/>
      <c r="Y4457" s="317"/>
      <c r="Z4457" s="317"/>
    </row>
    <row r="4458" spans="1:26" x14ac:dyDescent="0.25">
      <c r="A4458" s="314"/>
      <c r="B4458" s="18">
        <v>2023</v>
      </c>
      <c r="C4458" s="18" t="s">
        <v>727</v>
      </c>
      <c r="D4458" s="18" t="s">
        <v>1842</v>
      </c>
      <c r="E4458" s="18" t="s">
        <v>713</v>
      </c>
      <c r="F4458" s="18" t="s">
        <v>714</v>
      </c>
      <c r="G4458" s="18" t="s">
        <v>678</v>
      </c>
      <c r="H4458" s="18" t="s">
        <v>1709</v>
      </c>
      <c r="I4458" s="315">
        <v>0.11333200772185803</v>
      </c>
      <c r="J4458" s="315">
        <v>1.4022991133605674E-5</v>
      </c>
      <c r="K4458" s="316" t="str">
        <f t="shared" si="64"/>
        <v>Agricultural Equipment</v>
      </c>
      <c r="L4458" s="316" t="str">
        <f t="shared" si="65"/>
        <v>Diesel</v>
      </c>
      <c r="M4458" s="194"/>
      <c r="N4458" s="317"/>
      <c r="O4458" s="317"/>
      <c r="P4458" s="317"/>
      <c r="Q4458" s="317"/>
      <c r="R4458" s="317"/>
      <c r="S4458" s="317"/>
      <c r="T4458" s="317"/>
      <c r="U4458" s="317"/>
      <c r="V4458" s="317"/>
      <c r="W4458" s="317"/>
      <c r="X4458" s="317"/>
      <c r="Y4458" s="317"/>
      <c r="Z4458" s="317"/>
    </row>
    <row r="4459" spans="1:26" x14ac:dyDescent="0.25">
      <c r="A4459" s="314"/>
      <c r="B4459" s="18">
        <v>2023</v>
      </c>
      <c r="C4459" s="18" t="s">
        <v>743</v>
      </c>
      <c r="D4459" s="18" t="s">
        <v>1833</v>
      </c>
      <c r="E4459" s="18" t="s">
        <v>703</v>
      </c>
      <c r="F4459" s="18" t="s">
        <v>704</v>
      </c>
      <c r="G4459" s="18" t="s">
        <v>674</v>
      </c>
      <c r="H4459" s="18" t="s">
        <v>1082</v>
      </c>
      <c r="I4459" s="315">
        <v>0.11330409119087982</v>
      </c>
      <c r="J4459" s="315">
        <v>7.3826541987467582E-5</v>
      </c>
      <c r="K4459" s="316" t="str">
        <f t="shared" si="64"/>
        <v>Construction and Mining Equipment</v>
      </c>
      <c r="L4459" s="316" t="str">
        <f t="shared" si="65"/>
        <v>Gasoline</v>
      </c>
      <c r="M4459" s="194"/>
      <c r="N4459" s="317"/>
      <c r="O4459" s="317"/>
      <c r="P4459" s="317"/>
      <c r="Q4459" s="317"/>
      <c r="R4459" s="317"/>
      <c r="S4459" s="317"/>
      <c r="T4459" s="317"/>
      <c r="U4459" s="317"/>
      <c r="V4459" s="317"/>
      <c r="W4459" s="317"/>
      <c r="X4459" s="317"/>
      <c r="Y4459" s="317"/>
      <c r="Z4459" s="317"/>
    </row>
    <row r="4460" spans="1:26" x14ac:dyDescent="0.25">
      <c r="A4460" s="314"/>
      <c r="B4460" s="18">
        <v>2023</v>
      </c>
      <c r="C4460" s="18" t="s">
        <v>727</v>
      </c>
      <c r="D4460" s="18" t="s">
        <v>1843</v>
      </c>
      <c r="E4460" s="18" t="s">
        <v>56</v>
      </c>
      <c r="F4460" s="18" t="s">
        <v>672</v>
      </c>
      <c r="G4460" s="18" t="s">
        <v>678</v>
      </c>
      <c r="H4460" s="18" t="s">
        <v>1154</v>
      </c>
      <c r="I4460" s="315">
        <v>0.11313966244223603</v>
      </c>
      <c r="J4460" s="315">
        <v>5.1922540847484655E-6</v>
      </c>
      <c r="K4460" s="316" t="str">
        <f t="shared" si="64"/>
        <v>Agricultural Equipment</v>
      </c>
      <c r="L4460" s="316" t="str">
        <f t="shared" si="65"/>
        <v>LPG</v>
      </c>
      <c r="M4460" s="194"/>
      <c r="N4460" s="317"/>
      <c r="O4460" s="317"/>
      <c r="P4460" s="317"/>
      <c r="Q4460" s="317"/>
      <c r="R4460" s="317"/>
      <c r="S4460" s="317"/>
      <c r="T4460" s="317"/>
      <c r="U4460" s="317"/>
      <c r="V4460" s="317"/>
      <c r="W4460" s="317"/>
      <c r="X4460" s="317"/>
      <c r="Y4460" s="317"/>
      <c r="Z4460" s="317"/>
    </row>
    <row r="4461" spans="1:26" x14ac:dyDescent="0.25">
      <c r="A4461" s="314"/>
      <c r="B4461" s="18">
        <v>2023</v>
      </c>
      <c r="C4461" s="18" t="s">
        <v>762</v>
      </c>
      <c r="D4461" s="18" t="s">
        <v>1685</v>
      </c>
      <c r="E4461" s="18" t="s">
        <v>56</v>
      </c>
      <c r="F4461" s="18" t="s">
        <v>672</v>
      </c>
      <c r="G4461" s="18" t="s">
        <v>674</v>
      </c>
      <c r="H4461" s="18" t="s">
        <v>1072</v>
      </c>
      <c r="I4461" s="315">
        <v>0.11308949975907767</v>
      </c>
      <c r="J4461" s="315">
        <v>7.8471284396193523E-6</v>
      </c>
      <c r="K4461" s="316" t="str">
        <f t="shared" si="64"/>
        <v>Construction and Mining Equipment</v>
      </c>
      <c r="L4461" s="316" t="str">
        <f t="shared" si="65"/>
        <v>LPG</v>
      </c>
      <c r="M4461" s="194"/>
      <c r="N4461" s="317"/>
      <c r="O4461" s="317"/>
      <c r="P4461" s="317"/>
      <c r="Q4461" s="317"/>
      <c r="R4461" s="317"/>
      <c r="S4461" s="317"/>
      <c r="T4461" s="317"/>
      <c r="U4461" s="317"/>
      <c r="V4461" s="317"/>
      <c r="W4461" s="317"/>
      <c r="X4461" s="317"/>
      <c r="Y4461" s="317"/>
      <c r="Z4461" s="317"/>
    </row>
    <row r="4462" spans="1:26" x14ac:dyDescent="0.25">
      <c r="A4462" s="314"/>
      <c r="B4462" s="18">
        <v>2023</v>
      </c>
      <c r="C4462" s="18" t="s">
        <v>754</v>
      </c>
      <c r="D4462" s="18" t="s">
        <v>991</v>
      </c>
      <c r="E4462" s="18" t="s">
        <v>703</v>
      </c>
      <c r="F4462" s="18" t="s">
        <v>795</v>
      </c>
      <c r="G4462" s="18" t="s">
        <v>680</v>
      </c>
      <c r="H4462" s="18" t="s">
        <v>992</v>
      </c>
      <c r="I4462" s="315">
        <v>0.11304198820055623</v>
      </c>
      <c r="J4462" s="315">
        <v>3.2615032944588205E-5</v>
      </c>
      <c r="K4462" s="316" t="str">
        <f t="shared" si="64"/>
        <v>Airport Ground Support Equipment</v>
      </c>
      <c r="L4462" s="316" t="str">
        <f t="shared" si="65"/>
        <v>Gasoline</v>
      </c>
      <c r="M4462" s="194"/>
      <c r="N4462" s="317"/>
      <c r="O4462" s="317"/>
      <c r="P4462" s="317"/>
      <c r="Q4462" s="317"/>
      <c r="R4462" s="317"/>
      <c r="S4462" s="317"/>
      <c r="T4462" s="317"/>
      <c r="U4462" s="317"/>
      <c r="V4462" s="317"/>
      <c r="W4462" s="317"/>
      <c r="X4462" s="317"/>
      <c r="Y4462" s="317"/>
      <c r="Z4462" s="317"/>
    </row>
    <row r="4463" spans="1:26" x14ac:dyDescent="0.25">
      <c r="A4463" s="314"/>
      <c r="B4463" s="18">
        <v>2023</v>
      </c>
      <c r="C4463" s="18" t="s">
        <v>706</v>
      </c>
      <c r="D4463" s="18" t="s">
        <v>1846</v>
      </c>
      <c r="E4463" s="18" t="s">
        <v>703</v>
      </c>
      <c r="F4463" s="18" t="s">
        <v>805</v>
      </c>
      <c r="G4463" s="18" t="s">
        <v>677</v>
      </c>
      <c r="H4463" s="18" t="s">
        <v>785</v>
      </c>
      <c r="I4463" s="315">
        <v>0.11284992814920011</v>
      </c>
      <c r="J4463" s="315">
        <v>2.5215263083894289E-4</v>
      </c>
      <c r="K4463" s="316" t="str">
        <f t="shared" si="64"/>
        <v>Commercial Equipment</v>
      </c>
      <c r="L4463" s="316" t="str">
        <f t="shared" si="65"/>
        <v>Gasoline</v>
      </c>
      <c r="M4463" s="194"/>
      <c r="N4463" s="317"/>
      <c r="O4463" s="317"/>
      <c r="P4463" s="317"/>
      <c r="Q4463" s="317"/>
      <c r="R4463" s="317"/>
      <c r="S4463" s="317"/>
      <c r="T4463" s="317"/>
      <c r="U4463" s="317"/>
      <c r="V4463" s="317"/>
      <c r="W4463" s="317"/>
      <c r="X4463" s="317"/>
      <c r="Y4463" s="317"/>
      <c r="Z4463" s="317"/>
    </row>
    <row r="4464" spans="1:26" x14ac:dyDescent="0.25">
      <c r="A4464" s="314"/>
      <c r="B4464" s="18">
        <v>2023</v>
      </c>
      <c r="C4464" s="18" t="s">
        <v>762</v>
      </c>
      <c r="D4464" s="18" t="s">
        <v>1840</v>
      </c>
      <c r="E4464" s="18" t="s">
        <v>703</v>
      </c>
      <c r="F4464" s="18" t="s">
        <v>704</v>
      </c>
      <c r="G4464" s="18" t="s">
        <v>681</v>
      </c>
      <c r="H4464" s="18" t="s">
        <v>895</v>
      </c>
      <c r="I4464" s="315">
        <v>0.11253395357896032</v>
      </c>
      <c r="J4464" s="315">
        <v>8.8151822212051539E-5</v>
      </c>
      <c r="K4464" s="316" t="str">
        <f t="shared" si="64"/>
        <v>Logging Equipment</v>
      </c>
      <c r="L4464" s="316" t="str">
        <f t="shared" si="65"/>
        <v>Gasoline</v>
      </c>
      <c r="M4464" s="194"/>
      <c r="N4464" s="317"/>
      <c r="O4464" s="317"/>
      <c r="P4464" s="317"/>
      <c r="Q4464" s="317"/>
      <c r="R4464" s="317"/>
      <c r="S4464" s="317"/>
      <c r="T4464" s="317"/>
      <c r="U4464" s="317"/>
      <c r="V4464" s="317"/>
      <c r="W4464" s="317"/>
      <c r="X4464" s="317"/>
      <c r="Y4464" s="317"/>
      <c r="Z4464" s="317"/>
    </row>
    <row r="4465" spans="1:26" x14ac:dyDescent="0.25">
      <c r="A4465" s="314"/>
      <c r="B4465" s="18">
        <v>2023</v>
      </c>
      <c r="C4465" s="18" t="s">
        <v>759</v>
      </c>
      <c r="D4465" s="18" t="s">
        <v>1483</v>
      </c>
      <c r="E4465" s="18" t="s">
        <v>703</v>
      </c>
      <c r="F4465" s="18" t="s">
        <v>805</v>
      </c>
      <c r="G4465" s="18" t="s">
        <v>674</v>
      </c>
      <c r="H4465" s="18" t="s">
        <v>994</v>
      </c>
      <c r="I4465" s="315">
        <v>0.11186919880210601</v>
      </c>
      <c r="J4465" s="315">
        <v>2.3455389294476555E-4</v>
      </c>
      <c r="K4465" s="316" t="str">
        <f t="shared" si="64"/>
        <v>Construction and Mining Equipment</v>
      </c>
      <c r="L4465" s="316" t="str">
        <f t="shared" si="65"/>
        <v>Gasoline</v>
      </c>
      <c r="M4465" s="194"/>
      <c r="N4465" s="317"/>
      <c r="O4465" s="317"/>
      <c r="P4465" s="317"/>
      <c r="Q4465" s="317"/>
      <c r="R4465" s="317"/>
      <c r="S4465" s="317"/>
      <c r="T4465" s="317"/>
      <c r="U4465" s="317"/>
      <c r="V4465" s="317"/>
      <c r="W4465" s="317"/>
      <c r="X4465" s="317"/>
      <c r="Y4465" s="317"/>
      <c r="Z4465" s="317"/>
    </row>
    <row r="4466" spans="1:26" x14ac:dyDescent="0.25">
      <c r="A4466" s="314"/>
      <c r="B4466" s="18">
        <v>2023</v>
      </c>
      <c r="C4466" s="18" t="s">
        <v>792</v>
      </c>
      <c r="D4466" s="18" t="s">
        <v>1654</v>
      </c>
      <c r="E4466" s="18" t="s">
        <v>56</v>
      </c>
      <c r="F4466" s="18" t="s">
        <v>672</v>
      </c>
      <c r="G4466" s="18" t="s">
        <v>674</v>
      </c>
      <c r="H4466" s="18" t="s">
        <v>994</v>
      </c>
      <c r="I4466" s="315">
        <v>0.11126996924720965</v>
      </c>
      <c r="J4466" s="315">
        <v>2.7582776626877037E-5</v>
      </c>
      <c r="K4466" s="316" t="str">
        <f t="shared" si="64"/>
        <v>Construction and Mining Equipment</v>
      </c>
      <c r="L4466" s="316" t="str">
        <f t="shared" si="65"/>
        <v>LPG</v>
      </c>
      <c r="M4466" s="194"/>
      <c r="N4466" s="317"/>
      <c r="O4466" s="317"/>
      <c r="P4466" s="317"/>
      <c r="Q4466" s="317"/>
      <c r="R4466" s="317"/>
      <c r="S4466" s="317"/>
      <c r="T4466" s="317"/>
      <c r="U4466" s="317"/>
      <c r="V4466" s="317"/>
      <c r="W4466" s="317"/>
      <c r="X4466" s="317"/>
      <c r="Y4466" s="317"/>
      <c r="Z4466" s="317"/>
    </row>
    <row r="4467" spans="1:26" x14ac:dyDescent="0.25">
      <c r="A4467" s="314"/>
      <c r="B4467" s="18">
        <v>2023</v>
      </c>
      <c r="C4467" s="18" t="s">
        <v>710</v>
      </c>
      <c r="D4467" s="18" t="s">
        <v>1737</v>
      </c>
      <c r="E4467" s="18" t="s">
        <v>703</v>
      </c>
      <c r="F4467" s="18" t="s">
        <v>805</v>
      </c>
      <c r="G4467" s="18" t="s">
        <v>673</v>
      </c>
      <c r="H4467" s="18" t="s">
        <v>705</v>
      </c>
      <c r="I4467" s="315">
        <v>0.10903719970331234</v>
      </c>
      <c r="J4467" s="315">
        <v>2.1865367217815799E-4</v>
      </c>
      <c r="K4467" s="316" t="str">
        <f t="shared" si="64"/>
        <v>Lawn and Garden Equipment</v>
      </c>
      <c r="L4467" s="316" t="str">
        <f t="shared" si="65"/>
        <v>Gasoline</v>
      </c>
      <c r="M4467" s="194"/>
      <c r="N4467" s="317"/>
      <c r="O4467" s="317"/>
      <c r="P4467" s="317"/>
      <c r="Q4467" s="317"/>
      <c r="R4467" s="317"/>
      <c r="S4467" s="317"/>
      <c r="T4467" s="317"/>
      <c r="U4467" s="317"/>
      <c r="V4467" s="317"/>
      <c r="W4467" s="317"/>
      <c r="X4467" s="317"/>
      <c r="Y4467" s="317"/>
      <c r="Z4467" s="317"/>
    </row>
    <row r="4468" spans="1:26" x14ac:dyDescent="0.25">
      <c r="A4468" s="314"/>
      <c r="B4468" s="18">
        <v>2023</v>
      </c>
      <c r="C4468" s="18" t="s">
        <v>760</v>
      </c>
      <c r="D4468" s="18" t="s">
        <v>1841</v>
      </c>
      <c r="E4468" s="18" t="s">
        <v>703</v>
      </c>
      <c r="F4468" s="18" t="s">
        <v>805</v>
      </c>
      <c r="G4468" s="18" t="s">
        <v>675</v>
      </c>
      <c r="H4468" s="18" t="s">
        <v>798</v>
      </c>
      <c r="I4468" s="315">
        <v>0.10863237113535845</v>
      </c>
      <c r="J4468" s="315">
        <v>2.4272874782763716E-4</v>
      </c>
      <c r="K4468" s="316" t="str">
        <f t="shared" si="64"/>
        <v>Industrial Equipment</v>
      </c>
      <c r="L4468" s="316" t="str">
        <f t="shared" si="65"/>
        <v>Gasoline</v>
      </c>
      <c r="M4468" s="194"/>
      <c r="N4468" s="317"/>
      <c r="O4468" s="317"/>
      <c r="P4468" s="317"/>
      <c r="Q4468" s="317"/>
      <c r="R4468" s="317"/>
      <c r="S4468" s="317"/>
      <c r="T4468" s="317"/>
      <c r="U4468" s="317"/>
      <c r="V4468" s="317"/>
      <c r="W4468" s="317"/>
      <c r="X4468" s="317"/>
      <c r="Y4468" s="317"/>
      <c r="Z4468" s="317"/>
    </row>
    <row r="4469" spans="1:26" x14ac:dyDescent="0.25">
      <c r="A4469" s="314"/>
      <c r="B4469" s="18">
        <v>2023</v>
      </c>
      <c r="C4469" s="18" t="s">
        <v>781</v>
      </c>
      <c r="D4469" s="18" t="s">
        <v>1840</v>
      </c>
      <c r="E4469" s="18" t="s">
        <v>703</v>
      </c>
      <c r="F4469" s="18" t="s">
        <v>704</v>
      </c>
      <c r="G4469" s="18" t="s">
        <v>681</v>
      </c>
      <c r="H4469" s="18" t="s">
        <v>895</v>
      </c>
      <c r="I4469" s="315">
        <v>0.10832558178066576</v>
      </c>
      <c r="J4469" s="315">
        <v>8.479752306911273E-5</v>
      </c>
      <c r="K4469" s="316" t="str">
        <f t="shared" si="64"/>
        <v>Logging Equipment</v>
      </c>
      <c r="L4469" s="316" t="str">
        <f t="shared" si="65"/>
        <v>Gasoline</v>
      </c>
      <c r="M4469" s="194"/>
      <c r="N4469" s="317"/>
      <c r="O4469" s="317"/>
      <c r="P4469" s="317"/>
      <c r="Q4469" s="317"/>
      <c r="R4469" s="317"/>
      <c r="S4469" s="317"/>
      <c r="T4469" s="317"/>
      <c r="U4469" s="317"/>
      <c r="V4469" s="317"/>
      <c r="W4469" s="317"/>
      <c r="X4469" s="317"/>
      <c r="Y4469" s="317"/>
      <c r="Z4469" s="317"/>
    </row>
    <row r="4470" spans="1:26" x14ac:dyDescent="0.25">
      <c r="A4470" s="314"/>
      <c r="B4470" s="18">
        <v>2023</v>
      </c>
      <c r="C4470" s="18" t="s">
        <v>711</v>
      </c>
      <c r="D4470" s="18" t="s">
        <v>1838</v>
      </c>
      <c r="E4470" s="18" t="s">
        <v>713</v>
      </c>
      <c r="F4470" s="18" t="s">
        <v>714</v>
      </c>
      <c r="G4470" s="18" t="s">
        <v>678</v>
      </c>
      <c r="H4470" s="18" t="s">
        <v>1745</v>
      </c>
      <c r="I4470" s="315">
        <v>0.10805840162544889</v>
      </c>
      <c r="J4470" s="315">
        <v>7.8199394428182559E-7</v>
      </c>
      <c r="K4470" s="316" t="str">
        <f t="shared" si="64"/>
        <v>Agricultural Equipment</v>
      </c>
      <c r="L4470" s="316" t="str">
        <f t="shared" si="65"/>
        <v>Diesel</v>
      </c>
      <c r="M4470" s="194"/>
      <c r="N4470" s="317"/>
      <c r="O4470" s="317"/>
      <c r="P4470" s="317"/>
      <c r="Q4470" s="317"/>
      <c r="R4470" s="317"/>
      <c r="S4470" s="317"/>
      <c r="T4470" s="317"/>
      <c r="U4470" s="317"/>
      <c r="V4470" s="317"/>
      <c r="W4470" s="317"/>
      <c r="X4470" s="317"/>
      <c r="Y4470" s="317"/>
      <c r="Z4470" s="317"/>
    </row>
    <row r="4471" spans="1:26" x14ac:dyDescent="0.25">
      <c r="A4471" s="314"/>
      <c r="B4471" s="18">
        <v>2023</v>
      </c>
      <c r="C4471" s="18" t="s">
        <v>781</v>
      </c>
      <c r="D4471" s="18" t="s">
        <v>1844</v>
      </c>
      <c r="E4471" s="18" t="s">
        <v>56</v>
      </c>
      <c r="F4471" s="18" t="s">
        <v>601</v>
      </c>
      <c r="G4471" s="18" t="s">
        <v>678</v>
      </c>
      <c r="H4471" s="18" t="s">
        <v>1080</v>
      </c>
      <c r="I4471" s="315">
        <v>0.10697256933122587</v>
      </c>
      <c r="J4471" s="315">
        <v>4.2130252102673318E-3</v>
      </c>
      <c r="K4471" s="316" t="str">
        <f t="shared" si="64"/>
        <v>Agricultural Equipment</v>
      </c>
      <c r="L4471" s="316" t="str">
        <f t="shared" si="65"/>
        <v>CNG</v>
      </c>
      <c r="M4471" s="194"/>
      <c r="N4471" s="317"/>
      <c r="O4471" s="317"/>
      <c r="P4471" s="317"/>
      <c r="Q4471" s="317"/>
      <c r="R4471" s="317"/>
      <c r="S4471" s="317"/>
      <c r="T4471" s="317"/>
      <c r="U4471" s="317"/>
      <c r="V4471" s="317"/>
      <c r="W4471" s="317"/>
      <c r="X4471" s="317"/>
      <c r="Y4471" s="317"/>
      <c r="Z4471" s="317"/>
    </row>
    <row r="4472" spans="1:26" x14ac:dyDescent="0.25">
      <c r="A4472" s="314"/>
      <c r="B4472" s="18">
        <v>2023</v>
      </c>
      <c r="C4472" s="18" t="s">
        <v>753</v>
      </c>
      <c r="D4472" s="18" t="s">
        <v>1842</v>
      </c>
      <c r="E4472" s="18" t="s">
        <v>713</v>
      </c>
      <c r="F4472" s="18" t="s">
        <v>714</v>
      </c>
      <c r="G4472" s="18" t="s">
        <v>678</v>
      </c>
      <c r="H4472" s="18" t="s">
        <v>1709</v>
      </c>
      <c r="I4472" s="315">
        <v>0.1061964856617609</v>
      </c>
      <c r="J4472" s="315">
        <v>1.3140092211146372E-5</v>
      </c>
      <c r="K4472" s="316" t="str">
        <f t="shared" si="64"/>
        <v>Agricultural Equipment</v>
      </c>
      <c r="L4472" s="316" t="str">
        <f t="shared" si="65"/>
        <v>Diesel</v>
      </c>
      <c r="M4472" s="194"/>
      <c r="N4472" s="317"/>
      <c r="O4472" s="317"/>
      <c r="P4472" s="317"/>
      <c r="Q4472" s="317"/>
      <c r="R4472" s="317"/>
      <c r="S4472" s="317"/>
      <c r="T4472" s="317"/>
      <c r="U4472" s="317"/>
      <c r="V4472" s="317"/>
      <c r="W4472" s="317"/>
      <c r="X4472" s="317"/>
      <c r="Y4472" s="317"/>
      <c r="Z4472" s="317"/>
    </row>
    <row r="4473" spans="1:26" x14ac:dyDescent="0.25">
      <c r="A4473" s="314"/>
      <c r="B4473" s="18">
        <v>2023</v>
      </c>
      <c r="C4473" s="18" t="s">
        <v>753</v>
      </c>
      <c r="D4473" s="18" t="s">
        <v>1843</v>
      </c>
      <c r="E4473" s="18" t="s">
        <v>56</v>
      </c>
      <c r="F4473" s="18" t="s">
        <v>672</v>
      </c>
      <c r="G4473" s="18" t="s">
        <v>678</v>
      </c>
      <c r="H4473" s="18" t="s">
        <v>1154</v>
      </c>
      <c r="I4473" s="315">
        <v>0.10601632108107296</v>
      </c>
      <c r="J4473" s="315">
        <v>4.8653455795275348E-6</v>
      </c>
      <c r="K4473" s="316" t="str">
        <f t="shared" si="64"/>
        <v>Agricultural Equipment</v>
      </c>
      <c r="L4473" s="316" t="str">
        <f t="shared" si="65"/>
        <v>LPG</v>
      </c>
      <c r="M4473" s="194"/>
      <c r="N4473" s="317"/>
      <c r="O4473" s="317"/>
      <c r="P4473" s="317"/>
      <c r="Q4473" s="317"/>
      <c r="R4473" s="317"/>
      <c r="S4473" s="317"/>
      <c r="T4473" s="317"/>
      <c r="U4473" s="317"/>
      <c r="V4473" s="317"/>
      <c r="W4473" s="317"/>
      <c r="X4473" s="317"/>
      <c r="Y4473" s="317"/>
      <c r="Z4473" s="317"/>
    </row>
    <row r="4474" spans="1:26" x14ac:dyDescent="0.25">
      <c r="A4474" s="314"/>
      <c r="B4474" s="18">
        <v>2023</v>
      </c>
      <c r="C4474" s="18" t="s">
        <v>786</v>
      </c>
      <c r="D4474" s="18" t="s">
        <v>1844</v>
      </c>
      <c r="E4474" s="18" t="s">
        <v>56</v>
      </c>
      <c r="F4474" s="18" t="s">
        <v>601</v>
      </c>
      <c r="G4474" s="18" t="s">
        <v>678</v>
      </c>
      <c r="H4474" s="18" t="s">
        <v>1080</v>
      </c>
      <c r="I4474" s="315">
        <v>0.10586493430458462</v>
      </c>
      <c r="J4474" s="315">
        <v>4.1694032211579976E-3</v>
      </c>
      <c r="K4474" s="316" t="str">
        <f t="shared" si="64"/>
        <v>Agricultural Equipment</v>
      </c>
      <c r="L4474" s="316" t="str">
        <f t="shared" si="65"/>
        <v>CNG</v>
      </c>
      <c r="M4474" s="194"/>
      <c r="N4474" s="317"/>
      <c r="O4474" s="317"/>
      <c r="P4474" s="317"/>
      <c r="Q4474" s="317"/>
      <c r="R4474" s="317"/>
      <c r="S4474" s="317"/>
      <c r="T4474" s="317"/>
      <c r="U4474" s="317"/>
      <c r="V4474" s="317"/>
      <c r="W4474" s="317"/>
      <c r="X4474" s="317"/>
      <c r="Y4474" s="317"/>
      <c r="Z4474" s="317"/>
    </row>
    <row r="4475" spans="1:26" ht="12.75" x14ac:dyDescent="0.2">
      <c r="A4475" s="230"/>
      <c r="B4475" s="18">
        <v>2023</v>
      </c>
      <c r="C4475" s="18" t="s">
        <v>731</v>
      </c>
      <c r="D4475" s="18" t="s">
        <v>1842</v>
      </c>
      <c r="E4475" s="18" t="s">
        <v>713</v>
      </c>
      <c r="F4475" s="18" t="s">
        <v>714</v>
      </c>
      <c r="G4475" s="18" t="s">
        <v>678</v>
      </c>
      <c r="H4475" s="18" t="s">
        <v>1709</v>
      </c>
      <c r="I4475" s="315">
        <v>0.10533871843412211</v>
      </c>
      <c r="J4475" s="315">
        <v>1.3033957245049572E-5</v>
      </c>
      <c r="K4475" s="316" t="str">
        <f t="shared" si="64"/>
        <v>Agricultural Equipment</v>
      </c>
      <c r="L4475" s="316" t="str">
        <f t="shared" si="65"/>
        <v>Diesel</v>
      </c>
      <c r="M4475" s="8"/>
      <c r="N4475" s="2"/>
      <c r="O4475" s="2"/>
      <c r="P4475" s="2"/>
      <c r="Q4475" s="2"/>
      <c r="R4475" s="2"/>
      <c r="S4475" s="2"/>
      <c r="T4475" s="2"/>
      <c r="U4475" s="2"/>
      <c r="V4475" s="2"/>
      <c r="W4475" s="2"/>
      <c r="X4475" s="2"/>
      <c r="Y4475" s="2"/>
      <c r="Z4475" s="2"/>
    </row>
    <row r="4476" spans="1:26" x14ac:dyDescent="0.25">
      <c r="A4476" s="314"/>
      <c r="B4476" s="18">
        <v>2023</v>
      </c>
      <c r="C4476" s="18" t="s">
        <v>787</v>
      </c>
      <c r="D4476" s="18" t="s">
        <v>1825</v>
      </c>
      <c r="E4476" s="18" t="s">
        <v>56</v>
      </c>
      <c r="F4476" s="18" t="s">
        <v>601</v>
      </c>
      <c r="G4476" s="18" t="s">
        <v>674</v>
      </c>
      <c r="H4476" s="18" t="s">
        <v>859</v>
      </c>
      <c r="I4476" s="315">
        <v>0.10525186377591873</v>
      </c>
      <c r="J4476" s="315">
        <v>2.2614691863809579E-3</v>
      </c>
      <c r="K4476" s="316" t="str">
        <f t="shared" si="64"/>
        <v>Construction and Mining Equipment</v>
      </c>
      <c r="L4476" s="316" t="str">
        <f t="shared" si="65"/>
        <v>CNG</v>
      </c>
      <c r="M4476" s="194"/>
      <c r="N4476" s="317"/>
      <c r="O4476" s="317"/>
      <c r="P4476" s="317"/>
      <c r="Q4476" s="317"/>
      <c r="R4476" s="317"/>
      <c r="S4476" s="317"/>
      <c r="T4476" s="317"/>
      <c r="U4476" s="317"/>
      <c r="V4476" s="317"/>
      <c r="W4476" s="317"/>
      <c r="X4476" s="317"/>
      <c r="Y4476" s="317"/>
      <c r="Z4476" s="317"/>
    </row>
    <row r="4477" spans="1:26" x14ac:dyDescent="0.25">
      <c r="A4477" s="314"/>
      <c r="B4477" s="18">
        <v>2023</v>
      </c>
      <c r="C4477" s="18" t="s">
        <v>731</v>
      </c>
      <c r="D4477" s="18" t="s">
        <v>1843</v>
      </c>
      <c r="E4477" s="18" t="s">
        <v>56</v>
      </c>
      <c r="F4477" s="18" t="s">
        <v>672</v>
      </c>
      <c r="G4477" s="18" t="s">
        <v>678</v>
      </c>
      <c r="H4477" s="18" t="s">
        <v>1154</v>
      </c>
      <c r="I4477" s="315">
        <v>0.10515996778769524</v>
      </c>
      <c r="J4477" s="315">
        <v>4.8260448596027658E-6</v>
      </c>
      <c r="K4477" s="316" t="str">
        <f t="shared" si="64"/>
        <v>Agricultural Equipment</v>
      </c>
      <c r="L4477" s="316" t="str">
        <f t="shared" si="65"/>
        <v>LPG</v>
      </c>
      <c r="M4477" s="194"/>
      <c r="N4477" s="317"/>
      <c r="O4477" s="317"/>
      <c r="P4477" s="317"/>
      <c r="Q4477" s="317"/>
      <c r="R4477" s="317"/>
      <c r="S4477" s="317"/>
      <c r="T4477" s="317"/>
      <c r="U4477" s="317"/>
      <c r="V4477" s="317"/>
      <c r="W4477" s="317"/>
      <c r="X4477" s="317"/>
      <c r="Y4477" s="317"/>
      <c r="Z4477" s="317"/>
    </row>
    <row r="4478" spans="1:26" x14ac:dyDescent="0.25">
      <c r="A4478" s="314"/>
      <c r="B4478" s="18">
        <v>2023</v>
      </c>
      <c r="C4478" s="18" t="s">
        <v>754</v>
      </c>
      <c r="D4478" s="18" t="s">
        <v>1833</v>
      </c>
      <c r="E4478" s="18" t="s">
        <v>703</v>
      </c>
      <c r="F4478" s="18" t="s">
        <v>704</v>
      </c>
      <c r="G4478" s="18" t="s">
        <v>674</v>
      </c>
      <c r="H4478" s="18" t="s">
        <v>1082</v>
      </c>
      <c r="I4478" s="315">
        <v>0.10390511246767628</v>
      </c>
      <c r="J4478" s="315">
        <v>6.7609162821763988E-5</v>
      </c>
      <c r="K4478" s="316" t="str">
        <f t="shared" si="64"/>
        <v>Construction and Mining Equipment</v>
      </c>
      <c r="L4478" s="316" t="str">
        <f t="shared" si="65"/>
        <v>Gasoline</v>
      </c>
      <c r="M4478" s="194"/>
      <c r="N4478" s="317"/>
      <c r="O4478" s="317"/>
      <c r="P4478" s="317"/>
      <c r="Q4478" s="317"/>
      <c r="R4478" s="317"/>
      <c r="S4478" s="317"/>
      <c r="T4478" s="317"/>
      <c r="U4478" s="317"/>
      <c r="V4478" s="317"/>
      <c r="W4478" s="317"/>
      <c r="X4478" s="317"/>
      <c r="Y4478" s="317"/>
      <c r="Z4478" s="317"/>
    </row>
    <row r="4479" spans="1:26" x14ac:dyDescent="0.25">
      <c r="A4479" s="314"/>
      <c r="B4479" s="18">
        <v>2023</v>
      </c>
      <c r="C4479" s="18" t="s">
        <v>781</v>
      </c>
      <c r="D4479" s="18" t="s">
        <v>1655</v>
      </c>
      <c r="E4479" s="18" t="s">
        <v>56</v>
      </c>
      <c r="F4479" s="18" t="s">
        <v>672</v>
      </c>
      <c r="G4479" s="18" t="s">
        <v>677</v>
      </c>
      <c r="H4479" s="18" t="s">
        <v>789</v>
      </c>
      <c r="I4479" s="315">
        <v>0.10390284587200109</v>
      </c>
      <c r="J4479" s="315">
        <v>1.466550804198324E-5</v>
      </c>
      <c r="K4479" s="316" t="str">
        <f t="shared" si="64"/>
        <v>Commercial Equipment</v>
      </c>
      <c r="L4479" s="316" t="str">
        <f t="shared" si="65"/>
        <v>LPG</v>
      </c>
      <c r="M4479" s="194"/>
      <c r="N4479" s="317"/>
      <c r="O4479" s="317"/>
      <c r="P4479" s="317"/>
      <c r="Q4479" s="317"/>
      <c r="R4479" s="317"/>
      <c r="S4479" s="317"/>
      <c r="T4479" s="317"/>
      <c r="U4479" s="317"/>
      <c r="V4479" s="317"/>
      <c r="W4479" s="317"/>
      <c r="X4479" s="317"/>
      <c r="Y4479" s="317"/>
      <c r="Z4479" s="317"/>
    </row>
    <row r="4480" spans="1:26" x14ac:dyDescent="0.25">
      <c r="A4480" s="314"/>
      <c r="B4480" s="18">
        <v>2023</v>
      </c>
      <c r="C4480" s="18" t="s">
        <v>727</v>
      </c>
      <c r="D4480" s="18" t="s">
        <v>1844</v>
      </c>
      <c r="E4480" s="18" t="s">
        <v>56</v>
      </c>
      <c r="F4480" s="18" t="s">
        <v>601</v>
      </c>
      <c r="G4480" s="18" t="s">
        <v>678</v>
      </c>
      <c r="H4480" s="18" t="s">
        <v>1080</v>
      </c>
      <c r="I4480" s="315">
        <v>0.103860697450921</v>
      </c>
      <c r="J4480" s="315">
        <v>4.0904722379836306E-3</v>
      </c>
      <c r="K4480" s="316" t="str">
        <f t="shared" si="64"/>
        <v>Agricultural Equipment</v>
      </c>
      <c r="L4480" s="316" t="str">
        <f t="shared" si="65"/>
        <v>CNG</v>
      </c>
      <c r="M4480" s="194"/>
      <c r="N4480" s="317"/>
      <c r="O4480" s="317"/>
      <c r="P4480" s="317"/>
      <c r="Q4480" s="317"/>
      <c r="R4480" s="317"/>
      <c r="S4480" s="317"/>
      <c r="T4480" s="317"/>
      <c r="U4480" s="317"/>
      <c r="V4480" s="317"/>
      <c r="W4480" s="317"/>
      <c r="X4480" s="317"/>
      <c r="Y4480" s="317"/>
      <c r="Z4480" s="317"/>
    </row>
    <row r="4481" spans="1:26" x14ac:dyDescent="0.25">
      <c r="A4481" s="314"/>
      <c r="B4481" s="18">
        <v>2023</v>
      </c>
      <c r="C4481" s="18" t="s">
        <v>753</v>
      </c>
      <c r="D4481" s="18" t="s">
        <v>1730</v>
      </c>
      <c r="E4481" s="18" t="s">
        <v>703</v>
      </c>
      <c r="F4481" s="18" t="s">
        <v>805</v>
      </c>
      <c r="G4481" s="18" t="s">
        <v>674</v>
      </c>
      <c r="H4481" s="18" t="s">
        <v>959</v>
      </c>
      <c r="I4481" s="315">
        <v>0.10364312884843693</v>
      </c>
      <c r="J4481" s="315">
        <v>2.315808986988662E-4</v>
      </c>
      <c r="K4481" s="316" t="str">
        <f t="shared" si="64"/>
        <v>Construction and Mining Equipment</v>
      </c>
      <c r="L4481" s="316" t="str">
        <f t="shared" si="65"/>
        <v>Gasoline</v>
      </c>
      <c r="M4481" s="194"/>
      <c r="N4481" s="317"/>
      <c r="O4481" s="317"/>
      <c r="P4481" s="317"/>
      <c r="Q4481" s="317"/>
      <c r="R4481" s="317"/>
      <c r="S4481" s="317"/>
      <c r="T4481" s="317"/>
      <c r="U4481" s="317"/>
      <c r="V4481" s="317"/>
      <c r="W4481" s="317"/>
      <c r="X4481" s="317"/>
      <c r="Y4481" s="317"/>
      <c r="Z4481" s="317"/>
    </row>
    <row r="4482" spans="1:26" x14ac:dyDescent="0.25">
      <c r="A4482" s="314"/>
      <c r="B4482" s="18">
        <v>2023</v>
      </c>
      <c r="C4482" s="18" t="s">
        <v>731</v>
      </c>
      <c r="D4482" s="18" t="s">
        <v>1654</v>
      </c>
      <c r="E4482" s="18" t="s">
        <v>56</v>
      </c>
      <c r="F4482" s="18" t="s">
        <v>672</v>
      </c>
      <c r="G4482" s="18" t="s">
        <v>674</v>
      </c>
      <c r="H4482" s="18" t="s">
        <v>994</v>
      </c>
      <c r="I4482" s="315">
        <v>0.10326154160098316</v>
      </c>
      <c r="J4482" s="315">
        <v>2.5597569783864319E-5</v>
      </c>
      <c r="K4482" s="316" t="str">
        <f t="shared" si="64"/>
        <v>Construction and Mining Equipment</v>
      </c>
      <c r="L4482" s="316" t="str">
        <f t="shared" si="65"/>
        <v>LPG</v>
      </c>
      <c r="M4482" s="194"/>
      <c r="N4482" s="317"/>
      <c r="O4482" s="317"/>
      <c r="P4482" s="317"/>
      <c r="Q4482" s="317"/>
      <c r="R4482" s="317"/>
      <c r="S4482" s="317"/>
      <c r="T4482" s="317"/>
      <c r="U4482" s="317"/>
      <c r="V4482" s="317"/>
      <c r="W4482" s="317"/>
      <c r="X4482" s="317"/>
      <c r="Y4482" s="317"/>
      <c r="Z4482" s="317"/>
    </row>
    <row r="4483" spans="1:26" x14ac:dyDescent="0.25">
      <c r="A4483" s="314"/>
      <c r="B4483" s="18">
        <v>2023</v>
      </c>
      <c r="C4483" s="18" t="s">
        <v>786</v>
      </c>
      <c r="D4483" s="18" t="s">
        <v>1654</v>
      </c>
      <c r="E4483" s="18" t="s">
        <v>56</v>
      </c>
      <c r="F4483" s="18" t="s">
        <v>672</v>
      </c>
      <c r="G4483" s="18" t="s">
        <v>674</v>
      </c>
      <c r="H4483" s="18" t="s">
        <v>994</v>
      </c>
      <c r="I4483" s="315">
        <v>0.10255825812891722</v>
      </c>
      <c r="J4483" s="315">
        <v>2.5423226242377148E-5</v>
      </c>
      <c r="K4483" s="316" t="str">
        <f t="shared" si="64"/>
        <v>Construction and Mining Equipment</v>
      </c>
      <c r="L4483" s="316" t="str">
        <f t="shared" si="65"/>
        <v>LPG</v>
      </c>
      <c r="M4483" s="194"/>
      <c r="N4483" s="317"/>
      <c r="O4483" s="317"/>
      <c r="P4483" s="317"/>
      <c r="Q4483" s="317"/>
      <c r="R4483" s="317"/>
      <c r="S4483" s="317"/>
      <c r="T4483" s="317"/>
      <c r="U4483" s="317"/>
      <c r="V4483" s="317"/>
      <c r="W4483" s="317"/>
      <c r="X4483" s="317"/>
      <c r="Y4483" s="317"/>
      <c r="Z4483" s="317"/>
    </row>
    <row r="4484" spans="1:26" x14ac:dyDescent="0.25">
      <c r="A4484" s="314"/>
      <c r="B4484" s="18">
        <v>2023</v>
      </c>
      <c r="C4484" s="18" t="s">
        <v>781</v>
      </c>
      <c r="D4484" s="18" t="s">
        <v>1845</v>
      </c>
      <c r="E4484" s="18" t="s">
        <v>713</v>
      </c>
      <c r="F4484" s="18" t="s">
        <v>714</v>
      </c>
      <c r="G4484" s="18" t="s">
        <v>678</v>
      </c>
      <c r="H4484" s="18" t="s">
        <v>1279</v>
      </c>
      <c r="I4484" s="315">
        <v>0.10213140220250781</v>
      </c>
      <c r="J4484" s="315">
        <v>5.9546937881059056E-7</v>
      </c>
      <c r="K4484" s="316" t="str">
        <f t="shared" si="64"/>
        <v>Agricultural Equipment</v>
      </c>
      <c r="L4484" s="316" t="str">
        <f t="shared" si="65"/>
        <v>Diesel</v>
      </c>
      <c r="M4484" s="194"/>
      <c r="N4484" s="317"/>
      <c r="O4484" s="317"/>
      <c r="P4484" s="317"/>
      <c r="Q4484" s="317"/>
      <c r="R4484" s="317"/>
      <c r="S4484" s="317"/>
      <c r="T4484" s="317"/>
      <c r="U4484" s="317"/>
      <c r="V4484" s="317"/>
      <c r="W4484" s="317"/>
      <c r="X4484" s="317"/>
      <c r="Y4484" s="317"/>
      <c r="Z4484" s="317"/>
    </row>
    <row r="4485" spans="1:26" x14ac:dyDescent="0.25">
      <c r="A4485" s="314"/>
      <c r="B4485" s="18">
        <v>2023</v>
      </c>
      <c r="C4485" s="18" t="s">
        <v>786</v>
      </c>
      <c r="D4485" s="18" t="s">
        <v>1845</v>
      </c>
      <c r="E4485" s="18" t="s">
        <v>713</v>
      </c>
      <c r="F4485" s="18" t="s">
        <v>714</v>
      </c>
      <c r="G4485" s="18" t="s">
        <v>678</v>
      </c>
      <c r="H4485" s="18" t="s">
        <v>1279</v>
      </c>
      <c r="I4485" s="315">
        <v>0.1010737924443546</v>
      </c>
      <c r="J4485" s="315">
        <v>5.8930362336900146E-7</v>
      </c>
      <c r="K4485" s="316" t="str">
        <f t="shared" si="64"/>
        <v>Agricultural Equipment</v>
      </c>
      <c r="L4485" s="316" t="str">
        <f t="shared" si="65"/>
        <v>Diesel</v>
      </c>
      <c r="M4485" s="194"/>
      <c r="N4485" s="317"/>
      <c r="O4485" s="317"/>
      <c r="P4485" s="317"/>
      <c r="Q4485" s="317"/>
      <c r="R4485" s="317"/>
      <c r="S4485" s="317"/>
      <c r="T4485" s="317"/>
      <c r="U4485" s="317"/>
      <c r="V4485" s="317"/>
      <c r="W4485" s="317"/>
      <c r="X4485" s="317"/>
      <c r="Y4485" s="317"/>
      <c r="Z4485" s="317"/>
    </row>
    <row r="4486" spans="1:26" x14ac:dyDescent="0.25">
      <c r="A4486" s="314"/>
      <c r="B4486" s="18">
        <v>2023</v>
      </c>
      <c r="C4486" s="18" t="s">
        <v>754</v>
      </c>
      <c r="D4486" s="18" t="s">
        <v>1840</v>
      </c>
      <c r="E4486" s="18" t="s">
        <v>703</v>
      </c>
      <c r="F4486" s="18" t="s">
        <v>704</v>
      </c>
      <c r="G4486" s="18" t="s">
        <v>681</v>
      </c>
      <c r="H4486" s="18" t="s">
        <v>895</v>
      </c>
      <c r="I4486" s="315">
        <v>0.10106730105085139</v>
      </c>
      <c r="J4486" s="315">
        <v>7.9549336739997588E-5</v>
      </c>
      <c r="K4486" s="316" t="str">
        <f t="shared" si="64"/>
        <v>Logging Equipment</v>
      </c>
      <c r="L4486" s="316" t="str">
        <f t="shared" si="65"/>
        <v>Gasoline</v>
      </c>
      <c r="M4486" s="194"/>
      <c r="N4486" s="317"/>
      <c r="O4486" s="317"/>
      <c r="P4486" s="317"/>
      <c r="Q4486" s="317"/>
      <c r="R4486" s="317"/>
      <c r="S4486" s="317"/>
      <c r="T4486" s="317"/>
      <c r="U4486" s="317"/>
      <c r="V4486" s="317"/>
      <c r="W4486" s="317"/>
      <c r="X4486" s="317"/>
      <c r="Y4486" s="317"/>
      <c r="Z4486" s="317"/>
    </row>
    <row r="4487" spans="1:26" x14ac:dyDescent="0.25">
      <c r="A4487" s="314"/>
      <c r="B4487" s="18">
        <v>2023</v>
      </c>
      <c r="C4487" s="18" t="s">
        <v>759</v>
      </c>
      <c r="D4487" s="18" t="s">
        <v>1564</v>
      </c>
      <c r="E4487" s="18" t="s">
        <v>703</v>
      </c>
      <c r="F4487" s="18" t="s">
        <v>704</v>
      </c>
      <c r="G4487" s="18" t="s">
        <v>674</v>
      </c>
      <c r="H4487" s="18" t="s">
        <v>981</v>
      </c>
      <c r="I4487" s="315">
        <v>9.923030016788241E-2</v>
      </c>
      <c r="J4487" s="315">
        <v>7.3044252663210884E-5</v>
      </c>
      <c r="K4487" s="316" t="str">
        <f t="shared" si="64"/>
        <v>Construction and Mining Equipment</v>
      </c>
      <c r="L4487" s="316" t="str">
        <f t="shared" si="65"/>
        <v>Gasoline</v>
      </c>
      <c r="M4487" s="194"/>
      <c r="N4487" s="317"/>
      <c r="O4487" s="317"/>
      <c r="P4487" s="317"/>
      <c r="Q4487" s="317"/>
      <c r="R4487" s="317"/>
      <c r="S4487" s="317"/>
      <c r="T4487" s="317"/>
      <c r="U4487" s="317"/>
      <c r="V4487" s="317"/>
      <c r="W4487" s="317"/>
      <c r="X4487" s="317"/>
      <c r="Y4487" s="317"/>
      <c r="Z4487" s="317"/>
    </row>
    <row r="4488" spans="1:26" x14ac:dyDescent="0.25">
      <c r="A4488" s="314"/>
      <c r="B4488" s="18">
        <v>2023</v>
      </c>
      <c r="C4488" s="18" t="s">
        <v>727</v>
      </c>
      <c r="D4488" s="18" t="s">
        <v>1845</v>
      </c>
      <c r="E4488" s="18" t="s">
        <v>713</v>
      </c>
      <c r="F4488" s="18" t="s">
        <v>714</v>
      </c>
      <c r="G4488" s="18" t="s">
        <v>678</v>
      </c>
      <c r="H4488" s="18" t="s">
        <v>1279</v>
      </c>
      <c r="I4488" s="315">
        <v>9.9160352232117263E-2</v>
      </c>
      <c r="J4488" s="315">
        <v>5.7814709464455858E-7</v>
      </c>
      <c r="K4488" s="316" t="str">
        <f t="shared" si="64"/>
        <v>Agricultural Equipment</v>
      </c>
      <c r="L4488" s="316" t="str">
        <f t="shared" si="65"/>
        <v>Diesel</v>
      </c>
      <c r="M4488" s="194"/>
      <c r="N4488" s="317"/>
      <c r="O4488" s="317"/>
      <c r="P4488" s="317"/>
      <c r="Q4488" s="317"/>
      <c r="R4488" s="317"/>
      <c r="S4488" s="317"/>
      <c r="T4488" s="317"/>
      <c r="U4488" s="317"/>
      <c r="V4488" s="317"/>
      <c r="W4488" s="317"/>
      <c r="X4488" s="317"/>
      <c r="Y4488" s="317"/>
      <c r="Z4488" s="317"/>
    </row>
    <row r="4489" spans="1:26" x14ac:dyDescent="0.25">
      <c r="A4489" s="314"/>
      <c r="B4489" s="18">
        <v>2023</v>
      </c>
      <c r="C4489" s="18" t="s">
        <v>709</v>
      </c>
      <c r="D4489" s="18" t="s">
        <v>1838</v>
      </c>
      <c r="E4489" s="18" t="s">
        <v>713</v>
      </c>
      <c r="F4489" s="18" t="s">
        <v>714</v>
      </c>
      <c r="G4489" s="18" t="s">
        <v>678</v>
      </c>
      <c r="H4489" s="18" t="s">
        <v>1745</v>
      </c>
      <c r="I4489" s="315">
        <v>9.9151627836555539E-2</v>
      </c>
      <c r="J4489" s="315">
        <v>7.1753708497186323E-7</v>
      </c>
      <c r="K4489" s="316" t="str">
        <f t="shared" si="64"/>
        <v>Agricultural Equipment</v>
      </c>
      <c r="L4489" s="316" t="str">
        <f t="shared" si="65"/>
        <v>Diesel</v>
      </c>
      <c r="M4489" s="194"/>
      <c r="N4489" s="317"/>
      <c r="O4489" s="317"/>
      <c r="P4489" s="317"/>
      <c r="Q4489" s="317"/>
      <c r="R4489" s="317"/>
      <c r="S4489" s="317"/>
      <c r="T4489" s="317"/>
      <c r="U4489" s="317"/>
      <c r="V4489" s="317"/>
      <c r="W4489" s="317"/>
      <c r="X4489" s="317"/>
      <c r="Y4489" s="317"/>
      <c r="Z4489" s="317"/>
    </row>
    <row r="4490" spans="1:26" x14ac:dyDescent="0.25">
      <c r="A4490" s="314"/>
      <c r="B4490" s="18">
        <v>2023</v>
      </c>
      <c r="C4490" s="18" t="s">
        <v>759</v>
      </c>
      <c r="D4490" s="18" t="s">
        <v>1403</v>
      </c>
      <c r="E4490" s="18" t="s">
        <v>703</v>
      </c>
      <c r="F4490" s="18" t="s">
        <v>683</v>
      </c>
      <c r="G4490" s="18" t="s">
        <v>1404</v>
      </c>
      <c r="H4490" s="18" t="s">
        <v>1002</v>
      </c>
      <c r="I4490" s="315">
        <v>9.887235571177079E-2</v>
      </c>
      <c r="J4490" s="315">
        <v>6.3683147692774074E-5</v>
      </c>
      <c r="K4490" s="316" t="str">
        <f t="shared" si="64"/>
        <v>Railroad Equipment</v>
      </c>
      <c r="L4490" s="316" t="str">
        <f t="shared" si="65"/>
        <v>Gasoline</v>
      </c>
      <c r="M4490" s="194"/>
      <c r="N4490" s="317"/>
      <c r="O4490" s="317"/>
      <c r="P4490" s="317"/>
      <c r="Q4490" s="317"/>
      <c r="R4490" s="317"/>
      <c r="S4490" s="317"/>
      <c r="T4490" s="317"/>
      <c r="U4490" s="317"/>
      <c r="V4490" s="317"/>
      <c r="W4490" s="317"/>
      <c r="X4490" s="317"/>
      <c r="Y4490" s="317"/>
      <c r="Z4490" s="317"/>
    </row>
    <row r="4491" spans="1:26" x14ac:dyDescent="0.25">
      <c r="A4491" s="314"/>
      <c r="B4491" s="18">
        <v>2023</v>
      </c>
      <c r="C4491" s="18" t="s">
        <v>727</v>
      </c>
      <c r="D4491" s="18" t="s">
        <v>1403</v>
      </c>
      <c r="E4491" s="18" t="s">
        <v>703</v>
      </c>
      <c r="F4491" s="18" t="s">
        <v>683</v>
      </c>
      <c r="G4491" s="18" t="s">
        <v>1404</v>
      </c>
      <c r="H4491" s="18" t="s">
        <v>1002</v>
      </c>
      <c r="I4491" s="315">
        <v>9.887235571177079E-2</v>
      </c>
      <c r="J4491" s="315">
        <v>6.37328060441201E-5</v>
      </c>
      <c r="K4491" s="316" t="str">
        <f t="shared" si="64"/>
        <v>Railroad Equipment</v>
      </c>
      <c r="L4491" s="316" t="str">
        <f t="shared" si="65"/>
        <v>Gasoline</v>
      </c>
      <c r="M4491" s="194"/>
      <c r="N4491" s="317"/>
      <c r="O4491" s="317"/>
      <c r="P4491" s="317"/>
      <c r="Q4491" s="317"/>
      <c r="R4491" s="317"/>
      <c r="S4491" s="317"/>
      <c r="T4491" s="317"/>
      <c r="U4491" s="317"/>
      <c r="V4491" s="317"/>
      <c r="W4491" s="317"/>
      <c r="X4491" s="317"/>
      <c r="Y4491" s="317"/>
      <c r="Z4491" s="317"/>
    </row>
    <row r="4492" spans="1:26" x14ac:dyDescent="0.25">
      <c r="A4492" s="314"/>
      <c r="B4492" s="18">
        <v>2023</v>
      </c>
      <c r="C4492" s="18" t="s">
        <v>701</v>
      </c>
      <c r="D4492" s="18" t="s">
        <v>1846</v>
      </c>
      <c r="E4492" s="18" t="s">
        <v>703</v>
      </c>
      <c r="F4492" s="18" t="s">
        <v>805</v>
      </c>
      <c r="G4492" s="18" t="s">
        <v>677</v>
      </c>
      <c r="H4492" s="18" t="s">
        <v>785</v>
      </c>
      <c r="I4492" s="315">
        <v>9.8631787318859354E-2</v>
      </c>
      <c r="J4492" s="315">
        <v>2.2038323233688028E-4</v>
      </c>
      <c r="K4492" s="316" t="str">
        <f t="shared" si="64"/>
        <v>Commercial Equipment</v>
      </c>
      <c r="L4492" s="316" t="str">
        <f t="shared" si="65"/>
        <v>Gasoline</v>
      </c>
      <c r="M4492" s="194"/>
      <c r="N4492" s="317"/>
      <c r="O4492" s="317"/>
      <c r="P4492" s="317"/>
      <c r="Q4492" s="317"/>
      <c r="R4492" s="317"/>
      <c r="S4492" s="317"/>
      <c r="T4492" s="317"/>
      <c r="U4492" s="317"/>
      <c r="V4492" s="317"/>
      <c r="W4492" s="317"/>
      <c r="X4492" s="317"/>
      <c r="Y4492" s="317"/>
      <c r="Z4492" s="317"/>
    </row>
    <row r="4493" spans="1:26" x14ac:dyDescent="0.25">
      <c r="A4493" s="314"/>
      <c r="B4493" s="18">
        <v>2023</v>
      </c>
      <c r="C4493" s="18" t="s">
        <v>750</v>
      </c>
      <c r="D4493" s="18" t="s">
        <v>1825</v>
      </c>
      <c r="E4493" s="18" t="s">
        <v>56</v>
      </c>
      <c r="F4493" s="18" t="s">
        <v>601</v>
      </c>
      <c r="G4493" s="18" t="s">
        <v>674</v>
      </c>
      <c r="H4493" s="18" t="s">
        <v>859</v>
      </c>
      <c r="I4493" s="315">
        <v>9.8401346234507719E-2</v>
      </c>
      <c r="J4493" s="315">
        <v>2.1142776879448872E-3</v>
      </c>
      <c r="K4493" s="316" t="str">
        <f t="shared" si="64"/>
        <v>Construction and Mining Equipment</v>
      </c>
      <c r="L4493" s="316" t="str">
        <f t="shared" si="65"/>
        <v>CNG</v>
      </c>
      <c r="M4493" s="194"/>
      <c r="N4493" s="317"/>
      <c r="O4493" s="317"/>
      <c r="P4493" s="317"/>
      <c r="Q4493" s="317"/>
      <c r="R4493" s="317"/>
      <c r="S4493" s="317"/>
      <c r="T4493" s="317"/>
      <c r="U4493" s="317"/>
      <c r="V4493" s="317"/>
      <c r="W4493" s="317"/>
      <c r="X4493" s="317"/>
      <c r="Y4493" s="317"/>
      <c r="Z4493" s="317"/>
    </row>
    <row r="4494" spans="1:26" x14ac:dyDescent="0.25">
      <c r="A4494" s="314"/>
      <c r="B4494" s="18">
        <v>2023</v>
      </c>
      <c r="C4494" s="18" t="s">
        <v>810</v>
      </c>
      <c r="D4494" s="18" t="s">
        <v>1730</v>
      </c>
      <c r="E4494" s="18" t="s">
        <v>703</v>
      </c>
      <c r="F4494" s="18" t="s">
        <v>805</v>
      </c>
      <c r="G4494" s="18" t="s">
        <v>674</v>
      </c>
      <c r="H4494" s="18" t="s">
        <v>959</v>
      </c>
      <c r="I4494" s="315">
        <v>9.7685241312259308E-2</v>
      </c>
      <c r="J4494" s="315">
        <v>2.1826854564880674E-4</v>
      </c>
      <c r="K4494" s="316" t="str">
        <f t="shared" si="64"/>
        <v>Construction and Mining Equipment</v>
      </c>
      <c r="L4494" s="316" t="str">
        <f t="shared" si="65"/>
        <v>Gasoline</v>
      </c>
      <c r="M4494" s="194"/>
      <c r="N4494" s="317"/>
      <c r="O4494" s="317"/>
      <c r="P4494" s="317"/>
      <c r="Q4494" s="317"/>
      <c r="R4494" s="317"/>
      <c r="S4494" s="317"/>
      <c r="T4494" s="317"/>
      <c r="U4494" s="317"/>
      <c r="V4494" s="317"/>
      <c r="W4494" s="317"/>
      <c r="X4494" s="317"/>
      <c r="Y4494" s="317"/>
      <c r="Z4494" s="317"/>
    </row>
    <row r="4495" spans="1:26" x14ac:dyDescent="0.25">
      <c r="A4495" s="314"/>
      <c r="B4495" s="18">
        <v>2023</v>
      </c>
      <c r="C4495" s="18" t="s">
        <v>753</v>
      </c>
      <c r="D4495" s="18" t="s">
        <v>1844</v>
      </c>
      <c r="E4495" s="18" t="s">
        <v>56</v>
      </c>
      <c r="F4495" s="18" t="s">
        <v>601</v>
      </c>
      <c r="G4495" s="18" t="s">
        <v>678</v>
      </c>
      <c r="H4495" s="18" t="s">
        <v>1080</v>
      </c>
      <c r="I4495" s="315">
        <v>9.7321527424747742E-2</v>
      </c>
      <c r="J4495" s="315">
        <v>3.8329309112196059E-3</v>
      </c>
      <c r="K4495" s="316" t="str">
        <f t="shared" si="64"/>
        <v>Agricultural Equipment</v>
      </c>
      <c r="L4495" s="316" t="str">
        <f t="shared" si="65"/>
        <v>CNG</v>
      </c>
      <c r="M4495" s="194"/>
      <c r="N4495" s="317"/>
      <c r="O4495" s="317"/>
      <c r="P4495" s="317"/>
      <c r="Q4495" s="317"/>
      <c r="R4495" s="317"/>
      <c r="S4495" s="317"/>
      <c r="T4495" s="317"/>
      <c r="U4495" s="317"/>
      <c r="V4495" s="317"/>
      <c r="W4495" s="317"/>
      <c r="X4495" s="317"/>
      <c r="Y4495" s="317"/>
      <c r="Z4495" s="317"/>
    </row>
    <row r="4496" spans="1:26" x14ac:dyDescent="0.25">
      <c r="A4496" s="314"/>
      <c r="B4496" s="18">
        <v>2023</v>
      </c>
      <c r="C4496" s="18" t="s">
        <v>743</v>
      </c>
      <c r="D4496" s="18" t="s">
        <v>1842</v>
      </c>
      <c r="E4496" s="18" t="s">
        <v>713</v>
      </c>
      <c r="F4496" s="18" t="s">
        <v>714</v>
      </c>
      <c r="G4496" s="18" t="s">
        <v>678</v>
      </c>
      <c r="H4496" s="18" t="s">
        <v>1709</v>
      </c>
      <c r="I4496" s="315">
        <v>9.7050184924124441E-2</v>
      </c>
      <c r="J4496" s="315">
        <v>1.2008376446393044E-5</v>
      </c>
      <c r="K4496" s="316" t="str">
        <f t="shared" si="64"/>
        <v>Agricultural Equipment</v>
      </c>
      <c r="L4496" s="316" t="str">
        <f t="shared" si="65"/>
        <v>Diesel</v>
      </c>
      <c r="M4496" s="194"/>
      <c r="N4496" s="317"/>
      <c r="O4496" s="317"/>
      <c r="P4496" s="317"/>
      <c r="Q4496" s="317"/>
      <c r="R4496" s="317"/>
      <c r="S4496" s="317"/>
      <c r="T4496" s="317"/>
      <c r="U4496" s="317"/>
      <c r="V4496" s="317"/>
      <c r="W4496" s="317"/>
      <c r="X4496" s="317"/>
      <c r="Y4496" s="317"/>
      <c r="Z4496" s="317"/>
    </row>
    <row r="4497" spans="1:26" x14ac:dyDescent="0.25">
      <c r="A4497" s="314"/>
      <c r="B4497" s="18">
        <v>2023</v>
      </c>
      <c r="C4497" s="18" t="s">
        <v>810</v>
      </c>
      <c r="D4497" s="18" t="s">
        <v>1737</v>
      </c>
      <c r="E4497" s="18" t="s">
        <v>703</v>
      </c>
      <c r="F4497" s="18" t="s">
        <v>805</v>
      </c>
      <c r="G4497" s="18" t="s">
        <v>673</v>
      </c>
      <c r="H4497" s="18" t="s">
        <v>705</v>
      </c>
      <c r="I4497" s="315">
        <v>9.6988905222155392E-2</v>
      </c>
      <c r="J4497" s="315">
        <v>1.9449308575739108E-4</v>
      </c>
      <c r="K4497" s="316" t="str">
        <f t="shared" si="64"/>
        <v>Lawn and Garden Equipment</v>
      </c>
      <c r="L4497" s="316" t="str">
        <f t="shared" si="65"/>
        <v>Gasoline</v>
      </c>
      <c r="M4497" s="194"/>
      <c r="N4497" s="317"/>
      <c r="O4497" s="317"/>
      <c r="P4497" s="317"/>
      <c r="Q4497" s="317"/>
      <c r="R4497" s="317"/>
      <c r="S4497" s="317"/>
      <c r="T4497" s="317"/>
      <c r="U4497" s="317"/>
      <c r="V4497" s="317"/>
      <c r="W4497" s="317"/>
      <c r="X4497" s="317"/>
      <c r="Y4497" s="317"/>
      <c r="Z4497" s="317"/>
    </row>
    <row r="4498" spans="1:26" x14ac:dyDescent="0.25">
      <c r="A4498" s="314"/>
      <c r="B4498" s="18">
        <v>2023</v>
      </c>
      <c r="C4498" s="18" t="s">
        <v>759</v>
      </c>
      <c r="D4498" s="18" t="s">
        <v>1737</v>
      </c>
      <c r="E4498" s="18" t="s">
        <v>703</v>
      </c>
      <c r="F4498" s="18" t="s">
        <v>805</v>
      </c>
      <c r="G4498" s="18" t="s">
        <v>673</v>
      </c>
      <c r="H4498" s="18" t="s">
        <v>705</v>
      </c>
      <c r="I4498" s="315">
        <v>9.6988905222155392E-2</v>
      </c>
      <c r="J4498" s="315">
        <v>1.9449308575739108E-4</v>
      </c>
      <c r="K4498" s="316" t="str">
        <f t="shared" si="64"/>
        <v>Lawn and Garden Equipment</v>
      </c>
      <c r="L4498" s="316" t="str">
        <f t="shared" si="65"/>
        <v>Gasoline</v>
      </c>
      <c r="M4498" s="194"/>
      <c r="N4498" s="317"/>
      <c r="O4498" s="317"/>
      <c r="P4498" s="317"/>
      <c r="Q4498" s="317"/>
      <c r="R4498" s="317"/>
      <c r="S4498" s="317"/>
      <c r="T4498" s="317"/>
      <c r="U4498" s="317"/>
      <c r="V4498" s="317"/>
      <c r="W4498" s="317"/>
      <c r="X4498" s="317"/>
      <c r="Y4498" s="317"/>
      <c r="Z4498" s="317"/>
    </row>
    <row r="4499" spans="1:26" x14ac:dyDescent="0.25">
      <c r="A4499" s="314"/>
      <c r="B4499" s="18">
        <v>2023</v>
      </c>
      <c r="C4499" s="18" t="s">
        <v>727</v>
      </c>
      <c r="D4499" s="18" t="s">
        <v>1737</v>
      </c>
      <c r="E4499" s="18" t="s">
        <v>703</v>
      </c>
      <c r="F4499" s="18" t="s">
        <v>805</v>
      </c>
      <c r="G4499" s="18" t="s">
        <v>673</v>
      </c>
      <c r="H4499" s="18" t="s">
        <v>705</v>
      </c>
      <c r="I4499" s="315">
        <v>9.6988905222155392E-2</v>
      </c>
      <c r="J4499" s="315">
        <v>1.9449308575739108E-4</v>
      </c>
      <c r="K4499" s="316" t="str">
        <f t="shared" si="64"/>
        <v>Lawn and Garden Equipment</v>
      </c>
      <c r="L4499" s="316" t="str">
        <f t="shared" si="65"/>
        <v>Gasoline</v>
      </c>
      <c r="M4499" s="194"/>
      <c r="N4499" s="317"/>
      <c r="O4499" s="317"/>
      <c r="P4499" s="317"/>
      <c r="Q4499" s="317"/>
      <c r="R4499" s="317"/>
      <c r="S4499" s="317"/>
      <c r="T4499" s="317"/>
      <c r="U4499" s="317"/>
      <c r="V4499" s="317"/>
      <c r="W4499" s="317"/>
      <c r="X4499" s="317"/>
      <c r="Y4499" s="317"/>
      <c r="Z4499" s="317"/>
    </row>
    <row r="4500" spans="1:26" x14ac:dyDescent="0.25">
      <c r="A4500" s="314"/>
      <c r="B4500" s="18">
        <v>2023</v>
      </c>
      <c r="C4500" s="18" t="s">
        <v>743</v>
      </c>
      <c r="D4500" s="18" t="s">
        <v>1843</v>
      </c>
      <c r="E4500" s="18" t="s">
        <v>56</v>
      </c>
      <c r="F4500" s="18" t="s">
        <v>672</v>
      </c>
      <c r="G4500" s="18" t="s">
        <v>678</v>
      </c>
      <c r="H4500" s="18" t="s">
        <v>1154</v>
      </c>
      <c r="I4500" s="315">
        <v>9.6885457079177728E-2</v>
      </c>
      <c r="J4500" s="315">
        <v>4.446311926925278E-6</v>
      </c>
      <c r="K4500" s="316" t="str">
        <f t="shared" si="64"/>
        <v>Agricultural Equipment</v>
      </c>
      <c r="L4500" s="316" t="str">
        <f t="shared" si="65"/>
        <v>LPG</v>
      </c>
      <c r="M4500" s="194"/>
      <c r="N4500" s="317"/>
      <c r="O4500" s="317"/>
      <c r="P4500" s="317"/>
      <c r="Q4500" s="317"/>
      <c r="R4500" s="317"/>
      <c r="S4500" s="317"/>
      <c r="T4500" s="317"/>
      <c r="U4500" s="317"/>
      <c r="V4500" s="317"/>
      <c r="W4500" s="317"/>
      <c r="X4500" s="317"/>
      <c r="Y4500" s="317"/>
      <c r="Z4500" s="317"/>
    </row>
    <row r="4501" spans="1:26" x14ac:dyDescent="0.25">
      <c r="A4501" s="314"/>
      <c r="B4501" s="18">
        <v>2023</v>
      </c>
      <c r="C4501" s="18" t="s">
        <v>731</v>
      </c>
      <c r="D4501" s="18" t="s">
        <v>1806</v>
      </c>
      <c r="E4501" s="18" t="s">
        <v>56</v>
      </c>
      <c r="F4501" s="18" t="s">
        <v>601</v>
      </c>
      <c r="G4501" s="18" t="s">
        <v>675</v>
      </c>
      <c r="H4501" s="18" t="s">
        <v>798</v>
      </c>
      <c r="I4501" s="315">
        <v>9.6883989628086087E-2</v>
      </c>
      <c r="J4501" s="315">
        <v>3.8562495930432434E-4</v>
      </c>
      <c r="K4501" s="316" t="str">
        <f t="shared" si="64"/>
        <v>Industrial Equipment</v>
      </c>
      <c r="L4501" s="316" t="str">
        <f t="shared" si="65"/>
        <v>CNG</v>
      </c>
      <c r="M4501" s="194"/>
      <c r="N4501" s="317"/>
      <c r="O4501" s="317"/>
      <c r="P4501" s="317"/>
      <c r="Q4501" s="317"/>
      <c r="R4501" s="317"/>
      <c r="S4501" s="317"/>
      <c r="T4501" s="317"/>
      <c r="U4501" s="317"/>
      <c r="V4501" s="317"/>
      <c r="W4501" s="317"/>
      <c r="X4501" s="317"/>
      <c r="Y4501" s="317"/>
      <c r="Z4501" s="317"/>
    </row>
    <row r="4502" spans="1:26" x14ac:dyDescent="0.25">
      <c r="A4502" s="314"/>
      <c r="B4502" s="18">
        <v>2023</v>
      </c>
      <c r="C4502" s="18" t="s">
        <v>781</v>
      </c>
      <c r="D4502" s="18" t="s">
        <v>1656</v>
      </c>
      <c r="E4502" s="18" t="s">
        <v>56</v>
      </c>
      <c r="F4502" s="18" t="s">
        <v>672</v>
      </c>
      <c r="G4502" s="18" t="s">
        <v>677</v>
      </c>
      <c r="H4502" s="18" t="s">
        <v>1031</v>
      </c>
      <c r="I4502" s="315">
        <v>9.6735318148494634E-2</v>
      </c>
      <c r="J4502" s="315">
        <v>4.8848935552273132E-6</v>
      </c>
      <c r="K4502" s="316" t="str">
        <f t="shared" si="64"/>
        <v>Commercial Equipment</v>
      </c>
      <c r="L4502" s="316" t="str">
        <f t="shared" si="65"/>
        <v>LPG</v>
      </c>
      <c r="M4502" s="194"/>
      <c r="N4502" s="317"/>
      <c r="O4502" s="317"/>
      <c r="P4502" s="317"/>
      <c r="Q4502" s="317"/>
      <c r="R4502" s="317"/>
      <c r="S4502" s="317"/>
      <c r="T4502" s="317"/>
      <c r="U4502" s="317"/>
      <c r="V4502" s="317"/>
      <c r="W4502" s="317"/>
      <c r="X4502" s="317"/>
      <c r="Y4502" s="317"/>
      <c r="Z4502" s="317"/>
    </row>
    <row r="4503" spans="1:26" x14ac:dyDescent="0.25">
      <c r="A4503" s="314"/>
      <c r="B4503" s="18">
        <v>2023</v>
      </c>
      <c r="C4503" s="18" t="s">
        <v>731</v>
      </c>
      <c r="D4503" s="18" t="s">
        <v>1844</v>
      </c>
      <c r="E4503" s="18" t="s">
        <v>56</v>
      </c>
      <c r="F4503" s="18" t="s">
        <v>601</v>
      </c>
      <c r="G4503" s="18" t="s">
        <v>678</v>
      </c>
      <c r="H4503" s="18" t="s">
        <v>1080</v>
      </c>
      <c r="I4503" s="315">
        <v>9.653541756397184E-2</v>
      </c>
      <c r="J4503" s="315">
        <v>3.801966423910938E-3</v>
      </c>
      <c r="K4503" s="316" t="str">
        <f t="shared" si="64"/>
        <v>Agricultural Equipment</v>
      </c>
      <c r="L4503" s="316" t="str">
        <f t="shared" si="65"/>
        <v>CNG</v>
      </c>
      <c r="M4503" s="194"/>
      <c r="N4503" s="317"/>
      <c r="O4503" s="317"/>
      <c r="P4503" s="317"/>
      <c r="Q4503" s="317"/>
      <c r="R4503" s="317"/>
      <c r="S4503" s="317"/>
      <c r="T4503" s="317"/>
      <c r="U4503" s="317"/>
      <c r="V4503" s="317"/>
      <c r="W4503" s="317"/>
      <c r="X4503" s="317"/>
      <c r="Y4503" s="317"/>
      <c r="Z4503" s="317"/>
    </row>
    <row r="4504" spans="1:26" x14ac:dyDescent="0.25">
      <c r="A4504" s="314"/>
      <c r="B4504" s="18">
        <v>2023</v>
      </c>
      <c r="C4504" s="18" t="s">
        <v>731</v>
      </c>
      <c r="D4504" s="18" t="s">
        <v>1737</v>
      </c>
      <c r="E4504" s="18" t="s">
        <v>703</v>
      </c>
      <c r="F4504" s="18" t="s">
        <v>805</v>
      </c>
      <c r="G4504" s="18" t="s">
        <v>673</v>
      </c>
      <c r="H4504" s="18" t="s">
        <v>705</v>
      </c>
      <c r="I4504" s="315">
        <v>9.6386522366619612E-2</v>
      </c>
      <c r="J4504" s="315">
        <v>1.9328494522561482E-4</v>
      </c>
      <c r="K4504" s="316" t="str">
        <f t="shared" si="64"/>
        <v>Lawn and Garden Equipment</v>
      </c>
      <c r="L4504" s="316" t="str">
        <f t="shared" si="65"/>
        <v>Gasoline</v>
      </c>
      <c r="M4504" s="194"/>
      <c r="N4504" s="317"/>
      <c r="O4504" s="317"/>
      <c r="P4504" s="317"/>
      <c r="Q4504" s="317"/>
      <c r="R4504" s="317"/>
      <c r="S4504" s="317"/>
      <c r="T4504" s="317"/>
      <c r="U4504" s="317"/>
      <c r="V4504" s="317"/>
      <c r="W4504" s="317"/>
      <c r="X4504" s="317"/>
      <c r="Y4504" s="317"/>
      <c r="Z4504" s="317"/>
    </row>
    <row r="4505" spans="1:26" x14ac:dyDescent="0.25">
      <c r="A4505" s="314"/>
      <c r="B4505" s="18">
        <v>2023</v>
      </c>
      <c r="C4505" s="18" t="s">
        <v>793</v>
      </c>
      <c r="D4505" s="18" t="s">
        <v>1830</v>
      </c>
      <c r="E4505" s="18" t="s">
        <v>703</v>
      </c>
      <c r="F4505" s="18" t="s">
        <v>805</v>
      </c>
      <c r="G4505" s="18" t="s">
        <v>678</v>
      </c>
      <c r="H4505" s="18" t="s">
        <v>1222</v>
      </c>
      <c r="I4505" s="315">
        <v>9.5230227761970529E-2</v>
      </c>
      <c r="J4505" s="315">
        <v>1.564471680784926E-4</v>
      </c>
      <c r="K4505" s="316" t="str">
        <f t="shared" si="64"/>
        <v>Agricultural Equipment</v>
      </c>
      <c r="L4505" s="316" t="str">
        <f t="shared" si="65"/>
        <v>Gasoline</v>
      </c>
      <c r="M4505" s="194"/>
      <c r="N4505" s="317"/>
      <c r="O4505" s="317"/>
      <c r="P4505" s="317"/>
      <c r="Q4505" s="317"/>
      <c r="R4505" s="317"/>
      <c r="S4505" s="317"/>
      <c r="T4505" s="317"/>
      <c r="U4505" s="317"/>
      <c r="V4505" s="317"/>
      <c r="W4505" s="317"/>
      <c r="X4505" s="317"/>
      <c r="Y4505" s="317"/>
      <c r="Z4505" s="317"/>
    </row>
    <row r="4506" spans="1:26" x14ac:dyDescent="0.25">
      <c r="A4506" s="314"/>
      <c r="B4506" s="18">
        <v>2023</v>
      </c>
      <c r="C4506" s="18" t="s">
        <v>753</v>
      </c>
      <c r="D4506" s="18" t="s">
        <v>1737</v>
      </c>
      <c r="E4506" s="18" t="s">
        <v>703</v>
      </c>
      <c r="F4506" s="18" t="s">
        <v>805</v>
      </c>
      <c r="G4506" s="18" t="s">
        <v>673</v>
      </c>
      <c r="H4506" s="18" t="s">
        <v>705</v>
      </c>
      <c r="I4506" s="315">
        <v>9.5181696351873318E-2</v>
      </c>
      <c r="J4506" s="315">
        <v>1.9086898176154293E-4</v>
      </c>
      <c r="K4506" s="316" t="str">
        <f t="shared" si="64"/>
        <v>Lawn and Garden Equipment</v>
      </c>
      <c r="L4506" s="316" t="str">
        <f t="shared" si="65"/>
        <v>Gasoline</v>
      </c>
      <c r="M4506" s="194"/>
      <c r="N4506" s="317"/>
      <c r="O4506" s="317"/>
      <c r="P4506" s="317"/>
      <c r="Q4506" s="317"/>
      <c r="R4506" s="317"/>
      <c r="S4506" s="317"/>
      <c r="T4506" s="317"/>
      <c r="U4506" s="317"/>
      <c r="V4506" s="317"/>
      <c r="W4506" s="317"/>
      <c r="X4506" s="317"/>
      <c r="Y4506" s="317"/>
      <c r="Z4506" s="317"/>
    </row>
    <row r="4507" spans="1:26" x14ac:dyDescent="0.25">
      <c r="A4507" s="314"/>
      <c r="B4507" s="18">
        <v>2023</v>
      </c>
      <c r="C4507" s="18" t="s">
        <v>759</v>
      </c>
      <c r="D4507" s="18" t="s">
        <v>1580</v>
      </c>
      <c r="E4507" s="18" t="s">
        <v>56</v>
      </c>
      <c r="F4507" s="18" t="s">
        <v>672</v>
      </c>
      <c r="G4507" s="18" t="s">
        <v>674</v>
      </c>
      <c r="H4507" s="18" t="s">
        <v>736</v>
      </c>
      <c r="I4507" s="315">
        <v>9.4825088958711279E-2</v>
      </c>
      <c r="J4507" s="315">
        <v>4.3560481365780691E-6</v>
      </c>
      <c r="K4507" s="316" t="str">
        <f t="shared" si="64"/>
        <v>Construction and Mining Equipment</v>
      </c>
      <c r="L4507" s="316" t="str">
        <f t="shared" si="65"/>
        <v>LPG</v>
      </c>
      <c r="M4507" s="194"/>
      <c r="N4507" s="317"/>
      <c r="O4507" s="317"/>
      <c r="P4507" s="317"/>
      <c r="Q4507" s="317"/>
      <c r="R4507" s="317"/>
      <c r="S4507" s="317"/>
      <c r="T4507" s="317"/>
      <c r="U4507" s="317"/>
      <c r="V4507" s="317"/>
      <c r="W4507" s="317"/>
      <c r="X4507" s="317"/>
      <c r="Y4507" s="317"/>
      <c r="Z4507" s="317"/>
    </row>
    <row r="4508" spans="1:26" x14ac:dyDescent="0.25">
      <c r="A4508" s="314"/>
      <c r="B4508" s="18">
        <v>2023</v>
      </c>
      <c r="C4508" s="18" t="s">
        <v>753</v>
      </c>
      <c r="D4508" s="18" t="s">
        <v>1806</v>
      </c>
      <c r="E4508" s="18" t="s">
        <v>56</v>
      </c>
      <c r="F4508" s="18" t="s">
        <v>601</v>
      </c>
      <c r="G4508" s="18" t="s">
        <v>675</v>
      </c>
      <c r="H4508" s="18" t="s">
        <v>798</v>
      </c>
      <c r="I4508" s="315">
        <v>9.3753273856519881E-2</v>
      </c>
      <c r="J4508" s="315">
        <v>3.731635217788323E-4</v>
      </c>
      <c r="K4508" s="316" t="str">
        <f t="shared" si="64"/>
        <v>Industrial Equipment</v>
      </c>
      <c r="L4508" s="316" t="str">
        <f t="shared" si="65"/>
        <v>CNG</v>
      </c>
      <c r="M4508" s="194"/>
      <c r="N4508" s="317"/>
      <c r="O4508" s="317"/>
      <c r="P4508" s="317"/>
      <c r="Q4508" s="317"/>
      <c r="R4508" s="317"/>
      <c r="S4508" s="317"/>
      <c r="T4508" s="317"/>
      <c r="U4508" s="317"/>
      <c r="V4508" s="317"/>
      <c r="W4508" s="317"/>
      <c r="X4508" s="317"/>
      <c r="Y4508" s="317"/>
      <c r="Z4508" s="317"/>
    </row>
    <row r="4509" spans="1:26" x14ac:dyDescent="0.25">
      <c r="A4509" s="314"/>
      <c r="B4509" s="18">
        <v>2023</v>
      </c>
      <c r="C4509" s="18" t="s">
        <v>759</v>
      </c>
      <c r="D4509" s="18" t="s">
        <v>1583</v>
      </c>
      <c r="E4509" s="18" t="s">
        <v>703</v>
      </c>
      <c r="F4509" s="18" t="s">
        <v>805</v>
      </c>
      <c r="G4509" s="18" t="s">
        <v>674</v>
      </c>
      <c r="H4509" s="18" t="s">
        <v>1036</v>
      </c>
      <c r="I4509" s="315">
        <v>9.358201221080692E-2</v>
      </c>
      <c r="J4509" s="315">
        <v>1.9368120017926999E-4</v>
      </c>
      <c r="K4509" s="316" t="str">
        <f t="shared" si="64"/>
        <v>Construction and Mining Equipment</v>
      </c>
      <c r="L4509" s="316" t="str">
        <f t="shared" si="65"/>
        <v>Gasoline</v>
      </c>
      <c r="M4509" s="194"/>
      <c r="N4509" s="317"/>
      <c r="O4509" s="317"/>
      <c r="P4509" s="317"/>
      <c r="Q4509" s="317"/>
      <c r="R4509" s="317"/>
      <c r="S4509" s="317"/>
      <c r="T4509" s="317"/>
      <c r="U4509" s="317"/>
      <c r="V4509" s="317"/>
      <c r="W4509" s="317"/>
      <c r="X4509" s="317"/>
      <c r="Y4509" s="317"/>
      <c r="Z4509" s="317"/>
    </row>
    <row r="4510" spans="1:26" x14ac:dyDescent="0.25">
      <c r="A4510" s="314"/>
      <c r="B4510" s="18">
        <v>2023</v>
      </c>
      <c r="C4510" s="18" t="s">
        <v>753</v>
      </c>
      <c r="D4510" s="18" t="s">
        <v>1845</v>
      </c>
      <c r="E4510" s="18" t="s">
        <v>713</v>
      </c>
      <c r="F4510" s="18" t="s">
        <v>714</v>
      </c>
      <c r="G4510" s="18" t="s">
        <v>678</v>
      </c>
      <c r="H4510" s="18" t="s">
        <v>1279</v>
      </c>
      <c r="I4510" s="315">
        <v>9.2917086221723927E-2</v>
      </c>
      <c r="J4510" s="315">
        <v>5.4174631623776005E-7</v>
      </c>
      <c r="K4510" s="316" t="str">
        <f t="shared" si="64"/>
        <v>Agricultural Equipment</v>
      </c>
      <c r="L4510" s="316" t="str">
        <f t="shared" si="65"/>
        <v>Diesel</v>
      </c>
      <c r="M4510" s="194"/>
      <c r="N4510" s="317"/>
      <c r="O4510" s="317"/>
      <c r="P4510" s="317"/>
      <c r="Q4510" s="317"/>
      <c r="R4510" s="317"/>
      <c r="S4510" s="317"/>
      <c r="T4510" s="317"/>
      <c r="U4510" s="317"/>
      <c r="V4510" s="317"/>
      <c r="W4510" s="317"/>
      <c r="X4510" s="317"/>
      <c r="Y4510" s="317"/>
      <c r="Z4510" s="317"/>
    </row>
    <row r="4511" spans="1:26" x14ac:dyDescent="0.25">
      <c r="A4511" s="314"/>
      <c r="B4511" s="18">
        <v>2023</v>
      </c>
      <c r="C4511" s="18" t="s">
        <v>731</v>
      </c>
      <c r="D4511" s="18" t="s">
        <v>1845</v>
      </c>
      <c r="E4511" s="18" t="s">
        <v>713</v>
      </c>
      <c r="F4511" s="18" t="s">
        <v>714</v>
      </c>
      <c r="G4511" s="18" t="s">
        <v>678</v>
      </c>
      <c r="H4511" s="18" t="s">
        <v>1279</v>
      </c>
      <c r="I4511" s="315">
        <v>9.2166510628223633E-2</v>
      </c>
      <c r="J4511" s="315">
        <v>5.3736996793780538E-7</v>
      </c>
      <c r="K4511" s="316" t="str">
        <f t="shared" si="64"/>
        <v>Agricultural Equipment</v>
      </c>
      <c r="L4511" s="316" t="str">
        <f t="shared" si="65"/>
        <v>Diesel</v>
      </c>
      <c r="M4511" s="194"/>
      <c r="N4511" s="317"/>
      <c r="O4511" s="317"/>
      <c r="P4511" s="317"/>
      <c r="Q4511" s="317"/>
      <c r="R4511" s="317"/>
      <c r="S4511" s="317"/>
      <c r="T4511" s="317"/>
      <c r="U4511" s="317"/>
      <c r="V4511" s="317"/>
      <c r="W4511" s="317"/>
      <c r="X4511" s="317"/>
      <c r="Y4511" s="317"/>
      <c r="Z4511" s="317"/>
    </row>
    <row r="4512" spans="1:26" x14ac:dyDescent="0.25">
      <c r="A4512" s="314"/>
      <c r="B4512" s="18">
        <v>2023</v>
      </c>
      <c r="C4512" s="18" t="s">
        <v>731</v>
      </c>
      <c r="D4512" s="18" t="s">
        <v>1715</v>
      </c>
      <c r="E4512" s="18" t="s">
        <v>703</v>
      </c>
      <c r="F4512" s="18" t="s">
        <v>805</v>
      </c>
      <c r="G4512" s="18" t="s">
        <v>677</v>
      </c>
      <c r="H4512" s="18" t="s">
        <v>1031</v>
      </c>
      <c r="I4512" s="315">
        <v>9.178344705926457E-2</v>
      </c>
      <c r="J4512" s="315">
        <v>2.0508139438594913E-4</v>
      </c>
      <c r="K4512" s="316" t="str">
        <f t="shared" si="64"/>
        <v>Commercial Equipment</v>
      </c>
      <c r="L4512" s="316" t="str">
        <f t="shared" si="65"/>
        <v>Gasoline</v>
      </c>
      <c r="M4512" s="194"/>
      <c r="N4512" s="317"/>
      <c r="O4512" s="317"/>
      <c r="P4512" s="317"/>
      <c r="Q4512" s="317"/>
      <c r="R4512" s="317"/>
      <c r="S4512" s="317"/>
      <c r="T4512" s="317"/>
      <c r="U4512" s="317"/>
      <c r="V4512" s="317"/>
      <c r="W4512" s="317"/>
      <c r="X4512" s="317"/>
      <c r="Y4512" s="317"/>
      <c r="Z4512" s="317"/>
    </row>
    <row r="4513" spans="1:26" x14ac:dyDescent="0.25">
      <c r="A4513" s="314"/>
      <c r="B4513" s="18">
        <v>2023</v>
      </c>
      <c r="C4513" s="18" t="s">
        <v>787</v>
      </c>
      <c r="D4513" s="18" t="s">
        <v>1833</v>
      </c>
      <c r="E4513" s="18" t="s">
        <v>703</v>
      </c>
      <c r="F4513" s="18" t="s">
        <v>704</v>
      </c>
      <c r="G4513" s="18" t="s">
        <v>674</v>
      </c>
      <c r="H4513" s="18" t="s">
        <v>1082</v>
      </c>
      <c r="I4513" s="315">
        <v>9.1212834455316985E-2</v>
      </c>
      <c r="J4513" s="315">
        <v>5.9275706999046368E-5</v>
      </c>
      <c r="K4513" s="316" t="str">
        <f t="shared" si="64"/>
        <v>Construction and Mining Equipment</v>
      </c>
      <c r="L4513" s="316" t="str">
        <f t="shared" si="65"/>
        <v>Gasoline</v>
      </c>
      <c r="M4513" s="194"/>
      <c r="N4513" s="317"/>
      <c r="O4513" s="317"/>
      <c r="P4513" s="317"/>
      <c r="Q4513" s="317"/>
      <c r="R4513" s="317"/>
      <c r="S4513" s="317"/>
      <c r="T4513" s="317"/>
      <c r="U4513" s="317"/>
      <c r="V4513" s="317"/>
      <c r="W4513" s="317"/>
      <c r="X4513" s="317"/>
      <c r="Y4513" s="317"/>
      <c r="Z4513" s="317"/>
    </row>
    <row r="4514" spans="1:26" x14ac:dyDescent="0.25">
      <c r="A4514" s="314"/>
      <c r="B4514" s="18">
        <v>2023</v>
      </c>
      <c r="C4514" s="18" t="s">
        <v>743</v>
      </c>
      <c r="D4514" s="18" t="s">
        <v>1792</v>
      </c>
      <c r="E4514" s="18" t="s">
        <v>713</v>
      </c>
      <c r="F4514" s="18" t="s">
        <v>714</v>
      </c>
      <c r="G4514" s="18" t="s">
        <v>673</v>
      </c>
      <c r="H4514" s="18" t="s">
        <v>749</v>
      </c>
      <c r="I4514" s="315">
        <v>8.9257236091666678E-2</v>
      </c>
      <c r="J4514" s="315">
        <v>4.6090592278387346E-6</v>
      </c>
      <c r="K4514" s="316" t="str">
        <f t="shared" si="64"/>
        <v>Lawn and Garden Equipment</v>
      </c>
      <c r="L4514" s="316" t="str">
        <f t="shared" si="65"/>
        <v>Diesel</v>
      </c>
      <c r="M4514" s="194"/>
      <c r="N4514" s="317"/>
      <c r="O4514" s="317"/>
      <c r="P4514" s="317"/>
      <c r="Q4514" s="317"/>
      <c r="R4514" s="317"/>
      <c r="S4514" s="317"/>
      <c r="T4514" s="317"/>
      <c r="U4514" s="317"/>
      <c r="V4514" s="317"/>
      <c r="W4514" s="317"/>
      <c r="X4514" s="317"/>
      <c r="Y4514" s="317"/>
      <c r="Z4514" s="317"/>
    </row>
    <row r="4515" spans="1:26" x14ac:dyDescent="0.25">
      <c r="A4515" s="314"/>
      <c r="B4515" s="18">
        <v>2023</v>
      </c>
      <c r="C4515" s="18" t="s">
        <v>743</v>
      </c>
      <c r="D4515" s="18" t="s">
        <v>1844</v>
      </c>
      <c r="E4515" s="18" t="s">
        <v>56</v>
      </c>
      <c r="F4515" s="18" t="s">
        <v>601</v>
      </c>
      <c r="G4515" s="18" t="s">
        <v>678</v>
      </c>
      <c r="H4515" s="18" t="s">
        <v>1080</v>
      </c>
      <c r="I4515" s="315">
        <v>8.8939632924838016E-2</v>
      </c>
      <c r="J4515" s="315">
        <v>3.502810732417897E-3</v>
      </c>
      <c r="K4515" s="316" t="str">
        <f t="shared" si="64"/>
        <v>Agricultural Equipment</v>
      </c>
      <c r="L4515" s="316" t="str">
        <f t="shared" si="65"/>
        <v>CNG</v>
      </c>
      <c r="M4515" s="194"/>
      <c r="N4515" s="317"/>
      <c r="O4515" s="317"/>
      <c r="P4515" s="317"/>
      <c r="Q4515" s="317"/>
      <c r="R4515" s="317"/>
      <c r="S4515" s="317"/>
      <c r="T4515" s="317"/>
      <c r="U4515" s="317"/>
      <c r="V4515" s="317"/>
      <c r="W4515" s="317"/>
      <c r="X4515" s="317"/>
      <c r="Y4515" s="317"/>
      <c r="Z4515" s="317"/>
    </row>
    <row r="4516" spans="1:26" x14ac:dyDescent="0.25">
      <c r="A4516" s="314"/>
      <c r="B4516" s="18">
        <v>2023</v>
      </c>
      <c r="C4516" s="18" t="s">
        <v>778</v>
      </c>
      <c r="D4516" s="18" t="s">
        <v>1717</v>
      </c>
      <c r="E4516" s="18" t="s">
        <v>56</v>
      </c>
      <c r="F4516" s="18" t="s">
        <v>601</v>
      </c>
      <c r="G4516" s="18" t="s">
        <v>675</v>
      </c>
      <c r="H4516" s="18" t="s">
        <v>802</v>
      </c>
      <c r="I4516" s="315">
        <v>8.6732836420902543E-2</v>
      </c>
      <c r="J4516" s="315">
        <v>3.4559465026595448E-4</v>
      </c>
      <c r="K4516" s="316" t="str">
        <f t="shared" si="64"/>
        <v>Industrial Equipment</v>
      </c>
      <c r="L4516" s="316" t="str">
        <f t="shared" si="65"/>
        <v>CNG</v>
      </c>
      <c r="M4516" s="194"/>
      <c r="N4516" s="317"/>
      <c r="O4516" s="317"/>
      <c r="P4516" s="317"/>
      <c r="Q4516" s="317"/>
      <c r="R4516" s="317"/>
      <c r="S4516" s="317"/>
      <c r="T4516" s="317"/>
      <c r="U4516" s="317"/>
      <c r="V4516" s="317"/>
      <c r="W4516" s="317"/>
      <c r="X4516" s="317"/>
      <c r="Y4516" s="317"/>
      <c r="Z4516" s="317"/>
    </row>
    <row r="4517" spans="1:26" x14ac:dyDescent="0.25">
      <c r="A4517" s="314"/>
      <c r="B4517" s="18">
        <v>2023</v>
      </c>
      <c r="C4517" s="18" t="s">
        <v>750</v>
      </c>
      <c r="D4517" s="18" t="s">
        <v>1833</v>
      </c>
      <c r="E4517" s="18" t="s">
        <v>703</v>
      </c>
      <c r="F4517" s="18" t="s">
        <v>704</v>
      </c>
      <c r="G4517" s="18" t="s">
        <v>674</v>
      </c>
      <c r="H4517" s="18" t="s">
        <v>1082</v>
      </c>
      <c r="I4517" s="315">
        <v>8.5276084809956243E-2</v>
      </c>
      <c r="J4517" s="315">
        <v>5.5157384899973493E-5</v>
      </c>
      <c r="K4517" s="316" t="str">
        <f t="shared" si="64"/>
        <v>Construction and Mining Equipment</v>
      </c>
      <c r="L4517" s="316" t="str">
        <f t="shared" si="65"/>
        <v>Gasoline</v>
      </c>
      <c r="M4517" s="194"/>
      <c r="N4517" s="317"/>
      <c r="O4517" s="317"/>
      <c r="P4517" s="317"/>
      <c r="Q4517" s="317"/>
      <c r="R4517" s="317"/>
      <c r="S4517" s="317"/>
      <c r="T4517" s="317"/>
      <c r="U4517" s="317"/>
      <c r="V4517" s="317"/>
      <c r="W4517" s="317"/>
      <c r="X4517" s="317"/>
      <c r="Y4517" s="317"/>
      <c r="Z4517" s="317"/>
    </row>
    <row r="4518" spans="1:26" x14ac:dyDescent="0.25">
      <c r="A4518" s="314"/>
      <c r="B4518" s="18">
        <v>2023</v>
      </c>
      <c r="C4518" s="18" t="s">
        <v>743</v>
      </c>
      <c r="D4518" s="18" t="s">
        <v>1845</v>
      </c>
      <c r="E4518" s="18" t="s">
        <v>713</v>
      </c>
      <c r="F4518" s="18" t="s">
        <v>714</v>
      </c>
      <c r="G4518" s="18" t="s">
        <v>678</v>
      </c>
      <c r="H4518" s="18" t="s">
        <v>1279</v>
      </c>
      <c r="I4518" s="315">
        <v>8.4914528510218606E-2</v>
      </c>
      <c r="J4518" s="315">
        <v>4.9508701917928824E-7</v>
      </c>
      <c r="K4518" s="316" t="str">
        <f t="shared" si="64"/>
        <v>Agricultural Equipment</v>
      </c>
      <c r="L4518" s="316" t="str">
        <f t="shared" si="65"/>
        <v>Diesel</v>
      </c>
      <c r="M4518" s="194"/>
      <c r="N4518" s="317"/>
      <c r="O4518" s="317"/>
      <c r="P4518" s="317"/>
      <c r="Q4518" s="317"/>
      <c r="R4518" s="317"/>
      <c r="S4518" s="317"/>
      <c r="T4518" s="317"/>
      <c r="U4518" s="317"/>
      <c r="V4518" s="317"/>
      <c r="W4518" s="317"/>
      <c r="X4518" s="317"/>
      <c r="Y4518" s="317"/>
      <c r="Z4518" s="317"/>
    </row>
    <row r="4519" spans="1:26" x14ac:dyDescent="0.25">
      <c r="A4519" s="314"/>
      <c r="B4519" s="18">
        <v>2023</v>
      </c>
      <c r="C4519" s="18" t="s">
        <v>727</v>
      </c>
      <c r="D4519" s="18" t="s">
        <v>1717</v>
      </c>
      <c r="E4519" s="18" t="s">
        <v>56</v>
      </c>
      <c r="F4519" s="18" t="s">
        <v>601</v>
      </c>
      <c r="G4519" s="18" t="s">
        <v>675</v>
      </c>
      <c r="H4519" s="18" t="s">
        <v>802</v>
      </c>
      <c r="I4519" s="315">
        <v>8.1680615593268835E-2</v>
      </c>
      <c r="J4519" s="315">
        <v>3.2546404843821961E-4</v>
      </c>
      <c r="K4519" s="316" t="str">
        <f t="shared" si="64"/>
        <v>Industrial Equipment</v>
      </c>
      <c r="L4519" s="316" t="str">
        <f t="shared" si="65"/>
        <v>CNG</v>
      </c>
      <c r="M4519" s="194"/>
      <c r="N4519" s="317"/>
      <c r="O4519" s="317"/>
      <c r="P4519" s="317"/>
      <c r="Q4519" s="317"/>
      <c r="R4519" s="317"/>
      <c r="S4519" s="317"/>
      <c r="T4519" s="317"/>
      <c r="U4519" s="317"/>
      <c r="V4519" s="317"/>
      <c r="W4519" s="317"/>
      <c r="X4519" s="317"/>
      <c r="Y4519" s="317"/>
      <c r="Z4519" s="317"/>
    </row>
    <row r="4520" spans="1:26" x14ac:dyDescent="0.25">
      <c r="A4520" s="314"/>
      <c r="B4520" s="18">
        <v>2023</v>
      </c>
      <c r="C4520" s="18" t="s">
        <v>792</v>
      </c>
      <c r="D4520" s="18" t="s">
        <v>1663</v>
      </c>
      <c r="E4520" s="18" t="s">
        <v>713</v>
      </c>
      <c r="F4520" s="18" t="s">
        <v>714</v>
      </c>
      <c r="G4520" s="18" t="s">
        <v>674</v>
      </c>
      <c r="H4520" s="18" t="s">
        <v>1082</v>
      </c>
      <c r="I4520" s="315">
        <v>8.1574596333883753E-2</v>
      </c>
      <c r="J4520" s="315">
        <v>9.6846141104566034E-6</v>
      </c>
      <c r="K4520" s="316" t="str">
        <f t="shared" si="64"/>
        <v>Construction and Mining Equipment</v>
      </c>
      <c r="L4520" s="316" t="str">
        <f t="shared" si="65"/>
        <v>Diesel</v>
      </c>
      <c r="M4520" s="194"/>
      <c r="N4520" s="317"/>
      <c r="O4520" s="317"/>
      <c r="P4520" s="317"/>
      <c r="Q4520" s="317"/>
      <c r="R4520" s="317"/>
      <c r="S4520" s="317"/>
      <c r="T4520" s="317"/>
      <c r="U4520" s="317"/>
      <c r="V4520" s="317"/>
      <c r="W4520" s="317"/>
      <c r="X4520" s="317"/>
      <c r="Y4520" s="317"/>
      <c r="Z4520" s="317"/>
    </row>
    <row r="4521" spans="1:26" x14ac:dyDescent="0.25">
      <c r="A4521" s="314"/>
      <c r="B4521" s="18">
        <v>2023</v>
      </c>
      <c r="C4521" s="18" t="s">
        <v>759</v>
      </c>
      <c r="D4521" s="18" t="s">
        <v>1617</v>
      </c>
      <c r="E4521" s="18" t="s">
        <v>703</v>
      </c>
      <c r="F4521" s="18" t="s">
        <v>805</v>
      </c>
      <c r="G4521" s="18" t="s">
        <v>675</v>
      </c>
      <c r="H4521" s="18" t="s">
        <v>802</v>
      </c>
      <c r="I4521" s="315">
        <v>7.8689735343303396E-2</v>
      </c>
      <c r="J4521" s="315">
        <v>1.7582448183881992E-4</v>
      </c>
      <c r="K4521" s="316" t="str">
        <f t="shared" si="64"/>
        <v>Industrial Equipment</v>
      </c>
      <c r="L4521" s="316" t="str">
        <f t="shared" si="65"/>
        <v>Gasoline</v>
      </c>
      <c r="M4521" s="194"/>
      <c r="N4521" s="317"/>
      <c r="O4521" s="317"/>
      <c r="P4521" s="317"/>
      <c r="Q4521" s="317"/>
      <c r="R4521" s="317"/>
      <c r="S4521" s="317"/>
      <c r="T4521" s="317"/>
      <c r="U4521" s="317"/>
      <c r="V4521" s="317"/>
      <c r="W4521" s="317"/>
      <c r="X4521" s="317"/>
      <c r="Y4521" s="317"/>
      <c r="Z4521" s="317"/>
    </row>
    <row r="4522" spans="1:26" x14ac:dyDescent="0.25">
      <c r="A4522" s="314"/>
      <c r="B4522" s="18">
        <v>2023</v>
      </c>
      <c r="C4522" s="18" t="s">
        <v>727</v>
      </c>
      <c r="D4522" s="18" t="s">
        <v>1825</v>
      </c>
      <c r="E4522" s="18" t="s">
        <v>56</v>
      </c>
      <c r="F4522" s="18" t="s">
        <v>601</v>
      </c>
      <c r="G4522" s="18" t="s">
        <v>674</v>
      </c>
      <c r="H4522" s="18" t="s">
        <v>859</v>
      </c>
      <c r="I4522" s="315">
        <v>7.8550004500572909E-2</v>
      </c>
      <c r="J4522" s="315">
        <v>1.6877474278178786E-3</v>
      </c>
      <c r="K4522" s="316" t="str">
        <f t="shared" si="64"/>
        <v>Construction and Mining Equipment</v>
      </c>
      <c r="L4522" s="316" t="str">
        <f t="shared" si="65"/>
        <v>CNG</v>
      </c>
      <c r="M4522" s="194"/>
      <c r="N4522" s="317"/>
      <c r="O4522" s="317"/>
      <c r="P4522" s="317"/>
      <c r="Q4522" s="317"/>
      <c r="R4522" s="317"/>
      <c r="S4522" s="317"/>
      <c r="T4522" s="317"/>
      <c r="U4522" s="317"/>
      <c r="V4522" s="317"/>
      <c r="W4522" s="317"/>
      <c r="X4522" s="317"/>
      <c r="Y4522" s="317"/>
      <c r="Z4522" s="317"/>
    </row>
    <row r="4523" spans="1:26" x14ac:dyDescent="0.25">
      <c r="A4523" s="314"/>
      <c r="B4523" s="18">
        <v>2023</v>
      </c>
      <c r="C4523" s="18" t="s">
        <v>762</v>
      </c>
      <c r="D4523" s="18" t="s">
        <v>1730</v>
      </c>
      <c r="E4523" s="18" t="s">
        <v>703</v>
      </c>
      <c r="F4523" s="18" t="s">
        <v>805</v>
      </c>
      <c r="G4523" s="18" t="s">
        <v>674</v>
      </c>
      <c r="H4523" s="18" t="s">
        <v>959</v>
      </c>
      <c r="I4523" s="315">
        <v>7.807821641166289E-2</v>
      </c>
      <c r="J4523" s="315">
        <v>1.7445826079145075E-4</v>
      </c>
      <c r="K4523" s="316" t="str">
        <f t="shared" si="64"/>
        <v>Construction and Mining Equipment</v>
      </c>
      <c r="L4523" s="316" t="str">
        <f t="shared" si="65"/>
        <v>Gasoline</v>
      </c>
      <c r="M4523" s="194"/>
      <c r="N4523" s="317"/>
      <c r="O4523" s="317"/>
      <c r="P4523" s="317"/>
      <c r="Q4523" s="317"/>
      <c r="R4523" s="317"/>
      <c r="S4523" s="317"/>
      <c r="T4523" s="317"/>
      <c r="U4523" s="317"/>
      <c r="V4523" s="317"/>
      <c r="W4523" s="317"/>
      <c r="X4523" s="317"/>
      <c r="Y4523" s="317"/>
      <c r="Z4523" s="317"/>
    </row>
    <row r="4524" spans="1:26" x14ac:dyDescent="0.25">
      <c r="A4524" s="314"/>
      <c r="B4524" s="18">
        <v>2023</v>
      </c>
      <c r="C4524" s="18" t="s">
        <v>793</v>
      </c>
      <c r="D4524" s="18" t="s">
        <v>1838</v>
      </c>
      <c r="E4524" s="18" t="s">
        <v>713</v>
      </c>
      <c r="F4524" s="18" t="s">
        <v>714</v>
      </c>
      <c r="G4524" s="18" t="s">
        <v>678</v>
      </c>
      <c r="H4524" s="18" t="s">
        <v>1745</v>
      </c>
      <c r="I4524" s="315">
        <v>7.7789206345114062E-2</v>
      </c>
      <c r="J4524" s="315">
        <v>5.629418488356949E-7</v>
      </c>
      <c r="K4524" s="316" t="str">
        <f t="shared" si="64"/>
        <v>Agricultural Equipment</v>
      </c>
      <c r="L4524" s="316" t="str">
        <f t="shared" si="65"/>
        <v>Diesel</v>
      </c>
      <c r="M4524" s="194"/>
      <c r="N4524" s="317"/>
      <c r="O4524" s="317"/>
      <c r="P4524" s="317"/>
      <c r="Q4524" s="317"/>
      <c r="R4524" s="317"/>
      <c r="S4524" s="317"/>
      <c r="T4524" s="317"/>
      <c r="U4524" s="317"/>
      <c r="V4524" s="317"/>
      <c r="W4524" s="317"/>
      <c r="X4524" s="317"/>
      <c r="Y4524" s="317"/>
      <c r="Z4524" s="317"/>
    </row>
    <row r="4525" spans="1:26" x14ac:dyDescent="0.25">
      <c r="A4525" s="314"/>
      <c r="B4525" s="18">
        <v>2023</v>
      </c>
      <c r="C4525" s="18" t="s">
        <v>762</v>
      </c>
      <c r="D4525" s="18" t="s">
        <v>1847</v>
      </c>
      <c r="E4525" s="18" t="s">
        <v>56</v>
      </c>
      <c r="F4525" s="18" t="s">
        <v>672</v>
      </c>
      <c r="G4525" s="18" t="s">
        <v>678</v>
      </c>
      <c r="H4525" s="18" t="s">
        <v>1080</v>
      </c>
      <c r="I4525" s="315">
        <v>7.7578491153713403E-2</v>
      </c>
      <c r="J4525" s="315">
        <v>3.4304586393299012E-5</v>
      </c>
      <c r="K4525" s="316" t="str">
        <f t="shared" si="64"/>
        <v>Agricultural Equipment</v>
      </c>
      <c r="L4525" s="316" t="str">
        <f t="shared" si="65"/>
        <v>LPG</v>
      </c>
      <c r="M4525" s="194"/>
      <c r="N4525" s="317"/>
      <c r="O4525" s="317"/>
      <c r="P4525" s="317"/>
      <c r="Q4525" s="317"/>
      <c r="R4525" s="317"/>
      <c r="S4525" s="317"/>
      <c r="T4525" s="317"/>
      <c r="U4525" s="317"/>
      <c r="V4525" s="317"/>
      <c r="W4525" s="317"/>
      <c r="X4525" s="317"/>
      <c r="Y4525" s="317"/>
      <c r="Z4525" s="317"/>
    </row>
    <row r="4526" spans="1:26" x14ac:dyDescent="0.25">
      <c r="A4526" s="314"/>
      <c r="B4526" s="18">
        <v>2023</v>
      </c>
      <c r="C4526" s="18" t="s">
        <v>773</v>
      </c>
      <c r="D4526" s="18" t="s">
        <v>1841</v>
      </c>
      <c r="E4526" s="18" t="s">
        <v>703</v>
      </c>
      <c r="F4526" s="18" t="s">
        <v>805</v>
      </c>
      <c r="G4526" s="18" t="s">
        <v>675</v>
      </c>
      <c r="H4526" s="18" t="s">
        <v>798</v>
      </c>
      <c r="I4526" s="315">
        <v>7.677094529398891E-2</v>
      </c>
      <c r="J4526" s="315">
        <v>1.7153728516998944E-4</v>
      </c>
      <c r="K4526" s="316" t="str">
        <f t="shared" si="64"/>
        <v>Industrial Equipment</v>
      </c>
      <c r="L4526" s="316" t="str">
        <f t="shared" si="65"/>
        <v>Gasoline</v>
      </c>
      <c r="M4526" s="194"/>
      <c r="N4526" s="317"/>
      <c r="O4526" s="317"/>
      <c r="P4526" s="317"/>
      <c r="Q4526" s="317"/>
      <c r="R4526" s="317"/>
      <c r="S4526" s="317"/>
      <c r="T4526" s="317"/>
      <c r="U4526" s="317"/>
      <c r="V4526" s="317"/>
      <c r="W4526" s="317"/>
      <c r="X4526" s="317"/>
      <c r="Y4526" s="317"/>
      <c r="Z4526" s="317"/>
    </row>
    <row r="4527" spans="1:26" x14ac:dyDescent="0.25">
      <c r="A4527" s="314"/>
      <c r="B4527" s="18">
        <v>2023</v>
      </c>
      <c r="C4527" s="18" t="s">
        <v>793</v>
      </c>
      <c r="D4527" s="18" t="s">
        <v>1825</v>
      </c>
      <c r="E4527" s="18" t="s">
        <v>56</v>
      </c>
      <c r="F4527" s="18" t="s">
        <v>601</v>
      </c>
      <c r="G4527" s="18" t="s">
        <v>674</v>
      </c>
      <c r="H4527" s="18" t="s">
        <v>859</v>
      </c>
      <c r="I4527" s="315">
        <v>7.6693034779603139E-2</v>
      </c>
      <c r="J4527" s="315">
        <v>1.6478487995599789E-3</v>
      </c>
      <c r="K4527" s="316" t="str">
        <f t="shared" si="64"/>
        <v>Construction and Mining Equipment</v>
      </c>
      <c r="L4527" s="316" t="str">
        <f t="shared" si="65"/>
        <v>CNG</v>
      </c>
      <c r="M4527" s="194"/>
      <c r="N4527" s="317"/>
      <c r="O4527" s="317"/>
      <c r="P4527" s="317"/>
      <c r="Q4527" s="317"/>
      <c r="R4527" s="317"/>
      <c r="S4527" s="317"/>
      <c r="T4527" s="317"/>
      <c r="U4527" s="317"/>
      <c r="V4527" s="317"/>
      <c r="W4527" s="317"/>
      <c r="X4527" s="317"/>
      <c r="Y4527" s="317"/>
      <c r="Z4527" s="317"/>
    </row>
    <row r="4528" spans="1:26" x14ac:dyDescent="0.25">
      <c r="A4528" s="314"/>
      <c r="B4528" s="18">
        <v>2023</v>
      </c>
      <c r="C4528" s="18" t="s">
        <v>731</v>
      </c>
      <c r="D4528" s="18" t="s">
        <v>1663</v>
      </c>
      <c r="E4528" s="18" t="s">
        <v>713</v>
      </c>
      <c r="F4528" s="18" t="s">
        <v>714</v>
      </c>
      <c r="G4528" s="18" t="s">
        <v>674</v>
      </c>
      <c r="H4528" s="18" t="s">
        <v>1082</v>
      </c>
      <c r="I4528" s="315">
        <v>7.5703429956079232E-2</v>
      </c>
      <c r="J4528" s="315">
        <v>8.9875879428605116E-6</v>
      </c>
      <c r="K4528" s="316" t="str">
        <f t="shared" si="64"/>
        <v>Construction and Mining Equipment</v>
      </c>
      <c r="L4528" s="316" t="str">
        <f t="shared" si="65"/>
        <v>Diesel</v>
      </c>
      <c r="M4528" s="194"/>
      <c r="N4528" s="317"/>
      <c r="O4528" s="317"/>
      <c r="P4528" s="317"/>
      <c r="Q4528" s="317"/>
      <c r="R4528" s="317"/>
      <c r="S4528" s="317"/>
      <c r="T4528" s="317"/>
      <c r="U4528" s="317"/>
      <c r="V4528" s="317"/>
      <c r="W4528" s="317"/>
      <c r="X4528" s="317"/>
      <c r="Y4528" s="317"/>
      <c r="Z4528" s="317"/>
    </row>
    <row r="4529" spans="1:26" x14ac:dyDescent="0.25">
      <c r="A4529" s="314"/>
      <c r="B4529" s="18">
        <v>2023</v>
      </c>
      <c r="C4529" s="18" t="s">
        <v>732</v>
      </c>
      <c r="D4529" s="18" t="s">
        <v>1847</v>
      </c>
      <c r="E4529" s="18" t="s">
        <v>56</v>
      </c>
      <c r="F4529" s="18" t="s">
        <v>672</v>
      </c>
      <c r="G4529" s="18" t="s">
        <v>678</v>
      </c>
      <c r="H4529" s="18" t="s">
        <v>1080</v>
      </c>
      <c r="I4529" s="315">
        <v>7.5675049354663002E-2</v>
      </c>
      <c r="J4529" s="315">
        <v>3.3462793228244515E-5</v>
      </c>
      <c r="K4529" s="316" t="str">
        <f t="shared" si="64"/>
        <v>Agricultural Equipment</v>
      </c>
      <c r="L4529" s="316" t="str">
        <f t="shared" si="65"/>
        <v>LPG</v>
      </c>
      <c r="M4529" s="194"/>
      <c r="N4529" s="317"/>
      <c r="O4529" s="317"/>
      <c r="P4529" s="317"/>
      <c r="Q4529" s="317"/>
      <c r="R4529" s="317"/>
      <c r="S4529" s="317"/>
      <c r="T4529" s="317"/>
      <c r="U4529" s="317"/>
      <c r="V4529" s="317"/>
      <c r="W4529" s="317"/>
      <c r="X4529" s="317"/>
      <c r="Y4529" s="317"/>
      <c r="Z4529" s="317"/>
    </row>
    <row r="4530" spans="1:26" x14ac:dyDescent="0.25">
      <c r="A4530" s="314"/>
      <c r="B4530" s="18">
        <v>2023</v>
      </c>
      <c r="C4530" s="18" t="s">
        <v>709</v>
      </c>
      <c r="D4530" s="18" t="s">
        <v>1846</v>
      </c>
      <c r="E4530" s="18" t="s">
        <v>703</v>
      </c>
      <c r="F4530" s="18" t="s">
        <v>805</v>
      </c>
      <c r="G4530" s="18" t="s">
        <v>677</v>
      </c>
      <c r="H4530" s="18" t="s">
        <v>785</v>
      </c>
      <c r="I4530" s="315">
        <v>7.5345183994208906E-2</v>
      </c>
      <c r="J4530" s="315">
        <v>1.6835193640971213E-4</v>
      </c>
      <c r="K4530" s="316" t="str">
        <f t="shared" si="64"/>
        <v>Commercial Equipment</v>
      </c>
      <c r="L4530" s="316" t="str">
        <f t="shared" si="65"/>
        <v>Gasoline</v>
      </c>
      <c r="M4530" s="194"/>
      <c r="N4530" s="317"/>
      <c r="O4530" s="317"/>
      <c r="P4530" s="317"/>
      <c r="Q4530" s="317"/>
      <c r="R4530" s="317"/>
      <c r="S4530" s="317"/>
      <c r="T4530" s="317"/>
      <c r="U4530" s="317"/>
      <c r="V4530" s="317"/>
      <c r="W4530" s="317"/>
      <c r="X4530" s="317"/>
      <c r="Y4530" s="317"/>
      <c r="Z4530" s="317"/>
    </row>
    <row r="4531" spans="1:26" x14ac:dyDescent="0.25">
      <c r="A4531" s="314"/>
      <c r="B4531" s="18">
        <v>2023</v>
      </c>
      <c r="C4531" s="18" t="s">
        <v>792</v>
      </c>
      <c r="D4531" s="18" t="s">
        <v>1679</v>
      </c>
      <c r="E4531" s="18" t="s">
        <v>56</v>
      </c>
      <c r="F4531" s="18" t="s">
        <v>672</v>
      </c>
      <c r="G4531" s="18" t="s">
        <v>674</v>
      </c>
      <c r="H4531" s="18" t="s">
        <v>959</v>
      </c>
      <c r="I4531" s="315">
        <v>7.5333003492909056E-2</v>
      </c>
      <c r="J4531" s="315">
        <v>1.2796388625984426E-5</v>
      </c>
      <c r="K4531" s="316" t="str">
        <f t="shared" si="64"/>
        <v>Construction and Mining Equipment</v>
      </c>
      <c r="L4531" s="316" t="str">
        <f t="shared" si="65"/>
        <v>LPG</v>
      </c>
      <c r="M4531" s="194"/>
      <c r="N4531" s="317"/>
      <c r="O4531" s="317"/>
      <c r="P4531" s="317"/>
      <c r="Q4531" s="317"/>
      <c r="R4531" s="317"/>
      <c r="S4531" s="317"/>
      <c r="T4531" s="317"/>
      <c r="U4531" s="317"/>
      <c r="V4531" s="317"/>
      <c r="W4531" s="317"/>
      <c r="X4531" s="317"/>
      <c r="Y4531" s="317"/>
      <c r="Z4531" s="317"/>
    </row>
    <row r="4532" spans="1:26" x14ac:dyDescent="0.25">
      <c r="A4532" s="314"/>
      <c r="B4532" s="18">
        <v>2023</v>
      </c>
      <c r="C4532" s="18" t="s">
        <v>786</v>
      </c>
      <c r="D4532" s="18" t="s">
        <v>1663</v>
      </c>
      <c r="E4532" s="18" t="s">
        <v>713</v>
      </c>
      <c r="F4532" s="18" t="s">
        <v>714</v>
      </c>
      <c r="G4532" s="18" t="s">
        <v>674</v>
      </c>
      <c r="H4532" s="18" t="s">
        <v>1082</v>
      </c>
      <c r="I4532" s="315">
        <v>7.5187897284643909E-2</v>
      </c>
      <c r="J4532" s="315">
        <v>8.9263754526238949E-6</v>
      </c>
      <c r="K4532" s="316" t="str">
        <f t="shared" si="64"/>
        <v>Construction and Mining Equipment</v>
      </c>
      <c r="L4532" s="316" t="str">
        <f t="shared" si="65"/>
        <v>Diesel</v>
      </c>
      <c r="M4532" s="194"/>
      <c r="N4532" s="317"/>
      <c r="O4532" s="317"/>
      <c r="P4532" s="317"/>
      <c r="Q4532" s="317"/>
      <c r="R4532" s="317"/>
      <c r="S4532" s="317"/>
      <c r="T4532" s="317"/>
      <c r="U4532" s="317"/>
      <c r="V4532" s="317"/>
      <c r="W4532" s="317"/>
      <c r="X4532" s="317"/>
      <c r="Y4532" s="317"/>
      <c r="Z4532" s="317"/>
    </row>
    <row r="4533" spans="1:26" x14ac:dyDescent="0.25">
      <c r="A4533" s="314"/>
      <c r="B4533" s="18">
        <v>2023</v>
      </c>
      <c r="C4533" s="18" t="s">
        <v>778</v>
      </c>
      <c r="D4533" s="18" t="s">
        <v>1737</v>
      </c>
      <c r="E4533" s="18" t="s">
        <v>703</v>
      </c>
      <c r="F4533" s="18" t="s">
        <v>805</v>
      </c>
      <c r="G4533" s="18" t="s">
        <v>673</v>
      </c>
      <c r="H4533" s="18" t="s">
        <v>705</v>
      </c>
      <c r="I4533" s="315">
        <v>7.4699574059316792E-2</v>
      </c>
      <c r="J4533" s="315">
        <v>1.49795964164617E-4</v>
      </c>
      <c r="K4533" s="316" t="str">
        <f t="shared" si="64"/>
        <v>Lawn and Garden Equipment</v>
      </c>
      <c r="L4533" s="316" t="str">
        <f t="shared" si="65"/>
        <v>Gasoline</v>
      </c>
      <c r="M4533" s="194"/>
      <c r="N4533" s="317"/>
      <c r="O4533" s="317"/>
      <c r="P4533" s="317"/>
      <c r="Q4533" s="317"/>
      <c r="R4533" s="317"/>
      <c r="S4533" s="317"/>
      <c r="T4533" s="317"/>
      <c r="U4533" s="317"/>
      <c r="V4533" s="317"/>
      <c r="W4533" s="317"/>
      <c r="X4533" s="317"/>
      <c r="Y4533" s="317"/>
      <c r="Z4533" s="317"/>
    </row>
    <row r="4534" spans="1:26" x14ac:dyDescent="0.25">
      <c r="A4534" s="314"/>
      <c r="B4534" s="18">
        <v>2023</v>
      </c>
      <c r="C4534" s="18" t="s">
        <v>773</v>
      </c>
      <c r="D4534" s="18" t="s">
        <v>1842</v>
      </c>
      <c r="E4534" s="18" t="s">
        <v>713</v>
      </c>
      <c r="F4534" s="18" t="s">
        <v>714</v>
      </c>
      <c r="G4534" s="18" t="s">
        <v>678</v>
      </c>
      <c r="H4534" s="18" t="s">
        <v>1709</v>
      </c>
      <c r="I4534" s="315">
        <v>7.454628305584958E-2</v>
      </c>
      <c r="J4534" s="315">
        <v>9.2238917446409926E-6</v>
      </c>
      <c r="K4534" s="316" t="str">
        <f t="shared" si="64"/>
        <v>Agricultural Equipment</v>
      </c>
      <c r="L4534" s="316" t="str">
        <f t="shared" si="65"/>
        <v>Diesel</v>
      </c>
      <c r="M4534" s="194"/>
      <c r="N4534" s="317"/>
      <c r="O4534" s="317"/>
      <c r="P4534" s="317"/>
      <c r="Q4534" s="317"/>
      <c r="R4534" s="317"/>
      <c r="S4534" s="317"/>
      <c r="T4534" s="317"/>
      <c r="U4534" s="317"/>
      <c r="V4534" s="317"/>
      <c r="W4534" s="317"/>
      <c r="X4534" s="317"/>
      <c r="Y4534" s="317"/>
      <c r="Z4534" s="317"/>
    </row>
    <row r="4535" spans="1:26" x14ac:dyDescent="0.25">
      <c r="A4535" s="314"/>
      <c r="B4535" s="18">
        <v>2023</v>
      </c>
      <c r="C4535" s="18" t="s">
        <v>773</v>
      </c>
      <c r="D4535" s="18" t="s">
        <v>1843</v>
      </c>
      <c r="E4535" s="18" t="s">
        <v>56</v>
      </c>
      <c r="F4535" s="18" t="s">
        <v>672</v>
      </c>
      <c r="G4535" s="18" t="s">
        <v>678</v>
      </c>
      <c r="H4535" s="18" t="s">
        <v>1154</v>
      </c>
      <c r="I4535" s="315">
        <v>7.4419844501661225E-2</v>
      </c>
      <c r="J4535" s="315">
        <v>3.415316179444199E-6</v>
      </c>
      <c r="K4535" s="316" t="str">
        <f t="shared" si="64"/>
        <v>Agricultural Equipment</v>
      </c>
      <c r="L4535" s="316" t="str">
        <f t="shared" si="65"/>
        <v>LPG</v>
      </c>
      <c r="M4535" s="194"/>
      <c r="N4535" s="317"/>
      <c r="O4535" s="317"/>
      <c r="P4535" s="317"/>
      <c r="Q4535" s="317"/>
      <c r="R4535" s="317"/>
      <c r="S4535" s="317"/>
      <c r="T4535" s="317"/>
      <c r="U4535" s="317"/>
      <c r="V4535" s="317"/>
      <c r="W4535" s="317"/>
      <c r="X4535" s="317"/>
      <c r="Y4535" s="317"/>
      <c r="Z4535" s="317"/>
    </row>
    <row r="4536" spans="1:26" x14ac:dyDescent="0.25">
      <c r="A4536" s="314"/>
      <c r="B4536" s="18">
        <v>2023</v>
      </c>
      <c r="C4536" s="18" t="s">
        <v>711</v>
      </c>
      <c r="D4536" s="18" t="s">
        <v>1846</v>
      </c>
      <c r="E4536" s="18" t="s">
        <v>703</v>
      </c>
      <c r="F4536" s="18" t="s">
        <v>805</v>
      </c>
      <c r="G4536" s="18" t="s">
        <v>677</v>
      </c>
      <c r="H4536" s="18" t="s">
        <v>785</v>
      </c>
      <c r="I4536" s="315">
        <v>7.3777897685969318E-2</v>
      </c>
      <c r="J4536" s="315">
        <v>1.6484968778942961E-4</v>
      </c>
      <c r="K4536" s="316" t="str">
        <f t="shared" si="64"/>
        <v>Commercial Equipment</v>
      </c>
      <c r="L4536" s="316" t="str">
        <f t="shared" si="65"/>
        <v>Gasoline</v>
      </c>
      <c r="M4536" s="194"/>
      <c r="N4536" s="317"/>
      <c r="O4536" s="317"/>
      <c r="P4536" s="317"/>
      <c r="Q4536" s="317"/>
      <c r="R4536" s="317"/>
      <c r="S4536" s="317"/>
      <c r="T4536" s="317"/>
      <c r="U4536" s="317"/>
      <c r="V4536" s="317"/>
      <c r="W4536" s="317"/>
      <c r="X4536" s="317"/>
      <c r="Y4536" s="317"/>
      <c r="Z4536" s="317"/>
    </row>
    <row r="4537" spans="1:26" x14ac:dyDescent="0.25">
      <c r="A4537" s="314"/>
      <c r="B4537" s="18">
        <v>2023</v>
      </c>
      <c r="C4537" s="18" t="s">
        <v>793</v>
      </c>
      <c r="D4537" s="18" t="s">
        <v>1715</v>
      </c>
      <c r="E4537" s="18" t="s">
        <v>703</v>
      </c>
      <c r="F4537" s="18" t="s">
        <v>805</v>
      </c>
      <c r="G4537" s="18" t="s">
        <v>677</v>
      </c>
      <c r="H4537" s="18" t="s">
        <v>1031</v>
      </c>
      <c r="I4537" s="315">
        <v>7.2255010381906154E-2</v>
      </c>
      <c r="J4537" s="315">
        <v>1.6144694566280385E-4</v>
      </c>
      <c r="K4537" s="316" t="str">
        <f t="shared" si="64"/>
        <v>Commercial Equipment</v>
      </c>
      <c r="L4537" s="316" t="str">
        <f t="shared" si="65"/>
        <v>Gasoline</v>
      </c>
      <c r="M4537" s="194"/>
      <c r="N4537" s="317"/>
      <c r="O4537" s="317"/>
      <c r="P4537" s="317"/>
      <c r="Q4537" s="317"/>
      <c r="R4537" s="317"/>
      <c r="S4537" s="317"/>
      <c r="T4537" s="317"/>
      <c r="U4537" s="317"/>
      <c r="V4537" s="317"/>
      <c r="W4537" s="317"/>
      <c r="X4537" s="317"/>
      <c r="Y4537" s="317"/>
      <c r="Z4537" s="317"/>
    </row>
    <row r="4538" spans="1:26" x14ac:dyDescent="0.25">
      <c r="A4538" s="314"/>
      <c r="B4538" s="18">
        <v>2023</v>
      </c>
      <c r="C4538" s="18" t="s">
        <v>773</v>
      </c>
      <c r="D4538" s="18" t="s">
        <v>1825</v>
      </c>
      <c r="E4538" s="18" t="s">
        <v>56</v>
      </c>
      <c r="F4538" s="18" t="s">
        <v>601</v>
      </c>
      <c r="G4538" s="18" t="s">
        <v>674</v>
      </c>
      <c r="H4538" s="18" t="s">
        <v>859</v>
      </c>
      <c r="I4538" s="315">
        <v>7.1533454597841384E-2</v>
      </c>
      <c r="J4538" s="315">
        <v>1.5369876022147972E-3</v>
      </c>
      <c r="K4538" s="316" t="str">
        <f t="shared" si="64"/>
        <v>Construction and Mining Equipment</v>
      </c>
      <c r="L4538" s="316" t="str">
        <f t="shared" si="65"/>
        <v>CNG</v>
      </c>
      <c r="M4538" s="194"/>
      <c r="N4538" s="317"/>
      <c r="O4538" s="317"/>
      <c r="P4538" s="317"/>
      <c r="Q4538" s="317"/>
      <c r="R4538" s="317"/>
      <c r="S4538" s="317"/>
      <c r="T4538" s="317"/>
      <c r="U4538" s="317"/>
      <c r="V4538" s="317"/>
      <c r="W4538" s="317"/>
      <c r="X4538" s="317"/>
      <c r="Y4538" s="317"/>
      <c r="Z4538" s="317"/>
    </row>
    <row r="4539" spans="1:26" x14ac:dyDescent="0.25">
      <c r="A4539" s="314"/>
      <c r="B4539" s="18">
        <v>2023</v>
      </c>
      <c r="C4539" s="18" t="s">
        <v>710</v>
      </c>
      <c r="D4539" s="18" t="s">
        <v>1792</v>
      </c>
      <c r="E4539" s="18" t="s">
        <v>713</v>
      </c>
      <c r="F4539" s="18" t="s">
        <v>714</v>
      </c>
      <c r="G4539" s="18" t="s">
        <v>673</v>
      </c>
      <c r="H4539" s="18" t="s">
        <v>749</v>
      </c>
      <c r="I4539" s="315">
        <v>7.1484736301437771E-2</v>
      </c>
      <c r="J4539" s="315">
        <v>3.6913301284811979E-6</v>
      </c>
      <c r="K4539" s="316" t="str">
        <f t="shared" si="64"/>
        <v>Lawn and Garden Equipment</v>
      </c>
      <c r="L4539" s="316" t="str">
        <f t="shared" si="65"/>
        <v>Diesel</v>
      </c>
      <c r="M4539" s="194"/>
      <c r="N4539" s="317"/>
      <c r="O4539" s="317"/>
      <c r="P4539" s="317"/>
      <c r="Q4539" s="317"/>
      <c r="R4539" s="317"/>
      <c r="S4539" s="317"/>
      <c r="T4539" s="317"/>
      <c r="U4539" s="317"/>
      <c r="V4539" s="317"/>
      <c r="W4539" s="317"/>
      <c r="X4539" s="317"/>
      <c r="Y4539" s="317"/>
      <c r="Z4539" s="317"/>
    </row>
    <row r="4540" spans="1:26" x14ac:dyDescent="0.25">
      <c r="A4540" s="314"/>
      <c r="B4540" s="18">
        <v>2023</v>
      </c>
      <c r="C4540" s="18" t="s">
        <v>710</v>
      </c>
      <c r="D4540" s="18" t="s">
        <v>1846</v>
      </c>
      <c r="E4540" s="18" t="s">
        <v>703</v>
      </c>
      <c r="F4540" s="18" t="s">
        <v>805</v>
      </c>
      <c r="G4540" s="18" t="s">
        <v>677</v>
      </c>
      <c r="H4540" s="18" t="s">
        <v>785</v>
      </c>
      <c r="I4540" s="315">
        <v>7.1202874066333119E-2</v>
      </c>
      <c r="J4540" s="315">
        <v>1.5909636689847063E-4</v>
      </c>
      <c r="K4540" s="316" t="str">
        <f t="shared" si="64"/>
        <v>Commercial Equipment</v>
      </c>
      <c r="L4540" s="316" t="str">
        <f t="shared" si="65"/>
        <v>Gasoline</v>
      </c>
      <c r="M4540" s="194"/>
      <c r="N4540" s="317"/>
      <c r="O4540" s="317"/>
      <c r="P4540" s="317"/>
      <c r="Q4540" s="317"/>
      <c r="R4540" s="317"/>
      <c r="S4540" s="317"/>
      <c r="T4540" s="317"/>
      <c r="U4540" s="317"/>
      <c r="V4540" s="317"/>
      <c r="W4540" s="317"/>
      <c r="X4540" s="317"/>
      <c r="Y4540" s="317"/>
      <c r="Z4540" s="317"/>
    </row>
    <row r="4541" spans="1:26" x14ac:dyDescent="0.25">
      <c r="A4541" s="314"/>
      <c r="B4541" s="18">
        <v>2023</v>
      </c>
      <c r="C4541" s="18" t="s">
        <v>792</v>
      </c>
      <c r="D4541" s="18" t="s">
        <v>1830</v>
      </c>
      <c r="E4541" s="18" t="s">
        <v>703</v>
      </c>
      <c r="F4541" s="18" t="s">
        <v>805</v>
      </c>
      <c r="G4541" s="18" t="s">
        <v>678</v>
      </c>
      <c r="H4541" s="18" t="s">
        <v>1222</v>
      </c>
      <c r="I4541" s="315">
        <v>7.1165997025739738E-2</v>
      </c>
      <c r="J4541" s="315">
        <v>1.1691378100551312E-4</v>
      </c>
      <c r="K4541" s="316" t="str">
        <f t="shared" si="64"/>
        <v>Agricultural Equipment</v>
      </c>
      <c r="L4541" s="316" t="str">
        <f t="shared" si="65"/>
        <v>Gasoline</v>
      </c>
      <c r="M4541" s="194"/>
      <c r="N4541" s="317"/>
      <c r="O4541" s="317"/>
      <c r="P4541" s="317"/>
      <c r="Q4541" s="317"/>
      <c r="R4541" s="317"/>
      <c r="S4541" s="317"/>
      <c r="T4541" s="317"/>
      <c r="U4541" s="317"/>
      <c r="V4541" s="317"/>
      <c r="W4541" s="317"/>
      <c r="X4541" s="317"/>
      <c r="Y4541" s="317"/>
      <c r="Z4541" s="317"/>
    </row>
    <row r="4542" spans="1:26" x14ac:dyDescent="0.25">
      <c r="A4542" s="314"/>
      <c r="B4542" s="18">
        <v>2023</v>
      </c>
      <c r="C4542" s="18" t="s">
        <v>792</v>
      </c>
      <c r="D4542" s="18" t="s">
        <v>1685</v>
      </c>
      <c r="E4542" s="18" t="s">
        <v>56</v>
      </c>
      <c r="F4542" s="18" t="s">
        <v>672</v>
      </c>
      <c r="G4542" s="18" t="s">
        <v>674</v>
      </c>
      <c r="H4542" s="18" t="s">
        <v>1072</v>
      </c>
      <c r="I4542" s="315">
        <v>7.0531957936755402E-2</v>
      </c>
      <c r="J4542" s="315">
        <v>4.8941187525707051E-6</v>
      </c>
      <c r="K4542" s="316" t="str">
        <f t="shared" si="64"/>
        <v>Construction and Mining Equipment</v>
      </c>
      <c r="L4542" s="316" t="str">
        <f t="shared" si="65"/>
        <v>LPG</v>
      </c>
      <c r="M4542" s="194"/>
      <c r="N4542" s="317"/>
      <c r="O4542" s="317"/>
      <c r="P4542" s="317"/>
      <c r="Q4542" s="317"/>
      <c r="R4542" s="317"/>
      <c r="S4542" s="317"/>
      <c r="T4542" s="317"/>
      <c r="U4542" s="317"/>
      <c r="V4542" s="317"/>
      <c r="W4542" s="317"/>
      <c r="X4542" s="317"/>
      <c r="Y4542" s="317"/>
      <c r="Z4542" s="317"/>
    </row>
    <row r="4543" spans="1:26" x14ac:dyDescent="0.25">
      <c r="A4543" s="314"/>
      <c r="B4543" s="18">
        <v>2023</v>
      </c>
      <c r="C4543" s="18" t="s">
        <v>750</v>
      </c>
      <c r="D4543" s="18" t="s">
        <v>1715</v>
      </c>
      <c r="E4543" s="18" t="s">
        <v>703</v>
      </c>
      <c r="F4543" s="18" t="s">
        <v>805</v>
      </c>
      <c r="G4543" s="18" t="s">
        <v>677</v>
      </c>
      <c r="H4543" s="18" t="s">
        <v>1031</v>
      </c>
      <c r="I4543" s="315">
        <v>7.0302272984206521E-2</v>
      </c>
      <c r="J4543" s="315">
        <v>1.5708350647543044E-4</v>
      </c>
      <c r="K4543" s="316" t="str">
        <f t="shared" si="64"/>
        <v>Commercial Equipment</v>
      </c>
      <c r="L4543" s="316" t="str">
        <f t="shared" si="65"/>
        <v>Gasoline</v>
      </c>
      <c r="M4543" s="194"/>
      <c r="N4543" s="317"/>
      <c r="O4543" s="317"/>
      <c r="P4543" s="317"/>
      <c r="Q4543" s="317"/>
      <c r="R4543" s="317"/>
      <c r="S4543" s="317"/>
      <c r="T4543" s="317"/>
      <c r="U4543" s="317"/>
      <c r="V4543" s="317"/>
      <c r="W4543" s="317"/>
      <c r="X4543" s="317"/>
      <c r="Y4543" s="317"/>
      <c r="Z4543" s="317"/>
    </row>
    <row r="4544" spans="1:26" x14ac:dyDescent="0.25">
      <c r="A4544" s="314"/>
      <c r="B4544" s="18">
        <v>2023</v>
      </c>
      <c r="C4544" s="18" t="s">
        <v>731</v>
      </c>
      <c r="D4544" s="18" t="s">
        <v>1679</v>
      </c>
      <c r="E4544" s="18" t="s">
        <v>56</v>
      </c>
      <c r="F4544" s="18" t="s">
        <v>672</v>
      </c>
      <c r="G4544" s="18" t="s">
        <v>674</v>
      </c>
      <c r="H4544" s="18" t="s">
        <v>959</v>
      </c>
      <c r="I4544" s="315">
        <v>6.9911102771774439E-2</v>
      </c>
      <c r="J4544" s="315">
        <v>1.1875399457550202E-5</v>
      </c>
      <c r="K4544" s="316" t="str">
        <f t="shared" si="64"/>
        <v>Construction and Mining Equipment</v>
      </c>
      <c r="L4544" s="316" t="str">
        <f t="shared" si="65"/>
        <v>LPG</v>
      </c>
      <c r="M4544" s="194"/>
      <c r="N4544" s="317"/>
      <c r="O4544" s="317"/>
      <c r="P4544" s="317"/>
      <c r="Q4544" s="317"/>
      <c r="R4544" s="317"/>
      <c r="S4544" s="317"/>
      <c r="T4544" s="317"/>
      <c r="U4544" s="317"/>
      <c r="V4544" s="317"/>
      <c r="W4544" s="317"/>
      <c r="X4544" s="317"/>
      <c r="Y4544" s="317"/>
      <c r="Z4544" s="317"/>
    </row>
    <row r="4545" spans="1:26" x14ac:dyDescent="0.25">
      <c r="A4545" s="314"/>
      <c r="B4545" s="18">
        <v>2023</v>
      </c>
      <c r="C4545" s="18" t="s">
        <v>786</v>
      </c>
      <c r="D4545" s="18" t="s">
        <v>1679</v>
      </c>
      <c r="E4545" s="18" t="s">
        <v>56</v>
      </c>
      <c r="F4545" s="18" t="s">
        <v>672</v>
      </c>
      <c r="G4545" s="18" t="s">
        <v>674</v>
      </c>
      <c r="H4545" s="18" t="s">
        <v>959</v>
      </c>
      <c r="I4545" s="315">
        <v>6.9434922535085458E-2</v>
      </c>
      <c r="J4545" s="315">
        <v>1.1794514904678108E-5</v>
      </c>
      <c r="K4545" s="316" t="str">
        <f t="shared" si="64"/>
        <v>Construction and Mining Equipment</v>
      </c>
      <c r="L4545" s="316" t="str">
        <f t="shared" si="65"/>
        <v>LPG</v>
      </c>
      <c r="M4545" s="194"/>
      <c r="N4545" s="317"/>
      <c r="O4545" s="317"/>
      <c r="P4545" s="317"/>
      <c r="Q4545" s="317"/>
      <c r="R4545" s="317"/>
      <c r="S4545" s="317"/>
      <c r="T4545" s="317"/>
      <c r="U4545" s="317"/>
      <c r="V4545" s="317"/>
      <c r="W4545" s="317"/>
      <c r="X4545" s="317"/>
      <c r="Y4545" s="317"/>
      <c r="Z4545" s="317"/>
    </row>
    <row r="4546" spans="1:26" x14ac:dyDescent="0.25">
      <c r="A4546" s="314"/>
      <c r="B4546" s="18">
        <v>2023</v>
      </c>
      <c r="C4546" s="18" t="s">
        <v>781</v>
      </c>
      <c r="D4546" s="18" t="s">
        <v>1806</v>
      </c>
      <c r="E4546" s="18" t="s">
        <v>56</v>
      </c>
      <c r="F4546" s="18" t="s">
        <v>601</v>
      </c>
      <c r="G4546" s="18" t="s">
        <v>675</v>
      </c>
      <c r="H4546" s="18" t="s">
        <v>798</v>
      </c>
      <c r="I4546" s="315">
        <v>6.9337877787911978E-2</v>
      </c>
      <c r="J4546" s="315">
        <v>2.759842978719573E-4</v>
      </c>
      <c r="K4546" s="316" t="str">
        <f t="shared" si="64"/>
        <v>Industrial Equipment</v>
      </c>
      <c r="L4546" s="316" t="str">
        <f t="shared" si="65"/>
        <v>CNG</v>
      </c>
      <c r="M4546" s="194"/>
      <c r="N4546" s="317"/>
      <c r="O4546" s="317"/>
      <c r="P4546" s="317"/>
      <c r="Q4546" s="317"/>
      <c r="R4546" s="317"/>
      <c r="S4546" s="317"/>
      <c r="T4546" s="317"/>
      <c r="U4546" s="317"/>
      <c r="V4546" s="317"/>
      <c r="W4546" s="317"/>
      <c r="X4546" s="317"/>
      <c r="Y4546" s="317"/>
      <c r="Z4546" s="317"/>
    </row>
    <row r="4547" spans="1:26" x14ac:dyDescent="0.25">
      <c r="A4547" s="314"/>
      <c r="B4547" s="18">
        <v>2023</v>
      </c>
      <c r="C4547" s="18" t="s">
        <v>786</v>
      </c>
      <c r="D4547" s="18" t="s">
        <v>1840</v>
      </c>
      <c r="E4547" s="18" t="s">
        <v>703</v>
      </c>
      <c r="F4547" s="18" t="s">
        <v>704</v>
      </c>
      <c r="G4547" s="18" t="s">
        <v>681</v>
      </c>
      <c r="H4547" s="18" t="s">
        <v>895</v>
      </c>
      <c r="I4547" s="315">
        <v>6.9146159879279412E-2</v>
      </c>
      <c r="J4547" s="315">
        <v>5.4225595568033831E-5</v>
      </c>
      <c r="K4547" s="316" t="str">
        <f t="shared" si="64"/>
        <v>Logging Equipment</v>
      </c>
      <c r="L4547" s="316" t="str">
        <f t="shared" si="65"/>
        <v>Gasoline</v>
      </c>
      <c r="M4547" s="194"/>
      <c r="N4547" s="317"/>
      <c r="O4547" s="317"/>
      <c r="P4547" s="317"/>
      <c r="Q4547" s="317"/>
      <c r="R4547" s="317"/>
      <c r="S4547" s="317"/>
      <c r="T4547" s="317"/>
      <c r="U4547" s="317"/>
      <c r="V4547" s="317"/>
      <c r="W4547" s="317"/>
      <c r="X4547" s="317"/>
      <c r="Y4547" s="317"/>
      <c r="Z4547" s="317"/>
    </row>
    <row r="4548" spans="1:26" x14ac:dyDescent="0.25">
      <c r="A4548" s="314"/>
      <c r="B4548" s="18">
        <v>2023</v>
      </c>
      <c r="C4548" s="18" t="s">
        <v>722</v>
      </c>
      <c r="D4548" s="18" t="s">
        <v>1840</v>
      </c>
      <c r="E4548" s="18" t="s">
        <v>703</v>
      </c>
      <c r="F4548" s="18" t="s">
        <v>704</v>
      </c>
      <c r="G4548" s="18" t="s">
        <v>681</v>
      </c>
      <c r="H4548" s="18" t="s">
        <v>895</v>
      </c>
      <c r="I4548" s="315">
        <v>6.8860925701190207E-2</v>
      </c>
      <c r="J4548" s="315">
        <v>5.4065405916265977E-5</v>
      </c>
      <c r="K4548" s="316" t="str">
        <f t="shared" si="64"/>
        <v>Logging Equipment</v>
      </c>
      <c r="L4548" s="316" t="str">
        <f t="shared" si="65"/>
        <v>Gasoline</v>
      </c>
      <c r="M4548" s="194"/>
      <c r="N4548" s="317"/>
      <c r="O4548" s="317"/>
      <c r="P4548" s="317"/>
      <c r="Q4548" s="317"/>
      <c r="R4548" s="317"/>
      <c r="S4548" s="317"/>
      <c r="T4548" s="317"/>
      <c r="U4548" s="317"/>
      <c r="V4548" s="317"/>
      <c r="W4548" s="317"/>
      <c r="X4548" s="317"/>
      <c r="Y4548" s="317"/>
      <c r="Z4548" s="317"/>
    </row>
    <row r="4549" spans="1:26" x14ac:dyDescent="0.25">
      <c r="A4549" s="314"/>
      <c r="B4549" s="18">
        <v>2023</v>
      </c>
      <c r="C4549" s="18" t="s">
        <v>810</v>
      </c>
      <c r="D4549" s="18" t="s">
        <v>1715</v>
      </c>
      <c r="E4549" s="18" t="s">
        <v>703</v>
      </c>
      <c r="F4549" s="18" t="s">
        <v>805</v>
      </c>
      <c r="G4549" s="18" t="s">
        <v>677</v>
      </c>
      <c r="H4549" s="18" t="s">
        <v>1031</v>
      </c>
      <c r="I4549" s="315">
        <v>6.8349341719927181E-2</v>
      </c>
      <c r="J4549" s="315">
        <v>1.5271994069504443E-4</v>
      </c>
      <c r="K4549" s="316" t="str">
        <f t="shared" si="64"/>
        <v>Commercial Equipment</v>
      </c>
      <c r="L4549" s="316" t="str">
        <f t="shared" si="65"/>
        <v>Gasoline</v>
      </c>
      <c r="M4549" s="194"/>
      <c r="N4549" s="317"/>
      <c r="O4549" s="317"/>
      <c r="P4549" s="317"/>
      <c r="Q4549" s="317"/>
      <c r="R4549" s="317"/>
      <c r="S4549" s="317"/>
      <c r="T4549" s="317"/>
      <c r="U4549" s="317"/>
      <c r="V4549" s="317"/>
      <c r="W4549" s="317"/>
      <c r="X4549" s="317"/>
      <c r="Y4549" s="317"/>
      <c r="Z4549" s="317"/>
    </row>
    <row r="4550" spans="1:26" x14ac:dyDescent="0.25">
      <c r="A4550" s="314"/>
      <c r="B4550" s="18">
        <v>2023</v>
      </c>
      <c r="C4550" s="18" t="s">
        <v>773</v>
      </c>
      <c r="D4550" s="18" t="s">
        <v>1844</v>
      </c>
      <c r="E4550" s="18" t="s">
        <v>56</v>
      </c>
      <c r="F4550" s="18" t="s">
        <v>601</v>
      </c>
      <c r="G4550" s="18" t="s">
        <v>678</v>
      </c>
      <c r="H4550" s="18" t="s">
        <v>1080</v>
      </c>
      <c r="I4550" s="315">
        <v>6.8316443634878002E-2</v>
      </c>
      <c r="J4550" s="315">
        <v>2.6905860801602812E-3</v>
      </c>
      <c r="K4550" s="316" t="str">
        <f t="shared" si="64"/>
        <v>Agricultural Equipment</v>
      </c>
      <c r="L4550" s="316" t="str">
        <f t="shared" si="65"/>
        <v>CNG</v>
      </c>
      <c r="M4550" s="194"/>
      <c r="N4550" s="317"/>
      <c r="O4550" s="317"/>
      <c r="P4550" s="317"/>
      <c r="Q4550" s="317"/>
      <c r="R4550" s="317"/>
      <c r="S4550" s="317"/>
      <c r="T4550" s="317"/>
      <c r="U4550" s="317"/>
      <c r="V4550" s="317"/>
      <c r="W4550" s="317"/>
      <c r="X4550" s="317"/>
      <c r="Y4550" s="317"/>
      <c r="Z4550" s="317"/>
    </row>
    <row r="4551" spans="1:26" x14ac:dyDescent="0.25">
      <c r="A4551" s="314"/>
      <c r="B4551" s="18">
        <v>2023</v>
      </c>
      <c r="C4551" s="18" t="s">
        <v>727</v>
      </c>
      <c r="D4551" s="18" t="s">
        <v>1833</v>
      </c>
      <c r="E4551" s="18" t="s">
        <v>703</v>
      </c>
      <c r="F4551" s="18" t="s">
        <v>704</v>
      </c>
      <c r="G4551" s="18" t="s">
        <v>674</v>
      </c>
      <c r="H4551" s="18" t="s">
        <v>1082</v>
      </c>
      <c r="I4551" s="315">
        <v>6.8072624080838334E-2</v>
      </c>
      <c r="J4551" s="315">
        <v>4.3989021514754017E-5</v>
      </c>
      <c r="K4551" s="316" t="str">
        <f t="shared" si="64"/>
        <v>Construction and Mining Equipment</v>
      </c>
      <c r="L4551" s="316" t="str">
        <f t="shared" si="65"/>
        <v>Gasoline</v>
      </c>
      <c r="M4551" s="194"/>
      <c r="N4551" s="317"/>
      <c r="O4551" s="317"/>
      <c r="P4551" s="317"/>
      <c r="Q4551" s="317"/>
      <c r="R4551" s="317"/>
      <c r="S4551" s="317"/>
      <c r="T4551" s="317"/>
      <c r="U4551" s="317"/>
      <c r="V4551" s="317"/>
      <c r="W4551" s="317"/>
      <c r="X4551" s="317"/>
      <c r="Y4551" s="317"/>
      <c r="Z4551" s="317"/>
    </row>
    <row r="4552" spans="1:26" x14ac:dyDescent="0.25">
      <c r="A4552" s="314"/>
      <c r="B4552" s="18">
        <v>2023</v>
      </c>
      <c r="C4552" s="18" t="s">
        <v>732</v>
      </c>
      <c r="D4552" s="18" t="s">
        <v>1024</v>
      </c>
      <c r="E4552" s="18" t="s">
        <v>56</v>
      </c>
      <c r="F4552" s="18" t="s">
        <v>1025</v>
      </c>
      <c r="G4552" s="18" t="s">
        <v>680</v>
      </c>
      <c r="H4552" s="18" t="s">
        <v>1026</v>
      </c>
      <c r="I4552" s="315">
        <v>6.7635660827952832E-2</v>
      </c>
      <c r="J4552" s="315">
        <v>3.0808327448236252E-6</v>
      </c>
      <c r="K4552" s="316" t="str">
        <f t="shared" si="64"/>
        <v>Airport Ground Support Equipment</v>
      </c>
      <c r="L4552" s="316" t="str">
        <f t="shared" si="65"/>
        <v>LPG</v>
      </c>
      <c r="M4552" s="194"/>
      <c r="N4552" s="317"/>
      <c r="O4552" s="317"/>
      <c r="P4552" s="317"/>
      <c r="Q4552" s="317"/>
      <c r="R4552" s="317"/>
      <c r="S4552" s="317"/>
      <c r="T4552" s="317"/>
      <c r="U4552" s="317"/>
      <c r="V4552" s="317"/>
      <c r="W4552" s="317"/>
      <c r="X4552" s="317"/>
      <c r="Y4552" s="317"/>
      <c r="Z4552" s="317"/>
    </row>
    <row r="4553" spans="1:26" x14ac:dyDescent="0.25">
      <c r="A4553" s="314"/>
      <c r="B4553" s="18">
        <v>2023</v>
      </c>
      <c r="C4553" s="18" t="s">
        <v>786</v>
      </c>
      <c r="D4553" s="18" t="s">
        <v>1717</v>
      </c>
      <c r="E4553" s="18" t="s">
        <v>56</v>
      </c>
      <c r="F4553" s="18" t="s">
        <v>601</v>
      </c>
      <c r="G4553" s="18" t="s">
        <v>675</v>
      </c>
      <c r="H4553" s="18" t="s">
        <v>802</v>
      </c>
      <c r="I4553" s="315">
        <v>6.7604350307259198E-2</v>
      </c>
      <c r="J4553" s="315">
        <v>2.6937603456012775E-4</v>
      </c>
      <c r="K4553" s="316" t="str">
        <f t="shared" si="64"/>
        <v>Industrial Equipment</v>
      </c>
      <c r="L4553" s="316" t="str">
        <f t="shared" si="65"/>
        <v>CNG</v>
      </c>
      <c r="M4553" s="194"/>
      <c r="N4553" s="317"/>
      <c r="O4553" s="317"/>
      <c r="P4553" s="317"/>
      <c r="Q4553" s="317"/>
      <c r="R4553" s="317"/>
      <c r="S4553" s="317"/>
      <c r="T4553" s="317"/>
      <c r="U4553" s="317"/>
      <c r="V4553" s="317"/>
      <c r="W4553" s="317"/>
      <c r="X4553" s="317"/>
      <c r="Y4553" s="317"/>
      <c r="Z4553" s="317"/>
    </row>
    <row r="4554" spans="1:26" x14ac:dyDescent="0.25">
      <c r="A4554" s="314"/>
      <c r="B4554" s="18">
        <v>2023</v>
      </c>
      <c r="C4554" s="18" t="s">
        <v>754</v>
      </c>
      <c r="D4554" s="18" t="s">
        <v>1841</v>
      </c>
      <c r="E4554" s="18" t="s">
        <v>703</v>
      </c>
      <c r="F4554" s="18" t="s">
        <v>805</v>
      </c>
      <c r="G4554" s="18" t="s">
        <v>675</v>
      </c>
      <c r="H4554" s="18" t="s">
        <v>798</v>
      </c>
      <c r="I4554" s="315">
        <v>6.7269398139883627E-2</v>
      </c>
      <c r="J4554" s="315">
        <v>1.5030710865459159E-4</v>
      </c>
      <c r="K4554" s="316" t="str">
        <f t="shared" si="64"/>
        <v>Industrial Equipment</v>
      </c>
      <c r="L4554" s="316" t="str">
        <f t="shared" si="65"/>
        <v>Gasoline</v>
      </c>
      <c r="M4554" s="194"/>
      <c r="N4554" s="317"/>
      <c r="O4554" s="317"/>
      <c r="P4554" s="317"/>
      <c r="Q4554" s="317"/>
      <c r="R4554" s="317"/>
      <c r="S4554" s="317"/>
      <c r="T4554" s="317"/>
      <c r="U4554" s="317"/>
      <c r="V4554" s="317"/>
      <c r="W4554" s="317"/>
      <c r="X4554" s="317"/>
      <c r="Y4554" s="317"/>
      <c r="Z4554" s="317"/>
    </row>
    <row r="4555" spans="1:26" x14ac:dyDescent="0.25">
      <c r="A4555" s="314"/>
      <c r="B4555" s="18">
        <v>2023</v>
      </c>
      <c r="C4555" s="18" t="s">
        <v>722</v>
      </c>
      <c r="D4555" s="18" t="s">
        <v>1846</v>
      </c>
      <c r="E4555" s="18" t="s">
        <v>703</v>
      </c>
      <c r="F4555" s="18" t="s">
        <v>805</v>
      </c>
      <c r="G4555" s="18" t="s">
        <v>677</v>
      </c>
      <c r="H4555" s="18" t="s">
        <v>785</v>
      </c>
      <c r="I4555" s="315">
        <v>6.694875336309658E-2</v>
      </c>
      <c r="J4555" s="315">
        <v>1.4959063333265318E-4</v>
      </c>
      <c r="K4555" s="316" t="str">
        <f t="shared" si="64"/>
        <v>Commercial Equipment</v>
      </c>
      <c r="L4555" s="316" t="str">
        <f t="shared" si="65"/>
        <v>Gasoline</v>
      </c>
      <c r="M4555" s="194"/>
      <c r="N4555" s="317"/>
      <c r="O4555" s="317"/>
      <c r="P4555" s="317"/>
      <c r="Q4555" s="317"/>
      <c r="R4555" s="317"/>
      <c r="S4555" s="317"/>
      <c r="T4555" s="317"/>
      <c r="U4555" s="317"/>
      <c r="V4555" s="317"/>
      <c r="W4555" s="317"/>
      <c r="X4555" s="317"/>
      <c r="Y4555" s="317"/>
      <c r="Z4555" s="317"/>
    </row>
    <row r="4556" spans="1:26" x14ac:dyDescent="0.25">
      <c r="A4556" s="314"/>
      <c r="B4556" s="18">
        <v>2023</v>
      </c>
      <c r="C4556" s="18" t="s">
        <v>762</v>
      </c>
      <c r="D4556" s="18" t="s">
        <v>1717</v>
      </c>
      <c r="E4556" s="18" t="s">
        <v>56</v>
      </c>
      <c r="F4556" s="18" t="s">
        <v>601</v>
      </c>
      <c r="G4556" s="18" t="s">
        <v>675</v>
      </c>
      <c r="H4556" s="18" t="s">
        <v>802</v>
      </c>
      <c r="I4556" s="315">
        <v>6.6794694079627973E-2</v>
      </c>
      <c r="J4556" s="315">
        <v>2.6614920530866962E-4</v>
      </c>
      <c r="K4556" s="316" t="str">
        <f t="shared" si="64"/>
        <v>Industrial Equipment</v>
      </c>
      <c r="L4556" s="316" t="str">
        <f t="shared" si="65"/>
        <v>CNG</v>
      </c>
      <c r="M4556" s="194"/>
      <c r="N4556" s="317"/>
      <c r="O4556" s="317"/>
      <c r="P4556" s="317"/>
      <c r="Q4556" s="317"/>
      <c r="R4556" s="317"/>
      <c r="S4556" s="317"/>
      <c r="T4556" s="317"/>
      <c r="U4556" s="317"/>
      <c r="V4556" s="317"/>
      <c r="W4556" s="317"/>
      <c r="X4556" s="317"/>
      <c r="Y4556" s="317"/>
      <c r="Z4556" s="317"/>
    </row>
    <row r="4557" spans="1:26" x14ac:dyDescent="0.25">
      <c r="A4557" s="314"/>
      <c r="B4557" s="18">
        <v>2023</v>
      </c>
      <c r="C4557" s="18" t="s">
        <v>793</v>
      </c>
      <c r="D4557" s="18" t="s">
        <v>1833</v>
      </c>
      <c r="E4557" s="18" t="s">
        <v>703</v>
      </c>
      <c r="F4557" s="18" t="s">
        <v>704</v>
      </c>
      <c r="G4557" s="18" t="s">
        <v>674</v>
      </c>
      <c r="H4557" s="18" t="s">
        <v>1082</v>
      </c>
      <c r="I4557" s="315">
        <v>6.6463308873982274E-2</v>
      </c>
      <c r="J4557" s="315">
        <v>4.3010599038178582E-5</v>
      </c>
      <c r="K4557" s="316" t="str">
        <f t="shared" si="64"/>
        <v>Construction and Mining Equipment</v>
      </c>
      <c r="L4557" s="316" t="str">
        <f t="shared" si="65"/>
        <v>Gasoline</v>
      </c>
      <c r="M4557" s="194"/>
      <c r="N4557" s="317"/>
      <c r="O4557" s="317"/>
      <c r="P4557" s="317"/>
      <c r="Q4557" s="317"/>
      <c r="R4557" s="317"/>
      <c r="S4557" s="317"/>
      <c r="T4557" s="317"/>
      <c r="U4557" s="317"/>
      <c r="V4557" s="317"/>
      <c r="W4557" s="317"/>
      <c r="X4557" s="317"/>
      <c r="Y4557" s="317"/>
      <c r="Z4557" s="317"/>
    </row>
    <row r="4558" spans="1:26" x14ac:dyDescent="0.25">
      <c r="A4558" s="314"/>
      <c r="B4558" s="18">
        <v>2023</v>
      </c>
      <c r="C4558" s="18" t="s">
        <v>706</v>
      </c>
      <c r="D4558" s="18" t="s">
        <v>1848</v>
      </c>
      <c r="E4558" s="18" t="s">
        <v>703</v>
      </c>
      <c r="F4558" s="18" t="s">
        <v>805</v>
      </c>
      <c r="G4558" s="18" t="s">
        <v>674</v>
      </c>
      <c r="H4558" s="18" t="s">
        <v>981</v>
      </c>
      <c r="I4558" s="315">
        <v>6.6416777539267932E-2</v>
      </c>
      <c r="J4558" s="315">
        <v>1.4840189189476214E-4</v>
      </c>
      <c r="K4558" s="316" t="str">
        <f t="shared" si="64"/>
        <v>Construction and Mining Equipment</v>
      </c>
      <c r="L4558" s="316" t="str">
        <f t="shared" si="65"/>
        <v>Gasoline</v>
      </c>
      <c r="M4558" s="194"/>
      <c r="N4558" s="317"/>
      <c r="O4558" s="317"/>
      <c r="P4558" s="317"/>
      <c r="Q4558" s="317"/>
      <c r="R4558" s="317"/>
      <c r="S4558" s="317"/>
      <c r="T4558" s="317"/>
      <c r="U4558" s="317"/>
      <c r="V4558" s="317"/>
      <c r="W4558" s="317"/>
      <c r="X4558" s="317"/>
      <c r="Y4558" s="317"/>
      <c r="Z4558" s="317"/>
    </row>
    <row r="4559" spans="1:26" x14ac:dyDescent="0.25">
      <c r="A4559" s="314"/>
      <c r="B4559" s="18">
        <v>2023</v>
      </c>
      <c r="C4559" s="18" t="s">
        <v>731</v>
      </c>
      <c r="D4559" s="18" t="s">
        <v>1685</v>
      </c>
      <c r="E4559" s="18" t="s">
        <v>56</v>
      </c>
      <c r="F4559" s="18" t="s">
        <v>672</v>
      </c>
      <c r="G4559" s="18" t="s">
        <v>674</v>
      </c>
      <c r="H4559" s="18" t="s">
        <v>1072</v>
      </c>
      <c r="I4559" s="315">
        <v>6.5455672179441468E-2</v>
      </c>
      <c r="J4559" s="315">
        <v>4.5418805709220226E-6</v>
      </c>
      <c r="K4559" s="316" t="str">
        <f t="shared" si="64"/>
        <v>Construction and Mining Equipment</v>
      </c>
      <c r="L4559" s="316" t="str">
        <f t="shared" si="65"/>
        <v>LPG</v>
      </c>
      <c r="M4559" s="194"/>
      <c r="N4559" s="317"/>
      <c r="O4559" s="317"/>
      <c r="P4559" s="317"/>
      <c r="Q4559" s="317"/>
      <c r="R4559" s="317"/>
      <c r="S4559" s="317"/>
      <c r="T4559" s="317"/>
      <c r="U4559" s="317"/>
      <c r="V4559" s="317"/>
      <c r="W4559" s="317"/>
      <c r="X4559" s="317"/>
      <c r="Y4559" s="317"/>
      <c r="Z4559" s="317"/>
    </row>
    <row r="4560" spans="1:26" x14ac:dyDescent="0.25">
      <c r="A4560" s="314"/>
      <c r="B4560" s="18">
        <v>2023</v>
      </c>
      <c r="C4560" s="18" t="s">
        <v>773</v>
      </c>
      <c r="D4560" s="18" t="s">
        <v>1845</v>
      </c>
      <c r="E4560" s="18" t="s">
        <v>713</v>
      </c>
      <c r="F4560" s="18" t="s">
        <v>714</v>
      </c>
      <c r="G4560" s="18" t="s">
        <v>678</v>
      </c>
      <c r="H4560" s="18" t="s">
        <v>1279</v>
      </c>
      <c r="I4560" s="315">
        <v>6.5224668630130031E-2</v>
      </c>
      <c r="J4560" s="315">
        <v>3.802871231710345E-7</v>
      </c>
      <c r="K4560" s="316" t="str">
        <f t="shared" si="64"/>
        <v>Agricultural Equipment</v>
      </c>
      <c r="L4560" s="316" t="str">
        <f t="shared" si="65"/>
        <v>Diesel</v>
      </c>
      <c r="M4560" s="194"/>
      <c r="N4560" s="317"/>
      <c r="O4560" s="317"/>
      <c r="P4560" s="317"/>
      <c r="Q4560" s="317"/>
      <c r="R4560" s="317"/>
      <c r="S4560" s="317"/>
      <c r="T4560" s="317"/>
      <c r="U4560" s="317"/>
      <c r="V4560" s="317"/>
      <c r="W4560" s="317"/>
      <c r="X4560" s="317"/>
      <c r="Y4560" s="317"/>
      <c r="Z4560" s="317"/>
    </row>
    <row r="4561" spans="1:26" x14ac:dyDescent="0.25">
      <c r="A4561" s="314"/>
      <c r="B4561" s="18">
        <v>2023</v>
      </c>
      <c r="C4561" s="18" t="s">
        <v>810</v>
      </c>
      <c r="D4561" s="18" t="s">
        <v>1717</v>
      </c>
      <c r="E4561" s="18" t="s">
        <v>56</v>
      </c>
      <c r="F4561" s="18" t="s">
        <v>601</v>
      </c>
      <c r="G4561" s="18" t="s">
        <v>675</v>
      </c>
      <c r="H4561" s="18" t="s">
        <v>802</v>
      </c>
      <c r="I4561" s="315">
        <v>6.5059151629539166E-2</v>
      </c>
      <c r="J4561" s="315">
        <v>2.5923421049431643E-4</v>
      </c>
      <c r="K4561" s="316" t="str">
        <f t="shared" si="64"/>
        <v>Industrial Equipment</v>
      </c>
      <c r="L4561" s="316" t="str">
        <f t="shared" si="65"/>
        <v>CNG</v>
      </c>
      <c r="M4561" s="194"/>
      <c r="N4561" s="317"/>
      <c r="O4561" s="317"/>
      <c r="P4561" s="317"/>
      <c r="Q4561" s="317"/>
      <c r="R4561" s="317"/>
      <c r="S4561" s="317"/>
      <c r="T4561" s="317"/>
      <c r="U4561" s="317"/>
      <c r="V4561" s="317"/>
      <c r="W4561" s="317"/>
      <c r="X4561" s="317"/>
      <c r="Y4561" s="317"/>
      <c r="Z4561" s="317"/>
    </row>
    <row r="4562" spans="1:26" x14ac:dyDescent="0.25">
      <c r="A4562" s="314"/>
      <c r="B4562" s="18">
        <v>2023</v>
      </c>
      <c r="C4562" s="18" t="s">
        <v>786</v>
      </c>
      <c r="D4562" s="18" t="s">
        <v>1685</v>
      </c>
      <c r="E4562" s="18" t="s">
        <v>56</v>
      </c>
      <c r="F4562" s="18" t="s">
        <v>672</v>
      </c>
      <c r="G4562" s="18" t="s">
        <v>674</v>
      </c>
      <c r="H4562" s="18" t="s">
        <v>1072</v>
      </c>
      <c r="I4562" s="315">
        <v>6.5009822811516779E-2</v>
      </c>
      <c r="J4562" s="315">
        <v>4.5109427752417086E-6</v>
      </c>
      <c r="K4562" s="316" t="str">
        <f t="shared" si="64"/>
        <v>Construction and Mining Equipment</v>
      </c>
      <c r="L4562" s="316" t="str">
        <f t="shared" si="65"/>
        <v>LPG</v>
      </c>
      <c r="M4562" s="194"/>
      <c r="N4562" s="317"/>
      <c r="O4562" s="317"/>
      <c r="P4562" s="317"/>
      <c r="Q4562" s="317"/>
      <c r="R4562" s="317"/>
      <c r="S4562" s="317"/>
      <c r="T4562" s="317"/>
      <c r="U4562" s="317"/>
      <c r="V4562" s="317"/>
      <c r="W4562" s="317"/>
      <c r="X4562" s="317"/>
      <c r="Y4562" s="317"/>
      <c r="Z4562" s="317"/>
    </row>
    <row r="4563" spans="1:26" x14ac:dyDescent="0.25">
      <c r="A4563" s="314"/>
      <c r="B4563" s="18">
        <v>2023</v>
      </c>
      <c r="C4563" s="18" t="s">
        <v>781</v>
      </c>
      <c r="D4563" s="18" t="s">
        <v>1654</v>
      </c>
      <c r="E4563" s="18" t="s">
        <v>56</v>
      </c>
      <c r="F4563" s="18" t="s">
        <v>672</v>
      </c>
      <c r="G4563" s="18" t="s">
        <v>674</v>
      </c>
      <c r="H4563" s="18" t="s">
        <v>994</v>
      </c>
      <c r="I4563" s="315">
        <v>6.4333062157935855E-2</v>
      </c>
      <c r="J4563" s="315">
        <v>1.5947569370371754E-5</v>
      </c>
      <c r="K4563" s="316" t="str">
        <f t="shared" si="64"/>
        <v>Construction and Mining Equipment</v>
      </c>
      <c r="L4563" s="316" t="str">
        <f t="shared" si="65"/>
        <v>LPG</v>
      </c>
      <c r="M4563" s="194"/>
      <c r="N4563" s="317"/>
      <c r="O4563" s="317"/>
      <c r="P4563" s="317"/>
      <c r="Q4563" s="317"/>
      <c r="R4563" s="317"/>
      <c r="S4563" s="317"/>
      <c r="T4563" s="317"/>
      <c r="U4563" s="317"/>
      <c r="V4563" s="317"/>
      <c r="W4563" s="317"/>
      <c r="X4563" s="317"/>
      <c r="Y4563" s="317"/>
      <c r="Z4563" s="317"/>
    </row>
    <row r="4564" spans="1:26" x14ac:dyDescent="0.25">
      <c r="A4564" s="314"/>
      <c r="B4564" s="18">
        <v>2023</v>
      </c>
      <c r="C4564" s="18" t="s">
        <v>787</v>
      </c>
      <c r="D4564" s="18" t="s">
        <v>1842</v>
      </c>
      <c r="E4564" s="18" t="s">
        <v>713</v>
      </c>
      <c r="F4564" s="18" t="s">
        <v>714</v>
      </c>
      <c r="G4564" s="18" t="s">
        <v>678</v>
      </c>
      <c r="H4564" s="18" t="s">
        <v>1709</v>
      </c>
      <c r="I4564" s="315">
        <v>6.4239000878407823E-2</v>
      </c>
      <c r="J4564" s="315">
        <v>7.9485256931163698E-6</v>
      </c>
      <c r="K4564" s="316" t="str">
        <f t="shared" si="64"/>
        <v>Agricultural Equipment</v>
      </c>
      <c r="L4564" s="316" t="str">
        <f t="shared" si="65"/>
        <v>Diesel</v>
      </c>
      <c r="M4564" s="194"/>
      <c r="N4564" s="317"/>
      <c r="O4564" s="317"/>
      <c r="P4564" s="317"/>
      <c r="Q4564" s="317"/>
      <c r="R4564" s="317"/>
      <c r="S4564" s="317"/>
      <c r="T4564" s="317"/>
      <c r="U4564" s="317"/>
      <c r="V4564" s="317"/>
      <c r="W4564" s="317"/>
      <c r="X4564" s="317"/>
      <c r="Y4564" s="317"/>
      <c r="Z4564" s="317"/>
    </row>
    <row r="4565" spans="1:26" x14ac:dyDescent="0.25">
      <c r="A4565" s="314"/>
      <c r="B4565" s="18">
        <v>2023</v>
      </c>
      <c r="C4565" s="18" t="s">
        <v>787</v>
      </c>
      <c r="D4565" s="18" t="s">
        <v>1843</v>
      </c>
      <c r="E4565" s="18" t="s">
        <v>56</v>
      </c>
      <c r="F4565" s="18" t="s">
        <v>672</v>
      </c>
      <c r="G4565" s="18" t="s">
        <v>678</v>
      </c>
      <c r="H4565" s="18" t="s">
        <v>1154</v>
      </c>
      <c r="I4565" s="315">
        <v>6.4129954936757327E-2</v>
      </c>
      <c r="J4565" s="315">
        <v>2.9430803074742204E-6</v>
      </c>
      <c r="K4565" s="316" t="str">
        <f t="shared" si="64"/>
        <v>Agricultural Equipment</v>
      </c>
      <c r="L4565" s="316" t="str">
        <f t="shared" si="65"/>
        <v>LPG</v>
      </c>
      <c r="M4565" s="194"/>
      <c r="N4565" s="317"/>
      <c r="O4565" s="317"/>
      <c r="P4565" s="317"/>
      <c r="Q4565" s="317"/>
      <c r="R4565" s="317"/>
      <c r="S4565" s="317"/>
      <c r="T4565" s="317"/>
      <c r="U4565" s="317"/>
      <c r="V4565" s="317"/>
      <c r="W4565" s="317"/>
      <c r="X4565" s="317"/>
      <c r="Y4565" s="317"/>
      <c r="Z4565" s="317"/>
    </row>
    <row r="4566" spans="1:26" x14ac:dyDescent="0.25">
      <c r="A4566" s="314"/>
      <c r="B4566" s="18">
        <v>2023</v>
      </c>
      <c r="C4566" s="18" t="s">
        <v>810</v>
      </c>
      <c r="D4566" s="18" t="s">
        <v>1792</v>
      </c>
      <c r="E4566" s="18" t="s">
        <v>713</v>
      </c>
      <c r="F4566" s="18" t="s">
        <v>714</v>
      </c>
      <c r="G4566" s="18" t="s">
        <v>673</v>
      </c>
      <c r="H4566" s="18" t="s">
        <v>749</v>
      </c>
      <c r="I4566" s="315">
        <v>6.3585871669019869E-2</v>
      </c>
      <c r="J4566" s="315">
        <v>3.2834444093168198E-6</v>
      </c>
      <c r="K4566" s="316" t="str">
        <f t="shared" si="64"/>
        <v>Lawn and Garden Equipment</v>
      </c>
      <c r="L4566" s="316" t="str">
        <f t="shared" si="65"/>
        <v>Diesel</v>
      </c>
      <c r="M4566" s="194"/>
      <c r="N4566" s="317"/>
      <c r="O4566" s="317"/>
      <c r="P4566" s="317"/>
      <c r="Q4566" s="317"/>
      <c r="R4566" s="317"/>
      <c r="S4566" s="317"/>
      <c r="T4566" s="317"/>
      <c r="U4566" s="317"/>
      <c r="V4566" s="317"/>
      <c r="W4566" s="317"/>
      <c r="X4566" s="317"/>
      <c r="Y4566" s="317"/>
      <c r="Z4566" s="317"/>
    </row>
    <row r="4567" spans="1:26" x14ac:dyDescent="0.25">
      <c r="A4567" s="314"/>
      <c r="B4567" s="18">
        <v>2023</v>
      </c>
      <c r="C4567" s="18" t="s">
        <v>759</v>
      </c>
      <c r="D4567" s="18" t="s">
        <v>1792</v>
      </c>
      <c r="E4567" s="18" t="s">
        <v>713</v>
      </c>
      <c r="F4567" s="18" t="s">
        <v>714</v>
      </c>
      <c r="G4567" s="18" t="s">
        <v>673</v>
      </c>
      <c r="H4567" s="18" t="s">
        <v>749</v>
      </c>
      <c r="I4567" s="315">
        <v>6.3585871669019869E-2</v>
      </c>
      <c r="J4567" s="315">
        <v>3.2834444093168198E-6</v>
      </c>
      <c r="K4567" s="316" t="str">
        <f t="shared" si="64"/>
        <v>Lawn and Garden Equipment</v>
      </c>
      <c r="L4567" s="316" t="str">
        <f t="shared" si="65"/>
        <v>Diesel</v>
      </c>
      <c r="M4567" s="194"/>
      <c r="N4567" s="317"/>
      <c r="O4567" s="317"/>
      <c r="P4567" s="317"/>
      <c r="Q4567" s="317"/>
      <c r="R4567" s="317"/>
      <c r="S4567" s="317"/>
      <c r="T4567" s="317"/>
      <c r="U4567" s="317"/>
      <c r="V4567" s="317"/>
      <c r="W4567" s="317"/>
      <c r="X4567" s="317"/>
      <c r="Y4567" s="317"/>
      <c r="Z4567" s="317"/>
    </row>
    <row r="4568" spans="1:26" x14ac:dyDescent="0.25">
      <c r="A4568" s="314"/>
      <c r="B4568" s="18">
        <v>2023</v>
      </c>
      <c r="C4568" s="18" t="s">
        <v>727</v>
      </c>
      <c r="D4568" s="18" t="s">
        <v>1792</v>
      </c>
      <c r="E4568" s="18" t="s">
        <v>713</v>
      </c>
      <c r="F4568" s="18" t="s">
        <v>714</v>
      </c>
      <c r="G4568" s="18" t="s">
        <v>673</v>
      </c>
      <c r="H4568" s="18" t="s">
        <v>749</v>
      </c>
      <c r="I4568" s="315">
        <v>6.3585871669019869E-2</v>
      </c>
      <c r="J4568" s="315">
        <v>3.2834444093168198E-6</v>
      </c>
      <c r="K4568" s="316" t="str">
        <f t="shared" si="64"/>
        <v>Lawn and Garden Equipment</v>
      </c>
      <c r="L4568" s="316" t="str">
        <f t="shared" si="65"/>
        <v>Diesel</v>
      </c>
      <c r="M4568" s="194"/>
      <c r="N4568" s="317"/>
      <c r="O4568" s="317"/>
      <c r="P4568" s="317"/>
      <c r="Q4568" s="317"/>
      <c r="R4568" s="317"/>
      <c r="S4568" s="317"/>
      <c r="T4568" s="317"/>
      <c r="U4568" s="317"/>
      <c r="V4568" s="317"/>
      <c r="W4568" s="317"/>
      <c r="X4568" s="317"/>
      <c r="Y4568" s="317"/>
      <c r="Z4568" s="317"/>
    </row>
    <row r="4569" spans="1:26" x14ac:dyDescent="0.25">
      <c r="A4569" s="314"/>
      <c r="B4569" s="18">
        <v>2023</v>
      </c>
      <c r="C4569" s="18" t="s">
        <v>731</v>
      </c>
      <c r="D4569" s="18" t="s">
        <v>1792</v>
      </c>
      <c r="E4569" s="18" t="s">
        <v>713</v>
      </c>
      <c r="F4569" s="18" t="s">
        <v>714</v>
      </c>
      <c r="G4569" s="18" t="s">
        <v>673</v>
      </c>
      <c r="H4569" s="18" t="s">
        <v>749</v>
      </c>
      <c r="I4569" s="315">
        <v>6.3190952932061187E-2</v>
      </c>
      <c r="J4569" s="315">
        <v>3.2630541937350644E-6</v>
      </c>
      <c r="K4569" s="316" t="str">
        <f t="shared" si="64"/>
        <v>Lawn and Garden Equipment</v>
      </c>
      <c r="L4569" s="316" t="str">
        <f t="shared" si="65"/>
        <v>Diesel</v>
      </c>
      <c r="M4569" s="194"/>
      <c r="N4569" s="317"/>
      <c r="O4569" s="317"/>
      <c r="P4569" s="317"/>
      <c r="Q4569" s="317"/>
      <c r="R4569" s="317"/>
      <c r="S4569" s="317"/>
      <c r="T4569" s="317"/>
      <c r="U4569" s="317"/>
      <c r="V4569" s="317"/>
      <c r="W4569" s="317"/>
      <c r="X4569" s="317"/>
      <c r="Y4569" s="317"/>
      <c r="Z4569" s="317"/>
    </row>
    <row r="4570" spans="1:26" x14ac:dyDescent="0.25">
      <c r="A4570" s="314"/>
      <c r="B4570" s="18">
        <v>2023</v>
      </c>
      <c r="C4570" s="18" t="s">
        <v>754</v>
      </c>
      <c r="D4570" s="18" t="s">
        <v>1024</v>
      </c>
      <c r="E4570" s="18" t="s">
        <v>56</v>
      </c>
      <c r="F4570" s="18" t="s">
        <v>1025</v>
      </c>
      <c r="G4570" s="18" t="s">
        <v>680</v>
      </c>
      <c r="H4570" s="18" t="s">
        <v>1026</v>
      </c>
      <c r="I4570" s="315">
        <v>6.3060222407528829E-2</v>
      </c>
      <c r="J4570" s="315">
        <v>2.8724204834815282E-6</v>
      </c>
      <c r="K4570" s="316" t="str">
        <f t="shared" si="64"/>
        <v>Airport Ground Support Equipment</v>
      </c>
      <c r="L4570" s="316" t="str">
        <f t="shared" si="65"/>
        <v>LPG</v>
      </c>
      <c r="M4570" s="194"/>
      <c r="N4570" s="317"/>
      <c r="O4570" s="317"/>
      <c r="P4570" s="317"/>
      <c r="Q4570" s="317"/>
      <c r="R4570" s="317"/>
      <c r="S4570" s="317"/>
      <c r="T4570" s="317"/>
      <c r="U4570" s="317"/>
      <c r="V4570" s="317"/>
      <c r="W4570" s="317"/>
      <c r="X4570" s="317"/>
      <c r="Y4570" s="317"/>
      <c r="Z4570" s="317"/>
    </row>
    <row r="4571" spans="1:26" x14ac:dyDescent="0.25">
      <c r="A4571" s="314"/>
      <c r="B4571" s="18">
        <v>2023</v>
      </c>
      <c r="C4571" s="18" t="s">
        <v>753</v>
      </c>
      <c r="D4571" s="18" t="s">
        <v>1792</v>
      </c>
      <c r="E4571" s="18" t="s">
        <v>713</v>
      </c>
      <c r="F4571" s="18" t="s">
        <v>714</v>
      </c>
      <c r="G4571" s="18" t="s">
        <v>673</v>
      </c>
      <c r="H4571" s="18" t="s">
        <v>749</v>
      </c>
      <c r="I4571" s="315">
        <v>6.2401082200925828E-2</v>
      </c>
      <c r="J4571" s="315">
        <v>3.2222664214303034E-6</v>
      </c>
      <c r="K4571" s="316" t="str">
        <f t="shared" si="64"/>
        <v>Lawn and Garden Equipment</v>
      </c>
      <c r="L4571" s="316" t="str">
        <f t="shared" si="65"/>
        <v>Diesel</v>
      </c>
      <c r="M4571" s="194"/>
      <c r="N4571" s="317"/>
      <c r="O4571" s="317"/>
      <c r="P4571" s="317"/>
      <c r="Q4571" s="317"/>
      <c r="R4571" s="317"/>
      <c r="S4571" s="317"/>
      <c r="T4571" s="317"/>
      <c r="U4571" s="317"/>
      <c r="V4571" s="317"/>
      <c r="W4571" s="317"/>
      <c r="X4571" s="317"/>
      <c r="Y4571" s="317"/>
      <c r="Z4571" s="317"/>
    </row>
    <row r="4572" spans="1:26" x14ac:dyDescent="0.25">
      <c r="A4572" s="314"/>
      <c r="B4572" s="18">
        <v>2023</v>
      </c>
      <c r="C4572" s="18" t="s">
        <v>792</v>
      </c>
      <c r="D4572" s="18" t="s">
        <v>1841</v>
      </c>
      <c r="E4572" s="18" t="s">
        <v>703</v>
      </c>
      <c r="F4572" s="18" t="s">
        <v>805</v>
      </c>
      <c r="G4572" s="18" t="s">
        <v>675</v>
      </c>
      <c r="H4572" s="18" t="s">
        <v>798</v>
      </c>
      <c r="I4572" s="315">
        <v>6.2243773860923418E-2</v>
      </c>
      <c r="J4572" s="315">
        <v>1.3907757416475994E-4</v>
      </c>
      <c r="K4572" s="316" t="str">
        <f t="shared" si="64"/>
        <v>Industrial Equipment</v>
      </c>
      <c r="L4572" s="316" t="str">
        <f t="shared" si="65"/>
        <v>Gasoline</v>
      </c>
      <c r="M4572" s="194"/>
      <c r="N4572" s="317"/>
      <c r="O4572" s="317"/>
      <c r="P4572" s="317"/>
      <c r="Q4572" s="317"/>
      <c r="R4572" s="317"/>
      <c r="S4572" s="317"/>
      <c r="T4572" s="317"/>
      <c r="U4572" s="317"/>
      <c r="V4572" s="317"/>
      <c r="W4572" s="317"/>
      <c r="X4572" s="317"/>
      <c r="Y4572" s="317"/>
      <c r="Z4572" s="317"/>
    </row>
    <row r="4573" spans="1:26" x14ac:dyDescent="0.25">
      <c r="A4573" s="314"/>
      <c r="B4573" s="18">
        <v>2023</v>
      </c>
      <c r="C4573" s="18" t="s">
        <v>754</v>
      </c>
      <c r="D4573" s="18" t="s">
        <v>1847</v>
      </c>
      <c r="E4573" s="18" t="s">
        <v>56</v>
      </c>
      <c r="F4573" s="18" t="s">
        <v>672</v>
      </c>
      <c r="G4573" s="18" t="s">
        <v>678</v>
      </c>
      <c r="H4573" s="18" t="s">
        <v>1080</v>
      </c>
      <c r="I4573" s="315">
        <v>6.2198704998599808E-2</v>
      </c>
      <c r="J4573" s="315">
        <v>2.7503741387137602E-5</v>
      </c>
      <c r="K4573" s="316" t="str">
        <f t="shared" si="64"/>
        <v>Agricultural Equipment</v>
      </c>
      <c r="L4573" s="316" t="str">
        <f t="shared" si="65"/>
        <v>LPG</v>
      </c>
      <c r="M4573" s="194"/>
      <c r="N4573" s="317"/>
      <c r="O4573" s="317"/>
      <c r="P4573" s="317"/>
      <c r="Q4573" s="317"/>
      <c r="R4573" s="317"/>
      <c r="S4573" s="317"/>
      <c r="T4573" s="317"/>
      <c r="U4573" s="317"/>
      <c r="V4573" s="317"/>
      <c r="W4573" s="317"/>
      <c r="X4573" s="317"/>
      <c r="Y4573" s="317"/>
      <c r="Z4573" s="317"/>
    </row>
    <row r="4574" spans="1:26" x14ac:dyDescent="0.25">
      <c r="A4574" s="314"/>
      <c r="B4574" s="18">
        <v>2023</v>
      </c>
      <c r="C4574" s="18" t="s">
        <v>773</v>
      </c>
      <c r="D4574" s="18" t="s">
        <v>1833</v>
      </c>
      <c r="E4574" s="18" t="s">
        <v>703</v>
      </c>
      <c r="F4574" s="18" t="s">
        <v>704</v>
      </c>
      <c r="G4574" s="18" t="s">
        <v>674</v>
      </c>
      <c r="H4574" s="18" t="s">
        <v>1082</v>
      </c>
      <c r="I4574" s="315">
        <v>6.1991991103823023E-2</v>
      </c>
      <c r="J4574" s="315">
        <v>4.0030245914333535E-5</v>
      </c>
      <c r="K4574" s="316" t="str">
        <f t="shared" si="64"/>
        <v>Construction and Mining Equipment</v>
      </c>
      <c r="L4574" s="316" t="str">
        <f t="shared" si="65"/>
        <v>Gasoline</v>
      </c>
      <c r="M4574" s="194"/>
      <c r="N4574" s="317"/>
      <c r="O4574" s="317"/>
      <c r="P4574" s="317"/>
      <c r="Q4574" s="317"/>
      <c r="R4574" s="317"/>
      <c r="S4574" s="317"/>
      <c r="T4574" s="317"/>
      <c r="U4574" s="317"/>
      <c r="V4574" s="317"/>
      <c r="W4574" s="317"/>
      <c r="X4574" s="317"/>
      <c r="Y4574" s="317"/>
      <c r="Z4574" s="317"/>
    </row>
    <row r="4575" spans="1:26" ht="12.75" x14ac:dyDescent="0.2">
      <c r="A4575" s="230"/>
      <c r="B4575" s="18">
        <v>2023</v>
      </c>
      <c r="C4575" s="18" t="s">
        <v>773</v>
      </c>
      <c r="D4575" s="18" t="s">
        <v>1737</v>
      </c>
      <c r="E4575" s="18" t="s">
        <v>703</v>
      </c>
      <c r="F4575" s="18" t="s">
        <v>805</v>
      </c>
      <c r="G4575" s="18" t="s">
        <v>673</v>
      </c>
      <c r="H4575" s="18" t="s">
        <v>705</v>
      </c>
      <c r="I4575" s="315">
        <v>6.1446473949175733E-2</v>
      </c>
      <c r="J4575" s="315">
        <v>1.2321926708891442E-4</v>
      </c>
      <c r="K4575" s="316" t="str">
        <f t="shared" si="64"/>
        <v>Lawn and Garden Equipment</v>
      </c>
      <c r="L4575" s="316" t="str">
        <f t="shared" si="65"/>
        <v>Gasoline</v>
      </c>
      <c r="M4575" s="8"/>
      <c r="N4575" s="2"/>
      <c r="O4575" s="2"/>
      <c r="P4575" s="2"/>
      <c r="Q4575" s="2"/>
      <c r="R4575" s="2"/>
      <c r="S4575" s="2"/>
      <c r="T4575" s="2"/>
      <c r="U4575" s="2"/>
      <c r="V4575" s="2"/>
      <c r="W4575" s="2"/>
      <c r="X4575" s="2"/>
      <c r="Y4575" s="2"/>
      <c r="Z4575" s="2"/>
    </row>
    <row r="4576" spans="1:26" ht="12.75" x14ac:dyDescent="0.2">
      <c r="A4576" s="230"/>
      <c r="B4576" s="18">
        <v>2023</v>
      </c>
      <c r="C4576" s="18" t="s">
        <v>787</v>
      </c>
      <c r="D4576" s="18" t="s">
        <v>1841</v>
      </c>
      <c r="E4576" s="18" t="s">
        <v>703</v>
      </c>
      <c r="F4576" s="18" t="s">
        <v>805</v>
      </c>
      <c r="G4576" s="18" t="s">
        <v>675</v>
      </c>
      <c r="H4576" s="18" t="s">
        <v>798</v>
      </c>
      <c r="I4576" s="315">
        <v>6.1352366690250744E-2</v>
      </c>
      <c r="J4576" s="315">
        <v>1.3708576709435682E-4</v>
      </c>
      <c r="K4576" s="316" t="str">
        <f t="shared" si="64"/>
        <v>Industrial Equipment</v>
      </c>
      <c r="L4576" s="316" t="str">
        <f t="shared" si="65"/>
        <v>Gasoline</v>
      </c>
      <c r="M4576" s="8"/>
      <c r="N4576" s="2"/>
      <c r="O4576" s="2"/>
      <c r="P4576" s="2"/>
      <c r="Q4576" s="2"/>
      <c r="R4576" s="2"/>
      <c r="S4576" s="2"/>
      <c r="T4576" s="2"/>
      <c r="U4576" s="2"/>
      <c r="V4576" s="2"/>
      <c r="W4576" s="2"/>
      <c r="X4576" s="2"/>
      <c r="Y4576" s="2"/>
      <c r="Z4576" s="2"/>
    </row>
    <row r="4577" spans="1:26" ht="12.75" x14ac:dyDescent="0.2">
      <c r="A4577" s="230"/>
      <c r="B4577" s="18">
        <v>2023</v>
      </c>
      <c r="C4577" s="18" t="s">
        <v>762</v>
      </c>
      <c r="D4577" s="18" t="s">
        <v>1849</v>
      </c>
      <c r="E4577" s="18" t="s">
        <v>703</v>
      </c>
      <c r="F4577" s="18" t="s">
        <v>704</v>
      </c>
      <c r="G4577" s="18" t="s">
        <v>678</v>
      </c>
      <c r="H4577" s="18" t="s">
        <v>972</v>
      </c>
      <c r="I4577" s="315">
        <v>6.0903836794338917E-2</v>
      </c>
      <c r="J4577" s="315">
        <v>3.6090597673030298E-5</v>
      </c>
      <c r="K4577" s="316" t="str">
        <f t="shared" si="64"/>
        <v>Agricultural Equipment</v>
      </c>
      <c r="L4577" s="316" t="str">
        <f t="shared" si="65"/>
        <v>Gasoline</v>
      </c>
      <c r="M4577" s="8"/>
      <c r="N4577" s="2"/>
      <c r="O4577" s="2"/>
      <c r="P4577" s="2"/>
      <c r="Q4577" s="2"/>
      <c r="R4577" s="2"/>
      <c r="S4577" s="2"/>
      <c r="T4577" s="2"/>
      <c r="U4577" s="2"/>
      <c r="V4577" s="2"/>
      <c r="W4577" s="2"/>
      <c r="X4577" s="2"/>
      <c r="Y4577" s="2"/>
      <c r="Z4577" s="2"/>
    </row>
    <row r="4578" spans="1:26" ht="12.75" x14ac:dyDescent="0.2">
      <c r="A4578" s="230"/>
      <c r="B4578" s="18">
        <v>2023</v>
      </c>
      <c r="C4578" s="18" t="s">
        <v>786</v>
      </c>
      <c r="D4578" s="18" t="s">
        <v>1715</v>
      </c>
      <c r="E4578" s="18" t="s">
        <v>703</v>
      </c>
      <c r="F4578" s="18" t="s">
        <v>805</v>
      </c>
      <c r="G4578" s="18" t="s">
        <v>677</v>
      </c>
      <c r="H4578" s="18" t="s">
        <v>1031</v>
      </c>
      <c r="I4578" s="315">
        <v>6.0537953002655423E-2</v>
      </c>
      <c r="J4578" s="315">
        <v>1.3526651921089196E-4</v>
      </c>
      <c r="K4578" s="316" t="str">
        <f t="shared" si="64"/>
        <v>Commercial Equipment</v>
      </c>
      <c r="L4578" s="316" t="str">
        <f t="shared" si="65"/>
        <v>Gasoline</v>
      </c>
      <c r="M4578" s="8"/>
      <c r="N4578" s="2"/>
      <c r="O4578" s="2"/>
      <c r="P4578" s="2"/>
      <c r="Q4578" s="2"/>
      <c r="R4578" s="2"/>
      <c r="S4578" s="2"/>
      <c r="T4578" s="2"/>
      <c r="U4578" s="2"/>
      <c r="V4578" s="2"/>
      <c r="W4578" s="2"/>
      <c r="X4578" s="2"/>
      <c r="Y4578" s="2"/>
      <c r="Z4578" s="2"/>
    </row>
    <row r="4579" spans="1:26" ht="12.75" x14ac:dyDescent="0.2">
      <c r="A4579" s="230"/>
      <c r="B4579" s="18">
        <v>2023</v>
      </c>
      <c r="C4579" s="18" t="s">
        <v>760</v>
      </c>
      <c r="D4579" s="18" t="s">
        <v>1842</v>
      </c>
      <c r="E4579" s="18" t="s">
        <v>713</v>
      </c>
      <c r="F4579" s="18" t="s">
        <v>714</v>
      </c>
      <c r="G4579" s="18" t="s">
        <v>678</v>
      </c>
      <c r="H4579" s="18" t="s">
        <v>1709</v>
      </c>
      <c r="I4579" s="315">
        <v>6.0177484694155937E-2</v>
      </c>
      <c r="J4579" s="315">
        <v>7.4459716196097638E-6</v>
      </c>
      <c r="K4579" s="316" t="str">
        <f t="shared" si="64"/>
        <v>Agricultural Equipment</v>
      </c>
      <c r="L4579" s="316" t="str">
        <f t="shared" si="65"/>
        <v>Diesel</v>
      </c>
      <c r="M4579" s="8"/>
      <c r="N4579" s="2"/>
      <c r="O4579" s="2"/>
      <c r="P4579" s="2"/>
      <c r="Q4579" s="2"/>
      <c r="R4579" s="2"/>
      <c r="S4579" s="2"/>
      <c r="T4579" s="2"/>
      <c r="U4579" s="2"/>
      <c r="V4579" s="2"/>
      <c r="W4579" s="2"/>
      <c r="X4579" s="2"/>
      <c r="Y4579" s="2"/>
      <c r="Z4579" s="2"/>
    </row>
    <row r="4580" spans="1:26" ht="12.75" x14ac:dyDescent="0.2">
      <c r="A4580" s="230"/>
      <c r="B4580" s="18">
        <v>2023</v>
      </c>
      <c r="C4580" s="18" t="s">
        <v>760</v>
      </c>
      <c r="D4580" s="18" t="s">
        <v>1843</v>
      </c>
      <c r="E4580" s="18" t="s">
        <v>56</v>
      </c>
      <c r="F4580" s="18" t="s">
        <v>672</v>
      </c>
      <c r="G4580" s="18" t="s">
        <v>678</v>
      </c>
      <c r="H4580" s="18" t="s">
        <v>1154</v>
      </c>
      <c r="I4580" s="315">
        <v>6.0075313091793925E-2</v>
      </c>
      <c r="J4580" s="315">
        <v>2.7570028796244543E-6</v>
      </c>
      <c r="K4580" s="316" t="str">
        <f t="shared" si="64"/>
        <v>Agricultural Equipment</v>
      </c>
      <c r="L4580" s="316" t="str">
        <f t="shared" si="65"/>
        <v>LPG</v>
      </c>
      <c r="M4580" s="8"/>
      <c r="N4580" s="2"/>
      <c r="O4580" s="2"/>
      <c r="P4580" s="2"/>
      <c r="Q4580" s="2"/>
      <c r="R4580" s="2"/>
      <c r="S4580" s="2"/>
      <c r="T4580" s="2"/>
      <c r="U4580" s="2"/>
      <c r="V4580" s="2"/>
      <c r="W4580" s="2"/>
      <c r="X4580" s="2"/>
      <c r="Y4580" s="2"/>
      <c r="Z4580" s="2"/>
    </row>
    <row r="4581" spans="1:26" ht="12.75" x14ac:dyDescent="0.2">
      <c r="A4581" s="230"/>
      <c r="B4581" s="18">
        <v>2023</v>
      </c>
      <c r="C4581" s="18" t="s">
        <v>759</v>
      </c>
      <c r="D4581" s="18" t="s">
        <v>1655</v>
      </c>
      <c r="E4581" s="18" t="s">
        <v>56</v>
      </c>
      <c r="F4581" s="18" t="s">
        <v>672</v>
      </c>
      <c r="G4581" s="18" t="s">
        <v>677</v>
      </c>
      <c r="H4581" s="18" t="s">
        <v>789</v>
      </c>
      <c r="I4581" s="315">
        <v>5.9943959005987549E-2</v>
      </c>
      <c r="J4581" s="315">
        <v>8.4608815146429719E-6</v>
      </c>
      <c r="K4581" s="316" t="str">
        <f t="shared" si="64"/>
        <v>Commercial Equipment</v>
      </c>
      <c r="L4581" s="316" t="str">
        <f t="shared" si="65"/>
        <v>LPG</v>
      </c>
      <c r="M4581" s="8"/>
      <c r="N4581" s="2"/>
      <c r="O4581" s="2"/>
      <c r="P4581" s="2"/>
      <c r="Q4581" s="2"/>
      <c r="R4581" s="2"/>
      <c r="S4581" s="2"/>
      <c r="T4581" s="2"/>
      <c r="U4581" s="2"/>
      <c r="V4581" s="2"/>
      <c r="W4581" s="2"/>
      <c r="X4581" s="2"/>
      <c r="Y4581" s="2"/>
      <c r="Z4581" s="2"/>
    </row>
    <row r="4582" spans="1:26" ht="12.75" x14ac:dyDescent="0.2">
      <c r="A4582" s="230"/>
      <c r="B4582" s="18">
        <v>2023</v>
      </c>
      <c r="C4582" s="18" t="s">
        <v>732</v>
      </c>
      <c r="D4582" s="18" t="s">
        <v>1849</v>
      </c>
      <c r="E4582" s="18" t="s">
        <v>703</v>
      </c>
      <c r="F4582" s="18" t="s">
        <v>704</v>
      </c>
      <c r="G4582" s="18" t="s">
        <v>678</v>
      </c>
      <c r="H4582" s="18" t="s">
        <v>972</v>
      </c>
      <c r="I4582" s="315">
        <v>5.9409339081947676E-2</v>
      </c>
      <c r="J4582" s="315">
        <v>3.5295477895621974E-5</v>
      </c>
      <c r="K4582" s="316" t="str">
        <f t="shared" si="64"/>
        <v>Agricultural Equipment</v>
      </c>
      <c r="L4582" s="316" t="str">
        <f t="shared" si="65"/>
        <v>Gasoline</v>
      </c>
      <c r="M4582" s="8"/>
      <c r="N4582" s="2"/>
      <c r="O4582" s="2"/>
      <c r="P4582" s="2"/>
      <c r="Q4582" s="2"/>
      <c r="R4582" s="2"/>
      <c r="S4582" s="2"/>
      <c r="T4582" s="2"/>
      <c r="U4582" s="2"/>
      <c r="V4582" s="2"/>
      <c r="W4582" s="2"/>
      <c r="X4582" s="2"/>
      <c r="Y4582" s="2"/>
      <c r="Z4582" s="2"/>
    </row>
    <row r="4583" spans="1:26" ht="12.75" x14ac:dyDescent="0.2">
      <c r="A4583" s="230"/>
      <c r="B4583" s="18">
        <v>2023</v>
      </c>
      <c r="C4583" s="18" t="s">
        <v>787</v>
      </c>
      <c r="D4583" s="18" t="s">
        <v>1844</v>
      </c>
      <c r="E4583" s="18" t="s">
        <v>56</v>
      </c>
      <c r="F4583" s="18" t="s">
        <v>601</v>
      </c>
      <c r="G4583" s="18" t="s">
        <v>678</v>
      </c>
      <c r="H4583" s="18" t="s">
        <v>1080</v>
      </c>
      <c r="I4583" s="315">
        <v>5.8870437218552993E-2</v>
      </c>
      <c r="J4583" s="315">
        <v>2.3185655930564849E-3</v>
      </c>
      <c r="K4583" s="316" t="str">
        <f t="shared" si="64"/>
        <v>Agricultural Equipment</v>
      </c>
      <c r="L4583" s="316" t="str">
        <f t="shared" si="65"/>
        <v>CNG</v>
      </c>
      <c r="M4583" s="8"/>
      <c r="N4583" s="2"/>
      <c r="O4583" s="2"/>
      <c r="P4583" s="2"/>
      <c r="Q4583" s="2"/>
      <c r="R4583" s="2"/>
      <c r="S4583" s="2"/>
      <c r="T4583" s="2"/>
      <c r="U4583" s="2"/>
      <c r="V4583" s="2"/>
      <c r="W4583" s="2"/>
      <c r="X4583" s="2"/>
      <c r="Y4583" s="2"/>
      <c r="Z4583" s="2"/>
    </row>
    <row r="4584" spans="1:26" ht="12.75" x14ac:dyDescent="0.2">
      <c r="A4584" s="230"/>
      <c r="B4584" s="18">
        <v>2023</v>
      </c>
      <c r="C4584" s="18" t="s">
        <v>701</v>
      </c>
      <c r="D4584" s="18" t="s">
        <v>1842</v>
      </c>
      <c r="E4584" s="18" t="s">
        <v>713</v>
      </c>
      <c r="F4584" s="18" t="s">
        <v>714</v>
      </c>
      <c r="G4584" s="18" t="s">
        <v>678</v>
      </c>
      <c r="H4584" s="18" t="s">
        <v>1709</v>
      </c>
      <c r="I4584" s="315">
        <v>5.8461768425885158E-2</v>
      </c>
      <c r="J4584" s="315">
        <v>7.2336933418678955E-6</v>
      </c>
      <c r="K4584" s="316" t="str">
        <f t="shared" si="64"/>
        <v>Agricultural Equipment</v>
      </c>
      <c r="L4584" s="316" t="str">
        <f t="shared" si="65"/>
        <v>Diesel</v>
      </c>
      <c r="M4584" s="8"/>
      <c r="N4584" s="2"/>
      <c r="O4584" s="2"/>
      <c r="P4584" s="2"/>
      <c r="Q4584" s="2"/>
      <c r="R4584" s="2"/>
      <c r="S4584" s="2"/>
      <c r="T4584" s="2"/>
      <c r="U4584" s="2"/>
      <c r="V4584" s="2"/>
      <c r="W4584" s="2"/>
      <c r="X4584" s="2"/>
      <c r="Y4584" s="2"/>
      <c r="Z4584" s="2"/>
    </row>
    <row r="4585" spans="1:26" ht="12.75" x14ac:dyDescent="0.2">
      <c r="A4585" s="230"/>
      <c r="B4585" s="18">
        <v>2023</v>
      </c>
      <c r="C4585" s="18" t="s">
        <v>701</v>
      </c>
      <c r="D4585" s="18" t="s">
        <v>1843</v>
      </c>
      <c r="E4585" s="18" t="s">
        <v>56</v>
      </c>
      <c r="F4585" s="18" t="s">
        <v>672</v>
      </c>
      <c r="G4585" s="18" t="s">
        <v>678</v>
      </c>
      <c r="H4585" s="18" t="s">
        <v>1154</v>
      </c>
      <c r="I4585" s="315">
        <v>5.8362560906192559E-2</v>
      </c>
      <c r="J4585" s="315">
        <v>2.6784022246162818E-6</v>
      </c>
      <c r="K4585" s="316" t="str">
        <f t="shared" si="64"/>
        <v>Agricultural Equipment</v>
      </c>
      <c r="L4585" s="316" t="str">
        <f t="shared" si="65"/>
        <v>LPG</v>
      </c>
      <c r="M4585" s="8"/>
      <c r="N4585" s="2"/>
      <c r="O4585" s="2"/>
      <c r="P4585" s="2"/>
      <c r="Q4585" s="2"/>
      <c r="R4585" s="2"/>
      <c r="S4585" s="2"/>
      <c r="T4585" s="2"/>
      <c r="U4585" s="2"/>
      <c r="V4585" s="2"/>
      <c r="W4585" s="2"/>
      <c r="X4585" s="2"/>
      <c r="Y4585" s="2"/>
      <c r="Z4585" s="2"/>
    </row>
    <row r="4586" spans="1:26" ht="12.75" x14ac:dyDescent="0.2">
      <c r="A4586" s="230"/>
      <c r="B4586" s="18">
        <v>2023</v>
      </c>
      <c r="C4586" s="18" t="s">
        <v>792</v>
      </c>
      <c r="D4586" s="18" t="s">
        <v>1838</v>
      </c>
      <c r="E4586" s="18" t="s">
        <v>713</v>
      </c>
      <c r="F4586" s="18" t="s">
        <v>714</v>
      </c>
      <c r="G4586" s="18" t="s">
        <v>678</v>
      </c>
      <c r="H4586" s="18" t="s">
        <v>1745</v>
      </c>
      <c r="I4586" s="315">
        <v>5.8132292047470772E-2</v>
      </c>
      <c r="J4586" s="315">
        <v>4.2069033990608782E-7</v>
      </c>
      <c r="K4586" s="316" t="str">
        <f t="shared" si="64"/>
        <v>Agricultural Equipment</v>
      </c>
      <c r="L4586" s="316" t="str">
        <f t="shared" si="65"/>
        <v>Diesel</v>
      </c>
      <c r="M4586" s="8"/>
      <c r="N4586" s="2"/>
      <c r="O4586" s="2"/>
      <c r="P4586" s="2"/>
      <c r="Q4586" s="2"/>
      <c r="R4586" s="2"/>
      <c r="S4586" s="2"/>
      <c r="T4586" s="2"/>
      <c r="U4586" s="2"/>
      <c r="V4586" s="2"/>
      <c r="W4586" s="2"/>
      <c r="X4586" s="2"/>
      <c r="Y4586" s="2"/>
      <c r="Z4586" s="2"/>
    </row>
    <row r="4587" spans="1:26" ht="12.75" x14ac:dyDescent="0.2">
      <c r="A4587" s="230"/>
      <c r="B4587" s="18">
        <v>2023</v>
      </c>
      <c r="C4587" s="18" t="s">
        <v>750</v>
      </c>
      <c r="D4587" s="18" t="s">
        <v>991</v>
      </c>
      <c r="E4587" s="18" t="s">
        <v>703</v>
      </c>
      <c r="F4587" s="18" t="s">
        <v>795</v>
      </c>
      <c r="G4587" s="18" t="s">
        <v>680</v>
      </c>
      <c r="H4587" s="18" t="s">
        <v>992</v>
      </c>
      <c r="I4587" s="315">
        <v>5.7412470459756629E-2</v>
      </c>
      <c r="J4587" s="315">
        <v>1.6456624439140044E-5</v>
      </c>
      <c r="K4587" s="316" t="str">
        <f t="shared" si="64"/>
        <v>Airport Ground Support Equipment</v>
      </c>
      <c r="L4587" s="316" t="str">
        <f t="shared" si="65"/>
        <v>Gasoline</v>
      </c>
      <c r="M4587" s="8"/>
      <c r="N4587" s="2"/>
      <c r="O4587" s="2"/>
      <c r="P4587" s="2"/>
      <c r="Q4587" s="2"/>
      <c r="R4587" s="2"/>
      <c r="S4587" s="2"/>
      <c r="T4587" s="2"/>
      <c r="U4587" s="2"/>
      <c r="V4587" s="2"/>
      <c r="W4587" s="2"/>
      <c r="X4587" s="2"/>
      <c r="Y4587" s="2"/>
      <c r="Z4587" s="2"/>
    </row>
    <row r="4588" spans="1:26" ht="12.75" x14ac:dyDescent="0.2">
      <c r="A4588" s="230"/>
      <c r="B4588" s="18">
        <v>2023</v>
      </c>
      <c r="C4588" s="18" t="s">
        <v>762</v>
      </c>
      <c r="D4588" s="18" t="s">
        <v>1737</v>
      </c>
      <c r="E4588" s="18" t="s">
        <v>703</v>
      </c>
      <c r="F4588" s="18" t="s">
        <v>805</v>
      </c>
      <c r="G4588" s="18" t="s">
        <v>673</v>
      </c>
      <c r="H4588" s="18" t="s">
        <v>705</v>
      </c>
      <c r="I4588" s="315">
        <v>5.7229459176423587E-2</v>
      </c>
      <c r="J4588" s="315">
        <v>1.1476299846013659E-4</v>
      </c>
      <c r="K4588" s="316" t="str">
        <f t="shared" si="64"/>
        <v>Lawn and Garden Equipment</v>
      </c>
      <c r="L4588" s="316" t="str">
        <f t="shared" si="65"/>
        <v>Gasoline</v>
      </c>
      <c r="M4588" s="8"/>
      <c r="N4588" s="2"/>
      <c r="O4588" s="2"/>
      <c r="P4588" s="2"/>
      <c r="Q4588" s="2"/>
      <c r="R4588" s="2"/>
      <c r="S4588" s="2"/>
      <c r="T4588" s="2"/>
      <c r="U4588" s="2"/>
      <c r="V4588" s="2"/>
      <c r="W4588" s="2"/>
      <c r="X4588" s="2"/>
      <c r="Y4588" s="2"/>
      <c r="Z4588" s="2"/>
    </row>
    <row r="4589" spans="1:26" ht="12.75" x14ac:dyDescent="0.2">
      <c r="A4589" s="230"/>
      <c r="B4589" s="18">
        <v>2023</v>
      </c>
      <c r="C4589" s="18" t="s">
        <v>732</v>
      </c>
      <c r="D4589" s="18" t="s">
        <v>1840</v>
      </c>
      <c r="E4589" s="18" t="s">
        <v>703</v>
      </c>
      <c r="F4589" s="18" t="s">
        <v>704</v>
      </c>
      <c r="G4589" s="18" t="s">
        <v>681</v>
      </c>
      <c r="H4589" s="18" t="s">
        <v>895</v>
      </c>
      <c r="I4589" s="315">
        <v>5.6759639999760442E-2</v>
      </c>
      <c r="J4589" s="315">
        <v>4.469675601787609E-5</v>
      </c>
      <c r="K4589" s="316" t="str">
        <f t="shared" si="64"/>
        <v>Logging Equipment</v>
      </c>
      <c r="L4589" s="316" t="str">
        <f t="shared" si="65"/>
        <v>Gasoline</v>
      </c>
      <c r="M4589" s="8"/>
      <c r="N4589" s="2"/>
      <c r="O4589" s="2"/>
      <c r="P4589" s="2"/>
      <c r="Q4589" s="2"/>
      <c r="R4589" s="2"/>
      <c r="S4589" s="2"/>
      <c r="T4589" s="2"/>
      <c r="U4589" s="2"/>
      <c r="V4589" s="2"/>
      <c r="W4589" s="2"/>
      <c r="X4589" s="2"/>
      <c r="Y4589" s="2"/>
      <c r="Z4589" s="2"/>
    </row>
    <row r="4590" spans="1:26" ht="12.75" x14ac:dyDescent="0.2">
      <c r="A4590" s="230"/>
      <c r="B4590" s="18">
        <v>2023</v>
      </c>
      <c r="C4590" s="18" t="s">
        <v>787</v>
      </c>
      <c r="D4590" s="18" t="s">
        <v>1845</v>
      </c>
      <c r="E4590" s="18" t="s">
        <v>713</v>
      </c>
      <c r="F4590" s="18" t="s">
        <v>714</v>
      </c>
      <c r="G4590" s="18" t="s">
        <v>678</v>
      </c>
      <c r="H4590" s="18" t="s">
        <v>1279</v>
      </c>
      <c r="I4590" s="315">
        <v>5.6206232659496098E-2</v>
      </c>
      <c r="J4590" s="315">
        <v>3.2770594997891448E-7</v>
      </c>
      <c r="K4590" s="316" t="str">
        <f t="shared" si="64"/>
        <v>Agricultural Equipment</v>
      </c>
      <c r="L4590" s="316" t="str">
        <f t="shared" si="65"/>
        <v>Diesel</v>
      </c>
      <c r="M4590" s="8"/>
      <c r="N4590" s="2"/>
      <c r="O4590" s="2"/>
      <c r="P4590" s="2"/>
      <c r="Q4590" s="2"/>
      <c r="R4590" s="2"/>
      <c r="S4590" s="2"/>
      <c r="T4590" s="2"/>
      <c r="U4590" s="2"/>
      <c r="V4590" s="2"/>
      <c r="W4590" s="2"/>
      <c r="X4590" s="2"/>
      <c r="Y4590" s="2"/>
      <c r="Z4590" s="2"/>
    </row>
    <row r="4591" spans="1:26" ht="12.75" x14ac:dyDescent="0.2">
      <c r="A4591" s="230"/>
      <c r="B4591" s="18">
        <v>2023</v>
      </c>
      <c r="C4591" s="18" t="s">
        <v>759</v>
      </c>
      <c r="D4591" s="18" t="s">
        <v>1656</v>
      </c>
      <c r="E4591" s="18" t="s">
        <v>56</v>
      </c>
      <c r="F4591" s="18" t="s">
        <v>672</v>
      </c>
      <c r="G4591" s="18" t="s">
        <v>677</v>
      </c>
      <c r="H4591" s="18" t="s">
        <v>1031</v>
      </c>
      <c r="I4591" s="315">
        <v>5.5808964169099744E-2</v>
      </c>
      <c r="J4591" s="315">
        <v>2.8182042780738156E-6</v>
      </c>
      <c r="K4591" s="316" t="str">
        <f t="shared" si="64"/>
        <v>Commercial Equipment</v>
      </c>
      <c r="L4591" s="316" t="str">
        <f t="shared" si="65"/>
        <v>LPG</v>
      </c>
      <c r="M4591" s="8"/>
      <c r="N4591" s="2"/>
      <c r="O4591" s="2"/>
      <c r="P4591" s="2"/>
      <c r="Q4591" s="2"/>
      <c r="R4591" s="2"/>
      <c r="S4591" s="2"/>
      <c r="T4591" s="2"/>
      <c r="U4591" s="2"/>
      <c r="V4591" s="2"/>
      <c r="W4591" s="2"/>
      <c r="X4591" s="2"/>
      <c r="Y4591" s="2"/>
      <c r="Z4591" s="2"/>
    </row>
    <row r="4592" spans="1:26" ht="12.75" x14ac:dyDescent="0.2">
      <c r="A4592" s="230"/>
      <c r="B4592" s="18">
        <v>2023</v>
      </c>
      <c r="C4592" s="18" t="s">
        <v>760</v>
      </c>
      <c r="D4592" s="18" t="s">
        <v>1844</v>
      </c>
      <c r="E4592" s="18" t="s">
        <v>56</v>
      </c>
      <c r="F4592" s="18" t="s">
        <v>601</v>
      </c>
      <c r="G4592" s="18" t="s">
        <v>678</v>
      </c>
      <c r="H4592" s="18" t="s">
        <v>1080</v>
      </c>
      <c r="I4592" s="315">
        <v>5.5148375599929696E-2</v>
      </c>
      <c r="J4592" s="315">
        <v>2.1719731542413955E-3</v>
      </c>
      <c r="K4592" s="316" t="str">
        <f t="shared" si="64"/>
        <v>Agricultural Equipment</v>
      </c>
      <c r="L4592" s="316" t="str">
        <f t="shared" si="65"/>
        <v>CNG</v>
      </c>
      <c r="M4592" s="8"/>
      <c r="N4592" s="2"/>
      <c r="O4592" s="2"/>
      <c r="P4592" s="2"/>
      <c r="Q4592" s="2"/>
      <c r="R4592" s="2"/>
      <c r="S4592" s="2"/>
      <c r="T4592" s="2"/>
      <c r="U4592" s="2"/>
      <c r="V4592" s="2"/>
      <c r="W4592" s="2"/>
      <c r="X4592" s="2"/>
      <c r="Y4592" s="2"/>
      <c r="Z4592" s="2"/>
    </row>
    <row r="4593" spans="1:26" ht="12.75" x14ac:dyDescent="0.2">
      <c r="A4593" s="230"/>
      <c r="B4593" s="18">
        <v>2023</v>
      </c>
      <c r="C4593" s="18" t="s">
        <v>781</v>
      </c>
      <c r="D4593" s="18" t="s">
        <v>1847</v>
      </c>
      <c r="E4593" s="18" t="s">
        <v>56</v>
      </c>
      <c r="F4593" s="18" t="s">
        <v>672</v>
      </c>
      <c r="G4593" s="18" t="s">
        <v>678</v>
      </c>
      <c r="H4593" s="18" t="s">
        <v>1080</v>
      </c>
      <c r="I4593" s="315">
        <v>5.4958532706252533E-2</v>
      </c>
      <c r="J4593" s="315">
        <v>2.4302189367996126E-5</v>
      </c>
      <c r="K4593" s="316" t="str">
        <f t="shared" si="64"/>
        <v>Agricultural Equipment</v>
      </c>
      <c r="L4593" s="316" t="str">
        <f t="shared" si="65"/>
        <v>LPG</v>
      </c>
      <c r="M4593" s="8"/>
      <c r="N4593" s="2"/>
      <c r="O4593" s="2"/>
      <c r="P4593" s="2"/>
      <c r="Q4593" s="2"/>
      <c r="R4593" s="2"/>
      <c r="S4593" s="2"/>
      <c r="T4593" s="2"/>
      <c r="U4593" s="2"/>
      <c r="V4593" s="2"/>
      <c r="W4593" s="2"/>
      <c r="X4593" s="2"/>
      <c r="Y4593" s="2"/>
      <c r="Z4593" s="2"/>
    </row>
    <row r="4594" spans="1:26" ht="12.75" x14ac:dyDescent="0.2">
      <c r="A4594" s="230"/>
      <c r="B4594" s="18">
        <v>2023</v>
      </c>
      <c r="C4594" s="18" t="s">
        <v>786</v>
      </c>
      <c r="D4594" s="18" t="s">
        <v>1847</v>
      </c>
      <c r="E4594" s="18" t="s">
        <v>56</v>
      </c>
      <c r="F4594" s="18" t="s">
        <v>672</v>
      </c>
      <c r="G4594" s="18" t="s">
        <v>678</v>
      </c>
      <c r="H4594" s="18" t="s">
        <v>1080</v>
      </c>
      <c r="I4594" s="315">
        <v>5.4389420043205038E-2</v>
      </c>
      <c r="J4594" s="315">
        <v>2.4050559927846159E-5</v>
      </c>
      <c r="K4594" s="316" t="str">
        <f t="shared" si="64"/>
        <v>Agricultural Equipment</v>
      </c>
      <c r="L4594" s="316" t="str">
        <f t="shared" si="65"/>
        <v>LPG</v>
      </c>
      <c r="M4594" s="8"/>
      <c r="N4594" s="2"/>
      <c r="O4594" s="2"/>
      <c r="P4594" s="2"/>
      <c r="Q4594" s="2"/>
      <c r="R4594" s="2"/>
      <c r="S4594" s="2"/>
      <c r="T4594" s="2"/>
      <c r="U4594" s="2"/>
      <c r="V4594" s="2"/>
      <c r="W4594" s="2"/>
      <c r="X4594" s="2"/>
      <c r="Y4594" s="2"/>
      <c r="Z4594" s="2"/>
    </row>
    <row r="4595" spans="1:26" ht="12.75" x14ac:dyDescent="0.2">
      <c r="A4595" s="230"/>
      <c r="B4595" s="18">
        <v>2023</v>
      </c>
      <c r="C4595" s="18" t="s">
        <v>701</v>
      </c>
      <c r="D4595" s="18" t="s">
        <v>1844</v>
      </c>
      <c r="E4595" s="18" t="s">
        <v>56</v>
      </c>
      <c r="F4595" s="18" t="s">
        <v>601</v>
      </c>
      <c r="G4595" s="18" t="s">
        <v>678</v>
      </c>
      <c r="H4595" s="18" t="s">
        <v>1080</v>
      </c>
      <c r="I4595" s="315">
        <v>5.3576123733378125E-2</v>
      </c>
      <c r="J4595" s="315">
        <v>2.11005017744233E-3</v>
      </c>
      <c r="K4595" s="316" t="str">
        <f t="shared" si="64"/>
        <v>Agricultural Equipment</v>
      </c>
      <c r="L4595" s="316" t="str">
        <f t="shared" si="65"/>
        <v>CNG</v>
      </c>
      <c r="M4595" s="8"/>
      <c r="N4595" s="2"/>
      <c r="O4595" s="2"/>
      <c r="P4595" s="2"/>
      <c r="Q4595" s="2"/>
      <c r="R4595" s="2"/>
      <c r="S4595" s="2"/>
      <c r="T4595" s="2"/>
      <c r="U4595" s="2"/>
      <c r="V4595" s="2"/>
      <c r="W4595" s="2"/>
      <c r="X4595" s="2"/>
      <c r="Y4595" s="2"/>
      <c r="Z4595" s="2"/>
    </row>
    <row r="4596" spans="1:26" ht="12.75" x14ac:dyDescent="0.2">
      <c r="A4596" s="230"/>
      <c r="B4596" s="18">
        <v>2023</v>
      </c>
      <c r="C4596" s="18" t="s">
        <v>727</v>
      </c>
      <c r="D4596" s="18" t="s">
        <v>1847</v>
      </c>
      <c r="E4596" s="18" t="s">
        <v>56</v>
      </c>
      <c r="F4596" s="18" t="s">
        <v>672</v>
      </c>
      <c r="G4596" s="18" t="s">
        <v>678</v>
      </c>
      <c r="H4596" s="18" t="s">
        <v>1080</v>
      </c>
      <c r="I4596" s="315">
        <v>5.3359765220148452E-2</v>
      </c>
      <c r="J4596" s="315">
        <v>2.3595246988990502E-5</v>
      </c>
      <c r="K4596" s="316" t="str">
        <f t="shared" si="64"/>
        <v>Agricultural Equipment</v>
      </c>
      <c r="L4596" s="316" t="str">
        <f t="shared" si="65"/>
        <v>LPG</v>
      </c>
      <c r="M4596" s="8"/>
      <c r="N4596" s="2"/>
      <c r="O4596" s="2"/>
      <c r="P4596" s="2"/>
      <c r="Q4596" s="2"/>
      <c r="R4596" s="2"/>
      <c r="S4596" s="2"/>
      <c r="T4596" s="2"/>
      <c r="U4596" s="2"/>
      <c r="V4596" s="2"/>
      <c r="W4596" s="2"/>
      <c r="X4596" s="2"/>
      <c r="Y4596" s="2"/>
      <c r="Z4596" s="2"/>
    </row>
    <row r="4597" spans="1:26" ht="12.75" x14ac:dyDescent="0.2">
      <c r="A4597" s="230"/>
      <c r="B4597" s="18">
        <v>2023</v>
      </c>
      <c r="C4597" s="18" t="s">
        <v>760</v>
      </c>
      <c r="D4597" s="18" t="s">
        <v>1845</v>
      </c>
      <c r="E4597" s="18" t="s">
        <v>713</v>
      </c>
      <c r="F4597" s="18" t="s">
        <v>714</v>
      </c>
      <c r="G4597" s="18" t="s">
        <v>678</v>
      </c>
      <c r="H4597" s="18" t="s">
        <v>1279</v>
      </c>
      <c r="I4597" s="315">
        <v>5.2652582987889551E-2</v>
      </c>
      <c r="J4597" s="315">
        <v>3.0698674911853515E-7</v>
      </c>
      <c r="K4597" s="316" t="str">
        <f t="shared" si="64"/>
        <v>Agricultural Equipment</v>
      </c>
      <c r="L4597" s="316" t="str">
        <f t="shared" si="65"/>
        <v>Diesel</v>
      </c>
      <c r="M4597" s="8"/>
      <c r="N4597" s="2"/>
      <c r="O4597" s="2"/>
      <c r="P4597" s="2"/>
      <c r="Q4597" s="2"/>
      <c r="R4597" s="2"/>
      <c r="S4597" s="2"/>
      <c r="T4597" s="2"/>
      <c r="U4597" s="2"/>
      <c r="V4597" s="2"/>
      <c r="W4597" s="2"/>
      <c r="X4597" s="2"/>
      <c r="Y4597" s="2"/>
      <c r="Z4597" s="2"/>
    </row>
    <row r="4598" spans="1:26" ht="12.75" x14ac:dyDescent="0.2">
      <c r="A4598" s="230"/>
      <c r="B4598" s="18">
        <v>2023</v>
      </c>
      <c r="C4598" s="18" t="s">
        <v>793</v>
      </c>
      <c r="D4598" s="18" t="s">
        <v>1717</v>
      </c>
      <c r="E4598" s="18" t="s">
        <v>56</v>
      </c>
      <c r="F4598" s="18" t="s">
        <v>601</v>
      </c>
      <c r="G4598" s="18" t="s">
        <v>675</v>
      </c>
      <c r="H4598" s="18" t="s">
        <v>802</v>
      </c>
      <c r="I4598" s="315">
        <v>5.252551629109721E-2</v>
      </c>
      <c r="J4598" s="315">
        <v>2.0929270686328657E-4</v>
      </c>
      <c r="K4598" s="316" t="str">
        <f t="shared" si="64"/>
        <v>Industrial Equipment</v>
      </c>
      <c r="L4598" s="316" t="str">
        <f t="shared" si="65"/>
        <v>CNG</v>
      </c>
      <c r="M4598" s="8"/>
      <c r="N4598" s="2"/>
      <c r="O4598" s="2"/>
      <c r="P4598" s="2"/>
      <c r="Q4598" s="2"/>
      <c r="R4598" s="2"/>
      <c r="S4598" s="2"/>
      <c r="T4598" s="2"/>
      <c r="U4598" s="2"/>
      <c r="V4598" s="2"/>
      <c r="W4598" s="2"/>
      <c r="X4598" s="2"/>
      <c r="Y4598" s="2"/>
      <c r="Z4598" s="2"/>
    </row>
    <row r="4599" spans="1:26" ht="12.75" x14ac:dyDescent="0.2">
      <c r="A4599" s="230"/>
      <c r="B4599" s="18">
        <v>2023</v>
      </c>
      <c r="C4599" s="18" t="s">
        <v>743</v>
      </c>
      <c r="D4599" s="18" t="s">
        <v>1840</v>
      </c>
      <c r="E4599" s="18" t="s">
        <v>703</v>
      </c>
      <c r="F4599" s="18" t="s">
        <v>704</v>
      </c>
      <c r="G4599" s="18" t="s">
        <v>681</v>
      </c>
      <c r="H4599" s="18" t="s">
        <v>895</v>
      </c>
      <c r="I4599" s="315">
        <v>5.2330591493509833E-2</v>
      </c>
      <c r="J4599" s="315">
        <v>4.124951942855072E-5</v>
      </c>
      <c r="K4599" s="316" t="str">
        <f t="shared" si="64"/>
        <v>Logging Equipment</v>
      </c>
      <c r="L4599" s="316" t="str">
        <f t="shared" si="65"/>
        <v>Gasoline</v>
      </c>
      <c r="M4599" s="8"/>
      <c r="N4599" s="2"/>
      <c r="O4599" s="2"/>
      <c r="P4599" s="2"/>
      <c r="Q4599" s="2"/>
      <c r="R4599" s="2"/>
      <c r="S4599" s="2"/>
      <c r="T4599" s="2"/>
      <c r="U4599" s="2"/>
      <c r="V4599" s="2"/>
      <c r="W4599" s="2"/>
      <c r="X4599" s="2"/>
      <c r="Y4599" s="2"/>
      <c r="Z4599" s="2"/>
    </row>
    <row r="4600" spans="1:26" ht="12.75" x14ac:dyDescent="0.2">
      <c r="A4600" s="230"/>
      <c r="B4600" s="18">
        <v>2023</v>
      </c>
      <c r="C4600" s="18" t="s">
        <v>753</v>
      </c>
      <c r="D4600" s="18" t="s">
        <v>1825</v>
      </c>
      <c r="E4600" s="18" t="s">
        <v>56</v>
      </c>
      <c r="F4600" s="18" t="s">
        <v>601</v>
      </c>
      <c r="G4600" s="18" t="s">
        <v>674</v>
      </c>
      <c r="H4600" s="18" t="s">
        <v>859</v>
      </c>
      <c r="I4600" s="315">
        <v>5.232777619788978E-2</v>
      </c>
      <c r="J4600" s="315">
        <v>1.1243301494254221E-3</v>
      </c>
      <c r="K4600" s="316" t="str">
        <f t="shared" si="64"/>
        <v>Construction and Mining Equipment</v>
      </c>
      <c r="L4600" s="316" t="str">
        <f t="shared" si="65"/>
        <v>CNG</v>
      </c>
      <c r="M4600" s="8"/>
      <c r="N4600" s="2"/>
      <c r="O4600" s="2"/>
      <c r="P4600" s="2"/>
      <c r="Q4600" s="2"/>
      <c r="R4600" s="2"/>
      <c r="S4600" s="2"/>
      <c r="T4600" s="2"/>
      <c r="U4600" s="2"/>
      <c r="V4600" s="2"/>
      <c r="W4600" s="2"/>
      <c r="X4600" s="2"/>
      <c r="Y4600" s="2"/>
      <c r="Z4600" s="2"/>
    </row>
    <row r="4601" spans="1:26" ht="12.75" x14ac:dyDescent="0.2">
      <c r="A4601" s="230"/>
      <c r="B4601" s="18">
        <v>2023</v>
      </c>
      <c r="C4601" s="18" t="s">
        <v>793</v>
      </c>
      <c r="D4601" s="18" t="s">
        <v>1737</v>
      </c>
      <c r="E4601" s="18" t="s">
        <v>703</v>
      </c>
      <c r="F4601" s="18" t="s">
        <v>805</v>
      </c>
      <c r="G4601" s="18" t="s">
        <v>673</v>
      </c>
      <c r="H4601" s="18" t="s">
        <v>705</v>
      </c>
      <c r="I4601" s="315">
        <v>5.1807726961610553E-2</v>
      </c>
      <c r="J4601" s="315">
        <v>1.0389067814064608E-4</v>
      </c>
      <c r="K4601" s="316" t="str">
        <f t="shared" si="64"/>
        <v>Lawn and Garden Equipment</v>
      </c>
      <c r="L4601" s="316" t="str">
        <f t="shared" si="65"/>
        <v>Gasoline</v>
      </c>
      <c r="M4601" s="8"/>
      <c r="N4601" s="2"/>
      <c r="O4601" s="2"/>
      <c r="P4601" s="2"/>
      <c r="Q4601" s="2"/>
      <c r="R4601" s="2"/>
      <c r="S4601" s="2"/>
      <c r="T4601" s="2"/>
      <c r="U4601" s="2"/>
      <c r="V4601" s="2"/>
      <c r="W4601" s="2"/>
      <c r="X4601" s="2"/>
      <c r="Y4601" s="2"/>
      <c r="Z4601" s="2"/>
    </row>
    <row r="4602" spans="1:26" ht="12.75" x14ac:dyDescent="0.2">
      <c r="A4602" s="230"/>
      <c r="B4602" s="18">
        <v>2023</v>
      </c>
      <c r="C4602" s="18" t="s">
        <v>701</v>
      </c>
      <c r="D4602" s="18" t="s">
        <v>1845</v>
      </c>
      <c r="E4602" s="18" t="s">
        <v>713</v>
      </c>
      <c r="F4602" s="18" t="s">
        <v>714</v>
      </c>
      <c r="G4602" s="18" t="s">
        <v>678</v>
      </c>
      <c r="H4602" s="18" t="s">
        <v>1279</v>
      </c>
      <c r="I4602" s="315">
        <v>5.1151451652618217E-2</v>
      </c>
      <c r="J4602" s="315">
        <v>2.9823409793798346E-7</v>
      </c>
      <c r="K4602" s="316" t="str">
        <f t="shared" si="64"/>
        <v>Agricultural Equipment</v>
      </c>
      <c r="L4602" s="316" t="str">
        <f t="shared" si="65"/>
        <v>Diesel</v>
      </c>
      <c r="M4602" s="8"/>
      <c r="N4602" s="2"/>
      <c r="O4602" s="2"/>
      <c r="P4602" s="2"/>
      <c r="Q4602" s="2"/>
      <c r="R4602" s="2"/>
      <c r="S4602" s="2"/>
      <c r="T4602" s="2"/>
      <c r="U4602" s="2"/>
      <c r="V4602" s="2"/>
      <c r="W4602" s="2"/>
      <c r="X4602" s="2"/>
      <c r="Y4602" s="2"/>
      <c r="Z4602" s="2"/>
    </row>
    <row r="4603" spans="1:26" ht="12.75" x14ac:dyDescent="0.2">
      <c r="A4603" s="230"/>
      <c r="B4603" s="18">
        <v>2023</v>
      </c>
      <c r="C4603" s="18" t="s">
        <v>706</v>
      </c>
      <c r="D4603" s="18" t="s">
        <v>1842</v>
      </c>
      <c r="E4603" s="18" t="s">
        <v>713</v>
      </c>
      <c r="F4603" s="18" t="s">
        <v>714</v>
      </c>
      <c r="G4603" s="18" t="s">
        <v>678</v>
      </c>
      <c r="H4603" s="18" t="s">
        <v>1709</v>
      </c>
      <c r="I4603" s="315">
        <v>5.0960962795615114E-2</v>
      </c>
      <c r="J4603" s="315">
        <v>6.3055817131646237E-6</v>
      </c>
      <c r="K4603" s="316" t="str">
        <f t="shared" si="64"/>
        <v>Agricultural Equipment</v>
      </c>
      <c r="L4603" s="316" t="str">
        <f t="shared" si="65"/>
        <v>Diesel</v>
      </c>
      <c r="M4603" s="8"/>
      <c r="N4603" s="2"/>
      <c r="O4603" s="2"/>
      <c r="P4603" s="2"/>
      <c r="Q4603" s="2"/>
      <c r="R4603" s="2"/>
      <c r="S4603" s="2"/>
      <c r="T4603" s="2"/>
      <c r="U4603" s="2"/>
      <c r="V4603" s="2"/>
      <c r="W4603" s="2"/>
      <c r="X4603" s="2"/>
      <c r="Y4603" s="2"/>
      <c r="Z4603" s="2"/>
    </row>
    <row r="4604" spans="1:26" ht="12.75" x14ac:dyDescent="0.2">
      <c r="A4604" s="230"/>
      <c r="B4604" s="18">
        <v>2023</v>
      </c>
      <c r="C4604" s="18" t="s">
        <v>706</v>
      </c>
      <c r="D4604" s="18" t="s">
        <v>1843</v>
      </c>
      <c r="E4604" s="18" t="s">
        <v>56</v>
      </c>
      <c r="F4604" s="18" t="s">
        <v>672</v>
      </c>
      <c r="G4604" s="18" t="s">
        <v>678</v>
      </c>
      <c r="H4604" s="18" t="s">
        <v>1154</v>
      </c>
      <c r="I4604" s="315">
        <v>5.0874489901596522E-2</v>
      </c>
      <c r="J4604" s="315">
        <v>2.3347499923459409E-6</v>
      </c>
      <c r="K4604" s="316" t="str">
        <f t="shared" si="64"/>
        <v>Agricultural Equipment</v>
      </c>
      <c r="L4604" s="316" t="str">
        <f t="shared" si="65"/>
        <v>LPG</v>
      </c>
      <c r="M4604" s="8"/>
      <c r="N4604" s="2"/>
      <c r="O4604" s="2"/>
      <c r="P4604" s="2"/>
      <c r="Q4604" s="2"/>
      <c r="R4604" s="2"/>
      <c r="S4604" s="2"/>
      <c r="T4604" s="2"/>
      <c r="U4604" s="2"/>
      <c r="V4604" s="2"/>
      <c r="W4604" s="2"/>
      <c r="X4604" s="2"/>
      <c r="Y4604" s="2"/>
      <c r="Z4604" s="2"/>
    </row>
    <row r="4605" spans="1:26" ht="12.75" x14ac:dyDescent="0.2">
      <c r="A4605" s="230"/>
      <c r="B4605" s="18">
        <v>2023</v>
      </c>
      <c r="C4605" s="18" t="s">
        <v>781</v>
      </c>
      <c r="D4605" s="18" t="s">
        <v>1715</v>
      </c>
      <c r="E4605" s="18" t="s">
        <v>703</v>
      </c>
      <c r="F4605" s="18" t="s">
        <v>805</v>
      </c>
      <c r="G4605" s="18" t="s">
        <v>677</v>
      </c>
      <c r="H4605" s="18" t="s">
        <v>1031</v>
      </c>
      <c r="I4605" s="315">
        <v>5.0773869593501018E-2</v>
      </c>
      <c r="J4605" s="315">
        <v>1.1344919387221465E-4</v>
      </c>
      <c r="K4605" s="316" t="str">
        <f t="shared" si="64"/>
        <v>Commercial Equipment</v>
      </c>
      <c r="L4605" s="316" t="str">
        <f t="shared" si="65"/>
        <v>Gasoline</v>
      </c>
      <c r="M4605" s="8"/>
      <c r="N4605" s="2"/>
      <c r="O4605" s="2"/>
      <c r="P4605" s="2"/>
      <c r="Q4605" s="2"/>
      <c r="R4605" s="2"/>
      <c r="S4605" s="2"/>
      <c r="T4605" s="2"/>
      <c r="U4605" s="2"/>
      <c r="V4605" s="2"/>
      <c r="W4605" s="2"/>
      <c r="X4605" s="2"/>
      <c r="Y4605" s="2"/>
      <c r="Z4605" s="2"/>
    </row>
    <row r="4606" spans="1:26" ht="12.75" x14ac:dyDescent="0.2">
      <c r="A4606" s="230"/>
      <c r="B4606" s="18">
        <v>2023</v>
      </c>
      <c r="C4606" s="18" t="s">
        <v>753</v>
      </c>
      <c r="D4606" s="18" t="s">
        <v>1847</v>
      </c>
      <c r="E4606" s="18" t="s">
        <v>56</v>
      </c>
      <c r="F4606" s="18" t="s">
        <v>672</v>
      </c>
      <c r="G4606" s="18" t="s">
        <v>678</v>
      </c>
      <c r="H4606" s="18" t="s">
        <v>1080</v>
      </c>
      <c r="I4606" s="315">
        <v>5.0000108275695815E-2</v>
      </c>
      <c r="J4606" s="315">
        <v>2.2109662544151928E-5</v>
      </c>
      <c r="K4606" s="316" t="str">
        <f t="shared" si="64"/>
        <v>Agricultural Equipment</v>
      </c>
      <c r="L4606" s="316" t="str">
        <f t="shared" si="65"/>
        <v>LPG</v>
      </c>
      <c r="M4606" s="8"/>
      <c r="N4606" s="2"/>
      <c r="O4606" s="2"/>
      <c r="P4606" s="2"/>
      <c r="Q4606" s="2"/>
      <c r="R4606" s="2"/>
      <c r="S4606" s="2"/>
      <c r="T4606" s="2"/>
      <c r="U4606" s="2"/>
      <c r="V4606" s="2"/>
      <c r="W4606" s="2"/>
      <c r="X4606" s="2"/>
      <c r="Y4606" s="2"/>
      <c r="Z4606" s="2"/>
    </row>
    <row r="4607" spans="1:26" ht="12.75" x14ac:dyDescent="0.2">
      <c r="A4607" s="230"/>
      <c r="B4607" s="18">
        <v>2023</v>
      </c>
      <c r="C4607" s="18" t="s">
        <v>759</v>
      </c>
      <c r="D4607" s="18" t="s">
        <v>1654</v>
      </c>
      <c r="E4607" s="18" t="s">
        <v>56</v>
      </c>
      <c r="F4607" s="18" t="s">
        <v>672</v>
      </c>
      <c r="G4607" s="18" t="s">
        <v>674</v>
      </c>
      <c r="H4607" s="18" t="s">
        <v>994</v>
      </c>
      <c r="I4607" s="315">
        <v>4.9928005893279719E-2</v>
      </c>
      <c r="J4607" s="315">
        <v>1.2376678537782856E-5</v>
      </c>
      <c r="K4607" s="316" t="str">
        <f t="shared" si="64"/>
        <v>Construction and Mining Equipment</v>
      </c>
      <c r="L4607" s="316" t="str">
        <f t="shared" si="65"/>
        <v>LPG</v>
      </c>
      <c r="M4607" s="8"/>
      <c r="N4607" s="2"/>
      <c r="O4607" s="2"/>
      <c r="P4607" s="2"/>
      <c r="Q4607" s="2"/>
      <c r="R4607" s="2"/>
      <c r="S4607" s="2"/>
      <c r="T4607" s="2"/>
      <c r="U4607" s="2"/>
      <c r="V4607" s="2"/>
      <c r="W4607" s="2"/>
      <c r="X4607" s="2"/>
      <c r="Y4607" s="2"/>
      <c r="Z4607" s="2"/>
    </row>
    <row r="4608" spans="1:26" ht="12.75" x14ac:dyDescent="0.2">
      <c r="A4608" s="230"/>
      <c r="B4608" s="18">
        <v>2023</v>
      </c>
      <c r="C4608" s="18" t="s">
        <v>731</v>
      </c>
      <c r="D4608" s="18" t="s">
        <v>1847</v>
      </c>
      <c r="E4608" s="18" t="s">
        <v>56</v>
      </c>
      <c r="F4608" s="18" t="s">
        <v>672</v>
      </c>
      <c r="G4608" s="18" t="s">
        <v>678</v>
      </c>
      <c r="H4608" s="18" t="s">
        <v>1080</v>
      </c>
      <c r="I4608" s="315">
        <v>4.9596258028793805E-2</v>
      </c>
      <c r="J4608" s="315">
        <v>2.1931054612543516E-5</v>
      </c>
      <c r="K4608" s="316" t="str">
        <f t="shared" si="64"/>
        <v>Agricultural Equipment</v>
      </c>
      <c r="L4608" s="316" t="str">
        <f t="shared" si="65"/>
        <v>LPG</v>
      </c>
      <c r="M4608" s="8"/>
      <c r="N4608" s="2"/>
      <c r="O4608" s="2"/>
      <c r="P4608" s="2"/>
      <c r="Q4608" s="2"/>
      <c r="R4608" s="2"/>
      <c r="S4608" s="2"/>
      <c r="T4608" s="2"/>
      <c r="U4608" s="2"/>
      <c r="V4608" s="2"/>
      <c r="W4608" s="2"/>
      <c r="X4608" s="2"/>
      <c r="Y4608" s="2"/>
      <c r="Z4608" s="2"/>
    </row>
    <row r="4609" spans="1:26" ht="12.75" x14ac:dyDescent="0.2">
      <c r="A4609" s="230"/>
      <c r="B4609" s="18">
        <v>2023</v>
      </c>
      <c r="C4609" s="18" t="s">
        <v>810</v>
      </c>
      <c r="D4609" s="18" t="s">
        <v>1825</v>
      </c>
      <c r="E4609" s="18" t="s">
        <v>56</v>
      </c>
      <c r="F4609" s="18" t="s">
        <v>601</v>
      </c>
      <c r="G4609" s="18" t="s">
        <v>674</v>
      </c>
      <c r="H4609" s="18" t="s">
        <v>859</v>
      </c>
      <c r="I4609" s="315">
        <v>4.9319764826517988E-2</v>
      </c>
      <c r="J4609" s="315">
        <v>1.0596973046922563E-3</v>
      </c>
      <c r="K4609" s="316" t="str">
        <f t="shared" si="64"/>
        <v>Construction and Mining Equipment</v>
      </c>
      <c r="L4609" s="316" t="str">
        <f t="shared" si="65"/>
        <v>CNG</v>
      </c>
      <c r="M4609" s="8"/>
      <c r="N4609" s="2"/>
      <c r="O4609" s="2"/>
      <c r="P4609" s="2"/>
      <c r="Q4609" s="2"/>
      <c r="R4609" s="2"/>
      <c r="S4609" s="2"/>
      <c r="T4609" s="2"/>
      <c r="U4609" s="2"/>
      <c r="V4609" s="2"/>
      <c r="W4609" s="2"/>
      <c r="X4609" s="2"/>
      <c r="Y4609" s="2"/>
      <c r="Z4609" s="2"/>
    </row>
    <row r="4610" spans="1:26" ht="12.75" x14ac:dyDescent="0.2">
      <c r="A4610" s="230"/>
      <c r="B4610" s="18">
        <v>2023</v>
      </c>
      <c r="C4610" s="18" t="s">
        <v>810</v>
      </c>
      <c r="D4610" s="18" t="s">
        <v>1842</v>
      </c>
      <c r="E4610" s="18" t="s">
        <v>713</v>
      </c>
      <c r="F4610" s="18" t="s">
        <v>714</v>
      </c>
      <c r="G4610" s="18" t="s">
        <v>678</v>
      </c>
      <c r="H4610" s="18" t="s">
        <v>1709</v>
      </c>
      <c r="I4610" s="315">
        <v>4.916191567932561E-2</v>
      </c>
      <c r="J4610" s="315">
        <v>6.0829734984045847E-6</v>
      </c>
      <c r="K4610" s="316" t="str">
        <f t="shared" si="64"/>
        <v>Agricultural Equipment</v>
      </c>
      <c r="L4610" s="316" t="str">
        <f t="shared" si="65"/>
        <v>Diesel</v>
      </c>
      <c r="M4610" s="8"/>
      <c r="N4610" s="2"/>
      <c r="O4610" s="2"/>
      <c r="P4610" s="2"/>
      <c r="Q4610" s="2"/>
      <c r="R4610" s="2"/>
      <c r="S4610" s="2"/>
      <c r="T4610" s="2"/>
      <c r="U4610" s="2"/>
      <c r="V4610" s="2"/>
      <c r="W4610" s="2"/>
      <c r="X4610" s="2"/>
      <c r="Y4610" s="2"/>
      <c r="Z4610" s="2"/>
    </row>
    <row r="4611" spans="1:26" ht="12.75" x14ac:dyDescent="0.2">
      <c r="A4611" s="230"/>
      <c r="B4611" s="18">
        <v>2023</v>
      </c>
      <c r="C4611" s="18" t="s">
        <v>810</v>
      </c>
      <c r="D4611" s="18" t="s">
        <v>1843</v>
      </c>
      <c r="E4611" s="18" t="s">
        <v>56</v>
      </c>
      <c r="F4611" s="18" t="s">
        <v>672</v>
      </c>
      <c r="G4611" s="18" t="s">
        <v>678</v>
      </c>
      <c r="H4611" s="18" t="s">
        <v>1154</v>
      </c>
      <c r="I4611" s="315">
        <v>4.9078437669483811E-2</v>
      </c>
      <c r="J4611" s="315">
        <v>2.2523316104330957E-6</v>
      </c>
      <c r="K4611" s="316" t="str">
        <f t="shared" si="64"/>
        <v>Agricultural Equipment</v>
      </c>
      <c r="L4611" s="316" t="str">
        <f t="shared" si="65"/>
        <v>LPG</v>
      </c>
      <c r="M4611" s="8"/>
      <c r="N4611" s="2"/>
      <c r="O4611" s="2"/>
      <c r="P4611" s="2"/>
      <c r="Q4611" s="2"/>
      <c r="R4611" s="2"/>
      <c r="S4611" s="2"/>
      <c r="T4611" s="2"/>
      <c r="U4611" s="2"/>
      <c r="V4611" s="2"/>
      <c r="W4611" s="2"/>
      <c r="X4611" s="2"/>
      <c r="Y4611" s="2"/>
      <c r="Z4611" s="2"/>
    </row>
    <row r="4612" spans="1:26" ht="12.75" x14ac:dyDescent="0.2">
      <c r="A4612" s="230"/>
      <c r="B4612" s="18">
        <v>2023</v>
      </c>
      <c r="C4612" s="18" t="s">
        <v>778</v>
      </c>
      <c r="D4612" s="18" t="s">
        <v>1792</v>
      </c>
      <c r="E4612" s="18" t="s">
        <v>713</v>
      </c>
      <c r="F4612" s="18" t="s">
        <v>714</v>
      </c>
      <c r="G4612" s="18" t="s">
        <v>673</v>
      </c>
      <c r="H4612" s="18" t="s">
        <v>749</v>
      </c>
      <c r="I4612" s="315">
        <v>4.897302383948194E-2</v>
      </c>
      <c r="J4612" s="315">
        <v>2.528864969755832E-6</v>
      </c>
      <c r="K4612" s="316" t="str">
        <f t="shared" si="64"/>
        <v>Lawn and Garden Equipment</v>
      </c>
      <c r="L4612" s="316" t="str">
        <f t="shared" si="65"/>
        <v>Diesel</v>
      </c>
      <c r="M4612" s="8"/>
      <c r="N4612" s="2"/>
      <c r="O4612" s="2"/>
      <c r="P4612" s="2"/>
      <c r="Q4612" s="2"/>
      <c r="R4612" s="2"/>
      <c r="S4612" s="2"/>
      <c r="T4612" s="2"/>
      <c r="U4612" s="2"/>
      <c r="V4612" s="2"/>
      <c r="W4612" s="2"/>
      <c r="X4612" s="2"/>
      <c r="Y4612" s="2"/>
      <c r="Z4612" s="2"/>
    </row>
    <row r="4613" spans="1:26" ht="12.75" x14ac:dyDescent="0.2">
      <c r="A4613" s="230"/>
      <c r="B4613" s="18">
        <v>2023</v>
      </c>
      <c r="C4613" s="18" t="s">
        <v>754</v>
      </c>
      <c r="D4613" s="18" t="s">
        <v>1849</v>
      </c>
      <c r="E4613" s="18" t="s">
        <v>703</v>
      </c>
      <c r="F4613" s="18" t="s">
        <v>704</v>
      </c>
      <c r="G4613" s="18" t="s">
        <v>678</v>
      </c>
      <c r="H4613" s="18" t="s">
        <v>972</v>
      </c>
      <c r="I4613" s="315">
        <v>4.8829743834718629E-2</v>
      </c>
      <c r="J4613" s="315">
        <v>2.9002267813190113E-5</v>
      </c>
      <c r="K4613" s="316" t="str">
        <f t="shared" si="64"/>
        <v>Agricultural Equipment</v>
      </c>
      <c r="L4613" s="316" t="str">
        <f t="shared" si="65"/>
        <v>Gasoline</v>
      </c>
      <c r="M4613" s="8"/>
      <c r="N4613" s="2"/>
      <c r="O4613" s="2"/>
      <c r="P4613" s="2"/>
      <c r="Q4613" s="2"/>
      <c r="R4613" s="2"/>
      <c r="S4613" s="2"/>
      <c r="T4613" s="2"/>
      <c r="U4613" s="2"/>
      <c r="V4613" s="2"/>
      <c r="W4613" s="2"/>
      <c r="X4613" s="2"/>
      <c r="Y4613" s="2"/>
      <c r="Z4613" s="2"/>
    </row>
    <row r="4614" spans="1:26" ht="12.75" x14ac:dyDescent="0.2">
      <c r="A4614" s="230"/>
      <c r="B4614" s="18">
        <v>2023</v>
      </c>
      <c r="C4614" s="18" t="s">
        <v>792</v>
      </c>
      <c r="D4614" s="18" t="s">
        <v>1730</v>
      </c>
      <c r="E4614" s="18" t="s">
        <v>703</v>
      </c>
      <c r="F4614" s="18" t="s">
        <v>805</v>
      </c>
      <c r="G4614" s="18" t="s">
        <v>674</v>
      </c>
      <c r="H4614" s="18" t="s">
        <v>959</v>
      </c>
      <c r="I4614" s="315">
        <v>4.8696003580313639E-2</v>
      </c>
      <c r="J4614" s="315">
        <v>1.0880678634241984E-4</v>
      </c>
      <c r="K4614" s="316" t="str">
        <f t="shared" si="64"/>
        <v>Construction and Mining Equipment</v>
      </c>
      <c r="L4614" s="316" t="str">
        <f t="shared" si="65"/>
        <v>Gasoline</v>
      </c>
      <c r="M4614" s="8"/>
      <c r="N4614" s="2"/>
      <c r="O4614" s="2"/>
      <c r="P4614" s="2"/>
      <c r="Q4614" s="2"/>
      <c r="R4614" s="2"/>
      <c r="S4614" s="2"/>
      <c r="T4614" s="2"/>
      <c r="U4614" s="2"/>
      <c r="V4614" s="2"/>
      <c r="W4614" s="2"/>
      <c r="X4614" s="2"/>
      <c r="Y4614" s="2"/>
      <c r="Z4614" s="2"/>
    </row>
    <row r="4615" spans="1:26" ht="12.75" x14ac:dyDescent="0.2">
      <c r="A4615" s="230"/>
      <c r="B4615" s="18">
        <v>2023</v>
      </c>
      <c r="C4615" s="18" t="s">
        <v>786</v>
      </c>
      <c r="D4615" s="18" t="s">
        <v>1737</v>
      </c>
      <c r="E4615" s="18" t="s">
        <v>703</v>
      </c>
      <c r="F4615" s="18" t="s">
        <v>805</v>
      </c>
      <c r="G4615" s="18" t="s">
        <v>673</v>
      </c>
      <c r="H4615" s="18" t="s">
        <v>705</v>
      </c>
      <c r="I4615" s="315">
        <v>4.7590907899323617E-2</v>
      </c>
      <c r="J4615" s="315">
        <v>9.5434491562438752E-5</v>
      </c>
      <c r="K4615" s="316" t="str">
        <f t="shared" si="64"/>
        <v>Lawn and Garden Equipment</v>
      </c>
      <c r="L4615" s="316" t="str">
        <f t="shared" si="65"/>
        <v>Gasoline</v>
      </c>
      <c r="M4615" s="8"/>
      <c r="N4615" s="2"/>
      <c r="O4615" s="2"/>
      <c r="P4615" s="2"/>
      <c r="Q4615" s="2"/>
      <c r="R4615" s="2"/>
      <c r="S4615" s="2"/>
      <c r="T4615" s="2"/>
      <c r="U4615" s="2"/>
      <c r="V4615" s="2"/>
      <c r="W4615" s="2"/>
      <c r="X4615" s="2"/>
      <c r="Y4615" s="2"/>
      <c r="Z4615" s="2"/>
    </row>
    <row r="4616" spans="1:26" ht="12.75" x14ac:dyDescent="0.2">
      <c r="A4616" s="230"/>
      <c r="B4616" s="18">
        <v>2023</v>
      </c>
      <c r="C4616" s="18" t="s">
        <v>709</v>
      </c>
      <c r="D4616" s="18" t="s">
        <v>1848</v>
      </c>
      <c r="E4616" s="18" t="s">
        <v>703</v>
      </c>
      <c r="F4616" s="18" t="s">
        <v>805</v>
      </c>
      <c r="G4616" s="18" t="s">
        <v>674</v>
      </c>
      <c r="H4616" s="18" t="s">
        <v>981</v>
      </c>
      <c r="I4616" s="315">
        <v>4.7375524364183588E-2</v>
      </c>
      <c r="J4616" s="315">
        <v>1.0585622080742146E-4</v>
      </c>
      <c r="K4616" s="316" t="str">
        <f t="shared" si="64"/>
        <v>Construction and Mining Equipment</v>
      </c>
      <c r="L4616" s="316" t="str">
        <f t="shared" si="65"/>
        <v>Gasoline</v>
      </c>
      <c r="M4616" s="8"/>
      <c r="N4616" s="2"/>
      <c r="O4616" s="2"/>
      <c r="P4616" s="2"/>
      <c r="Q4616" s="2"/>
      <c r="R4616" s="2"/>
      <c r="S4616" s="2"/>
      <c r="T4616" s="2"/>
      <c r="U4616" s="2"/>
      <c r="V4616" s="2"/>
      <c r="W4616" s="2"/>
      <c r="X4616" s="2"/>
      <c r="Y4616" s="2"/>
      <c r="Z4616" s="2"/>
    </row>
    <row r="4617" spans="1:26" ht="12.75" x14ac:dyDescent="0.2">
      <c r="A4617" s="230"/>
      <c r="B4617" s="18">
        <v>2023</v>
      </c>
      <c r="C4617" s="18" t="s">
        <v>778</v>
      </c>
      <c r="D4617" s="18" t="s">
        <v>1806</v>
      </c>
      <c r="E4617" s="18" t="s">
        <v>56</v>
      </c>
      <c r="F4617" s="18" t="s">
        <v>601</v>
      </c>
      <c r="G4617" s="18" t="s">
        <v>675</v>
      </c>
      <c r="H4617" s="18" t="s">
        <v>798</v>
      </c>
      <c r="I4617" s="315">
        <v>4.7254792976095424E-2</v>
      </c>
      <c r="J4617" s="315">
        <v>1.8808751304448673E-4</v>
      </c>
      <c r="K4617" s="316" t="str">
        <f t="shared" si="64"/>
        <v>Industrial Equipment</v>
      </c>
      <c r="L4617" s="316" t="str">
        <f t="shared" si="65"/>
        <v>CNG</v>
      </c>
      <c r="M4617" s="8"/>
      <c r="N4617" s="2"/>
      <c r="O4617" s="2"/>
      <c r="P4617" s="2"/>
      <c r="Q4617" s="2"/>
      <c r="R4617" s="2"/>
      <c r="S4617" s="2"/>
      <c r="T4617" s="2"/>
      <c r="U4617" s="2"/>
      <c r="V4617" s="2"/>
      <c r="W4617" s="2"/>
      <c r="X4617" s="2"/>
      <c r="Y4617" s="2"/>
      <c r="Z4617" s="2"/>
    </row>
    <row r="4618" spans="1:26" ht="12.75" x14ac:dyDescent="0.2">
      <c r="A4618" s="230"/>
      <c r="B4618" s="18">
        <v>2023</v>
      </c>
      <c r="C4618" s="18" t="s">
        <v>781</v>
      </c>
      <c r="D4618" s="18" t="s">
        <v>1663</v>
      </c>
      <c r="E4618" s="18" t="s">
        <v>713</v>
      </c>
      <c r="F4618" s="18" t="s">
        <v>714</v>
      </c>
      <c r="G4618" s="18" t="s">
        <v>674</v>
      </c>
      <c r="H4618" s="18" t="s">
        <v>1082</v>
      </c>
      <c r="I4618" s="315">
        <v>4.7164097964926079E-2</v>
      </c>
      <c r="J4618" s="315">
        <v>5.599367513209879E-6</v>
      </c>
      <c r="K4618" s="316" t="str">
        <f t="shared" si="64"/>
        <v>Construction and Mining Equipment</v>
      </c>
      <c r="L4618" s="316" t="str">
        <f t="shared" si="65"/>
        <v>Diesel</v>
      </c>
      <c r="M4618" s="8"/>
      <c r="N4618" s="2"/>
      <c r="O4618" s="2"/>
      <c r="P4618" s="2"/>
      <c r="Q4618" s="2"/>
      <c r="R4618" s="2"/>
      <c r="S4618" s="2"/>
      <c r="T4618" s="2"/>
      <c r="U4618" s="2"/>
      <c r="V4618" s="2"/>
      <c r="W4618" s="2"/>
      <c r="X4618" s="2"/>
      <c r="Y4618" s="2"/>
      <c r="Z4618" s="2"/>
    </row>
    <row r="4619" spans="1:26" x14ac:dyDescent="0.25">
      <c r="A4619" s="314"/>
      <c r="B4619" s="18">
        <v>2023</v>
      </c>
      <c r="C4619" s="18" t="s">
        <v>706</v>
      </c>
      <c r="D4619" s="18" t="s">
        <v>1844</v>
      </c>
      <c r="E4619" s="18" t="s">
        <v>56</v>
      </c>
      <c r="F4619" s="18" t="s">
        <v>601</v>
      </c>
      <c r="G4619" s="18" t="s">
        <v>678</v>
      </c>
      <c r="H4619" s="18" t="s">
        <v>1080</v>
      </c>
      <c r="I4619" s="315">
        <v>4.6702083106005349E-2</v>
      </c>
      <c r="J4619" s="315">
        <v>1.8393226253660519E-3</v>
      </c>
      <c r="K4619" s="316" t="str">
        <f t="shared" si="64"/>
        <v>Agricultural Equipment</v>
      </c>
      <c r="L4619" s="316" t="str">
        <f t="shared" si="65"/>
        <v>CNG</v>
      </c>
      <c r="M4619" s="194"/>
      <c r="N4619" s="317"/>
      <c r="O4619" s="317"/>
      <c r="P4619" s="317"/>
      <c r="Q4619" s="317"/>
      <c r="R4619" s="317"/>
      <c r="S4619" s="317"/>
      <c r="T4619" s="317"/>
      <c r="U4619" s="317"/>
      <c r="V4619" s="317"/>
      <c r="W4619" s="317"/>
      <c r="X4619" s="317"/>
      <c r="Y4619" s="317"/>
      <c r="Z4619" s="317"/>
    </row>
    <row r="4620" spans="1:26" x14ac:dyDescent="0.25">
      <c r="A4620" s="314"/>
      <c r="B4620" s="18">
        <v>2023</v>
      </c>
      <c r="C4620" s="18" t="s">
        <v>759</v>
      </c>
      <c r="D4620" s="18" t="s">
        <v>1842</v>
      </c>
      <c r="E4620" s="18" t="s">
        <v>713</v>
      </c>
      <c r="F4620" s="18" t="s">
        <v>714</v>
      </c>
      <c r="G4620" s="18" t="s">
        <v>678</v>
      </c>
      <c r="H4620" s="18" t="s">
        <v>1709</v>
      </c>
      <c r="I4620" s="315">
        <v>4.6058812422603519E-2</v>
      </c>
      <c r="J4620" s="315">
        <v>5.6990293049774265E-6</v>
      </c>
      <c r="K4620" s="316" t="str">
        <f t="shared" si="64"/>
        <v>Agricultural Equipment</v>
      </c>
      <c r="L4620" s="316" t="str">
        <f t="shared" si="65"/>
        <v>Diesel</v>
      </c>
      <c r="M4620" s="194"/>
      <c r="N4620" s="317"/>
      <c r="O4620" s="317"/>
      <c r="P4620" s="317"/>
      <c r="Q4620" s="317"/>
      <c r="R4620" s="317"/>
      <c r="S4620" s="317"/>
      <c r="T4620" s="317"/>
      <c r="U4620" s="317"/>
      <c r="V4620" s="317"/>
      <c r="W4620" s="317"/>
      <c r="X4620" s="317"/>
      <c r="Y4620" s="317"/>
      <c r="Z4620" s="317"/>
    </row>
    <row r="4621" spans="1:26" x14ac:dyDescent="0.25">
      <c r="A4621" s="314"/>
      <c r="B4621" s="18">
        <v>2023</v>
      </c>
      <c r="C4621" s="18" t="s">
        <v>759</v>
      </c>
      <c r="D4621" s="18" t="s">
        <v>1843</v>
      </c>
      <c r="E4621" s="18" t="s">
        <v>56</v>
      </c>
      <c r="F4621" s="18" t="s">
        <v>672</v>
      </c>
      <c r="G4621" s="18" t="s">
        <v>678</v>
      </c>
      <c r="H4621" s="18" t="s">
        <v>1154</v>
      </c>
      <c r="I4621" s="315">
        <v>4.5980694771759936E-2</v>
      </c>
      <c r="J4621" s="315">
        <v>2.1101627744226351E-6</v>
      </c>
      <c r="K4621" s="316" t="str">
        <f t="shared" si="64"/>
        <v>Agricultural Equipment</v>
      </c>
      <c r="L4621" s="316" t="str">
        <f t="shared" si="65"/>
        <v>LPG</v>
      </c>
      <c r="M4621" s="194"/>
      <c r="N4621" s="317"/>
      <c r="O4621" s="317"/>
      <c r="P4621" s="317"/>
      <c r="Q4621" s="317"/>
      <c r="R4621" s="317"/>
      <c r="S4621" s="317"/>
      <c r="T4621" s="317"/>
      <c r="U4621" s="317"/>
      <c r="V4621" s="317"/>
      <c r="W4621" s="317"/>
      <c r="X4621" s="317"/>
      <c r="Y4621" s="317"/>
      <c r="Z4621" s="317"/>
    </row>
    <row r="4622" spans="1:26" x14ac:dyDescent="0.25">
      <c r="A4622" s="314"/>
      <c r="B4622" s="18">
        <v>2023</v>
      </c>
      <c r="C4622" s="18" t="s">
        <v>743</v>
      </c>
      <c r="D4622" s="18" t="s">
        <v>1847</v>
      </c>
      <c r="E4622" s="18" t="s">
        <v>56</v>
      </c>
      <c r="F4622" s="18" t="s">
        <v>672</v>
      </c>
      <c r="G4622" s="18" t="s">
        <v>678</v>
      </c>
      <c r="H4622" s="18" t="s">
        <v>1080</v>
      </c>
      <c r="I4622" s="315">
        <v>4.5693823124565748E-2</v>
      </c>
      <c r="J4622" s="315">
        <v>2.0205423724893132E-5</v>
      </c>
      <c r="K4622" s="316" t="str">
        <f t="shared" si="64"/>
        <v>Agricultural Equipment</v>
      </c>
      <c r="L4622" s="316" t="str">
        <f t="shared" si="65"/>
        <v>LPG</v>
      </c>
      <c r="M4622" s="194"/>
      <c r="N4622" s="317"/>
      <c r="O4622" s="317"/>
      <c r="P4622" s="317"/>
      <c r="Q4622" s="317"/>
      <c r="R4622" s="317"/>
      <c r="S4622" s="317"/>
      <c r="T4622" s="317"/>
      <c r="U4622" s="317"/>
      <c r="V4622" s="317"/>
      <c r="W4622" s="317"/>
      <c r="X4622" s="317"/>
      <c r="Y4622" s="317"/>
      <c r="Z4622" s="317"/>
    </row>
    <row r="4623" spans="1:26" x14ac:dyDescent="0.25">
      <c r="A4623" s="314"/>
      <c r="B4623" s="18">
        <v>2023</v>
      </c>
      <c r="C4623" s="18" t="s">
        <v>753</v>
      </c>
      <c r="D4623" s="18" t="s">
        <v>1833</v>
      </c>
      <c r="E4623" s="18" t="s">
        <v>703</v>
      </c>
      <c r="F4623" s="18" t="s">
        <v>704</v>
      </c>
      <c r="G4623" s="18" t="s">
        <v>674</v>
      </c>
      <c r="H4623" s="18" t="s">
        <v>1082</v>
      </c>
      <c r="I4623" s="315">
        <v>4.5348063375789199E-2</v>
      </c>
      <c r="J4623" s="315">
        <v>2.9332931897647214E-5</v>
      </c>
      <c r="K4623" s="316" t="str">
        <f t="shared" si="64"/>
        <v>Construction and Mining Equipment</v>
      </c>
      <c r="L4623" s="316" t="str">
        <f t="shared" si="65"/>
        <v>Gasoline</v>
      </c>
      <c r="M4623" s="194"/>
      <c r="N4623" s="317"/>
      <c r="O4623" s="317"/>
      <c r="P4623" s="317"/>
      <c r="Q4623" s="317"/>
      <c r="R4623" s="317"/>
      <c r="S4623" s="317"/>
      <c r="T4623" s="317"/>
      <c r="U4623" s="317"/>
      <c r="V4623" s="317"/>
      <c r="W4623" s="317"/>
      <c r="X4623" s="317"/>
      <c r="Y4623" s="317"/>
      <c r="Z4623" s="317"/>
    </row>
    <row r="4624" spans="1:26" x14ac:dyDescent="0.25">
      <c r="A4624" s="314"/>
      <c r="B4624" s="18">
        <v>2023</v>
      </c>
      <c r="C4624" s="18" t="s">
        <v>731</v>
      </c>
      <c r="D4624" s="18" t="s">
        <v>1730</v>
      </c>
      <c r="E4624" s="18" t="s">
        <v>703</v>
      </c>
      <c r="F4624" s="18" t="s">
        <v>805</v>
      </c>
      <c r="G4624" s="18" t="s">
        <v>674</v>
      </c>
      <c r="H4624" s="18" t="s">
        <v>959</v>
      </c>
      <c r="I4624" s="315">
        <v>4.5191229505150088E-2</v>
      </c>
      <c r="J4624" s="315">
        <v>1.0097562984648347E-4</v>
      </c>
      <c r="K4624" s="316" t="str">
        <f t="shared" si="64"/>
        <v>Construction and Mining Equipment</v>
      </c>
      <c r="L4624" s="316" t="str">
        <f t="shared" si="65"/>
        <v>Gasoline</v>
      </c>
      <c r="M4624" s="194"/>
      <c r="N4624" s="317"/>
      <c r="O4624" s="317"/>
      <c r="P4624" s="317"/>
      <c r="Q4624" s="317"/>
      <c r="R4624" s="317"/>
      <c r="S4624" s="317"/>
      <c r="T4624" s="317"/>
      <c r="U4624" s="317"/>
      <c r="V4624" s="317"/>
      <c r="W4624" s="317"/>
      <c r="X4624" s="317"/>
      <c r="Y4624" s="317"/>
      <c r="Z4624" s="317"/>
    </row>
    <row r="4625" spans="1:26" x14ac:dyDescent="0.25">
      <c r="A4625" s="314"/>
      <c r="B4625" s="18">
        <v>2023</v>
      </c>
      <c r="C4625" s="18" t="s">
        <v>750</v>
      </c>
      <c r="D4625" s="18" t="s">
        <v>1842</v>
      </c>
      <c r="E4625" s="18" t="s">
        <v>713</v>
      </c>
      <c r="F4625" s="18" t="s">
        <v>714</v>
      </c>
      <c r="G4625" s="18" t="s">
        <v>678</v>
      </c>
      <c r="H4625" s="18" t="s">
        <v>1709</v>
      </c>
      <c r="I4625" s="315">
        <v>4.5187640069883517E-2</v>
      </c>
      <c r="J4625" s="315">
        <v>5.5912409595464785E-6</v>
      </c>
      <c r="K4625" s="316" t="str">
        <f t="shared" si="64"/>
        <v>Agricultural Equipment</v>
      </c>
      <c r="L4625" s="316" t="str">
        <f t="shared" si="65"/>
        <v>Diesel</v>
      </c>
      <c r="M4625" s="194"/>
      <c r="N4625" s="317"/>
      <c r="O4625" s="317"/>
      <c r="P4625" s="317"/>
      <c r="Q4625" s="317"/>
      <c r="R4625" s="317"/>
      <c r="S4625" s="317"/>
      <c r="T4625" s="317"/>
      <c r="U4625" s="317"/>
      <c r="V4625" s="317"/>
      <c r="W4625" s="317"/>
      <c r="X4625" s="317"/>
      <c r="Y4625" s="317"/>
      <c r="Z4625" s="317"/>
    </row>
    <row r="4626" spans="1:26" x14ac:dyDescent="0.25">
      <c r="A4626" s="314"/>
      <c r="B4626" s="18">
        <v>2023</v>
      </c>
      <c r="C4626" s="18" t="s">
        <v>750</v>
      </c>
      <c r="D4626" s="18" t="s">
        <v>1843</v>
      </c>
      <c r="E4626" s="18" t="s">
        <v>56</v>
      </c>
      <c r="F4626" s="18" t="s">
        <v>672</v>
      </c>
      <c r="G4626" s="18" t="s">
        <v>678</v>
      </c>
      <c r="H4626" s="18" t="s">
        <v>1154</v>
      </c>
      <c r="I4626" s="315">
        <v>4.5111063588756342E-2</v>
      </c>
      <c r="J4626" s="315">
        <v>2.070255479276025E-6</v>
      </c>
      <c r="K4626" s="316" t="str">
        <f t="shared" si="64"/>
        <v>Agricultural Equipment</v>
      </c>
      <c r="L4626" s="316" t="str">
        <f t="shared" si="65"/>
        <v>LPG</v>
      </c>
      <c r="M4626" s="194"/>
      <c r="N4626" s="317"/>
      <c r="O4626" s="317"/>
      <c r="P4626" s="317"/>
      <c r="Q4626" s="317"/>
      <c r="R4626" s="317"/>
      <c r="S4626" s="317"/>
      <c r="T4626" s="317"/>
      <c r="U4626" s="317"/>
      <c r="V4626" s="317"/>
      <c r="W4626" s="317"/>
      <c r="X4626" s="317"/>
      <c r="Y4626" s="317"/>
      <c r="Z4626" s="317"/>
    </row>
    <row r="4627" spans="1:26" x14ac:dyDescent="0.25">
      <c r="A4627" s="314"/>
      <c r="B4627" s="18">
        <v>2023</v>
      </c>
      <c r="C4627" s="18" t="s">
        <v>810</v>
      </c>
      <c r="D4627" s="18" t="s">
        <v>1844</v>
      </c>
      <c r="E4627" s="18" t="s">
        <v>56</v>
      </c>
      <c r="F4627" s="18" t="s">
        <v>601</v>
      </c>
      <c r="G4627" s="18" t="s">
        <v>678</v>
      </c>
      <c r="H4627" s="18" t="s">
        <v>1080</v>
      </c>
      <c r="I4627" s="315">
        <v>4.5053267622423759E-2</v>
      </c>
      <c r="J4627" s="315">
        <v>1.7743889680394808E-3</v>
      </c>
      <c r="K4627" s="316" t="str">
        <f t="shared" si="64"/>
        <v>Agricultural Equipment</v>
      </c>
      <c r="L4627" s="316" t="str">
        <f t="shared" si="65"/>
        <v>CNG</v>
      </c>
      <c r="M4627" s="194"/>
      <c r="N4627" s="317"/>
      <c r="O4627" s="317"/>
      <c r="P4627" s="317"/>
      <c r="Q4627" s="317"/>
      <c r="R4627" s="317"/>
      <c r="S4627" s="317"/>
      <c r="T4627" s="317"/>
      <c r="U4627" s="317"/>
      <c r="V4627" s="317"/>
      <c r="W4627" s="317"/>
      <c r="X4627" s="317"/>
      <c r="Y4627" s="317"/>
      <c r="Z4627" s="317"/>
    </row>
    <row r="4628" spans="1:26" x14ac:dyDescent="0.25">
      <c r="A4628" s="314"/>
      <c r="B4628" s="18">
        <v>2023</v>
      </c>
      <c r="C4628" s="18" t="s">
        <v>786</v>
      </c>
      <c r="D4628" s="18" t="s">
        <v>1730</v>
      </c>
      <c r="E4628" s="18" t="s">
        <v>703</v>
      </c>
      <c r="F4628" s="18" t="s">
        <v>805</v>
      </c>
      <c r="G4628" s="18" t="s">
        <v>674</v>
      </c>
      <c r="H4628" s="18" t="s">
        <v>959</v>
      </c>
      <c r="I4628" s="315">
        <v>4.4883423923577755E-2</v>
      </c>
      <c r="J4628" s="315">
        <v>1.0028796421645192E-4</v>
      </c>
      <c r="K4628" s="316" t="str">
        <f t="shared" si="64"/>
        <v>Construction and Mining Equipment</v>
      </c>
      <c r="L4628" s="316" t="str">
        <f t="shared" si="65"/>
        <v>Gasoline</v>
      </c>
      <c r="M4628" s="194"/>
      <c r="N4628" s="317"/>
      <c r="O4628" s="317"/>
      <c r="P4628" s="317"/>
      <c r="Q4628" s="317"/>
      <c r="R4628" s="317"/>
      <c r="S4628" s="317"/>
      <c r="T4628" s="317"/>
      <c r="U4628" s="317"/>
      <c r="V4628" s="317"/>
      <c r="W4628" s="317"/>
      <c r="X4628" s="317"/>
      <c r="Y4628" s="317"/>
      <c r="Z4628" s="317"/>
    </row>
    <row r="4629" spans="1:26" x14ac:dyDescent="0.25">
      <c r="A4629" s="314"/>
      <c r="B4629" s="18">
        <v>2023</v>
      </c>
      <c r="C4629" s="18" t="s">
        <v>706</v>
      </c>
      <c r="D4629" s="18" t="s">
        <v>1845</v>
      </c>
      <c r="E4629" s="18" t="s">
        <v>713</v>
      </c>
      <c r="F4629" s="18" t="s">
        <v>714</v>
      </c>
      <c r="G4629" s="18" t="s">
        <v>678</v>
      </c>
      <c r="H4629" s="18" t="s">
        <v>1279</v>
      </c>
      <c r="I4629" s="315">
        <v>4.4588566839470233E-2</v>
      </c>
      <c r="J4629" s="315">
        <v>2.5996996421376787E-7</v>
      </c>
      <c r="K4629" s="316" t="str">
        <f t="shared" si="64"/>
        <v>Agricultural Equipment</v>
      </c>
      <c r="L4629" s="316" t="str">
        <f t="shared" si="65"/>
        <v>Diesel</v>
      </c>
      <c r="M4629" s="194"/>
      <c r="N4629" s="317"/>
      <c r="O4629" s="317"/>
      <c r="P4629" s="317"/>
      <c r="Q4629" s="317"/>
      <c r="R4629" s="317"/>
      <c r="S4629" s="317"/>
      <c r="T4629" s="317"/>
      <c r="U4629" s="317"/>
      <c r="V4629" s="317"/>
      <c r="W4629" s="317"/>
      <c r="X4629" s="317"/>
      <c r="Y4629" s="317"/>
      <c r="Z4629" s="317"/>
    </row>
    <row r="4630" spans="1:26" x14ac:dyDescent="0.25">
      <c r="A4630" s="314"/>
      <c r="B4630" s="18">
        <v>2023</v>
      </c>
      <c r="C4630" s="18" t="s">
        <v>727</v>
      </c>
      <c r="D4630" s="18" t="s">
        <v>1806</v>
      </c>
      <c r="E4630" s="18" t="s">
        <v>56</v>
      </c>
      <c r="F4630" s="18" t="s">
        <v>601</v>
      </c>
      <c r="G4630" s="18" t="s">
        <v>675</v>
      </c>
      <c r="H4630" s="18" t="s">
        <v>798</v>
      </c>
      <c r="I4630" s="315">
        <v>4.4502298370746041E-2</v>
      </c>
      <c r="J4630" s="315">
        <v>1.7713167757584929E-4</v>
      </c>
      <c r="K4630" s="316" t="str">
        <f t="shared" si="64"/>
        <v>Industrial Equipment</v>
      </c>
      <c r="L4630" s="316" t="str">
        <f t="shared" si="65"/>
        <v>CNG</v>
      </c>
      <c r="M4630" s="194"/>
      <c r="N4630" s="317"/>
      <c r="O4630" s="317"/>
      <c r="P4630" s="317"/>
      <c r="Q4630" s="317"/>
      <c r="R4630" s="317"/>
      <c r="S4630" s="317"/>
      <c r="T4630" s="317"/>
      <c r="U4630" s="317"/>
      <c r="V4630" s="317"/>
      <c r="W4630" s="317"/>
      <c r="X4630" s="317"/>
      <c r="Y4630" s="317"/>
      <c r="Z4630" s="317"/>
    </row>
    <row r="4631" spans="1:26" x14ac:dyDescent="0.25">
      <c r="A4631" s="314"/>
      <c r="B4631" s="18">
        <v>2023</v>
      </c>
      <c r="C4631" s="18" t="s">
        <v>750</v>
      </c>
      <c r="D4631" s="18" t="s">
        <v>1737</v>
      </c>
      <c r="E4631" s="18" t="s">
        <v>703</v>
      </c>
      <c r="F4631" s="18" t="s">
        <v>805</v>
      </c>
      <c r="G4631" s="18" t="s">
        <v>673</v>
      </c>
      <c r="H4631" s="18" t="s">
        <v>705</v>
      </c>
      <c r="I4631" s="315">
        <v>4.3976362106485901E-2</v>
      </c>
      <c r="J4631" s="315">
        <v>8.8186350094902313E-5</v>
      </c>
      <c r="K4631" s="316" t="str">
        <f t="shared" si="64"/>
        <v>Lawn and Garden Equipment</v>
      </c>
      <c r="L4631" s="316" t="str">
        <f t="shared" si="65"/>
        <v>Gasoline</v>
      </c>
      <c r="M4631" s="194"/>
      <c r="N4631" s="317"/>
      <c r="O4631" s="317"/>
      <c r="P4631" s="317"/>
      <c r="Q4631" s="317"/>
      <c r="R4631" s="317"/>
      <c r="S4631" s="317"/>
      <c r="T4631" s="317"/>
      <c r="U4631" s="317"/>
      <c r="V4631" s="317"/>
      <c r="W4631" s="317"/>
      <c r="X4631" s="317"/>
      <c r="Y4631" s="317"/>
      <c r="Z4631" s="317"/>
    </row>
    <row r="4632" spans="1:26" x14ac:dyDescent="0.25">
      <c r="A4632" s="314"/>
      <c r="B4632" s="18">
        <v>2023</v>
      </c>
      <c r="C4632" s="18" t="s">
        <v>731</v>
      </c>
      <c r="D4632" s="18" t="s">
        <v>1841</v>
      </c>
      <c r="E4632" s="18" t="s">
        <v>703</v>
      </c>
      <c r="F4632" s="18" t="s">
        <v>805</v>
      </c>
      <c r="G4632" s="18" t="s">
        <v>675</v>
      </c>
      <c r="H4632" s="18" t="s">
        <v>798</v>
      </c>
      <c r="I4632" s="315">
        <v>4.3724098576751275E-2</v>
      </c>
      <c r="J4632" s="315">
        <v>9.7697655211061551E-5</v>
      </c>
      <c r="K4632" s="316" t="str">
        <f t="shared" si="64"/>
        <v>Industrial Equipment</v>
      </c>
      <c r="L4632" s="316" t="str">
        <f t="shared" si="65"/>
        <v>Gasoline</v>
      </c>
      <c r="M4632" s="194"/>
      <c r="N4632" s="317"/>
      <c r="O4632" s="317"/>
      <c r="P4632" s="317"/>
      <c r="Q4632" s="317"/>
      <c r="R4632" s="317"/>
      <c r="S4632" s="317"/>
      <c r="T4632" s="317"/>
      <c r="U4632" s="317"/>
      <c r="V4632" s="317"/>
      <c r="W4632" s="317"/>
      <c r="X4632" s="317"/>
      <c r="Y4632" s="317"/>
      <c r="Z4632" s="317"/>
    </row>
    <row r="4633" spans="1:26" x14ac:dyDescent="0.25">
      <c r="A4633" s="314"/>
      <c r="B4633" s="18">
        <v>2023</v>
      </c>
      <c r="C4633" s="18" t="s">
        <v>781</v>
      </c>
      <c r="D4633" s="18" t="s">
        <v>1679</v>
      </c>
      <c r="E4633" s="18" t="s">
        <v>56</v>
      </c>
      <c r="F4633" s="18" t="s">
        <v>672</v>
      </c>
      <c r="G4633" s="18" t="s">
        <v>674</v>
      </c>
      <c r="H4633" s="18" t="s">
        <v>959</v>
      </c>
      <c r="I4633" s="315">
        <v>4.3555435081287508E-2</v>
      </c>
      <c r="J4633" s="315">
        <v>7.3985069165571237E-6</v>
      </c>
      <c r="K4633" s="316" t="str">
        <f t="shared" si="64"/>
        <v>Construction and Mining Equipment</v>
      </c>
      <c r="L4633" s="316" t="str">
        <f t="shared" si="65"/>
        <v>LPG</v>
      </c>
      <c r="M4633" s="194"/>
      <c r="N4633" s="317"/>
      <c r="O4633" s="317"/>
      <c r="P4633" s="317"/>
      <c r="Q4633" s="317"/>
      <c r="R4633" s="317"/>
      <c r="S4633" s="317"/>
      <c r="T4633" s="317"/>
      <c r="U4633" s="317"/>
      <c r="V4633" s="317"/>
      <c r="W4633" s="317"/>
      <c r="X4633" s="317"/>
      <c r="Y4633" s="317"/>
      <c r="Z4633" s="317"/>
    </row>
    <row r="4634" spans="1:26" x14ac:dyDescent="0.25">
      <c r="A4634" s="314"/>
      <c r="B4634" s="18">
        <v>2023</v>
      </c>
      <c r="C4634" s="18" t="s">
        <v>701</v>
      </c>
      <c r="D4634" s="18" t="s">
        <v>1840</v>
      </c>
      <c r="E4634" s="18" t="s">
        <v>703</v>
      </c>
      <c r="F4634" s="18" t="s">
        <v>704</v>
      </c>
      <c r="G4634" s="18" t="s">
        <v>681</v>
      </c>
      <c r="H4634" s="18" t="s">
        <v>895</v>
      </c>
      <c r="I4634" s="315">
        <v>4.3229952134074587E-2</v>
      </c>
      <c r="J4634" s="315">
        <v>3.3952302086179486E-5</v>
      </c>
      <c r="K4634" s="316" t="str">
        <f t="shared" si="64"/>
        <v>Logging Equipment</v>
      </c>
      <c r="L4634" s="316" t="str">
        <f t="shared" si="65"/>
        <v>Gasoline</v>
      </c>
      <c r="M4634" s="194"/>
      <c r="N4634" s="317"/>
      <c r="O4634" s="317"/>
      <c r="P4634" s="317"/>
      <c r="Q4634" s="317"/>
      <c r="R4634" s="317"/>
      <c r="S4634" s="317"/>
      <c r="T4634" s="317"/>
      <c r="U4634" s="317"/>
      <c r="V4634" s="317"/>
      <c r="W4634" s="317"/>
      <c r="X4634" s="317"/>
      <c r="Y4634" s="317"/>
      <c r="Z4634" s="317"/>
    </row>
    <row r="4635" spans="1:26" x14ac:dyDescent="0.25">
      <c r="A4635" s="314"/>
      <c r="B4635" s="18">
        <v>2023</v>
      </c>
      <c r="C4635" s="18" t="s">
        <v>781</v>
      </c>
      <c r="D4635" s="18" t="s">
        <v>1849</v>
      </c>
      <c r="E4635" s="18" t="s">
        <v>703</v>
      </c>
      <c r="F4635" s="18" t="s">
        <v>704</v>
      </c>
      <c r="G4635" s="18" t="s">
        <v>678</v>
      </c>
      <c r="H4635" s="18" t="s">
        <v>972</v>
      </c>
      <c r="I4635" s="315">
        <v>4.3145743265434744E-2</v>
      </c>
      <c r="J4635" s="315">
        <v>2.5559070750519037E-5</v>
      </c>
      <c r="K4635" s="316" t="str">
        <f t="shared" si="64"/>
        <v>Agricultural Equipment</v>
      </c>
      <c r="L4635" s="316" t="str">
        <f t="shared" si="65"/>
        <v>Gasoline</v>
      </c>
      <c r="M4635" s="194"/>
      <c r="N4635" s="317"/>
      <c r="O4635" s="317"/>
      <c r="P4635" s="317"/>
      <c r="Q4635" s="317"/>
      <c r="R4635" s="317"/>
      <c r="S4635" s="317"/>
      <c r="T4635" s="317"/>
      <c r="U4635" s="317"/>
      <c r="V4635" s="317"/>
      <c r="W4635" s="317"/>
      <c r="X4635" s="317"/>
      <c r="Y4635" s="317"/>
      <c r="Z4635" s="317"/>
    </row>
    <row r="4636" spans="1:26" x14ac:dyDescent="0.25">
      <c r="A4636" s="314"/>
      <c r="B4636" s="18">
        <v>2023</v>
      </c>
      <c r="C4636" s="18" t="s">
        <v>810</v>
      </c>
      <c r="D4636" s="18" t="s">
        <v>1845</v>
      </c>
      <c r="E4636" s="18" t="s">
        <v>713</v>
      </c>
      <c r="F4636" s="18" t="s">
        <v>714</v>
      </c>
      <c r="G4636" s="18" t="s">
        <v>678</v>
      </c>
      <c r="H4636" s="18" t="s">
        <v>1279</v>
      </c>
      <c r="I4636" s="315">
        <v>4.3014346061723031E-2</v>
      </c>
      <c r="J4636" s="315">
        <v>2.5079195491197187E-7</v>
      </c>
      <c r="K4636" s="316" t="str">
        <f t="shared" si="64"/>
        <v>Agricultural Equipment</v>
      </c>
      <c r="L4636" s="316" t="str">
        <f t="shared" si="65"/>
        <v>Diesel</v>
      </c>
      <c r="M4636" s="194"/>
      <c r="N4636" s="317"/>
      <c r="O4636" s="317"/>
      <c r="P4636" s="317"/>
      <c r="Q4636" s="317"/>
      <c r="R4636" s="317"/>
      <c r="S4636" s="317"/>
      <c r="T4636" s="317"/>
      <c r="U4636" s="317"/>
      <c r="V4636" s="317"/>
      <c r="W4636" s="317"/>
      <c r="X4636" s="317"/>
      <c r="Y4636" s="317"/>
      <c r="Z4636" s="317"/>
    </row>
    <row r="4637" spans="1:26" x14ac:dyDescent="0.25">
      <c r="A4637" s="314"/>
      <c r="B4637" s="18">
        <v>2023</v>
      </c>
      <c r="C4637" s="18" t="s">
        <v>810</v>
      </c>
      <c r="D4637" s="18" t="s">
        <v>1833</v>
      </c>
      <c r="E4637" s="18" t="s">
        <v>703</v>
      </c>
      <c r="F4637" s="18" t="s">
        <v>704</v>
      </c>
      <c r="G4637" s="18" t="s">
        <v>674</v>
      </c>
      <c r="H4637" s="18" t="s">
        <v>1082</v>
      </c>
      <c r="I4637" s="315">
        <v>4.2741172731064328E-2</v>
      </c>
      <c r="J4637" s="315">
        <v>2.807081704610758E-5</v>
      </c>
      <c r="K4637" s="316" t="str">
        <f t="shared" si="64"/>
        <v>Construction and Mining Equipment</v>
      </c>
      <c r="L4637" s="316" t="str">
        <f t="shared" si="65"/>
        <v>Gasoline</v>
      </c>
      <c r="M4637" s="194"/>
      <c r="N4637" s="317"/>
      <c r="O4637" s="317"/>
      <c r="P4637" s="317"/>
      <c r="Q4637" s="317"/>
      <c r="R4637" s="317"/>
      <c r="S4637" s="317"/>
      <c r="T4637" s="317"/>
      <c r="U4637" s="317"/>
      <c r="V4637" s="317"/>
      <c r="W4637" s="317"/>
      <c r="X4637" s="317"/>
      <c r="Y4637" s="317"/>
      <c r="Z4637" s="317"/>
    </row>
    <row r="4638" spans="1:26" x14ac:dyDescent="0.25">
      <c r="A4638" s="314"/>
      <c r="B4638" s="18">
        <v>2023</v>
      </c>
      <c r="C4638" s="18" t="s">
        <v>786</v>
      </c>
      <c r="D4638" s="18" t="s">
        <v>1849</v>
      </c>
      <c r="E4638" s="18" t="s">
        <v>703</v>
      </c>
      <c r="F4638" s="18" t="s">
        <v>704</v>
      </c>
      <c r="G4638" s="18" t="s">
        <v>678</v>
      </c>
      <c r="H4638" s="18" t="s">
        <v>972</v>
      </c>
      <c r="I4638" s="315">
        <v>4.2699017103693011E-2</v>
      </c>
      <c r="J4638" s="315">
        <v>2.5316717347877835E-5</v>
      </c>
      <c r="K4638" s="316" t="str">
        <f t="shared" ref="K4638:K4892" si="66">IF(F4638="Pleasure Craft","Pleasure Craft",IF(F4638="Railroad Equipment","Railroad Equipment",G4638))</f>
        <v>Agricultural Equipment</v>
      </c>
      <c r="L4638" s="316" t="str">
        <f t="shared" ref="L4638:L4892" si="67">IF(E4638="Non-Road Gasoline","Gasoline",IF(E4638="Non-Road Diesel","Diesel",IF(RIGHT(F4638,3)="LPG","LPG",IF(RIGHT(F4638,3)="CNG","CNG",G4638))))</f>
        <v>Gasoline</v>
      </c>
      <c r="M4638" s="194"/>
      <c r="N4638" s="317"/>
      <c r="O4638" s="317"/>
      <c r="P4638" s="317"/>
      <c r="Q4638" s="317"/>
      <c r="R4638" s="317"/>
      <c r="S4638" s="317"/>
      <c r="T4638" s="317"/>
      <c r="U4638" s="317"/>
      <c r="V4638" s="317"/>
      <c r="W4638" s="317"/>
      <c r="X4638" s="317"/>
      <c r="Y4638" s="317"/>
      <c r="Z4638" s="317"/>
    </row>
    <row r="4639" spans="1:26" x14ac:dyDescent="0.25">
      <c r="A4639" s="314"/>
      <c r="B4639" s="18">
        <v>2023</v>
      </c>
      <c r="C4639" s="18" t="s">
        <v>753</v>
      </c>
      <c r="D4639" s="18" t="s">
        <v>1841</v>
      </c>
      <c r="E4639" s="18" t="s">
        <v>703</v>
      </c>
      <c r="F4639" s="18" t="s">
        <v>805</v>
      </c>
      <c r="G4639" s="18" t="s">
        <v>675</v>
      </c>
      <c r="H4639" s="18" t="s">
        <v>798</v>
      </c>
      <c r="I4639" s="315">
        <v>4.231124794429808E-2</v>
      </c>
      <c r="J4639" s="315">
        <v>9.4540360510361594E-5</v>
      </c>
      <c r="K4639" s="316" t="str">
        <f t="shared" si="66"/>
        <v>Industrial Equipment</v>
      </c>
      <c r="L4639" s="316" t="str">
        <f t="shared" si="67"/>
        <v>Gasoline</v>
      </c>
      <c r="M4639" s="194"/>
      <c r="N4639" s="317"/>
      <c r="O4639" s="317"/>
      <c r="P4639" s="317"/>
      <c r="Q4639" s="317"/>
      <c r="R4639" s="317"/>
      <c r="S4639" s="317"/>
      <c r="T4639" s="317"/>
      <c r="U4639" s="317"/>
      <c r="V4639" s="317"/>
      <c r="W4639" s="317"/>
      <c r="X4639" s="317"/>
      <c r="Y4639" s="317"/>
      <c r="Z4639" s="317"/>
    </row>
    <row r="4640" spans="1:26" x14ac:dyDescent="0.25">
      <c r="A4640" s="314"/>
      <c r="B4640" s="18">
        <v>2023</v>
      </c>
      <c r="C4640" s="18" t="s">
        <v>759</v>
      </c>
      <c r="D4640" s="18" t="s">
        <v>1844</v>
      </c>
      <c r="E4640" s="18" t="s">
        <v>56</v>
      </c>
      <c r="F4640" s="18" t="s">
        <v>601</v>
      </c>
      <c r="G4640" s="18" t="s">
        <v>678</v>
      </c>
      <c r="H4640" s="18" t="s">
        <v>1080</v>
      </c>
      <c r="I4640" s="315">
        <v>4.2209600705536324E-2</v>
      </c>
      <c r="J4640" s="315">
        <v>1.662389888964275E-3</v>
      </c>
      <c r="K4640" s="316" t="str">
        <f t="shared" si="66"/>
        <v>Agricultural Equipment</v>
      </c>
      <c r="L4640" s="316" t="str">
        <f t="shared" si="67"/>
        <v>CNG</v>
      </c>
      <c r="M4640" s="194"/>
      <c r="N4640" s="317"/>
      <c r="O4640" s="317"/>
      <c r="P4640" s="317"/>
      <c r="Q4640" s="317"/>
      <c r="R4640" s="317"/>
      <c r="S4640" s="317"/>
      <c r="T4640" s="317"/>
      <c r="U4640" s="317"/>
      <c r="V4640" s="317"/>
      <c r="W4640" s="317"/>
      <c r="X4640" s="317"/>
      <c r="Y4640" s="317"/>
      <c r="Z4640" s="317"/>
    </row>
    <row r="4641" spans="1:26" x14ac:dyDescent="0.25">
      <c r="A4641" s="314"/>
      <c r="B4641" s="18">
        <v>2023</v>
      </c>
      <c r="C4641" s="18" t="s">
        <v>727</v>
      </c>
      <c r="D4641" s="18" t="s">
        <v>1849</v>
      </c>
      <c r="E4641" s="18" t="s">
        <v>703</v>
      </c>
      <c r="F4641" s="18" t="s">
        <v>704</v>
      </c>
      <c r="G4641" s="18" t="s">
        <v>678</v>
      </c>
      <c r="H4641" s="18" t="s">
        <v>972</v>
      </c>
      <c r="I4641" s="315">
        <v>4.1890554766666761E-2</v>
      </c>
      <c r="J4641" s="315">
        <v>2.4791676708239819E-5</v>
      </c>
      <c r="K4641" s="316" t="str">
        <f t="shared" si="66"/>
        <v>Agricultural Equipment</v>
      </c>
      <c r="L4641" s="316" t="str">
        <f t="shared" si="67"/>
        <v>Gasoline</v>
      </c>
      <c r="M4641" s="194"/>
      <c r="N4641" s="317"/>
      <c r="O4641" s="317"/>
      <c r="P4641" s="317"/>
      <c r="Q4641" s="317"/>
      <c r="R4641" s="317"/>
      <c r="S4641" s="317"/>
      <c r="T4641" s="317"/>
      <c r="U4641" s="317"/>
      <c r="V4641" s="317"/>
      <c r="W4641" s="317"/>
      <c r="X4641" s="317"/>
      <c r="Y4641" s="317"/>
      <c r="Z4641" s="317"/>
    </row>
    <row r="4642" spans="1:26" x14ac:dyDescent="0.25">
      <c r="A4642" s="314"/>
      <c r="B4642" s="18">
        <v>2023</v>
      </c>
      <c r="C4642" s="18" t="s">
        <v>701</v>
      </c>
      <c r="D4642" s="18" t="s">
        <v>1848</v>
      </c>
      <c r="E4642" s="18" t="s">
        <v>703</v>
      </c>
      <c r="F4642" s="18" t="s">
        <v>805</v>
      </c>
      <c r="G4642" s="18" t="s">
        <v>674</v>
      </c>
      <c r="H4642" s="18" t="s">
        <v>981</v>
      </c>
      <c r="I4642" s="315">
        <v>4.1483542315071842E-2</v>
      </c>
      <c r="J4642" s="315">
        <v>9.2691100958397889E-5</v>
      </c>
      <c r="K4642" s="316" t="str">
        <f t="shared" si="66"/>
        <v>Construction and Mining Equipment</v>
      </c>
      <c r="L4642" s="316" t="str">
        <f t="shared" si="67"/>
        <v>Gasoline</v>
      </c>
      <c r="M4642" s="194"/>
      <c r="N4642" s="317"/>
      <c r="O4642" s="317"/>
      <c r="P4642" s="317"/>
      <c r="Q4642" s="317"/>
      <c r="R4642" s="317"/>
      <c r="S4642" s="317"/>
      <c r="T4642" s="317"/>
      <c r="U4642" s="317"/>
      <c r="V4642" s="317"/>
      <c r="W4642" s="317"/>
      <c r="X4642" s="317"/>
      <c r="Y4642" s="317"/>
      <c r="Z4642" s="317"/>
    </row>
    <row r="4643" spans="1:26" x14ac:dyDescent="0.25">
      <c r="A4643" s="314"/>
      <c r="B4643" s="18">
        <v>2023</v>
      </c>
      <c r="C4643" s="18" t="s">
        <v>750</v>
      </c>
      <c r="D4643" s="18" t="s">
        <v>1844</v>
      </c>
      <c r="E4643" s="18" t="s">
        <v>56</v>
      </c>
      <c r="F4643" s="18" t="s">
        <v>601</v>
      </c>
      <c r="G4643" s="18" t="s">
        <v>678</v>
      </c>
      <c r="H4643" s="18" t="s">
        <v>1080</v>
      </c>
      <c r="I4643" s="315">
        <v>4.1411327049861765E-2</v>
      </c>
      <c r="J4643" s="315">
        <v>1.630950817246593E-3</v>
      </c>
      <c r="K4643" s="316" t="str">
        <f t="shared" si="66"/>
        <v>Agricultural Equipment</v>
      </c>
      <c r="L4643" s="316" t="str">
        <f t="shared" si="67"/>
        <v>CNG</v>
      </c>
      <c r="M4643" s="194"/>
      <c r="N4643" s="317"/>
      <c r="O4643" s="317"/>
      <c r="P4643" s="317"/>
      <c r="Q4643" s="317"/>
      <c r="R4643" s="317"/>
      <c r="S4643" s="317"/>
      <c r="T4643" s="317"/>
      <c r="U4643" s="317"/>
      <c r="V4643" s="317"/>
      <c r="W4643" s="317"/>
      <c r="X4643" s="317"/>
      <c r="Y4643" s="317"/>
      <c r="Z4643" s="317"/>
    </row>
    <row r="4644" spans="1:26" x14ac:dyDescent="0.25">
      <c r="A4644" s="314"/>
      <c r="B4644" s="18">
        <v>2023</v>
      </c>
      <c r="C4644" s="18" t="s">
        <v>781</v>
      </c>
      <c r="D4644" s="18" t="s">
        <v>1685</v>
      </c>
      <c r="E4644" s="18" t="s">
        <v>56</v>
      </c>
      <c r="F4644" s="18" t="s">
        <v>672</v>
      </c>
      <c r="G4644" s="18" t="s">
        <v>674</v>
      </c>
      <c r="H4644" s="18" t="s">
        <v>1072</v>
      </c>
      <c r="I4644" s="315">
        <v>4.077961550569241E-2</v>
      </c>
      <c r="J4644" s="315">
        <v>2.8296405403619076E-6</v>
      </c>
      <c r="K4644" s="316" t="str">
        <f t="shared" si="66"/>
        <v>Construction and Mining Equipment</v>
      </c>
      <c r="L4644" s="316" t="str">
        <f t="shared" si="67"/>
        <v>LPG</v>
      </c>
      <c r="M4644" s="194"/>
      <c r="N4644" s="317"/>
      <c r="O4644" s="317"/>
      <c r="P4644" s="317"/>
      <c r="Q4644" s="317"/>
      <c r="R4644" s="317"/>
      <c r="S4644" s="317"/>
      <c r="T4644" s="317"/>
      <c r="U4644" s="317"/>
      <c r="V4644" s="317"/>
      <c r="W4644" s="317"/>
      <c r="X4644" s="317"/>
      <c r="Y4644" s="317"/>
      <c r="Z4644" s="317"/>
    </row>
    <row r="4645" spans="1:26" x14ac:dyDescent="0.25">
      <c r="A4645" s="314"/>
      <c r="B4645" s="18">
        <v>2023</v>
      </c>
      <c r="C4645" s="18" t="s">
        <v>759</v>
      </c>
      <c r="D4645" s="18" t="s">
        <v>1845</v>
      </c>
      <c r="E4645" s="18" t="s">
        <v>713</v>
      </c>
      <c r="F4645" s="18" t="s">
        <v>714</v>
      </c>
      <c r="G4645" s="18" t="s">
        <v>678</v>
      </c>
      <c r="H4645" s="18" t="s">
        <v>1279</v>
      </c>
      <c r="I4645" s="315">
        <v>4.0299314249127895E-2</v>
      </c>
      <c r="J4645" s="315">
        <v>2.3496220889084109E-7</v>
      </c>
      <c r="K4645" s="316" t="str">
        <f t="shared" si="66"/>
        <v>Agricultural Equipment</v>
      </c>
      <c r="L4645" s="316" t="str">
        <f t="shared" si="67"/>
        <v>Diesel</v>
      </c>
      <c r="M4645" s="194"/>
      <c r="N4645" s="317"/>
      <c r="O4645" s="317"/>
      <c r="P4645" s="317"/>
      <c r="Q4645" s="317"/>
      <c r="R4645" s="317"/>
      <c r="S4645" s="317"/>
      <c r="T4645" s="317"/>
      <c r="U4645" s="317"/>
      <c r="V4645" s="317"/>
      <c r="W4645" s="317"/>
      <c r="X4645" s="317"/>
      <c r="Y4645" s="317"/>
      <c r="Z4645" s="317"/>
    </row>
    <row r="4646" spans="1:26" x14ac:dyDescent="0.25">
      <c r="A4646" s="314"/>
      <c r="B4646" s="18">
        <v>2023</v>
      </c>
      <c r="C4646" s="18" t="s">
        <v>773</v>
      </c>
      <c r="D4646" s="18" t="s">
        <v>1792</v>
      </c>
      <c r="E4646" s="18" t="s">
        <v>713</v>
      </c>
      <c r="F4646" s="18" t="s">
        <v>714</v>
      </c>
      <c r="G4646" s="18" t="s">
        <v>673</v>
      </c>
      <c r="H4646" s="18" t="s">
        <v>749</v>
      </c>
      <c r="I4646" s="315">
        <v>4.0284260861799134E-2</v>
      </c>
      <c r="J4646" s="315">
        <v>2.0801959273465489E-6</v>
      </c>
      <c r="K4646" s="316" t="str">
        <f t="shared" si="66"/>
        <v>Lawn and Garden Equipment</v>
      </c>
      <c r="L4646" s="316" t="str">
        <f t="shared" si="67"/>
        <v>Diesel</v>
      </c>
      <c r="M4646" s="194"/>
      <c r="N4646" s="317"/>
      <c r="O4646" s="317"/>
      <c r="P4646" s="317"/>
      <c r="Q4646" s="317"/>
      <c r="R4646" s="317"/>
      <c r="S4646" s="317"/>
      <c r="T4646" s="317"/>
      <c r="U4646" s="317"/>
      <c r="V4646" s="317"/>
      <c r="W4646" s="317"/>
      <c r="X4646" s="317"/>
      <c r="Y4646" s="317"/>
      <c r="Z4646" s="317"/>
    </row>
    <row r="4647" spans="1:26" x14ac:dyDescent="0.25">
      <c r="A4647" s="314"/>
      <c r="B4647" s="18">
        <v>2023</v>
      </c>
      <c r="C4647" s="18" t="s">
        <v>750</v>
      </c>
      <c r="D4647" s="18" t="s">
        <v>1845</v>
      </c>
      <c r="E4647" s="18" t="s">
        <v>713</v>
      </c>
      <c r="F4647" s="18" t="s">
        <v>714</v>
      </c>
      <c r="G4647" s="18" t="s">
        <v>678</v>
      </c>
      <c r="H4647" s="18" t="s">
        <v>1279</v>
      </c>
      <c r="I4647" s="315">
        <v>3.9537190047777421E-2</v>
      </c>
      <c r="J4647" s="315">
        <v>2.305184566363121E-7</v>
      </c>
      <c r="K4647" s="316" t="str">
        <f t="shared" si="66"/>
        <v>Agricultural Equipment</v>
      </c>
      <c r="L4647" s="316" t="str">
        <f t="shared" si="67"/>
        <v>Diesel</v>
      </c>
      <c r="M4647" s="194"/>
      <c r="N4647" s="317"/>
      <c r="O4647" s="317"/>
      <c r="P4647" s="317"/>
      <c r="Q4647" s="317"/>
      <c r="R4647" s="317"/>
      <c r="S4647" s="317"/>
      <c r="T4647" s="317"/>
      <c r="U4647" s="317"/>
      <c r="V4647" s="317"/>
      <c r="W4647" s="317"/>
      <c r="X4647" s="317"/>
      <c r="Y4647" s="317"/>
      <c r="Z4647" s="317"/>
    </row>
    <row r="4648" spans="1:26" x14ac:dyDescent="0.25">
      <c r="A4648" s="314"/>
      <c r="B4648" s="18">
        <v>2023</v>
      </c>
      <c r="C4648" s="18" t="s">
        <v>762</v>
      </c>
      <c r="D4648" s="18" t="s">
        <v>1825</v>
      </c>
      <c r="E4648" s="18" t="s">
        <v>56</v>
      </c>
      <c r="F4648" s="18" t="s">
        <v>601</v>
      </c>
      <c r="G4648" s="18" t="s">
        <v>674</v>
      </c>
      <c r="H4648" s="18" t="s">
        <v>859</v>
      </c>
      <c r="I4648" s="315">
        <v>3.9420478236429614E-2</v>
      </c>
      <c r="J4648" s="315">
        <v>8.4699806257686639E-4</v>
      </c>
      <c r="K4648" s="316" t="str">
        <f t="shared" si="66"/>
        <v>Construction and Mining Equipment</v>
      </c>
      <c r="L4648" s="316" t="str">
        <f t="shared" si="67"/>
        <v>CNG</v>
      </c>
      <c r="M4648" s="194"/>
      <c r="N4648" s="317"/>
      <c r="O4648" s="317"/>
      <c r="P4648" s="317"/>
      <c r="Q4648" s="317"/>
      <c r="R4648" s="317"/>
      <c r="S4648" s="317"/>
      <c r="T4648" s="317"/>
      <c r="U4648" s="317"/>
      <c r="V4648" s="317"/>
      <c r="W4648" s="317"/>
      <c r="X4648" s="317"/>
      <c r="Y4648" s="317"/>
      <c r="Z4648" s="317"/>
    </row>
    <row r="4649" spans="1:26" x14ac:dyDescent="0.25">
      <c r="A4649" s="314"/>
      <c r="B4649" s="18">
        <v>2023</v>
      </c>
      <c r="C4649" s="18" t="s">
        <v>753</v>
      </c>
      <c r="D4649" s="18" t="s">
        <v>1849</v>
      </c>
      <c r="E4649" s="18" t="s">
        <v>703</v>
      </c>
      <c r="F4649" s="18" t="s">
        <v>704</v>
      </c>
      <c r="G4649" s="18" t="s">
        <v>678</v>
      </c>
      <c r="H4649" s="18" t="s">
        <v>972</v>
      </c>
      <c r="I4649" s="315">
        <v>3.9253067519217227E-2</v>
      </c>
      <c r="J4649" s="315">
        <v>2.3241431486655691E-5</v>
      </c>
      <c r="K4649" s="316" t="str">
        <f t="shared" si="66"/>
        <v>Agricultural Equipment</v>
      </c>
      <c r="L4649" s="316" t="str">
        <f t="shared" si="67"/>
        <v>Gasoline</v>
      </c>
      <c r="M4649" s="194"/>
      <c r="N4649" s="317"/>
      <c r="O4649" s="317"/>
      <c r="P4649" s="317"/>
      <c r="Q4649" s="317"/>
      <c r="R4649" s="317"/>
      <c r="S4649" s="317"/>
      <c r="T4649" s="317"/>
      <c r="U4649" s="317"/>
      <c r="V4649" s="317"/>
      <c r="W4649" s="317"/>
      <c r="X4649" s="317"/>
      <c r="Y4649" s="317"/>
      <c r="Z4649" s="317"/>
    </row>
    <row r="4650" spans="1:26" x14ac:dyDescent="0.25">
      <c r="A4650" s="314"/>
      <c r="B4650" s="18">
        <v>2023</v>
      </c>
      <c r="C4650" s="18" t="s">
        <v>731</v>
      </c>
      <c r="D4650" s="18" t="s">
        <v>1849</v>
      </c>
      <c r="E4650" s="18" t="s">
        <v>703</v>
      </c>
      <c r="F4650" s="18" t="s">
        <v>704</v>
      </c>
      <c r="G4650" s="18" t="s">
        <v>678</v>
      </c>
      <c r="H4650" s="18" t="s">
        <v>972</v>
      </c>
      <c r="I4650" s="315">
        <v>3.8936061033302709E-2</v>
      </c>
      <c r="J4650" s="315">
        <v>2.3050546819540241E-5</v>
      </c>
      <c r="K4650" s="316" t="str">
        <f t="shared" si="66"/>
        <v>Agricultural Equipment</v>
      </c>
      <c r="L4650" s="316" t="str">
        <f t="shared" si="67"/>
        <v>Gasoline</v>
      </c>
      <c r="M4650" s="194"/>
      <c r="N4650" s="317"/>
      <c r="O4650" s="317"/>
      <c r="P4650" s="317"/>
      <c r="Q4650" s="317"/>
      <c r="R4650" s="317"/>
      <c r="S4650" s="317"/>
      <c r="T4650" s="317"/>
      <c r="U4650" s="317"/>
      <c r="V4650" s="317"/>
      <c r="W4650" s="317"/>
      <c r="X4650" s="317"/>
      <c r="Y4650" s="317"/>
      <c r="Z4650" s="317"/>
    </row>
    <row r="4651" spans="1:26" x14ac:dyDescent="0.25">
      <c r="A4651" s="314"/>
      <c r="B4651" s="18">
        <v>2023</v>
      </c>
      <c r="C4651" s="18" t="s">
        <v>762</v>
      </c>
      <c r="D4651" s="18" t="s">
        <v>1792</v>
      </c>
      <c r="E4651" s="18" t="s">
        <v>713</v>
      </c>
      <c r="F4651" s="18" t="s">
        <v>714</v>
      </c>
      <c r="G4651" s="18" t="s">
        <v>673</v>
      </c>
      <c r="H4651" s="18" t="s">
        <v>749</v>
      </c>
      <c r="I4651" s="315">
        <v>3.7519687326537043E-2</v>
      </c>
      <c r="J4651" s="315">
        <v>1.9374384991320506E-6</v>
      </c>
      <c r="K4651" s="316" t="str">
        <f t="shared" si="66"/>
        <v>Lawn and Garden Equipment</v>
      </c>
      <c r="L4651" s="316" t="str">
        <f t="shared" si="67"/>
        <v>Diesel</v>
      </c>
      <c r="M4651" s="194"/>
      <c r="N4651" s="317"/>
      <c r="O4651" s="317"/>
      <c r="P4651" s="317"/>
      <c r="Q4651" s="317"/>
      <c r="R4651" s="317"/>
      <c r="S4651" s="317"/>
      <c r="T4651" s="317"/>
      <c r="U4651" s="317"/>
      <c r="V4651" s="317"/>
      <c r="W4651" s="317"/>
      <c r="X4651" s="317"/>
      <c r="Y4651" s="317"/>
      <c r="Z4651" s="317"/>
    </row>
    <row r="4652" spans="1:26" x14ac:dyDescent="0.25">
      <c r="A4652" s="314"/>
      <c r="B4652" s="18">
        <v>2023</v>
      </c>
      <c r="C4652" s="18" t="s">
        <v>786</v>
      </c>
      <c r="D4652" s="18" t="s">
        <v>1806</v>
      </c>
      <c r="E4652" s="18" t="s">
        <v>56</v>
      </c>
      <c r="F4652" s="18" t="s">
        <v>601</v>
      </c>
      <c r="G4652" s="18" t="s">
        <v>675</v>
      </c>
      <c r="H4652" s="18" t="s">
        <v>798</v>
      </c>
      <c r="I4652" s="315">
        <v>3.6833124615699396E-2</v>
      </c>
      <c r="J4652" s="315">
        <v>1.4660617853442113E-4</v>
      </c>
      <c r="K4652" s="316" t="str">
        <f t="shared" si="66"/>
        <v>Industrial Equipment</v>
      </c>
      <c r="L4652" s="316" t="str">
        <f t="shared" si="67"/>
        <v>CNG</v>
      </c>
      <c r="M4652" s="194"/>
      <c r="N4652" s="317"/>
      <c r="O4652" s="317"/>
      <c r="P4652" s="317"/>
      <c r="Q4652" s="317"/>
      <c r="R4652" s="317"/>
      <c r="S4652" s="317"/>
      <c r="T4652" s="317"/>
      <c r="U4652" s="317"/>
      <c r="V4652" s="317"/>
      <c r="W4652" s="317"/>
      <c r="X4652" s="317"/>
      <c r="Y4652" s="317"/>
      <c r="Z4652" s="317"/>
    </row>
    <row r="4653" spans="1:26" x14ac:dyDescent="0.25">
      <c r="A4653" s="314"/>
      <c r="B4653" s="18">
        <v>2023</v>
      </c>
      <c r="C4653" s="18" t="s">
        <v>759</v>
      </c>
      <c r="D4653" s="18" t="s">
        <v>1663</v>
      </c>
      <c r="E4653" s="18" t="s">
        <v>713</v>
      </c>
      <c r="F4653" s="18" t="s">
        <v>714</v>
      </c>
      <c r="G4653" s="18" t="s">
        <v>674</v>
      </c>
      <c r="H4653" s="18" t="s">
        <v>1082</v>
      </c>
      <c r="I4653" s="315">
        <v>3.6603374750813392E-2</v>
      </c>
      <c r="J4653" s="315">
        <v>4.3455921293470117E-6</v>
      </c>
      <c r="K4653" s="316" t="str">
        <f t="shared" si="66"/>
        <v>Construction and Mining Equipment</v>
      </c>
      <c r="L4653" s="316" t="str">
        <f t="shared" si="67"/>
        <v>Diesel</v>
      </c>
      <c r="M4653" s="194"/>
      <c r="N4653" s="317"/>
      <c r="O4653" s="317"/>
      <c r="P4653" s="317"/>
      <c r="Q4653" s="317"/>
      <c r="R4653" s="317"/>
      <c r="S4653" s="317"/>
      <c r="T4653" s="317"/>
      <c r="U4653" s="317"/>
      <c r="V4653" s="317"/>
      <c r="W4653" s="317"/>
      <c r="X4653" s="317"/>
      <c r="Y4653" s="317"/>
      <c r="Z4653" s="317"/>
    </row>
    <row r="4654" spans="1:26" x14ac:dyDescent="0.25">
      <c r="A4654" s="314"/>
      <c r="B4654" s="18">
        <v>2023</v>
      </c>
      <c r="C4654" s="18" t="s">
        <v>762</v>
      </c>
      <c r="D4654" s="18" t="s">
        <v>1806</v>
      </c>
      <c r="E4654" s="18" t="s">
        <v>56</v>
      </c>
      <c r="F4654" s="18" t="s">
        <v>601</v>
      </c>
      <c r="G4654" s="18" t="s">
        <v>675</v>
      </c>
      <c r="H4654" s="18" t="s">
        <v>798</v>
      </c>
      <c r="I4654" s="315">
        <v>3.6391839673745874E-2</v>
      </c>
      <c r="J4654" s="315">
        <v>1.4484979356761912E-4</v>
      </c>
      <c r="K4654" s="316" t="str">
        <f t="shared" si="66"/>
        <v>Industrial Equipment</v>
      </c>
      <c r="L4654" s="316" t="str">
        <f t="shared" si="67"/>
        <v>CNG</v>
      </c>
      <c r="M4654" s="194"/>
      <c r="N4654" s="317"/>
      <c r="O4654" s="317"/>
      <c r="P4654" s="317"/>
      <c r="Q4654" s="317"/>
      <c r="R4654" s="317"/>
      <c r="S4654" s="317"/>
      <c r="T4654" s="317"/>
      <c r="U4654" s="317"/>
      <c r="V4654" s="317"/>
      <c r="W4654" s="317"/>
      <c r="X4654" s="317"/>
      <c r="Y4654" s="317"/>
      <c r="Z4654" s="317"/>
    </row>
    <row r="4655" spans="1:26" x14ac:dyDescent="0.25">
      <c r="A4655" s="314"/>
      <c r="B4655" s="18">
        <v>2023</v>
      </c>
      <c r="C4655" s="18" t="s">
        <v>750</v>
      </c>
      <c r="D4655" s="18" t="s">
        <v>1717</v>
      </c>
      <c r="E4655" s="18" t="s">
        <v>56</v>
      </c>
      <c r="F4655" s="18" t="s">
        <v>601</v>
      </c>
      <c r="G4655" s="18" t="s">
        <v>675</v>
      </c>
      <c r="H4655" s="18" t="s">
        <v>802</v>
      </c>
      <c r="I4655" s="315">
        <v>3.5981071200137972E-2</v>
      </c>
      <c r="J4655" s="315">
        <v>1.4337005774676224E-4</v>
      </c>
      <c r="K4655" s="316" t="str">
        <f t="shared" si="66"/>
        <v>Industrial Equipment</v>
      </c>
      <c r="L4655" s="316" t="str">
        <f t="shared" si="67"/>
        <v>CNG</v>
      </c>
      <c r="M4655" s="194"/>
      <c r="N4655" s="317"/>
      <c r="O4655" s="317"/>
      <c r="P4655" s="317"/>
      <c r="Q4655" s="317"/>
      <c r="R4655" s="317"/>
      <c r="S4655" s="317"/>
      <c r="T4655" s="317"/>
      <c r="U4655" s="317"/>
      <c r="V4655" s="317"/>
      <c r="W4655" s="317"/>
      <c r="X4655" s="317"/>
      <c r="Y4655" s="317"/>
      <c r="Z4655" s="317"/>
    </row>
    <row r="4656" spans="1:26" x14ac:dyDescent="0.25">
      <c r="A4656" s="314"/>
      <c r="B4656" s="18">
        <v>2023</v>
      </c>
      <c r="C4656" s="18" t="s">
        <v>743</v>
      </c>
      <c r="D4656" s="18" t="s">
        <v>1849</v>
      </c>
      <c r="E4656" s="18" t="s">
        <v>703</v>
      </c>
      <c r="F4656" s="18" t="s">
        <v>704</v>
      </c>
      <c r="G4656" s="18" t="s">
        <v>678</v>
      </c>
      <c r="H4656" s="18" t="s">
        <v>972</v>
      </c>
      <c r="I4656" s="315">
        <v>3.5872326380541435E-2</v>
      </c>
      <c r="J4656" s="315">
        <v>2.1323851421622925E-5</v>
      </c>
      <c r="K4656" s="316" t="str">
        <f t="shared" si="66"/>
        <v>Agricultural Equipment</v>
      </c>
      <c r="L4656" s="316" t="str">
        <f t="shared" si="67"/>
        <v>Gasoline</v>
      </c>
      <c r="M4656" s="194"/>
      <c r="N4656" s="317"/>
      <c r="O4656" s="317"/>
      <c r="P4656" s="317"/>
      <c r="Q4656" s="317"/>
      <c r="R4656" s="317"/>
      <c r="S4656" s="317"/>
      <c r="T4656" s="317"/>
      <c r="U4656" s="317"/>
      <c r="V4656" s="317"/>
      <c r="W4656" s="317"/>
      <c r="X4656" s="317"/>
      <c r="Y4656" s="317"/>
      <c r="Z4656" s="317"/>
    </row>
    <row r="4657" spans="1:26" x14ac:dyDescent="0.25">
      <c r="A4657" s="314"/>
      <c r="B4657" s="18">
        <v>2023</v>
      </c>
      <c r="C4657" s="18" t="s">
        <v>787</v>
      </c>
      <c r="D4657" s="18" t="s">
        <v>1737</v>
      </c>
      <c r="E4657" s="18" t="s">
        <v>703</v>
      </c>
      <c r="F4657" s="18" t="s">
        <v>805</v>
      </c>
      <c r="G4657" s="18" t="s">
        <v>673</v>
      </c>
      <c r="H4657" s="18" t="s">
        <v>705</v>
      </c>
      <c r="I4657" s="315">
        <v>3.5542554661926039E-2</v>
      </c>
      <c r="J4657" s="315">
        <v>7.1273801279800398E-5</v>
      </c>
      <c r="K4657" s="316" t="str">
        <f t="shared" si="66"/>
        <v>Lawn and Garden Equipment</v>
      </c>
      <c r="L4657" s="316" t="str">
        <f t="shared" si="67"/>
        <v>Gasoline</v>
      </c>
      <c r="M4657" s="194"/>
      <c r="N4657" s="317"/>
      <c r="O4657" s="317"/>
      <c r="P4657" s="317"/>
      <c r="Q4657" s="317"/>
      <c r="R4657" s="317"/>
      <c r="S4657" s="317"/>
      <c r="T4657" s="317"/>
      <c r="U4657" s="317"/>
      <c r="V4657" s="317"/>
      <c r="W4657" s="317"/>
      <c r="X4657" s="317"/>
      <c r="Y4657" s="317"/>
      <c r="Z4657" s="317"/>
    </row>
    <row r="4658" spans="1:26" x14ac:dyDescent="0.25">
      <c r="A4658" s="314"/>
      <c r="B4658" s="18">
        <v>2023</v>
      </c>
      <c r="C4658" s="18" t="s">
        <v>810</v>
      </c>
      <c r="D4658" s="18" t="s">
        <v>1806</v>
      </c>
      <c r="E4658" s="18" t="s">
        <v>56</v>
      </c>
      <c r="F4658" s="18" t="s">
        <v>601</v>
      </c>
      <c r="G4658" s="18" t="s">
        <v>675</v>
      </c>
      <c r="H4658" s="18" t="s">
        <v>798</v>
      </c>
      <c r="I4658" s="315">
        <v>3.5446356859491109E-2</v>
      </c>
      <c r="J4658" s="315">
        <v>1.4108634471529194E-4</v>
      </c>
      <c r="K4658" s="316" t="str">
        <f t="shared" si="66"/>
        <v>Industrial Equipment</v>
      </c>
      <c r="L4658" s="316" t="str">
        <f t="shared" si="67"/>
        <v>CNG</v>
      </c>
      <c r="M4658" s="194"/>
      <c r="N4658" s="317"/>
      <c r="O4658" s="317"/>
      <c r="P4658" s="317"/>
      <c r="Q4658" s="317"/>
      <c r="R4658" s="317"/>
      <c r="S4658" s="317"/>
      <c r="T4658" s="317"/>
      <c r="U4658" s="317"/>
      <c r="V4658" s="317"/>
      <c r="W4658" s="317"/>
      <c r="X4658" s="317"/>
      <c r="Y4658" s="317"/>
      <c r="Z4658" s="317"/>
    </row>
    <row r="4659" spans="1:26" x14ac:dyDescent="0.25">
      <c r="A4659" s="314"/>
      <c r="B4659" s="18">
        <v>2023</v>
      </c>
      <c r="C4659" s="18" t="s">
        <v>773</v>
      </c>
      <c r="D4659" s="18" t="s">
        <v>1847</v>
      </c>
      <c r="E4659" s="18" t="s">
        <v>56</v>
      </c>
      <c r="F4659" s="18" t="s">
        <v>672</v>
      </c>
      <c r="G4659" s="18" t="s">
        <v>678</v>
      </c>
      <c r="H4659" s="18" t="s">
        <v>1080</v>
      </c>
      <c r="I4659" s="315">
        <v>3.509841446649254E-2</v>
      </c>
      <c r="J4659" s="315">
        <v>1.5520223728908254E-5</v>
      </c>
      <c r="K4659" s="316" t="str">
        <f t="shared" si="66"/>
        <v>Agricultural Equipment</v>
      </c>
      <c r="L4659" s="316" t="str">
        <f t="shared" si="67"/>
        <v>LPG</v>
      </c>
      <c r="M4659" s="194"/>
      <c r="N4659" s="317"/>
      <c r="O4659" s="317"/>
      <c r="P4659" s="317"/>
      <c r="Q4659" s="317"/>
      <c r="R4659" s="317"/>
      <c r="S4659" s="317"/>
      <c r="T4659" s="317"/>
      <c r="U4659" s="317"/>
      <c r="V4659" s="317"/>
      <c r="W4659" s="317"/>
      <c r="X4659" s="317"/>
      <c r="Y4659" s="317"/>
      <c r="Z4659" s="317"/>
    </row>
    <row r="4660" spans="1:26" x14ac:dyDescent="0.25">
      <c r="A4660" s="314"/>
      <c r="B4660" s="18">
        <v>2023</v>
      </c>
      <c r="C4660" s="18" t="s">
        <v>762</v>
      </c>
      <c r="D4660" s="18" t="s">
        <v>1833</v>
      </c>
      <c r="E4660" s="18" t="s">
        <v>703</v>
      </c>
      <c r="F4660" s="18" t="s">
        <v>704</v>
      </c>
      <c r="G4660" s="18" t="s">
        <v>674</v>
      </c>
      <c r="H4660" s="18" t="s">
        <v>1082</v>
      </c>
      <c r="I4660" s="315">
        <v>3.4162359722427552E-2</v>
      </c>
      <c r="J4660" s="315">
        <v>2.2132392189102175E-5</v>
      </c>
      <c r="K4660" s="316" t="str">
        <f t="shared" si="66"/>
        <v>Construction and Mining Equipment</v>
      </c>
      <c r="L4660" s="316" t="str">
        <f t="shared" si="67"/>
        <v>Gasoline</v>
      </c>
      <c r="M4660" s="194"/>
      <c r="N4660" s="317"/>
      <c r="O4660" s="317"/>
      <c r="P4660" s="317"/>
      <c r="Q4660" s="317"/>
      <c r="R4660" s="317"/>
      <c r="S4660" s="317"/>
      <c r="T4660" s="317"/>
      <c r="U4660" s="317"/>
      <c r="V4660" s="317"/>
      <c r="W4660" s="317"/>
      <c r="X4660" s="317"/>
      <c r="Y4660" s="317"/>
      <c r="Z4660" s="317"/>
    </row>
    <row r="4661" spans="1:26" x14ac:dyDescent="0.25">
      <c r="A4661" s="314"/>
      <c r="B4661" s="18">
        <v>2023</v>
      </c>
      <c r="C4661" s="18" t="s">
        <v>793</v>
      </c>
      <c r="D4661" s="18" t="s">
        <v>1792</v>
      </c>
      <c r="E4661" s="18" t="s">
        <v>713</v>
      </c>
      <c r="F4661" s="18" t="s">
        <v>714</v>
      </c>
      <c r="G4661" s="18" t="s">
        <v>673</v>
      </c>
      <c r="H4661" s="18" t="s">
        <v>749</v>
      </c>
      <c r="I4661" s="315">
        <v>3.3965126219404514E-2</v>
      </c>
      <c r="J4661" s="315">
        <v>1.7538919513188954E-6</v>
      </c>
      <c r="K4661" s="316" t="str">
        <f t="shared" si="66"/>
        <v>Lawn and Garden Equipment</v>
      </c>
      <c r="L4661" s="316" t="str">
        <f t="shared" si="67"/>
        <v>Diesel</v>
      </c>
      <c r="M4661" s="194"/>
      <c r="N4661" s="317"/>
      <c r="O4661" s="317"/>
      <c r="P4661" s="317"/>
      <c r="Q4661" s="317"/>
      <c r="R4661" s="317"/>
      <c r="S4661" s="317"/>
      <c r="T4661" s="317"/>
      <c r="U4661" s="317"/>
      <c r="V4661" s="317"/>
      <c r="W4661" s="317"/>
      <c r="X4661" s="317"/>
      <c r="Y4661" s="317"/>
      <c r="Z4661" s="317"/>
    </row>
    <row r="4662" spans="1:26" x14ac:dyDescent="0.25">
      <c r="A4662" s="314"/>
      <c r="B4662" s="18">
        <v>2023</v>
      </c>
      <c r="C4662" s="18" t="s">
        <v>759</v>
      </c>
      <c r="D4662" s="18" t="s">
        <v>1679</v>
      </c>
      <c r="E4662" s="18" t="s">
        <v>56</v>
      </c>
      <c r="F4662" s="18" t="s">
        <v>672</v>
      </c>
      <c r="G4662" s="18" t="s">
        <v>674</v>
      </c>
      <c r="H4662" s="18" t="s">
        <v>959</v>
      </c>
      <c r="I4662" s="315">
        <v>3.3802717882497252E-2</v>
      </c>
      <c r="J4662" s="315">
        <v>5.7418687593735634E-6</v>
      </c>
      <c r="K4662" s="316" t="str">
        <f t="shared" si="66"/>
        <v>Construction and Mining Equipment</v>
      </c>
      <c r="L4662" s="316" t="str">
        <f t="shared" si="67"/>
        <v>LPG</v>
      </c>
      <c r="M4662" s="194"/>
      <c r="N4662" s="317"/>
      <c r="O4662" s="317"/>
      <c r="P4662" s="317"/>
      <c r="Q4662" s="317"/>
      <c r="R4662" s="317"/>
      <c r="S4662" s="317"/>
      <c r="T4662" s="317"/>
      <c r="U4662" s="317"/>
      <c r="V4662" s="317"/>
      <c r="W4662" s="317"/>
      <c r="X4662" s="317"/>
      <c r="Y4662" s="317"/>
      <c r="Z4662" s="317"/>
    </row>
    <row r="4663" spans="1:26" x14ac:dyDescent="0.25">
      <c r="A4663" s="314"/>
      <c r="B4663" s="18">
        <v>2023</v>
      </c>
      <c r="C4663" s="18" t="s">
        <v>750</v>
      </c>
      <c r="D4663" s="18" t="s">
        <v>1024</v>
      </c>
      <c r="E4663" s="18" t="s">
        <v>56</v>
      </c>
      <c r="F4663" s="18" t="s">
        <v>1025</v>
      </c>
      <c r="G4663" s="18" t="s">
        <v>680</v>
      </c>
      <c r="H4663" s="18" t="s">
        <v>1026</v>
      </c>
      <c r="I4663" s="315">
        <v>3.2027517257484567E-2</v>
      </c>
      <c r="J4663" s="315">
        <v>1.4588632720067518E-6</v>
      </c>
      <c r="K4663" s="316" t="str">
        <f t="shared" si="66"/>
        <v>Airport Ground Support Equipment</v>
      </c>
      <c r="L4663" s="316" t="str">
        <f t="shared" si="67"/>
        <v>LPG</v>
      </c>
      <c r="M4663" s="194"/>
      <c r="N4663" s="317"/>
      <c r="O4663" s="317"/>
      <c r="P4663" s="317"/>
      <c r="Q4663" s="317"/>
      <c r="R4663" s="317"/>
      <c r="S4663" s="317"/>
      <c r="T4663" s="317"/>
      <c r="U4663" s="317"/>
      <c r="V4663" s="317"/>
      <c r="W4663" s="317"/>
      <c r="X4663" s="317"/>
      <c r="Y4663" s="317"/>
      <c r="Z4663" s="317"/>
    </row>
    <row r="4664" spans="1:26" x14ac:dyDescent="0.25">
      <c r="A4664" s="314"/>
      <c r="B4664" s="18">
        <v>2023</v>
      </c>
      <c r="C4664" s="18" t="s">
        <v>810</v>
      </c>
      <c r="D4664" s="18" t="s">
        <v>1839</v>
      </c>
      <c r="E4664" s="18" t="s">
        <v>56</v>
      </c>
      <c r="F4664" s="18" t="s">
        <v>683</v>
      </c>
      <c r="G4664" s="18" t="s">
        <v>672</v>
      </c>
      <c r="H4664" s="18" t="s">
        <v>1002</v>
      </c>
      <c r="I4664" s="315">
        <v>3.1714614285046162E-2</v>
      </c>
      <c r="J4664" s="315">
        <v>2.5534771170296352E-6</v>
      </c>
      <c r="K4664" s="316" t="str">
        <f t="shared" si="66"/>
        <v>Railroad Equipment</v>
      </c>
      <c r="L4664" s="316" t="str">
        <f t="shared" si="67"/>
        <v>LPG</v>
      </c>
      <c r="M4664" s="194"/>
      <c r="N4664" s="317"/>
      <c r="O4664" s="317"/>
      <c r="P4664" s="317"/>
      <c r="Q4664" s="317"/>
      <c r="R4664" s="317"/>
      <c r="S4664" s="317"/>
      <c r="T4664" s="317"/>
      <c r="U4664" s="317"/>
      <c r="V4664" s="317"/>
      <c r="W4664" s="317"/>
      <c r="X4664" s="317"/>
      <c r="Y4664" s="317"/>
      <c r="Z4664" s="317"/>
    </row>
    <row r="4665" spans="1:26" x14ac:dyDescent="0.25">
      <c r="A4665" s="314"/>
      <c r="B4665" s="18">
        <v>2023</v>
      </c>
      <c r="C4665" s="18" t="s">
        <v>759</v>
      </c>
      <c r="D4665" s="18" t="s">
        <v>1685</v>
      </c>
      <c r="E4665" s="18" t="s">
        <v>56</v>
      </c>
      <c r="F4665" s="18" t="s">
        <v>672</v>
      </c>
      <c r="G4665" s="18" t="s">
        <v>674</v>
      </c>
      <c r="H4665" s="18" t="s">
        <v>1072</v>
      </c>
      <c r="I4665" s="315">
        <v>3.1648447382538469E-2</v>
      </c>
      <c r="J4665" s="315">
        <v>2.196043545029565E-6</v>
      </c>
      <c r="K4665" s="316" t="str">
        <f t="shared" si="66"/>
        <v>Construction and Mining Equipment</v>
      </c>
      <c r="L4665" s="316" t="str">
        <f t="shared" si="67"/>
        <v>LPG</v>
      </c>
      <c r="M4665" s="194"/>
      <c r="N4665" s="317"/>
      <c r="O4665" s="317"/>
      <c r="P4665" s="317"/>
      <c r="Q4665" s="317"/>
      <c r="R4665" s="317"/>
      <c r="S4665" s="317"/>
      <c r="T4665" s="317"/>
      <c r="U4665" s="317"/>
      <c r="V4665" s="317"/>
      <c r="W4665" s="317"/>
      <c r="X4665" s="317"/>
      <c r="Y4665" s="317"/>
      <c r="Z4665" s="317"/>
    </row>
    <row r="4666" spans="1:26" x14ac:dyDescent="0.25">
      <c r="A4666" s="314"/>
      <c r="B4666" s="18">
        <v>2023</v>
      </c>
      <c r="C4666" s="18" t="s">
        <v>781</v>
      </c>
      <c r="D4666" s="18" t="s">
        <v>1841</v>
      </c>
      <c r="E4666" s="18" t="s">
        <v>703</v>
      </c>
      <c r="F4666" s="18" t="s">
        <v>805</v>
      </c>
      <c r="G4666" s="18" t="s">
        <v>675</v>
      </c>
      <c r="H4666" s="18" t="s">
        <v>798</v>
      </c>
      <c r="I4666" s="315">
        <v>3.1292507820721349E-2</v>
      </c>
      <c r="J4666" s="315">
        <v>6.992002212905138E-5</v>
      </c>
      <c r="K4666" s="316" t="str">
        <f t="shared" si="66"/>
        <v>Industrial Equipment</v>
      </c>
      <c r="L4666" s="316" t="str">
        <f t="shared" si="67"/>
        <v>Gasoline</v>
      </c>
      <c r="M4666" s="194"/>
      <c r="N4666" s="317"/>
      <c r="O4666" s="317"/>
      <c r="P4666" s="317"/>
      <c r="Q4666" s="317"/>
      <c r="R4666" s="317"/>
      <c r="S4666" s="317"/>
      <c r="T4666" s="317"/>
      <c r="U4666" s="317"/>
      <c r="V4666" s="317"/>
      <c r="W4666" s="317"/>
      <c r="X4666" s="317"/>
      <c r="Y4666" s="317"/>
      <c r="Z4666" s="317"/>
    </row>
    <row r="4667" spans="1:26" x14ac:dyDescent="0.25">
      <c r="A4667" s="314"/>
      <c r="B4667" s="18">
        <v>2023</v>
      </c>
      <c r="C4667" s="18" t="s">
        <v>786</v>
      </c>
      <c r="D4667" s="18" t="s">
        <v>1792</v>
      </c>
      <c r="E4667" s="18" t="s">
        <v>713</v>
      </c>
      <c r="F4667" s="18" t="s">
        <v>714</v>
      </c>
      <c r="G4667" s="18" t="s">
        <v>673</v>
      </c>
      <c r="H4667" s="18" t="s">
        <v>749</v>
      </c>
      <c r="I4667" s="315">
        <v>3.1200548534874532E-2</v>
      </c>
      <c r="J4667" s="315">
        <v>1.6111325201933437E-6</v>
      </c>
      <c r="K4667" s="316" t="str">
        <f t="shared" si="66"/>
        <v>Lawn and Garden Equipment</v>
      </c>
      <c r="L4667" s="316" t="str">
        <f t="shared" si="67"/>
        <v>Diesel</v>
      </c>
      <c r="M4667" s="194"/>
      <c r="N4667" s="317"/>
      <c r="O4667" s="317"/>
      <c r="P4667" s="317"/>
      <c r="Q4667" s="317"/>
      <c r="R4667" s="317"/>
      <c r="S4667" s="317"/>
      <c r="T4667" s="317"/>
      <c r="U4667" s="317"/>
      <c r="V4667" s="317"/>
      <c r="W4667" s="317"/>
      <c r="X4667" s="317"/>
      <c r="Y4667" s="317"/>
      <c r="Z4667" s="317"/>
    </row>
    <row r="4668" spans="1:26" x14ac:dyDescent="0.25">
      <c r="A4668" s="314"/>
      <c r="B4668" s="18">
        <v>2023</v>
      </c>
      <c r="C4668" s="18" t="s">
        <v>787</v>
      </c>
      <c r="D4668" s="18" t="s">
        <v>1847</v>
      </c>
      <c r="E4668" s="18" t="s">
        <v>56</v>
      </c>
      <c r="F4668" s="18" t="s">
        <v>672</v>
      </c>
      <c r="G4668" s="18" t="s">
        <v>678</v>
      </c>
      <c r="H4668" s="18" t="s">
        <v>1080</v>
      </c>
      <c r="I4668" s="315">
        <v>3.0245437897923992E-2</v>
      </c>
      <c r="J4668" s="315">
        <v>1.3374274359841059E-5</v>
      </c>
      <c r="K4668" s="316" t="str">
        <f t="shared" si="66"/>
        <v>Agricultural Equipment</v>
      </c>
      <c r="L4668" s="316" t="str">
        <f t="shared" si="67"/>
        <v>LPG</v>
      </c>
      <c r="M4668" s="194"/>
      <c r="N4668" s="317"/>
      <c r="O4668" s="317"/>
      <c r="P4668" s="317"/>
      <c r="Q4668" s="317"/>
      <c r="R4668" s="317"/>
      <c r="S4668" s="317"/>
      <c r="T4668" s="317"/>
      <c r="U4668" s="317"/>
      <c r="V4668" s="317"/>
      <c r="W4668" s="317"/>
      <c r="X4668" s="317"/>
      <c r="Y4668" s="317"/>
      <c r="Z4668" s="317"/>
    </row>
    <row r="4669" spans="1:26" x14ac:dyDescent="0.25">
      <c r="A4669" s="314"/>
      <c r="B4669" s="18">
        <v>2023</v>
      </c>
      <c r="C4669" s="18" t="s">
        <v>778</v>
      </c>
      <c r="D4669" s="18" t="s">
        <v>1842</v>
      </c>
      <c r="E4669" s="18" t="s">
        <v>713</v>
      </c>
      <c r="F4669" s="18" t="s">
        <v>714</v>
      </c>
      <c r="G4669" s="18" t="s">
        <v>678</v>
      </c>
      <c r="H4669" s="18" t="s">
        <v>1709</v>
      </c>
      <c r="I4669" s="315">
        <v>3.0196589012590265E-2</v>
      </c>
      <c r="J4669" s="315">
        <v>3.7363370407474844E-6</v>
      </c>
      <c r="K4669" s="316" t="str">
        <f t="shared" si="66"/>
        <v>Agricultural Equipment</v>
      </c>
      <c r="L4669" s="316" t="str">
        <f t="shared" si="67"/>
        <v>Diesel</v>
      </c>
      <c r="M4669" s="194"/>
      <c r="N4669" s="317"/>
      <c r="O4669" s="317"/>
      <c r="P4669" s="317"/>
      <c r="Q4669" s="317"/>
      <c r="R4669" s="317"/>
      <c r="S4669" s="317"/>
      <c r="T4669" s="317"/>
      <c r="U4669" s="317"/>
      <c r="V4669" s="317"/>
      <c r="W4669" s="317"/>
      <c r="X4669" s="317"/>
      <c r="Y4669" s="317"/>
      <c r="Z4669" s="317"/>
    </row>
    <row r="4670" spans="1:26" x14ac:dyDescent="0.25">
      <c r="A4670" s="314"/>
      <c r="B4670" s="18">
        <v>2023</v>
      </c>
      <c r="C4670" s="18" t="s">
        <v>778</v>
      </c>
      <c r="D4670" s="18" t="s">
        <v>1843</v>
      </c>
      <c r="E4670" s="18" t="s">
        <v>56</v>
      </c>
      <c r="F4670" s="18" t="s">
        <v>672</v>
      </c>
      <c r="G4670" s="18" t="s">
        <v>678</v>
      </c>
      <c r="H4670" s="18" t="s">
        <v>1154</v>
      </c>
      <c r="I4670" s="315">
        <v>3.014539559325519E-2</v>
      </c>
      <c r="J4670" s="315">
        <v>1.3834455480778783E-6</v>
      </c>
      <c r="K4670" s="316" t="str">
        <f t="shared" si="66"/>
        <v>Agricultural Equipment</v>
      </c>
      <c r="L4670" s="316" t="str">
        <f t="shared" si="67"/>
        <v>LPG</v>
      </c>
      <c r="M4670" s="194"/>
      <c r="N4670" s="317"/>
      <c r="O4670" s="317"/>
      <c r="P4670" s="317"/>
      <c r="Q4670" s="317"/>
      <c r="R4670" s="317"/>
      <c r="S4670" s="317"/>
      <c r="T4670" s="317"/>
      <c r="U4670" s="317"/>
      <c r="V4670" s="317"/>
      <c r="W4670" s="317"/>
      <c r="X4670" s="317"/>
      <c r="Y4670" s="317"/>
      <c r="Z4670" s="317"/>
    </row>
    <row r="4671" spans="1:26" x14ac:dyDescent="0.25">
      <c r="A4671" s="314"/>
      <c r="B4671" s="18">
        <v>2023</v>
      </c>
      <c r="C4671" s="18" t="s">
        <v>759</v>
      </c>
      <c r="D4671" s="18" t="s">
        <v>1715</v>
      </c>
      <c r="E4671" s="18" t="s">
        <v>703</v>
      </c>
      <c r="F4671" s="18" t="s">
        <v>805</v>
      </c>
      <c r="G4671" s="18" t="s">
        <v>677</v>
      </c>
      <c r="H4671" s="18" t="s">
        <v>1031</v>
      </c>
      <c r="I4671" s="315">
        <v>2.9292561404685072E-2</v>
      </c>
      <c r="J4671" s="315">
        <v>6.5451476879510118E-5</v>
      </c>
      <c r="K4671" s="316" t="str">
        <f t="shared" si="66"/>
        <v>Commercial Equipment</v>
      </c>
      <c r="L4671" s="316" t="str">
        <f t="shared" si="67"/>
        <v>Gasoline</v>
      </c>
      <c r="M4671" s="194"/>
      <c r="N4671" s="317"/>
      <c r="O4671" s="317"/>
      <c r="P4671" s="317"/>
      <c r="Q4671" s="317"/>
      <c r="R4671" s="317"/>
      <c r="S4671" s="317"/>
      <c r="T4671" s="317"/>
      <c r="U4671" s="317"/>
      <c r="V4671" s="317"/>
      <c r="W4671" s="317"/>
      <c r="X4671" s="317"/>
      <c r="Y4671" s="317"/>
      <c r="Z4671" s="317"/>
    </row>
    <row r="4672" spans="1:26" x14ac:dyDescent="0.25">
      <c r="A4672" s="314"/>
      <c r="B4672" s="18">
        <v>2023</v>
      </c>
      <c r="C4672" s="18" t="s">
        <v>750</v>
      </c>
      <c r="D4672" s="18" t="s">
        <v>1792</v>
      </c>
      <c r="E4672" s="18" t="s">
        <v>713</v>
      </c>
      <c r="F4672" s="18" t="s">
        <v>714</v>
      </c>
      <c r="G4672" s="18" t="s">
        <v>673</v>
      </c>
      <c r="H4672" s="18" t="s">
        <v>749</v>
      </c>
      <c r="I4672" s="315">
        <v>2.8830870296939377E-2</v>
      </c>
      <c r="J4672" s="315">
        <v>1.4887680386571215E-6</v>
      </c>
      <c r="K4672" s="316" t="str">
        <f t="shared" si="66"/>
        <v>Lawn and Garden Equipment</v>
      </c>
      <c r="L4672" s="316" t="str">
        <f t="shared" si="67"/>
        <v>Diesel</v>
      </c>
      <c r="M4672" s="194"/>
      <c r="N4672" s="317"/>
      <c r="O4672" s="317"/>
      <c r="P4672" s="317"/>
      <c r="Q4672" s="317"/>
      <c r="R4672" s="317"/>
      <c r="S4672" s="317"/>
      <c r="T4672" s="317"/>
      <c r="U4672" s="317"/>
      <c r="V4672" s="317"/>
      <c r="W4672" s="317"/>
      <c r="X4672" s="317"/>
      <c r="Y4672" s="317"/>
      <c r="Z4672" s="317"/>
    </row>
    <row r="4673" spans="1:26" x14ac:dyDescent="0.25">
      <c r="A4673" s="314"/>
      <c r="B4673" s="18">
        <v>2023</v>
      </c>
      <c r="C4673" s="18" t="s">
        <v>711</v>
      </c>
      <c r="D4673" s="18" t="s">
        <v>1848</v>
      </c>
      <c r="E4673" s="18" t="s">
        <v>703</v>
      </c>
      <c r="F4673" s="18" t="s">
        <v>805</v>
      </c>
      <c r="G4673" s="18" t="s">
        <v>674</v>
      </c>
      <c r="H4673" s="18" t="s">
        <v>981</v>
      </c>
      <c r="I4673" s="315">
        <v>2.8673449096219189E-2</v>
      </c>
      <c r="J4673" s="315">
        <v>6.406815013814108E-5</v>
      </c>
      <c r="K4673" s="316" t="str">
        <f t="shared" si="66"/>
        <v>Construction and Mining Equipment</v>
      </c>
      <c r="L4673" s="316" t="str">
        <f t="shared" si="67"/>
        <v>Gasoline</v>
      </c>
      <c r="M4673" s="194"/>
      <c r="N4673" s="317"/>
      <c r="O4673" s="317"/>
      <c r="P4673" s="317"/>
      <c r="Q4673" s="317"/>
      <c r="R4673" s="317"/>
      <c r="S4673" s="317"/>
      <c r="T4673" s="317"/>
      <c r="U4673" s="317"/>
      <c r="V4673" s="317"/>
      <c r="W4673" s="317"/>
      <c r="X4673" s="317"/>
      <c r="Y4673" s="317"/>
      <c r="Z4673" s="317"/>
    </row>
    <row r="4674" spans="1:26" x14ac:dyDescent="0.25">
      <c r="A4674" s="314"/>
      <c r="B4674" s="18">
        <v>2023</v>
      </c>
      <c r="C4674" s="18" t="s">
        <v>793</v>
      </c>
      <c r="D4674" s="18" t="s">
        <v>1806</v>
      </c>
      <c r="E4674" s="18" t="s">
        <v>56</v>
      </c>
      <c r="F4674" s="18" t="s">
        <v>601</v>
      </c>
      <c r="G4674" s="18" t="s">
        <v>675</v>
      </c>
      <c r="H4674" s="18" t="s">
        <v>798</v>
      </c>
      <c r="I4674" s="315">
        <v>2.8617657453354511E-2</v>
      </c>
      <c r="J4674" s="315">
        <v>1.1390624796597946E-4</v>
      </c>
      <c r="K4674" s="316" t="str">
        <f t="shared" si="66"/>
        <v>Industrial Equipment</v>
      </c>
      <c r="L4674" s="316" t="str">
        <f t="shared" si="67"/>
        <v>CNG</v>
      </c>
      <c r="M4674" s="194"/>
      <c r="N4674" s="317"/>
      <c r="O4674" s="317"/>
      <c r="P4674" s="317"/>
      <c r="Q4674" s="317"/>
      <c r="R4674" s="317"/>
      <c r="S4674" s="317"/>
      <c r="T4674" s="317"/>
      <c r="U4674" s="317"/>
      <c r="V4674" s="317"/>
      <c r="W4674" s="317"/>
      <c r="X4674" s="317"/>
      <c r="Y4674" s="317"/>
      <c r="Z4674" s="317"/>
    </row>
    <row r="4675" spans="1:26" x14ac:dyDescent="0.25">
      <c r="A4675" s="314"/>
      <c r="B4675" s="18">
        <v>2023</v>
      </c>
      <c r="C4675" s="18" t="s">
        <v>760</v>
      </c>
      <c r="D4675" s="18" t="s">
        <v>1847</v>
      </c>
      <c r="E4675" s="18" t="s">
        <v>56</v>
      </c>
      <c r="F4675" s="18" t="s">
        <v>672</v>
      </c>
      <c r="G4675" s="18" t="s">
        <v>678</v>
      </c>
      <c r="H4675" s="18" t="s">
        <v>1080</v>
      </c>
      <c r="I4675" s="315">
        <v>2.8333150376910188E-2</v>
      </c>
      <c r="J4675" s="315">
        <v>1.2528687884519993E-5</v>
      </c>
      <c r="K4675" s="316" t="str">
        <f t="shared" si="66"/>
        <v>Agricultural Equipment</v>
      </c>
      <c r="L4675" s="316" t="str">
        <f t="shared" si="67"/>
        <v>LPG</v>
      </c>
      <c r="M4675" s="194"/>
      <c r="N4675" s="317"/>
      <c r="O4675" s="317"/>
      <c r="P4675" s="317"/>
      <c r="Q4675" s="317"/>
      <c r="R4675" s="317"/>
      <c r="S4675" s="317"/>
      <c r="T4675" s="317"/>
      <c r="U4675" s="317"/>
      <c r="V4675" s="317"/>
      <c r="W4675" s="317"/>
      <c r="X4675" s="317"/>
      <c r="Y4675" s="317"/>
      <c r="Z4675" s="317"/>
    </row>
    <row r="4676" spans="1:26" x14ac:dyDescent="0.25">
      <c r="A4676" s="314"/>
      <c r="B4676" s="18">
        <v>2023</v>
      </c>
      <c r="C4676" s="18" t="s">
        <v>781</v>
      </c>
      <c r="D4676" s="18" t="s">
        <v>1730</v>
      </c>
      <c r="E4676" s="18" t="s">
        <v>703</v>
      </c>
      <c r="F4676" s="18" t="s">
        <v>805</v>
      </c>
      <c r="G4676" s="18" t="s">
        <v>674</v>
      </c>
      <c r="H4676" s="18" t="s">
        <v>959</v>
      </c>
      <c r="I4676" s="315">
        <v>2.8154642171986304E-2</v>
      </c>
      <c r="J4676" s="315">
        <v>6.2908940417466381E-5</v>
      </c>
      <c r="K4676" s="316" t="str">
        <f t="shared" si="66"/>
        <v>Construction and Mining Equipment</v>
      </c>
      <c r="L4676" s="316" t="str">
        <f t="shared" si="67"/>
        <v>Gasoline</v>
      </c>
      <c r="M4676" s="194"/>
      <c r="N4676" s="317"/>
      <c r="O4676" s="317"/>
      <c r="P4676" s="317"/>
      <c r="Q4676" s="317"/>
      <c r="R4676" s="317"/>
      <c r="S4676" s="317"/>
      <c r="T4676" s="317"/>
      <c r="U4676" s="317"/>
      <c r="V4676" s="317"/>
      <c r="W4676" s="317"/>
      <c r="X4676" s="317"/>
      <c r="Y4676" s="317"/>
      <c r="Z4676" s="317"/>
    </row>
    <row r="4677" spans="1:26" x14ac:dyDescent="0.25">
      <c r="A4677" s="314"/>
      <c r="B4677" s="18">
        <v>2023</v>
      </c>
      <c r="C4677" s="18" t="s">
        <v>778</v>
      </c>
      <c r="D4677" s="18" t="s">
        <v>1844</v>
      </c>
      <c r="E4677" s="18" t="s">
        <v>56</v>
      </c>
      <c r="F4677" s="18" t="s">
        <v>601</v>
      </c>
      <c r="G4677" s="18" t="s">
        <v>678</v>
      </c>
      <c r="H4677" s="18" t="s">
        <v>1080</v>
      </c>
      <c r="I4677" s="315">
        <v>2.7673066564551513E-2</v>
      </c>
      <c r="J4677" s="315">
        <v>1.0898807352543727E-3</v>
      </c>
      <c r="K4677" s="316" t="str">
        <f t="shared" si="66"/>
        <v>Agricultural Equipment</v>
      </c>
      <c r="L4677" s="316" t="str">
        <f t="shared" si="67"/>
        <v>CNG</v>
      </c>
      <c r="M4677" s="194"/>
      <c r="N4677" s="317"/>
      <c r="O4677" s="317"/>
      <c r="P4677" s="317"/>
      <c r="Q4677" s="317"/>
      <c r="R4677" s="317"/>
      <c r="S4677" s="317"/>
      <c r="T4677" s="317"/>
      <c r="U4677" s="317"/>
      <c r="V4677" s="317"/>
      <c r="W4677" s="317"/>
      <c r="X4677" s="317"/>
      <c r="Y4677" s="317"/>
      <c r="Z4677" s="317"/>
    </row>
    <row r="4678" spans="1:26" x14ac:dyDescent="0.25">
      <c r="A4678" s="314"/>
      <c r="B4678" s="18">
        <v>2023</v>
      </c>
      <c r="C4678" s="18" t="s">
        <v>773</v>
      </c>
      <c r="D4678" s="18" t="s">
        <v>1849</v>
      </c>
      <c r="E4678" s="18" t="s">
        <v>703</v>
      </c>
      <c r="F4678" s="18" t="s">
        <v>704</v>
      </c>
      <c r="G4678" s="18" t="s">
        <v>678</v>
      </c>
      <c r="H4678" s="18" t="s">
        <v>972</v>
      </c>
      <c r="I4678" s="315">
        <v>2.7554372462800417E-2</v>
      </c>
      <c r="J4678" s="315">
        <v>1.6299655953417788E-5</v>
      </c>
      <c r="K4678" s="316" t="str">
        <f t="shared" si="66"/>
        <v>Agricultural Equipment</v>
      </c>
      <c r="L4678" s="316" t="str">
        <f t="shared" si="67"/>
        <v>Gasoline</v>
      </c>
      <c r="M4678" s="194"/>
      <c r="N4678" s="317"/>
      <c r="O4678" s="317"/>
      <c r="P4678" s="317"/>
      <c r="Q4678" s="317"/>
      <c r="R4678" s="317"/>
      <c r="S4678" s="317"/>
      <c r="T4678" s="317"/>
      <c r="U4678" s="317"/>
      <c r="V4678" s="317"/>
      <c r="W4678" s="317"/>
      <c r="X4678" s="317"/>
      <c r="Y4678" s="317"/>
      <c r="Z4678" s="317"/>
    </row>
    <row r="4679" spans="1:26" x14ac:dyDescent="0.25">
      <c r="A4679" s="314"/>
      <c r="B4679" s="18">
        <v>2023</v>
      </c>
      <c r="C4679" s="18" t="s">
        <v>701</v>
      </c>
      <c r="D4679" s="18" t="s">
        <v>1847</v>
      </c>
      <c r="E4679" s="18" t="s">
        <v>56</v>
      </c>
      <c r="F4679" s="18" t="s">
        <v>672</v>
      </c>
      <c r="G4679" s="18" t="s">
        <v>678</v>
      </c>
      <c r="H4679" s="18" t="s">
        <v>1080</v>
      </c>
      <c r="I4679" s="315">
        <v>2.7525376078279221E-2</v>
      </c>
      <c r="J4679" s="315">
        <v>1.2171488508618159E-5</v>
      </c>
      <c r="K4679" s="316" t="str">
        <f t="shared" si="66"/>
        <v>Agricultural Equipment</v>
      </c>
      <c r="L4679" s="316" t="str">
        <f t="shared" si="67"/>
        <v>LPG</v>
      </c>
      <c r="M4679" s="194"/>
      <c r="N4679" s="317"/>
      <c r="O4679" s="317"/>
      <c r="P4679" s="317"/>
      <c r="Q4679" s="317"/>
      <c r="R4679" s="317"/>
      <c r="S4679" s="317"/>
      <c r="T4679" s="317"/>
      <c r="U4679" s="317"/>
      <c r="V4679" s="317"/>
      <c r="W4679" s="317"/>
      <c r="X4679" s="317"/>
      <c r="Y4679" s="317"/>
      <c r="Z4679" s="317"/>
    </row>
    <row r="4680" spans="1:26" x14ac:dyDescent="0.25">
      <c r="A4680" s="314"/>
      <c r="B4680" s="18">
        <v>2023</v>
      </c>
      <c r="C4680" s="18" t="s">
        <v>722</v>
      </c>
      <c r="D4680" s="18" t="s">
        <v>1842</v>
      </c>
      <c r="E4680" s="18" t="s">
        <v>713</v>
      </c>
      <c r="F4680" s="18" t="s">
        <v>714</v>
      </c>
      <c r="G4680" s="18" t="s">
        <v>678</v>
      </c>
      <c r="H4680" s="18" t="s">
        <v>1709</v>
      </c>
      <c r="I4680" s="315">
        <v>2.7298765373722857E-2</v>
      </c>
      <c r="J4680" s="315">
        <v>3.377779298089244E-6</v>
      </c>
      <c r="K4680" s="316" t="str">
        <f t="shared" si="66"/>
        <v>Agricultural Equipment</v>
      </c>
      <c r="L4680" s="316" t="str">
        <f t="shared" si="67"/>
        <v>Diesel</v>
      </c>
      <c r="M4680" s="194"/>
      <c r="N4680" s="317"/>
      <c r="O4680" s="317"/>
      <c r="P4680" s="317"/>
      <c r="Q4680" s="317"/>
      <c r="R4680" s="317"/>
      <c r="S4680" s="317"/>
      <c r="T4680" s="317"/>
      <c r="U4680" s="317"/>
      <c r="V4680" s="317"/>
      <c r="W4680" s="317"/>
      <c r="X4680" s="317"/>
      <c r="Y4680" s="317"/>
      <c r="Z4680" s="317"/>
    </row>
    <row r="4681" spans="1:26" x14ac:dyDescent="0.25">
      <c r="A4681" s="314"/>
      <c r="B4681" s="18">
        <v>2023</v>
      </c>
      <c r="C4681" s="18" t="s">
        <v>722</v>
      </c>
      <c r="D4681" s="18" t="s">
        <v>1843</v>
      </c>
      <c r="E4681" s="18" t="s">
        <v>56</v>
      </c>
      <c r="F4681" s="18" t="s">
        <v>672</v>
      </c>
      <c r="G4681" s="18" t="s">
        <v>678</v>
      </c>
      <c r="H4681" s="18" t="s">
        <v>1154</v>
      </c>
      <c r="I4681" s="315">
        <v>2.7252426123726328E-2</v>
      </c>
      <c r="J4681" s="315">
        <v>1.2506805882807328E-6</v>
      </c>
      <c r="K4681" s="316" t="str">
        <f t="shared" si="66"/>
        <v>Agricultural Equipment</v>
      </c>
      <c r="L4681" s="316" t="str">
        <f t="shared" si="67"/>
        <v>LPG</v>
      </c>
      <c r="M4681" s="194"/>
      <c r="N4681" s="317"/>
      <c r="O4681" s="317"/>
      <c r="P4681" s="317"/>
      <c r="Q4681" s="317"/>
      <c r="R4681" s="317"/>
      <c r="S4681" s="317"/>
      <c r="T4681" s="317"/>
      <c r="U4681" s="317"/>
      <c r="V4681" s="317"/>
      <c r="W4681" s="317"/>
      <c r="X4681" s="317"/>
      <c r="Y4681" s="317"/>
      <c r="Z4681" s="317"/>
    </row>
    <row r="4682" spans="1:26" x14ac:dyDescent="0.25">
      <c r="A4682" s="314"/>
      <c r="B4682" s="18">
        <v>2023</v>
      </c>
      <c r="C4682" s="18" t="s">
        <v>778</v>
      </c>
      <c r="D4682" s="18" t="s">
        <v>1845</v>
      </c>
      <c r="E4682" s="18" t="s">
        <v>713</v>
      </c>
      <c r="F4682" s="18" t="s">
        <v>714</v>
      </c>
      <c r="G4682" s="18" t="s">
        <v>678</v>
      </c>
      <c r="H4682" s="18" t="s">
        <v>1279</v>
      </c>
      <c r="I4682" s="315">
        <v>2.6420675939103851E-2</v>
      </c>
      <c r="J4682" s="315">
        <v>1.5404373724282812E-7</v>
      </c>
      <c r="K4682" s="316" t="str">
        <f t="shared" si="66"/>
        <v>Agricultural Equipment</v>
      </c>
      <c r="L4682" s="316" t="str">
        <f t="shared" si="67"/>
        <v>Diesel</v>
      </c>
      <c r="M4682" s="194"/>
      <c r="N4682" s="317"/>
      <c r="O4682" s="317"/>
      <c r="P4682" s="317"/>
      <c r="Q4682" s="317"/>
      <c r="R4682" s="317"/>
      <c r="S4682" s="317"/>
      <c r="T4682" s="317"/>
      <c r="U4682" s="317"/>
      <c r="V4682" s="317"/>
      <c r="W4682" s="317"/>
      <c r="X4682" s="317"/>
      <c r="Y4682" s="317"/>
      <c r="Z4682" s="317"/>
    </row>
    <row r="4683" spans="1:26" x14ac:dyDescent="0.25">
      <c r="A4683" s="314"/>
      <c r="B4683" s="18">
        <v>2023</v>
      </c>
      <c r="C4683" s="18" t="s">
        <v>762</v>
      </c>
      <c r="D4683" s="18" t="s">
        <v>991</v>
      </c>
      <c r="E4683" s="18" t="s">
        <v>703</v>
      </c>
      <c r="F4683" s="18" t="s">
        <v>795</v>
      </c>
      <c r="G4683" s="18" t="s">
        <v>680</v>
      </c>
      <c r="H4683" s="18" t="s">
        <v>992</v>
      </c>
      <c r="I4683" s="315">
        <v>2.6388335479077964E-2</v>
      </c>
      <c r="J4683" s="315">
        <v>7.5772021431599612E-6</v>
      </c>
      <c r="K4683" s="316" t="str">
        <f t="shared" si="66"/>
        <v>Airport Ground Support Equipment</v>
      </c>
      <c r="L4683" s="316" t="str">
        <f t="shared" si="67"/>
        <v>Gasoline</v>
      </c>
      <c r="M4683" s="194"/>
      <c r="N4683" s="317"/>
      <c r="O4683" s="317"/>
      <c r="P4683" s="317"/>
      <c r="Q4683" s="317"/>
      <c r="R4683" s="317"/>
      <c r="S4683" s="317"/>
      <c r="T4683" s="317"/>
      <c r="U4683" s="317"/>
      <c r="V4683" s="317"/>
      <c r="W4683" s="317"/>
      <c r="X4683" s="317"/>
      <c r="Y4683" s="317"/>
      <c r="Z4683" s="317"/>
    </row>
    <row r="4684" spans="1:26" x14ac:dyDescent="0.25">
      <c r="A4684" s="314"/>
      <c r="B4684" s="18">
        <v>2023</v>
      </c>
      <c r="C4684" s="18" t="s">
        <v>732</v>
      </c>
      <c r="D4684" s="18" t="s">
        <v>1846</v>
      </c>
      <c r="E4684" s="18" t="s">
        <v>703</v>
      </c>
      <c r="F4684" s="18" t="s">
        <v>805</v>
      </c>
      <c r="G4684" s="18" t="s">
        <v>677</v>
      </c>
      <c r="H4684" s="18" t="s">
        <v>785</v>
      </c>
      <c r="I4684" s="315">
        <v>2.6197317754936791E-2</v>
      </c>
      <c r="J4684" s="315">
        <v>5.8535428281397462E-5</v>
      </c>
      <c r="K4684" s="316" t="str">
        <f t="shared" si="66"/>
        <v>Commercial Equipment</v>
      </c>
      <c r="L4684" s="316" t="str">
        <f t="shared" si="67"/>
        <v>Gasoline</v>
      </c>
      <c r="M4684" s="194"/>
      <c r="N4684" s="317"/>
      <c r="O4684" s="317"/>
      <c r="P4684" s="317"/>
      <c r="Q4684" s="317"/>
      <c r="R4684" s="317"/>
      <c r="S4684" s="317"/>
      <c r="T4684" s="317"/>
      <c r="U4684" s="317"/>
      <c r="V4684" s="317"/>
      <c r="W4684" s="317"/>
      <c r="X4684" s="317"/>
      <c r="Y4684" s="317"/>
      <c r="Z4684" s="317"/>
    </row>
    <row r="4685" spans="1:26" x14ac:dyDescent="0.25">
      <c r="A4685" s="314"/>
      <c r="B4685" s="18">
        <v>2023</v>
      </c>
      <c r="C4685" s="18" t="s">
        <v>760</v>
      </c>
      <c r="D4685" s="18" t="s">
        <v>1846</v>
      </c>
      <c r="E4685" s="18" t="s">
        <v>703</v>
      </c>
      <c r="F4685" s="18" t="s">
        <v>805</v>
      </c>
      <c r="G4685" s="18" t="s">
        <v>677</v>
      </c>
      <c r="H4685" s="18" t="s">
        <v>785</v>
      </c>
      <c r="I4685" s="315">
        <v>2.5189717698421078E-2</v>
      </c>
      <c r="J4685" s="315">
        <v>5.6283979574316644E-5</v>
      </c>
      <c r="K4685" s="316" t="str">
        <f t="shared" si="66"/>
        <v>Commercial Equipment</v>
      </c>
      <c r="L4685" s="316" t="str">
        <f t="shared" si="67"/>
        <v>Gasoline</v>
      </c>
      <c r="M4685" s="194"/>
      <c r="N4685" s="317"/>
      <c r="O4685" s="317"/>
      <c r="P4685" s="317"/>
      <c r="Q4685" s="317"/>
      <c r="R4685" s="317"/>
      <c r="S4685" s="317"/>
      <c r="T4685" s="317"/>
      <c r="U4685" s="317"/>
      <c r="V4685" s="317"/>
      <c r="W4685" s="317"/>
      <c r="X4685" s="317"/>
      <c r="Y4685" s="317"/>
      <c r="Z4685" s="317"/>
    </row>
    <row r="4686" spans="1:26" ht="12.75" x14ac:dyDescent="0.2">
      <c r="A4686" s="230"/>
      <c r="B4686" s="18">
        <v>2023</v>
      </c>
      <c r="C4686" s="18" t="s">
        <v>722</v>
      </c>
      <c r="D4686" s="18" t="s">
        <v>1844</v>
      </c>
      <c r="E4686" s="18" t="s">
        <v>56</v>
      </c>
      <c r="F4686" s="18" t="s">
        <v>601</v>
      </c>
      <c r="G4686" s="18" t="s">
        <v>678</v>
      </c>
      <c r="H4686" s="18" t="s">
        <v>1080</v>
      </c>
      <c r="I4686" s="315">
        <v>2.5017351457039663E-2</v>
      </c>
      <c r="J4686" s="315">
        <v>9.8528872350368791E-4</v>
      </c>
      <c r="K4686" s="316" t="str">
        <f t="shared" si="66"/>
        <v>Agricultural Equipment</v>
      </c>
      <c r="L4686" s="316" t="str">
        <f t="shared" si="67"/>
        <v>CNG</v>
      </c>
      <c r="M4686" s="8"/>
      <c r="N4686" s="2"/>
      <c r="O4686" s="2"/>
      <c r="P4686" s="2"/>
      <c r="Q4686" s="2"/>
      <c r="R4686" s="2"/>
      <c r="S4686" s="2"/>
      <c r="T4686" s="2"/>
      <c r="U4686" s="2"/>
      <c r="V4686" s="2"/>
      <c r="W4686" s="2"/>
      <c r="X4686" s="2"/>
      <c r="Y4686" s="2"/>
      <c r="Z4686" s="2"/>
    </row>
    <row r="4687" spans="1:26" x14ac:dyDescent="0.25">
      <c r="A4687" s="314"/>
      <c r="B4687" s="18">
        <v>2023</v>
      </c>
      <c r="C4687" s="18" t="s">
        <v>711</v>
      </c>
      <c r="D4687" s="18" t="s">
        <v>1842</v>
      </c>
      <c r="E4687" s="18" t="s">
        <v>713</v>
      </c>
      <c r="F4687" s="18" t="s">
        <v>714</v>
      </c>
      <c r="G4687" s="18" t="s">
        <v>678</v>
      </c>
      <c r="H4687" s="18" t="s">
        <v>1709</v>
      </c>
      <c r="I4687" s="315">
        <v>2.4910562754975125E-2</v>
      </c>
      <c r="J4687" s="315">
        <v>3.0822776119803287E-6</v>
      </c>
      <c r="K4687" s="316" t="str">
        <f t="shared" si="66"/>
        <v>Agricultural Equipment</v>
      </c>
      <c r="L4687" s="316" t="str">
        <f t="shared" si="67"/>
        <v>Diesel</v>
      </c>
      <c r="M4687" s="194"/>
      <c r="N4687" s="317"/>
      <c r="O4687" s="317"/>
      <c r="P4687" s="317"/>
      <c r="Q4687" s="317"/>
      <c r="R4687" s="317"/>
      <c r="S4687" s="317"/>
      <c r="T4687" s="317"/>
      <c r="U4687" s="317"/>
      <c r="V4687" s="317"/>
      <c r="W4687" s="317"/>
      <c r="X4687" s="317"/>
      <c r="Y4687" s="317"/>
      <c r="Z4687" s="317"/>
    </row>
    <row r="4688" spans="1:26" x14ac:dyDescent="0.25">
      <c r="A4688" s="314"/>
      <c r="B4688" s="18">
        <v>2023</v>
      </c>
      <c r="C4688" s="18" t="s">
        <v>711</v>
      </c>
      <c r="D4688" s="18" t="s">
        <v>1843</v>
      </c>
      <c r="E4688" s="18" t="s">
        <v>56</v>
      </c>
      <c r="F4688" s="18" t="s">
        <v>672</v>
      </c>
      <c r="G4688" s="18" t="s">
        <v>678</v>
      </c>
      <c r="H4688" s="18" t="s">
        <v>1154</v>
      </c>
      <c r="I4688" s="315">
        <v>2.4868274624354762E-2</v>
      </c>
      <c r="J4688" s="315">
        <v>1.1412666335026727E-6</v>
      </c>
      <c r="K4688" s="316" t="str">
        <f t="shared" si="66"/>
        <v>Agricultural Equipment</v>
      </c>
      <c r="L4688" s="316" t="str">
        <f t="shared" si="67"/>
        <v>LPG</v>
      </c>
      <c r="M4688" s="194"/>
      <c r="N4688" s="317"/>
      <c r="O4688" s="317"/>
      <c r="P4688" s="317"/>
      <c r="Q4688" s="317"/>
      <c r="R4688" s="317"/>
      <c r="S4688" s="317"/>
      <c r="T4688" s="317"/>
      <c r="U4688" s="317"/>
      <c r="V4688" s="317"/>
      <c r="W4688" s="317"/>
      <c r="X4688" s="317"/>
      <c r="Y4688" s="317"/>
      <c r="Z4688" s="317"/>
    </row>
    <row r="4689" spans="1:26" x14ac:dyDescent="0.25">
      <c r="A4689" s="314"/>
      <c r="B4689" s="18">
        <v>2023</v>
      </c>
      <c r="C4689" s="18" t="s">
        <v>792</v>
      </c>
      <c r="D4689" s="18" t="s">
        <v>1825</v>
      </c>
      <c r="E4689" s="18" t="s">
        <v>56</v>
      </c>
      <c r="F4689" s="18" t="s">
        <v>601</v>
      </c>
      <c r="G4689" s="18" t="s">
        <v>674</v>
      </c>
      <c r="H4689" s="18" t="s">
        <v>859</v>
      </c>
      <c r="I4689" s="315">
        <v>2.4585865890614358E-2</v>
      </c>
      <c r="J4689" s="315">
        <v>5.2825863129443219E-4</v>
      </c>
      <c r="K4689" s="316" t="str">
        <f t="shared" si="66"/>
        <v>Construction and Mining Equipment</v>
      </c>
      <c r="L4689" s="316" t="str">
        <f t="shared" si="67"/>
        <v>CNG</v>
      </c>
      <c r="M4689" s="194"/>
      <c r="N4689" s="317"/>
      <c r="O4689" s="317"/>
      <c r="P4689" s="317"/>
      <c r="Q4689" s="317"/>
      <c r="R4689" s="317"/>
      <c r="S4689" s="317"/>
      <c r="T4689" s="317"/>
      <c r="U4689" s="317"/>
      <c r="V4689" s="317"/>
      <c r="W4689" s="317"/>
      <c r="X4689" s="317"/>
      <c r="Y4689" s="317"/>
      <c r="Z4689" s="317"/>
    </row>
    <row r="4690" spans="1:26" x14ac:dyDescent="0.25">
      <c r="A4690" s="314"/>
      <c r="B4690" s="18">
        <v>2023</v>
      </c>
      <c r="C4690" s="18" t="s">
        <v>759</v>
      </c>
      <c r="D4690" s="18" t="s">
        <v>1717</v>
      </c>
      <c r="E4690" s="18" t="s">
        <v>56</v>
      </c>
      <c r="F4690" s="18" t="s">
        <v>601</v>
      </c>
      <c r="G4690" s="18" t="s">
        <v>675</v>
      </c>
      <c r="H4690" s="18" t="s">
        <v>802</v>
      </c>
      <c r="I4690" s="315">
        <v>2.4488787562439135E-2</v>
      </c>
      <c r="J4690" s="315">
        <v>9.7577827229082575E-5</v>
      </c>
      <c r="K4690" s="316" t="str">
        <f t="shared" si="66"/>
        <v>Industrial Equipment</v>
      </c>
      <c r="L4690" s="316" t="str">
        <f t="shared" si="67"/>
        <v>CNG</v>
      </c>
      <c r="M4690" s="194"/>
      <c r="N4690" s="317"/>
      <c r="O4690" s="317"/>
      <c r="P4690" s="317"/>
      <c r="Q4690" s="317"/>
      <c r="R4690" s="317"/>
      <c r="S4690" s="317"/>
      <c r="T4690" s="317"/>
      <c r="U4690" s="317"/>
      <c r="V4690" s="317"/>
      <c r="W4690" s="317"/>
      <c r="X4690" s="317"/>
      <c r="Y4690" s="317"/>
      <c r="Z4690" s="317"/>
    </row>
    <row r="4691" spans="1:26" x14ac:dyDescent="0.25">
      <c r="A4691" s="314"/>
      <c r="B4691" s="18">
        <v>2023</v>
      </c>
      <c r="C4691" s="18" t="s">
        <v>706</v>
      </c>
      <c r="D4691" s="18" t="s">
        <v>1847</v>
      </c>
      <c r="E4691" s="18" t="s">
        <v>56</v>
      </c>
      <c r="F4691" s="18" t="s">
        <v>672</v>
      </c>
      <c r="G4691" s="18" t="s">
        <v>678</v>
      </c>
      <c r="H4691" s="18" t="s">
        <v>1080</v>
      </c>
      <c r="I4691" s="315">
        <v>2.3993800833615998E-2</v>
      </c>
      <c r="J4691" s="315">
        <v>1.0609840456986143E-5</v>
      </c>
      <c r="K4691" s="316" t="str">
        <f t="shared" si="66"/>
        <v>Agricultural Equipment</v>
      </c>
      <c r="L4691" s="316" t="str">
        <f t="shared" si="67"/>
        <v>LPG</v>
      </c>
      <c r="M4691" s="194"/>
      <c r="N4691" s="317"/>
      <c r="O4691" s="317"/>
      <c r="P4691" s="317"/>
      <c r="Q4691" s="317"/>
      <c r="R4691" s="317"/>
      <c r="S4691" s="317"/>
      <c r="T4691" s="317"/>
      <c r="U4691" s="317"/>
      <c r="V4691" s="317"/>
      <c r="W4691" s="317"/>
      <c r="X4691" s="317"/>
      <c r="Y4691" s="317"/>
      <c r="Z4691" s="317"/>
    </row>
    <row r="4692" spans="1:26" x14ac:dyDescent="0.25">
      <c r="A4692" s="314"/>
      <c r="B4692" s="18">
        <v>2023</v>
      </c>
      <c r="C4692" s="18" t="s">
        <v>722</v>
      </c>
      <c r="D4692" s="18" t="s">
        <v>1845</v>
      </c>
      <c r="E4692" s="18" t="s">
        <v>713</v>
      </c>
      <c r="F4692" s="18" t="s">
        <v>714</v>
      </c>
      <c r="G4692" s="18" t="s">
        <v>678</v>
      </c>
      <c r="H4692" s="18" t="s">
        <v>1279</v>
      </c>
      <c r="I4692" s="315">
        <v>2.38851901719297E-2</v>
      </c>
      <c r="J4692" s="315">
        <v>1.3926054991869378E-7</v>
      </c>
      <c r="K4692" s="316" t="str">
        <f t="shared" si="66"/>
        <v>Agricultural Equipment</v>
      </c>
      <c r="L4692" s="316" t="str">
        <f t="shared" si="67"/>
        <v>Diesel</v>
      </c>
      <c r="M4692" s="194"/>
      <c r="N4692" s="317"/>
      <c r="O4692" s="317"/>
      <c r="P4692" s="317"/>
      <c r="Q4692" s="317"/>
      <c r="R4692" s="317"/>
      <c r="S4692" s="317"/>
      <c r="T4692" s="317"/>
      <c r="U4692" s="317"/>
      <c r="V4692" s="317"/>
      <c r="W4692" s="317"/>
      <c r="X4692" s="317"/>
      <c r="Y4692" s="317"/>
      <c r="Z4692" s="317"/>
    </row>
    <row r="4693" spans="1:26" x14ac:dyDescent="0.25">
      <c r="A4693" s="314"/>
      <c r="B4693" s="18">
        <v>2023</v>
      </c>
      <c r="C4693" s="18" t="s">
        <v>787</v>
      </c>
      <c r="D4693" s="18" t="s">
        <v>1849</v>
      </c>
      <c r="E4693" s="18" t="s">
        <v>703</v>
      </c>
      <c r="F4693" s="18" t="s">
        <v>704</v>
      </c>
      <c r="G4693" s="18" t="s">
        <v>678</v>
      </c>
      <c r="H4693" s="18" t="s">
        <v>972</v>
      </c>
      <c r="I4693" s="315">
        <v>2.3744462485193081E-2</v>
      </c>
      <c r="J4693" s="315">
        <v>1.4093450834728331E-5</v>
      </c>
      <c r="K4693" s="316" t="str">
        <f t="shared" si="66"/>
        <v>Agricultural Equipment</v>
      </c>
      <c r="L4693" s="316" t="str">
        <f t="shared" si="67"/>
        <v>Gasoline</v>
      </c>
      <c r="M4693" s="194"/>
      <c r="N4693" s="317"/>
      <c r="O4693" s="317"/>
      <c r="P4693" s="317"/>
      <c r="Q4693" s="317"/>
      <c r="R4693" s="317"/>
      <c r="S4693" s="317"/>
      <c r="T4693" s="317"/>
      <c r="U4693" s="317"/>
      <c r="V4693" s="317"/>
      <c r="W4693" s="317"/>
      <c r="X4693" s="317"/>
      <c r="Y4693" s="317"/>
      <c r="Z4693" s="317"/>
    </row>
    <row r="4694" spans="1:26" x14ac:dyDescent="0.25">
      <c r="A4694" s="314"/>
      <c r="B4694" s="18">
        <v>2023</v>
      </c>
      <c r="C4694" s="18" t="s">
        <v>787</v>
      </c>
      <c r="D4694" s="18" t="s">
        <v>1792</v>
      </c>
      <c r="E4694" s="18" t="s">
        <v>713</v>
      </c>
      <c r="F4694" s="18" t="s">
        <v>714</v>
      </c>
      <c r="G4694" s="18" t="s">
        <v>673</v>
      </c>
      <c r="H4694" s="18" t="s">
        <v>749</v>
      </c>
      <c r="I4694" s="315">
        <v>2.3301679428353719E-2</v>
      </c>
      <c r="J4694" s="315">
        <v>1.2032511540368648E-6</v>
      </c>
      <c r="K4694" s="316" t="str">
        <f t="shared" si="66"/>
        <v>Lawn and Garden Equipment</v>
      </c>
      <c r="L4694" s="316" t="str">
        <f t="shared" si="67"/>
        <v>Diesel</v>
      </c>
      <c r="M4694" s="194"/>
      <c r="N4694" s="317"/>
      <c r="O4694" s="317"/>
      <c r="P4694" s="317"/>
      <c r="Q4694" s="317"/>
      <c r="R4694" s="317"/>
      <c r="S4694" s="317"/>
      <c r="T4694" s="317"/>
      <c r="U4694" s="317"/>
      <c r="V4694" s="317"/>
      <c r="W4694" s="317"/>
      <c r="X4694" s="317"/>
      <c r="Y4694" s="317"/>
      <c r="Z4694" s="317"/>
    </row>
    <row r="4695" spans="1:26" x14ac:dyDescent="0.25">
      <c r="A4695" s="314"/>
      <c r="B4695" s="18">
        <v>2023</v>
      </c>
      <c r="C4695" s="18" t="s">
        <v>810</v>
      </c>
      <c r="D4695" s="18" t="s">
        <v>1847</v>
      </c>
      <c r="E4695" s="18" t="s">
        <v>56</v>
      </c>
      <c r="F4695" s="18" t="s">
        <v>672</v>
      </c>
      <c r="G4695" s="18" t="s">
        <v>678</v>
      </c>
      <c r="H4695" s="18" t="s">
        <v>1080</v>
      </c>
      <c r="I4695" s="315">
        <v>2.3146710342995338E-2</v>
      </c>
      <c r="J4695" s="315">
        <v>1.0235283428881481E-5</v>
      </c>
      <c r="K4695" s="316" t="str">
        <f t="shared" si="66"/>
        <v>Agricultural Equipment</v>
      </c>
      <c r="L4695" s="316" t="str">
        <f t="shared" si="67"/>
        <v>LPG</v>
      </c>
      <c r="M4695" s="194"/>
      <c r="N4695" s="317"/>
      <c r="O4695" s="317"/>
      <c r="P4695" s="317"/>
      <c r="Q4695" s="317"/>
      <c r="R4695" s="317"/>
      <c r="S4695" s="317"/>
      <c r="T4695" s="317"/>
      <c r="U4695" s="317"/>
      <c r="V4695" s="317"/>
      <c r="W4695" s="317"/>
      <c r="X4695" s="317"/>
      <c r="Y4695" s="317"/>
      <c r="Z4695" s="317"/>
    </row>
    <row r="4696" spans="1:26" x14ac:dyDescent="0.25">
      <c r="A4696" s="314"/>
      <c r="B4696" s="18">
        <v>2023</v>
      </c>
      <c r="C4696" s="18" t="s">
        <v>709</v>
      </c>
      <c r="D4696" s="18" t="s">
        <v>1842</v>
      </c>
      <c r="E4696" s="18" t="s">
        <v>713</v>
      </c>
      <c r="F4696" s="18" t="s">
        <v>714</v>
      </c>
      <c r="G4696" s="18" t="s">
        <v>678</v>
      </c>
      <c r="H4696" s="18" t="s">
        <v>1709</v>
      </c>
      <c r="I4696" s="315">
        <v>2.2857296939117262E-2</v>
      </c>
      <c r="J4696" s="315">
        <v>2.8282203748551923E-6</v>
      </c>
      <c r="K4696" s="316" t="str">
        <f t="shared" si="66"/>
        <v>Agricultural Equipment</v>
      </c>
      <c r="L4696" s="316" t="str">
        <f t="shared" si="67"/>
        <v>Diesel</v>
      </c>
      <c r="M4696" s="194"/>
      <c r="N4696" s="317"/>
      <c r="O4696" s="317"/>
      <c r="P4696" s="317"/>
      <c r="Q4696" s="317"/>
      <c r="R4696" s="317"/>
      <c r="S4696" s="317"/>
      <c r="T4696" s="317"/>
      <c r="U4696" s="317"/>
      <c r="V4696" s="317"/>
      <c r="W4696" s="317"/>
      <c r="X4696" s="317"/>
      <c r="Y4696" s="317"/>
      <c r="Z4696" s="317"/>
    </row>
    <row r="4697" spans="1:26" x14ac:dyDescent="0.25">
      <c r="A4697" s="314"/>
      <c r="B4697" s="18">
        <v>2023</v>
      </c>
      <c r="C4697" s="18" t="s">
        <v>711</v>
      </c>
      <c r="D4697" s="18" t="s">
        <v>1844</v>
      </c>
      <c r="E4697" s="18" t="s">
        <v>56</v>
      </c>
      <c r="F4697" s="18" t="s">
        <v>601</v>
      </c>
      <c r="G4697" s="18" t="s">
        <v>678</v>
      </c>
      <c r="H4697" s="18" t="s">
        <v>1080</v>
      </c>
      <c r="I4697" s="315">
        <v>2.2828759311511224E-2</v>
      </c>
      <c r="J4697" s="315">
        <v>8.990914293561243E-4</v>
      </c>
      <c r="K4697" s="316" t="str">
        <f t="shared" si="66"/>
        <v>Agricultural Equipment</v>
      </c>
      <c r="L4697" s="316" t="str">
        <f t="shared" si="67"/>
        <v>CNG</v>
      </c>
      <c r="M4697" s="194"/>
      <c r="N4697" s="317"/>
      <c r="O4697" s="317"/>
      <c r="P4697" s="317"/>
      <c r="Q4697" s="317"/>
      <c r="R4697" s="317"/>
      <c r="S4697" s="317"/>
      <c r="T4697" s="317"/>
      <c r="U4697" s="317"/>
      <c r="V4697" s="317"/>
      <c r="W4697" s="317"/>
      <c r="X4697" s="317"/>
      <c r="Y4697" s="317"/>
      <c r="Z4697" s="317"/>
    </row>
    <row r="4698" spans="1:26" x14ac:dyDescent="0.25">
      <c r="A4698" s="314"/>
      <c r="B4698" s="18">
        <v>2023</v>
      </c>
      <c r="C4698" s="18" t="s">
        <v>709</v>
      </c>
      <c r="D4698" s="18" t="s">
        <v>1843</v>
      </c>
      <c r="E4698" s="18" t="s">
        <v>56</v>
      </c>
      <c r="F4698" s="18" t="s">
        <v>672</v>
      </c>
      <c r="G4698" s="18" t="s">
        <v>678</v>
      </c>
      <c r="H4698" s="18" t="s">
        <v>1154</v>
      </c>
      <c r="I4698" s="315">
        <v>2.2818465962852939E-2</v>
      </c>
      <c r="J4698" s="315">
        <v>1.0471976490098689E-6</v>
      </c>
      <c r="K4698" s="316" t="str">
        <f t="shared" si="66"/>
        <v>Agricultural Equipment</v>
      </c>
      <c r="L4698" s="316" t="str">
        <f t="shared" si="67"/>
        <v>LPG</v>
      </c>
      <c r="M4698" s="194"/>
      <c r="N4698" s="317"/>
      <c r="O4698" s="317"/>
      <c r="P4698" s="317"/>
      <c r="Q4698" s="317"/>
      <c r="R4698" s="317"/>
      <c r="S4698" s="317"/>
      <c r="T4698" s="317"/>
      <c r="U4698" s="317"/>
      <c r="V4698" s="317"/>
      <c r="W4698" s="317"/>
      <c r="X4698" s="317"/>
      <c r="Y4698" s="317"/>
      <c r="Z4698" s="317"/>
    </row>
    <row r="4699" spans="1:26" x14ac:dyDescent="0.25">
      <c r="A4699" s="314"/>
      <c r="B4699" s="18">
        <v>2023</v>
      </c>
      <c r="C4699" s="18" t="s">
        <v>731</v>
      </c>
      <c r="D4699" s="18" t="s">
        <v>1825</v>
      </c>
      <c r="E4699" s="18" t="s">
        <v>56</v>
      </c>
      <c r="F4699" s="18" t="s">
        <v>601</v>
      </c>
      <c r="G4699" s="18" t="s">
        <v>674</v>
      </c>
      <c r="H4699" s="18" t="s">
        <v>859</v>
      </c>
      <c r="I4699" s="315">
        <v>2.2816359888234796E-2</v>
      </c>
      <c r="J4699" s="315">
        <v>4.9023851469891884E-4</v>
      </c>
      <c r="K4699" s="316" t="str">
        <f t="shared" si="66"/>
        <v>Construction and Mining Equipment</v>
      </c>
      <c r="L4699" s="316" t="str">
        <f t="shared" si="67"/>
        <v>CNG</v>
      </c>
      <c r="M4699" s="194"/>
      <c r="N4699" s="317"/>
      <c r="O4699" s="317"/>
      <c r="P4699" s="317"/>
      <c r="Q4699" s="317"/>
      <c r="R4699" s="317"/>
      <c r="S4699" s="317"/>
      <c r="T4699" s="317"/>
      <c r="U4699" s="317"/>
      <c r="V4699" s="317"/>
      <c r="W4699" s="317"/>
      <c r="X4699" s="317"/>
      <c r="Y4699" s="317"/>
      <c r="Z4699" s="317"/>
    </row>
    <row r="4700" spans="1:26" x14ac:dyDescent="0.25">
      <c r="A4700" s="314"/>
      <c r="B4700" s="18">
        <v>2023</v>
      </c>
      <c r="C4700" s="18" t="s">
        <v>786</v>
      </c>
      <c r="D4700" s="18" t="s">
        <v>1825</v>
      </c>
      <c r="E4700" s="18" t="s">
        <v>56</v>
      </c>
      <c r="F4700" s="18" t="s">
        <v>601</v>
      </c>
      <c r="G4700" s="18" t="s">
        <v>674</v>
      </c>
      <c r="H4700" s="18" t="s">
        <v>859</v>
      </c>
      <c r="I4700" s="315">
        <v>2.2660957112396178E-2</v>
      </c>
      <c r="J4700" s="315">
        <v>4.868992082373352E-4</v>
      </c>
      <c r="K4700" s="316" t="str">
        <f t="shared" si="66"/>
        <v>Construction and Mining Equipment</v>
      </c>
      <c r="L4700" s="316" t="str">
        <f t="shared" si="67"/>
        <v>CNG</v>
      </c>
      <c r="M4700" s="194"/>
      <c r="N4700" s="317"/>
      <c r="O4700" s="317"/>
      <c r="P4700" s="317"/>
      <c r="Q4700" s="317"/>
      <c r="R4700" s="317"/>
      <c r="S4700" s="317"/>
      <c r="T4700" s="317"/>
      <c r="U4700" s="317"/>
      <c r="V4700" s="317"/>
      <c r="W4700" s="317"/>
      <c r="X4700" s="317"/>
      <c r="Y4700" s="317"/>
      <c r="Z4700" s="317"/>
    </row>
    <row r="4701" spans="1:26" x14ac:dyDescent="0.25">
      <c r="A4701" s="314"/>
      <c r="B4701" s="18">
        <v>2023</v>
      </c>
      <c r="C4701" s="18" t="s">
        <v>760</v>
      </c>
      <c r="D4701" s="18" t="s">
        <v>1849</v>
      </c>
      <c r="E4701" s="18" t="s">
        <v>703</v>
      </c>
      <c r="F4701" s="18" t="s">
        <v>704</v>
      </c>
      <c r="G4701" s="18" t="s">
        <v>678</v>
      </c>
      <c r="H4701" s="18" t="s">
        <v>972</v>
      </c>
      <c r="I4701" s="315">
        <v>2.2243194732883879E-2</v>
      </c>
      <c r="J4701" s="315">
        <v>1.3199301708201154E-5</v>
      </c>
      <c r="K4701" s="316" t="str">
        <f t="shared" si="66"/>
        <v>Agricultural Equipment</v>
      </c>
      <c r="L4701" s="316" t="str">
        <f t="shared" si="67"/>
        <v>Gasoline</v>
      </c>
      <c r="M4701" s="194"/>
      <c r="N4701" s="317"/>
      <c r="O4701" s="317"/>
      <c r="P4701" s="317"/>
      <c r="Q4701" s="317"/>
      <c r="R4701" s="317"/>
      <c r="S4701" s="317"/>
      <c r="T4701" s="317"/>
      <c r="U4701" s="317"/>
      <c r="V4701" s="317"/>
      <c r="W4701" s="317"/>
      <c r="X4701" s="317"/>
      <c r="Y4701" s="317"/>
      <c r="Z4701" s="317"/>
    </row>
    <row r="4702" spans="1:26" x14ac:dyDescent="0.25">
      <c r="A4702" s="314"/>
      <c r="B4702" s="18">
        <v>2023</v>
      </c>
      <c r="C4702" s="18" t="s">
        <v>759</v>
      </c>
      <c r="D4702" s="18" t="s">
        <v>1730</v>
      </c>
      <c r="E4702" s="18" t="s">
        <v>703</v>
      </c>
      <c r="F4702" s="18" t="s">
        <v>805</v>
      </c>
      <c r="G4702" s="18" t="s">
        <v>674</v>
      </c>
      <c r="H4702" s="18" t="s">
        <v>959</v>
      </c>
      <c r="I4702" s="315">
        <v>2.1850427545342208E-2</v>
      </c>
      <c r="J4702" s="315">
        <v>4.8822683093222558E-5</v>
      </c>
      <c r="K4702" s="316" t="str">
        <f t="shared" si="66"/>
        <v>Construction and Mining Equipment</v>
      </c>
      <c r="L4702" s="316" t="str">
        <f t="shared" si="67"/>
        <v>Gasoline</v>
      </c>
      <c r="M4702" s="194"/>
      <c r="N4702" s="317"/>
      <c r="O4702" s="317"/>
      <c r="P4702" s="317"/>
      <c r="Q4702" s="317"/>
      <c r="R4702" s="317"/>
      <c r="S4702" s="317"/>
      <c r="T4702" s="317"/>
      <c r="U4702" s="317"/>
      <c r="V4702" s="317"/>
      <c r="W4702" s="317"/>
      <c r="X4702" s="317"/>
      <c r="Y4702" s="317"/>
      <c r="Z4702" s="317"/>
    </row>
    <row r="4703" spans="1:26" x14ac:dyDescent="0.25">
      <c r="A4703" s="314"/>
      <c r="B4703" s="18">
        <v>2023</v>
      </c>
      <c r="C4703" s="18" t="s">
        <v>711</v>
      </c>
      <c r="D4703" s="18" t="s">
        <v>1845</v>
      </c>
      <c r="E4703" s="18" t="s">
        <v>713</v>
      </c>
      <c r="F4703" s="18" t="s">
        <v>714</v>
      </c>
      <c r="G4703" s="18" t="s">
        <v>678</v>
      </c>
      <c r="H4703" s="18" t="s">
        <v>1279</v>
      </c>
      <c r="I4703" s="315">
        <v>2.1795606888986154E-2</v>
      </c>
      <c r="J4703" s="315">
        <v>1.2707766115039603E-7</v>
      </c>
      <c r="K4703" s="316" t="str">
        <f t="shared" si="66"/>
        <v>Agricultural Equipment</v>
      </c>
      <c r="L4703" s="316" t="str">
        <f t="shared" si="67"/>
        <v>Diesel</v>
      </c>
      <c r="M4703" s="194"/>
      <c r="N4703" s="317"/>
      <c r="O4703" s="317"/>
      <c r="P4703" s="317"/>
      <c r="Q4703" s="317"/>
      <c r="R4703" s="317"/>
      <c r="S4703" s="317"/>
      <c r="T4703" s="317"/>
      <c r="U4703" s="317"/>
      <c r="V4703" s="317"/>
      <c r="W4703" s="317"/>
      <c r="X4703" s="317"/>
      <c r="Y4703" s="317"/>
      <c r="Z4703" s="317"/>
    </row>
    <row r="4704" spans="1:26" x14ac:dyDescent="0.25">
      <c r="A4704" s="314"/>
      <c r="B4704" s="18">
        <v>2023</v>
      </c>
      <c r="C4704" s="18" t="s">
        <v>759</v>
      </c>
      <c r="D4704" s="18" t="s">
        <v>1847</v>
      </c>
      <c r="E4704" s="18" t="s">
        <v>56</v>
      </c>
      <c r="F4704" s="18" t="s">
        <v>672</v>
      </c>
      <c r="G4704" s="18" t="s">
        <v>678</v>
      </c>
      <c r="H4704" s="18" t="s">
        <v>1080</v>
      </c>
      <c r="I4704" s="315">
        <v>2.1685725647248945E-2</v>
      </c>
      <c r="J4704" s="315">
        <v>9.5892363243263623E-6</v>
      </c>
      <c r="K4704" s="316" t="str">
        <f t="shared" si="66"/>
        <v>Agricultural Equipment</v>
      </c>
      <c r="L4704" s="316" t="str">
        <f t="shared" si="67"/>
        <v>LPG</v>
      </c>
      <c r="M4704" s="194"/>
      <c r="N4704" s="317"/>
      <c r="O4704" s="317"/>
      <c r="P4704" s="317"/>
      <c r="Q4704" s="317"/>
      <c r="R4704" s="317"/>
      <c r="S4704" s="317"/>
      <c r="T4704" s="317"/>
      <c r="U4704" s="317"/>
      <c r="V4704" s="317"/>
      <c r="W4704" s="317"/>
      <c r="X4704" s="317"/>
      <c r="Y4704" s="317"/>
      <c r="Z4704" s="317"/>
    </row>
    <row r="4705" spans="1:26" x14ac:dyDescent="0.25">
      <c r="A4705" s="314"/>
      <c r="B4705" s="18">
        <v>2023</v>
      </c>
      <c r="C4705" s="18" t="s">
        <v>701</v>
      </c>
      <c r="D4705" s="18" t="s">
        <v>1849</v>
      </c>
      <c r="E4705" s="18" t="s">
        <v>703</v>
      </c>
      <c r="F4705" s="18" t="s">
        <v>704</v>
      </c>
      <c r="G4705" s="18" t="s">
        <v>678</v>
      </c>
      <c r="H4705" s="18" t="s">
        <v>972</v>
      </c>
      <c r="I4705" s="315">
        <v>2.1609064632278314E-2</v>
      </c>
      <c r="J4705" s="315">
        <v>1.2821376904246933E-5</v>
      </c>
      <c r="K4705" s="316" t="str">
        <f t="shared" si="66"/>
        <v>Agricultural Equipment</v>
      </c>
      <c r="L4705" s="316" t="str">
        <f t="shared" si="67"/>
        <v>Gasoline</v>
      </c>
      <c r="M4705" s="194"/>
      <c r="N4705" s="317"/>
      <c r="O4705" s="317"/>
      <c r="P4705" s="317"/>
      <c r="Q4705" s="317"/>
      <c r="R4705" s="317"/>
      <c r="S4705" s="317"/>
      <c r="T4705" s="317"/>
      <c r="U4705" s="317"/>
      <c r="V4705" s="317"/>
      <c r="W4705" s="317"/>
      <c r="X4705" s="317"/>
      <c r="Y4705" s="317"/>
      <c r="Z4705" s="317"/>
    </row>
    <row r="4706" spans="1:26" x14ac:dyDescent="0.25">
      <c r="A4706" s="314"/>
      <c r="B4706" s="18">
        <v>2023</v>
      </c>
      <c r="C4706" s="18" t="s">
        <v>778</v>
      </c>
      <c r="D4706" s="18" t="s">
        <v>1841</v>
      </c>
      <c r="E4706" s="18" t="s">
        <v>703</v>
      </c>
      <c r="F4706" s="18" t="s">
        <v>805</v>
      </c>
      <c r="G4706" s="18" t="s">
        <v>675</v>
      </c>
      <c r="H4706" s="18" t="s">
        <v>798</v>
      </c>
      <c r="I4706" s="315">
        <v>2.1326320125313783E-2</v>
      </c>
      <c r="J4706" s="315">
        <v>4.765172723445997E-5</v>
      </c>
      <c r="K4706" s="316" t="str">
        <f t="shared" si="66"/>
        <v>Industrial Equipment</v>
      </c>
      <c r="L4706" s="316" t="str">
        <f t="shared" si="67"/>
        <v>Gasoline</v>
      </c>
      <c r="M4706" s="194"/>
      <c r="N4706" s="317"/>
      <c r="O4706" s="317"/>
      <c r="P4706" s="317"/>
      <c r="Q4706" s="317"/>
      <c r="R4706" s="317"/>
      <c r="S4706" s="317"/>
      <c r="T4706" s="317"/>
      <c r="U4706" s="317"/>
      <c r="V4706" s="317"/>
      <c r="W4706" s="317"/>
      <c r="X4706" s="317"/>
      <c r="Y4706" s="317"/>
      <c r="Z4706" s="317"/>
    </row>
    <row r="4707" spans="1:26" x14ac:dyDescent="0.25">
      <c r="A4707" s="314"/>
      <c r="B4707" s="18">
        <v>2023</v>
      </c>
      <c r="C4707" s="18" t="s">
        <v>792</v>
      </c>
      <c r="D4707" s="18" t="s">
        <v>1833</v>
      </c>
      <c r="E4707" s="18" t="s">
        <v>703</v>
      </c>
      <c r="F4707" s="18" t="s">
        <v>704</v>
      </c>
      <c r="G4707" s="18" t="s">
        <v>674</v>
      </c>
      <c r="H4707" s="18" t="s">
        <v>1082</v>
      </c>
      <c r="I4707" s="315">
        <v>2.1306484906985265E-2</v>
      </c>
      <c r="J4707" s="315">
        <v>1.3914687090807167E-5</v>
      </c>
      <c r="K4707" s="316" t="str">
        <f t="shared" si="66"/>
        <v>Construction and Mining Equipment</v>
      </c>
      <c r="L4707" s="316" t="str">
        <f t="shared" si="67"/>
        <v>Gasoline</v>
      </c>
      <c r="M4707" s="194"/>
      <c r="N4707" s="317"/>
      <c r="O4707" s="317"/>
      <c r="P4707" s="317"/>
      <c r="Q4707" s="317"/>
      <c r="R4707" s="317"/>
      <c r="S4707" s="317"/>
      <c r="T4707" s="317"/>
      <c r="U4707" s="317"/>
      <c r="V4707" s="317"/>
      <c r="W4707" s="317"/>
      <c r="X4707" s="317"/>
      <c r="Y4707" s="317"/>
      <c r="Z4707" s="317"/>
    </row>
    <row r="4708" spans="1:26" x14ac:dyDescent="0.25">
      <c r="A4708" s="314"/>
      <c r="B4708" s="18">
        <v>2023</v>
      </c>
      <c r="C4708" s="18" t="s">
        <v>750</v>
      </c>
      <c r="D4708" s="18" t="s">
        <v>1847</v>
      </c>
      <c r="E4708" s="18" t="s">
        <v>56</v>
      </c>
      <c r="F4708" s="18" t="s">
        <v>672</v>
      </c>
      <c r="G4708" s="18" t="s">
        <v>678</v>
      </c>
      <c r="H4708" s="18" t="s">
        <v>1080</v>
      </c>
      <c r="I4708" s="315">
        <v>2.1275592006900119E-2</v>
      </c>
      <c r="J4708" s="315">
        <v>9.4078831408213014E-6</v>
      </c>
      <c r="K4708" s="316" t="str">
        <f t="shared" si="66"/>
        <v>Agricultural Equipment</v>
      </c>
      <c r="L4708" s="316" t="str">
        <f t="shared" si="67"/>
        <v>LPG</v>
      </c>
      <c r="M4708" s="194"/>
      <c r="N4708" s="317"/>
      <c r="O4708" s="317"/>
      <c r="P4708" s="317"/>
      <c r="Q4708" s="317"/>
      <c r="R4708" s="317"/>
      <c r="S4708" s="317"/>
      <c r="T4708" s="317"/>
      <c r="U4708" s="317"/>
      <c r="V4708" s="317"/>
      <c r="W4708" s="317"/>
      <c r="X4708" s="317"/>
      <c r="Y4708" s="317"/>
      <c r="Z4708" s="317"/>
    </row>
    <row r="4709" spans="1:26" x14ac:dyDescent="0.25">
      <c r="A4709" s="314"/>
      <c r="B4709" s="18">
        <v>2023</v>
      </c>
      <c r="C4709" s="18" t="s">
        <v>709</v>
      </c>
      <c r="D4709" s="18" t="s">
        <v>1844</v>
      </c>
      <c r="E4709" s="18" t="s">
        <v>56</v>
      </c>
      <c r="F4709" s="18" t="s">
        <v>601</v>
      </c>
      <c r="G4709" s="18" t="s">
        <v>678</v>
      </c>
      <c r="H4709" s="18" t="s">
        <v>1080</v>
      </c>
      <c r="I4709" s="315">
        <v>2.0947091707755546E-2</v>
      </c>
      <c r="J4709" s="315">
        <v>8.2498331371838043E-4</v>
      </c>
      <c r="K4709" s="316" t="str">
        <f t="shared" si="66"/>
        <v>Agricultural Equipment</v>
      </c>
      <c r="L4709" s="316" t="str">
        <f t="shared" si="67"/>
        <v>CNG</v>
      </c>
      <c r="M4709" s="194"/>
      <c r="N4709" s="317"/>
      <c r="O4709" s="317"/>
      <c r="P4709" s="317"/>
      <c r="Q4709" s="317"/>
      <c r="R4709" s="317"/>
      <c r="S4709" s="317"/>
      <c r="T4709" s="317"/>
      <c r="U4709" s="317"/>
      <c r="V4709" s="317"/>
      <c r="W4709" s="317"/>
      <c r="X4709" s="317"/>
      <c r="Y4709" s="317"/>
      <c r="Z4709" s="317"/>
    </row>
    <row r="4710" spans="1:26" x14ac:dyDescent="0.25">
      <c r="A4710" s="314"/>
      <c r="B4710" s="18">
        <v>2023</v>
      </c>
      <c r="C4710" s="18" t="s">
        <v>727</v>
      </c>
      <c r="D4710" s="18" t="s">
        <v>1841</v>
      </c>
      <c r="E4710" s="18" t="s">
        <v>703</v>
      </c>
      <c r="F4710" s="18" t="s">
        <v>805</v>
      </c>
      <c r="G4710" s="18" t="s">
        <v>675</v>
      </c>
      <c r="H4710" s="18" t="s">
        <v>798</v>
      </c>
      <c r="I4710" s="315">
        <v>2.0084091617283001E-2</v>
      </c>
      <c r="J4710" s="315">
        <v>4.487591812191616E-5</v>
      </c>
      <c r="K4710" s="316" t="str">
        <f t="shared" si="66"/>
        <v>Industrial Equipment</v>
      </c>
      <c r="L4710" s="316" t="str">
        <f t="shared" si="67"/>
        <v>Gasoline</v>
      </c>
      <c r="M4710" s="194"/>
      <c r="N4710" s="317"/>
      <c r="O4710" s="317"/>
      <c r="P4710" s="317"/>
      <c r="Q4710" s="317"/>
      <c r="R4710" s="317"/>
      <c r="S4710" s="317"/>
      <c r="T4710" s="317"/>
      <c r="U4710" s="317"/>
      <c r="V4710" s="317"/>
      <c r="W4710" s="317"/>
      <c r="X4710" s="317"/>
      <c r="Y4710" s="317"/>
      <c r="Z4710" s="317"/>
    </row>
    <row r="4711" spans="1:26" x14ac:dyDescent="0.25">
      <c r="A4711" s="314"/>
      <c r="B4711" s="18">
        <v>2023</v>
      </c>
      <c r="C4711" s="18" t="s">
        <v>709</v>
      </c>
      <c r="D4711" s="18" t="s">
        <v>1845</v>
      </c>
      <c r="E4711" s="18" t="s">
        <v>713</v>
      </c>
      <c r="F4711" s="18" t="s">
        <v>714</v>
      </c>
      <c r="G4711" s="18" t="s">
        <v>678</v>
      </c>
      <c r="H4711" s="18" t="s">
        <v>1279</v>
      </c>
      <c r="I4711" s="315">
        <v>1.9999101791140807E-2</v>
      </c>
      <c r="J4711" s="315">
        <v>1.1660315101310464E-7</v>
      </c>
      <c r="K4711" s="316" t="str">
        <f t="shared" si="66"/>
        <v>Agricultural Equipment</v>
      </c>
      <c r="L4711" s="316" t="str">
        <f t="shared" si="67"/>
        <v>Diesel</v>
      </c>
      <c r="M4711" s="194"/>
      <c r="N4711" s="317"/>
      <c r="O4711" s="317"/>
      <c r="P4711" s="317"/>
      <c r="Q4711" s="317"/>
      <c r="R4711" s="317"/>
      <c r="S4711" s="317"/>
      <c r="T4711" s="317"/>
      <c r="U4711" s="317"/>
      <c r="V4711" s="317"/>
      <c r="W4711" s="317"/>
      <c r="X4711" s="317"/>
      <c r="Y4711" s="317"/>
      <c r="Z4711" s="317"/>
    </row>
    <row r="4712" spans="1:26" x14ac:dyDescent="0.25">
      <c r="A4712" s="314"/>
      <c r="B4712" s="18">
        <v>2023</v>
      </c>
      <c r="C4712" s="18" t="s">
        <v>731</v>
      </c>
      <c r="D4712" s="18" t="s">
        <v>1833</v>
      </c>
      <c r="E4712" s="18" t="s">
        <v>703</v>
      </c>
      <c r="F4712" s="18" t="s">
        <v>704</v>
      </c>
      <c r="G4712" s="18" t="s">
        <v>674</v>
      </c>
      <c r="H4712" s="18" t="s">
        <v>1082</v>
      </c>
      <c r="I4712" s="315">
        <v>1.9772998112510293E-2</v>
      </c>
      <c r="J4712" s="315">
        <v>1.278675154399613E-5</v>
      </c>
      <c r="K4712" s="316" t="str">
        <f t="shared" si="66"/>
        <v>Construction and Mining Equipment</v>
      </c>
      <c r="L4712" s="316" t="str">
        <f t="shared" si="67"/>
        <v>Gasoline</v>
      </c>
      <c r="M4712" s="194"/>
      <c r="N4712" s="317"/>
      <c r="O4712" s="317"/>
      <c r="P4712" s="317"/>
      <c r="Q4712" s="317"/>
      <c r="R4712" s="317"/>
      <c r="S4712" s="317"/>
      <c r="T4712" s="317"/>
      <c r="U4712" s="317"/>
      <c r="V4712" s="317"/>
      <c r="W4712" s="317"/>
      <c r="X4712" s="317"/>
      <c r="Y4712" s="317"/>
      <c r="Z4712" s="317"/>
    </row>
    <row r="4713" spans="1:26" x14ac:dyDescent="0.25">
      <c r="A4713" s="314"/>
      <c r="B4713" s="18">
        <v>2023</v>
      </c>
      <c r="C4713" s="18" t="s">
        <v>786</v>
      </c>
      <c r="D4713" s="18" t="s">
        <v>1833</v>
      </c>
      <c r="E4713" s="18" t="s">
        <v>703</v>
      </c>
      <c r="F4713" s="18" t="s">
        <v>704</v>
      </c>
      <c r="G4713" s="18" t="s">
        <v>674</v>
      </c>
      <c r="H4713" s="18" t="s">
        <v>1082</v>
      </c>
      <c r="I4713" s="315">
        <v>1.9638327633659788E-2</v>
      </c>
      <c r="J4713" s="315">
        <v>1.2735949408272437E-5</v>
      </c>
      <c r="K4713" s="316" t="str">
        <f t="shared" si="66"/>
        <v>Construction and Mining Equipment</v>
      </c>
      <c r="L4713" s="316" t="str">
        <f t="shared" si="67"/>
        <v>Gasoline</v>
      </c>
      <c r="M4713" s="194"/>
      <c r="N4713" s="317"/>
      <c r="O4713" s="317"/>
      <c r="P4713" s="317"/>
      <c r="Q4713" s="317"/>
      <c r="R4713" s="317"/>
      <c r="S4713" s="317"/>
      <c r="T4713" s="317"/>
      <c r="U4713" s="317"/>
      <c r="V4713" s="317"/>
      <c r="W4713" s="317"/>
      <c r="X4713" s="317"/>
      <c r="Y4713" s="317"/>
      <c r="Z4713" s="317"/>
    </row>
    <row r="4714" spans="1:26" x14ac:dyDescent="0.25">
      <c r="A4714" s="314"/>
      <c r="B4714" s="18">
        <v>2023</v>
      </c>
      <c r="C4714" s="18" t="s">
        <v>750</v>
      </c>
      <c r="D4714" s="18" t="s">
        <v>1806</v>
      </c>
      <c r="E4714" s="18" t="s">
        <v>56</v>
      </c>
      <c r="F4714" s="18" t="s">
        <v>601</v>
      </c>
      <c r="G4714" s="18" t="s">
        <v>675</v>
      </c>
      <c r="H4714" s="18" t="s">
        <v>798</v>
      </c>
      <c r="I4714" s="315">
        <v>1.9603721410545498E-2</v>
      </c>
      <c r="J4714" s="315">
        <v>7.802830572649057E-5</v>
      </c>
      <c r="K4714" s="316" t="str">
        <f t="shared" si="66"/>
        <v>Industrial Equipment</v>
      </c>
      <c r="L4714" s="316" t="str">
        <f t="shared" si="67"/>
        <v>CNG</v>
      </c>
      <c r="M4714" s="194"/>
      <c r="N4714" s="317"/>
      <c r="O4714" s="317"/>
      <c r="P4714" s="317"/>
      <c r="Q4714" s="317"/>
      <c r="R4714" s="317"/>
      <c r="S4714" s="317"/>
      <c r="T4714" s="317"/>
      <c r="U4714" s="317"/>
      <c r="V4714" s="317"/>
      <c r="W4714" s="317"/>
      <c r="X4714" s="317"/>
      <c r="Y4714" s="317"/>
      <c r="Z4714" s="317"/>
    </row>
    <row r="4715" spans="1:26" x14ac:dyDescent="0.25">
      <c r="A4715" s="314"/>
      <c r="B4715" s="18">
        <v>2023</v>
      </c>
      <c r="C4715" s="18" t="s">
        <v>706</v>
      </c>
      <c r="D4715" s="18" t="s">
        <v>1849</v>
      </c>
      <c r="E4715" s="18" t="s">
        <v>703</v>
      </c>
      <c r="F4715" s="18" t="s">
        <v>704</v>
      </c>
      <c r="G4715" s="18" t="s">
        <v>678</v>
      </c>
      <c r="H4715" s="18" t="s">
        <v>972</v>
      </c>
      <c r="I4715" s="315">
        <v>1.8836546930969061E-2</v>
      </c>
      <c r="J4715" s="315">
        <v>1.1174688139964241E-5</v>
      </c>
      <c r="K4715" s="316" t="str">
        <f t="shared" si="66"/>
        <v>Agricultural Equipment</v>
      </c>
      <c r="L4715" s="316" t="str">
        <f t="shared" si="67"/>
        <v>Gasoline</v>
      </c>
      <c r="M4715" s="194"/>
      <c r="N4715" s="317"/>
      <c r="O4715" s="317"/>
      <c r="P4715" s="317"/>
      <c r="Q4715" s="317"/>
      <c r="R4715" s="317"/>
      <c r="S4715" s="317"/>
      <c r="T4715" s="317"/>
      <c r="U4715" s="317"/>
      <c r="V4715" s="317"/>
      <c r="W4715" s="317"/>
      <c r="X4715" s="317"/>
      <c r="Y4715" s="317"/>
      <c r="Z4715" s="317"/>
    </row>
    <row r="4716" spans="1:26" x14ac:dyDescent="0.25">
      <c r="A4716" s="314"/>
      <c r="B4716" s="18">
        <v>2023</v>
      </c>
      <c r="C4716" s="18" t="s">
        <v>754</v>
      </c>
      <c r="D4716" s="18" t="s">
        <v>1846</v>
      </c>
      <c r="E4716" s="18" t="s">
        <v>703</v>
      </c>
      <c r="F4716" s="18" t="s">
        <v>805</v>
      </c>
      <c r="G4716" s="18" t="s">
        <v>677</v>
      </c>
      <c r="H4716" s="18" t="s">
        <v>785</v>
      </c>
      <c r="I4716" s="315">
        <v>1.8584416268214599E-2</v>
      </c>
      <c r="J4716" s="315">
        <v>4.152514424204968E-5</v>
      </c>
      <c r="K4716" s="316" t="str">
        <f t="shared" si="66"/>
        <v>Commercial Equipment</v>
      </c>
      <c r="L4716" s="316" t="str">
        <f t="shared" si="67"/>
        <v>Gasoline</v>
      </c>
      <c r="M4716" s="194"/>
      <c r="N4716" s="317"/>
      <c r="O4716" s="317"/>
      <c r="P4716" s="317"/>
      <c r="Q4716" s="317"/>
      <c r="R4716" s="317"/>
      <c r="S4716" s="317"/>
      <c r="T4716" s="317"/>
      <c r="U4716" s="317"/>
      <c r="V4716" s="317"/>
      <c r="W4716" s="317"/>
      <c r="X4716" s="317"/>
      <c r="Y4716" s="317"/>
      <c r="Z4716" s="317"/>
    </row>
    <row r="4717" spans="1:26" x14ac:dyDescent="0.25">
      <c r="A4717" s="314"/>
      <c r="B4717" s="18">
        <v>2023</v>
      </c>
      <c r="C4717" s="18" t="s">
        <v>810</v>
      </c>
      <c r="D4717" s="18" t="s">
        <v>1849</v>
      </c>
      <c r="E4717" s="18" t="s">
        <v>703</v>
      </c>
      <c r="F4717" s="18" t="s">
        <v>704</v>
      </c>
      <c r="G4717" s="18" t="s">
        <v>678</v>
      </c>
      <c r="H4717" s="18" t="s">
        <v>972</v>
      </c>
      <c r="I4717" s="315">
        <v>1.8171557746759232E-2</v>
      </c>
      <c r="J4717" s="315">
        <v>1.0861169112201556E-5</v>
      </c>
      <c r="K4717" s="316" t="str">
        <f t="shared" si="66"/>
        <v>Agricultural Equipment</v>
      </c>
      <c r="L4717" s="316" t="str">
        <f t="shared" si="67"/>
        <v>Gasoline</v>
      </c>
      <c r="M4717" s="194"/>
      <c r="N4717" s="317"/>
      <c r="O4717" s="317"/>
      <c r="P4717" s="317"/>
      <c r="Q4717" s="317"/>
      <c r="R4717" s="317"/>
      <c r="S4717" s="317"/>
      <c r="T4717" s="317"/>
      <c r="U4717" s="317"/>
      <c r="V4717" s="317"/>
      <c r="W4717" s="317"/>
      <c r="X4717" s="317"/>
      <c r="Y4717" s="317"/>
      <c r="Z4717" s="317"/>
    </row>
    <row r="4718" spans="1:26" x14ac:dyDescent="0.25">
      <c r="A4718" s="314"/>
      <c r="B4718" s="18">
        <v>2023</v>
      </c>
      <c r="C4718" s="18" t="s">
        <v>793</v>
      </c>
      <c r="D4718" s="18" t="s">
        <v>1842</v>
      </c>
      <c r="E4718" s="18" t="s">
        <v>713</v>
      </c>
      <c r="F4718" s="18" t="s">
        <v>714</v>
      </c>
      <c r="G4718" s="18" t="s">
        <v>678</v>
      </c>
      <c r="H4718" s="18" t="s">
        <v>1709</v>
      </c>
      <c r="I4718" s="315">
        <v>1.7932648233679759E-2</v>
      </c>
      <c r="J4718" s="315">
        <v>2.2188714873824884E-6</v>
      </c>
      <c r="K4718" s="316" t="str">
        <f t="shared" si="66"/>
        <v>Agricultural Equipment</v>
      </c>
      <c r="L4718" s="316" t="str">
        <f t="shared" si="67"/>
        <v>Diesel</v>
      </c>
      <c r="M4718" s="194"/>
      <c r="N4718" s="317"/>
      <c r="O4718" s="317"/>
      <c r="P4718" s="317"/>
      <c r="Q4718" s="317"/>
      <c r="R4718" s="317"/>
      <c r="S4718" s="317"/>
      <c r="T4718" s="317"/>
      <c r="U4718" s="317"/>
      <c r="V4718" s="317"/>
      <c r="W4718" s="317"/>
      <c r="X4718" s="317"/>
      <c r="Y4718" s="317"/>
      <c r="Z4718" s="317"/>
    </row>
    <row r="4719" spans="1:26" x14ac:dyDescent="0.25">
      <c r="A4719" s="314"/>
      <c r="B4719" s="18">
        <v>2023</v>
      </c>
      <c r="C4719" s="18" t="s">
        <v>793</v>
      </c>
      <c r="D4719" s="18" t="s">
        <v>1843</v>
      </c>
      <c r="E4719" s="18" t="s">
        <v>56</v>
      </c>
      <c r="F4719" s="18" t="s">
        <v>672</v>
      </c>
      <c r="G4719" s="18" t="s">
        <v>678</v>
      </c>
      <c r="H4719" s="18" t="s">
        <v>1154</v>
      </c>
      <c r="I4719" s="315">
        <v>1.7902197900795964E-2</v>
      </c>
      <c r="J4719" s="315">
        <v>8.2157535875498066E-7</v>
      </c>
      <c r="K4719" s="316" t="str">
        <f t="shared" si="66"/>
        <v>Agricultural Equipment</v>
      </c>
      <c r="L4719" s="316" t="str">
        <f t="shared" si="67"/>
        <v>LPG</v>
      </c>
      <c r="M4719" s="194"/>
      <c r="N4719" s="317"/>
      <c r="O4719" s="317"/>
      <c r="P4719" s="317"/>
      <c r="Q4719" s="317"/>
      <c r="R4719" s="317"/>
      <c r="S4719" s="317"/>
      <c r="T4719" s="317"/>
      <c r="U4719" s="317"/>
      <c r="V4719" s="317"/>
      <c r="W4719" s="317"/>
      <c r="X4719" s="317"/>
      <c r="Y4719" s="317"/>
      <c r="Z4719" s="317"/>
    </row>
    <row r="4720" spans="1:26" x14ac:dyDescent="0.25">
      <c r="A4720" s="314"/>
      <c r="B4720" s="18">
        <v>2023</v>
      </c>
      <c r="C4720" s="18" t="s">
        <v>760</v>
      </c>
      <c r="D4720" s="18" t="s">
        <v>1848</v>
      </c>
      <c r="E4720" s="18" t="s">
        <v>703</v>
      </c>
      <c r="F4720" s="18" t="s">
        <v>805</v>
      </c>
      <c r="G4720" s="18" t="s">
        <v>674</v>
      </c>
      <c r="H4720" s="18" t="s">
        <v>981</v>
      </c>
      <c r="I4720" s="315">
        <v>1.7754681637520919E-2</v>
      </c>
      <c r="J4720" s="315">
        <v>3.9671175995057849E-5</v>
      </c>
      <c r="K4720" s="316" t="str">
        <f t="shared" si="66"/>
        <v>Construction and Mining Equipment</v>
      </c>
      <c r="L4720" s="316" t="str">
        <f t="shared" si="67"/>
        <v>Gasoline</v>
      </c>
      <c r="M4720" s="194"/>
      <c r="N4720" s="317"/>
      <c r="O4720" s="317"/>
      <c r="P4720" s="317"/>
      <c r="Q4720" s="317"/>
      <c r="R4720" s="317"/>
      <c r="S4720" s="317"/>
      <c r="T4720" s="317"/>
      <c r="U4720" s="317"/>
      <c r="V4720" s="317"/>
      <c r="W4720" s="317"/>
      <c r="X4720" s="317"/>
      <c r="Y4720" s="317"/>
      <c r="Z4720" s="317"/>
    </row>
    <row r="4721" spans="1:26" x14ac:dyDescent="0.25">
      <c r="A4721" s="314"/>
      <c r="B4721" s="18">
        <v>2023</v>
      </c>
      <c r="C4721" s="18" t="s">
        <v>759</v>
      </c>
      <c r="D4721" s="18" t="s">
        <v>1849</v>
      </c>
      <c r="E4721" s="18" t="s">
        <v>703</v>
      </c>
      <c r="F4721" s="18" t="s">
        <v>704</v>
      </c>
      <c r="G4721" s="18" t="s">
        <v>678</v>
      </c>
      <c r="H4721" s="18" t="s">
        <v>972</v>
      </c>
      <c r="I4721" s="315">
        <v>1.7024582053544859E-2</v>
      </c>
      <c r="J4721" s="315">
        <v>1.0071427727924532E-5</v>
      </c>
      <c r="K4721" s="316" t="str">
        <f t="shared" si="66"/>
        <v>Agricultural Equipment</v>
      </c>
      <c r="L4721" s="316" t="str">
        <f t="shared" si="67"/>
        <v>Gasoline</v>
      </c>
      <c r="M4721" s="194"/>
      <c r="N4721" s="317"/>
      <c r="O4721" s="317"/>
      <c r="P4721" s="317"/>
      <c r="Q4721" s="317"/>
      <c r="R4721" s="317"/>
      <c r="S4721" s="317"/>
      <c r="T4721" s="317"/>
      <c r="U4721" s="317"/>
      <c r="V4721" s="317"/>
      <c r="W4721" s="317"/>
      <c r="X4721" s="317"/>
      <c r="Y4721" s="317"/>
      <c r="Z4721" s="317"/>
    </row>
    <row r="4722" spans="1:26" x14ac:dyDescent="0.25">
      <c r="A4722" s="314"/>
      <c r="B4722" s="18">
        <v>2023</v>
      </c>
      <c r="C4722" s="18" t="s">
        <v>743</v>
      </c>
      <c r="D4722" s="18" t="s">
        <v>1846</v>
      </c>
      <c r="E4722" s="18" t="s">
        <v>703</v>
      </c>
      <c r="F4722" s="18" t="s">
        <v>805</v>
      </c>
      <c r="G4722" s="18" t="s">
        <v>677</v>
      </c>
      <c r="H4722" s="18" t="s">
        <v>785</v>
      </c>
      <c r="I4722" s="315">
        <v>1.6905101572490224E-2</v>
      </c>
      <c r="J4722" s="315">
        <v>3.777291702587264E-5</v>
      </c>
      <c r="K4722" s="316" t="str">
        <f t="shared" si="66"/>
        <v>Commercial Equipment</v>
      </c>
      <c r="L4722" s="316" t="str">
        <f t="shared" si="67"/>
        <v>Gasoline</v>
      </c>
      <c r="M4722" s="194"/>
      <c r="N4722" s="317"/>
      <c r="O4722" s="317"/>
      <c r="P4722" s="317"/>
      <c r="Q4722" s="317"/>
      <c r="R4722" s="317"/>
      <c r="S4722" s="317"/>
      <c r="T4722" s="317"/>
      <c r="U4722" s="317"/>
      <c r="V4722" s="317"/>
      <c r="W4722" s="317"/>
      <c r="X4722" s="317"/>
      <c r="Y4722" s="317"/>
      <c r="Z4722" s="317"/>
    </row>
    <row r="4723" spans="1:26" x14ac:dyDescent="0.25">
      <c r="A4723" s="314"/>
      <c r="B4723" s="18">
        <v>2023</v>
      </c>
      <c r="C4723" s="18" t="s">
        <v>750</v>
      </c>
      <c r="D4723" s="18" t="s">
        <v>1849</v>
      </c>
      <c r="E4723" s="18" t="s">
        <v>703</v>
      </c>
      <c r="F4723" s="18" t="s">
        <v>704</v>
      </c>
      <c r="G4723" s="18" t="s">
        <v>678</v>
      </c>
      <c r="H4723" s="18" t="s">
        <v>972</v>
      </c>
      <c r="I4723" s="315">
        <v>1.6702603600922832E-2</v>
      </c>
      <c r="J4723" s="315">
        <v>9.8887229169557229E-6</v>
      </c>
      <c r="K4723" s="316" t="str">
        <f t="shared" si="66"/>
        <v>Agricultural Equipment</v>
      </c>
      <c r="L4723" s="316" t="str">
        <f t="shared" si="67"/>
        <v>Gasoline</v>
      </c>
      <c r="M4723" s="194"/>
      <c r="N4723" s="317"/>
      <c r="O4723" s="317"/>
      <c r="P4723" s="317"/>
      <c r="Q4723" s="317"/>
      <c r="R4723" s="317"/>
      <c r="S4723" s="317"/>
      <c r="T4723" s="317"/>
      <c r="U4723" s="317"/>
      <c r="V4723" s="317"/>
      <c r="W4723" s="317"/>
      <c r="X4723" s="317"/>
      <c r="Y4723" s="317"/>
      <c r="Z4723" s="317"/>
    </row>
    <row r="4724" spans="1:26" x14ac:dyDescent="0.25">
      <c r="A4724" s="314"/>
      <c r="B4724" s="18">
        <v>2023</v>
      </c>
      <c r="C4724" s="18" t="s">
        <v>786</v>
      </c>
      <c r="D4724" s="18" t="s">
        <v>1841</v>
      </c>
      <c r="E4724" s="18" t="s">
        <v>703</v>
      </c>
      <c r="F4724" s="18" t="s">
        <v>805</v>
      </c>
      <c r="G4724" s="18" t="s">
        <v>675</v>
      </c>
      <c r="H4724" s="18" t="s">
        <v>798</v>
      </c>
      <c r="I4724" s="315">
        <v>1.6622970947977884E-2</v>
      </c>
      <c r="J4724" s="315">
        <v>3.7142467400965579E-5</v>
      </c>
      <c r="K4724" s="316" t="str">
        <f t="shared" si="66"/>
        <v>Industrial Equipment</v>
      </c>
      <c r="L4724" s="316" t="str">
        <f t="shared" si="67"/>
        <v>Gasoline</v>
      </c>
      <c r="M4724" s="194"/>
      <c r="N4724" s="317"/>
      <c r="O4724" s="317"/>
      <c r="P4724" s="317"/>
      <c r="Q4724" s="317"/>
      <c r="R4724" s="317"/>
      <c r="S4724" s="317"/>
      <c r="T4724" s="317"/>
      <c r="U4724" s="317"/>
      <c r="V4724" s="317"/>
      <c r="W4724" s="317"/>
      <c r="X4724" s="317"/>
      <c r="Y4724" s="317"/>
      <c r="Z4724" s="317"/>
    </row>
    <row r="4725" spans="1:26" x14ac:dyDescent="0.25">
      <c r="A4725" s="314"/>
      <c r="B4725" s="18">
        <v>2023</v>
      </c>
      <c r="C4725" s="18" t="s">
        <v>793</v>
      </c>
      <c r="D4725" s="18" t="s">
        <v>1844</v>
      </c>
      <c r="E4725" s="18" t="s">
        <v>56</v>
      </c>
      <c r="F4725" s="18" t="s">
        <v>601</v>
      </c>
      <c r="G4725" s="18" t="s">
        <v>678</v>
      </c>
      <c r="H4725" s="18" t="s">
        <v>1080</v>
      </c>
      <c r="I4725" s="315">
        <v>1.6433992749327719E-2</v>
      </c>
      <c r="J4725" s="315">
        <v>6.4723883696647276E-4</v>
      </c>
      <c r="K4725" s="316" t="str">
        <f t="shared" si="66"/>
        <v>Agricultural Equipment</v>
      </c>
      <c r="L4725" s="316" t="str">
        <f t="shared" si="67"/>
        <v>CNG</v>
      </c>
      <c r="M4725" s="194"/>
      <c r="N4725" s="317"/>
      <c r="O4725" s="317"/>
      <c r="P4725" s="317"/>
      <c r="Q4725" s="317"/>
      <c r="R4725" s="317"/>
      <c r="S4725" s="317"/>
      <c r="T4725" s="317"/>
      <c r="U4725" s="317"/>
      <c r="V4725" s="317"/>
      <c r="W4725" s="317"/>
      <c r="X4725" s="317"/>
      <c r="Y4725" s="317"/>
      <c r="Z4725" s="317"/>
    </row>
    <row r="4726" spans="1:26" x14ac:dyDescent="0.25">
      <c r="A4726" s="314"/>
      <c r="B4726" s="18">
        <v>2023</v>
      </c>
      <c r="C4726" s="18" t="s">
        <v>762</v>
      </c>
      <c r="D4726" s="18" t="s">
        <v>1841</v>
      </c>
      <c r="E4726" s="18" t="s">
        <v>703</v>
      </c>
      <c r="F4726" s="18" t="s">
        <v>805</v>
      </c>
      <c r="G4726" s="18" t="s">
        <v>675</v>
      </c>
      <c r="H4726" s="18" t="s">
        <v>798</v>
      </c>
      <c r="I4726" s="315">
        <v>1.6423818358613958E-2</v>
      </c>
      <c r="J4726" s="315">
        <v>3.6697550016023846E-5</v>
      </c>
      <c r="K4726" s="316" t="str">
        <f t="shared" si="66"/>
        <v>Industrial Equipment</v>
      </c>
      <c r="L4726" s="316" t="str">
        <f t="shared" si="67"/>
        <v>Gasoline</v>
      </c>
      <c r="M4726" s="194"/>
      <c r="N4726" s="317"/>
      <c r="O4726" s="317"/>
      <c r="P4726" s="317"/>
      <c r="Q4726" s="317"/>
      <c r="R4726" s="317"/>
      <c r="S4726" s="317"/>
      <c r="T4726" s="317"/>
      <c r="U4726" s="317"/>
      <c r="V4726" s="317"/>
      <c r="W4726" s="317"/>
      <c r="X4726" s="317"/>
      <c r="Y4726" s="317"/>
      <c r="Z4726" s="317"/>
    </row>
    <row r="4727" spans="1:26" x14ac:dyDescent="0.25">
      <c r="A4727" s="314"/>
      <c r="B4727" s="18">
        <v>2023</v>
      </c>
      <c r="C4727" s="18" t="s">
        <v>709</v>
      </c>
      <c r="D4727" s="18" t="s">
        <v>991</v>
      </c>
      <c r="E4727" s="18" t="s">
        <v>703</v>
      </c>
      <c r="F4727" s="18" t="s">
        <v>795</v>
      </c>
      <c r="G4727" s="18" t="s">
        <v>680</v>
      </c>
      <c r="H4727" s="18" t="s">
        <v>992</v>
      </c>
      <c r="I4727" s="315">
        <v>1.6403552755973824E-2</v>
      </c>
      <c r="J4727" s="315">
        <v>4.7127578484646319E-6</v>
      </c>
      <c r="K4727" s="316" t="str">
        <f t="shared" si="66"/>
        <v>Airport Ground Support Equipment</v>
      </c>
      <c r="L4727" s="316" t="str">
        <f t="shared" si="67"/>
        <v>Gasoline</v>
      </c>
      <c r="M4727" s="194"/>
      <c r="N4727" s="317"/>
      <c r="O4727" s="317"/>
      <c r="P4727" s="317"/>
      <c r="Q4727" s="317"/>
      <c r="R4727" s="317"/>
      <c r="S4727" s="317"/>
      <c r="T4727" s="317"/>
      <c r="U4727" s="317"/>
      <c r="V4727" s="317"/>
      <c r="W4727" s="317"/>
      <c r="X4727" s="317"/>
      <c r="Y4727" s="317"/>
      <c r="Z4727" s="317"/>
    </row>
    <row r="4728" spans="1:26" x14ac:dyDescent="0.25">
      <c r="A4728" s="314"/>
      <c r="B4728" s="18">
        <v>2023</v>
      </c>
      <c r="C4728" s="18" t="s">
        <v>781</v>
      </c>
      <c r="D4728" s="18" t="s">
        <v>1737</v>
      </c>
      <c r="E4728" s="18" t="s">
        <v>703</v>
      </c>
      <c r="F4728" s="18" t="s">
        <v>805</v>
      </c>
      <c r="G4728" s="18" t="s">
        <v>673</v>
      </c>
      <c r="H4728" s="18" t="s">
        <v>705</v>
      </c>
      <c r="I4728" s="315">
        <v>1.6265222448323031E-2</v>
      </c>
      <c r="J4728" s="315">
        <v>3.261684964343011E-5</v>
      </c>
      <c r="K4728" s="316" t="str">
        <f t="shared" si="66"/>
        <v>Lawn and Garden Equipment</v>
      </c>
      <c r="L4728" s="316" t="str">
        <f t="shared" si="67"/>
        <v>Gasoline</v>
      </c>
      <c r="M4728" s="194"/>
      <c r="N4728" s="317"/>
      <c r="O4728" s="317"/>
      <c r="P4728" s="317"/>
      <c r="Q4728" s="317"/>
      <c r="R4728" s="317"/>
      <c r="S4728" s="317"/>
      <c r="T4728" s="317"/>
      <c r="U4728" s="317"/>
      <c r="V4728" s="317"/>
      <c r="W4728" s="317"/>
      <c r="X4728" s="317"/>
      <c r="Y4728" s="317"/>
      <c r="Z4728" s="317"/>
    </row>
    <row r="4729" spans="1:26" x14ac:dyDescent="0.25">
      <c r="A4729" s="314"/>
      <c r="B4729" s="18">
        <v>2023</v>
      </c>
      <c r="C4729" s="18" t="s">
        <v>810</v>
      </c>
      <c r="D4729" s="18" t="s">
        <v>1841</v>
      </c>
      <c r="E4729" s="18" t="s">
        <v>703</v>
      </c>
      <c r="F4729" s="18" t="s">
        <v>805</v>
      </c>
      <c r="G4729" s="18" t="s">
        <v>675</v>
      </c>
      <c r="H4729" s="18" t="s">
        <v>798</v>
      </c>
      <c r="I4729" s="315">
        <v>1.5997121874683225E-2</v>
      </c>
      <c r="J4729" s="315">
        <v>3.5744010626382859E-5</v>
      </c>
      <c r="K4729" s="316" t="str">
        <f t="shared" si="66"/>
        <v>Industrial Equipment</v>
      </c>
      <c r="L4729" s="316" t="str">
        <f t="shared" si="67"/>
        <v>Gasoline</v>
      </c>
      <c r="M4729" s="194"/>
      <c r="N4729" s="317"/>
      <c r="O4729" s="317"/>
      <c r="P4729" s="317"/>
      <c r="Q4729" s="317"/>
      <c r="R4729" s="317"/>
      <c r="S4729" s="317"/>
      <c r="T4729" s="317"/>
      <c r="U4729" s="317"/>
      <c r="V4729" s="317"/>
      <c r="W4729" s="317"/>
      <c r="X4729" s="317"/>
      <c r="Y4729" s="317"/>
      <c r="Z4729" s="317"/>
    </row>
    <row r="4730" spans="1:26" x14ac:dyDescent="0.25">
      <c r="A4730" s="314"/>
      <c r="B4730" s="18">
        <v>2023</v>
      </c>
      <c r="C4730" s="18" t="s">
        <v>793</v>
      </c>
      <c r="D4730" s="18" t="s">
        <v>1845</v>
      </c>
      <c r="E4730" s="18" t="s">
        <v>713</v>
      </c>
      <c r="F4730" s="18" t="s">
        <v>714</v>
      </c>
      <c r="G4730" s="18" t="s">
        <v>678</v>
      </c>
      <c r="H4730" s="18" t="s">
        <v>1279</v>
      </c>
      <c r="I4730" s="315">
        <v>1.5690246548568154E-2</v>
      </c>
      <c r="J4730" s="315">
        <v>9.1480714294949358E-8</v>
      </c>
      <c r="K4730" s="316" t="str">
        <f t="shared" si="66"/>
        <v>Agricultural Equipment</v>
      </c>
      <c r="L4730" s="316" t="str">
        <f t="shared" si="67"/>
        <v>Diesel</v>
      </c>
      <c r="M4730" s="194"/>
      <c r="N4730" s="317"/>
      <c r="O4730" s="317"/>
      <c r="P4730" s="317"/>
      <c r="Q4730" s="317"/>
      <c r="R4730" s="317"/>
      <c r="S4730" s="317"/>
      <c r="T4730" s="317"/>
      <c r="U4730" s="317"/>
      <c r="V4730" s="317"/>
      <c r="W4730" s="317"/>
      <c r="X4730" s="317"/>
      <c r="Y4730" s="317"/>
      <c r="Z4730" s="317"/>
    </row>
    <row r="4731" spans="1:26" x14ac:dyDescent="0.25">
      <c r="A4731" s="314"/>
      <c r="B4731" s="18">
        <v>2023</v>
      </c>
      <c r="C4731" s="18" t="s">
        <v>792</v>
      </c>
      <c r="D4731" s="18" t="s">
        <v>1737</v>
      </c>
      <c r="E4731" s="18" t="s">
        <v>703</v>
      </c>
      <c r="F4731" s="18" t="s">
        <v>805</v>
      </c>
      <c r="G4731" s="18" t="s">
        <v>673</v>
      </c>
      <c r="H4731" s="18" t="s">
        <v>705</v>
      </c>
      <c r="I4731" s="315">
        <v>1.506038694765858E-2</v>
      </c>
      <c r="J4731" s="315">
        <v>3.0200806689146552E-5</v>
      </c>
      <c r="K4731" s="316" t="str">
        <f t="shared" si="66"/>
        <v>Lawn and Garden Equipment</v>
      </c>
      <c r="L4731" s="316" t="str">
        <f t="shared" si="67"/>
        <v>Gasoline</v>
      </c>
      <c r="M4731" s="194"/>
      <c r="N4731" s="317"/>
      <c r="O4731" s="317"/>
      <c r="P4731" s="317"/>
      <c r="Q4731" s="317"/>
      <c r="R4731" s="317"/>
      <c r="S4731" s="317"/>
      <c r="T4731" s="317"/>
      <c r="U4731" s="317"/>
      <c r="V4731" s="317"/>
      <c r="W4731" s="317"/>
      <c r="X4731" s="317"/>
      <c r="Y4731" s="317"/>
      <c r="Z4731" s="317"/>
    </row>
    <row r="4732" spans="1:26" x14ac:dyDescent="0.25">
      <c r="A4732" s="314"/>
      <c r="B4732" s="18">
        <v>2023</v>
      </c>
      <c r="C4732" s="18" t="s">
        <v>732</v>
      </c>
      <c r="D4732" s="18" t="s">
        <v>1848</v>
      </c>
      <c r="E4732" s="18" t="s">
        <v>703</v>
      </c>
      <c r="F4732" s="18" t="s">
        <v>805</v>
      </c>
      <c r="G4732" s="18" t="s">
        <v>674</v>
      </c>
      <c r="H4732" s="18" t="s">
        <v>981</v>
      </c>
      <c r="I4732" s="315">
        <v>1.4742574668555272E-2</v>
      </c>
      <c r="J4732" s="315">
        <v>3.2940870567774993E-5</v>
      </c>
      <c r="K4732" s="316" t="str">
        <f t="shared" si="66"/>
        <v>Construction and Mining Equipment</v>
      </c>
      <c r="L4732" s="316" t="str">
        <f t="shared" si="67"/>
        <v>Gasoline</v>
      </c>
      <c r="M4732" s="194"/>
      <c r="N4732" s="317"/>
      <c r="O4732" s="317"/>
      <c r="P4732" s="317"/>
      <c r="Q4732" s="317"/>
      <c r="R4732" s="317"/>
      <c r="S4732" s="317"/>
      <c r="T4732" s="317"/>
      <c r="U4732" s="317"/>
      <c r="V4732" s="317"/>
      <c r="W4732" s="317"/>
      <c r="X4732" s="317"/>
      <c r="Y4732" s="317"/>
      <c r="Z4732" s="317"/>
    </row>
    <row r="4733" spans="1:26" x14ac:dyDescent="0.25">
      <c r="A4733" s="314"/>
      <c r="B4733" s="18">
        <v>2023</v>
      </c>
      <c r="C4733" s="18" t="s">
        <v>762</v>
      </c>
      <c r="D4733" s="18" t="s">
        <v>1024</v>
      </c>
      <c r="E4733" s="18" t="s">
        <v>56</v>
      </c>
      <c r="F4733" s="18" t="s">
        <v>1025</v>
      </c>
      <c r="G4733" s="18" t="s">
        <v>680</v>
      </c>
      <c r="H4733" s="18" t="s">
        <v>1026</v>
      </c>
      <c r="I4733" s="315">
        <v>1.4720731574598644E-2</v>
      </c>
      <c r="J4733" s="315">
        <v>6.705342573722759E-7</v>
      </c>
      <c r="K4733" s="316" t="str">
        <f t="shared" si="66"/>
        <v>Airport Ground Support Equipment</v>
      </c>
      <c r="L4733" s="316" t="str">
        <f t="shared" si="67"/>
        <v>LPG</v>
      </c>
      <c r="M4733" s="194"/>
      <c r="N4733" s="317"/>
      <c r="O4733" s="317"/>
      <c r="P4733" s="317"/>
      <c r="Q4733" s="317"/>
      <c r="R4733" s="317"/>
      <c r="S4733" s="317"/>
      <c r="T4733" s="317"/>
      <c r="U4733" s="317"/>
      <c r="V4733" s="317"/>
      <c r="W4733" s="317"/>
      <c r="X4733" s="317"/>
      <c r="Y4733" s="317"/>
      <c r="Z4733" s="317"/>
    </row>
    <row r="4734" spans="1:26" x14ac:dyDescent="0.25">
      <c r="A4734" s="314"/>
      <c r="B4734" s="18">
        <v>2023</v>
      </c>
      <c r="C4734" s="18" t="s">
        <v>773</v>
      </c>
      <c r="D4734" s="18" t="s">
        <v>1846</v>
      </c>
      <c r="E4734" s="18" t="s">
        <v>703</v>
      </c>
      <c r="F4734" s="18" t="s">
        <v>805</v>
      </c>
      <c r="G4734" s="18" t="s">
        <v>677</v>
      </c>
      <c r="H4734" s="18" t="s">
        <v>785</v>
      </c>
      <c r="I4734" s="315">
        <v>1.4666025494593839E-2</v>
      </c>
      <c r="J4734" s="315">
        <v>3.2769815783651878E-5</v>
      </c>
      <c r="K4734" s="316" t="str">
        <f t="shared" si="66"/>
        <v>Commercial Equipment</v>
      </c>
      <c r="L4734" s="316" t="str">
        <f t="shared" si="67"/>
        <v>Gasoline</v>
      </c>
      <c r="M4734" s="194"/>
      <c r="N4734" s="317"/>
      <c r="O4734" s="317"/>
      <c r="P4734" s="317"/>
      <c r="Q4734" s="317"/>
      <c r="R4734" s="317"/>
      <c r="S4734" s="317"/>
      <c r="T4734" s="317"/>
      <c r="U4734" s="317"/>
      <c r="V4734" s="317"/>
      <c r="W4734" s="317"/>
      <c r="X4734" s="317"/>
      <c r="Y4734" s="317"/>
      <c r="Z4734" s="317"/>
    </row>
    <row r="4735" spans="1:26" x14ac:dyDescent="0.25">
      <c r="A4735" s="314"/>
      <c r="B4735" s="18">
        <v>2023</v>
      </c>
      <c r="C4735" s="18" t="s">
        <v>778</v>
      </c>
      <c r="D4735" s="18" t="s">
        <v>1847</v>
      </c>
      <c r="E4735" s="18" t="s">
        <v>56</v>
      </c>
      <c r="F4735" s="18" t="s">
        <v>672</v>
      </c>
      <c r="G4735" s="18" t="s">
        <v>678</v>
      </c>
      <c r="H4735" s="18" t="s">
        <v>1080</v>
      </c>
      <c r="I4735" s="315">
        <v>1.4217385718772197E-2</v>
      </c>
      <c r="J4735" s="315">
        <v>6.2868013640337009E-6</v>
      </c>
      <c r="K4735" s="316" t="str">
        <f t="shared" si="66"/>
        <v>Agricultural Equipment</v>
      </c>
      <c r="L4735" s="316" t="str">
        <f t="shared" si="67"/>
        <v>LPG</v>
      </c>
      <c r="M4735" s="194"/>
      <c r="N4735" s="317"/>
      <c r="O4735" s="317"/>
      <c r="P4735" s="317"/>
      <c r="Q4735" s="317"/>
      <c r="R4735" s="317"/>
      <c r="S4735" s="317"/>
      <c r="T4735" s="317"/>
      <c r="U4735" s="317"/>
      <c r="V4735" s="317"/>
      <c r="W4735" s="317"/>
      <c r="X4735" s="317"/>
      <c r="Y4735" s="317"/>
      <c r="Z4735" s="317"/>
    </row>
    <row r="4736" spans="1:26" x14ac:dyDescent="0.25">
      <c r="A4736" s="314"/>
      <c r="B4736" s="18">
        <v>2023</v>
      </c>
      <c r="C4736" s="18" t="s">
        <v>781</v>
      </c>
      <c r="D4736" s="18" t="s">
        <v>1825</v>
      </c>
      <c r="E4736" s="18" t="s">
        <v>56</v>
      </c>
      <c r="F4736" s="18" t="s">
        <v>601</v>
      </c>
      <c r="G4736" s="18" t="s">
        <v>674</v>
      </c>
      <c r="H4736" s="18" t="s">
        <v>859</v>
      </c>
      <c r="I4736" s="315">
        <v>1.4214840763146754E-2</v>
      </c>
      <c r="J4736" s="315">
        <v>3.0542405166233017E-4</v>
      </c>
      <c r="K4736" s="316" t="str">
        <f t="shared" si="66"/>
        <v>Construction and Mining Equipment</v>
      </c>
      <c r="L4736" s="316" t="str">
        <f t="shared" si="67"/>
        <v>CNG</v>
      </c>
      <c r="M4736" s="194"/>
      <c r="N4736" s="317"/>
      <c r="O4736" s="317"/>
      <c r="P4736" s="317"/>
      <c r="Q4736" s="317"/>
      <c r="R4736" s="317"/>
      <c r="S4736" s="317"/>
      <c r="T4736" s="317"/>
      <c r="U4736" s="317"/>
      <c r="V4736" s="317"/>
      <c r="W4736" s="317"/>
      <c r="X4736" s="317"/>
      <c r="Y4736" s="317"/>
      <c r="Z4736" s="317"/>
    </row>
    <row r="4737" spans="1:26" x14ac:dyDescent="0.25">
      <c r="A4737" s="314"/>
      <c r="B4737" s="18">
        <v>2023</v>
      </c>
      <c r="C4737" s="18" t="s">
        <v>792</v>
      </c>
      <c r="D4737" s="18" t="s">
        <v>1842</v>
      </c>
      <c r="E4737" s="18" t="s">
        <v>713</v>
      </c>
      <c r="F4737" s="18" t="s">
        <v>714</v>
      </c>
      <c r="G4737" s="18" t="s">
        <v>678</v>
      </c>
      <c r="H4737" s="18" t="s">
        <v>1709</v>
      </c>
      <c r="I4737" s="315">
        <v>1.3401156135667591E-2</v>
      </c>
      <c r="J4737" s="315">
        <v>1.6581754097033663E-6</v>
      </c>
      <c r="K4737" s="316" t="str">
        <f t="shared" si="66"/>
        <v>Agricultural Equipment</v>
      </c>
      <c r="L4737" s="316" t="str">
        <f t="shared" si="67"/>
        <v>Diesel</v>
      </c>
      <c r="M4737" s="194"/>
      <c r="N4737" s="317"/>
      <c r="O4737" s="317"/>
      <c r="P4737" s="317"/>
      <c r="Q4737" s="317"/>
      <c r="R4737" s="317"/>
      <c r="S4737" s="317"/>
      <c r="T4737" s="317"/>
      <c r="U4737" s="317"/>
      <c r="V4737" s="317"/>
      <c r="W4737" s="317"/>
      <c r="X4737" s="317"/>
      <c r="Y4737" s="317"/>
      <c r="Z4737" s="317"/>
    </row>
    <row r="4738" spans="1:26" x14ac:dyDescent="0.25">
      <c r="A4738" s="314"/>
      <c r="B4738" s="18">
        <v>2023</v>
      </c>
      <c r="C4738" s="18" t="s">
        <v>792</v>
      </c>
      <c r="D4738" s="18" t="s">
        <v>1843</v>
      </c>
      <c r="E4738" s="18" t="s">
        <v>56</v>
      </c>
      <c r="F4738" s="18" t="s">
        <v>672</v>
      </c>
      <c r="G4738" s="18" t="s">
        <v>678</v>
      </c>
      <c r="H4738" s="18" t="s">
        <v>1154</v>
      </c>
      <c r="I4738" s="315">
        <v>1.3378408760439506E-2</v>
      </c>
      <c r="J4738" s="315">
        <v>6.1396757288368085E-7</v>
      </c>
      <c r="K4738" s="316" t="str">
        <f t="shared" si="66"/>
        <v>Agricultural Equipment</v>
      </c>
      <c r="L4738" s="316" t="str">
        <f t="shared" si="67"/>
        <v>LPG</v>
      </c>
      <c r="M4738" s="194"/>
      <c r="N4738" s="317"/>
      <c r="O4738" s="317"/>
      <c r="P4738" s="317"/>
      <c r="Q4738" s="317"/>
      <c r="R4738" s="317"/>
      <c r="S4738" s="317"/>
      <c r="T4738" s="317"/>
      <c r="U4738" s="317"/>
      <c r="V4738" s="317"/>
      <c r="W4738" s="317"/>
      <c r="X4738" s="317"/>
      <c r="Y4738" s="317"/>
      <c r="Z4738" s="317"/>
    </row>
    <row r="4739" spans="1:26" x14ac:dyDescent="0.25">
      <c r="A4739" s="314"/>
      <c r="B4739" s="18">
        <v>2023</v>
      </c>
      <c r="C4739" s="18" t="s">
        <v>759</v>
      </c>
      <c r="D4739" s="18" t="s">
        <v>1806</v>
      </c>
      <c r="E4739" s="18" t="s">
        <v>56</v>
      </c>
      <c r="F4739" s="18" t="s">
        <v>601</v>
      </c>
      <c r="G4739" s="18" t="s">
        <v>675</v>
      </c>
      <c r="H4739" s="18" t="s">
        <v>798</v>
      </c>
      <c r="I4739" s="315">
        <v>1.3342305919939295E-2</v>
      </c>
      <c r="J4739" s="315">
        <v>5.3106026083164467E-5</v>
      </c>
      <c r="K4739" s="316" t="str">
        <f t="shared" si="66"/>
        <v>Industrial Equipment</v>
      </c>
      <c r="L4739" s="316" t="str">
        <f t="shared" si="67"/>
        <v>CNG</v>
      </c>
      <c r="M4739" s="194"/>
      <c r="N4739" s="317"/>
      <c r="O4739" s="317"/>
      <c r="P4739" s="317"/>
      <c r="Q4739" s="317"/>
      <c r="R4739" s="317"/>
      <c r="S4739" s="317"/>
      <c r="T4739" s="317"/>
      <c r="U4739" s="317"/>
      <c r="V4739" s="317"/>
      <c r="W4739" s="317"/>
      <c r="X4739" s="317"/>
      <c r="Y4739" s="317"/>
      <c r="Z4739" s="317"/>
    </row>
    <row r="4740" spans="1:26" x14ac:dyDescent="0.25">
      <c r="A4740" s="314"/>
      <c r="B4740" s="18">
        <v>2023</v>
      </c>
      <c r="C4740" s="18" t="s">
        <v>793</v>
      </c>
      <c r="D4740" s="18" t="s">
        <v>1841</v>
      </c>
      <c r="E4740" s="18" t="s">
        <v>703</v>
      </c>
      <c r="F4740" s="18" t="s">
        <v>805</v>
      </c>
      <c r="G4740" s="18" t="s">
        <v>675</v>
      </c>
      <c r="H4740" s="18" t="s">
        <v>798</v>
      </c>
      <c r="I4740" s="315">
        <v>1.2915265426272131E-2</v>
      </c>
      <c r="J4740" s="315">
        <v>2.8857970185771739E-5</v>
      </c>
      <c r="K4740" s="316" t="str">
        <f t="shared" si="66"/>
        <v>Industrial Equipment</v>
      </c>
      <c r="L4740" s="316" t="str">
        <f t="shared" si="67"/>
        <v>Gasoline</v>
      </c>
      <c r="M4740" s="194"/>
      <c r="N4740" s="317"/>
      <c r="O4740" s="317"/>
      <c r="P4740" s="317"/>
      <c r="Q4740" s="317"/>
      <c r="R4740" s="317"/>
      <c r="S4740" s="317"/>
      <c r="T4740" s="317"/>
      <c r="U4740" s="317"/>
      <c r="V4740" s="317"/>
      <c r="W4740" s="317"/>
      <c r="X4740" s="317"/>
      <c r="Y4740" s="317"/>
      <c r="Z4740" s="317"/>
    </row>
    <row r="4741" spans="1:26" x14ac:dyDescent="0.25">
      <c r="A4741" s="314"/>
      <c r="B4741" s="18">
        <v>2023</v>
      </c>
      <c r="C4741" s="18" t="s">
        <v>722</v>
      </c>
      <c r="D4741" s="18" t="s">
        <v>1847</v>
      </c>
      <c r="E4741" s="18" t="s">
        <v>56</v>
      </c>
      <c r="F4741" s="18" t="s">
        <v>672</v>
      </c>
      <c r="G4741" s="18" t="s">
        <v>678</v>
      </c>
      <c r="H4741" s="18" t="s">
        <v>1080</v>
      </c>
      <c r="I4741" s="315">
        <v>1.2852983305013877E-2</v>
      </c>
      <c r="J4741" s="315">
        <v>5.6834831431238238E-6</v>
      </c>
      <c r="K4741" s="316" t="str">
        <f t="shared" si="66"/>
        <v>Agricultural Equipment</v>
      </c>
      <c r="L4741" s="316" t="str">
        <f t="shared" si="67"/>
        <v>LPG</v>
      </c>
      <c r="M4741" s="194"/>
      <c r="N4741" s="317"/>
      <c r="O4741" s="317"/>
      <c r="P4741" s="317"/>
      <c r="Q4741" s="317"/>
      <c r="R4741" s="317"/>
      <c r="S4741" s="317"/>
      <c r="T4741" s="317"/>
      <c r="U4741" s="317"/>
      <c r="V4741" s="317"/>
      <c r="W4741" s="317"/>
      <c r="X4741" s="317"/>
      <c r="Y4741" s="317"/>
      <c r="Z4741" s="317"/>
    </row>
    <row r="4742" spans="1:26" x14ac:dyDescent="0.25">
      <c r="A4742" s="314"/>
      <c r="B4742" s="18">
        <v>2023</v>
      </c>
      <c r="C4742" s="18" t="s">
        <v>722</v>
      </c>
      <c r="D4742" s="18" t="s">
        <v>1848</v>
      </c>
      <c r="E4742" s="18" t="s">
        <v>703</v>
      </c>
      <c r="F4742" s="18" t="s">
        <v>805</v>
      </c>
      <c r="G4742" s="18" t="s">
        <v>674</v>
      </c>
      <c r="H4742" s="18" t="s">
        <v>981</v>
      </c>
      <c r="I4742" s="315">
        <v>1.2744041215428728E-2</v>
      </c>
      <c r="J4742" s="315">
        <v>2.8475341264945157E-5</v>
      </c>
      <c r="K4742" s="316" t="str">
        <f t="shared" si="66"/>
        <v>Construction and Mining Equipment</v>
      </c>
      <c r="L4742" s="316" t="str">
        <f t="shared" si="67"/>
        <v>Gasoline</v>
      </c>
      <c r="M4742" s="194"/>
      <c r="N4742" s="317"/>
      <c r="O4742" s="317"/>
      <c r="P4742" s="317"/>
      <c r="Q4742" s="317"/>
      <c r="R4742" s="317"/>
      <c r="S4742" s="317"/>
      <c r="T4742" s="317"/>
      <c r="U4742" s="317"/>
      <c r="V4742" s="317"/>
      <c r="W4742" s="317"/>
      <c r="X4742" s="317"/>
      <c r="Y4742" s="317"/>
      <c r="Z4742" s="317"/>
    </row>
    <row r="4743" spans="1:26" x14ac:dyDescent="0.25">
      <c r="A4743" s="314"/>
      <c r="B4743" s="18">
        <v>2023</v>
      </c>
      <c r="C4743" s="18" t="s">
        <v>781</v>
      </c>
      <c r="D4743" s="18" t="s">
        <v>1833</v>
      </c>
      <c r="E4743" s="18" t="s">
        <v>703</v>
      </c>
      <c r="F4743" s="18" t="s">
        <v>704</v>
      </c>
      <c r="G4743" s="18" t="s">
        <v>674</v>
      </c>
      <c r="H4743" s="18" t="s">
        <v>1082</v>
      </c>
      <c r="I4743" s="315">
        <v>1.2318798826509412E-2</v>
      </c>
      <c r="J4743" s="315">
        <v>7.9757639514172909E-6</v>
      </c>
      <c r="K4743" s="316" t="str">
        <f t="shared" si="66"/>
        <v>Construction and Mining Equipment</v>
      </c>
      <c r="L4743" s="316" t="str">
        <f t="shared" si="67"/>
        <v>Gasoline</v>
      </c>
      <c r="M4743" s="194"/>
      <c r="N4743" s="317"/>
      <c r="O4743" s="317"/>
      <c r="P4743" s="317"/>
      <c r="Q4743" s="317"/>
      <c r="R4743" s="317"/>
      <c r="S4743" s="317"/>
      <c r="T4743" s="317"/>
      <c r="U4743" s="317"/>
      <c r="V4743" s="317"/>
      <c r="W4743" s="317"/>
      <c r="X4743" s="317"/>
      <c r="Y4743" s="317"/>
      <c r="Z4743" s="317"/>
    </row>
    <row r="4744" spans="1:26" x14ac:dyDescent="0.25">
      <c r="A4744" s="314"/>
      <c r="B4744" s="18">
        <v>2023</v>
      </c>
      <c r="C4744" s="18" t="s">
        <v>778</v>
      </c>
      <c r="D4744" s="18" t="s">
        <v>1848</v>
      </c>
      <c r="E4744" s="18" t="s">
        <v>703</v>
      </c>
      <c r="F4744" s="18" t="s">
        <v>805</v>
      </c>
      <c r="G4744" s="18" t="s">
        <v>674</v>
      </c>
      <c r="H4744" s="18" t="s">
        <v>981</v>
      </c>
      <c r="I4744" s="315">
        <v>1.2284538693547368E-2</v>
      </c>
      <c r="J4744" s="315">
        <v>2.7448624157666099E-5</v>
      </c>
      <c r="K4744" s="316" t="str">
        <f t="shared" si="66"/>
        <v>Construction and Mining Equipment</v>
      </c>
      <c r="L4744" s="316" t="str">
        <f t="shared" si="67"/>
        <v>Gasoline</v>
      </c>
      <c r="M4744" s="194"/>
      <c r="N4744" s="317"/>
      <c r="O4744" s="317"/>
      <c r="P4744" s="317"/>
      <c r="Q4744" s="317"/>
      <c r="R4744" s="317"/>
      <c r="S4744" s="317"/>
      <c r="T4744" s="317"/>
      <c r="U4744" s="317"/>
      <c r="V4744" s="317"/>
      <c r="W4744" s="317"/>
      <c r="X4744" s="317"/>
      <c r="Y4744" s="317"/>
      <c r="Z4744" s="317"/>
    </row>
    <row r="4745" spans="1:26" x14ac:dyDescent="0.25">
      <c r="A4745" s="314"/>
      <c r="B4745" s="18">
        <v>2023</v>
      </c>
      <c r="C4745" s="18" t="s">
        <v>792</v>
      </c>
      <c r="D4745" s="18" t="s">
        <v>1844</v>
      </c>
      <c r="E4745" s="18" t="s">
        <v>56</v>
      </c>
      <c r="F4745" s="18" t="s">
        <v>601</v>
      </c>
      <c r="G4745" s="18" t="s">
        <v>678</v>
      </c>
      <c r="H4745" s="18" t="s">
        <v>1080</v>
      </c>
      <c r="I4745" s="315">
        <v>1.2281214758864512E-2</v>
      </c>
      <c r="J4745" s="315">
        <v>4.8368506920035045E-4</v>
      </c>
      <c r="K4745" s="316" t="str">
        <f t="shared" si="66"/>
        <v>Agricultural Equipment</v>
      </c>
      <c r="L4745" s="316" t="str">
        <f t="shared" si="67"/>
        <v>CNG</v>
      </c>
      <c r="M4745" s="194"/>
      <c r="N4745" s="317"/>
      <c r="O4745" s="317"/>
      <c r="P4745" s="317"/>
      <c r="Q4745" s="317"/>
      <c r="R4745" s="317"/>
      <c r="S4745" s="317"/>
      <c r="T4745" s="317"/>
      <c r="U4745" s="317"/>
      <c r="V4745" s="317"/>
      <c r="W4745" s="317"/>
      <c r="X4745" s="317"/>
      <c r="Y4745" s="317"/>
      <c r="Z4745" s="317"/>
    </row>
    <row r="4746" spans="1:26" x14ac:dyDescent="0.25">
      <c r="A4746" s="314"/>
      <c r="B4746" s="18">
        <v>2023</v>
      </c>
      <c r="C4746" s="18" t="s">
        <v>711</v>
      </c>
      <c r="D4746" s="18" t="s">
        <v>1847</v>
      </c>
      <c r="E4746" s="18" t="s">
        <v>56</v>
      </c>
      <c r="F4746" s="18" t="s">
        <v>672</v>
      </c>
      <c r="G4746" s="18" t="s">
        <v>678</v>
      </c>
      <c r="H4746" s="18" t="s">
        <v>1080</v>
      </c>
      <c r="I4746" s="315">
        <v>1.1728559333329676E-2</v>
      </c>
      <c r="J4746" s="315">
        <v>5.1862673874601144E-6</v>
      </c>
      <c r="K4746" s="316" t="str">
        <f t="shared" si="66"/>
        <v>Agricultural Equipment</v>
      </c>
      <c r="L4746" s="316" t="str">
        <f t="shared" si="67"/>
        <v>LPG</v>
      </c>
      <c r="M4746" s="194"/>
      <c r="N4746" s="317"/>
      <c r="O4746" s="317"/>
      <c r="P4746" s="317"/>
      <c r="Q4746" s="317"/>
      <c r="R4746" s="317"/>
      <c r="S4746" s="317"/>
      <c r="T4746" s="317"/>
      <c r="U4746" s="317"/>
      <c r="V4746" s="317"/>
      <c r="W4746" s="317"/>
      <c r="X4746" s="317"/>
      <c r="Y4746" s="317"/>
      <c r="Z4746" s="317"/>
    </row>
    <row r="4747" spans="1:26" x14ac:dyDescent="0.25">
      <c r="A4747" s="314"/>
      <c r="B4747" s="18">
        <v>2023</v>
      </c>
      <c r="C4747" s="18" t="s">
        <v>792</v>
      </c>
      <c r="D4747" s="18" t="s">
        <v>1845</v>
      </c>
      <c r="E4747" s="18" t="s">
        <v>713</v>
      </c>
      <c r="F4747" s="18" t="s">
        <v>714</v>
      </c>
      <c r="G4747" s="18" t="s">
        <v>678</v>
      </c>
      <c r="H4747" s="18" t="s">
        <v>1279</v>
      </c>
      <c r="I4747" s="315">
        <v>1.1725408321778404E-2</v>
      </c>
      <c r="J4747" s="315">
        <v>6.8364024620966415E-8</v>
      </c>
      <c r="K4747" s="316" t="str">
        <f t="shared" si="66"/>
        <v>Agricultural Equipment</v>
      </c>
      <c r="L4747" s="316" t="str">
        <f t="shared" si="67"/>
        <v>Diesel</v>
      </c>
      <c r="M4747" s="194"/>
      <c r="N4747" s="317"/>
      <c r="O4747" s="317"/>
      <c r="P4747" s="317"/>
      <c r="Q4747" s="317"/>
      <c r="R4747" s="317"/>
      <c r="S4747" s="317"/>
      <c r="T4747" s="317"/>
      <c r="U4747" s="317"/>
      <c r="V4747" s="317"/>
      <c r="W4747" s="317"/>
      <c r="X4747" s="317"/>
      <c r="Y4747" s="317"/>
      <c r="Z4747" s="317"/>
    </row>
    <row r="4748" spans="1:26" x14ac:dyDescent="0.25">
      <c r="A4748" s="314"/>
      <c r="B4748" s="18">
        <v>2023</v>
      </c>
      <c r="C4748" s="18" t="s">
        <v>778</v>
      </c>
      <c r="D4748" s="18" t="s">
        <v>1849</v>
      </c>
      <c r="E4748" s="18" t="s">
        <v>703</v>
      </c>
      <c r="F4748" s="18" t="s">
        <v>704</v>
      </c>
      <c r="G4748" s="18" t="s">
        <v>678</v>
      </c>
      <c r="H4748" s="18" t="s">
        <v>972</v>
      </c>
      <c r="I4748" s="315">
        <v>1.1161491209165299E-2</v>
      </c>
      <c r="J4748" s="315">
        <v>6.6127986452046115E-6</v>
      </c>
      <c r="K4748" s="316" t="str">
        <f t="shared" si="66"/>
        <v>Agricultural Equipment</v>
      </c>
      <c r="L4748" s="316" t="str">
        <f t="shared" si="67"/>
        <v>Gasoline</v>
      </c>
      <c r="M4748" s="194"/>
      <c r="N4748" s="317"/>
      <c r="O4748" s="317"/>
      <c r="P4748" s="317"/>
      <c r="Q4748" s="317"/>
      <c r="R4748" s="317"/>
      <c r="S4748" s="317"/>
      <c r="T4748" s="317"/>
      <c r="U4748" s="317"/>
      <c r="V4748" s="317"/>
      <c r="W4748" s="317"/>
      <c r="X4748" s="317"/>
      <c r="Y4748" s="317"/>
      <c r="Z4748" s="317"/>
    </row>
    <row r="4749" spans="1:26" x14ac:dyDescent="0.25">
      <c r="A4749" s="314"/>
      <c r="B4749" s="18">
        <v>2023</v>
      </c>
      <c r="C4749" s="18" t="s">
        <v>759</v>
      </c>
      <c r="D4749" s="18" t="s">
        <v>1825</v>
      </c>
      <c r="E4749" s="18" t="s">
        <v>56</v>
      </c>
      <c r="F4749" s="18" t="s">
        <v>601</v>
      </c>
      <c r="G4749" s="18" t="s">
        <v>674</v>
      </c>
      <c r="H4749" s="18" t="s">
        <v>859</v>
      </c>
      <c r="I4749" s="315">
        <v>1.103193747514509E-2</v>
      </c>
      <c r="J4749" s="315">
        <v>2.3703523714997806E-4</v>
      </c>
      <c r="K4749" s="316" t="str">
        <f t="shared" si="66"/>
        <v>Construction and Mining Equipment</v>
      </c>
      <c r="L4749" s="316" t="str">
        <f t="shared" si="67"/>
        <v>CNG</v>
      </c>
      <c r="M4749" s="194"/>
      <c r="N4749" s="317"/>
      <c r="O4749" s="317"/>
      <c r="P4749" s="317"/>
      <c r="Q4749" s="317"/>
      <c r="R4749" s="317"/>
      <c r="S4749" s="317"/>
      <c r="T4749" s="317"/>
      <c r="U4749" s="317"/>
      <c r="V4749" s="317"/>
      <c r="W4749" s="317"/>
      <c r="X4749" s="317"/>
      <c r="Y4749" s="317"/>
      <c r="Z4749" s="317"/>
    </row>
    <row r="4750" spans="1:26" x14ac:dyDescent="0.25">
      <c r="A4750" s="314"/>
      <c r="B4750" s="18">
        <v>2023</v>
      </c>
      <c r="C4750" s="18" t="s">
        <v>709</v>
      </c>
      <c r="D4750" s="18" t="s">
        <v>1847</v>
      </c>
      <c r="E4750" s="18" t="s">
        <v>56</v>
      </c>
      <c r="F4750" s="18" t="s">
        <v>672</v>
      </c>
      <c r="G4750" s="18" t="s">
        <v>678</v>
      </c>
      <c r="H4750" s="18" t="s">
        <v>1080</v>
      </c>
      <c r="I4750" s="315">
        <v>1.0761826216685083E-2</v>
      </c>
      <c r="J4750" s="315">
        <v>4.758784704173699E-6</v>
      </c>
      <c r="K4750" s="316" t="str">
        <f t="shared" si="66"/>
        <v>Agricultural Equipment</v>
      </c>
      <c r="L4750" s="316" t="str">
        <f t="shared" si="67"/>
        <v>LPG</v>
      </c>
      <c r="M4750" s="194"/>
      <c r="N4750" s="317"/>
      <c r="O4750" s="317"/>
      <c r="P4750" s="317"/>
      <c r="Q4750" s="317"/>
      <c r="R4750" s="317"/>
      <c r="S4750" s="317"/>
      <c r="T4750" s="317"/>
      <c r="U4750" s="317"/>
      <c r="V4750" s="317"/>
      <c r="W4750" s="317"/>
      <c r="X4750" s="317"/>
      <c r="Y4750" s="317"/>
      <c r="Z4750" s="317"/>
    </row>
    <row r="4751" spans="1:26" x14ac:dyDescent="0.25">
      <c r="A4751" s="314"/>
      <c r="B4751" s="18">
        <v>2023</v>
      </c>
      <c r="C4751" s="18" t="s">
        <v>781</v>
      </c>
      <c r="D4751" s="18" t="s">
        <v>1792</v>
      </c>
      <c r="E4751" s="18" t="s">
        <v>713</v>
      </c>
      <c r="F4751" s="18" t="s">
        <v>714</v>
      </c>
      <c r="G4751" s="18" t="s">
        <v>673</v>
      </c>
      <c r="H4751" s="18" t="s">
        <v>749</v>
      </c>
      <c r="I4751" s="315">
        <v>1.066347361096401E-2</v>
      </c>
      <c r="J4751" s="315">
        <v>5.5063960019362934E-7</v>
      </c>
      <c r="K4751" s="316" t="str">
        <f t="shared" si="66"/>
        <v>Lawn and Garden Equipment</v>
      </c>
      <c r="L4751" s="316" t="str">
        <f t="shared" si="67"/>
        <v>Diesel</v>
      </c>
      <c r="M4751" s="194"/>
      <c r="N4751" s="317"/>
      <c r="O4751" s="317"/>
      <c r="P4751" s="317"/>
      <c r="Q4751" s="317"/>
      <c r="R4751" s="317"/>
      <c r="S4751" s="317"/>
      <c r="T4751" s="317"/>
      <c r="U4751" s="317"/>
      <c r="V4751" s="317"/>
      <c r="W4751" s="317"/>
      <c r="X4751" s="317"/>
      <c r="Y4751" s="317"/>
      <c r="Z4751" s="317"/>
    </row>
    <row r="4752" spans="1:26" x14ac:dyDescent="0.25">
      <c r="A4752" s="314"/>
      <c r="B4752" s="18">
        <v>2023</v>
      </c>
      <c r="C4752" s="18" t="s">
        <v>787</v>
      </c>
      <c r="D4752" s="18" t="s">
        <v>1840</v>
      </c>
      <c r="E4752" s="18" t="s">
        <v>703</v>
      </c>
      <c r="F4752" s="18" t="s">
        <v>704</v>
      </c>
      <c r="G4752" s="18" t="s">
        <v>681</v>
      </c>
      <c r="H4752" s="18" t="s">
        <v>895</v>
      </c>
      <c r="I4752" s="315">
        <v>1.0270772826951907E-2</v>
      </c>
      <c r="J4752" s="315">
        <v>8.0729280657491861E-6</v>
      </c>
      <c r="K4752" s="316" t="str">
        <f t="shared" si="66"/>
        <v>Logging Equipment</v>
      </c>
      <c r="L4752" s="316" t="str">
        <f t="shared" si="67"/>
        <v>Gasoline</v>
      </c>
      <c r="M4752" s="194"/>
      <c r="N4752" s="317"/>
      <c r="O4752" s="317"/>
      <c r="P4752" s="317"/>
      <c r="Q4752" s="317"/>
      <c r="R4752" s="317"/>
      <c r="S4752" s="317"/>
      <c r="T4752" s="317"/>
      <c r="U4752" s="317"/>
      <c r="V4752" s="317"/>
      <c r="W4752" s="317"/>
      <c r="X4752" s="317"/>
      <c r="Y4752" s="317"/>
      <c r="Z4752" s="317"/>
    </row>
    <row r="4753" spans="1:26" x14ac:dyDescent="0.25">
      <c r="A4753" s="314"/>
      <c r="B4753" s="18">
        <v>2023</v>
      </c>
      <c r="C4753" s="18" t="s">
        <v>722</v>
      </c>
      <c r="D4753" s="18" t="s">
        <v>1849</v>
      </c>
      <c r="E4753" s="18" t="s">
        <v>703</v>
      </c>
      <c r="F4753" s="18" t="s">
        <v>704</v>
      </c>
      <c r="G4753" s="18" t="s">
        <v>678</v>
      </c>
      <c r="H4753" s="18" t="s">
        <v>972</v>
      </c>
      <c r="I4753" s="315">
        <v>1.0090358410559533E-2</v>
      </c>
      <c r="J4753" s="315">
        <v>5.9860437123466314E-6</v>
      </c>
      <c r="K4753" s="316" t="str">
        <f t="shared" si="66"/>
        <v>Agricultural Equipment</v>
      </c>
      <c r="L4753" s="316" t="str">
        <f t="shared" si="67"/>
        <v>Gasoline</v>
      </c>
      <c r="M4753" s="194"/>
      <c r="N4753" s="317"/>
      <c r="O4753" s="317"/>
      <c r="P4753" s="317"/>
      <c r="Q4753" s="317"/>
      <c r="R4753" s="317"/>
      <c r="S4753" s="317"/>
      <c r="T4753" s="317"/>
      <c r="U4753" s="317"/>
      <c r="V4753" s="317"/>
      <c r="W4753" s="317"/>
      <c r="X4753" s="317"/>
      <c r="Y4753" s="317"/>
      <c r="Z4753" s="317"/>
    </row>
    <row r="4754" spans="1:26" x14ac:dyDescent="0.25">
      <c r="A4754" s="314"/>
      <c r="B4754" s="18">
        <v>2023</v>
      </c>
      <c r="C4754" s="18" t="s">
        <v>792</v>
      </c>
      <c r="D4754" s="18" t="s">
        <v>1792</v>
      </c>
      <c r="E4754" s="18" t="s">
        <v>713</v>
      </c>
      <c r="F4754" s="18" t="s">
        <v>714</v>
      </c>
      <c r="G4754" s="18" t="s">
        <v>673</v>
      </c>
      <c r="H4754" s="18" t="s">
        <v>749</v>
      </c>
      <c r="I4754" s="315">
        <v>9.8735824556960127E-3</v>
      </c>
      <c r="J4754" s="315">
        <v>5.0985209373206564E-7</v>
      </c>
      <c r="K4754" s="316" t="str">
        <f t="shared" si="66"/>
        <v>Lawn and Garden Equipment</v>
      </c>
      <c r="L4754" s="316" t="str">
        <f t="shared" si="67"/>
        <v>Diesel</v>
      </c>
      <c r="M4754" s="194"/>
      <c r="N4754" s="317"/>
      <c r="O4754" s="317"/>
      <c r="P4754" s="317"/>
      <c r="Q4754" s="317"/>
      <c r="R4754" s="317"/>
      <c r="S4754" s="317"/>
      <c r="T4754" s="317"/>
      <c r="U4754" s="317"/>
      <c r="V4754" s="317"/>
      <c r="W4754" s="317"/>
      <c r="X4754" s="317"/>
      <c r="Y4754" s="317"/>
      <c r="Z4754" s="317"/>
    </row>
    <row r="4755" spans="1:26" x14ac:dyDescent="0.25">
      <c r="A4755" s="314"/>
      <c r="B4755" s="18">
        <v>2023</v>
      </c>
      <c r="C4755" s="18" t="s">
        <v>731</v>
      </c>
      <c r="D4755" s="18" t="s">
        <v>991</v>
      </c>
      <c r="E4755" s="18" t="s">
        <v>703</v>
      </c>
      <c r="F4755" s="18" t="s">
        <v>795</v>
      </c>
      <c r="G4755" s="18" t="s">
        <v>680</v>
      </c>
      <c r="H4755" s="18" t="s">
        <v>992</v>
      </c>
      <c r="I4755" s="315">
        <v>9.6281680889597279E-3</v>
      </c>
      <c r="J4755" s="315">
        <v>2.7591398042012372E-6</v>
      </c>
      <c r="K4755" s="316" t="str">
        <f t="shared" si="66"/>
        <v>Airport Ground Support Equipment</v>
      </c>
      <c r="L4755" s="316" t="str">
        <f t="shared" si="67"/>
        <v>Gasoline</v>
      </c>
      <c r="M4755" s="194"/>
      <c r="N4755" s="317"/>
      <c r="O4755" s="317"/>
      <c r="P4755" s="317"/>
      <c r="Q4755" s="317"/>
      <c r="R4755" s="317"/>
      <c r="S4755" s="317"/>
      <c r="T4755" s="317"/>
      <c r="U4755" s="317"/>
      <c r="V4755" s="317"/>
      <c r="W4755" s="317"/>
      <c r="X4755" s="317"/>
      <c r="Y4755" s="317"/>
      <c r="Z4755" s="317"/>
    </row>
    <row r="4756" spans="1:26" x14ac:dyDescent="0.25">
      <c r="A4756" s="314"/>
      <c r="B4756" s="18">
        <v>2023</v>
      </c>
      <c r="C4756" s="18" t="s">
        <v>759</v>
      </c>
      <c r="D4756" s="18" t="s">
        <v>1833</v>
      </c>
      <c r="E4756" s="18" t="s">
        <v>703</v>
      </c>
      <c r="F4756" s="18" t="s">
        <v>704</v>
      </c>
      <c r="G4756" s="18" t="s">
        <v>674</v>
      </c>
      <c r="H4756" s="18" t="s">
        <v>1082</v>
      </c>
      <c r="I4756" s="315">
        <v>9.5604437907538097E-3</v>
      </c>
      <c r="J4756" s="315">
        <v>6.1737291923111252E-6</v>
      </c>
      <c r="K4756" s="316" t="str">
        <f t="shared" si="66"/>
        <v>Construction and Mining Equipment</v>
      </c>
      <c r="L4756" s="316" t="str">
        <f t="shared" si="67"/>
        <v>Gasoline</v>
      </c>
      <c r="M4756" s="194"/>
      <c r="N4756" s="317"/>
      <c r="O4756" s="317"/>
      <c r="P4756" s="317"/>
      <c r="Q4756" s="317"/>
      <c r="R4756" s="317"/>
      <c r="S4756" s="317"/>
      <c r="T4756" s="317"/>
      <c r="U4756" s="317"/>
      <c r="V4756" s="317"/>
      <c r="W4756" s="317"/>
      <c r="X4756" s="317"/>
      <c r="Y4756" s="317"/>
      <c r="Z4756" s="317"/>
    </row>
    <row r="4757" spans="1:26" x14ac:dyDescent="0.25">
      <c r="A4757" s="314"/>
      <c r="B4757" s="18">
        <v>2023</v>
      </c>
      <c r="C4757" s="18" t="s">
        <v>711</v>
      </c>
      <c r="D4757" s="18" t="s">
        <v>1849</v>
      </c>
      <c r="E4757" s="18" t="s">
        <v>703</v>
      </c>
      <c r="F4757" s="18" t="s">
        <v>704</v>
      </c>
      <c r="G4757" s="18" t="s">
        <v>678</v>
      </c>
      <c r="H4757" s="18" t="s">
        <v>972</v>
      </c>
      <c r="I4757" s="315">
        <v>9.2076215383300932E-3</v>
      </c>
      <c r="J4757" s="315">
        <v>5.4579549469879859E-6</v>
      </c>
      <c r="K4757" s="316" t="str">
        <f t="shared" si="66"/>
        <v>Agricultural Equipment</v>
      </c>
      <c r="L4757" s="316" t="str">
        <f t="shared" si="67"/>
        <v>Gasoline</v>
      </c>
      <c r="M4757" s="194"/>
      <c r="N4757" s="317"/>
      <c r="O4757" s="317"/>
      <c r="P4757" s="317"/>
      <c r="Q4757" s="317"/>
      <c r="R4757" s="317"/>
      <c r="S4757" s="317"/>
      <c r="T4757" s="317"/>
      <c r="U4757" s="317"/>
      <c r="V4757" s="317"/>
      <c r="W4757" s="317"/>
      <c r="X4757" s="317"/>
      <c r="Y4757" s="317"/>
      <c r="Z4757" s="317"/>
    </row>
    <row r="4758" spans="1:26" x14ac:dyDescent="0.25">
      <c r="A4758" s="314"/>
      <c r="B4758" s="18">
        <v>2023</v>
      </c>
      <c r="C4758" s="18" t="s">
        <v>743</v>
      </c>
      <c r="D4758" s="18" t="s">
        <v>1848</v>
      </c>
      <c r="E4758" s="18" t="s">
        <v>703</v>
      </c>
      <c r="F4758" s="18" t="s">
        <v>805</v>
      </c>
      <c r="G4758" s="18" t="s">
        <v>674</v>
      </c>
      <c r="H4758" s="18" t="s">
        <v>981</v>
      </c>
      <c r="I4758" s="315">
        <v>9.1884164723250832E-3</v>
      </c>
      <c r="J4758" s="315">
        <v>2.0530642917724065E-5</v>
      </c>
      <c r="K4758" s="316" t="str">
        <f t="shared" si="66"/>
        <v>Construction and Mining Equipment</v>
      </c>
      <c r="L4758" s="316" t="str">
        <f t="shared" si="67"/>
        <v>Gasoline</v>
      </c>
      <c r="M4758" s="194"/>
      <c r="N4758" s="317"/>
      <c r="O4758" s="317"/>
      <c r="P4758" s="317"/>
      <c r="Q4758" s="317"/>
      <c r="R4758" s="317"/>
      <c r="S4758" s="317"/>
      <c r="T4758" s="317"/>
      <c r="U4758" s="317"/>
      <c r="V4758" s="317"/>
      <c r="W4758" s="317"/>
      <c r="X4758" s="317"/>
      <c r="Y4758" s="317"/>
      <c r="Z4758" s="317"/>
    </row>
    <row r="4759" spans="1:26" x14ac:dyDescent="0.25">
      <c r="A4759" s="314"/>
      <c r="B4759" s="18">
        <v>2023</v>
      </c>
      <c r="C4759" s="18" t="s">
        <v>727</v>
      </c>
      <c r="D4759" s="18" t="s">
        <v>1846</v>
      </c>
      <c r="E4759" s="18" t="s">
        <v>703</v>
      </c>
      <c r="F4759" s="18" t="s">
        <v>805</v>
      </c>
      <c r="G4759" s="18" t="s">
        <v>677</v>
      </c>
      <c r="H4759" s="18" t="s">
        <v>785</v>
      </c>
      <c r="I4759" s="315">
        <v>9.1802623493271104E-3</v>
      </c>
      <c r="J4759" s="315">
        <v>2.051240665589029E-5</v>
      </c>
      <c r="K4759" s="316" t="str">
        <f t="shared" si="66"/>
        <v>Commercial Equipment</v>
      </c>
      <c r="L4759" s="316" t="str">
        <f t="shared" si="67"/>
        <v>Gasoline</v>
      </c>
      <c r="M4759" s="194"/>
      <c r="N4759" s="317"/>
      <c r="O4759" s="317"/>
      <c r="P4759" s="317"/>
      <c r="Q4759" s="317"/>
      <c r="R4759" s="317"/>
      <c r="S4759" s="317"/>
      <c r="T4759" s="317"/>
      <c r="U4759" s="317"/>
      <c r="V4759" s="317"/>
      <c r="W4759" s="317"/>
      <c r="X4759" s="317"/>
      <c r="Y4759" s="317"/>
      <c r="Z4759" s="317"/>
    </row>
    <row r="4760" spans="1:26" x14ac:dyDescent="0.25">
      <c r="A4760" s="314"/>
      <c r="B4760" s="18">
        <v>2023</v>
      </c>
      <c r="C4760" s="18" t="s">
        <v>709</v>
      </c>
      <c r="D4760" s="18" t="s">
        <v>1024</v>
      </c>
      <c r="E4760" s="18" t="s">
        <v>56</v>
      </c>
      <c r="F4760" s="18" t="s">
        <v>1025</v>
      </c>
      <c r="G4760" s="18" t="s">
        <v>680</v>
      </c>
      <c r="H4760" s="18" t="s">
        <v>1026</v>
      </c>
      <c r="I4760" s="315">
        <v>9.1507217379127523E-3</v>
      </c>
      <c r="J4760" s="315">
        <v>4.1681729549636668E-7</v>
      </c>
      <c r="K4760" s="316" t="str">
        <f t="shared" si="66"/>
        <v>Airport Ground Support Equipment</v>
      </c>
      <c r="L4760" s="316" t="str">
        <f t="shared" si="67"/>
        <v>LPG</v>
      </c>
      <c r="M4760" s="194"/>
      <c r="N4760" s="317"/>
      <c r="O4760" s="317"/>
      <c r="P4760" s="317"/>
      <c r="Q4760" s="317"/>
      <c r="R4760" s="317"/>
      <c r="S4760" s="317"/>
      <c r="T4760" s="317"/>
      <c r="U4760" s="317"/>
      <c r="V4760" s="317"/>
      <c r="W4760" s="317"/>
      <c r="X4760" s="317"/>
      <c r="Y4760" s="317"/>
      <c r="Z4760" s="317"/>
    </row>
    <row r="4761" spans="1:26" x14ac:dyDescent="0.25">
      <c r="A4761" s="314"/>
      <c r="B4761" s="18">
        <v>2023</v>
      </c>
      <c r="C4761" s="18" t="s">
        <v>750</v>
      </c>
      <c r="D4761" s="18" t="s">
        <v>1841</v>
      </c>
      <c r="E4761" s="18" t="s">
        <v>703</v>
      </c>
      <c r="F4761" s="18" t="s">
        <v>805</v>
      </c>
      <c r="G4761" s="18" t="s">
        <v>675</v>
      </c>
      <c r="H4761" s="18" t="s">
        <v>798</v>
      </c>
      <c r="I4761" s="315">
        <v>8.8472384372599196E-3</v>
      </c>
      <c r="J4761" s="315">
        <v>1.9768348663751307E-5</v>
      </c>
      <c r="K4761" s="316" t="str">
        <f t="shared" si="66"/>
        <v>Industrial Equipment</v>
      </c>
      <c r="L4761" s="316" t="str">
        <f t="shared" si="67"/>
        <v>Gasoline</v>
      </c>
      <c r="M4761" s="194"/>
      <c r="N4761" s="317"/>
      <c r="O4761" s="317"/>
      <c r="P4761" s="317"/>
      <c r="Q4761" s="317"/>
      <c r="R4761" s="317"/>
      <c r="S4761" s="317"/>
      <c r="T4761" s="317"/>
      <c r="U4761" s="317"/>
      <c r="V4761" s="317"/>
      <c r="W4761" s="317"/>
      <c r="X4761" s="317"/>
      <c r="Y4761" s="317"/>
      <c r="Z4761" s="317"/>
    </row>
    <row r="4762" spans="1:26" x14ac:dyDescent="0.25">
      <c r="A4762" s="314"/>
      <c r="B4762" s="18">
        <v>2023</v>
      </c>
      <c r="C4762" s="18" t="s">
        <v>762</v>
      </c>
      <c r="D4762" s="18" t="s">
        <v>1846</v>
      </c>
      <c r="E4762" s="18" t="s">
        <v>703</v>
      </c>
      <c r="F4762" s="18" t="s">
        <v>805</v>
      </c>
      <c r="G4762" s="18" t="s">
        <v>677</v>
      </c>
      <c r="H4762" s="18" t="s">
        <v>785</v>
      </c>
      <c r="I4762" s="315">
        <v>8.8443938812590977E-3</v>
      </c>
      <c r="J4762" s="315">
        <v>1.9761955694024101E-5</v>
      </c>
      <c r="K4762" s="316" t="str">
        <f t="shared" si="66"/>
        <v>Commercial Equipment</v>
      </c>
      <c r="L4762" s="316" t="str">
        <f t="shared" si="67"/>
        <v>Gasoline</v>
      </c>
      <c r="M4762" s="194"/>
      <c r="N4762" s="317"/>
      <c r="O4762" s="317"/>
      <c r="P4762" s="317"/>
      <c r="Q4762" s="317"/>
      <c r="R4762" s="317"/>
      <c r="S4762" s="317"/>
      <c r="T4762" s="317"/>
      <c r="U4762" s="317"/>
      <c r="V4762" s="317"/>
      <c r="W4762" s="317"/>
      <c r="X4762" s="317"/>
      <c r="Y4762" s="317"/>
      <c r="Z4762" s="317"/>
    </row>
    <row r="4763" spans="1:26" x14ac:dyDescent="0.25">
      <c r="A4763" s="314"/>
      <c r="B4763" s="18">
        <v>2023</v>
      </c>
      <c r="C4763" s="18" t="s">
        <v>778</v>
      </c>
      <c r="D4763" s="18" t="s">
        <v>1846</v>
      </c>
      <c r="E4763" s="18" t="s">
        <v>703</v>
      </c>
      <c r="F4763" s="18" t="s">
        <v>805</v>
      </c>
      <c r="G4763" s="18" t="s">
        <v>677</v>
      </c>
      <c r="H4763" s="18" t="s">
        <v>785</v>
      </c>
      <c r="I4763" s="315">
        <v>8.5085311267130148E-3</v>
      </c>
      <c r="J4763" s="315">
        <v>1.901151553822749E-5</v>
      </c>
      <c r="K4763" s="316" t="str">
        <f t="shared" si="66"/>
        <v>Commercial Equipment</v>
      </c>
      <c r="L4763" s="316" t="str">
        <f t="shared" si="67"/>
        <v>Gasoline</v>
      </c>
      <c r="M4763" s="194"/>
      <c r="N4763" s="317"/>
      <c r="O4763" s="317"/>
      <c r="P4763" s="317"/>
      <c r="Q4763" s="317"/>
      <c r="R4763" s="317"/>
      <c r="S4763" s="317"/>
      <c r="T4763" s="317"/>
      <c r="U4763" s="317"/>
      <c r="V4763" s="317"/>
      <c r="W4763" s="317"/>
      <c r="X4763" s="317"/>
      <c r="Y4763" s="317"/>
      <c r="Z4763" s="317"/>
    </row>
    <row r="4764" spans="1:26" x14ac:dyDescent="0.25">
      <c r="A4764" s="314"/>
      <c r="B4764" s="18">
        <v>2023</v>
      </c>
      <c r="C4764" s="18" t="s">
        <v>709</v>
      </c>
      <c r="D4764" s="18" t="s">
        <v>1849</v>
      </c>
      <c r="E4764" s="18" t="s">
        <v>703</v>
      </c>
      <c r="F4764" s="18" t="s">
        <v>704</v>
      </c>
      <c r="G4764" s="18" t="s">
        <v>678</v>
      </c>
      <c r="H4764" s="18" t="s">
        <v>972</v>
      </c>
      <c r="I4764" s="315">
        <v>8.4486753445278204E-3</v>
      </c>
      <c r="J4764" s="315">
        <v>5.008078907106518E-6</v>
      </c>
      <c r="K4764" s="316" t="str">
        <f t="shared" si="66"/>
        <v>Agricultural Equipment</v>
      </c>
      <c r="L4764" s="316" t="str">
        <f t="shared" si="67"/>
        <v>Gasoline</v>
      </c>
      <c r="M4764" s="194"/>
      <c r="N4764" s="317"/>
      <c r="O4764" s="317"/>
      <c r="P4764" s="317"/>
      <c r="Q4764" s="317"/>
      <c r="R4764" s="317"/>
      <c r="S4764" s="317"/>
      <c r="T4764" s="317"/>
      <c r="U4764" s="317"/>
      <c r="V4764" s="317"/>
      <c r="W4764" s="317"/>
      <c r="X4764" s="317"/>
      <c r="Y4764" s="317"/>
      <c r="Z4764" s="317"/>
    </row>
    <row r="4765" spans="1:26" x14ac:dyDescent="0.25">
      <c r="A4765" s="314"/>
      <c r="B4765" s="18">
        <v>2023</v>
      </c>
      <c r="C4765" s="18" t="s">
        <v>793</v>
      </c>
      <c r="D4765" s="18" t="s">
        <v>1847</v>
      </c>
      <c r="E4765" s="18" t="s">
        <v>56</v>
      </c>
      <c r="F4765" s="18" t="s">
        <v>672</v>
      </c>
      <c r="G4765" s="18" t="s">
        <v>678</v>
      </c>
      <c r="H4765" s="18" t="s">
        <v>1080</v>
      </c>
      <c r="I4765" s="315">
        <v>8.4431667711464941E-3</v>
      </c>
      <c r="J4765" s="315">
        <v>3.7334984153139356E-6</v>
      </c>
      <c r="K4765" s="316" t="str">
        <f t="shared" si="66"/>
        <v>Agricultural Equipment</v>
      </c>
      <c r="L4765" s="316" t="str">
        <f t="shared" si="67"/>
        <v>LPG</v>
      </c>
      <c r="M4765" s="194"/>
      <c r="N4765" s="317"/>
      <c r="O4765" s="317"/>
      <c r="P4765" s="317"/>
      <c r="Q4765" s="317"/>
      <c r="R4765" s="317"/>
      <c r="S4765" s="317"/>
      <c r="T4765" s="317"/>
      <c r="U4765" s="317"/>
      <c r="V4765" s="317"/>
      <c r="W4765" s="317"/>
      <c r="X4765" s="317"/>
      <c r="Y4765" s="317"/>
      <c r="Z4765" s="317"/>
    </row>
    <row r="4766" spans="1:26" x14ac:dyDescent="0.25">
      <c r="A4766" s="314"/>
      <c r="B4766" s="18">
        <v>2023</v>
      </c>
      <c r="C4766" s="18" t="s">
        <v>754</v>
      </c>
      <c r="D4766" s="18" t="s">
        <v>1848</v>
      </c>
      <c r="E4766" s="18" t="s">
        <v>703</v>
      </c>
      <c r="F4766" s="18" t="s">
        <v>805</v>
      </c>
      <c r="G4766" s="18" t="s">
        <v>674</v>
      </c>
      <c r="H4766" s="18" t="s">
        <v>981</v>
      </c>
      <c r="I4766" s="315">
        <v>8.4262083468538227E-3</v>
      </c>
      <c r="J4766" s="315">
        <v>1.8827556726053016E-5</v>
      </c>
      <c r="K4766" s="316" t="str">
        <f t="shared" si="66"/>
        <v>Construction and Mining Equipment</v>
      </c>
      <c r="L4766" s="316" t="str">
        <f t="shared" si="67"/>
        <v>Gasoline</v>
      </c>
      <c r="M4766" s="194"/>
      <c r="N4766" s="317"/>
      <c r="O4766" s="317"/>
      <c r="P4766" s="317"/>
      <c r="Q4766" s="317"/>
      <c r="R4766" s="317"/>
      <c r="S4766" s="317"/>
      <c r="T4766" s="317"/>
      <c r="U4766" s="317"/>
      <c r="V4766" s="317"/>
      <c r="W4766" s="317"/>
      <c r="X4766" s="317"/>
      <c r="Y4766" s="317"/>
      <c r="Z4766" s="317"/>
    </row>
    <row r="4767" spans="1:26" x14ac:dyDescent="0.25">
      <c r="A4767" s="314"/>
      <c r="B4767" s="18">
        <v>2023</v>
      </c>
      <c r="C4767" s="18" t="s">
        <v>753</v>
      </c>
      <c r="D4767" s="18" t="s">
        <v>1846</v>
      </c>
      <c r="E4767" s="18" t="s">
        <v>703</v>
      </c>
      <c r="F4767" s="18" t="s">
        <v>805</v>
      </c>
      <c r="G4767" s="18" t="s">
        <v>677</v>
      </c>
      <c r="H4767" s="18" t="s">
        <v>785</v>
      </c>
      <c r="I4767" s="315">
        <v>7.500945622595491E-3</v>
      </c>
      <c r="J4767" s="315">
        <v>1.6760156429334813E-5</v>
      </c>
      <c r="K4767" s="316" t="str">
        <f t="shared" si="66"/>
        <v>Commercial Equipment</v>
      </c>
      <c r="L4767" s="316" t="str">
        <f t="shared" si="67"/>
        <v>Gasoline</v>
      </c>
      <c r="M4767" s="194"/>
      <c r="N4767" s="317"/>
      <c r="O4767" s="317"/>
      <c r="P4767" s="317"/>
      <c r="Q4767" s="317"/>
      <c r="R4767" s="317"/>
      <c r="S4767" s="317"/>
      <c r="T4767" s="317"/>
      <c r="U4767" s="317"/>
      <c r="V4767" s="317"/>
      <c r="W4767" s="317"/>
      <c r="X4767" s="317"/>
      <c r="Y4767" s="317"/>
      <c r="Z4767" s="317"/>
    </row>
    <row r="4768" spans="1:26" x14ac:dyDescent="0.25">
      <c r="A4768" s="314"/>
      <c r="B4768" s="18">
        <v>2023</v>
      </c>
      <c r="C4768" s="18" t="s">
        <v>787</v>
      </c>
      <c r="D4768" s="18" t="s">
        <v>1848</v>
      </c>
      <c r="E4768" s="18" t="s">
        <v>703</v>
      </c>
      <c r="F4768" s="18" t="s">
        <v>805</v>
      </c>
      <c r="G4768" s="18" t="s">
        <v>674</v>
      </c>
      <c r="H4768" s="18" t="s">
        <v>981</v>
      </c>
      <c r="I4768" s="315">
        <v>7.3969149673970974E-3</v>
      </c>
      <c r="J4768" s="315">
        <v>1.6527710312778335E-5</v>
      </c>
      <c r="K4768" s="316" t="str">
        <f t="shared" si="66"/>
        <v>Construction and Mining Equipment</v>
      </c>
      <c r="L4768" s="316" t="str">
        <f t="shared" si="67"/>
        <v>Gasoline</v>
      </c>
      <c r="M4768" s="194"/>
      <c r="N4768" s="317"/>
      <c r="O4768" s="317"/>
      <c r="P4768" s="317"/>
      <c r="Q4768" s="317"/>
      <c r="R4768" s="317"/>
      <c r="S4768" s="317"/>
      <c r="T4768" s="317"/>
      <c r="U4768" s="317"/>
      <c r="V4768" s="317"/>
      <c r="W4768" s="317"/>
      <c r="X4768" s="317"/>
      <c r="Y4768" s="317"/>
      <c r="Z4768" s="317"/>
    </row>
    <row r="4769" spans="1:26" x14ac:dyDescent="0.25">
      <c r="A4769" s="314"/>
      <c r="B4769" s="18">
        <v>2023</v>
      </c>
      <c r="C4769" s="18" t="s">
        <v>792</v>
      </c>
      <c r="D4769" s="18" t="s">
        <v>1846</v>
      </c>
      <c r="E4769" s="18" t="s">
        <v>703</v>
      </c>
      <c r="F4769" s="18" t="s">
        <v>805</v>
      </c>
      <c r="G4769" s="18" t="s">
        <v>677</v>
      </c>
      <c r="H4769" s="18" t="s">
        <v>785</v>
      </c>
      <c r="I4769" s="315">
        <v>7.2770300110394136E-3</v>
      </c>
      <c r="J4769" s="315">
        <v>1.6259854073656319E-5</v>
      </c>
      <c r="K4769" s="316" t="str">
        <f t="shared" si="66"/>
        <v>Commercial Equipment</v>
      </c>
      <c r="L4769" s="316" t="str">
        <f t="shared" si="67"/>
        <v>Gasoline</v>
      </c>
      <c r="M4769" s="194"/>
      <c r="N4769" s="317"/>
      <c r="O4769" s="317"/>
      <c r="P4769" s="317"/>
      <c r="Q4769" s="317"/>
      <c r="R4769" s="317"/>
      <c r="S4769" s="317"/>
      <c r="T4769" s="317"/>
      <c r="U4769" s="317"/>
      <c r="V4769" s="317"/>
      <c r="W4769" s="317"/>
      <c r="X4769" s="317"/>
      <c r="Y4769" s="317"/>
      <c r="Z4769" s="317"/>
    </row>
    <row r="4770" spans="1:26" x14ac:dyDescent="0.25">
      <c r="A4770" s="314"/>
      <c r="B4770" s="18">
        <v>2023</v>
      </c>
      <c r="C4770" s="18" t="s">
        <v>787</v>
      </c>
      <c r="D4770" s="18" t="s">
        <v>1846</v>
      </c>
      <c r="E4770" s="18" t="s">
        <v>703</v>
      </c>
      <c r="F4770" s="18" t="s">
        <v>805</v>
      </c>
      <c r="G4770" s="18" t="s">
        <v>677</v>
      </c>
      <c r="H4770" s="18" t="s">
        <v>785</v>
      </c>
      <c r="I4770" s="315">
        <v>7.1650761926374019E-3</v>
      </c>
      <c r="J4770" s="315">
        <v>1.6009667914169639E-5</v>
      </c>
      <c r="K4770" s="316" t="str">
        <f t="shared" si="66"/>
        <v>Commercial Equipment</v>
      </c>
      <c r="L4770" s="316" t="str">
        <f t="shared" si="67"/>
        <v>Gasoline</v>
      </c>
      <c r="M4770" s="194"/>
      <c r="N4770" s="317"/>
      <c r="O4770" s="317"/>
      <c r="P4770" s="317"/>
      <c r="Q4770" s="317"/>
      <c r="R4770" s="317"/>
      <c r="S4770" s="317"/>
      <c r="T4770" s="317"/>
      <c r="U4770" s="317"/>
      <c r="V4770" s="317"/>
      <c r="W4770" s="317"/>
      <c r="X4770" s="317"/>
      <c r="Y4770" s="317"/>
      <c r="Z4770" s="317"/>
    </row>
    <row r="4771" spans="1:26" x14ac:dyDescent="0.25">
      <c r="A4771" s="314"/>
      <c r="B4771" s="18">
        <v>2023</v>
      </c>
      <c r="C4771" s="18" t="s">
        <v>810</v>
      </c>
      <c r="D4771" s="18" t="s">
        <v>991</v>
      </c>
      <c r="E4771" s="18" t="s">
        <v>703</v>
      </c>
      <c r="F4771" s="18" t="s">
        <v>795</v>
      </c>
      <c r="G4771" s="18" t="s">
        <v>680</v>
      </c>
      <c r="H4771" s="18" t="s">
        <v>992</v>
      </c>
      <c r="I4771" s="315">
        <v>7.1319723114690627E-3</v>
      </c>
      <c r="J4771" s="315">
        <v>2.0774698185982319E-6</v>
      </c>
      <c r="K4771" s="316" t="str">
        <f t="shared" si="66"/>
        <v>Airport Ground Support Equipment</v>
      </c>
      <c r="L4771" s="316" t="str">
        <f t="shared" si="67"/>
        <v>Gasoline</v>
      </c>
      <c r="M4771" s="194"/>
      <c r="N4771" s="317"/>
      <c r="O4771" s="317"/>
      <c r="P4771" s="317"/>
      <c r="Q4771" s="317"/>
      <c r="R4771" s="317"/>
      <c r="S4771" s="317"/>
      <c r="T4771" s="317"/>
      <c r="U4771" s="317"/>
      <c r="V4771" s="317"/>
      <c r="W4771" s="317"/>
      <c r="X4771" s="317"/>
      <c r="Y4771" s="317"/>
      <c r="Z4771" s="317"/>
    </row>
    <row r="4772" spans="1:26" x14ac:dyDescent="0.25">
      <c r="A4772" s="314"/>
      <c r="B4772" s="18">
        <v>2023</v>
      </c>
      <c r="C4772" s="18" t="s">
        <v>750</v>
      </c>
      <c r="D4772" s="18" t="s">
        <v>1848</v>
      </c>
      <c r="E4772" s="18" t="s">
        <v>703</v>
      </c>
      <c r="F4772" s="18" t="s">
        <v>805</v>
      </c>
      <c r="G4772" s="18" t="s">
        <v>674</v>
      </c>
      <c r="H4772" s="18" t="s">
        <v>981</v>
      </c>
      <c r="I4772" s="315">
        <v>6.9154764056452642E-3</v>
      </c>
      <c r="J4772" s="315">
        <v>1.5451984632992936E-5</v>
      </c>
      <c r="K4772" s="316" t="str">
        <f t="shared" si="66"/>
        <v>Construction and Mining Equipment</v>
      </c>
      <c r="L4772" s="316" t="str">
        <f t="shared" si="67"/>
        <v>Gasoline</v>
      </c>
      <c r="M4772" s="194"/>
      <c r="N4772" s="317"/>
      <c r="O4772" s="317"/>
      <c r="P4772" s="317"/>
      <c r="Q4772" s="317"/>
      <c r="R4772" s="317"/>
      <c r="S4772" s="317"/>
      <c r="T4772" s="317"/>
      <c r="U4772" s="317"/>
      <c r="V4772" s="317"/>
      <c r="W4772" s="317"/>
      <c r="X4772" s="317"/>
      <c r="Y4772" s="317"/>
      <c r="Z4772" s="317"/>
    </row>
    <row r="4773" spans="1:26" x14ac:dyDescent="0.25">
      <c r="A4773" s="314"/>
      <c r="B4773" s="18">
        <v>2023</v>
      </c>
      <c r="C4773" s="18" t="s">
        <v>793</v>
      </c>
      <c r="D4773" s="18" t="s">
        <v>1849</v>
      </c>
      <c r="E4773" s="18" t="s">
        <v>703</v>
      </c>
      <c r="F4773" s="18" t="s">
        <v>704</v>
      </c>
      <c r="G4773" s="18" t="s">
        <v>678</v>
      </c>
      <c r="H4773" s="18" t="s">
        <v>972</v>
      </c>
      <c r="I4773" s="315">
        <v>6.6283925439495385E-3</v>
      </c>
      <c r="J4773" s="315">
        <v>3.9254289817155909E-6</v>
      </c>
      <c r="K4773" s="316" t="str">
        <f t="shared" si="66"/>
        <v>Agricultural Equipment</v>
      </c>
      <c r="L4773" s="316" t="str">
        <f t="shared" si="67"/>
        <v>Gasoline</v>
      </c>
      <c r="M4773" s="194"/>
      <c r="N4773" s="317"/>
      <c r="O4773" s="317"/>
      <c r="P4773" s="317"/>
      <c r="Q4773" s="317"/>
      <c r="R4773" s="317"/>
      <c r="S4773" s="317"/>
      <c r="T4773" s="317"/>
      <c r="U4773" s="317"/>
      <c r="V4773" s="317"/>
      <c r="W4773" s="317"/>
      <c r="X4773" s="317"/>
      <c r="Y4773" s="317"/>
      <c r="Z4773" s="317"/>
    </row>
    <row r="4774" spans="1:26" x14ac:dyDescent="0.25">
      <c r="A4774" s="314"/>
      <c r="B4774" s="18">
        <v>2023</v>
      </c>
      <c r="C4774" s="18" t="s">
        <v>773</v>
      </c>
      <c r="D4774" s="18" t="s">
        <v>1839</v>
      </c>
      <c r="E4774" s="18" t="s">
        <v>56</v>
      </c>
      <c r="F4774" s="18" t="s">
        <v>683</v>
      </c>
      <c r="G4774" s="18" t="s">
        <v>672</v>
      </c>
      <c r="H4774" s="18" t="s">
        <v>1002</v>
      </c>
      <c r="I4774" s="315">
        <v>6.3799316064250596E-3</v>
      </c>
      <c r="J4774" s="315">
        <v>5.1367655381787164E-7</v>
      </c>
      <c r="K4774" s="316" t="str">
        <f t="shared" si="66"/>
        <v>Railroad Equipment</v>
      </c>
      <c r="L4774" s="316" t="str">
        <f t="shared" si="67"/>
        <v>LPG</v>
      </c>
      <c r="M4774" s="194"/>
      <c r="N4774" s="317"/>
      <c r="O4774" s="317"/>
      <c r="P4774" s="317"/>
      <c r="Q4774" s="317"/>
      <c r="R4774" s="317"/>
      <c r="S4774" s="317"/>
      <c r="T4774" s="317"/>
      <c r="U4774" s="317"/>
      <c r="V4774" s="317"/>
      <c r="W4774" s="317"/>
      <c r="X4774" s="317"/>
      <c r="Y4774" s="317"/>
      <c r="Z4774" s="317"/>
    </row>
    <row r="4775" spans="1:26" x14ac:dyDescent="0.25">
      <c r="A4775" s="314"/>
      <c r="B4775" s="18">
        <v>2023</v>
      </c>
      <c r="C4775" s="18" t="s">
        <v>792</v>
      </c>
      <c r="D4775" s="18" t="s">
        <v>1847</v>
      </c>
      <c r="E4775" s="18" t="s">
        <v>56</v>
      </c>
      <c r="F4775" s="18" t="s">
        <v>672</v>
      </c>
      <c r="G4775" s="18" t="s">
        <v>678</v>
      </c>
      <c r="H4775" s="18" t="s">
        <v>1080</v>
      </c>
      <c r="I4775" s="315">
        <v>6.3096274039208941E-3</v>
      </c>
      <c r="J4775" s="315">
        <v>2.7900641761555714E-6</v>
      </c>
      <c r="K4775" s="316" t="str">
        <f t="shared" si="66"/>
        <v>Agricultural Equipment</v>
      </c>
      <c r="L4775" s="316" t="str">
        <f t="shared" si="67"/>
        <v>LPG</v>
      </c>
      <c r="M4775" s="194"/>
      <c r="N4775" s="317"/>
      <c r="O4775" s="317"/>
      <c r="P4775" s="317"/>
      <c r="Q4775" s="317"/>
      <c r="R4775" s="317"/>
      <c r="S4775" s="317"/>
      <c r="T4775" s="317"/>
      <c r="U4775" s="317"/>
      <c r="V4775" s="317"/>
      <c r="W4775" s="317"/>
      <c r="X4775" s="317"/>
      <c r="Y4775" s="317"/>
      <c r="Z4775" s="317"/>
    </row>
    <row r="4776" spans="1:26" x14ac:dyDescent="0.25">
      <c r="A4776" s="314"/>
      <c r="B4776" s="18">
        <v>2023</v>
      </c>
      <c r="C4776" s="18" t="s">
        <v>759</v>
      </c>
      <c r="D4776" s="18" t="s">
        <v>1841</v>
      </c>
      <c r="E4776" s="18" t="s">
        <v>703</v>
      </c>
      <c r="F4776" s="18" t="s">
        <v>805</v>
      </c>
      <c r="G4776" s="18" t="s">
        <v>675</v>
      </c>
      <c r="H4776" s="18" t="s">
        <v>798</v>
      </c>
      <c r="I4776" s="315">
        <v>6.0214345360541811E-3</v>
      </c>
      <c r="J4776" s="315">
        <v>1.3454355134036096E-5</v>
      </c>
      <c r="K4776" s="316" t="str">
        <f t="shared" si="66"/>
        <v>Industrial Equipment</v>
      </c>
      <c r="L4776" s="316" t="str">
        <f t="shared" si="67"/>
        <v>Gasoline</v>
      </c>
      <c r="M4776" s="194"/>
      <c r="N4776" s="317"/>
      <c r="O4776" s="317"/>
      <c r="P4776" s="317"/>
      <c r="Q4776" s="317"/>
      <c r="R4776" s="317"/>
      <c r="S4776" s="317"/>
      <c r="T4776" s="317"/>
      <c r="U4776" s="317"/>
      <c r="V4776" s="317"/>
      <c r="W4776" s="317"/>
      <c r="X4776" s="317"/>
      <c r="Y4776" s="317"/>
      <c r="Z4776" s="317"/>
    </row>
    <row r="4777" spans="1:26" x14ac:dyDescent="0.25">
      <c r="A4777" s="314"/>
      <c r="B4777" s="18">
        <v>2023</v>
      </c>
      <c r="C4777" s="18" t="s">
        <v>778</v>
      </c>
      <c r="D4777" s="18" t="s">
        <v>1839</v>
      </c>
      <c r="E4777" s="18" t="s">
        <v>56</v>
      </c>
      <c r="F4777" s="18" t="s">
        <v>683</v>
      </c>
      <c r="G4777" s="18" t="s">
        <v>672</v>
      </c>
      <c r="H4777" s="18" t="s">
        <v>1002</v>
      </c>
      <c r="I4777" s="315">
        <v>5.7865787131729327E-3</v>
      </c>
      <c r="J4777" s="315">
        <v>4.6590228573874311E-7</v>
      </c>
      <c r="K4777" s="316" t="str">
        <f t="shared" si="66"/>
        <v>Railroad Equipment</v>
      </c>
      <c r="L4777" s="316" t="str">
        <f t="shared" si="67"/>
        <v>LPG</v>
      </c>
      <c r="M4777" s="194"/>
      <c r="N4777" s="317"/>
      <c r="O4777" s="317"/>
      <c r="P4777" s="317"/>
      <c r="Q4777" s="317"/>
      <c r="R4777" s="317"/>
      <c r="S4777" s="317"/>
      <c r="T4777" s="317"/>
      <c r="U4777" s="317"/>
      <c r="V4777" s="317"/>
      <c r="W4777" s="317"/>
      <c r="X4777" s="317"/>
      <c r="Y4777" s="317"/>
      <c r="Z4777" s="317"/>
    </row>
    <row r="4778" spans="1:26" x14ac:dyDescent="0.25">
      <c r="A4778" s="314"/>
      <c r="B4778" s="18">
        <v>2023</v>
      </c>
      <c r="C4778" s="18" t="s">
        <v>727</v>
      </c>
      <c r="D4778" s="18" t="s">
        <v>1848</v>
      </c>
      <c r="E4778" s="18" t="s">
        <v>703</v>
      </c>
      <c r="F4778" s="18" t="s">
        <v>805</v>
      </c>
      <c r="G4778" s="18" t="s">
        <v>674</v>
      </c>
      <c r="H4778" s="18" t="s">
        <v>981</v>
      </c>
      <c r="I4778" s="315">
        <v>5.5203605452734525E-3</v>
      </c>
      <c r="J4778" s="315">
        <v>1.233473370899152E-5</v>
      </c>
      <c r="K4778" s="316" t="str">
        <f t="shared" si="66"/>
        <v>Construction and Mining Equipment</v>
      </c>
      <c r="L4778" s="316" t="str">
        <f t="shared" si="67"/>
        <v>Gasoline</v>
      </c>
      <c r="M4778" s="194"/>
      <c r="N4778" s="317"/>
      <c r="O4778" s="317"/>
      <c r="P4778" s="317"/>
      <c r="Q4778" s="317"/>
      <c r="R4778" s="317"/>
      <c r="S4778" s="317"/>
      <c r="T4778" s="317"/>
      <c r="U4778" s="317"/>
      <c r="V4778" s="317"/>
      <c r="W4778" s="317"/>
      <c r="X4778" s="317"/>
      <c r="Y4778" s="317"/>
      <c r="Z4778" s="317"/>
    </row>
    <row r="4779" spans="1:26" x14ac:dyDescent="0.25">
      <c r="A4779" s="314"/>
      <c r="B4779" s="18">
        <v>2023</v>
      </c>
      <c r="C4779" s="18" t="s">
        <v>793</v>
      </c>
      <c r="D4779" s="18" t="s">
        <v>1848</v>
      </c>
      <c r="E4779" s="18" t="s">
        <v>703</v>
      </c>
      <c r="F4779" s="18" t="s">
        <v>805</v>
      </c>
      <c r="G4779" s="18" t="s">
        <v>674</v>
      </c>
      <c r="H4779" s="18" t="s">
        <v>981</v>
      </c>
      <c r="I4779" s="315">
        <v>5.3898576118176725E-3</v>
      </c>
      <c r="J4779" s="315">
        <v>1.204314217724128E-5</v>
      </c>
      <c r="K4779" s="316" t="str">
        <f t="shared" si="66"/>
        <v>Construction and Mining Equipment</v>
      </c>
      <c r="L4779" s="316" t="str">
        <f t="shared" si="67"/>
        <v>Gasoline</v>
      </c>
      <c r="M4779" s="194"/>
      <c r="N4779" s="317"/>
      <c r="O4779" s="317"/>
      <c r="P4779" s="317"/>
      <c r="Q4779" s="317"/>
      <c r="R4779" s="317"/>
      <c r="S4779" s="317"/>
      <c r="T4779" s="317"/>
      <c r="U4779" s="317"/>
      <c r="V4779" s="317"/>
      <c r="W4779" s="317"/>
      <c r="X4779" s="317"/>
      <c r="Y4779" s="317"/>
      <c r="Z4779" s="317"/>
    </row>
    <row r="4780" spans="1:26" x14ac:dyDescent="0.25">
      <c r="A4780" s="314"/>
      <c r="B4780" s="18">
        <v>2023</v>
      </c>
      <c r="C4780" s="18" t="s">
        <v>731</v>
      </c>
      <c r="D4780" s="18" t="s">
        <v>1024</v>
      </c>
      <c r="E4780" s="18" t="s">
        <v>56</v>
      </c>
      <c r="F4780" s="18" t="s">
        <v>1025</v>
      </c>
      <c r="G4780" s="18" t="s">
        <v>680</v>
      </c>
      <c r="H4780" s="18" t="s">
        <v>1026</v>
      </c>
      <c r="I4780" s="315">
        <v>5.3710853561372016E-3</v>
      </c>
      <c r="J4780" s="315">
        <v>2.4465403555329641E-7</v>
      </c>
      <c r="K4780" s="316" t="str">
        <f t="shared" si="66"/>
        <v>Airport Ground Support Equipment</v>
      </c>
      <c r="L4780" s="316" t="str">
        <f t="shared" si="67"/>
        <v>LPG</v>
      </c>
      <c r="M4780" s="194"/>
      <c r="N4780" s="317"/>
      <c r="O4780" s="317"/>
      <c r="P4780" s="317"/>
      <c r="Q4780" s="317"/>
      <c r="R4780" s="317"/>
      <c r="S4780" s="317"/>
      <c r="T4780" s="317"/>
      <c r="U4780" s="317"/>
      <c r="V4780" s="317"/>
      <c r="W4780" s="317"/>
      <c r="X4780" s="317"/>
      <c r="Y4780" s="317"/>
      <c r="Z4780" s="317"/>
    </row>
    <row r="4781" spans="1:26" x14ac:dyDescent="0.25">
      <c r="A4781" s="314"/>
      <c r="B4781" s="18">
        <v>2023</v>
      </c>
      <c r="C4781" s="18" t="s">
        <v>731</v>
      </c>
      <c r="D4781" s="18" t="s">
        <v>1846</v>
      </c>
      <c r="E4781" s="18" t="s">
        <v>703</v>
      </c>
      <c r="F4781" s="18" t="s">
        <v>805</v>
      </c>
      <c r="G4781" s="18" t="s">
        <v>677</v>
      </c>
      <c r="H4781" s="18" t="s">
        <v>785</v>
      </c>
      <c r="I4781" s="315">
        <v>5.2618454806272431E-3</v>
      </c>
      <c r="J4781" s="315">
        <v>1.1757120226799783E-5</v>
      </c>
      <c r="K4781" s="316" t="str">
        <f t="shared" si="66"/>
        <v>Commercial Equipment</v>
      </c>
      <c r="L4781" s="316" t="str">
        <f t="shared" si="67"/>
        <v>Gasoline</v>
      </c>
      <c r="M4781" s="194"/>
      <c r="N4781" s="317"/>
      <c r="O4781" s="317"/>
      <c r="P4781" s="317"/>
      <c r="Q4781" s="317"/>
      <c r="R4781" s="317"/>
      <c r="S4781" s="317"/>
      <c r="T4781" s="317"/>
      <c r="U4781" s="317"/>
      <c r="V4781" s="317"/>
      <c r="W4781" s="317"/>
      <c r="X4781" s="317"/>
      <c r="Y4781" s="317"/>
      <c r="Z4781" s="317"/>
    </row>
    <row r="4782" spans="1:26" x14ac:dyDescent="0.25">
      <c r="A4782" s="314"/>
      <c r="B4782" s="18">
        <v>2023</v>
      </c>
      <c r="C4782" s="18" t="s">
        <v>773</v>
      </c>
      <c r="D4782" s="18" t="s">
        <v>1848</v>
      </c>
      <c r="E4782" s="18" t="s">
        <v>703</v>
      </c>
      <c r="F4782" s="18" t="s">
        <v>805</v>
      </c>
      <c r="G4782" s="18" t="s">
        <v>674</v>
      </c>
      <c r="H4782" s="18" t="s">
        <v>981</v>
      </c>
      <c r="I4782" s="315">
        <v>5.0272486463864442E-3</v>
      </c>
      <c r="J4782" s="315">
        <v>1.1232920072700008E-5</v>
      </c>
      <c r="K4782" s="316" t="str">
        <f t="shared" si="66"/>
        <v>Construction and Mining Equipment</v>
      </c>
      <c r="L4782" s="316" t="str">
        <f t="shared" si="67"/>
        <v>Gasoline</v>
      </c>
      <c r="M4782" s="194"/>
      <c r="N4782" s="317"/>
      <c r="O4782" s="317"/>
      <c r="P4782" s="317"/>
      <c r="Q4782" s="317"/>
      <c r="R4782" s="317"/>
      <c r="S4782" s="317"/>
      <c r="T4782" s="317"/>
      <c r="U4782" s="317"/>
      <c r="V4782" s="317"/>
      <c r="W4782" s="317"/>
      <c r="X4782" s="317"/>
      <c r="Y4782" s="317"/>
      <c r="Z4782" s="317"/>
    </row>
    <row r="4783" spans="1:26" x14ac:dyDescent="0.25">
      <c r="A4783" s="314"/>
      <c r="B4783" s="18">
        <v>2023</v>
      </c>
      <c r="C4783" s="18" t="s">
        <v>792</v>
      </c>
      <c r="D4783" s="18" t="s">
        <v>1849</v>
      </c>
      <c r="E4783" s="18" t="s">
        <v>703</v>
      </c>
      <c r="F4783" s="18" t="s">
        <v>704</v>
      </c>
      <c r="G4783" s="18" t="s">
        <v>678</v>
      </c>
      <c r="H4783" s="18" t="s">
        <v>972</v>
      </c>
      <c r="I4783" s="315">
        <v>4.9534349322199068E-3</v>
      </c>
      <c r="J4783" s="315">
        <v>2.9483396240272816E-6</v>
      </c>
      <c r="K4783" s="316" t="str">
        <f t="shared" si="66"/>
        <v>Agricultural Equipment</v>
      </c>
      <c r="L4783" s="316" t="str">
        <f t="shared" si="67"/>
        <v>Gasoline</v>
      </c>
      <c r="M4783" s="194"/>
      <c r="N4783" s="317"/>
      <c r="O4783" s="317"/>
      <c r="P4783" s="317"/>
      <c r="Q4783" s="317"/>
      <c r="R4783" s="317"/>
      <c r="S4783" s="317"/>
      <c r="T4783" s="317"/>
      <c r="U4783" s="317"/>
      <c r="V4783" s="317"/>
      <c r="W4783" s="317"/>
      <c r="X4783" s="317"/>
      <c r="Y4783" s="317"/>
      <c r="Z4783" s="317"/>
    </row>
    <row r="4784" spans="1:26" x14ac:dyDescent="0.25">
      <c r="A4784" s="314"/>
      <c r="B4784" s="18">
        <v>2023</v>
      </c>
      <c r="C4784" s="18" t="s">
        <v>793</v>
      </c>
      <c r="D4784" s="18" t="s">
        <v>1846</v>
      </c>
      <c r="E4784" s="18" t="s">
        <v>703</v>
      </c>
      <c r="F4784" s="18" t="s">
        <v>805</v>
      </c>
      <c r="G4784" s="18" t="s">
        <v>677</v>
      </c>
      <c r="H4784" s="18" t="s">
        <v>785</v>
      </c>
      <c r="I4784" s="315">
        <v>4.1423076182883784E-3</v>
      </c>
      <c r="J4784" s="315">
        <v>9.2555817689339765E-6</v>
      </c>
      <c r="K4784" s="316" t="str">
        <f t="shared" si="66"/>
        <v>Commercial Equipment</v>
      </c>
      <c r="L4784" s="316" t="str">
        <f t="shared" si="67"/>
        <v>Gasoline</v>
      </c>
      <c r="M4784" s="194"/>
      <c r="N4784" s="317"/>
      <c r="O4784" s="317"/>
      <c r="P4784" s="317"/>
      <c r="Q4784" s="317"/>
      <c r="R4784" s="317"/>
      <c r="S4784" s="317"/>
      <c r="T4784" s="317"/>
      <c r="U4784" s="317"/>
      <c r="V4784" s="317"/>
      <c r="W4784" s="317"/>
      <c r="X4784" s="317"/>
      <c r="Y4784" s="317"/>
      <c r="Z4784" s="317"/>
    </row>
    <row r="4785" spans="1:26" x14ac:dyDescent="0.25">
      <c r="A4785" s="314"/>
      <c r="B4785" s="18">
        <v>2023</v>
      </c>
      <c r="C4785" s="18" t="s">
        <v>750</v>
      </c>
      <c r="D4785" s="18" t="s">
        <v>1846</v>
      </c>
      <c r="E4785" s="18" t="s">
        <v>703</v>
      </c>
      <c r="F4785" s="18" t="s">
        <v>805</v>
      </c>
      <c r="G4785" s="18" t="s">
        <v>677</v>
      </c>
      <c r="H4785" s="18" t="s">
        <v>785</v>
      </c>
      <c r="I4785" s="315">
        <v>4.0303534030410038E-3</v>
      </c>
      <c r="J4785" s="315">
        <v>9.0054602282239891E-6</v>
      </c>
      <c r="K4785" s="316" t="str">
        <f t="shared" si="66"/>
        <v>Commercial Equipment</v>
      </c>
      <c r="L4785" s="316" t="str">
        <f t="shared" si="67"/>
        <v>Gasoline</v>
      </c>
      <c r="M4785" s="194"/>
      <c r="N4785" s="317"/>
      <c r="O4785" s="317"/>
      <c r="P4785" s="317"/>
      <c r="Q4785" s="317"/>
      <c r="R4785" s="317"/>
      <c r="S4785" s="317"/>
      <c r="T4785" s="317"/>
      <c r="U4785" s="317"/>
      <c r="V4785" s="317"/>
      <c r="W4785" s="317"/>
      <c r="X4785" s="317"/>
      <c r="Y4785" s="317"/>
      <c r="Z4785" s="317"/>
    </row>
    <row r="4786" spans="1:26" ht="12.75" x14ac:dyDescent="0.2">
      <c r="A4786" s="230"/>
      <c r="B4786" s="18">
        <v>2023</v>
      </c>
      <c r="C4786" s="18" t="s">
        <v>810</v>
      </c>
      <c r="D4786" s="18" t="s">
        <v>1024</v>
      </c>
      <c r="E4786" s="18" t="s">
        <v>56</v>
      </c>
      <c r="F4786" s="18" t="s">
        <v>1025</v>
      </c>
      <c r="G4786" s="18" t="s">
        <v>680</v>
      </c>
      <c r="H4786" s="18" t="s">
        <v>1026</v>
      </c>
      <c r="I4786" s="315">
        <v>3.9785690736066377E-3</v>
      </c>
      <c r="J4786" s="315">
        <v>1.8122517922797865E-7</v>
      </c>
      <c r="K4786" s="316" t="str">
        <f t="shared" si="66"/>
        <v>Airport Ground Support Equipment</v>
      </c>
      <c r="L4786" s="316" t="str">
        <f t="shared" si="67"/>
        <v>LPG</v>
      </c>
      <c r="M4786" s="8"/>
      <c r="N4786" s="2"/>
      <c r="O4786" s="2"/>
      <c r="P4786" s="2"/>
      <c r="Q4786" s="2"/>
      <c r="R4786" s="2"/>
      <c r="S4786" s="2"/>
      <c r="T4786" s="2"/>
      <c r="U4786" s="2"/>
      <c r="V4786" s="2"/>
      <c r="W4786" s="2"/>
      <c r="X4786" s="2"/>
      <c r="Y4786" s="2"/>
      <c r="Z4786" s="2"/>
    </row>
    <row r="4787" spans="1:26" ht="12.75" x14ac:dyDescent="0.2">
      <c r="A4787" s="230"/>
      <c r="B4787" s="18">
        <v>2023</v>
      </c>
      <c r="C4787" s="18" t="s">
        <v>810</v>
      </c>
      <c r="D4787" s="18" t="s">
        <v>1846</v>
      </c>
      <c r="E4787" s="18" t="s">
        <v>703</v>
      </c>
      <c r="F4787" s="18" t="s">
        <v>805</v>
      </c>
      <c r="G4787" s="18" t="s">
        <v>677</v>
      </c>
      <c r="H4787" s="18" t="s">
        <v>785</v>
      </c>
      <c r="I4787" s="315">
        <v>3.9184008303654819E-3</v>
      </c>
      <c r="J4787" s="315">
        <v>8.755313005903084E-6</v>
      </c>
      <c r="K4787" s="316" t="str">
        <f t="shared" si="66"/>
        <v>Commercial Equipment</v>
      </c>
      <c r="L4787" s="316" t="str">
        <f t="shared" si="67"/>
        <v>Gasoline</v>
      </c>
      <c r="M4787" s="8"/>
      <c r="N4787" s="2"/>
      <c r="O4787" s="2"/>
      <c r="P4787" s="2"/>
      <c r="Q4787" s="2"/>
      <c r="R4787" s="2"/>
      <c r="S4787" s="2"/>
      <c r="T4787" s="2"/>
      <c r="U4787" s="2"/>
      <c r="V4787" s="2"/>
      <c r="W4787" s="2"/>
      <c r="X4787" s="2"/>
      <c r="Y4787" s="2"/>
      <c r="Z4787" s="2"/>
    </row>
    <row r="4788" spans="1:26" ht="12.75" x14ac:dyDescent="0.2">
      <c r="A4788" s="230"/>
      <c r="B4788" s="18">
        <v>2023</v>
      </c>
      <c r="C4788" s="18" t="s">
        <v>753</v>
      </c>
      <c r="D4788" s="18" t="s">
        <v>1848</v>
      </c>
      <c r="E4788" s="18" t="s">
        <v>703</v>
      </c>
      <c r="F4788" s="18" t="s">
        <v>805</v>
      </c>
      <c r="G4788" s="18" t="s">
        <v>674</v>
      </c>
      <c r="H4788" s="18" t="s">
        <v>981</v>
      </c>
      <c r="I4788" s="315">
        <v>3.6775089669616812E-3</v>
      </c>
      <c r="J4788" s="315">
        <v>8.2170525773869423E-6</v>
      </c>
      <c r="K4788" s="316" t="str">
        <f t="shared" si="66"/>
        <v>Construction and Mining Equipment</v>
      </c>
      <c r="L4788" s="316" t="str">
        <f t="shared" si="67"/>
        <v>Gasoline</v>
      </c>
      <c r="M4788" s="8"/>
      <c r="N4788" s="2"/>
      <c r="O4788" s="2"/>
      <c r="P4788" s="2"/>
      <c r="Q4788" s="2"/>
      <c r="R4788" s="2"/>
      <c r="S4788" s="2"/>
      <c r="T4788" s="2"/>
      <c r="U4788" s="2"/>
      <c r="V4788" s="2"/>
      <c r="W4788" s="2"/>
      <c r="X4788" s="2"/>
      <c r="Y4788" s="2"/>
      <c r="Z4788" s="2"/>
    </row>
    <row r="4789" spans="1:26" ht="12.75" x14ac:dyDescent="0.2">
      <c r="A4789" s="230"/>
      <c r="B4789" s="18">
        <v>2023</v>
      </c>
      <c r="C4789" s="18" t="s">
        <v>786</v>
      </c>
      <c r="D4789" s="18" t="s">
        <v>1846</v>
      </c>
      <c r="E4789" s="18" t="s">
        <v>703</v>
      </c>
      <c r="F4789" s="18" t="s">
        <v>805</v>
      </c>
      <c r="G4789" s="18" t="s">
        <v>677</v>
      </c>
      <c r="H4789" s="18" t="s">
        <v>785</v>
      </c>
      <c r="I4789" s="315">
        <v>3.4705860461124336E-3</v>
      </c>
      <c r="J4789" s="315">
        <v>7.754700483090324E-6</v>
      </c>
      <c r="K4789" s="316" t="str">
        <f t="shared" si="66"/>
        <v>Commercial Equipment</v>
      </c>
      <c r="L4789" s="316" t="str">
        <f t="shared" si="67"/>
        <v>Gasoline</v>
      </c>
      <c r="M4789" s="8"/>
      <c r="N4789" s="2"/>
      <c r="O4789" s="2"/>
      <c r="P4789" s="2"/>
      <c r="Q4789" s="2"/>
      <c r="R4789" s="2"/>
      <c r="S4789" s="2"/>
      <c r="T4789" s="2"/>
      <c r="U4789" s="2"/>
      <c r="V4789" s="2"/>
      <c r="W4789" s="2"/>
      <c r="X4789" s="2"/>
      <c r="Y4789" s="2"/>
      <c r="Z4789" s="2"/>
    </row>
    <row r="4790" spans="1:26" ht="12.75" x14ac:dyDescent="0.2">
      <c r="A4790" s="230"/>
      <c r="B4790" s="18">
        <v>2023</v>
      </c>
      <c r="C4790" s="18" t="s">
        <v>810</v>
      </c>
      <c r="D4790" s="18" t="s">
        <v>1848</v>
      </c>
      <c r="E4790" s="18" t="s">
        <v>703</v>
      </c>
      <c r="F4790" s="18" t="s">
        <v>805</v>
      </c>
      <c r="G4790" s="18" t="s">
        <v>674</v>
      </c>
      <c r="H4790" s="18" t="s">
        <v>981</v>
      </c>
      <c r="I4790" s="315">
        <v>3.4661043437391576E-3</v>
      </c>
      <c r="J4790" s="315">
        <v>7.7446883157129635E-6</v>
      </c>
      <c r="K4790" s="316" t="str">
        <f t="shared" si="66"/>
        <v>Construction and Mining Equipment</v>
      </c>
      <c r="L4790" s="316" t="str">
        <f t="shared" si="67"/>
        <v>Gasoline</v>
      </c>
      <c r="M4790" s="8"/>
      <c r="N4790" s="2"/>
      <c r="O4790" s="2"/>
      <c r="P4790" s="2"/>
      <c r="Q4790" s="2"/>
      <c r="R4790" s="2"/>
      <c r="S4790" s="2"/>
      <c r="T4790" s="2"/>
      <c r="U4790" s="2"/>
      <c r="V4790" s="2"/>
      <c r="W4790" s="2"/>
      <c r="X4790" s="2"/>
      <c r="Y4790" s="2"/>
      <c r="Z4790" s="2"/>
    </row>
    <row r="4791" spans="1:26" ht="12.75" x14ac:dyDescent="0.2">
      <c r="A4791" s="230"/>
      <c r="B4791" s="18">
        <v>2023</v>
      </c>
      <c r="C4791" s="18" t="s">
        <v>759</v>
      </c>
      <c r="D4791" s="18" t="s">
        <v>1839</v>
      </c>
      <c r="E4791" s="18" t="s">
        <v>56</v>
      </c>
      <c r="F4791" s="18" t="s">
        <v>683</v>
      </c>
      <c r="G4791" s="18" t="s">
        <v>672</v>
      </c>
      <c r="H4791" s="18" t="s">
        <v>1002</v>
      </c>
      <c r="I4791" s="315">
        <v>2.9450034903841823E-3</v>
      </c>
      <c r="J4791" s="315">
        <v>2.3711484434658265E-7</v>
      </c>
      <c r="K4791" s="316" t="str">
        <f t="shared" si="66"/>
        <v>Railroad Equipment</v>
      </c>
      <c r="L4791" s="316" t="str">
        <f t="shared" si="67"/>
        <v>LPG</v>
      </c>
      <c r="M4791" s="8"/>
      <c r="N4791" s="2"/>
      <c r="O4791" s="2"/>
      <c r="P4791" s="2"/>
      <c r="Q4791" s="2"/>
      <c r="R4791" s="2"/>
      <c r="S4791" s="2"/>
      <c r="T4791" s="2"/>
      <c r="U4791" s="2"/>
      <c r="V4791" s="2"/>
      <c r="W4791" s="2"/>
      <c r="X4791" s="2"/>
      <c r="Y4791" s="2"/>
      <c r="Z4791" s="2"/>
    </row>
    <row r="4792" spans="1:26" ht="12.75" x14ac:dyDescent="0.2">
      <c r="A4792" s="230"/>
      <c r="B4792" s="18">
        <v>2023</v>
      </c>
      <c r="C4792" s="18" t="s">
        <v>727</v>
      </c>
      <c r="D4792" s="18" t="s">
        <v>1839</v>
      </c>
      <c r="E4792" s="18" t="s">
        <v>56</v>
      </c>
      <c r="F4792" s="18" t="s">
        <v>683</v>
      </c>
      <c r="G4792" s="18" t="s">
        <v>672</v>
      </c>
      <c r="H4792" s="18" t="s">
        <v>1002</v>
      </c>
      <c r="I4792" s="315">
        <v>2.9450034903841823E-3</v>
      </c>
      <c r="J4792" s="315">
        <v>2.3711484434658265E-7</v>
      </c>
      <c r="K4792" s="316" t="str">
        <f t="shared" si="66"/>
        <v>Railroad Equipment</v>
      </c>
      <c r="L4792" s="316" t="str">
        <f t="shared" si="67"/>
        <v>LPG</v>
      </c>
      <c r="M4792" s="8"/>
      <c r="N4792" s="2"/>
      <c r="O4792" s="2"/>
      <c r="P4792" s="2"/>
      <c r="Q4792" s="2"/>
      <c r="R4792" s="2"/>
      <c r="S4792" s="2"/>
      <c r="T4792" s="2"/>
      <c r="U4792" s="2"/>
      <c r="V4792" s="2"/>
      <c r="W4792" s="2"/>
      <c r="X4792" s="2"/>
      <c r="Y4792" s="2"/>
      <c r="Z4792" s="2"/>
    </row>
    <row r="4793" spans="1:26" ht="12.75" x14ac:dyDescent="0.2">
      <c r="A4793" s="230"/>
      <c r="B4793" s="18">
        <v>2023</v>
      </c>
      <c r="C4793" s="18" t="s">
        <v>781</v>
      </c>
      <c r="D4793" s="18" t="s">
        <v>1846</v>
      </c>
      <c r="E4793" s="18" t="s">
        <v>703</v>
      </c>
      <c r="F4793" s="18" t="s">
        <v>805</v>
      </c>
      <c r="G4793" s="18" t="s">
        <v>677</v>
      </c>
      <c r="H4793" s="18" t="s">
        <v>785</v>
      </c>
      <c r="I4793" s="315">
        <v>2.9108128742166939E-3</v>
      </c>
      <c r="J4793" s="315">
        <v>6.5039344489596707E-6</v>
      </c>
      <c r="K4793" s="316" t="str">
        <f t="shared" si="66"/>
        <v>Commercial Equipment</v>
      </c>
      <c r="L4793" s="316" t="str">
        <f t="shared" si="67"/>
        <v>Gasoline</v>
      </c>
      <c r="M4793" s="8"/>
      <c r="N4793" s="2"/>
      <c r="O4793" s="2"/>
      <c r="P4793" s="2"/>
      <c r="Q4793" s="2"/>
      <c r="R4793" s="2"/>
      <c r="S4793" s="2"/>
      <c r="T4793" s="2"/>
      <c r="U4793" s="2"/>
      <c r="V4793" s="2"/>
      <c r="W4793" s="2"/>
      <c r="X4793" s="2"/>
      <c r="Y4793" s="2"/>
      <c r="Z4793" s="2"/>
    </row>
    <row r="4794" spans="1:26" ht="12.75" x14ac:dyDescent="0.2">
      <c r="A4794" s="230"/>
      <c r="B4794" s="18">
        <v>2023</v>
      </c>
      <c r="C4794" s="18" t="s">
        <v>762</v>
      </c>
      <c r="D4794" s="18" t="s">
        <v>1848</v>
      </c>
      <c r="E4794" s="18" t="s">
        <v>703</v>
      </c>
      <c r="F4794" s="18" t="s">
        <v>805</v>
      </c>
      <c r="G4794" s="18" t="s">
        <v>674</v>
      </c>
      <c r="H4794" s="18" t="s">
        <v>981</v>
      </c>
      <c r="I4794" s="315">
        <v>2.7704029654754274E-3</v>
      </c>
      <c r="J4794" s="315">
        <v>6.1902042886041258E-6</v>
      </c>
      <c r="K4794" s="316" t="str">
        <f t="shared" si="66"/>
        <v>Construction and Mining Equipment</v>
      </c>
      <c r="L4794" s="316" t="str">
        <f t="shared" si="67"/>
        <v>Gasoline</v>
      </c>
      <c r="M4794" s="8"/>
      <c r="N4794" s="2"/>
      <c r="O4794" s="2"/>
      <c r="P4794" s="2"/>
      <c r="Q4794" s="2"/>
      <c r="R4794" s="2"/>
      <c r="S4794" s="2"/>
      <c r="T4794" s="2"/>
      <c r="U4794" s="2"/>
      <c r="V4794" s="2"/>
      <c r="W4794" s="2"/>
      <c r="X4794" s="2"/>
      <c r="Y4794" s="2"/>
      <c r="Z4794" s="2"/>
    </row>
    <row r="4795" spans="1:26" ht="12.75" x14ac:dyDescent="0.2">
      <c r="A4795" s="230"/>
      <c r="B4795" s="18">
        <v>2023</v>
      </c>
      <c r="C4795" s="18" t="s">
        <v>792</v>
      </c>
      <c r="D4795" s="18" t="s">
        <v>1848</v>
      </c>
      <c r="E4795" s="18" t="s">
        <v>703</v>
      </c>
      <c r="F4795" s="18" t="s">
        <v>805</v>
      </c>
      <c r="G4795" s="18" t="s">
        <v>674</v>
      </c>
      <c r="H4795" s="18" t="s">
        <v>981</v>
      </c>
      <c r="I4795" s="315">
        <v>1.7278534716394062E-3</v>
      </c>
      <c r="J4795" s="315">
        <v>3.8607253539918486E-6</v>
      </c>
      <c r="K4795" s="316" t="str">
        <f t="shared" si="66"/>
        <v>Construction and Mining Equipment</v>
      </c>
      <c r="L4795" s="316" t="str">
        <f t="shared" si="67"/>
        <v>Gasoline</v>
      </c>
      <c r="M4795" s="8"/>
      <c r="N4795" s="2"/>
      <c r="O4795" s="2"/>
      <c r="P4795" s="2"/>
      <c r="Q4795" s="2"/>
      <c r="R4795" s="2"/>
      <c r="S4795" s="2"/>
      <c r="T4795" s="2"/>
      <c r="U4795" s="2"/>
      <c r="V4795" s="2"/>
      <c r="W4795" s="2"/>
      <c r="X4795" s="2"/>
      <c r="Y4795" s="2"/>
      <c r="Z4795" s="2"/>
    </row>
    <row r="4796" spans="1:26" ht="12.75" x14ac:dyDescent="0.2">
      <c r="A4796" s="230"/>
      <c r="B4796" s="18">
        <v>2023</v>
      </c>
      <c r="C4796" s="18" t="s">
        <v>759</v>
      </c>
      <c r="D4796" s="18" t="s">
        <v>1846</v>
      </c>
      <c r="E4796" s="18" t="s">
        <v>703</v>
      </c>
      <c r="F4796" s="18" t="s">
        <v>805</v>
      </c>
      <c r="G4796" s="18" t="s">
        <v>677</v>
      </c>
      <c r="H4796" s="18" t="s">
        <v>785</v>
      </c>
      <c r="I4796" s="315">
        <v>1.6793149093901217E-3</v>
      </c>
      <c r="J4796" s="315">
        <v>3.7522701658378593E-6</v>
      </c>
      <c r="K4796" s="316" t="str">
        <f t="shared" si="66"/>
        <v>Commercial Equipment</v>
      </c>
      <c r="L4796" s="316" t="str">
        <f t="shared" si="67"/>
        <v>Gasoline</v>
      </c>
      <c r="M4796" s="8"/>
      <c r="N4796" s="2"/>
      <c r="O4796" s="2"/>
      <c r="P4796" s="2"/>
      <c r="Q4796" s="2"/>
      <c r="R4796" s="2"/>
      <c r="S4796" s="2"/>
      <c r="T4796" s="2"/>
      <c r="U4796" s="2"/>
      <c r="V4796" s="2"/>
      <c r="W4796" s="2"/>
      <c r="X4796" s="2"/>
      <c r="Y4796" s="2"/>
      <c r="Z4796" s="2"/>
    </row>
    <row r="4797" spans="1:26" ht="12.75" x14ac:dyDescent="0.2">
      <c r="A4797" s="230"/>
      <c r="B4797" s="18">
        <v>2023</v>
      </c>
      <c r="C4797" s="18" t="s">
        <v>731</v>
      </c>
      <c r="D4797" s="18" t="s">
        <v>1848</v>
      </c>
      <c r="E4797" s="18" t="s">
        <v>703</v>
      </c>
      <c r="F4797" s="18" t="s">
        <v>805</v>
      </c>
      <c r="G4797" s="18" t="s">
        <v>674</v>
      </c>
      <c r="H4797" s="18" t="s">
        <v>981</v>
      </c>
      <c r="I4797" s="315">
        <v>1.6034946781995063E-3</v>
      </c>
      <c r="J4797" s="315">
        <v>3.5828571189359076E-6</v>
      </c>
      <c r="K4797" s="316" t="str">
        <f t="shared" si="66"/>
        <v>Construction and Mining Equipment</v>
      </c>
      <c r="L4797" s="316" t="str">
        <f t="shared" si="67"/>
        <v>Gasoline</v>
      </c>
      <c r="M4797" s="8"/>
      <c r="N4797" s="2"/>
      <c r="O4797" s="2"/>
      <c r="P4797" s="2"/>
      <c r="Q4797" s="2"/>
      <c r="R4797" s="2"/>
      <c r="S4797" s="2"/>
      <c r="T4797" s="2"/>
      <c r="U4797" s="2"/>
      <c r="V4797" s="2"/>
      <c r="W4797" s="2"/>
      <c r="X4797" s="2"/>
      <c r="Y4797" s="2"/>
      <c r="Z4797" s="2"/>
    </row>
    <row r="4798" spans="1:26" ht="12.75" x14ac:dyDescent="0.2">
      <c r="A4798" s="230"/>
      <c r="B4798" s="18">
        <v>2023</v>
      </c>
      <c r="C4798" s="18" t="s">
        <v>786</v>
      </c>
      <c r="D4798" s="18" t="s">
        <v>1848</v>
      </c>
      <c r="E4798" s="18" t="s">
        <v>703</v>
      </c>
      <c r="F4798" s="18" t="s">
        <v>805</v>
      </c>
      <c r="G4798" s="18" t="s">
        <v>674</v>
      </c>
      <c r="H4798" s="18" t="s">
        <v>981</v>
      </c>
      <c r="I4798" s="315">
        <v>1.592573825700571E-3</v>
      </c>
      <c r="J4798" s="315">
        <v>3.5584508377589582E-6</v>
      </c>
      <c r="K4798" s="316" t="str">
        <f t="shared" si="66"/>
        <v>Construction and Mining Equipment</v>
      </c>
      <c r="L4798" s="316" t="str">
        <f t="shared" si="67"/>
        <v>Gasoline</v>
      </c>
      <c r="M4798" s="8"/>
      <c r="N4798" s="2"/>
      <c r="O4798" s="2"/>
      <c r="P4798" s="2"/>
      <c r="Q4798" s="2"/>
      <c r="R4798" s="2"/>
      <c r="S4798" s="2"/>
      <c r="T4798" s="2"/>
      <c r="U4798" s="2"/>
      <c r="V4798" s="2"/>
      <c r="W4798" s="2"/>
      <c r="X4798" s="2"/>
      <c r="Y4798" s="2"/>
      <c r="Z4798" s="2"/>
    </row>
    <row r="4799" spans="1:26" ht="12.75" x14ac:dyDescent="0.2">
      <c r="A4799" s="230"/>
      <c r="B4799" s="18">
        <v>2023</v>
      </c>
      <c r="C4799" s="18" t="s">
        <v>781</v>
      </c>
      <c r="D4799" s="18" t="s">
        <v>1848</v>
      </c>
      <c r="E4799" s="18" t="s">
        <v>703</v>
      </c>
      <c r="F4799" s="18" t="s">
        <v>805</v>
      </c>
      <c r="G4799" s="18" t="s">
        <v>674</v>
      </c>
      <c r="H4799" s="18" t="s">
        <v>981</v>
      </c>
      <c r="I4799" s="315">
        <v>9.9899485542888854E-4</v>
      </c>
      <c r="J4799" s="315">
        <v>2.2321599506498777E-6</v>
      </c>
      <c r="K4799" s="316" t="str">
        <f t="shared" si="66"/>
        <v>Construction and Mining Equipment</v>
      </c>
      <c r="L4799" s="316" t="str">
        <f t="shared" si="67"/>
        <v>Gasoline</v>
      </c>
      <c r="M4799" s="8"/>
      <c r="N4799" s="2"/>
      <c r="O4799" s="2"/>
      <c r="P4799" s="2"/>
      <c r="Q4799" s="2"/>
      <c r="R4799" s="2"/>
      <c r="S4799" s="2"/>
      <c r="T4799" s="2"/>
      <c r="U4799" s="2"/>
      <c r="V4799" s="2"/>
      <c r="W4799" s="2"/>
      <c r="X4799" s="2"/>
      <c r="Y4799" s="2"/>
      <c r="Z4799" s="2"/>
    </row>
    <row r="4800" spans="1:26" ht="12.75" x14ac:dyDescent="0.2">
      <c r="A4800" s="230"/>
      <c r="B4800" s="18">
        <v>2023</v>
      </c>
      <c r="C4800" s="18" t="s">
        <v>759</v>
      </c>
      <c r="D4800" s="18" t="s">
        <v>1848</v>
      </c>
      <c r="E4800" s="18" t="s">
        <v>703</v>
      </c>
      <c r="F4800" s="18" t="s">
        <v>805</v>
      </c>
      <c r="G4800" s="18" t="s">
        <v>674</v>
      </c>
      <c r="H4800" s="18" t="s">
        <v>981</v>
      </c>
      <c r="I4800" s="315">
        <v>7.753061296290471E-4</v>
      </c>
      <c r="J4800" s="315">
        <v>1.7323478010353634E-6</v>
      </c>
      <c r="K4800" s="316" t="str">
        <f t="shared" si="66"/>
        <v>Construction and Mining Equipment</v>
      </c>
      <c r="L4800" s="316" t="str">
        <f t="shared" si="67"/>
        <v>Gasoline</v>
      </c>
      <c r="M4800" s="8"/>
      <c r="N4800" s="2"/>
      <c r="O4800" s="2"/>
      <c r="P4800" s="2"/>
      <c r="Q4800" s="2"/>
      <c r="R4800" s="2"/>
      <c r="S4800" s="2"/>
      <c r="T4800" s="2"/>
      <c r="U4800" s="2"/>
      <c r="V4800" s="2"/>
      <c r="W4800" s="2"/>
      <c r="X4800" s="2"/>
      <c r="Y4800" s="2"/>
      <c r="Z4800" s="2"/>
    </row>
    <row r="4801" spans="1:26" ht="12.75" x14ac:dyDescent="0.2">
      <c r="A4801" s="230"/>
      <c r="B4801" s="18">
        <v>2023</v>
      </c>
      <c r="C4801" s="18" t="s">
        <v>710</v>
      </c>
      <c r="D4801" s="18" t="s">
        <v>712</v>
      </c>
      <c r="E4801" s="18" t="s">
        <v>713</v>
      </c>
      <c r="F4801" s="18" t="s">
        <v>714</v>
      </c>
      <c r="G4801" s="18" t="s">
        <v>674</v>
      </c>
      <c r="H4801" s="18" t="s">
        <v>715</v>
      </c>
      <c r="I4801" s="315">
        <v>1.3289112473972505E-14</v>
      </c>
      <c r="J4801" s="315">
        <v>7.9085878762821247E-20</v>
      </c>
      <c r="K4801" s="316" t="str">
        <f t="shared" si="66"/>
        <v>Construction and Mining Equipment</v>
      </c>
      <c r="L4801" s="316" t="str">
        <f t="shared" si="67"/>
        <v>Diesel</v>
      </c>
      <c r="M4801" s="8"/>
      <c r="N4801" s="2"/>
      <c r="O4801" s="2"/>
      <c r="P4801" s="2"/>
      <c r="Q4801" s="2"/>
      <c r="R4801" s="2"/>
      <c r="S4801" s="2"/>
      <c r="T4801" s="2"/>
      <c r="U4801" s="2"/>
      <c r="V4801" s="2"/>
      <c r="W4801" s="2"/>
      <c r="X4801" s="2"/>
      <c r="Y4801" s="2"/>
      <c r="Z4801" s="2"/>
    </row>
    <row r="4802" spans="1:26" ht="12.75" x14ac:dyDescent="0.2">
      <c r="A4802" s="230"/>
      <c r="B4802" s="18">
        <v>2023</v>
      </c>
      <c r="C4802" s="18" t="s">
        <v>710</v>
      </c>
      <c r="D4802" s="18" t="s">
        <v>718</v>
      </c>
      <c r="E4802" s="18" t="s">
        <v>713</v>
      </c>
      <c r="F4802" s="18" t="s">
        <v>714</v>
      </c>
      <c r="G4802" s="18" t="s">
        <v>674</v>
      </c>
      <c r="H4802" s="18" t="s">
        <v>719</v>
      </c>
      <c r="I4802" s="315">
        <v>1.2205865709054817E-14</v>
      </c>
      <c r="J4802" s="315">
        <v>4.5622445000918762E-20</v>
      </c>
      <c r="K4802" s="316" t="str">
        <f t="shared" si="66"/>
        <v>Construction and Mining Equipment</v>
      </c>
      <c r="L4802" s="316" t="str">
        <f t="shared" si="67"/>
        <v>Diesel</v>
      </c>
      <c r="M4802" s="8"/>
      <c r="N4802" s="2"/>
      <c r="O4802" s="2"/>
      <c r="P4802" s="2"/>
      <c r="Q4802" s="2"/>
      <c r="R4802" s="2"/>
      <c r="S4802" s="2"/>
      <c r="T4802" s="2"/>
      <c r="U4802" s="2"/>
      <c r="V4802" s="2"/>
      <c r="W4802" s="2"/>
      <c r="X4802" s="2"/>
      <c r="Y4802" s="2"/>
      <c r="Z4802" s="2"/>
    </row>
    <row r="4803" spans="1:26" ht="12.75" x14ac:dyDescent="0.2">
      <c r="A4803" s="230"/>
      <c r="B4803" s="18">
        <v>2023</v>
      </c>
      <c r="C4803" s="18" t="s">
        <v>710</v>
      </c>
      <c r="D4803" s="18" t="s">
        <v>720</v>
      </c>
      <c r="E4803" s="18" t="s">
        <v>713</v>
      </c>
      <c r="F4803" s="18" t="s">
        <v>714</v>
      </c>
      <c r="G4803" s="18" t="s">
        <v>674</v>
      </c>
      <c r="H4803" s="18" t="s">
        <v>721</v>
      </c>
      <c r="I4803" s="315">
        <v>1.2154215431672479E-14</v>
      </c>
      <c r="J4803" s="315">
        <v>5.4858806512664979E-20</v>
      </c>
      <c r="K4803" s="316" t="str">
        <f t="shared" si="66"/>
        <v>Construction and Mining Equipment</v>
      </c>
      <c r="L4803" s="316" t="str">
        <f t="shared" si="67"/>
        <v>Diesel</v>
      </c>
      <c r="M4803" s="8"/>
      <c r="N4803" s="2"/>
      <c r="O4803" s="2"/>
      <c r="P4803" s="2"/>
      <c r="Q4803" s="2"/>
      <c r="R4803" s="2"/>
      <c r="S4803" s="2"/>
      <c r="T4803" s="2"/>
      <c r="U4803" s="2"/>
      <c r="V4803" s="2"/>
      <c r="W4803" s="2"/>
      <c r="X4803" s="2"/>
      <c r="Y4803" s="2"/>
      <c r="Z4803" s="2"/>
    </row>
    <row r="4804" spans="1:26" ht="12.75" x14ac:dyDescent="0.2">
      <c r="A4804" s="230"/>
      <c r="B4804" s="18">
        <v>2023</v>
      </c>
      <c r="C4804" s="18" t="s">
        <v>710</v>
      </c>
      <c r="D4804" s="18" t="s">
        <v>725</v>
      </c>
      <c r="E4804" s="18" t="s">
        <v>713</v>
      </c>
      <c r="F4804" s="18" t="s">
        <v>714</v>
      </c>
      <c r="G4804" s="18" t="s">
        <v>674</v>
      </c>
      <c r="H4804" s="18" t="s">
        <v>726</v>
      </c>
      <c r="I4804" s="315">
        <v>1.0446365279287938E-14</v>
      </c>
      <c r="J4804" s="315">
        <v>5.8445864748611733E-20</v>
      </c>
      <c r="K4804" s="316" t="str">
        <f t="shared" si="66"/>
        <v>Construction and Mining Equipment</v>
      </c>
      <c r="L4804" s="316" t="str">
        <f t="shared" si="67"/>
        <v>Diesel</v>
      </c>
      <c r="M4804" s="8"/>
      <c r="N4804" s="2"/>
      <c r="O4804" s="2"/>
      <c r="P4804" s="2"/>
      <c r="Q4804" s="2"/>
      <c r="R4804" s="2"/>
      <c r="S4804" s="2"/>
      <c r="T4804" s="2"/>
      <c r="U4804" s="2"/>
      <c r="V4804" s="2"/>
      <c r="W4804" s="2"/>
      <c r="X4804" s="2"/>
      <c r="Y4804" s="2"/>
      <c r="Z4804" s="2"/>
    </row>
    <row r="4805" spans="1:26" ht="12.75" x14ac:dyDescent="0.2">
      <c r="A4805" s="230"/>
      <c r="B4805" s="18">
        <v>2023</v>
      </c>
      <c r="C4805" s="18" t="s">
        <v>710</v>
      </c>
      <c r="D4805" s="18" t="s">
        <v>763</v>
      </c>
      <c r="E4805" s="18" t="s">
        <v>713</v>
      </c>
      <c r="F4805" s="18" t="s">
        <v>714</v>
      </c>
      <c r="G4805" s="18" t="s">
        <v>678</v>
      </c>
      <c r="H4805" s="18" t="s">
        <v>764</v>
      </c>
      <c r="I4805" s="315">
        <v>9.5689262477657122E-15</v>
      </c>
      <c r="J4805" s="315">
        <v>1.083285870604999E-19</v>
      </c>
      <c r="K4805" s="316" t="str">
        <f t="shared" si="66"/>
        <v>Agricultural Equipment</v>
      </c>
      <c r="L4805" s="316" t="str">
        <f t="shared" si="67"/>
        <v>Diesel</v>
      </c>
      <c r="M4805" s="8"/>
      <c r="N4805" s="2"/>
      <c r="O4805" s="2"/>
      <c r="P4805" s="2"/>
      <c r="Q4805" s="2"/>
      <c r="R4805" s="2"/>
      <c r="S4805" s="2"/>
      <c r="T4805" s="2"/>
      <c r="U4805" s="2"/>
      <c r="V4805" s="2"/>
      <c r="W4805" s="2"/>
      <c r="X4805" s="2"/>
      <c r="Y4805" s="2"/>
      <c r="Z4805" s="2"/>
    </row>
    <row r="4806" spans="1:26" ht="12.75" x14ac:dyDescent="0.2">
      <c r="A4806" s="230"/>
      <c r="B4806" s="18">
        <v>2023</v>
      </c>
      <c r="C4806" s="18" t="s">
        <v>710</v>
      </c>
      <c r="D4806" s="18" t="s">
        <v>735</v>
      </c>
      <c r="E4806" s="18" t="s">
        <v>713</v>
      </c>
      <c r="F4806" s="18" t="s">
        <v>714</v>
      </c>
      <c r="G4806" s="18" t="s">
        <v>674</v>
      </c>
      <c r="H4806" s="18" t="s">
        <v>736</v>
      </c>
      <c r="I4806" s="315">
        <v>8.0639328098068028E-15</v>
      </c>
      <c r="J4806" s="315">
        <v>2.4119703786532016E-19</v>
      </c>
      <c r="K4806" s="316" t="str">
        <f t="shared" si="66"/>
        <v>Construction and Mining Equipment</v>
      </c>
      <c r="L4806" s="316" t="str">
        <f t="shared" si="67"/>
        <v>Diesel</v>
      </c>
      <c r="M4806" s="8"/>
      <c r="N4806" s="2"/>
      <c r="O4806" s="2"/>
      <c r="P4806" s="2"/>
      <c r="Q4806" s="2"/>
      <c r="R4806" s="2"/>
      <c r="S4806" s="2"/>
      <c r="T4806" s="2"/>
      <c r="U4806" s="2"/>
      <c r="V4806" s="2"/>
      <c r="W4806" s="2"/>
      <c r="X4806" s="2"/>
      <c r="Y4806" s="2"/>
      <c r="Z4806" s="2"/>
    </row>
    <row r="4807" spans="1:26" ht="12.75" x14ac:dyDescent="0.2">
      <c r="A4807" s="230"/>
      <c r="B4807" s="18">
        <v>2023</v>
      </c>
      <c r="C4807" s="18" t="s">
        <v>710</v>
      </c>
      <c r="D4807" s="18" t="s">
        <v>755</v>
      </c>
      <c r="E4807" s="18" t="s">
        <v>713</v>
      </c>
      <c r="F4807" s="18" t="s">
        <v>714</v>
      </c>
      <c r="G4807" s="18" t="s">
        <v>674</v>
      </c>
      <c r="H4807" s="18" t="s">
        <v>756</v>
      </c>
      <c r="I4807" s="315">
        <v>5.5235820743604083E-15</v>
      </c>
      <c r="J4807" s="315">
        <v>2.1448889228399923E-19</v>
      </c>
      <c r="K4807" s="316" t="str">
        <f t="shared" si="66"/>
        <v>Construction and Mining Equipment</v>
      </c>
      <c r="L4807" s="316" t="str">
        <f t="shared" si="67"/>
        <v>Diesel</v>
      </c>
      <c r="M4807" s="8"/>
      <c r="N4807" s="2"/>
      <c r="O4807" s="2"/>
      <c r="P4807" s="2"/>
      <c r="Q4807" s="2"/>
      <c r="R4807" s="2"/>
      <c r="S4807" s="2"/>
      <c r="T4807" s="2"/>
      <c r="U4807" s="2"/>
      <c r="V4807" s="2"/>
      <c r="W4807" s="2"/>
      <c r="X4807" s="2"/>
      <c r="Y4807" s="2"/>
      <c r="Z4807" s="2"/>
    </row>
    <row r="4808" spans="1:26" ht="12.75" x14ac:dyDescent="0.2">
      <c r="A4808" s="230"/>
      <c r="B4808" s="18">
        <v>2023</v>
      </c>
      <c r="C4808" s="18" t="s">
        <v>710</v>
      </c>
      <c r="D4808" s="18" t="s">
        <v>769</v>
      </c>
      <c r="E4808" s="18" t="s">
        <v>713</v>
      </c>
      <c r="F4808" s="18" t="s">
        <v>714</v>
      </c>
      <c r="G4808" s="18" t="s">
        <v>674</v>
      </c>
      <c r="H4808" s="18" t="s">
        <v>770</v>
      </c>
      <c r="I4808" s="315">
        <v>3.9085785865614401E-15</v>
      </c>
      <c r="J4808" s="315">
        <v>3.134027014525084E-20</v>
      </c>
      <c r="K4808" s="316" t="str">
        <f t="shared" si="66"/>
        <v>Construction and Mining Equipment</v>
      </c>
      <c r="L4808" s="316" t="str">
        <f t="shared" si="67"/>
        <v>Diesel</v>
      </c>
      <c r="M4808" s="8"/>
      <c r="N4808" s="2"/>
      <c r="O4808" s="2"/>
      <c r="P4808" s="2"/>
      <c r="Q4808" s="2"/>
      <c r="R4808" s="2"/>
      <c r="S4808" s="2"/>
      <c r="T4808" s="2"/>
      <c r="U4808" s="2"/>
      <c r="V4808" s="2"/>
      <c r="W4808" s="2"/>
      <c r="X4808" s="2"/>
      <c r="Y4808" s="2"/>
      <c r="Z4808" s="2"/>
    </row>
    <row r="4809" spans="1:26" ht="12.75" x14ac:dyDescent="0.2">
      <c r="A4809" s="230"/>
      <c r="B4809" s="18">
        <v>2023</v>
      </c>
      <c r="C4809" s="18" t="s">
        <v>710</v>
      </c>
      <c r="D4809" s="18" t="s">
        <v>776</v>
      </c>
      <c r="E4809" s="18" t="s">
        <v>713</v>
      </c>
      <c r="F4809" s="18" t="s">
        <v>714</v>
      </c>
      <c r="G4809" s="18" t="s">
        <v>674</v>
      </c>
      <c r="H4809" s="18" t="s">
        <v>777</v>
      </c>
      <c r="I4809" s="315">
        <v>3.2772208262337799E-15</v>
      </c>
      <c r="J4809" s="315">
        <v>1.3034565870185444E-20</v>
      </c>
      <c r="K4809" s="316" t="str">
        <f t="shared" si="66"/>
        <v>Construction and Mining Equipment</v>
      </c>
      <c r="L4809" s="316" t="str">
        <f t="shared" si="67"/>
        <v>Diesel</v>
      </c>
      <c r="M4809" s="8"/>
      <c r="N4809" s="2"/>
      <c r="O4809" s="2"/>
      <c r="P4809" s="2"/>
      <c r="Q4809" s="2"/>
      <c r="R4809" s="2"/>
      <c r="S4809" s="2"/>
      <c r="T4809" s="2"/>
      <c r="U4809" s="2"/>
      <c r="V4809" s="2"/>
      <c r="W4809" s="2"/>
      <c r="X4809" s="2"/>
      <c r="Y4809" s="2"/>
      <c r="Z4809" s="2"/>
    </row>
    <row r="4810" spans="1:26" ht="12.75" x14ac:dyDescent="0.2">
      <c r="A4810" s="230"/>
      <c r="B4810" s="18">
        <v>2023</v>
      </c>
      <c r="C4810" s="18" t="s">
        <v>710</v>
      </c>
      <c r="D4810" s="18" t="s">
        <v>779</v>
      </c>
      <c r="E4810" s="18" t="s">
        <v>713</v>
      </c>
      <c r="F4810" s="18" t="s">
        <v>714</v>
      </c>
      <c r="G4810" s="18" t="s">
        <v>674</v>
      </c>
      <c r="H4810" s="18" t="s">
        <v>780</v>
      </c>
      <c r="I4810" s="315">
        <v>3.0370024345995204E-15</v>
      </c>
      <c r="J4810" s="315">
        <v>9.8913519411530517E-21</v>
      </c>
      <c r="K4810" s="316" t="str">
        <f t="shared" si="66"/>
        <v>Construction and Mining Equipment</v>
      </c>
      <c r="L4810" s="316" t="str">
        <f t="shared" si="67"/>
        <v>Diesel</v>
      </c>
      <c r="M4810" s="8"/>
      <c r="N4810" s="2"/>
      <c r="O4810" s="2"/>
      <c r="P4810" s="2"/>
      <c r="Q4810" s="2"/>
      <c r="R4810" s="2"/>
      <c r="S4810" s="2"/>
      <c r="T4810" s="2"/>
      <c r="U4810" s="2"/>
      <c r="V4810" s="2"/>
      <c r="W4810" s="2"/>
      <c r="X4810" s="2"/>
      <c r="Y4810" s="2"/>
      <c r="Z4810" s="2"/>
    </row>
    <row r="4811" spans="1:26" ht="12.75" x14ac:dyDescent="0.2">
      <c r="A4811" s="230"/>
      <c r="B4811" s="18">
        <v>2023</v>
      </c>
      <c r="C4811" s="18" t="s">
        <v>710</v>
      </c>
      <c r="D4811" s="18" t="s">
        <v>782</v>
      </c>
      <c r="E4811" s="18" t="s">
        <v>713</v>
      </c>
      <c r="F4811" s="18" t="s">
        <v>714</v>
      </c>
      <c r="G4811" s="18" t="s">
        <v>674</v>
      </c>
      <c r="H4811" s="18" t="s">
        <v>783</v>
      </c>
      <c r="I4811" s="315">
        <v>3.0121931066955192E-15</v>
      </c>
      <c r="J4811" s="315">
        <v>2.859639219279787E-20</v>
      </c>
      <c r="K4811" s="316" t="str">
        <f t="shared" si="66"/>
        <v>Construction and Mining Equipment</v>
      </c>
      <c r="L4811" s="316" t="str">
        <f t="shared" si="67"/>
        <v>Diesel</v>
      </c>
      <c r="M4811" s="8"/>
      <c r="N4811" s="2"/>
      <c r="O4811" s="2"/>
      <c r="P4811" s="2"/>
      <c r="Q4811" s="2"/>
      <c r="R4811" s="2"/>
      <c r="S4811" s="2"/>
      <c r="T4811" s="2"/>
      <c r="U4811" s="2"/>
      <c r="V4811" s="2"/>
      <c r="W4811" s="2"/>
      <c r="X4811" s="2"/>
      <c r="Y4811" s="2"/>
      <c r="Z4811" s="2"/>
    </row>
    <row r="4812" spans="1:26" ht="12.75" x14ac:dyDescent="0.2">
      <c r="A4812" s="230"/>
      <c r="B4812" s="18">
        <v>2023</v>
      </c>
      <c r="C4812" s="18" t="s">
        <v>710</v>
      </c>
      <c r="D4812" s="18" t="s">
        <v>790</v>
      </c>
      <c r="E4812" s="18" t="s">
        <v>713</v>
      </c>
      <c r="F4812" s="18" t="s">
        <v>714</v>
      </c>
      <c r="G4812" s="18" t="s">
        <v>674</v>
      </c>
      <c r="H4812" s="18" t="s">
        <v>791</v>
      </c>
      <c r="I4812" s="315">
        <v>2.7909984392068703E-15</v>
      </c>
      <c r="J4812" s="315">
        <v>1.6044405465757564E-20</v>
      </c>
      <c r="K4812" s="316" t="str">
        <f t="shared" si="66"/>
        <v>Construction and Mining Equipment</v>
      </c>
      <c r="L4812" s="316" t="str">
        <f t="shared" si="67"/>
        <v>Diesel</v>
      </c>
      <c r="M4812" s="8"/>
      <c r="N4812" s="2"/>
      <c r="O4812" s="2"/>
      <c r="P4812" s="2"/>
      <c r="Q4812" s="2"/>
      <c r="R4812" s="2"/>
      <c r="S4812" s="2"/>
      <c r="T4812" s="2"/>
      <c r="U4812" s="2"/>
      <c r="V4812" s="2"/>
      <c r="W4812" s="2"/>
      <c r="X4812" s="2"/>
      <c r="Y4812" s="2"/>
      <c r="Z4812" s="2"/>
    </row>
    <row r="4813" spans="1:26" ht="12.75" x14ac:dyDescent="0.2">
      <c r="A4813" s="230"/>
      <c r="B4813" s="18">
        <v>2023</v>
      </c>
      <c r="C4813" s="18" t="s">
        <v>793</v>
      </c>
      <c r="D4813" s="18" t="s">
        <v>851</v>
      </c>
      <c r="E4813" s="18" t="s">
        <v>703</v>
      </c>
      <c r="F4813" s="18" t="s">
        <v>704</v>
      </c>
      <c r="G4813" s="18" t="s">
        <v>679</v>
      </c>
      <c r="H4813" s="18" t="s">
        <v>852</v>
      </c>
      <c r="I4813" s="315">
        <v>2.5719827062431935E-15</v>
      </c>
      <c r="J4813" s="315">
        <v>2.5422813045218478E-18</v>
      </c>
      <c r="K4813" s="316" t="str">
        <f t="shared" si="66"/>
        <v>Recreational Equipment</v>
      </c>
      <c r="L4813" s="316" t="str">
        <f t="shared" si="67"/>
        <v>Gasoline</v>
      </c>
      <c r="M4813" s="8"/>
      <c r="N4813" s="2"/>
      <c r="O4813" s="2"/>
      <c r="P4813" s="2"/>
      <c r="Q4813" s="2"/>
      <c r="R4813" s="2"/>
      <c r="S4813" s="2"/>
      <c r="T4813" s="2"/>
      <c r="U4813" s="2"/>
      <c r="V4813" s="2"/>
      <c r="W4813" s="2"/>
      <c r="X4813" s="2"/>
      <c r="Y4813" s="2"/>
      <c r="Z4813" s="2"/>
    </row>
    <row r="4814" spans="1:26" ht="12.75" x14ac:dyDescent="0.2">
      <c r="A4814" s="230"/>
      <c r="B4814" s="18">
        <v>2023</v>
      </c>
      <c r="C4814" s="18" t="s">
        <v>759</v>
      </c>
      <c r="D4814" s="18" t="s">
        <v>851</v>
      </c>
      <c r="E4814" s="18" t="s">
        <v>703</v>
      </c>
      <c r="F4814" s="18" t="s">
        <v>704</v>
      </c>
      <c r="G4814" s="18" t="s">
        <v>679</v>
      </c>
      <c r="H4814" s="18" t="s">
        <v>852</v>
      </c>
      <c r="I4814" s="315">
        <v>2.5719827062431935E-15</v>
      </c>
      <c r="J4814" s="315">
        <v>2.5383868164346987E-18</v>
      </c>
      <c r="K4814" s="316" t="str">
        <f t="shared" si="66"/>
        <v>Recreational Equipment</v>
      </c>
      <c r="L4814" s="316" t="str">
        <f t="shared" si="67"/>
        <v>Gasoline</v>
      </c>
      <c r="M4814" s="8"/>
      <c r="N4814" s="2"/>
      <c r="O4814" s="2"/>
      <c r="P4814" s="2"/>
      <c r="Q4814" s="2"/>
      <c r="R4814" s="2"/>
      <c r="S4814" s="2"/>
      <c r="T4814" s="2"/>
      <c r="U4814" s="2"/>
      <c r="V4814" s="2"/>
      <c r="W4814" s="2"/>
      <c r="X4814" s="2"/>
      <c r="Y4814" s="2"/>
      <c r="Z4814" s="2"/>
    </row>
    <row r="4815" spans="1:26" ht="12.75" x14ac:dyDescent="0.2">
      <c r="A4815" s="230"/>
      <c r="B4815" s="18">
        <v>2023</v>
      </c>
      <c r="C4815" s="18" t="s">
        <v>753</v>
      </c>
      <c r="D4815" s="18" t="s">
        <v>851</v>
      </c>
      <c r="E4815" s="18" t="s">
        <v>703</v>
      </c>
      <c r="F4815" s="18" t="s">
        <v>704</v>
      </c>
      <c r="G4815" s="18" t="s">
        <v>679</v>
      </c>
      <c r="H4815" s="18" t="s">
        <v>852</v>
      </c>
      <c r="I4815" s="315">
        <v>2.5719827062431935E-15</v>
      </c>
      <c r="J4815" s="315">
        <v>2.5415969285293471E-18</v>
      </c>
      <c r="K4815" s="316" t="str">
        <f t="shared" si="66"/>
        <v>Recreational Equipment</v>
      </c>
      <c r="L4815" s="316" t="str">
        <f t="shared" si="67"/>
        <v>Gasoline</v>
      </c>
      <c r="M4815" s="8"/>
      <c r="N4815" s="2"/>
      <c r="O4815" s="2"/>
      <c r="P4815" s="2"/>
      <c r="Q4815" s="2"/>
      <c r="R4815" s="2"/>
      <c r="S4815" s="2"/>
      <c r="T4815" s="2"/>
      <c r="U4815" s="2"/>
      <c r="V4815" s="2"/>
      <c r="W4815" s="2"/>
      <c r="X4815" s="2"/>
      <c r="Y4815" s="2"/>
      <c r="Z4815" s="2"/>
    </row>
    <row r="4816" spans="1:26" ht="12.75" x14ac:dyDescent="0.2">
      <c r="A4816" s="230"/>
      <c r="B4816" s="18">
        <v>2023</v>
      </c>
      <c r="C4816" s="18" t="s">
        <v>710</v>
      </c>
      <c r="D4816" s="18" t="s">
        <v>851</v>
      </c>
      <c r="E4816" s="18" t="s">
        <v>703</v>
      </c>
      <c r="F4816" s="18" t="s">
        <v>704</v>
      </c>
      <c r="G4816" s="18" t="s">
        <v>679</v>
      </c>
      <c r="H4816" s="18" t="s">
        <v>852</v>
      </c>
      <c r="I4816" s="315">
        <v>2.5719827062431935E-15</v>
      </c>
      <c r="J4816" s="315">
        <v>2.5468962913549219E-18</v>
      </c>
      <c r="K4816" s="316" t="str">
        <f t="shared" si="66"/>
        <v>Recreational Equipment</v>
      </c>
      <c r="L4816" s="316" t="str">
        <f t="shared" si="67"/>
        <v>Gasoline</v>
      </c>
      <c r="M4816" s="8"/>
      <c r="N4816" s="2"/>
      <c r="O4816" s="2"/>
      <c r="P4816" s="2"/>
      <c r="Q4816" s="2"/>
      <c r="R4816" s="2"/>
      <c r="S4816" s="2"/>
      <c r="T4816" s="2"/>
      <c r="U4816" s="2"/>
      <c r="V4816" s="2"/>
      <c r="W4816" s="2"/>
      <c r="X4816" s="2"/>
      <c r="Y4816" s="2"/>
      <c r="Z4816" s="2"/>
    </row>
    <row r="4817" spans="1:26" ht="12.75" x14ac:dyDescent="0.2">
      <c r="A4817" s="230"/>
      <c r="B4817" s="18">
        <v>2023</v>
      </c>
      <c r="C4817" s="18" t="s">
        <v>781</v>
      </c>
      <c r="D4817" s="18" t="s">
        <v>799</v>
      </c>
      <c r="E4817" s="18" t="s">
        <v>703</v>
      </c>
      <c r="F4817" s="18" t="s">
        <v>795</v>
      </c>
      <c r="G4817" s="18" t="s">
        <v>673</v>
      </c>
      <c r="H4817" s="18" t="s">
        <v>800</v>
      </c>
      <c r="I4817" s="315">
        <v>1.8912928273803482E-15</v>
      </c>
      <c r="J4817" s="315">
        <v>3.5447505950994448E-18</v>
      </c>
      <c r="K4817" s="316" t="str">
        <f t="shared" si="66"/>
        <v>Lawn and Garden Equipment</v>
      </c>
      <c r="L4817" s="316" t="str">
        <f t="shared" si="67"/>
        <v>Gasoline</v>
      </c>
      <c r="M4817" s="8"/>
      <c r="N4817" s="2"/>
      <c r="O4817" s="2"/>
      <c r="P4817" s="2"/>
      <c r="Q4817" s="2"/>
      <c r="R4817" s="2"/>
      <c r="S4817" s="2"/>
      <c r="T4817" s="2"/>
      <c r="U4817" s="2"/>
      <c r="V4817" s="2"/>
      <c r="W4817" s="2"/>
      <c r="X4817" s="2"/>
      <c r="Y4817" s="2"/>
      <c r="Z4817" s="2"/>
    </row>
    <row r="4818" spans="1:26" ht="12.75" x14ac:dyDescent="0.2">
      <c r="A4818" s="230"/>
      <c r="B4818" s="18">
        <v>2023</v>
      </c>
      <c r="C4818" s="18" t="s">
        <v>731</v>
      </c>
      <c r="D4818" s="18" t="s">
        <v>799</v>
      </c>
      <c r="E4818" s="18" t="s">
        <v>703</v>
      </c>
      <c r="F4818" s="18" t="s">
        <v>795</v>
      </c>
      <c r="G4818" s="18" t="s">
        <v>673</v>
      </c>
      <c r="H4818" s="18" t="s">
        <v>800</v>
      </c>
      <c r="I4818" s="315">
        <v>1.8912928273803482E-15</v>
      </c>
      <c r="J4818" s="315">
        <v>3.5373728383033363E-18</v>
      </c>
      <c r="K4818" s="316" t="str">
        <f t="shared" si="66"/>
        <v>Lawn and Garden Equipment</v>
      </c>
      <c r="L4818" s="316" t="str">
        <f t="shared" si="67"/>
        <v>Gasoline</v>
      </c>
      <c r="M4818" s="8"/>
      <c r="N4818" s="2"/>
      <c r="O4818" s="2"/>
      <c r="P4818" s="2"/>
      <c r="Q4818" s="2"/>
      <c r="R4818" s="2"/>
      <c r="S4818" s="2"/>
      <c r="T4818" s="2"/>
      <c r="U4818" s="2"/>
      <c r="V4818" s="2"/>
      <c r="W4818" s="2"/>
      <c r="X4818" s="2"/>
      <c r="Y4818" s="2"/>
      <c r="Z4818" s="2"/>
    </row>
    <row r="4819" spans="1:26" ht="12.75" x14ac:dyDescent="0.2">
      <c r="A4819" s="230"/>
      <c r="B4819" s="18">
        <v>2023</v>
      </c>
      <c r="C4819" s="18" t="s">
        <v>762</v>
      </c>
      <c r="D4819" s="18" t="s">
        <v>799</v>
      </c>
      <c r="E4819" s="18" t="s">
        <v>703</v>
      </c>
      <c r="F4819" s="18" t="s">
        <v>795</v>
      </c>
      <c r="G4819" s="18" t="s">
        <v>673</v>
      </c>
      <c r="H4819" s="18" t="s">
        <v>800</v>
      </c>
      <c r="I4819" s="315">
        <v>1.8912928273803482E-15</v>
      </c>
      <c r="J4819" s="315">
        <v>3.5493695793099423E-18</v>
      </c>
      <c r="K4819" s="316" t="str">
        <f t="shared" si="66"/>
        <v>Lawn and Garden Equipment</v>
      </c>
      <c r="L4819" s="316" t="str">
        <f t="shared" si="67"/>
        <v>Gasoline</v>
      </c>
      <c r="M4819" s="8"/>
      <c r="N4819" s="2"/>
      <c r="O4819" s="2"/>
      <c r="P4819" s="2"/>
      <c r="Q4819" s="2"/>
      <c r="R4819" s="2"/>
      <c r="S4819" s="2"/>
      <c r="T4819" s="2"/>
      <c r="U4819" s="2"/>
      <c r="V4819" s="2"/>
      <c r="W4819" s="2"/>
      <c r="X4819" s="2"/>
      <c r="Y4819" s="2"/>
      <c r="Z4819" s="2"/>
    </row>
    <row r="4820" spans="1:26" ht="12.75" x14ac:dyDescent="0.2">
      <c r="A4820" s="230"/>
      <c r="B4820" s="18">
        <v>2023</v>
      </c>
      <c r="C4820" s="18" t="s">
        <v>759</v>
      </c>
      <c r="D4820" s="18" t="s">
        <v>799</v>
      </c>
      <c r="E4820" s="18" t="s">
        <v>703</v>
      </c>
      <c r="F4820" s="18" t="s">
        <v>795</v>
      </c>
      <c r="G4820" s="18" t="s">
        <v>673</v>
      </c>
      <c r="H4820" s="18" t="s">
        <v>800</v>
      </c>
      <c r="I4820" s="315">
        <v>1.8912928273803482E-15</v>
      </c>
      <c r="J4820" s="315">
        <v>3.5272351754171127E-18</v>
      </c>
      <c r="K4820" s="316" t="str">
        <f t="shared" si="66"/>
        <v>Lawn and Garden Equipment</v>
      </c>
      <c r="L4820" s="316" t="str">
        <f t="shared" si="67"/>
        <v>Gasoline</v>
      </c>
      <c r="M4820" s="8"/>
      <c r="N4820" s="2"/>
      <c r="O4820" s="2"/>
      <c r="P4820" s="2"/>
      <c r="Q4820" s="2"/>
      <c r="R4820" s="2"/>
      <c r="S4820" s="2"/>
      <c r="T4820" s="2"/>
      <c r="U4820" s="2"/>
      <c r="V4820" s="2"/>
      <c r="W4820" s="2"/>
      <c r="X4820" s="2"/>
      <c r="Y4820" s="2"/>
      <c r="Z4820" s="2"/>
    </row>
    <row r="4821" spans="1:26" ht="12.75" x14ac:dyDescent="0.2">
      <c r="A4821" s="230"/>
      <c r="B4821" s="18">
        <v>2023</v>
      </c>
      <c r="C4821" s="18" t="s">
        <v>753</v>
      </c>
      <c r="D4821" s="18" t="s">
        <v>799</v>
      </c>
      <c r="E4821" s="18" t="s">
        <v>703</v>
      </c>
      <c r="F4821" s="18" t="s">
        <v>795</v>
      </c>
      <c r="G4821" s="18" t="s">
        <v>673</v>
      </c>
      <c r="H4821" s="18" t="s">
        <v>800</v>
      </c>
      <c r="I4821" s="315">
        <v>1.8912928273803482E-15</v>
      </c>
      <c r="J4821" s="315">
        <v>3.5391545897541528E-18</v>
      </c>
      <c r="K4821" s="316" t="str">
        <f t="shared" si="66"/>
        <v>Lawn and Garden Equipment</v>
      </c>
      <c r="L4821" s="316" t="str">
        <f t="shared" si="67"/>
        <v>Gasoline</v>
      </c>
      <c r="M4821" s="8"/>
      <c r="N4821" s="2"/>
      <c r="O4821" s="2"/>
      <c r="P4821" s="2"/>
      <c r="Q4821" s="2"/>
      <c r="R4821" s="2"/>
      <c r="S4821" s="2"/>
      <c r="T4821" s="2"/>
      <c r="U4821" s="2"/>
      <c r="V4821" s="2"/>
      <c r="W4821" s="2"/>
      <c r="X4821" s="2"/>
      <c r="Y4821" s="2"/>
      <c r="Z4821" s="2"/>
    </row>
    <row r="4822" spans="1:26" ht="12.75" x14ac:dyDescent="0.2">
      <c r="A4822" s="230"/>
      <c r="B4822" s="18">
        <v>2023</v>
      </c>
      <c r="C4822" s="18" t="s">
        <v>773</v>
      </c>
      <c r="D4822" s="18" t="s">
        <v>799</v>
      </c>
      <c r="E4822" s="18" t="s">
        <v>703</v>
      </c>
      <c r="F4822" s="18" t="s">
        <v>795</v>
      </c>
      <c r="G4822" s="18" t="s">
        <v>673</v>
      </c>
      <c r="H4822" s="18" t="s">
        <v>800</v>
      </c>
      <c r="I4822" s="315">
        <v>1.8912928273803482E-15</v>
      </c>
      <c r="J4822" s="315">
        <v>3.5283232351769813E-18</v>
      </c>
      <c r="K4822" s="316" t="str">
        <f t="shared" si="66"/>
        <v>Lawn and Garden Equipment</v>
      </c>
      <c r="L4822" s="316" t="str">
        <f t="shared" si="67"/>
        <v>Gasoline</v>
      </c>
      <c r="M4822" s="8"/>
      <c r="N4822" s="2"/>
      <c r="O4822" s="2"/>
      <c r="P4822" s="2"/>
      <c r="Q4822" s="2"/>
      <c r="R4822" s="2"/>
      <c r="S4822" s="2"/>
      <c r="T4822" s="2"/>
      <c r="U4822" s="2"/>
      <c r="V4822" s="2"/>
      <c r="W4822" s="2"/>
      <c r="X4822" s="2"/>
      <c r="Y4822" s="2"/>
      <c r="Z4822" s="2"/>
    </row>
    <row r="4823" spans="1:26" ht="12.75" x14ac:dyDescent="0.2">
      <c r="A4823" s="230"/>
      <c r="B4823" s="18">
        <v>2023</v>
      </c>
      <c r="C4823" s="18" t="s">
        <v>727</v>
      </c>
      <c r="D4823" s="18" t="s">
        <v>799</v>
      </c>
      <c r="E4823" s="18" t="s">
        <v>703</v>
      </c>
      <c r="F4823" s="18" t="s">
        <v>795</v>
      </c>
      <c r="G4823" s="18" t="s">
        <v>673</v>
      </c>
      <c r="H4823" s="18" t="s">
        <v>800</v>
      </c>
      <c r="I4823" s="315">
        <v>1.8912928273803482E-15</v>
      </c>
      <c r="J4823" s="315">
        <v>3.5306089629025785E-18</v>
      </c>
      <c r="K4823" s="316" t="str">
        <f t="shared" si="66"/>
        <v>Lawn and Garden Equipment</v>
      </c>
      <c r="L4823" s="316" t="str">
        <f t="shared" si="67"/>
        <v>Gasoline</v>
      </c>
      <c r="M4823" s="8"/>
      <c r="N4823" s="2"/>
      <c r="O4823" s="2"/>
      <c r="P4823" s="2"/>
      <c r="Q4823" s="2"/>
      <c r="R4823" s="2"/>
      <c r="S4823" s="2"/>
      <c r="T4823" s="2"/>
      <c r="U4823" s="2"/>
      <c r="V4823" s="2"/>
      <c r="W4823" s="2"/>
      <c r="X4823" s="2"/>
      <c r="Y4823" s="2"/>
      <c r="Z4823" s="2"/>
    </row>
    <row r="4824" spans="1:26" ht="12.75" x14ac:dyDescent="0.2">
      <c r="A4824" s="230"/>
      <c r="B4824" s="18">
        <v>2023</v>
      </c>
      <c r="C4824" s="18" t="s">
        <v>792</v>
      </c>
      <c r="D4824" s="18" t="s">
        <v>737</v>
      </c>
      <c r="E4824" s="18" t="s">
        <v>713</v>
      </c>
      <c r="F4824" s="18" t="s">
        <v>714</v>
      </c>
      <c r="G4824" s="18" t="s">
        <v>680</v>
      </c>
      <c r="H4824" s="18" t="s">
        <v>680</v>
      </c>
      <c r="I4824" s="315">
        <v>1.7977059901882192E-15</v>
      </c>
      <c r="J4824" s="315">
        <v>1.4515371307168639E-20</v>
      </c>
      <c r="K4824" s="316" t="str">
        <f t="shared" si="66"/>
        <v>Airport Ground Support Equipment</v>
      </c>
      <c r="L4824" s="316" t="str">
        <f t="shared" si="67"/>
        <v>Diesel</v>
      </c>
      <c r="M4824" s="8"/>
      <c r="N4824" s="2"/>
      <c r="O4824" s="2"/>
      <c r="P4824" s="2"/>
      <c r="Q4824" s="2"/>
      <c r="R4824" s="2"/>
      <c r="S4824" s="2"/>
      <c r="T4824" s="2"/>
      <c r="U4824" s="2"/>
      <c r="V4824" s="2"/>
      <c r="W4824" s="2"/>
      <c r="X4824" s="2"/>
      <c r="Y4824" s="2"/>
      <c r="Z4824" s="2"/>
    </row>
    <row r="4825" spans="1:26" ht="12.75" x14ac:dyDescent="0.2">
      <c r="A4825" s="230"/>
      <c r="B4825" s="18">
        <v>2023</v>
      </c>
      <c r="C4825" s="18" t="s">
        <v>793</v>
      </c>
      <c r="D4825" s="18" t="s">
        <v>737</v>
      </c>
      <c r="E4825" s="18" t="s">
        <v>713</v>
      </c>
      <c r="F4825" s="18" t="s">
        <v>714</v>
      </c>
      <c r="G4825" s="18" t="s">
        <v>680</v>
      </c>
      <c r="H4825" s="18" t="s">
        <v>680</v>
      </c>
      <c r="I4825" s="315">
        <v>1.7977059901882192E-15</v>
      </c>
      <c r="J4825" s="315">
        <v>1.4515371307168639E-20</v>
      </c>
      <c r="K4825" s="316" t="str">
        <f t="shared" si="66"/>
        <v>Airport Ground Support Equipment</v>
      </c>
      <c r="L4825" s="316" t="str">
        <f t="shared" si="67"/>
        <v>Diesel</v>
      </c>
      <c r="M4825" s="8"/>
      <c r="N4825" s="2"/>
      <c r="O4825" s="2"/>
      <c r="P4825" s="2"/>
      <c r="Q4825" s="2"/>
      <c r="R4825" s="2"/>
      <c r="S4825" s="2"/>
      <c r="T4825" s="2"/>
      <c r="U4825" s="2"/>
      <c r="V4825" s="2"/>
      <c r="W4825" s="2"/>
      <c r="X4825" s="2"/>
      <c r="Y4825" s="2"/>
      <c r="Z4825" s="2"/>
    </row>
    <row r="4826" spans="1:26" ht="12.75" x14ac:dyDescent="0.2">
      <c r="A4826" s="230"/>
      <c r="B4826" s="18">
        <v>2023</v>
      </c>
      <c r="C4826" s="18" t="s">
        <v>781</v>
      </c>
      <c r="D4826" s="18" t="s">
        <v>737</v>
      </c>
      <c r="E4826" s="18" t="s">
        <v>713</v>
      </c>
      <c r="F4826" s="18" t="s">
        <v>714</v>
      </c>
      <c r="G4826" s="18" t="s">
        <v>680</v>
      </c>
      <c r="H4826" s="18" t="s">
        <v>680</v>
      </c>
      <c r="I4826" s="315">
        <v>1.7977059901882192E-15</v>
      </c>
      <c r="J4826" s="315">
        <v>1.4515371307168639E-20</v>
      </c>
      <c r="K4826" s="316" t="str">
        <f t="shared" si="66"/>
        <v>Airport Ground Support Equipment</v>
      </c>
      <c r="L4826" s="316" t="str">
        <f t="shared" si="67"/>
        <v>Diesel</v>
      </c>
      <c r="M4826" s="8"/>
      <c r="N4826" s="2"/>
      <c r="O4826" s="2"/>
      <c r="P4826" s="2"/>
      <c r="Q4826" s="2"/>
      <c r="R4826" s="2"/>
      <c r="S4826" s="2"/>
      <c r="T4826" s="2"/>
      <c r="U4826" s="2"/>
      <c r="V4826" s="2"/>
      <c r="W4826" s="2"/>
      <c r="X4826" s="2"/>
      <c r="Y4826" s="2"/>
      <c r="Z4826" s="2"/>
    </row>
    <row r="4827" spans="1:26" ht="12.75" x14ac:dyDescent="0.2">
      <c r="A4827" s="230"/>
      <c r="B4827" s="18">
        <v>2023</v>
      </c>
      <c r="C4827" s="18" t="s">
        <v>787</v>
      </c>
      <c r="D4827" s="18" t="s">
        <v>737</v>
      </c>
      <c r="E4827" s="18" t="s">
        <v>713</v>
      </c>
      <c r="F4827" s="18" t="s">
        <v>714</v>
      </c>
      <c r="G4827" s="18" t="s">
        <v>680</v>
      </c>
      <c r="H4827" s="18" t="s">
        <v>680</v>
      </c>
      <c r="I4827" s="315">
        <v>1.7977059901882192E-15</v>
      </c>
      <c r="J4827" s="315">
        <v>1.4515371307168639E-20</v>
      </c>
      <c r="K4827" s="316" t="str">
        <f t="shared" si="66"/>
        <v>Airport Ground Support Equipment</v>
      </c>
      <c r="L4827" s="316" t="str">
        <f t="shared" si="67"/>
        <v>Diesel</v>
      </c>
      <c r="M4827" s="8"/>
      <c r="N4827" s="2"/>
      <c r="O4827" s="2"/>
      <c r="P4827" s="2"/>
      <c r="Q4827" s="2"/>
      <c r="R4827" s="2"/>
      <c r="S4827" s="2"/>
      <c r="T4827" s="2"/>
      <c r="U4827" s="2"/>
      <c r="V4827" s="2"/>
      <c r="W4827" s="2"/>
      <c r="X4827" s="2"/>
      <c r="Y4827" s="2"/>
      <c r="Z4827" s="2"/>
    </row>
    <row r="4828" spans="1:26" ht="12.75" x14ac:dyDescent="0.2">
      <c r="A4828" s="230"/>
      <c r="B4828" s="18">
        <v>2023</v>
      </c>
      <c r="C4828" s="18" t="s">
        <v>778</v>
      </c>
      <c r="D4828" s="18" t="s">
        <v>737</v>
      </c>
      <c r="E4828" s="18" t="s">
        <v>713</v>
      </c>
      <c r="F4828" s="18" t="s">
        <v>714</v>
      </c>
      <c r="G4828" s="18" t="s">
        <v>680</v>
      </c>
      <c r="H4828" s="18" t="s">
        <v>680</v>
      </c>
      <c r="I4828" s="315">
        <v>1.7977059901882192E-15</v>
      </c>
      <c r="J4828" s="315">
        <v>1.4515371307168639E-20</v>
      </c>
      <c r="K4828" s="316" t="str">
        <f t="shared" si="66"/>
        <v>Airport Ground Support Equipment</v>
      </c>
      <c r="L4828" s="316" t="str">
        <f t="shared" si="67"/>
        <v>Diesel</v>
      </c>
      <c r="M4828" s="8"/>
      <c r="N4828" s="2"/>
      <c r="O4828" s="2"/>
      <c r="P4828" s="2"/>
      <c r="Q4828" s="2"/>
      <c r="R4828" s="2"/>
      <c r="S4828" s="2"/>
      <c r="T4828" s="2"/>
      <c r="U4828" s="2"/>
      <c r="V4828" s="2"/>
      <c r="W4828" s="2"/>
      <c r="X4828" s="2"/>
      <c r="Y4828" s="2"/>
      <c r="Z4828" s="2"/>
    </row>
    <row r="4829" spans="1:26" ht="12.75" x14ac:dyDescent="0.2">
      <c r="A4829" s="230"/>
      <c r="B4829" s="18">
        <v>2023</v>
      </c>
      <c r="C4829" s="18" t="s">
        <v>760</v>
      </c>
      <c r="D4829" s="18" t="s">
        <v>737</v>
      </c>
      <c r="E4829" s="18" t="s">
        <v>713</v>
      </c>
      <c r="F4829" s="18" t="s">
        <v>714</v>
      </c>
      <c r="G4829" s="18" t="s">
        <v>680</v>
      </c>
      <c r="H4829" s="18" t="s">
        <v>680</v>
      </c>
      <c r="I4829" s="315">
        <v>1.7977059901882192E-15</v>
      </c>
      <c r="J4829" s="315">
        <v>1.4515371307168639E-20</v>
      </c>
      <c r="K4829" s="316" t="str">
        <f t="shared" si="66"/>
        <v>Airport Ground Support Equipment</v>
      </c>
      <c r="L4829" s="316" t="str">
        <f t="shared" si="67"/>
        <v>Diesel</v>
      </c>
      <c r="M4829" s="8"/>
      <c r="N4829" s="2"/>
      <c r="O4829" s="2"/>
      <c r="P4829" s="2"/>
      <c r="Q4829" s="2"/>
      <c r="R4829" s="2"/>
      <c r="S4829" s="2"/>
      <c r="T4829" s="2"/>
      <c r="U4829" s="2"/>
      <c r="V4829" s="2"/>
      <c r="W4829" s="2"/>
      <c r="X4829" s="2"/>
      <c r="Y4829" s="2"/>
      <c r="Z4829" s="2"/>
    </row>
    <row r="4830" spans="1:26" x14ac:dyDescent="0.25">
      <c r="A4830" s="314"/>
      <c r="B4830" s="18">
        <v>2023</v>
      </c>
      <c r="C4830" s="18" t="s">
        <v>722</v>
      </c>
      <c r="D4830" s="18" t="s">
        <v>737</v>
      </c>
      <c r="E4830" s="18" t="s">
        <v>713</v>
      </c>
      <c r="F4830" s="18" t="s">
        <v>714</v>
      </c>
      <c r="G4830" s="18" t="s">
        <v>680</v>
      </c>
      <c r="H4830" s="18" t="s">
        <v>680</v>
      </c>
      <c r="I4830" s="315">
        <v>1.7977059901882192E-15</v>
      </c>
      <c r="J4830" s="315">
        <v>1.4515371307168639E-20</v>
      </c>
      <c r="K4830" s="316" t="str">
        <f t="shared" si="66"/>
        <v>Airport Ground Support Equipment</v>
      </c>
      <c r="L4830" s="316" t="str">
        <f t="shared" si="67"/>
        <v>Diesel</v>
      </c>
      <c r="M4830" s="194"/>
      <c r="N4830" s="317"/>
      <c r="O4830" s="317"/>
      <c r="P4830" s="317"/>
      <c r="Q4830" s="317"/>
      <c r="R4830" s="317"/>
      <c r="S4830" s="317"/>
      <c r="T4830" s="317"/>
      <c r="U4830" s="317"/>
      <c r="V4830" s="317"/>
      <c r="W4830" s="317"/>
      <c r="X4830" s="317"/>
      <c r="Y4830" s="317"/>
      <c r="Z4830" s="317"/>
    </row>
    <row r="4831" spans="1:26" x14ac:dyDescent="0.25">
      <c r="A4831" s="314"/>
      <c r="B4831" s="18">
        <v>2023</v>
      </c>
      <c r="C4831" s="18" t="s">
        <v>786</v>
      </c>
      <c r="D4831" s="18" t="s">
        <v>737</v>
      </c>
      <c r="E4831" s="18" t="s">
        <v>713</v>
      </c>
      <c r="F4831" s="18" t="s">
        <v>714</v>
      </c>
      <c r="G4831" s="18" t="s">
        <v>680</v>
      </c>
      <c r="H4831" s="18" t="s">
        <v>680</v>
      </c>
      <c r="I4831" s="315">
        <v>1.7977059901882192E-15</v>
      </c>
      <c r="J4831" s="315">
        <v>1.4515371307168639E-20</v>
      </c>
      <c r="K4831" s="316" t="str">
        <f t="shared" si="66"/>
        <v>Airport Ground Support Equipment</v>
      </c>
      <c r="L4831" s="316" t="str">
        <f t="shared" si="67"/>
        <v>Diesel</v>
      </c>
      <c r="M4831" s="194"/>
      <c r="N4831" s="317"/>
      <c r="O4831" s="317"/>
      <c r="P4831" s="317"/>
      <c r="Q4831" s="317"/>
      <c r="R4831" s="317"/>
      <c r="S4831" s="317"/>
      <c r="T4831" s="317"/>
      <c r="U4831" s="317"/>
      <c r="V4831" s="317"/>
      <c r="W4831" s="317"/>
      <c r="X4831" s="317"/>
      <c r="Y4831" s="317"/>
      <c r="Z4831" s="317"/>
    </row>
    <row r="4832" spans="1:26" x14ac:dyDescent="0.25">
      <c r="A4832" s="314"/>
      <c r="B4832" s="18">
        <v>2023</v>
      </c>
      <c r="C4832" s="18" t="s">
        <v>759</v>
      </c>
      <c r="D4832" s="18" t="s">
        <v>737</v>
      </c>
      <c r="E4832" s="18" t="s">
        <v>713</v>
      </c>
      <c r="F4832" s="18" t="s">
        <v>714</v>
      </c>
      <c r="G4832" s="18" t="s">
        <v>680</v>
      </c>
      <c r="H4832" s="18" t="s">
        <v>680</v>
      </c>
      <c r="I4832" s="315">
        <v>1.7977059901882192E-15</v>
      </c>
      <c r="J4832" s="315">
        <v>1.4515371307168639E-20</v>
      </c>
      <c r="K4832" s="316" t="str">
        <f t="shared" si="66"/>
        <v>Airport Ground Support Equipment</v>
      </c>
      <c r="L4832" s="316" t="str">
        <f t="shared" si="67"/>
        <v>Diesel</v>
      </c>
      <c r="M4832" s="194"/>
      <c r="N4832" s="317"/>
      <c r="O4832" s="317"/>
      <c r="P4832" s="317"/>
      <c r="Q4832" s="317"/>
      <c r="R4832" s="317"/>
      <c r="S4832" s="317"/>
      <c r="T4832" s="317"/>
      <c r="U4832" s="317"/>
      <c r="V4832" s="317"/>
      <c r="W4832" s="317"/>
      <c r="X4832" s="317"/>
      <c r="Y4832" s="317"/>
      <c r="Z4832" s="317"/>
    </row>
    <row r="4833" spans="1:26" x14ac:dyDescent="0.25">
      <c r="A4833" s="314"/>
      <c r="B4833" s="18">
        <v>2023</v>
      </c>
      <c r="C4833" s="18" t="s">
        <v>727</v>
      </c>
      <c r="D4833" s="18" t="s">
        <v>737</v>
      </c>
      <c r="E4833" s="18" t="s">
        <v>713</v>
      </c>
      <c r="F4833" s="18" t="s">
        <v>714</v>
      </c>
      <c r="G4833" s="18" t="s">
        <v>680</v>
      </c>
      <c r="H4833" s="18" t="s">
        <v>680</v>
      </c>
      <c r="I4833" s="315">
        <v>1.7977059901882192E-15</v>
      </c>
      <c r="J4833" s="315">
        <v>1.4515371307168639E-20</v>
      </c>
      <c r="K4833" s="316" t="str">
        <f t="shared" si="66"/>
        <v>Airport Ground Support Equipment</v>
      </c>
      <c r="L4833" s="316" t="str">
        <f t="shared" si="67"/>
        <v>Diesel</v>
      </c>
      <c r="M4833" s="194"/>
      <c r="N4833" s="317"/>
      <c r="O4833" s="317"/>
      <c r="P4833" s="317"/>
      <c r="Q4833" s="317"/>
      <c r="R4833" s="317"/>
      <c r="S4833" s="317"/>
      <c r="T4833" s="317"/>
      <c r="U4833" s="317"/>
      <c r="V4833" s="317"/>
      <c r="W4833" s="317"/>
      <c r="X4833" s="317"/>
      <c r="Y4833" s="317"/>
      <c r="Z4833" s="317"/>
    </row>
    <row r="4834" spans="1:26" x14ac:dyDescent="0.25">
      <c r="A4834" s="314"/>
      <c r="B4834" s="18">
        <v>2023</v>
      </c>
      <c r="C4834" s="18" t="s">
        <v>710</v>
      </c>
      <c r="D4834" s="18" t="s">
        <v>737</v>
      </c>
      <c r="E4834" s="18" t="s">
        <v>713</v>
      </c>
      <c r="F4834" s="18" t="s">
        <v>714</v>
      </c>
      <c r="G4834" s="18" t="s">
        <v>680</v>
      </c>
      <c r="H4834" s="18" t="s">
        <v>680</v>
      </c>
      <c r="I4834" s="315">
        <v>1.7977059901882192E-15</v>
      </c>
      <c r="J4834" s="315">
        <v>1.4515371307168639E-20</v>
      </c>
      <c r="K4834" s="316" t="str">
        <f t="shared" si="66"/>
        <v>Airport Ground Support Equipment</v>
      </c>
      <c r="L4834" s="316" t="str">
        <f t="shared" si="67"/>
        <v>Diesel</v>
      </c>
      <c r="M4834" s="194"/>
      <c r="N4834" s="317"/>
      <c r="O4834" s="317"/>
      <c r="P4834" s="317"/>
      <c r="Q4834" s="317"/>
      <c r="R4834" s="317"/>
      <c r="S4834" s="317"/>
      <c r="T4834" s="317"/>
      <c r="U4834" s="317"/>
      <c r="V4834" s="317"/>
      <c r="W4834" s="317"/>
      <c r="X4834" s="317"/>
      <c r="Y4834" s="317"/>
      <c r="Z4834" s="317"/>
    </row>
    <row r="4835" spans="1:26" x14ac:dyDescent="0.25">
      <c r="A4835" s="314"/>
      <c r="B4835" s="18">
        <v>2023</v>
      </c>
      <c r="C4835" s="18" t="s">
        <v>710</v>
      </c>
      <c r="D4835" s="18" t="s">
        <v>849</v>
      </c>
      <c r="E4835" s="18" t="s">
        <v>713</v>
      </c>
      <c r="F4835" s="18" t="s">
        <v>714</v>
      </c>
      <c r="G4835" s="18" t="s">
        <v>674</v>
      </c>
      <c r="H4835" s="18" t="s">
        <v>850</v>
      </c>
      <c r="I4835" s="315">
        <v>1.428723524753851E-15</v>
      </c>
      <c r="J4835" s="315">
        <v>1.9960089520908468E-20</v>
      </c>
      <c r="K4835" s="316" t="str">
        <f t="shared" si="66"/>
        <v>Construction and Mining Equipment</v>
      </c>
      <c r="L4835" s="316" t="str">
        <f t="shared" si="67"/>
        <v>Diesel</v>
      </c>
      <c r="M4835" s="194"/>
      <c r="N4835" s="317"/>
      <c r="O4835" s="317"/>
      <c r="P4835" s="317"/>
      <c r="Q4835" s="317"/>
      <c r="R4835" s="317"/>
      <c r="S4835" s="317"/>
      <c r="T4835" s="317"/>
      <c r="U4835" s="317"/>
      <c r="V4835" s="317"/>
      <c r="W4835" s="317"/>
      <c r="X4835" s="317"/>
      <c r="Y4835" s="317"/>
      <c r="Z4835" s="317"/>
    </row>
    <row r="4836" spans="1:26" x14ac:dyDescent="0.25">
      <c r="A4836" s="314"/>
      <c r="B4836" s="18">
        <v>2023</v>
      </c>
      <c r="C4836" s="18" t="s">
        <v>710</v>
      </c>
      <c r="D4836" s="18" t="s">
        <v>855</v>
      </c>
      <c r="E4836" s="18" t="s">
        <v>713</v>
      </c>
      <c r="F4836" s="18" t="s">
        <v>714</v>
      </c>
      <c r="G4836" s="18" t="s">
        <v>674</v>
      </c>
      <c r="H4836" s="18" t="s">
        <v>856</v>
      </c>
      <c r="I4836" s="315">
        <v>1.3045417830287403E-15</v>
      </c>
      <c r="J4836" s="315">
        <v>8.2432507194330358E-21</v>
      </c>
      <c r="K4836" s="316" t="str">
        <f t="shared" si="66"/>
        <v>Construction and Mining Equipment</v>
      </c>
      <c r="L4836" s="316" t="str">
        <f t="shared" si="67"/>
        <v>Diesel</v>
      </c>
      <c r="M4836" s="194"/>
      <c r="N4836" s="317"/>
      <c r="O4836" s="317"/>
      <c r="P4836" s="317"/>
      <c r="Q4836" s="317"/>
      <c r="R4836" s="317"/>
      <c r="S4836" s="317"/>
      <c r="T4836" s="317"/>
      <c r="U4836" s="317"/>
      <c r="V4836" s="317"/>
      <c r="W4836" s="317"/>
      <c r="X4836" s="317"/>
      <c r="Y4836" s="317"/>
      <c r="Z4836" s="317"/>
    </row>
    <row r="4837" spans="1:26" x14ac:dyDescent="0.25">
      <c r="A4837" s="314"/>
      <c r="B4837" s="18">
        <v>2023</v>
      </c>
      <c r="C4837" s="18" t="s">
        <v>710</v>
      </c>
      <c r="D4837" s="18" t="s">
        <v>894</v>
      </c>
      <c r="E4837" s="18" t="s">
        <v>713</v>
      </c>
      <c r="F4837" s="18" t="s">
        <v>714</v>
      </c>
      <c r="G4837" s="18" t="s">
        <v>681</v>
      </c>
      <c r="H4837" s="18" t="s">
        <v>895</v>
      </c>
      <c r="I4837" s="315">
        <v>1.2924389621189022E-15</v>
      </c>
      <c r="J4837" s="315">
        <v>2.5344222756502726E-21</v>
      </c>
      <c r="K4837" s="316" t="str">
        <f t="shared" si="66"/>
        <v>Logging Equipment</v>
      </c>
      <c r="L4837" s="316" t="str">
        <f t="shared" si="67"/>
        <v>Diesel</v>
      </c>
      <c r="M4837" s="194"/>
      <c r="N4837" s="317"/>
      <c r="O4837" s="317"/>
      <c r="P4837" s="317"/>
      <c r="Q4837" s="317"/>
      <c r="R4837" s="317"/>
      <c r="S4837" s="317"/>
      <c r="T4837" s="317"/>
      <c r="U4837" s="317"/>
      <c r="V4837" s="317"/>
      <c r="W4837" s="317"/>
      <c r="X4837" s="317"/>
      <c r="Y4837" s="317"/>
      <c r="Z4837" s="317"/>
    </row>
    <row r="4838" spans="1:26" x14ac:dyDescent="0.25">
      <c r="A4838" s="314"/>
      <c r="B4838" s="18">
        <v>2023</v>
      </c>
      <c r="C4838" s="18" t="s">
        <v>710</v>
      </c>
      <c r="D4838" s="18" t="s">
        <v>858</v>
      </c>
      <c r="E4838" s="18" t="s">
        <v>713</v>
      </c>
      <c r="F4838" s="18" t="s">
        <v>714</v>
      </c>
      <c r="G4838" s="18" t="s">
        <v>674</v>
      </c>
      <c r="H4838" s="18" t="s">
        <v>859</v>
      </c>
      <c r="I4838" s="315">
        <v>1.2549559050490128E-15</v>
      </c>
      <c r="J4838" s="315">
        <v>1.1139506627922546E-20</v>
      </c>
      <c r="K4838" s="316" t="str">
        <f t="shared" si="66"/>
        <v>Construction and Mining Equipment</v>
      </c>
      <c r="L4838" s="316" t="str">
        <f t="shared" si="67"/>
        <v>Diesel</v>
      </c>
      <c r="M4838" s="194"/>
      <c r="N4838" s="317"/>
      <c r="O4838" s="317"/>
      <c r="P4838" s="317"/>
      <c r="Q4838" s="317"/>
      <c r="R4838" s="317"/>
      <c r="S4838" s="317"/>
      <c r="T4838" s="317"/>
      <c r="U4838" s="317"/>
      <c r="V4838" s="317"/>
      <c r="W4838" s="317"/>
      <c r="X4838" s="317"/>
      <c r="Y4838" s="317"/>
      <c r="Z4838" s="317"/>
    </row>
    <row r="4839" spans="1:26" x14ac:dyDescent="0.25">
      <c r="A4839" s="314"/>
      <c r="B4839" s="18">
        <v>2023</v>
      </c>
      <c r="C4839" s="18" t="s">
        <v>710</v>
      </c>
      <c r="D4839" s="18" t="s">
        <v>860</v>
      </c>
      <c r="E4839" s="18" t="s">
        <v>713</v>
      </c>
      <c r="F4839" s="18" t="s">
        <v>714</v>
      </c>
      <c r="G4839" s="18" t="s">
        <v>674</v>
      </c>
      <c r="H4839" s="18" t="s">
        <v>861</v>
      </c>
      <c r="I4839" s="315">
        <v>1.2276851965104784E-15</v>
      </c>
      <c r="J4839" s="315">
        <v>2.0346646504607549E-20</v>
      </c>
      <c r="K4839" s="316" t="str">
        <f t="shared" si="66"/>
        <v>Construction and Mining Equipment</v>
      </c>
      <c r="L4839" s="316" t="str">
        <f t="shared" si="67"/>
        <v>Diesel</v>
      </c>
      <c r="M4839" s="194"/>
      <c r="N4839" s="317"/>
      <c r="O4839" s="317"/>
      <c r="P4839" s="317"/>
      <c r="Q4839" s="317"/>
      <c r="R4839" s="317"/>
      <c r="S4839" s="317"/>
      <c r="T4839" s="317"/>
      <c r="U4839" s="317"/>
      <c r="V4839" s="317"/>
      <c r="W4839" s="317"/>
      <c r="X4839" s="317"/>
      <c r="Y4839" s="317"/>
      <c r="Z4839" s="317"/>
    </row>
    <row r="4840" spans="1:26" x14ac:dyDescent="0.25">
      <c r="A4840" s="314"/>
      <c r="B4840" s="18">
        <v>2023</v>
      </c>
      <c r="C4840" s="18" t="s">
        <v>710</v>
      </c>
      <c r="D4840" s="18" t="s">
        <v>862</v>
      </c>
      <c r="E4840" s="18" t="s">
        <v>713</v>
      </c>
      <c r="F4840" s="18" t="s">
        <v>714</v>
      </c>
      <c r="G4840" s="18" t="s">
        <v>674</v>
      </c>
      <c r="H4840" s="18" t="s">
        <v>863</v>
      </c>
      <c r="I4840" s="315">
        <v>1.2032646042895936E-15</v>
      </c>
      <c r="J4840" s="315">
        <v>8.680644472793592E-21</v>
      </c>
      <c r="K4840" s="316" t="str">
        <f t="shared" si="66"/>
        <v>Construction and Mining Equipment</v>
      </c>
      <c r="L4840" s="316" t="str">
        <f t="shared" si="67"/>
        <v>Diesel</v>
      </c>
      <c r="M4840" s="194"/>
      <c r="N4840" s="317"/>
      <c r="O4840" s="317"/>
      <c r="P4840" s="317"/>
      <c r="Q4840" s="317"/>
      <c r="R4840" s="317"/>
      <c r="S4840" s="317"/>
      <c r="T4840" s="317"/>
      <c r="U4840" s="317"/>
      <c r="V4840" s="317"/>
      <c r="W4840" s="317"/>
      <c r="X4840" s="317"/>
      <c r="Y4840" s="317"/>
      <c r="Z4840" s="317"/>
    </row>
    <row r="4841" spans="1:26" x14ac:dyDescent="0.25">
      <c r="A4841" s="314"/>
      <c r="B4841" s="18">
        <v>2023</v>
      </c>
      <c r="C4841" s="18" t="s">
        <v>710</v>
      </c>
      <c r="D4841" s="18" t="s">
        <v>971</v>
      </c>
      <c r="E4841" s="18" t="s">
        <v>713</v>
      </c>
      <c r="F4841" s="18" t="s">
        <v>714</v>
      </c>
      <c r="G4841" s="18" t="s">
        <v>678</v>
      </c>
      <c r="H4841" s="18" t="s">
        <v>972</v>
      </c>
      <c r="I4841" s="315">
        <v>8.5840527971222141E-16</v>
      </c>
      <c r="J4841" s="315">
        <v>4.7681587195303937E-21</v>
      </c>
      <c r="K4841" s="316" t="str">
        <f t="shared" si="66"/>
        <v>Agricultural Equipment</v>
      </c>
      <c r="L4841" s="316" t="str">
        <f t="shared" si="67"/>
        <v>Diesel</v>
      </c>
      <c r="M4841" s="194"/>
      <c r="N4841" s="317"/>
      <c r="O4841" s="317"/>
      <c r="P4841" s="317"/>
      <c r="Q4841" s="317"/>
      <c r="R4841" s="317"/>
      <c r="S4841" s="317"/>
      <c r="T4841" s="317"/>
      <c r="U4841" s="317"/>
      <c r="V4841" s="317"/>
      <c r="W4841" s="317"/>
      <c r="X4841" s="317"/>
      <c r="Y4841" s="317"/>
      <c r="Z4841" s="317"/>
    </row>
    <row r="4842" spans="1:26" x14ac:dyDescent="0.25">
      <c r="A4842" s="314"/>
      <c r="B4842" s="18">
        <v>2023</v>
      </c>
      <c r="C4842" s="18" t="s">
        <v>781</v>
      </c>
      <c r="D4842" s="18" t="s">
        <v>898</v>
      </c>
      <c r="E4842" s="18" t="s">
        <v>703</v>
      </c>
      <c r="F4842" s="18" t="s">
        <v>795</v>
      </c>
      <c r="G4842" s="18" t="s">
        <v>673</v>
      </c>
      <c r="H4842" s="18" t="s">
        <v>899</v>
      </c>
      <c r="I4842" s="315">
        <v>5.848535333844089E-16</v>
      </c>
      <c r="J4842" s="315">
        <v>3.9986118809168826E-18</v>
      </c>
      <c r="K4842" s="316" t="str">
        <f t="shared" si="66"/>
        <v>Lawn and Garden Equipment</v>
      </c>
      <c r="L4842" s="316" t="str">
        <f t="shared" si="67"/>
        <v>Gasoline</v>
      </c>
      <c r="M4842" s="194"/>
      <c r="N4842" s="317"/>
      <c r="O4842" s="317"/>
      <c r="P4842" s="317"/>
      <c r="Q4842" s="317"/>
      <c r="R4842" s="317"/>
      <c r="S4842" s="317"/>
      <c r="T4842" s="317"/>
      <c r="U4842" s="317"/>
      <c r="V4842" s="317"/>
      <c r="W4842" s="317"/>
      <c r="X4842" s="317"/>
      <c r="Y4842" s="317"/>
      <c r="Z4842" s="317"/>
    </row>
    <row r="4843" spans="1:26" x14ac:dyDescent="0.25">
      <c r="A4843" s="314"/>
      <c r="B4843" s="18">
        <v>2023</v>
      </c>
      <c r="C4843" s="18" t="s">
        <v>731</v>
      </c>
      <c r="D4843" s="18" t="s">
        <v>898</v>
      </c>
      <c r="E4843" s="18" t="s">
        <v>703</v>
      </c>
      <c r="F4843" s="18" t="s">
        <v>795</v>
      </c>
      <c r="G4843" s="18" t="s">
        <v>673</v>
      </c>
      <c r="H4843" s="18" t="s">
        <v>899</v>
      </c>
      <c r="I4843" s="315">
        <v>5.848535333844089E-16</v>
      </c>
      <c r="J4843" s="315">
        <v>3.9986118809168826E-18</v>
      </c>
      <c r="K4843" s="316" t="str">
        <f t="shared" si="66"/>
        <v>Lawn and Garden Equipment</v>
      </c>
      <c r="L4843" s="316" t="str">
        <f t="shared" si="67"/>
        <v>Gasoline</v>
      </c>
      <c r="M4843" s="194"/>
      <c r="N4843" s="317"/>
      <c r="O4843" s="317"/>
      <c r="P4843" s="317"/>
      <c r="Q4843" s="317"/>
      <c r="R4843" s="317"/>
      <c r="S4843" s="317"/>
      <c r="T4843" s="317"/>
      <c r="U4843" s="317"/>
      <c r="V4843" s="317"/>
      <c r="W4843" s="317"/>
      <c r="X4843" s="317"/>
      <c r="Y4843" s="317"/>
      <c r="Z4843" s="317"/>
    </row>
    <row r="4844" spans="1:26" x14ac:dyDescent="0.25">
      <c r="A4844" s="314"/>
      <c r="B4844" s="18">
        <v>2023</v>
      </c>
      <c r="C4844" s="18" t="s">
        <v>762</v>
      </c>
      <c r="D4844" s="18" t="s">
        <v>898</v>
      </c>
      <c r="E4844" s="18" t="s">
        <v>703</v>
      </c>
      <c r="F4844" s="18" t="s">
        <v>795</v>
      </c>
      <c r="G4844" s="18" t="s">
        <v>673</v>
      </c>
      <c r="H4844" s="18" t="s">
        <v>899</v>
      </c>
      <c r="I4844" s="315">
        <v>5.848535333844089E-16</v>
      </c>
      <c r="J4844" s="315">
        <v>3.9986118809168826E-18</v>
      </c>
      <c r="K4844" s="316" t="str">
        <f t="shared" si="66"/>
        <v>Lawn and Garden Equipment</v>
      </c>
      <c r="L4844" s="316" t="str">
        <f t="shared" si="67"/>
        <v>Gasoline</v>
      </c>
      <c r="M4844" s="194"/>
      <c r="N4844" s="317"/>
      <c r="O4844" s="317"/>
      <c r="P4844" s="317"/>
      <c r="Q4844" s="317"/>
      <c r="R4844" s="317"/>
      <c r="S4844" s="317"/>
      <c r="T4844" s="317"/>
      <c r="U4844" s="317"/>
      <c r="V4844" s="317"/>
      <c r="W4844" s="317"/>
      <c r="X4844" s="317"/>
      <c r="Y4844" s="317"/>
      <c r="Z4844" s="317"/>
    </row>
    <row r="4845" spans="1:26" x14ac:dyDescent="0.25">
      <c r="A4845" s="314"/>
      <c r="B4845" s="18">
        <v>2023</v>
      </c>
      <c r="C4845" s="18" t="s">
        <v>759</v>
      </c>
      <c r="D4845" s="18" t="s">
        <v>898</v>
      </c>
      <c r="E4845" s="18" t="s">
        <v>703</v>
      </c>
      <c r="F4845" s="18" t="s">
        <v>795</v>
      </c>
      <c r="G4845" s="18" t="s">
        <v>673</v>
      </c>
      <c r="H4845" s="18" t="s">
        <v>899</v>
      </c>
      <c r="I4845" s="315">
        <v>5.848535333844089E-16</v>
      </c>
      <c r="J4845" s="315">
        <v>3.9986118809168826E-18</v>
      </c>
      <c r="K4845" s="316" t="str">
        <f t="shared" si="66"/>
        <v>Lawn and Garden Equipment</v>
      </c>
      <c r="L4845" s="316" t="str">
        <f t="shared" si="67"/>
        <v>Gasoline</v>
      </c>
      <c r="M4845" s="194"/>
      <c r="N4845" s="317"/>
      <c r="O4845" s="317"/>
      <c r="P4845" s="317"/>
      <c r="Q4845" s="317"/>
      <c r="R4845" s="317"/>
      <c r="S4845" s="317"/>
      <c r="T4845" s="317"/>
      <c r="U4845" s="317"/>
      <c r="V4845" s="317"/>
      <c r="W4845" s="317"/>
      <c r="X4845" s="317"/>
      <c r="Y4845" s="317"/>
      <c r="Z4845" s="317"/>
    </row>
    <row r="4846" spans="1:26" x14ac:dyDescent="0.25">
      <c r="A4846" s="314"/>
      <c r="B4846" s="18">
        <v>2023</v>
      </c>
      <c r="C4846" s="18" t="s">
        <v>753</v>
      </c>
      <c r="D4846" s="18" t="s">
        <v>898</v>
      </c>
      <c r="E4846" s="18" t="s">
        <v>703</v>
      </c>
      <c r="F4846" s="18" t="s">
        <v>795</v>
      </c>
      <c r="G4846" s="18" t="s">
        <v>673</v>
      </c>
      <c r="H4846" s="18" t="s">
        <v>899</v>
      </c>
      <c r="I4846" s="315">
        <v>5.848535333844089E-16</v>
      </c>
      <c r="J4846" s="315">
        <v>3.9986118809168826E-18</v>
      </c>
      <c r="K4846" s="316" t="str">
        <f t="shared" si="66"/>
        <v>Lawn and Garden Equipment</v>
      </c>
      <c r="L4846" s="316" t="str">
        <f t="shared" si="67"/>
        <v>Gasoline</v>
      </c>
      <c r="M4846" s="194"/>
      <c r="N4846" s="317"/>
      <c r="O4846" s="317"/>
      <c r="P4846" s="317"/>
      <c r="Q4846" s="317"/>
      <c r="R4846" s="317"/>
      <c r="S4846" s="317"/>
      <c r="T4846" s="317"/>
      <c r="U4846" s="317"/>
      <c r="V4846" s="317"/>
      <c r="W4846" s="317"/>
      <c r="X4846" s="317"/>
      <c r="Y4846" s="317"/>
      <c r="Z4846" s="317"/>
    </row>
    <row r="4847" spans="1:26" x14ac:dyDescent="0.25">
      <c r="A4847" s="314"/>
      <c r="B4847" s="18">
        <v>2023</v>
      </c>
      <c r="C4847" s="18" t="s">
        <v>773</v>
      </c>
      <c r="D4847" s="18" t="s">
        <v>898</v>
      </c>
      <c r="E4847" s="18" t="s">
        <v>703</v>
      </c>
      <c r="F4847" s="18" t="s">
        <v>795</v>
      </c>
      <c r="G4847" s="18" t="s">
        <v>673</v>
      </c>
      <c r="H4847" s="18" t="s">
        <v>899</v>
      </c>
      <c r="I4847" s="315">
        <v>5.848535333844089E-16</v>
      </c>
      <c r="J4847" s="315">
        <v>3.9986118809168826E-18</v>
      </c>
      <c r="K4847" s="316" t="str">
        <f t="shared" si="66"/>
        <v>Lawn and Garden Equipment</v>
      </c>
      <c r="L4847" s="316" t="str">
        <f t="shared" si="67"/>
        <v>Gasoline</v>
      </c>
      <c r="M4847" s="194"/>
      <c r="N4847" s="317"/>
      <c r="O4847" s="317"/>
      <c r="P4847" s="317"/>
      <c r="Q4847" s="317"/>
      <c r="R4847" s="317"/>
      <c r="S4847" s="317"/>
      <c r="T4847" s="317"/>
      <c r="U4847" s="317"/>
      <c r="V4847" s="317"/>
      <c r="W4847" s="317"/>
      <c r="X4847" s="317"/>
      <c r="Y4847" s="317"/>
      <c r="Z4847" s="317"/>
    </row>
    <row r="4848" spans="1:26" x14ac:dyDescent="0.25">
      <c r="A4848" s="314"/>
      <c r="B4848" s="18">
        <v>2023</v>
      </c>
      <c r="C4848" s="18" t="s">
        <v>727</v>
      </c>
      <c r="D4848" s="18" t="s">
        <v>898</v>
      </c>
      <c r="E4848" s="18" t="s">
        <v>703</v>
      </c>
      <c r="F4848" s="18" t="s">
        <v>795</v>
      </c>
      <c r="G4848" s="18" t="s">
        <v>673</v>
      </c>
      <c r="H4848" s="18" t="s">
        <v>899</v>
      </c>
      <c r="I4848" s="315">
        <v>5.848535333844089E-16</v>
      </c>
      <c r="J4848" s="315">
        <v>3.9986118809168826E-18</v>
      </c>
      <c r="K4848" s="316" t="str">
        <f t="shared" si="66"/>
        <v>Lawn and Garden Equipment</v>
      </c>
      <c r="L4848" s="316" t="str">
        <f t="shared" si="67"/>
        <v>Gasoline</v>
      </c>
      <c r="M4848" s="194"/>
      <c r="N4848" s="317"/>
      <c r="O4848" s="317"/>
      <c r="P4848" s="317"/>
      <c r="Q4848" s="317"/>
      <c r="R4848" s="317"/>
      <c r="S4848" s="317"/>
      <c r="T4848" s="317"/>
      <c r="U4848" s="317"/>
      <c r="V4848" s="317"/>
      <c r="W4848" s="317"/>
      <c r="X4848" s="317"/>
      <c r="Y4848" s="317"/>
      <c r="Z4848" s="317"/>
    </row>
    <row r="4849" spans="1:26" x14ac:dyDescent="0.25">
      <c r="A4849" s="314"/>
      <c r="B4849" s="18">
        <v>2023</v>
      </c>
      <c r="C4849" s="18" t="s">
        <v>710</v>
      </c>
      <c r="D4849" s="18" t="s">
        <v>958</v>
      </c>
      <c r="E4849" s="18" t="s">
        <v>713</v>
      </c>
      <c r="F4849" s="18" t="s">
        <v>714</v>
      </c>
      <c r="G4849" s="18" t="s">
        <v>674</v>
      </c>
      <c r="H4849" s="18" t="s">
        <v>959</v>
      </c>
      <c r="I4849" s="315">
        <v>4.9147655528709703E-16</v>
      </c>
      <c r="J4849" s="315">
        <v>4.3719321371557933E-21</v>
      </c>
      <c r="K4849" s="316" t="str">
        <f t="shared" si="66"/>
        <v>Construction and Mining Equipment</v>
      </c>
      <c r="L4849" s="316" t="str">
        <f t="shared" si="67"/>
        <v>Diesel</v>
      </c>
      <c r="M4849" s="194"/>
      <c r="N4849" s="317"/>
      <c r="O4849" s="317"/>
      <c r="P4849" s="317"/>
      <c r="Q4849" s="317"/>
      <c r="R4849" s="317"/>
      <c r="S4849" s="317"/>
      <c r="T4849" s="317"/>
      <c r="U4849" s="317"/>
      <c r="V4849" s="317"/>
      <c r="W4849" s="317"/>
      <c r="X4849" s="317"/>
      <c r="Y4849" s="317"/>
      <c r="Z4849" s="317"/>
    </row>
    <row r="4850" spans="1:26" x14ac:dyDescent="0.25">
      <c r="A4850" s="314"/>
      <c r="B4850" s="18">
        <v>2023</v>
      </c>
      <c r="C4850" s="18" t="s">
        <v>781</v>
      </c>
      <c r="D4850" s="18" t="s">
        <v>973</v>
      </c>
      <c r="E4850" s="18" t="s">
        <v>703</v>
      </c>
      <c r="F4850" s="18" t="s">
        <v>795</v>
      </c>
      <c r="G4850" s="18" t="s">
        <v>673</v>
      </c>
      <c r="H4850" s="18" t="s">
        <v>974</v>
      </c>
      <c r="I4850" s="315">
        <v>4.8579617558560954E-16</v>
      </c>
      <c r="J4850" s="315">
        <v>9.0961655543854768E-19</v>
      </c>
      <c r="K4850" s="316" t="str">
        <f t="shared" si="66"/>
        <v>Lawn and Garden Equipment</v>
      </c>
      <c r="L4850" s="316" t="str">
        <f t="shared" si="67"/>
        <v>Gasoline</v>
      </c>
      <c r="M4850" s="194"/>
      <c r="N4850" s="317"/>
      <c r="O4850" s="317"/>
      <c r="P4850" s="317"/>
      <c r="Q4850" s="317"/>
      <c r="R4850" s="317"/>
      <c r="S4850" s="317"/>
      <c r="T4850" s="317"/>
      <c r="U4850" s="317"/>
      <c r="V4850" s="317"/>
      <c r="W4850" s="317"/>
      <c r="X4850" s="317"/>
      <c r="Y4850" s="317"/>
      <c r="Z4850" s="317"/>
    </row>
    <row r="4851" spans="1:26" x14ac:dyDescent="0.25">
      <c r="A4851" s="314"/>
      <c r="B4851" s="18">
        <v>2023</v>
      </c>
      <c r="C4851" s="18" t="s">
        <v>731</v>
      </c>
      <c r="D4851" s="18" t="s">
        <v>973</v>
      </c>
      <c r="E4851" s="18" t="s">
        <v>703</v>
      </c>
      <c r="F4851" s="18" t="s">
        <v>795</v>
      </c>
      <c r="G4851" s="18" t="s">
        <v>673</v>
      </c>
      <c r="H4851" s="18" t="s">
        <v>974</v>
      </c>
      <c r="I4851" s="315">
        <v>4.8579617558560954E-16</v>
      </c>
      <c r="J4851" s="315">
        <v>9.0772692638369148E-19</v>
      </c>
      <c r="K4851" s="316" t="str">
        <f t="shared" si="66"/>
        <v>Lawn and Garden Equipment</v>
      </c>
      <c r="L4851" s="316" t="str">
        <f t="shared" si="67"/>
        <v>Gasoline</v>
      </c>
      <c r="M4851" s="194"/>
      <c r="N4851" s="317"/>
      <c r="O4851" s="317"/>
      <c r="P4851" s="317"/>
      <c r="Q4851" s="317"/>
      <c r="R4851" s="317"/>
      <c r="S4851" s="317"/>
      <c r="T4851" s="317"/>
      <c r="U4851" s="317"/>
      <c r="V4851" s="317"/>
      <c r="W4851" s="317"/>
      <c r="X4851" s="317"/>
      <c r="Y4851" s="317"/>
      <c r="Z4851" s="317"/>
    </row>
    <row r="4852" spans="1:26" x14ac:dyDescent="0.25">
      <c r="A4852" s="314"/>
      <c r="B4852" s="18">
        <v>2023</v>
      </c>
      <c r="C4852" s="18" t="s">
        <v>762</v>
      </c>
      <c r="D4852" s="18" t="s">
        <v>973</v>
      </c>
      <c r="E4852" s="18" t="s">
        <v>703</v>
      </c>
      <c r="F4852" s="18" t="s">
        <v>795</v>
      </c>
      <c r="G4852" s="18" t="s">
        <v>673</v>
      </c>
      <c r="H4852" s="18" t="s">
        <v>974</v>
      </c>
      <c r="I4852" s="315">
        <v>4.8579617558560954E-16</v>
      </c>
      <c r="J4852" s="315">
        <v>9.1080569317591432E-19</v>
      </c>
      <c r="K4852" s="316" t="str">
        <f t="shared" si="66"/>
        <v>Lawn and Garden Equipment</v>
      </c>
      <c r="L4852" s="316" t="str">
        <f t="shared" si="67"/>
        <v>Gasoline</v>
      </c>
      <c r="M4852" s="194"/>
      <c r="N4852" s="317"/>
      <c r="O4852" s="317"/>
      <c r="P4852" s="317"/>
      <c r="Q4852" s="317"/>
      <c r="R4852" s="317"/>
      <c r="S4852" s="317"/>
      <c r="T4852" s="317"/>
      <c r="U4852" s="317"/>
      <c r="V4852" s="317"/>
      <c r="W4852" s="317"/>
      <c r="X4852" s="317"/>
      <c r="Y4852" s="317"/>
      <c r="Z4852" s="317"/>
    </row>
    <row r="4853" spans="1:26" x14ac:dyDescent="0.25">
      <c r="A4853" s="314"/>
      <c r="B4853" s="18">
        <v>2023</v>
      </c>
      <c r="C4853" s="18" t="s">
        <v>759</v>
      </c>
      <c r="D4853" s="18" t="s">
        <v>973</v>
      </c>
      <c r="E4853" s="18" t="s">
        <v>703</v>
      </c>
      <c r="F4853" s="18" t="s">
        <v>795</v>
      </c>
      <c r="G4853" s="18" t="s">
        <v>673</v>
      </c>
      <c r="H4853" s="18" t="s">
        <v>974</v>
      </c>
      <c r="I4853" s="315">
        <v>4.8579617558560954E-16</v>
      </c>
      <c r="J4853" s="315">
        <v>9.051261072786539E-19</v>
      </c>
      <c r="K4853" s="316" t="str">
        <f t="shared" si="66"/>
        <v>Lawn and Garden Equipment</v>
      </c>
      <c r="L4853" s="316" t="str">
        <f t="shared" si="67"/>
        <v>Gasoline</v>
      </c>
      <c r="M4853" s="194"/>
      <c r="N4853" s="317"/>
      <c r="O4853" s="317"/>
      <c r="P4853" s="317"/>
      <c r="Q4853" s="317"/>
      <c r="R4853" s="317"/>
      <c r="S4853" s="317"/>
      <c r="T4853" s="317"/>
      <c r="U4853" s="317"/>
      <c r="V4853" s="317"/>
      <c r="W4853" s="317"/>
      <c r="X4853" s="317"/>
      <c r="Y4853" s="317"/>
      <c r="Z4853" s="317"/>
    </row>
    <row r="4854" spans="1:26" x14ac:dyDescent="0.25">
      <c r="A4854" s="314"/>
      <c r="B4854" s="18">
        <v>2023</v>
      </c>
      <c r="C4854" s="18" t="s">
        <v>753</v>
      </c>
      <c r="D4854" s="18" t="s">
        <v>973</v>
      </c>
      <c r="E4854" s="18" t="s">
        <v>703</v>
      </c>
      <c r="F4854" s="18" t="s">
        <v>795</v>
      </c>
      <c r="G4854" s="18" t="s">
        <v>673</v>
      </c>
      <c r="H4854" s="18" t="s">
        <v>974</v>
      </c>
      <c r="I4854" s="315">
        <v>4.8579617558560954E-16</v>
      </c>
      <c r="J4854" s="315">
        <v>9.0818454428460219E-19</v>
      </c>
      <c r="K4854" s="316" t="str">
        <f t="shared" si="66"/>
        <v>Lawn and Garden Equipment</v>
      </c>
      <c r="L4854" s="316" t="str">
        <f t="shared" si="67"/>
        <v>Gasoline</v>
      </c>
      <c r="M4854" s="194"/>
      <c r="N4854" s="317"/>
      <c r="O4854" s="317"/>
      <c r="P4854" s="317"/>
      <c r="Q4854" s="317"/>
      <c r="R4854" s="317"/>
      <c r="S4854" s="317"/>
      <c r="T4854" s="317"/>
      <c r="U4854" s="317"/>
      <c r="V4854" s="317"/>
      <c r="W4854" s="317"/>
      <c r="X4854" s="317"/>
      <c r="Y4854" s="317"/>
      <c r="Z4854" s="317"/>
    </row>
    <row r="4855" spans="1:26" x14ac:dyDescent="0.25">
      <c r="A4855" s="314"/>
      <c r="B4855" s="18">
        <v>2023</v>
      </c>
      <c r="C4855" s="18" t="s">
        <v>773</v>
      </c>
      <c r="D4855" s="18" t="s">
        <v>973</v>
      </c>
      <c r="E4855" s="18" t="s">
        <v>703</v>
      </c>
      <c r="F4855" s="18" t="s">
        <v>795</v>
      </c>
      <c r="G4855" s="18" t="s">
        <v>673</v>
      </c>
      <c r="H4855" s="18" t="s">
        <v>974</v>
      </c>
      <c r="I4855" s="315">
        <v>4.8579617558560954E-16</v>
      </c>
      <c r="J4855" s="315">
        <v>9.0540664030896719E-19</v>
      </c>
      <c r="K4855" s="316" t="str">
        <f t="shared" si="66"/>
        <v>Lawn and Garden Equipment</v>
      </c>
      <c r="L4855" s="316" t="str">
        <f t="shared" si="67"/>
        <v>Gasoline</v>
      </c>
      <c r="M4855" s="194"/>
      <c r="N4855" s="317"/>
      <c r="O4855" s="317"/>
      <c r="P4855" s="317"/>
      <c r="Q4855" s="317"/>
      <c r="R4855" s="317"/>
      <c r="S4855" s="317"/>
      <c r="T4855" s="317"/>
      <c r="U4855" s="317"/>
      <c r="V4855" s="317"/>
      <c r="W4855" s="317"/>
      <c r="X4855" s="317"/>
      <c r="Y4855" s="317"/>
      <c r="Z4855" s="317"/>
    </row>
    <row r="4856" spans="1:26" x14ac:dyDescent="0.25">
      <c r="A4856" s="314"/>
      <c r="B4856" s="18">
        <v>2023</v>
      </c>
      <c r="C4856" s="18" t="s">
        <v>727</v>
      </c>
      <c r="D4856" s="18" t="s">
        <v>973</v>
      </c>
      <c r="E4856" s="18" t="s">
        <v>703</v>
      </c>
      <c r="F4856" s="18" t="s">
        <v>795</v>
      </c>
      <c r="G4856" s="18" t="s">
        <v>673</v>
      </c>
      <c r="H4856" s="18" t="s">
        <v>974</v>
      </c>
      <c r="I4856" s="315">
        <v>4.8579617558560954E-16</v>
      </c>
      <c r="J4856" s="315">
        <v>9.0599117850302327E-19</v>
      </c>
      <c r="K4856" s="316" t="str">
        <f t="shared" si="66"/>
        <v>Lawn and Garden Equipment</v>
      </c>
      <c r="L4856" s="316" t="str">
        <f t="shared" si="67"/>
        <v>Gasoline</v>
      </c>
      <c r="M4856" s="194"/>
      <c r="N4856" s="317"/>
      <c r="O4856" s="317"/>
      <c r="P4856" s="317"/>
      <c r="Q4856" s="317"/>
      <c r="R4856" s="317"/>
      <c r="S4856" s="317"/>
      <c r="T4856" s="317"/>
      <c r="U4856" s="317"/>
      <c r="V4856" s="317"/>
      <c r="W4856" s="317"/>
      <c r="X4856" s="317"/>
      <c r="Y4856" s="317"/>
      <c r="Z4856" s="317"/>
    </row>
    <row r="4857" spans="1:26" x14ac:dyDescent="0.25">
      <c r="A4857" s="314"/>
      <c r="B4857" s="18">
        <v>2023</v>
      </c>
      <c r="C4857" s="18" t="s">
        <v>710</v>
      </c>
      <c r="D4857" s="18" t="s">
        <v>966</v>
      </c>
      <c r="E4857" s="18" t="s">
        <v>703</v>
      </c>
      <c r="F4857" s="18" t="s">
        <v>704</v>
      </c>
      <c r="G4857" s="18" t="s">
        <v>674</v>
      </c>
      <c r="H4857" s="18" t="s">
        <v>967</v>
      </c>
      <c r="I4857" s="315">
        <v>4.4439363185484268E-16</v>
      </c>
      <c r="J4857" s="315">
        <v>3.0754856908496915E-19</v>
      </c>
      <c r="K4857" s="316" t="str">
        <f t="shared" si="66"/>
        <v>Construction and Mining Equipment</v>
      </c>
      <c r="L4857" s="316" t="str">
        <f t="shared" si="67"/>
        <v>Gasoline</v>
      </c>
      <c r="M4857" s="194"/>
      <c r="N4857" s="317"/>
      <c r="O4857" s="317"/>
      <c r="P4857" s="317"/>
      <c r="Q4857" s="317"/>
      <c r="R4857" s="317"/>
      <c r="S4857" s="317"/>
      <c r="T4857" s="317"/>
      <c r="U4857" s="317"/>
      <c r="V4857" s="317"/>
      <c r="W4857" s="317"/>
      <c r="X4857" s="317"/>
      <c r="Y4857" s="317"/>
      <c r="Z4857" s="317"/>
    </row>
    <row r="4858" spans="1:26" x14ac:dyDescent="0.25">
      <c r="A4858" s="314"/>
      <c r="B4858" s="18">
        <v>2023</v>
      </c>
      <c r="C4858" s="18" t="s">
        <v>711</v>
      </c>
      <c r="D4858" s="18" t="s">
        <v>832</v>
      </c>
      <c r="E4858" s="18" t="s">
        <v>713</v>
      </c>
      <c r="F4858" s="18" t="s">
        <v>714</v>
      </c>
      <c r="G4858" s="18" t="s">
        <v>682</v>
      </c>
      <c r="H4858" s="18" t="s">
        <v>833</v>
      </c>
      <c r="I4858" s="315">
        <v>3.9807701938180727E-16</v>
      </c>
      <c r="J4858" s="315">
        <v>4.4240640469838226E-20</v>
      </c>
      <c r="K4858" s="316" t="str">
        <f t="shared" si="66"/>
        <v>Underground Mining Equipment</v>
      </c>
      <c r="L4858" s="316" t="str">
        <f t="shared" si="67"/>
        <v>Diesel</v>
      </c>
      <c r="M4858" s="194"/>
      <c r="N4858" s="317"/>
      <c r="O4858" s="317"/>
      <c r="P4858" s="317"/>
      <c r="Q4858" s="317"/>
      <c r="R4858" s="317"/>
      <c r="S4858" s="317"/>
      <c r="T4858" s="317"/>
      <c r="U4858" s="317"/>
      <c r="V4858" s="317"/>
      <c r="W4858" s="317"/>
      <c r="X4858" s="317"/>
      <c r="Y4858" s="317"/>
      <c r="Z4858" s="317"/>
    </row>
    <row r="4859" spans="1:26" x14ac:dyDescent="0.25">
      <c r="A4859" s="314"/>
      <c r="B4859" s="18">
        <v>2023</v>
      </c>
      <c r="C4859" s="18" t="s">
        <v>706</v>
      </c>
      <c r="D4859" s="18" t="s">
        <v>832</v>
      </c>
      <c r="E4859" s="18" t="s">
        <v>713</v>
      </c>
      <c r="F4859" s="18" t="s">
        <v>714</v>
      </c>
      <c r="G4859" s="18" t="s">
        <v>682</v>
      </c>
      <c r="H4859" s="18" t="s">
        <v>833</v>
      </c>
      <c r="I4859" s="315">
        <v>3.9807701938180727E-16</v>
      </c>
      <c r="J4859" s="315">
        <v>4.4240640469838226E-20</v>
      </c>
      <c r="K4859" s="316" t="str">
        <f t="shared" si="66"/>
        <v>Underground Mining Equipment</v>
      </c>
      <c r="L4859" s="316" t="str">
        <f t="shared" si="67"/>
        <v>Diesel</v>
      </c>
      <c r="M4859" s="194"/>
      <c r="N4859" s="317"/>
      <c r="O4859" s="317"/>
      <c r="P4859" s="317"/>
      <c r="Q4859" s="317"/>
      <c r="R4859" s="317"/>
      <c r="S4859" s="317"/>
      <c r="T4859" s="317"/>
      <c r="U4859" s="317"/>
      <c r="V4859" s="317"/>
      <c r="W4859" s="317"/>
      <c r="X4859" s="317"/>
      <c r="Y4859" s="317"/>
      <c r="Z4859" s="317"/>
    </row>
    <row r="4860" spans="1:26" x14ac:dyDescent="0.25">
      <c r="A4860" s="314"/>
      <c r="B4860" s="18">
        <v>2023</v>
      </c>
      <c r="C4860" s="18" t="s">
        <v>793</v>
      </c>
      <c r="D4860" s="18" t="s">
        <v>832</v>
      </c>
      <c r="E4860" s="18" t="s">
        <v>713</v>
      </c>
      <c r="F4860" s="18" t="s">
        <v>714</v>
      </c>
      <c r="G4860" s="18" t="s">
        <v>682</v>
      </c>
      <c r="H4860" s="18" t="s">
        <v>833</v>
      </c>
      <c r="I4860" s="315">
        <v>3.9807701938180727E-16</v>
      </c>
      <c r="J4860" s="315">
        <v>4.4240640469838226E-20</v>
      </c>
      <c r="K4860" s="316" t="str">
        <f t="shared" si="66"/>
        <v>Underground Mining Equipment</v>
      </c>
      <c r="L4860" s="316" t="str">
        <f t="shared" si="67"/>
        <v>Diesel</v>
      </c>
      <c r="M4860" s="194"/>
      <c r="N4860" s="317"/>
      <c r="O4860" s="317"/>
      <c r="P4860" s="317"/>
      <c r="Q4860" s="317"/>
      <c r="R4860" s="317"/>
      <c r="S4860" s="317"/>
      <c r="T4860" s="317"/>
      <c r="U4860" s="317"/>
      <c r="V4860" s="317"/>
      <c r="W4860" s="317"/>
      <c r="X4860" s="317"/>
      <c r="Y4860" s="317"/>
      <c r="Z4860" s="317"/>
    </row>
    <row r="4861" spans="1:26" x14ac:dyDescent="0.25">
      <c r="A4861" s="314"/>
      <c r="B4861" s="18">
        <v>2023</v>
      </c>
      <c r="C4861" s="18" t="s">
        <v>781</v>
      </c>
      <c r="D4861" s="18" t="s">
        <v>832</v>
      </c>
      <c r="E4861" s="18" t="s">
        <v>713</v>
      </c>
      <c r="F4861" s="18" t="s">
        <v>714</v>
      </c>
      <c r="G4861" s="18" t="s">
        <v>682</v>
      </c>
      <c r="H4861" s="18" t="s">
        <v>833</v>
      </c>
      <c r="I4861" s="315">
        <v>3.9807701938180727E-16</v>
      </c>
      <c r="J4861" s="315">
        <v>4.4240640469838226E-20</v>
      </c>
      <c r="K4861" s="316" t="str">
        <f t="shared" si="66"/>
        <v>Underground Mining Equipment</v>
      </c>
      <c r="L4861" s="316" t="str">
        <f t="shared" si="67"/>
        <v>Diesel</v>
      </c>
      <c r="M4861" s="194"/>
      <c r="N4861" s="317"/>
      <c r="O4861" s="317"/>
      <c r="P4861" s="317"/>
      <c r="Q4861" s="317"/>
      <c r="R4861" s="317"/>
      <c r="S4861" s="317"/>
      <c r="T4861" s="317"/>
      <c r="U4861" s="317"/>
      <c r="V4861" s="317"/>
      <c r="W4861" s="317"/>
      <c r="X4861" s="317"/>
      <c r="Y4861" s="317"/>
      <c r="Z4861" s="317"/>
    </row>
    <row r="4862" spans="1:26" x14ac:dyDescent="0.25">
      <c r="A4862" s="314"/>
      <c r="B4862" s="18">
        <v>2023</v>
      </c>
      <c r="C4862" s="18" t="s">
        <v>754</v>
      </c>
      <c r="D4862" s="18" t="s">
        <v>832</v>
      </c>
      <c r="E4862" s="18" t="s">
        <v>713</v>
      </c>
      <c r="F4862" s="18" t="s">
        <v>714</v>
      </c>
      <c r="G4862" s="18" t="s">
        <v>682</v>
      </c>
      <c r="H4862" s="18" t="s">
        <v>833</v>
      </c>
      <c r="I4862" s="315">
        <v>3.9807701938180727E-16</v>
      </c>
      <c r="J4862" s="315">
        <v>4.4240640469838226E-20</v>
      </c>
      <c r="K4862" s="316" t="str">
        <f t="shared" si="66"/>
        <v>Underground Mining Equipment</v>
      </c>
      <c r="L4862" s="316" t="str">
        <f t="shared" si="67"/>
        <v>Diesel</v>
      </c>
      <c r="M4862" s="194"/>
      <c r="N4862" s="317"/>
      <c r="O4862" s="317"/>
      <c r="P4862" s="317"/>
      <c r="Q4862" s="317"/>
      <c r="R4862" s="317"/>
      <c r="S4862" s="317"/>
      <c r="T4862" s="317"/>
      <c r="U4862" s="317"/>
      <c r="V4862" s="317"/>
      <c r="W4862" s="317"/>
      <c r="X4862" s="317"/>
      <c r="Y4862" s="317"/>
      <c r="Z4862" s="317"/>
    </row>
    <row r="4863" spans="1:26" x14ac:dyDescent="0.25">
      <c r="A4863" s="314"/>
      <c r="B4863" s="18">
        <v>2023</v>
      </c>
      <c r="C4863" s="18" t="s">
        <v>787</v>
      </c>
      <c r="D4863" s="18" t="s">
        <v>832</v>
      </c>
      <c r="E4863" s="18" t="s">
        <v>713</v>
      </c>
      <c r="F4863" s="18" t="s">
        <v>714</v>
      </c>
      <c r="G4863" s="18" t="s">
        <v>682</v>
      </c>
      <c r="H4863" s="18" t="s">
        <v>833</v>
      </c>
      <c r="I4863" s="315">
        <v>3.9807701938180727E-16</v>
      </c>
      <c r="J4863" s="315">
        <v>4.4240640469838226E-20</v>
      </c>
      <c r="K4863" s="316" t="str">
        <f t="shared" si="66"/>
        <v>Underground Mining Equipment</v>
      </c>
      <c r="L4863" s="316" t="str">
        <f t="shared" si="67"/>
        <v>Diesel</v>
      </c>
      <c r="M4863" s="194"/>
      <c r="N4863" s="317"/>
      <c r="O4863" s="317"/>
      <c r="P4863" s="317"/>
      <c r="Q4863" s="317"/>
      <c r="R4863" s="317"/>
      <c r="S4863" s="317"/>
      <c r="T4863" s="317"/>
      <c r="U4863" s="317"/>
      <c r="V4863" s="317"/>
      <c r="W4863" s="317"/>
      <c r="X4863" s="317"/>
      <c r="Y4863" s="317"/>
      <c r="Z4863" s="317"/>
    </row>
    <row r="4864" spans="1:26" x14ac:dyDescent="0.25">
      <c r="A4864" s="314"/>
      <c r="B4864" s="18">
        <v>2023</v>
      </c>
      <c r="C4864" s="18" t="s">
        <v>778</v>
      </c>
      <c r="D4864" s="18" t="s">
        <v>832</v>
      </c>
      <c r="E4864" s="18" t="s">
        <v>713</v>
      </c>
      <c r="F4864" s="18" t="s">
        <v>714</v>
      </c>
      <c r="G4864" s="18" t="s">
        <v>682</v>
      </c>
      <c r="H4864" s="18" t="s">
        <v>833</v>
      </c>
      <c r="I4864" s="315">
        <v>3.9807701938180727E-16</v>
      </c>
      <c r="J4864" s="315">
        <v>4.4240640469838226E-20</v>
      </c>
      <c r="K4864" s="316" t="str">
        <f t="shared" si="66"/>
        <v>Underground Mining Equipment</v>
      </c>
      <c r="L4864" s="316" t="str">
        <f t="shared" si="67"/>
        <v>Diesel</v>
      </c>
      <c r="M4864" s="194"/>
      <c r="N4864" s="317"/>
      <c r="O4864" s="317"/>
      <c r="P4864" s="317"/>
      <c r="Q4864" s="317"/>
      <c r="R4864" s="317"/>
      <c r="S4864" s="317"/>
      <c r="T4864" s="317"/>
      <c r="U4864" s="317"/>
      <c r="V4864" s="317"/>
      <c r="W4864" s="317"/>
      <c r="X4864" s="317"/>
      <c r="Y4864" s="317"/>
      <c r="Z4864" s="317"/>
    </row>
    <row r="4865" spans="1:26" x14ac:dyDescent="0.25">
      <c r="A4865" s="314"/>
      <c r="B4865" s="18">
        <v>2023</v>
      </c>
      <c r="C4865" s="18" t="s">
        <v>731</v>
      </c>
      <c r="D4865" s="18" t="s">
        <v>832</v>
      </c>
      <c r="E4865" s="18" t="s">
        <v>713</v>
      </c>
      <c r="F4865" s="18" t="s">
        <v>714</v>
      </c>
      <c r="G4865" s="18" t="s">
        <v>682</v>
      </c>
      <c r="H4865" s="18" t="s">
        <v>833</v>
      </c>
      <c r="I4865" s="315">
        <v>3.9807701938180727E-16</v>
      </c>
      <c r="J4865" s="315">
        <v>4.4240640469838226E-20</v>
      </c>
      <c r="K4865" s="316" t="str">
        <f t="shared" si="66"/>
        <v>Underground Mining Equipment</v>
      </c>
      <c r="L4865" s="316" t="str">
        <f t="shared" si="67"/>
        <v>Diesel</v>
      </c>
      <c r="M4865" s="194"/>
      <c r="N4865" s="317"/>
      <c r="O4865" s="317"/>
      <c r="P4865" s="317"/>
      <c r="Q4865" s="317"/>
      <c r="R4865" s="317"/>
      <c r="S4865" s="317"/>
      <c r="T4865" s="317"/>
      <c r="U4865" s="317"/>
      <c r="V4865" s="317"/>
      <c r="W4865" s="317"/>
      <c r="X4865" s="317"/>
      <c r="Y4865" s="317"/>
      <c r="Z4865" s="317"/>
    </row>
    <row r="4866" spans="1:26" x14ac:dyDescent="0.25">
      <c r="A4866" s="314"/>
      <c r="B4866" s="18">
        <v>2023</v>
      </c>
      <c r="C4866" s="18" t="s">
        <v>732</v>
      </c>
      <c r="D4866" s="18" t="s">
        <v>832</v>
      </c>
      <c r="E4866" s="18" t="s">
        <v>713</v>
      </c>
      <c r="F4866" s="18" t="s">
        <v>714</v>
      </c>
      <c r="G4866" s="18" t="s">
        <v>682</v>
      </c>
      <c r="H4866" s="18" t="s">
        <v>833</v>
      </c>
      <c r="I4866" s="315">
        <v>3.9807701938180727E-16</v>
      </c>
      <c r="J4866" s="315">
        <v>4.4240640469838226E-20</v>
      </c>
      <c r="K4866" s="316" t="str">
        <f t="shared" si="66"/>
        <v>Underground Mining Equipment</v>
      </c>
      <c r="L4866" s="316" t="str">
        <f t="shared" si="67"/>
        <v>Diesel</v>
      </c>
      <c r="M4866" s="194"/>
      <c r="N4866" s="317"/>
      <c r="O4866" s="317"/>
      <c r="P4866" s="317"/>
      <c r="Q4866" s="317"/>
      <c r="R4866" s="317"/>
      <c r="S4866" s="317"/>
      <c r="T4866" s="317"/>
      <c r="U4866" s="317"/>
      <c r="V4866" s="317"/>
      <c r="W4866" s="317"/>
      <c r="X4866" s="317"/>
      <c r="Y4866" s="317"/>
      <c r="Z4866" s="317"/>
    </row>
    <row r="4867" spans="1:26" x14ac:dyDescent="0.25">
      <c r="A4867" s="314"/>
      <c r="B4867" s="18">
        <v>2023</v>
      </c>
      <c r="C4867" s="18" t="s">
        <v>760</v>
      </c>
      <c r="D4867" s="18" t="s">
        <v>832</v>
      </c>
      <c r="E4867" s="18" t="s">
        <v>713</v>
      </c>
      <c r="F4867" s="18" t="s">
        <v>714</v>
      </c>
      <c r="G4867" s="18" t="s">
        <v>682</v>
      </c>
      <c r="H4867" s="18" t="s">
        <v>833</v>
      </c>
      <c r="I4867" s="315">
        <v>3.9807701938180727E-16</v>
      </c>
      <c r="J4867" s="315">
        <v>4.4240640469838226E-20</v>
      </c>
      <c r="K4867" s="316" t="str">
        <f t="shared" si="66"/>
        <v>Underground Mining Equipment</v>
      </c>
      <c r="L4867" s="316" t="str">
        <f t="shared" si="67"/>
        <v>Diesel</v>
      </c>
      <c r="M4867" s="194"/>
      <c r="N4867" s="317"/>
      <c r="O4867" s="317"/>
      <c r="P4867" s="317"/>
      <c r="Q4867" s="317"/>
      <c r="R4867" s="317"/>
      <c r="S4867" s="317"/>
      <c r="T4867" s="317"/>
      <c r="U4867" s="317"/>
      <c r="V4867" s="317"/>
      <c r="W4867" s="317"/>
      <c r="X4867" s="317"/>
      <c r="Y4867" s="317"/>
      <c r="Z4867" s="317"/>
    </row>
    <row r="4868" spans="1:26" x14ac:dyDescent="0.25">
      <c r="A4868" s="314"/>
      <c r="B4868" s="18">
        <v>2023</v>
      </c>
      <c r="C4868" s="18" t="s">
        <v>722</v>
      </c>
      <c r="D4868" s="18" t="s">
        <v>832</v>
      </c>
      <c r="E4868" s="18" t="s">
        <v>713</v>
      </c>
      <c r="F4868" s="18" t="s">
        <v>714</v>
      </c>
      <c r="G4868" s="18" t="s">
        <v>682</v>
      </c>
      <c r="H4868" s="18" t="s">
        <v>833</v>
      </c>
      <c r="I4868" s="315">
        <v>3.9807701938180727E-16</v>
      </c>
      <c r="J4868" s="315">
        <v>4.4240640469838226E-20</v>
      </c>
      <c r="K4868" s="316" t="str">
        <f t="shared" si="66"/>
        <v>Underground Mining Equipment</v>
      </c>
      <c r="L4868" s="316" t="str">
        <f t="shared" si="67"/>
        <v>Diesel</v>
      </c>
      <c r="M4868" s="194"/>
      <c r="N4868" s="317"/>
      <c r="O4868" s="317"/>
      <c r="P4868" s="317"/>
      <c r="Q4868" s="317"/>
      <c r="R4868" s="317"/>
      <c r="S4868" s="317"/>
      <c r="T4868" s="317"/>
      <c r="U4868" s="317"/>
      <c r="V4868" s="317"/>
      <c r="W4868" s="317"/>
      <c r="X4868" s="317"/>
      <c r="Y4868" s="317"/>
      <c r="Z4868" s="317"/>
    </row>
    <row r="4869" spans="1:26" x14ac:dyDescent="0.25">
      <c r="A4869" s="314"/>
      <c r="B4869" s="18">
        <v>2023</v>
      </c>
      <c r="C4869" s="18" t="s">
        <v>786</v>
      </c>
      <c r="D4869" s="18" t="s">
        <v>832</v>
      </c>
      <c r="E4869" s="18" t="s">
        <v>713</v>
      </c>
      <c r="F4869" s="18" t="s">
        <v>714</v>
      </c>
      <c r="G4869" s="18" t="s">
        <v>682</v>
      </c>
      <c r="H4869" s="18" t="s">
        <v>833</v>
      </c>
      <c r="I4869" s="315">
        <v>3.9807701938180727E-16</v>
      </c>
      <c r="J4869" s="315">
        <v>4.4240640469838226E-20</v>
      </c>
      <c r="K4869" s="316" t="str">
        <f t="shared" si="66"/>
        <v>Underground Mining Equipment</v>
      </c>
      <c r="L4869" s="316" t="str">
        <f t="shared" si="67"/>
        <v>Diesel</v>
      </c>
      <c r="M4869" s="194"/>
      <c r="N4869" s="317"/>
      <c r="O4869" s="317"/>
      <c r="P4869" s="317"/>
      <c r="Q4869" s="317"/>
      <c r="R4869" s="317"/>
      <c r="S4869" s="317"/>
      <c r="T4869" s="317"/>
      <c r="U4869" s="317"/>
      <c r="V4869" s="317"/>
      <c r="W4869" s="317"/>
      <c r="X4869" s="317"/>
      <c r="Y4869" s="317"/>
      <c r="Z4869" s="317"/>
    </row>
    <row r="4870" spans="1:26" x14ac:dyDescent="0.25">
      <c r="A4870" s="314"/>
      <c r="B4870" s="18">
        <v>2023</v>
      </c>
      <c r="C4870" s="18" t="s">
        <v>701</v>
      </c>
      <c r="D4870" s="18" t="s">
        <v>832</v>
      </c>
      <c r="E4870" s="18" t="s">
        <v>713</v>
      </c>
      <c r="F4870" s="18" t="s">
        <v>714</v>
      </c>
      <c r="G4870" s="18" t="s">
        <v>682</v>
      </c>
      <c r="H4870" s="18" t="s">
        <v>833</v>
      </c>
      <c r="I4870" s="315">
        <v>3.9807701938180727E-16</v>
      </c>
      <c r="J4870" s="315">
        <v>4.4240640469838226E-20</v>
      </c>
      <c r="K4870" s="316" t="str">
        <f t="shared" si="66"/>
        <v>Underground Mining Equipment</v>
      </c>
      <c r="L4870" s="316" t="str">
        <f t="shared" si="67"/>
        <v>Diesel</v>
      </c>
      <c r="M4870" s="194"/>
      <c r="N4870" s="317"/>
      <c r="O4870" s="317"/>
      <c r="P4870" s="317"/>
      <c r="Q4870" s="317"/>
      <c r="R4870" s="317"/>
      <c r="S4870" s="317"/>
      <c r="T4870" s="317"/>
      <c r="U4870" s="317"/>
      <c r="V4870" s="317"/>
      <c r="W4870" s="317"/>
      <c r="X4870" s="317"/>
      <c r="Y4870" s="317"/>
      <c r="Z4870" s="317"/>
    </row>
    <row r="4871" spans="1:26" x14ac:dyDescent="0.25">
      <c r="A4871" s="314"/>
      <c r="B4871" s="18">
        <v>2023</v>
      </c>
      <c r="C4871" s="18" t="s">
        <v>709</v>
      </c>
      <c r="D4871" s="18" t="s">
        <v>832</v>
      </c>
      <c r="E4871" s="18" t="s">
        <v>713</v>
      </c>
      <c r="F4871" s="18" t="s">
        <v>714</v>
      </c>
      <c r="G4871" s="18" t="s">
        <v>682</v>
      </c>
      <c r="H4871" s="18" t="s">
        <v>833</v>
      </c>
      <c r="I4871" s="315">
        <v>3.9807701938180727E-16</v>
      </c>
      <c r="J4871" s="315">
        <v>4.4240640469838226E-20</v>
      </c>
      <c r="K4871" s="316" t="str">
        <f t="shared" si="66"/>
        <v>Underground Mining Equipment</v>
      </c>
      <c r="L4871" s="316" t="str">
        <f t="shared" si="67"/>
        <v>Diesel</v>
      </c>
      <c r="M4871" s="194"/>
      <c r="N4871" s="317"/>
      <c r="O4871" s="317"/>
      <c r="P4871" s="317"/>
      <c r="Q4871" s="317"/>
      <c r="R4871" s="317"/>
      <c r="S4871" s="317"/>
      <c r="T4871" s="317"/>
      <c r="U4871" s="317"/>
      <c r="V4871" s="317"/>
      <c r="W4871" s="317"/>
      <c r="X4871" s="317"/>
      <c r="Y4871" s="317"/>
      <c r="Z4871" s="317"/>
    </row>
    <row r="4872" spans="1:26" x14ac:dyDescent="0.25">
      <c r="A4872" s="314"/>
      <c r="B4872" s="18">
        <v>2023</v>
      </c>
      <c r="C4872" s="18" t="s">
        <v>762</v>
      </c>
      <c r="D4872" s="18" t="s">
        <v>832</v>
      </c>
      <c r="E4872" s="18" t="s">
        <v>713</v>
      </c>
      <c r="F4872" s="18" t="s">
        <v>714</v>
      </c>
      <c r="G4872" s="18" t="s">
        <v>682</v>
      </c>
      <c r="H4872" s="18" t="s">
        <v>833</v>
      </c>
      <c r="I4872" s="315">
        <v>3.9807701938180727E-16</v>
      </c>
      <c r="J4872" s="315">
        <v>4.4240640469838226E-20</v>
      </c>
      <c r="K4872" s="316" t="str">
        <f t="shared" si="66"/>
        <v>Underground Mining Equipment</v>
      </c>
      <c r="L4872" s="316" t="str">
        <f t="shared" si="67"/>
        <v>Diesel</v>
      </c>
      <c r="M4872" s="194"/>
      <c r="N4872" s="317"/>
      <c r="O4872" s="317"/>
      <c r="P4872" s="317"/>
      <c r="Q4872" s="317"/>
      <c r="R4872" s="317"/>
      <c r="S4872" s="317"/>
      <c r="T4872" s="317"/>
      <c r="U4872" s="317"/>
      <c r="V4872" s="317"/>
      <c r="W4872" s="317"/>
      <c r="X4872" s="317"/>
      <c r="Y4872" s="317"/>
      <c r="Z4872" s="317"/>
    </row>
    <row r="4873" spans="1:26" x14ac:dyDescent="0.25">
      <c r="A4873" s="314"/>
      <c r="B4873" s="18">
        <v>2023</v>
      </c>
      <c r="C4873" s="18" t="s">
        <v>750</v>
      </c>
      <c r="D4873" s="18" t="s">
        <v>832</v>
      </c>
      <c r="E4873" s="18" t="s">
        <v>713</v>
      </c>
      <c r="F4873" s="18" t="s">
        <v>714</v>
      </c>
      <c r="G4873" s="18" t="s">
        <v>682</v>
      </c>
      <c r="H4873" s="18" t="s">
        <v>833</v>
      </c>
      <c r="I4873" s="315">
        <v>3.9807701938180727E-16</v>
      </c>
      <c r="J4873" s="315">
        <v>4.4240640469838226E-20</v>
      </c>
      <c r="K4873" s="316" t="str">
        <f t="shared" si="66"/>
        <v>Underground Mining Equipment</v>
      </c>
      <c r="L4873" s="316" t="str">
        <f t="shared" si="67"/>
        <v>Diesel</v>
      </c>
      <c r="M4873" s="194"/>
      <c r="N4873" s="317"/>
      <c r="O4873" s="317"/>
      <c r="P4873" s="317"/>
      <c r="Q4873" s="317"/>
      <c r="R4873" s="317"/>
      <c r="S4873" s="317"/>
      <c r="T4873" s="317"/>
      <c r="U4873" s="317"/>
      <c r="V4873" s="317"/>
      <c r="W4873" s="317"/>
      <c r="X4873" s="317"/>
      <c r="Y4873" s="317"/>
      <c r="Z4873" s="317"/>
    </row>
    <row r="4874" spans="1:26" x14ac:dyDescent="0.25">
      <c r="A4874" s="314"/>
      <c r="B4874" s="18">
        <v>2023</v>
      </c>
      <c r="C4874" s="18" t="s">
        <v>759</v>
      </c>
      <c r="D4874" s="18" t="s">
        <v>832</v>
      </c>
      <c r="E4874" s="18" t="s">
        <v>713</v>
      </c>
      <c r="F4874" s="18" t="s">
        <v>714</v>
      </c>
      <c r="G4874" s="18" t="s">
        <v>682</v>
      </c>
      <c r="H4874" s="18" t="s">
        <v>833</v>
      </c>
      <c r="I4874" s="315">
        <v>3.9807701938180727E-16</v>
      </c>
      <c r="J4874" s="315">
        <v>4.4240640469838226E-20</v>
      </c>
      <c r="K4874" s="316" t="str">
        <f t="shared" si="66"/>
        <v>Underground Mining Equipment</v>
      </c>
      <c r="L4874" s="316" t="str">
        <f t="shared" si="67"/>
        <v>Diesel</v>
      </c>
      <c r="M4874" s="194"/>
      <c r="N4874" s="317"/>
      <c r="O4874" s="317"/>
      <c r="P4874" s="317"/>
      <c r="Q4874" s="317"/>
      <c r="R4874" s="317"/>
      <c r="S4874" s="317"/>
      <c r="T4874" s="317"/>
      <c r="U4874" s="317"/>
      <c r="V4874" s="317"/>
      <c r="W4874" s="317"/>
      <c r="X4874" s="317"/>
      <c r="Y4874" s="317"/>
      <c r="Z4874" s="317"/>
    </row>
    <row r="4875" spans="1:26" x14ac:dyDescent="0.25">
      <c r="A4875" s="314"/>
      <c r="B4875" s="18">
        <v>2023</v>
      </c>
      <c r="C4875" s="18" t="s">
        <v>753</v>
      </c>
      <c r="D4875" s="18" t="s">
        <v>832</v>
      </c>
      <c r="E4875" s="18" t="s">
        <v>713</v>
      </c>
      <c r="F4875" s="18" t="s">
        <v>714</v>
      </c>
      <c r="G4875" s="18" t="s">
        <v>682</v>
      </c>
      <c r="H4875" s="18" t="s">
        <v>833</v>
      </c>
      <c r="I4875" s="315">
        <v>3.9807701938180727E-16</v>
      </c>
      <c r="J4875" s="315">
        <v>4.4240640469838226E-20</v>
      </c>
      <c r="K4875" s="316" t="str">
        <f t="shared" si="66"/>
        <v>Underground Mining Equipment</v>
      </c>
      <c r="L4875" s="316" t="str">
        <f t="shared" si="67"/>
        <v>Diesel</v>
      </c>
      <c r="M4875" s="194"/>
      <c r="N4875" s="317"/>
      <c r="O4875" s="317"/>
      <c r="P4875" s="317"/>
      <c r="Q4875" s="317"/>
      <c r="R4875" s="317"/>
      <c r="S4875" s="317"/>
      <c r="T4875" s="317"/>
      <c r="U4875" s="317"/>
      <c r="V4875" s="317"/>
      <c r="W4875" s="317"/>
      <c r="X4875" s="317"/>
      <c r="Y4875" s="317"/>
      <c r="Z4875" s="317"/>
    </row>
    <row r="4876" spans="1:26" x14ac:dyDescent="0.25">
      <c r="A4876" s="314"/>
      <c r="B4876" s="18">
        <v>2023</v>
      </c>
      <c r="C4876" s="18" t="s">
        <v>743</v>
      </c>
      <c r="D4876" s="18" t="s">
        <v>832</v>
      </c>
      <c r="E4876" s="18" t="s">
        <v>713</v>
      </c>
      <c r="F4876" s="18" t="s">
        <v>714</v>
      </c>
      <c r="G4876" s="18" t="s">
        <v>682</v>
      </c>
      <c r="H4876" s="18" t="s">
        <v>833</v>
      </c>
      <c r="I4876" s="315">
        <v>3.9807701938180727E-16</v>
      </c>
      <c r="J4876" s="315">
        <v>4.4240640469838226E-20</v>
      </c>
      <c r="K4876" s="316" t="str">
        <f t="shared" si="66"/>
        <v>Underground Mining Equipment</v>
      </c>
      <c r="L4876" s="316" t="str">
        <f t="shared" si="67"/>
        <v>Diesel</v>
      </c>
      <c r="M4876" s="194"/>
      <c r="N4876" s="317"/>
      <c r="O4876" s="317"/>
      <c r="P4876" s="317"/>
      <c r="Q4876" s="317"/>
      <c r="R4876" s="317"/>
      <c r="S4876" s="317"/>
      <c r="T4876" s="317"/>
      <c r="U4876" s="317"/>
      <c r="V4876" s="317"/>
      <c r="W4876" s="317"/>
      <c r="X4876" s="317"/>
      <c r="Y4876" s="317"/>
      <c r="Z4876" s="317"/>
    </row>
    <row r="4877" spans="1:26" x14ac:dyDescent="0.25">
      <c r="A4877" s="314"/>
      <c r="B4877" s="18">
        <v>2023</v>
      </c>
      <c r="C4877" s="18" t="s">
        <v>773</v>
      </c>
      <c r="D4877" s="18" t="s">
        <v>832</v>
      </c>
      <c r="E4877" s="18" t="s">
        <v>713</v>
      </c>
      <c r="F4877" s="18" t="s">
        <v>714</v>
      </c>
      <c r="G4877" s="18" t="s">
        <v>682</v>
      </c>
      <c r="H4877" s="18" t="s">
        <v>833</v>
      </c>
      <c r="I4877" s="315">
        <v>3.9807701938180727E-16</v>
      </c>
      <c r="J4877" s="315">
        <v>4.4240640469838226E-20</v>
      </c>
      <c r="K4877" s="316" t="str">
        <f t="shared" si="66"/>
        <v>Underground Mining Equipment</v>
      </c>
      <c r="L4877" s="316" t="str">
        <f t="shared" si="67"/>
        <v>Diesel</v>
      </c>
      <c r="M4877" s="194"/>
      <c r="N4877" s="317"/>
      <c r="O4877" s="317"/>
      <c r="P4877" s="317"/>
      <c r="Q4877" s="317"/>
      <c r="R4877" s="317"/>
      <c r="S4877" s="317"/>
      <c r="T4877" s="317"/>
      <c r="U4877" s="317"/>
      <c r="V4877" s="317"/>
      <c r="W4877" s="317"/>
      <c r="X4877" s="317"/>
      <c r="Y4877" s="317"/>
      <c r="Z4877" s="317"/>
    </row>
    <row r="4878" spans="1:26" x14ac:dyDescent="0.25">
      <c r="A4878" s="314"/>
      <c r="B4878" s="18">
        <v>2023</v>
      </c>
      <c r="C4878" s="18" t="s">
        <v>727</v>
      </c>
      <c r="D4878" s="18" t="s">
        <v>832</v>
      </c>
      <c r="E4878" s="18" t="s">
        <v>713</v>
      </c>
      <c r="F4878" s="18" t="s">
        <v>714</v>
      </c>
      <c r="G4878" s="18" t="s">
        <v>682</v>
      </c>
      <c r="H4878" s="18" t="s">
        <v>833</v>
      </c>
      <c r="I4878" s="315">
        <v>3.9807701938180727E-16</v>
      </c>
      <c r="J4878" s="315">
        <v>4.4240640469838226E-20</v>
      </c>
      <c r="K4878" s="316" t="str">
        <f t="shared" si="66"/>
        <v>Underground Mining Equipment</v>
      </c>
      <c r="L4878" s="316" t="str">
        <f t="shared" si="67"/>
        <v>Diesel</v>
      </c>
      <c r="M4878" s="194"/>
      <c r="N4878" s="317"/>
      <c r="O4878" s="317"/>
      <c r="P4878" s="317"/>
      <c r="Q4878" s="317"/>
      <c r="R4878" s="317"/>
      <c r="S4878" s="317"/>
      <c r="T4878" s="317"/>
      <c r="U4878" s="317"/>
      <c r="V4878" s="317"/>
      <c r="W4878" s="317"/>
      <c r="X4878" s="317"/>
      <c r="Y4878" s="317"/>
      <c r="Z4878" s="317"/>
    </row>
    <row r="4879" spans="1:26" x14ac:dyDescent="0.25">
      <c r="A4879" s="314"/>
      <c r="B4879" s="18">
        <v>2023</v>
      </c>
      <c r="C4879" s="18" t="s">
        <v>710</v>
      </c>
      <c r="D4879" s="18" t="s">
        <v>832</v>
      </c>
      <c r="E4879" s="18" t="s">
        <v>713</v>
      </c>
      <c r="F4879" s="18" t="s">
        <v>714</v>
      </c>
      <c r="G4879" s="18" t="s">
        <v>682</v>
      </c>
      <c r="H4879" s="18" t="s">
        <v>833</v>
      </c>
      <c r="I4879" s="315">
        <v>3.9807701938180727E-16</v>
      </c>
      <c r="J4879" s="315">
        <v>4.4240640469838226E-20</v>
      </c>
      <c r="K4879" s="316" t="str">
        <f t="shared" si="66"/>
        <v>Underground Mining Equipment</v>
      </c>
      <c r="L4879" s="316" t="str">
        <f t="shared" si="67"/>
        <v>Diesel</v>
      </c>
      <c r="M4879" s="194"/>
      <c r="N4879" s="317"/>
      <c r="O4879" s="317"/>
      <c r="P4879" s="317"/>
      <c r="Q4879" s="317"/>
      <c r="R4879" s="317"/>
      <c r="S4879" s="317"/>
      <c r="T4879" s="317"/>
      <c r="U4879" s="317"/>
      <c r="V4879" s="317"/>
      <c r="W4879" s="317"/>
      <c r="X4879" s="317"/>
      <c r="Y4879" s="317"/>
      <c r="Z4879" s="317"/>
    </row>
    <row r="4880" spans="1:26" x14ac:dyDescent="0.25">
      <c r="A4880" s="314"/>
      <c r="B4880" s="18">
        <v>2023</v>
      </c>
      <c r="C4880" s="18" t="s">
        <v>793</v>
      </c>
      <c r="D4880" s="18" t="s">
        <v>1004</v>
      </c>
      <c r="E4880" s="18" t="s">
        <v>713</v>
      </c>
      <c r="F4880" s="18" t="s">
        <v>714</v>
      </c>
      <c r="G4880" s="18" t="s">
        <v>679</v>
      </c>
      <c r="H4880" s="18" t="s">
        <v>1005</v>
      </c>
      <c r="I4880" s="315">
        <v>3.7147560896433112E-16</v>
      </c>
      <c r="J4880" s="315">
        <v>1.3390820388692556E-20</v>
      </c>
      <c r="K4880" s="316" t="str">
        <f t="shared" si="66"/>
        <v>Recreational Equipment</v>
      </c>
      <c r="L4880" s="316" t="str">
        <f t="shared" si="67"/>
        <v>Diesel</v>
      </c>
      <c r="M4880" s="194"/>
      <c r="N4880" s="317"/>
      <c r="O4880" s="317"/>
      <c r="P4880" s="317"/>
      <c r="Q4880" s="317"/>
      <c r="R4880" s="317"/>
      <c r="S4880" s="317"/>
      <c r="T4880" s="317"/>
      <c r="U4880" s="317"/>
      <c r="V4880" s="317"/>
      <c r="W4880" s="317"/>
      <c r="X4880" s="317"/>
      <c r="Y4880" s="317"/>
      <c r="Z4880" s="317"/>
    </row>
    <row r="4881" spans="1:26" x14ac:dyDescent="0.25">
      <c r="A4881" s="314"/>
      <c r="B4881" s="18">
        <v>2023</v>
      </c>
      <c r="C4881" s="18" t="s">
        <v>759</v>
      </c>
      <c r="D4881" s="18" t="s">
        <v>1004</v>
      </c>
      <c r="E4881" s="18" t="s">
        <v>713</v>
      </c>
      <c r="F4881" s="18" t="s">
        <v>714</v>
      </c>
      <c r="G4881" s="18" t="s">
        <v>679</v>
      </c>
      <c r="H4881" s="18" t="s">
        <v>1005</v>
      </c>
      <c r="I4881" s="315">
        <v>3.7147560896433112E-16</v>
      </c>
      <c r="J4881" s="315">
        <v>1.3390820388692556E-20</v>
      </c>
      <c r="K4881" s="316" t="str">
        <f t="shared" si="66"/>
        <v>Recreational Equipment</v>
      </c>
      <c r="L4881" s="316" t="str">
        <f t="shared" si="67"/>
        <v>Diesel</v>
      </c>
      <c r="M4881" s="194"/>
      <c r="N4881" s="317"/>
      <c r="O4881" s="317"/>
      <c r="P4881" s="317"/>
      <c r="Q4881" s="317"/>
      <c r="R4881" s="317"/>
      <c r="S4881" s="317"/>
      <c r="T4881" s="317"/>
      <c r="U4881" s="317"/>
      <c r="V4881" s="317"/>
      <c r="W4881" s="317"/>
      <c r="X4881" s="317"/>
      <c r="Y4881" s="317"/>
      <c r="Z4881" s="317"/>
    </row>
    <row r="4882" spans="1:26" x14ac:dyDescent="0.25">
      <c r="A4882" s="314"/>
      <c r="B4882" s="18">
        <v>2023</v>
      </c>
      <c r="C4882" s="18" t="s">
        <v>753</v>
      </c>
      <c r="D4882" s="18" t="s">
        <v>1004</v>
      </c>
      <c r="E4882" s="18" t="s">
        <v>713</v>
      </c>
      <c r="F4882" s="18" t="s">
        <v>714</v>
      </c>
      <c r="G4882" s="18" t="s">
        <v>679</v>
      </c>
      <c r="H4882" s="18" t="s">
        <v>1005</v>
      </c>
      <c r="I4882" s="315">
        <v>3.7147560896433112E-16</v>
      </c>
      <c r="J4882" s="315">
        <v>1.3390820388692556E-20</v>
      </c>
      <c r="K4882" s="316" t="str">
        <f t="shared" si="66"/>
        <v>Recreational Equipment</v>
      </c>
      <c r="L4882" s="316" t="str">
        <f t="shared" si="67"/>
        <v>Diesel</v>
      </c>
      <c r="M4882" s="194"/>
      <c r="N4882" s="317"/>
      <c r="O4882" s="317"/>
      <c r="P4882" s="317"/>
      <c r="Q4882" s="317"/>
      <c r="R4882" s="317"/>
      <c r="S4882" s="317"/>
      <c r="T4882" s="317"/>
      <c r="U4882" s="317"/>
      <c r="V4882" s="317"/>
      <c r="W4882" s="317"/>
      <c r="X4882" s="317"/>
      <c r="Y4882" s="317"/>
      <c r="Z4882" s="317"/>
    </row>
    <row r="4883" spans="1:26" x14ac:dyDescent="0.25">
      <c r="A4883" s="314"/>
      <c r="B4883" s="18">
        <v>2023</v>
      </c>
      <c r="C4883" s="18" t="s">
        <v>710</v>
      </c>
      <c r="D4883" s="18" t="s">
        <v>1004</v>
      </c>
      <c r="E4883" s="18" t="s">
        <v>713</v>
      </c>
      <c r="F4883" s="18" t="s">
        <v>714</v>
      </c>
      <c r="G4883" s="18" t="s">
        <v>679</v>
      </c>
      <c r="H4883" s="18" t="s">
        <v>1005</v>
      </c>
      <c r="I4883" s="315">
        <v>3.7147560896433112E-16</v>
      </c>
      <c r="J4883" s="315">
        <v>1.3390820388692556E-20</v>
      </c>
      <c r="K4883" s="316" t="str">
        <f t="shared" si="66"/>
        <v>Recreational Equipment</v>
      </c>
      <c r="L4883" s="316" t="str">
        <f t="shared" si="67"/>
        <v>Diesel</v>
      </c>
      <c r="M4883" s="194"/>
      <c r="N4883" s="317"/>
      <c r="O4883" s="317"/>
      <c r="P4883" s="317"/>
      <c r="Q4883" s="317"/>
      <c r="R4883" s="317"/>
      <c r="S4883" s="317"/>
      <c r="T4883" s="317"/>
      <c r="U4883" s="317"/>
      <c r="V4883" s="317"/>
      <c r="W4883" s="317"/>
      <c r="X4883" s="317"/>
      <c r="Y4883" s="317"/>
      <c r="Z4883" s="317"/>
    </row>
    <row r="4884" spans="1:26" x14ac:dyDescent="0.25">
      <c r="A4884" s="314"/>
      <c r="B4884" s="18">
        <v>2023</v>
      </c>
      <c r="C4884" s="18" t="s">
        <v>793</v>
      </c>
      <c r="D4884" s="18" t="s">
        <v>1007</v>
      </c>
      <c r="E4884" s="18" t="s">
        <v>703</v>
      </c>
      <c r="F4884" s="18" t="s">
        <v>795</v>
      </c>
      <c r="G4884" s="18" t="s">
        <v>679</v>
      </c>
      <c r="H4884" s="18" t="s">
        <v>1008</v>
      </c>
      <c r="I4884" s="315">
        <v>3.6036823251060051E-16</v>
      </c>
      <c r="J4884" s="315">
        <v>2.6203302009850965E-19</v>
      </c>
      <c r="K4884" s="316" t="str">
        <f t="shared" si="66"/>
        <v>Recreational Equipment</v>
      </c>
      <c r="L4884" s="316" t="str">
        <f t="shared" si="67"/>
        <v>Gasoline</v>
      </c>
      <c r="M4884" s="194"/>
      <c r="N4884" s="317"/>
      <c r="O4884" s="317"/>
      <c r="P4884" s="317"/>
      <c r="Q4884" s="317"/>
      <c r="R4884" s="317"/>
      <c r="S4884" s="317"/>
      <c r="T4884" s="317"/>
      <c r="U4884" s="317"/>
      <c r="V4884" s="317"/>
      <c r="W4884" s="317"/>
      <c r="X4884" s="317"/>
      <c r="Y4884" s="317"/>
      <c r="Z4884" s="317"/>
    </row>
    <row r="4885" spans="1:26" x14ac:dyDescent="0.25">
      <c r="A4885" s="314"/>
      <c r="B4885" s="18">
        <v>2023</v>
      </c>
      <c r="C4885" s="18" t="s">
        <v>759</v>
      </c>
      <c r="D4885" s="18" t="s">
        <v>1007</v>
      </c>
      <c r="E4885" s="18" t="s">
        <v>703</v>
      </c>
      <c r="F4885" s="18" t="s">
        <v>795</v>
      </c>
      <c r="G4885" s="18" t="s">
        <v>679</v>
      </c>
      <c r="H4885" s="18" t="s">
        <v>1008</v>
      </c>
      <c r="I4885" s="315">
        <v>3.6036823251060051E-16</v>
      </c>
      <c r="J4885" s="315">
        <v>2.6203302009850965E-19</v>
      </c>
      <c r="K4885" s="316" t="str">
        <f t="shared" si="66"/>
        <v>Recreational Equipment</v>
      </c>
      <c r="L4885" s="316" t="str">
        <f t="shared" si="67"/>
        <v>Gasoline</v>
      </c>
      <c r="M4885" s="194"/>
      <c r="N4885" s="317"/>
      <c r="O4885" s="317"/>
      <c r="P4885" s="317"/>
      <c r="Q4885" s="317"/>
      <c r="R4885" s="317"/>
      <c r="S4885" s="317"/>
      <c r="T4885" s="317"/>
      <c r="U4885" s="317"/>
      <c r="V4885" s="317"/>
      <c r="W4885" s="317"/>
      <c r="X4885" s="317"/>
      <c r="Y4885" s="317"/>
      <c r="Z4885" s="317"/>
    </row>
    <row r="4886" spans="1:26" x14ac:dyDescent="0.25">
      <c r="A4886" s="314"/>
      <c r="B4886" s="18">
        <v>2023</v>
      </c>
      <c r="C4886" s="18" t="s">
        <v>753</v>
      </c>
      <c r="D4886" s="18" t="s">
        <v>1007</v>
      </c>
      <c r="E4886" s="18" t="s">
        <v>703</v>
      </c>
      <c r="F4886" s="18" t="s">
        <v>795</v>
      </c>
      <c r="G4886" s="18" t="s">
        <v>679</v>
      </c>
      <c r="H4886" s="18" t="s">
        <v>1008</v>
      </c>
      <c r="I4886" s="315">
        <v>3.6036823251060051E-16</v>
      </c>
      <c r="J4886" s="315">
        <v>2.6203302009850965E-19</v>
      </c>
      <c r="K4886" s="316" t="str">
        <f t="shared" si="66"/>
        <v>Recreational Equipment</v>
      </c>
      <c r="L4886" s="316" t="str">
        <f t="shared" si="67"/>
        <v>Gasoline</v>
      </c>
      <c r="M4886" s="194"/>
      <c r="N4886" s="317"/>
      <c r="O4886" s="317"/>
      <c r="P4886" s="317"/>
      <c r="Q4886" s="317"/>
      <c r="R4886" s="317"/>
      <c r="S4886" s="317"/>
      <c r="T4886" s="317"/>
      <c r="U4886" s="317"/>
      <c r="V4886" s="317"/>
      <c r="W4886" s="317"/>
      <c r="X4886" s="317"/>
      <c r="Y4886" s="317"/>
      <c r="Z4886" s="317"/>
    </row>
    <row r="4887" spans="1:26" x14ac:dyDescent="0.25">
      <c r="A4887" s="314"/>
      <c r="B4887" s="18">
        <v>2023</v>
      </c>
      <c r="C4887" s="18" t="s">
        <v>710</v>
      </c>
      <c r="D4887" s="18" t="s">
        <v>1007</v>
      </c>
      <c r="E4887" s="18" t="s">
        <v>703</v>
      </c>
      <c r="F4887" s="18" t="s">
        <v>795</v>
      </c>
      <c r="G4887" s="18" t="s">
        <v>679</v>
      </c>
      <c r="H4887" s="18" t="s">
        <v>1008</v>
      </c>
      <c r="I4887" s="315">
        <v>3.6036823251060051E-16</v>
      </c>
      <c r="J4887" s="315">
        <v>2.6203302009850965E-19</v>
      </c>
      <c r="K4887" s="316" t="str">
        <f t="shared" si="66"/>
        <v>Recreational Equipment</v>
      </c>
      <c r="L4887" s="316" t="str">
        <f t="shared" si="67"/>
        <v>Gasoline</v>
      </c>
      <c r="M4887" s="194"/>
      <c r="N4887" s="317"/>
      <c r="O4887" s="317"/>
      <c r="P4887" s="317"/>
      <c r="Q4887" s="317"/>
      <c r="R4887" s="317"/>
      <c r="S4887" s="317"/>
      <c r="T4887" s="317"/>
      <c r="U4887" s="317"/>
      <c r="V4887" s="317"/>
      <c r="W4887" s="317"/>
      <c r="X4887" s="317"/>
      <c r="Y4887" s="317"/>
      <c r="Z4887" s="317"/>
    </row>
    <row r="4888" spans="1:26" x14ac:dyDescent="0.25">
      <c r="A4888" s="314"/>
      <c r="B4888" s="18">
        <v>2023</v>
      </c>
      <c r="C4888" s="18" t="s">
        <v>793</v>
      </c>
      <c r="D4888" s="18" t="s">
        <v>1012</v>
      </c>
      <c r="E4888" s="18" t="s">
        <v>703</v>
      </c>
      <c r="F4888" s="18" t="s">
        <v>795</v>
      </c>
      <c r="G4888" s="18" t="s">
        <v>679</v>
      </c>
      <c r="H4888" s="18" t="s">
        <v>1013</v>
      </c>
      <c r="I4888" s="315">
        <v>3.3462850420248968E-16</v>
      </c>
      <c r="J4888" s="315">
        <v>2.7869352857688983E-19</v>
      </c>
      <c r="K4888" s="316" t="str">
        <f t="shared" si="66"/>
        <v>Recreational Equipment</v>
      </c>
      <c r="L4888" s="316" t="str">
        <f t="shared" si="67"/>
        <v>Gasoline</v>
      </c>
      <c r="M4888" s="194"/>
      <c r="N4888" s="317"/>
      <c r="O4888" s="317"/>
      <c r="P4888" s="317"/>
      <c r="Q4888" s="317"/>
      <c r="R4888" s="317"/>
      <c r="S4888" s="317"/>
      <c r="T4888" s="317"/>
      <c r="U4888" s="317"/>
      <c r="V4888" s="317"/>
      <c r="W4888" s="317"/>
      <c r="X4888" s="317"/>
      <c r="Y4888" s="317"/>
      <c r="Z4888" s="317"/>
    </row>
    <row r="4889" spans="1:26" x14ac:dyDescent="0.25">
      <c r="A4889" s="314"/>
      <c r="B4889" s="18">
        <v>2023</v>
      </c>
      <c r="C4889" s="18" t="s">
        <v>759</v>
      </c>
      <c r="D4889" s="18" t="s">
        <v>1012</v>
      </c>
      <c r="E4889" s="18" t="s">
        <v>703</v>
      </c>
      <c r="F4889" s="18" t="s">
        <v>795</v>
      </c>
      <c r="G4889" s="18" t="s">
        <v>679</v>
      </c>
      <c r="H4889" s="18" t="s">
        <v>1013</v>
      </c>
      <c r="I4889" s="315">
        <v>3.3462850420248968E-16</v>
      </c>
      <c r="J4889" s="315">
        <v>2.7828559936127205E-19</v>
      </c>
      <c r="K4889" s="316" t="str">
        <f t="shared" si="66"/>
        <v>Recreational Equipment</v>
      </c>
      <c r="L4889" s="316" t="str">
        <f t="shared" si="67"/>
        <v>Gasoline</v>
      </c>
      <c r="M4889" s="194"/>
      <c r="N4889" s="317"/>
      <c r="O4889" s="317"/>
      <c r="P4889" s="317"/>
      <c r="Q4889" s="317"/>
      <c r="R4889" s="317"/>
      <c r="S4889" s="317"/>
      <c r="T4889" s="317"/>
      <c r="U4889" s="317"/>
      <c r="V4889" s="317"/>
      <c r="W4889" s="317"/>
      <c r="X4889" s="317"/>
      <c r="Y4889" s="317"/>
      <c r="Z4889" s="317"/>
    </row>
    <row r="4890" spans="1:26" x14ac:dyDescent="0.25">
      <c r="A4890" s="314"/>
      <c r="B4890" s="18">
        <v>2023</v>
      </c>
      <c r="C4890" s="18" t="s">
        <v>753</v>
      </c>
      <c r="D4890" s="18" t="s">
        <v>1012</v>
      </c>
      <c r="E4890" s="18" t="s">
        <v>703</v>
      </c>
      <c r="F4890" s="18" t="s">
        <v>795</v>
      </c>
      <c r="G4890" s="18" t="s">
        <v>679</v>
      </c>
      <c r="H4890" s="18" t="s">
        <v>1013</v>
      </c>
      <c r="I4890" s="315">
        <v>3.3462850420248968E-16</v>
      </c>
      <c r="J4890" s="315">
        <v>2.7862187500287942E-19</v>
      </c>
      <c r="K4890" s="316" t="str">
        <f t="shared" si="66"/>
        <v>Recreational Equipment</v>
      </c>
      <c r="L4890" s="316" t="str">
        <f t="shared" si="67"/>
        <v>Gasoline</v>
      </c>
      <c r="M4890" s="194"/>
      <c r="N4890" s="317"/>
      <c r="O4890" s="317"/>
      <c r="P4890" s="317"/>
      <c r="Q4890" s="317"/>
      <c r="R4890" s="317"/>
      <c r="S4890" s="317"/>
      <c r="T4890" s="317"/>
      <c r="U4890" s="317"/>
      <c r="V4890" s="317"/>
      <c r="W4890" s="317"/>
      <c r="X4890" s="317"/>
      <c r="Y4890" s="317"/>
      <c r="Z4890" s="317"/>
    </row>
    <row r="4891" spans="1:26" x14ac:dyDescent="0.25">
      <c r="A4891" s="314"/>
      <c r="B4891" s="18">
        <v>2023</v>
      </c>
      <c r="C4891" s="18" t="s">
        <v>710</v>
      </c>
      <c r="D4891" s="18" t="s">
        <v>1012</v>
      </c>
      <c r="E4891" s="18" t="s">
        <v>703</v>
      </c>
      <c r="F4891" s="18" t="s">
        <v>795</v>
      </c>
      <c r="G4891" s="18" t="s">
        <v>679</v>
      </c>
      <c r="H4891" s="18" t="s">
        <v>1013</v>
      </c>
      <c r="I4891" s="315">
        <v>3.3462850420248968E-16</v>
      </c>
      <c r="J4891" s="315">
        <v>2.7917652912421999E-19</v>
      </c>
      <c r="K4891" s="316" t="str">
        <f t="shared" si="66"/>
        <v>Recreational Equipment</v>
      </c>
      <c r="L4891" s="316" t="str">
        <f t="shared" si="67"/>
        <v>Gasoline</v>
      </c>
      <c r="M4891" s="194"/>
      <c r="N4891" s="317"/>
      <c r="O4891" s="317"/>
      <c r="P4891" s="317"/>
      <c r="Q4891" s="317"/>
      <c r="R4891" s="317"/>
      <c r="S4891" s="317"/>
      <c r="T4891" s="317"/>
      <c r="U4891" s="317"/>
      <c r="V4891" s="317"/>
      <c r="W4891" s="317"/>
      <c r="X4891" s="317"/>
      <c r="Y4891" s="317"/>
      <c r="Z4891" s="317"/>
    </row>
    <row r="4892" spans="1:26" x14ac:dyDescent="0.25">
      <c r="A4892" s="314"/>
      <c r="B4892" s="18">
        <v>2023</v>
      </c>
      <c r="C4892" s="18" t="s">
        <v>710</v>
      </c>
      <c r="D4892" s="18" t="s">
        <v>980</v>
      </c>
      <c r="E4892" s="18" t="s">
        <v>713</v>
      </c>
      <c r="F4892" s="18" t="s">
        <v>714</v>
      </c>
      <c r="G4892" s="18" t="s">
        <v>674</v>
      </c>
      <c r="H4892" s="18" t="s">
        <v>981</v>
      </c>
      <c r="I4892" s="315">
        <v>3.3268949270322795E-16</v>
      </c>
      <c r="J4892" s="315">
        <v>1.4603192536799391E-20</v>
      </c>
      <c r="K4892" s="316" t="str">
        <f t="shared" si="66"/>
        <v>Construction and Mining Equipment</v>
      </c>
      <c r="L4892" s="316" t="str">
        <f t="shared" si="67"/>
        <v>Diesel</v>
      </c>
      <c r="M4892" s="194"/>
      <c r="N4892" s="317"/>
      <c r="O4892" s="317"/>
      <c r="P4892" s="317"/>
      <c r="Q4892" s="317"/>
      <c r="R4892" s="317"/>
      <c r="S4892" s="317"/>
      <c r="T4892" s="317"/>
      <c r="U4892" s="317"/>
      <c r="V4892" s="317"/>
      <c r="W4892" s="317"/>
      <c r="X4892" s="317"/>
      <c r="Y4892" s="317"/>
      <c r="Z4892" s="317"/>
    </row>
    <row r="4893" spans="1:26" x14ac:dyDescent="0.25">
      <c r="A4893" s="314"/>
      <c r="B4893" s="18">
        <v>2023</v>
      </c>
      <c r="C4893" s="18" t="s">
        <v>793</v>
      </c>
      <c r="D4893" s="18" t="s">
        <v>1001</v>
      </c>
      <c r="E4893" s="18" t="s">
        <v>713</v>
      </c>
      <c r="F4893" s="18" t="s">
        <v>683</v>
      </c>
      <c r="G4893" s="18" t="s">
        <v>79</v>
      </c>
      <c r="H4893" s="18" t="s">
        <v>1002</v>
      </c>
      <c r="I4893" s="315">
        <v>2.8798352645941314E-16</v>
      </c>
      <c r="J4893" s="315">
        <v>9.6796217100897648E-21</v>
      </c>
      <c r="K4893" s="316" t="str">
        <f t="shared" ref="K4893:K5107" si="68">IF(F4893="Pleasure Craft","Pleasure Craft",IF(F4893="Railroad Equipment","Railroad Equipment",G4893))</f>
        <v>Railroad Equipment</v>
      </c>
      <c r="L4893" s="316" t="str">
        <f t="shared" ref="L4893:L5107" si="69">IF(E4893="Non-Road Gasoline","Gasoline",IF(E4893="Non-Road Diesel","Diesel",IF(RIGHT(F4893,3)="LPG","LPG",IF(RIGHT(F4893,3)="CNG","CNG",G4893))))</f>
        <v>Diesel</v>
      </c>
      <c r="M4893" s="194"/>
      <c r="N4893" s="317"/>
      <c r="O4893" s="317"/>
      <c r="P4893" s="317"/>
      <c r="Q4893" s="317"/>
      <c r="R4893" s="317"/>
      <c r="S4893" s="317"/>
      <c r="T4893" s="317"/>
      <c r="U4893" s="317"/>
      <c r="V4893" s="317"/>
      <c r="W4893" s="317"/>
      <c r="X4893" s="317"/>
      <c r="Y4893" s="317"/>
      <c r="Z4893" s="317"/>
    </row>
    <row r="4894" spans="1:26" x14ac:dyDescent="0.25">
      <c r="A4894" s="314"/>
      <c r="B4894" s="18">
        <v>2023</v>
      </c>
      <c r="C4894" s="18" t="s">
        <v>781</v>
      </c>
      <c r="D4894" s="18" t="s">
        <v>1001</v>
      </c>
      <c r="E4894" s="18" t="s">
        <v>713</v>
      </c>
      <c r="F4894" s="18" t="s">
        <v>683</v>
      </c>
      <c r="G4894" s="18" t="s">
        <v>79</v>
      </c>
      <c r="H4894" s="18" t="s">
        <v>1002</v>
      </c>
      <c r="I4894" s="315">
        <v>2.8798352645941314E-16</v>
      </c>
      <c r="J4894" s="315">
        <v>9.6796217100897648E-21</v>
      </c>
      <c r="K4894" s="316" t="str">
        <f t="shared" si="68"/>
        <v>Railroad Equipment</v>
      </c>
      <c r="L4894" s="316" t="str">
        <f t="shared" si="69"/>
        <v>Diesel</v>
      </c>
      <c r="M4894" s="194"/>
      <c r="N4894" s="317"/>
      <c r="O4894" s="317"/>
      <c r="P4894" s="317"/>
      <c r="Q4894" s="317"/>
      <c r="R4894" s="317"/>
      <c r="S4894" s="317"/>
      <c r="T4894" s="317"/>
      <c r="U4894" s="317"/>
      <c r="V4894" s="317"/>
      <c r="W4894" s="317"/>
      <c r="X4894" s="317"/>
      <c r="Y4894" s="317"/>
      <c r="Z4894" s="317"/>
    </row>
    <row r="4895" spans="1:26" x14ac:dyDescent="0.25">
      <c r="A4895" s="314"/>
      <c r="B4895" s="18">
        <v>2023</v>
      </c>
      <c r="C4895" s="18" t="s">
        <v>731</v>
      </c>
      <c r="D4895" s="18" t="s">
        <v>1001</v>
      </c>
      <c r="E4895" s="18" t="s">
        <v>713</v>
      </c>
      <c r="F4895" s="18" t="s">
        <v>683</v>
      </c>
      <c r="G4895" s="18" t="s">
        <v>79</v>
      </c>
      <c r="H4895" s="18" t="s">
        <v>1002</v>
      </c>
      <c r="I4895" s="315">
        <v>2.8798352645941314E-16</v>
      </c>
      <c r="J4895" s="315">
        <v>9.6796217100897648E-21</v>
      </c>
      <c r="K4895" s="316" t="str">
        <f t="shared" si="68"/>
        <v>Railroad Equipment</v>
      </c>
      <c r="L4895" s="316" t="str">
        <f t="shared" si="69"/>
        <v>Diesel</v>
      </c>
      <c r="M4895" s="194"/>
      <c r="N4895" s="317"/>
      <c r="O4895" s="317"/>
      <c r="P4895" s="317"/>
      <c r="Q4895" s="317"/>
      <c r="R4895" s="317"/>
      <c r="S4895" s="317"/>
      <c r="T4895" s="317"/>
      <c r="U4895" s="317"/>
      <c r="V4895" s="317"/>
      <c r="W4895" s="317"/>
      <c r="X4895" s="317"/>
      <c r="Y4895" s="317"/>
      <c r="Z4895" s="317"/>
    </row>
    <row r="4896" spans="1:26" x14ac:dyDescent="0.25">
      <c r="A4896" s="314"/>
      <c r="B4896" s="18">
        <v>2023</v>
      </c>
      <c r="C4896" s="18" t="s">
        <v>786</v>
      </c>
      <c r="D4896" s="18" t="s">
        <v>1001</v>
      </c>
      <c r="E4896" s="18" t="s">
        <v>713</v>
      </c>
      <c r="F4896" s="18" t="s">
        <v>683</v>
      </c>
      <c r="G4896" s="18" t="s">
        <v>79</v>
      </c>
      <c r="H4896" s="18" t="s">
        <v>1002</v>
      </c>
      <c r="I4896" s="315">
        <v>2.8798352645941314E-16</v>
      </c>
      <c r="J4896" s="315">
        <v>9.6796217100897648E-21</v>
      </c>
      <c r="K4896" s="316" t="str">
        <f t="shared" si="68"/>
        <v>Railroad Equipment</v>
      </c>
      <c r="L4896" s="316" t="str">
        <f t="shared" si="69"/>
        <v>Diesel</v>
      </c>
      <c r="M4896" s="194"/>
      <c r="N4896" s="317"/>
      <c r="O4896" s="317"/>
      <c r="P4896" s="317"/>
      <c r="Q4896" s="317"/>
      <c r="R4896" s="317"/>
      <c r="S4896" s="317"/>
      <c r="T4896" s="317"/>
      <c r="U4896" s="317"/>
      <c r="V4896" s="317"/>
      <c r="W4896" s="317"/>
      <c r="X4896" s="317"/>
      <c r="Y4896" s="317"/>
      <c r="Z4896" s="317"/>
    </row>
    <row r="4897" spans="1:26" ht="12.75" x14ac:dyDescent="0.2">
      <c r="A4897" s="230"/>
      <c r="B4897" s="18">
        <v>2023</v>
      </c>
      <c r="C4897" s="18" t="s">
        <v>762</v>
      </c>
      <c r="D4897" s="18" t="s">
        <v>1001</v>
      </c>
      <c r="E4897" s="18" t="s">
        <v>713</v>
      </c>
      <c r="F4897" s="18" t="s">
        <v>683</v>
      </c>
      <c r="G4897" s="18" t="s">
        <v>79</v>
      </c>
      <c r="H4897" s="18" t="s">
        <v>1002</v>
      </c>
      <c r="I4897" s="315">
        <v>2.8798352645941314E-16</v>
      </c>
      <c r="J4897" s="315">
        <v>9.6796217100897648E-21</v>
      </c>
      <c r="K4897" s="316" t="str">
        <f t="shared" si="68"/>
        <v>Railroad Equipment</v>
      </c>
      <c r="L4897" s="316" t="str">
        <f t="shared" si="69"/>
        <v>Diesel</v>
      </c>
      <c r="M4897" s="8"/>
      <c r="N4897" s="2"/>
      <c r="O4897" s="2"/>
      <c r="P4897" s="2"/>
      <c r="Q4897" s="2"/>
      <c r="R4897" s="2"/>
      <c r="S4897" s="2"/>
      <c r="T4897" s="2"/>
      <c r="U4897" s="2"/>
      <c r="V4897" s="2"/>
      <c r="W4897" s="2"/>
      <c r="X4897" s="2"/>
      <c r="Y4897" s="2"/>
      <c r="Z4897" s="2"/>
    </row>
    <row r="4898" spans="1:26" x14ac:dyDescent="0.25">
      <c r="A4898" s="314"/>
      <c r="B4898" s="18">
        <v>2023</v>
      </c>
      <c r="C4898" s="18" t="s">
        <v>750</v>
      </c>
      <c r="D4898" s="18" t="s">
        <v>1001</v>
      </c>
      <c r="E4898" s="18" t="s">
        <v>713</v>
      </c>
      <c r="F4898" s="18" t="s">
        <v>683</v>
      </c>
      <c r="G4898" s="18" t="s">
        <v>79</v>
      </c>
      <c r="H4898" s="18" t="s">
        <v>1002</v>
      </c>
      <c r="I4898" s="315">
        <v>2.8798352645941314E-16</v>
      </c>
      <c r="J4898" s="315">
        <v>9.6796217100897648E-21</v>
      </c>
      <c r="K4898" s="316" t="str">
        <f t="shared" si="68"/>
        <v>Railroad Equipment</v>
      </c>
      <c r="L4898" s="316" t="str">
        <f t="shared" si="69"/>
        <v>Diesel</v>
      </c>
      <c r="M4898" s="194"/>
      <c r="N4898" s="317"/>
      <c r="O4898" s="317"/>
      <c r="P4898" s="317"/>
      <c r="Q4898" s="317"/>
      <c r="R4898" s="317"/>
      <c r="S4898" s="317"/>
      <c r="T4898" s="317"/>
      <c r="U4898" s="317"/>
      <c r="V4898" s="317"/>
      <c r="W4898" s="317"/>
      <c r="X4898" s="317"/>
      <c r="Y4898" s="317"/>
      <c r="Z4898" s="317"/>
    </row>
    <row r="4899" spans="1:26" x14ac:dyDescent="0.25">
      <c r="A4899" s="314"/>
      <c r="B4899" s="18">
        <v>2023</v>
      </c>
      <c r="C4899" s="18" t="s">
        <v>753</v>
      </c>
      <c r="D4899" s="18" t="s">
        <v>1001</v>
      </c>
      <c r="E4899" s="18" t="s">
        <v>713</v>
      </c>
      <c r="F4899" s="18" t="s">
        <v>683</v>
      </c>
      <c r="G4899" s="18" t="s">
        <v>79</v>
      </c>
      <c r="H4899" s="18" t="s">
        <v>1002</v>
      </c>
      <c r="I4899" s="315">
        <v>2.8798352645941314E-16</v>
      </c>
      <c r="J4899" s="315">
        <v>9.6796217100897648E-21</v>
      </c>
      <c r="K4899" s="316" t="str">
        <f t="shared" si="68"/>
        <v>Railroad Equipment</v>
      </c>
      <c r="L4899" s="316" t="str">
        <f t="shared" si="69"/>
        <v>Diesel</v>
      </c>
      <c r="M4899" s="194"/>
      <c r="N4899" s="317"/>
      <c r="O4899" s="317"/>
      <c r="P4899" s="317"/>
      <c r="Q4899" s="317"/>
      <c r="R4899" s="317"/>
      <c r="S4899" s="317"/>
      <c r="T4899" s="317"/>
      <c r="U4899" s="317"/>
      <c r="V4899" s="317"/>
      <c r="W4899" s="317"/>
      <c r="X4899" s="317"/>
      <c r="Y4899" s="317"/>
      <c r="Z4899" s="317"/>
    </row>
    <row r="4900" spans="1:26" x14ac:dyDescent="0.25">
      <c r="A4900" s="314"/>
      <c r="B4900" s="18">
        <v>2023</v>
      </c>
      <c r="C4900" s="18" t="s">
        <v>793</v>
      </c>
      <c r="D4900" s="18" t="s">
        <v>1019</v>
      </c>
      <c r="E4900" s="18" t="s">
        <v>703</v>
      </c>
      <c r="F4900" s="18" t="s">
        <v>805</v>
      </c>
      <c r="G4900" s="18" t="s">
        <v>679</v>
      </c>
      <c r="H4900" s="18" t="s">
        <v>852</v>
      </c>
      <c r="I4900" s="315">
        <v>2.7710003076422241E-16</v>
      </c>
      <c r="J4900" s="315">
        <v>3.8574518851445662E-19</v>
      </c>
      <c r="K4900" s="316" t="str">
        <f t="shared" si="68"/>
        <v>Recreational Equipment</v>
      </c>
      <c r="L4900" s="316" t="str">
        <f t="shared" si="69"/>
        <v>Gasoline</v>
      </c>
      <c r="M4900" s="194"/>
      <c r="N4900" s="317"/>
      <c r="O4900" s="317"/>
      <c r="P4900" s="317"/>
      <c r="Q4900" s="317"/>
      <c r="R4900" s="317"/>
      <c r="S4900" s="317"/>
      <c r="T4900" s="317"/>
      <c r="U4900" s="317"/>
      <c r="V4900" s="317"/>
      <c r="W4900" s="317"/>
      <c r="X4900" s="317"/>
      <c r="Y4900" s="317"/>
      <c r="Z4900" s="317"/>
    </row>
    <row r="4901" spans="1:26" x14ac:dyDescent="0.25">
      <c r="A4901" s="314"/>
      <c r="B4901" s="18">
        <v>2023</v>
      </c>
      <c r="C4901" s="18" t="s">
        <v>759</v>
      </c>
      <c r="D4901" s="18" t="s">
        <v>1019</v>
      </c>
      <c r="E4901" s="18" t="s">
        <v>703</v>
      </c>
      <c r="F4901" s="18" t="s">
        <v>805</v>
      </c>
      <c r="G4901" s="18" t="s">
        <v>679</v>
      </c>
      <c r="H4901" s="18" t="s">
        <v>852</v>
      </c>
      <c r="I4901" s="315">
        <v>2.7710003076422241E-16</v>
      </c>
      <c r="J4901" s="315">
        <v>3.8574518851445662E-19</v>
      </c>
      <c r="K4901" s="316" t="str">
        <f t="shared" si="68"/>
        <v>Recreational Equipment</v>
      </c>
      <c r="L4901" s="316" t="str">
        <f t="shared" si="69"/>
        <v>Gasoline</v>
      </c>
      <c r="M4901" s="194"/>
      <c r="N4901" s="317"/>
      <c r="O4901" s="317"/>
      <c r="P4901" s="317"/>
      <c r="Q4901" s="317"/>
      <c r="R4901" s="317"/>
      <c r="S4901" s="317"/>
      <c r="T4901" s="317"/>
      <c r="U4901" s="317"/>
      <c r="V4901" s="317"/>
      <c r="W4901" s="317"/>
      <c r="X4901" s="317"/>
      <c r="Y4901" s="317"/>
      <c r="Z4901" s="317"/>
    </row>
    <row r="4902" spans="1:26" x14ac:dyDescent="0.25">
      <c r="A4902" s="314"/>
      <c r="B4902" s="18">
        <v>2023</v>
      </c>
      <c r="C4902" s="18" t="s">
        <v>753</v>
      </c>
      <c r="D4902" s="18" t="s">
        <v>1019</v>
      </c>
      <c r="E4902" s="18" t="s">
        <v>703</v>
      </c>
      <c r="F4902" s="18" t="s">
        <v>805</v>
      </c>
      <c r="G4902" s="18" t="s">
        <v>679</v>
      </c>
      <c r="H4902" s="18" t="s">
        <v>852</v>
      </c>
      <c r="I4902" s="315">
        <v>2.7710003076422241E-16</v>
      </c>
      <c r="J4902" s="315">
        <v>3.8574518851445662E-19</v>
      </c>
      <c r="K4902" s="316" t="str">
        <f t="shared" si="68"/>
        <v>Recreational Equipment</v>
      </c>
      <c r="L4902" s="316" t="str">
        <f t="shared" si="69"/>
        <v>Gasoline</v>
      </c>
      <c r="M4902" s="194"/>
      <c r="N4902" s="317"/>
      <c r="O4902" s="317"/>
      <c r="P4902" s="317"/>
      <c r="Q4902" s="317"/>
      <c r="R4902" s="317"/>
      <c r="S4902" s="317"/>
      <c r="T4902" s="317"/>
      <c r="U4902" s="317"/>
      <c r="V4902" s="317"/>
      <c r="W4902" s="317"/>
      <c r="X4902" s="317"/>
      <c r="Y4902" s="317"/>
      <c r="Z4902" s="317"/>
    </row>
    <row r="4903" spans="1:26" x14ac:dyDescent="0.25">
      <c r="A4903" s="314"/>
      <c r="B4903" s="18">
        <v>2023</v>
      </c>
      <c r="C4903" s="18" t="s">
        <v>710</v>
      </c>
      <c r="D4903" s="18" t="s">
        <v>1019</v>
      </c>
      <c r="E4903" s="18" t="s">
        <v>703</v>
      </c>
      <c r="F4903" s="18" t="s">
        <v>805</v>
      </c>
      <c r="G4903" s="18" t="s">
        <v>679</v>
      </c>
      <c r="H4903" s="18" t="s">
        <v>852</v>
      </c>
      <c r="I4903" s="315">
        <v>2.7710003076422241E-16</v>
      </c>
      <c r="J4903" s="315">
        <v>3.8574518851445662E-19</v>
      </c>
      <c r="K4903" s="316" t="str">
        <f t="shared" si="68"/>
        <v>Recreational Equipment</v>
      </c>
      <c r="L4903" s="316" t="str">
        <f t="shared" si="69"/>
        <v>Gasoline</v>
      </c>
      <c r="M4903" s="194"/>
      <c r="N4903" s="317"/>
      <c r="O4903" s="317"/>
      <c r="P4903" s="317"/>
      <c r="Q4903" s="317"/>
      <c r="R4903" s="317"/>
      <c r="S4903" s="317"/>
      <c r="T4903" s="317"/>
      <c r="U4903" s="317"/>
      <c r="V4903" s="317"/>
      <c r="W4903" s="317"/>
      <c r="X4903" s="317"/>
      <c r="Y4903" s="317"/>
      <c r="Z4903" s="317"/>
    </row>
    <row r="4904" spans="1:26" x14ac:dyDescent="0.25">
      <c r="A4904" s="314"/>
      <c r="B4904" s="18">
        <v>2023</v>
      </c>
      <c r="C4904" s="18" t="s">
        <v>793</v>
      </c>
      <c r="D4904" s="18" t="s">
        <v>1021</v>
      </c>
      <c r="E4904" s="18" t="s">
        <v>703</v>
      </c>
      <c r="F4904" s="18" t="s">
        <v>704</v>
      </c>
      <c r="G4904" s="18" t="s">
        <v>679</v>
      </c>
      <c r="H4904" s="18" t="s">
        <v>983</v>
      </c>
      <c r="I4904" s="315">
        <v>2.7020804924533041E-16</v>
      </c>
      <c r="J4904" s="315">
        <v>3.6732514064028605E-19</v>
      </c>
      <c r="K4904" s="316" t="str">
        <f t="shared" si="68"/>
        <v>Recreational Equipment</v>
      </c>
      <c r="L4904" s="316" t="str">
        <f t="shared" si="69"/>
        <v>Gasoline</v>
      </c>
      <c r="M4904" s="194"/>
      <c r="N4904" s="317"/>
      <c r="O4904" s="317"/>
      <c r="P4904" s="317"/>
      <c r="Q4904" s="317"/>
      <c r="R4904" s="317"/>
      <c r="S4904" s="317"/>
      <c r="T4904" s="317"/>
      <c r="U4904" s="317"/>
      <c r="V4904" s="317"/>
      <c r="W4904" s="317"/>
      <c r="X4904" s="317"/>
      <c r="Y4904" s="317"/>
      <c r="Z4904" s="317"/>
    </row>
    <row r="4905" spans="1:26" x14ac:dyDescent="0.25">
      <c r="A4905" s="314"/>
      <c r="B4905" s="18">
        <v>2023</v>
      </c>
      <c r="C4905" s="18" t="s">
        <v>759</v>
      </c>
      <c r="D4905" s="18" t="s">
        <v>1021</v>
      </c>
      <c r="E4905" s="18" t="s">
        <v>703</v>
      </c>
      <c r="F4905" s="18" t="s">
        <v>704</v>
      </c>
      <c r="G4905" s="18" t="s">
        <v>679</v>
      </c>
      <c r="H4905" s="18" t="s">
        <v>983</v>
      </c>
      <c r="I4905" s="315">
        <v>2.7020804924533041E-16</v>
      </c>
      <c r="J4905" s="315">
        <v>3.6676124744176153E-19</v>
      </c>
      <c r="K4905" s="316" t="str">
        <f t="shared" si="68"/>
        <v>Recreational Equipment</v>
      </c>
      <c r="L4905" s="316" t="str">
        <f t="shared" si="69"/>
        <v>Gasoline</v>
      </c>
      <c r="M4905" s="194"/>
      <c r="N4905" s="317"/>
      <c r="O4905" s="317"/>
      <c r="P4905" s="317"/>
      <c r="Q4905" s="317"/>
      <c r="R4905" s="317"/>
      <c r="S4905" s="317"/>
      <c r="T4905" s="317"/>
      <c r="U4905" s="317"/>
      <c r="V4905" s="317"/>
      <c r="W4905" s="317"/>
      <c r="X4905" s="317"/>
      <c r="Y4905" s="317"/>
      <c r="Z4905" s="317"/>
    </row>
    <row r="4906" spans="1:26" x14ac:dyDescent="0.25">
      <c r="A4906" s="314"/>
      <c r="B4906" s="18">
        <v>2023</v>
      </c>
      <c r="C4906" s="18" t="s">
        <v>753</v>
      </c>
      <c r="D4906" s="18" t="s">
        <v>1021</v>
      </c>
      <c r="E4906" s="18" t="s">
        <v>703</v>
      </c>
      <c r="F4906" s="18" t="s">
        <v>704</v>
      </c>
      <c r="G4906" s="18" t="s">
        <v>679</v>
      </c>
      <c r="H4906" s="18" t="s">
        <v>983</v>
      </c>
      <c r="I4906" s="315">
        <v>2.7020804924533041E-16</v>
      </c>
      <c r="J4906" s="315">
        <v>3.6722636652354565E-19</v>
      </c>
      <c r="K4906" s="316" t="str">
        <f t="shared" si="68"/>
        <v>Recreational Equipment</v>
      </c>
      <c r="L4906" s="316" t="str">
        <f t="shared" si="69"/>
        <v>Gasoline</v>
      </c>
      <c r="M4906" s="194"/>
      <c r="N4906" s="317"/>
      <c r="O4906" s="317"/>
      <c r="P4906" s="317"/>
      <c r="Q4906" s="317"/>
      <c r="R4906" s="317"/>
      <c r="S4906" s="317"/>
      <c r="T4906" s="317"/>
      <c r="U4906" s="317"/>
      <c r="V4906" s="317"/>
      <c r="W4906" s="317"/>
      <c r="X4906" s="317"/>
      <c r="Y4906" s="317"/>
      <c r="Z4906" s="317"/>
    </row>
    <row r="4907" spans="1:26" x14ac:dyDescent="0.25">
      <c r="A4907" s="314"/>
      <c r="B4907" s="18">
        <v>2023</v>
      </c>
      <c r="C4907" s="18" t="s">
        <v>710</v>
      </c>
      <c r="D4907" s="18" t="s">
        <v>1021</v>
      </c>
      <c r="E4907" s="18" t="s">
        <v>703</v>
      </c>
      <c r="F4907" s="18" t="s">
        <v>704</v>
      </c>
      <c r="G4907" s="18" t="s">
        <v>679</v>
      </c>
      <c r="H4907" s="18" t="s">
        <v>983</v>
      </c>
      <c r="I4907" s="315">
        <v>2.7020804924533041E-16</v>
      </c>
      <c r="J4907" s="315">
        <v>3.6799309788642893E-19</v>
      </c>
      <c r="K4907" s="316" t="str">
        <f t="shared" si="68"/>
        <v>Recreational Equipment</v>
      </c>
      <c r="L4907" s="316" t="str">
        <f t="shared" si="69"/>
        <v>Gasoline</v>
      </c>
      <c r="M4907" s="194"/>
      <c r="N4907" s="317"/>
      <c r="O4907" s="317"/>
      <c r="P4907" s="317"/>
      <c r="Q4907" s="317"/>
      <c r="R4907" s="317"/>
      <c r="S4907" s="317"/>
      <c r="T4907" s="317"/>
      <c r="U4907" s="317"/>
      <c r="V4907" s="317"/>
      <c r="W4907" s="317"/>
      <c r="X4907" s="317"/>
      <c r="Y4907" s="317"/>
      <c r="Z4907" s="317"/>
    </row>
    <row r="4908" spans="1:26" x14ac:dyDescent="0.25">
      <c r="A4908" s="314"/>
      <c r="B4908" s="18">
        <v>2023</v>
      </c>
      <c r="C4908" s="18" t="s">
        <v>710</v>
      </c>
      <c r="D4908" s="18" t="s">
        <v>993</v>
      </c>
      <c r="E4908" s="18" t="s">
        <v>703</v>
      </c>
      <c r="F4908" s="18" t="s">
        <v>704</v>
      </c>
      <c r="G4908" s="18" t="s">
        <v>674</v>
      </c>
      <c r="H4908" s="18" t="s">
        <v>994</v>
      </c>
      <c r="I4908" s="315">
        <v>2.4163320073116634E-16</v>
      </c>
      <c r="J4908" s="315">
        <v>1.6128265526683516E-19</v>
      </c>
      <c r="K4908" s="316" t="str">
        <f t="shared" si="68"/>
        <v>Construction and Mining Equipment</v>
      </c>
      <c r="L4908" s="316" t="str">
        <f t="shared" si="69"/>
        <v>Gasoline</v>
      </c>
      <c r="M4908" s="194"/>
      <c r="N4908" s="317"/>
      <c r="O4908" s="317"/>
      <c r="P4908" s="317"/>
      <c r="Q4908" s="317"/>
      <c r="R4908" s="317"/>
      <c r="S4908" s="317"/>
      <c r="T4908" s="317"/>
      <c r="U4908" s="317"/>
      <c r="V4908" s="317"/>
      <c r="W4908" s="317"/>
      <c r="X4908" s="317"/>
      <c r="Y4908" s="317"/>
      <c r="Z4908" s="317"/>
    </row>
    <row r="4909" spans="1:26" x14ac:dyDescent="0.25">
      <c r="A4909" s="314"/>
      <c r="B4909" s="18">
        <v>2023</v>
      </c>
      <c r="C4909" s="18" t="s">
        <v>710</v>
      </c>
      <c r="D4909" s="18" t="s">
        <v>998</v>
      </c>
      <c r="E4909" s="18" t="s">
        <v>703</v>
      </c>
      <c r="F4909" s="18" t="s">
        <v>704</v>
      </c>
      <c r="G4909" s="18" t="s">
        <v>674</v>
      </c>
      <c r="H4909" s="18" t="s">
        <v>999</v>
      </c>
      <c r="I4909" s="315">
        <v>2.1310312103659804E-16</v>
      </c>
      <c r="J4909" s="315">
        <v>1.4076310786744004E-19</v>
      </c>
      <c r="K4909" s="316" t="str">
        <f t="shared" si="68"/>
        <v>Construction and Mining Equipment</v>
      </c>
      <c r="L4909" s="316" t="str">
        <f t="shared" si="69"/>
        <v>Gasoline</v>
      </c>
      <c r="M4909" s="194"/>
      <c r="N4909" s="317"/>
      <c r="O4909" s="317"/>
      <c r="P4909" s="317"/>
      <c r="Q4909" s="317"/>
      <c r="R4909" s="317"/>
      <c r="S4909" s="317"/>
      <c r="T4909" s="317"/>
      <c r="U4909" s="317"/>
      <c r="V4909" s="317"/>
      <c r="W4909" s="317"/>
      <c r="X4909" s="317"/>
      <c r="Y4909" s="317"/>
      <c r="Z4909" s="317"/>
    </row>
    <row r="4910" spans="1:26" x14ac:dyDescent="0.25">
      <c r="A4910" s="314"/>
      <c r="B4910" s="18">
        <v>2023</v>
      </c>
      <c r="C4910" s="18" t="s">
        <v>710</v>
      </c>
      <c r="D4910" s="18" t="s">
        <v>1000</v>
      </c>
      <c r="E4910" s="18" t="s">
        <v>703</v>
      </c>
      <c r="F4910" s="18" t="s">
        <v>704</v>
      </c>
      <c r="G4910" s="18" t="s">
        <v>674</v>
      </c>
      <c r="H4910" s="18" t="s">
        <v>850</v>
      </c>
      <c r="I4910" s="315">
        <v>2.1231919526036866E-16</v>
      </c>
      <c r="J4910" s="315">
        <v>1.2921463359751882E-19</v>
      </c>
      <c r="K4910" s="316" t="str">
        <f t="shared" si="68"/>
        <v>Construction and Mining Equipment</v>
      </c>
      <c r="L4910" s="316" t="str">
        <f t="shared" si="69"/>
        <v>Gasoline</v>
      </c>
      <c r="M4910" s="194"/>
      <c r="N4910" s="317"/>
      <c r="O4910" s="317"/>
      <c r="P4910" s="317"/>
      <c r="Q4910" s="317"/>
      <c r="R4910" s="317"/>
      <c r="S4910" s="317"/>
      <c r="T4910" s="317"/>
      <c r="U4910" s="317"/>
      <c r="V4910" s="317"/>
      <c r="W4910" s="317"/>
      <c r="X4910" s="317"/>
      <c r="Y4910" s="317"/>
      <c r="Z4910" s="317"/>
    </row>
    <row r="4911" spans="1:26" x14ac:dyDescent="0.25">
      <c r="A4911" s="314"/>
      <c r="B4911" s="18">
        <v>2023</v>
      </c>
      <c r="C4911" s="18" t="s">
        <v>710</v>
      </c>
      <c r="D4911" s="18" t="s">
        <v>1006</v>
      </c>
      <c r="E4911" s="18" t="s">
        <v>703</v>
      </c>
      <c r="F4911" s="18" t="s">
        <v>805</v>
      </c>
      <c r="G4911" s="18" t="s">
        <v>674</v>
      </c>
      <c r="H4911" s="18" t="s">
        <v>967</v>
      </c>
      <c r="I4911" s="315">
        <v>1.9956233942236987E-16</v>
      </c>
      <c r="J4911" s="315">
        <v>3.5739279554707096E-19</v>
      </c>
      <c r="K4911" s="316" t="str">
        <f t="shared" si="68"/>
        <v>Construction and Mining Equipment</v>
      </c>
      <c r="L4911" s="316" t="str">
        <f t="shared" si="69"/>
        <v>Gasoline</v>
      </c>
      <c r="M4911" s="194"/>
      <c r="N4911" s="317"/>
      <c r="O4911" s="317"/>
      <c r="P4911" s="317"/>
      <c r="Q4911" s="317"/>
      <c r="R4911" s="317"/>
      <c r="S4911" s="317"/>
      <c r="T4911" s="317"/>
      <c r="U4911" s="317"/>
      <c r="V4911" s="317"/>
      <c r="W4911" s="317"/>
      <c r="X4911" s="317"/>
      <c r="Y4911" s="317"/>
      <c r="Z4911" s="317"/>
    </row>
    <row r="4912" spans="1:26" x14ac:dyDescent="0.25">
      <c r="A4912" s="314"/>
      <c r="B4912" s="18">
        <v>2023</v>
      </c>
      <c r="C4912" s="18" t="s">
        <v>710</v>
      </c>
      <c r="D4912" s="18" t="s">
        <v>1079</v>
      </c>
      <c r="E4912" s="18" t="s">
        <v>713</v>
      </c>
      <c r="F4912" s="18" t="s">
        <v>714</v>
      </c>
      <c r="G4912" s="18" t="s">
        <v>678</v>
      </c>
      <c r="H4912" s="18" t="s">
        <v>1080</v>
      </c>
      <c r="I4912" s="315">
        <v>1.8730253840795476E-16</v>
      </c>
      <c r="J4912" s="315">
        <v>1.3593318920032339E-21</v>
      </c>
      <c r="K4912" s="316" t="str">
        <f t="shared" si="68"/>
        <v>Agricultural Equipment</v>
      </c>
      <c r="L4912" s="316" t="str">
        <f t="shared" si="69"/>
        <v>Diesel</v>
      </c>
      <c r="M4912" s="194"/>
      <c r="N4912" s="317"/>
      <c r="O4912" s="317"/>
      <c r="P4912" s="317"/>
      <c r="Q4912" s="317"/>
      <c r="R4912" s="317"/>
      <c r="S4912" s="317"/>
      <c r="T4912" s="317"/>
      <c r="U4912" s="317"/>
      <c r="V4912" s="317"/>
      <c r="W4912" s="317"/>
      <c r="X4912" s="317"/>
      <c r="Y4912" s="317"/>
      <c r="Z4912" s="317"/>
    </row>
    <row r="4913" spans="1:26" x14ac:dyDescent="0.25">
      <c r="A4913" s="314"/>
      <c r="B4913" s="18">
        <v>2023</v>
      </c>
      <c r="C4913" s="18" t="s">
        <v>710</v>
      </c>
      <c r="D4913" s="18" t="s">
        <v>1014</v>
      </c>
      <c r="E4913" s="18" t="s">
        <v>713</v>
      </c>
      <c r="F4913" s="18" t="s">
        <v>714</v>
      </c>
      <c r="G4913" s="18" t="s">
        <v>674</v>
      </c>
      <c r="H4913" s="18" t="s">
        <v>994</v>
      </c>
      <c r="I4913" s="315">
        <v>1.8073506176018451E-16</v>
      </c>
      <c r="J4913" s="315">
        <v>2.3542735093943608E-21</v>
      </c>
      <c r="K4913" s="316" t="str">
        <f t="shared" si="68"/>
        <v>Construction and Mining Equipment</v>
      </c>
      <c r="L4913" s="316" t="str">
        <f t="shared" si="69"/>
        <v>Diesel</v>
      </c>
      <c r="M4913" s="194"/>
      <c r="N4913" s="317"/>
      <c r="O4913" s="317"/>
      <c r="P4913" s="317"/>
      <c r="Q4913" s="317"/>
      <c r="R4913" s="317"/>
      <c r="S4913" s="317"/>
      <c r="T4913" s="317"/>
      <c r="U4913" s="317"/>
      <c r="V4913" s="317"/>
      <c r="W4913" s="317"/>
      <c r="X4913" s="317"/>
      <c r="Y4913" s="317"/>
      <c r="Z4913" s="317"/>
    </row>
    <row r="4914" spans="1:26" x14ac:dyDescent="0.25">
      <c r="A4914" s="314"/>
      <c r="B4914" s="18">
        <v>2023</v>
      </c>
      <c r="C4914" s="18" t="s">
        <v>781</v>
      </c>
      <c r="D4914" s="18" t="s">
        <v>1065</v>
      </c>
      <c r="E4914" s="18" t="s">
        <v>703</v>
      </c>
      <c r="F4914" s="18" t="s">
        <v>795</v>
      </c>
      <c r="G4914" s="18" t="s">
        <v>673</v>
      </c>
      <c r="H4914" s="18" t="s">
        <v>1066</v>
      </c>
      <c r="I4914" s="315">
        <v>1.5026222854489525E-16</v>
      </c>
      <c r="J4914" s="315">
        <v>1.0263587282674522E-18</v>
      </c>
      <c r="K4914" s="316" t="str">
        <f t="shared" si="68"/>
        <v>Lawn and Garden Equipment</v>
      </c>
      <c r="L4914" s="316" t="str">
        <f t="shared" si="69"/>
        <v>Gasoline</v>
      </c>
      <c r="M4914" s="194"/>
      <c r="N4914" s="317"/>
      <c r="O4914" s="317"/>
      <c r="P4914" s="317"/>
      <c r="Q4914" s="317"/>
      <c r="R4914" s="317"/>
      <c r="S4914" s="317"/>
      <c r="T4914" s="317"/>
      <c r="U4914" s="317"/>
      <c r="V4914" s="317"/>
      <c r="W4914" s="317"/>
      <c r="X4914" s="317"/>
      <c r="Y4914" s="317"/>
      <c r="Z4914" s="317"/>
    </row>
    <row r="4915" spans="1:26" x14ac:dyDescent="0.25">
      <c r="A4915" s="314"/>
      <c r="B4915" s="18">
        <v>2023</v>
      </c>
      <c r="C4915" s="18" t="s">
        <v>731</v>
      </c>
      <c r="D4915" s="18" t="s">
        <v>1065</v>
      </c>
      <c r="E4915" s="18" t="s">
        <v>703</v>
      </c>
      <c r="F4915" s="18" t="s">
        <v>795</v>
      </c>
      <c r="G4915" s="18" t="s">
        <v>673</v>
      </c>
      <c r="H4915" s="18" t="s">
        <v>1066</v>
      </c>
      <c r="I4915" s="315">
        <v>1.5026222854489525E-16</v>
      </c>
      <c r="J4915" s="315">
        <v>1.0263587282674522E-18</v>
      </c>
      <c r="K4915" s="316" t="str">
        <f t="shared" si="68"/>
        <v>Lawn and Garden Equipment</v>
      </c>
      <c r="L4915" s="316" t="str">
        <f t="shared" si="69"/>
        <v>Gasoline</v>
      </c>
      <c r="M4915" s="194"/>
      <c r="N4915" s="317"/>
      <c r="O4915" s="317"/>
      <c r="P4915" s="317"/>
      <c r="Q4915" s="317"/>
      <c r="R4915" s="317"/>
      <c r="S4915" s="317"/>
      <c r="T4915" s="317"/>
      <c r="U4915" s="317"/>
      <c r="V4915" s="317"/>
      <c r="W4915" s="317"/>
      <c r="X4915" s="317"/>
      <c r="Y4915" s="317"/>
      <c r="Z4915" s="317"/>
    </row>
    <row r="4916" spans="1:26" x14ac:dyDescent="0.25">
      <c r="A4916" s="314"/>
      <c r="B4916" s="18">
        <v>2023</v>
      </c>
      <c r="C4916" s="18" t="s">
        <v>762</v>
      </c>
      <c r="D4916" s="18" t="s">
        <v>1065</v>
      </c>
      <c r="E4916" s="18" t="s">
        <v>703</v>
      </c>
      <c r="F4916" s="18" t="s">
        <v>795</v>
      </c>
      <c r="G4916" s="18" t="s">
        <v>673</v>
      </c>
      <c r="H4916" s="18" t="s">
        <v>1066</v>
      </c>
      <c r="I4916" s="315">
        <v>1.5026222854489525E-16</v>
      </c>
      <c r="J4916" s="315">
        <v>1.0263587282674522E-18</v>
      </c>
      <c r="K4916" s="316" t="str">
        <f t="shared" si="68"/>
        <v>Lawn and Garden Equipment</v>
      </c>
      <c r="L4916" s="316" t="str">
        <f t="shared" si="69"/>
        <v>Gasoline</v>
      </c>
      <c r="M4916" s="194"/>
      <c r="N4916" s="317"/>
      <c r="O4916" s="317"/>
      <c r="P4916" s="317"/>
      <c r="Q4916" s="317"/>
      <c r="R4916" s="317"/>
      <c r="S4916" s="317"/>
      <c r="T4916" s="317"/>
      <c r="U4916" s="317"/>
      <c r="V4916" s="317"/>
      <c r="W4916" s="317"/>
      <c r="X4916" s="317"/>
      <c r="Y4916" s="317"/>
      <c r="Z4916" s="317"/>
    </row>
    <row r="4917" spans="1:26" x14ac:dyDescent="0.25">
      <c r="A4917" s="314"/>
      <c r="B4917" s="18">
        <v>2023</v>
      </c>
      <c r="C4917" s="18" t="s">
        <v>759</v>
      </c>
      <c r="D4917" s="18" t="s">
        <v>1065</v>
      </c>
      <c r="E4917" s="18" t="s">
        <v>703</v>
      </c>
      <c r="F4917" s="18" t="s">
        <v>795</v>
      </c>
      <c r="G4917" s="18" t="s">
        <v>673</v>
      </c>
      <c r="H4917" s="18" t="s">
        <v>1066</v>
      </c>
      <c r="I4917" s="315">
        <v>1.5026222854489525E-16</v>
      </c>
      <c r="J4917" s="315">
        <v>1.0263587282674522E-18</v>
      </c>
      <c r="K4917" s="316" t="str">
        <f t="shared" si="68"/>
        <v>Lawn and Garden Equipment</v>
      </c>
      <c r="L4917" s="316" t="str">
        <f t="shared" si="69"/>
        <v>Gasoline</v>
      </c>
      <c r="M4917" s="194"/>
      <c r="N4917" s="317"/>
      <c r="O4917" s="317"/>
      <c r="P4917" s="317"/>
      <c r="Q4917" s="317"/>
      <c r="R4917" s="317"/>
      <c r="S4917" s="317"/>
      <c r="T4917" s="317"/>
      <c r="U4917" s="317"/>
      <c r="V4917" s="317"/>
      <c r="W4917" s="317"/>
      <c r="X4917" s="317"/>
      <c r="Y4917" s="317"/>
      <c r="Z4917" s="317"/>
    </row>
    <row r="4918" spans="1:26" x14ac:dyDescent="0.25">
      <c r="A4918" s="314"/>
      <c r="B4918" s="18">
        <v>2023</v>
      </c>
      <c r="C4918" s="18" t="s">
        <v>753</v>
      </c>
      <c r="D4918" s="18" t="s">
        <v>1065</v>
      </c>
      <c r="E4918" s="18" t="s">
        <v>703</v>
      </c>
      <c r="F4918" s="18" t="s">
        <v>795</v>
      </c>
      <c r="G4918" s="18" t="s">
        <v>673</v>
      </c>
      <c r="H4918" s="18" t="s">
        <v>1066</v>
      </c>
      <c r="I4918" s="315">
        <v>1.5026222854489525E-16</v>
      </c>
      <c r="J4918" s="315">
        <v>1.0263587282674522E-18</v>
      </c>
      <c r="K4918" s="316" t="str">
        <f t="shared" si="68"/>
        <v>Lawn and Garden Equipment</v>
      </c>
      <c r="L4918" s="316" t="str">
        <f t="shared" si="69"/>
        <v>Gasoline</v>
      </c>
      <c r="M4918" s="194"/>
      <c r="N4918" s="317"/>
      <c r="O4918" s="317"/>
      <c r="P4918" s="317"/>
      <c r="Q4918" s="317"/>
      <c r="R4918" s="317"/>
      <c r="S4918" s="317"/>
      <c r="T4918" s="317"/>
      <c r="U4918" s="317"/>
      <c r="V4918" s="317"/>
      <c r="W4918" s="317"/>
      <c r="X4918" s="317"/>
      <c r="Y4918" s="317"/>
      <c r="Z4918" s="317"/>
    </row>
    <row r="4919" spans="1:26" x14ac:dyDescent="0.25">
      <c r="A4919" s="314"/>
      <c r="B4919" s="18">
        <v>2023</v>
      </c>
      <c r="C4919" s="18" t="s">
        <v>773</v>
      </c>
      <c r="D4919" s="18" t="s">
        <v>1065</v>
      </c>
      <c r="E4919" s="18" t="s">
        <v>703</v>
      </c>
      <c r="F4919" s="18" t="s">
        <v>795</v>
      </c>
      <c r="G4919" s="18" t="s">
        <v>673</v>
      </c>
      <c r="H4919" s="18" t="s">
        <v>1066</v>
      </c>
      <c r="I4919" s="315">
        <v>1.5026222854489525E-16</v>
      </c>
      <c r="J4919" s="315">
        <v>1.0263587282674522E-18</v>
      </c>
      <c r="K4919" s="316" t="str">
        <f t="shared" si="68"/>
        <v>Lawn and Garden Equipment</v>
      </c>
      <c r="L4919" s="316" t="str">
        <f t="shared" si="69"/>
        <v>Gasoline</v>
      </c>
      <c r="M4919" s="194"/>
      <c r="N4919" s="317"/>
      <c r="O4919" s="317"/>
      <c r="P4919" s="317"/>
      <c r="Q4919" s="317"/>
      <c r="R4919" s="317"/>
      <c r="S4919" s="317"/>
      <c r="T4919" s="317"/>
      <c r="U4919" s="317"/>
      <c r="V4919" s="317"/>
      <c r="W4919" s="317"/>
      <c r="X4919" s="317"/>
      <c r="Y4919" s="317"/>
      <c r="Z4919" s="317"/>
    </row>
    <row r="4920" spans="1:26" x14ac:dyDescent="0.25">
      <c r="A4920" s="314"/>
      <c r="B4920" s="18">
        <v>2023</v>
      </c>
      <c r="C4920" s="18" t="s">
        <v>727</v>
      </c>
      <c r="D4920" s="18" t="s">
        <v>1065</v>
      </c>
      <c r="E4920" s="18" t="s">
        <v>703</v>
      </c>
      <c r="F4920" s="18" t="s">
        <v>795</v>
      </c>
      <c r="G4920" s="18" t="s">
        <v>673</v>
      </c>
      <c r="H4920" s="18" t="s">
        <v>1066</v>
      </c>
      <c r="I4920" s="315">
        <v>1.5026222854489525E-16</v>
      </c>
      <c r="J4920" s="315">
        <v>1.0263587282674522E-18</v>
      </c>
      <c r="K4920" s="316" t="str">
        <f t="shared" si="68"/>
        <v>Lawn and Garden Equipment</v>
      </c>
      <c r="L4920" s="316" t="str">
        <f t="shared" si="69"/>
        <v>Gasoline</v>
      </c>
      <c r="M4920" s="194"/>
      <c r="N4920" s="317"/>
      <c r="O4920" s="317"/>
      <c r="P4920" s="317"/>
      <c r="Q4920" s="317"/>
      <c r="R4920" s="317"/>
      <c r="S4920" s="317"/>
      <c r="T4920" s="317"/>
      <c r="U4920" s="317"/>
      <c r="V4920" s="317"/>
      <c r="W4920" s="317"/>
      <c r="X4920" s="317"/>
      <c r="Y4920" s="317"/>
      <c r="Z4920" s="317"/>
    </row>
    <row r="4921" spans="1:26" x14ac:dyDescent="0.25">
      <c r="A4921" s="314"/>
      <c r="B4921" s="18">
        <v>2023</v>
      </c>
      <c r="C4921" s="18" t="s">
        <v>781</v>
      </c>
      <c r="D4921" s="18" t="s">
        <v>1009</v>
      </c>
      <c r="E4921" s="18" t="s">
        <v>713</v>
      </c>
      <c r="F4921" s="18" t="s">
        <v>714</v>
      </c>
      <c r="G4921" s="18" t="s">
        <v>673</v>
      </c>
      <c r="H4921" s="18" t="s">
        <v>1010</v>
      </c>
      <c r="I4921" s="315">
        <v>1.4753173309865151E-16</v>
      </c>
      <c r="J4921" s="315">
        <v>2.1530003901083262E-21</v>
      </c>
      <c r="K4921" s="316" t="str">
        <f t="shared" si="68"/>
        <v>Lawn and Garden Equipment</v>
      </c>
      <c r="L4921" s="316" t="str">
        <f t="shared" si="69"/>
        <v>Diesel</v>
      </c>
      <c r="M4921" s="194"/>
      <c r="N4921" s="317"/>
      <c r="O4921" s="317"/>
      <c r="P4921" s="317"/>
      <c r="Q4921" s="317"/>
      <c r="R4921" s="317"/>
      <c r="S4921" s="317"/>
      <c r="T4921" s="317"/>
      <c r="U4921" s="317"/>
      <c r="V4921" s="317"/>
      <c r="W4921" s="317"/>
      <c r="X4921" s="317"/>
      <c r="Y4921" s="317"/>
      <c r="Z4921" s="317"/>
    </row>
    <row r="4922" spans="1:26" x14ac:dyDescent="0.25">
      <c r="A4922" s="314"/>
      <c r="B4922" s="18">
        <v>2023</v>
      </c>
      <c r="C4922" s="18" t="s">
        <v>731</v>
      </c>
      <c r="D4922" s="18" t="s">
        <v>1009</v>
      </c>
      <c r="E4922" s="18" t="s">
        <v>713</v>
      </c>
      <c r="F4922" s="18" t="s">
        <v>714</v>
      </c>
      <c r="G4922" s="18" t="s">
        <v>673</v>
      </c>
      <c r="H4922" s="18" t="s">
        <v>1010</v>
      </c>
      <c r="I4922" s="315">
        <v>1.4753173309865151E-16</v>
      </c>
      <c r="J4922" s="315">
        <v>2.1530003901083262E-21</v>
      </c>
      <c r="K4922" s="316" t="str">
        <f t="shared" si="68"/>
        <v>Lawn and Garden Equipment</v>
      </c>
      <c r="L4922" s="316" t="str">
        <f t="shared" si="69"/>
        <v>Diesel</v>
      </c>
      <c r="M4922" s="194"/>
      <c r="N4922" s="317"/>
      <c r="O4922" s="317"/>
      <c r="P4922" s="317"/>
      <c r="Q4922" s="317"/>
      <c r="R4922" s="317"/>
      <c r="S4922" s="317"/>
      <c r="T4922" s="317"/>
      <c r="U4922" s="317"/>
      <c r="V4922" s="317"/>
      <c r="W4922" s="317"/>
      <c r="X4922" s="317"/>
      <c r="Y4922" s="317"/>
      <c r="Z4922" s="317"/>
    </row>
    <row r="4923" spans="1:26" x14ac:dyDescent="0.25">
      <c r="A4923" s="314"/>
      <c r="B4923" s="18">
        <v>2023</v>
      </c>
      <c r="C4923" s="18" t="s">
        <v>762</v>
      </c>
      <c r="D4923" s="18" t="s">
        <v>1009</v>
      </c>
      <c r="E4923" s="18" t="s">
        <v>713</v>
      </c>
      <c r="F4923" s="18" t="s">
        <v>714</v>
      </c>
      <c r="G4923" s="18" t="s">
        <v>673</v>
      </c>
      <c r="H4923" s="18" t="s">
        <v>1010</v>
      </c>
      <c r="I4923" s="315">
        <v>1.4753173309865151E-16</v>
      </c>
      <c r="J4923" s="315">
        <v>2.1530003901083262E-21</v>
      </c>
      <c r="K4923" s="316" t="str">
        <f t="shared" si="68"/>
        <v>Lawn and Garden Equipment</v>
      </c>
      <c r="L4923" s="316" t="str">
        <f t="shared" si="69"/>
        <v>Diesel</v>
      </c>
      <c r="M4923" s="194"/>
      <c r="N4923" s="317"/>
      <c r="O4923" s="317"/>
      <c r="P4923" s="317"/>
      <c r="Q4923" s="317"/>
      <c r="R4923" s="317"/>
      <c r="S4923" s="317"/>
      <c r="T4923" s="317"/>
      <c r="U4923" s="317"/>
      <c r="V4923" s="317"/>
      <c r="W4923" s="317"/>
      <c r="X4923" s="317"/>
      <c r="Y4923" s="317"/>
      <c r="Z4923" s="317"/>
    </row>
    <row r="4924" spans="1:26" x14ac:dyDescent="0.25">
      <c r="A4924" s="314"/>
      <c r="B4924" s="18">
        <v>2023</v>
      </c>
      <c r="C4924" s="18" t="s">
        <v>759</v>
      </c>
      <c r="D4924" s="18" t="s">
        <v>1009</v>
      </c>
      <c r="E4924" s="18" t="s">
        <v>713</v>
      </c>
      <c r="F4924" s="18" t="s">
        <v>714</v>
      </c>
      <c r="G4924" s="18" t="s">
        <v>673</v>
      </c>
      <c r="H4924" s="18" t="s">
        <v>1010</v>
      </c>
      <c r="I4924" s="315">
        <v>1.4753173309865151E-16</v>
      </c>
      <c r="J4924" s="315">
        <v>2.1530003901083262E-21</v>
      </c>
      <c r="K4924" s="316" t="str">
        <f t="shared" si="68"/>
        <v>Lawn and Garden Equipment</v>
      </c>
      <c r="L4924" s="316" t="str">
        <f t="shared" si="69"/>
        <v>Diesel</v>
      </c>
      <c r="M4924" s="194"/>
      <c r="N4924" s="317"/>
      <c r="O4924" s="317"/>
      <c r="P4924" s="317"/>
      <c r="Q4924" s="317"/>
      <c r="R4924" s="317"/>
      <c r="S4924" s="317"/>
      <c r="T4924" s="317"/>
      <c r="U4924" s="317"/>
      <c r="V4924" s="317"/>
      <c r="W4924" s="317"/>
      <c r="X4924" s="317"/>
      <c r="Y4924" s="317"/>
      <c r="Z4924" s="317"/>
    </row>
    <row r="4925" spans="1:26" x14ac:dyDescent="0.25">
      <c r="A4925" s="314"/>
      <c r="B4925" s="18">
        <v>2023</v>
      </c>
      <c r="C4925" s="18" t="s">
        <v>753</v>
      </c>
      <c r="D4925" s="18" t="s">
        <v>1009</v>
      </c>
      <c r="E4925" s="18" t="s">
        <v>713</v>
      </c>
      <c r="F4925" s="18" t="s">
        <v>714</v>
      </c>
      <c r="G4925" s="18" t="s">
        <v>673</v>
      </c>
      <c r="H4925" s="18" t="s">
        <v>1010</v>
      </c>
      <c r="I4925" s="315">
        <v>1.4753173309865151E-16</v>
      </c>
      <c r="J4925" s="315">
        <v>2.1530003901083262E-21</v>
      </c>
      <c r="K4925" s="316" t="str">
        <f t="shared" si="68"/>
        <v>Lawn and Garden Equipment</v>
      </c>
      <c r="L4925" s="316" t="str">
        <f t="shared" si="69"/>
        <v>Diesel</v>
      </c>
      <c r="M4925" s="194"/>
      <c r="N4925" s="317"/>
      <c r="O4925" s="317"/>
      <c r="P4925" s="317"/>
      <c r="Q4925" s="317"/>
      <c r="R4925" s="317"/>
      <c r="S4925" s="317"/>
      <c r="T4925" s="317"/>
      <c r="U4925" s="317"/>
      <c r="V4925" s="317"/>
      <c r="W4925" s="317"/>
      <c r="X4925" s="317"/>
      <c r="Y4925" s="317"/>
      <c r="Z4925" s="317"/>
    </row>
    <row r="4926" spans="1:26" x14ac:dyDescent="0.25">
      <c r="A4926" s="314"/>
      <c r="B4926" s="18">
        <v>2023</v>
      </c>
      <c r="C4926" s="18" t="s">
        <v>773</v>
      </c>
      <c r="D4926" s="18" t="s">
        <v>1009</v>
      </c>
      <c r="E4926" s="18" t="s">
        <v>713</v>
      </c>
      <c r="F4926" s="18" t="s">
        <v>714</v>
      </c>
      <c r="G4926" s="18" t="s">
        <v>673</v>
      </c>
      <c r="H4926" s="18" t="s">
        <v>1010</v>
      </c>
      <c r="I4926" s="315">
        <v>1.4753173309865151E-16</v>
      </c>
      <c r="J4926" s="315">
        <v>2.1530003901083262E-21</v>
      </c>
      <c r="K4926" s="316" t="str">
        <f t="shared" si="68"/>
        <v>Lawn and Garden Equipment</v>
      </c>
      <c r="L4926" s="316" t="str">
        <f t="shared" si="69"/>
        <v>Diesel</v>
      </c>
      <c r="M4926" s="194"/>
      <c r="N4926" s="317"/>
      <c r="O4926" s="317"/>
      <c r="P4926" s="317"/>
      <c r="Q4926" s="317"/>
      <c r="R4926" s="317"/>
      <c r="S4926" s="317"/>
      <c r="T4926" s="317"/>
      <c r="U4926" s="317"/>
      <c r="V4926" s="317"/>
      <c r="W4926" s="317"/>
      <c r="X4926" s="317"/>
      <c r="Y4926" s="317"/>
      <c r="Z4926" s="317"/>
    </row>
    <row r="4927" spans="1:26" x14ac:dyDescent="0.25">
      <c r="A4927" s="314"/>
      <c r="B4927" s="18">
        <v>2023</v>
      </c>
      <c r="C4927" s="18" t="s">
        <v>727</v>
      </c>
      <c r="D4927" s="18" t="s">
        <v>1009</v>
      </c>
      <c r="E4927" s="18" t="s">
        <v>713</v>
      </c>
      <c r="F4927" s="18" t="s">
        <v>714</v>
      </c>
      <c r="G4927" s="18" t="s">
        <v>673</v>
      </c>
      <c r="H4927" s="18" t="s">
        <v>1010</v>
      </c>
      <c r="I4927" s="315">
        <v>1.4753173309865151E-16</v>
      </c>
      <c r="J4927" s="315">
        <v>2.1530003901083262E-21</v>
      </c>
      <c r="K4927" s="316" t="str">
        <f t="shared" si="68"/>
        <v>Lawn and Garden Equipment</v>
      </c>
      <c r="L4927" s="316" t="str">
        <f t="shared" si="69"/>
        <v>Diesel</v>
      </c>
      <c r="M4927" s="194"/>
      <c r="N4927" s="317"/>
      <c r="O4927" s="317"/>
      <c r="P4927" s="317"/>
      <c r="Q4927" s="317"/>
      <c r="R4927" s="317"/>
      <c r="S4927" s="317"/>
      <c r="T4927" s="317"/>
      <c r="U4927" s="317"/>
      <c r="V4927" s="317"/>
      <c r="W4927" s="317"/>
      <c r="X4927" s="317"/>
      <c r="Y4927" s="317"/>
      <c r="Z4927" s="317"/>
    </row>
    <row r="4928" spans="1:26" x14ac:dyDescent="0.25">
      <c r="A4928" s="314"/>
      <c r="B4928" s="18">
        <v>2023</v>
      </c>
      <c r="C4928" s="18" t="s">
        <v>710</v>
      </c>
      <c r="D4928" s="18" t="s">
        <v>1023</v>
      </c>
      <c r="E4928" s="18" t="s">
        <v>703</v>
      </c>
      <c r="F4928" s="18" t="s">
        <v>704</v>
      </c>
      <c r="G4928" s="18" t="s">
        <v>674</v>
      </c>
      <c r="H4928" s="18" t="s">
        <v>736</v>
      </c>
      <c r="I4928" s="315">
        <v>1.4587043425385617E-16</v>
      </c>
      <c r="J4928" s="315">
        <v>9.7145702291413431E-20</v>
      </c>
      <c r="K4928" s="316" t="str">
        <f t="shared" si="68"/>
        <v>Construction and Mining Equipment</v>
      </c>
      <c r="L4928" s="316" t="str">
        <f t="shared" si="69"/>
        <v>Gasoline</v>
      </c>
      <c r="M4928" s="194"/>
      <c r="N4928" s="317"/>
      <c r="O4928" s="317"/>
      <c r="P4928" s="317"/>
      <c r="Q4928" s="317"/>
      <c r="R4928" s="317"/>
      <c r="S4928" s="317"/>
      <c r="T4928" s="317"/>
      <c r="U4928" s="317"/>
      <c r="V4928" s="317"/>
      <c r="W4928" s="317"/>
      <c r="X4928" s="317"/>
      <c r="Y4928" s="317"/>
      <c r="Z4928" s="317"/>
    </row>
    <row r="4929" spans="1:26" x14ac:dyDescent="0.25">
      <c r="A4929" s="314"/>
      <c r="B4929" s="18">
        <v>2023</v>
      </c>
      <c r="C4929" s="18" t="s">
        <v>710</v>
      </c>
      <c r="D4929" s="18" t="s">
        <v>1153</v>
      </c>
      <c r="E4929" s="18" t="s">
        <v>713</v>
      </c>
      <c r="F4929" s="18" t="s">
        <v>714</v>
      </c>
      <c r="G4929" s="18" t="s">
        <v>678</v>
      </c>
      <c r="H4929" s="18" t="s">
        <v>1154</v>
      </c>
      <c r="I4929" s="315">
        <v>1.380108413981694E-16</v>
      </c>
      <c r="J4929" s="315">
        <v>1.8013041040406253E-21</v>
      </c>
      <c r="K4929" s="316" t="str">
        <f t="shared" si="68"/>
        <v>Agricultural Equipment</v>
      </c>
      <c r="L4929" s="316" t="str">
        <f t="shared" si="69"/>
        <v>Diesel</v>
      </c>
      <c r="M4929" s="194"/>
      <c r="N4929" s="317"/>
      <c r="O4929" s="317"/>
      <c r="P4929" s="317"/>
      <c r="Q4929" s="317"/>
      <c r="R4929" s="317"/>
      <c r="S4929" s="317"/>
      <c r="T4929" s="317"/>
      <c r="U4929" s="317"/>
      <c r="V4929" s="317"/>
      <c r="W4929" s="317"/>
      <c r="X4929" s="317"/>
      <c r="Y4929" s="317"/>
      <c r="Z4929" s="317"/>
    </row>
    <row r="4930" spans="1:26" x14ac:dyDescent="0.25">
      <c r="A4930" s="314"/>
      <c r="B4930" s="18">
        <v>2023</v>
      </c>
      <c r="C4930" s="18" t="s">
        <v>710</v>
      </c>
      <c r="D4930" s="18" t="s">
        <v>1035</v>
      </c>
      <c r="E4930" s="18" t="s">
        <v>703</v>
      </c>
      <c r="F4930" s="18" t="s">
        <v>704</v>
      </c>
      <c r="G4930" s="18" t="s">
        <v>674</v>
      </c>
      <c r="H4930" s="18" t="s">
        <v>1036</v>
      </c>
      <c r="I4930" s="315">
        <v>1.2879050068662567E-16</v>
      </c>
      <c r="J4930" s="315">
        <v>9.1036931226170995E-20</v>
      </c>
      <c r="K4930" s="316" t="str">
        <f t="shared" si="68"/>
        <v>Construction and Mining Equipment</v>
      </c>
      <c r="L4930" s="316" t="str">
        <f t="shared" si="69"/>
        <v>Gasoline</v>
      </c>
      <c r="M4930" s="194"/>
      <c r="N4930" s="317"/>
      <c r="O4930" s="317"/>
      <c r="P4930" s="317"/>
      <c r="Q4930" s="317"/>
      <c r="R4930" s="317"/>
      <c r="S4930" s="317"/>
      <c r="T4930" s="317"/>
      <c r="U4930" s="317"/>
      <c r="V4930" s="317"/>
      <c r="W4930" s="317"/>
      <c r="X4930" s="317"/>
      <c r="Y4930" s="317"/>
      <c r="Z4930" s="317"/>
    </row>
    <row r="4931" spans="1:26" x14ac:dyDescent="0.25">
      <c r="A4931" s="314"/>
      <c r="B4931" s="18">
        <v>2023</v>
      </c>
      <c r="C4931" s="18" t="s">
        <v>710</v>
      </c>
      <c r="D4931" s="18" t="s">
        <v>1051</v>
      </c>
      <c r="E4931" s="18" t="s">
        <v>703</v>
      </c>
      <c r="F4931" s="18" t="s">
        <v>704</v>
      </c>
      <c r="G4931" s="18" t="s">
        <v>674</v>
      </c>
      <c r="H4931" s="18" t="s">
        <v>783</v>
      </c>
      <c r="I4931" s="315">
        <v>1.2123748579222891E-16</v>
      </c>
      <c r="J4931" s="315">
        <v>7.3911156952040325E-20</v>
      </c>
      <c r="K4931" s="316" t="str">
        <f t="shared" si="68"/>
        <v>Construction and Mining Equipment</v>
      </c>
      <c r="L4931" s="316" t="str">
        <f t="shared" si="69"/>
        <v>Gasoline</v>
      </c>
      <c r="M4931" s="194"/>
      <c r="N4931" s="317"/>
      <c r="O4931" s="317"/>
      <c r="P4931" s="317"/>
      <c r="Q4931" s="317"/>
      <c r="R4931" s="317"/>
      <c r="S4931" s="317"/>
      <c r="T4931" s="317"/>
      <c r="U4931" s="317"/>
      <c r="V4931" s="317"/>
      <c r="W4931" s="317"/>
      <c r="X4931" s="317"/>
      <c r="Y4931" s="317"/>
      <c r="Z4931" s="317"/>
    </row>
    <row r="4932" spans="1:26" x14ac:dyDescent="0.25">
      <c r="A4932" s="314"/>
      <c r="B4932" s="18">
        <v>2023</v>
      </c>
      <c r="C4932" s="18" t="s">
        <v>710</v>
      </c>
      <c r="D4932" s="18" t="s">
        <v>1071</v>
      </c>
      <c r="E4932" s="18" t="s">
        <v>713</v>
      </c>
      <c r="F4932" s="18" t="s">
        <v>714</v>
      </c>
      <c r="G4932" s="18" t="s">
        <v>674</v>
      </c>
      <c r="H4932" s="18" t="s">
        <v>1072</v>
      </c>
      <c r="I4932" s="315">
        <v>1.1079278889868755E-16</v>
      </c>
      <c r="J4932" s="315">
        <v>1.4834435296523213E-21</v>
      </c>
      <c r="K4932" s="316" t="str">
        <f t="shared" si="68"/>
        <v>Construction and Mining Equipment</v>
      </c>
      <c r="L4932" s="316" t="str">
        <f t="shared" si="69"/>
        <v>Diesel</v>
      </c>
      <c r="M4932" s="194"/>
      <c r="N4932" s="317"/>
      <c r="O4932" s="317"/>
      <c r="P4932" s="317"/>
      <c r="Q4932" s="317"/>
      <c r="R4932" s="317"/>
      <c r="S4932" s="317"/>
      <c r="T4932" s="317"/>
      <c r="U4932" s="317"/>
      <c r="V4932" s="317"/>
      <c r="W4932" s="317"/>
      <c r="X4932" s="317"/>
      <c r="Y4932" s="317"/>
      <c r="Z4932" s="317"/>
    </row>
    <row r="4933" spans="1:26" x14ac:dyDescent="0.25">
      <c r="A4933" s="314"/>
      <c r="B4933" s="18">
        <v>2023</v>
      </c>
      <c r="C4933" s="18" t="s">
        <v>710</v>
      </c>
      <c r="D4933" s="18" t="s">
        <v>1073</v>
      </c>
      <c r="E4933" s="18" t="s">
        <v>703</v>
      </c>
      <c r="F4933" s="18" t="s">
        <v>704</v>
      </c>
      <c r="G4933" s="18" t="s">
        <v>674</v>
      </c>
      <c r="H4933" s="18" t="s">
        <v>1072</v>
      </c>
      <c r="I4933" s="315">
        <v>1.0187092878060144E-16</v>
      </c>
      <c r="J4933" s="315">
        <v>7.181602444495144E-20</v>
      </c>
      <c r="K4933" s="316" t="str">
        <f t="shared" si="68"/>
        <v>Construction and Mining Equipment</v>
      </c>
      <c r="L4933" s="316" t="str">
        <f t="shared" si="69"/>
        <v>Gasoline</v>
      </c>
      <c r="M4933" s="194"/>
      <c r="N4933" s="317"/>
      <c r="O4933" s="317"/>
      <c r="P4933" s="317"/>
      <c r="Q4933" s="317"/>
      <c r="R4933" s="317"/>
      <c r="S4933" s="317"/>
      <c r="T4933" s="317"/>
      <c r="U4933" s="317"/>
      <c r="V4933" s="317"/>
      <c r="W4933" s="317"/>
      <c r="X4933" s="317"/>
      <c r="Y4933" s="317"/>
      <c r="Z4933" s="317"/>
    </row>
    <row r="4934" spans="1:26" x14ac:dyDescent="0.25">
      <c r="A4934" s="314"/>
      <c r="B4934" s="18">
        <v>2023</v>
      </c>
      <c r="C4934" s="18" t="s">
        <v>710</v>
      </c>
      <c r="D4934" s="18" t="s">
        <v>1074</v>
      </c>
      <c r="E4934" s="18" t="s">
        <v>713</v>
      </c>
      <c r="F4934" s="18" t="s">
        <v>714</v>
      </c>
      <c r="G4934" s="18" t="s">
        <v>674</v>
      </c>
      <c r="H4934" s="18" t="s">
        <v>967</v>
      </c>
      <c r="I4934" s="315">
        <v>1.0156673242620635E-16</v>
      </c>
      <c r="J4934" s="315">
        <v>1.7453740355550131E-21</v>
      </c>
      <c r="K4934" s="316" t="str">
        <f t="shared" si="68"/>
        <v>Construction and Mining Equipment</v>
      </c>
      <c r="L4934" s="316" t="str">
        <f t="shared" si="69"/>
        <v>Diesel</v>
      </c>
      <c r="M4934" s="194"/>
      <c r="N4934" s="317"/>
      <c r="O4934" s="317"/>
      <c r="P4934" s="317"/>
      <c r="Q4934" s="317"/>
      <c r="R4934" s="317"/>
      <c r="S4934" s="317"/>
      <c r="T4934" s="317"/>
      <c r="U4934" s="317"/>
      <c r="V4934" s="317"/>
      <c r="W4934" s="317"/>
      <c r="X4934" s="317"/>
      <c r="Y4934" s="317"/>
      <c r="Z4934" s="317"/>
    </row>
    <row r="4935" spans="1:26" x14ac:dyDescent="0.25">
      <c r="A4935" s="314"/>
      <c r="B4935" s="18">
        <v>2023</v>
      </c>
      <c r="C4935" s="18" t="s">
        <v>710</v>
      </c>
      <c r="D4935" s="18" t="s">
        <v>1076</v>
      </c>
      <c r="E4935" s="18" t="s">
        <v>703</v>
      </c>
      <c r="F4935" s="18" t="s">
        <v>704</v>
      </c>
      <c r="G4935" s="18" t="s">
        <v>674</v>
      </c>
      <c r="H4935" s="18" t="s">
        <v>756</v>
      </c>
      <c r="I4935" s="315">
        <v>9.8213811657086852E-17</v>
      </c>
      <c r="J4935" s="315">
        <v>4.3129974293243644E-20</v>
      </c>
      <c r="K4935" s="316" t="str">
        <f t="shared" si="68"/>
        <v>Construction and Mining Equipment</v>
      </c>
      <c r="L4935" s="316" t="str">
        <f t="shared" si="69"/>
        <v>Gasoline</v>
      </c>
      <c r="M4935" s="194"/>
      <c r="N4935" s="317"/>
      <c r="O4935" s="317"/>
      <c r="P4935" s="317"/>
      <c r="Q4935" s="317"/>
      <c r="R4935" s="317"/>
      <c r="S4935" s="317"/>
      <c r="T4935" s="317"/>
      <c r="U4935" s="317"/>
      <c r="V4935" s="317"/>
      <c r="W4935" s="317"/>
      <c r="X4935" s="317"/>
      <c r="Y4935" s="317"/>
      <c r="Z4935" s="317"/>
    </row>
    <row r="4936" spans="1:26" x14ac:dyDescent="0.25">
      <c r="A4936" s="314"/>
      <c r="B4936" s="18">
        <v>2023</v>
      </c>
      <c r="C4936" s="18" t="s">
        <v>792</v>
      </c>
      <c r="D4936" s="18" t="s">
        <v>975</v>
      </c>
      <c r="E4936" s="18" t="s">
        <v>703</v>
      </c>
      <c r="F4936" s="18" t="s">
        <v>795</v>
      </c>
      <c r="G4936" s="18" t="s">
        <v>679</v>
      </c>
      <c r="H4936" s="18" t="s">
        <v>976</v>
      </c>
      <c r="I4936" s="315">
        <v>8.1781884387425041E-17</v>
      </c>
      <c r="J4936" s="315">
        <v>4.6846651278228277E-20</v>
      </c>
      <c r="K4936" s="316" t="str">
        <f t="shared" si="68"/>
        <v>Recreational Equipment</v>
      </c>
      <c r="L4936" s="316" t="str">
        <f t="shared" si="69"/>
        <v>Gasoline</v>
      </c>
      <c r="M4936" s="194"/>
      <c r="N4936" s="317"/>
      <c r="O4936" s="317"/>
      <c r="P4936" s="317"/>
      <c r="Q4936" s="317"/>
      <c r="R4936" s="317"/>
      <c r="S4936" s="317"/>
      <c r="T4936" s="317"/>
      <c r="U4936" s="317"/>
      <c r="V4936" s="317"/>
      <c r="W4936" s="317"/>
      <c r="X4936" s="317"/>
      <c r="Y4936" s="317"/>
      <c r="Z4936" s="317"/>
    </row>
    <row r="4937" spans="1:26" x14ac:dyDescent="0.25">
      <c r="A4937" s="314"/>
      <c r="B4937" s="18">
        <v>2023</v>
      </c>
      <c r="C4937" s="18" t="s">
        <v>711</v>
      </c>
      <c r="D4937" s="18" t="s">
        <v>975</v>
      </c>
      <c r="E4937" s="18" t="s">
        <v>703</v>
      </c>
      <c r="F4937" s="18" t="s">
        <v>795</v>
      </c>
      <c r="G4937" s="18" t="s">
        <v>679</v>
      </c>
      <c r="H4937" s="18" t="s">
        <v>976</v>
      </c>
      <c r="I4937" s="315">
        <v>8.1781884387425041E-17</v>
      </c>
      <c r="J4937" s="315">
        <v>4.6846651278228277E-20</v>
      </c>
      <c r="K4937" s="316" t="str">
        <f t="shared" si="68"/>
        <v>Recreational Equipment</v>
      </c>
      <c r="L4937" s="316" t="str">
        <f t="shared" si="69"/>
        <v>Gasoline</v>
      </c>
      <c r="M4937" s="194"/>
      <c r="N4937" s="317"/>
      <c r="O4937" s="317"/>
      <c r="P4937" s="317"/>
      <c r="Q4937" s="317"/>
      <c r="R4937" s="317"/>
      <c r="S4937" s="317"/>
      <c r="T4937" s="317"/>
      <c r="U4937" s="317"/>
      <c r="V4937" s="317"/>
      <c r="W4937" s="317"/>
      <c r="X4937" s="317"/>
      <c r="Y4937" s="317"/>
      <c r="Z4937" s="317"/>
    </row>
    <row r="4938" spans="1:26" x14ac:dyDescent="0.25">
      <c r="A4938" s="314"/>
      <c r="B4938" s="18">
        <v>2023</v>
      </c>
      <c r="C4938" s="18" t="s">
        <v>706</v>
      </c>
      <c r="D4938" s="18" t="s">
        <v>975</v>
      </c>
      <c r="E4938" s="18" t="s">
        <v>703</v>
      </c>
      <c r="F4938" s="18" t="s">
        <v>795</v>
      </c>
      <c r="G4938" s="18" t="s">
        <v>679</v>
      </c>
      <c r="H4938" s="18" t="s">
        <v>976</v>
      </c>
      <c r="I4938" s="315">
        <v>8.1781884387425041E-17</v>
      </c>
      <c r="J4938" s="315">
        <v>4.6846651278228277E-20</v>
      </c>
      <c r="K4938" s="316" t="str">
        <f t="shared" si="68"/>
        <v>Recreational Equipment</v>
      </c>
      <c r="L4938" s="316" t="str">
        <f t="shared" si="69"/>
        <v>Gasoline</v>
      </c>
      <c r="M4938" s="194"/>
      <c r="N4938" s="317"/>
      <c r="O4938" s="317"/>
      <c r="P4938" s="317"/>
      <c r="Q4938" s="317"/>
      <c r="R4938" s="317"/>
      <c r="S4938" s="317"/>
      <c r="T4938" s="317"/>
      <c r="U4938" s="317"/>
      <c r="V4938" s="317"/>
      <c r="W4938" s="317"/>
      <c r="X4938" s="317"/>
      <c r="Y4938" s="317"/>
      <c r="Z4938" s="317"/>
    </row>
    <row r="4939" spans="1:26" x14ac:dyDescent="0.25">
      <c r="A4939" s="314"/>
      <c r="B4939" s="18">
        <v>2023</v>
      </c>
      <c r="C4939" s="18" t="s">
        <v>793</v>
      </c>
      <c r="D4939" s="18" t="s">
        <v>975</v>
      </c>
      <c r="E4939" s="18" t="s">
        <v>703</v>
      </c>
      <c r="F4939" s="18" t="s">
        <v>795</v>
      </c>
      <c r="G4939" s="18" t="s">
        <v>679</v>
      </c>
      <c r="H4939" s="18" t="s">
        <v>976</v>
      </c>
      <c r="I4939" s="315">
        <v>8.1781884387425041E-17</v>
      </c>
      <c r="J4939" s="315">
        <v>4.6846651278228277E-20</v>
      </c>
      <c r="K4939" s="316" t="str">
        <f t="shared" si="68"/>
        <v>Recreational Equipment</v>
      </c>
      <c r="L4939" s="316" t="str">
        <f t="shared" si="69"/>
        <v>Gasoline</v>
      </c>
      <c r="M4939" s="194"/>
      <c r="N4939" s="317"/>
      <c r="O4939" s="317"/>
      <c r="P4939" s="317"/>
      <c r="Q4939" s="317"/>
      <c r="R4939" s="317"/>
      <c r="S4939" s="317"/>
      <c r="T4939" s="317"/>
      <c r="U4939" s="317"/>
      <c r="V4939" s="317"/>
      <c r="W4939" s="317"/>
      <c r="X4939" s="317"/>
      <c r="Y4939" s="317"/>
      <c r="Z4939" s="317"/>
    </row>
    <row r="4940" spans="1:26" x14ac:dyDescent="0.25">
      <c r="A4940" s="314"/>
      <c r="B4940" s="18">
        <v>2023</v>
      </c>
      <c r="C4940" s="18" t="s">
        <v>781</v>
      </c>
      <c r="D4940" s="18" t="s">
        <v>975</v>
      </c>
      <c r="E4940" s="18" t="s">
        <v>703</v>
      </c>
      <c r="F4940" s="18" t="s">
        <v>795</v>
      </c>
      <c r="G4940" s="18" t="s">
        <v>679</v>
      </c>
      <c r="H4940" s="18" t="s">
        <v>976</v>
      </c>
      <c r="I4940" s="315">
        <v>8.1781884387425041E-17</v>
      </c>
      <c r="J4940" s="315">
        <v>4.6846651278228277E-20</v>
      </c>
      <c r="K4940" s="316" t="str">
        <f t="shared" si="68"/>
        <v>Recreational Equipment</v>
      </c>
      <c r="L4940" s="316" t="str">
        <f t="shared" si="69"/>
        <v>Gasoline</v>
      </c>
      <c r="M4940" s="194"/>
      <c r="N4940" s="317"/>
      <c r="O4940" s="317"/>
      <c r="P4940" s="317"/>
      <c r="Q4940" s="317"/>
      <c r="R4940" s="317"/>
      <c r="S4940" s="317"/>
      <c r="T4940" s="317"/>
      <c r="U4940" s="317"/>
      <c r="V4940" s="317"/>
      <c r="W4940" s="317"/>
      <c r="X4940" s="317"/>
      <c r="Y4940" s="317"/>
      <c r="Z4940" s="317"/>
    </row>
    <row r="4941" spans="1:26" x14ac:dyDescent="0.25">
      <c r="A4941" s="314"/>
      <c r="B4941" s="18">
        <v>2023</v>
      </c>
      <c r="C4941" s="18" t="s">
        <v>754</v>
      </c>
      <c r="D4941" s="18" t="s">
        <v>975</v>
      </c>
      <c r="E4941" s="18" t="s">
        <v>703</v>
      </c>
      <c r="F4941" s="18" t="s">
        <v>795</v>
      </c>
      <c r="G4941" s="18" t="s">
        <v>679</v>
      </c>
      <c r="H4941" s="18" t="s">
        <v>976</v>
      </c>
      <c r="I4941" s="315">
        <v>8.1781884387425041E-17</v>
      </c>
      <c r="J4941" s="315">
        <v>4.6846651278228277E-20</v>
      </c>
      <c r="K4941" s="316" t="str">
        <f t="shared" si="68"/>
        <v>Recreational Equipment</v>
      </c>
      <c r="L4941" s="316" t="str">
        <f t="shared" si="69"/>
        <v>Gasoline</v>
      </c>
      <c r="M4941" s="194"/>
      <c r="N4941" s="317"/>
      <c r="O4941" s="317"/>
      <c r="P4941" s="317"/>
      <c r="Q4941" s="317"/>
      <c r="R4941" s="317"/>
      <c r="S4941" s="317"/>
      <c r="T4941" s="317"/>
      <c r="U4941" s="317"/>
      <c r="V4941" s="317"/>
      <c r="W4941" s="317"/>
      <c r="X4941" s="317"/>
      <c r="Y4941" s="317"/>
      <c r="Z4941" s="317"/>
    </row>
    <row r="4942" spans="1:26" x14ac:dyDescent="0.25">
      <c r="A4942" s="314"/>
      <c r="B4942" s="18">
        <v>2023</v>
      </c>
      <c r="C4942" s="18" t="s">
        <v>787</v>
      </c>
      <c r="D4942" s="18" t="s">
        <v>975</v>
      </c>
      <c r="E4942" s="18" t="s">
        <v>703</v>
      </c>
      <c r="F4942" s="18" t="s">
        <v>795</v>
      </c>
      <c r="G4942" s="18" t="s">
        <v>679</v>
      </c>
      <c r="H4942" s="18" t="s">
        <v>976</v>
      </c>
      <c r="I4942" s="315">
        <v>8.1781884387425041E-17</v>
      </c>
      <c r="J4942" s="315">
        <v>4.6846651278228277E-20</v>
      </c>
      <c r="K4942" s="316" t="str">
        <f t="shared" si="68"/>
        <v>Recreational Equipment</v>
      </c>
      <c r="L4942" s="316" t="str">
        <f t="shared" si="69"/>
        <v>Gasoline</v>
      </c>
      <c r="M4942" s="194"/>
      <c r="N4942" s="317"/>
      <c r="O4942" s="317"/>
      <c r="P4942" s="317"/>
      <c r="Q4942" s="317"/>
      <c r="R4942" s="317"/>
      <c r="S4942" s="317"/>
      <c r="T4942" s="317"/>
      <c r="U4942" s="317"/>
      <c r="V4942" s="317"/>
      <c r="W4942" s="317"/>
      <c r="X4942" s="317"/>
      <c r="Y4942" s="317"/>
      <c r="Z4942" s="317"/>
    </row>
    <row r="4943" spans="1:26" x14ac:dyDescent="0.25">
      <c r="A4943" s="314"/>
      <c r="B4943" s="18">
        <v>2023</v>
      </c>
      <c r="C4943" s="18" t="s">
        <v>778</v>
      </c>
      <c r="D4943" s="18" t="s">
        <v>975</v>
      </c>
      <c r="E4943" s="18" t="s">
        <v>703</v>
      </c>
      <c r="F4943" s="18" t="s">
        <v>795</v>
      </c>
      <c r="G4943" s="18" t="s">
        <v>679</v>
      </c>
      <c r="H4943" s="18" t="s">
        <v>976</v>
      </c>
      <c r="I4943" s="315">
        <v>8.1781884387425041E-17</v>
      </c>
      <c r="J4943" s="315">
        <v>4.6846651278228277E-20</v>
      </c>
      <c r="K4943" s="316" t="str">
        <f t="shared" si="68"/>
        <v>Recreational Equipment</v>
      </c>
      <c r="L4943" s="316" t="str">
        <f t="shared" si="69"/>
        <v>Gasoline</v>
      </c>
      <c r="M4943" s="194"/>
      <c r="N4943" s="317"/>
      <c r="O4943" s="317"/>
      <c r="P4943" s="317"/>
      <c r="Q4943" s="317"/>
      <c r="R4943" s="317"/>
      <c r="S4943" s="317"/>
      <c r="T4943" s="317"/>
      <c r="U4943" s="317"/>
      <c r="V4943" s="317"/>
      <c r="W4943" s="317"/>
      <c r="X4943" s="317"/>
      <c r="Y4943" s="317"/>
      <c r="Z4943" s="317"/>
    </row>
    <row r="4944" spans="1:26" x14ac:dyDescent="0.25">
      <c r="A4944" s="314"/>
      <c r="B4944" s="18">
        <v>2023</v>
      </c>
      <c r="C4944" s="18" t="s">
        <v>731</v>
      </c>
      <c r="D4944" s="18" t="s">
        <v>975</v>
      </c>
      <c r="E4944" s="18" t="s">
        <v>703</v>
      </c>
      <c r="F4944" s="18" t="s">
        <v>795</v>
      </c>
      <c r="G4944" s="18" t="s">
        <v>679</v>
      </c>
      <c r="H4944" s="18" t="s">
        <v>976</v>
      </c>
      <c r="I4944" s="315">
        <v>8.1781884387425041E-17</v>
      </c>
      <c r="J4944" s="315">
        <v>4.6846651278228277E-20</v>
      </c>
      <c r="K4944" s="316" t="str">
        <f t="shared" si="68"/>
        <v>Recreational Equipment</v>
      </c>
      <c r="L4944" s="316" t="str">
        <f t="shared" si="69"/>
        <v>Gasoline</v>
      </c>
      <c r="M4944" s="194"/>
      <c r="N4944" s="317"/>
      <c r="O4944" s="317"/>
      <c r="P4944" s="317"/>
      <c r="Q4944" s="317"/>
      <c r="R4944" s="317"/>
      <c r="S4944" s="317"/>
      <c r="T4944" s="317"/>
      <c r="U4944" s="317"/>
      <c r="V4944" s="317"/>
      <c r="W4944" s="317"/>
      <c r="X4944" s="317"/>
      <c r="Y4944" s="317"/>
      <c r="Z4944" s="317"/>
    </row>
    <row r="4945" spans="1:26" x14ac:dyDescent="0.25">
      <c r="A4945" s="314"/>
      <c r="B4945" s="18">
        <v>2023</v>
      </c>
      <c r="C4945" s="18" t="s">
        <v>732</v>
      </c>
      <c r="D4945" s="18" t="s">
        <v>975</v>
      </c>
      <c r="E4945" s="18" t="s">
        <v>703</v>
      </c>
      <c r="F4945" s="18" t="s">
        <v>795</v>
      </c>
      <c r="G4945" s="18" t="s">
        <v>679</v>
      </c>
      <c r="H4945" s="18" t="s">
        <v>976</v>
      </c>
      <c r="I4945" s="315">
        <v>8.1781884387425041E-17</v>
      </c>
      <c r="J4945" s="315">
        <v>4.6846651278228277E-20</v>
      </c>
      <c r="K4945" s="316" t="str">
        <f t="shared" si="68"/>
        <v>Recreational Equipment</v>
      </c>
      <c r="L4945" s="316" t="str">
        <f t="shared" si="69"/>
        <v>Gasoline</v>
      </c>
      <c r="M4945" s="194"/>
      <c r="N4945" s="317"/>
      <c r="O4945" s="317"/>
      <c r="P4945" s="317"/>
      <c r="Q4945" s="317"/>
      <c r="R4945" s="317"/>
      <c r="S4945" s="317"/>
      <c r="T4945" s="317"/>
      <c r="U4945" s="317"/>
      <c r="V4945" s="317"/>
      <c r="W4945" s="317"/>
      <c r="X4945" s="317"/>
      <c r="Y4945" s="317"/>
      <c r="Z4945" s="317"/>
    </row>
    <row r="4946" spans="1:26" x14ac:dyDescent="0.25">
      <c r="A4946" s="314"/>
      <c r="B4946" s="18">
        <v>2023</v>
      </c>
      <c r="C4946" s="18" t="s">
        <v>760</v>
      </c>
      <c r="D4946" s="18" t="s">
        <v>975</v>
      </c>
      <c r="E4946" s="18" t="s">
        <v>703</v>
      </c>
      <c r="F4946" s="18" t="s">
        <v>795</v>
      </c>
      <c r="G4946" s="18" t="s">
        <v>679</v>
      </c>
      <c r="H4946" s="18" t="s">
        <v>976</v>
      </c>
      <c r="I4946" s="315">
        <v>8.1781884387425041E-17</v>
      </c>
      <c r="J4946" s="315">
        <v>4.6846651278228277E-20</v>
      </c>
      <c r="K4946" s="316" t="str">
        <f t="shared" si="68"/>
        <v>Recreational Equipment</v>
      </c>
      <c r="L4946" s="316" t="str">
        <f t="shared" si="69"/>
        <v>Gasoline</v>
      </c>
      <c r="M4946" s="194"/>
      <c r="N4946" s="317"/>
      <c r="O4946" s="317"/>
      <c r="P4946" s="317"/>
      <c r="Q4946" s="317"/>
      <c r="R4946" s="317"/>
      <c r="S4946" s="317"/>
      <c r="T4946" s="317"/>
      <c r="U4946" s="317"/>
      <c r="V4946" s="317"/>
      <c r="W4946" s="317"/>
      <c r="X4946" s="317"/>
      <c r="Y4946" s="317"/>
      <c r="Z4946" s="317"/>
    </row>
    <row r="4947" spans="1:26" x14ac:dyDescent="0.25">
      <c r="A4947" s="314"/>
      <c r="B4947" s="18">
        <v>2023</v>
      </c>
      <c r="C4947" s="18" t="s">
        <v>722</v>
      </c>
      <c r="D4947" s="18" t="s">
        <v>975</v>
      </c>
      <c r="E4947" s="18" t="s">
        <v>703</v>
      </c>
      <c r="F4947" s="18" t="s">
        <v>795</v>
      </c>
      <c r="G4947" s="18" t="s">
        <v>679</v>
      </c>
      <c r="H4947" s="18" t="s">
        <v>976</v>
      </c>
      <c r="I4947" s="315">
        <v>8.1781884387425041E-17</v>
      </c>
      <c r="J4947" s="315">
        <v>4.6846651278228277E-20</v>
      </c>
      <c r="K4947" s="316" t="str">
        <f t="shared" si="68"/>
        <v>Recreational Equipment</v>
      </c>
      <c r="L4947" s="316" t="str">
        <f t="shared" si="69"/>
        <v>Gasoline</v>
      </c>
      <c r="M4947" s="194"/>
      <c r="N4947" s="317"/>
      <c r="O4947" s="317"/>
      <c r="P4947" s="317"/>
      <c r="Q4947" s="317"/>
      <c r="R4947" s="317"/>
      <c r="S4947" s="317"/>
      <c r="T4947" s="317"/>
      <c r="U4947" s="317"/>
      <c r="V4947" s="317"/>
      <c r="W4947" s="317"/>
      <c r="X4947" s="317"/>
      <c r="Y4947" s="317"/>
      <c r="Z4947" s="317"/>
    </row>
    <row r="4948" spans="1:26" x14ac:dyDescent="0.25">
      <c r="A4948" s="314"/>
      <c r="B4948" s="18">
        <v>2023</v>
      </c>
      <c r="C4948" s="18" t="s">
        <v>786</v>
      </c>
      <c r="D4948" s="18" t="s">
        <v>975</v>
      </c>
      <c r="E4948" s="18" t="s">
        <v>703</v>
      </c>
      <c r="F4948" s="18" t="s">
        <v>795</v>
      </c>
      <c r="G4948" s="18" t="s">
        <v>679</v>
      </c>
      <c r="H4948" s="18" t="s">
        <v>976</v>
      </c>
      <c r="I4948" s="315">
        <v>8.1781884387425041E-17</v>
      </c>
      <c r="J4948" s="315">
        <v>4.6846651278228277E-20</v>
      </c>
      <c r="K4948" s="316" t="str">
        <f t="shared" si="68"/>
        <v>Recreational Equipment</v>
      </c>
      <c r="L4948" s="316" t="str">
        <f t="shared" si="69"/>
        <v>Gasoline</v>
      </c>
      <c r="M4948" s="194"/>
      <c r="N4948" s="317"/>
      <c r="O4948" s="317"/>
      <c r="P4948" s="317"/>
      <c r="Q4948" s="317"/>
      <c r="R4948" s="317"/>
      <c r="S4948" s="317"/>
      <c r="T4948" s="317"/>
      <c r="U4948" s="317"/>
      <c r="V4948" s="317"/>
      <c r="W4948" s="317"/>
      <c r="X4948" s="317"/>
      <c r="Y4948" s="317"/>
      <c r="Z4948" s="317"/>
    </row>
    <row r="4949" spans="1:26" x14ac:dyDescent="0.25">
      <c r="A4949" s="314"/>
      <c r="B4949" s="18">
        <v>2023</v>
      </c>
      <c r="C4949" s="18" t="s">
        <v>701</v>
      </c>
      <c r="D4949" s="18" t="s">
        <v>975</v>
      </c>
      <c r="E4949" s="18" t="s">
        <v>703</v>
      </c>
      <c r="F4949" s="18" t="s">
        <v>795</v>
      </c>
      <c r="G4949" s="18" t="s">
        <v>679</v>
      </c>
      <c r="H4949" s="18" t="s">
        <v>976</v>
      </c>
      <c r="I4949" s="315">
        <v>8.1781884387425041E-17</v>
      </c>
      <c r="J4949" s="315">
        <v>4.6846651278228277E-20</v>
      </c>
      <c r="K4949" s="316" t="str">
        <f t="shared" si="68"/>
        <v>Recreational Equipment</v>
      </c>
      <c r="L4949" s="316" t="str">
        <f t="shared" si="69"/>
        <v>Gasoline</v>
      </c>
      <c r="M4949" s="194"/>
      <c r="N4949" s="317"/>
      <c r="O4949" s="317"/>
      <c r="P4949" s="317"/>
      <c r="Q4949" s="317"/>
      <c r="R4949" s="317"/>
      <c r="S4949" s="317"/>
      <c r="T4949" s="317"/>
      <c r="U4949" s="317"/>
      <c r="V4949" s="317"/>
      <c r="W4949" s="317"/>
      <c r="X4949" s="317"/>
      <c r="Y4949" s="317"/>
      <c r="Z4949" s="317"/>
    </row>
    <row r="4950" spans="1:26" x14ac:dyDescent="0.25">
      <c r="A4950" s="314"/>
      <c r="B4950" s="18">
        <v>2023</v>
      </c>
      <c r="C4950" s="18" t="s">
        <v>709</v>
      </c>
      <c r="D4950" s="18" t="s">
        <v>975</v>
      </c>
      <c r="E4950" s="18" t="s">
        <v>703</v>
      </c>
      <c r="F4950" s="18" t="s">
        <v>795</v>
      </c>
      <c r="G4950" s="18" t="s">
        <v>679</v>
      </c>
      <c r="H4950" s="18" t="s">
        <v>976</v>
      </c>
      <c r="I4950" s="315">
        <v>8.1781884387425041E-17</v>
      </c>
      <c r="J4950" s="315">
        <v>4.6846651278228277E-20</v>
      </c>
      <c r="K4950" s="316" t="str">
        <f t="shared" si="68"/>
        <v>Recreational Equipment</v>
      </c>
      <c r="L4950" s="316" t="str">
        <f t="shared" si="69"/>
        <v>Gasoline</v>
      </c>
      <c r="M4950" s="194"/>
      <c r="N4950" s="317"/>
      <c r="O4950" s="317"/>
      <c r="P4950" s="317"/>
      <c r="Q4950" s="317"/>
      <c r="R4950" s="317"/>
      <c r="S4950" s="317"/>
      <c r="T4950" s="317"/>
      <c r="U4950" s="317"/>
      <c r="V4950" s="317"/>
      <c r="W4950" s="317"/>
      <c r="X4950" s="317"/>
      <c r="Y4950" s="317"/>
      <c r="Z4950" s="317"/>
    </row>
    <row r="4951" spans="1:26" x14ac:dyDescent="0.25">
      <c r="A4951" s="314"/>
      <c r="B4951" s="18">
        <v>2023</v>
      </c>
      <c r="C4951" s="18" t="s">
        <v>762</v>
      </c>
      <c r="D4951" s="18" t="s">
        <v>975</v>
      </c>
      <c r="E4951" s="18" t="s">
        <v>703</v>
      </c>
      <c r="F4951" s="18" t="s">
        <v>795</v>
      </c>
      <c r="G4951" s="18" t="s">
        <v>679</v>
      </c>
      <c r="H4951" s="18" t="s">
        <v>976</v>
      </c>
      <c r="I4951" s="315">
        <v>8.1781884387425041E-17</v>
      </c>
      <c r="J4951" s="315">
        <v>4.6846651278228277E-20</v>
      </c>
      <c r="K4951" s="316" t="str">
        <f t="shared" si="68"/>
        <v>Recreational Equipment</v>
      </c>
      <c r="L4951" s="316" t="str">
        <f t="shared" si="69"/>
        <v>Gasoline</v>
      </c>
      <c r="M4951" s="194"/>
      <c r="N4951" s="317"/>
      <c r="O4951" s="317"/>
      <c r="P4951" s="317"/>
      <c r="Q4951" s="317"/>
      <c r="R4951" s="317"/>
      <c r="S4951" s="317"/>
      <c r="T4951" s="317"/>
      <c r="U4951" s="317"/>
      <c r="V4951" s="317"/>
      <c r="W4951" s="317"/>
      <c r="X4951" s="317"/>
      <c r="Y4951" s="317"/>
      <c r="Z4951" s="317"/>
    </row>
    <row r="4952" spans="1:26" x14ac:dyDescent="0.25">
      <c r="A4952" s="314"/>
      <c r="B4952" s="18">
        <v>2023</v>
      </c>
      <c r="C4952" s="18" t="s">
        <v>750</v>
      </c>
      <c r="D4952" s="18" t="s">
        <v>975</v>
      </c>
      <c r="E4952" s="18" t="s">
        <v>703</v>
      </c>
      <c r="F4952" s="18" t="s">
        <v>795</v>
      </c>
      <c r="G4952" s="18" t="s">
        <v>679</v>
      </c>
      <c r="H4952" s="18" t="s">
        <v>976</v>
      </c>
      <c r="I4952" s="315">
        <v>8.1781884387425041E-17</v>
      </c>
      <c r="J4952" s="315">
        <v>4.6846651278228277E-20</v>
      </c>
      <c r="K4952" s="316" t="str">
        <f t="shared" si="68"/>
        <v>Recreational Equipment</v>
      </c>
      <c r="L4952" s="316" t="str">
        <f t="shared" si="69"/>
        <v>Gasoline</v>
      </c>
      <c r="M4952" s="194"/>
      <c r="N4952" s="317"/>
      <c r="O4952" s="317"/>
      <c r="P4952" s="317"/>
      <c r="Q4952" s="317"/>
      <c r="R4952" s="317"/>
      <c r="S4952" s="317"/>
      <c r="T4952" s="317"/>
      <c r="U4952" s="317"/>
      <c r="V4952" s="317"/>
      <c r="W4952" s="317"/>
      <c r="X4952" s="317"/>
      <c r="Y4952" s="317"/>
      <c r="Z4952" s="317"/>
    </row>
    <row r="4953" spans="1:26" x14ac:dyDescent="0.25">
      <c r="A4953" s="314"/>
      <c r="B4953" s="18">
        <v>2023</v>
      </c>
      <c r="C4953" s="18" t="s">
        <v>759</v>
      </c>
      <c r="D4953" s="18" t="s">
        <v>975</v>
      </c>
      <c r="E4953" s="18" t="s">
        <v>703</v>
      </c>
      <c r="F4953" s="18" t="s">
        <v>795</v>
      </c>
      <c r="G4953" s="18" t="s">
        <v>679</v>
      </c>
      <c r="H4953" s="18" t="s">
        <v>976</v>
      </c>
      <c r="I4953" s="315">
        <v>8.1781884387425041E-17</v>
      </c>
      <c r="J4953" s="315">
        <v>4.6846651278228277E-20</v>
      </c>
      <c r="K4953" s="316" t="str">
        <f t="shared" si="68"/>
        <v>Recreational Equipment</v>
      </c>
      <c r="L4953" s="316" t="str">
        <f t="shared" si="69"/>
        <v>Gasoline</v>
      </c>
      <c r="M4953" s="194"/>
      <c r="N4953" s="317"/>
      <c r="O4953" s="317"/>
      <c r="P4953" s="317"/>
      <c r="Q4953" s="317"/>
      <c r="R4953" s="317"/>
      <c r="S4953" s="317"/>
      <c r="T4953" s="317"/>
      <c r="U4953" s="317"/>
      <c r="V4953" s="317"/>
      <c r="W4953" s="317"/>
      <c r="X4953" s="317"/>
      <c r="Y4953" s="317"/>
      <c r="Z4953" s="317"/>
    </row>
    <row r="4954" spans="1:26" x14ac:dyDescent="0.25">
      <c r="A4954" s="314"/>
      <c r="B4954" s="18">
        <v>2023</v>
      </c>
      <c r="C4954" s="18" t="s">
        <v>753</v>
      </c>
      <c r="D4954" s="18" t="s">
        <v>975</v>
      </c>
      <c r="E4954" s="18" t="s">
        <v>703</v>
      </c>
      <c r="F4954" s="18" t="s">
        <v>795</v>
      </c>
      <c r="G4954" s="18" t="s">
        <v>679</v>
      </c>
      <c r="H4954" s="18" t="s">
        <v>976</v>
      </c>
      <c r="I4954" s="315">
        <v>8.1781884387425041E-17</v>
      </c>
      <c r="J4954" s="315">
        <v>4.6846651278228277E-20</v>
      </c>
      <c r="K4954" s="316" t="str">
        <f t="shared" si="68"/>
        <v>Recreational Equipment</v>
      </c>
      <c r="L4954" s="316" t="str">
        <f t="shared" si="69"/>
        <v>Gasoline</v>
      </c>
      <c r="M4954" s="194"/>
      <c r="N4954" s="317"/>
      <c r="O4954" s="317"/>
      <c r="P4954" s="317"/>
      <c r="Q4954" s="317"/>
      <c r="R4954" s="317"/>
      <c r="S4954" s="317"/>
      <c r="T4954" s="317"/>
      <c r="U4954" s="317"/>
      <c r="V4954" s="317"/>
      <c r="W4954" s="317"/>
      <c r="X4954" s="317"/>
      <c r="Y4954" s="317"/>
      <c r="Z4954" s="317"/>
    </row>
    <row r="4955" spans="1:26" x14ac:dyDescent="0.25">
      <c r="A4955" s="314"/>
      <c r="B4955" s="18">
        <v>2023</v>
      </c>
      <c r="C4955" s="18" t="s">
        <v>743</v>
      </c>
      <c r="D4955" s="18" t="s">
        <v>975</v>
      </c>
      <c r="E4955" s="18" t="s">
        <v>703</v>
      </c>
      <c r="F4955" s="18" t="s">
        <v>795</v>
      </c>
      <c r="G4955" s="18" t="s">
        <v>679</v>
      </c>
      <c r="H4955" s="18" t="s">
        <v>976</v>
      </c>
      <c r="I4955" s="315">
        <v>8.1781884387425041E-17</v>
      </c>
      <c r="J4955" s="315">
        <v>4.6846651278228277E-20</v>
      </c>
      <c r="K4955" s="316" t="str">
        <f t="shared" si="68"/>
        <v>Recreational Equipment</v>
      </c>
      <c r="L4955" s="316" t="str">
        <f t="shared" si="69"/>
        <v>Gasoline</v>
      </c>
      <c r="M4955" s="194"/>
      <c r="N4955" s="317"/>
      <c r="O4955" s="317"/>
      <c r="P4955" s="317"/>
      <c r="Q4955" s="317"/>
      <c r="R4955" s="317"/>
      <c r="S4955" s="317"/>
      <c r="T4955" s="317"/>
      <c r="U4955" s="317"/>
      <c r="V4955" s="317"/>
      <c r="W4955" s="317"/>
      <c r="X4955" s="317"/>
      <c r="Y4955" s="317"/>
      <c r="Z4955" s="317"/>
    </row>
    <row r="4956" spans="1:26" x14ac:dyDescent="0.25">
      <c r="A4956" s="314"/>
      <c r="B4956" s="18">
        <v>2023</v>
      </c>
      <c r="C4956" s="18" t="s">
        <v>773</v>
      </c>
      <c r="D4956" s="18" t="s">
        <v>975</v>
      </c>
      <c r="E4956" s="18" t="s">
        <v>703</v>
      </c>
      <c r="F4956" s="18" t="s">
        <v>795</v>
      </c>
      <c r="G4956" s="18" t="s">
        <v>679</v>
      </c>
      <c r="H4956" s="18" t="s">
        <v>976</v>
      </c>
      <c r="I4956" s="315">
        <v>8.1781884387425041E-17</v>
      </c>
      <c r="J4956" s="315">
        <v>4.6846651278228277E-20</v>
      </c>
      <c r="K4956" s="316" t="str">
        <f t="shared" si="68"/>
        <v>Recreational Equipment</v>
      </c>
      <c r="L4956" s="316" t="str">
        <f t="shared" si="69"/>
        <v>Gasoline</v>
      </c>
      <c r="M4956" s="194"/>
      <c r="N4956" s="317"/>
      <c r="O4956" s="317"/>
      <c r="P4956" s="317"/>
      <c r="Q4956" s="317"/>
      <c r="R4956" s="317"/>
      <c r="S4956" s="317"/>
      <c r="T4956" s="317"/>
      <c r="U4956" s="317"/>
      <c r="V4956" s="317"/>
      <c r="W4956" s="317"/>
      <c r="X4956" s="317"/>
      <c r="Y4956" s="317"/>
      <c r="Z4956" s="317"/>
    </row>
    <row r="4957" spans="1:26" x14ac:dyDescent="0.25">
      <c r="A4957" s="314"/>
      <c r="B4957" s="18">
        <v>2023</v>
      </c>
      <c r="C4957" s="18" t="s">
        <v>727</v>
      </c>
      <c r="D4957" s="18" t="s">
        <v>975</v>
      </c>
      <c r="E4957" s="18" t="s">
        <v>703</v>
      </c>
      <c r="F4957" s="18" t="s">
        <v>795</v>
      </c>
      <c r="G4957" s="18" t="s">
        <v>679</v>
      </c>
      <c r="H4957" s="18" t="s">
        <v>976</v>
      </c>
      <c r="I4957" s="315">
        <v>8.1781884387425041E-17</v>
      </c>
      <c r="J4957" s="315">
        <v>4.6846651278228277E-20</v>
      </c>
      <c r="K4957" s="316" t="str">
        <f t="shared" si="68"/>
        <v>Recreational Equipment</v>
      </c>
      <c r="L4957" s="316" t="str">
        <f t="shared" si="69"/>
        <v>Gasoline</v>
      </c>
      <c r="M4957" s="194"/>
      <c r="N4957" s="317"/>
      <c r="O4957" s="317"/>
      <c r="P4957" s="317"/>
      <c r="Q4957" s="317"/>
      <c r="R4957" s="317"/>
      <c r="S4957" s="317"/>
      <c r="T4957" s="317"/>
      <c r="U4957" s="317"/>
      <c r="V4957" s="317"/>
      <c r="W4957" s="317"/>
      <c r="X4957" s="317"/>
      <c r="Y4957" s="317"/>
      <c r="Z4957" s="317"/>
    </row>
    <row r="4958" spans="1:26" x14ac:dyDescent="0.25">
      <c r="A4958" s="314"/>
      <c r="B4958" s="18">
        <v>2023</v>
      </c>
      <c r="C4958" s="18" t="s">
        <v>710</v>
      </c>
      <c r="D4958" s="18" t="s">
        <v>975</v>
      </c>
      <c r="E4958" s="18" t="s">
        <v>703</v>
      </c>
      <c r="F4958" s="18" t="s">
        <v>795</v>
      </c>
      <c r="G4958" s="18" t="s">
        <v>679</v>
      </c>
      <c r="H4958" s="18" t="s">
        <v>976</v>
      </c>
      <c r="I4958" s="315">
        <v>8.1781884387425041E-17</v>
      </c>
      <c r="J4958" s="315">
        <v>4.6846651278228277E-20</v>
      </c>
      <c r="K4958" s="316" t="str">
        <f t="shared" si="68"/>
        <v>Recreational Equipment</v>
      </c>
      <c r="L4958" s="316" t="str">
        <f t="shared" si="69"/>
        <v>Gasoline</v>
      </c>
      <c r="M4958" s="194"/>
      <c r="N4958" s="317"/>
      <c r="O4958" s="317"/>
      <c r="P4958" s="317"/>
      <c r="Q4958" s="317"/>
      <c r="R4958" s="317"/>
      <c r="S4958" s="317"/>
      <c r="T4958" s="317"/>
      <c r="U4958" s="317"/>
      <c r="V4958" s="317"/>
      <c r="W4958" s="317"/>
      <c r="X4958" s="317"/>
      <c r="Y4958" s="317"/>
      <c r="Z4958" s="317"/>
    </row>
    <row r="4959" spans="1:26" x14ac:dyDescent="0.25">
      <c r="A4959" s="314"/>
      <c r="B4959" s="18">
        <v>2023</v>
      </c>
      <c r="C4959" s="18" t="s">
        <v>710</v>
      </c>
      <c r="D4959" s="18" t="s">
        <v>1081</v>
      </c>
      <c r="E4959" s="18" t="s">
        <v>703</v>
      </c>
      <c r="F4959" s="18" t="s">
        <v>805</v>
      </c>
      <c r="G4959" s="18" t="s">
        <v>674</v>
      </c>
      <c r="H4959" s="18" t="s">
        <v>1082</v>
      </c>
      <c r="I4959" s="315">
        <v>7.7246699280514395E-17</v>
      </c>
      <c r="J4959" s="315">
        <v>1.2529700056373972E-19</v>
      </c>
      <c r="K4959" s="316" t="str">
        <f t="shared" si="68"/>
        <v>Construction and Mining Equipment</v>
      </c>
      <c r="L4959" s="316" t="str">
        <f t="shared" si="69"/>
        <v>Gasoline</v>
      </c>
      <c r="M4959" s="194"/>
      <c r="N4959" s="317"/>
      <c r="O4959" s="317"/>
      <c r="P4959" s="317"/>
      <c r="Q4959" s="317"/>
      <c r="R4959" s="317"/>
      <c r="S4959" s="317"/>
      <c r="T4959" s="317"/>
      <c r="U4959" s="317"/>
      <c r="V4959" s="317"/>
      <c r="W4959" s="317"/>
      <c r="X4959" s="317"/>
      <c r="Y4959" s="317"/>
      <c r="Z4959" s="317"/>
    </row>
    <row r="4960" spans="1:26" x14ac:dyDescent="0.25">
      <c r="A4960" s="314"/>
      <c r="B4960" s="18">
        <v>2023</v>
      </c>
      <c r="C4960" s="18" t="s">
        <v>710</v>
      </c>
      <c r="D4960" s="18" t="s">
        <v>1083</v>
      </c>
      <c r="E4960" s="18" t="s">
        <v>703</v>
      </c>
      <c r="F4960" s="18" t="s">
        <v>704</v>
      </c>
      <c r="G4960" s="18" t="s">
        <v>674</v>
      </c>
      <c r="H4960" s="18" t="s">
        <v>861</v>
      </c>
      <c r="I4960" s="315">
        <v>7.3825454287805726E-17</v>
      </c>
      <c r="J4960" s="315">
        <v>5.5479929660547959E-20</v>
      </c>
      <c r="K4960" s="316" t="str">
        <f t="shared" si="68"/>
        <v>Construction and Mining Equipment</v>
      </c>
      <c r="L4960" s="316" t="str">
        <f t="shared" si="69"/>
        <v>Gasoline</v>
      </c>
      <c r="M4960" s="194"/>
      <c r="N4960" s="317"/>
      <c r="O4960" s="317"/>
      <c r="P4960" s="317"/>
      <c r="Q4960" s="317"/>
      <c r="R4960" s="317"/>
      <c r="S4960" s="317"/>
      <c r="T4960" s="317"/>
      <c r="U4960" s="317"/>
      <c r="V4960" s="317"/>
      <c r="W4960" s="317"/>
      <c r="X4960" s="317"/>
      <c r="Y4960" s="317"/>
      <c r="Z4960" s="317"/>
    </row>
    <row r="4961" spans="1:26" x14ac:dyDescent="0.25">
      <c r="A4961" s="314"/>
      <c r="B4961" s="18">
        <v>2023</v>
      </c>
      <c r="C4961" s="18" t="s">
        <v>710</v>
      </c>
      <c r="D4961" s="18" t="s">
        <v>1221</v>
      </c>
      <c r="E4961" s="18" t="s">
        <v>713</v>
      </c>
      <c r="F4961" s="18" t="s">
        <v>714</v>
      </c>
      <c r="G4961" s="18" t="s">
        <v>678</v>
      </c>
      <c r="H4961" s="18" t="s">
        <v>1222</v>
      </c>
      <c r="I4961" s="315">
        <v>7.2842396065023708E-17</v>
      </c>
      <c r="J4961" s="315">
        <v>4.8527788752839025E-22</v>
      </c>
      <c r="K4961" s="316" t="str">
        <f t="shared" si="68"/>
        <v>Agricultural Equipment</v>
      </c>
      <c r="L4961" s="316" t="str">
        <f t="shared" si="69"/>
        <v>Diesel</v>
      </c>
      <c r="M4961" s="194"/>
      <c r="N4961" s="317"/>
      <c r="O4961" s="317"/>
      <c r="P4961" s="317"/>
      <c r="Q4961" s="317"/>
      <c r="R4961" s="317"/>
      <c r="S4961" s="317"/>
      <c r="T4961" s="317"/>
      <c r="U4961" s="317"/>
      <c r="V4961" s="317"/>
      <c r="W4961" s="317"/>
      <c r="X4961" s="317"/>
      <c r="Y4961" s="317"/>
      <c r="Z4961" s="317"/>
    </row>
    <row r="4962" spans="1:26" x14ac:dyDescent="0.25">
      <c r="A4962" s="314"/>
      <c r="B4962" s="18">
        <v>2023</v>
      </c>
      <c r="C4962" s="18" t="s">
        <v>710</v>
      </c>
      <c r="D4962" s="18" t="s">
        <v>1084</v>
      </c>
      <c r="E4962" s="18" t="s">
        <v>703</v>
      </c>
      <c r="F4962" s="18" t="s">
        <v>704</v>
      </c>
      <c r="G4962" s="18" t="s">
        <v>674</v>
      </c>
      <c r="H4962" s="18" t="s">
        <v>863</v>
      </c>
      <c r="I4962" s="315">
        <v>6.8283513582212385E-17</v>
      </c>
      <c r="J4962" s="315">
        <v>3.9935679729907587E-20</v>
      </c>
      <c r="K4962" s="316" t="str">
        <f t="shared" si="68"/>
        <v>Construction and Mining Equipment</v>
      </c>
      <c r="L4962" s="316" t="str">
        <f t="shared" si="69"/>
        <v>Gasoline</v>
      </c>
      <c r="M4962" s="194"/>
      <c r="N4962" s="317"/>
      <c r="O4962" s="317"/>
      <c r="P4962" s="317"/>
      <c r="Q4962" s="317"/>
      <c r="R4962" s="317"/>
      <c r="S4962" s="317"/>
      <c r="T4962" s="317"/>
      <c r="U4962" s="317"/>
      <c r="V4962" s="317"/>
      <c r="W4962" s="317"/>
      <c r="X4962" s="317"/>
      <c r="Y4962" s="317"/>
      <c r="Z4962" s="317"/>
    </row>
    <row r="4963" spans="1:26" x14ac:dyDescent="0.25">
      <c r="A4963" s="314"/>
      <c r="B4963" s="18">
        <v>2023</v>
      </c>
      <c r="C4963" s="18" t="s">
        <v>710</v>
      </c>
      <c r="D4963" s="18" t="s">
        <v>1229</v>
      </c>
      <c r="E4963" s="18" t="s">
        <v>713</v>
      </c>
      <c r="F4963" s="18" t="s">
        <v>714</v>
      </c>
      <c r="G4963" s="18" t="s">
        <v>678</v>
      </c>
      <c r="H4963" s="18" t="s">
        <v>1230</v>
      </c>
      <c r="I4963" s="315">
        <v>6.7339790238682897E-17</v>
      </c>
      <c r="J4963" s="315">
        <v>5.0775919642804073E-22</v>
      </c>
      <c r="K4963" s="316" t="str">
        <f t="shared" si="68"/>
        <v>Agricultural Equipment</v>
      </c>
      <c r="L4963" s="316" t="str">
        <f t="shared" si="69"/>
        <v>Diesel</v>
      </c>
      <c r="M4963" s="194"/>
      <c r="N4963" s="317"/>
      <c r="O4963" s="317"/>
      <c r="P4963" s="317"/>
      <c r="Q4963" s="317"/>
      <c r="R4963" s="317"/>
      <c r="S4963" s="317"/>
      <c r="T4963" s="317"/>
      <c r="U4963" s="317"/>
      <c r="V4963" s="317"/>
      <c r="W4963" s="317"/>
      <c r="X4963" s="317"/>
      <c r="Y4963" s="317"/>
      <c r="Z4963" s="317"/>
    </row>
    <row r="4964" spans="1:26" x14ac:dyDescent="0.25">
      <c r="A4964" s="314"/>
      <c r="B4964" s="18">
        <v>2023</v>
      </c>
      <c r="C4964" s="18" t="s">
        <v>710</v>
      </c>
      <c r="D4964" s="18" t="s">
        <v>1158</v>
      </c>
      <c r="E4964" s="18" t="s">
        <v>703</v>
      </c>
      <c r="F4964" s="18" t="s">
        <v>704</v>
      </c>
      <c r="G4964" s="18" t="s">
        <v>674</v>
      </c>
      <c r="H4964" s="18" t="s">
        <v>715</v>
      </c>
      <c r="I4964" s="315">
        <v>6.0903896598758243E-17</v>
      </c>
      <c r="J4964" s="315">
        <v>4.2213668723370419E-21</v>
      </c>
      <c r="K4964" s="316" t="str">
        <f t="shared" si="68"/>
        <v>Construction and Mining Equipment</v>
      </c>
      <c r="L4964" s="316" t="str">
        <f t="shared" si="69"/>
        <v>Gasoline</v>
      </c>
      <c r="M4964" s="194"/>
      <c r="N4964" s="317"/>
      <c r="O4964" s="317"/>
      <c r="P4964" s="317"/>
      <c r="Q4964" s="317"/>
      <c r="R4964" s="317"/>
      <c r="S4964" s="317"/>
      <c r="T4964" s="317"/>
      <c r="U4964" s="317"/>
      <c r="V4964" s="317"/>
      <c r="W4964" s="317"/>
      <c r="X4964" s="317"/>
      <c r="Y4964" s="317"/>
      <c r="Z4964" s="317"/>
    </row>
    <row r="4965" spans="1:26" x14ac:dyDescent="0.25">
      <c r="A4965" s="314"/>
      <c r="B4965" s="18">
        <v>2023</v>
      </c>
      <c r="C4965" s="18" t="s">
        <v>792</v>
      </c>
      <c r="D4965" s="18" t="s">
        <v>1210</v>
      </c>
      <c r="E4965" s="18" t="s">
        <v>713</v>
      </c>
      <c r="F4965" s="18" t="s">
        <v>714</v>
      </c>
      <c r="G4965" s="18" t="s">
        <v>675</v>
      </c>
      <c r="H4965" s="18" t="s">
        <v>1211</v>
      </c>
      <c r="I4965" s="315">
        <v>5.9047468384109431E-17</v>
      </c>
      <c r="J4965" s="315">
        <v>1.0445751463561247E-21</v>
      </c>
      <c r="K4965" s="316" t="str">
        <f t="shared" si="68"/>
        <v>Industrial Equipment</v>
      </c>
      <c r="L4965" s="316" t="str">
        <f t="shared" si="69"/>
        <v>Diesel</v>
      </c>
      <c r="M4965" s="194"/>
      <c r="N4965" s="317"/>
      <c r="O4965" s="317"/>
      <c r="P4965" s="317"/>
      <c r="Q4965" s="317"/>
      <c r="R4965" s="317"/>
      <c r="S4965" s="317"/>
      <c r="T4965" s="317"/>
      <c r="U4965" s="317"/>
      <c r="V4965" s="317"/>
      <c r="W4965" s="317"/>
      <c r="X4965" s="317"/>
      <c r="Y4965" s="317"/>
      <c r="Z4965" s="317"/>
    </row>
    <row r="4966" spans="1:26" x14ac:dyDescent="0.25">
      <c r="A4966" s="314"/>
      <c r="B4966" s="18">
        <v>2023</v>
      </c>
      <c r="C4966" s="18" t="s">
        <v>711</v>
      </c>
      <c r="D4966" s="18" t="s">
        <v>1210</v>
      </c>
      <c r="E4966" s="18" t="s">
        <v>713</v>
      </c>
      <c r="F4966" s="18" t="s">
        <v>714</v>
      </c>
      <c r="G4966" s="18" t="s">
        <v>675</v>
      </c>
      <c r="H4966" s="18" t="s">
        <v>1211</v>
      </c>
      <c r="I4966" s="315">
        <v>5.9047468384109431E-17</v>
      </c>
      <c r="J4966" s="315">
        <v>1.0445751463561247E-21</v>
      </c>
      <c r="K4966" s="316" t="str">
        <f t="shared" si="68"/>
        <v>Industrial Equipment</v>
      </c>
      <c r="L4966" s="316" t="str">
        <f t="shared" si="69"/>
        <v>Diesel</v>
      </c>
      <c r="M4966" s="194"/>
      <c r="N4966" s="317"/>
      <c r="O4966" s="317"/>
      <c r="P4966" s="317"/>
      <c r="Q4966" s="317"/>
      <c r="R4966" s="317"/>
      <c r="S4966" s="317"/>
      <c r="T4966" s="317"/>
      <c r="U4966" s="317"/>
      <c r="V4966" s="317"/>
      <c r="W4966" s="317"/>
      <c r="X4966" s="317"/>
      <c r="Y4966" s="317"/>
      <c r="Z4966" s="317"/>
    </row>
    <row r="4967" spans="1:26" x14ac:dyDescent="0.25">
      <c r="A4967" s="314"/>
      <c r="B4967" s="18">
        <v>2023</v>
      </c>
      <c r="C4967" s="18" t="s">
        <v>793</v>
      </c>
      <c r="D4967" s="18" t="s">
        <v>1210</v>
      </c>
      <c r="E4967" s="18" t="s">
        <v>713</v>
      </c>
      <c r="F4967" s="18" t="s">
        <v>714</v>
      </c>
      <c r="G4967" s="18" t="s">
        <v>675</v>
      </c>
      <c r="H4967" s="18" t="s">
        <v>1211</v>
      </c>
      <c r="I4967" s="315">
        <v>5.9047468384109431E-17</v>
      </c>
      <c r="J4967" s="315">
        <v>1.0445751463561247E-21</v>
      </c>
      <c r="K4967" s="316" t="str">
        <f t="shared" si="68"/>
        <v>Industrial Equipment</v>
      </c>
      <c r="L4967" s="316" t="str">
        <f t="shared" si="69"/>
        <v>Diesel</v>
      </c>
      <c r="M4967" s="194"/>
      <c r="N4967" s="317"/>
      <c r="O4967" s="317"/>
      <c r="P4967" s="317"/>
      <c r="Q4967" s="317"/>
      <c r="R4967" s="317"/>
      <c r="S4967" s="317"/>
      <c r="T4967" s="317"/>
      <c r="U4967" s="317"/>
      <c r="V4967" s="317"/>
      <c r="W4967" s="317"/>
      <c r="X4967" s="317"/>
      <c r="Y4967" s="317"/>
      <c r="Z4967" s="317"/>
    </row>
    <row r="4968" spans="1:26" x14ac:dyDescent="0.25">
      <c r="A4968" s="314"/>
      <c r="B4968" s="18">
        <v>2023</v>
      </c>
      <c r="C4968" s="18" t="s">
        <v>781</v>
      </c>
      <c r="D4968" s="18" t="s">
        <v>1210</v>
      </c>
      <c r="E4968" s="18" t="s">
        <v>713</v>
      </c>
      <c r="F4968" s="18" t="s">
        <v>714</v>
      </c>
      <c r="G4968" s="18" t="s">
        <v>675</v>
      </c>
      <c r="H4968" s="18" t="s">
        <v>1211</v>
      </c>
      <c r="I4968" s="315">
        <v>5.9047468384109431E-17</v>
      </c>
      <c r="J4968" s="315">
        <v>1.0445751463561247E-21</v>
      </c>
      <c r="K4968" s="316" t="str">
        <f t="shared" si="68"/>
        <v>Industrial Equipment</v>
      </c>
      <c r="L4968" s="316" t="str">
        <f t="shared" si="69"/>
        <v>Diesel</v>
      </c>
      <c r="M4968" s="194"/>
      <c r="N4968" s="317"/>
      <c r="O4968" s="317"/>
      <c r="P4968" s="317"/>
      <c r="Q4968" s="317"/>
      <c r="R4968" s="317"/>
      <c r="S4968" s="317"/>
      <c r="T4968" s="317"/>
      <c r="U4968" s="317"/>
      <c r="V4968" s="317"/>
      <c r="W4968" s="317"/>
      <c r="X4968" s="317"/>
      <c r="Y4968" s="317"/>
      <c r="Z4968" s="317"/>
    </row>
    <row r="4969" spans="1:26" x14ac:dyDescent="0.25">
      <c r="A4969" s="314"/>
      <c r="B4969" s="18">
        <v>2023</v>
      </c>
      <c r="C4969" s="18" t="s">
        <v>787</v>
      </c>
      <c r="D4969" s="18" t="s">
        <v>1210</v>
      </c>
      <c r="E4969" s="18" t="s">
        <v>713</v>
      </c>
      <c r="F4969" s="18" t="s">
        <v>714</v>
      </c>
      <c r="G4969" s="18" t="s">
        <v>675</v>
      </c>
      <c r="H4969" s="18" t="s">
        <v>1211</v>
      </c>
      <c r="I4969" s="315">
        <v>5.9047468384109431E-17</v>
      </c>
      <c r="J4969" s="315">
        <v>1.0445751463561247E-21</v>
      </c>
      <c r="K4969" s="316" t="str">
        <f t="shared" si="68"/>
        <v>Industrial Equipment</v>
      </c>
      <c r="L4969" s="316" t="str">
        <f t="shared" si="69"/>
        <v>Diesel</v>
      </c>
      <c r="M4969" s="194"/>
      <c r="N4969" s="317"/>
      <c r="O4969" s="317"/>
      <c r="P4969" s="317"/>
      <c r="Q4969" s="317"/>
      <c r="R4969" s="317"/>
      <c r="S4969" s="317"/>
      <c r="T4969" s="317"/>
      <c r="U4969" s="317"/>
      <c r="V4969" s="317"/>
      <c r="W4969" s="317"/>
      <c r="X4969" s="317"/>
      <c r="Y4969" s="317"/>
      <c r="Z4969" s="317"/>
    </row>
    <row r="4970" spans="1:26" x14ac:dyDescent="0.25">
      <c r="A4970" s="314"/>
      <c r="B4970" s="18">
        <v>2023</v>
      </c>
      <c r="C4970" s="18" t="s">
        <v>778</v>
      </c>
      <c r="D4970" s="18" t="s">
        <v>1210</v>
      </c>
      <c r="E4970" s="18" t="s">
        <v>713</v>
      </c>
      <c r="F4970" s="18" t="s">
        <v>714</v>
      </c>
      <c r="G4970" s="18" t="s">
        <v>675</v>
      </c>
      <c r="H4970" s="18" t="s">
        <v>1211</v>
      </c>
      <c r="I4970" s="315">
        <v>5.9047468384109431E-17</v>
      </c>
      <c r="J4970" s="315">
        <v>1.0445751463561247E-21</v>
      </c>
      <c r="K4970" s="316" t="str">
        <f t="shared" si="68"/>
        <v>Industrial Equipment</v>
      </c>
      <c r="L4970" s="316" t="str">
        <f t="shared" si="69"/>
        <v>Diesel</v>
      </c>
      <c r="M4970" s="194"/>
      <c r="N4970" s="317"/>
      <c r="O4970" s="317"/>
      <c r="P4970" s="317"/>
      <c r="Q4970" s="317"/>
      <c r="R4970" s="317"/>
      <c r="S4970" s="317"/>
      <c r="T4970" s="317"/>
      <c r="U4970" s="317"/>
      <c r="V4970" s="317"/>
      <c r="W4970" s="317"/>
      <c r="X4970" s="317"/>
      <c r="Y4970" s="317"/>
      <c r="Z4970" s="317"/>
    </row>
    <row r="4971" spans="1:26" x14ac:dyDescent="0.25">
      <c r="A4971" s="314"/>
      <c r="B4971" s="18">
        <v>2023</v>
      </c>
      <c r="C4971" s="18" t="s">
        <v>731</v>
      </c>
      <c r="D4971" s="18" t="s">
        <v>1210</v>
      </c>
      <c r="E4971" s="18" t="s">
        <v>713</v>
      </c>
      <c r="F4971" s="18" t="s">
        <v>714</v>
      </c>
      <c r="G4971" s="18" t="s">
        <v>675</v>
      </c>
      <c r="H4971" s="18" t="s">
        <v>1211</v>
      </c>
      <c r="I4971" s="315">
        <v>5.9047468384109431E-17</v>
      </c>
      <c r="J4971" s="315">
        <v>1.0445751463561247E-21</v>
      </c>
      <c r="K4971" s="316" t="str">
        <f t="shared" si="68"/>
        <v>Industrial Equipment</v>
      </c>
      <c r="L4971" s="316" t="str">
        <f t="shared" si="69"/>
        <v>Diesel</v>
      </c>
      <c r="M4971" s="194"/>
      <c r="N4971" s="317"/>
      <c r="O4971" s="317"/>
      <c r="P4971" s="317"/>
      <c r="Q4971" s="317"/>
      <c r="R4971" s="317"/>
      <c r="S4971" s="317"/>
      <c r="T4971" s="317"/>
      <c r="U4971" s="317"/>
      <c r="V4971" s="317"/>
      <c r="W4971" s="317"/>
      <c r="X4971" s="317"/>
      <c r="Y4971" s="317"/>
      <c r="Z4971" s="317"/>
    </row>
    <row r="4972" spans="1:26" x14ac:dyDescent="0.25">
      <c r="A4972" s="314"/>
      <c r="B4972" s="18">
        <v>2023</v>
      </c>
      <c r="C4972" s="18" t="s">
        <v>732</v>
      </c>
      <c r="D4972" s="18" t="s">
        <v>1210</v>
      </c>
      <c r="E4972" s="18" t="s">
        <v>713</v>
      </c>
      <c r="F4972" s="18" t="s">
        <v>714</v>
      </c>
      <c r="G4972" s="18" t="s">
        <v>675</v>
      </c>
      <c r="H4972" s="18" t="s">
        <v>1211</v>
      </c>
      <c r="I4972" s="315">
        <v>5.9047468384109431E-17</v>
      </c>
      <c r="J4972" s="315">
        <v>1.0445751463561247E-21</v>
      </c>
      <c r="K4972" s="316" t="str">
        <f t="shared" si="68"/>
        <v>Industrial Equipment</v>
      </c>
      <c r="L4972" s="316" t="str">
        <f t="shared" si="69"/>
        <v>Diesel</v>
      </c>
      <c r="M4972" s="194"/>
      <c r="N4972" s="317"/>
      <c r="O4972" s="317"/>
      <c r="P4972" s="317"/>
      <c r="Q4972" s="317"/>
      <c r="R4972" s="317"/>
      <c r="S4972" s="317"/>
      <c r="T4972" s="317"/>
      <c r="U4972" s="317"/>
      <c r="V4972" s="317"/>
      <c r="W4972" s="317"/>
      <c r="X4972" s="317"/>
      <c r="Y4972" s="317"/>
      <c r="Z4972" s="317"/>
    </row>
    <row r="4973" spans="1:26" x14ac:dyDescent="0.25">
      <c r="A4973" s="314"/>
      <c r="B4973" s="18">
        <v>2023</v>
      </c>
      <c r="C4973" s="18" t="s">
        <v>810</v>
      </c>
      <c r="D4973" s="18" t="s">
        <v>1210</v>
      </c>
      <c r="E4973" s="18" t="s">
        <v>713</v>
      </c>
      <c r="F4973" s="18" t="s">
        <v>714</v>
      </c>
      <c r="G4973" s="18" t="s">
        <v>675</v>
      </c>
      <c r="H4973" s="18" t="s">
        <v>1211</v>
      </c>
      <c r="I4973" s="315">
        <v>5.9047468384109431E-17</v>
      </c>
      <c r="J4973" s="315">
        <v>1.0445751463561247E-21</v>
      </c>
      <c r="K4973" s="316" t="str">
        <f t="shared" si="68"/>
        <v>Industrial Equipment</v>
      </c>
      <c r="L4973" s="316" t="str">
        <f t="shared" si="69"/>
        <v>Diesel</v>
      </c>
      <c r="M4973" s="194"/>
      <c r="N4973" s="317"/>
      <c r="O4973" s="317"/>
      <c r="P4973" s="317"/>
      <c r="Q4973" s="317"/>
      <c r="R4973" s="317"/>
      <c r="S4973" s="317"/>
      <c r="T4973" s="317"/>
      <c r="U4973" s="317"/>
      <c r="V4973" s="317"/>
      <c r="W4973" s="317"/>
      <c r="X4973" s="317"/>
      <c r="Y4973" s="317"/>
      <c r="Z4973" s="317"/>
    </row>
    <row r="4974" spans="1:26" x14ac:dyDescent="0.25">
      <c r="A4974" s="314"/>
      <c r="B4974" s="18">
        <v>2023</v>
      </c>
      <c r="C4974" s="18" t="s">
        <v>701</v>
      </c>
      <c r="D4974" s="18" t="s">
        <v>1210</v>
      </c>
      <c r="E4974" s="18" t="s">
        <v>713</v>
      </c>
      <c r="F4974" s="18" t="s">
        <v>714</v>
      </c>
      <c r="G4974" s="18" t="s">
        <v>675</v>
      </c>
      <c r="H4974" s="18" t="s">
        <v>1211</v>
      </c>
      <c r="I4974" s="315">
        <v>5.9047468384109431E-17</v>
      </c>
      <c r="J4974" s="315">
        <v>1.0445751463561247E-21</v>
      </c>
      <c r="K4974" s="316" t="str">
        <f t="shared" si="68"/>
        <v>Industrial Equipment</v>
      </c>
      <c r="L4974" s="316" t="str">
        <f t="shared" si="69"/>
        <v>Diesel</v>
      </c>
      <c r="M4974" s="194"/>
      <c r="N4974" s="317"/>
      <c r="O4974" s="317"/>
      <c r="P4974" s="317"/>
      <c r="Q4974" s="317"/>
      <c r="R4974" s="317"/>
      <c r="S4974" s="317"/>
      <c r="T4974" s="317"/>
      <c r="U4974" s="317"/>
      <c r="V4974" s="317"/>
      <c r="W4974" s="317"/>
      <c r="X4974" s="317"/>
      <c r="Y4974" s="317"/>
      <c r="Z4974" s="317"/>
    </row>
    <row r="4975" spans="1:26" x14ac:dyDescent="0.25">
      <c r="A4975" s="314"/>
      <c r="B4975" s="18">
        <v>2023</v>
      </c>
      <c r="C4975" s="18" t="s">
        <v>709</v>
      </c>
      <c r="D4975" s="18" t="s">
        <v>1210</v>
      </c>
      <c r="E4975" s="18" t="s">
        <v>713</v>
      </c>
      <c r="F4975" s="18" t="s">
        <v>714</v>
      </c>
      <c r="G4975" s="18" t="s">
        <v>675</v>
      </c>
      <c r="H4975" s="18" t="s">
        <v>1211</v>
      </c>
      <c r="I4975" s="315">
        <v>5.9047468384109431E-17</v>
      </c>
      <c r="J4975" s="315">
        <v>1.0445751463561247E-21</v>
      </c>
      <c r="K4975" s="316" t="str">
        <f t="shared" si="68"/>
        <v>Industrial Equipment</v>
      </c>
      <c r="L4975" s="316" t="str">
        <f t="shared" si="69"/>
        <v>Diesel</v>
      </c>
      <c r="M4975" s="194"/>
      <c r="N4975" s="317"/>
      <c r="O4975" s="317"/>
      <c r="P4975" s="317"/>
      <c r="Q4975" s="317"/>
      <c r="R4975" s="317"/>
      <c r="S4975" s="317"/>
      <c r="T4975" s="317"/>
      <c r="U4975" s="317"/>
      <c r="V4975" s="317"/>
      <c r="W4975" s="317"/>
      <c r="X4975" s="317"/>
      <c r="Y4975" s="317"/>
      <c r="Z4975" s="317"/>
    </row>
    <row r="4976" spans="1:26" x14ac:dyDescent="0.25">
      <c r="A4976" s="314"/>
      <c r="B4976" s="18">
        <v>2023</v>
      </c>
      <c r="C4976" s="18" t="s">
        <v>762</v>
      </c>
      <c r="D4976" s="18" t="s">
        <v>1210</v>
      </c>
      <c r="E4976" s="18" t="s">
        <v>713</v>
      </c>
      <c r="F4976" s="18" t="s">
        <v>714</v>
      </c>
      <c r="G4976" s="18" t="s">
        <v>675</v>
      </c>
      <c r="H4976" s="18" t="s">
        <v>1211</v>
      </c>
      <c r="I4976" s="315">
        <v>5.9047468384109431E-17</v>
      </c>
      <c r="J4976" s="315">
        <v>1.0445751463561247E-21</v>
      </c>
      <c r="K4976" s="316" t="str">
        <f t="shared" si="68"/>
        <v>Industrial Equipment</v>
      </c>
      <c r="L4976" s="316" t="str">
        <f t="shared" si="69"/>
        <v>Diesel</v>
      </c>
      <c r="M4976" s="194"/>
      <c r="N4976" s="317"/>
      <c r="O4976" s="317"/>
      <c r="P4976" s="317"/>
      <c r="Q4976" s="317"/>
      <c r="R4976" s="317"/>
      <c r="S4976" s="317"/>
      <c r="T4976" s="317"/>
      <c r="U4976" s="317"/>
      <c r="V4976" s="317"/>
      <c r="W4976" s="317"/>
      <c r="X4976" s="317"/>
      <c r="Y4976" s="317"/>
      <c r="Z4976" s="317"/>
    </row>
    <row r="4977" spans="1:26" x14ac:dyDescent="0.25">
      <c r="A4977" s="314"/>
      <c r="B4977" s="18">
        <v>2023</v>
      </c>
      <c r="C4977" s="18" t="s">
        <v>750</v>
      </c>
      <c r="D4977" s="18" t="s">
        <v>1210</v>
      </c>
      <c r="E4977" s="18" t="s">
        <v>713</v>
      </c>
      <c r="F4977" s="18" t="s">
        <v>714</v>
      </c>
      <c r="G4977" s="18" t="s">
        <v>675</v>
      </c>
      <c r="H4977" s="18" t="s">
        <v>1211</v>
      </c>
      <c r="I4977" s="315">
        <v>5.9047468384109431E-17</v>
      </c>
      <c r="J4977" s="315">
        <v>1.0445751463561247E-21</v>
      </c>
      <c r="K4977" s="316" t="str">
        <f t="shared" si="68"/>
        <v>Industrial Equipment</v>
      </c>
      <c r="L4977" s="316" t="str">
        <f t="shared" si="69"/>
        <v>Diesel</v>
      </c>
      <c r="M4977" s="194"/>
      <c r="N4977" s="317"/>
      <c r="O4977" s="317"/>
      <c r="P4977" s="317"/>
      <c r="Q4977" s="317"/>
      <c r="R4977" s="317"/>
      <c r="S4977" s="317"/>
      <c r="T4977" s="317"/>
      <c r="U4977" s="317"/>
      <c r="V4977" s="317"/>
      <c r="W4977" s="317"/>
      <c r="X4977" s="317"/>
      <c r="Y4977" s="317"/>
      <c r="Z4977" s="317"/>
    </row>
    <row r="4978" spans="1:26" x14ac:dyDescent="0.25">
      <c r="A4978" s="314"/>
      <c r="B4978" s="18">
        <v>2023</v>
      </c>
      <c r="C4978" s="18" t="s">
        <v>759</v>
      </c>
      <c r="D4978" s="18" t="s">
        <v>1210</v>
      </c>
      <c r="E4978" s="18" t="s">
        <v>713</v>
      </c>
      <c r="F4978" s="18" t="s">
        <v>714</v>
      </c>
      <c r="G4978" s="18" t="s">
        <v>675</v>
      </c>
      <c r="H4978" s="18" t="s">
        <v>1211</v>
      </c>
      <c r="I4978" s="315">
        <v>5.9047468384109431E-17</v>
      </c>
      <c r="J4978" s="315">
        <v>1.0445751463561247E-21</v>
      </c>
      <c r="K4978" s="316" t="str">
        <f t="shared" si="68"/>
        <v>Industrial Equipment</v>
      </c>
      <c r="L4978" s="316" t="str">
        <f t="shared" si="69"/>
        <v>Diesel</v>
      </c>
      <c r="M4978" s="194"/>
      <c r="N4978" s="317"/>
      <c r="O4978" s="317"/>
      <c r="P4978" s="317"/>
      <c r="Q4978" s="317"/>
      <c r="R4978" s="317"/>
      <c r="S4978" s="317"/>
      <c r="T4978" s="317"/>
      <c r="U4978" s="317"/>
      <c r="V4978" s="317"/>
      <c r="W4978" s="317"/>
      <c r="X4978" s="317"/>
      <c r="Y4978" s="317"/>
      <c r="Z4978" s="317"/>
    </row>
    <row r="4979" spans="1:26" x14ac:dyDescent="0.25">
      <c r="A4979" s="314"/>
      <c r="B4979" s="18">
        <v>2023</v>
      </c>
      <c r="C4979" s="18" t="s">
        <v>753</v>
      </c>
      <c r="D4979" s="18" t="s">
        <v>1210</v>
      </c>
      <c r="E4979" s="18" t="s">
        <v>713</v>
      </c>
      <c r="F4979" s="18" t="s">
        <v>714</v>
      </c>
      <c r="G4979" s="18" t="s">
        <v>675</v>
      </c>
      <c r="H4979" s="18" t="s">
        <v>1211</v>
      </c>
      <c r="I4979" s="315">
        <v>5.9047468384109431E-17</v>
      </c>
      <c r="J4979" s="315">
        <v>1.0445751463561247E-21</v>
      </c>
      <c r="K4979" s="316" t="str">
        <f t="shared" si="68"/>
        <v>Industrial Equipment</v>
      </c>
      <c r="L4979" s="316" t="str">
        <f t="shared" si="69"/>
        <v>Diesel</v>
      </c>
      <c r="M4979" s="194"/>
      <c r="N4979" s="317"/>
      <c r="O4979" s="317"/>
      <c r="P4979" s="317"/>
      <c r="Q4979" s="317"/>
      <c r="R4979" s="317"/>
      <c r="S4979" s="317"/>
      <c r="T4979" s="317"/>
      <c r="U4979" s="317"/>
      <c r="V4979" s="317"/>
      <c r="W4979" s="317"/>
      <c r="X4979" s="317"/>
      <c r="Y4979" s="317"/>
      <c r="Z4979" s="317"/>
    </row>
    <row r="4980" spans="1:26" x14ac:dyDescent="0.25">
      <c r="A4980" s="314"/>
      <c r="B4980" s="18">
        <v>2023</v>
      </c>
      <c r="C4980" s="18" t="s">
        <v>773</v>
      </c>
      <c r="D4980" s="18" t="s">
        <v>1210</v>
      </c>
      <c r="E4980" s="18" t="s">
        <v>713</v>
      </c>
      <c r="F4980" s="18" t="s">
        <v>714</v>
      </c>
      <c r="G4980" s="18" t="s">
        <v>675</v>
      </c>
      <c r="H4980" s="18" t="s">
        <v>1211</v>
      </c>
      <c r="I4980" s="315">
        <v>5.9047468384109431E-17</v>
      </c>
      <c r="J4980" s="315">
        <v>1.0445751463561247E-21</v>
      </c>
      <c r="K4980" s="316" t="str">
        <f t="shared" si="68"/>
        <v>Industrial Equipment</v>
      </c>
      <c r="L4980" s="316" t="str">
        <f t="shared" si="69"/>
        <v>Diesel</v>
      </c>
      <c r="M4980" s="194"/>
      <c r="N4980" s="317"/>
      <c r="O4980" s="317"/>
      <c r="P4980" s="317"/>
      <c r="Q4980" s="317"/>
      <c r="R4980" s="317"/>
      <c r="S4980" s="317"/>
      <c r="T4980" s="317"/>
      <c r="U4980" s="317"/>
      <c r="V4980" s="317"/>
      <c r="W4980" s="317"/>
      <c r="X4980" s="317"/>
      <c r="Y4980" s="317"/>
      <c r="Z4980" s="317"/>
    </row>
    <row r="4981" spans="1:26" x14ac:dyDescent="0.25">
      <c r="A4981" s="314"/>
      <c r="B4981" s="18">
        <v>2023</v>
      </c>
      <c r="C4981" s="18" t="s">
        <v>727</v>
      </c>
      <c r="D4981" s="18" t="s">
        <v>1210</v>
      </c>
      <c r="E4981" s="18" t="s">
        <v>713</v>
      </c>
      <c r="F4981" s="18" t="s">
        <v>714</v>
      </c>
      <c r="G4981" s="18" t="s">
        <v>675</v>
      </c>
      <c r="H4981" s="18" t="s">
        <v>1211</v>
      </c>
      <c r="I4981" s="315">
        <v>5.9047468384109431E-17</v>
      </c>
      <c r="J4981" s="315">
        <v>1.0445751463561247E-21</v>
      </c>
      <c r="K4981" s="316" t="str">
        <f t="shared" si="68"/>
        <v>Industrial Equipment</v>
      </c>
      <c r="L4981" s="316" t="str">
        <f t="shared" si="69"/>
        <v>Diesel</v>
      </c>
      <c r="M4981" s="194"/>
      <c r="N4981" s="317"/>
      <c r="O4981" s="317"/>
      <c r="P4981" s="317"/>
      <c r="Q4981" s="317"/>
      <c r="R4981" s="317"/>
      <c r="S4981" s="317"/>
      <c r="T4981" s="317"/>
      <c r="U4981" s="317"/>
      <c r="V4981" s="317"/>
      <c r="W4981" s="317"/>
      <c r="X4981" s="317"/>
      <c r="Y4981" s="317"/>
      <c r="Z4981" s="317"/>
    </row>
    <row r="4982" spans="1:26" x14ac:dyDescent="0.25">
      <c r="A4982" s="314"/>
      <c r="B4982" s="18">
        <v>2023</v>
      </c>
      <c r="C4982" s="18" t="s">
        <v>792</v>
      </c>
      <c r="D4982" s="18" t="s">
        <v>991</v>
      </c>
      <c r="E4982" s="18" t="s">
        <v>703</v>
      </c>
      <c r="F4982" s="18" t="s">
        <v>795</v>
      </c>
      <c r="G4982" s="18" t="s">
        <v>680</v>
      </c>
      <c r="H4982" s="18" t="s">
        <v>992</v>
      </c>
      <c r="I4982" s="315">
        <v>5.8194370014984713E-17</v>
      </c>
      <c r="J4982" s="315">
        <v>1.6856063147513489E-20</v>
      </c>
      <c r="K4982" s="316" t="str">
        <f t="shared" si="68"/>
        <v>Airport Ground Support Equipment</v>
      </c>
      <c r="L4982" s="316" t="str">
        <f t="shared" si="69"/>
        <v>Gasoline</v>
      </c>
      <c r="M4982" s="194"/>
      <c r="N4982" s="317"/>
      <c r="O4982" s="317"/>
      <c r="P4982" s="317"/>
      <c r="Q4982" s="317"/>
      <c r="R4982" s="317"/>
      <c r="S4982" s="317"/>
      <c r="T4982" s="317"/>
      <c r="U4982" s="317"/>
      <c r="V4982" s="317"/>
      <c r="W4982" s="317"/>
      <c r="X4982" s="317"/>
      <c r="Y4982" s="317"/>
      <c r="Z4982" s="317"/>
    </row>
    <row r="4983" spans="1:26" x14ac:dyDescent="0.25">
      <c r="A4983" s="314"/>
      <c r="B4983" s="18">
        <v>2023</v>
      </c>
      <c r="C4983" s="18" t="s">
        <v>793</v>
      </c>
      <c r="D4983" s="18" t="s">
        <v>991</v>
      </c>
      <c r="E4983" s="18" t="s">
        <v>703</v>
      </c>
      <c r="F4983" s="18" t="s">
        <v>795</v>
      </c>
      <c r="G4983" s="18" t="s">
        <v>680</v>
      </c>
      <c r="H4983" s="18" t="s">
        <v>992</v>
      </c>
      <c r="I4983" s="315">
        <v>5.8194370014984713E-17</v>
      </c>
      <c r="J4983" s="315">
        <v>1.668963054373025E-20</v>
      </c>
      <c r="K4983" s="316" t="str">
        <f t="shared" si="68"/>
        <v>Airport Ground Support Equipment</v>
      </c>
      <c r="L4983" s="316" t="str">
        <f t="shared" si="69"/>
        <v>Gasoline</v>
      </c>
      <c r="M4983" s="194"/>
      <c r="N4983" s="317"/>
      <c r="O4983" s="317"/>
      <c r="P4983" s="317"/>
      <c r="Q4983" s="317"/>
      <c r="R4983" s="317"/>
      <c r="S4983" s="317"/>
      <c r="T4983" s="317"/>
      <c r="U4983" s="317"/>
      <c r="V4983" s="317"/>
      <c r="W4983" s="317"/>
      <c r="X4983" s="317"/>
      <c r="Y4983" s="317"/>
      <c r="Z4983" s="317"/>
    </row>
    <row r="4984" spans="1:26" x14ac:dyDescent="0.25">
      <c r="A4984" s="314"/>
      <c r="B4984" s="18">
        <v>2023</v>
      </c>
      <c r="C4984" s="18" t="s">
        <v>781</v>
      </c>
      <c r="D4984" s="18" t="s">
        <v>991</v>
      </c>
      <c r="E4984" s="18" t="s">
        <v>703</v>
      </c>
      <c r="F4984" s="18" t="s">
        <v>795</v>
      </c>
      <c r="G4984" s="18" t="s">
        <v>680</v>
      </c>
      <c r="H4984" s="18" t="s">
        <v>992</v>
      </c>
      <c r="I4984" s="315">
        <v>5.8194370014984713E-17</v>
      </c>
      <c r="J4984" s="315">
        <v>1.6698649991283186E-20</v>
      </c>
      <c r="K4984" s="316" t="str">
        <f t="shared" si="68"/>
        <v>Airport Ground Support Equipment</v>
      </c>
      <c r="L4984" s="316" t="str">
        <f t="shared" si="69"/>
        <v>Gasoline</v>
      </c>
      <c r="M4984" s="194"/>
      <c r="N4984" s="317"/>
      <c r="O4984" s="317"/>
      <c r="P4984" s="317"/>
      <c r="Q4984" s="317"/>
      <c r="R4984" s="317"/>
      <c r="S4984" s="317"/>
      <c r="T4984" s="317"/>
      <c r="U4984" s="317"/>
      <c r="V4984" s="317"/>
      <c r="W4984" s="317"/>
      <c r="X4984" s="317"/>
      <c r="Y4984" s="317"/>
      <c r="Z4984" s="317"/>
    </row>
    <row r="4985" spans="1:26" x14ac:dyDescent="0.25">
      <c r="A4985" s="314"/>
      <c r="B4985" s="18">
        <v>2023</v>
      </c>
      <c r="C4985" s="18" t="s">
        <v>787</v>
      </c>
      <c r="D4985" s="18" t="s">
        <v>991</v>
      </c>
      <c r="E4985" s="18" t="s">
        <v>703</v>
      </c>
      <c r="F4985" s="18" t="s">
        <v>795</v>
      </c>
      <c r="G4985" s="18" t="s">
        <v>680</v>
      </c>
      <c r="H4985" s="18" t="s">
        <v>992</v>
      </c>
      <c r="I4985" s="315">
        <v>5.8194370014984713E-17</v>
      </c>
      <c r="J4985" s="315">
        <v>1.6767154882881216E-20</v>
      </c>
      <c r="K4985" s="316" t="str">
        <f t="shared" si="68"/>
        <v>Airport Ground Support Equipment</v>
      </c>
      <c r="L4985" s="316" t="str">
        <f t="shared" si="69"/>
        <v>Gasoline</v>
      </c>
      <c r="M4985" s="194"/>
      <c r="N4985" s="317"/>
      <c r="O4985" s="317"/>
      <c r="P4985" s="317"/>
      <c r="Q4985" s="317"/>
      <c r="R4985" s="317"/>
      <c r="S4985" s="317"/>
      <c r="T4985" s="317"/>
      <c r="U4985" s="317"/>
      <c r="V4985" s="317"/>
      <c r="W4985" s="317"/>
      <c r="X4985" s="317"/>
      <c r="Y4985" s="317"/>
      <c r="Z4985" s="317"/>
    </row>
    <row r="4986" spans="1:26" x14ac:dyDescent="0.25">
      <c r="A4986" s="314"/>
      <c r="B4986" s="18">
        <v>2023</v>
      </c>
      <c r="C4986" s="18" t="s">
        <v>778</v>
      </c>
      <c r="D4986" s="18" t="s">
        <v>991</v>
      </c>
      <c r="E4986" s="18" t="s">
        <v>703</v>
      </c>
      <c r="F4986" s="18" t="s">
        <v>795</v>
      </c>
      <c r="G4986" s="18" t="s">
        <v>680</v>
      </c>
      <c r="H4986" s="18" t="s">
        <v>992</v>
      </c>
      <c r="I4986" s="315">
        <v>5.8194370014984713E-17</v>
      </c>
      <c r="J4986" s="315">
        <v>1.6703612042387766E-20</v>
      </c>
      <c r="K4986" s="316" t="str">
        <f t="shared" si="68"/>
        <v>Airport Ground Support Equipment</v>
      </c>
      <c r="L4986" s="316" t="str">
        <f t="shared" si="69"/>
        <v>Gasoline</v>
      </c>
      <c r="M4986" s="194"/>
      <c r="N4986" s="317"/>
      <c r="O4986" s="317"/>
      <c r="P4986" s="317"/>
      <c r="Q4986" s="317"/>
      <c r="R4986" s="317"/>
      <c r="S4986" s="317"/>
      <c r="T4986" s="317"/>
      <c r="U4986" s="317"/>
      <c r="V4986" s="317"/>
      <c r="W4986" s="317"/>
      <c r="X4986" s="317"/>
      <c r="Y4986" s="317"/>
      <c r="Z4986" s="317"/>
    </row>
    <row r="4987" spans="1:26" x14ac:dyDescent="0.25">
      <c r="A4987" s="314"/>
      <c r="B4987" s="18">
        <v>2023</v>
      </c>
      <c r="C4987" s="18" t="s">
        <v>760</v>
      </c>
      <c r="D4987" s="18" t="s">
        <v>991</v>
      </c>
      <c r="E4987" s="18" t="s">
        <v>703</v>
      </c>
      <c r="F4987" s="18" t="s">
        <v>795</v>
      </c>
      <c r="G4987" s="18" t="s">
        <v>680</v>
      </c>
      <c r="H4987" s="18" t="s">
        <v>992</v>
      </c>
      <c r="I4987" s="315">
        <v>5.8194370014984713E-17</v>
      </c>
      <c r="J4987" s="315">
        <v>1.6757619769992439E-20</v>
      </c>
      <c r="K4987" s="316" t="str">
        <f t="shared" si="68"/>
        <v>Airport Ground Support Equipment</v>
      </c>
      <c r="L4987" s="316" t="str">
        <f t="shared" si="69"/>
        <v>Gasoline</v>
      </c>
      <c r="M4987" s="194"/>
      <c r="N4987" s="317"/>
      <c r="O4987" s="317"/>
      <c r="P4987" s="317"/>
      <c r="Q4987" s="317"/>
      <c r="R4987" s="317"/>
      <c r="S4987" s="317"/>
      <c r="T4987" s="317"/>
      <c r="U4987" s="317"/>
      <c r="V4987" s="317"/>
      <c r="W4987" s="317"/>
      <c r="X4987" s="317"/>
      <c r="Y4987" s="317"/>
      <c r="Z4987" s="317"/>
    </row>
    <row r="4988" spans="1:26" x14ac:dyDescent="0.25">
      <c r="A4988" s="314"/>
      <c r="B4988" s="18">
        <v>2023</v>
      </c>
      <c r="C4988" s="18" t="s">
        <v>722</v>
      </c>
      <c r="D4988" s="18" t="s">
        <v>991</v>
      </c>
      <c r="E4988" s="18" t="s">
        <v>703</v>
      </c>
      <c r="F4988" s="18" t="s">
        <v>795</v>
      </c>
      <c r="G4988" s="18" t="s">
        <v>680</v>
      </c>
      <c r="H4988" s="18" t="s">
        <v>992</v>
      </c>
      <c r="I4988" s="315">
        <v>5.8194370014984713E-17</v>
      </c>
      <c r="J4988" s="315">
        <v>1.6748585755354231E-20</v>
      </c>
      <c r="K4988" s="316" t="str">
        <f t="shared" si="68"/>
        <v>Airport Ground Support Equipment</v>
      </c>
      <c r="L4988" s="316" t="str">
        <f t="shared" si="69"/>
        <v>Gasoline</v>
      </c>
      <c r="M4988" s="194"/>
      <c r="N4988" s="317"/>
      <c r="O4988" s="317"/>
      <c r="P4988" s="317"/>
      <c r="Q4988" s="317"/>
      <c r="R4988" s="317"/>
      <c r="S4988" s="317"/>
      <c r="T4988" s="317"/>
      <c r="U4988" s="317"/>
      <c r="V4988" s="317"/>
      <c r="W4988" s="317"/>
      <c r="X4988" s="317"/>
      <c r="Y4988" s="317"/>
      <c r="Z4988" s="317"/>
    </row>
    <row r="4989" spans="1:26" x14ac:dyDescent="0.25">
      <c r="A4989" s="314"/>
      <c r="B4989" s="18">
        <v>2023</v>
      </c>
      <c r="C4989" s="18" t="s">
        <v>786</v>
      </c>
      <c r="D4989" s="18" t="s">
        <v>991</v>
      </c>
      <c r="E4989" s="18" t="s">
        <v>703</v>
      </c>
      <c r="F4989" s="18" t="s">
        <v>795</v>
      </c>
      <c r="G4989" s="18" t="s">
        <v>680</v>
      </c>
      <c r="H4989" s="18" t="s">
        <v>992</v>
      </c>
      <c r="I4989" s="315">
        <v>5.8194370014984713E-17</v>
      </c>
      <c r="J4989" s="315">
        <v>1.6728850170479974E-20</v>
      </c>
      <c r="K4989" s="316" t="str">
        <f t="shared" si="68"/>
        <v>Airport Ground Support Equipment</v>
      </c>
      <c r="L4989" s="316" t="str">
        <f t="shared" si="69"/>
        <v>Gasoline</v>
      </c>
      <c r="M4989" s="194"/>
      <c r="N4989" s="317"/>
      <c r="O4989" s="317"/>
      <c r="P4989" s="317"/>
      <c r="Q4989" s="317"/>
      <c r="R4989" s="317"/>
      <c r="S4989" s="317"/>
      <c r="T4989" s="317"/>
      <c r="U4989" s="317"/>
      <c r="V4989" s="317"/>
      <c r="W4989" s="317"/>
      <c r="X4989" s="317"/>
      <c r="Y4989" s="317"/>
      <c r="Z4989" s="317"/>
    </row>
    <row r="4990" spans="1:26" x14ac:dyDescent="0.25">
      <c r="A4990" s="314"/>
      <c r="B4990" s="18">
        <v>2023</v>
      </c>
      <c r="C4990" s="18" t="s">
        <v>759</v>
      </c>
      <c r="D4990" s="18" t="s">
        <v>991</v>
      </c>
      <c r="E4990" s="18" t="s">
        <v>703</v>
      </c>
      <c r="F4990" s="18" t="s">
        <v>795</v>
      </c>
      <c r="G4990" s="18" t="s">
        <v>680</v>
      </c>
      <c r="H4990" s="18" t="s">
        <v>992</v>
      </c>
      <c r="I4990" s="315">
        <v>5.8194370014984713E-17</v>
      </c>
      <c r="J4990" s="315">
        <v>1.6650895504165736E-20</v>
      </c>
      <c r="K4990" s="316" t="str">
        <f t="shared" si="68"/>
        <v>Airport Ground Support Equipment</v>
      </c>
      <c r="L4990" s="316" t="str">
        <f t="shared" si="69"/>
        <v>Gasoline</v>
      </c>
      <c r="M4990" s="194"/>
      <c r="N4990" s="317"/>
      <c r="O4990" s="317"/>
      <c r="P4990" s="317"/>
      <c r="Q4990" s="317"/>
      <c r="R4990" s="317"/>
      <c r="S4990" s="317"/>
      <c r="T4990" s="317"/>
      <c r="U4990" s="317"/>
      <c r="V4990" s="317"/>
      <c r="W4990" s="317"/>
      <c r="X4990" s="317"/>
      <c r="Y4990" s="317"/>
      <c r="Z4990" s="317"/>
    </row>
    <row r="4991" spans="1:26" x14ac:dyDescent="0.25">
      <c r="A4991" s="314"/>
      <c r="B4991" s="18">
        <v>2023</v>
      </c>
      <c r="C4991" s="18" t="s">
        <v>727</v>
      </c>
      <c r="D4991" s="18" t="s">
        <v>991</v>
      </c>
      <c r="E4991" s="18" t="s">
        <v>703</v>
      </c>
      <c r="F4991" s="18" t="s">
        <v>795</v>
      </c>
      <c r="G4991" s="18" t="s">
        <v>680</v>
      </c>
      <c r="H4991" s="18" t="s">
        <v>992</v>
      </c>
      <c r="I4991" s="315">
        <v>5.8194370014984713E-17</v>
      </c>
      <c r="J4991" s="315">
        <v>1.6663877800707944E-20</v>
      </c>
      <c r="K4991" s="316" t="str">
        <f t="shared" si="68"/>
        <v>Airport Ground Support Equipment</v>
      </c>
      <c r="L4991" s="316" t="str">
        <f t="shared" si="69"/>
        <v>Gasoline</v>
      </c>
      <c r="M4991" s="194"/>
      <c r="N4991" s="317"/>
      <c r="O4991" s="317"/>
      <c r="P4991" s="317"/>
      <c r="Q4991" s="317"/>
      <c r="R4991" s="317"/>
      <c r="S4991" s="317"/>
      <c r="T4991" s="317"/>
      <c r="U4991" s="317"/>
      <c r="V4991" s="317"/>
      <c r="W4991" s="317"/>
      <c r="X4991" s="317"/>
      <c r="Y4991" s="317"/>
      <c r="Z4991" s="317"/>
    </row>
    <row r="4992" spans="1:26" x14ac:dyDescent="0.25">
      <c r="A4992" s="314"/>
      <c r="B4992" s="18">
        <v>2023</v>
      </c>
      <c r="C4992" s="18" t="s">
        <v>710</v>
      </c>
      <c r="D4992" s="18" t="s">
        <v>991</v>
      </c>
      <c r="E4992" s="18" t="s">
        <v>703</v>
      </c>
      <c r="F4992" s="18" t="s">
        <v>795</v>
      </c>
      <c r="G4992" s="18" t="s">
        <v>680</v>
      </c>
      <c r="H4992" s="18" t="s">
        <v>992</v>
      </c>
      <c r="I4992" s="315">
        <v>5.8194370014984713E-17</v>
      </c>
      <c r="J4992" s="315">
        <v>1.6730128244379735E-20</v>
      </c>
      <c r="K4992" s="316" t="str">
        <f t="shared" si="68"/>
        <v>Airport Ground Support Equipment</v>
      </c>
      <c r="L4992" s="316" t="str">
        <f t="shared" si="69"/>
        <v>Gasoline</v>
      </c>
      <c r="M4992" s="194"/>
      <c r="N4992" s="317"/>
      <c r="O4992" s="317"/>
      <c r="P4992" s="317"/>
      <c r="Q4992" s="317"/>
      <c r="R4992" s="317"/>
      <c r="S4992" s="317"/>
      <c r="T4992" s="317"/>
      <c r="U4992" s="317"/>
      <c r="V4992" s="317"/>
      <c r="W4992" s="317"/>
      <c r="X4992" s="317"/>
      <c r="Y4992" s="317"/>
      <c r="Z4992" s="317"/>
    </row>
    <row r="4993" spans="1:26" x14ac:dyDescent="0.25">
      <c r="A4993" s="314"/>
      <c r="B4993" s="18">
        <v>2023</v>
      </c>
      <c r="C4993" s="18" t="s">
        <v>710</v>
      </c>
      <c r="D4993" s="18" t="s">
        <v>1278</v>
      </c>
      <c r="E4993" s="18" t="s">
        <v>703</v>
      </c>
      <c r="F4993" s="18" t="s">
        <v>704</v>
      </c>
      <c r="G4993" s="18" t="s">
        <v>678</v>
      </c>
      <c r="H4993" s="18" t="s">
        <v>1279</v>
      </c>
      <c r="I4993" s="315">
        <v>5.6180540005936113E-17</v>
      </c>
      <c r="J4993" s="315">
        <v>7.4946099970917209E-20</v>
      </c>
      <c r="K4993" s="316" t="str">
        <f t="shared" si="68"/>
        <v>Agricultural Equipment</v>
      </c>
      <c r="L4993" s="316" t="str">
        <f t="shared" si="69"/>
        <v>Gasoline</v>
      </c>
      <c r="M4993" s="194"/>
      <c r="N4993" s="317"/>
      <c r="O4993" s="317"/>
      <c r="P4993" s="317"/>
      <c r="Q4993" s="317"/>
      <c r="R4993" s="317"/>
      <c r="S4993" s="317"/>
      <c r="T4993" s="317"/>
      <c r="U4993" s="317"/>
      <c r="V4993" s="317"/>
      <c r="W4993" s="317"/>
      <c r="X4993" s="317"/>
      <c r="Y4993" s="317"/>
      <c r="Z4993" s="317"/>
    </row>
    <row r="4994" spans="1:26" x14ac:dyDescent="0.25">
      <c r="A4994" s="314"/>
      <c r="B4994" s="18">
        <v>2023</v>
      </c>
      <c r="C4994" s="18" t="s">
        <v>710</v>
      </c>
      <c r="D4994" s="18" t="s">
        <v>1224</v>
      </c>
      <c r="E4994" s="18" t="s">
        <v>703</v>
      </c>
      <c r="F4994" s="18" t="s">
        <v>704</v>
      </c>
      <c r="G4994" s="18" t="s">
        <v>681</v>
      </c>
      <c r="H4994" s="18" t="s">
        <v>1225</v>
      </c>
      <c r="I4994" s="315">
        <v>5.2973052926604748E-17</v>
      </c>
      <c r="J4994" s="315">
        <v>3.5907615417115345E-20</v>
      </c>
      <c r="K4994" s="316" t="str">
        <f t="shared" si="68"/>
        <v>Logging Equipment</v>
      </c>
      <c r="L4994" s="316" t="str">
        <f t="shared" si="69"/>
        <v>Gasoline</v>
      </c>
      <c r="M4994" s="194"/>
      <c r="N4994" s="317"/>
      <c r="O4994" s="317"/>
      <c r="P4994" s="317"/>
      <c r="Q4994" s="317"/>
      <c r="R4994" s="317"/>
      <c r="S4994" s="317"/>
      <c r="T4994" s="317"/>
      <c r="U4994" s="317"/>
      <c r="V4994" s="317"/>
      <c r="W4994" s="317"/>
      <c r="X4994" s="317"/>
      <c r="Y4994" s="317"/>
      <c r="Z4994" s="317"/>
    </row>
    <row r="4995" spans="1:26" x14ac:dyDescent="0.25">
      <c r="A4995" s="314"/>
      <c r="B4995" s="18">
        <v>2023</v>
      </c>
      <c r="C4995" s="18" t="s">
        <v>710</v>
      </c>
      <c r="D4995" s="18" t="s">
        <v>1213</v>
      </c>
      <c r="E4995" s="18" t="s">
        <v>56</v>
      </c>
      <c r="F4995" s="18" t="s">
        <v>672</v>
      </c>
      <c r="G4995" s="18" t="s">
        <v>674</v>
      </c>
      <c r="H4995" s="18" t="s">
        <v>715</v>
      </c>
      <c r="I4995" s="315">
        <v>4.802222760955844E-17</v>
      </c>
      <c r="J4995" s="315">
        <v>2.1808497035684205E-21</v>
      </c>
      <c r="K4995" s="316" t="str">
        <f t="shared" si="68"/>
        <v>Construction and Mining Equipment</v>
      </c>
      <c r="L4995" s="316" t="str">
        <f t="shared" si="69"/>
        <v>LPG</v>
      </c>
      <c r="M4995" s="194"/>
      <c r="N4995" s="317"/>
      <c r="O4995" s="317"/>
      <c r="P4995" s="317"/>
      <c r="Q4995" s="317"/>
      <c r="R4995" s="317"/>
      <c r="S4995" s="317"/>
      <c r="T4995" s="317"/>
      <c r="U4995" s="317"/>
      <c r="V4995" s="317"/>
      <c r="W4995" s="317"/>
      <c r="X4995" s="317"/>
      <c r="Y4995" s="317"/>
      <c r="Z4995" s="317"/>
    </row>
    <row r="4996" spans="1:26" ht="12.75" x14ac:dyDescent="0.2">
      <c r="A4996" s="230"/>
      <c r="B4996" s="18">
        <v>2023</v>
      </c>
      <c r="C4996" s="18" t="s">
        <v>710</v>
      </c>
      <c r="D4996" s="18" t="s">
        <v>1214</v>
      </c>
      <c r="E4996" s="18" t="s">
        <v>713</v>
      </c>
      <c r="F4996" s="18" t="s">
        <v>714</v>
      </c>
      <c r="G4996" s="18" t="s">
        <v>674</v>
      </c>
      <c r="H4996" s="18" t="s">
        <v>999</v>
      </c>
      <c r="I4996" s="315">
        <v>4.7646087577993381E-17</v>
      </c>
      <c r="J4996" s="315">
        <v>1.4105598672546128E-21</v>
      </c>
      <c r="K4996" s="316" t="str">
        <f t="shared" si="68"/>
        <v>Construction and Mining Equipment</v>
      </c>
      <c r="L4996" s="316" t="str">
        <f t="shared" si="69"/>
        <v>Diesel</v>
      </c>
      <c r="M4996" s="8"/>
      <c r="N4996" s="2"/>
      <c r="O4996" s="2"/>
      <c r="P4996" s="2"/>
      <c r="Q4996" s="2"/>
      <c r="R4996" s="2"/>
      <c r="S4996" s="2"/>
      <c r="T4996" s="2"/>
      <c r="U4996" s="2"/>
      <c r="V4996" s="2"/>
      <c r="W4996" s="2"/>
      <c r="X4996" s="2"/>
      <c r="Y4996" s="2"/>
      <c r="Z4996" s="2"/>
    </row>
    <row r="4997" spans="1:26" ht="12.75" x14ac:dyDescent="0.2">
      <c r="A4997" s="230"/>
      <c r="B4997" s="18">
        <v>2023</v>
      </c>
      <c r="C4997" s="18" t="s">
        <v>710</v>
      </c>
      <c r="D4997" s="18" t="s">
        <v>1215</v>
      </c>
      <c r="E4997" s="18" t="s">
        <v>56</v>
      </c>
      <c r="F4997" s="18" t="s">
        <v>672</v>
      </c>
      <c r="G4997" s="18" t="s">
        <v>674</v>
      </c>
      <c r="H4997" s="18" t="s">
        <v>756</v>
      </c>
      <c r="I4997" s="315">
        <v>4.0594983104389055E-17</v>
      </c>
      <c r="J4997" s="315">
        <v>7.5102312938280932E-21</v>
      </c>
      <c r="K4997" s="316" t="str">
        <f t="shared" si="68"/>
        <v>Construction and Mining Equipment</v>
      </c>
      <c r="L4997" s="316" t="str">
        <f t="shared" si="69"/>
        <v>LPG</v>
      </c>
      <c r="M4997" s="8"/>
      <c r="N4997" s="2"/>
      <c r="O4997" s="2"/>
      <c r="P4997" s="2"/>
      <c r="Q4997" s="2"/>
      <c r="R4997" s="2"/>
      <c r="S4997" s="2"/>
      <c r="T4997" s="2"/>
      <c r="U4997" s="2"/>
      <c r="V4997" s="2"/>
      <c r="W4997" s="2"/>
      <c r="X4997" s="2"/>
      <c r="Y4997" s="2"/>
      <c r="Z4997" s="2"/>
    </row>
    <row r="4998" spans="1:26" ht="12.75" x14ac:dyDescent="0.2">
      <c r="A4998" s="230"/>
      <c r="B4998" s="18">
        <v>2023</v>
      </c>
      <c r="C4998" s="18" t="s">
        <v>710</v>
      </c>
      <c r="D4998" s="18" t="s">
        <v>1219</v>
      </c>
      <c r="E4998" s="18" t="s">
        <v>703</v>
      </c>
      <c r="F4998" s="18" t="s">
        <v>704</v>
      </c>
      <c r="G4998" s="18" t="s">
        <v>674</v>
      </c>
      <c r="H4998" s="18" t="s">
        <v>1220</v>
      </c>
      <c r="I4998" s="315">
        <v>3.2804120804715249E-17</v>
      </c>
      <c r="J4998" s="315">
        <v>2.2101861571416087E-20</v>
      </c>
      <c r="K4998" s="316" t="str">
        <f t="shared" si="68"/>
        <v>Construction and Mining Equipment</v>
      </c>
      <c r="L4998" s="316" t="str">
        <f t="shared" si="69"/>
        <v>Gasoline</v>
      </c>
      <c r="M4998" s="8"/>
      <c r="N4998" s="2"/>
      <c r="O4998" s="2"/>
      <c r="P4998" s="2"/>
      <c r="Q4998" s="2"/>
      <c r="R4998" s="2"/>
      <c r="S4998" s="2"/>
      <c r="T4998" s="2"/>
      <c r="U4998" s="2"/>
      <c r="V4998" s="2"/>
      <c r="W4998" s="2"/>
      <c r="X4998" s="2"/>
      <c r="Y4998" s="2"/>
      <c r="Z4998" s="2"/>
    </row>
    <row r="4999" spans="1:26" ht="12.75" x14ac:dyDescent="0.2">
      <c r="A4999" s="230"/>
      <c r="B4999" s="18">
        <v>2023</v>
      </c>
      <c r="C4999" s="18" t="s">
        <v>792</v>
      </c>
      <c r="D4999" s="18" t="s">
        <v>1024</v>
      </c>
      <c r="E4999" s="18" t="s">
        <v>56</v>
      </c>
      <c r="F4999" s="18" t="s">
        <v>1025</v>
      </c>
      <c r="G4999" s="18" t="s">
        <v>680</v>
      </c>
      <c r="H4999" s="18" t="s">
        <v>1026</v>
      </c>
      <c r="I4999" s="315">
        <v>3.2463691009350686E-17</v>
      </c>
      <c r="J4999" s="315">
        <v>1.4787324265901356E-21</v>
      </c>
      <c r="K4999" s="316" t="str">
        <f t="shared" si="68"/>
        <v>Airport Ground Support Equipment</v>
      </c>
      <c r="L4999" s="316" t="str">
        <f t="shared" si="69"/>
        <v>LPG</v>
      </c>
      <c r="M4999" s="8"/>
      <c r="N4999" s="2"/>
      <c r="O4999" s="2"/>
      <c r="P4999" s="2"/>
      <c r="Q4999" s="2"/>
      <c r="R4999" s="2"/>
      <c r="S4999" s="2"/>
      <c r="T4999" s="2"/>
      <c r="U4999" s="2"/>
      <c r="V4999" s="2"/>
      <c r="W4999" s="2"/>
      <c r="X4999" s="2"/>
      <c r="Y4999" s="2"/>
      <c r="Z4999" s="2"/>
    </row>
    <row r="5000" spans="1:26" ht="12.75" x14ac:dyDescent="0.2">
      <c r="A5000" s="230"/>
      <c r="B5000" s="18">
        <v>2023</v>
      </c>
      <c r="C5000" s="18" t="s">
        <v>793</v>
      </c>
      <c r="D5000" s="18" t="s">
        <v>1024</v>
      </c>
      <c r="E5000" s="18" t="s">
        <v>56</v>
      </c>
      <c r="F5000" s="18" t="s">
        <v>1025</v>
      </c>
      <c r="G5000" s="18" t="s">
        <v>680</v>
      </c>
      <c r="H5000" s="18" t="s">
        <v>1026</v>
      </c>
      <c r="I5000" s="315">
        <v>3.2463691009350686E-17</v>
      </c>
      <c r="J5000" s="315">
        <v>1.4787324265901356E-21</v>
      </c>
      <c r="K5000" s="316" t="str">
        <f t="shared" si="68"/>
        <v>Airport Ground Support Equipment</v>
      </c>
      <c r="L5000" s="316" t="str">
        <f t="shared" si="69"/>
        <v>LPG</v>
      </c>
      <c r="M5000" s="8"/>
      <c r="N5000" s="2"/>
      <c r="O5000" s="2"/>
      <c r="P5000" s="2"/>
      <c r="Q5000" s="2"/>
      <c r="R5000" s="2"/>
      <c r="S5000" s="2"/>
      <c r="T5000" s="2"/>
      <c r="U5000" s="2"/>
      <c r="V5000" s="2"/>
      <c r="W5000" s="2"/>
      <c r="X5000" s="2"/>
      <c r="Y5000" s="2"/>
      <c r="Z5000" s="2"/>
    </row>
    <row r="5001" spans="1:26" ht="12.75" x14ac:dyDescent="0.2">
      <c r="A5001" s="230"/>
      <c r="B5001" s="18">
        <v>2023</v>
      </c>
      <c r="C5001" s="18" t="s">
        <v>781</v>
      </c>
      <c r="D5001" s="18" t="s">
        <v>1024</v>
      </c>
      <c r="E5001" s="18" t="s">
        <v>56</v>
      </c>
      <c r="F5001" s="18" t="s">
        <v>1025</v>
      </c>
      <c r="G5001" s="18" t="s">
        <v>680</v>
      </c>
      <c r="H5001" s="18" t="s">
        <v>1026</v>
      </c>
      <c r="I5001" s="315">
        <v>3.2463691009350686E-17</v>
      </c>
      <c r="J5001" s="315">
        <v>1.4787324265901356E-21</v>
      </c>
      <c r="K5001" s="316" t="str">
        <f t="shared" si="68"/>
        <v>Airport Ground Support Equipment</v>
      </c>
      <c r="L5001" s="316" t="str">
        <f t="shared" si="69"/>
        <v>LPG</v>
      </c>
      <c r="M5001" s="8"/>
      <c r="N5001" s="2"/>
      <c r="O5001" s="2"/>
      <c r="P5001" s="2"/>
      <c r="Q5001" s="2"/>
      <c r="R5001" s="2"/>
      <c r="S5001" s="2"/>
      <c r="T5001" s="2"/>
      <c r="U5001" s="2"/>
      <c r="V5001" s="2"/>
      <c r="W5001" s="2"/>
      <c r="X5001" s="2"/>
      <c r="Y5001" s="2"/>
      <c r="Z5001" s="2"/>
    </row>
    <row r="5002" spans="1:26" ht="12.75" x14ac:dyDescent="0.2">
      <c r="A5002" s="230"/>
      <c r="B5002" s="18">
        <v>2023</v>
      </c>
      <c r="C5002" s="18" t="s">
        <v>787</v>
      </c>
      <c r="D5002" s="18" t="s">
        <v>1024</v>
      </c>
      <c r="E5002" s="18" t="s">
        <v>56</v>
      </c>
      <c r="F5002" s="18" t="s">
        <v>1025</v>
      </c>
      <c r="G5002" s="18" t="s">
        <v>680</v>
      </c>
      <c r="H5002" s="18" t="s">
        <v>1026</v>
      </c>
      <c r="I5002" s="315">
        <v>3.2463691009350686E-17</v>
      </c>
      <c r="J5002" s="315">
        <v>1.4787324265901356E-21</v>
      </c>
      <c r="K5002" s="316" t="str">
        <f t="shared" si="68"/>
        <v>Airport Ground Support Equipment</v>
      </c>
      <c r="L5002" s="316" t="str">
        <f t="shared" si="69"/>
        <v>LPG</v>
      </c>
      <c r="M5002" s="8"/>
      <c r="N5002" s="2"/>
      <c r="O5002" s="2"/>
      <c r="P5002" s="2"/>
      <c r="Q5002" s="2"/>
      <c r="R5002" s="2"/>
      <c r="S5002" s="2"/>
      <c r="T5002" s="2"/>
      <c r="U5002" s="2"/>
      <c r="V5002" s="2"/>
      <c r="W5002" s="2"/>
      <c r="X5002" s="2"/>
      <c r="Y5002" s="2"/>
      <c r="Z5002" s="2"/>
    </row>
    <row r="5003" spans="1:26" ht="12.75" x14ac:dyDescent="0.2">
      <c r="A5003" s="230"/>
      <c r="B5003" s="18">
        <v>2023</v>
      </c>
      <c r="C5003" s="18" t="s">
        <v>778</v>
      </c>
      <c r="D5003" s="18" t="s">
        <v>1024</v>
      </c>
      <c r="E5003" s="18" t="s">
        <v>56</v>
      </c>
      <c r="F5003" s="18" t="s">
        <v>1025</v>
      </c>
      <c r="G5003" s="18" t="s">
        <v>680</v>
      </c>
      <c r="H5003" s="18" t="s">
        <v>1026</v>
      </c>
      <c r="I5003" s="315">
        <v>3.2463691009350686E-17</v>
      </c>
      <c r="J5003" s="315">
        <v>1.4787324265901356E-21</v>
      </c>
      <c r="K5003" s="316" t="str">
        <f t="shared" si="68"/>
        <v>Airport Ground Support Equipment</v>
      </c>
      <c r="L5003" s="316" t="str">
        <f t="shared" si="69"/>
        <v>LPG</v>
      </c>
      <c r="M5003" s="8"/>
      <c r="N5003" s="2"/>
      <c r="O5003" s="2"/>
      <c r="P5003" s="2"/>
      <c r="Q5003" s="2"/>
      <c r="R5003" s="2"/>
      <c r="S5003" s="2"/>
      <c r="T5003" s="2"/>
      <c r="U5003" s="2"/>
      <c r="V5003" s="2"/>
      <c r="W5003" s="2"/>
      <c r="X5003" s="2"/>
      <c r="Y5003" s="2"/>
      <c r="Z5003" s="2"/>
    </row>
    <row r="5004" spans="1:26" ht="12.75" x14ac:dyDescent="0.2">
      <c r="A5004" s="230"/>
      <c r="B5004" s="18">
        <v>2023</v>
      </c>
      <c r="C5004" s="18" t="s">
        <v>760</v>
      </c>
      <c r="D5004" s="18" t="s">
        <v>1024</v>
      </c>
      <c r="E5004" s="18" t="s">
        <v>56</v>
      </c>
      <c r="F5004" s="18" t="s">
        <v>1025</v>
      </c>
      <c r="G5004" s="18" t="s">
        <v>680</v>
      </c>
      <c r="H5004" s="18" t="s">
        <v>1026</v>
      </c>
      <c r="I5004" s="315">
        <v>3.2463691009350686E-17</v>
      </c>
      <c r="J5004" s="315">
        <v>1.4787324265901356E-21</v>
      </c>
      <c r="K5004" s="316" t="str">
        <f t="shared" si="68"/>
        <v>Airport Ground Support Equipment</v>
      </c>
      <c r="L5004" s="316" t="str">
        <f t="shared" si="69"/>
        <v>LPG</v>
      </c>
      <c r="M5004" s="8"/>
      <c r="N5004" s="2"/>
      <c r="O5004" s="2"/>
      <c r="P5004" s="2"/>
      <c r="Q5004" s="2"/>
      <c r="R5004" s="2"/>
      <c r="S5004" s="2"/>
      <c r="T5004" s="2"/>
      <c r="U5004" s="2"/>
      <c r="V5004" s="2"/>
      <c r="W5004" s="2"/>
      <c r="X5004" s="2"/>
      <c r="Y5004" s="2"/>
      <c r="Z5004" s="2"/>
    </row>
    <row r="5005" spans="1:26" ht="12.75" x14ac:dyDescent="0.2">
      <c r="A5005" s="230"/>
      <c r="B5005" s="18">
        <v>2023</v>
      </c>
      <c r="C5005" s="18" t="s">
        <v>722</v>
      </c>
      <c r="D5005" s="18" t="s">
        <v>1024</v>
      </c>
      <c r="E5005" s="18" t="s">
        <v>56</v>
      </c>
      <c r="F5005" s="18" t="s">
        <v>1025</v>
      </c>
      <c r="G5005" s="18" t="s">
        <v>680</v>
      </c>
      <c r="H5005" s="18" t="s">
        <v>1026</v>
      </c>
      <c r="I5005" s="315">
        <v>3.2463691009350686E-17</v>
      </c>
      <c r="J5005" s="315">
        <v>1.4787324265901356E-21</v>
      </c>
      <c r="K5005" s="316" t="str">
        <f t="shared" si="68"/>
        <v>Airport Ground Support Equipment</v>
      </c>
      <c r="L5005" s="316" t="str">
        <f t="shared" si="69"/>
        <v>LPG</v>
      </c>
      <c r="M5005" s="8"/>
      <c r="N5005" s="2"/>
      <c r="O5005" s="2"/>
      <c r="P5005" s="2"/>
      <c r="Q5005" s="2"/>
      <c r="R5005" s="2"/>
      <c r="S5005" s="2"/>
      <c r="T5005" s="2"/>
      <c r="U5005" s="2"/>
      <c r="V5005" s="2"/>
      <c r="W5005" s="2"/>
      <c r="X5005" s="2"/>
      <c r="Y5005" s="2"/>
      <c r="Z5005" s="2"/>
    </row>
    <row r="5006" spans="1:26" ht="12.75" x14ac:dyDescent="0.2">
      <c r="A5006" s="230"/>
      <c r="B5006" s="18">
        <v>2023</v>
      </c>
      <c r="C5006" s="18" t="s">
        <v>786</v>
      </c>
      <c r="D5006" s="18" t="s">
        <v>1024</v>
      </c>
      <c r="E5006" s="18" t="s">
        <v>56</v>
      </c>
      <c r="F5006" s="18" t="s">
        <v>1025</v>
      </c>
      <c r="G5006" s="18" t="s">
        <v>680</v>
      </c>
      <c r="H5006" s="18" t="s">
        <v>1026</v>
      </c>
      <c r="I5006" s="315">
        <v>3.2463691009350686E-17</v>
      </c>
      <c r="J5006" s="315">
        <v>1.4787324265901356E-21</v>
      </c>
      <c r="K5006" s="316" t="str">
        <f t="shared" si="68"/>
        <v>Airport Ground Support Equipment</v>
      </c>
      <c r="L5006" s="316" t="str">
        <f t="shared" si="69"/>
        <v>LPG</v>
      </c>
      <c r="M5006" s="8"/>
      <c r="N5006" s="2"/>
      <c r="O5006" s="2"/>
      <c r="P5006" s="2"/>
      <c r="Q5006" s="2"/>
      <c r="R5006" s="2"/>
      <c r="S5006" s="2"/>
      <c r="T5006" s="2"/>
      <c r="U5006" s="2"/>
      <c r="V5006" s="2"/>
      <c r="W5006" s="2"/>
      <c r="X5006" s="2"/>
      <c r="Y5006" s="2"/>
      <c r="Z5006" s="2"/>
    </row>
    <row r="5007" spans="1:26" ht="12.75" x14ac:dyDescent="0.2">
      <c r="A5007" s="230"/>
      <c r="B5007" s="18">
        <v>2023</v>
      </c>
      <c r="C5007" s="18" t="s">
        <v>759</v>
      </c>
      <c r="D5007" s="18" t="s">
        <v>1024</v>
      </c>
      <c r="E5007" s="18" t="s">
        <v>56</v>
      </c>
      <c r="F5007" s="18" t="s">
        <v>1025</v>
      </c>
      <c r="G5007" s="18" t="s">
        <v>680</v>
      </c>
      <c r="H5007" s="18" t="s">
        <v>1026</v>
      </c>
      <c r="I5007" s="315">
        <v>3.2463691009350686E-17</v>
      </c>
      <c r="J5007" s="315">
        <v>1.4787324265901356E-21</v>
      </c>
      <c r="K5007" s="316" t="str">
        <f t="shared" si="68"/>
        <v>Airport Ground Support Equipment</v>
      </c>
      <c r="L5007" s="316" t="str">
        <f t="shared" si="69"/>
        <v>LPG</v>
      </c>
      <c r="M5007" s="8"/>
      <c r="N5007" s="2"/>
      <c r="O5007" s="2"/>
      <c r="P5007" s="2"/>
      <c r="Q5007" s="2"/>
      <c r="R5007" s="2"/>
      <c r="S5007" s="2"/>
      <c r="T5007" s="2"/>
      <c r="U5007" s="2"/>
      <c r="V5007" s="2"/>
      <c r="W5007" s="2"/>
      <c r="X5007" s="2"/>
      <c r="Y5007" s="2"/>
      <c r="Z5007" s="2"/>
    </row>
    <row r="5008" spans="1:26" ht="12.75" x14ac:dyDescent="0.2">
      <c r="A5008" s="230"/>
      <c r="B5008" s="18">
        <v>2023</v>
      </c>
      <c r="C5008" s="18" t="s">
        <v>727</v>
      </c>
      <c r="D5008" s="18" t="s">
        <v>1024</v>
      </c>
      <c r="E5008" s="18" t="s">
        <v>56</v>
      </c>
      <c r="F5008" s="18" t="s">
        <v>1025</v>
      </c>
      <c r="G5008" s="18" t="s">
        <v>680</v>
      </c>
      <c r="H5008" s="18" t="s">
        <v>1026</v>
      </c>
      <c r="I5008" s="315">
        <v>3.2463691009350686E-17</v>
      </c>
      <c r="J5008" s="315">
        <v>1.4787324265901356E-21</v>
      </c>
      <c r="K5008" s="316" t="str">
        <f t="shared" si="68"/>
        <v>Airport Ground Support Equipment</v>
      </c>
      <c r="L5008" s="316" t="str">
        <f t="shared" si="69"/>
        <v>LPG</v>
      </c>
      <c r="M5008" s="8"/>
      <c r="N5008" s="2"/>
      <c r="O5008" s="2"/>
      <c r="P5008" s="2"/>
      <c r="Q5008" s="2"/>
      <c r="R5008" s="2"/>
      <c r="S5008" s="2"/>
      <c r="T5008" s="2"/>
      <c r="U5008" s="2"/>
      <c r="V5008" s="2"/>
      <c r="W5008" s="2"/>
      <c r="X5008" s="2"/>
      <c r="Y5008" s="2"/>
      <c r="Z5008" s="2"/>
    </row>
    <row r="5009" spans="1:26" ht="12.75" x14ac:dyDescent="0.2">
      <c r="A5009" s="230"/>
      <c r="B5009" s="18">
        <v>2023</v>
      </c>
      <c r="C5009" s="18" t="s">
        <v>710</v>
      </c>
      <c r="D5009" s="18" t="s">
        <v>1024</v>
      </c>
      <c r="E5009" s="18" t="s">
        <v>56</v>
      </c>
      <c r="F5009" s="18" t="s">
        <v>1025</v>
      </c>
      <c r="G5009" s="18" t="s">
        <v>680</v>
      </c>
      <c r="H5009" s="18" t="s">
        <v>1026</v>
      </c>
      <c r="I5009" s="315">
        <v>3.2463691009350686E-17</v>
      </c>
      <c r="J5009" s="315">
        <v>1.4787324265901356E-21</v>
      </c>
      <c r="K5009" s="316" t="str">
        <f t="shared" si="68"/>
        <v>Airport Ground Support Equipment</v>
      </c>
      <c r="L5009" s="316" t="str">
        <f t="shared" si="69"/>
        <v>LPG</v>
      </c>
      <c r="M5009" s="8"/>
      <c r="N5009" s="2"/>
      <c r="O5009" s="2"/>
      <c r="P5009" s="2"/>
      <c r="Q5009" s="2"/>
      <c r="R5009" s="2"/>
      <c r="S5009" s="2"/>
      <c r="T5009" s="2"/>
      <c r="U5009" s="2"/>
      <c r="V5009" s="2"/>
      <c r="W5009" s="2"/>
      <c r="X5009" s="2"/>
      <c r="Y5009" s="2"/>
      <c r="Z5009" s="2"/>
    </row>
    <row r="5010" spans="1:26" ht="12.75" x14ac:dyDescent="0.2">
      <c r="A5010" s="230"/>
      <c r="B5010" s="18">
        <v>2023</v>
      </c>
      <c r="C5010" s="18" t="s">
        <v>710</v>
      </c>
      <c r="D5010" s="18" t="s">
        <v>1223</v>
      </c>
      <c r="E5010" s="18" t="s">
        <v>713</v>
      </c>
      <c r="F5010" s="18" t="s">
        <v>714</v>
      </c>
      <c r="G5010" s="18" t="s">
        <v>674</v>
      </c>
      <c r="H5010" s="18" t="s">
        <v>1036</v>
      </c>
      <c r="I5010" s="315">
        <v>3.2276962360775026E-17</v>
      </c>
      <c r="J5010" s="315">
        <v>3.156658327967671E-21</v>
      </c>
      <c r="K5010" s="316" t="str">
        <f t="shared" si="68"/>
        <v>Construction and Mining Equipment</v>
      </c>
      <c r="L5010" s="316" t="str">
        <f t="shared" si="69"/>
        <v>Diesel</v>
      </c>
      <c r="M5010" s="8"/>
      <c r="N5010" s="2"/>
      <c r="O5010" s="2"/>
      <c r="P5010" s="2"/>
      <c r="Q5010" s="2"/>
      <c r="R5010" s="2"/>
      <c r="S5010" s="2"/>
      <c r="T5010" s="2"/>
      <c r="U5010" s="2"/>
      <c r="V5010" s="2"/>
      <c r="W5010" s="2"/>
      <c r="X5010" s="2"/>
      <c r="Y5010" s="2"/>
      <c r="Z5010" s="2"/>
    </row>
    <row r="5011" spans="1:26" ht="12.75" x14ac:dyDescent="0.2">
      <c r="A5011" s="230"/>
      <c r="B5011" s="18">
        <v>2023</v>
      </c>
      <c r="C5011" s="18" t="s">
        <v>710</v>
      </c>
      <c r="D5011" s="18" t="s">
        <v>1227</v>
      </c>
      <c r="E5011" s="18" t="s">
        <v>56</v>
      </c>
      <c r="F5011" s="18" t="s">
        <v>672</v>
      </c>
      <c r="G5011" s="18" t="s">
        <v>674</v>
      </c>
      <c r="H5011" s="18" t="s">
        <v>850</v>
      </c>
      <c r="I5011" s="315">
        <v>3.0324927783522377E-17</v>
      </c>
      <c r="J5011" s="315">
        <v>1.9473470147972124E-21</v>
      </c>
      <c r="K5011" s="316" t="str">
        <f t="shared" si="68"/>
        <v>Construction and Mining Equipment</v>
      </c>
      <c r="L5011" s="316" t="str">
        <f t="shared" si="69"/>
        <v>LPG</v>
      </c>
      <c r="M5011" s="8"/>
      <c r="N5011" s="2"/>
      <c r="O5011" s="2"/>
      <c r="P5011" s="2"/>
      <c r="Q5011" s="2"/>
      <c r="R5011" s="2"/>
      <c r="S5011" s="2"/>
      <c r="T5011" s="2"/>
      <c r="U5011" s="2"/>
      <c r="V5011" s="2"/>
      <c r="W5011" s="2"/>
      <c r="X5011" s="2"/>
      <c r="Y5011" s="2"/>
      <c r="Z5011" s="2"/>
    </row>
    <row r="5012" spans="1:26" ht="12.75" x14ac:dyDescent="0.2">
      <c r="A5012" s="230"/>
      <c r="B5012" s="18">
        <v>2023</v>
      </c>
      <c r="C5012" s="18" t="s">
        <v>710</v>
      </c>
      <c r="D5012" s="18" t="s">
        <v>1247</v>
      </c>
      <c r="E5012" s="18" t="s">
        <v>56</v>
      </c>
      <c r="F5012" s="18" t="s">
        <v>672</v>
      </c>
      <c r="G5012" s="18" t="s">
        <v>674</v>
      </c>
      <c r="H5012" s="18" t="s">
        <v>967</v>
      </c>
      <c r="I5012" s="315">
        <v>2.8774765724920187E-17</v>
      </c>
      <c r="J5012" s="315">
        <v>1.3594651948297759E-21</v>
      </c>
      <c r="K5012" s="316" t="str">
        <f t="shared" si="68"/>
        <v>Construction and Mining Equipment</v>
      </c>
      <c r="L5012" s="316" t="str">
        <f t="shared" si="69"/>
        <v>LPG</v>
      </c>
      <c r="M5012" s="8"/>
      <c r="N5012" s="2"/>
      <c r="O5012" s="2"/>
      <c r="P5012" s="2"/>
      <c r="Q5012" s="2"/>
      <c r="R5012" s="2"/>
      <c r="S5012" s="2"/>
      <c r="T5012" s="2"/>
      <c r="U5012" s="2"/>
      <c r="V5012" s="2"/>
      <c r="W5012" s="2"/>
      <c r="X5012" s="2"/>
      <c r="Y5012" s="2"/>
      <c r="Z5012" s="2"/>
    </row>
    <row r="5013" spans="1:26" ht="12.75" x14ac:dyDescent="0.2">
      <c r="A5013" s="230"/>
      <c r="B5013" s="18">
        <v>2023</v>
      </c>
      <c r="C5013" s="18" t="s">
        <v>710</v>
      </c>
      <c r="D5013" s="18" t="s">
        <v>1248</v>
      </c>
      <c r="E5013" s="18" t="s">
        <v>703</v>
      </c>
      <c r="F5013" s="18" t="s">
        <v>704</v>
      </c>
      <c r="G5013" s="18" t="s">
        <v>674</v>
      </c>
      <c r="H5013" s="18" t="s">
        <v>959</v>
      </c>
      <c r="I5013" s="315">
        <v>2.872925352430629E-17</v>
      </c>
      <c r="J5013" s="315">
        <v>1.9209585234521251E-20</v>
      </c>
      <c r="K5013" s="316" t="str">
        <f t="shared" si="68"/>
        <v>Construction and Mining Equipment</v>
      </c>
      <c r="L5013" s="316" t="str">
        <f t="shared" si="69"/>
        <v>Gasoline</v>
      </c>
      <c r="M5013" s="8"/>
      <c r="N5013" s="2"/>
      <c r="O5013" s="2"/>
      <c r="P5013" s="2"/>
      <c r="Q5013" s="2"/>
      <c r="R5013" s="2"/>
      <c r="S5013" s="2"/>
      <c r="T5013" s="2"/>
      <c r="U5013" s="2"/>
      <c r="V5013" s="2"/>
      <c r="W5013" s="2"/>
      <c r="X5013" s="2"/>
      <c r="Y5013" s="2"/>
      <c r="Z5013" s="2"/>
    </row>
    <row r="5014" spans="1:26" ht="12.75" x14ac:dyDescent="0.2">
      <c r="A5014" s="230"/>
      <c r="B5014" s="18">
        <v>2023</v>
      </c>
      <c r="C5014" s="18" t="s">
        <v>710</v>
      </c>
      <c r="D5014" s="18" t="s">
        <v>1409</v>
      </c>
      <c r="E5014" s="18" t="s">
        <v>703</v>
      </c>
      <c r="F5014" s="18" t="s">
        <v>704</v>
      </c>
      <c r="G5014" s="18" t="s">
        <v>678</v>
      </c>
      <c r="H5014" s="18" t="s">
        <v>1222</v>
      </c>
      <c r="I5014" s="315">
        <v>2.6365798384873763E-17</v>
      </c>
      <c r="J5014" s="315">
        <v>1.7419132329169106E-20</v>
      </c>
      <c r="K5014" s="316" t="str">
        <f t="shared" si="68"/>
        <v>Agricultural Equipment</v>
      </c>
      <c r="L5014" s="316" t="str">
        <f t="shared" si="69"/>
        <v>Gasoline</v>
      </c>
      <c r="M5014" s="8"/>
      <c r="N5014" s="2"/>
      <c r="O5014" s="2"/>
      <c r="P5014" s="2"/>
      <c r="Q5014" s="2"/>
      <c r="R5014" s="2"/>
      <c r="S5014" s="2"/>
      <c r="T5014" s="2"/>
      <c r="U5014" s="2"/>
      <c r="V5014" s="2"/>
      <c r="W5014" s="2"/>
      <c r="X5014" s="2"/>
      <c r="Y5014" s="2"/>
      <c r="Z5014" s="2"/>
    </row>
    <row r="5015" spans="1:26" ht="12.75" x14ac:dyDescent="0.2">
      <c r="A5015" s="230"/>
      <c r="B5015" s="18">
        <v>2023</v>
      </c>
      <c r="C5015" s="18" t="s">
        <v>710</v>
      </c>
      <c r="D5015" s="18" t="s">
        <v>1281</v>
      </c>
      <c r="E5015" s="18" t="s">
        <v>703</v>
      </c>
      <c r="F5015" s="18" t="s">
        <v>704</v>
      </c>
      <c r="G5015" s="18" t="s">
        <v>674</v>
      </c>
      <c r="H5015" s="18" t="s">
        <v>770</v>
      </c>
      <c r="I5015" s="315">
        <v>2.5033201163111791E-17</v>
      </c>
      <c r="J5015" s="315">
        <v>2.761529087814973E-21</v>
      </c>
      <c r="K5015" s="316" t="str">
        <f t="shared" si="68"/>
        <v>Construction and Mining Equipment</v>
      </c>
      <c r="L5015" s="316" t="str">
        <f t="shared" si="69"/>
        <v>Gasoline</v>
      </c>
      <c r="M5015" s="8"/>
      <c r="N5015" s="2"/>
      <c r="O5015" s="2"/>
      <c r="P5015" s="2"/>
      <c r="Q5015" s="2"/>
      <c r="R5015" s="2"/>
      <c r="S5015" s="2"/>
      <c r="T5015" s="2"/>
      <c r="U5015" s="2"/>
      <c r="V5015" s="2"/>
      <c r="W5015" s="2"/>
      <c r="X5015" s="2"/>
      <c r="Y5015" s="2"/>
      <c r="Z5015" s="2"/>
    </row>
    <row r="5016" spans="1:26" ht="12.75" x14ac:dyDescent="0.2">
      <c r="A5016" s="230"/>
      <c r="B5016" s="18">
        <v>2023</v>
      </c>
      <c r="C5016" s="18" t="s">
        <v>710</v>
      </c>
      <c r="D5016" s="18" t="s">
        <v>1394</v>
      </c>
      <c r="E5016" s="18" t="s">
        <v>703</v>
      </c>
      <c r="F5016" s="18" t="s">
        <v>805</v>
      </c>
      <c r="G5016" s="18" t="s">
        <v>681</v>
      </c>
      <c r="H5016" s="18" t="s">
        <v>1395</v>
      </c>
      <c r="I5016" s="315">
        <v>2.3762942462795887E-17</v>
      </c>
      <c r="J5016" s="315">
        <v>4.1160133228233886E-20</v>
      </c>
      <c r="K5016" s="316" t="str">
        <f t="shared" si="68"/>
        <v>Logging Equipment</v>
      </c>
      <c r="L5016" s="316" t="str">
        <f t="shared" si="69"/>
        <v>Gasoline</v>
      </c>
      <c r="M5016" s="8"/>
      <c r="N5016" s="2"/>
      <c r="O5016" s="2"/>
      <c r="P5016" s="2"/>
      <c r="Q5016" s="2"/>
      <c r="R5016" s="2"/>
      <c r="S5016" s="2"/>
      <c r="T5016" s="2"/>
      <c r="U5016" s="2"/>
      <c r="V5016" s="2"/>
      <c r="W5016" s="2"/>
      <c r="X5016" s="2"/>
      <c r="Y5016" s="2"/>
      <c r="Z5016" s="2"/>
    </row>
    <row r="5017" spans="1:26" ht="12.75" x14ac:dyDescent="0.2">
      <c r="A5017" s="230"/>
      <c r="B5017" s="18">
        <v>2023</v>
      </c>
      <c r="C5017" s="18" t="s">
        <v>710</v>
      </c>
      <c r="D5017" s="18" t="s">
        <v>1428</v>
      </c>
      <c r="E5017" s="18" t="s">
        <v>56</v>
      </c>
      <c r="F5017" s="18" t="s">
        <v>601</v>
      </c>
      <c r="G5017" s="18" t="s">
        <v>678</v>
      </c>
      <c r="H5017" s="18" t="s">
        <v>1154</v>
      </c>
      <c r="I5017" s="315">
        <v>2.3404933113241906E-17</v>
      </c>
      <c r="J5017" s="315">
        <v>9.5184269797363613E-20</v>
      </c>
      <c r="K5017" s="316" t="str">
        <f t="shared" si="68"/>
        <v>Agricultural Equipment</v>
      </c>
      <c r="L5017" s="316" t="str">
        <f t="shared" si="69"/>
        <v>CNG</v>
      </c>
      <c r="M5017" s="8"/>
      <c r="N5017" s="2"/>
      <c r="O5017" s="2"/>
      <c r="P5017" s="2"/>
      <c r="Q5017" s="2"/>
      <c r="R5017" s="2"/>
      <c r="S5017" s="2"/>
      <c r="T5017" s="2"/>
      <c r="U5017" s="2"/>
      <c r="V5017" s="2"/>
      <c r="W5017" s="2"/>
      <c r="X5017" s="2"/>
      <c r="Y5017" s="2"/>
      <c r="Z5017" s="2"/>
    </row>
    <row r="5018" spans="1:26" ht="12.75" x14ac:dyDescent="0.2">
      <c r="A5018" s="230"/>
      <c r="B5018" s="18">
        <v>2023</v>
      </c>
      <c r="C5018" s="18" t="s">
        <v>793</v>
      </c>
      <c r="D5018" s="18" t="s">
        <v>1405</v>
      </c>
      <c r="E5018" s="18" t="s">
        <v>56</v>
      </c>
      <c r="F5018" s="18" t="s">
        <v>1025</v>
      </c>
      <c r="G5018" s="18" t="s">
        <v>679</v>
      </c>
      <c r="H5018" s="18" t="s">
        <v>1406</v>
      </c>
      <c r="I5018" s="315">
        <v>2.2675037331993565E-17</v>
      </c>
      <c r="J5018" s="315">
        <v>7.8435806937658299E-21</v>
      </c>
      <c r="K5018" s="316" t="str">
        <f t="shared" si="68"/>
        <v>Recreational Equipment</v>
      </c>
      <c r="L5018" s="316" t="str">
        <f t="shared" si="69"/>
        <v>LPG</v>
      </c>
      <c r="M5018" s="8"/>
      <c r="N5018" s="2"/>
      <c r="O5018" s="2"/>
      <c r="P5018" s="2"/>
      <c r="Q5018" s="2"/>
      <c r="R5018" s="2"/>
      <c r="S5018" s="2"/>
      <c r="T5018" s="2"/>
      <c r="U5018" s="2"/>
      <c r="V5018" s="2"/>
      <c r="W5018" s="2"/>
      <c r="X5018" s="2"/>
      <c r="Y5018" s="2"/>
      <c r="Z5018" s="2"/>
    </row>
    <row r="5019" spans="1:26" ht="12.75" x14ac:dyDescent="0.2">
      <c r="A5019" s="230"/>
      <c r="B5019" s="18">
        <v>2023</v>
      </c>
      <c r="C5019" s="18" t="s">
        <v>759</v>
      </c>
      <c r="D5019" s="18" t="s">
        <v>1405</v>
      </c>
      <c r="E5019" s="18" t="s">
        <v>56</v>
      </c>
      <c r="F5019" s="18" t="s">
        <v>1025</v>
      </c>
      <c r="G5019" s="18" t="s">
        <v>679</v>
      </c>
      <c r="H5019" s="18" t="s">
        <v>1406</v>
      </c>
      <c r="I5019" s="315">
        <v>2.2675037331993565E-17</v>
      </c>
      <c r="J5019" s="315">
        <v>7.8435806937658299E-21</v>
      </c>
      <c r="K5019" s="316" t="str">
        <f t="shared" si="68"/>
        <v>Recreational Equipment</v>
      </c>
      <c r="L5019" s="316" t="str">
        <f t="shared" si="69"/>
        <v>LPG</v>
      </c>
      <c r="M5019" s="8"/>
      <c r="N5019" s="2"/>
      <c r="O5019" s="2"/>
      <c r="P5019" s="2"/>
      <c r="Q5019" s="2"/>
      <c r="R5019" s="2"/>
      <c r="S5019" s="2"/>
      <c r="T5019" s="2"/>
      <c r="U5019" s="2"/>
      <c r="V5019" s="2"/>
      <c r="W5019" s="2"/>
      <c r="X5019" s="2"/>
      <c r="Y5019" s="2"/>
      <c r="Z5019" s="2"/>
    </row>
    <row r="5020" spans="1:26" ht="12.75" x14ac:dyDescent="0.2">
      <c r="A5020" s="230"/>
      <c r="B5020" s="18">
        <v>2023</v>
      </c>
      <c r="C5020" s="18" t="s">
        <v>753</v>
      </c>
      <c r="D5020" s="18" t="s">
        <v>1405</v>
      </c>
      <c r="E5020" s="18" t="s">
        <v>56</v>
      </c>
      <c r="F5020" s="18" t="s">
        <v>1025</v>
      </c>
      <c r="G5020" s="18" t="s">
        <v>679</v>
      </c>
      <c r="H5020" s="18" t="s">
        <v>1406</v>
      </c>
      <c r="I5020" s="315">
        <v>2.2675037331993565E-17</v>
      </c>
      <c r="J5020" s="315">
        <v>7.8435806937658299E-21</v>
      </c>
      <c r="K5020" s="316" t="str">
        <f t="shared" si="68"/>
        <v>Recreational Equipment</v>
      </c>
      <c r="L5020" s="316" t="str">
        <f t="shared" si="69"/>
        <v>LPG</v>
      </c>
      <c r="M5020" s="8"/>
      <c r="N5020" s="2"/>
      <c r="O5020" s="2"/>
      <c r="P5020" s="2"/>
      <c r="Q5020" s="2"/>
      <c r="R5020" s="2"/>
      <c r="S5020" s="2"/>
      <c r="T5020" s="2"/>
      <c r="U5020" s="2"/>
      <c r="V5020" s="2"/>
      <c r="W5020" s="2"/>
      <c r="X5020" s="2"/>
      <c r="Y5020" s="2"/>
      <c r="Z5020" s="2"/>
    </row>
    <row r="5021" spans="1:26" ht="12.75" x14ac:dyDescent="0.2">
      <c r="A5021" s="230"/>
      <c r="B5021" s="18">
        <v>2023</v>
      </c>
      <c r="C5021" s="18" t="s">
        <v>710</v>
      </c>
      <c r="D5021" s="18" t="s">
        <v>1405</v>
      </c>
      <c r="E5021" s="18" t="s">
        <v>56</v>
      </c>
      <c r="F5021" s="18" t="s">
        <v>1025</v>
      </c>
      <c r="G5021" s="18" t="s">
        <v>679</v>
      </c>
      <c r="H5021" s="18" t="s">
        <v>1406</v>
      </c>
      <c r="I5021" s="315">
        <v>2.2675037331993565E-17</v>
      </c>
      <c r="J5021" s="315">
        <v>7.8435806937658299E-21</v>
      </c>
      <c r="K5021" s="316" t="str">
        <f t="shared" si="68"/>
        <v>Recreational Equipment</v>
      </c>
      <c r="L5021" s="316" t="str">
        <f t="shared" si="69"/>
        <v>LPG</v>
      </c>
      <c r="M5021" s="8"/>
      <c r="N5021" s="2"/>
      <c r="O5021" s="2"/>
      <c r="P5021" s="2"/>
      <c r="Q5021" s="2"/>
      <c r="R5021" s="2"/>
      <c r="S5021" s="2"/>
      <c r="T5021" s="2"/>
      <c r="U5021" s="2"/>
      <c r="V5021" s="2"/>
      <c r="W5021" s="2"/>
      <c r="X5021" s="2"/>
      <c r="Y5021" s="2"/>
      <c r="Z5021" s="2"/>
    </row>
    <row r="5022" spans="1:26" ht="12.75" x14ac:dyDescent="0.2">
      <c r="A5022" s="230"/>
      <c r="B5022" s="18">
        <v>2023</v>
      </c>
      <c r="C5022" s="18" t="s">
        <v>710</v>
      </c>
      <c r="D5022" s="18" t="s">
        <v>1295</v>
      </c>
      <c r="E5022" s="18" t="s">
        <v>703</v>
      </c>
      <c r="F5022" s="18" t="s">
        <v>704</v>
      </c>
      <c r="G5022" s="18" t="s">
        <v>674</v>
      </c>
      <c r="H5022" s="18" t="s">
        <v>859</v>
      </c>
      <c r="I5022" s="315">
        <v>2.2255787774580896E-17</v>
      </c>
      <c r="J5022" s="315">
        <v>7.1855007611872457E-21</v>
      </c>
      <c r="K5022" s="316" t="str">
        <f t="shared" si="68"/>
        <v>Construction and Mining Equipment</v>
      </c>
      <c r="L5022" s="316" t="str">
        <f t="shared" si="69"/>
        <v>Gasoline</v>
      </c>
      <c r="M5022" s="8"/>
      <c r="N5022" s="2"/>
      <c r="O5022" s="2"/>
      <c r="P5022" s="2"/>
      <c r="Q5022" s="2"/>
      <c r="R5022" s="2"/>
      <c r="S5022" s="2"/>
      <c r="T5022" s="2"/>
      <c r="U5022" s="2"/>
      <c r="V5022" s="2"/>
      <c r="W5022" s="2"/>
      <c r="X5022" s="2"/>
      <c r="Y5022" s="2"/>
      <c r="Z5022" s="2"/>
    </row>
    <row r="5023" spans="1:26" ht="12.75" x14ac:dyDescent="0.2">
      <c r="A5023" s="230"/>
      <c r="B5023" s="18">
        <v>2023</v>
      </c>
      <c r="C5023" s="18" t="s">
        <v>710</v>
      </c>
      <c r="D5023" s="18" t="s">
        <v>1440</v>
      </c>
      <c r="E5023" s="18" t="s">
        <v>703</v>
      </c>
      <c r="F5023" s="18" t="s">
        <v>704</v>
      </c>
      <c r="G5023" s="18" t="s">
        <v>678</v>
      </c>
      <c r="H5023" s="18" t="s">
        <v>1154</v>
      </c>
      <c r="I5023" s="315">
        <v>1.9959305453853354E-17</v>
      </c>
      <c r="J5023" s="315">
        <v>2.0158891969390711E-21</v>
      </c>
      <c r="K5023" s="316" t="str">
        <f t="shared" si="68"/>
        <v>Agricultural Equipment</v>
      </c>
      <c r="L5023" s="316" t="str">
        <f t="shared" si="69"/>
        <v>Gasoline</v>
      </c>
      <c r="M5023" s="8"/>
      <c r="N5023" s="2"/>
      <c r="O5023" s="2"/>
      <c r="P5023" s="2"/>
      <c r="Q5023" s="2"/>
      <c r="R5023" s="2"/>
      <c r="S5023" s="2"/>
      <c r="T5023" s="2"/>
      <c r="U5023" s="2"/>
      <c r="V5023" s="2"/>
      <c r="W5023" s="2"/>
      <c r="X5023" s="2"/>
      <c r="Y5023" s="2"/>
      <c r="Z5023" s="2"/>
    </row>
    <row r="5024" spans="1:26" ht="12.75" x14ac:dyDescent="0.2">
      <c r="A5024" s="230"/>
      <c r="B5024" s="18">
        <v>2023</v>
      </c>
      <c r="C5024" s="18" t="s">
        <v>710</v>
      </c>
      <c r="D5024" s="18" t="s">
        <v>1339</v>
      </c>
      <c r="E5024" s="18" t="s">
        <v>56</v>
      </c>
      <c r="F5024" s="18" t="s">
        <v>672</v>
      </c>
      <c r="G5024" s="18" t="s">
        <v>674</v>
      </c>
      <c r="H5024" s="18" t="s">
        <v>770</v>
      </c>
      <c r="I5024" s="315">
        <v>1.9350517454037736E-17</v>
      </c>
      <c r="J5024" s="315">
        <v>1.4288917447550452E-21</v>
      </c>
      <c r="K5024" s="316" t="str">
        <f t="shared" si="68"/>
        <v>Construction and Mining Equipment</v>
      </c>
      <c r="L5024" s="316" t="str">
        <f t="shared" si="69"/>
        <v>LPG</v>
      </c>
      <c r="M5024" s="8"/>
      <c r="N5024" s="2"/>
      <c r="O5024" s="2"/>
      <c r="P5024" s="2"/>
      <c r="Q5024" s="2"/>
      <c r="R5024" s="2"/>
      <c r="S5024" s="2"/>
      <c r="T5024" s="2"/>
      <c r="U5024" s="2"/>
      <c r="V5024" s="2"/>
      <c r="W5024" s="2"/>
      <c r="X5024" s="2"/>
      <c r="Y5024" s="2"/>
      <c r="Z5024" s="2"/>
    </row>
    <row r="5025" spans="1:26" ht="12.75" x14ac:dyDescent="0.2">
      <c r="A5025" s="230"/>
      <c r="B5025" s="18">
        <v>2023</v>
      </c>
      <c r="C5025" s="18" t="s">
        <v>710</v>
      </c>
      <c r="D5025" s="18" t="s">
        <v>1460</v>
      </c>
      <c r="E5025" s="18" t="s">
        <v>703</v>
      </c>
      <c r="F5025" s="18" t="s">
        <v>704</v>
      </c>
      <c r="G5025" s="18" t="s">
        <v>678</v>
      </c>
      <c r="H5025" s="18" t="s">
        <v>1080</v>
      </c>
      <c r="I5025" s="315">
        <v>1.7567521508635469E-17</v>
      </c>
      <c r="J5025" s="315">
        <v>1.0692924692820384E-20</v>
      </c>
      <c r="K5025" s="316" t="str">
        <f t="shared" si="68"/>
        <v>Agricultural Equipment</v>
      </c>
      <c r="L5025" s="316" t="str">
        <f t="shared" si="69"/>
        <v>Gasoline</v>
      </c>
      <c r="M5025" s="8"/>
      <c r="N5025" s="2"/>
      <c r="O5025" s="2"/>
      <c r="P5025" s="2"/>
      <c r="Q5025" s="2"/>
      <c r="R5025" s="2"/>
      <c r="S5025" s="2"/>
      <c r="T5025" s="2"/>
      <c r="U5025" s="2"/>
      <c r="V5025" s="2"/>
      <c r="W5025" s="2"/>
      <c r="X5025" s="2"/>
      <c r="Y5025" s="2"/>
      <c r="Z5025" s="2"/>
    </row>
    <row r="5026" spans="1:26" ht="12.75" x14ac:dyDescent="0.2">
      <c r="A5026" s="230"/>
      <c r="B5026" s="18">
        <v>2023</v>
      </c>
      <c r="C5026" s="18" t="s">
        <v>710</v>
      </c>
      <c r="D5026" s="18" t="s">
        <v>1360</v>
      </c>
      <c r="E5026" s="18" t="s">
        <v>713</v>
      </c>
      <c r="F5026" s="18" t="s">
        <v>714</v>
      </c>
      <c r="G5026" s="18" t="s">
        <v>674</v>
      </c>
      <c r="H5026" s="18" t="s">
        <v>1220</v>
      </c>
      <c r="I5026" s="315">
        <v>1.700034311174736E-17</v>
      </c>
      <c r="J5026" s="315">
        <v>7.5624045472890073E-22</v>
      </c>
      <c r="K5026" s="316" t="str">
        <f t="shared" si="68"/>
        <v>Construction and Mining Equipment</v>
      </c>
      <c r="L5026" s="316" t="str">
        <f t="shared" si="69"/>
        <v>Diesel</v>
      </c>
      <c r="M5026" s="8"/>
      <c r="N5026" s="2"/>
      <c r="O5026" s="2"/>
      <c r="P5026" s="2"/>
      <c r="Q5026" s="2"/>
      <c r="R5026" s="2"/>
      <c r="S5026" s="2"/>
      <c r="T5026" s="2"/>
      <c r="U5026" s="2"/>
      <c r="V5026" s="2"/>
      <c r="W5026" s="2"/>
      <c r="X5026" s="2"/>
      <c r="Y5026" s="2"/>
      <c r="Z5026" s="2"/>
    </row>
    <row r="5027" spans="1:26" ht="12.75" x14ac:dyDescent="0.2">
      <c r="A5027" s="230"/>
      <c r="B5027" s="18">
        <v>2023</v>
      </c>
      <c r="C5027" s="18" t="s">
        <v>793</v>
      </c>
      <c r="D5027" s="18" t="s">
        <v>1403</v>
      </c>
      <c r="E5027" s="18" t="s">
        <v>703</v>
      </c>
      <c r="F5027" s="18" t="s">
        <v>683</v>
      </c>
      <c r="G5027" s="18" t="s">
        <v>1404</v>
      </c>
      <c r="H5027" s="18" t="s">
        <v>1002</v>
      </c>
      <c r="I5027" s="315">
        <v>1.6979321275214468E-17</v>
      </c>
      <c r="J5027" s="315">
        <v>1.0961639897104787E-20</v>
      </c>
      <c r="K5027" s="316" t="str">
        <f t="shared" si="68"/>
        <v>Railroad Equipment</v>
      </c>
      <c r="L5027" s="316" t="str">
        <f t="shared" si="69"/>
        <v>Gasoline</v>
      </c>
      <c r="M5027" s="8"/>
      <c r="N5027" s="2"/>
      <c r="O5027" s="2"/>
      <c r="P5027" s="2"/>
      <c r="Q5027" s="2"/>
      <c r="R5027" s="2"/>
      <c r="S5027" s="2"/>
      <c r="T5027" s="2"/>
      <c r="U5027" s="2"/>
      <c r="V5027" s="2"/>
      <c r="W5027" s="2"/>
      <c r="X5027" s="2"/>
      <c r="Y5027" s="2"/>
      <c r="Z5027" s="2"/>
    </row>
    <row r="5028" spans="1:26" ht="12.75" x14ac:dyDescent="0.2">
      <c r="A5028" s="230"/>
      <c r="B5028" s="18">
        <v>2023</v>
      </c>
      <c r="C5028" s="18" t="s">
        <v>781</v>
      </c>
      <c r="D5028" s="18" t="s">
        <v>1403</v>
      </c>
      <c r="E5028" s="18" t="s">
        <v>703</v>
      </c>
      <c r="F5028" s="18" t="s">
        <v>683</v>
      </c>
      <c r="G5028" s="18" t="s">
        <v>1404</v>
      </c>
      <c r="H5028" s="18" t="s">
        <v>1002</v>
      </c>
      <c r="I5028" s="315">
        <v>1.6979321275214468E-17</v>
      </c>
      <c r="J5028" s="315">
        <v>1.0967562743040885E-20</v>
      </c>
      <c r="K5028" s="316" t="str">
        <f t="shared" si="68"/>
        <v>Railroad Equipment</v>
      </c>
      <c r="L5028" s="316" t="str">
        <f t="shared" si="69"/>
        <v>Gasoline</v>
      </c>
      <c r="M5028" s="8"/>
      <c r="N5028" s="2"/>
      <c r="O5028" s="2"/>
      <c r="P5028" s="2"/>
      <c r="Q5028" s="2"/>
      <c r="R5028" s="2"/>
      <c r="S5028" s="2"/>
      <c r="T5028" s="2"/>
      <c r="U5028" s="2"/>
      <c r="V5028" s="2"/>
      <c r="W5028" s="2"/>
      <c r="X5028" s="2"/>
      <c r="Y5028" s="2"/>
      <c r="Z5028" s="2"/>
    </row>
    <row r="5029" spans="1:26" ht="12.75" x14ac:dyDescent="0.2">
      <c r="A5029" s="230"/>
      <c r="B5029" s="18">
        <v>2023</v>
      </c>
      <c r="C5029" s="18" t="s">
        <v>731</v>
      </c>
      <c r="D5029" s="18" t="s">
        <v>1403</v>
      </c>
      <c r="E5029" s="18" t="s">
        <v>703</v>
      </c>
      <c r="F5029" s="18" t="s">
        <v>683</v>
      </c>
      <c r="G5029" s="18" t="s">
        <v>1404</v>
      </c>
      <c r="H5029" s="18" t="s">
        <v>1002</v>
      </c>
      <c r="I5029" s="315">
        <v>1.6979321275214468E-17</v>
      </c>
      <c r="J5029" s="315">
        <v>1.0953178980013247E-20</v>
      </c>
      <c r="K5029" s="316" t="str">
        <f t="shared" si="68"/>
        <v>Railroad Equipment</v>
      </c>
      <c r="L5029" s="316" t="str">
        <f t="shared" si="69"/>
        <v>Gasoline</v>
      </c>
      <c r="M5029" s="8"/>
      <c r="N5029" s="2"/>
      <c r="O5029" s="2"/>
      <c r="P5029" s="2"/>
      <c r="Q5029" s="2"/>
      <c r="R5029" s="2"/>
      <c r="S5029" s="2"/>
      <c r="T5029" s="2"/>
      <c r="U5029" s="2"/>
      <c r="V5029" s="2"/>
      <c r="W5029" s="2"/>
      <c r="X5029" s="2"/>
      <c r="Y5029" s="2"/>
      <c r="Z5029" s="2"/>
    </row>
    <row r="5030" spans="1:26" ht="12.75" x14ac:dyDescent="0.2">
      <c r="A5030" s="230"/>
      <c r="B5030" s="18">
        <v>2023</v>
      </c>
      <c r="C5030" s="18" t="s">
        <v>786</v>
      </c>
      <c r="D5030" s="18" t="s">
        <v>1403</v>
      </c>
      <c r="E5030" s="18" t="s">
        <v>703</v>
      </c>
      <c r="F5030" s="18" t="s">
        <v>683</v>
      </c>
      <c r="G5030" s="18" t="s">
        <v>1404</v>
      </c>
      <c r="H5030" s="18" t="s">
        <v>1002</v>
      </c>
      <c r="I5030" s="315">
        <v>1.6979321275214468E-17</v>
      </c>
      <c r="J5030" s="315">
        <v>1.0987357301085785E-20</v>
      </c>
      <c r="K5030" s="316" t="str">
        <f t="shared" si="68"/>
        <v>Railroad Equipment</v>
      </c>
      <c r="L5030" s="316" t="str">
        <f t="shared" si="69"/>
        <v>Gasoline</v>
      </c>
      <c r="M5030" s="8"/>
      <c r="N5030" s="2"/>
      <c r="O5030" s="2"/>
      <c r="P5030" s="2"/>
      <c r="Q5030" s="2"/>
      <c r="R5030" s="2"/>
      <c r="S5030" s="2"/>
      <c r="T5030" s="2"/>
      <c r="U5030" s="2"/>
      <c r="V5030" s="2"/>
      <c r="W5030" s="2"/>
      <c r="X5030" s="2"/>
      <c r="Y5030" s="2"/>
      <c r="Z5030" s="2"/>
    </row>
    <row r="5031" spans="1:26" ht="12.75" x14ac:dyDescent="0.2">
      <c r="A5031" s="230"/>
      <c r="B5031" s="18">
        <v>2023</v>
      </c>
      <c r="C5031" s="18" t="s">
        <v>762</v>
      </c>
      <c r="D5031" s="18" t="s">
        <v>1403</v>
      </c>
      <c r="E5031" s="18" t="s">
        <v>703</v>
      </c>
      <c r="F5031" s="18" t="s">
        <v>683</v>
      </c>
      <c r="G5031" s="18" t="s">
        <v>1404</v>
      </c>
      <c r="H5031" s="18" t="s">
        <v>1002</v>
      </c>
      <c r="I5031" s="315">
        <v>1.6979321275214468E-17</v>
      </c>
      <c r="J5031" s="315">
        <v>1.0975018192966861E-20</v>
      </c>
      <c r="K5031" s="316" t="str">
        <f t="shared" si="68"/>
        <v>Railroad Equipment</v>
      </c>
      <c r="L5031" s="316" t="str">
        <f t="shared" si="69"/>
        <v>Gasoline</v>
      </c>
      <c r="M5031" s="8"/>
      <c r="N5031" s="2"/>
      <c r="O5031" s="2"/>
      <c r="P5031" s="2"/>
      <c r="Q5031" s="2"/>
      <c r="R5031" s="2"/>
      <c r="S5031" s="2"/>
      <c r="T5031" s="2"/>
      <c r="U5031" s="2"/>
      <c r="V5031" s="2"/>
      <c r="W5031" s="2"/>
      <c r="X5031" s="2"/>
      <c r="Y5031" s="2"/>
      <c r="Z5031" s="2"/>
    </row>
    <row r="5032" spans="1:26" ht="12.75" x14ac:dyDescent="0.2">
      <c r="A5032" s="230"/>
      <c r="B5032" s="18">
        <v>2023</v>
      </c>
      <c r="C5032" s="18" t="s">
        <v>750</v>
      </c>
      <c r="D5032" s="18" t="s">
        <v>1403</v>
      </c>
      <c r="E5032" s="18" t="s">
        <v>703</v>
      </c>
      <c r="F5032" s="18" t="s">
        <v>683</v>
      </c>
      <c r="G5032" s="18" t="s">
        <v>1404</v>
      </c>
      <c r="H5032" s="18" t="s">
        <v>1002</v>
      </c>
      <c r="I5032" s="315">
        <v>1.6979321275214468E-17</v>
      </c>
      <c r="J5032" s="315">
        <v>1.0955824974888463E-20</v>
      </c>
      <c r="K5032" s="316" t="str">
        <f t="shared" si="68"/>
        <v>Railroad Equipment</v>
      </c>
      <c r="L5032" s="316" t="str">
        <f t="shared" si="69"/>
        <v>Gasoline</v>
      </c>
      <c r="M5032" s="8"/>
      <c r="N5032" s="2"/>
      <c r="O5032" s="2"/>
      <c r="P5032" s="2"/>
      <c r="Q5032" s="2"/>
      <c r="R5032" s="2"/>
      <c r="S5032" s="2"/>
      <c r="T5032" s="2"/>
      <c r="U5032" s="2"/>
      <c r="V5032" s="2"/>
      <c r="W5032" s="2"/>
      <c r="X5032" s="2"/>
      <c r="Y5032" s="2"/>
      <c r="Z5032" s="2"/>
    </row>
    <row r="5033" spans="1:26" ht="12.75" x14ac:dyDescent="0.2">
      <c r="A5033" s="230"/>
      <c r="B5033" s="18">
        <v>2023</v>
      </c>
      <c r="C5033" s="18" t="s">
        <v>753</v>
      </c>
      <c r="D5033" s="18" t="s">
        <v>1403</v>
      </c>
      <c r="E5033" s="18" t="s">
        <v>703</v>
      </c>
      <c r="F5033" s="18" t="s">
        <v>683</v>
      </c>
      <c r="G5033" s="18" t="s">
        <v>1404</v>
      </c>
      <c r="H5033" s="18" t="s">
        <v>1002</v>
      </c>
      <c r="I5033" s="315">
        <v>1.6979321275214468E-17</v>
      </c>
      <c r="J5033" s="315">
        <v>1.0956105933807249E-20</v>
      </c>
      <c r="K5033" s="316" t="str">
        <f t="shared" si="68"/>
        <v>Railroad Equipment</v>
      </c>
      <c r="L5033" s="316" t="str">
        <f t="shared" si="69"/>
        <v>Gasoline</v>
      </c>
      <c r="M5033" s="8"/>
      <c r="N5033" s="2"/>
      <c r="O5033" s="2"/>
      <c r="P5033" s="2"/>
      <c r="Q5033" s="2"/>
      <c r="R5033" s="2"/>
      <c r="S5033" s="2"/>
      <c r="T5033" s="2"/>
      <c r="U5033" s="2"/>
      <c r="V5033" s="2"/>
      <c r="W5033" s="2"/>
      <c r="X5033" s="2"/>
      <c r="Y5033" s="2"/>
      <c r="Z5033" s="2"/>
    </row>
    <row r="5034" spans="1:26" ht="12.75" x14ac:dyDescent="0.2">
      <c r="A5034" s="230"/>
      <c r="B5034" s="18">
        <v>2023</v>
      </c>
      <c r="C5034" s="18" t="s">
        <v>710</v>
      </c>
      <c r="D5034" s="18" t="s">
        <v>1361</v>
      </c>
      <c r="E5034" s="18" t="s">
        <v>56</v>
      </c>
      <c r="F5034" s="18" t="s">
        <v>672</v>
      </c>
      <c r="G5034" s="18" t="s">
        <v>674</v>
      </c>
      <c r="H5034" s="18" t="s">
        <v>783</v>
      </c>
      <c r="I5034" s="315">
        <v>1.6792019521527765E-17</v>
      </c>
      <c r="J5034" s="315">
        <v>7.7086222447186826E-22</v>
      </c>
      <c r="K5034" s="316" t="str">
        <f t="shared" si="68"/>
        <v>Construction and Mining Equipment</v>
      </c>
      <c r="L5034" s="316" t="str">
        <f t="shared" si="69"/>
        <v>LPG</v>
      </c>
      <c r="M5034" s="8"/>
      <c r="N5034" s="2"/>
      <c r="O5034" s="2"/>
      <c r="P5034" s="2"/>
      <c r="Q5034" s="2"/>
      <c r="R5034" s="2"/>
      <c r="S5034" s="2"/>
      <c r="T5034" s="2"/>
      <c r="U5034" s="2"/>
      <c r="V5034" s="2"/>
      <c r="W5034" s="2"/>
      <c r="X5034" s="2"/>
      <c r="Y5034" s="2"/>
      <c r="Z5034" s="2"/>
    </row>
    <row r="5035" spans="1:26" ht="12.75" x14ac:dyDescent="0.2">
      <c r="A5035" s="230"/>
      <c r="B5035" s="18">
        <v>2023</v>
      </c>
      <c r="C5035" s="18" t="s">
        <v>710</v>
      </c>
      <c r="D5035" s="18" t="s">
        <v>1362</v>
      </c>
      <c r="E5035" s="18" t="s">
        <v>56</v>
      </c>
      <c r="F5035" s="18" t="s">
        <v>672</v>
      </c>
      <c r="G5035" s="18" t="s">
        <v>674</v>
      </c>
      <c r="H5035" s="18" t="s">
        <v>859</v>
      </c>
      <c r="I5035" s="315">
        <v>1.6591602920801718E-17</v>
      </c>
      <c r="J5035" s="315">
        <v>4.1150663654463515E-21</v>
      </c>
      <c r="K5035" s="316" t="str">
        <f t="shared" si="68"/>
        <v>Construction and Mining Equipment</v>
      </c>
      <c r="L5035" s="316" t="str">
        <f t="shared" si="69"/>
        <v>LPG</v>
      </c>
      <c r="M5035" s="8"/>
      <c r="N5035" s="2"/>
      <c r="O5035" s="2"/>
      <c r="P5035" s="2"/>
      <c r="Q5035" s="2"/>
      <c r="R5035" s="2"/>
      <c r="S5035" s="2"/>
      <c r="T5035" s="2"/>
      <c r="U5035" s="2"/>
      <c r="V5035" s="2"/>
      <c r="W5035" s="2"/>
      <c r="X5035" s="2"/>
      <c r="Y5035" s="2"/>
      <c r="Z5035" s="2"/>
    </row>
    <row r="5036" spans="1:26" ht="12.75" x14ac:dyDescent="0.2">
      <c r="A5036" s="230"/>
      <c r="B5036" s="18">
        <v>2023</v>
      </c>
      <c r="C5036" s="18" t="s">
        <v>710</v>
      </c>
      <c r="D5036" s="18" t="s">
        <v>1366</v>
      </c>
      <c r="E5036" s="18" t="s">
        <v>703</v>
      </c>
      <c r="F5036" s="18" t="s">
        <v>704</v>
      </c>
      <c r="G5036" s="18" t="s">
        <v>674</v>
      </c>
      <c r="H5036" s="18" t="s">
        <v>791</v>
      </c>
      <c r="I5036" s="315">
        <v>1.6256008765870447E-17</v>
      </c>
      <c r="J5036" s="315">
        <v>5.0870919802135756E-21</v>
      </c>
      <c r="K5036" s="316" t="str">
        <f t="shared" si="68"/>
        <v>Construction and Mining Equipment</v>
      </c>
      <c r="L5036" s="316" t="str">
        <f t="shared" si="69"/>
        <v>Gasoline</v>
      </c>
      <c r="M5036" s="8"/>
      <c r="N5036" s="2"/>
      <c r="O5036" s="2"/>
      <c r="P5036" s="2"/>
      <c r="Q5036" s="2"/>
      <c r="R5036" s="2"/>
      <c r="S5036" s="2"/>
      <c r="T5036" s="2"/>
      <c r="U5036" s="2"/>
      <c r="V5036" s="2"/>
      <c r="W5036" s="2"/>
      <c r="X5036" s="2"/>
      <c r="Y5036" s="2"/>
      <c r="Z5036" s="2"/>
    </row>
    <row r="5037" spans="1:26" ht="12.75" x14ac:dyDescent="0.2">
      <c r="A5037" s="230"/>
      <c r="B5037" s="18">
        <v>2023</v>
      </c>
      <c r="C5037" s="18" t="s">
        <v>710</v>
      </c>
      <c r="D5037" s="18" t="s">
        <v>1539</v>
      </c>
      <c r="E5037" s="18" t="s">
        <v>703</v>
      </c>
      <c r="F5037" s="18" t="s">
        <v>704</v>
      </c>
      <c r="G5037" s="18" t="s">
        <v>678</v>
      </c>
      <c r="H5037" s="18" t="s">
        <v>1230</v>
      </c>
      <c r="I5037" s="315">
        <v>1.2064631692729163E-17</v>
      </c>
      <c r="J5037" s="315">
        <v>7.1956406075734174E-21</v>
      </c>
      <c r="K5037" s="316" t="str">
        <f t="shared" si="68"/>
        <v>Agricultural Equipment</v>
      </c>
      <c r="L5037" s="316" t="str">
        <f t="shared" si="69"/>
        <v>Gasoline</v>
      </c>
      <c r="M5037" s="8"/>
      <c r="N5037" s="2"/>
      <c r="O5037" s="2"/>
      <c r="P5037" s="2"/>
      <c r="Q5037" s="2"/>
      <c r="R5037" s="2"/>
      <c r="S5037" s="2"/>
      <c r="T5037" s="2"/>
      <c r="U5037" s="2"/>
      <c r="V5037" s="2"/>
      <c r="W5037" s="2"/>
      <c r="X5037" s="2"/>
      <c r="Y5037" s="2"/>
      <c r="Z5037" s="2"/>
    </row>
    <row r="5038" spans="1:26" ht="12.75" x14ac:dyDescent="0.2">
      <c r="A5038" s="230"/>
      <c r="B5038" s="18">
        <v>2023</v>
      </c>
      <c r="C5038" s="18" t="s">
        <v>710</v>
      </c>
      <c r="D5038" s="18" t="s">
        <v>1573</v>
      </c>
      <c r="E5038" s="18" t="s">
        <v>703</v>
      </c>
      <c r="F5038" s="18" t="s">
        <v>704</v>
      </c>
      <c r="G5038" s="18" t="s">
        <v>678</v>
      </c>
      <c r="H5038" s="18" t="s">
        <v>764</v>
      </c>
      <c r="I5038" s="315">
        <v>1.1469583799810144E-17</v>
      </c>
      <c r="J5038" s="315">
        <v>2.2316776640572566E-21</v>
      </c>
      <c r="K5038" s="316" t="str">
        <f t="shared" si="68"/>
        <v>Agricultural Equipment</v>
      </c>
      <c r="L5038" s="316" t="str">
        <f t="shared" si="69"/>
        <v>Gasoline</v>
      </c>
      <c r="M5038" s="8"/>
      <c r="N5038" s="2"/>
      <c r="O5038" s="2"/>
      <c r="P5038" s="2"/>
      <c r="Q5038" s="2"/>
      <c r="R5038" s="2"/>
      <c r="S5038" s="2"/>
      <c r="T5038" s="2"/>
      <c r="U5038" s="2"/>
      <c r="V5038" s="2"/>
      <c r="W5038" s="2"/>
      <c r="X5038" s="2"/>
      <c r="Y5038" s="2"/>
      <c r="Z5038" s="2"/>
    </row>
    <row r="5039" spans="1:26" ht="12.75" x14ac:dyDescent="0.2">
      <c r="A5039" s="230"/>
      <c r="B5039" s="18">
        <v>2023</v>
      </c>
      <c r="C5039" s="18" t="s">
        <v>710</v>
      </c>
      <c r="D5039" s="18" t="s">
        <v>1416</v>
      </c>
      <c r="E5039" s="18" t="s">
        <v>56</v>
      </c>
      <c r="F5039" s="18" t="s">
        <v>672</v>
      </c>
      <c r="G5039" s="18" t="s">
        <v>674</v>
      </c>
      <c r="H5039" s="18" t="s">
        <v>861</v>
      </c>
      <c r="I5039" s="315">
        <v>1.1427388010251825E-17</v>
      </c>
      <c r="J5039" s="315">
        <v>7.7187932713782669E-21</v>
      </c>
      <c r="K5039" s="316" t="str">
        <f t="shared" si="68"/>
        <v>Construction and Mining Equipment</v>
      </c>
      <c r="L5039" s="316" t="str">
        <f t="shared" si="69"/>
        <v>LPG</v>
      </c>
      <c r="M5039" s="8"/>
      <c r="N5039" s="2"/>
      <c r="O5039" s="2"/>
      <c r="P5039" s="2"/>
      <c r="Q5039" s="2"/>
      <c r="R5039" s="2"/>
      <c r="S5039" s="2"/>
      <c r="T5039" s="2"/>
      <c r="U5039" s="2"/>
      <c r="V5039" s="2"/>
      <c r="W5039" s="2"/>
      <c r="X5039" s="2"/>
      <c r="Y5039" s="2"/>
      <c r="Z5039" s="2"/>
    </row>
    <row r="5040" spans="1:26" x14ac:dyDescent="0.25">
      <c r="A5040" s="314"/>
      <c r="B5040" s="18">
        <v>2023</v>
      </c>
      <c r="C5040" s="18" t="s">
        <v>710</v>
      </c>
      <c r="D5040" s="18" t="s">
        <v>1425</v>
      </c>
      <c r="E5040" s="18" t="s">
        <v>56</v>
      </c>
      <c r="F5040" s="18" t="s">
        <v>672</v>
      </c>
      <c r="G5040" s="18" t="s">
        <v>674</v>
      </c>
      <c r="H5040" s="18" t="s">
        <v>791</v>
      </c>
      <c r="I5040" s="315">
        <v>1.0948900451854968E-17</v>
      </c>
      <c r="J5040" s="315">
        <v>2.1047307956830878E-21</v>
      </c>
      <c r="K5040" s="316" t="str">
        <f t="shared" si="68"/>
        <v>Construction and Mining Equipment</v>
      </c>
      <c r="L5040" s="316" t="str">
        <f t="shared" si="69"/>
        <v>LPG</v>
      </c>
      <c r="M5040" s="194"/>
      <c r="N5040" s="317"/>
      <c r="O5040" s="317"/>
      <c r="P5040" s="317"/>
      <c r="Q5040" s="317"/>
      <c r="R5040" s="317"/>
      <c r="S5040" s="317"/>
      <c r="T5040" s="317"/>
      <c r="U5040" s="317"/>
      <c r="V5040" s="317"/>
      <c r="W5040" s="317"/>
      <c r="X5040" s="317"/>
      <c r="Y5040" s="317"/>
      <c r="Z5040" s="317"/>
    </row>
    <row r="5041" spans="1:26" x14ac:dyDescent="0.25">
      <c r="A5041" s="314"/>
      <c r="B5041" s="18">
        <v>2023</v>
      </c>
      <c r="C5041" s="18" t="s">
        <v>710</v>
      </c>
      <c r="D5041" s="18" t="s">
        <v>1435</v>
      </c>
      <c r="E5041" s="18" t="s">
        <v>56</v>
      </c>
      <c r="F5041" s="18" t="s">
        <v>672</v>
      </c>
      <c r="G5041" s="18" t="s">
        <v>674</v>
      </c>
      <c r="H5041" s="18" t="s">
        <v>863</v>
      </c>
      <c r="I5041" s="315">
        <v>9.8253955800673281E-18</v>
      </c>
      <c r="J5041" s="315">
        <v>6.5432989595348141E-22</v>
      </c>
      <c r="K5041" s="316" t="str">
        <f t="shared" si="68"/>
        <v>Construction and Mining Equipment</v>
      </c>
      <c r="L5041" s="316" t="str">
        <f t="shared" si="69"/>
        <v>LPG</v>
      </c>
      <c r="M5041" s="194"/>
      <c r="N5041" s="317"/>
      <c r="O5041" s="317"/>
      <c r="P5041" s="317"/>
      <c r="Q5041" s="317"/>
      <c r="R5041" s="317"/>
      <c r="S5041" s="317"/>
      <c r="T5041" s="317"/>
      <c r="U5041" s="317"/>
      <c r="V5041" s="317"/>
      <c r="W5041" s="317"/>
      <c r="X5041" s="317"/>
      <c r="Y5041" s="317"/>
      <c r="Z5041" s="317"/>
    </row>
    <row r="5042" spans="1:26" x14ac:dyDescent="0.25">
      <c r="A5042" s="314"/>
      <c r="B5042" s="18">
        <v>2023</v>
      </c>
      <c r="C5042" s="18" t="s">
        <v>792</v>
      </c>
      <c r="D5042" s="18" t="s">
        <v>1461</v>
      </c>
      <c r="E5042" s="18" t="s">
        <v>703</v>
      </c>
      <c r="F5042" s="18" t="s">
        <v>795</v>
      </c>
      <c r="G5042" s="18" t="s">
        <v>675</v>
      </c>
      <c r="H5042" s="18" t="s">
        <v>1462</v>
      </c>
      <c r="I5042" s="315">
        <v>8.4985443158404961E-18</v>
      </c>
      <c r="J5042" s="315">
        <v>6.9254220950881028E-21</v>
      </c>
      <c r="K5042" s="316" t="str">
        <f t="shared" si="68"/>
        <v>Industrial Equipment</v>
      </c>
      <c r="L5042" s="316" t="str">
        <f t="shared" si="69"/>
        <v>Gasoline</v>
      </c>
      <c r="M5042" s="194"/>
      <c r="N5042" s="317"/>
      <c r="O5042" s="317"/>
      <c r="P5042" s="317"/>
      <c r="Q5042" s="317"/>
      <c r="R5042" s="317"/>
      <c r="S5042" s="317"/>
      <c r="T5042" s="317"/>
      <c r="U5042" s="317"/>
      <c r="V5042" s="317"/>
      <c r="W5042" s="317"/>
      <c r="X5042" s="317"/>
      <c r="Y5042" s="317"/>
      <c r="Z5042" s="317"/>
    </row>
    <row r="5043" spans="1:26" x14ac:dyDescent="0.25">
      <c r="A5043" s="314"/>
      <c r="B5043" s="18">
        <v>2023</v>
      </c>
      <c r="C5043" s="18" t="s">
        <v>711</v>
      </c>
      <c r="D5043" s="18" t="s">
        <v>1461</v>
      </c>
      <c r="E5043" s="18" t="s">
        <v>703</v>
      </c>
      <c r="F5043" s="18" t="s">
        <v>795</v>
      </c>
      <c r="G5043" s="18" t="s">
        <v>675</v>
      </c>
      <c r="H5043" s="18" t="s">
        <v>1462</v>
      </c>
      <c r="I5043" s="315">
        <v>8.4985443158404961E-18</v>
      </c>
      <c r="J5043" s="315">
        <v>6.8754666924415258E-21</v>
      </c>
      <c r="K5043" s="316" t="str">
        <f t="shared" si="68"/>
        <v>Industrial Equipment</v>
      </c>
      <c r="L5043" s="316" t="str">
        <f t="shared" si="69"/>
        <v>Gasoline</v>
      </c>
      <c r="M5043" s="194"/>
      <c r="N5043" s="317"/>
      <c r="O5043" s="317"/>
      <c r="P5043" s="317"/>
      <c r="Q5043" s="317"/>
      <c r="R5043" s="317"/>
      <c r="S5043" s="317"/>
      <c r="T5043" s="317"/>
      <c r="U5043" s="317"/>
      <c r="V5043" s="317"/>
      <c r="W5043" s="317"/>
      <c r="X5043" s="317"/>
      <c r="Y5043" s="317"/>
      <c r="Z5043" s="317"/>
    </row>
    <row r="5044" spans="1:26" x14ac:dyDescent="0.25">
      <c r="A5044" s="314"/>
      <c r="B5044" s="18">
        <v>2023</v>
      </c>
      <c r="C5044" s="18" t="s">
        <v>793</v>
      </c>
      <c r="D5044" s="18" t="s">
        <v>1461</v>
      </c>
      <c r="E5044" s="18" t="s">
        <v>703</v>
      </c>
      <c r="F5044" s="18" t="s">
        <v>795</v>
      </c>
      <c r="G5044" s="18" t="s">
        <v>675</v>
      </c>
      <c r="H5044" s="18" t="s">
        <v>1462</v>
      </c>
      <c r="I5044" s="315">
        <v>8.4985443158404961E-18</v>
      </c>
      <c r="J5044" s="315">
        <v>6.863709065055424E-21</v>
      </c>
      <c r="K5044" s="316" t="str">
        <f t="shared" si="68"/>
        <v>Industrial Equipment</v>
      </c>
      <c r="L5044" s="316" t="str">
        <f t="shared" si="69"/>
        <v>Gasoline</v>
      </c>
      <c r="M5044" s="194"/>
      <c r="N5044" s="317"/>
      <c r="O5044" s="317"/>
      <c r="P5044" s="317"/>
      <c r="Q5044" s="317"/>
      <c r="R5044" s="317"/>
      <c r="S5044" s="317"/>
      <c r="T5044" s="317"/>
      <c r="U5044" s="317"/>
      <c r="V5044" s="317"/>
      <c r="W5044" s="317"/>
      <c r="X5044" s="317"/>
      <c r="Y5044" s="317"/>
      <c r="Z5044" s="317"/>
    </row>
    <row r="5045" spans="1:26" x14ac:dyDescent="0.25">
      <c r="A5045" s="314"/>
      <c r="B5045" s="18">
        <v>2023</v>
      </c>
      <c r="C5045" s="18" t="s">
        <v>781</v>
      </c>
      <c r="D5045" s="18" t="s">
        <v>1461</v>
      </c>
      <c r="E5045" s="18" t="s">
        <v>703</v>
      </c>
      <c r="F5045" s="18" t="s">
        <v>795</v>
      </c>
      <c r="G5045" s="18" t="s">
        <v>675</v>
      </c>
      <c r="H5045" s="18" t="s">
        <v>1462</v>
      </c>
      <c r="I5045" s="315">
        <v>8.4985443158404961E-18</v>
      </c>
      <c r="J5045" s="315">
        <v>6.86710447428247E-21</v>
      </c>
      <c r="K5045" s="316" t="str">
        <f t="shared" si="68"/>
        <v>Industrial Equipment</v>
      </c>
      <c r="L5045" s="316" t="str">
        <f t="shared" si="69"/>
        <v>Gasoline</v>
      </c>
      <c r="M5045" s="194"/>
      <c r="N5045" s="317"/>
      <c r="O5045" s="317"/>
      <c r="P5045" s="317"/>
      <c r="Q5045" s="317"/>
      <c r="R5045" s="317"/>
      <c r="S5045" s="317"/>
      <c r="T5045" s="317"/>
      <c r="U5045" s="317"/>
      <c r="V5045" s="317"/>
      <c r="W5045" s="317"/>
      <c r="X5045" s="317"/>
      <c r="Y5045" s="317"/>
      <c r="Z5045" s="317"/>
    </row>
    <row r="5046" spans="1:26" x14ac:dyDescent="0.25">
      <c r="A5046" s="314"/>
      <c r="B5046" s="18">
        <v>2023</v>
      </c>
      <c r="C5046" s="18" t="s">
        <v>787</v>
      </c>
      <c r="D5046" s="18" t="s">
        <v>1461</v>
      </c>
      <c r="E5046" s="18" t="s">
        <v>703</v>
      </c>
      <c r="F5046" s="18" t="s">
        <v>795</v>
      </c>
      <c r="G5046" s="18" t="s">
        <v>675</v>
      </c>
      <c r="H5046" s="18" t="s">
        <v>1462</v>
      </c>
      <c r="I5046" s="315">
        <v>8.4985443158404961E-18</v>
      </c>
      <c r="J5046" s="315">
        <v>6.8923545799180053E-21</v>
      </c>
      <c r="K5046" s="316" t="str">
        <f t="shared" si="68"/>
        <v>Industrial Equipment</v>
      </c>
      <c r="L5046" s="316" t="str">
        <f t="shared" si="69"/>
        <v>Gasoline</v>
      </c>
      <c r="M5046" s="194"/>
      <c r="N5046" s="317"/>
      <c r="O5046" s="317"/>
      <c r="P5046" s="317"/>
      <c r="Q5046" s="317"/>
      <c r="R5046" s="317"/>
      <c r="S5046" s="317"/>
      <c r="T5046" s="317"/>
      <c r="U5046" s="317"/>
      <c r="V5046" s="317"/>
      <c r="W5046" s="317"/>
      <c r="X5046" s="317"/>
      <c r="Y5046" s="317"/>
      <c r="Z5046" s="317"/>
    </row>
    <row r="5047" spans="1:26" x14ac:dyDescent="0.25">
      <c r="A5047" s="314"/>
      <c r="B5047" s="18">
        <v>2023</v>
      </c>
      <c r="C5047" s="18" t="s">
        <v>778</v>
      </c>
      <c r="D5047" s="18" t="s">
        <v>1461</v>
      </c>
      <c r="E5047" s="18" t="s">
        <v>703</v>
      </c>
      <c r="F5047" s="18" t="s">
        <v>795</v>
      </c>
      <c r="G5047" s="18" t="s">
        <v>675</v>
      </c>
      <c r="H5047" s="18" t="s">
        <v>1462</v>
      </c>
      <c r="I5047" s="315">
        <v>8.4985443158404961E-18</v>
      </c>
      <c r="J5047" s="315">
        <v>6.8689588033288083E-21</v>
      </c>
      <c r="K5047" s="316" t="str">
        <f t="shared" si="68"/>
        <v>Industrial Equipment</v>
      </c>
      <c r="L5047" s="316" t="str">
        <f t="shared" si="69"/>
        <v>Gasoline</v>
      </c>
      <c r="M5047" s="194"/>
      <c r="N5047" s="317"/>
      <c r="O5047" s="317"/>
      <c r="P5047" s="317"/>
      <c r="Q5047" s="317"/>
      <c r="R5047" s="317"/>
      <c r="S5047" s="317"/>
      <c r="T5047" s="317"/>
      <c r="U5047" s="317"/>
      <c r="V5047" s="317"/>
      <c r="W5047" s="317"/>
      <c r="X5047" s="317"/>
      <c r="Y5047" s="317"/>
      <c r="Z5047" s="317"/>
    </row>
    <row r="5048" spans="1:26" x14ac:dyDescent="0.25">
      <c r="A5048" s="314"/>
      <c r="B5048" s="18">
        <v>2023</v>
      </c>
      <c r="C5048" s="18" t="s">
        <v>731</v>
      </c>
      <c r="D5048" s="18" t="s">
        <v>1461</v>
      </c>
      <c r="E5048" s="18" t="s">
        <v>703</v>
      </c>
      <c r="F5048" s="18" t="s">
        <v>795</v>
      </c>
      <c r="G5048" s="18" t="s">
        <v>675</v>
      </c>
      <c r="H5048" s="18" t="s">
        <v>1462</v>
      </c>
      <c r="I5048" s="315">
        <v>8.4985443158404961E-18</v>
      </c>
      <c r="J5048" s="315">
        <v>6.8590483162747021E-21</v>
      </c>
      <c r="K5048" s="316" t="str">
        <f t="shared" si="68"/>
        <v>Industrial Equipment</v>
      </c>
      <c r="L5048" s="316" t="str">
        <f t="shared" si="69"/>
        <v>Gasoline</v>
      </c>
      <c r="M5048" s="194"/>
      <c r="N5048" s="317"/>
      <c r="O5048" s="317"/>
      <c r="P5048" s="317"/>
      <c r="Q5048" s="317"/>
      <c r="R5048" s="317"/>
      <c r="S5048" s="317"/>
      <c r="T5048" s="317"/>
      <c r="U5048" s="317"/>
      <c r="V5048" s="317"/>
      <c r="W5048" s="317"/>
      <c r="X5048" s="317"/>
      <c r="Y5048" s="317"/>
      <c r="Z5048" s="317"/>
    </row>
    <row r="5049" spans="1:26" x14ac:dyDescent="0.25">
      <c r="A5049" s="314"/>
      <c r="B5049" s="18">
        <v>2023</v>
      </c>
      <c r="C5049" s="18" t="s">
        <v>732</v>
      </c>
      <c r="D5049" s="18" t="s">
        <v>1461</v>
      </c>
      <c r="E5049" s="18" t="s">
        <v>703</v>
      </c>
      <c r="F5049" s="18" t="s">
        <v>795</v>
      </c>
      <c r="G5049" s="18" t="s">
        <v>675</v>
      </c>
      <c r="H5049" s="18" t="s">
        <v>1462</v>
      </c>
      <c r="I5049" s="315">
        <v>8.4985443158404961E-18</v>
      </c>
      <c r="J5049" s="315">
        <v>6.9037349675744023E-21</v>
      </c>
      <c r="K5049" s="316" t="str">
        <f t="shared" si="68"/>
        <v>Industrial Equipment</v>
      </c>
      <c r="L5049" s="316" t="str">
        <f t="shared" si="69"/>
        <v>Gasoline</v>
      </c>
      <c r="M5049" s="194"/>
      <c r="N5049" s="317"/>
      <c r="O5049" s="317"/>
      <c r="P5049" s="317"/>
      <c r="Q5049" s="317"/>
      <c r="R5049" s="317"/>
      <c r="S5049" s="317"/>
      <c r="T5049" s="317"/>
      <c r="U5049" s="317"/>
      <c r="V5049" s="317"/>
      <c r="W5049" s="317"/>
      <c r="X5049" s="317"/>
      <c r="Y5049" s="317"/>
      <c r="Z5049" s="317"/>
    </row>
    <row r="5050" spans="1:26" x14ac:dyDescent="0.25">
      <c r="A5050" s="314"/>
      <c r="B5050" s="18">
        <v>2023</v>
      </c>
      <c r="C5050" s="18" t="s">
        <v>810</v>
      </c>
      <c r="D5050" s="18" t="s">
        <v>1461</v>
      </c>
      <c r="E5050" s="18" t="s">
        <v>703</v>
      </c>
      <c r="F5050" s="18" t="s">
        <v>795</v>
      </c>
      <c r="G5050" s="18" t="s">
        <v>675</v>
      </c>
      <c r="H5050" s="18" t="s">
        <v>1462</v>
      </c>
      <c r="I5050" s="315">
        <v>8.4985443158404961E-18</v>
      </c>
      <c r="J5050" s="315">
        <v>6.9645546111055632E-21</v>
      </c>
      <c r="K5050" s="316" t="str">
        <f t="shared" si="68"/>
        <v>Industrial Equipment</v>
      </c>
      <c r="L5050" s="316" t="str">
        <f t="shared" si="69"/>
        <v>Gasoline</v>
      </c>
      <c r="M5050" s="194"/>
      <c r="N5050" s="317"/>
      <c r="O5050" s="317"/>
      <c r="P5050" s="317"/>
      <c r="Q5050" s="317"/>
      <c r="R5050" s="317"/>
      <c r="S5050" s="317"/>
      <c r="T5050" s="317"/>
      <c r="U5050" s="317"/>
      <c r="V5050" s="317"/>
      <c r="W5050" s="317"/>
      <c r="X5050" s="317"/>
      <c r="Y5050" s="317"/>
      <c r="Z5050" s="317"/>
    </row>
    <row r="5051" spans="1:26" x14ac:dyDescent="0.25">
      <c r="A5051" s="314"/>
      <c r="B5051" s="18">
        <v>2023</v>
      </c>
      <c r="C5051" s="18" t="s">
        <v>701</v>
      </c>
      <c r="D5051" s="18" t="s">
        <v>1461</v>
      </c>
      <c r="E5051" s="18" t="s">
        <v>703</v>
      </c>
      <c r="F5051" s="18" t="s">
        <v>795</v>
      </c>
      <c r="G5051" s="18" t="s">
        <v>675</v>
      </c>
      <c r="H5051" s="18" t="s">
        <v>1462</v>
      </c>
      <c r="I5051" s="315">
        <v>8.4985443158404961E-18</v>
      </c>
      <c r="J5051" s="315">
        <v>6.8874057135939075E-21</v>
      </c>
      <c r="K5051" s="316" t="str">
        <f t="shared" si="68"/>
        <v>Industrial Equipment</v>
      </c>
      <c r="L5051" s="316" t="str">
        <f t="shared" si="69"/>
        <v>Gasoline</v>
      </c>
      <c r="M5051" s="194"/>
      <c r="N5051" s="317"/>
      <c r="O5051" s="317"/>
      <c r="P5051" s="317"/>
      <c r="Q5051" s="317"/>
      <c r="R5051" s="317"/>
      <c r="S5051" s="317"/>
      <c r="T5051" s="317"/>
      <c r="U5051" s="317"/>
      <c r="V5051" s="317"/>
      <c r="W5051" s="317"/>
      <c r="X5051" s="317"/>
      <c r="Y5051" s="317"/>
      <c r="Z5051" s="317"/>
    </row>
    <row r="5052" spans="1:26" x14ac:dyDescent="0.25">
      <c r="A5052" s="314"/>
      <c r="B5052" s="18">
        <v>2023</v>
      </c>
      <c r="C5052" s="18" t="s">
        <v>709</v>
      </c>
      <c r="D5052" s="18" t="s">
        <v>1461</v>
      </c>
      <c r="E5052" s="18" t="s">
        <v>703</v>
      </c>
      <c r="F5052" s="18" t="s">
        <v>795</v>
      </c>
      <c r="G5052" s="18" t="s">
        <v>675</v>
      </c>
      <c r="H5052" s="18" t="s">
        <v>1462</v>
      </c>
      <c r="I5052" s="315">
        <v>8.4985443158404961E-18</v>
      </c>
      <c r="J5052" s="315">
        <v>6.8750964809475064E-21</v>
      </c>
      <c r="K5052" s="316" t="str">
        <f t="shared" si="68"/>
        <v>Industrial Equipment</v>
      </c>
      <c r="L5052" s="316" t="str">
        <f t="shared" si="69"/>
        <v>Gasoline</v>
      </c>
      <c r="M5052" s="194"/>
      <c r="N5052" s="317"/>
      <c r="O5052" s="317"/>
      <c r="P5052" s="317"/>
      <c r="Q5052" s="317"/>
      <c r="R5052" s="317"/>
      <c r="S5052" s="317"/>
      <c r="T5052" s="317"/>
      <c r="U5052" s="317"/>
      <c r="V5052" s="317"/>
      <c r="W5052" s="317"/>
      <c r="X5052" s="317"/>
      <c r="Y5052" s="317"/>
      <c r="Z5052" s="317"/>
    </row>
    <row r="5053" spans="1:26" x14ac:dyDescent="0.25">
      <c r="A5053" s="314"/>
      <c r="B5053" s="18">
        <v>2023</v>
      </c>
      <c r="C5053" s="18" t="s">
        <v>762</v>
      </c>
      <c r="D5053" s="18" t="s">
        <v>1461</v>
      </c>
      <c r="E5053" s="18" t="s">
        <v>703</v>
      </c>
      <c r="F5053" s="18" t="s">
        <v>795</v>
      </c>
      <c r="G5053" s="18" t="s">
        <v>675</v>
      </c>
      <c r="H5053" s="18" t="s">
        <v>1462</v>
      </c>
      <c r="I5053" s="315">
        <v>8.4985443158404961E-18</v>
      </c>
      <c r="J5053" s="315">
        <v>6.8715285991085571E-21</v>
      </c>
      <c r="K5053" s="316" t="str">
        <f t="shared" si="68"/>
        <v>Industrial Equipment</v>
      </c>
      <c r="L5053" s="316" t="str">
        <f t="shared" si="69"/>
        <v>Gasoline</v>
      </c>
      <c r="M5053" s="194"/>
      <c r="N5053" s="317"/>
      <c r="O5053" s="317"/>
      <c r="P5053" s="317"/>
      <c r="Q5053" s="317"/>
      <c r="R5053" s="317"/>
      <c r="S5053" s="317"/>
      <c r="T5053" s="317"/>
      <c r="U5053" s="317"/>
      <c r="V5053" s="317"/>
      <c r="W5053" s="317"/>
      <c r="X5053" s="317"/>
      <c r="Y5053" s="317"/>
      <c r="Z5053" s="317"/>
    </row>
    <row r="5054" spans="1:26" x14ac:dyDescent="0.25">
      <c r="A5054" s="314"/>
      <c r="B5054" s="18">
        <v>2023</v>
      </c>
      <c r="C5054" s="18" t="s">
        <v>750</v>
      </c>
      <c r="D5054" s="18" t="s">
        <v>1461</v>
      </c>
      <c r="E5054" s="18" t="s">
        <v>703</v>
      </c>
      <c r="F5054" s="18" t="s">
        <v>795</v>
      </c>
      <c r="G5054" s="18" t="s">
        <v>675</v>
      </c>
      <c r="H5054" s="18" t="s">
        <v>1462</v>
      </c>
      <c r="I5054" s="315">
        <v>8.4985443158404961E-18</v>
      </c>
      <c r="J5054" s="315">
        <v>6.8602931601509393E-21</v>
      </c>
      <c r="K5054" s="316" t="str">
        <f t="shared" si="68"/>
        <v>Industrial Equipment</v>
      </c>
      <c r="L5054" s="316" t="str">
        <f t="shared" si="69"/>
        <v>Gasoline</v>
      </c>
      <c r="M5054" s="194"/>
      <c r="N5054" s="317"/>
      <c r="O5054" s="317"/>
      <c r="P5054" s="317"/>
      <c r="Q5054" s="317"/>
      <c r="R5054" s="317"/>
      <c r="S5054" s="317"/>
      <c r="T5054" s="317"/>
      <c r="U5054" s="317"/>
      <c r="V5054" s="317"/>
      <c r="W5054" s="317"/>
      <c r="X5054" s="317"/>
      <c r="Y5054" s="317"/>
      <c r="Z5054" s="317"/>
    </row>
    <row r="5055" spans="1:26" x14ac:dyDescent="0.25">
      <c r="A5055" s="314"/>
      <c r="B5055" s="18">
        <v>2023</v>
      </c>
      <c r="C5055" s="18" t="s">
        <v>759</v>
      </c>
      <c r="D5055" s="18" t="s">
        <v>1461</v>
      </c>
      <c r="E5055" s="18" t="s">
        <v>703</v>
      </c>
      <c r="F5055" s="18" t="s">
        <v>795</v>
      </c>
      <c r="G5055" s="18" t="s">
        <v>675</v>
      </c>
      <c r="H5055" s="18" t="s">
        <v>1462</v>
      </c>
      <c r="I5055" s="315">
        <v>8.4985443158404961E-18</v>
      </c>
      <c r="J5055" s="315">
        <v>6.8492403112550384E-21</v>
      </c>
      <c r="K5055" s="316" t="str">
        <f t="shared" si="68"/>
        <v>Industrial Equipment</v>
      </c>
      <c r="L5055" s="316" t="str">
        <f t="shared" si="69"/>
        <v>Gasoline</v>
      </c>
      <c r="M5055" s="194"/>
      <c r="N5055" s="317"/>
      <c r="O5055" s="317"/>
      <c r="P5055" s="317"/>
      <c r="Q5055" s="317"/>
      <c r="R5055" s="317"/>
      <c r="S5055" s="317"/>
      <c r="T5055" s="317"/>
      <c r="U5055" s="317"/>
      <c r="V5055" s="317"/>
      <c r="W5055" s="317"/>
      <c r="X5055" s="317"/>
      <c r="Y5055" s="317"/>
      <c r="Z5055" s="317"/>
    </row>
    <row r="5056" spans="1:26" x14ac:dyDescent="0.25">
      <c r="A5056" s="314"/>
      <c r="B5056" s="18">
        <v>2023</v>
      </c>
      <c r="C5056" s="18" t="s">
        <v>753</v>
      </c>
      <c r="D5056" s="18" t="s">
        <v>1461</v>
      </c>
      <c r="E5056" s="18" t="s">
        <v>703</v>
      </c>
      <c r="F5056" s="18" t="s">
        <v>795</v>
      </c>
      <c r="G5056" s="18" t="s">
        <v>675</v>
      </c>
      <c r="H5056" s="18" t="s">
        <v>1462</v>
      </c>
      <c r="I5056" s="315">
        <v>8.4985443158404961E-18</v>
      </c>
      <c r="J5056" s="315">
        <v>6.8608214759462889E-21</v>
      </c>
      <c r="K5056" s="316" t="str">
        <f t="shared" si="68"/>
        <v>Industrial Equipment</v>
      </c>
      <c r="L5056" s="316" t="str">
        <f t="shared" si="69"/>
        <v>Gasoline</v>
      </c>
      <c r="M5056" s="194"/>
      <c r="N5056" s="317"/>
      <c r="O5056" s="317"/>
      <c r="P5056" s="317"/>
      <c r="Q5056" s="317"/>
      <c r="R5056" s="317"/>
      <c r="S5056" s="317"/>
      <c r="T5056" s="317"/>
      <c r="U5056" s="317"/>
      <c r="V5056" s="317"/>
      <c r="W5056" s="317"/>
      <c r="X5056" s="317"/>
      <c r="Y5056" s="317"/>
      <c r="Z5056" s="317"/>
    </row>
    <row r="5057" spans="1:26" x14ac:dyDescent="0.25">
      <c r="A5057" s="314"/>
      <c r="B5057" s="18">
        <v>2023</v>
      </c>
      <c r="C5057" s="18" t="s">
        <v>773</v>
      </c>
      <c r="D5057" s="18" t="s">
        <v>1461</v>
      </c>
      <c r="E5057" s="18" t="s">
        <v>703</v>
      </c>
      <c r="F5057" s="18" t="s">
        <v>795</v>
      </c>
      <c r="G5057" s="18" t="s">
        <v>675</v>
      </c>
      <c r="H5057" s="18" t="s">
        <v>1462</v>
      </c>
      <c r="I5057" s="315">
        <v>8.4985443158404961E-18</v>
      </c>
      <c r="J5057" s="315">
        <v>6.8491672825248357E-21</v>
      </c>
      <c r="K5057" s="316" t="str">
        <f t="shared" si="68"/>
        <v>Industrial Equipment</v>
      </c>
      <c r="L5057" s="316" t="str">
        <f t="shared" si="69"/>
        <v>Gasoline</v>
      </c>
      <c r="M5057" s="194"/>
      <c r="N5057" s="317"/>
      <c r="O5057" s="317"/>
      <c r="P5057" s="317"/>
      <c r="Q5057" s="317"/>
      <c r="R5057" s="317"/>
      <c r="S5057" s="317"/>
      <c r="T5057" s="317"/>
      <c r="U5057" s="317"/>
      <c r="V5057" s="317"/>
      <c r="W5057" s="317"/>
      <c r="X5057" s="317"/>
      <c r="Y5057" s="317"/>
      <c r="Z5057" s="317"/>
    </row>
    <row r="5058" spans="1:26" x14ac:dyDescent="0.25">
      <c r="A5058" s="314"/>
      <c r="B5058" s="18">
        <v>2023</v>
      </c>
      <c r="C5058" s="18" t="s">
        <v>727</v>
      </c>
      <c r="D5058" s="18" t="s">
        <v>1461</v>
      </c>
      <c r="E5058" s="18" t="s">
        <v>703</v>
      </c>
      <c r="F5058" s="18" t="s">
        <v>795</v>
      </c>
      <c r="G5058" s="18" t="s">
        <v>675</v>
      </c>
      <c r="H5058" s="18" t="s">
        <v>1462</v>
      </c>
      <c r="I5058" s="315">
        <v>8.4985443158404961E-18</v>
      </c>
      <c r="J5058" s="315">
        <v>6.853812986431559E-21</v>
      </c>
      <c r="K5058" s="316" t="str">
        <f t="shared" si="68"/>
        <v>Industrial Equipment</v>
      </c>
      <c r="L5058" s="316" t="str">
        <f t="shared" si="69"/>
        <v>Gasoline</v>
      </c>
      <c r="M5058" s="194"/>
      <c r="N5058" s="317"/>
      <c r="O5058" s="317"/>
      <c r="P5058" s="317"/>
      <c r="Q5058" s="317"/>
      <c r="R5058" s="317"/>
      <c r="S5058" s="317"/>
      <c r="T5058" s="317"/>
      <c r="U5058" s="317"/>
      <c r="V5058" s="317"/>
      <c r="W5058" s="317"/>
      <c r="X5058" s="317"/>
      <c r="Y5058" s="317"/>
      <c r="Z5058" s="317"/>
    </row>
    <row r="5059" spans="1:26" x14ac:dyDescent="0.25">
      <c r="A5059" s="314"/>
      <c r="B5059" s="18">
        <v>2023</v>
      </c>
      <c r="C5059" s="18" t="s">
        <v>710</v>
      </c>
      <c r="D5059" s="18" t="s">
        <v>1637</v>
      </c>
      <c r="E5059" s="18" t="s">
        <v>703</v>
      </c>
      <c r="F5059" s="18" t="s">
        <v>704</v>
      </c>
      <c r="G5059" s="18" t="s">
        <v>678</v>
      </c>
      <c r="H5059" s="18" t="s">
        <v>1638</v>
      </c>
      <c r="I5059" s="315">
        <v>7.6180410656886115E-18</v>
      </c>
      <c r="J5059" s="315">
        <v>4.5435790464825801E-21</v>
      </c>
      <c r="K5059" s="316" t="str">
        <f t="shared" si="68"/>
        <v>Agricultural Equipment</v>
      </c>
      <c r="L5059" s="316" t="str">
        <f t="shared" si="69"/>
        <v>Gasoline</v>
      </c>
      <c r="M5059" s="194"/>
      <c r="N5059" s="317"/>
      <c r="O5059" s="317"/>
      <c r="P5059" s="317"/>
      <c r="Q5059" s="317"/>
      <c r="R5059" s="317"/>
      <c r="S5059" s="317"/>
      <c r="T5059" s="317"/>
      <c r="U5059" s="317"/>
      <c r="V5059" s="317"/>
      <c r="W5059" s="317"/>
      <c r="X5059" s="317"/>
      <c r="Y5059" s="317"/>
      <c r="Z5059" s="317"/>
    </row>
    <row r="5060" spans="1:26" x14ac:dyDescent="0.25">
      <c r="A5060" s="314"/>
      <c r="B5060" s="18">
        <v>2023</v>
      </c>
      <c r="C5060" s="18" t="s">
        <v>710</v>
      </c>
      <c r="D5060" s="18" t="s">
        <v>1483</v>
      </c>
      <c r="E5060" s="18" t="s">
        <v>703</v>
      </c>
      <c r="F5060" s="18" t="s">
        <v>805</v>
      </c>
      <c r="G5060" s="18" t="s">
        <v>674</v>
      </c>
      <c r="H5060" s="18" t="s">
        <v>994</v>
      </c>
      <c r="I5060" s="315">
        <v>5.9875830864979144E-18</v>
      </c>
      <c r="J5060" s="315">
        <v>1.2554026708008171E-20</v>
      </c>
      <c r="K5060" s="316" t="str">
        <f t="shared" si="68"/>
        <v>Construction and Mining Equipment</v>
      </c>
      <c r="L5060" s="316" t="str">
        <f t="shared" si="69"/>
        <v>Gasoline</v>
      </c>
      <c r="M5060" s="194"/>
      <c r="N5060" s="317"/>
      <c r="O5060" s="317"/>
      <c r="P5060" s="317"/>
      <c r="Q5060" s="317"/>
      <c r="R5060" s="317"/>
      <c r="S5060" s="317"/>
      <c r="T5060" s="317"/>
      <c r="U5060" s="317"/>
      <c r="V5060" s="317"/>
      <c r="W5060" s="317"/>
      <c r="X5060" s="317"/>
      <c r="Y5060" s="317"/>
      <c r="Z5060" s="317"/>
    </row>
    <row r="5061" spans="1:26" x14ac:dyDescent="0.25">
      <c r="A5061" s="314"/>
      <c r="B5061" s="18">
        <v>2023</v>
      </c>
      <c r="C5061" s="18" t="s">
        <v>792</v>
      </c>
      <c r="D5061" s="18" t="s">
        <v>1574</v>
      </c>
      <c r="E5061" s="18" t="s">
        <v>56</v>
      </c>
      <c r="F5061" s="18" t="s">
        <v>1575</v>
      </c>
      <c r="G5061" s="18" t="s">
        <v>675</v>
      </c>
      <c r="H5061" s="18" t="s">
        <v>1576</v>
      </c>
      <c r="I5061" s="315">
        <v>5.7664078575771474E-18</v>
      </c>
      <c r="J5061" s="315">
        <v>2.5196461888110755E-20</v>
      </c>
      <c r="K5061" s="316" t="str">
        <f t="shared" si="68"/>
        <v>Industrial Equipment</v>
      </c>
      <c r="L5061" s="316" t="str">
        <f t="shared" si="69"/>
        <v>CNG</v>
      </c>
      <c r="M5061" s="194"/>
      <c r="N5061" s="317"/>
      <c r="O5061" s="317"/>
      <c r="P5061" s="317"/>
      <c r="Q5061" s="317"/>
      <c r="R5061" s="317"/>
      <c r="S5061" s="317"/>
      <c r="T5061" s="317"/>
      <c r="U5061" s="317"/>
      <c r="V5061" s="317"/>
      <c r="W5061" s="317"/>
      <c r="X5061" s="317"/>
      <c r="Y5061" s="317"/>
      <c r="Z5061" s="317"/>
    </row>
    <row r="5062" spans="1:26" x14ac:dyDescent="0.25">
      <c r="A5062" s="314"/>
      <c r="B5062" s="18">
        <v>2023</v>
      </c>
      <c r="C5062" s="18" t="s">
        <v>711</v>
      </c>
      <c r="D5062" s="18" t="s">
        <v>1574</v>
      </c>
      <c r="E5062" s="18" t="s">
        <v>56</v>
      </c>
      <c r="F5062" s="18" t="s">
        <v>1575</v>
      </c>
      <c r="G5062" s="18" t="s">
        <v>675</v>
      </c>
      <c r="H5062" s="18" t="s">
        <v>1576</v>
      </c>
      <c r="I5062" s="315">
        <v>5.7664078575771474E-18</v>
      </c>
      <c r="J5062" s="315">
        <v>2.5196461888110755E-20</v>
      </c>
      <c r="K5062" s="316" t="str">
        <f t="shared" si="68"/>
        <v>Industrial Equipment</v>
      </c>
      <c r="L5062" s="316" t="str">
        <f t="shared" si="69"/>
        <v>CNG</v>
      </c>
      <c r="M5062" s="194"/>
      <c r="N5062" s="317"/>
      <c r="O5062" s="317"/>
      <c r="P5062" s="317"/>
      <c r="Q5062" s="317"/>
      <c r="R5062" s="317"/>
      <c r="S5062" s="317"/>
      <c r="T5062" s="317"/>
      <c r="U5062" s="317"/>
      <c r="V5062" s="317"/>
      <c r="W5062" s="317"/>
      <c r="X5062" s="317"/>
      <c r="Y5062" s="317"/>
      <c r="Z5062" s="317"/>
    </row>
    <row r="5063" spans="1:26" x14ac:dyDescent="0.25">
      <c r="A5063" s="314"/>
      <c r="B5063" s="18">
        <v>2023</v>
      </c>
      <c r="C5063" s="18" t="s">
        <v>793</v>
      </c>
      <c r="D5063" s="18" t="s">
        <v>1574</v>
      </c>
      <c r="E5063" s="18" t="s">
        <v>56</v>
      </c>
      <c r="F5063" s="18" t="s">
        <v>1575</v>
      </c>
      <c r="G5063" s="18" t="s">
        <v>675</v>
      </c>
      <c r="H5063" s="18" t="s">
        <v>1576</v>
      </c>
      <c r="I5063" s="315">
        <v>5.7664078575771474E-18</v>
      </c>
      <c r="J5063" s="315">
        <v>2.5196461888110755E-20</v>
      </c>
      <c r="K5063" s="316" t="str">
        <f t="shared" si="68"/>
        <v>Industrial Equipment</v>
      </c>
      <c r="L5063" s="316" t="str">
        <f t="shared" si="69"/>
        <v>CNG</v>
      </c>
      <c r="M5063" s="194"/>
      <c r="N5063" s="317"/>
      <c r="O5063" s="317"/>
      <c r="P5063" s="317"/>
      <c r="Q5063" s="317"/>
      <c r="R5063" s="317"/>
      <c r="S5063" s="317"/>
      <c r="T5063" s="317"/>
      <c r="U5063" s="317"/>
      <c r="V5063" s="317"/>
      <c r="W5063" s="317"/>
      <c r="X5063" s="317"/>
      <c r="Y5063" s="317"/>
      <c r="Z5063" s="317"/>
    </row>
    <row r="5064" spans="1:26" x14ac:dyDescent="0.25">
      <c r="A5064" s="314"/>
      <c r="B5064" s="18">
        <v>2023</v>
      </c>
      <c r="C5064" s="18" t="s">
        <v>781</v>
      </c>
      <c r="D5064" s="18" t="s">
        <v>1574</v>
      </c>
      <c r="E5064" s="18" t="s">
        <v>56</v>
      </c>
      <c r="F5064" s="18" t="s">
        <v>1575</v>
      </c>
      <c r="G5064" s="18" t="s">
        <v>675</v>
      </c>
      <c r="H5064" s="18" t="s">
        <v>1576</v>
      </c>
      <c r="I5064" s="315">
        <v>5.7664078575771474E-18</v>
      </c>
      <c r="J5064" s="315">
        <v>2.5196461888110755E-20</v>
      </c>
      <c r="K5064" s="316" t="str">
        <f t="shared" si="68"/>
        <v>Industrial Equipment</v>
      </c>
      <c r="L5064" s="316" t="str">
        <f t="shared" si="69"/>
        <v>CNG</v>
      </c>
      <c r="M5064" s="194"/>
      <c r="N5064" s="317"/>
      <c r="O5064" s="317"/>
      <c r="P5064" s="317"/>
      <c r="Q5064" s="317"/>
      <c r="R5064" s="317"/>
      <c r="S5064" s="317"/>
      <c r="T5064" s="317"/>
      <c r="U5064" s="317"/>
      <c r="V5064" s="317"/>
      <c r="W5064" s="317"/>
      <c r="X5064" s="317"/>
      <c r="Y5064" s="317"/>
      <c r="Z5064" s="317"/>
    </row>
    <row r="5065" spans="1:26" x14ac:dyDescent="0.25">
      <c r="A5065" s="314"/>
      <c r="B5065" s="18">
        <v>2023</v>
      </c>
      <c r="C5065" s="18" t="s">
        <v>787</v>
      </c>
      <c r="D5065" s="18" t="s">
        <v>1574</v>
      </c>
      <c r="E5065" s="18" t="s">
        <v>56</v>
      </c>
      <c r="F5065" s="18" t="s">
        <v>1575</v>
      </c>
      <c r="G5065" s="18" t="s">
        <v>675</v>
      </c>
      <c r="H5065" s="18" t="s">
        <v>1576</v>
      </c>
      <c r="I5065" s="315">
        <v>5.7664078575771474E-18</v>
      </c>
      <c r="J5065" s="315">
        <v>2.5196461888110755E-20</v>
      </c>
      <c r="K5065" s="316" t="str">
        <f t="shared" si="68"/>
        <v>Industrial Equipment</v>
      </c>
      <c r="L5065" s="316" t="str">
        <f t="shared" si="69"/>
        <v>CNG</v>
      </c>
      <c r="M5065" s="194"/>
      <c r="N5065" s="317"/>
      <c r="O5065" s="317"/>
      <c r="P5065" s="317"/>
      <c r="Q5065" s="317"/>
      <c r="R5065" s="317"/>
      <c r="S5065" s="317"/>
      <c r="T5065" s="317"/>
      <c r="U5065" s="317"/>
      <c r="V5065" s="317"/>
      <c r="W5065" s="317"/>
      <c r="X5065" s="317"/>
      <c r="Y5065" s="317"/>
      <c r="Z5065" s="317"/>
    </row>
    <row r="5066" spans="1:26" x14ac:dyDescent="0.25">
      <c r="A5066" s="314"/>
      <c r="B5066" s="18">
        <v>2023</v>
      </c>
      <c r="C5066" s="18" t="s">
        <v>778</v>
      </c>
      <c r="D5066" s="18" t="s">
        <v>1574</v>
      </c>
      <c r="E5066" s="18" t="s">
        <v>56</v>
      </c>
      <c r="F5066" s="18" t="s">
        <v>1575</v>
      </c>
      <c r="G5066" s="18" t="s">
        <v>675</v>
      </c>
      <c r="H5066" s="18" t="s">
        <v>1576</v>
      </c>
      <c r="I5066" s="315">
        <v>5.7664078575771474E-18</v>
      </c>
      <c r="J5066" s="315">
        <v>2.5196461888110755E-20</v>
      </c>
      <c r="K5066" s="316" t="str">
        <f t="shared" si="68"/>
        <v>Industrial Equipment</v>
      </c>
      <c r="L5066" s="316" t="str">
        <f t="shared" si="69"/>
        <v>CNG</v>
      </c>
      <c r="M5066" s="194"/>
      <c r="N5066" s="317"/>
      <c r="O5066" s="317"/>
      <c r="P5066" s="317"/>
      <c r="Q5066" s="317"/>
      <c r="R5066" s="317"/>
      <c r="S5066" s="317"/>
      <c r="T5066" s="317"/>
      <c r="U5066" s="317"/>
      <c r="V5066" s="317"/>
      <c r="W5066" s="317"/>
      <c r="X5066" s="317"/>
      <c r="Y5066" s="317"/>
      <c r="Z5066" s="317"/>
    </row>
    <row r="5067" spans="1:26" x14ac:dyDescent="0.25">
      <c r="A5067" s="314"/>
      <c r="B5067" s="18">
        <v>2023</v>
      </c>
      <c r="C5067" s="18" t="s">
        <v>731</v>
      </c>
      <c r="D5067" s="18" t="s">
        <v>1574</v>
      </c>
      <c r="E5067" s="18" t="s">
        <v>56</v>
      </c>
      <c r="F5067" s="18" t="s">
        <v>1575</v>
      </c>
      <c r="G5067" s="18" t="s">
        <v>675</v>
      </c>
      <c r="H5067" s="18" t="s">
        <v>1576</v>
      </c>
      <c r="I5067" s="315">
        <v>5.7664078575771474E-18</v>
      </c>
      <c r="J5067" s="315">
        <v>2.5196461888110755E-20</v>
      </c>
      <c r="K5067" s="316" t="str">
        <f t="shared" si="68"/>
        <v>Industrial Equipment</v>
      </c>
      <c r="L5067" s="316" t="str">
        <f t="shared" si="69"/>
        <v>CNG</v>
      </c>
      <c r="M5067" s="194"/>
      <c r="N5067" s="317"/>
      <c r="O5067" s="317"/>
      <c r="P5067" s="317"/>
      <c r="Q5067" s="317"/>
      <c r="R5067" s="317"/>
      <c r="S5067" s="317"/>
      <c r="T5067" s="317"/>
      <c r="U5067" s="317"/>
      <c r="V5067" s="317"/>
      <c r="W5067" s="317"/>
      <c r="X5067" s="317"/>
      <c r="Y5067" s="317"/>
      <c r="Z5067" s="317"/>
    </row>
    <row r="5068" spans="1:26" x14ac:dyDescent="0.25">
      <c r="A5068" s="314"/>
      <c r="B5068" s="18">
        <v>2023</v>
      </c>
      <c r="C5068" s="18" t="s">
        <v>732</v>
      </c>
      <c r="D5068" s="18" t="s">
        <v>1574</v>
      </c>
      <c r="E5068" s="18" t="s">
        <v>56</v>
      </c>
      <c r="F5068" s="18" t="s">
        <v>1575</v>
      </c>
      <c r="G5068" s="18" t="s">
        <v>675</v>
      </c>
      <c r="H5068" s="18" t="s">
        <v>1576</v>
      </c>
      <c r="I5068" s="315">
        <v>5.7664078575771474E-18</v>
      </c>
      <c r="J5068" s="315">
        <v>2.5196461888110755E-20</v>
      </c>
      <c r="K5068" s="316" t="str">
        <f t="shared" si="68"/>
        <v>Industrial Equipment</v>
      </c>
      <c r="L5068" s="316" t="str">
        <f t="shared" si="69"/>
        <v>CNG</v>
      </c>
      <c r="M5068" s="194"/>
      <c r="N5068" s="317"/>
      <c r="O5068" s="317"/>
      <c r="P5068" s="317"/>
      <c r="Q5068" s="317"/>
      <c r="R5068" s="317"/>
      <c r="S5068" s="317"/>
      <c r="T5068" s="317"/>
      <c r="U5068" s="317"/>
      <c r="V5068" s="317"/>
      <c r="W5068" s="317"/>
      <c r="X5068" s="317"/>
      <c r="Y5068" s="317"/>
      <c r="Z5068" s="317"/>
    </row>
    <row r="5069" spans="1:26" x14ac:dyDescent="0.25">
      <c r="A5069" s="314"/>
      <c r="B5069" s="18">
        <v>2023</v>
      </c>
      <c r="C5069" s="18" t="s">
        <v>810</v>
      </c>
      <c r="D5069" s="18" t="s">
        <v>1574</v>
      </c>
      <c r="E5069" s="18" t="s">
        <v>56</v>
      </c>
      <c r="F5069" s="18" t="s">
        <v>1575</v>
      </c>
      <c r="G5069" s="18" t="s">
        <v>675</v>
      </c>
      <c r="H5069" s="18" t="s">
        <v>1576</v>
      </c>
      <c r="I5069" s="315">
        <v>5.7664078575771474E-18</v>
      </c>
      <c r="J5069" s="315">
        <v>2.5196461888110755E-20</v>
      </c>
      <c r="K5069" s="316" t="str">
        <f t="shared" si="68"/>
        <v>Industrial Equipment</v>
      </c>
      <c r="L5069" s="316" t="str">
        <f t="shared" si="69"/>
        <v>CNG</v>
      </c>
      <c r="M5069" s="194"/>
      <c r="N5069" s="317"/>
      <c r="O5069" s="317"/>
      <c r="P5069" s="317"/>
      <c r="Q5069" s="317"/>
      <c r="R5069" s="317"/>
      <c r="S5069" s="317"/>
      <c r="T5069" s="317"/>
      <c r="U5069" s="317"/>
      <c r="V5069" s="317"/>
      <c r="W5069" s="317"/>
      <c r="X5069" s="317"/>
      <c r="Y5069" s="317"/>
      <c r="Z5069" s="317"/>
    </row>
    <row r="5070" spans="1:26" x14ac:dyDescent="0.25">
      <c r="A5070" s="314"/>
      <c r="B5070" s="18">
        <v>2023</v>
      </c>
      <c r="C5070" s="18" t="s">
        <v>701</v>
      </c>
      <c r="D5070" s="18" t="s">
        <v>1574</v>
      </c>
      <c r="E5070" s="18" t="s">
        <v>56</v>
      </c>
      <c r="F5070" s="18" t="s">
        <v>1575</v>
      </c>
      <c r="G5070" s="18" t="s">
        <v>675</v>
      </c>
      <c r="H5070" s="18" t="s">
        <v>1576</v>
      </c>
      <c r="I5070" s="315">
        <v>5.7664078575771474E-18</v>
      </c>
      <c r="J5070" s="315">
        <v>2.5196461888110755E-20</v>
      </c>
      <c r="K5070" s="316" t="str">
        <f t="shared" si="68"/>
        <v>Industrial Equipment</v>
      </c>
      <c r="L5070" s="316" t="str">
        <f t="shared" si="69"/>
        <v>CNG</v>
      </c>
      <c r="M5070" s="194"/>
      <c r="N5070" s="317"/>
      <c r="O5070" s="317"/>
      <c r="P5070" s="317"/>
      <c r="Q5070" s="317"/>
      <c r="R5070" s="317"/>
      <c r="S5070" s="317"/>
      <c r="T5070" s="317"/>
      <c r="U5070" s="317"/>
      <c r="V5070" s="317"/>
      <c r="W5070" s="317"/>
      <c r="X5070" s="317"/>
      <c r="Y5070" s="317"/>
      <c r="Z5070" s="317"/>
    </row>
    <row r="5071" spans="1:26" x14ac:dyDescent="0.25">
      <c r="A5071" s="314"/>
      <c r="B5071" s="18">
        <v>2023</v>
      </c>
      <c r="C5071" s="18" t="s">
        <v>709</v>
      </c>
      <c r="D5071" s="18" t="s">
        <v>1574</v>
      </c>
      <c r="E5071" s="18" t="s">
        <v>56</v>
      </c>
      <c r="F5071" s="18" t="s">
        <v>1575</v>
      </c>
      <c r="G5071" s="18" t="s">
        <v>675</v>
      </c>
      <c r="H5071" s="18" t="s">
        <v>1576</v>
      </c>
      <c r="I5071" s="315">
        <v>5.7664078575771474E-18</v>
      </c>
      <c r="J5071" s="315">
        <v>2.5196461888110755E-20</v>
      </c>
      <c r="K5071" s="316" t="str">
        <f t="shared" si="68"/>
        <v>Industrial Equipment</v>
      </c>
      <c r="L5071" s="316" t="str">
        <f t="shared" si="69"/>
        <v>CNG</v>
      </c>
      <c r="M5071" s="194"/>
      <c r="N5071" s="317"/>
      <c r="O5071" s="317"/>
      <c r="P5071" s="317"/>
      <c r="Q5071" s="317"/>
      <c r="R5071" s="317"/>
      <c r="S5071" s="317"/>
      <c r="T5071" s="317"/>
      <c r="U5071" s="317"/>
      <c r="V5071" s="317"/>
      <c r="W5071" s="317"/>
      <c r="X5071" s="317"/>
      <c r="Y5071" s="317"/>
      <c r="Z5071" s="317"/>
    </row>
    <row r="5072" spans="1:26" x14ac:dyDescent="0.25">
      <c r="A5072" s="314"/>
      <c r="B5072" s="18">
        <v>2023</v>
      </c>
      <c r="C5072" s="18" t="s">
        <v>762</v>
      </c>
      <c r="D5072" s="18" t="s">
        <v>1574</v>
      </c>
      <c r="E5072" s="18" t="s">
        <v>56</v>
      </c>
      <c r="F5072" s="18" t="s">
        <v>1575</v>
      </c>
      <c r="G5072" s="18" t="s">
        <v>675</v>
      </c>
      <c r="H5072" s="18" t="s">
        <v>1576</v>
      </c>
      <c r="I5072" s="315">
        <v>5.7664078575771474E-18</v>
      </c>
      <c r="J5072" s="315">
        <v>2.5196461888110755E-20</v>
      </c>
      <c r="K5072" s="316" t="str">
        <f t="shared" si="68"/>
        <v>Industrial Equipment</v>
      </c>
      <c r="L5072" s="316" t="str">
        <f t="shared" si="69"/>
        <v>CNG</v>
      </c>
      <c r="M5072" s="194"/>
      <c r="N5072" s="317"/>
      <c r="O5072" s="317"/>
      <c r="P5072" s="317"/>
      <c r="Q5072" s="317"/>
      <c r="R5072" s="317"/>
      <c r="S5072" s="317"/>
      <c r="T5072" s="317"/>
      <c r="U5072" s="317"/>
      <c r="V5072" s="317"/>
      <c r="W5072" s="317"/>
      <c r="X5072" s="317"/>
      <c r="Y5072" s="317"/>
      <c r="Z5072" s="317"/>
    </row>
    <row r="5073" spans="1:26" x14ac:dyDescent="0.25">
      <c r="A5073" s="314"/>
      <c r="B5073" s="18">
        <v>2023</v>
      </c>
      <c r="C5073" s="18" t="s">
        <v>750</v>
      </c>
      <c r="D5073" s="18" t="s">
        <v>1574</v>
      </c>
      <c r="E5073" s="18" t="s">
        <v>56</v>
      </c>
      <c r="F5073" s="18" t="s">
        <v>1575</v>
      </c>
      <c r="G5073" s="18" t="s">
        <v>675</v>
      </c>
      <c r="H5073" s="18" t="s">
        <v>1576</v>
      </c>
      <c r="I5073" s="315">
        <v>5.7664078575771474E-18</v>
      </c>
      <c r="J5073" s="315">
        <v>2.5196461888110755E-20</v>
      </c>
      <c r="K5073" s="316" t="str">
        <f t="shared" si="68"/>
        <v>Industrial Equipment</v>
      </c>
      <c r="L5073" s="316" t="str">
        <f t="shared" si="69"/>
        <v>CNG</v>
      </c>
      <c r="M5073" s="194"/>
      <c r="N5073" s="317"/>
      <c r="O5073" s="317"/>
      <c r="P5073" s="317"/>
      <c r="Q5073" s="317"/>
      <c r="R5073" s="317"/>
      <c r="S5073" s="317"/>
      <c r="T5073" s="317"/>
      <c r="U5073" s="317"/>
      <c r="V5073" s="317"/>
      <c r="W5073" s="317"/>
      <c r="X5073" s="317"/>
      <c r="Y5073" s="317"/>
      <c r="Z5073" s="317"/>
    </row>
    <row r="5074" spans="1:26" x14ac:dyDescent="0.25">
      <c r="A5074" s="314"/>
      <c r="B5074" s="18">
        <v>2023</v>
      </c>
      <c r="C5074" s="18" t="s">
        <v>759</v>
      </c>
      <c r="D5074" s="18" t="s">
        <v>1574</v>
      </c>
      <c r="E5074" s="18" t="s">
        <v>56</v>
      </c>
      <c r="F5074" s="18" t="s">
        <v>1575</v>
      </c>
      <c r="G5074" s="18" t="s">
        <v>675</v>
      </c>
      <c r="H5074" s="18" t="s">
        <v>1576</v>
      </c>
      <c r="I5074" s="315">
        <v>5.7664078575771474E-18</v>
      </c>
      <c r="J5074" s="315">
        <v>2.5196461888110755E-20</v>
      </c>
      <c r="K5074" s="316" t="str">
        <f t="shared" si="68"/>
        <v>Industrial Equipment</v>
      </c>
      <c r="L5074" s="316" t="str">
        <f t="shared" si="69"/>
        <v>CNG</v>
      </c>
      <c r="M5074" s="194"/>
      <c r="N5074" s="317"/>
      <c r="O5074" s="317"/>
      <c r="P5074" s="317"/>
      <c r="Q5074" s="317"/>
      <c r="R5074" s="317"/>
      <c r="S5074" s="317"/>
      <c r="T5074" s="317"/>
      <c r="U5074" s="317"/>
      <c r="V5074" s="317"/>
      <c r="W5074" s="317"/>
      <c r="X5074" s="317"/>
      <c r="Y5074" s="317"/>
      <c r="Z5074" s="317"/>
    </row>
    <row r="5075" spans="1:26" x14ac:dyDescent="0.25">
      <c r="A5075" s="314"/>
      <c r="B5075" s="18">
        <v>2023</v>
      </c>
      <c r="C5075" s="18" t="s">
        <v>753</v>
      </c>
      <c r="D5075" s="18" t="s">
        <v>1574</v>
      </c>
      <c r="E5075" s="18" t="s">
        <v>56</v>
      </c>
      <c r="F5075" s="18" t="s">
        <v>1575</v>
      </c>
      <c r="G5075" s="18" t="s">
        <v>675</v>
      </c>
      <c r="H5075" s="18" t="s">
        <v>1576</v>
      </c>
      <c r="I5075" s="315">
        <v>5.7664078575771474E-18</v>
      </c>
      <c r="J5075" s="315">
        <v>2.5196461888110755E-20</v>
      </c>
      <c r="K5075" s="316" t="str">
        <f t="shared" si="68"/>
        <v>Industrial Equipment</v>
      </c>
      <c r="L5075" s="316" t="str">
        <f t="shared" si="69"/>
        <v>CNG</v>
      </c>
      <c r="M5075" s="194"/>
      <c r="N5075" s="317"/>
      <c r="O5075" s="317"/>
      <c r="P5075" s="317"/>
      <c r="Q5075" s="317"/>
      <c r="R5075" s="317"/>
      <c r="S5075" s="317"/>
      <c r="T5075" s="317"/>
      <c r="U5075" s="317"/>
      <c r="V5075" s="317"/>
      <c r="W5075" s="317"/>
      <c r="X5075" s="317"/>
      <c r="Y5075" s="317"/>
      <c r="Z5075" s="317"/>
    </row>
    <row r="5076" spans="1:26" x14ac:dyDescent="0.25">
      <c r="A5076" s="314"/>
      <c r="B5076" s="18">
        <v>2023</v>
      </c>
      <c r="C5076" s="18" t="s">
        <v>773</v>
      </c>
      <c r="D5076" s="18" t="s">
        <v>1574</v>
      </c>
      <c r="E5076" s="18" t="s">
        <v>56</v>
      </c>
      <c r="F5076" s="18" t="s">
        <v>1575</v>
      </c>
      <c r="G5076" s="18" t="s">
        <v>675</v>
      </c>
      <c r="H5076" s="18" t="s">
        <v>1576</v>
      </c>
      <c r="I5076" s="315">
        <v>5.7664078575771474E-18</v>
      </c>
      <c r="J5076" s="315">
        <v>2.5196461888110755E-20</v>
      </c>
      <c r="K5076" s="316" t="str">
        <f t="shared" si="68"/>
        <v>Industrial Equipment</v>
      </c>
      <c r="L5076" s="316" t="str">
        <f t="shared" si="69"/>
        <v>CNG</v>
      </c>
      <c r="M5076" s="194"/>
      <c r="N5076" s="317"/>
      <c r="O5076" s="317"/>
      <c r="P5076" s="317"/>
      <c r="Q5076" s="317"/>
      <c r="R5076" s="317"/>
      <c r="S5076" s="317"/>
      <c r="T5076" s="317"/>
      <c r="U5076" s="317"/>
      <c r="V5076" s="317"/>
      <c r="W5076" s="317"/>
      <c r="X5076" s="317"/>
      <c r="Y5076" s="317"/>
      <c r="Z5076" s="317"/>
    </row>
    <row r="5077" spans="1:26" x14ac:dyDescent="0.25">
      <c r="A5077" s="314"/>
      <c r="B5077" s="18">
        <v>2023</v>
      </c>
      <c r="C5077" s="18" t="s">
        <v>727</v>
      </c>
      <c r="D5077" s="18" t="s">
        <v>1574</v>
      </c>
      <c r="E5077" s="18" t="s">
        <v>56</v>
      </c>
      <c r="F5077" s="18" t="s">
        <v>1575</v>
      </c>
      <c r="G5077" s="18" t="s">
        <v>675</v>
      </c>
      <c r="H5077" s="18" t="s">
        <v>1576</v>
      </c>
      <c r="I5077" s="315">
        <v>5.7664078575771474E-18</v>
      </c>
      <c r="J5077" s="315">
        <v>2.5196461888110755E-20</v>
      </c>
      <c r="K5077" s="316" t="str">
        <f t="shared" si="68"/>
        <v>Industrial Equipment</v>
      </c>
      <c r="L5077" s="316" t="str">
        <f t="shared" si="69"/>
        <v>CNG</v>
      </c>
      <c r="M5077" s="194"/>
      <c r="N5077" s="317"/>
      <c r="O5077" s="317"/>
      <c r="P5077" s="317"/>
      <c r="Q5077" s="317"/>
      <c r="R5077" s="317"/>
      <c r="S5077" s="317"/>
      <c r="T5077" s="317"/>
      <c r="U5077" s="317"/>
      <c r="V5077" s="317"/>
      <c r="W5077" s="317"/>
      <c r="X5077" s="317"/>
      <c r="Y5077" s="317"/>
      <c r="Z5077" s="317"/>
    </row>
    <row r="5078" spans="1:26" x14ac:dyDescent="0.25">
      <c r="A5078" s="314"/>
      <c r="B5078" s="18">
        <v>2023</v>
      </c>
      <c r="C5078" s="18" t="s">
        <v>710</v>
      </c>
      <c r="D5078" s="18" t="s">
        <v>1564</v>
      </c>
      <c r="E5078" s="18" t="s">
        <v>703</v>
      </c>
      <c r="F5078" s="18" t="s">
        <v>704</v>
      </c>
      <c r="G5078" s="18" t="s">
        <v>674</v>
      </c>
      <c r="H5078" s="18" t="s">
        <v>981</v>
      </c>
      <c r="I5078" s="315">
        <v>5.3111100317230197E-18</v>
      </c>
      <c r="J5078" s="315">
        <v>3.926730910260188E-21</v>
      </c>
      <c r="K5078" s="316" t="str">
        <f t="shared" si="68"/>
        <v>Construction and Mining Equipment</v>
      </c>
      <c r="L5078" s="316" t="str">
        <f t="shared" si="69"/>
        <v>Gasoline</v>
      </c>
      <c r="M5078" s="194"/>
      <c r="N5078" s="317"/>
      <c r="O5078" s="317"/>
      <c r="P5078" s="317"/>
      <c r="Q5078" s="317"/>
      <c r="R5078" s="317"/>
      <c r="S5078" s="317"/>
      <c r="T5078" s="317"/>
      <c r="U5078" s="317"/>
      <c r="V5078" s="317"/>
      <c r="W5078" s="317"/>
      <c r="X5078" s="317"/>
      <c r="Y5078" s="317"/>
      <c r="Z5078" s="317"/>
    </row>
    <row r="5079" spans="1:26" x14ac:dyDescent="0.25">
      <c r="A5079" s="314"/>
      <c r="B5079" s="18">
        <v>2023</v>
      </c>
      <c r="C5079" s="18" t="s">
        <v>710</v>
      </c>
      <c r="D5079" s="18" t="s">
        <v>1580</v>
      </c>
      <c r="E5079" s="18" t="s">
        <v>56</v>
      </c>
      <c r="F5079" s="18" t="s">
        <v>672</v>
      </c>
      <c r="G5079" s="18" t="s">
        <v>674</v>
      </c>
      <c r="H5079" s="18" t="s">
        <v>736</v>
      </c>
      <c r="I5079" s="315">
        <v>5.0753291536326596E-18</v>
      </c>
      <c r="J5079" s="315">
        <v>2.3314929237437271E-22</v>
      </c>
      <c r="K5079" s="316" t="str">
        <f t="shared" si="68"/>
        <v>Construction and Mining Equipment</v>
      </c>
      <c r="L5079" s="316" t="str">
        <f t="shared" si="69"/>
        <v>LPG</v>
      </c>
      <c r="M5079" s="194"/>
      <c r="N5079" s="317"/>
      <c r="O5079" s="317"/>
      <c r="P5079" s="317"/>
      <c r="Q5079" s="317"/>
      <c r="R5079" s="317"/>
      <c r="S5079" s="317"/>
      <c r="T5079" s="317"/>
      <c r="U5079" s="317"/>
      <c r="V5079" s="317"/>
      <c r="W5079" s="317"/>
      <c r="X5079" s="317"/>
      <c r="Y5079" s="317"/>
      <c r="Z5079" s="317"/>
    </row>
    <row r="5080" spans="1:26" x14ac:dyDescent="0.25">
      <c r="A5080" s="314"/>
      <c r="B5080" s="18">
        <v>2023</v>
      </c>
      <c r="C5080" s="18" t="s">
        <v>710</v>
      </c>
      <c r="D5080" s="18" t="s">
        <v>1583</v>
      </c>
      <c r="E5080" s="18" t="s">
        <v>703</v>
      </c>
      <c r="F5080" s="18" t="s">
        <v>805</v>
      </c>
      <c r="G5080" s="18" t="s">
        <v>674</v>
      </c>
      <c r="H5080" s="18" t="s">
        <v>1036</v>
      </c>
      <c r="I5080" s="315">
        <v>5.0087924984079128E-18</v>
      </c>
      <c r="J5080" s="315">
        <v>1.036641183498835E-20</v>
      </c>
      <c r="K5080" s="316" t="str">
        <f t="shared" si="68"/>
        <v>Construction and Mining Equipment</v>
      </c>
      <c r="L5080" s="316" t="str">
        <f t="shared" si="69"/>
        <v>Gasoline</v>
      </c>
      <c r="M5080" s="194"/>
      <c r="N5080" s="317"/>
      <c r="O5080" s="317"/>
      <c r="P5080" s="317"/>
      <c r="Q5080" s="317"/>
      <c r="R5080" s="317"/>
      <c r="S5080" s="317"/>
      <c r="T5080" s="317"/>
      <c r="U5080" s="317"/>
      <c r="V5080" s="317"/>
      <c r="W5080" s="317"/>
      <c r="X5080" s="317"/>
      <c r="Y5080" s="317"/>
      <c r="Z5080" s="317"/>
    </row>
    <row r="5081" spans="1:26" x14ac:dyDescent="0.25">
      <c r="A5081" s="314"/>
      <c r="B5081" s="18">
        <v>2023</v>
      </c>
      <c r="C5081" s="18" t="s">
        <v>710</v>
      </c>
      <c r="D5081" s="18" t="s">
        <v>1657</v>
      </c>
      <c r="E5081" s="18" t="s">
        <v>713</v>
      </c>
      <c r="F5081" s="18" t="s">
        <v>714</v>
      </c>
      <c r="G5081" s="18" t="s">
        <v>678</v>
      </c>
      <c r="H5081" s="18" t="s">
        <v>1638</v>
      </c>
      <c r="I5081" s="315">
        <v>4.7558103806126004E-18</v>
      </c>
      <c r="J5081" s="315">
        <v>5.2779002923619128E-23</v>
      </c>
      <c r="K5081" s="316" t="str">
        <f t="shared" si="68"/>
        <v>Agricultural Equipment</v>
      </c>
      <c r="L5081" s="316" t="str">
        <f t="shared" si="69"/>
        <v>Diesel</v>
      </c>
      <c r="M5081" s="194"/>
      <c r="N5081" s="317"/>
      <c r="O5081" s="317"/>
      <c r="P5081" s="317"/>
      <c r="Q5081" s="317"/>
      <c r="R5081" s="317"/>
      <c r="S5081" s="317"/>
      <c r="T5081" s="317"/>
      <c r="U5081" s="317"/>
      <c r="V5081" s="317"/>
      <c r="W5081" s="317"/>
      <c r="X5081" s="317"/>
      <c r="Y5081" s="317"/>
      <c r="Z5081" s="317"/>
    </row>
    <row r="5082" spans="1:26" x14ac:dyDescent="0.25">
      <c r="A5082" s="314"/>
      <c r="B5082" s="18">
        <v>2023</v>
      </c>
      <c r="C5082" s="18" t="s">
        <v>710</v>
      </c>
      <c r="D5082" s="18" t="s">
        <v>1708</v>
      </c>
      <c r="E5082" s="18" t="s">
        <v>703</v>
      </c>
      <c r="F5082" s="18" t="s">
        <v>704</v>
      </c>
      <c r="G5082" s="18" t="s">
        <v>678</v>
      </c>
      <c r="H5082" s="18" t="s">
        <v>1709</v>
      </c>
      <c r="I5082" s="315">
        <v>2.9732991559137949E-18</v>
      </c>
      <c r="J5082" s="315">
        <v>2.0090360851841874E-21</v>
      </c>
      <c r="K5082" s="316" t="str">
        <f t="shared" si="68"/>
        <v>Agricultural Equipment</v>
      </c>
      <c r="L5082" s="316" t="str">
        <f t="shared" si="69"/>
        <v>Gasoline</v>
      </c>
      <c r="M5082" s="194"/>
      <c r="N5082" s="317"/>
      <c r="O5082" s="317"/>
      <c r="P5082" s="317"/>
      <c r="Q5082" s="317"/>
      <c r="R5082" s="317"/>
      <c r="S5082" s="317"/>
      <c r="T5082" s="317"/>
      <c r="U5082" s="317"/>
      <c r="V5082" s="317"/>
      <c r="W5082" s="317"/>
      <c r="X5082" s="317"/>
      <c r="Y5082" s="317"/>
      <c r="Z5082" s="317"/>
    </row>
    <row r="5083" spans="1:26" x14ac:dyDescent="0.25">
      <c r="A5083" s="314"/>
      <c r="B5083" s="18">
        <v>2023</v>
      </c>
      <c r="C5083" s="18" t="s">
        <v>710</v>
      </c>
      <c r="D5083" s="18" t="s">
        <v>1654</v>
      </c>
      <c r="E5083" s="18" t="s">
        <v>56</v>
      </c>
      <c r="F5083" s="18" t="s">
        <v>672</v>
      </c>
      <c r="G5083" s="18" t="s">
        <v>674</v>
      </c>
      <c r="H5083" s="18" t="s">
        <v>994</v>
      </c>
      <c r="I5083" s="315">
        <v>2.6722982664054631E-18</v>
      </c>
      <c r="J5083" s="315">
        <v>6.6243755530037917E-22</v>
      </c>
      <c r="K5083" s="316" t="str">
        <f t="shared" si="68"/>
        <v>Construction and Mining Equipment</v>
      </c>
      <c r="L5083" s="316" t="str">
        <f t="shared" si="69"/>
        <v>LPG</v>
      </c>
      <c r="M5083" s="194"/>
      <c r="N5083" s="317"/>
      <c r="O5083" s="317"/>
      <c r="P5083" s="317"/>
      <c r="Q5083" s="317"/>
      <c r="R5083" s="317"/>
      <c r="S5083" s="317"/>
      <c r="T5083" s="317"/>
      <c r="U5083" s="317"/>
      <c r="V5083" s="317"/>
      <c r="W5083" s="317"/>
      <c r="X5083" s="317"/>
      <c r="Y5083" s="317"/>
      <c r="Z5083" s="317"/>
    </row>
    <row r="5084" spans="1:26" x14ac:dyDescent="0.25">
      <c r="A5084" s="314"/>
      <c r="B5084" s="18">
        <v>2023</v>
      </c>
      <c r="C5084" s="18" t="s">
        <v>710</v>
      </c>
      <c r="D5084" s="18" t="s">
        <v>1744</v>
      </c>
      <c r="E5084" s="18" t="s">
        <v>703</v>
      </c>
      <c r="F5084" s="18" t="s">
        <v>704</v>
      </c>
      <c r="G5084" s="18" t="s">
        <v>678</v>
      </c>
      <c r="H5084" s="18" t="s">
        <v>1745</v>
      </c>
      <c r="I5084" s="315">
        <v>2.4442088285967947E-18</v>
      </c>
      <c r="J5084" s="315">
        <v>1.5597598302736923E-21</v>
      </c>
      <c r="K5084" s="316" t="str">
        <f t="shared" si="68"/>
        <v>Agricultural Equipment</v>
      </c>
      <c r="L5084" s="316" t="str">
        <f t="shared" si="69"/>
        <v>Gasoline</v>
      </c>
      <c r="M5084" s="194"/>
      <c r="N5084" s="317"/>
      <c r="O5084" s="317"/>
      <c r="P5084" s="317"/>
      <c r="Q5084" s="317"/>
      <c r="R5084" s="317"/>
      <c r="S5084" s="317"/>
      <c r="T5084" s="317"/>
      <c r="U5084" s="317"/>
      <c r="V5084" s="317"/>
      <c r="W5084" s="317"/>
      <c r="X5084" s="317"/>
      <c r="Y5084" s="317"/>
      <c r="Z5084" s="317"/>
    </row>
    <row r="5085" spans="1:26" x14ac:dyDescent="0.25">
      <c r="A5085" s="314"/>
      <c r="B5085" s="18">
        <v>2023</v>
      </c>
      <c r="C5085" s="18" t="s">
        <v>710</v>
      </c>
      <c r="D5085" s="18" t="s">
        <v>1663</v>
      </c>
      <c r="E5085" s="18" t="s">
        <v>713</v>
      </c>
      <c r="F5085" s="18" t="s">
        <v>714</v>
      </c>
      <c r="G5085" s="18" t="s">
        <v>674</v>
      </c>
      <c r="H5085" s="18" t="s">
        <v>1082</v>
      </c>
      <c r="I5085" s="315">
        <v>1.9591234449239791E-18</v>
      </c>
      <c r="J5085" s="315">
        <v>2.3258916869501713E-22</v>
      </c>
      <c r="K5085" s="316" t="str">
        <f t="shared" si="68"/>
        <v>Construction and Mining Equipment</v>
      </c>
      <c r="L5085" s="316" t="str">
        <f t="shared" si="69"/>
        <v>Diesel</v>
      </c>
      <c r="M5085" s="194"/>
      <c r="N5085" s="317"/>
      <c r="O5085" s="317"/>
      <c r="P5085" s="317"/>
      <c r="Q5085" s="317"/>
      <c r="R5085" s="317"/>
      <c r="S5085" s="317"/>
      <c r="T5085" s="317"/>
      <c r="U5085" s="317"/>
      <c r="V5085" s="317"/>
      <c r="W5085" s="317"/>
      <c r="X5085" s="317"/>
      <c r="Y5085" s="317"/>
      <c r="Z5085" s="317"/>
    </row>
    <row r="5086" spans="1:26" x14ac:dyDescent="0.25">
      <c r="A5086" s="314"/>
      <c r="B5086" s="18">
        <v>2023</v>
      </c>
      <c r="C5086" s="18" t="s">
        <v>710</v>
      </c>
      <c r="D5086" s="18" t="s">
        <v>1679</v>
      </c>
      <c r="E5086" s="18" t="s">
        <v>56</v>
      </c>
      <c r="F5086" s="18" t="s">
        <v>672</v>
      </c>
      <c r="G5086" s="18" t="s">
        <v>674</v>
      </c>
      <c r="H5086" s="18" t="s">
        <v>959</v>
      </c>
      <c r="I5086" s="315">
        <v>1.8092232090754468E-18</v>
      </c>
      <c r="J5086" s="315">
        <v>3.0732238031420762E-22</v>
      </c>
      <c r="K5086" s="316" t="str">
        <f t="shared" si="68"/>
        <v>Construction and Mining Equipment</v>
      </c>
      <c r="L5086" s="316" t="str">
        <f t="shared" si="69"/>
        <v>LPG</v>
      </c>
      <c r="M5086" s="194"/>
      <c r="N5086" s="317"/>
      <c r="O5086" s="317"/>
      <c r="P5086" s="317"/>
      <c r="Q5086" s="317"/>
      <c r="R5086" s="317"/>
      <c r="S5086" s="317"/>
      <c r="T5086" s="317"/>
      <c r="U5086" s="317"/>
      <c r="V5086" s="317"/>
      <c r="W5086" s="317"/>
      <c r="X5086" s="317"/>
      <c r="Y5086" s="317"/>
      <c r="Z5086" s="317"/>
    </row>
    <row r="5087" spans="1:26" x14ac:dyDescent="0.25">
      <c r="A5087" s="314"/>
      <c r="B5087" s="18">
        <v>2023</v>
      </c>
      <c r="C5087" s="18" t="s">
        <v>710</v>
      </c>
      <c r="D5087" s="18" t="s">
        <v>1685</v>
      </c>
      <c r="E5087" s="18" t="s">
        <v>56</v>
      </c>
      <c r="F5087" s="18" t="s">
        <v>672</v>
      </c>
      <c r="G5087" s="18" t="s">
        <v>674</v>
      </c>
      <c r="H5087" s="18" t="s">
        <v>1072</v>
      </c>
      <c r="I5087" s="315">
        <v>1.6939209408495479E-18</v>
      </c>
      <c r="J5087" s="315">
        <v>1.1753891437576177E-22</v>
      </c>
      <c r="K5087" s="316" t="str">
        <f t="shared" si="68"/>
        <v>Construction and Mining Equipment</v>
      </c>
      <c r="L5087" s="316" t="str">
        <f t="shared" si="69"/>
        <v>LPG</v>
      </c>
      <c r="M5087" s="194"/>
      <c r="N5087" s="317"/>
      <c r="O5087" s="317"/>
      <c r="P5087" s="317"/>
      <c r="Q5087" s="317"/>
      <c r="R5087" s="317"/>
      <c r="S5087" s="317"/>
      <c r="T5087" s="317"/>
      <c r="U5087" s="317"/>
      <c r="V5087" s="317"/>
      <c r="W5087" s="317"/>
      <c r="X5087" s="317"/>
      <c r="Y5087" s="317"/>
      <c r="Z5087" s="317"/>
    </row>
    <row r="5088" spans="1:26" x14ac:dyDescent="0.25">
      <c r="A5088" s="314"/>
      <c r="B5088" s="18">
        <v>2023</v>
      </c>
      <c r="C5088" s="18" t="s">
        <v>710</v>
      </c>
      <c r="D5088" s="18" t="s">
        <v>1830</v>
      </c>
      <c r="E5088" s="18" t="s">
        <v>703</v>
      </c>
      <c r="F5088" s="18" t="s">
        <v>805</v>
      </c>
      <c r="G5088" s="18" t="s">
        <v>678</v>
      </c>
      <c r="H5088" s="18" t="s">
        <v>1222</v>
      </c>
      <c r="I5088" s="315">
        <v>1.2224015523762022E-18</v>
      </c>
      <c r="J5088" s="315">
        <v>2.0081989822401609E-21</v>
      </c>
      <c r="K5088" s="316" t="str">
        <f t="shared" si="68"/>
        <v>Agricultural Equipment</v>
      </c>
      <c r="L5088" s="316" t="str">
        <f t="shared" si="69"/>
        <v>Gasoline</v>
      </c>
      <c r="M5088" s="194"/>
      <c r="N5088" s="317"/>
      <c r="O5088" s="317"/>
      <c r="P5088" s="317"/>
      <c r="Q5088" s="317"/>
      <c r="R5088" s="317"/>
      <c r="S5088" s="317"/>
      <c r="T5088" s="317"/>
      <c r="U5088" s="317"/>
      <c r="V5088" s="317"/>
      <c r="W5088" s="317"/>
      <c r="X5088" s="317"/>
      <c r="Y5088" s="317"/>
      <c r="Z5088" s="317"/>
    </row>
    <row r="5089" spans="1:26" x14ac:dyDescent="0.25">
      <c r="A5089" s="314"/>
      <c r="B5089" s="18">
        <v>2023</v>
      </c>
      <c r="C5089" s="18" t="s">
        <v>710</v>
      </c>
      <c r="D5089" s="18" t="s">
        <v>1730</v>
      </c>
      <c r="E5089" s="18" t="s">
        <v>703</v>
      </c>
      <c r="F5089" s="18" t="s">
        <v>805</v>
      </c>
      <c r="G5089" s="18" t="s">
        <v>674</v>
      </c>
      <c r="H5089" s="18" t="s">
        <v>959</v>
      </c>
      <c r="I5089" s="315">
        <v>1.1695003672375195E-18</v>
      </c>
      <c r="J5089" s="315">
        <v>2.6131389928707405E-21</v>
      </c>
      <c r="K5089" s="316" t="str">
        <f t="shared" si="68"/>
        <v>Construction and Mining Equipment</v>
      </c>
      <c r="L5089" s="316" t="str">
        <f t="shared" si="69"/>
        <v>Gasoline</v>
      </c>
      <c r="M5089" s="194"/>
      <c r="N5089" s="317"/>
      <c r="O5089" s="317"/>
      <c r="P5089" s="317"/>
      <c r="Q5089" s="317"/>
      <c r="R5089" s="317"/>
      <c r="S5089" s="317"/>
      <c r="T5089" s="317"/>
      <c r="U5089" s="317"/>
      <c r="V5089" s="317"/>
      <c r="W5089" s="317"/>
      <c r="X5089" s="317"/>
      <c r="Y5089" s="317"/>
      <c r="Z5089" s="317"/>
    </row>
    <row r="5090" spans="1:26" x14ac:dyDescent="0.25">
      <c r="A5090" s="314"/>
      <c r="B5090" s="18">
        <v>2023</v>
      </c>
      <c r="C5090" s="18" t="s">
        <v>710</v>
      </c>
      <c r="D5090" s="18" t="s">
        <v>1838</v>
      </c>
      <c r="E5090" s="18" t="s">
        <v>713</v>
      </c>
      <c r="F5090" s="18" t="s">
        <v>714</v>
      </c>
      <c r="G5090" s="18" t="s">
        <v>678</v>
      </c>
      <c r="H5090" s="18" t="s">
        <v>1745</v>
      </c>
      <c r="I5090" s="315">
        <v>9.9852329511509243E-19</v>
      </c>
      <c r="J5090" s="315">
        <v>7.2260781477847641E-24</v>
      </c>
      <c r="K5090" s="316" t="str">
        <f t="shared" si="68"/>
        <v>Agricultural Equipment</v>
      </c>
      <c r="L5090" s="316" t="str">
        <f t="shared" si="69"/>
        <v>Diesel</v>
      </c>
      <c r="M5090" s="194"/>
      <c r="N5090" s="317"/>
      <c r="O5090" s="317"/>
      <c r="P5090" s="317"/>
      <c r="Q5090" s="317"/>
      <c r="R5090" s="317"/>
      <c r="S5090" s="317"/>
      <c r="T5090" s="317"/>
      <c r="U5090" s="317"/>
      <c r="V5090" s="317"/>
      <c r="W5090" s="317"/>
      <c r="X5090" s="317"/>
      <c r="Y5090" s="317"/>
      <c r="Z5090" s="317"/>
    </row>
    <row r="5091" spans="1:26" x14ac:dyDescent="0.25">
      <c r="A5091" s="314"/>
      <c r="B5091" s="18">
        <v>2023</v>
      </c>
      <c r="C5091" s="18" t="s">
        <v>710</v>
      </c>
      <c r="D5091" s="18" t="s">
        <v>1840</v>
      </c>
      <c r="E5091" s="18" t="s">
        <v>703</v>
      </c>
      <c r="F5091" s="18" t="s">
        <v>704</v>
      </c>
      <c r="G5091" s="18" t="s">
        <v>681</v>
      </c>
      <c r="H5091" s="18" t="s">
        <v>895</v>
      </c>
      <c r="I5091" s="315">
        <v>6.1028779855437942E-19</v>
      </c>
      <c r="J5091" s="315">
        <v>4.7863545670929204E-22</v>
      </c>
      <c r="K5091" s="316" t="str">
        <f t="shared" si="68"/>
        <v>Logging Equipment</v>
      </c>
      <c r="L5091" s="316" t="str">
        <f t="shared" si="69"/>
        <v>Gasoline</v>
      </c>
      <c r="M5091" s="194"/>
      <c r="N5091" s="317"/>
      <c r="O5091" s="317"/>
      <c r="P5091" s="317"/>
      <c r="Q5091" s="317"/>
      <c r="R5091" s="317"/>
      <c r="S5091" s="317"/>
      <c r="T5091" s="317"/>
      <c r="U5091" s="317"/>
      <c r="V5091" s="317"/>
      <c r="W5091" s="317"/>
      <c r="X5091" s="317"/>
      <c r="Y5091" s="317"/>
      <c r="Z5091" s="317"/>
    </row>
    <row r="5092" spans="1:26" x14ac:dyDescent="0.25">
      <c r="A5092" s="314"/>
      <c r="B5092" s="18">
        <v>2023</v>
      </c>
      <c r="C5092" s="18" t="s">
        <v>710</v>
      </c>
      <c r="D5092" s="18" t="s">
        <v>1825</v>
      </c>
      <c r="E5092" s="18" t="s">
        <v>56</v>
      </c>
      <c r="F5092" s="18" t="s">
        <v>601</v>
      </c>
      <c r="G5092" s="18" t="s">
        <v>674</v>
      </c>
      <c r="H5092" s="18" t="s">
        <v>859</v>
      </c>
      <c r="I5092" s="315">
        <v>5.9046253021240245E-19</v>
      </c>
      <c r="J5092" s="315">
        <v>1.2686851324567782E-20</v>
      </c>
      <c r="K5092" s="316" t="str">
        <f t="shared" si="68"/>
        <v>Construction and Mining Equipment</v>
      </c>
      <c r="L5092" s="316" t="str">
        <f t="shared" si="69"/>
        <v>CNG</v>
      </c>
      <c r="M5092" s="194"/>
      <c r="N5092" s="317"/>
      <c r="O5092" s="317"/>
      <c r="P5092" s="317"/>
      <c r="Q5092" s="317"/>
      <c r="R5092" s="317"/>
      <c r="S5092" s="317"/>
      <c r="T5092" s="317"/>
      <c r="U5092" s="317"/>
      <c r="V5092" s="317"/>
      <c r="W5092" s="317"/>
      <c r="X5092" s="317"/>
      <c r="Y5092" s="317"/>
      <c r="Z5092" s="317"/>
    </row>
    <row r="5093" spans="1:26" x14ac:dyDescent="0.25">
      <c r="A5093" s="314"/>
      <c r="B5093" s="18">
        <v>2023</v>
      </c>
      <c r="C5093" s="18" t="s">
        <v>710</v>
      </c>
      <c r="D5093" s="18" t="s">
        <v>1833</v>
      </c>
      <c r="E5093" s="18" t="s">
        <v>703</v>
      </c>
      <c r="F5093" s="18" t="s">
        <v>704</v>
      </c>
      <c r="G5093" s="18" t="s">
        <v>674</v>
      </c>
      <c r="H5093" s="18" t="s">
        <v>1082</v>
      </c>
      <c r="I5093" s="315">
        <v>5.1170387861159317E-19</v>
      </c>
      <c r="J5093" s="315">
        <v>3.3188897321797587E-22</v>
      </c>
      <c r="K5093" s="316" t="str">
        <f t="shared" si="68"/>
        <v>Construction and Mining Equipment</v>
      </c>
      <c r="L5093" s="316" t="str">
        <f t="shared" si="69"/>
        <v>Gasoline</v>
      </c>
      <c r="M5093" s="194"/>
      <c r="N5093" s="317"/>
      <c r="O5093" s="317"/>
      <c r="P5093" s="317"/>
      <c r="Q5093" s="317"/>
      <c r="R5093" s="317"/>
      <c r="S5093" s="317"/>
      <c r="T5093" s="317"/>
      <c r="U5093" s="317"/>
      <c r="V5093" s="317"/>
      <c r="W5093" s="317"/>
      <c r="X5093" s="317"/>
      <c r="Y5093" s="317"/>
      <c r="Z5093" s="317"/>
    </row>
    <row r="5094" spans="1:26" x14ac:dyDescent="0.25">
      <c r="A5094" s="314"/>
      <c r="B5094" s="18">
        <v>2023</v>
      </c>
      <c r="C5094" s="18" t="s">
        <v>793</v>
      </c>
      <c r="D5094" s="18" t="s">
        <v>1839</v>
      </c>
      <c r="E5094" s="18" t="s">
        <v>56</v>
      </c>
      <c r="F5094" s="18" t="s">
        <v>683</v>
      </c>
      <c r="G5094" s="18" t="s">
        <v>672</v>
      </c>
      <c r="H5094" s="18" t="s">
        <v>1002</v>
      </c>
      <c r="I5094" s="315">
        <v>5.0574423318357995E-19</v>
      </c>
      <c r="J5094" s="315">
        <v>4.0719773318810721E-23</v>
      </c>
      <c r="K5094" s="316" t="str">
        <f t="shared" si="68"/>
        <v>Railroad Equipment</v>
      </c>
      <c r="L5094" s="316" t="str">
        <f t="shared" si="69"/>
        <v>LPG</v>
      </c>
      <c r="M5094" s="194"/>
      <c r="N5094" s="317"/>
      <c r="O5094" s="317"/>
      <c r="P5094" s="317"/>
      <c r="Q5094" s="317"/>
      <c r="R5094" s="317"/>
      <c r="S5094" s="317"/>
      <c r="T5094" s="317"/>
      <c r="U5094" s="317"/>
      <c r="V5094" s="317"/>
      <c r="W5094" s="317"/>
      <c r="X5094" s="317"/>
      <c r="Y5094" s="317"/>
      <c r="Z5094" s="317"/>
    </row>
    <row r="5095" spans="1:26" x14ac:dyDescent="0.25">
      <c r="A5095" s="314"/>
      <c r="B5095" s="18">
        <v>2023</v>
      </c>
      <c r="C5095" s="18" t="s">
        <v>781</v>
      </c>
      <c r="D5095" s="18" t="s">
        <v>1839</v>
      </c>
      <c r="E5095" s="18" t="s">
        <v>56</v>
      </c>
      <c r="F5095" s="18" t="s">
        <v>683</v>
      </c>
      <c r="G5095" s="18" t="s">
        <v>672</v>
      </c>
      <c r="H5095" s="18" t="s">
        <v>1002</v>
      </c>
      <c r="I5095" s="315">
        <v>5.0574423318357995E-19</v>
      </c>
      <c r="J5095" s="315">
        <v>4.0719773318810721E-23</v>
      </c>
      <c r="K5095" s="316" t="str">
        <f t="shared" si="68"/>
        <v>Railroad Equipment</v>
      </c>
      <c r="L5095" s="316" t="str">
        <f t="shared" si="69"/>
        <v>LPG</v>
      </c>
      <c r="M5095" s="194"/>
      <c r="N5095" s="317"/>
      <c r="O5095" s="317"/>
      <c r="P5095" s="317"/>
      <c r="Q5095" s="317"/>
      <c r="R5095" s="317"/>
      <c r="S5095" s="317"/>
      <c r="T5095" s="317"/>
      <c r="U5095" s="317"/>
      <c r="V5095" s="317"/>
      <c r="W5095" s="317"/>
      <c r="X5095" s="317"/>
      <c r="Y5095" s="317"/>
      <c r="Z5095" s="317"/>
    </row>
    <row r="5096" spans="1:26" x14ac:dyDescent="0.25">
      <c r="A5096" s="314"/>
      <c r="B5096" s="18">
        <v>2023</v>
      </c>
      <c r="C5096" s="18" t="s">
        <v>731</v>
      </c>
      <c r="D5096" s="18" t="s">
        <v>1839</v>
      </c>
      <c r="E5096" s="18" t="s">
        <v>56</v>
      </c>
      <c r="F5096" s="18" t="s">
        <v>683</v>
      </c>
      <c r="G5096" s="18" t="s">
        <v>672</v>
      </c>
      <c r="H5096" s="18" t="s">
        <v>1002</v>
      </c>
      <c r="I5096" s="315">
        <v>5.0574423318357995E-19</v>
      </c>
      <c r="J5096" s="315">
        <v>4.0719773318810721E-23</v>
      </c>
      <c r="K5096" s="316" t="str">
        <f t="shared" si="68"/>
        <v>Railroad Equipment</v>
      </c>
      <c r="L5096" s="316" t="str">
        <f t="shared" si="69"/>
        <v>LPG</v>
      </c>
      <c r="M5096" s="194"/>
      <c r="N5096" s="317"/>
      <c r="O5096" s="317"/>
      <c r="P5096" s="317"/>
      <c r="Q5096" s="317"/>
      <c r="R5096" s="317"/>
      <c r="S5096" s="317"/>
      <c r="T5096" s="317"/>
      <c r="U5096" s="317"/>
      <c r="V5096" s="317"/>
      <c r="W5096" s="317"/>
      <c r="X5096" s="317"/>
      <c r="Y5096" s="317"/>
      <c r="Z5096" s="317"/>
    </row>
    <row r="5097" spans="1:26" x14ac:dyDescent="0.25">
      <c r="A5097" s="314"/>
      <c r="B5097" s="18">
        <v>2023</v>
      </c>
      <c r="C5097" s="18" t="s">
        <v>786</v>
      </c>
      <c r="D5097" s="18" t="s">
        <v>1839</v>
      </c>
      <c r="E5097" s="18" t="s">
        <v>56</v>
      </c>
      <c r="F5097" s="18" t="s">
        <v>683</v>
      </c>
      <c r="G5097" s="18" t="s">
        <v>672</v>
      </c>
      <c r="H5097" s="18" t="s">
        <v>1002</v>
      </c>
      <c r="I5097" s="315">
        <v>5.0574423318357995E-19</v>
      </c>
      <c r="J5097" s="315">
        <v>4.0719773318810721E-23</v>
      </c>
      <c r="K5097" s="316" t="str">
        <f t="shared" si="68"/>
        <v>Railroad Equipment</v>
      </c>
      <c r="L5097" s="316" t="str">
        <f t="shared" si="69"/>
        <v>LPG</v>
      </c>
      <c r="M5097" s="194"/>
      <c r="N5097" s="317"/>
      <c r="O5097" s="317"/>
      <c r="P5097" s="317"/>
      <c r="Q5097" s="317"/>
      <c r="R5097" s="317"/>
      <c r="S5097" s="317"/>
      <c r="T5097" s="317"/>
      <c r="U5097" s="317"/>
      <c r="V5097" s="317"/>
      <c r="W5097" s="317"/>
      <c r="X5097" s="317"/>
      <c r="Y5097" s="317"/>
      <c r="Z5097" s="317"/>
    </row>
    <row r="5098" spans="1:26" x14ac:dyDescent="0.25">
      <c r="A5098" s="314"/>
      <c r="B5098" s="18">
        <v>2023</v>
      </c>
      <c r="C5098" s="18" t="s">
        <v>762</v>
      </c>
      <c r="D5098" s="18" t="s">
        <v>1839</v>
      </c>
      <c r="E5098" s="18" t="s">
        <v>56</v>
      </c>
      <c r="F5098" s="18" t="s">
        <v>683</v>
      </c>
      <c r="G5098" s="18" t="s">
        <v>672</v>
      </c>
      <c r="H5098" s="18" t="s">
        <v>1002</v>
      </c>
      <c r="I5098" s="315">
        <v>5.0574423318357995E-19</v>
      </c>
      <c r="J5098" s="315">
        <v>4.0719773318810721E-23</v>
      </c>
      <c r="K5098" s="316" t="str">
        <f t="shared" si="68"/>
        <v>Railroad Equipment</v>
      </c>
      <c r="L5098" s="316" t="str">
        <f t="shared" si="69"/>
        <v>LPG</v>
      </c>
      <c r="M5098" s="194"/>
      <c r="N5098" s="317"/>
      <c r="O5098" s="317"/>
      <c r="P5098" s="317"/>
      <c r="Q5098" s="317"/>
      <c r="R5098" s="317"/>
      <c r="S5098" s="317"/>
      <c r="T5098" s="317"/>
      <c r="U5098" s="317"/>
      <c r="V5098" s="317"/>
      <c r="W5098" s="317"/>
      <c r="X5098" s="317"/>
      <c r="Y5098" s="317"/>
      <c r="Z5098" s="317"/>
    </row>
    <row r="5099" spans="1:26" x14ac:dyDescent="0.25">
      <c r="A5099" s="314"/>
      <c r="B5099" s="18">
        <v>2023</v>
      </c>
      <c r="C5099" s="18" t="s">
        <v>750</v>
      </c>
      <c r="D5099" s="18" t="s">
        <v>1839</v>
      </c>
      <c r="E5099" s="18" t="s">
        <v>56</v>
      </c>
      <c r="F5099" s="18" t="s">
        <v>683</v>
      </c>
      <c r="G5099" s="18" t="s">
        <v>672</v>
      </c>
      <c r="H5099" s="18" t="s">
        <v>1002</v>
      </c>
      <c r="I5099" s="315">
        <v>5.0574423318357995E-19</v>
      </c>
      <c r="J5099" s="315">
        <v>4.0719773318810721E-23</v>
      </c>
      <c r="K5099" s="316" t="str">
        <f t="shared" si="68"/>
        <v>Railroad Equipment</v>
      </c>
      <c r="L5099" s="316" t="str">
        <f t="shared" si="69"/>
        <v>LPG</v>
      </c>
      <c r="M5099" s="194"/>
      <c r="N5099" s="317"/>
      <c r="O5099" s="317"/>
      <c r="P5099" s="317"/>
      <c r="Q5099" s="317"/>
      <c r="R5099" s="317"/>
      <c r="S5099" s="317"/>
      <c r="T5099" s="317"/>
      <c r="U5099" s="317"/>
      <c r="V5099" s="317"/>
      <c r="W5099" s="317"/>
      <c r="X5099" s="317"/>
      <c r="Y5099" s="317"/>
      <c r="Z5099" s="317"/>
    </row>
    <row r="5100" spans="1:26" x14ac:dyDescent="0.25">
      <c r="A5100" s="314"/>
      <c r="B5100" s="18">
        <v>2023</v>
      </c>
      <c r="C5100" s="18" t="s">
        <v>753</v>
      </c>
      <c r="D5100" s="18" t="s">
        <v>1839</v>
      </c>
      <c r="E5100" s="18" t="s">
        <v>56</v>
      </c>
      <c r="F5100" s="18" t="s">
        <v>683</v>
      </c>
      <c r="G5100" s="18" t="s">
        <v>672</v>
      </c>
      <c r="H5100" s="18" t="s">
        <v>1002</v>
      </c>
      <c r="I5100" s="315">
        <v>5.0574423318357995E-19</v>
      </c>
      <c r="J5100" s="315">
        <v>4.0719773318810721E-23</v>
      </c>
      <c r="K5100" s="316" t="str">
        <f t="shared" si="68"/>
        <v>Railroad Equipment</v>
      </c>
      <c r="L5100" s="316" t="str">
        <f t="shared" si="69"/>
        <v>LPG</v>
      </c>
      <c r="M5100" s="194"/>
      <c r="N5100" s="317"/>
      <c r="O5100" s="317"/>
      <c r="P5100" s="317"/>
      <c r="Q5100" s="317"/>
      <c r="R5100" s="317"/>
      <c r="S5100" s="317"/>
      <c r="T5100" s="317"/>
      <c r="U5100" s="317"/>
      <c r="V5100" s="317"/>
      <c r="W5100" s="317"/>
      <c r="X5100" s="317"/>
      <c r="Y5100" s="317"/>
      <c r="Z5100" s="317"/>
    </row>
    <row r="5101" spans="1:26" x14ac:dyDescent="0.25">
      <c r="A5101" s="314"/>
      <c r="B5101" s="18">
        <v>2023</v>
      </c>
      <c r="C5101" s="18" t="s">
        <v>710</v>
      </c>
      <c r="D5101" s="18" t="s">
        <v>1842</v>
      </c>
      <c r="E5101" s="18" t="s">
        <v>713</v>
      </c>
      <c r="F5101" s="18" t="s">
        <v>714</v>
      </c>
      <c r="G5101" s="18" t="s">
        <v>678</v>
      </c>
      <c r="H5101" s="18" t="s">
        <v>1709</v>
      </c>
      <c r="I5101" s="315">
        <v>2.3018822003075397E-19</v>
      </c>
      <c r="J5101" s="315">
        <v>2.8482073678031258E-23</v>
      </c>
      <c r="K5101" s="316" t="str">
        <f t="shared" si="68"/>
        <v>Agricultural Equipment</v>
      </c>
      <c r="L5101" s="316" t="str">
        <f t="shared" si="69"/>
        <v>Diesel</v>
      </c>
      <c r="M5101" s="194"/>
      <c r="N5101" s="317"/>
      <c r="O5101" s="317"/>
      <c r="P5101" s="317"/>
      <c r="Q5101" s="317"/>
      <c r="R5101" s="317"/>
      <c r="S5101" s="317"/>
      <c r="T5101" s="317"/>
      <c r="U5101" s="317"/>
      <c r="V5101" s="317"/>
      <c r="W5101" s="317"/>
      <c r="X5101" s="317"/>
      <c r="Y5101" s="317"/>
      <c r="Z5101" s="317"/>
    </row>
    <row r="5102" spans="1:26" x14ac:dyDescent="0.25">
      <c r="A5102" s="314"/>
      <c r="B5102" s="18">
        <v>2023</v>
      </c>
      <c r="C5102" s="18" t="s">
        <v>710</v>
      </c>
      <c r="D5102" s="18" t="s">
        <v>1843</v>
      </c>
      <c r="E5102" s="18" t="s">
        <v>56</v>
      </c>
      <c r="F5102" s="18" t="s">
        <v>672</v>
      </c>
      <c r="G5102" s="18" t="s">
        <v>678</v>
      </c>
      <c r="H5102" s="18" t="s">
        <v>1154</v>
      </c>
      <c r="I5102" s="315">
        <v>2.2979759548392103E-19</v>
      </c>
      <c r="J5102" s="315">
        <v>1.0545973951097721E-23</v>
      </c>
      <c r="K5102" s="316" t="str">
        <f t="shared" si="68"/>
        <v>Agricultural Equipment</v>
      </c>
      <c r="L5102" s="316" t="str">
        <f t="shared" si="69"/>
        <v>LPG</v>
      </c>
      <c r="M5102" s="194"/>
      <c r="N5102" s="317"/>
      <c r="O5102" s="317"/>
      <c r="P5102" s="317"/>
      <c r="Q5102" s="317"/>
      <c r="R5102" s="317"/>
      <c r="S5102" s="317"/>
      <c r="T5102" s="317"/>
      <c r="U5102" s="317"/>
      <c r="V5102" s="317"/>
      <c r="W5102" s="317"/>
      <c r="X5102" s="317"/>
      <c r="Y5102" s="317"/>
      <c r="Z5102" s="317"/>
    </row>
    <row r="5103" spans="1:26" x14ac:dyDescent="0.25">
      <c r="A5103" s="314"/>
      <c r="B5103" s="18">
        <v>2023</v>
      </c>
      <c r="C5103" s="18" t="s">
        <v>710</v>
      </c>
      <c r="D5103" s="18" t="s">
        <v>1844</v>
      </c>
      <c r="E5103" s="18" t="s">
        <v>56</v>
      </c>
      <c r="F5103" s="18" t="s">
        <v>601</v>
      </c>
      <c r="G5103" s="18" t="s">
        <v>678</v>
      </c>
      <c r="H5103" s="18" t="s">
        <v>1080</v>
      </c>
      <c r="I5103" s="315">
        <v>2.109511837367774E-19</v>
      </c>
      <c r="J5103" s="315">
        <v>8.3081388142035979E-21</v>
      </c>
      <c r="K5103" s="316" t="str">
        <f t="shared" si="68"/>
        <v>Agricultural Equipment</v>
      </c>
      <c r="L5103" s="316" t="str">
        <f t="shared" si="69"/>
        <v>CNG</v>
      </c>
      <c r="M5103" s="194"/>
      <c r="N5103" s="317"/>
      <c r="O5103" s="317"/>
      <c r="P5103" s="317"/>
      <c r="Q5103" s="317"/>
      <c r="R5103" s="317"/>
      <c r="S5103" s="317"/>
      <c r="T5103" s="317"/>
      <c r="U5103" s="317"/>
      <c r="V5103" s="317"/>
      <c r="W5103" s="317"/>
      <c r="X5103" s="317"/>
      <c r="Y5103" s="317"/>
      <c r="Z5103" s="317"/>
    </row>
    <row r="5104" spans="1:26" x14ac:dyDescent="0.25">
      <c r="A5104" s="314"/>
      <c r="B5104" s="18">
        <v>2023</v>
      </c>
      <c r="C5104" s="18" t="s">
        <v>710</v>
      </c>
      <c r="D5104" s="18" t="s">
        <v>1845</v>
      </c>
      <c r="E5104" s="18" t="s">
        <v>713</v>
      </c>
      <c r="F5104" s="18" t="s">
        <v>714</v>
      </c>
      <c r="G5104" s="18" t="s">
        <v>678</v>
      </c>
      <c r="H5104" s="18" t="s">
        <v>1279</v>
      </c>
      <c r="I5104" s="315">
        <v>2.0140428708994821E-19</v>
      </c>
      <c r="J5104" s="315">
        <v>1.1742727716095298E-24</v>
      </c>
      <c r="K5104" s="316" t="str">
        <f t="shared" si="68"/>
        <v>Agricultural Equipment</v>
      </c>
      <c r="L5104" s="316" t="str">
        <f t="shared" si="69"/>
        <v>Diesel</v>
      </c>
      <c r="M5104" s="194"/>
      <c r="N5104" s="317"/>
      <c r="O5104" s="317"/>
      <c r="P5104" s="317"/>
      <c r="Q5104" s="317"/>
      <c r="R5104" s="317"/>
      <c r="S5104" s="317"/>
      <c r="T5104" s="317"/>
      <c r="U5104" s="317"/>
      <c r="V5104" s="317"/>
      <c r="W5104" s="317"/>
      <c r="X5104" s="317"/>
      <c r="Y5104" s="317"/>
      <c r="Z5104" s="317"/>
    </row>
    <row r="5105" spans="1:26" x14ac:dyDescent="0.25">
      <c r="A5105" s="314"/>
      <c r="B5105" s="18">
        <v>2023</v>
      </c>
      <c r="C5105" s="18" t="s">
        <v>710</v>
      </c>
      <c r="D5105" s="18" t="s">
        <v>1847</v>
      </c>
      <c r="E5105" s="18" t="s">
        <v>56</v>
      </c>
      <c r="F5105" s="18" t="s">
        <v>672</v>
      </c>
      <c r="G5105" s="18" t="s">
        <v>678</v>
      </c>
      <c r="H5105" s="18" t="s">
        <v>1080</v>
      </c>
      <c r="I5105" s="315">
        <v>1.0837889517517251E-19</v>
      </c>
      <c r="J5105" s="315">
        <v>4.7924173742095989E-23</v>
      </c>
      <c r="K5105" s="316" t="str">
        <f t="shared" si="68"/>
        <v>Agricultural Equipment</v>
      </c>
      <c r="L5105" s="316" t="str">
        <f t="shared" si="69"/>
        <v>LPG</v>
      </c>
      <c r="M5105" s="194"/>
      <c r="N5105" s="317"/>
      <c r="O5105" s="317"/>
      <c r="P5105" s="317"/>
      <c r="Q5105" s="317"/>
      <c r="R5105" s="317"/>
      <c r="S5105" s="317"/>
      <c r="T5105" s="317"/>
      <c r="U5105" s="317"/>
      <c r="V5105" s="317"/>
      <c r="W5105" s="317"/>
      <c r="X5105" s="317"/>
      <c r="Y5105" s="317"/>
      <c r="Z5105" s="317"/>
    </row>
    <row r="5106" spans="1:26" x14ac:dyDescent="0.25">
      <c r="A5106" s="314"/>
      <c r="B5106" s="18">
        <v>2023</v>
      </c>
      <c r="C5106" s="18" t="s">
        <v>710</v>
      </c>
      <c r="D5106" s="18" t="s">
        <v>1849</v>
      </c>
      <c r="E5106" s="18" t="s">
        <v>703</v>
      </c>
      <c r="F5106" s="18" t="s">
        <v>704</v>
      </c>
      <c r="G5106" s="18" t="s">
        <v>678</v>
      </c>
      <c r="H5106" s="18" t="s">
        <v>972</v>
      </c>
      <c r="I5106" s="315">
        <v>8.5083813840116333E-20</v>
      </c>
      <c r="J5106" s="315">
        <v>5.0455157438692215E-23</v>
      </c>
      <c r="K5106" s="316" t="str">
        <f t="shared" si="68"/>
        <v>Agricultural Equipment</v>
      </c>
      <c r="L5106" s="316" t="str">
        <f t="shared" si="69"/>
        <v>Gasoline</v>
      </c>
      <c r="M5106" s="194"/>
      <c r="N5106" s="317"/>
      <c r="O5106" s="317"/>
      <c r="P5106" s="317"/>
      <c r="Q5106" s="317"/>
      <c r="R5106" s="317"/>
      <c r="S5106" s="317"/>
      <c r="T5106" s="317"/>
      <c r="U5106" s="317"/>
      <c r="V5106" s="317"/>
      <c r="W5106" s="317"/>
      <c r="X5106" s="317"/>
      <c r="Y5106" s="317"/>
      <c r="Z5106" s="317"/>
    </row>
    <row r="5107" spans="1:26" ht="12.75" x14ac:dyDescent="0.2">
      <c r="A5107" s="230"/>
      <c r="B5107" s="18">
        <v>2023</v>
      </c>
      <c r="C5107" s="18" t="s">
        <v>710</v>
      </c>
      <c r="D5107" s="18" t="s">
        <v>1848</v>
      </c>
      <c r="E5107" s="18" t="s">
        <v>703</v>
      </c>
      <c r="F5107" s="18" t="s">
        <v>805</v>
      </c>
      <c r="G5107" s="18" t="s">
        <v>674</v>
      </c>
      <c r="H5107" s="18" t="s">
        <v>981</v>
      </c>
      <c r="I5107" s="315">
        <v>4.1496742818630229E-20</v>
      </c>
      <c r="J5107" s="315">
        <v>9.2720438681315792E-23</v>
      </c>
      <c r="K5107" s="316" t="str">
        <f t="shared" si="68"/>
        <v>Construction and Mining Equipment</v>
      </c>
      <c r="L5107" s="316" t="str">
        <f t="shared" si="69"/>
        <v>Gasoline</v>
      </c>
      <c r="M5107" s="8"/>
      <c r="N5107" s="2"/>
      <c r="O5107" s="2"/>
      <c r="P5107" s="2"/>
      <c r="Q5107" s="2"/>
      <c r="R5107" s="2"/>
      <c r="S5107" s="2"/>
      <c r="T5107" s="2"/>
      <c r="U5107" s="2"/>
      <c r="V5107" s="2"/>
      <c r="W5107" s="2"/>
      <c r="X5107" s="2"/>
      <c r="Y5107" s="2"/>
      <c r="Z5107" s="2"/>
    </row>
    <row r="5108" spans="1:26" ht="12.75" x14ac:dyDescent="0.2">
      <c r="A5108" s="230"/>
      <c r="B5108" s="742"/>
      <c r="C5108" s="742"/>
      <c r="D5108" s="742"/>
      <c r="E5108" s="742"/>
      <c r="F5108" s="742"/>
      <c r="G5108" s="742"/>
      <c r="H5108" s="742"/>
      <c r="I5108" s="860"/>
      <c r="J5108" s="860"/>
      <c r="K5108" s="8"/>
      <c r="L5108" s="8"/>
      <c r="M5108" s="8"/>
      <c r="N5108" s="2"/>
      <c r="O5108" s="2"/>
      <c r="P5108" s="2"/>
      <c r="Q5108" s="2"/>
      <c r="R5108" s="2"/>
      <c r="S5108" s="2"/>
      <c r="T5108" s="2"/>
      <c r="U5108" s="2"/>
      <c r="V5108" s="2"/>
      <c r="W5108" s="2"/>
      <c r="X5108" s="2"/>
      <c r="Y5108" s="2"/>
      <c r="Z5108" s="2"/>
    </row>
    <row r="5109" spans="1:26" ht="12.75" x14ac:dyDescent="0.2">
      <c r="A5109" s="230"/>
      <c r="B5109" s="742"/>
      <c r="C5109" s="742"/>
      <c r="D5109" s="742"/>
      <c r="E5109" s="742"/>
      <c r="F5109" s="742"/>
      <c r="G5109" s="742"/>
      <c r="H5109" s="742"/>
      <c r="I5109" s="860"/>
      <c r="J5109" s="860"/>
      <c r="K5109" s="8"/>
      <c r="L5109" s="8"/>
      <c r="M5109" s="8"/>
      <c r="N5109" s="2"/>
      <c r="O5109" s="2"/>
      <c r="P5109" s="2"/>
      <c r="Q5109" s="2"/>
      <c r="R5109" s="2"/>
      <c r="S5109" s="2"/>
      <c r="T5109" s="2"/>
      <c r="U5109" s="2"/>
      <c r="V5109" s="2"/>
      <c r="W5109" s="2"/>
      <c r="X5109" s="2"/>
      <c r="Y5109" s="2"/>
      <c r="Z5109" s="2"/>
    </row>
    <row r="5110" spans="1:26" ht="12.75" x14ac:dyDescent="0.2">
      <c r="A5110" s="230"/>
      <c r="B5110" s="742"/>
      <c r="C5110" s="742"/>
      <c r="D5110" s="742"/>
      <c r="E5110" s="742"/>
      <c r="F5110" s="742"/>
      <c r="G5110" s="742"/>
      <c r="H5110" s="742"/>
      <c r="I5110" s="860"/>
      <c r="J5110" s="860"/>
      <c r="K5110" s="8"/>
      <c r="L5110" s="8"/>
      <c r="M5110" s="8"/>
      <c r="N5110" s="2"/>
      <c r="O5110" s="2"/>
      <c r="P5110" s="2"/>
      <c r="Q5110" s="2"/>
      <c r="R5110" s="2"/>
      <c r="S5110" s="2"/>
      <c r="T5110" s="2"/>
      <c r="U5110" s="2"/>
      <c r="V5110" s="2"/>
      <c r="W5110" s="2"/>
      <c r="X5110" s="2"/>
      <c r="Y5110" s="2"/>
      <c r="Z5110" s="2"/>
    </row>
    <row r="5111" spans="1:26" ht="12.75" x14ac:dyDescent="0.2">
      <c r="A5111" s="230"/>
      <c r="B5111" s="742"/>
      <c r="C5111" s="742"/>
      <c r="D5111" s="742"/>
      <c r="E5111" s="742"/>
      <c r="F5111" s="742"/>
      <c r="G5111" s="742"/>
      <c r="H5111" s="742"/>
      <c r="I5111" s="860"/>
      <c r="J5111" s="860"/>
      <c r="K5111" s="8"/>
      <c r="L5111" s="8"/>
      <c r="M5111" s="8"/>
      <c r="N5111" s="2"/>
      <c r="O5111" s="2"/>
      <c r="P5111" s="2"/>
      <c r="Q5111" s="2"/>
      <c r="R5111" s="2"/>
      <c r="S5111" s="2"/>
      <c r="T5111" s="2"/>
      <c r="U5111" s="2"/>
      <c r="V5111" s="2"/>
      <c r="W5111" s="2"/>
      <c r="X5111" s="2"/>
      <c r="Y5111" s="2"/>
      <c r="Z5111" s="2"/>
    </row>
    <row r="5112" spans="1:26" ht="12.75" x14ac:dyDescent="0.2">
      <c r="A5112" s="230"/>
      <c r="B5112" s="742"/>
      <c r="C5112" s="742"/>
      <c r="D5112" s="742"/>
      <c r="E5112" s="742"/>
      <c r="F5112" s="742"/>
      <c r="G5112" s="742"/>
      <c r="H5112" s="742"/>
      <c r="I5112" s="860"/>
      <c r="J5112" s="860"/>
      <c r="K5112" s="8"/>
      <c r="L5112" s="8"/>
      <c r="M5112" s="8"/>
      <c r="N5112" s="2"/>
      <c r="O5112" s="2"/>
      <c r="P5112" s="2"/>
      <c r="Q5112" s="2"/>
      <c r="R5112" s="2"/>
      <c r="S5112" s="2"/>
      <c r="T5112" s="2"/>
      <c r="U5112" s="2"/>
      <c r="V5112" s="2"/>
      <c r="W5112" s="2"/>
      <c r="X5112" s="2"/>
      <c r="Y5112" s="2"/>
      <c r="Z5112" s="2"/>
    </row>
    <row r="5113" spans="1:26" ht="12.75" x14ac:dyDescent="0.2">
      <c r="A5113" s="230"/>
      <c r="B5113" s="742"/>
      <c r="C5113" s="742"/>
      <c r="D5113" s="742"/>
      <c r="E5113" s="742"/>
      <c r="F5113" s="742"/>
      <c r="G5113" s="742"/>
      <c r="H5113" s="742"/>
      <c r="I5113" s="860"/>
      <c r="J5113" s="860"/>
      <c r="K5113" s="8"/>
      <c r="L5113" s="8"/>
      <c r="M5113" s="8"/>
      <c r="N5113" s="2"/>
      <c r="O5113" s="2"/>
      <c r="P5113" s="2"/>
      <c r="Q5113" s="2"/>
      <c r="R5113" s="2"/>
      <c r="S5113" s="2"/>
      <c r="T5113" s="2"/>
      <c r="U5113" s="2"/>
      <c r="V5113" s="2"/>
      <c r="W5113" s="2"/>
      <c r="X5113" s="2"/>
      <c r="Y5113" s="2"/>
      <c r="Z5113" s="2"/>
    </row>
    <row r="5114" spans="1:26" ht="12.75" x14ac:dyDescent="0.2">
      <c r="A5114" s="230"/>
      <c r="B5114" s="742"/>
      <c r="C5114" s="742"/>
      <c r="D5114" s="742"/>
      <c r="E5114" s="742"/>
      <c r="F5114" s="742"/>
      <c r="G5114" s="742"/>
      <c r="H5114" s="742"/>
      <c r="I5114" s="860"/>
      <c r="J5114" s="860"/>
      <c r="K5114" s="8"/>
      <c r="L5114" s="8"/>
      <c r="M5114" s="8"/>
      <c r="N5114" s="2"/>
      <c r="O5114" s="2"/>
      <c r="P5114" s="2"/>
      <c r="Q5114" s="2"/>
      <c r="R5114" s="2"/>
      <c r="S5114" s="2"/>
      <c r="T5114" s="2"/>
      <c r="U5114" s="2"/>
      <c r="V5114" s="2"/>
      <c r="W5114" s="2"/>
      <c r="X5114" s="2"/>
      <c r="Y5114" s="2"/>
      <c r="Z5114" s="2"/>
    </row>
    <row r="5115" spans="1:26" ht="12.75" x14ac:dyDescent="0.2">
      <c r="A5115" s="230"/>
      <c r="B5115" s="742"/>
      <c r="C5115" s="742"/>
      <c r="D5115" s="742"/>
      <c r="E5115" s="742"/>
      <c r="F5115" s="742"/>
      <c r="G5115" s="742"/>
      <c r="H5115" s="742"/>
      <c r="I5115" s="860"/>
      <c r="J5115" s="860"/>
      <c r="K5115" s="8"/>
      <c r="L5115" s="8"/>
      <c r="M5115" s="8"/>
      <c r="N5115" s="2"/>
      <c r="O5115" s="2"/>
      <c r="P5115" s="2"/>
      <c r="Q5115" s="2"/>
      <c r="R5115" s="2"/>
      <c r="S5115" s="2"/>
      <c r="T5115" s="2"/>
      <c r="U5115" s="2"/>
      <c r="V5115" s="2"/>
      <c r="W5115" s="2"/>
      <c r="X5115" s="2"/>
      <c r="Y5115" s="2"/>
      <c r="Z5115" s="2"/>
    </row>
    <row r="5116" spans="1:26" ht="12.75" x14ac:dyDescent="0.2">
      <c r="A5116" s="230"/>
      <c r="B5116" s="742"/>
      <c r="C5116" s="742"/>
      <c r="D5116" s="742"/>
      <c r="E5116" s="742"/>
      <c r="F5116" s="742"/>
      <c r="G5116" s="742"/>
      <c r="H5116" s="742"/>
      <c r="I5116" s="860"/>
      <c r="J5116" s="860"/>
      <c r="K5116" s="8"/>
      <c r="L5116" s="8"/>
      <c r="M5116" s="8"/>
      <c r="N5116" s="2"/>
      <c r="O5116" s="2"/>
      <c r="P5116" s="2"/>
      <c r="Q5116" s="2"/>
      <c r="R5116" s="2"/>
      <c r="S5116" s="2"/>
      <c r="T5116" s="2"/>
      <c r="U5116" s="2"/>
      <c r="V5116" s="2"/>
      <c r="W5116" s="2"/>
      <c r="X5116" s="2"/>
      <c r="Y5116" s="2"/>
      <c r="Z5116" s="2"/>
    </row>
    <row r="5117" spans="1:26" ht="12.75" x14ac:dyDescent="0.2">
      <c r="A5117" s="230"/>
      <c r="B5117" s="742"/>
      <c r="C5117" s="742"/>
      <c r="D5117" s="742"/>
      <c r="E5117" s="742"/>
      <c r="F5117" s="742"/>
      <c r="G5117" s="742"/>
      <c r="H5117" s="742"/>
      <c r="I5117" s="860"/>
      <c r="J5117" s="860"/>
      <c r="K5117" s="8"/>
      <c r="L5117" s="8"/>
      <c r="M5117" s="8"/>
      <c r="N5117" s="2"/>
      <c r="O5117" s="2"/>
      <c r="P5117" s="2"/>
      <c r="Q5117" s="2"/>
      <c r="R5117" s="2"/>
      <c r="S5117" s="2"/>
      <c r="T5117" s="2"/>
      <c r="U5117" s="2"/>
      <c r="V5117" s="2"/>
      <c r="W5117" s="2"/>
      <c r="X5117" s="2"/>
      <c r="Y5117" s="2"/>
      <c r="Z5117" s="2"/>
    </row>
  </sheetData>
  <autoFilter ref="B47:L5107" xr:uid="{00000000-0009-0000-0000-000007000000}">
    <sortState xmlns:xlrd2="http://schemas.microsoft.com/office/spreadsheetml/2017/richdata2" ref="B47:L5107">
      <sortCondition descending="1" ref="I47:I5107"/>
    </sortState>
  </autoFilter>
  <mergeCells count="9">
    <mergeCell ref="G28:G29"/>
    <mergeCell ref="H28:H29"/>
    <mergeCell ref="J8:K8"/>
    <mergeCell ref="B11:B12"/>
    <mergeCell ref="C11:F11"/>
    <mergeCell ref="G11:G12"/>
    <mergeCell ref="H11:H12"/>
    <mergeCell ref="B28:B29"/>
    <mergeCell ref="C28:F28"/>
  </mergeCells>
  <pageMargins left="0.7" right="0.7" top="0.75" bottom="0.75" header="0" footer="0"/>
  <pageSetup orientation="landscape"/>
  <ignoredErrors>
    <ignoredError sqref="C48:C5107 D47:D5107" numberStoredAsText="1"/>
  </ignoredErrors>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I978"/>
  <sheetViews>
    <sheetView showGridLines="0" workbookViewId="0"/>
  </sheetViews>
  <sheetFormatPr defaultColWidth="16.83203125" defaultRowHeight="15" customHeight="1" x14ac:dyDescent="0.2"/>
  <cols>
    <col min="1" max="1" width="3.33203125" customWidth="1"/>
    <col min="2" max="2" width="36.1640625" customWidth="1"/>
    <col min="3" max="4" width="18.6640625" customWidth="1"/>
    <col min="5" max="5" width="21.5" customWidth="1"/>
    <col min="6" max="6" width="17.33203125" customWidth="1"/>
    <col min="7" max="7" width="13.6640625" customWidth="1"/>
    <col min="8" max="8" width="19" customWidth="1"/>
    <col min="9" max="9" width="16.83203125" customWidth="1"/>
    <col min="10" max="11" width="17" customWidth="1"/>
    <col min="12" max="12" width="15.6640625" customWidth="1"/>
    <col min="13" max="13" width="18.1640625" customWidth="1"/>
    <col min="14" max="14" width="12.6640625" customWidth="1"/>
    <col min="15" max="15" width="17.83203125" customWidth="1"/>
    <col min="16" max="16" width="17.33203125" customWidth="1"/>
    <col min="17" max="17" width="19" customWidth="1"/>
    <col min="18" max="18" width="16.33203125" customWidth="1"/>
    <col min="19" max="19" width="12.6640625" customWidth="1"/>
    <col min="20" max="20" width="12.5" customWidth="1"/>
    <col min="21" max="21" width="15" customWidth="1"/>
    <col min="22" max="23" width="12.1640625" customWidth="1"/>
    <col min="24" max="24" width="14.33203125" customWidth="1"/>
    <col min="25" max="26" width="12.1640625" customWidth="1"/>
    <col min="27" max="27" width="14.33203125" customWidth="1"/>
    <col min="28" max="30" width="12.1640625" customWidth="1"/>
    <col min="31" max="31" width="15.1640625" customWidth="1"/>
    <col min="32" max="32" width="10.5" customWidth="1"/>
    <col min="33" max="33" width="9.33203125" customWidth="1"/>
  </cols>
  <sheetData>
    <row r="1" spans="1:61" ht="12.75" x14ac:dyDescent="0.2">
      <c r="A1" s="8"/>
      <c r="B1" s="8"/>
      <c r="C1" s="155"/>
      <c r="D1" s="2"/>
      <c r="E1" s="233"/>
      <c r="F1" s="2"/>
      <c r="G1" s="2"/>
      <c r="H1" s="2"/>
      <c r="I1" s="2"/>
      <c r="J1" s="2"/>
      <c r="K1" s="2"/>
      <c r="L1" s="2"/>
      <c r="M1" s="2"/>
      <c r="N1" s="2"/>
      <c r="O1" s="2"/>
      <c r="P1" s="2"/>
      <c r="Q1" s="2"/>
      <c r="R1" s="2"/>
      <c r="S1" s="2"/>
      <c r="T1" s="2"/>
      <c r="U1" s="2"/>
      <c r="V1" s="2"/>
      <c r="W1" s="2"/>
      <c r="X1" s="2"/>
      <c r="Y1" s="2"/>
      <c r="Z1" s="2"/>
      <c r="AA1" s="2"/>
      <c r="AB1" s="2"/>
      <c r="AC1" s="2"/>
      <c r="AD1" s="2"/>
      <c r="AE1" s="2"/>
      <c r="AF1" s="2"/>
      <c r="AG1" s="2"/>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row>
    <row r="2" spans="1:61" ht="15.75" x14ac:dyDescent="0.25">
      <c r="A2" s="8"/>
      <c r="B2" s="272" t="s">
        <v>804</v>
      </c>
      <c r="C2" s="155"/>
      <c r="D2" s="2"/>
      <c r="E2" s="233"/>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8"/>
      <c r="AV2" s="8"/>
      <c r="AW2" s="8"/>
      <c r="AX2" s="8"/>
      <c r="AY2" s="8"/>
      <c r="AZ2" s="8"/>
      <c r="BA2" s="8"/>
      <c r="BB2" s="8"/>
      <c r="BC2" s="8"/>
      <c r="BD2" s="8"/>
      <c r="BE2" s="8"/>
      <c r="BF2" s="8"/>
      <c r="BG2" s="8"/>
      <c r="BH2" s="8"/>
      <c r="BI2" s="8"/>
    </row>
    <row r="3" spans="1:61" ht="27" customHeight="1" x14ac:dyDescent="0.2">
      <c r="A3" s="8"/>
      <c r="B3" s="23"/>
      <c r="C3" s="155"/>
      <c r="D3" s="2"/>
      <c r="E3" s="233"/>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8"/>
      <c r="AV3" s="8"/>
      <c r="AW3" s="8"/>
      <c r="AX3" s="8"/>
      <c r="AY3" s="8"/>
      <c r="AZ3" s="8"/>
      <c r="BA3" s="8"/>
      <c r="BB3" s="8"/>
      <c r="BC3" s="8"/>
      <c r="BD3" s="8"/>
      <c r="BE3" s="8"/>
      <c r="BF3" s="8"/>
      <c r="BG3" s="8"/>
      <c r="BH3" s="8"/>
      <c r="BI3" s="8"/>
    </row>
    <row r="4" spans="1:61" ht="27" customHeight="1" x14ac:dyDescent="0.2">
      <c r="A4" s="8"/>
      <c r="B4" s="23"/>
      <c r="C4" s="155"/>
      <c r="D4" s="2"/>
      <c r="E4" s="233"/>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8"/>
      <c r="AV4" s="8"/>
      <c r="AW4" s="8"/>
      <c r="AX4" s="8"/>
      <c r="AY4" s="8"/>
      <c r="AZ4" s="8"/>
      <c r="BA4" s="8"/>
      <c r="BB4" s="8"/>
      <c r="BC4" s="8"/>
      <c r="BD4" s="8"/>
      <c r="BE4" s="8"/>
      <c r="BF4" s="8"/>
      <c r="BG4" s="8"/>
      <c r="BH4" s="8"/>
      <c r="BI4" s="8"/>
    </row>
    <row r="5" spans="1:61" ht="12.75" x14ac:dyDescent="0.2">
      <c r="A5" s="8"/>
      <c r="B5" s="23"/>
      <c r="C5" s="155"/>
      <c r="D5" s="2"/>
      <c r="E5" s="233"/>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8"/>
      <c r="AV5" s="8"/>
      <c r="AW5" s="8"/>
      <c r="AX5" s="8"/>
      <c r="AY5" s="8"/>
      <c r="AZ5" s="8"/>
      <c r="BA5" s="8"/>
      <c r="BB5" s="8"/>
      <c r="BC5" s="8"/>
      <c r="BD5" s="8"/>
      <c r="BE5" s="8"/>
      <c r="BF5" s="8"/>
      <c r="BG5" s="8"/>
      <c r="BH5" s="8"/>
      <c r="BI5" s="8"/>
    </row>
    <row r="6" spans="1:61" ht="15" customHeight="1" x14ac:dyDescent="0.2">
      <c r="A6" s="8"/>
      <c r="B6" s="8"/>
      <c r="C6" s="318"/>
      <c r="D6" s="8"/>
      <c r="E6" s="318"/>
      <c r="F6" s="8"/>
      <c r="G6" s="318"/>
      <c r="H6" s="8"/>
      <c r="I6" s="319"/>
      <c r="J6" s="2026" t="s">
        <v>1</v>
      </c>
      <c r="K6" s="2009"/>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row>
    <row r="7" spans="1:61" ht="13.15" customHeight="1" x14ac:dyDescent="0.2">
      <c r="A7" s="8"/>
      <c r="B7" s="8"/>
      <c r="C7" s="8"/>
      <c r="D7" s="8"/>
      <c r="E7" s="241"/>
      <c r="F7" s="8"/>
      <c r="G7" s="8"/>
      <c r="H7" s="8"/>
      <c r="I7" s="8"/>
      <c r="J7" s="261"/>
      <c r="K7" s="260" t="str">
        <f>Summary!E3</f>
        <v>AR6 100-yr GWP</v>
      </c>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row>
    <row r="8" spans="1:61" ht="13.5" customHeight="1" x14ac:dyDescent="0.2">
      <c r="A8" s="8"/>
      <c r="C8" s="8"/>
      <c r="D8" s="2037" t="s">
        <v>808</v>
      </c>
      <c r="E8" s="2009"/>
      <c r="F8" s="8"/>
      <c r="G8" s="8"/>
      <c r="H8" s="8"/>
      <c r="I8" s="8"/>
      <c r="J8" s="261" t="str">
        <f>Summary!C4</f>
        <v>CO2</v>
      </c>
      <c r="K8" s="259">
        <f>Summary!E4</f>
        <v>1</v>
      </c>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row>
    <row r="9" spans="1:61" ht="15" customHeight="1" x14ac:dyDescent="0.2">
      <c r="A9" s="8"/>
      <c r="D9" s="320" t="s">
        <v>809</v>
      </c>
      <c r="E9" s="321">
        <v>137381</v>
      </c>
      <c r="F9" s="8"/>
      <c r="G9" s="8"/>
      <c r="H9" s="8"/>
      <c r="I9" s="8"/>
      <c r="J9" s="261" t="str">
        <f>Summary!C5</f>
        <v>CH4</v>
      </c>
      <c r="K9" s="259">
        <v>81.2</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row>
    <row r="10" spans="1:61" ht="11.25" customHeight="1" x14ac:dyDescent="0.2">
      <c r="A10" s="8"/>
      <c r="B10" s="8"/>
      <c r="C10" s="8"/>
      <c r="D10" s="8"/>
      <c r="E10" s="8"/>
      <c r="F10" s="8"/>
      <c r="G10" s="8"/>
      <c r="H10" s="8"/>
      <c r="I10" s="8"/>
      <c r="J10" s="261" t="str">
        <f>Summary!C6</f>
        <v>N2O</v>
      </c>
      <c r="K10" s="259">
        <f>Summary!D6</f>
        <v>273</v>
      </c>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row>
    <row r="11" spans="1:61" ht="11.25" customHeight="1" x14ac:dyDescent="0.2">
      <c r="A11" s="8"/>
      <c r="B11" s="8"/>
      <c r="C11" s="8"/>
      <c r="D11" s="8"/>
      <c r="E11" s="8"/>
      <c r="F11" s="8"/>
      <c r="G11" s="8"/>
      <c r="H11" s="8"/>
      <c r="I11" s="8"/>
      <c r="J11" s="261" t="str">
        <f>Summary!C7</f>
        <v>SF6</v>
      </c>
      <c r="K11" s="268">
        <f>Summary!E7</f>
        <v>24300</v>
      </c>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row>
    <row r="12" spans="1:61" ht="11.25" customHeight="1" x14ac:dyDescent="0.2">
      <c r="A12" s="8"/>
      <c r="B12" s="8"/>
      <c r="C12" s="8"/>
      <c r="D12" s="8"/>
      <c r="E12" s="8"/>
      <c r="F12" s="8"/>
      <c r="G12" s="8"/>
      <c r="H12" s="8"/>
      <c r="I12" s="8"/>
      <c r="J12" s="1171"/>
      <c r="K12" s="1172"/>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row>
    <row r="13" spans="1:61" ht="12.75" x14ac:dyDescent="0.2">
      <c r="A13" s="8"/>
      <c r="B13" s="2"/>
      <c r="C13" s="2034" t="s">
        <v>30</v>
      </c>
      <c r="D13" s="2033"/>
      <c r="E13" s="2015"/>
      <c r="T13" s="322"/>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row>
    <row r="14" spans="1:61" ht="14.25" x14ac:dyDescent="0.25">
      <c r="A14" s="8"/>
      <c r="B14" s="2"/>
      <c r="C14" s="2035" t="s">
        <v>811</v>
      </c>
      <c r="D14" s="2009"/>
      <c r="E14" s="323" t="s">
        <v>812</v>
      </c>
      <c r="F14" s="2036" t="s">
        <v>1850</v>
      </c>
      <c r="G14" s="2033"/>
      <c r="H14" s="2033"/>
      <c r="I14" s="2015"/>
      <c r="J14" s="324"/>
      <c r="K14" s="325"/>
      <c r="L14" s="2034" t="s">
        <v>814</v>
      </c>
      <c r="M14" s="2033"/>
      <c r="N14" s="2015"/>
      <c r="O14" s="2034" t="s">
        <v>815</v>
      </c>
      <c r="P14" s="2033"/>
      <c r="Q14" s="2015"/>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row>
    <row r="15" spans="1:61" ht="25.5" x14ac:dyDescent="0.2">
      <c r="A15" s="8"/>
      <c r="B15" s="326" t="s">
        <v>49</v>
      </c>
      <c r="C15" s="327" t="s">
        <v>816</v>
      </c>
      <c r="D15" s="328" t="s">
        <v>817</v>
      </c>
      <c r="E15" s="329" t="s">
        <v>818</v>
      </c>
      <c r="F15" s="330" t="s">
        <v>819</v>
      </c>
      <c r="G15" s="331" t="s">
        <v>820</v>
      </c>
      <c r="H15" s="331" t="s">
        <v>821</v>
      </c>
      <c r="I15" s="332" t="s">
        <v>822</v>
      </c>
      <c r="J15" s="333" t="s">
        <v>823</v>
      </c>
      <c r="K15" s="334" t="s">
        <v>824</v>
      </c>
      <c r="L15" s="335" t="s">
        <v>825</v>
      </c>
      <c r="M15" s="336" t="s">
        <v>826</v>
      </c>
      <c r="N15" s="332" t="s">
        <v>827</v>
      </c>
      <c r="O15" s="335" t="s">
        <v>825</v>
      </c>
      <c r="P15" s="336" t="s">
        <v>828</v>
      </c>
      <c r="Q15" s="332" t="s">
        <v>827</v>
      </c>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row>
    <row r="16" spans="1:61" ht="15" customHeight="1" x14ac:dyDescent="0.2">
      <c r="A16" s="8"/>
      <c r="B16" s="337" t="s">
        <v>829</v>
      </c>
      <c r="C16" s="338">
        <v>44</v>
      </c>
      <c r="D16" s="339" t="s">
        <v>44</v>
      </c>
      <c r="E16" s="340">
        <v>224</v>
      </c>
      <c r="F16" s="341">
        <v>41.57</v>
      </c>
      <c r="G16" s="342">
        <v>1</v>
      </c>
      <c r="H16" s="343">
        <f t="shared" ref="H16:H20" si="0">E16*1000*F16*G16/2000</f>
        <v>4655.84</v>
      </c>
      <c r="I16" s="344">
        <f t="shared" ref="I16:I20" si="1">H16*(44/12)*0.907185/1000000</f>
        <v>1.5486930104800001E-2</v>
      </c>
      <c r="J16" s="345">
        <v>22.257999999999999</v>
      </c>
      <c r="K16" s="346" t="s">
        <v>44</v>
      </c>
      <c r="L16" s="347">
        <v>0.04</v>
      </c>
      <c r="M16" s="348">
        <f t="shared" ref="M16:M17" si="2">E16*1000*J16*L16/1000000</f>
        <v>0.19943168</v>
      </c>
      <c r="N16" s="349">
        <f t="shared" ref="N16:N20" si="3">M16*$K$10/1000000</f>
        <v>5.4444848640000005E-5</v>
      </c>
      <c r="O16" s="350">
        <v>2.64</v>
      </c>
      <c r="P16" s="348">
        <f t="shared" ref="P16:P17" si="4">E16*1000*J16*O16/1000000</f>
        <v>13.16249088</v>
      </c>
      <c r="Q16" s="349">
        <f t="shared" ref="Q16:Q20" si="5">P16*$K$9/1000000</f>
        <v>1.068794259456E-3</v>
      </c>
      <c r="R16" s="8"/>
      <c r="S16" s="351"/>
      <c r="T16" s="351"/>
      <c r="U16" s="352"/>
      <c r="V16" s="8"/>
      <c r="W16" s="8"/>
      <c r="X16" s="8"/>
      <c r="Y16" s="8"/>
      <c r="Z16" s="8"/>
      <c r="AA16" s="8"/>
      <c r="AB16" s="8"/>
      <c r="AC16" s="8"/>
      <c r="AD16" s="8"/>
      <c r="AE16" s="8"/>
      <c r="AF16" s="8"/>
      <c r="AG16" s="8"/>
      <c r="AH16" s="8"/>
      <c r="AI16" s="8"/>
      <c r="AJ16" s="8"/>
      <c r="AK16" s="8"/>
      <c r="AL16" s="8"/>
      <c r="AM16" s="8"/>
      <c r="AN16" s="8"/>
      <c r="AO16" s="8"/>
      <c r="AP16" s="8"/>
      <c r="AQ16" s="8"/>
      <c r="AR16" s="8"/>
      <c r="AS16" s="8"/>
    </row>
    <row r="17" spans="1:61" ht="14.25" customHeight="1" x14ac:dyDescent="0.2">
      <c r="A17" s="8"/>
      <c r="B17" s="353" t="s">
        <v>831</v>
      </c>
      <c r="C17" s="354">
        <v>6705</v>
      </c>
      <c r="D17" s="355" t="s">
        <v>44</v>
      </c>
      <c r="E17" s="356">
        <v>38019</v>
      </c>
      <c r="F17" s="357">
        <v>43.431818181818173</v>
      </c>
      <c r="G17" s="358">
        <v>1</v>
      </c>
      <c r="H17" s="359">
        <f t="shared" si="0"/>
        <v>825617.14772727247</v>
      </c>
      <c r="I17" s="360">
        <f t="shared" si="1"/>
        <v>2.7462874712568741</v>
      </c>
      <c r="J17" s="361">
        <v>22.24</v>
      </c>
      <c r="K17" s="13" t="s">
        <v>44</v>
      </c>
      <c r="L17" s="362">
        <v>0.1</v>
      </c>
      <c r="M17" s="269">
        <f t="shared" si="2"/>
        <v>84.554255999999995</v>
      </c>
      <c r="N17" s="363">
        <f t="shared" si="3"/>
        <v>2.3083311887999999E-2</v>
      </c>
      <c r="O17" s="364">
        <v>8.7000000000000008E-2</v>
      </c>
      <c r="P17" s="269">
        <f t="shared" si="4"/>
        <v>73.562202720000016</v>
      </c>
      <c r="Q17" s="363">
        <f t="shared" si="5"/>
        <v>5.9732508608640019E-3</v>
      </c>
      <c r="R17" s="8"/>
      <c r="S17" s="351"/>
      <c r="T17" s="351"/>
      <c r="U17" s="351"/>
      <c r="V17" s="8"/>
      <c r="W17" s="8"/>
      <c r="X17" s="8"/>
      <c r="Y17" s="8"/>
      <c r="Z17" s="8"/>
      <c r="AA17" s="8"/>
      <c r="AB17" s="8"/>
      <c r="AC17" s="8"/>
      <c r="AD17" s="8"/>
      <c r="AE17" s="8"/>
      <c r="AF17" s="8"/>
      <c r="AG17" s="8"/>
      <c r="AH17" s="8"/>
      <c r="AI17" s="8"/>
      <c r="AJ17" s="8"/>
      <c r="AK17" s="8"/>
      <c r="AL17" s="8"/>
      <c r="AM17" s="8"/>
      <c r="AN17" s="8"/>
      <c r="AO17" s="8"/>
      <c r="AP17" s="8"/>
      <c r="AQ17" s="8"/>
      <c r="AR17" s="8"/>
      <c r="AS17" s="8"/>
    </row>
    <row r="18" spans="1:61" ht="12.75" x14ac:dyDescent="0.2">
      <c r="A18" s="8"/>
      <c r="B18" s="353" t="s">
        <v>834</v>
      </c>
      <c r="C18" s="365" t="s">
        <v>44</v>
      </c>
      <c r="D18" s="366">
        <v>30908</v>
      </c>
      <c r="E18" s="356">
        <f t="shared" ref="E18:E19" si="6">D18*1000*$E$9/1000000000</f>
        <v>4246.1719480000002</v>
      </c>
      <c r="F18" s="367">
        <v>44.58</v>
      </c>
      <c r="G18" s="358">
        <v>1</v>
      </c>
      <c r="H18" s="359">
        <f t="shared" si="0"/>
        <v>94647.172720920003</v>
      </c>
      <c r="I18" s="360">
        <f t="shared" si="1"/>
        <v>0.3148291497443686</v>
      </c>
      <c r="J18" s="368" t="s">
        <v>44</v>
      </c>
      <c r="K18" s="369">
        <v>3.1669999999999998</v>
      </c>
      <c r="L18" s="370">
        <v>0.08</v>
      </c>
      <c r="M18" s="269">
        <f t="shared" ref="M18:M19" si="7">D18*1000*K18*L18/1000000</f>
        <v>7.8308508799999998</v>
      </c>
      <c r="N18" s="363">
        <f t="shared" si="3"/>
        <v>2.1378222902399997E-3</v>
      </c>
      <c r="O18" s="370">
        <v>0.25</v>
      </c>
      <c r="P18" s="269">
        <f t="shared" ref="P18:P19" si="8">D18*1000*K18*O18/1000000</f>
        <v>24.471409000000001</v>
      </c>
      <c r="Q18" s="363">
        <f t="shared" si="5"/>
        <v>1.9870784108000001E-3</v>
      </c>
      <c r="R18" s="371"/>
      <c r="S18" s="351"/>
      <c r="T18" s="351"/>
      <c r="U18" s="351"/>
      <c r="V18" s="8"/>
      <c r="W18" s="8"/>
      <c r="X18" s="8"/>
      <c r="Y18" s="8"/>
      <c r="Z18" s="8"/>
      <c r="AA18" s="8"/>
      <c r="AB18" s="8"/>
      <c r="AC18" s="8"/>
      <c r="AD18" s="8"/>
      <c r="AE18" s="8"/>
      <c r="AF18" s="8"/>
      <c r="AG18" s="8"/>
      <c r="AH18" s="8"/>
      <c r="AI18" s="8"/>
      <c r="AJ18" s="8"/>
      <c r="AK18" s="8"/>
      <c r="AL18" s="8"/>
      <c r="AM18" s="8"/>
      <c r="AN18" s="8"/>
      <c r="AO18" s="8"/>
      <c r="AP18" s="8"/>
      <c r="AQ18" s="8"/>
      <c r="AR18" s="8"/>
      <c r="AS18" s="8"/>
    </row>
    <row r="19" spans="1:61" ht="13.5" customHeight="1" x14ac:dyDescent="0.2">
      <c r="A19" s="8"/>
      <c r="B19" s="337" t="s">
        <v>837</v>
      </c>
      <c r="C19" s="365" t="s">
        <v>44</v>
      </c>
      <c r="D19" s="366">
        <v>5253</v>
      </c>
      <c r="E19" s="356">
        <f t="shared" si="6"/>
        <v>721.66239299999995</v>
      </c>
      <c r="F19" s="341">
        <v>44.58</v>
      </c>
      <c r="G19" s="342">
        <v>1</v>
      </c>
      <c r="H19" s="343">
        <f t="shared" si="0"/>
        <v>16085.854739969998</v>
      </c>
      <c r="I19" s="360">
        <f t="shared" si="1"/>
        <v>5.35071024850255E-2</v>
      </c>
      <c r="J19" s="372" t="s">
        <v>44</v>
      </c>
      <c r="K19" s="373">
        <v>3.1669999999999998</v>
      </c>
      <c r="L19" s="374">
        <v>5.45E-2</v>
      </c>
      <c r="M19" s="269">
        <f t="shared" si="7"/>
        <v>0.90667567949999983</v>
      </c>
      <c r="N19" s="363">
        <f t="shared" si="3"/>
        <v>2.4752246050349994E-4</v>
      </c>
      <c r="O19" s="374">
        <v>2.0394000000000001</v>
      </c>
      <c r="P19" s="269">
        <f t="shared" si="8"/>
        <v>33.927970289399994</v>
      </c>
      <c r="Q19" s="363">
        <f t="shared" si="5"/>
        <v>2.7549511874992794E-3</v>
      </c>
      <c r="R19" s="8"/>
      <c r="S19" s="351"/>
      <c r="T19" s="351"/>
      <c r="U19" s="351"/>
      <c r="V19" s="8"/>
      <c r="W19" s="8"/>
      <c r="X19" s="8"/>
      <c r="Y19" s="8"/>
      <c r="Z19" s="8"/>
      <c r="AA19" s="8"/>
      <c r="AB19" s="8"/>
      <c r="AC19" s="8"/>
      <c r="AD19" s="8"/>
      <c r="AE19" s="8"/>
      <c r="AF19" s="8"/>
      <c r="AG19" s="8"/>
      <c r="AH19" s="8"/>
      <c r="AI19" s="8"/>
      <c r="AJ19" s="8"/>
      <c r="AK19" s="8"/>
      <c r="AL19" s="8"/>
      <c r="AM19" s="8"/>
      <c r="AN19" s="8"/>
      <c r="AO19" s="8"/>
      <c r="AP19" s="8"/>
      <c r="AQ19" s="8"/>
      <c r="AR19" s="8"/>
      <c r="AS19" s="8"/>
    </row>
    <row r="20" spans="1:61" ht="15.75" customHeight="1" x14ac:dyDescent="0.2">
      <c r="A20" s="8"/>
      <c r="B20" s="353" t="s">
        <v>838</v>
      </c>
      <c r="C20" s="375">
        <v>77</v>
      </c>
      <c r="D20" s="376" t="s">
        <v>44</v>
      </c>
      <c r="E20" s="377">
        <v>484</v>
      </c>
      <c r="F20" s="378">
        <v>45.15</v>
      </c>
      <c r="G20" s="379">
        <v>1</v>
      </c>
      <c r="H20" s="380">
        <f t="shared" si="0"/>
        <v>10926.3</v>
      </c>
      <c r="I20" s="381">
        <f t="shared" si="1"/>
        <v>3.6344643373500005E-2</v>
      </c>
      <c r="J20" s="382" t="s">
        <v>44</v>
      </c>
      <c r="K20" s="369">
        <v>3.5750000000000002</v>
      </c>
      <c r="L20" s="383">
        <v>8.8400000000000006E-2</v>
      </c>
      <c r="M20" s="384">
        <f>C20*42*1000*K20*L20/1000000</f>
        <v>1.0220410200000001</v>
      </c>
      <c r="N20" s="385">
        <f t="shared" si="3"/>
        <v>2.7901719846000001E-4</v>
      </c>
      <c r="O20" s="383">
        <v>0.30919999999999997</v>
      </c>
      <c r="P20" s="384">
        <f>C20*42*1000*K20*O20/1000000</f>
        <v>3.5748312599999998</v>
      </c>
      <c r="Q20" s="385">
        <f t="shared" si="5"/>
        <v>2.90276298312E-4</v>
      </c>
      <c r="R20" s="8"/>
      <c r="S20" s="351"/>
      <c r="T20" s="351"/>
      <c r="U20" s="351"/>
      <c r="V20" s="8"/>
      <c r="W20" s="8"/>
      <c r="X20" s="8"/>
      <c r="Y20" s="8"/>
      <c r="Z20" s="8"/>
      <c r="AA20" s="8"/>
      <c r="AB20" s="8"/>
      <c r="AC20" s="8"/>
      <c r="AD20" s="8"/>
      <c r="AE20" s="8"/>
      <c r="AF20" s="8"/>
      <c r="AG20" s="8"/>
      <c r="AH20" s="8"/>
      <c r="AI20" s="8"/>
      <c r="AJ20" s="8"/>
      <c r="AK20" s="8"/>
      <c r="AL20" s="8"/>
      <c r="AM20" s="8"/>
      <c r="AN20" s="8"/>
      <c r="AO20" s="8"/>
      <c r="AP20" s="8"/>
      <c r="AQ20" s="8"/>
      <c r="AR20" s="8"/>
      <c r="AS20" s="8"/>
    </row>
    <row r="21" spans="1:61" ht="11.25" customHeight="1" x14ac:dyDescent="0.2">
      <c r="A21" s="8"/>
      <c r="B21" s="8"/>
      <c r="C21" s="8"/>
      <c r="D21" s="8"/>
      <c r="E21" s="8"/>
      <c r="F21" s="8"/>
      <c r="G21" s="8"/>
      <c r="H21" s="8"/>
      <c r="I21" s="8"/>
      <c r="J21" s="8"/>
      <c r="K21" s="8"/>
      <c r="L21" s="8"/>
      <c r="M21" s="8"/>
      <c r="N21" s="8"/>
      <c r="O21" s="8"/>
      <c r="P21" s="8"/>
      <c r="Q21" s="8"/>
      <c r="R21" s="8"/>
      <c r="S21" s="351"/>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row>
    <row r="22" spans="1:61" ht="11.25" customHeight="1" x14ac:dyDescent="0.2">
      <c r="A22" s="8"/>
      <c r="B22" s="8"/>
      <c r="C22" s="8"/>
      <c r="D22" s="8"/>
      <c r="E22" s="8"/>
      <c r="F22" s="8"/>
      <c r="G22" s="8"/>
      <c r="H22" s="8"/>
      <c r="I22" s="8"/>
      <c r="J22" s="386"/>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row>
    <row r="23" spans="1:61" ht="12.75" x14ac:dyDescent="0.2">
      <c r="A23" s="8"/>
      <c r="B23" s="2"/>
      <c r="C23" s="2034" t="s">
        <v>30</v>
      </c>
      <c r="D23" s="2033"/>
      <c r="E23" s="2015"/>
      <c r="F23" s="387"/>
      <c r="G23" s="2"/>
      <c r="H23" s="2"/>
      <c r="I23" s="2"/>
      <c r="J23" s="2"/>
      <c r="K23" s="2"/>
      <c r="L23" s="2"/>
      <c r="M23" s="2"/>
      <c r="N23" s="3"/>
      <c r="O23" s="2"/>
      <c r="P23" s="38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row>
    <row r="24" spans="1:61" ht="14.25" x14ac:dyDescent="0.25">
      <c r="A24" s="8"/>
      <c r="B24" s="389"/>
      <c r="C24" s="2035" t="s">
        <v>811</v>
      </c>
      <c r="D24" s="2009"/>
      <c r="E24" s="390" t="s">
        <v>812</v>
      </c>
      <c r="F24" s="391"/>
      <c r="G24" s="2"/>
      <c r="H24" s="2"/>
      <c r="I24" s="2"/>
      <c r="J24" s="2036" t="s">
        <v>1850</v>
      </c>
      <c r="K24" s="2033"/>
      <c r="L24" s="2033"/>
      <c r="M24" s="2015"/>
      <c r="N24" s="2"/>
      <c r="O24" s="322"/>
      <c r="P24" s="2"/>
      <c r="Q24" s="237"/>
      <c r="R24" s="2"/>
      <c r="S24" s="237"/>
      <c r="T24" s="2"/>
      <c r="U24" s="237"/>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row>
    <row r="25" spans="1:61" ht="51" x14ac:dyDescent="0.2">
      <c r="A25" s="8"/>
      <c r="B25" s="392" t="s">
        <v>49</v>
      </c>
      <c r="C25" s="327" t="s">
        <v>816</v>
      </c>
      <c r="D25" s="328" t="s">
        <v>817</v>
      </c>
      <c r="E25" s="329" t="s">
        <v>818</v>
      </c>
      <c r="F25" s="330" t="s">
        <v>842</v>
      </c>
      <c r="G25" s="328" t="s">
        <v>843</v>
      </c>
      <c r="H25" s="328" t="s">
        <v>565</v>
      </c>
      <c r="I25" s="393" t="s">
        <v>844</v>
      </c>
      <c r="J25" s="327" t="s">
        <v>845</v>
      </c>
      <c r="K25" s="328" t="s">
        <v>820</v>
      </c>
      <c r="L25" s="328" t="s">
        <v>821</v>
      </c>
      <c r="M25" s="332" t="s">
        <v>822</v>
      </c>
      <c r="N25" s="2"/>
      <c r="O25" s="322"/>
      <c r="P25" s="2"/>
      <c r="Q25" s="322"/>
      <c r="R25" s="322"/>
      <c r="S25" s="322"/>
      <c r="T25" s="2"/>
      <c r="U25" s="237"/>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row>
    <row r="26" spans="1:61" ht="12.75" x14ac:dyDescent="0.2">
      <c r="A26" s="8"/>
      <c r="B26" s="337" t="s">
        <v>574</v>
      </c>
      <c r="C26" s="375">
        <v>216</v>
      </c>
      <c r="D26" s="376" t="s">
        <v>44</v>
      </c>
      <c r="E26" s="394">
        <v>1308</v>
      </c>
      <c r="F26" s="395">
        <v>1</v>
      </c>
      <c r="G26" s="343">
        <f>E26*F26</f>
        <v>1308</v>
      </c>
      <c r="H26" s="396">
        <v>9.1800000000000007E-2</v>
      </c>
      <c r="I26" s="397">
        <f>E26-(G26*H26)</f>
        <v>1187.9256</v>
      </c>
      <c r="J26" s="398">
        <v>44.5319</v>
      </c>
      <c r="K26" s="399">
        <v>1</v>
      </c>
      <c r="L26" s="400">
        <f>I26*1000*J26*K26/2000</f>
        <v>26450.292013320002</v>
      </c>
      <c r="M26" s="401">
        <f>L26*(44/12)*0.907185/1000000</f>
        <v>8.7982796587046913E-2</v>
      </c>
      <c r="N26" s="388"/>
      <c r="O26" s="402"/>
      <c r="P26" s="388"/>
      <c r="R26" s="388"/>
      <c r="S26" s="403"/>
      <c r="T26" s="388"/>
      <c r="U26" s="404"/>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row>
    <row r="27" spans="1:61" ht="11.25" customHeight="1" x14ac:dyDescent="0.2">
      <c r="A27" s="8"/>
      <c r="B27" s="2"/>
      <c r="C27" s="405"/>
      <c r="D27" s="405"/>
      <c r="E27" s="388"/>
      <c r="F27" s="406"/>
      <c r="G27" s="388"/>
      <c r="H27" s="405"/>
      <c r="I27" s="388"/>
      <c r="J27" s="407"/>
      <c r="K27" s="388"/>
      <c r="L27" s="402"/>
      <c r="M27" s="388"/>
      <c r="N27" s="405"/>
      <c r="O27" s="388"/>
      <c r="P27" s="403"/>
      <c r="Q27" s="388"/>
      <c r="R27" s="403"/>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row>
    <row r="28" spans="1:61" ht="11.25" customHeight="1" x14ac:dyDescent="0.2">
      <c r="A28" s="8"/>
      <c r="B28" s="8"/>
      <c r="C28" s="8"/>
      <c r="D28" s="8"/>
      <c r="E28" s="8"/>
      <c r="F28" s="8"/>
      <c r="G28" s="8"/>
      <c r="H28" s="386"/>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row>
    <row r="29" spans="1:61" ht="15.75" x14ac:dyDescent="0.25">
      <c r="A29" s="8"/>
      <c r="B29" s="408" t="s">
        <v>847</v>
      </c>
      <c r="C29" s="235"/>
      <c r="D29" s="235"/>
      <c r="E29" s="235"/>
      <c r="F29" s="235"/>
      <c r="G29" s="8"/>
      <c r="H29" s="386"/>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row>
    <row r="30" spans="1:61" ht="11.25" customHeight="1" x14ac:dyDescent="0.2">
      <c r="A30" s="8"/>
      <c r="B30" s="8"/>
      <c r="C30" s="8"/>
      <c r="D30" s="8"/>
      <c r="E30" s="8"/>
      <c r="F30" s="8"/>
      <c r="G30" s="8"/>
      <c r="H30" s="386"/>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row>
    <row r="31" spans="1:61" ht="25.5" x14ac:dyDescent="0.2">
      <c r="A31" s="8"/>
      <c r="B31" s="257" t="s">
        <v>49</v>
      </c>
      <c r="C31" s="862" t="s">
        <v>661</v>
      </c>
      <c r="D31" s="862" t="s">
        <v>662</v>
      </c>
      <c r="E31" s="862" t="s">
        <v>663</v>
      </c>
      <c r="F31" s="334" t="s">
        <v>664</v>
      </c>
      <c r="G31" s="409"/>
      <c r="I31" s="237"/>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row>
    <row r="32" spans="1:61" ht="15" customHeight="1" x14ac:dyDescent="0.2">
      <c r="A32" s="8"/>
      <c r="B32" s="337" t="s">
        <v>829</v>
      </c>
      <c r="C32" s="256">
        <f t="shared" ref="C32:C36" si="9">I16</f>
        <v>1.5486930104800001E-2</v>
      </c>
      <c r="D32" s="256">
        <f t="shared" ref="D32:D36" si="10">Q16</f>
        <v>1.068794259456E-3</v>
      </c>
      <c r="E32" s="256">
        <f t="shared" ref="E32:E36" si="11">N16</f>
        <v>5.4444848640000005E-5</v>
      </c>
      <c r="F32" s="410">
        <f t="shared" ref="F32:F37" si="12">SUM(C32:E32)</f>
        <v>1.6610169212896E-2</v>
      </c>
      <c r="G32" s="411"/>
      <c r="I32" s="412"/>
      <c r="J32" s="8"/>
      <c r="K32" s="8"/>
      <c r="L32" s="8"/>
      <c r="M32" s="8"/>
      <c r="N32" s="8"/>
      <c r="O32" s="8"/>
      <c r="P32" s="8"/>
      <c r="Q32" s="8"/>
      <c r="R32" s="8"/>
      <c r="S32" s="8"/>
      <c r="T32" s="8"/>
      <c r="U32" s="8"/>
      <c r="V32" s="8"/>
      <c r="W32" s="413"/>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row>
    <row r="33" spans="1:61" ht="15" customHeight="1" x14ac:dyDescent="0.2">
      <c r="A33" s="8"/>
      <c r="B33" s="353" t="s">
        <v>831</v>
      </c>
      <c r="C33" s="256">
        <f t="shared" si="9"/>
        <v>2.7462874712568741</v>
      </c>
      <c r="D33" s="256">
        <f t="shared" si="10"/>
        <v>5.9732508608640019E-3</v>
      </c>
      <c r="E33" s="256">
        <f t="shared" si="11"/>
        <v>2.3083311887999999E-2</v>
      </c>
      <c r="F33" s="410">
        <f t="shared" si="12"/>
        <v>2.7753440340057383</v>
      </c>
      <c r="G33" s="411"/>
      <c r="I33" s="412"/>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row>
    <row r="34" spans="1:61" ht="15" customHeight="1" x14ac:dyDescent="0.2">
      <c r="A34" s="8"/>
      <c r="B34" s="353" t="s">
        <v>834</v>
      </c>
      <c r="C34" s="256">
        <f t="shared" si="9"/>
        <v>0.3148291497443686</v>
      </c>
      <c r="D34" s="256">
        <f t="shared" si="10"/>
        <v>1.9870784108000001E-3</v>
      </c>
      <c r="E34" s="256">
        <f t="shared" si="11"/>
        <v>2.1378222902399997E-3</v>
      </c>
      <c r="F34" s="410">
        <f t="shared" si="12"/>
        <v>0.31895405044540859</v>
      </c>
      <c r="G34" s="411"/>
      <c r="I34" s="412"/>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row>
    <row r="35" spans="1:61" ht="15" customHeight="1" x14ac:dyDescent="0.2">
      <c r="A35" s="8"/>
      <c r="B35" s="337" t="s">
        <v>837</v>
      </c>
      <c r="C35" s="256">
        <f t="shared" si="9"/>
        <v>5.35071024850255E-2</v>
      </c>
      <c r="D35" s="256">
        <f t="shared" si="10"/>
        <v>2.7549511874992794E-3</v>
      </c>
      <c r="E35" s="256">
        <f t="shared" si="11"/>
        <v>2.4752246050349994E-4</v>
      </c>
      <c r="F35" s="410">
        <f t="shared" si="12"/>
        <v>5.6509576133028275E-2</v>
      </c>
      <c r="G35" s="411"/>
      <c r="I35" s="412"/>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row>
    <row r="36" spans="1:61" ht="15" customHeight="1" x14ac:dyDescent="0.2">
      <c r="A36" s="8"/>
      <c r="B36" s="353" t="s">
        <v>838</v>
      </c>
      <c r="C36" s="256">
        <f t="shared" si="9"/>
        <v>3.6344643373500005E-2</v>
      </c>
      <c r="D36" s="256">
        <f t="shared" si="10"/>
        <v>2.90276298312E-4</v>
      </c>
      <c r="E36" s="256">
        <f t="shared" si="11"/>
        <v>2.7901719846000001E-4</v>
      </c>
      <c r="F36" s="410">
        <f t="shared" si="12"/>
        <v>3.6913936870272002E-2</v>
      </c>
      <c r="G36" s="411"/>
      <c r="I36" s="412"/>
      <c r="J36" s="8"/>
      <c r="K36" s="8"/>
      <c r="L36" s="403"/>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row>
    <row r="37" spans="1:61" ht="15" customHeight="1" x14ac:dyDescent="0.2">
      <c r="A37" s="8"/>
      <c r="B37" s="337" t="s">
        <v>574</v>
      </c>
      <c r="C37" s="256">
        <f>M26</f>
        <v>8.7982796587046913E-2</v>
      </c>
      <c r="D37" s="256">
        <v>0</v>
      </c>
      <c r="E37" s="256">
        <v>0</v>
      </c>
      <c r="F37" s="410">
        <f t="shared" si="12"/>
        <v>8.7982796587046913E-2</v>
      </c>
      <c r="G37" s="411"/>
      <c r="I37" s="412"/>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row>
    <row r="38" spans="1:61" ht="15" customHeight="1" x14ac:dyDescent="0.2">
      <c r="A38" s="8"/>
      <c r="B38" s="264"/>
      <c r="C38" s="265"/>
      <c r="D38" s="265"/>
      <c r="E38" s="414" t="s">
        <v>102</v>
      </c>
      <c r="F38" s="267">
        <f>SUM(F32:F37)</f>
        <v>3.2923145632543895</v>
      </c>
      <c r="G38" s="411"/>
      <c r="I38" s="415"/>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row>
    <row r="39" spans="1:61" ht="15" customHeight="1" x14ac:dyDescent="0.2">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row>
    <row r="40" spans="1:61" ht="25.5" x14ac:dyDescent="0.2">
      <c r="A40" s="8"/>
      <c r="B40" s="257" t="s">
        <v>857</v>
      </c>
      <c r="C40" s="862" t="s">
        <v>661</v>
      </c>
      <c r="D40" s="862" t="s">
        <v>662</v>
      </c>
      <c r="E40" s="862" t="s">
        <v>663</v>
      </c>
      <c r="F40" s="862" t="s">
        <v>664</v>
      </c>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row>
    <row r="41" spans="1:61" ht="15" customHeight="1" x14ac:dyDescent="0.2">
      <c r="A41" s="8"/>
      <c r="B41" s="239" t="s">
        <v>230</v>
      </c>
      <c r="C41" s="416">
        <f t="shared" ref="C41:E41" si="13">C32+C33</f>
        <v>2.7617744013616741</v>
      </c>
      <c r="D41" s="416">
        <f t="shared" si="13"/>
        <v>7.0420451203200016E-3</v>
      </c>
      <c r="E41" s="416">
        <f t="shared" si="13"/>
        <v>2.3137756736639998E-2</v>
      </c>
      <c r="F41" s="258">
        <f t="shared" ref="F41:F44" si="14">SUM(C41:E41)</f>
        <v>2.7919542032186344</v>
      </c>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row>
    <row r="42" spans="1:61" ht="15" customHeight="1" x14ac:dyDescent="0.2">
      <c r="A42" s="8"/>
      <c r="B42" s="239" t="s">
        <v>206</v>
      </c>
      <c r="C42" s="416">
        <f t="shared" ref="C42:E42" si="15">C34</f>
        <v>0.3148291497443686</v>
      </c>
      <c r="D42" s="416">
        <f t="shared" si="15"/>
        <v>1.9870784108000001E-3</v>
      </c>
      <c r="E42" s="416">
        <f t="shared" si="15"/>
        <v>2.1378222902399997E-3</v>
      </c>
      <c r="F42" s="258">
        <f t="shared" si="14"/>
        <v>0.31895405044540859</v>
      </c>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row>
    <row r="43" spans="1:61" ht="15" customHeight="1" x14ac:dyDescent="0.2">
      <c r="A43" s="8"/>
      <c r="B43" s="239" t="s">
        <v>212</v>
      </c>
      <c r="C43" s="416">
        <f t="shared" ref="C43:E43" si="16">C35+C36</f>
        <v>8.9851745858525511E-2</v>
      </c>
      <c r="D43" s="416">
        <f t="shared" si="16"/>
        <v>3.0452274858112794E-3</v>
      </c>
      <c r="E43" s="416">
        <f t="shared" si="16"/>
        <v>5.265396589635E-4</v>
      </c>
      <c r="F43" s="258">
        <f t="shared" si="14"/>
        <v>9.342351300330029E-2</v>
      </c>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row>
    <row r="44" spans="1:61" ht="15" customHeight="1" x14ac:dyDescent="0.2">
      <c r="A44" s="8"/>
      <c r="B44" s="239" t="s">
        <v>574</v>
      </c>
      <c r="C44" s="416">
        <f t="shared" ref="C44:E44" si="17">C37</f>
        <v>8.7982796587046913E-2</v>
      </c>
      <c r="D44" s="416">
        <f t="shared" si="17"/>
        <v>0</v>
      </c>
      <c r="E44" s="416">
        <f t="shared" si="17"/>
        <v>0</v>
      </c>
      <c r="F44" s="258">
        <f t="shared" si="14"/>
        <v>8.7982796587046913E-2</v>
      </c>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row>
    <row r="45" spans="1:61" ht="15" customHeight="1" x14ac:dyDescent="0.2">
      <c r="A45" s="8"/>
      <c r="B45" s="264"/>
      <c r="C45" s="265"/>
      <c r="D45" s="265"/>
      <c r="E45" s="414" t="s">
        <v>102</v>
      </c>
      <c r="F45" s="267">
        <f>SUM(F41:F44)</f>
        <v>3.29231456325439</v>
      </c>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row>
    <row r="46" spans="1:61" ht="11.25" customHeight="1" x14ac:dyDescent="0.2">
      <c r="A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row>
    <row r="47" spans="1:61" ht="11.25" customHeight="1" x14ac:dyDescent="0.2">
      <c r="A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row>
    <row r="48" spans="1:61" ht="11.25" customHeight="1" x14ac:dyDescent="0.2">
      <c r="A48" s="8"/>
      <c r="C48" s="417"/>
      <c r="D48" s="417"/>
      <c r="E48" s="417"/>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row>
    <row r="49" spans="1:61" ht="11.25" customHeight="1" x14ac:dyDescent="0.2">
      <c r="A49" s="8"/>
      <c r="B49" s="8"/>
      <c r="C49" s="417"/>
      <c r="D49" s="417"/>
      <c r="E49" s="417"/>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row>
    <row r="50" spans="1:61" ht="11.25" customHeight="1" x14ac:dyDescent="0.2">
      <c r="A50" s="8"/>
      <c r="B50" s="8"/>
      <c r="C50" s="417"/>
      <c r="D50" s="417"/>
      <c r="E50" s="417"/>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row>
    <row r="51" spans="1:61" ht="11.25" customHeight="1" x14ac:dyDescent="0.2">
      <c r="A51" s="8"/>
      <c r="B51" s="8"/>
      <c r="C51" s="417"/>
      <c r="D51" s="417"/>
      <c r="E51" s="417"/>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row>
    <row r="52" spans="1:61" ht="11.25" customHeight="1" x14ac:dyDescent="0.2">
      <c r="A52" s="8"/>
      <c r="B52" s="8"/>
      <c r="C52" s="417"/>
      <c r="D52" s="417"/>
      <c r="E52" s="417"/>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row>
    <row r="53" spans="1:61" ht="11.25" customHeight="1" x14ac:dyDescent="0.2">
      <c r="A53" s="8"/>
      <c r="B53" s="8"/>
      <c r="C53" s="417"/>
      <c r="D53" s="417"/>
      <c r="E53" s="417"/>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row>
    <row r="54" spans="1:61" ht="11.25" customHeight="1" x14ac:dyDescent="0.2">
      <c r="A54" s="8"/>
      <c r="B54" s="8"/>
      <c r="C54" s="8"/>
      <c r="D54" s="417"/>
      <c r="E54" s="417"/>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row>
    <row r="55" spans="1:61" ht="11.25" customHeight="1" x14ac:dyDescent="0.2">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row>
    <row r="56" spans="1:61" ht="11.25" customHeight="1" x14ac:dyDescent="0.2">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row>
    <row r="57" spans="1:61" ht="11.25" customHeight="1" x14ac:dyDescent="0.2">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row>
    <row r="58" spans="1:61" ht="11.25" customHeight="1" x14ac:dyDescent="0.2">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row>
    <row r="59" spans="1:61" ht="11.25" customHeight="1" x14ac:dyDescent="0.2">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row>
    <row r="60" spans="1:61" ht="11.25" customHeight="1" x14ac:dyDescent="0.2">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row>
    <row r="61" spans="1:61" ht="11.25" customHeight="1" x14ac:dyDescent="0.2">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row>
    <row r="62" spans="1:61" ht="11.25" customHeight="1" x14ac:dyDescent="0.2">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row>
    <row r="63" spans="1:61" ht="11.25" customHeight="1" x14ac:dyDescent="0.2">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row>
    <row r="64" spans="1:61" ht="11.25" customHeight="1" x14ac:dyDescent="0.2">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row>
    <row r="65" spans="1:61" ht="11.25" customHeight="1" x14ac:dyDescent="0.2">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row>
    <row r="66" spans="1:61" ht="11.25" customHeight="1" x14ac:dyDescent="0.2">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row>
    <row r="67" spans="1:61" ht="11.25" customHeight="1" x14ac:dyDescent="0.2">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row>
    <row r="68" spans="1:61" ht="11.25" customHeight="1" x14ac:dyDescent="0.2">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row>
    <row r="69" spans="1:61" ht="11.25" customHeight="1" x14ac:dyDescent="0.2">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row>
    <row r="70" spans="1:61" ht="11.25" customHeight="1" x14ac:dyDescent="0.2">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row>
    <row r="71" spans="1:61" ht="11.25" customHeight="1" x14ac:dyDescent="0.2">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row>
    <row r="72" spans="1:61" ht="11.25" customHeight="1" x14ac:dyDescent="0.2">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row>
    <row r="73" spans="1:61" ht="11.25" customHeight="1" x14ac:dyDescent="0.2">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row>
    <row r="74" spans="1:61" ht="11.25" customHeight="1" x14ac:dyDescent="0.2">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row>
    <row r="75" spans="1:61" ht="11.25" customHeight="1" x14ac:dyDescent="0.2">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row>
    <row r="76" spans="1:61" ht="11.25" customHeight="1" x14ac:dyDescent="0.2">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row>
    <row r="77" spans="1:61" ht="11.25" customHeight="1" x14ac:dyDescent="0.2">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row>
    <row r="78" spans="1:61" ht="11.25" customHeight="1" x14ac:dyDescent="0.2">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row>
    <row r="79" spans="1:61" ht="11.25" customHeight="1" x14ac:dyDescent="0.2">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row>
    <row r="80" spans="1:61" ht="11.25" customHeight="1" x14ac:dyDescent="0.2">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row>
    <row r="81" spans="1:61" ht="11.25" customHeight="1" x14ac:dyDescent="0.2">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row>
    <row r="82" spans="1:61" ht="11.25" customHeight="1" x14ac:dyDescent="0.2">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row>
    <row r="83" spans="1:61" ht="11.25" customHeight="1" x14ac:dyDescent="0.2">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row>
    <row r="84" spans="1:61" ht="11.25" customHeight="1" x14ac:dyDescent="0.2">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row>
    <row r="85" spans="1:61" ht="11.25" customHeight="1" x14ac:dyDescent="0.2">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row>
    <row r="86" spans="1:61" ht="11.25" customHeight="1" x14ac:dyDescent="0.2">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row>
    <row r="87" spans="1:61" ht="11.25" customHeight="1" x14ac:dyDescent="0.2">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row>
    <row r="88" spans="1:61" ht="11.25" customHeight="1" x14ac:dyDescent="0.2">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row>
    <row r="89" spans="1:61" ht="11.25" customHeight="1" x14ac:dyDescent="0.2">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row>
    <row r="90" spans="1:61" ht="11.25" customHeight="1" x14ac:dyDescent="0.2">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row>
    <row r="91" spans="1:61" ht="11.25" customHeight="1" x14ac:dyDescent="0.2">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row>
    <row r="92" spans="1:61" ht="11.25" customHeight="1" x14ac:dyDescent="0.2">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row>
    <row r="93" spans="1:61" ht="11.25" customHeight="1" x14ac:dyDescent="0.2">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row>
    <row r="94" spans="1:61" ht="11.25" customHeight="1" x14ac:dyDescent="0.2">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row>
    <row r="95" spans="1:61" ht="11.25" customHeight="1" x14ac:dyDescent="0.2">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row>
    <row r="96" spans="1:61" ht="11.25" customHeight="1" x14ac:dyDescent="0.2">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row>
    <row r="97" spans="1:61" ht="11.25" customHeight="1" x14ac:dyDescent="0.2">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row>
    <row r="98" spans="1:61" ht="11.25" customHeight="1" x14ac:dyDescent="0.2">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row>
    <row r="99" spans="1:61" ht="11.25" customHeight="1" x14ac:dyDescent="0.2">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row>
    <row r="100" spans="1:61" ht="11.25" customHeight="1" x14ac:dyDescent="0.2">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row>
    <row r="101" spans="1:61" ht="11.25" customHeight="1" x14ac:dyDescent="0.2">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row>
    <row r="102" spans="1:61" ht="11.25" customHeight="1" x14ac:dyDescent="0.2">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row>
    <row r="103" spans="1:61" ht="11.25" customHeight="1" x14ac:dyDescent="0.2">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row>
    <row r="104" spans="1:61" ht="11.25" customHeight="1" x14ac:dyDescent="0.2">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row>
    <row r="105" spans="1:61" ht="11.25" customHeight="1" x14ac:dyDescent="0.2">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row>
    <row r="106" spans="1:61" ht="11.25" customHeight="1" x14ac:dyDescent="0.2">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row>
    <row r="107" spans="1:61" ht="11.25" customHeight="1" x14ac:dyDescent="0.2">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row>
    <row r="108" spans="1:61" ht="11.25" customHeight="1" x14ac:dyDescent="0.2">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row>
    <row r="109" spans="1:61" ht="11.25" customHeight="1" x14ac:dyDescent="0.2">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row>
    <row r="110" spans="1:61" ht="11.25" customHeight="1" x14ac:dyDescent="0.2">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row>
    <row r="111" spans="1:61" ht="11.25" customHeight="1" x14ac:dyDescent="0.2">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row>
    <row r="112" spans="1:61" ht="11.25" customHeight="1" x14ac:dyDescent="0.2">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row>
    <row r="113" spans="1:61" ht="11.25" customHeight="1" x14ac:dyDescent="0.2">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row>
    <row r="114" spans="1:61" ht="11.25" customHeight="1" x14ac:dyDescent="0.2">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row>
    <row r="115" spans="1:61" ht="11.25" customHeight="1" x14ac:dyDescent="0.2">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row>
    <row r="116" spans="1:61" ht="11.25" customHeight="1" x14ac:dyDescent="0.2">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row>
    <row r="117" spans="1:61" ht="11.25" customHeight="1" x14ac:dyDescent="0.2">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row>
    <row r="118" spans="1:61" ht="11.25" customHeight="1" x14ac:dyDescent="0.2">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row>
    <row r="119" spans="1:61" ht="11.25" customHeight="1" x14ac:dyDescent="0.2">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row>
    <row r="120" spans="1:61" ht="11.25" customHeight="1" x14ac:dyDescent="0.2">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row>
    <row r="121" spans="1:61" ht="11.25" customHeight="1" x14ac:dyDescent="0.2">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row>
    <row r="122" spans="1:61" ht="11.25" customHeight="1" x14ac:dyDescent="0.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row>
    <row r="123" spans="1:61" ht="11.25" customHeight="1" x14ac:dyDescent="0.2">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row>
    <row r="124" spans="1:61" ht="11.25" customHeight="1" x14ac:dyDescent="0.2">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row>
    <row r="125" spans="1:61" ht="11.25" customHeight="1" x14ac:dyDescent="0.2">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row>
    <row r="126" spans="1:61" ht="11.25" customHeight="1" x14ac:dyDescent="0.2">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row>
    <row r="127" spans="1:61" ht="11.25" customHeight="1" x14ac:dyDescent="0.2">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row>
    <row r="128" spans="1:61" ht="11.25" customHeight="1" x14ac:dyDescent="0.2">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row>
    <row r="129" spans="1:61" ht="11.25" customHeight="1" x14ac:dyDescent="0.2">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row>
    <row r="130" spans="1:61" ht="11.25" customHeight="1" x14ac:dyDescent="0.2">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row>
    <row r="131" spans="1:61" ht="11.25" customHeight="1" x14ac:dyDescent="0.2">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row>
    <row r="132" spans="1:61" ht="11.25" customHeight="1" x14ac:dyDescent="0.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row>
    <row r="133" spans="1:61" ht="11.25" customHeight="1" x14ac:dyDescent="0.2">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row>
    <row r="134" spans="1:61" ht="11.25" customHeight="1" x14ac:dyDescent="0.2">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row>
    <row r="135" spans="1:61" ht="11.25" customHeight="1" x14ac:dyDescent="0.2">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row>
    <row r="136" spans="1:61" ht="11.25" customHeight="1" x14ac:dyDescent="0.2">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row>
    <row r="137" spans="1:61" ht="11.25" customHeight="1" x14ac:dyDescent="0.2">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row>
    <row r="138" spans="1:61" ht="11.25" customHeight="1" x14ac:dyDescent="0.2">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row>
    <row r="139" spans="1:61" ht="11.25" customHeight="1" x14ac:dyDescent="0.2">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row>
    <row r="140" spans="1:61" ht="11.25" customHeight="1" x14ac:dyDescent="0.2">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row>
    <row r="141" spans="1:61" ht="11.25" customHeight="1" x14ac:dyDescent="0.2">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row>
    <row r="142" spans="1:61" ht="11.25" customHeight="1" x14ac:dyDescent="0.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row>
    <row r="143" spans="1:61" ht="11.25" customHeight="1" x14ac:dyDescent="0.2">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row>
    <row r="144" spans="1:61" ht="11.25" customHeight="1" x14ac:dyDescent="0.2">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row>
    <row r="145" spans="1:61" ht="11.25" customHeight="1" x14ac:dyDescent="0.2">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row>
    <row r="146" spans="1:61" ht="11.25" customHeight="1" x14ac:dyDescent="0.2">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row>
    <row r="147" spans="1:61" ht="11.25" customHeight="1" x14ac:dyDescent="0.2">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row>
    <row r="148" spans="1:61" ht="11.25" customHeight="1" x14ac:dyDescent="0.2">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row>
    <row r="149" spans="1:61" ht="11.25" customHeight="1" x14ac:dyDescent="0.2">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row>
    <row r="150" spans="1:61" ht="11.25" customHeight="1" x14ac:dyDescent="0.2">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row>
    <row r="151" spans="1:61" ht="11.25" customHeight="1" x14ac:dyDescent="0.2">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row>
    <row r="152" spans="1:61" ht="11.25" customHeight="1" x14ac:dyDescent="0.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row>
    <row r="153" spans="1:61" ht="11.25" customHeight="1" x14ac:dyDescent="0.2">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row>
    <row r="154" spans="1:61" ht="11.25" customHeight="1" x14ac:dyDescent="0.2">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row>
    <row r="155" spans="1:61" ht="11.25" customHeight="1" x14ac:dyDescent="0.2">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row>
    <row r="156" spans="1:61" ht="11.25" customHeight="1" x14ac:dyDescent="0.2">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row>
    <row r="157" spans="1:61" ht="11.25" customHeight="1" x14ac:dyDescent="0.2">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row>
    <row r="158" spans="1:61" ht="11.25" customHeight="1" x14ac:dyDescent="0.2">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c r="BF158" s="8"/>
      <c r="BG158" s="8"/>
      <c r="BH158" s="8"/>
      <c r="BI158" s="8"/>
    </row>
    <row r="159" spans="1:61" ht="11.25" customHeight="1" x14ac:dyDescent="0.2">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row>
    <row r="160" spans="1:61" ht="11.25" customHeight="1" x14ac:dyDescent="0.2">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row>
    <row r="161" spans="1:61" ht="11.25" customHeight="1" x14ac:dyDescent="0.2">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row>
    <row r="162" spans="1:61" ht="11.25" customHeight="1" x14ac:dyDescent="0.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row>
    <row r="163" spans="1:61" ht="11.25" customHeight="1" x14ac:dyDescent="0.2">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8"/>
      <c r="BI163" s="8"/>
    </row>
    <row r="164" spans="1:61" ht="11.25" customHeight="1" x14ac:dyDescent="0.2">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row>
    <row r="165" spans="1:61" ht="11.25" customHeight="1" x14ac:dyDescent="0.2">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row>
    <row r="166" spans="1:61" ht="11.25" customHeight="1" x14ac:dyDescent="0.2">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
      <c r="BI166" s="8"/>
    </row>
    <row r="167" spans="1:61" ht="11.25" customHeight="1" x14ac:dyDescent="0.2">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row>
    <row r="168" spans="1:61" ht="11.25" customHeight="1" x14ac:dyDescent="0.2">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c r="BF168" s="8"/>
      <c r="BG168" s="8"/>
      <c r="BH168" s="8"/>
      <c r="BI168" s="8"/>
    </row>
    <row r="169" spans="1:61" ht="11.25" customHeight="1" x14ac:dyDescent="0.2">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row>
    <row r="170" spans="1:61" ht="11.25" customHeight="1" x14ac:dyDescent="0.2">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c r="BD170" s="8"/>
      <c r="BE170" s="8"/>
      <c r="BF170" s="8"/>
      <c r="BG170" s="8"/>
      <c r="BH170" s="8"/>
      <c r="BI170" s="8"/>
    </row>
    <row r="171" spans="1:61" ht="11.25" customHeight="1" x14ac:dyDescent="0.2">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row>
    <row r="172" spans="1:61" ht="11.25" customHeight="1" x14ac:dyDescent="0.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row>
    <row r="173" spans="1:61" ht="11.25" customHeight="1" x14ac:dyDescent="0.2">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row>
    <row r="174" spans="1:61" ht="11.25" customHeight="1" x14ac:dyDescent="0.2">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row>
    <row r="175" spans="1:61" ht="11.25" customHeight="1" x14ac:dyDescent="0.2">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row>
    <row r="176" spans="1:61" ht="11.25" customHeight="1" x14ac:dyDescent="0.2">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c r="BF176" s="8"/>
      <c r="BG176" s="8"/>
      <c r="BH176" s="8"/>
      <c r="BI176" s="8"/>
    </row>
    <row r="177" spans="1:61" ht="11.25" customHeight="1" x14ac:dyDescent="0.2">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row>
    <row r="178" spans="1:61" ht="11.25" customHeight="1" x14ac:dyDescent="0.2">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8"/>
      <c r="BI178" s="8"/>
    </row>
    <row r="179" spans="1:61" ht="11.25" customHeight="1" x14ac:dyDescent="0.2">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row>
    <row r="180" spans="1:61" ht="11.25" customHeight="1" x14ac:dyDescent="0.2">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8"/>
      <c r="BE180" s="8"/>
      <c r="BF180" s="8"/>
      <c r="BG180" s="8"/>
      <c r="BH180" s="8"/>
      <c r="BI180" s="8"/>
    </row>
    <row r="181" spans="1:61" ht="11.25" customHeight="1" x14ac:dyDescent="0.2">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row>
    <row r="182" spans="1:61" ht="11.25" customHeight="1" x14ac:dyDescent="0.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row>
    <row r="183" spans="1:61" ht="11.25" customHeight="1" x14ac:dyDescent="0.2">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row>
    <row r="184" spans="1:61" ht="11.25" customHeight="1" x14ac:dyDescent="0.2">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row>
    <row r="185" spans="1:61" ht="11.25" customHeight="1" x14ac:dyDescent="0.2">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row>
    <row r="186" spans="1:61" ht="11.25" customHeight="1" x14ac:dyDescent="0.2">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row>
    <row r="187" spans="1:61" ht="11.25" customHeight="1" x14ac:dyDescent="0.2">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row>
    <row r="188" spans="1:61" ht="11.25" customHeight="1" x14ac:dyDescent="0.2">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row>
    <row r="189" spans="1:61" ht="11.25" customHeight="1" x14ac:dyDescent="0.2">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row>
    <row r="190" spans="1:61" ht="11.25" customHeight="1" x14ac:dyDescent="0.2">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row>
    <row r="191" spans="1:61" ht="11.25" customHeight="1" x14ac:dyDescent="0.2">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row>
    <row r="192" spans="1:61" ht="11.25" customHeight="1" x14ac:dyDescent="0.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row>
    <row r="193" spans="1:61" ht="11.25" customHeight="1" x14ac:dyDescent="0.2">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row>
    <row r="194" spans="1:61" ht="11.25" customHeight="1" x14ac:dyDescent="0.2">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c r="BF194" s="8"/>
      <c r="BG194" s="8"/>
      <c r="BH194" s="8"/>
      <c r="BI194" s="8"/>
    </row>
    <row r="195" spans="1:61" ht="11.25" customHeight="1" x14ac:dyDescent="0.2">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row>
    <row r="196" spans="1:61" ht="11.25" customHeight="1" x14ac:dyDescent="0.2">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row>
    <row r="197" spans="1:61" ht="11.25" customHeight="1" x14ac:dyDescent="0.2">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row>
    <row r="198" spans="1:61" ht="11.25" customHeight="1" x14ac:dyDescent="0.2">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row>
    <row r="199" spans="1:61" ht="11.25" customHeight="1" x14ac:dyDescent="0.2">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row>
    <row r="200" spans="1:61" ht="11.25" customHeight="1" x14ac:dyDescent="0.2">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c r="BD200" s="8"/>
      <c r="BE200" s="8"/>
      <c r="BF200" s="8"/>
      <c r="BG200" s="8"/>
      <c r="BH200" s="8"/>
      <c r="BI200" s="8"/>
    </row>
    <row r="201" spans="1:61" ht="11.25" customHeight="1" x14ac:dyDescent="0.2">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row>
    <row r="202" spans="1:61" ht="11.25" customHeight="1" x14ac:dyDescent="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c r="BF202" s="8"/>
      <c r="BG202" s="8"/>
      <c r="BH202" s="8"/>
      <c r="BI202" s="8"/>
    </row>
    <row r="203" spans="1:61" ht="11.25" customHeight="1" x14ac:dyDescent="0.2">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row>
    <row r="204" spans="1:61" ht="11.25" customHeight="1" x14ac:dyDescent="0.2">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row>
    <row r="205" spans="1:61" ht="11.25" customHeight="1" x14ac:dyDescent="0.2">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row>
    <row r="206" spans="1:61" ht="11.25" customHeight="1" x14ac:dyDescent="0.2">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row>
    <row r="207" spans="1:61" ht="11.25" customHeight="1" x14ac:dyDescent="0.2">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
      <c r="BI207" s="8"/>
    </row>
    <row r="208" spans="1:61" ht="11.25" customHeight="1" x14ac:dyDescent="0.2">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row>
    <row r="209" spans="1:61" ht="11.25" customHeight="1" x14ac:dyDescent="0.2">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row>
    <row r="210" spans="1:61" ht="11.25" customHeight="1" x14ac:dyDescent="0.2">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row>
    <row r="211" spans="1:61" ht="11.25" customHeight="1" x14ac:dyDescent="0.2">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row>
    <row r="212" spans="1:61" ht="11.25" customHeight="1" x14ac:dyDescent="0.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row>
    <row r="213" spans="1:61" ht="11.25" customHeight="1" x14ac:dyDescent="0.2">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row>
    <row r="214" spans="1:61" ht="11.25" customHeight="1" x14ac:dyDescent="0.2">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row>
    <row r="215" spans="1:61" ht="11.25" customHeight="1" x14ac:dyDescent="0.2">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row>
    <row r="216" spans="1:61" ht="11.25" customHeight="1" x14ac:dyDescent="0.2">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row>
    <row r="217" spans="1:61" ht="11.25" customHeight="1" x14ac:dyDescent="0.2">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row>
    <row r="218" spans="1:61" ht="11.25" customHeight="1" x14ac:dyDescent="0.2">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row>
    <row r="219" spans="1:61" ht="11.25" customHeight="1" x14ac:dyDescent="0.2">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row>
    <row r="220" spans="1:61" ht="11.25" customHeight="1" x14ac:dyDescent="0.2">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row>
    <row r="221" spans="1:61" ht="11.25" customHeight="1" x14ac:dyDescent="0.2">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row>
    <row r="222" spans="1:61" ht="11.25" customHeight="1" x14ac:dyDescent="0.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row>
    <row r="223" spans="1:61" ht="11.25" customHeight="1" x14ac:dyDescent="0.2">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row>
    <row r="224" spans="1:61" ht="11.25" customHeight="1" x14ac:dyDescent="0.2">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row>
    <row r="225" spans="1:61" ht="11.25" customHeight="1" x14ac:dyDescent="0.2">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row>
    <row r="226" spans="1:61" ht="11.25" customHeight="1" x14ac:dyDescent="0.2">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row>
    <row r="227" spans="1:61" ht="11.25" customHeight="1" x14ac:dyDescent="0.2">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row>
    <row r="228" spans="1:61" ht="11.25" customHeight="1" x14ac:dyDescent="0.2">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row>
    <row r="229" spans="1:61" ht="11.25" customHeight="1" x14ac:dyDescent="0.2">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c r="AZ229" s="8"/>
      <c r="BA229" s="8"/>
      <c r="BB229" s="8"/>
      <c r="BC229" s="8"/>
      <c r="BD229" s="8"/>
      <c r="BE229" s="8"/>
      <c r="BF229" s="8"/>
      <c r="BG229" s="8"/>
      <c r="BH229" s="8"/>
      <c r="BI229" s="8"/>
    </row>
    <row r="230" spans="1:61" ht="11.25" customHeight="1" x14ac:dyDescent="0.2">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C230" s="8"/>
      <c r="BD230" s="8"/>
      <c r="BE230" s="8"/>
      <c r="BF230" s="8"/>
      <c r="BG230" s="8"/>
      <c r="BH230" s="8"/>
      <c r="BI230" s="8"/>
    </row>
    <row r="231" spans="1:61" ht="11.25" customHeight="1" x14ac:dyDescent="0.2">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C231" s="8"/>
      <c r="BD231" s="8"/>
      <c r="BE231" s="8"/>
      <c r="BF231" s="8"/>
      <c r="BG231" s="8"/>
      <c r="BH231" s="8"/>
      <c r="BI231" s="8"/>
    </row>
    <row r="232" spans="1:61" ht="11.25" customHeight="1" x14ac:dyDescent="0.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c r="BA232" s="8"/>
      <c r="BB232" s="8"/>
      <c r="BC232" s="8"/>
      <c r="BD232" s="8"/>
      <c r="BE232" s="8"/>
      <c r="BF232" s="8"/>
      <c r="BG232" s="8"/>
      <c r="BH232" s="8"/>
      <c r="BI232" s="8"/>
    </row>
    <row r="233" spans="1:61" ht="11.25" customHeight="1" x14ac:dyDescent="0.2">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c r="BA233" s="8"/>
      <c r="BB233" s="8"/>
      <c r="BC233" s="8"/>
      <c r="BD233" s="8"/>
      <c r="BE233" s="8"/>
      <c r="BF233" s="8"/>
      <c r="BG233" s="8"/>
      <c r="BH233" s="8"/>
      <c r="BI233" s="8"/>
    </row>
    <row r="234" spans="1:61" ht="11.25" customHeight="1" x14ac:dyDescent="0.2">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c r="BA234" s="8"/>
      <c r="BB234" s="8"/>
      <c r="BC234" s="8"/>
      <c r="BD234" s="8"/>
      <c r="BE234" s="8"/>
      <c r="BF234" s="8"/>
      <c r="BG234" s="8"/>
      <c r="BH234" s="8"/>
      <c r="BI234" s="8"/>
    </row>
    <row r="235" spans="1:61" ht="11.25" customHeight="1" x14ac:dyDescent="0.2">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8"/>
      <c r="BB235" s="8"/>
      <c r="BC235" s="8"/>
      <c r="BD235" s="8"/>
      <c r="BE235" s="8"/>
      <c r="BF235" s="8"/>
      <c r="BG235" s="8"/>
      <c r="BH235" s="8"/>
      <c r="BI235" s="8"/>
    </row>
    <row r="236" spans="1:61" ht="11.25" customHeight="1" x14ac:dyDescent="0.2">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c r="AZ236" s="8"/>
      <c r="BA236" s="8"/>
      <c r="BB236" s="8"/>
      <c r="BC236" s="8"/>
      <c r="BD236" s="8"/>
      <c r="BE236" s="8"/>
      <c r="BF236" s="8"/>
      <c r="BG236" s="8"/>
      <c r="BH236" s="8"/>
      <c r="BI236" s="8"/>
    </row>
    <row r="237" spans="1:61" ht="11.25" customHeight="1" x14ac:dyDescent="0.2">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c r="BA237" s="8"/>
      <c r="BB237" s="8"/>
      <c r="BC237" s="8"/>
      <c r="BD237" s="8"/>
      <c r="BE237" s="8"/>
      <c r="BF237" s="8"/>
      <c r="BG237" s="8"/>
      <c r="BH237" s="8"/>
      <c r="BI237" s="8"/>
    </row>
    <row r="238" spans="1:61" ht="11.25" customHeight="1" x14ac:dyDescent="0.2">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c r="BA238" s="8"/>
      <c r="BB238" s="8"/>
      <c r="BC238" s="8"/>
      <c r="BD238" s="8"/>
      <c r="BE238" s="8"/>
      <c r="BF238" s="8"/>
      <c r="BG238" s="8"/>
      <c r="BH238" s="8"/>
      <c r="BI238" s="8"/>
    </row>
    <row r="239" spans="1:61" ht="11.25" customHeight="1" x14ac:dyDescent="0.2">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row>
    <row r="240" spans="1:61" ht="11.25" customHeight="1" x14ac:dyDescent="0.2">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c r="BA240" s="8"/>
      <c r="BB240" s="8"/>
      <c r="BC240" s="8"/>
      <c r="BD240" s="8"/>
      <c r="BE240" s="8"/>
      <c r="BF240" s="8"/>
      <c r="BG240" s="8"/>
      <c r="BH240" s="8"/>
      <c r="BI240" s="8"/>
    </row>
    <row r="241" spans="1:61" ht="11.25" customHeight="1" x14ac:dyDescent="0.2">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c r="AZ241" s="8"/>
      <c r="BA241" s="8"/>
      <c r="BB241" s="8"/>
      <c r="BC241" s="8"/>
      <c r="BD241" s="8"/>
      <c r="BE241" s="8"/>
      <c r="BF241" s="8"/>
      <c r="BG241" s="8"/>
      <c r="BH241" s="8"/>
      <c r="BI241" s="8"/>
    </row>
    <row r="242" spans="1:61" ht="11.25" customHeight="1" x14ac:dyDescent="0.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c r="BA242" s="8"/>
      <c r="BB242" s="8"/>
      <c r="BC242" s="8"/>
      <c r="BD242" s="8"/>
      <c r="BE242" s="8"/>
      <c r="BF242" s="8"/>
      <c r="BG242" s="8"/>
      <c r="BH242" s="8"/>
      <c r="BI242" s="8"/>
    </row>
    <row r="243" spans="1:61" ht="11.25" customHeight="1" x14ac:dyDescent="0.2">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8"/>
      <c r="BA243" s="8"/>
      <c r="BB243" s="8"/>
      <c r="BC243" s="8"/>
      <c r="BD243" s="8"/>
      <c r="BE243" s="8"/>
      <c r="BF243" s="8"/>
      <c r="BG243" s="8"/>
      <c r="BH243" s="8"/>
      <c r="BI243" s="8"/>
    </row>
    <row r="244" spans="1:61" ht="11.25" customHeight="1" x14ac:dyDescent="0.2">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c r="AZ244" s="8"/>
      <c r="BA244" s="8"/>
      <c r="BB244" s="8"/>
      <c r="BC244" s="8"/>
      <c r="BD244" s="8"/>
      <c r="BE244" s="8"/>
      <c r="BF244" s="8"/>
      <c r="BG244" s="8"/>
      <c r="BH244" s="8"/>
      <c r="BI244" s="8"/>
    </row>
    <row r="245" spans="1:61" ht="11.25" customHeight="1" x14ac:dyDescent="0.2">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8"/>
      <c r="BC245" s="8"/>
      <c r="BD245" s="8"/>
      <c r="BE245" s="8"/>
      <c r="BF245" s="8"/>
      <c r="BG245" s="8"/>
      <c r="BH245" s="8"/>
      <c r="BI245" s="8"/>
    </row>
    <row r="246" spans="1:61" ht="11.25" customHeight="1" x14ac:dyDescent="0.2">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c r="AZ246" s="8"/>
      <c r="BA246" s="8"/>
      <c r="BB246" s="8"/>
      <c r="BC246" s="8"/>
      <c r="BD246" s="8"/>
      <c r="BE246" s="8"/>
      <c r="BF246" s="8"/>
      <c r="BG246" s="8"/>
      <c r="BH246" s="8"/>
      <c r="BI246" s="8"/>
    </row>
    <row r="247" spans="1:61" ht="11.25" customHeight="1" x14ac:dyDescent="0.2">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8"/>
      <c r="BA247" s="8"/>
      <c r="BB247" s="8"/>
      <c r="BC247" s="8"/>
      <c r="BD247" s="8"/>
      <c r="BE247" s="8"/>
      <c r="BF247" s="8"/>
      <c r="BG247" s="8"/>
      <c r="BH247" s="8"/>
      <c r="BI247" s="8"/>
    </row>
    <row r="248" spans="1:61" ht="11.25" customHeight="1" x14ac:dyDescent="0.2">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c r="BA248" s="8"/>
      <c r="BB248" s="8"/>
      <c r="BC248" s="8"/>
      <c r="BD248" s="8"/>
      <c r="BE248" s="8"/>
      <c r="BF248" s="8"/>
      <c r="BG248" s="8"/>
      <c r="BH248" s="8"/>
      <c r="BI248" s="8"/>
    </row>
    <row r="249" spans="1:61" ht="11.25" customHeight="1" x14ac:dyDescent="0.2">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row>
    <row r="250" spans="1:61" ht="11.25" customHeight="1" x14ac:dyDescent="0.2">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row>
    <row r="251" spans="1:61" ht="11.25" customHeight="1" x14ac:dyDescent="0.2">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8"/>
      <c r="BA251" s="8"/>
      <c r="BB251" s="8"/>
      <c r="BC251" s="8"/>
      <c r="BD251" s="8"/>
      <c r="BE251" s="8"/>
      <c r="BF251" s="8"/>
      <c r="BG251" s="8"/>
      <c r="BH251" s="8"/>
      <c r="BI251" s="8"/>
    </row>
    <row r="252" spans="1:61" ht="11.25" customHeight="1" x14ac:dyDescent="0.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c r="AZ252" s="8"/>
      <c r="BA252" s="8"/>
      <c r="BB252" s="8"/>
      <c r="BC252" s="8"/>
      <c r="BD252" s="8"/>
      <c r="BE252" s="8"/>
      <c r="BF252" s="8"/>
      <c r="BG252" s="8"/>
      <c r="BH252" s="8"/>
      <c r="BI252" s="8"/>
    </row>
    <row r="253" spans="1:61" ht="11.25" customHeight="1" x14ac:dyDescent="0.2">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C253" s="8"/>
      <c r="BD253" s="8"/>
      <c r="BE253" s="8"/>
      <c r="BF253" s="8"/>
      <c r="BG253" s="8"/>
      <c r="BH253" s="8"/>
      <c r="BI253" s="8"/>
    </row>
    <row r="254" spans="1:61" ht="11.25" customHeight="1" x14ac:dyDescent="0.2">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c r="BA254" s="8"/>
      <c r="BB254" s="8"/>
      <c r="BC254" s="8"/>
      <c r="BD254" s="8"/>
      <c r="BE254" s="8"/>
      <c r="BF254" s="8"/>
      <c r="BG254" s="8"/>
      <c r="BH254" s="8"/>
      <c r="BI254" s="8"/>
    </row>
    <row r="255" spans="1:61" ht="11.25" customHeight="1" x14ac:dyDescent="0.2">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c r="AZ255" s="8"/>
      <c r="BA255" s="8"/>
      <c r="BB255" s="8"/>
      <c r="BC255" s="8"/>
      <c r="BD255" s="8"/>
      <c r="BE255" s="8"/>
      <c r="BF255" s="8"/>
      <c r="BG255" s="8"/>
      <c r="BH255" s="8"/>
      <c r="BI255" s="8"/>
    </row>
    <row r="256" spans="1:61" ht="11.25" customHeight="1" x14ac:dyDescent="0.2">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row>
    <row r="257" spans="1:61" ht="11.25" customHeight="1" x14ac:dyDescent="0.2">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row>
    <row r="258" spans="1:61" ht="11.25" customHeight="1" x14ac:dyDescent="0.2">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c r="AZ258" s="8"/>
      <c r="BA258" s="8"/>
      <c r="BB258" s="8"/>
      <c r="BC258" s="8"/>
      <c r="BD258" s="8"/>
      <c r="BE258" s="8"/>
      <c r="BF258" s="8"/>
      <c r="BG258" s="8"/>
      <c r="BH258" s="8"/>
      <c r="BI258" s="8"/>
    </row>
    <row r="259" spans="1:61" ht="11.25" customHeight="1" x14ac:dyDescent="0.2">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c r="AZ259" s="8"/>
      <c r="BA259" s="8"/>
      <c r="BB259" s="8"/>
      <c r="BC259" s="8"/>
      <c r="BD259" s="8"/>
      <c r="BE259" s="8"/>
      <c r="BF259" s="8"/>
      <c r="BG259" s="8"/>
      <c r="BH259" s="8"/>
      <c r="BI259" s="8"/>
    </row>
    <row r="260" spans="1:61" ht="11.25" customHeight="1" x14ac:dyDescent="0.2">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row>
    <row r="261" spans="1:61" ht="11.25" customHeight="1" x14ac:dyDescent="0.2">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row>
    <row r="262" spans="1:61" ht="11.25" customHeight="1" x14ac:dyDescent="0.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row>
    <row r="263" spans="1:61" ht="11.25" customHeight="1" x14ac:dyDescent="0.2">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row>
    <row r="264" spans="1:61" ht="11.25" customHeight="1" x14ac:dyDescent="0.2">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row>
    <row r="265" spans="1:61" ht="11.25" customHeight="1" x14ac:dyDescent="0.2">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c r="BA265" s="8"/>
      <c r="BB265" s="8"/>
      <c r="BC265" s="8"/>
      <c r="BD265" s="8"/>
      <c r="BE265" s="8"/>
      <c r="BF265" s="8"/>
      <c r="BG265" s="8"/>
      <c r="BH265" s="8"/>
      <c r="BI265" s="8"/>
    </row>
    <row r="266" spans="1:61" ht="11.25" customHeight="1" x14ac:dyDescent="0.2">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8"/>
      <c r="BA266" s="8"/>
      <c r="BB266" s="8"/>
      <c r="BC266" s="8"/>
      <c r="BD266" s="8"/>
      <c r="BE266" s="8"/>
      <c r="BF266" s="8"/>
      <c r="BG266" s="8"/>
      <c r="BH266" s="8"/>
      <c r="BI266" s="8"/>
    </row>
    <row r="267" spans="1:61" ht="11.25" customHeight="1" x14ac:dyDescent="0.2">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c r="AZ267" s="8"/>
      <c r="BA267" s="8"/>
      <c r="BB267" s="8"/>
      <c r="BC267" s="8"/>
      <c r="BD267" s="8"/>
      <c r="BE267" s="8"/>
      <c r="BF267" s="8"/>
      <c r="BG267" s="8"/>
      <c r="BH267" s="8"/>
      <c r="BI267" s="8"/>
    </row>
    <row r="268" spans="1:61" ht="11.25" customHeight="1" x14ac:dyDescent="0.2">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c r="AZ268" s="8"/>
      <c r="BA268" s="8"/>
      <c r="BB268" s="8"/>
      <c r="BC268" s="8"/>
      <c r="BD268" s="8"/>
      <c r="BE268" s="8"/>
      <c r="BF268" s="8"/>
      <c r="BG268" s="8"/>
      <c r="BH268" s="8"/>
      <c r="BI268" s="8"/>
    </row>
    <row r="269" spans="1:61" ht="11.25" customHeight="1" x14ac:dyDescent="0.2">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8"/>
      <c r="BC269" s="8"/>
      <c r="BD269" s="8"/>
      <c r="BE269" s="8"/>
      <c r="BF269" s="8"/>
      <c r="BG269" s="8"/>
      <c r="BH269" s="8"/>
      <c r="BI269" s="8"/>
    </row>
    <row r="270" spans="1:61" ht="11.25" customHeight="1" x14ac:dyDescent="0.2">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c r="AZ270" s="8"/>
      <c r="BA270" s="8"/>
      <c r="BB270" s="8"/>
      <c r="BC270" s="8"/>
      <c r="BD270" s="8"/>
      <c r="BE270" s="8"/>
      <c r="BF270" s="8"/>
      <c r="BG270" s="8"/>
      <c r="BH270" s="8"/>
      <c r="BI270" s="8"/>
    </row>
    <row r="271" spans="1:61" ht="11.25" customHeight="1" x14ac:dyDescent="0.2">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c r="AZ271" s="8"/>
      <c r="BA271" s="8"/>
      <c r="BB271" s="8"/>
      <c r="BC271" s="8"/>
      <c r="BD271" s="8"/>
      <c r="BE271" s="8"/>
      <c r="BF271" s="8"/>
      <c r="BG271" s="8"/>
      <c r="BH271" s="8"/>
      <c r="BI271" s="8"/>
    </row>
    <row r="272" spans="1:61" ht="11.25" customHeight="1" x14ac:dyDescent="0.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8"/>
      <c r="BB272" s="8"/>
      <c r="BC272" s="8"/>
      <c r="BD272" s="8"/>
      <c r="BE272" s="8"/>
      <c r="BF272" s="8"/>
      <c r="BG272" s="8"/>
      <c r="BH272" s="8"/>
      <c r="BI272" s="8"/>
    </row>
    <row r="273" spans="1:61" ht="11.25" customHeight="1" x14ac:dyDescent="0.2">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c r="AZ273" s="8"/>
      <c r="BA273" s="8"/>
      <c r="BB273" s="8"/>
      <c r="BC273" s="8"/>
      <c r="BD273" s="8"/>
      <c r="BE273" s="8"/>
      <c r="BF273" s="8"/>
      <c r="BG273" s="8"/>
      <c r="BH273" s="8"/>
      <c r="BI273" s="8"/>
    </row>
    <row r="274" spans="1:61" ht="11.25" customHeight="1" x14ac:dyDescent="0.2">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c r="AZ274" s="8"/>
      <c r="BA274" s="8"/>
      <c r="BB274" s="8"/>
      <c r="BC274" s="8"/>
      <c r="BD274" s="8"/>
      <c r="BE274" s="8"/>
      <c r="BF274" s="8"/>
      <c r="BG274" s="8"/>
      <c r="BH274" s="8"/>
      <c r="BI274" s="8"/>
    </row>
    <row r="275" spans="1:61" ht="11.25" customHeight="1" x14ac:dyDescent="0.2">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8"/>
      <c r="BB275" s="8"/>
      <c r="BC275" s="8"/>
      <c r="BD275" s="8"/>
      <c r="BE275" s="8"/>
      <c r="BF275" s="8"/>
      <c r="BG275" s="8"/>
      <c r="BH275" s="8"/>
      <c r="BI275" s="8"/>
    </row>
    <row r="276" spans="1:61" ht="11.25" customHeight="1" x14ac:dyDescent="0.2">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row>
    <row r="277" spans="1:61" ht="11.25" customHeight="1" x14ac:dyDescent="0.2">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row>
    <row r="278" spans="1:61" ht="11.25" customHeight="1" x14ac:dyDescent="0.2">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8"/>
      <c r="BB278" s="8"/>
      <c r="BC278" s="8"/>
      <c r="BD278" s="8"/>
      <c r="BE278" s="8"/>
      <c r="BF278" s="8"/>
      <c r="BG278" s="8"/>
      <c r="BH278" s="8"/>
      <c r="BI278" s="8"/>
    </row>
    <row r="279" spans="1:61" ht="11.25" customHeight="1" x14ac:dyDescent="0.2">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c r="AZ279" s="8"/>
      <c r="BA279" s="8"/>
      <c r="BB279" s="8"/>
      <c r="BC279" s="8"/>
      <c r="BD279" s="8"/>
      <c r="BE279" s="8"/>
      <c r="BF279" s="8"/>
      <c r="BG279" s="8"/>
      <c r="BH279" s="8"/>
      <c r="BI279" s="8"/>
    </row>
    <row r="280" spans="1:61" ht="11.25" customHeight="1" x14ac:dyDescent="0.2">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8"/>
      <c r="BA280" s="8"/>
      <c r="BB280" s="8"/>
      <c r="BC280" s="8"/>
      <c r="BD280" s="8"/>
      <c r="BE280" s="8"/>
      <c r="BF280" s="8"/>
      <c r="BG280" s="8"/>
      <c r="BH280" s="8"/>
      <c r="BI280" s="8"/>
    </row>
    <row r="281" spans="1:61" ht="11.25" customHeight="1" x14ac:dyDescent="0.2">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c r="AZ281" s="8"/>
      <c r="BA281" s="8"/>
      <c r="BB281" s="8"/>
      <c r="BC281" s="8"/>
      <c r="BD281" s="8"/>
      <c r="BE281" s="8"/>
      <c r="BF281" s="8"/>
      <c r="BG281" s="8"/>
      <c r="BH281" s="8"/>
      <c r="BI281" s="8"/>
    </row>
    <row r="282" spans="1:61" ht="11.25" customHeight="1" x14ac:dyDescent="0.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c r="AZ282" s="8"/>
      <c r="BA282" s="8"/>
      <c r="BB282" s="8"/>
      <c r="BC282" s="8"/>
      <c r="BD282" s="8"/>
      <c r="BE282" s="8"/>
      <c r="BF282" s="8"/>
      <c r="BG282" s="8"/>
      <c r="BH282" s="8"/>
      <c r="BI282" s="8"/>
    </row>
    <row r="283" spans="1:61" ht="11.25" customHeight="1" x14ac:dyDescent="0.2">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c r="AZ283" s="8"/>
      <c r="BA283" s="8"/>
      <c r="BB283" s="8"/>
      <c r="BC283" s="8"/>
      <c r="BD283" s="8"/>
      <c r="BE283" s="8"/>
      <c r="BF283" s="8"/>
      <c r="BG283" s="8"/>
      <c r="BH283" s="8"/>
      <c r="BI283" s="8"/>
    </row>
    <row r="284" spans="1:61" ht="11.25" customHeight="1" x14ac:dyDescent="0.2">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8"/>
      <c r="BA284" s="8"/>
      <c r="BB284" s="8"/>
      <c r="BC284" s="8"/>
      <c r="BD284" s="8"/>
      <c r="BE284" s="8"/>
      <c r="BF284" s="8"/>
      <c r="BG284" s="8"/>
      <c r="BH284" s="8"/>
      <c r="BI284" s="8"/>
    </row>
    <row r="285" spans="1:61" ht="11.25" customHeight="1" x14ac:dyDescent="0.2">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c r="AZ285" s="8"/>
      <c r="BA285" s="8"/>
      <c r="BB285" s="8"/>
      <c r="BC285" s="8"/>
      <c r="BD285" s="8"/>
      <c r="BE285" s="8"/>
      <c r="BF285" s="8"/>
      <c r="BG285" s="8"/>
      <c r="BH285" s="8"/>
      <c r="BI285" s="8"/>
    </row>
    <row r="286" spans="1:61" ht="11.25" customHeight="1" x14ac:dyDescent="0.2">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c r="AZ286" s="8"/>
      <c r="BA286" s="8"/>
      <c r="BB286" s="8"/>
      <c r="BC286" s="8"/>
      <c r="BD286" s="8"/>
      <c r="BE286" s="8"/>
      <c r="BF286" s="8"/>
      <c r="BG286" s="8"/>
      <c r="BH286" s="8"/>
      <c r="BI286" s="8"/>
    </row>
    <row r="287" spans="1:61" ht="11.25" customHeight="1" x14ac:dyDescent="0.2">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c r="AZ287" s="8"/>
      <c r="BA287" s="8"/>
      <c r="BB287" s="8"/>
      <c r="BC287" s="8"/>
      <c r="BD287" s="8"/>
      <c r="BE287" s="8"/>
      <c r="BF287" s="8"/>
      <c r="BG287" s="8"/>
      <c r="BH287" s="8"/>
      <c r="BI287" s="8"/>
    </row>
    <row r="288" spans="1:61" ht="11.25" customHeight="1" x14ac:dyDescent="0.2">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c r="AZ288" s="8"/>
      <c r="BA288" s="8"/>
      <c r="BB288" s="8"/>
      <c r="BC288" s="8"/>
      <c r="BD288" s="8"/>
      <c r="BE288" s="8"/>
      <c r="BF288" s="8"/>
      <c r="BG288" s="8"/>
      <c r="BH288" s="8"/>
      <c r="BI288" s="8"/>
    </row>
    <row r="289" spans="1:61" ht="11.25" customHeight="1" x14ac:dyDescent="0.2">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c r="AZ289" s="8"/>
      <c r="BA289" s="8"/>
      <c r="BB289" s="8"/>
      <c r="BC289" s="8"/>
      <c r="BD289" s="8"/>
      <c r="BE289" s="8"/>
      <c r="BF289" s="8"/>
      <c r="BG289" s="8"/>
      <c r="BH289" s="8"/>
      <c r="BI289" s="8"/>
    </row>
    <row r="290" spans="1:61" ht="11.25" customHeight="1" x14ac:dyDescent="0.2">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c r="AZ290" s="8"/>
      <c r="BA290" s="8"/>
      <c r="BB290" s="8"/>
      <c r="BC290" s="8"/>
      <c r="BD290" s="8"/>
      <c r="BE290" s="8"/>
      <c r="BF290" s="8"/>
      <c r="BG290" s="8"/>
      <c r="BH290" s="8"/>
      <c r="BI290" s="8"/>
    </row>
    <row r="291" spans="1:61" ht="11.25" customHeight="1" x14ac:dyDescent="0.2">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c r="AZ291" s="8"/>
      <c r="BA291" s="8"/>
      <c r="BB291" s="8"/>
      <c r="BC291" s="8"/>
      <c r="BD291" s="8"/>
      <c r="BE291" s="8"/>
      <c r="BF291" s="8"/>
      <c r="BG291" s="8"/>
      <c r="BH291" s="8"/>
      <c r="BI291" s="8"/>
    </row>
    <row r="292" spans="1:61" ht="11.25" customHeight="1" x14ac:dyDescent="0.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row>
    <row r="293" spans="1:61" ht="11.25" customHeight="1" x14ac:dyDescent="0.2">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c r="AZ293" s="8"/>
      <c r="BA293" s="8"/>
      <c r="BB293" s="8"/>
      <c r="BC293" s="8"/>
      <c r="BD293" s="8"/>
      <c r="BE293" s="8"/>
      <c r="BF293" s="8"/>
      <c r="BG293" s="8"/>
      <c r="BH293" s="8"/>
      <c r="BI293" s="8"/>
    </row>
    <row r="294" spans="1:61" ht="11.25" customHeight="1" x14ac:dyDescent="0.2">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8"/>
      <c r="BA294" s="8"/>
      <c r="BB294" s="8"/>
      <c r="BC294" s="8"/>
      <c r="BD294" s="8"/>
      <c r="BE294" s="8"/>
      <c r="BF294" s="8"/>
      <c r="BG294" s="8"/>
      <c r="BH294" s="8"/>
      <c r="BI294" s="8"/>
    </row>
    <row r="295" spans="1:61" ht="11.25" customHeight="1" x14ac:dyDescent="0.2">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c r="BA295" s="8"/>
      <c r="BB295" s="8"/>
      <c r="BC295" s="8"/>
      <c r="BD295" s="8"/>
      <c r="BE295" s="8"/>
      <c r="BF295" s="8"/>
      <c r="BG295" s="8"/>
      <c r="BH295" s="8"/>
      <c r="BI295" s="8"/>
    </row>
    <row r="296" spans="1:61" ht="11.25" customHeight="1" x14ac:dyDescent="0.2">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c r="AZ296" s="8"/>
      <c r="BA296" s="8"/>
      <c r="BB296" s="8"/>
      <c r="BC296" s="8"/>
      <c r="BD296" s="8"/>
      <c r="BE296" s="8"/>
      <c r="BF296" s="8"/>
      <c r="BG296" s="8"/>
      <c r="BH296" s="8"/>
      <c r="BI296" s="8"/>
    </row>
    <row r="297" spans="1:61" ht="11.25" customHeight="1" x14ac:dyDescent="0.2">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row>
    <row r="298" spans="1:61" ht="11.25" customHeight="1" x14ac:dyDescent="0.2">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c r="BA298" s="8"/>
      <c r="BB298" s="8"/>
      <c r="BC298" s="8"/>
      <c r="BD298" s="8"/>
      <c r="BE298" s="8"/>
      <c r="BF298" s="8"/>
      <c r="BG298" s="8"/>
      <c r="BH298" s="8"/>
      <c r="BI298" s="8"/>
    </row>
    <row r="299" spans="1:61" ht="11.25" customHeight="1" x14ac:dyDescent="0.2">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c r="AZ299" s="8"/>
      <c r="BA299" s="8"/>
      <c r="BB299" s="8"/>
      <c r="BC299" s="8"/>
      <c r="BD299" s="8"/>
      <c r="BE299" s="8"/>
      <c r="BF299" s="8"/>
      <c r="BG299" s="8"/>
      <c r="BH299" s="8"/>
      <c r="BI299" s="8"/>
    </row>
    <row r="300" spans="1:61" ht="11.25" customHeight="1" x14ac:dyDescent="0.2">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c r="BA300" s="8"/>
      <c r="BB300" s="8"/>
      <c r="BC300" s="8"/>
      <c r="BD300" s="8"/>
      <c r="BE300" s="8"/>
      <c r="BF300" s="8"/>
      <c r="BG300" s="8"/>
      <c r="BH300" s="8"/>
      <c r="BI300" s="8"/>
    </row>
    <row r="301" spans="1:61" ht="11.25" customHeight="1" x14ac:dyDescent="0.2">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c r="AZ301" s="8"/>
      <c r="BA301" s="8"/>
      <c r="BB301" s="8"/>
      <c r="BC301" s="8"/>
      <c r="BD301" s="8"/>
      <c r="BE301" s="8"/>
      <c r="BF301" s="8"/>
      <c r="BG301" s="8"/>
      <c r="BH301" s="8"/>
      <c r="BI301" s="8"/>
    </row>
    <row r="302" spans="1:61" ht="11.25" customHeight="1" x14ac:dyDescent="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c r="AZ302" s="8"/>
      <c r="BA302" s="8"/>
      <c r="BB302" s="8"/>
      <c r="BC302" s="8"/>
      <c r="BD302" s="8"/>
      <c r="BE302" s="8"/>
      <c r="BF302" s="8"/>
      <c r="BG302" s="8"/>
      <c r="BH302" s="8"/>
      <c r="BI302" s="8"/>
    </row>
    <row r="303" spans="1:61" ht="11.25" customHeight="1" x14ac:dyDescent="0.2">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c r="AZ303" s="8"/>
      <c r="BA303" s="8"/>
      <c r="BB303" s="8"/>
      <c r="BC303" s="8"/>
      <c r="BD303" s="8"/>
      <c r="BE303" s="8"/>
      <c r="BF303" s="8"/>
      <c r="BG303" s="8"/>
      <c r="BH303" s="8"/>
      <c r="BI303" s="8"/>
    </row>
    <row r="304" spans="1:61" ht="11.25" customHeight="1" x14ac:dyDescent="0.2">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c r="AZ304" s="8"/>
      <c r="BA304" s="8"/>
      <c r="BB304" s="8"/>
      <c r="BC304" s="8"/>
      <c r="BD304" s="8"/>
      <c r="BE304" s="8"/>
      <c r="BF304" s="8"/>
      <c r="BG304" s="8"/>
      <c r="BH304" s="8"/>
      <c r="BI304" s="8"/>
    </row>
    <row r="305" spans="1:61" ht="11.25" customHeight="1" x14ac:dyDescent="0.2">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c r="AZ305" s="8"/>
      <c r="BA305" s="8"/>
      <c r="BB305" s="8"/>
      <c r="BC305" s="8"/>
      <c r="BD305" s="8"/>
      <c r="BE305" s="8"/>
      <c r="BF305" s="8"/>
      <c r="BG305" s="8"/>
      <c r="BH305" s="8"/>
      <c r="BI305" s="8"/>
    </row>
    <row r="306" spans="1:61" ht="11.25" customHeight="1" x14ac:dyDescent="0.2">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c r="AZ306" s="8"/>
      <c r="BA306" s="8"/>
      <c r="BB306" s="8"/>
      <c r="BC306" s="8"/>
      <c r="BD306" s="8"/>
      <c r="BE306" s="8"/>
      <c r="BF306" s="8"/>
      <c r="BG306" s="8"/>
      <c r="BH306" s="8"/>
      <c r="BI306" s="8"/>
    </row>
    <row r="307" spans="1:61" ht="11.25" customHeight="1" x14ac:dyDescent="0.2">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8"/>
      <c r="BA307" s="8"/>
      <c r="BB307" s="8"/>
      <c r="BC307" s="8"/>
      <c r="BD307" s="8"/>
      <c r="BE307" s="8"/>
      <c r="BF307" s="8"/>
      <c r="BG307" s="8"/>
      <c r="BH307" s="8"/>
      <c r="BI307" s="8"/>
    </row>
    <row r="308" spans="1:61" ht="11.25" customHeight="1" x14ac:dyDescent="0.2">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c r="AZ308" s="8"/>
      <c r="BA308" s="8"/>
      <c r="BB308" s="8"/>
      <c r="BC308" s="8"/>
      <c r="BD308" s="8"/>
      <c r="BE308" s="8"/>
      <c r="BF308" s="8"/>
      <c r="BG308" s="8"/>
      <c r="BH308" s="8"/>
      <c r="BI308" s="8"/>
    </row>
    <row r="309" spans="1:61" ht="11.25" customHeight="1" x14ac:dyDescent="0.2">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c r="AZ309" s="8"/>
      <c r="BA309" s="8"/>
      <c r="BB309" s="8"/>
      <c r="BC309" s="8"/>
      <c r="BD309" s="8"/>
      <c r="BE309" s="8"/>
      <c r="BF309" s="8"/>
      <c r="BG309" s="8"/>
      <c r="BH309" s="8"/>
      <c r="BI309" s="8"/>
    </row>
    <row r="310" spans="1:61" ht="11.25" customHeight="1" x14ac:dyDescent="0.2">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c r="BA310" s="8"/>
      <c r="BB310" s="8"/>
      <c r="BC310" s="8"/>
      <c r="BD310" s="8"/>
      <c r="BE310" s="8"/>
      <c r="BF310" s="8"/>
      <c r="BG310" s="8"/>
      <c r="BH310" s="8"/>
      <c r="BI310" s="8"/>
    </row>
    <row r="311" spans="1:61" ht="11.25" customHeight="1" x14ac:dyDescent="0.2">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c r="AZ311" s="8"/>
      <c r="BA311" s="8"/>
      <c r="BB311" s="8"/>
      <c r="BC311" s="8"/>
      <c r="BD311" s="8"/>
      <c r="BE311" s="8"/>
      <c r="BF311" s="8"/>
      <c r="BG311" s="8"/>
      <c r="BH311" s="8"/>
      <c r="BI311" s="8"/>
    </row>
    <row r="312" spans="1:61" ht="11.25" customHeight="1" x14ac:dyDescent="0.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c r="AZ312" s="8"/>
      <c r="BA312" s="8"/>
      <c r="BB312" s="8"/>
      <c r="BC312" s="8"/>
      <c r="BD312" s="8"/>
      <c r="BE312" s="8"/>
      <c r="BF312" s="8"/>
      <c r="BG312" s="8"/>
      <c r="BH312" s="8"/>
      <c r="BI312" s="8"/>
    </row>
    <row r="313" spans="1:61" ht="11.25" customHeight="1" x14ac:dyDescent="0.2">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8"/>
      <c r="BA313" s="8"/>
      <c r="BB313" s="8"/>
      <c r="BC313" s="8"/>
      <c r="BD313" s="8"/>
      <c r="BE313" s="8"/>
      <c r="BF313" s="8"/>
      <c r="BG313" s="8"/>
      <c r="BH313" s="8"/>
      <c r="BI313" s="8"/>
    </row>
    <row r="314" spans="1:61" ht="11.25" customHeight="1" x14ac:dyDescent="0.2">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c r="AZ314" s="8"/>
      <c r="BA314" s="8"/>
      <c r="BB314" s="8"/>
      <c r="BC314" s="8"/>
      <c r="BD314" s="8"/>
      <c r="BE314" s="8"/>
      <c r="BF314" s="8"/>
      <c r="BG314" s="8"/>
      <c r="BH314" s="8"/>
      <c r="BI314" s="8"/>
    </row>
    <row r="315" spans="1:61" ht="11.25" customHeight="1" x14ac:dyDescent="0.2">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c r="AZ315" s="8"/>
      <c r="BA315" s="8"/>
      <c r="BB315" s="8"/>
      <c r="BC315" s="8"/>
      <c r="BD315" s="8"/>
      <c r="BE315" s="8"/>
      <c r="BF315" s="8"/>
      <c r="BG315" s="8"/>
      <c r="BH315" s="8"/>
      <c r="BI315" s="8"/>
    </row>
    <row r="316" spans="1:61" ht="11.25" customHeight="1" x14ac:dyDescent="0.2">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8"/>
      <c r="BA316" s="8"/>
      <c r="BB316" s="8"/>
      <c r="BC316" s="8"/>
      <c r="BD316" s="8"/>
      <c r="BE316" s="8"/>
      <c r="BF316" s="8"/>
      <c r="BG316" s="8"/>
      <c r="BH316" s="8"/>
      <c r="BI316" s="8"/>
    </row>
    <row r="317" spans="1:61" ht="11.25" customHeight="1" x14ac:dyDescent="0.2">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c r="AZ317" s="8"/>
      <c r="BA317" s="8"/>
      <c r="BB317" s="8"/>
      <c r="BC317" s="8"/>
      <c r="BD317" s="8"/>
      <c r="BE317" s="8"/>
      <c r="BF317" s="8"/>
      <c r="BG317" s="8"/>
      <c r="BH317" s="8"/>
      <c r="BI317" s="8"/>
    </row>
    <row r="318" spans="1:61" ht="11.25" customHeight="1" x14ac:dyDescent="0.2">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c r="AZ318" s="8"/>
      <c r="BA318" s="8"/>
      <c r="BB318" s="8"/>
      <c r="BC318" s="8"/>
      <c r="BD318" s="8"/>
      <c r="BE318" s="8"/>
      <c r="BF318" s="8"/>
      <c r="BG318" s="8"/>
      <c r="BH318" s="8"/>
      <c r="BI318" s="8"/>
    </row>
    <row r="319" spans="1:61" ht="11.25" customHeight="1" x14ac:dyDescent="0.2">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c r="AZ319" s="8"/>
      <c r="BA319" s="8"/>
      <c r="BB319" s="8"/>
      <c r="BC319" s="8"/>
      <c r="BD319" s="8"/>
      <c r="BE319" s="8"/>
      <c r="BF319" s="8"/>
      <c r="BG319" s="8"/>
      <c r="BH319" s="8"/>
      <c r="BI319" s="8"/>
    </row>
    <row r="320" spans="1:61" ht="11.25" customHeight="1" x14ac:dyDescent="0.2">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c r="BA320" s="8"/>
      <c r="BB320" s="8"/>
      <c r="BC320" s="8"/>
      <c r="BD320" s="8"/>
      <c r="BE320" s="8"/>
      <c r="BF320" s="8"/>
      <c r="BG320" s="8"/>
      <c r="BH320" s="8"/>
      <c r="BI320" s="8"/>
    </row>
    <row r="321" spans="1:61" ht="11.25" customHeight="1" x14ac:dyDescent="0.2">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c r="AZ321" s="8"/>
      <c r="BA321" s="8"/>
      <c r="BB321" s="8"/>
      <c r="BC321" s="8"/>
      <c r="BD321" s="8"/>
      <c r="BE321" s="8"/>
      <c r="BF321" s="8"/>
      <c r="BG321" s="8"/>
      <c r="BH321" s="8"/>
      <c r="BI321" s="8"/>
    </row>
    <row r="322" spans="1:61" ht="11.25" customHeight="1" x14ac:dyDescent="0.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c r="BA322" s="8"/>
      <c r="BB322" s="8"/>
      <c r="BC322" s="8"/>
      <c r="BD322" s="8"/>
      <c r="BE322" s="8"/>
      <c r="BF322" s="8"/>
      <c r="BG322" s="8"/>
      <c r="BH322" s="8"/>
      <c r="BI322" s="8"/>
    </row>
    <row r="323" spans="1:61" ht="11.25" customHeight="1" x14ac:dyDescent="0.2">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c r="AZ323" s="8"/>
      <c r="BA323" s="8"/>
      <c r="BB323" s="8"/>
      <c r="BC323" s="8"/>
      <c r="BD323" s="8"/>
      <c r="BE323" s="8"/>
      <c r="BF323" s="8"/>
      <c r="BG323" s="8"/>
      <c r="BH323" s="8"/>
      <c r="BI323" s="8"/>
    </row>
    <row r="324" spans="1:61" ht="11.25" customHeight="1" x14ac:dyDescent="0.2">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c r="AZ324" s="8"/>
      <c r="BA324" s="8"/>
      <c r="BB324" s="8"/>
      <c r="BC324" s="8"/>
      <c r="BD324" s="8"/>
      <c r="BE324" s="8"/>
      <c r="BF324" s="8"/>
      <c r="BG324" s="8"/>
      <c r="BH324" s="8"/>
      <c r="BI324" s="8"/>
    </row>
    <row r="325" spans="1:61" ht="11.25" customHeight="1" x14ac:dyDescent="0.2">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c r="AZ325" s="8"/>
      <c r="BA325" s="8"/>
      <c r="BB325" s="8"/>
      <c r="BC325" s="8"/>
      <c r="BD325" s="8"/>
      <c r="BE325" s="8"/>
      <c r="BF325" s="8"/>
      <c r="BG325" s="8"/>
      <c r="BH325" s="8"/>
      <c r="BI325" s="8"/>
    </row>
    <row r="326" spans="1:61" ht="11.25" customHeight="1" x14ac:dyDescent="0.2">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c r="AZ326" s="8"/>
      <c r="BA326" s="8"/>
      <c r="BB326" s="8"/>
      <c r="BC326" s="8"/>
      <c r="BD326" s="8"/>
      <c r="BE326" s="8"/>
      <c r="BF326" s="8"/>
      <c r="BG326" s="8"/>
      <c r="BH326" s="8"/>
      <c r="BI326" s="8"/>
    </row>
    <row r="327" spans="1:61" ht="11.25" customHeight="1" x14ac:dyDescent="0.2">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row>
    <row r="328" spans="1:61" ht="11.25" customHeight="1" x14ac:dyDescent="0.2">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c r="AZ328" s="8"/>
      <c r="BA328" s="8"/>
      <c r="BB328" s="8"/>
      <c r="BC328" s="8"/>
      <c r="BD328" s="8"/>
      <c r="BE328" s="8"/>
      <c r="BF328" s="8"/>
      <c r="BG328" s="8"/>
      <c r="BH328" s="8"/>
      <c r="BI328" s="8"/>
    </row>
    <row r="329" spans="1:61" ht="11.25" customHeight="1" x14ac:dyDescent="0.2">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c r="AZ329" s="8"/>
      <c r="BA329" s="8"/>
      <c r="BB329" s="8"/>
      <c r="BC329" s="8"/>
      <c r="BD329" s="8"/>
      <c r="BE329" s="8"/>
      <c r="BF329" s="8"/>
      <c r="BG329" s="8"/>
      <c r="BH329" s="8"/>
      <c r="BI329" s="8"/>
    </row>
    <row r="330" spans="1:61" ht="11.25" customHeight="1" x14ac:dyDescent="0.2">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c r="AZ330" s="8"/>
      <c r="BA330" s="8"/>
      <c r="BB330" s="8"/>
      <c r="BC330" s="8"/>
      <c r="BD330" s="8"/>
      <c r="BE330" s="8"/>
      <c r="BF330" s="8"/>
      <c r="BG330" s="8"/>
      <c r="BH330" s="8"/>
      <c r="BI330" s="8"/>
    </row>
    <row r="331" spans="1:61" ht="11.25" customHeight="1" x14ac:dyDescent="0.2">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c r="AZ331" s="8"/>
      <c r="BA331" s="8"/>
      <c r="BB331" s="8"/>
      <c r="BC331" s="8"/>
      <c r="BD331" s="8"/>
      <c r="BE331" s="8"/>
      <c r="BF331" s="8"/>
      <c r="BG331" s="8"/>
      <c r="BH331" s="8"/>
      <c r="BI331" s="8"/>
    </row>
    <row r="332" spans="1:61" ht="11.25" customHeight="1" x14ac:dyDescent="0.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c r="BA332" s="8"/>
      <c r="BB332" s="8"/>
      <c r="BC332" s="8"/>
      <c r="BD332" s="8"/>
      <c r="BE332" s="8"/>
      <c r="BF332" s="8"/>
      <c r="BG332" s="8"/>
      <c r="BH332" s="8"/>
      <c r="BI332" s="8"/>
    </row>
    <row r="333" spans="1:61" ht="11.25" customHeight="1" x14ac:dyDescent="0.2">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row>
    <row r="334" spans="1:61" ht="11.25" customHeight="1" x14ac:dyDescent="0.2">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c r="AZ334" s="8"/>
      <c r="BA334" s="8"/>
      <c r="BB334" s="8"/>
      <c r="BC334" s="8"/>
      <c r="BD334" s="8"/>
      <c r="BE334" s="8"/>
      <c r="BF334" s="8"/>
      <c r="BG334" s="8"/>
      <c r="BH334" s="8"/>
      <c r="BI334" s="8"/>
    </row>
    <row r="335" spans="1:61" ht="11.25" customHeight="1" x14ac:dyDescent="0.2">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c r="AZ335" s="8"/>
      <c r="BA335" s="8"/>
      <c r="BB335" s="8"/>
      <c r="BC335" s="8"/>
      <c r="BD335" s="8"/>
      <c r="BE335" s="8"/>
      <c r="BF335" s="8"/>
      <c r="BG335" s="8"/>
      <c r="BH335" s="8"/>
      <c r="BI335" s="8"/>
    </row>
    <row r="336" spans="1:61" ht="11.25" customHeight="1" x14ac:dyDescent="0.2">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c r="AZ336" s="8"/>
      <c r="BA336" s="8"/>
      <c r="BB336" s="8"/>
      <c r="BC336" s="8"/>
      <c r="BD336" s="8"/>
      <c r="BE336" s="8"/>
      <c r="BF336" s="8"/>
      <c r="BG336" s="8"/>
      <c r="BH336" s="8"/>
      <c r="BI336" s="8"/>
    </row>
    <row r="337" spans="1:61" ht="11.25" customHeight="1" x14ac:dyDescent="0.2">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c r="BF337" s="8"/>
      <c r="BG337" s="8"/>
      <c r="BH337" s="8"/>
      <c r="BI337" s="8"/>
    </row>
    <row r="338" spans="1:61" ht="11.25" customHeight="1" x14ac:dyDescent="0.2">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c r="BA338" s="8"/>
      <c r="BB338" s="8"/>
      <c r="BC338" s="8"/>
      <c r="BD338" s="8"/>
      <c r="BE338" s="8"/>
      <c r="BF338" s="8"/>
      <c r="BG338" s="8"/>
      <c r="BH338" s="8"/>
      <c r="BI338" s="8"/>
    </row>
    <row r="339" spans="1:61" ht="11.25" customHeight="1" x14ac:dyDescent="0.2">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c r="AZ339" s="8"/>
      <c r="BA339" s="8"/>
      <c r="BB339" s="8"/>
      <c r="BC339" s="8"/>
      <c r="BD339" s="8"/>
      <c r="BE339" s="8"/>
      <c r="BF339" s="8"/>
      <c r="BG339" s="8"/>
      <c r="BH339" s="8"/>
      <c r="BI339" s="8"/>
    </row>
    <row r="340" spans="1:61" ht="11.25" customHeight="1" x14ac:dyDescent="0.2">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c r="AZ340" s="8"/>
      <c r="BA340" s="8"/>
      <c r="BB340" s="8"/>
      <c r="BC340" s="8"/>
      <c r="BD340" s="8"/>
      <c r="BE340" s="8"/>
      <c r="BF340" s="8"/>
      <c r="BG340" s="8"/>
      <c r="BH340" s="8"/>
      <c r="BI340" s="8"/>
    </row>
    <row r="341" spans="1:61" ht="11.25" customHeight="1" x14ac:dyDescent="0.2">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row>
    <row r="342" spans="1:61" ht="11.25" customHeight="1" x14ac:dyDescent="0.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c r="AZ342" s="8"/>
      <c r="BA342" s="8"/>
      <c r="BB342" s="8"/>
      <c r="BC342" s="8"/>
      <c r="BD342" s="8"/>
      <c r="BE342" s="8"/>
      <c r="BF342" s="8"/>
      <c r="BG342" s="8"/>
      <c r="BH342" s="8"/>
      <c r="BI342" s="8"/>
    </row>
    <row r="343" spans="1:61" ht="11.25" customHeight="1" x14ac:dyDescent="0.2">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row>
    <row r="344" spans="1:61" ht="11.25" customHeight="1" x14ac:dyDescent="0.2">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row>
    <row r="345" spans="1:61" ht="11.25" customHeight="1" x14ac:dyDescent="0.2">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c r="AZ345" s="8"/>
      <c r="BA345" s="8"/>
      <c r="BB345" s="8"/>
      <c r="BC345" s="8"/>
      <c r="BD345" s="8"/>
      <c r="BE345" s="8"/>
      <c r="BF345" s="8"/>
      <c r="BG345" s="8"/>
      <c r="BH345" s="8"/>
      <c r="BI345" s="8"/>
    </row>
    <row r="346" spans="1:61" ht="11.25" customHeight="1" x14ac:dyDescent="0.2">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c r="AZ346" s="8"/>
      <c r="BA346" s="8"/>
      <c r="BB346" s="8"/>
      <c r="BC346" s="8"/>
      <c r="BD346" s="8"/>
      <c r="BE346" s="8"/>
      <c r="BF346" s="8"/>
      <c r="BG346" s="8"/>
      <c r="BH346" s="8"/>
      <c r="BI346" s="8"/>
    </row>
    <row r="347" spans="1:61" ht="11.25" customHeight="1" x14ac:dyDescent="0.2">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row>
    <row r="348" spans="1:61" ht="11.25" customHeight="1" x14ac:dyDescent="0.2">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c r="AZ348" s="8"/>
      <c r="BA348" s="8"/>
      <c r="BB348" s="8"/>
      <c r="BC348" s="8"/>
      <c r="BD348" s="8"/>
      <c r="BE348" s="8"/>
      <c r="BF348" s="8"/>
      <c r="BG348" s="8"/>
      <c r="BH348" s="8"/>
      <c r="BI348" s="8"/>
    </row>
    <row r="349" spans="1:61" ht="11.25" customHeight="1" x14ac:dyDescent="0.2">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c r="AZ349" s="8"/>
      <c r="BA349" s="8"/>
      <c r="BB349" s="8"/>
      <c r="BC349" s="8"/>
      <c r="BD349" s="8"/>
      <c r="BE349" s="8"/>
      <c r="BF349" s="8"/>
      <c r="BG349" s="8"/>
      <c r="BH349" s="8"/>
      <c r="BI349" s="8"/>
    </row>
    <row r="350" spans="1:61" ht="11.25" customHeight="1" x14ac:dyDescent="0.2">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c r="AZ350" s="8"/>
      <c r="BA350" s="8"/>
      <c r="BB350" s="8"/>
      <c r="BC350" s="8"/>
      <c r="BD350" s="8"/>
      <c r="BE350" s="8"/>
      <c r="BF350" s="8"/>
      <c r="BG350" s="8"/>
      <c r="BH350" s="8"/>
      <c r="BI350" s="8"/>
    </row>
    <row r="351" spans="1:61" ht="11.25" customHeight="1" x14ac:dyDescent="0.2">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c r="BA351" s="8"/>
      <c r="BB351" s="8"/>
      <c r="BC351" s="8"/>
      <c r="BD351" s="8"/>
      <c r="BE351" s="8"/>
      <c r="BF351" s="8"/>
      <c r="BG351" s="8"/>
      <c r="BH351" s="8"/>
      <c r="BI351" s="8"/>
    </row>
    <row r="352" spans="1:61" ht="11.25" customHeight="1" x14ac:dyDescent="0.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c r="AZ352" s="8"/>
      <c r="BA352" s="8"/>
      <c r="BB352" s="8"/>
      <c r="BC352" s="8"/>
      <c r="BD352" s="8"/>
      <c r="BE352" s="8"/>
      <c r="BF352" s="8"/>
      <c r="BG352" s="8"/>
      <c r="BH352" s="8"/>
      <c r="BI352" s="8"/>
    </row>
    <row r="353" spans="1:61" ht="11.25" customHeight="1" x14ac:dyDescent="0.2">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c r="AZ353" s="8"/>
      <c r="BA353" s="8"/>
      <c r="BB353" s="8"/>
      <c r="BC353" s="8"/>
      <c r="BD353" s="8"/>
      <c r="BE353" s="8"/>
      <c r="BF353" s="8"/>
      <c r="BG353" s="8"/>
      <c r="BH353" s="8"/>
      <c r="BI353" s="8"/>
    </row>
    <row r="354" spans="1:61" ht="11.25" customHeight="1" x14ac:dyDescent="0.2">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c r="BA354" s="8"/>
      <c r="BB354" s="8"/>
      <c r="BC354" s="8"/>
      <c r="BD354" s="8"/>
      <c r="BE354" s="8"/>
      <c r="BF354" s="8"/>
      <c r="BG354" s="8"/>
      <c r="BH354" s="8"/>
      <c r="BI354" s="8"/>
    </row>
    <row r="355" spans="1:61" ht="11.25" customHeight="1" x14ac:dyDescent="0.2">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c r="AZ355" s="8"/>
      <c r="BA355" s="8"/>
      <c r="BB355" s="8"/>
      <c r="BC355" s="8"/>
      <c r="BD355" s="8"/>
      <c r="BE355" s="8"/>
      <c r="BF355" s="8"/>
      <c r="BG355" s="8"/>
      <c r="BH355" s="8"/>
      <c r="BI355" s="8"/>
    </row>
    <row r="356" spans="1:61" ht="11.25" customHeight="1" x14ac:dyDescent="0.2">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c r="BF356" s="8"/>
      <c r="BG356" s="8"/>
      <c r="BH356" s="8"/>
      <c r="BI356" s="8"/>
    </row>
    <row r="357" spans="1:61" ht="11.25" customHeight="1" x14ac:dyDescent="0.2">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row>
    <row r="358" spans="1:61" ht="11.25" customHeight="1" x14ac:dyDescent="0.2">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c r="AZ358" s="8"/>
      <c r="BA358" s="8"/>
      <c r="BB358" s="8"/>
      <c r="BC358" s="8"/>
      <c r="BD358" s="8"/>
      <c r="BE358" s="8"/>
      <c r="BF358" s="8"/>
      <c r="BG358" s="8"/>
      <c r="BH358" s="8"/>
      <c r="BI358" s="8"/>
    </row>
    <row r="359" spans="1:61" ht="11.25" customHeight="1" x14ac:dyDescent="0.2">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8"/>
      <c r="BB359" s="8"/>
      <c r="BC359" s="8"/>
      <c r="BD359" s="8"/>
      <c r="BE359" s="8"/>
      <c r="BF359" s="8"/>
      <c r="BG359" s="8"/>
      <c r="BH359" s="8"/>
      <c r="BI359" s="8"/>
    </row>
    <row r="360" spans="1:61" ht="11.25" customHeight="1" x14ac:dyDescent="0.2">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c r="AZ360" s="8"/>
      <c r="BA360" s="8"/>
      <c r="BB360" s="8"/>
      <c r="BC360" s="8"/>
      <c r="BD360" s="8"/>
      <c r="BE360" s="8"/>
      <c r="BF360" s="8"/>
      <c r="BG360" s="8"/>
      <c r="BH360" s="8"/>
      <c r="BI360" s="8"/>
    </row>
    <row r="361" spans="1:61" ht="11.25" customHeight="1" x14ac:dyDescent="0.2">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c r="AZ361" s="8"/>
      <c r="BA361" s="8"/>
      <c r="BB361" s="8"/>
      <c r="BC361" s="8"/>
      <c r="BD361" s="8"/>
      <c r="BE361" s="8"/>
      <c r="BF361" s="8"/>
      <c r="BG361" s="8"/>
      <c r="BH361" s="8"/>
      <c r="BI361" s="8"/>
    </row>
    <row r="362" spans="1:61" ht="11.25" customHeight="1" x14ac:dyDescent="0.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c r="AZ362" s="8"/>
      <c r="BA362" s="8"/>
      <c r="BB362" s="8"/>
      <c r="BC362" s="8"/>
      <c r="BD362" s="8"/>
      <c r="BE362" s="8"/>
      <c r="BF362" s="8"/>
      <c r="BG362" s="8"/>
      <c r="BH362" s="8"/>
      <c r="BI362" s="8"/>
    </row>
    <row r="363" spans="1:61" ht="11.25" customHeight="1" x14ac:dyDescent="0.2">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row>
    <row r="364" spans="1:61" ht="11.25" customHeight="1" x14ac:dyDescent="0.2">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c r="AZ364" s="8"/>
      <c r="BA364" s="8"/>
      <c r="BB364" s="8"/>
      <c r="BC364" s="8"/>
      <c r="BD364" s="8"/>
      <c r="BE364" s="8"/>
      <c r="BF364" s="8"/>
      <c r="BG364" s="8"/>
      <c r="BH364" s="8"/>
      <c r="BI364" s="8"/>
    </row>
    <row r="365" spans="1:61" ht="11.25" customHeight="1" x14ac:dyDescent="0.2">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c r="AZ365" s="8"/>
      <c r="BA365" s="8"/>
      <c r="BB365" s="8"/>
      <c r="BC365" s="8"/>
      <c r="BD365" s="8"/>
      <c r="BE365" s="8"/>
      <c r="BF365" s="8"/>
      <c r="BG365" s="8"/>
      <c r="BH365" s="8"/>
      <c r="BI365" s="8"/>
    </row>
    <row r="366" spans="1:61" ht="11.25" customHeight="1" x14ac:dyDescent="0.2">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8"/>
      <c r="BB366" s="8"/>
      <c r="BC366" s="8"/>
      <c r="BD366" s="8"/>
      <c r="BE366" s="8"/>
      <c r="BF366" s="8"/>
      <c r="BG366" s="8"/>
      <c r="BH366" s="8"/>
      <c r="BI366" s="8"/>
    </row>
    <row r="367" spans="1:61" ht="11.25" customHeight="1" x14ac:dyDescent="0.2">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c r="AZ367" s="8"/>
      <c r="BA367" s="8"/>
      <c r="BB367" s="8"/>
      <c r="BC367" s="8"/>
      <c r="BD367" s="8"/>
      <c r="BE367" s="8"/>
      <c r="BF367" s="8"/>
      <c r="BG367" s="8"/>
      <c r="BH367" s="8"/>
      <c r="BI367" s="8"/>
    </row>
    <row r="368" spans="1:61" ht="11.25" customHeight="1" x14ac:dyDescent="0.2">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c r="AZ368" s="8"/>
      <c r="BA368" s="8"/>
      <c r="BB368" s="8"/>
      <c r="BC368" s="8"/>
      <c r="BD368" s="8"/>
      <c r="BE368" s="8"/>
      <c r="BF368" s="8"/>
      <c r="BG368" s="8"/>
      <c r="BH368" s="8"/>
      <c r="BI368" s="8"/>
    </row>
    <row r="369" spans="1:61" ht="11.25" customHeight="1" x14ac:dyDescent="0.2">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c r="AZ369" s="8"/>
      <c r="BA369" s="8"/>
      <c r="BB369" s="8"/>
      <c r="BC369" s="8"/>
      <c r="BD369" s="8"/>
      <c r="BE369" s="8"/>
      <c r="BF369" s="8"/>
      <c r="BG369" s="8"/>
      <c r="BH369" s="8"/>
      <c r="BI369" s="8"/>
    </row>
    <row r="370" spans="1:61" ht="11.25" customHeight="1" x14ac:dyDescent="0.2">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row>
    <row r="371" spans="1:61" ht="11.25" customHeight="1" x14ac:dyDescent="0.2">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c r="AZ371" s="8"/>
      <c r="BA371" s="8"/>
      <c r="BB371" s="8"/>
      <c r="BC371" s="8"/>
      <c r="BD371" s="8"/>
      <c r="BE371" s="8"/>
      <c r="BF371" s="8"/>
      <c r="BG371" s="8"/>
      <c r="BH371" s="8"/>
      <c r="BI371" s="8"/>
    </row>
    <row r="372" spans="1:61" ht="11.25" customHeight="1" x14ac:dyDescent="0.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c r="AZ372" s="8"/>
      <c r="BA372" s="8"/>
      <c r="BB372" s="8"/>
      <c r="BC372" s="8"/>
      <c r="BD372" s="8"/>
      <c r="BE372" s="8"/>
      <c r="BF372" s="8"/>
      <c r="BG372" s="8"/>
      <c r="BH372" s="8"/>
      <c r="BI372" s="8"/>
    </row>
    <row r="373" spans="1:61" ht="11.25" customHeight="1" x14ac:dyDescent="0.2">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c r="AZ373" s="8"/>
      <c r="BA373" s="8"/>
      <c r="BB373" s="8"/>
      <c r="BC373" s="8"/>
      <c r="BD373" s="8"/>
      <c r="BE373" s="8"/>
      <c r="BF373" s="8"/>
      <c r="BG373" s="8"/>
      <c r="BH373" s="8"/>
      <c r="BI373" s="8"/>
    </row>
    <row r="374" spans="1:61" ht="11.25" customHeight="1" x14ac:dyDescent="0.2">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c r="AZ374" s="8"/>
      <c r="BA374" s="8"/>
      <c r="BB374" s="8"/>
      <c r="BC374" s="8"/>
      <c r="BD374" s="8"/>
      <c r="BE374" s="8"/>
      <c r="BF374" s="8"/>
      <c r="BG374" s="8"/>
      <c r="BH374" s="8"/>
      <c r="BI374" s="8"/>
    </row>
    <row r="375" spans="1:61" ht="11.25" customHeight="1" x14ac:dyDescent="0.2">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c r="AZ375" s="8"/>
      <c r="BA375" s="8"/>
      <c r="BB375" s="8"/>
      <c r="BC375" s="8"/>
      <c r="BD375" s="8"/>
      <c r="BE375" s="8"/>
      <c r="BF375" s="8"/>
      <c r="BG375" s="8"/>
      <c r="BH375" s="8"/>
      <c r="BI375" s="8"/>
    </row>
    <row r="376" spans="1:61" ht="11.25" customHeight="1" x14ac:dyDescent="0.2">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c r="AZ376" s="8"/>
      <c r="BA376" s="8"/>
      <c r="BB376" s="8"/>
      <c r="BC376" s="8"/>
      <c r="BD376" s="8"/>
      <c r="BE376" s="8"/>
      <c r="BF376" s="8"/>
      <c r="BG376" s="8"/>
      <c r="BH376" s="8"/>
      <c r="BI376" s="8"/>
    </row>
    <row r="377" spans="1:61" ht="11.25" customHeight="1" x14ac:dyDescent="0.2">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c r="AZ377" s="8"/>
      <c r="BA377" s="8"/>
      <c r="BB377" s="8"/>
      <c r="BC377" s="8"/>
      <c r="BD377" s="8"/>
      <c r="BE377" s="8"/>
      <c r="BF377" s="8"/>
      <c r="BG377" s="8"/>
      <c r="BH377" s="8"/>
      <c r="BI377" s="8"/>
    </row>
    <row r="378" spans="1:61" ht="11.25" customHeight="1" x14ac:dyDescent="0.2">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c r="AZ378" s="8"/>
      <c r="BA378" s="8"/>
      <c r="BB378" s="8"/>
      <c r="BC378" s="8"/>
      <c r="BD378" s="8"/>
      <c r="BE378" s="8"/>
      <c r="BF378" s="8"/>
      <c r="BG378" s="8"/>
      <c r="BH378" s="8"/>
      <c r="BI378" s="8"/>
    </row>
    <row r="379" spans="1:61" ht="11.25" customHeight="1" x14ac:dyDescent="0.2">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c r="AZ379" s="8"/>
      <c r="BA379" s="8"/>
      <c r="BB379" s="8"/>
      <c r="BC379" s="8"/>
      <c r="BD379" s="8"/>
      <c r="BE379" s="8"/>
      <c r="BF379" s="8"/>
      <c r="BG379" s="8"/>
      <c r="BH379" s="8"/>
      <c r="BI379" s="8"/>
    </row>
    <row r="380" spans="1:61" ht="11.25" customHeight="1" x14ac:dyDescent="0.2">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c r="AT380" s="8"/>
      <c r="AU380" s="8"/>
      <c r="AV380" s="8"/>
      <c r="AW380" s="8"/>
      <c r="AX380" s="8"/>
      <c r="AY380" s="8"/>
      <c r="AZ380" s="8"/>
      <c r="BA380" s="8"/>
      <c r="BB380" s="8"/>
      <c r="BC380" s="8"/>
      <c r="BD380" s="8"/>
      <c r="BE380" s="8"/>
      <c r="BF380" s="8"/>
      <c r="BG380" s="8"/>
      <c r="BH380" s="8"/>
      <c r="BI380" s="8"/>
    </row>
    <row r="381" spans="1:61" ht="11.25" customHeight="1" x14ac:dyDescent="0.2">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c r="AZ381" s="8"/>
      <c r="BA381" s="8"/>
      <c r="BB381" s="8"/>
      <c r="BC381" s="8"/>
      <c r="BD381" s="8"/>
      <c r="BE381" s="8"/>
      <c r="BF381" s="8"/>
      <c r="BG381" s="8"/>
      <c r="BH381" s="8"/>
      <c r="BI381" s="8"/>
    </row>
    <row r="382" spans="1:61" ht="11.25" customHeight="1" x14ac:dyDescent="0.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c r="AZ382" s="8"/>
      <c r="BA382" s="8"/>
      <c r="BB382" s="8"/>
      <c r="BC382" s="8"/>
      <c r="BD382" s="8"/>
      <c r="BE382" s="8"/>
      <c r="BF382" s="8"/>
      <c r="BG382" s="8"/>
      <c r="BH382" s="8"/>
      <c r="BI382" s="8"/>
    </row>
    <row r="383" spans="1:61" ht="11.25" customHeight="1" x14ac:dyDescent="0.2">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c r="AZ383" s="8"/>
      <c r="BA383" s="8"/>
      <c r="BB383" s="8"/>
      <c r="BC383" s="8"/>
      <c r="BD383" s="8"/>
      <c r="BE383" s="8"/>
      <c r="BF383" s="8"/>
      <c r="BG383" s="8"/>
      <c r="BH383" s="8"/>
      <c r="BI383" s="8"/>
    </row>
    <row r="384" spans="1:61" ht="11.25" customHeight="1" x14ac:dyDescent="0.2">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c r="AZ384" s="8"/>
      <c r="BA384" s="8"/>
      <c r="BB384" s="8"/>
      <c r="BC384" s="8"/>
      <c r="BD384" s="8"/>
      <c r="BE384" s="8"/>
      <c r="BF384" s="8"/>
      <c r="BG384" s="8"/>
      <c r="BH384" s="8"/>
      <c r="BI384" s="8"/>
    </row>
    <row r="385" spans="1:61" ht="11.25" customHeight="1" x14ac:dyDescent="0.2">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c r="AZ385" s="8"/>
      <c r="BA385" s="8"/>
      <c r="BB385" s="8"/>
      <c r="BC385" s="8"/>
      <c r="BD385" s="8"/>
      <c r="BE385" s="8"/>
      <c r="BF385" s="8"/>
      <c r="BG385" s="8"/>
      <c r="BH385" s="8"/>
      <c r="BI385" s="8"/>
    </row>
    <row r="386" spans="1:61" ht="11.25" customHeight="1" x14ac:dyDescent="0.2">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c r="BA386" s="8"/>
      <c r="BB386" s="8"/>
      <c r="BC386" s="8"/>
      <c r="BD386" s="8"/>
      <c r="BE386" s="8"/>
      <c r="BF386" s="8"/>
      <c r="BG386" s="8"/>
      <c r="BH386" s="8"/>
      <c r="BI386" s="8"/>
    </row>
    <row r="387" spans="1:61" ht="11.25" customHeight="1" x14ac:dyDescent="0.2">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c r="BD387" s="8"/>
      <c r="BE387" s="8"/>
      <c r="BF387" s="8"/>
      <c r="BG387" s="8"/>
      <c r="BH387" s="8"/>
      <c r="BI387" s="8"/>
    </row>
    <row r="388" spans="1:61" ht="11.25" customHeight="1" x14ac:dyDescent="0.2">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c r="AZ388" s="8"/>
      <c r="BA388" s="8"/>
      <c r="BB388" s="8"/>
      <c r="BC388" s="8"/>
      <c r="BD388" s="8"/>
      <c r="BE388" s="8"/>
      <c r="BF388" s="8"/>
      <c r="BG388" s="8"/>
      <c r="BH388" s="8"/>
      <c r="BI388" s="8"/>
    </row>
    <row r="389" spans="1:61" ht="11.25" customHeight="1" x14ac:dyDescent="0.2">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c r="AZ389" s="8"/>
      <c r="BA389" s="8"/>
      <c r="BB389" s="8"/>
      <c r="BC389" s="8"/>
      <c r="BD389" s="8"/>
      <c r="BE389" s="8"/>
      <c r="BF389" s="8"/>
      <c r="BG389" s="8"/>
      <c r="BH389" s="8"/>
      <c r="BI389" s="8"/>
    </row>
    <row r="390" spans="1:61" ht="11.25" customHeight="1" x14ac:dyDescent="0.2">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c r="AZ390" s="8"/>
      <c r="BA390" s="8"/>
      <c r="BB390" s="8"/>
      <c r="BC390" s="8"/>
      <c r="BD390" s="8"/>
      <c r="BE390" s="8"/>
      <c r="BF390" s="8"/>
      <c r="BG390" s="8"/>
      <c r="BH390" s="8"/>
      <c r="BI390" s="8"/>
    </row>
    <row r="391" spans="1:61" ht="11.25" customHeight="1" x14ac:dyDescent="0.2">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c r="AZ391" s="8"/>
      <c r="BA391" s="8"/>
      <c r="BB391" s="8"/>
      <c r="BC391" s="8"/>
      <c r="BD391" s="8"/>
      <c r="BE391" s="8"/>
      <c r="BF391" s="8"/>
      <c r="BG391" s="8"/>
      <c r="BH391" s="8"/>
      <c r="BI391" s="8"/>
    </row>
    <row r="392" spans="1:61" ht="11.25" customHeight="1" x14ac:dyDescent="0.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c r="AZ392" s="8"/>
      <c r="BA392" s="8"/>
      <c r="BB392" s="8"/>
      <c r="BC392" s="8"/>
      <c r="BD392" s="8"/>
      <c r="BE392" s="8"/>
      <c r="BF392" s="8"/>
      <c r="BG392" s="8"/>
      <c r="BH392" s="8"/>
      <c r="BI392" s="8"/>
    </row>
    <row r="393" spans="1:61" ht="11.25" customHeight="1" x14ac:dyDescent="0.2">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8"/>
      <c r="AS393" s="8"/>
      <c r="AT393" s="8"/>
      <c r="AU393" s="8"/>
      <c r="AV393" s="8"/>
      <c r="AW393" s="8"/>
      <c r="AX393" s="8"/>
      <c r="AY393" s="8"/>
      <c r="AZ393" s="8"/>
      <c r="BA393" s="8"/>
      <c r="BB393" s="8"/>
      <c r="BC393" s="8"/>
      <c r="BD393" s="8"/>
      <c r="BE393" s="8"/>
      <c r="BF393" s="8"/>
      <c r="BG393" s="8"/>
      <c r="BH393" s="8"/>
      <c r="BI393" s="8"/>
    </row>
    <row r="394" spans="1:61" ht="11.25" customHeight="1" x14ac:dyDescent="0.2">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c r="AZ394" s="8"/>
      <c r="BA394" s="8"/>
      <c r="BB394" s="8"/>
      <c r="BC394" s="8"/>
      <c r="BD394" s="8"/>
      <c r="BE394" s="8"/>
      <c r="BF394" s="8"/>
      <c r="BG394" s="8"/>
      <c r="BH394" s="8"/>
      <c r="BI394" s="8"/>
    </row>
    <row r="395" spans="1:61" ht="11.25" customHeight="1" x14ac:dyDescent="0.2">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c r="AZ395" s="8"/>
      <c r="BA395" s="8"/>
      <c r="BB395" s="8"/>
      <c r="BC395" s="8"/>
      <c r="BD395" s="8"/>
      <c r="BE395" s="8"/>
      <c r="BF395" s="8"/>
      <c r="BG395" s="8"/>
      <c r="BH395" s="8"/>
      <c r="BI395" s="8"/>
    </row>
    <row r="396" spans="1:61" ht="11.25" customHeight="1" x14ac:dyDescent="0.2">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8"/>
      <c r="AW396" s="8"/>
      <c r="AX396" s="8"/>
      <c r="AY396" s="8"/>
      <c r="AZ396" s="8"/>
      <c r="BA396" s="8"/>
      <c r="BB396" s="8"/>
      <c r="BC396" s="8"/>
      <c r="BD396" s="8"/>
      <c r="BE396" s="8"/>
      <c r="BF396" s="8"/>
      <c r="BG396" s="8"/>
      <c r="BH396" s="8"/>
      <c r="BI396" s="8"/>
    </row>
    <row r="397" spans="1:61" ht="11.25" customHeight="1" x14ac:dyDescent="0.2">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c r="AZ397" s="8"/>
      <c r="BA397" s="8"/>
      <c r="BB397" s="8"/>
      <c r="BC397" s="8"/>
      <c r="BD397" s="8"/>
      <c r="BE397" s="8"/>
      <c r="BF397" s="8"/>
      <c r="BG397" s="8"/>
      <c r="BH397" s="8"/>
      <c r="BI397" s="8"/>
    </row>
    <row r="398" spans="1:61" ht="11.25" customHeight="1" x14ac:dyDescent="0.2">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row>
    <row r="399" spans="1:61" ht="11.25" customHeight="1" x14ac:dyDescent="0.2">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c r="AZ399" s="8"/>
      <c r="BA399" s="8"/>
      <c r="BB399" s="8"/>
      <c r="BC399" s="8"/>
      <c r="BD399" s="8"/>
      <c r="BE399" s="8"/>
      <c r="BF399" s="8"/>
      <c r="BG399" s="8"/>
      <c r="BH399" s="8"/>
      <c r="BI399" s="8"/>
    </row>
    <row r="400" spans="1:61" ht="11.25" customHeight="1" x14ac:dyDescent="0.2">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c r="AZ400" s="8"/>
      <c r="BA400" s="8"/>
      <c r="BB400" s="8"/>
      <c r="BC400" s="8"/>
      <c r="BD400" s="8"/>
      <c r="BE400" s="8"/>
      <c r="BF400" s="8"/>
      <c r="BG400" s="8"/>
      <c r="BH400" s="8"/>
      <c r="BI400" s="8"/>
    </row>
    <row r="401" spans="1:61" ht="11.25" customHeight="1" x14ac:dyDescent="0.2">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c r="AZ401" s="8"/>
      <c r="BA401" s="8"/>
      <c r="BB401" s="8"/>
      <c r="BC401" s="8"/>
      <c r="BD401" s="8"/>
      <c r="BE401" s="8"/>
      <c r="BF401" s="8"/>
      <c r="BG401" s="8"/>
      <c r="BH401" s="8"/>
      <c r="BI401" s="8"/>
    </row>
    <row r="402" spans="1:61" ht="11.25" customHeight="1" x14ac:dyDescent="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c r="AZ402" s="8"/>
      <c r="BA402" s="8"/>
      <c r="BB402" s="8"/>
      <c r="BC402" s="8"/>
      <c r="BD402" s="8"/>
      <c r="BE402" s="8"/>
      <c r="BF402" s="8"/>
      <c r="BG402" s="8"/>
      <c r="BH402" s="8"/>
      <c r="BI402" s="8"/>
    </row>
    <row r="403" spans="1:61" ht="11.25" customHeight="1" x14ac:dyDescent="0.2">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8"/>
      <c r="AW403" s="8"/>
      <c r="AX403" s="8"/>
      <c r="AY403" s="8"/>
      <c r="AZ403" s="8"/>
      <c r="BA403" s="8"/>
      <c r="BB403" s="8"/>
      <c r="BC403" s="8"/>
      <c r="BD403" s="8"/>
      <c r="BE403" s="8"/>
      <c r="BF403" s="8"/>
      <c r="BG403" s="8"/>
      <c r="BH403" s="8"/>
      <c r="BI403" s="8"/>
    </row>
    <row r="404" spans="1:61" ht="11.25" customHeight="1" x14ac:dyDescent="0.2">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c r="AZ404" s="8"/>
      <c r="BA404" s="8"/>
      <c r="BB404" s="8"/>
      <c r="BC404" s="8"/>
      <c r="BD404" s="8"/>
      <c r="BE404" s="8"/>
      <c r="BF404" s="8"/>
      <c r="BG404" s="8"/>
      <c r="BH404" s="8"/>
      <c r="BI404" s="8"/>
    </row>
    <row r="405" spans="1:61" ht="11.25" customHeight="1" x14ac:dyDescent="0.2">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c r="AT405" s="8"/>
      <c r="AU405" s="8"/>
      <c r="AV405" s="8"/>
      <c r="AW405" s="8"/>
      <c r="AX405" s="8"/>
      <c r="AY405" s="8"/>
      <c r="AZ405" s="8"/>
      <c r="BA405" s="8"/>
      <c r="BB405" s="8"/>
      <c r="BC405" s="8"/>
      <c r="BD405" s="8"/>
      <c r="BE405" s="8"/>
      <c r="BF405" s="8"/>
      <c r="BG405" s="8"/>
      <c r="BH405" s="8"/>
      <c r="BI405" s="8"/>
    </row>
    <row r="406" spans="1:61" ht="11.25" customHeight="1" x14ac:dyDescent="0.2">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row>
    <row r="407" spans="1:61" ht="11.25" customHeight="1" x14ac:dyDescent="0.2">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c r="AZ407" s="8"/>
      <c r="BA407" s="8"/>
      <c r="BB407" s="8"/>
      <c r="BC407" s="8"/>
      <c r="BD407" s="8"/>
      <c r="BE407" s="8"/>
      <c r="BF407" s="8"/>
      <c r="BG407" s="8"/>
      <c r="BH407" s="8"/>
      <c r="BI407" s="8"/>
    </row>
    <row r="408" spans="1:61" ht="11.25" customHeight="1" x14ac:dyDescent="0.2">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c r="AZ408" s="8"/>
      <c r="BA408" s="8"/>
      <c r="BB408" s="8"/>
      <c r="BC408" s="8"/>
      <c r="BD408" s="8"/>
      <c r="BE408" s="8"/>
      <c r="BF408" s="8"/>
      <c r="BG408" s="8"/>
      <c r="BH408" s="8"/>
      <c r="BI408" s="8"/>
    </row>
    <row r="409" spans="1:61" ht="11.25" customHeight="1" x14ac:dyDescent="0.2">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8"/>
      <c r="AW409" s="8"/>
      <c r="AX409" s="8"/>
      <c r="AY409" s="8"/>
      <c r="AZ409" s="8"/>
      <c r="BA409" s="8"/>
      <c r="BB409" s="8"/>
      <c r="BC409" s="8"/>
      <c r="BD409" s="8"/>
      <c r="BE409" s="8"/>
      <c r="BF409" s="8"/>
      <c r="BG409" s="8"/>
      <c r="BH409" s="8"/>
      <c r="BI409" s="8"/>
    </row>
    <row r="410" spans="1:61" ht="11.25" customHeight="1" x14ac:dyDescent="0.2">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c r="AZ410" s="8"/>
      <c r="BA410" s="8"/>
      <c r="BB410" s="8"/>
      <c r="BC410" s="8"/>
      <c r="BD410" s="8"/>
      <c r="BE410" s="8"/>
      <c r="BF410" s="8"/>
      <c r="BG410" s="8"/>
      <c r="BH410" s="8"/>
      <c r="BI410" s="8"/>
    </row>
    <row r="411" spans="1:61" ht="11.25" customHeight="1" x14ac:dyDescent="0.2">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c r="AZ411" s="8"/>
      <c r="BA411" s="8"/>
      <c r="BB411" s="8"/>
      <c r="BC411" s="8"/>
      <c r="BD411" s="8"/>
      <c r="BE411" s="8"/>
      <c r="BF411" s="8"/>
      <c r="BG411" s="8"/>
      <c r="BH411" s="8"/>
      <c r="BI411" s="8"/>
    </row>
    <row r="412" spans="1:61" ht="11.25" customHeight="1" x14ac:dyDescent="0.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c r="AZ412" s="8"/>
      <c r="BA412" s="8"/>
      <c r="BB412" s="8"/>
      <c r="BC412" s="8"/>
      <c r="BD412" s="8"/>
      <c r="BE412" s="8"/>
      <c r="BF412" s="8"/>
      <c r="BG412" s="8"/>
      <c r="BH412" s="8"/>
      <c r="BI412" s="8"/>
    </row>
    <row r="413" spans="1:61" ht="11.25" customHeight="1" x14ac:dyDescent="0.2">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8"/>
      <c r="AW413" s="8"/>
      <c r="AX413" s="8"/>
      <c r="AY413" s="8"/>
      <c r="AZ413" s="8"/>
      <c r="BA413" s="8"/>
      <c r="BB413" s="8"/>
      <c r="BC413" s="8"/>
      <c r="BD413" s="8"/>
      <c r="BE413" s="8"/>
      <c r="BF413" s="8"/>
      <c r="BG413" s="8"/>
      <c r="BH413" s="8"/>
      <c r="BI413" s="8"/>
    </row>
    <row r="414" spans="1:61" ht="11.25" customHeight="1" x14ac:dyDescent="0.2">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c r="AZ414" s="8"/>
      <c r="BA414" s="8"/>
      <c r="BB414" s="8"/>
      <c r="BC414" s="8"/>
      <c r="BD414" s="8"/>
      <c r="BE414" s="8"/>
      <c r="BF414" s="8"/>
      <c r="BG414" s="8"/>
      <c r="BH414" s="8"/>
      <c r="BI414" s="8"/>
    </row>
    <row r="415" spans="1:61" ht="11.25" customHeight="1" x14ac:dyDescent="0.2">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c r="AT415" s="8"/>
      <c r="AU415" s="8"/>
      <c r="AV415" s="8"/>
      <c r="AW415" s="8"/>
      <c r="AX415" s="8"/>
      <c r="AY415" s="8"/>
      <c r="AZ415" s="8"/>
      <c r="BA415" s="8"/>
      <c r="BB415" s="8"/>
      <c r="BC415" s="8"/>
      <c r="BD415" s="8"/>
      <c r="BE415" s="8"/>
      <c r="BF415" s="8"/>
      <c r="BG415" s="8"/>
      <c r="BH415" s="8"/>
      <c r="BI415" s="8"/>
    </row>
    <row r="416" spans="1:61" ht="11.25" customHeight="1" x14ac:dyDescent="0.2">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c r="AZ416" s="8"/>
      <c r="BA416" s="8"/>
      <c r="BB416" s="8"/>
      <c r="BC416" s="8"/>
      <c r="BD416" s="8"/>
      <c r="BE416" s="8"/>
      <c r="BF416" s="8"/>
      <c r="BG416" s="8"/>
      <c r="BH416" s="8"/>
      <c r="BI416" s="8"/>
    </row>
    <row r="417" spans="1:61" ht="11.25" customHeight="1" x14ac:dyDescent="0.2">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8"/>
      <c r="AS417" s="8"/>
      <c r="AT417" s="8"/>
      <c r="AU417" s="8"/>
      <c r="AV417" s="8"/>
      <c r="AW417" s="8"/>
      <c r="AX417" s="8"/>
      <c r="AY417" s="8"/>
      <c r="AZ417" s="8"/>
      <c r="BA417" s="8"/>
      <c r="BB417" s="8"/>
      <c r="BC417" s="8"/>
      <c r="BD417" s="8"/>
      <c r="BE417" s="8"/>
      <c r="BF417" s="8"/>
      <c r="BG417" s="8"/>
      <c r="BH417" s="8"/>
      <c r="BI417" s="8"/>
    </row>
    <row r="418" spans="1:61" ht="11.25" customHeight="1" x14ac:dyDescent="0.2">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c r="AU418" s="8"/>
      <c r="AV418" s="8"/>
      <c r="AW418" s="8"/>
      <c r="AX418" s="8"/>
      <c r="AY418" s="8"/>
      <c r="AZ418" s="8"/>
      <c r="BA418" s="8"/>
      <c r="BB418" s="8"/>
      <c r="BC418" s="8"/>
      <c r="BD418" s="8"/>
      <c r="BE418" s="8"/>
      <c r="BF418" s="8"/>
      <c r="BG418" s="8"/>
      <c r="BH418" s="8"/>
      <c r="BI418" s="8"/>
    </row>
    <row r="419" spans="1:61" ht="11.25" customHeight="1" x14ac:dyDescent="0.2">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c r="AZ419" s="8"/>
      <c r="BA419" s="8"/>
      <c r="BB419" s="8"/>
      <c r="BC419" s="8"/>
      <c r="BD419" s="8"/>
      <c r="BE419" s="8"/>
      <c r="BF419" s="8"/>
      <c r="BG419" s="8"/>
      <c r="BH419" s="8"/>
      <c r="BI419" s="8"/>
    </row>
    <row r="420" spans="1:61" ht="11.25" customHeight="1" x14ac:dyDescent="0.2">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8"/>
      <c r="AZ420" s="8"/>
      <c r="BA420" s="8"/>
      <c r="BB420" s="8"/>
      <c r="BC420" s="8"/>
      <c r="BD420" s="8"/>
      <c r="BE420" s="8"/>
      <c r="BF420" s="8"/>
      <c r="BG420" s="8"/>
      <c r="BH420" s="8"/>
      <c r="BI420" s="8"/>
    </row>
    <row r="421" spans="1:61" ht="11.25" customHeight="1" x14ac:dyDescent="0.2">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8"/>
      <c r="AZ421" s="8"/>
      <c r="BA421" s="8"/>
      <c r="BB421" s="8"/>
      <c r="BC421" s="8"/>
      <c r="BD421" s="8"/>
      <c r="BE421" s="8"/>
      <c r="BF421" s="8"/>
      <c r="BG421" s="8"/>
      <c r="BH421" s="8"/>
      <c r="BI421" s="8"/>
    </row>
    <row r="422" spans="1:61" ht="11.25" customHeight="1" x14ac:dyDescent="0.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8"/>
      <c r="AZ422" s="8"/>
      <c r="BA422" s="8"/>
      <c r="BB422" s="8"/>
      <c r="BC422" s="8"/>
      <c r="BD422" s="8"/>
      <c r="BE422" s="8"/>
      <c r="BF422" s="8"/>
      <c r="BG422" s="8"/>
      <c r="BH422" s="8"/>
      <c r="BI422" s="8"/>
    </row>
    <row r="423" spans="1:61" ht="11.25" customHeight="1" x14ac:dyDescent="0.2">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8"/>
      <c r="AZ423" s="8"/>
      <c r="BA423" s="8"/>
      <c r="BB423" s="8"/>
      <c r="BC423" s="8"/>
      <c r="BD423" s="8"/>
      <c r="BE423" s="8"/>
      <c r="BF423" s="8"/>
      <c r="BG423" s="8"/>
      <c r="BH423" s="8"/>
      <c r="BI423" s="8"/>
    </row>
    <row r="424" spans="1:61" ht="11.25" customHeight="1" x14ac:dyDescent="0.2">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c r="AZ424" s="8"/>
      <c r="BA424" s="8"/>
      <c r="BB424" s="8"/>
      <c r="BC424" s="8"/>
      <c r="BD424" s="8"/>
      <c r="BE424" s="8"/>
      <c r="BF424" s="8"/>
      <c r="BG424" s="8"/>
      <c r="BH424" s="8"/>
      <c r="BI424" s="8"/>
    </row>
    <row r="425" spans="1:61" ht="11.25" customHeight="1" x14ac:dyDescent="0.2">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c r="AU425" s="8"/>
      <c r="AV425" s="8"/>
      <c r="AW425" s="8"/>
      <c r="AX425" s="8"/>
      <c r="AY425" s="8"/>
      <c r="AZ425" s="8"/>
      <c r="BA425" s="8"/>
      <c r="BB425" s="8"/>
      <c r="BC425" s="8"/>
      <c r="BD425" s="8"/>
      <c r="BE425" s="8"/>
      <c r="BF425" s="8"/>
      <c r="BG425" s="8"/>
      <c r="BH425" s="8"/>
      <c r="BI425" s="8"/>
    </row>
    <row r="426" spans="1:61" ht="11.25" customHeight="1" x14ac:dyDescent="0.2">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8"/>
      <c r="AS426" s="8"/>
      <c r="AT426" s="8"/>
      <c r="AU426" s="8"/>
      <c r="AV426" s="8"/>
      <c r="AW426" s="8"/>
      <c r="AX426" s="8"/>
      <c r="AY426" s="8"/>
      <c r="AZ426" s="8"/>
      <c r="BA426" s="8"/>
      <c r="BB426" s="8"/>
      <c r="BC426" s="8"/>
      <c r="BD426" s="8"/>
      <c r="BE426" s="8"/>
      <c r="BF426" s="8"/>
      <c r="BG426" s="8"/>
      <c r="BH426" s="8"/>
      <c r="BI426" s="8"/>
    </row>
    <row r="427" spans="1:61" ht="11.25" customHeight="1" x14ac:dyDescent="0.2">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c r="AU427" s="8"/>
      <c r="AV427" s="8"/>
      <c r="AW427" s="8"/>
      <c r="AX427" s="8"/>
      <c r="AY427" s="8"/>
      <c r="AZ427" s="8"/>
      <c r="BA427" s="8"/>
      <c r="BB427" s="8"/>
      <c r="BC427" s="8"/>
      <c r="BD427" s="8"/>
      <c r="BE427" s="8"/>
      <c r="BF427" s="8"/>
      <c r="BG427" s="8"/>
      <c r="BH427" s="8"/>
      <c r="BI427" s="8"/>
    </row>
    <row r="428" spans="1:61" ht="11.25" customHeight="1" x14ac:dyDescent="0.2">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c r="AT428" s="8"/>
      <c r="AU428" s="8"/>
      <c r="AV428" s="8"/>
      <c r="AW428" s="8"/>
      <c r="AX428" s="8"/>
      <c r="AY428" s="8"/>
      <c r="AZ428" s="8"/>
      <c r="BA428" s="8"/>
      <c r="BB428" s="8"/>
      <c r="BC428" s="8"/>
      <c r="BD428" s="8"/>
      <c r="BE428" s="8"/>
      <c r="BF428" s="8"/>
      <c r="BG428" s="8"/>
      <c r="BH428" s="8"/>
      <c r="BI428" s="8"/>
    </row>
    <row r="429" spans="1:61" ht="11.25" customHeight="1" x14ac:dyDescent="0.2">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c r="AT429" s="8"/>
      <c r="AU429" s="8"/>
      <c r="AV429" s="8"/>
      <c r="AW429" s="8"/>
      <c r="AX429" s="8"/>
      <c r="AY429" s="8"/>
      <c r="AZ429" s="8"/>
      <c r="BA429" s="8"/>
      <c r="BB429" s="8"/>
      <c r="BC429" s="8"/>
      <c r="BD429" s="8"/>
      <c r="BE429" s="8"/>
      <c r="BF429" s="8"/>
      <c r="BG429" s="8"/>
      <c r="BH429" s="8"/>
      <c r="BI429" s="8"/>
    </row>
    <row r="430" spans="1:61" ht="11.25" customHeight="1" x14ac:dyDescent="0.2">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8"/>
      <c r="AZ430" s="8"/>
      <c r="BA430" s="8"/>
      <c r="BB430" s="8"/>
      <c r="BC430" s="8"/>
      <c r="BD430" s="8"/>
      <c r="BE430" s="8"/>
      <c r="BF430" s="8"/>
      <c r="BG430" s="8"/>
      <c r="BH430" s="8"/>
      <c r="BI430" s="8"/>
    </row>
    <row r="431" spans="1:61" ht="11.25" customHeight="1" x14ac:dyDescent="0.2">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c r="AT431" s="8"/>
      <c r="AU431" s="8"/>
      <c r="AV431" s="8"/>
      <c r="AW431" s="8"/>
      <c r="AX431" s="8"/>
      <c r="AY431" s="8"/>
      <c r="AZ431" s="8"/>
      <c r="BA431" s="8"/>
      <c r="BB431" s="8"/>
      <c r="BC431" s="8"/>
      <c r="BD431" s="8"/>
      <c r="BE431" s="8"/>
      <c r="BF431" s="8"/>
      <c r="BG431" s="8"/>
      <c r="BH431" s="8"/>
      <c r="BI431" s="8"/>
    </row>
    <row r="432" spans="1:61" ht="11.25" customHeight="1" x14ac:dyDescent="0.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c r="AT432" s="8"/>
      <c r="AU432" s="8"/>
      <c r="AV432" s="8"/>
      <c r="AW432" s="8"/>
      <c r="AX432" s="8"/>
      <c r="AY432" s="8"/>
      <c r="AZ432" s="8"/>
      <c r="BA432" s="8"/>
      <c r="BB432" s="8"/>
      <c r="BC432" s="8"/>
      <c r="BD432" s="8"/>
      <c r="BE432" s="8"/>
      <c r="BF432" s="8"/>
      <c r="BG432" s="8"/>
      <c r="BH432" s="8"/>
      <c r="BI432" s="8"/>
    </row>
    <row r="433" spans="1:61" ht="11.25" customHeight="1" x14ac:dyDescent="0.2">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c r="BF433" s="8"/>
      <c r="BG433" s="8"/>
      <c r="BH433" s="8"/>
      <c r="BI433" s="8"/>
    </row>
    <row r="434" spans="1:61" ht="11.25" customHeight="1" x14ac:dyDescent="0.2">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c r="AT434" s="8"/>
      <c r="AU434" s="8"/>
      <c r="AV434" s="8"/>
      <c r="AW434" s="8"/>
      <c r="AX434" s="8"/>
      <c r="AY434" s="8"/>
      <c r="AZ434" s="8"/>
      <c r="BA434" s="8"/>
      <c r="BB434" s="8"/>
      <c r="BC434" s="8"/>
      <c r="BD434" s="8"/>
      <c r="BE434" s="8"/>
      <c r="BF434" s="8"/>
      <c r="BG434" s="8"/>
      <c r="BH434" s="8"/>
      <c r="BI434" s="8"/>
    </row>
    <row r="435" spans="1:61" ht="11.25" customHeight="1" x14ac:dyDescent="0.2">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8"/>
      <c r="AS435" s="8"/>
      <c r="AT435" s="8"/>
      <c r="AU435" s="8"/>
      <c r="AV435" s="8"/>
      <c r="AW435" s="8"/>
      <c r="AX435" s="8"/>
      <c r="AY435" s="8"/>
      <c r="AZ435" s="8"/>
      <c r="BA435" s="8"/>
      <c r="BB435" s="8"/>
      <c r="BC435" s="8"/>
      <c r="BD435" s="8"/>
      <c r="BE435" s="8"/>
      <c r="BF435" s="8"/>
      <c r="BG435" s="8"/>
      <c r="BH435" s="8"/>
      <c r="BI435" s="8"/>
    </row>
    <row r="436" spans="1:61" ht="11.25" customHeight="1" x14ac:dyDescent="0.2">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8"/>
      <c r="AY436" s="8"/>
      <c r="AZ436" s="8"/>
      <c r="BA436" s="8"/>
      <c r="BB436" s="8"/>
      <c r="BC436" s="8"/>
      <c r="BD436" s="8"/>
      <c r="BE436" s="8"/>
      <c r="BF436" s="8"/>
      <c r="BG436" s="8"/>
      <c r="BH436" s="8"/>
      <c r="BI436" s="8"/>
    </row>
    <row r="437" spans="1:61" ht="11.25" customHeight="1" x14ac:dyDescent="0.2">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8"/>
      <c r="AW437" s="8"/>
      <c r="AX437" s="8"/>
      <c r="AY437" s="8"/>
      <c r="AZ437" s="8"/>
      <c r="BA437" s="8"/>
      <c r="BB437" s="8"/>
      <c r="BC437" s="8"/>
      <c r="BD437" s="8"/>
      <c r="BE437" s="8"/>
      <c r="BF437" s="8"/>
      <c r="BG437" s="8"/>
      <c r="BH437" s="8"/>
      <c r="BI437" s="8"/>
    </row>
    <row r="438" spans="1:61" ht="11.25" customHeight="1" x14ac:dyDescent="0.2">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8"/>
      <c r="AS438" s="8"/>
      <c r="AT438" s="8"/>
      <c r="AU438" s="8"/>
      <c r="AV438" s="8"/>
      <c r="AW438" s="8"/>
      <c r="AX438" s="8"/>
      <c r="AY438" s="8"/>
      <c r="AZ438" s="8"/>
      <c r="BA438" s="8"/>
      <c r="BB438" s="8"/>
      <c r="BC438" s="8"/>
      <c r="BD438" s="8"/>
      <c r="BE438" s="8"/>
      <c r="BF438" s="8"/>
      <c r="BG438" s="8"/>
      <c r="BH438" s="8"/>
      <c r="BI438" s="8"/>
    </row>
    <row r="439" spans="1:61" ht="11.25" customHeight="1" x14ac:dyDescent="0.2">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8"/>
      <c r="AW439" s="8"/>
      <c r="AX439" s="8"/>
      <c r="AY439" s="8"/>
      <c r="AZ439" s="8"/>
      <c r="BA439" s="8"/>
      <c r="BB439" s="8"/>
      <c r="BC439" s="8"/>
      <c r="BD439" s="8"/>
      <c r="BE439" s="8"/>
      <c r="BF439" s="8"/>
      <c r="BG439" s="8"/>
      <c r="BH439" s="8"/>
      <c r="BI439" s="8"/>
    </row>
    <row r="440" spans="1:61" ht="11.25" customHeight="1" x14ac:dyDescent="0.2">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c r="AT440" s="8"/>
      <c r="AU440" s="8"/>
      <c r="AV440" s="8"/>
      <c r="AW440" s="8"/>
      <c r="AX440" s="8"/>
      <c r="AY440" s="8"/>
      <c r="AZ440" s="8"/>
      <c r="BA440" s="8"/>
      <c r="BB440" s="8"/>
      <c r="BC440" s="8"/>
      <c r="BD440" s="8"/>
      <c r="BE440" s="8"/>
      <c r="BF440" s="8"/>
      <c r="BG440" s="8"/>
      <c r="BH440" s="8"/>
      <c r="BI440" s="8"/>
    </row>
    <row r="441" spans="1:61" ht="11.25" customHeight="1" x14ac:dyDescent="0.2">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c r="AZ441" s="8"/>
      <c r="BA441" s="8"/>
      <c r="BB441" s="8"/>
      <c r="BC441" s="8"/>
      <c r="BD441" s="8"/>
      <c r="BE441" s="8"/>
      <c r="BF441" s="8"/>
      <c r="BG441" s="8"/>
      <c r="BH441" s="8"/>
      <c r="BI441" s="8"/>
    </row>
    <row r="442" spans="1:61" ht="11.25" customHeight="1" x14ac:dyDescent="0.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row>
    <row r="443" spans="1:61" ht="11.25" customHeight="1" x14ac:dyDescent="0.2">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c r="AZ443" s="8"/>
      <c r="BA443" s="8"/>
      <c r="BB443" s="8"/>
      <c r="BC443" s="8"/>
      <c r="BD443" s="8"/>
      <c r="BE443" s="8"/>
      <c r="BF443" s="8"/>
      <c r="BG443" s="8"/>
      <c r="BH443" s="8"/>
      <c r="BI443" s="8"/>
    </row>
    <row r="444" spans="1:61" ht="11.25" customHeight="1" x14ac:dyDescent="0.2">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8"/>
      <c r="AW444" s="8"/>
      <c r="AX444" s="8"/>
      <c r="AY444" s="8"/>
      <c r="AZ444" s="8"/>
      <c r="BA444" s="8"/>
      <c r="BB444" s="8"/>
      <c r="BC444" s="8"/>
      <c r="BD444" s="8"/>
      <c r="BE444" s="8"/>
      <c r="BF444" s="8"/>
      <c r="BG444" s="8"/>
      <c r="BH444" s="8"/>
      <c r="BI444" s="8"/>
    </row>
    <row r="445" spans="1:61" ht="11.25" customHeight="1" x14ac:dyDescent="0.2">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c r="AZ445" s="8"/>
      <c r="BA445" s="8"/>
      <c r="BB445" s="8"/>
      <c r="BC445" s="8"/>
      <c r="BD445" s="8"/>
      <c r="BE445" s="8"/>
      <c r="BF445" s="8"/>
      <c r="BG445" s="8"/>
      <c r="BH445" s="8"/>
      <c r="BI445" s="8"/>
    </row>
    <row r="446" spans="1:61" ht="11.25" customHeight="1" x14ac:dyDescent="0.2">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AW446" s="8"/>
      <c r="AX446" s="8"/>
      <c r="AY446" s="8"/>
      <c r="AZ446" s="8"/>
      <c r="BA446" s="8"/>
      <c r="BB446" s="8"/>
      <c r="BC446" s="8"/>
      <c r="BD446" s="8"/>
      <c r="BE446" s="8"/>
      <c r="BF446" s="8"/>
      <c r="BG446" s="8"/>
      <c r="BH446" s="8"/>
      <c r="BI446" s="8"/>
    </row>
    <row r="447" spans="1:61" ht="11.25" customHeight="1" x14ac:dyDescent="0.2">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c r="AT447" s="8"/>
      <c r="AU447" s="8"/>
      <c r="AV447" s="8"/>
      <c r="AW447" s="8"/>
      <c r="AX447" s="8"/>
      <c r="AY447" s="8"/>
      <c r="AZ447" s="8"/>
      <c r="BA447" s="8"/>
      <c r="BB447" s="8"/>
      <c r="BC447" s="8"/>
      <c r="BD447" s="8"/>
      <c r="BE447" s="8"/>
      <c r="BF447" s="8"/>
      <c r="BG447" s="8"/>
      <c r="BH447" s="8"/>
      <c r="BI447" s="8"/>
    </row>
    <row r="448" spans="1:61" ht="11.25" customHeight="1" x14ac:dyDescent="0.2">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AW448" s="8"/>
      <c r="AX448" s="8"/>
      <c r="AY448" s="8"/>
      <c r="AZ448" s="8"/>
      <c r="BA448" s="8"/>
      <c r="BB448" s="8"/>
      <c r="BC448" s="8"/>
      <c r="BD448" s="8"/>
      <c r="BE448" s="8"/>
      <c r="BF448" s="8"/>
      <c r="BG448" s="8"/>
      <c r="BH448" s="8"/>
      <c r="BI448" s="8"/>
    </row>
    <row r="449" spans="1:61" ht="11.25" customHeight="1" x14ac:dyDescent="0.2">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8"/>
      <c r="AW449" s="8"/>
      <c r="AX449" s="8"/>
      <c r="AY449" s="8"/>
      <c r="AZ449" s="8"/>
      <c r="BA449" s="8"/>
      <c r="BB449" s="8"/>
      <c r="BC449" s="8"/>
      <c r="BD449" s="8"/>
      <c r="BE449" s="8"/>
      <c r="BF449" s="8"/>
      <c r="BG449" s="8"/>
      <c r="BH449" s="8"/>
      <c r="BI449" s="8"/>
    </row>
    <row r="450" spans="1:61" ht="11.25" customHeight="1" x14ac:dyDescent="0.2">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AW450" s="8"/>
      <c r="AX450" s="8"/>
      <c r="AY450" s="8"/>
      <c r="AZ450" s="8"/>
      <c r="BA450" s="8"/>
      <c r="BB450" s="8"/>
      <c r="BC450" s="8"/>
      <c r="BD450" s="8"/>
      <c r="BE450" s="8"/>
      <c r="BF450" s="8"/>
      <c r="BG450" s="8"/>
      <c r="BH450" s="8"/>
      <c r="BI450" s="8"/>
    </row>
    <row r="451" spans="1:61" ht="11.25" customHeight="1" x14ac:dyDescent="0.2">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8"/>
      <c r="AW451" s="8"/>
      <c r="AX451" s="8"/>
      <c r="AY451" s="8"/>
      <c r="AZ451" s="8"/>
      <c r="BA451" s="8"/>
      <c r="BB451" s="8"/>
      <c r="BC451" s="8"/>
      <c r="BD451" s="8"/>
      <c r="BE451" s="8"/>
      <c r="BF451" s="8"/>
      <c r="BG451" s="8"/>
      <c r="BH451" s="8"/>
      <c r="BI451" s="8"/>
    </row>
    <row r="452" spans="1:61" ht="11.25" customHeight="1" x14ac:dyDescent="0.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c r="AZ452" s="8"/>
      <c r="BA452" s="8"/>
      <c r="BB452" s="8"/>
      <c r="BC452" s="8"/>
      <c r="BD452" s="8"/>
      <c r="BE452" s="8"/>
      <c r="BF452" s="8"/>
      <c r="BG452" s="8"/>
      <c r="BH452" s="8"/>
      <c r="BI452" s="8"/>
    </row>
    <row r="453" spans="1:61" ht="11.25" customHeight="1" x14ac:dyDescent="0.2">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c r="AZ453" s="8"/>
      <c r="BA453" s="8"/>
      <c r="BB453" s="8"/>
      <c r="BC453" s="8"/>
      <c r="BD453" s="8"/>
      <c r="BE453" s="8"/>
      <c r="BF453" s="8"/>
      <c r="BG453" s="8"/>
      <c r="BH453" s="8"/>
      <c r="BI453" s="8"/>
    </row>
    <row r="454" spans="1:61" ht="11.25" customHeight="1" x14ac:dyDescent="0.2">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8"/>
      <c r="AW454" s="8"/>
      <c r="AX454" s="8"/>
      <c r="AY454" s="8"/>
      <c r="AZ454" s="8"/>
      <c r="BA454" s="8"/>
      <c r="BB454" s="8"/>
      <c r="BC454" s="8"/>
      <c r="BD454" s="8"/>
      <c r="BE454" s="8"/>
      <c r="BF454" s="8"/>
      <c r="BG454" s="8"/>
      <c r="BH454" s="8"/>
      <c r="BI454" s="8"/>
    </row>
    <row r="455" spans="1:61" ht="11.25" customHeight="1" x14ac:dyDescent="0.2">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c r="AZ455" s="8"/>
      <c r="BA455" s="8"/>
      <c r="BB455" s="8"/>
      <c r="BC455" s="8"/>
      <c r="BD455" s="8"/>
      <c r="BE455" s="8"/>
      <c r="BF455" s="8"/>
      <c r="BG455" s="8"/>
      <c r="BH455" s="8"/>
      <c r="BI455" s="8"/>
    </row>
    <row r="456" spans="1:61" ht="11.25" customHeight="1" x14ac:dyDescent="0.2">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c r="AT456" s="8"/>
      <c r="AU456" s="8"/>
      <c r="AV456" s="8"/>
      <c r="AW456" s="8"/>
      <c r="AX456" s="8"/>
      <c r="AY456" s="8"/>
      <c r="AZ456" s="8"/>
      <c r="BA456" s="8"/>
      <c r="BB456" s="8"/>
      <c r="BC456" s="8"/>
      <c r="BD456" s="8"/>
      <c r="BE456" s="8"/>
      <c r="BF456" s="8"/>
      <c r="BG456" s="8"/>
      <c r="BH456" s="8"/>
      <c r="BI456" s="8"/>
    </row>
    <row r="457" spans="1:61" ht="11.25" customHeight="1" x14ac:dyDescent="0.2">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8"/>
      <c r="AW457" s="8"/>
      <c r="AX457" s="8"/>
      <c r="AY457" s="8"/>
      <c r="AZ457" s="8"/>
      <c r="BA457" s="8"/>
      <c r="BB457" s="8"/>
      <c r="BC457" s="8"/>
      <c r="BD457" s="8"/>
      <c r="BE457" s="8"/>
      <c r="BF457" s="8"/>
      <c r="BG457" s="8"/>
      <c r="BH457" s="8"/>
      <c r="BI457" s="8"/>
    </row>
    <row r="458" spans="1:61" ht="11.25" customHeight="1" x14ac:dyDescent="0.2">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c r="AZ458" s="8"/>
      <c r="BA458" s="8"/>
      <c r="BB458" s="8"/>
      <c r="BC458" s="8"/>
      <c r="BD458" s="8"/>
      <c r="BE458" s="8"/>
      <c r="BF458" s="8"/>
      <c r="BG458" s="8"/>
      <c r="BH458" s="8"/>
      <c r="BI458" s="8"/>
    </row>
    <row r="459" spans="1:61" ht="11.25" customHeight="1" x14ac:dyDescent="0.2">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c r="AM459" s="8"/>
      <c r="AN459" s="8"/>
      <c r="AO459" s="8"/>
      <c r="AP459" s="8"/>
      <c r="AQ459" s="8"/>
      <c r="AR459" s="8"/>
      <c r="AS459" s="8"/>
      <c r="AT459" s="8"/>
      <c r="AU459" s="8"/>
      <c r="AV459" s="8"/>
      <c r="AW459" s="8"/>
      <c r="AX459" s="8"/>
      <c r="AY459" s="8"/>
      <c r="AZ459" s="8"/>
      <c r="BA459" s="8"/>
      <c r="BB459" s="8"/>
      <c r="BC459" s="8"/>
      <c r="BD459" s="8"/>
      <c r="BE459" s="8"/>
      <c r="BF459" s="8"/>
      <c r="BG459" s="8"/>
      <c r="BH459" s="8"/>
      <c r="BI459" s="8"/>
    </row>
    <row r="460" spans="1:61" ht="11.25" customHeight="1" x14ac:dyDescent="0.2">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8"/>
      <c r="AW460" s="8"/>
      <c r="AX460" s="8"/>
      <c r="AY460" s="8"/>
      <c r="AZ460" s="8"/>
      <c r="BA460" s="8"/>
      <c r="BB460" s="8"/>
      <c r="BC460" s="8"/>
      <c r="BD460" s="8"/>
      <c r="BE460" s="8"/>
      <c r="BF460" s="8"/>
      <c r="BG460" s="8"/>
      <c r="BH460" s="8"/>
      <c r="BI460" s="8"/>
    </row>
    <row r="461" spans="1:61" ht="11.25" customHeight="1" x14ac:dyDescent="0.2">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8"/>
      <c r="AW461" s="8"/>
      <c r="AX461" s="8"/>
      <c r="AY461" s="8"/>
      <c r="AZ461" s="8"/>
      <c r="BA461" s="8"/>
      <c r="BB461" s="8"/>
      <c r="BC461" s="8"/>
      <c r="BD461" s="8"/>
      <c r="BE461" s="8"/>
      <c r="BF461" s="8"/>
      <c r="BG461" s="8"/>
      <c r="BH461" s="8"/>
      <c r="BI461" s="8"/>
    </row>
    <row r="462" spans="1:61" ht="11.25" customHeight="1" x14ac:dyDescent="0.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c r="AM462" s="8"/>
      <c r="AN462" s="8"/>
      <c r="AO462" s="8"/>
      <c r="AP462" s="8"/>
      <c r="AQ462" s="8"/>
      <c r="AR462" s="8"/>
      <c r="AS462" s="8"/>
      <c r="AT462" s="8"/>
      <c r="AU462" s="8"/>
      <c r="AV462" s="8"/>
      <c r="AW462" s="8"/>
      <c r="AX462" s="8"/>
      <c r="AY462" s="8"/>
      <c r="AZ462" s="8"/>
      <c r="BA462" s="8"/>
      <c r="BB462" s="8"/>
      <c r="BC462" s="8"/>
      <c r="BD462" s="8"/>
      <c r="BE462" s="8"/>
      <c r="BF462" s="8"/>
      <c r="BG462" s="8"/>
      <c r="BH462" s="8"/>
      <c r="BI462" s="8"/>
    </row>
    <row r="463" spans="1:61" ht="11.25" customHeight="1" x14ac:dyDescent="0.2">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c r="AZ463" s="8"/>
      <c r="BA463" s="8"/>
      <c r="BB463" s="8"/>
      <c r="BC463" s="8"/>
      <c r="BD463" s="8"/>
      <c r="BE463" s="8"/>
      <c r="BF463" s="8"/>
      <c r="BG463" s="8"/>
      <c r="BH463" s="8"/>
      <c r="BI463" s="8"/>
    </row>
    <row r="464" spans="1:61" ht="11.25" customHeight="1" x14ac:dyDescent="0.2">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c r="AT464" s="8"/>
      <c r="AU464" s="8"/>
      <c r="AV464" s="8"/>
      <c r="AW464" s="8"/>
      <c r="AX464" s="8"/>
      <c r="AY464" s="8"/>
      <c r="AZ464" s="8"/>
      <c r="BA464" s="8"/>
      <c r="BB464" s="8"/>
      <c r="BC464" s="8"/>
      <c r="BD464" s="8"/>
      <c r="BE464" s="8"/>
      <c r="BF464" s="8"/>
      <c r="BG464" s="8"/>
      <c r="BH464" s="8"/>
      <c r="BI464" s="8"/>
    </row>
    <row r="465" spans="1:61" ht="11.25" customHeight="1" x14ac:dyDescent="0.2">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c r="AZ465" s="8"/>
      <c r="BA465" s="8"/>
      <c r="BB465" s="8"/>
      <c r="BC465" s="8"/>
      <c r="BD465" s="8"/>
      <c r="BE465" s="8"/>
      <c r="BF465" s="8"/>
      <c r="BG465" s="8"/>
      <c r="BH465" s="8"/>
      <c r="BI465" s="8"/>
    </row>
    <row r="466" spans="1:61" ht="11.25" customHeight="1" x14ac:dyDescent="0.2">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c r="AZ466" s="8"/>
      <c r="BA466" s="8"/>
      <c r="BB466" s="8"/>
      <c r="BC466" s="8"/>
      <c r="BD466" s="8"/>
      <c r="BE466" s="8"/>
      <c r="BF466" s="8"/>
      <c r="BG466" s="8"/>
      <c r="BH466" s="8"/>
      <c r="BI466" s="8"/>
    </row>
    <row r="467" spans="1:61" ht="11.25" customHeight="1" x14ac:dyDescent="0.2">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c r="AZ467" s="8"/>
      <c r="BA467" s="8"/>
      <c r="BB467" s="8"/>
      <c r="BC467" s="8"/>
      <c r="BD467" s="8"/>
      <c r="BE467" s="8"/>
      <c r="BF467" s="8"/>
      <c r="BG467" s="8"/>
      <c r="BH467" s="8"/>
      <c r="BI467" s="8"/>
    </row>
    <row r="468" spans="1:61" ht="11.25" customHeight="1" x14ac:dyDescent="0.2">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c r="AZ468" s="8"/>
      <c r="BA468" s="8"/>
      <c r="BB468" s="8"/>
      <c r="BC468" s="8"/>
      <c r="BD468" s="8"/>
      <c r="BE468" s="8"/>
      <c r="BF468" s="8"/>
      <c r="BG468" s="8"/>
      <c r="BH468" s="8"/>
      <c r="BI468" s="8"/>
    </row>
    <row r="469" spans="1:61" ht="11.25" customHeight="1" x14ac:dyDescent="0.2">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c r="BF469" s="8"/>
      <c r="BG469" s="8"/>
      <c r="BH469" s="8"/>
      <c r="BI469" s="8"/>
    </row>
    <row r="470" spans="1:61" ht="11.25" customHeight="1" x14ac:dyDescent="0.2">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c r="AT470" s="8"/>
      <c r="AU470" s="8"/>
      <c r="AV470" s="8"/>
      <c r="AW470" s="8"/>
      <c r="AX470" s="8"/>
      <c r="AY470" s="8"/>
      <c r="AZ470" s="8"/>
      <c r="BA470" s="8"/>
      <c r="BB470" s="8"/>
      <c r="BC470" s="8"/>
      <c r="BD470" s="8"/>
      <c r="BE470" s="8"/>
      <c r="BF470" s="8"/>
      <c r="BG470" s="8"/>
      <c r="BH470" s="8"/>
      <c r="BI470" s="8"/>
    </row>
    <row r="471" spans="1:61" ht="11.25" customHeight="1" x14ac:dyDescent="0.2">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c r="AZ471" s="8"/>
      <c r="BA471" s="8"/>
      <c r="BB471" s="8"/>
      <c r="BC471" s="8"/>
      <c r="BD471" s="8"/>
      <c r="BE471" s="8"/>
      <c r="BF471" s="8"/>
      <c r="BG471" s="8"/>
      <c r="BH471" s="8"/>
      <c r="BI471" s="8"/>
    </row>
    <row r="472" spans="1:61" ht="11.25" customHeight="1" x14ac:dyDescent="0.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c r="AU472" s="8"/>
      <c r="AV472" s="8"/>
      <c r="AW472" s="8"/>
      <c r="AX472" s="8"/>
      <c r="AY472" s="8"/>
      <c r="AZ472" s="8"/>
      <c r="BA472" s="8"/>
      <c r="BB472" s="8"/>
      <c r="BC472" s="8"/>
      <c r="BD472" s="8"/>
      <c r="BE472" s="8"/>
      <c r="BF472" s="8"/>
      <c r="BG472" s="8"/>
      <c r="BH472" s="8"/>
      <c r="BI472" s="8"/>
    </row>
    <row r="473" spans="1:61" ht="11.25" customHeight="1" x14ac:dyDescent="0.2">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c r="AZ473" s="8"/>
      <c r="BA473" s="8"/>
      <c r="BB473" s="8"/>
      <c r="BC473" s="8"/>
      <c r="BD473" s="8"/>
      <c r="BE473" s="8"/>
      <c r="BF473" s="8"/>
      <c r="BG473" s="8"/>
      <c r="BH473" s="8"/>
      <c r="BI473" s="8"/>
    </row>
    <row r="474" spans="1:61" ht="11.25" customHeight="1" x14ac:dyDescent="0.2">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8"/>
      <c r="AW474" s="8"/>
      <c r="AX474" s="8"/>
      <c r="AY474" s="8"/>
      <c r="AZ474" s="8"/>
      <c r="BA474" s="8"/>
      <c r="BB474" s="8"/>
      <c r="BC474" s="8"/>
      <c r="BD474" s="8"/>
      <c r="BE474" s="8"/>
      <c r="BF474" s="8"/>
      <c r="BG474" s="8"/>
      <c r="BH474" s="8"/>
      <c r="BI474" s="8"/>
    </row>
    <row r="475" spans="1:61" ht="11.25" customHeight="1" x14ac:dyDescent="0.2">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c r="AZ475" s="8"/>
      <c r="BA475" s="8"/>
      <c r="BB475" s="8"/>
      <c r="BC475" s="8"/>
      <c r="BD475" s="8"/>
      <c r="BE475" s="8"/>
      <c r="BF475" s="8"/>
      <c r="BG475" s="8"/>
      <c r="BH475" s="8"/>
      <c r="BI475" s="8"/>
    </row>
    <row r="476" spans="1:61" ht="11.25" customHeight="1" x14ac:dyDescent="0.2">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c r="AZ476" s="8"/>
      <c r="BA476" s="8"/>
      <c r="BB476" s="8"/>
      <c r="BC476" s="8"/>
      <c r="BD476" s="8"/>
      <c r="BE476" s="8"/>
      <c r="BF476" s="8"/>
      <c r="BG476" s="8"/>
      <c r="BH476" s="8"/>
      <c r="BI476" s="8"/>
    </row>
    <row r="477" spans="1:61" ht="11.25" customHeight="1" x14ac:dyDescent="0.2">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c r="AZ477" s="8"/>
      <c r="BA477" s="8"/>
      <c r="BB477" s="8"/>
      <c r="BC477" s="8"/>
      <c r="BD477" s="8"/>
      <c r="BE477" s="8"/>
      <c r="BF477" s="8"/>
      <c r="BG477" s="8"/>
      <c r="BH477" s="8"/>
      <c r="BI477" s="8"/>
    </row>
    <row r="478" spans="1:61" ht="11.25" customHeight="1" x14ac:dyDescent="0.2">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8"/>
      <c r="AW478" s="8"/>
      <c r="AX478" s="8"/>
      <c r="AY478" s="8"/>
      <c r="AZ478" s="8"/>
      <c r="BA478" s="8"/>
      <c r="BB478" s="8"/>
      <c r="BC478" s="8"/>
      <c r="BD478" s="8"/>
      <c r="BE478" s="8"/>
      <c r="BF478" s="8"/>
      <c r="BG478" s="8"/>
      <c r="BH478" s="8"/>
      <c r="BI478" s="8"/>
    </row>
    <row r="479" spans="1:61" ht="11.25" customHeight="1" x14ac:dyDescent="0.2">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row>
    <row r="480" spans="1:61" ht="11.25" customHeight="1" x14ac:dyDescent="0.2">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c r="AZ480" s="8"/>
      <c r="BA480" s="8"/>
      <c r="BB480" s="8"/>
      <c r="BC480" s="8"/>
      <c r="BD480" s="8"/>
      <c r="BE480" s="8"/>
      <c r="BF480" s="8"/>
      <c r="BG480" s="8"/>
      <c r="BH480" s="8"/>
      <c r="BI480" s="8"/>
    </row>
    <row r="481" spans="1:61" ht="11.25" customHeight="1" x14ac:dyDescent="0.2">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8"/>
      <c r="AW481" s="8"/>
      <c r="AX481" s="8"/>
      <c r="AY481" s="8"/>
      <c r="AZ481" s="8"/>
      <c r="BA481" s="8"/>
      <c r="BB481" s="8"/>
      <c r="BC481" s="8"/>
      <c r="BD481" s="8"/>
      <c r="BE481" s="8"/>
      <c r="BF481" s="8"/>
      <c r="BG481" s="8"/>
      <c r="BH481" s="8"/>
      <c r="BI481" s="8"/>
    </row>
    <row r="482" spans="1:61" ht="11.25" customHeight="1" x14ac:dyDescent="0.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c r="AZ482" s="8"/>
      <c r="BA482" s="8"/>
      <c r="BB482" s="8"/>
      <c r="BC482" s="8"/>
      <c r="BD482" s="8"/>
      <c r="BE482" s="8"/>
      <c r="BF482" s="8"/>
      <c r="BG482" s="8"/>
      <c r="BH482" s="8"/>
      <c r="BI482" s="8"/>
    </row>
    <row r="483" spans="1:61" ht="11.25" customHeight="1" x14ac:dyDescent="0.2">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c r="AZ483" s="8"/>
      <c r="BA483" s="8"/>
      <c r="BB483" s="8"/>
      <c r="BC483" s="8"/>
      <c r="BD483" s="8"/>
      <c r="BE483" s="8"/>
      <c r="BF483" s="8"/>
      <c r="BG483" s="8"/>
      <c r="BH483" s="8"/>
      <c r="BI483" s="8"/>
    </row>
    <row r="484" spans="1:61" ht="11.25" customHeight="1" x14ac:dyDescent="0.2">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c r="AT484" s="8"/>
      <c r="AU484" s="8"/>
      <c r="AV484" s="8"/>
      <c r="AW484" s="8"/>
      <c r="AX484" s="8"/>
      <c r="AY484" s="8"/>
      <c r="AZ484" s="8"/>
      <c r="BA484" s="8"/>
      <c r="BB484" s="8"/>
      <c r="BC484" s="8"/>
      <c r="BD484" s="8"/>
      <c r="BE484" s="8"/>
      <c r="BF484" s="8"/>
      <c r="BG484" s="8"/>
      <c r="BH484" s="8"/>
      <c r="BI484" s="8"/>
    </row>
    <row r="485" spans="1:61" ht="11.25" customHeight="1" x14ac:dyDescent="0.2">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c r="AZ485" s="8"/>
      <c r="BA485" s="8"/>
      <c r="BB485" s="8"/>
      <c r="BC485" s="8"/>
      <c r="BD485" s="8"/>
      <c r="BE485" s="8"/>
      <c r="BF485" s="8"/>
      <c r="BG485" s="8"/>
      <c r="BH485" s="8"/>
      <c r="BI485" s="8"/>
    </row>
    <row r="486" spans="1:61" ht="11.25" customHeight="1" x14ac:dyDescent="0.2">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c r="AZ486" s="8"/>
      <c r="BA486" s="8"/>
      <c r="BB486" s="8"/>
      <c r="BC486" s="8"/>
      <c r="BD486" s="8"/>
      <c r="BE486" s="8"/>
      <c r="BF486" s="8"/>
      <c r="BG486" s="8"/>
      <c r="BH486" s="8"/>
      <c r="BI486" s="8"/>
    </row>
    <row r="487" spans="1:61" ht="11.25" customHeight="1" x14ac:dyDescent="0.2">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c r="AZ487" s="8"/>
      <c r="BA487" s="8"/>
      <c r="BB487" s="8"/>
      <c r="BC487" s="8"/>
      <c r="BD487" s="8"/>
      <c r="BE487" s="8"/>
      <c r="BF487" s="8"/>
      <c r="BG487" s="8"/>
      <c r="BH487" s="8"/>
      <c r="BI487" s="8"/>
    </row>
    <row r="488" spans="1:61" ht="11.25" customHeight="1" x14ac:dyDescent="0.2">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c r="AZ488" s="8"/>
      <c r="BA488" s="8"/>
      <c r="BB488" s="8"/>
      <c r="BC488" s="8"/>
      <c r="BD488" s="8"/>
      <c r="BE488" s="8"/>
      <c r="BF488" s="8"/>
      <c r="BG488" s="8"/>
      <c r="BH488" s="8"/>
      <c r="BI488" s="8"/>
    </row>
    <row r="489" spans="1:61" ht="11.25" customHeight="1" x14ac:dyDescent="0.2">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c r="AT489" s="8"/>
      <c r="AU489" s="8"/>
      <c r="AV489" s="8"/>
      <c r="AW489" s="8"/>
      <c r="AX489" s="8"/>
      <c r="AY489" s="8"/>
      <c r="AZ489" s="8"/>
      <c r="BA489" s="8"/>
      <c r="BB489" s="8"/>
      <c r="BC489" s="8"/>
      <c r="BD489" s="8"/>
      <c r="BE489" s="8"/>
      <c r="BF489" s="8"/>
      <c r="BG489" s="8"/>
      <c r="BH489" s="8"/>
      <c r="BI489" s="8"/>
    </row>
    <row r="490" spans="1:61" ht="11.25" customHeight="1" x14ac:dyDescent="0.2">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c r="AM490" s="8"/>
      <c r="AN490" s="8"/>
      <c r="AO490" s="8"/>
      <c r="AP490" s="8"/>
      <c r="AQ490" s="8"/>
      <c r="AR490" s="8"/>
      <c r="AS490" s="8"/>
      <c r="AT490" s="8"/>
      <c r="AU490" s="8"/>
      <c r="AV490" s="8"/>
      <c r="AW490" s="8"/>
      <c r="AX490" s="8"/>
      <c r="AY490" s="8"/>
      <c r="AZ490" s="8"/>
      <c r="BA490" s="8"/>
      <c r="BB490" s="8"/>
      <c r="BC490" s="8"/>
      <c r="BD490" s="8"/>
      <c r="BE490" s="8"/>
      <c r="BF490" s="8"/>
      <c r="BG490" s="8"/>
      <c r="BH490" s="8"/>
      <c r="BI490" s="8"/>
    </row>
    <row r="491" spans="1:61" ht="11.25" customHeight="1" x14ac:dyDescent="0.2">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c r="AT491" s="8"/>
      <c r="AU491" s="8"/>
      <c r="AV491" s="8"/>
      <c r="AW491" s="8"/>
      <c r="AX491" s="8"/>
      <c r="AY491" s="8"/>
      <c r="AZ491" s="8"/>
      <c r="BA491" s="8"/>
      <c r="BB491" s="8"/>
      <c r="BC491" s="8"/>
      <c r="BD491" s="8"/>
      <c r="BE491" s="8"/>
      <c r="BF491" s="8"/>
      <c r="BG491" s="8"/>
      <c r="BH491" s="8"/>
      <c r="BI491" s="8"/>
    </row>
    <row r="492" spans="1:61" ht="11.25" customHeight="1" x14ac:dyDescent="0.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8"/>
      <c r="AW492" s="8"/>
      <c r="AX492" s="8"/>
      <c r="AY492" s="8"/>
      <c r="AZ492" s="8"/>
      <c r="BA492" s="8"/>
      <c r="BB492" s="8"/>
      <c r="BC492" s="8"/>
      <c r="BD492" s="8"/>
      <c r="BE492" s="8"/>
      <c r="BF492" s="8"/>
      <c r="BG492" s="8"/>
      <c r="BH492" s="8"/>
      <c r="BI492" s="8"/>
    </row>
    <row r="493" spans="1:61" ht="11.25" customHeight="1" x14ac:dyDescent="0.2">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c r="AM493" s="8"/>
      <c r="AN493" s="8"/>
      <c r="AO493" s="8"/>
      <c r="AP493" s="8"/>
      <c r="AQ493" s="8"/>
      <c r="AR493" s="8"/>
      <c r="AS493" s="8"/>
      <c r="AT493" s="8"/>
      <c r="AU493" s="8"/>
      <c r="AV493" s="8"/>
      <c r="AW493" s="8"/>
      <c r="AX493" s="8"/>
      <c r="AY493" s="8"/>
      <c r="AZ493" s="8"/>
      <c r="BA493" s="8"/>
      <c r="BB493" s="8"/>
      <c r="BC493" s="8"/>
      <c r="BD493" s="8"/>
      <c r="BE493" s="8"/>
      <c r="BF493" s="8"/>
      <c r="BG493" s="8"/>
      <c r="BH493" s="8"/>
      <c r="BI493" s="8"/>
    </row>
    <row r="494" spans="1:61" ht="11.25" customHeight="1" x14ac:dyDescent="0.2">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8"/>
      <c r="AV494" s="8"/>
      <c r="AW494" s="8"/>
      <c r="AX494" s="8"/>
      <c r="AY494" s="8"/>
      <c r="AZ494" s="8"/>
      <c r="BA494" s="8"/>
      <c r="BB494" s="8"/>
      <c r="BC494" s="8"/>
      <c r="BD494" s="8"/>
      <c r="BE494" s="8"/>
      <c r="BF494" s="8"/>
      <c r="BG494" s="8"/>
      <c r="BH494" s="8"/>
      <c r="BI494" s="8"/>
    </row>
    <row r="495" spans="1:61" ht="11.25" customHeight="1" x14ac:dyDescent="0.2">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c r="AZ495" s="8"/>
      <c r="BA495" s="8"/>
      <c r="BB495" s="8"/>
      <c r="BC495" s="8"/>
      <c r="BD495" s="8"/>
      <c r="BE495" s="8"/>
      <c r="BF495" s="8"/>
      <c r="BG495" s="8"/>
      <c r="BH495" s="8"/>
      <c r="BI495" s="8"/>
    </row>
    <row r="496" spans="1:61" ht="11.25" customHeight="1" x14ac:dyDescent="0.2">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8"/>
      <c r="AV496" s="8"/>
      <c r="AW496" s="8"/>
      <c r="AX496" s="8"/>
      <c r="AY496" s="8"/>
      <c r="AZ496" s="8"/>
      <c r="BA496" s="8"/>
      <c r="BB496" s="8"/>
      <c r="BC496" s="8"/>
      <c r="BD496" s="8"/>
      <c r="BE496" s="8"/>
      <c r="BF496" s="8"/>
      <c r="BG496" s="8"/>
      <c r="BH496" s="8"/>
      <c r="BI496" s="8"/>
    </row>
    <row r="497" spans="1:61" ht="11.25" customHeight="1" x14ac:dyDescent="0.2">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c r="AM497" s="8"/>
      <c r="AN497" s="8"/>
      <c r="AO497" s="8"/>
      <c r="AP497" s="8"/>
      <c r="AQ497" s="8"/>
      <c r="AR497" s="8"/>
      <c r="AS497" s="8"/>
      <c r="AT497" s="8"/>
      <c r="AU497" s="8"/>
      <c r="AV497" s="8"/>
      <c r="AW497" s="8"/>
      <c r="AX497" s="8"/>
      <c r="AY497" s="8"/>
      <c r="AZ497" s="8"/>
      <c r="BA497" s="8"/>
      <c r="BB497" s="8"/>
      <c r="BC497" s="8"/>
      <c r="BD497" s="8"/>
      <c r="BE497" s="8"/>
      <c r="BF497" s="8"/>
      <c r="BG497" s="8"/>
      <c r="BH497" s="8"/>
      <c r="BI497" s="8"/>
    </row>
    <row r="498" spans="1:61" ht="11.25" customHeight="1" x14ac:dyDescent="0.2">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c r="AZ498" s="8"/>
      <c r="BA498" s="8"/>
      <c r="BB498" s="8"/>
      <c r="BC498" s="8"/>
      <c r="BD498" s="8"/>
      <c r="BE498" s="8"/>
      <c r="BF498" s="8"/>
      <c r="BG498" s="8"/>
      <c r="BH498" s="8"/>
      <c r="BI498" s="8"/>
    </row>
    <row r="499" spans="1:61" ht="11.25" customHeight="1" x14ac:dyDescent="0.2">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c r="AZ499" s="8"/>
      <c r="BA499" s="8"/>
      <c r="BB499" s="8"/>
      <c r="BC499" s="8"/>
      <c r="BD499" s="8"/>
      <c r="BE499" s="8"/>
      <c r="BF499" s="8"/>
      <c r="BG499" s="8"/>
      <c r="BH499" s="8"/>
      <c r="BI499" s="8"/>
    </row>
    <row r="500" spans="1:61" ht="11.25" customHeight="1" x14ac:dyDescent="0.2">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c r="AU500" s="8"/>
      <c r="AV500" s="8"/>
      <c r="AW500" s="8"/>
      <c r="AX500" s="8"/>
      <c r="AY500" s="8"/>
      <c r="AZ500" s="8"/>
      <c r="BA500" s="8"/>
      <c r="BB500" s="8"/>
      <c r="BC500" s="8"/>
      <c r="BD500" s="8"/>
      <c r="BE500" s="8"/>
      <c r="BF500" s="8"/>
      <c r="BG500" s="8"/>
      <c r="BH500" s="8"/>
      <c r="BI500" s="8"/>
    </row>
    <row r="501" spans="1:61" ht="11.25" customHeight="1" x14ac:dyDescent="0.2">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8"/>
      <c r="AW501" s="8"/>
      <c r="AX501" s="8"/>
      <c r="AY501" s="8"/>
      <c r="AZ501" s="8"/>
      <c r="BA501" s="8"/>
      <c r="BB501" s="8"/>
      <c r="BC501" s="8"/>
      <c r="BD501" s="8"/>
      <c r="BE501" s="8"/>
      <c r="BF501" s="8"/>
      <c r="BG501" s="8"/>
      <c r="BH501" s="8"/>
      <c r="BI501" s="8"/>
    </row>
    <row r="502" spans="1:61" ht="11.25" customHeight="1" x14ac:dyDescent="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c r="AT502" s="8"/>
      <c r="AU502" s="8"/>
      <c r="AV502" s="8"/>
      <c r="AW502" s="8"/>
      <c r="AX502" s="8"/>
      <c r="AY502" s="8"/>
      <c r="AZ502" s="8"/>
      <c r="BA502" s="8"/>
      <c r="BB502" s="8"/>
      <c r="BC502" s="8"/>
      <c r="BD502" s="8"/>
      <c r="BE502" s="8"/>
      <c r="BF502" s="8"/>
      <c r="BG502" s="8"/>
      <c r="BH502" s="8"/>
      <c r="BI502" s="8"/>
    </row>
    <row r="503" spans="1:61" ht="11.25" customHeight="1" x14ac:dyDescent="0.2">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c r="AT503" s="8"/>
      <c r="AU503" s="8"/>
      <c r="AV503" s="8"/>
      <c r="AW503" s="8"/>
      <c r="AX503" s="8"/>
      <c r="AY503" s="8"/>
      <c r="AZ503" s="8"/>
      <c r="BA503" s="8"/>
      <c r="BB503" s="8"/>
      <c r="BC503" s="8"/>
      <c r="BD503" s="8"/>
      <c r="BE503" s="8"/>
      <c r="BF503" s="8"/>
      <c r="BG503" s="8"/>
      <c r="BH503" s="8"/>
      <c r="BI503" s="8"/>
    </row>
    <row r="504" spans="1:61" ht="11.25" customHeight="1" x14ac:dyDescent="0.2">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c r="BF504" s="8"/>
      <c r="BG504" s="8"/>
      <c r="BH504" s="8"/>
      <c r="BI504" s="8"/>
    </row>
    <row r="505" spans="1:61" ht="11.25" customHeight="1" x14ac:dyDescent="0.2">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c r="AK505" s="8"/>
      <c r="AL505" s="8"/>
      <c r="AM505" s="8"/>
      <c r="AN505" s="8"/>
      <c r="AO505" s="8"/>
      <c r="AP505" s="8"/>
      <c r="AQ505" s="8"/>
      <c r="AR505" s="8"/>
      <c r="AS505" s="8"/>
      <c r="AT505" s="8"/>
      <c r="AU505" s="8"/>
      <c r="AV505" s="8"/>
      <c r="AW505" s="8"/>
      <c r="AX505" s="8"/>
      <c r="AY505" s="8"/>
      <c r="AZ505" s="8"/>
      <c r="BA505" s="8"/>
      <c r="BB505" s="8"/>
      <c r="BC505" s="8"/>
      <c r="BD505" s="8"/>
      <c r="BE505" s="8"/>
      <c r="BF505" s="8"/>
      <c r="BG505" s="8"/>
      <c r="BH505" s="8"/>
      <c r="BI505" s="8"/>
    </row>
    <row r="506" spans="1:61" ht="11.25" customHeight="1" x14ac:dyDescent="0.2">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c r="AM506" s="8"/>
      <c r="AN506" s="8"/>
      <c r="AO506" s="8"/>
      <c r="AP506" s="8"/>
      <c r="AQ506" s="8"/>
      <c r="AR506" s="8"/>
      <c r="AS506" s="8"/>
      <c r="AT506" s="8"/>
      <c r="AU506" s="8"/>
      <c r="AV506" s="8"/>
      <c r="AW506" s="8"/>
      <c r="AX506" s="8"/>
      <c r="AY506" s="8"/>
      <c r="AZ506" s="8"/>
      <c r="BA506" s="8"/>
      <c r="BB506" s="8"/>
      <c r="BC506" s="8"/>
      <c r="BD506" s="8"/>
      <c r="BE506" s="8"/>
      <c r="BF506" s="8"/>
      <c r="BG506" s="8"/>
      <c r="BH506" s="8"/>
      <c r="BI506" s="8"/>
    </row>
    <row r="507" spans="1:61" ht="11.25" customHeight="1" x14ac:dyDescent="0.2">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c r="AU507" s="8"/>
      <c r="AV507" s="8"/>
      <c r="AW507" s="8"/>
      <c r="AX507" s="8"/>
      <c r="AY507" s="8"/>
      <c r="AZ507" s="8"/>
      <c r="BA507" s="8"/>
      <c r="BB507" s="8"/>
      <c r="BC507" s="8"/>
      <c r="BD507" s="8"/>
      <c r="BE507" s="8"/>
      <c r="BF507" s="8"/>
      <c r="BG507" s="8"/>
      <c r="BH507" s="8"/>
      <c r="BI507" s="8"/>
    </row>
    <row r="508" spans="1:61" ht="11.25" customHeight="1" x14ac:dyDescent="0.2">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c r="AK508" s="8"/>
      <c r="AL508" s="8"/>
      <c r="AM508" s="8"/>
      <c r="AN508" s="8"/>
      <c r="AO508" s="8"/>
      <c r="AP508" s="8"/>
      <c r="AQ508" s="8"/>
      <c r="AR508" s="8"/>
      <c r="AS508" s="8"/>
      <c r="AT508" s="8"/>
      <c r="AU508" s="8"/>
      <c r="AV508" s="8"/>
      <c r="AW508" s="8"/>
      <c r="AX508" s="8"/>
      <c r="AY508" s="8"/>
      <c r="AZ508" s="8"/>
      <c r="BA508" s="8"/>
      <c r="BB508" s="8"/>
      <c r="BC508" s="8"/>
      <c r="BD508" s="8"/>
      <c r="BE508" s="8"/>
      <c r="BF508" s="8"/>
      <c r="BG508" s="8"/>
      <c r="BH508" s="8"/>
      <c r="BI508" s="8"/>
    </row>
    <row r="509" spans="1:61" ht="11.25" customHeight="1" x14ac:dyDescent="0.2">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c r="AK509" s="8"/>
      <c r="AL509" s="8"/>
      <c r="AM509" s="8"/>
      <c r="AN509" s="8"/>
      <c r="AO509" s="8"/>
      <c r="AP509" s="8"/>
      <c r="AQ509" s="8"/>
      <c r="AR509" s="8"/>
      <c r="AS509" s="8"/>
      <c r="AT509" s="8"/>
      <c r="AU509" s="8"/>
      <c r="AV509" s="8"/>
      <c r="AW509" s="8"/>
      <c r="AX509" s="8"/>
      <c r="AY509" s="8"/>
      <c r="AZ509" s="8"/>
      <c r="BA509" s="8"/>
      <c r="BB509" s="8"/>
      <c r="BC509" s="8"/>
      <c r="BD509" s="8"/>
      <c r="BE509" s="8"/>
      <c r="BF509" s="8"/>
      <c r="BG509" s="8"/>
      <c r="BH509" s="8"/>
      <c r="BI509" s="8"/>
    </row>
    <row r="510" spans="1:61" ht="11.25" customHeight="1" x14ac:dyDescent="0.2">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c r="AZ510" s="8"/>
      <c r="BA510" s="8"/>
      <c r="BB510" s="8"/>
      <c r="BC510" s="8"/>
      <c r="BD510" s="8"/>
      <c r="BE510" s="8"/>
      <c r="BF510" s="8"/>
      <c r="BG510" s="8"/>
      <c r="BH510" s="8"/>
      <c r="BI510" s="8"/>
    </row>
    <row r="511" spans="1:61" ht="11.25" customHeight="1" x14ac:dyDescent="0.2">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c r="AM511" s="8"/>
      <c r="AN511" s="8"/>
      <c r="AO511" s="8"/>
      <c r="AP511" s="8"/>
      <c r="AQ511" s="8"/>
      <c r="AR511" s="8"/>
      <c r="AS511" s="8"/>
      <c r="AT511" s="8"/>
      <c r="AU511" s="8"/>
      <c r="AV511" s="8"/>
      <c r="AW511" s="8"/>
      <c r="AX511" s="8"/>
      <c r="AY511" s="8"/>
      <c r="AZ511" s="8"/>
      <c r="BA511" s="8"/>
      <c r="BB511" s="8"/>
      <c r="BC511" s="8"/>
      <c r="BD511" s="8"/>
      <c r="BE511" s="8"/>
      <c r="BF511" s="8"/>
      <c r="BG511" s="8"/>
      <c r="BH511" s="8"/>
      <c r="BI511" s="8"/>
    </row>
    <row r="512" spans="1:61" ht="11.25" customHeight="1" x14ac:dyDescent="0.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c r="AM512" s="8"/>
      <c r="AN512" s="8"/>
      <c r="AO512" s="8"/>
      <c r="AP512" s="8"/>
      <c r="AQ512" s="8"/>
      <c r="AR512" s="8"/>
      <c r="AS512" s="8"/>
      <c r="AT512" s="8"/>
      <c r="AU512" s="8"/>
      <c r="AV512" s="8"/>
      <c r="AW512" s="8"/>
      <c r="AX512" s="8"/>
      <c r="AY512" s="8"/>
      <c r="AZ512" s="8"/>
      <c r="BA512" s="8"/>
      <c r="BB512" s="8"/>
      <c r="BC512" s="8"/>
      <c r="BD512" s="8"/>
      <c r="BE512" s="8"/>
      <c r="BF512" s="8"/>
      <c r="BG512" s="8"/>
      <c r="BH512" s="8"/>
      <c r="BI512" s="8"/>
    </row>
    <row r="513" spans="1:61" ht="11.25" customHeight="1" x14ac:dyDescent="0.2">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c r="AZ513" s="8"/>
      <c r="BA513" s="8"/>
      <c r="BB513" s="8"/>
      <c r="BC513" s="8"/>
      <c r="BD513" s="8"/>
      <c r="BE513" s="8"/>
      <c r="BF513" s="8"/>
      <c r="BG513" s="8"/>
      <c r="BH513" s="8"/>
      <c r="BI513" s="8"/>
    </row>
    <row r="514" spans="1:61" ht="11.25" customHeight="1" x14ac:dyDescent="0.2">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c r="AK514" s="8"/>
      <c r="AL514" s="8"/>
      <c r="AM514" s="8"/>
      <c r="AN514" s="8"/>
      <c r="AO514" s="8"/>
      <c r="AP514" s="8"/>
      <c r="AQ514" s="8"/>
      <c r="AR514" s="8"/>
      <c r="AS514" s="8"/>
      <c r="AT514" s="8"/>
      <c r="AU514" s="8"/>
      <c r="AV514" s="8"/>
      <c r="AW514" s="8"/>
      <c r="AX514" s="8"/>
      <c r="AY514" s="8"/>
      <c r="AZ514" s="8"/>
      <c r="BA514" s="8"/>
      <c r="BB514" s="8"/>
      <c r="BC514" s="8"/>
      <c r="BD514" s="8"/>
      <c r="BE514" s="8"/>
      <c r="BF514" s="8"/>
      <c r="BG514" s="8"/>
      <c r="BH514" s="8"/>
      <c r="BI514" s="8"/>
    </row>
    <row r="515" spans="1:61" ht="11.25" customHeight="1" x14ac:dyDescent="0.2">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row>
    <row r="516" spans="1:61" ht="11.25" customHeight="1" x14ac:dyDescent="0.2">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c r="AM516" s="8"/>
      <c r="AN516" s="8"/>
      <c r="AO516" s="8"/>
      <c r="AP516" s="8"/>
      <c r="AQ516" s="8"/>
      <c r="AR516" s="8"/>
      <c r="AS516" s="8"/>
      <c r="AT516" s="8"/>
      <c r="AU516" s="8"/>
      <c r="AV516" s="8"/>
      <c r="AW516" s="8"/>
      <c r="AX516" s="8"/>
      <c r="AY516" s="8"/>
      <c r="AZ516" s="8"/>
      <c r="BA516" s="8"/>
      <c r="BB516" s="8"/>
      <c r="BC516" s="8"/>
      <c r="BD516" s="8"/>
      <c r="BE516" s="8"/>
      <c r="BF516" s="8"/>
      <c r="BG516" s="8"/>
      <c r="BH516" s="8"/>
      <c r="BI516" s="8"/>
    </row>
    <row r="517" spans="1:61" ht="11.25" customHeight="1" x14ac:dyDescent="0.2">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c r="AK517" s="8"/>
      <c r="AL517" s="8"/>
      <c r="AM517" s="8"/>
      <c r="AN517" s="8"/>
      <c r="AO517" s="8"/>
      <c r="AP517" s="8"/>
      <c r="AQ517" s="8"/>
      <c r="AR517" s="8"/>
      <c r="AS517" s="8"/>
      <c r="AT517" s="8"/>
      <c r="AU517" s="8"/>
      <c r="AV517" s="8"/>
      <c r="AW517" s="8"/>
      <c r="AX517" s="8"/>
      <c r="AY517" s="8"/>
      <c r="AZ517" s="8"/>
      <c r="BA517" s="8"/>
      <c r="BB517" s="8"/>
      <c r="BC517" s="8"/>
      <c r="BD517" s="8"/>
      <c r="BE517" s="8"/>
      <c r="BF517" s="8"/>
      <c r="BG517" s="8"/>
      <c r="BH517" s="8"/>
      <c r="BI517" s="8"/>
    </row>
    <row r="518" spans="1:61" ht="11.25" customHeight="1" x14ac:dyDescent="0.2">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c r="AK518" s="8"/>
      <c r="AL518" s="8"/>
      <c r="AM518" s="8"/>
      <c r="AN518" s="8"/>
      <c r="AO518" s="8"/>
      <c r="AP518" s="8"/>
      <c r="AQ518" s="8"/>
      <c r="AR518" s="8"/>
      <c r="AS518" s="8"/>
      <c r="AT518" s="8"/>
      <c r="AU518" s="8"/>
      <c r="AV518" s="8"/>
      <c r="AW518" s="8"/>
      <c r="AX518" s="8"/>
      <c r="AY518" s="8"/>
      <c r="AZ518" s="8"/>
      <c r="BA518" s="8"/>
      <c r="BB518" s="8"/>
      <c r="BC518" s="8"/>
      <c r="BD518" s="8"/>
      <c r="BE518" s="8"/>
      <c r="BF518" s="8"/>
      <c r="BG518" s="8"/>
      <c r="BH518" s="8"/>
      <c r="BI518" s="8"/>
    </row>
    <row r="519" spans="1:61" ht="11.25" customHeight="1" x14ac:dyDescent="0.2">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c r="AU519" s="8"/>
      <c r="AV519" s="8"/>
      <c r="AW519" s="8"/>
      <c r="AX519" s="8"/>
      <c r="AY519" s="8"/>
      <c r="AZ519" s="8"/>
      <c r="BA519" s="8"/>
      <c r="BB519" s="8"/>
      <c r="BC519" s="8"/>
      <c r="BD519" s="8"/>
      <c r="BE519" s="8"/>
      <c r="BF519" s="8"/>
      <c r="BG519" s="8"/>
      <c r="BH519" s="8"/>
      <c r="BI519" s="8"/>
    </row>
    <row r="520" spans="1:61" ht="11.25" customHeight="1" x14ac:dyDescent="0.2">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c r="AU520" s="8"/>
      <c r="AV520" s="8"/>
      <c r="AW520" s="8"/>
      <c r="AX520" s="8"/>
      <c r="AY520" s="8"/>
      <c r="AZ520" s="8"/>
      <c r="BA520" s="8"/>
      <c r="BB520" s="8"/>
      <c r="BC520" s="8"/>
      <c r="BD520" s="8"/>
      <c r="BE520" s="8"/>
      <c r="BF520" s="8"/>
      <c r="BG520" s="8"/>
      <c r="BH520" s="8"/>
      <c r="BI520" s="8"/>
    </row>
    <row r="521" spans="1:61" ht="11.25" customHeight="1" x14ac:dyDescent="0.2">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c r="AK521" s="8"/>
      <c r="AL521" s="8"/>
      <c r="AM521" s="8"/>
      <c r="AN521" s="8"/>
      <c r="AO521" s="8"/>
      <c r="AP521" s="8"/>
      <c r="AQ521" s="8"/>
      <c r="AR521" s="8"/>
      <c r="AS521" s="8"/>
      <c r="AT521" s="8"/>
      <c r="AU521" s="8"/>
      <c r="AV521" s="8"/>
      <c r="AW521" s="8"/>
      <c r="AX521" s="8"/>
      <c r="AY521" s="8"/>
      <c r="AZ521" s="8"/>
      <c r="BA521" s="8"/>
      <c r="BB521" s="8"/>
      <c r="BC521" s="8"/>
      <c r="BD521" s="8"/>
      <c r="BE521" s="8"/>
      <c r="BF521" s="8"/>
      <c r="BG521" s="8"/>
      <c r="BH521" s="8"/>
      <c r="BI521" s="8"/>
    </row>
    <row r="522" spans="1:61" ht="11.25" customHeight="1" x14ac:dyDescent="0.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c r="AM522" s="8"/>
      <c r="AN522" s="8"/>
      <c r="AO522" s="8"/>
      <c r="AP522" s="8"/>
      <c r="AQ522" s="8"/>
      <c r="AR522" s="8"/>
      <c r="AS522" s="8"/>
      <c r="AT522" s="8"/>
      <c r="AU522" s="8"/>
      <c r="AV522" s="8"/>
      <c r="AW522" s="8"/>
      <c r="AX522" s="8"/>
      <c r="AY522" s="8"/>
      <c r="AZ522" s="8"/>
      <c r="BA522" s="8"/>
      <c r="BB522" s="8"/>
      <c r="BC522" s="8"/>
      <c r="BD522" s="8"/>
      <c r="BE522" s="8"/>
      <c r="BF522" s="8"/>
      <c r="BG522" s="8"/>
      <c r="BH522" s="8"/>
      <c r="BI522" s="8"/>
    </row>
    <row r="523" spans="1:61" ht="11.25" customHeight="1" x14ac:dyDescent="0.2">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c r="AU523" s="8"/>
      <c r="AV523" s="8"/>
      <c r="AW523" s="8"/>
      <c r="AX523" s="8"/>
      <c r="AY523" s="8"/>
      <c r="AZ523" s="8"/>
      <c r="BA523" s="8"/>
      <c r="BB523" s="8"/>
      <c r="BC523" s="8"/>
      <c r="BD523" s="8"/>
      <c r="BE523" s="8"/>
      <c r="BF523" s="8"/>
      <c r="BG523" s="8"/>
      <c r="BH523" s="8"/>
      <c r="BI523" s="8"/>
    </row>
    <row r="524" spans="1:61" ht="11.25" customHeight="1" x14ac:dyDescent="0.2">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c r="AK524" s="8"/>
      <c r="AL524" s="8"/>
      <c r="AM524" s="8"/>
      <c r="AN524" s="8"/>
      <c r="AO524" s="8"/>
      <c r="AP524" s="8"/>
      <c r="AQ524" s="8"/>
      <c r="AR524" s="8"/>
      <c r="AS524" s="8"/>
      <c r="AT524" s="8"/>
      <c r="AU524" s="8"/>
      <c r="AV524" s="8"/>
      <c r="AW524" s="8"/>
      <c r="AX524" s="8"/>
      <c r="AY524" s="8"/>
      <c r="AZ524" s="8"/>
      <c r="BA524" s="8"/>
      <c r="BB524" s="8"/>
      <c r="BC524" s="8"/>
      <c r="BD524" s="8"/>
      <c r="BE524" s="8"/>
      <c r="BF524" s="8"/>
      <c r="BG524" s="8"/>
      <c r="BH524" s="8"/>
      <c r="BI524" s="8"/>
    </row>
    <row r="525" spans="1:61" ht="11.25" customHeight="1" x14ac:dyDescent="0.2">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c r="AM525" s="8"/>
      <c r="AN525" s="8"/>
      <c r="AO525" s="8"/>
      <c r="AP525" s="8"/>
      <c r="AQ525" s="8"/>
      <c r="AR525" s="8"/>
      <c r="AS525" s="8"/>
      <c r="AT525" s="8"/>
      <c r="AU525" s="8"/>
      <c r="AV525" s="8"/>
      <c r="AW525" s="8"/>
      <c r="AX525" s="8"/>
      <c r="AY525" s="8"/>
      <c r="AZ525" s="8"/>
      <c r="BA525" s="8"/>
      <c r="BB525" s="8"/>
      <c r="BC525" s="8"/>
      <c r="BD525" s="8"/>
      <c r="BE525" s="8"/>
      <c r="BF525" s="8"/>
      <c r="BG525" s="8"/>
      <c r="BH525" s="8"/>
      <c r="BI525" s="8"/>
    </row>
    <row r="526" spans="1:61" ht="11.25" customHeight="1" x14ac:dyDescent="0.2">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c r="AK526" s="8"/>
      <c r="AL526" s="8"/>
      <c r="AM526" s="8"/>
      <c r="AN526" s="8"/>
      <c r="AO526" s="8"/>
      <c r="AP526" s="8"/>
      <c r="AQ526" s="8"/>
      <c r="AR526" s="8"/>
      <c r="AS526" s="8"/>
      <c r="AT526" s="8"/>
      <c r="AU526" s="8"/>
      <c r="AV526" s="8"/>
      <c r="AW526" s="8"/>
      <c r="AX526" s="8"/>
      <c r="AY526" s="8"/>
      <c r="AZ526" s="8"/>
      <c r="BA526" s="8"/>
      <c r="BB526" s="8"/>
      <c r="BC526" s="8"/>
      <c r="BD526" s="8"/>
      <c r="BE526" s="8"/>
      <c r="BF526" s="8"/>
      <c r="BG526" s="8"/>
      <c r="BH526" s="8"/>
      <c r="BI526" s="8"/>
    </row>
    <row r="527" spans="1:61" ht="11.25" customHeight="1" x14ac:dyDescent="0.2">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8"/>
      <c r="AW527" s="8"/>
      <c r="AX527" s="8"/>
      <c r="AY527" s="8"/>
      <c r="AZ527" s="8"/>
      <c r="BA527" s="8"/>
      <c r="BB527" s="8"/>
      <c r="BC527" s="8"/>
      <c r="BD527" s="8"/>
      <c r="BE527" s="8"/>
      <c r="BF527" s="8"/>
      <c r="BG527" s="8"/>
      <c r="BH527" s="8"/>
      <c r="BI527" s="8"/>
    </row>
    <row r="528" spans="1:61" ht="11.25" customHeight="1" x14ac:dyDescent="0.2">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c r="AM528" s="8"/>
      <c r="AN528" s="8"/>
      <c r="AO528" s="8"/>
      <c r="AP528" s="8"/>
      <c r="AQ528" s="8"/>
      <c r="AR528" s="8"/>
      <c r="AS528" s="8"/>
      <c r="AT528" s="8"/>
      <c r="AU528" s="8"/>
      <c r="AV528" s="8"/>
      <c r="AW528" s="8"/>
      <c r="AX528" s="8"/>
      <c r="AY528" s="8"/>
      <c r="AZ528" s="8"/>
      <c r="BA528" s="8"/>
      <c r="BB528" s="8"/>
      <c r="BC528" s="8"/>
      <c r="BD528" s="8"/>
      <c r="BE528" s="8"/>
      <c r="BF528" s="8"/>
      <c r="BG528" s="8"/>
      <c r="BH528" s="8"/>
      <c r="BI528" s="8"/>
    </row>
    <row r="529" spans="1:61" ht="11.25" customHeight="1" x14ac:dyDescent="0.2">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c r="AK529" s="8"/>
      <c r="AL529" s="8"/>
      <c r="AM529" s="8"/>
      <c r="AN529" s="8"/>
      <c r="AO529" s="8"/>
      <c r="AP529" s="8"/>
      <c r="AQ529" s="8"/>
      <c r="AR529" s="8"/>
      <c r="AS529" s="8"/>
      <c r="AT529" s="8"/>
      <c r="AU529" s="8"/>
      <c r="AV529" s="8"/>
      <c r="AW529" s="8"/>
      <c r="AX529" s="8"/>
      <c r="AY529" s="8"/>
      <c r="AZ529" s="8"/>
      <c r="BA529" s="8"/>
      <c r="BB529" s="8"/>
      <c r="BC529" s="8"/>
      <c r="BD529" s="8"/>
      <c r="BE529" s="8"/>
      <c r="BF529" s="8"/>
      <c r="BG529" s="8"/>
      <c r="BH529" s="8"/>
      <c r="BI529" s="8"/>
    </row>
    <row r="530" spans="1:61" ht="11.25" customHeight="1" x14ac:dyDescent="0.2">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8"/>
      <c r="AW530" s="8"/>
      <c r="AX530" s="8"/>
      <c r="AY530" s="8"/>
      <c r="AZ530" s="8"/>
      <c r="BA530" s="8"/>
      <c r="BB530" s="8"/>
      <c r="BC530" s="8"/>
      <c r="BD530" s="8"/>
      <c r="BE530" s="8"/>
      <c r="BF530" s="8"/>
      <c r="BG530" s="8"/>
      <c r="BH530" s="8"/>
      <c r="BI530" s="8"/>
    </row>
    <row r="531" spans="1:61" ht="11.25" customHeight="1" x14ac:dyDescent="0.2">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c r="AZ531" s="8"/>
      <c r="BA531" s="8"/>
      <c r="BB531" s="8"/>
      <c r="BC531" s="8"/>
      <c r="BD531" s="8"/>
      <c r="BE531" s="8"/>
      <c r="BF531" s="8"/>
      <c r="BG531" s="8"/>
      <c r="BH531" s="8"/>
      <c r="BI531" s="8"/>
    </row>
    <row r="532" spans="1:61" ht="11.25" customHeight="1" x14ac:dyDescent="0.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c r="AK532" s="8"/>
      <c r="AL532" s="8"/>
      <c r="AM532" s="8"/>
      <c r="AN532" s="8"/>
      <c r="AO532" s="8"/>
      <c r="AP532" s="8"/>
      <c r="AQ532" s="8"/>
      <c r="AR532" s="8"/>
      <c r="AS532" s="8"/>
      <c r="AT532" s="8"/>
      <c r="AU532" s="8"/>
      <c r="AV532" s="8"/>
      <c r="AW532" s="8"/>
      <c r="AX532" s="8"/>
      <c r="AY532" s="8"/>
      <c r="AZ532" s="8"/>
      <c r="BA532" s="8"/>
      <c r="BB532" s="8"/>
      <c r="BC532" s="8"/>
      <c r="BD532" s="8"/>
      <c r="BE532" s="8"/>
      <c r="BF532" s="8"/>
      <c r="BG532" s="8"/>
      <c r="BH532" s="8"/>
      <c r="BI532" s="8"/>
    </row>
    <row r="533" spans="1:61" ht="11.25" customHeight="1" x14ac:dyDescent="0.2">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8"/>
      <c r="AW533" s="8"/>
      <c r="AX533" s="8"/>
      <c r="AY533" s="8"/>
      <c r="AZ533" s="8"/>
      <c r="BA533" s="8"/>
      <c r="BB533" s="8"/>
      <c r="BC533" s="8"/>
      <c r="BD533" s="8"/>
      <c r="BE533" s="8"/>
      <c r="BF533" s="8"/>
      <c r="BG533" s="8"/>
      <c r="BH533" s="8"/>
      <c r="BI533" s="8"/>
    </row>
    <row r="534" spans="1:61" ht="11.25" customHeight="1" x14ac:dyDescent="0.2">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c r="AM534" s="8"/>
      <c r="AN534" s="8"/>
      <c r="AO534" s="8"/>
      <c r="AP534" s="8"/>
      <c r="AQ534" s="8"/>
      <c r="AR534" s="8"/>
      <c r="AS534" s="8"/>
      <c r="AT534" s="8"/>
      <c r="AU534" s="8"/>
      <c r="AV534" s="8"/>
      <c r="AW534" s="8"/>
      <c r="AX534" s="8"/>
      <c r="AY534" s="8"/>
      <c r="AZ534" s="8"/>
      <c r="BA534" s="8"/>
      <c r="BB534" s="8"/>
      <c r="BC534" s="8"/>
      <c r="BD534" s="8"/>
      <c r="BE534" s="8"/>
      <c r="BF534" s="8"/>
      <c r="BG534" s="8"/>
      <c r="BH534" s="8"/>
      <c r="BI534" s="8"/>
    </row>
    <row r="535" spans="1:61" ht="11.25" customHeight="1" x14ac:dyDescent="0.2">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c r="AK535" s="8"/>
      <c r="AL535" s="8"/>
      <c r="AM535" s="8"/>
      <c r="AN535" s="8"/>
      <c r="AO535" s="8"/>
      <c r="AP535" s="8"/>
      <c r="AQ535" s="8"/>
      <c r="AR535" s="8"/>
      <c r="AS535" s="8"/>
      <c r="AT535" s="8"/>
      <c r="AU535" s="8"/>
      <c r="AV535" s="8"/>
      <c r="AW535" s="8"/>
      <c r="AX535" s="8"/>
      <c r="AY535" s="8"/>
      <c r="AZ535" s="8"/>
      <c r="BA535" s="8"/>
      <c r="BB535" s="8"/>
      <c r="BC535" s="8"/>
      <c r="BD535" s="8"/>
      <c r="BE535" s="8"/>
      <c r="BF535" s="8"/>
      <c r="BG535" s="8"/>
      <c r="BH535" s="8"/>
      <c r="BI535" s="8"/>
    </row>
    <row r="536" spans="1:61" ht="11.25" customHeight="1" x14ac:dyDescent="0.2">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c r="AZ536" s="8"/>
      <c r="BA536" s="8"/>
      <c r="BB536" s="8"/>
      <c r="BC536" s="8"/>
      <c r="BD536" s="8"/>
      <c r="BE536" s="8"/>
      <c r="BF536" s="8"/>
      <c r="BG536" s="8"/>
      <c r="BH536" s="8"/>
      <c r="BI536" s="8"/>
    </row>
    <row r="537" spans="1:61" ht="11.25" customHeight="1" x14ac:dyDescent="0.2">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c r="AM537" s="8"/>
      <c r="AN537" s="8"/>
      <c r="AO537" s="8"/>
      <c r="AP537" s="8"/>
      <c r="AQ537" s="8"/>
      <c r="AR537" s="8"/>
      <c r="AS537" s="8"/>
      <c r="AT537" s="8"/>
      <c r="AU537" s="8"/>
      <c r="AV537" s="8"/>
      <c r="AW537" s="8"/>
      <c r="AX537" s="8"/>
      <c r="AY537" s="8"/>
      <c r="AZ537" s="8"/>
      <c r="BA537" s="8"/>
      <c r="BB537" s="8"/>
      <c r="BC537" s="8"/>
      <c r="BD537" s="8"/>
      <c r="BE537" s="8"/>
      <c r="BF537" s="8"/>
      <c r="BG537" s="8"/>
      <c r="BH537" s="8"/>
      <c r="BI537" s="8"/>
    </row>
    <row r="538" spans="1:61" ht="11.25" customHeight="1" x14ac:dyDescent="0.2">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c r="AT538" s="8"/>
      <c r="AU538" s="8"/>
      <c r="AV538" s="8"/>
      <c r="AW538" s="8"/>
      <c r="AX538" s="8"/>
      <c r="AY538" s="8"/>
      <c r="AZ538" s="8"/>
      <c r="BA538" s="8"/>
      <c r="BB538" s="8"/>
      <c r="BC538" s="8"/>
      <c r="BD538" s="8"/>
      <c r="BE538" s="8"/>
      <c r="BF538" s="8"/>
      <c r="BG538" s="8"/>
      <c r="BH538" s="8"/>
      <c r="BI538" s="8"/>
    </row>
    <row r="539" spans="1:61" ht="11.25" customHeight="1" x14ac:dyDescent="0.2">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8"/>
      <c r="AW539" s="8"/>
      <c r="AX539" s="8"/>
      <c r="AY539" s="8"/>
      <c r="AZ539" s="8"/>
      <c r="BA539" s="8"/>
      <c r="BB539" s="8"/>
      <c r="BC539" s="8"/>
      <c r="BD539" s="8"/>
      <c r="BE539" s="8"/>
      <c r="BF539" s="8"/>
      <c r="BG539" s="8"/>
      <c r="BH539" s="8"/>
      <c r="BI539" s="8"/>
    </row>
    <row r="540" spans="1:61" ht="11.25" customHeight="1" x14ac:dyDescent="0.2">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c r="AM540" s="8"/>
      <c r="AN540" s="8"/>
      <c r="AO540" s="8"/>
      <c r="AP540" s="8"/>
      <c r="AQ540" s="8"/>
      <c r="AR540" s="8"/>
      <c r="AS540" s="8"/>
      <c r="AT540" s="8"/>
      <c r="AU540" s="8"/>
      <c r="AV540" s="8"/>
      <c r="AW540" s="8"/>
      <c r="AX540" s="8"/>
      <c r="AY540" s="8"/>
      <c r="AZ540" s="8"/>
      <c r="BA540" s="8"/>
      <c r="BB540" s="8"/>
      <c r="BC540" s="8"/>
      <c r="BD540" s="8"/>
      <c r="BE540" s="8"/>
      <c r="BF540" s="8"/>
      <c r="BG540" s="8"/>
      <c r="BH540" s="8"/>
      <c r="BI540" s="8"/>
    </row>
    <row r="541" spans="1:61" ht="11.25" customHeight="1" x14ac:dyDescent="0.2">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c r="AM541" s="8"/>
      <c r="AN541" s="8"/>
      <c r="AO541" s="8"/>
      <c r="AP541" s="8"/>
      <c r="AQ541" s="8"/>
      <c r="AR541" s="8"/>
      <c r="AS541" s="8"/>
      <c r="AT541" s="8"/>
      <c r="AU541" s="8"/>
      <c r="AV541" s="8"/>
      <c r="AW541" s="8"/>
      <c r="AX541" s="8"/>
      <c r="AY541" s="8"/>
      <c r="AZ541" s="8"/>
      <c r="BA541" s="8"/>
      <c r="BB541" s="8"/>
      <c r="BC541" s="8"/>
      <c r="BD541" s="8"/>
      <c r="BE541" s="8"/>
      <c r="BF541" s="8"/>
      <c r="BG541" s="8"/>
      <c r="BH541" s="8"/>
      <c r="BI541" s="8"/>
    </row>
    <row r="542" spans="1:61" ht="11.25" customHeight="1" x14ac:dyDescent="0.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c r="AZ542" s="8"/>
      <c r="BA542" s="8"/>
      <c r="BB542" s="8"/>
      <c r="BC542" s="8"/>
      <c r="BD542" s="8"/>
      <c r="BE542" s="8"/>
      <c r="BF542" s="8"/>
      <c r="BG542" s="8"/>
      <c r="BH542" s="8"/>
      <c r="BI542" s="8"/>
    </row>
    <row r="543" spans="1:61" ht="11.25" customHeight="1" x14ac:dyDescent="0.2">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c r="AM543" s="8"/>
      <c r="AN543" s="8"/>
      <c r="AO543" s="8"/>
      <c r="AP543" s="8"/>
      <c r="AQ543" s="8"/>
      <c r="AR543" s="8"/>
      <c r="AS543" s="8"/>
      <c r="AT543" s="8"/>
      <c r="AU543" s="8"/>
      <c r="AV543" s="8"/>
      <c r="AW543" s="8"/>
      <c r="AX543" s="8"/>
      <c r="AY543" s="8"/>
      <c r="AZ543" s="8"/>
      <c r="BA543" s="8"/>
      <c r="BB543" s="8"/>
      <c r="BC543" s="8"/>
      <c r="BD543" s="8"/>
      <c r="BE543" s="8"/>
      <c r="BF543" s="8"/>
      <c r="BG543" s="8"/>
      <c r="BH543" s="8"/>
      <c r="BI543" s="8"/>
    </row>
    <row r="544" spans="1:61" ht="11.25" customHeight="1" x14ac:dyDescent="0.2">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c r="AU544" s="8"/>
      <c r="AV544" s="8"/>
      <c r="AW544" s="8"/>
      <c r="AX544" s="8"/>
      <c r="AY544" s="8"/>
      <c r="AZ544" s="8"/>
      <c r="BA544" s="8"/>
      <c r="BB544" s="8"/>
      <c r="BC544" s="8"/>
      <c r="BD544" s="8"/>
      <c r="BE544" s="8"/>
      <c r="BF544" s="8"/>
      <c r="BG544" s="8"/>
      <c r="BH544" s="8"/>
      <c r="BI544" s="8"/>
    </row>
    <row r="545" spans="1:61" ht="11.25" customHeight="1" x14ac:dyDescent="0.2">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c r="AZ545" s="8"/>
      <c r="BA545" s="8"/>
      <c r="BB545" s="8"/>
      <c r="BC545" s="8"/>
      <c r="BD545" s="8"/>
      <c r="BE545" s="8"/>
      <c r="BF545" s="8"/>
      <c r="BG545" s="8"/>
      <c r="BH545" s="8"/>
      <c r="BI545" s="8"/>
    </row>
    <row r="546" spans="1:61" ht="11.25" customHeight="1" x14ac:dyDescent="0.2">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c r="AM546" s="8"/>
      <c r="AN546" s="8"/>
      <c r="AO546" s="8"/>
      <c r="AP546" s="8"/>
      <c r="AQ546" s="8"/>
      <c r="AR546" s="8"/>
      <c r="AS546" s="8"/>
      <c r="AT546" s="8"/>
      <c r="AU546" s="8"/>
      <c r="AV546" s="8"/>
      <c r="AW546" s="8"/>
      <c r="AX546" s="8"/>
      <c r="AY546" s="8"/>
      <c r="AZ546" s="8"/>
      <c r="BA546" s="8"/>
      <c r="BB546" s="8"/>
      <c r="BC546" s="8"/>
      <c r="BD546" s="8"/>
      <c r="BE546" s="8"/>
      <c r="BF546" s="8"/>
      <c r="BG546" s="8"/>
      <c r="BH546" s="8"/>
      <c r="BI546" s="8"/>
    </row>
    <row r="547" spans="1:61" ht="11.25" customHeight="1" x14ac:dyDescent="0.2">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c r="AM547" s="8"/>
      <c r="AN547" s="8"/>
      <c r="AO547" s="8"/>
      <c r="AP547" s="8"/>
      <c r="AQ547" s="8"/>
      <c r="AR547" s="8"/>
      <c r="AS547" s="8"/>
      <c r="AT547" s="8"/>
      <c r="AU547" s="8"/>
      <c r="AV547" s="8"/>
      <c r="AW547" s="8"/>
      <c r="AX547" s="8"/>
      <c r="AY547" s="8"/>
      <c r="AZ547" s="8"/>
      <c r="BA547" s="8"/>
      <c r="BB547" s="8"/>
      <c r="BC547" s="8"/>
      <c r="BD547" s="8"/>
      <c r="BE547" s="8"/>
      <c r="BF547" s="8"/>
      <c r="BG547" s="8"/>
      <c r="BH547" s="8"/>
      <c r="BI547" s="8"/>
    </row>
    <row r="548" spans="1:61" ht="11.25" customHeight="1" x14ac:dyDescent="0.2">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c r="AZ548" s="8"/>
      <c r="BA548" s="8"/>
      <c r="BB548" s="8"/>
      <c r="BC548" s="8"/>
      <c r="BD548" s="8"/>
      <c r="BE548" s="8"/>
      <c r="BF548" s="8"/>
      <c r="BG548" s="8"/>
      <c r="BH548" s="8"/>
      <c r="BI548" s="8"/>
    </row>
    <row r="549" spans="1:61" ht="11.25" customHeight="1" x14ac:dyDescent="0.2">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c r="AT549" s="8"/>
      <c r="AU549" s="8"/>
      <c r="AV549" s="8"/>
      <c r="AW549" s="8"/>
      <c r="AX549" s="8"/>
      <c r="AY549" s="8"/>
      <c r="AZ549" s="8"/>
      <c r="BA549" s="8"/>
      <c r="BB549" s="8"/>
      <c r="BC549" s="8"/>
      <c r="BD549" s="8"/>
      <c r="BE549" s="8"/>
      <c r="BF549" s="8"/>
      <c r="BG549" s="8"/>
      <c r="BH549" s="8"/>
      <c r="BI549" s="8"/>
    </row>
    <row r="550" spans="1:61" ht="11.25" customHeight="1" x14ac:dyDescent="0.2">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c r="AK550" s="8"/>
      <c r="AL550" s="8"/>
      <c r="AM550" s="8"/>
      <c r="AN550" s="8"/>
      <c r="AO550" s="8"/>
      <c r="AP550" s="8"/>
      <c r="AQ550" s="8"/>
      <c r="AR550" s="8"/>
      <c r="AS550" s="8"/>
      <c r="AT550" s="8"/>
      <c r="AU550" s="8"/>
      <c r="AV550" s="8"/>
      <c r="AW550" s="8"/>
      <c r="AX550" s="8"/>
      <c r="AY550" s="8"/>
      <c r="AZ550" s="8"/>
      <c r="BA550" s="8"/>
      <c r="BB550" s="8"/>
      <c r="BC550" s="8"/>
      <c r="BD550" s="8"/>
      <c r="BE550" s="8"/>
      <c r="BF550" s="8"/>
      <c r="BG550" s="8"/>
      <c r="BH550" s="8"/>
      <c r="BI550" s="8"/>
    </row>
    <row r="551" spans="1:61" ht="11.25" customHeight="1" x14ac:dyDescent="0.2">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8"/>
      <c r="AW551" s="8"/>
      <c r="AX551" s="8"/>
      <c r="AY551" s="8"/>
      <c r="AZ551" s="8"/>
      <c r="BA551" s="8"/>
      <c r="BB551" s="8"/>
      <c r="BC551" s="8"/>
      <c r="BD551" s="8"/>
      <c r="BE551" s="8"/>
      <c r="BF551" s="8"/>
      <c r="BG551" s="8"/>
      <c r="BH551" s="8"/>
      <c r="BI551" s="8"/>
    </row>
    <row r="552" spans="1:61" ht="11.25" customHeight="1" x14ac:dyDescent="0.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c r="AK552" s="8"/>
      <c r="AL552" s="8"/>
      <c r="AM552" s="8"/>
      <c r="AN552" s="8"/>
      <c r="AO552" s="8"/>
      <c r="AP552" s="8"/>
      <c r="AQ552" s="8"/>
      <c r="AR552" s="8"/>
      <c r="AS552" s="8"/>
      <c r="AT552" s="8"/>
      <c r="AU552" s="8"/>
      <c r="AV552" s="8"/>
      <c r="AW552" s="8"/>
      <c r="AX552" s="8"/>
      <c r="AY552" s="8"/>
      <c r="AZ552" s="8"/>
      <c r="BA552" s="8"/>
      <c r="BB552" s="8"/>
      <c r="BC552" s="8"/>
      <c r="BD552" s="8"/>
      <c r="BE552" s="8"/>
      <c r="BF552" s="8"/>
      <c r="BG552" s="8"/>
      <c r="BH552" s="8"/>
      <c r="BI552" s="8"/>
    </row>
    <row r="553" spans="1:61" ht="11.25" customHeight="1" x14ac:dyDescent="0.2">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c r="AM553" s="8"/>
      <c r="AN553" s="8"/>
      <c r="AO553" s="8"/>
      <c r="AP553" s="8"/>
      <c r="AQ553" s="8"/>
      <c r="AR553" s="8"/>
      <c r="AS553" s="8"/>
      <c r="AT553" s="8"/>
      <c r="AU553" s="8"/>
      <c r="AV553" s="8"/>
      <c r="AW553" s="8"/>
      <c r="AX553" s="8"/>
      <c r="AY553" s="8"/>
      <c r="AZ553" s="8"/>
      <c r="BA553" s="8"/>
      <c r="BB553" s="8"/>
      <c r="BC553" s="8"/>
      <c r="BD553" s="8"/>
      <c r="BE553" s="8"/>
      <c r="BF553" s="8"/>
      <c r="BG553" s="8"/>
      <c r="BH553" s="8"/>
      <c r="BI553" s="8"/>
    </row>
    <row r="554" spans="1:61" ht="11.25" customHeight="1" x14ac:dyDescent="0.2">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8"/>
      <c r="AW554" s="8"/>
      <c r="AX554" s="8"/>
      <c r="AY554" s="8"/>
      <c r="AZ554" s="8"/>
      <c r="BA554" s="8"/>
      <c r="BB554" s="8"/>
      <c r="BC554" s="8"/>
      <c r="BD554" s="8"/>
      <c r="BE554" s="8"/>
      <c r="BF554" s="8"/>
      <c r="BG554" s="8"/>
      <c r="BH554" s="8"/>
      <c r="BI554" s="8"/>
    </row>
    <row r="555" spans="1:61" ht="11.25" customHeight="1" x14ac:dyDescent="0.2">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c r="AM555" s="8"/>
      <c r="AN555" s="8"/>
      <c r="AO555" s="8"/>
      <c r="AP555" s="8"/>
      <c r="AQ555" s="8"/>
      <c r="AR555" s="8"/>
      <c r="AS555" s="8"/>
      <c r="AT555" s="8"/>
      <c r="AU555" s="8"/>
      <c r="AV555" s="8"/>
      <c r="AW555" s="8"/>
      <c r="AX555" s="8"/>
      <c r="AY555" s="8"/>
      <c r="AZ555" s="8"/>
      <c r="BA555" s="8"/>
      <c r="BB555" s="8"/>
      <c r="BC555" s="8"/>
      <c r="BD555" s="8"/>
      <c r="BE555" s="8"/>
      <c r="BF555" s="8"/>
      <c r="BG555" s="8"/>
      <c r="BH555" s="8"/>
      <c r="BI555" s="8"/>
    </row>
    <row r="556" spans="1:61" ht="11.25" customHeight="1" x14ac:dyDescent="0.2">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c r="AK556" s="8"/>
      <c r="AL556" s="8"/>
      <c r="AM556" s="8"/>
      <c r="AN556" s="8"/>
      <c r="AO556" s="8"/>
      <c r="AP556" s="8"/>
      <c r="AQ556" s="8"/>
      <c r="AR556" s="8"/>
      <c r="AS556" s="8"/>
      <c r="AT556" s="8"/>
      <c r="AU556" s="8"/>
      <c r="AV556" s="8"/>
      <c r="AW556" s="8"/>
      <c r="AX556" s="8"/>
      <c r="AY556" s="8"/>
      <c r="AZ556" s="8"/>
      <c r="BA556" s="8"/>
      <c r="BB556" s="8"/>
      <c r="BC556" s="8"/>
      <c r="BD556" s="8"/>
      <c r="BE556" s="8"/>
      <c r="BF556" s="8"/>
      <c r="BG556" s="8"/>
      <c r="BH556" s="8"/>
      <c r="BI556" s="8"/>
    </row>
    <row r="557" spans="1:61" ht="11.25" customHeight="1" x14ac:dyDescent="0.2">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8"/>
      <c r="AW557" s="8"/>
      <c r="AX557" s="8"/>
      <c r="AY557" s="8"/>
      <c r="AZ557" s="8"/>
      <c r="BA557" s="8"/>
      <c r="BB557" s="8"/>
      <c r="BC557" s="8"/>
      <c r="BD557" s="8"/>
      <c r="BE557" s="8"/>
      <c r="BF557" s="8"/>
      <c r="BG557" s="8"/>
      <c r="BH557" s="8"/>
      <c r="BI557" s="8"/>
    </row>
    <row r="558" spans="1:61" ht="11.25" customHeight="1" x14ac:dyDescent="0.2">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c r="AM558" s="8"/>
      <c r="AN558" s="8"/>
      <c r="AO558" s="8"/>
      <c r="AP558" s="8"/>
      <c r="AQ558" s="8"/>
      <c r="AR558" s="8"/>
      <c r="AS558" s="8"/>
      <c r="AT558" s="8"/>
      <c r="AU558" s="8"/>
      <c r="AV558" s="8"/>
      <c r="AW558" s="8"/>
      <c r="AX558" s="8"/>
      <c r="AY558" s="8"/>
      <c r="AZ558" s="8"/>
      <c r="BA558" s="8"/>
      <c r="BB558" s="8"/>
      <c r="BC558" s="8"/>
      <c r="BD558" s="8"/>
      <c r="BE558" s="8"/>
      <c r="BF558" s="8"/>
      <c r="BG558" s="8"/>
      <c r="BH558" s="8"/>
      <c r="BI558" s="8"/>
    </row>
    <row r="559" spans="1:61" ht="11.25" customHeight="1" x14ac:dyDescent="0.2">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c r="AK559" s="8"/>
      <c r="AL559" s="8"/>
      <c r="AM559" s="8"/>
      <c r="AN559" s="8"/>
      <c r="AO559" s="8"/>
      <c r="AP559" s="8"/>
      <c r="AQ559" s="8"/>
      <c r="AR559" s="8"/>
      <c r="AS559" s="8"/>
      <c r="AT559" s="8"/>
      <c r="AU559" s="8"/>
      <c r="AV559" s="8"/>
      <c r="AW559" s="8"/>
      <c r="AX559" s="8"/>
      <c r="AY559" s="8"/>
      <c r="AZ559" s="8"/>
      <c r="BA559" s="8"/>
      <c r="BB559" s="8"/>
      <c r="BC559" s="8"/>
      <c r="BD559" s="8"/>
      <c r="BE559" s="8"/>
      <c r="BF559" s="8"/>
      <c r="BG559" s="8"/>
      <c r="BH559" s="8"/>
      <c r="BI559" s="8"/>
    </row>
    <row r="560" spans="1:61" ht="11.25" customHeight="1" x14ac:dyDescent="0.2">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c r="AM560" s="8"/>
      <c r="AN560" s="8"/>
      <c r="AO560" s="8"/>
      <c r="AP560" s="8"/>
      <c r="AQ560" s="8"/>
      <c r="AR560" s="8"/>
      <c r="AS560" s="8"/>
      <c r="AT560" s="8"/>
      <c r="AU560" s="8"/>
      <c r="AV560" s="8"/>
      <c r="AW560" s="8"/>
      <c r="AX560" s="8"/>
      <c r="AY560" s="8"/>
      <c r="AZ560" s="8"/>
      <c r="BA560" s="8"/>
      <c r="BB560" s="8"/>
      <c r="BC560" s="8"/>
      <c r="BD560" s="8"/>
      <c r="BE560" s="8"/>
      <c r="BF560" s="8"/>
      <c r="BG560" s="8"/>
      <c r="BH560" s="8"/>
      <c r="BI560" s="8"/>
    </row>
    <row r="561" spans="1:61" ht="11.25" customHeight="1" x14ac:dyDescent="0.2">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c r="AK561" s="8"/>
      <c r="AL561" s="8"/>
      <c r="AM561" s="8"/>
      <c r="AN561" s="8"/>
      <c r="AO561" s="8"/>
      <c r="AP561" s="8"/>
      <c r="AQ561" s="8"/>
      <c r="AR561" s="8"/>
      <c r="AS561" s="8"/>
      <c r="AT561" s="8"/>
      <c r="AU561" s="8"/>
      <c r="AV561" s="8"/>
      <c r="AW561" s="8"/>
      <c r="AX561" s="8"/>
      <c r="AY561" s="8"/>
      <c r="AZ561" s="8"/>
      <c r="BA561" s="8"/>
      <c r="BB561" s="8"/>
      <c r="BC561" s="8"/>
      <c r="BD561" s="8"/>
      <c r="BE561" s="8"/>
      <c r="BF561" s="8"/>
      <c r="BG561" s="8"/>
      <c r="BH561" s="8"/>
      <c r="BI561" s="8"/>
    </row>
    <row r="562" spans="1:61" ht="11.25" customHeight="1" x14ac:dyDescent="0.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row>
    <row r="563" spans="1:61" ht="11.25" customHeight="1" x14ac:dyDescent="0.2">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c r="AM563" s="8"/>
      <c r="AN563" s="8"/>
      <c r="AO563" s="8"/>
      <c r="AP563" s="8"/>
      <c r="AQ563" s="8"/>
      <c r="AR563" s="8"/>
      <c r="AS563" s="8"/>
      <c r="AT563" s="8"/>
      <c r="AU563" s="8"/>
      <c r="AV563" s="8"/>
      <c r="AW563" s="8"/>
      <c r="AX563" s="8"/>
      <c r="AY563" s="8"/>
      <c r="AZ563" s="8"/>
      <c r="BA563" s="8"/>
      <c r="BB563" s="8"/>
      <c r="BC563" s="8"/>
      <c r="BD563" s="8"/>
      <c r="BE563" s="8"/>
      <c r="BF563" s="8"/>
      <c r="BG563" s="8"/>
      <c r="BH563" s="8"/>
      <c r="BI563" s="8"/>
    </row>
    <row r="564" spans="1:61" ht="11.25" customHeight="1" x14ac:dyDescent="0.2">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c r="AZ564" s="8"/>
      <c r="BA564" s="8"/>
      <c r="BB564" s="8"/>
      <c r="BC564" s="8"/>
      <c r="BD564" s="8"/>
      <c r="BE564" s="8"/>
      <c r="BF564" s="8"/>
      <c r="BG564" s="8"/>
      <c r="BH564" s="8"/>
      <c r="BI564" s="8"/>
    </row>
    <row r="565" spans="1:61" ht="11.25" customHeight="1" x14ac:dyDescent="0.2">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AK565" s="8"/>
      <c r="AL565" s="8"/>
      <c r="AM565" s="8"/>
      <c r="AN565" s="8"/>
      <c r="AO565" s="8"/>
      <c r="AP565" s="8"/>
      <c r="AQ565" s="8"/>
      <c r="AR565" s="8"/>
      <c r="AS565" s="8"/>
      <c r="AT565" s="8"/>
      <c r="AU565" s="8"/>
      <c r="AV565" s="8"/>
      <c r="AW565" s="8"/>
      <c r="AX565" s="8"/>
      <c r="AY565" s="8"/>
      <c r="AZ565" s="8"/>
      <c r="BA565" s="8"/>
      <c r="BB565" s="8"/>
      <c r="BC565" s="8"/>
      <c r="BD565" s="8"/>
      <c r="BE565" s="8"/>
      <c r="BF565" s="8"/>
      <c r="BG565" s="8"/>
      <c r="BH565" s="8"/>
      <c r="BI565" s="8"/>
    </row>
    <row r="566" spans="1:61" ht="11.25" customHeight="1" x14ac:dyDescent="0.2">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AK566" s="8"/>
      <c r="AL566" s="8"/>
      <c r="AM566" s="8"/>
      <c r="AN566" s="8"/>
      <c r="AO566" s="8"/>
      <c r="AP566" s="8"/>
      <c r="AQ566" s="8"/>
      <c r="AR566" s="8"/>
      <c r="AS566" s="8"/>
      <c r="AT566" s="8"/>
      <c r="AU566" s="8"/>
      <c r="AV566" s="8"/>
      <c r="AW566" s="8"/>
      <c r="AX566" s="8"/>
      <c r="AY566" s="8"/>
      <c r="AZ566" s="8"/>
      <c r="BA566" s="8"/>
      <c r="BB566" s="8"/>
      <c r="BC566" s="8"/>
      <c r="BD566" s="8"/>
      <c r="BE566" s="8"/>
      <c r="BF566" s="8"/>
      <c r="BG566" s="8"/>
      <c r="BH566" s="8"/>
      <c r="BI566" s="8"/>
    </row>
    <row r="567" spans="1:61" ht="11.25" customHeight="1" x14ac:dyDescent="0.2">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c r="AK567" s="8"/>
      <c r="AL567" s="8"/>
      <c r="AM567" s="8"/>
      <c r="AN567" s="8"/>
      <c r="AO567" s="8"/>
      <c r="AP567" s="8"/>
      <c r="AQ567" s="8"/>
      <c r="AR567" s="8"/>
      <c r="AS567" s="8"/>
      <c r="AT567" s="8"/>
      <c r="AU567" s="8"/>
      <c r="AV567" s="8"/>
      <c r="AW567" s="8"/>
      <c r="AX567" s="8"/>
      <c r="AY567" s="8"/>
      <c r="AZ567" s="8"/>
      <c r="BA567" s="8"/>
      <c r="BB567" s="8"/>
      <c r="BC567" s="8"/>
      <c r="BD567" s="8"/>
      <c r="BE567" s="8"/>
      <c r="BF567" s="8"/>
      <c r="BG567" s="8"/>
      <c r="BH567" s="8"/>
      <c r="BI567" s="8"/>
    </row>
    <row r="568" spans="1:61" ht="11.25" customHeight="1" x14ac:dyDescent="0.2">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c r="AK568" s="8"/>
      <c r="AL568" s="8"/>
      <c r="AM568" s="8"/>
      <c r="AN568" s="8"/>
      <c r="AO568" s="8"/>
      <c r="AP568" s="8"/>
      <c r="AQ568" s="8"/>
      <c r="AR568" s="8"/>
      <c r="AS568" s="8"/>
      <c r="AT568" s="8"/>
      <c r="AU568" s="8"/>
      <c r="AV568" s="8"/>
      <c r="AW568" s="8"/>
      <c r="AX568" s="8"/>
      <c r="AY568" s="8"/>
      <c r="AZ568" s="8"/>
      <c r="BA568" s="8"/>
      <c r="BB568" s="8"/>
      <c r="BC568" s="8"/>
      <c r="BD568" s="8"/>
      <c r="BE568" s="8"/>
      <c r="BF568" s="8"/>
      <c r="BG568" s="8"/>
      <c r="BH568" s="8"/>
      <c r="BI568" s="8"/>
    </row>
    <row r="569" spans="1:61" ht="11.25" customHeight="1" x14ac:dyDescent="0.2">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8"/>
      <c r="AW569" s="8"/>
      <c r="AX569" s="8"/>
      <c r="AY569" s="8"/>
      <c r="AZ569" s="8"/>
      <c r="BA569" s="8"/>
      <c r="BB569" s="8"/>
      <c r="BC569" s="8"/>
      <c r="BD569" s="8"/>
      <c r="BE569" s="8"/>
      <c r="BF569" s="8"/>
      <c r="BG569" s="8"/>
      <c r="BH569" s="8"/>
      <c r="BI569" s="8"/>
    </row>
    <row r="570" spans="1:61" ht="11.25" customHeight="1" x14ac:dyDescent="0.2">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c r="AK570" s="8"/>
      <c r="AL570" s="8"/>
      <c r="AM570" s="8"/>
      <c r="AN570" s="8"/>
      <c r="AO570" s="8"/>
      <c r="AP570" s="8"/>
      <c r="AQ570" s="8"/>
      <c r="AR570" s="8"/>
      <c r="AS570" s="8"/>
      <c r="AT570" s="8"/>
      <c r="AU570" s="8"/>
      <c r="AV570" s="8"/>
      <c r="AW570" s="8"/>
      <c r="AX570" s="8"/>
      <c r="AY570" s="8"/>
      <c r="AZ570" s="8"/>
      <c r="BA570" s="8"/>
      <c r="BB570" s="8"/>
      <c r="BC570" s="8"/>
      <c r="BD570" s="8"/>
      <c r="BE570" s="8"/>
      <c r="BF570" s="8"/>
      <c r="BG570" s="8"/>
      <c r="BH570" s="8"/>
      <c r="BI570" s="8"/>
    </row>
    <row r="571" spans="1:61" ht="11.25" customHeight="1" x14ac:dyDescent="0.2">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c r="AU571" s="8"/>
      <c r="AV571" s="8"/>
      <c r="AW571" s="8"/>
      <c r="AX571" s="8"/>
      <c r="AY571" s="8"/>
      <c r="AZ571" s="8"/>
      <c r="BA571" s="8"/>
      <c r="BB571" s="8"/>
      <c r="BC571" s="8"/>
      <c r="BD571" s="8"/>
      <c r="BE571" s="8"/>
      <c r="BF571" s="8"/>
      <c r="BG571" s="8"/>
      <c r="BH571" s="8"/>
      <c r="BI571" s="8"/>
    </row>
    <row r="572" spans="1:61" ht="11.25" customHeight="1" x14ac:dyDescent="0.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c r="AT572" s="8"/>
      <c r="AU572" s="8"/>
      <c r="AV572" s="8"/>
      <c r="AW572" s="8"/>
      <c r="AX572" s="8"/>
      <c r="AY572" s="8"/>
      <c r="AZ572" s="8"/>
      <c r="BA572" s="8"/>
      <c r="BB572" s="8"/>
      <c r="BC572" s="8"/>
      <c r="BD572" s="8"/>
      <c r="BE572" s="8"/>
      <c r="BF572" s="8"/>
      <c r="BG572" s="8"/>
      <c r="BH572" s="8"/>
      <c r="BI572" s="8"/>
    </row>
    <row r="573" spans="1:61" ht="11.25" customHeight="1" x14ac:dyDescent="0.2">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8"/>
      <c r="AZ573" s="8"/>
      <c r="BA573" s="8"/>
      <c r="BB573" s="8"/>
      <c r="BC573" s="8"/>
      <c r="BD573" s="8"/>
      <c r="BE573" s="8"/>
      <c r="BF573" s="8"/>
      <c r="BG573" s="8"/>
      <c r="BH573" s="8"/>
      <c r="BI573" s="8"/>
    </row>
    <row r="574" spans="1:61" ht="11.25" customHeight="1" x14ac:dyDescent="0.2">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8"/>
      <c r="AW574" s="8"/>
      <c r="AX574" s="8"/>
      <c r="AY574" s="8"/>
      <c r="AZ574" s="8"/>
      <c r="BA574" s="8"/>
      <c r="BB574" s="8"/>
      <c r="BC574" s="8"/>
      <c r="BD574" s="8"/>
      <c r="BE574" s="8"/>
      <c r="BF574" s="8"/>
      <c r="BG574" s="8"/>
      <c r="BH574" s="8"/>
      <c r="BI574" s="8"/>
    </row>
    <row r="575" spans="1:61" ht="11.25" customHeight="1" x14ac:dyDescent="0.2">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8"/>
      <c r="AW575" s="8"/>
      <c r="AX575" s="8"/>
      <c r="AY575" s="8"/>
      <c r="AZ575" s="8"/>
      <c r="BA575" s="8"/>
      <c r="BB575" s="8"/>
      <c r="BC575" s="8"/>
      <c r="BD575" s="8"/>
      <c r="BE575" s="8"/>
      <c r="BF575" s="8"/>
      <c r="BG575" s="8"/>
      <c r="BH575" s="8"/>
      <c r="BI575" s="8"/>
    </row>
    <row r="576" spans="1:61" ht="11.25" customHeight="1" x14ac:dyDescent="0.2">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c r="AM576" s="8"/>
      <c r="AN576" s="8"/>
      <c r="AO576" s="8"/>
      <c r="AP576" s="8"/>
      <c r="AQ576" s="8"/>
      <c r="AR576" s="8"/>
      <c r="AS576" s="8"/>
      <c r="AT576" s="8"/>
      <c r="AU576" s="8"/>
      <c r="AV576" s="8"/>
      <c r="AW576" s="8"/>
      <c r="AX576" s="8"/>
      <c r="AY576" s="8"/>
      <c r="AZ576" s="8"/>
      <c r="BA576" s="8"/>
      <c r="BB576" s="8"/>
      <c r="BC576" s="8"/>
      <c r="BD576" s="8"/>
      <c r="BE576" s="8"/>
      <c r="BF576" s="8"/>
      <c r="BG576" s="8"/>
      <c r="BH576" s="8"/>
      <c r="BI576" s="8"/>
    </row>
    <row r="577" spans="1:61" ht="11.25" customHeight="1" x14ac:dyDescent="0.2">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8"/>
      <c r="AW577" s="8"/>
      <c r="AX577" s="8"/>
      <c r="AY577" s="8"/>
      <c r="AZ577" s="8"/>
      <c r="BA577" s="8"/>
      <c r="BB577" s="8"/>
      <c r="BC577" s="8"/>
      <c r="BD577" s="8"/>
      <c r="BE577" s="8"/>
      <c r="BF577" s="8"/>
      <c r="BG577" s="8"/>
      <c r="BH577" s="8"/>
      <c r="BI577" s="8"/>
    </row>
    <row r="578" spans="1:61" ht="11.25" customHeight="1" x14ac:dyDescent="0.2">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c r="AU578" s="8"/>
      <c r="AV578" s="8"/>
      <c r="AW578" s="8"/>
      <c r="AX578" s="8"/>
      <c r="AY578" s="8"/>
      <c r="AZ578" s="8"/>
      <c r="BA578" s="8"/>
      <c r="BB578" s="8"/>
      <c r="BC578" s="8"/>
      <c r="BD578" s="8"/>
      <c r="BE578" s="8"/>
      <c r="BF578" s="8"/>
      <c r="BG578" s="8"/>
      <c r="BH578" s="8"/>
      <c r="BI578" s="8"/>
    </row>
    <row r="579" spans="1:61" ht="11.25" customHeight="1" x14ac:dyDescent="0.2">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c r="AT579" s="8"/>
      <c r="AU579" s="8"/>
      <c r="AV579" s="8"/>
      <c r="AW579" s="8"/>
      <c r="AX579" s="8"/>
      <c r="AY579" s="8"/>
      <c r="AZ579" s="8"/>
      <c r="BA579" s="8"/>
      <c r="BB579" s="8"/>
      <c r="BC579" s="8"/>
      <c r="BD579" s="8"/>
      <c r="BE579" s="8"/>
      <c r="BF579" s="8"/>
      <c r="BG579" s="8"/>
      <c r="BH579" s="8"/>
      <c r="BI579" s="8"/>
    </row>
    <row r="580" spans="1:61" ht="11.25" customHeight="1" x14ac:dyDescent="0.2">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8"/>
      <c r="AW580" s="8"/>
      <c r="AX580" s="8"/>
      <c r="AY580" s="8"/>
      <c r="AZ580" s="8"/>
      <c r="BA580" s="8"/>
      <c r="BB580" s="8"/>
      <c r="BC580" s="8"/>
      <c r="BD580" s="8"/>
      <c r="BE580" s="8"/>
      <c r="BF580" s="8"/>
      <c r="BG580" s="8"/>
      <c r="BH580" s="8"/>
      <c r="BI580" s="8"/>
    </row>
    <row r="581" spans="1:61" ht="11.25" customHeight="1" x14ac:dyDescent="0.2">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c r="AM581" s="8"/>
      <c r="AN581" s="8"/>
      <c r="AO581" s="8"/>
      <c r="AP581" s="8"/>
      <c r="AQ581" s="8"/>
      <c r="AR581" s="8"/>
      <c r="AS581" s="8"/>
      <c r="AT581" s="8"/>
      <c r="AU581" s="8"/>
      <c r="AV581" s="8"/>
      <c r="AW581" s="8"/>
      <c r="AX581" s="8"/>
      <c r="AY581" s="8"/>
      <c r="AZ581" s="8"/>
      <c r="BA581" s="8"/>
      <c r="BB581" s="8"/>
      <c r="BC581" s="8"/>
      <c r="BD581" s="8"/>
      <c r="BE581" s="8"/>
      <c r="BF581" s="8"/>
      <c r="BG581" s="8"/>
      <c r="BH581" s="8"/>
      <c r="BI581" s="8"/>
    </row>
    <row r="582" spans="1:61" ht="11.25" customHeight="1" x14ac:dyDescent="0.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c r="AK582" s="8"/>
      <c r="AL582" s="8"/>
      <c r="AM582" s="8"/>
      <c r="AN582" s="8"/>
      <c r="AO582" s="8"/>
      <c r="AP582" s="8"/>
      <c r="AQ582" s="8"/>
      <c r="AR582" s="8"/>
      <c r="AS582" s="8"/>
      <c r="AT582" s="8"/>
      <c r="AU582" s="8"/>
      <c r="AV582" s="8"/>
      <c r="AW582" s="8"/>
      <c r="AX582" s="8"/>
      <c r="AY582" s="8"/>
      <c r="AZ582" s="8"/>
      <c r="BA582" s="8"/>
      <c r="BB582" s="8"/>
      <c r="BC582" s="8"/>
      <c r="BD582" s="8"/>
      <c r="BE582" s="8"/>
      <c r="BF582" s="8"/>
      <c r="BG582" s="8"/>
      <c r="BH582" s="8"/>
      <c r="BI582" s="8"/>
    </row>
    <row r="583" spans="1:61" ht="11.25" customHeight="1" x14ac:dyDescent="0.2">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c r="AT583" s="8"/>
      <c r="AU583" s="8"/>
      <c r="AV583" s="8"/>
      <c r="AW583" s="8"/>
      <c r="AX583" s="8"/>
      <c r="AY583" s="8"/>
      <c r="AZ583" s="8"/>
      <c r="BA583" s="8"/>
      <c r="BB583" s="8"/>
      <c r="BC583" s="8"/>
      <c r="BD583" s="8"/>
      <c r="BE583" s="8"/>
      <c r="BF583" s="8"/>
      <c r="BG583" s="8"/>
      <c r="BH583" s="8"/>
      <c r="BI583" s="8"/>
    </row>
    <row r="584" spans="1:61" ht="11.25" customHeight="1" x14ac:dyDescent="0.2">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c r="AM584" s="8"/>
      <c r="AN584" s="8"/>
      <c r="AO584" s="8"/>
      <c r="AP584" s="8"/>
      <c r="AQ584" s="8"/>
      <c r="AR584" s="8"/>
      <c r="AS584" s="8"/>
      <c r="AT584" s="8"/>
      <c r="AU584" s="8"/>
      <c r="AV584" s="8"/>
      <c r="AW584" s="8"/>
      <c r="AX584" s="8"/>
      <c r="AY584" s="8"/>
      <c r="AZ584" s="8"/>
      <c r="BA584" s="8"/>
      <c r="BB584" s="8"/>
      <c r="BC584" s="8"/>
      <c r="BD584" s="8"/>
      <c r="BE584" s="8"/>
      <c r="BF584" s="8"/>
      <c r="BG584" s="8"/>
      <c r="BH584" s="8"/>
      <c r="BI584" s="8"/>
    </row>
    <row r="585" spans="1:61" ht="11.25" customHeight="1" x14ac:dyDescent="0.2">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c r="AU585" s="8"/>
      <c r="AV585" s="8"/>
      <c r="AW585" s="8"/>
      <c r="AX585" s="8"/>
      <c r="AY585" s="8"/>
      <c r="AZ585" s="8"/>
      <c r="BA585" s="8"/>
      <c r="BB585" s="8"/>
      <c r="BC585" s="8"/>
      <c r="BD585" s="8"/>
      <c r="BE585" s="8"/>
      <c r="BF585" s="8"/>
      <c r="BG585" s="8"/>
      <c r="BH585" s="8"/>
      <c r="BI585" s="8"/>
    </row>
    <row r="586" spans="1:61" ht="11.25" customHeight="1" x14ac:dyDescent="0.2">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c r="BF586" s="8"/>
      <c r="BG586" s="8"/>
      <c r="BH586" s="8"/>
      <c r="BI586" s="8"/>
    </row>
    <row r="587" spans="1:61" ht="11.25" customHeight="1" x14ac:dyDescent="0.2">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8"/>
      <c r="AW587" s="8"/>
      <c r="AX587" s="8"/>
      <c r="AY587" s="8"/>
      <c r="AZ587" s="8"/>
      <c r="BA587" s="8"/>
      <c r="BB587" s="8"/>
      <c r="BC587" s="8"/>
      <c r="BD587" s="8"/>
      <c r="BE587" s="8"/>
      <c r="BF587" s="8"/>
      <c r="BG587" s="8"/>
      <c r="BH587" s="8"/>
      <c r="BI587" s="8"/>
    </row>
    <row r="588" spans="1:61" ht="11.25" customHeight="1" x14ac:dyDescent="0.2">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c r="AU588" s="8"/>
      <c r="AV588" s="8"/>
      <c r="AW588" s="8"/>
      <c r="AX588" s="8"/>
      <c r="AY588" s="8"/>
      <c r="AZ588" s="8"/>
      <c r="BA588" s="8"/>
      <c r="BB588" s="8"/>
      <c r="BC588" s="8"/>
      <c r="BD588" s="8"/>
      <c r="BE588" s="8"/>
      <c r="BF588" s="8"/>
      <c r="BG588" s="8"/>
      <c r="BH588" s="8"/>
      <c r="BI588" s="8"/>
    </row>
    <row r="589" spans="1:61" ht="11.25" customHeight="1" x14ac:dyDescent="0.2">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8"/>
      <c r="AW589" s="8"/>
      <c r="AX589" s="8"/>
      <c r="AY589" s="8"/>
      <c r="AZ589" s="8"/>
      <c r="BA589" s="8"/>
      <c r="BB589" s="8"/>
      <c r="BC589" s="8"/>
      <c r="BD589" s="8"/>
      <c r="BE589" s="8"/>
      <c r="BF589" s="8"/>
      <c r="BG589" s="8"/>
      <c r="BH589" s="8"/>
      <c r="BI589" s="8"/>
    </row>
    <row r="590" spans="1:61" ht="11.25" customHeight="1" x14ac:dyDescent="0.2">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c r="AU590" s="8"/>
      <c r="AV590" s="8"/>
      <c r="AW590" s="8"/>
      <c r="AX590" s="8"/>
      <c r="AY590" s="8"/>
      <c r="AZ590" s="8"/>
      <c r="BA590" s="8"/>
      <c r="BB590" s="8"/>
      <c r="BC590" s="8"/>
      <c r="BD590" s="8"/>
      <c r="BE590" s="8"/>
      <c r="BF590" s="8"/>
      <c r="BG590" s="8"/>
      <c r="BH590" s="8"/>
      <c r="BI590" s="8"/>
    </row>
    <row r="591" spans="1:61" ht="11.25" customHeight="1" x14ac:dyDescent="0.2">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c r="AM591" s="8"/>
      <c r="AN591" s="8"/>
      <c r="AO591" s="8"/>
      <c r="AP591" s="8"/>
      <c r="AQ591" s="8"/>
      <c r="AR591" s="8"/>
      <c r="AS591" s="8"/>
      <c r="AT591" s="8"/>
      <c r="AU591" s="8"/>
      <c r="AV591" s="8"/>
      <c r="AW591" s="8"/>
      <c r="AX591" s="8"/>
      <c r="AY591" s="8"/>
      <c r="AZ591" s="8"/>
      <c r="BA591" s="8"/>
      <c r="BB591" s="8"/>
      <c r="BC591" s="8"/>
      <c r="BD591" s="8"/>
      <c r="BE591" s="8"/>
      <c r="BF591" s="8"/>
      <c r="BG591" s="8"/>
      <c r="BH591" s="8"/>
      <c r="BI591" s="8"/>
    </row>
    <row r="592" spans="1:61" ht="11.25" customHeight="1" x14ac:dyDescent="0.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AY592" s="8"/>
      <c r="AZ592" s="8"/>
      <c r="BA592" s="8"/>
      <c r="BB592" s="8"/>
      <c r="BC592" s="8"/>
      <c r="BD592" s="8"/>
      <c r="BE592" s="8"/>
      <c r="BF592" s="8"/>
      <c r="BG592" s="8"/>
      <c r="BH592" s="8"/>
      <c r="BI592" s="8"/>
    </row>
    <row r="593" spans="1:61" ht="11.25" customHeight="1" x14ac:dyDescent="0.2">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c r="AK593" s="8"/>
      <c r="AL593" s="8"/>
      <c r="AM593" s="8"/>
      <c r="AN593" s="8"/>
      <c r="AO593" s="8"/>
      <c r="AP593" s="8"/>
      <c r="AQ593" s="8"/>
      <c r="AR593" s="8"/>
      <c r="AS593" s="8"/>
      <c r="AT593" s="8"/>
      <c r="AU593" s="8"/>
      <c r="AV593" s="8"/>
      <c r="AW593" s="8"/>
      <c r="AX593" s="8"/>
      <c r="AY593" s="8"/>
      <c r="AZ593" s="8"/>
      <c r="BA593" s="8"/>
      <c r="BB593" s="8"/>
      <c r="BC593" s="8"/>
      <c r="BD593" s="8"/>
      <c r="BE593" s="8"/>
      <c r="BF593" s="8"/>
      <c r="BG593" s="8"/>
      <c r="BH593" s="8"/>
      <c r="BI593" s="8"/>
    </row>
    <row r="594" spans="1:61" ht="11.25" customHeight="1" x14ac:dyDescent="0.2">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c r="AT594" s="8"/>
      <c r="AU594" s="8"/>
      <c r="AV594" s="8"/>
      <c r="AW594" s="8"/>
      <c r="AX594" s="8"/>
      <c r="AY594" s="8"/>
      <c r="AZ594" s="8"/>
      <c r="BA594" s="8"/>
      <c r="BB594" s="8"/>
      <c r="BC594" s="8"/>
      <c r="BD594" s="8"/>
      <c r="BE594" s="8"/>
      <c r="BF594" s="8"/>
      <c r="BG594" s="8"/>
      <c r="BH594" s="8"/>
      <c r="BI594" s="8"/>
    </row>
    <row r="595" spans="1:61" ht="11.25" customHeight="1" x14ac:dyDescent="0.2">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AY595" s="8"/>
      <c r="AZ595" s="8"/>
      <c r="BA595" s="8"/>
      <c r="BB595" s="8"/>
      <c r="BC595" s="8"/>
      <c r="BD595" s="8"/>
      <c r="BE595" s="8"/>
      <c r="BF595" s="8"/>
      <c r="BG595" s="8"/>
      <c r="BH595" s="8"/>
      <c r="BI595" s="8"/>
    </row>
    <row r="596" spans="1:61" ht="11.25" customHeight="1" x14ac:dyDescent="0.2">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c r="AU596" s="8"/>
      <c r="AV596" s="8"/>
      <c r="AW596" s="8"/>
      <c r="AX596" s="8"/>
      <c r="AY596" s="8"/>
      <c r="AZ596" s="8"/>
      <c r="BA596" s="8"/>
      <c r="BB596" s="8"/>
      <c r="BC596" s="8"/>
      <c r="BD596" s="8"/>
      <c r="BE596" s="8"/>
      <c r="BF596" s="8"/>
      <c r="BG596" s="8"/>
      <c r="BH596" s="8"/>
      <c r="BI596" s="8"/>
    </row>
    <row r="597" spans="1:61" ht="11.25" customHeight="1" x14ac:dyDescent="0.2">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c r="AU597" s="8"/>
      <c r="AV597" s="8"/>
      <c r="AW597" s="8"/>
      <c r="AX597" s="8"/>
      <c r="AY597" s="8"/>
      <c r="AZ597" s="8"/>
      <c r="BA597" s="8"/>
      <c r="BB597" s="8"/>
      <c r="BC597" s="8"/>
      <c r="BD597" s="8"/>
      <c r="BE597" s="8"/>
      <c r="BF597" s="8"/>
      <c r="BG597" s="8"/>
      <c r="BH597" s="8"/>
      <c r="BI597" s="8"/>
    </row>
    <row r="598" spans="1:61" ht="11.25" customHeight="1" x14ac:dyDescent="0.2">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8"/>
      <c r="AW598" s="8"/>
      <c r="AX598" s="8"/>
      <c r="AY598" s="8"/>
      <c r="AZ598" s="8"/>
      <c r="BA598" s="8"/>
      <c r="BB598" s="8"/>
      <c r="BC598" s="8"/>
      <c r="BD598" s="8"/>
      <c r="BE598" s="8"/>
      <c r="BF598" s="8"/>
      <c r="BG598" s="8"/>
      <c r="BH598" s="8"/>
      <c r="BI598" s="8"/>
    </row>
    <row r="599" spans="1:61" ht="11.25" customHeight="1" x14ac:dyDescent="0.2">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row>
    <row r="600" spans="1:61" ht="11.25" customHeight="1" x14ac:dyDescent="0.2">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c r="AK600" s="8"/>
      <c r="AL600" s="8"/>
      <c r="AM600" s="8"/>
      <c r="AN600" s="8"/>
      <c r="AO600" s="8"/>
      <c r="AP600" s="8"/>
      <c r="AQ600" s="8"/>
      <c r="AR600" s="8"/>
      <c r="AS600" s="8"/>
      <c r="AT600" s="8"/>
      <c r="AU600" s="8"/>
      <c r="AV600" s="8"/>
      <c r="AW600" s="8"/>
      <c r="AX600" s="8"/>
      <c r="AY600" s="8"/>
      <c r="AZ600" s="8"/>
      <c r="BA600" s="8"/>
      <c r="BB600" s="8"/>
      <c r="BC600" s="8"/>
      <c r="BD600" s="8"/>
      <c r="BE600" s="8"/>
      <c r="BF600" s="8"/>
      <c r="BG600" s="8"/>
      <c r="BH600" s="8"/>
      <c r="BI600" s="8"/>
    </row>
    <row r="601" spans="1:61" ht="11.25" customHeight="1" x14ac:dyDescent="0.2">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8"/>
      <c r="AW601" s="8"/>
      <c r="AX601" s="8"/>
      <c r="AY601" s="8"/>
      <c r="AZ601" s="8"/>
      <c r="BA601" s="8"/>
      <c r="BB601" s="8"/>
      <c r="BC601" s="8"/>
      <c r="BD601" s="8"/>
      <c r="BE601" s="8"/>
      <c r="BF601" s="8"/>
      <c r="BG601" s="8"/>
      <c r="BH601" s="8"/>
      <c r="BI601" s="8"/>
    </row>
    <row r="602" spans="1:61" ht="11.25" customHeight="1" x14ac:dyDescent="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c r="AK602" s="8"/>
      <c r="AL602" s="8"/>
      <c r="AM602" s="8"/>
      <c r="AN602" s="8"/>
      <c r="AO602" s="8"/>
      <c r="AP602" s="8"/>
      <c r="AQ602" s="8"/>
      <c r="AR602" s="8"/>
      <c r="AS602" s="8"/>
      <c r="AT602" s="8"/>
      <c r="AU602" s="8"/>
      <c r="AV602" s="8"/>
      <c r="AW602" s="8"/>
      <c r="AX602" s="8"/>
      <c r="AY602" s="8"/>
      <c r="AZ602" s="8"/>
      <c r="BA602" s="8"/>
      <c r="BB602" s="8"/>
      <c r="BC602" s="8"/>
      <c r="BD602" s="8"/>
      <c r="BE602" s="8"/>
      <c r="BF602" s="8"/>
      <c r="BG602" s="8"/>
      <c r="BH602" s="8"/>
      <c r="BI602" s="8"/>
    </row>
    <row r="603" spans="1:61" ht="11.25" customHeight="1" x14ac:dyDescent="0.2">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c r="AK603" s="8"/>
      <c r="AL603" s="8"/>
      <c r="AM603" s="8"/>
      <c r="AN603" s="8"/>
      <c r="AO603" s="8"/>
      <c r="AP603" s="8"/>
      <c r="AQ603" s="8"/>
      <c r="AR603" s="8"/>
      <c r="AS603" s="8"/>
      <c r="AT603" s="8"/>
      <c r="AU603" s="8"/>
      <c r="AV603" s="8"/>
      <c r="AW603" s="8"/>
      <c r="AX603" s="8"/>
      <c r="AY603" s="8"/>
      <c r="AZ603" s="8"/>
      <c r="BA603" s="8"/>
      <c r="BB603" s="8"/>
      <c r="BC603" s="8"/>
      <c r="BD603" s="8"/>
      <c r="BE603" s="8"/>
      <c r="BF603" s="8"/>
      <c r="BG603" s="8"/>
      <c r="BH603" s="8"/>
      <c r="BI603" s="8"/>
    </row>
    <row r="604" spans="1:61" ht="11.25" customHeight="1" x14ac:dyDescent="0.2">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8"/>
      <c r="AW604" s="8"/>
      <c r="AX604" s="8"/>
      <c r="AY604" s="8"/>
      <c r="AZ604" s="8"/>
      <c r="BA604" s="8"/>
      <c r="BB604" s="8"/>
      <c r="BC604" s="8"/>
      <c r="BD604" s="8"/>
      <c r="BE604" s="8"/>
      <c r="BF604" s="8"/>
      <c r="BG604" s="8"/>
      <c r="BH604" s="8"/>
      <c r="BI604" s="8"/>
    </row>
    <row r="605" spans="1:61" ht="11.25" customHeight="1" x14ac:dyDescent="0.2">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c r="AK605" s="8"/>
      <c r="AL605" s="8"/>
      <c r="AM605" s="8"/>
      <c r="AN605" s="8"/>
      <c r="AO605" s="8"/>
      <c r="AP605" s="8"/>
      <c r="AQ605" s="8"/>
      <c r="AR605" s="8"/>
      <c r="AS605" s="8"/>
      <c r="AT605" s="8"/>
      <c r="AU605" s="8"/>
      <c r="AV605" s="8"/>
      <c r="AW605" s="8"/>
      <c r="AX605" s="8"/>
      <c r="AY605" s="8"/>
      <c r="AZ605" s="8"/>
      <c r="BA605" s="8"/>
      <c r="BB605" s="8"/>
      <c r="BC605" s="8"/>
      <c r="BD605" s="8"/>
      <c r="BE605" s="8"/>
      <c r="BF605" s="8"/>
      <c r="BG605" s="8"/>
      <c r="BH605" s="8"/>
      <c r="BI605" s="8"/>
    </row>
    <row r="606" spans="1:61" ht="11.25" customHeight="1" x14ac:dyDescent="0.2">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c r="AK606" s="8"/>
      <c r="AL606" s="8"/>
      <c r="AM606" s="8"/>
      <c r="AN606" s="8"/>
      <c r="AO606" s="8"/>
      <c r="AP606" s="8"/>
      <c r="AQ606" s="8"/>
      <c r="AR606" s="8"/>
      <c r="AS606" s="8"/>
      <c r="AT606" s="8"/>
      <c r="AU606" s="8"/>
      <c r="AV606" s="8"/>
      <c r="AW606" s="8"/>
      <c r="AX606" s="8"/>
      <c r="AY606" s="8"/>
      <c r="AZ606" s="8"/>
      <c r="BA606" s="8"/>
      <c r="BB606" s="8"/>
      <c r="BC606" s="8"/>
      <c r="BD606" s="8"/>
      <c r="BE606" s="8"/>
      <c r="BF606" s="8"/>
      <c r="BG606" s="8"/>
      <c r="BH606" s="8"/>
      <c r="BI606" s="8"/>
    </row>
    <row r="607" spans="1:61" ht="11.25" customHeight="1" x14ac:dyDescent="0.2">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c r="AU607" s="8"/>
      <c r="AV607" s="8"/>
      <c r="AW607" s="8"/>
      <c r="AX607" s="8"/>
      <c r="AY607" s="8"/>
      <c r="AZ607" s="8"/>
      <c r="BA607" s="8"/>
      <c r="BB607" s="8"/>
      <c r="BC607" s="8"/>
      <c r="BD607" s="8"/>
      <c r="BE607" s="8"/>
      <c r="BF607" s="8"/>
      <c r="BG607" s="8"/>
      <c r="BH607" s="8"/>
      <c r="BI607" s="8"/>
    </row>
    <row r="608" spans="1:61" ht="11.25" customHeight="1" x14ac:dyDescent="0.2">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c r="AT608" s="8"/>
      <c r="AU608" s="8"/>
      <c r="AV608" s="8"/>
      <c r="AW608" s="8"/>
      <c r="AX608" s="8"/>
      <c r="AY608" s="8"/>
      <c r="AZ608" s="8"/>
      <c r="BA608" s="8"/>
      <c r="BB608" s="8"/>
      <c r="BC608" s="8"/>
      <c r="BD608" s="8"/>
      <c r="BE608" s="8"/>
      <c r="BF608" s="8"/>
      <c r="BG608" s="8"/>
      <c r="BH608" s="8"/>
      <c r="BI608" s="8"/>
    </row>
    <row r="609" spans="1:61" ht="11.25" customHeight="1" x14ac:dyDescent="0.2">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c r="AK609" s="8"/>
      <c r="AL609" s="8"/>
      <c r="AM609" s="8"/>
      <c r="AN609" s="8"/>
      <c r="AO609" s="8"/>
      <c r="AP609" s="8"/>
      <c r="AQ609" s="8"/>
      <c r="AR609" s="8"/>
      <c r="AS609" s="8"/>
      <c r="AT609" s="8"/>
      <c r="AU609" s="8"/>
      <c r="AV609" s="8"/>
      <c r="AW609" s="8"/>
      <c r="AX609" s="8"/>
      <c r="AY609" s="8"/>
      <c r="AZ609" s="8"/>
      <c r="BA609" s="8"/>
      <c r="BB609" s="8"/>
      <c r="BC609" s="8"/>
      <c r="BD609" s="8"/>
      <c r="BE609" s="8"/>
      <c r="BF609" s="8"/>
      <c r="BG609" s="8"/>
      <c r="BH609" s="8"/>
      <c r="BI609" s="8"/>
    </row>
    <row r="610" spans="1:61" ht="11.25" customHeight="1" x14ac:dyDescent="0.2">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c r="AT610" s="8"/>
      <c r="AU610" s="8"/>
      <c r="AV610" s="8"/>
      <c r="AW610" s="8"/>
      <c r="AX610" s="8"/>
      <c r="AY610" s="8"/>
      <c r="AZ610" s="8"/>
      <c r="BA610" s="8"/>
      <c r="BB610" s="8"/>
      <c r="BC610" s="8"/>
      <c r="BD610" s="8"/>
      <c r="BE610" s="8"/>
      <c r="BF610" s="8"/>
      <c r="BG610" s="8"/>
      <c r="BH610" s="8"/>
      <c r="BI610" s="8"/>
    </row>
    <row r="611" spans="1:61" ht="11.25" customHeight="1" x14ac:dyDescent="0.2">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c r="AM611" s="8"/>
      <c r="AN611" s="8"/>
      <c r="AO611" s="8"/>
      <c r="AP611" s="8"/>
      <c r="AQ611" s="8"/>
      <c r="AR611" s="8"/>
      <c r="AS611" s="8"/>
      <c r="AT611" s="8"/>
      <c r="AU611" s="8"/>
      <c r="AV611" s="8"/>
      <c r="AW611" s="8"/>
      <c r="AX611" s="8"/>
      <c r="AY611" s="8"/>
      <c r="AZ611" s="8"/>
      <c r="BA611" s="8"/>
      <c r="BB611" s="8"/>
      <c r="BC611" s="8"/>
      <c r="BD611" s="8"/>
      <c r="BE611" s="8"/>
      <c r="BF611" s="8"/>
      <c r="BG611" s="8"/>
      <c r="BH611" s="8"/>
      <c r="BI611" s="8"/>
    </row>
    <row r="612" spans="1:61" ht="11.25" customHeight="1" x14ac:dyDescent="0.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c r="AK612" s="8"/>
      <c r="AL612" s="8"/>
      <c r="AM612" s="8"/>
      <c r="AN612" s="8"/>
      <c r="AO612" s="8"/>
      <c r="AP612" s="8"/>
      <c r="AQ612" s="8"/>
      <c r="AR612" s="8"/>
      <c r="AS612" s="8"/>
      <c r="AT612" s="8"/>
      <c r="AU612" s="8"/>
      <c r="AV612" s="8"/>
      <c r="AW612" s="8"/>
      <c r="AX612" s="8"/>
      <c r="AY612" s="8"/>
      <c r="AZ612" s="8"/>
      <c r="BA612" s="8"/>
      <c r="BB612" s="8"/>
      <c r="BC612" s="8"/>
      <c r="BD612" s="8"/>
      <c r="BE612" s="8"/>
      <c r="BF612" s="8"/>
      <c r="BG612" s="8"/>
      <c r="BH612" s="8"/>
      <c r="BI612" s="8"/>
    </row>
    <row r="613" spans="1:61" ht="11.25" customHeight="1" x14ac:dyDescent="0.2">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c r="AM613" s="8"/>
      <c r="AN613" s="8"/>
      <c r="AO613" s="8"/>
      <c r="AP613" s="8"/>
      <c r="AQ613" s="8"/>
      <c r="AR613" s="8"/>
      <c r="AS613" s="8"/>
      <c r="AT613" s="8"/>
      <c r="AU613" s="8"/>
      <c r="AV613" s="8"/>
      <c r="AW613" s="8"/>
      <c r="AX613" s="8"/>
      <c r="AY613" s="8"/>
      <c r="AZ613" s="8"/>
      <c r="BA613" s="8"/>
      <c r="BB613" s="8"/>
      <c r="BC613" s="8"/>
      <c r="BD613" s="8"/>
      <c r="BE613" s="8"/>
      <c r="BF613" s="8"/>
      <c r="BG613" s="8"/>
      <c r="BH613" s="8"/>
      <c r="BI613" s="8"/>
    </row>
    <row r="614" spans="1:61" ht="11.25" customHeight="1" x14ac:dyDescent="0.2">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c r="AT614" s="8"/>
      <c r="AU614" s="8"/>
      <c r="AV614" s="8"/>
      <c r="AW614" s="8"/>
      <c r="AX614" s="8"/>
      <c r="AY614" s="8"/>
      <c r="AZ614" s="8"/>
      <c r="BA614" s="8"/>
      <c r="BB614" s="8"/>
      <c r="BC614" s="8"/>
      <c r="BD614" s="8"/>
      <c r="BE614" s="8"/>
      <c r="BF614" s="8"/>
      <c r="BG614" s="8"/>
      <c r="BH614" s="8"/>
      <c r="BI614" s="8"/>
    </row>
    <row r="615" spans="1:61" ht="11.25" customHeight="1" x14ac:dyDescent="0.2">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c r="AK615" s="8"/>
      <c r="AL615" s="8"/>
      <c r="AM615" s="8"/>
      <c r="AN615" s="8"/>
      <c r="AO615" s="8"/>
      <c r="AP615" s="8"/>
      <c r="AQ615" s="8"/>
      <c r="AR615" s="8"/>
      <c r="AS615" s="8"/>
      <c r="AT615" s="8"/>
      <c r="AU615" s="8"/>
      <c r="AV615" s="8"/>
      <c r="AW615" s="8"/>
      <c r="AX615" s="8"/>
      <c r="AY615" s="8"/>
      <c r="AZ615" s="8"/>
      <c r="BA615" s="8"/>
      <c r="BB615" s="8"/>
      <c r="BC615" s="8"/>
      <c r="BD615" s="8"/>
      <c r="BE615" s="8"/>
      <c r="BF615" s="8"/>
      <c r="BG615" s="8"/>
      <c r="BH615" s="8"/>
      <c r="BI615" s="8"/>
    </row>
    <row r="616" spans="1:61" ht="11.25" customHeight="1" x14ac:dyDescent="0.2">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c r="AK616" s="8"/>
      <c r="AL616" s="8"/>
      <c r="AM616" s="8"/>
      <c r="AN616" s="8"/>
      <c r="AO616" s="8"/>
      <c r="AP616" s="8"/>
      <c r="AQ616" s="8"/>
      <c r="AR616" s="8"/>
      <c r="AS616" s="8"/>
      <c r="AT616" s="8"/>
      <c r="AU616" s="8"/>
      <c r="AV616" s="8"/>
      <c r="AW616" s="8"/>
      <c r="AX616" s="8"/>
      <c r="AY616" s="8"/>
      <c r="AZ616" s="8"/>
      <c r="BA616" s="8"/>
      <c r="BB616" s="8"/>
      <c r="BC616" s="8"/>
      <c r="BD616" s="8"/>
      <c r="BE616" s="8"/>
      <c r="BF616" s="8"/>
      <c r="BG616" s="8"/>
      <c r="BH616" s="8"/>
      <c r="BI616" s="8"/>
    </row>
    <row r="617" spans="1:61" ht="11.25" customHeight="1" x14ac:dyDescent="0.2">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c r="AM617" s="8"/>
      <c r="AN617" s="8"/>
      <c r="AO617" s="8"/>
      <c r="AP617" s="8"/>
      <c r="AQ617" s="8"/>
      <c r="AR617" s="8"/>
      <c r="AS617" s="8"/>
      <c r="AT617" s="8"/>
      <c r="AU617" s="8"/>
      <c r="AV617" s="8"/>
      <c r="AW617" s="8"/>
      <c r="AX617" s="8"/>
      <c r="AY617" s="8"/>
      <c r="AZ617" s="8"/>
      <c r="BA617" s="8"/>
      <c r="BB617" s="8"/>
      <c r="BC617" s="8"/>
      <c r="BD617" s="8"/>
      <c r="BE617" s="8"/>
      <c r="BF617" s="8"/>
      <c r="BG617" s="8"/>
      <c r="BH617" s="8"/>
      <c r="BI617" s="8"/>
    </row>
    <row r="618" spans="1:61" ht="11.25" customHeight="1" x14ac:dyDescent="0.2">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c r="AK618" s="8"/>
      <c r="AL618" s="8"/>
      <c r="AM618" s="8"/>
      <c r="AN618" s="8"/>
      <c r="AO618" s="8"/>
      <c r="AP618" s="8"/>
      <c r="AQ618" s="8"/>
      <c r="AR618" s="8"/>
      <c r="AS618" s="8"/>
      <c r="AT618" s="8"/>
      <c r="AU618" s="8"/>
      <c r="AV618" s="8"/>
      <c r="AW618" s="8"/>
      <c r="AX618" s="8"/>
      <c r="AY618" s="8"/>
      <c r="AZ618" s="8"/>
      <c r="BA618" s="8"/>
      <c r="BB618" s="8"/>
      <c r="BC618" s="8"/>
      <c r="BD618" s="8"/>
      <c r="BE618" s="8"/>
      <c r="BF618" s="8"/>
      <c r="BG618" s="8"/>
      <c r="BH618" s="8"/>
      <c r="BI618" s="8"/>
    </row>
    <row r="619" spans="1:61" ht="11.25" customHeight="1" x14ac:dyDescent="0.2">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c r="AM619" s="8"/>
      <c r="AN619" s="8"/>
      <c r="AO619" s="8"/>
      <c r="AP619" s="8"/>
      <c r="AQ619" s="8"/>
      <c r="AR619" s="8"/>
      <c r="AS619" s="8"/>
      <c r="AT619" s="8"/>
      <c r="AU619" s="8"/>
      <c r="AV619" s="8"/>
      <c r="AW619" s="8"/>
      <c r="AX619" s="8"/>
      <c r="AY619" s="8"/>
      <c r="AZ619" s="8"/>
      <c r="BA619" s="8"/>
      <c r="BB619" s="8"/>
      <c r="BC619" s="8"/>
      <c r="BD619" s="8"/>
      <c r="BE619" s="8"/>
      <c r="BF619" s="8"/>
      <c r="BG619" s="8"/>
      <c r="BH619" s="8"/>
      <c r="BI619" s="8"/>
    </row>
    <row r="620" spans="1:61" ht="11.25" customHeight="1" x14ac:dyDescent="0.2">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c r="AT620" s="8"/>
      <c r="AU620" s="8"/>
      <c r="AV620" s="8"/>
      <c r="AW620" s="8"/>
      <c r="AX620" s="8"/>
      <c r="AY620" s="8"/>
      <c r="AZ620" s="8"/>
      <c r="BA620" s="8"/>
      <c r="BB620" s="8"/>
      <c r="BC620" s="8"/>
      <c r="BD620" s="8"/>
      <c r="BE620" s="8"/>
      <c r="BF620" s="8"/>
      <c r="BG620" s="8"/>
      <c r="BH620" s="8"/>
      <c r="BI620" s="8"/>
    </row>
    <row r="621" spans="1:61" ht="11.25" customHeight="1" x14ac:dyDescent="0.2">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c r="AU621" s="8"/>
      <c r="AV621" s="8"/>
      <c r="AW621" s="8"/>
      <c r="AX621" s="8"/>
      <c r="AY621" s="8"/>
      <c r="AZ621" s="8"/>
      <c r="BA621" s="8"/>
      <c r="BB621" s="8"/>
      <c r="BC621" s="8"/>
      <c r="BD621" s="8"/>
      <c r="BE621" s="8"/>
      <c r="BF621" s="8"/>
      <c r="BG621" s="8"/>
      <c r="BH621" s="8"/>
      <c r="BI621" s="8"/>
    </row>
    <row r="622" spans="1:61" ht="11.25" customHeight="1" x14ac:dyDescent="0.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c r="AK622" s="8"/>
      <c r="AL622" s="8"/>
      <c r="AM622" s="8"/>
      <c r="AN622" s="8"/>
      <c r="AO622" s="8"/>
      <c r="AP622" s="8"/>
      <c r="AQ622" s="8"/>
      <c r="AR622" s="8"/>
      <c r="AS622" s="8"/>
      <c r="AT622" s="8"/>
      <c r="AU622" s="8"/>
      <c r="AV622" s="8"/>
      <c r="AW622" s="8"/>
      <c r="AX622" s="8"/>
      <c r="AY622" s="8"/>
      <c r="AZ622" s="8"/>
      <c r="BA622" s="8"/>
      <c r="BB622" s="8"/>
      <c r="BC622" s="8"/>
      <c r="BD622" s="8"/>
      <c r="BE622" s="8"/>
      <c r="BF622" s="8"/>
      <c r="BG622" s="8"/>
      <c r="BH622" s="8"/>
      <c r="BI622" s="8"/>
    </row>
    <row r="623" spans="1:61" ht="11.25" customHeight="1" x14ac:dyDescent="0.2">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c r="AK623" s="8"/>
      <c r="AL623" s="8"/>
      <c r="AM623" s="8"/>
      <c r="AN623" s="8"/>
      <c r="AO623" s="8"/>
      <c r="AP623" s="8"/>
      <c r="AQ623" s="8"/>
      <c r="AR623" s="8"/>
      <c r="AS623" s="8"/>
      <c r="AT623" s="8"/>
      <c r="AU623" s="8"/>
      <c r="AV623" s="8"/>
      <c r="AW623" s="8"/>
      <c r="AX623" s="8"/>
      <c r="AY623" s="8"/>
      <c r="AZ623" s="8"/>
      <c r="BA623" s="8"/>
      <c r="BB623" s="8"/>
      <c r="BC623" s="8"/>
      <c r="BD623" s="8"/>
      <c r="BE623" s="8"/>
      <c r="BF623" s="8"/>
      <c r="BG623" s="8"/>
      <c r="BH623" s="8"/>
      <c r="BI623" s="8"/>
    </row>
    <row r="624" spans="1:61" ht="11.25" customHeight="1" x14ac:dyDescent="0.2">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8"/>
      <c r="AW624" s="8"/>
      <c r="AX624" s="8"/>
      <c r="AY624" s="8"/>
      <c r="AZ624" s="8"/>
      <c r="BA624" s="8"/>
      <c r="BB624" s="8"/>
      <c r="BC624" s="8"/>
      <c r="BD624" s="8"/>
      <c r="BE624" s="8"/>
      <c r="BF624" s="8"/>
      <c r="BG624" s="8"/>
      <c r="BH624" s="8"/>
      <c r="BI624" s="8"/>
    </row>
    <row r="625" spans="1:61" ht="11.25" customHeight="1" x14ac:dyDescent="0.2">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c r="AK625" s="8"/>
      <c r="AL625" s="8"/>
      <c r="AM625" s="8"/>
      <c r="AN625" s="8"/>
      <c r="AO625" s="8"/>
      <c r="AP625" s="8"/>
      <c r="AQ625" s="8"/>
      <c r="AR625" s="8"/>
      <c r="AS625" s="8"/>
      <c r="AT625" s="8"/>
      <c r="AU625" s="8"/>
      <c r="AV625" s="8"/>
      <c r="AW625" s="8"/>
      <c r="AX625" s="8"/>
      <c r="AY625" s="8"/>
      <c r="AZ625" s="8"/>
      <c r="BA625" s="8"/>
      <c r="BB625" s="8"/>
      <c r="BC625" s="8"/>
      <c r="BD625" s="8"/>
      <c r="BE625" s="8"/>
      <c r="BF625" s="8"/>
      <c r="BG625" s="8"/>
      <c r="BH625" s="8"/>
      <c r="BI625" s="8"/>
    </row>
    <row r="626" spans="1:61" ht="11.25" customHeight="1" x14ac:dyDescent="0.2">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c r="AM626" s="8"/>
      <c r="AN626" s="8"/>
      <c r="AO626" s="8"/>
      <c r="AP626" s="8"/>
      <c r="AQ626" s="8"/>
      <c r="AR626" s="8"/>
      <c r="AS626" s="8"/>
      <c r="AT626" s="8"/>
      <c r="AU626" s="8"/>
      <c r="AV626" s="8"/>
      <c r="AW626" s="8"/>
      <c r="AX626" s="8"/>
      <c r="AY626" s="8"/>
      <c r="AZ626" s="8"/>
      <c r="BA626" s="8"/>
      <c r="BB626" s="8"/>
      <c r="BC626" s="8"/>
      <c r="BD626" s="8"/>
      <c r="BE626" s="8"/>
      <c r="BF626" s="8"/>
      <c r="BG626" s="8"/>
      <c r="BH626" s="8"/>
      <c r="BI626" s="8"/>
    </row>
    <row r="627" spans="1:61" ht="11.25" customHeight="1" x14ac:dyDescent="0.2">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8"/>
      <c r="AW627" s="8"/>
      <c r="AX627" s="8"/>
      <c r="AY627" s="8"/>
      <c r="AZ627" s="8"/>
      <c r="BA627" s="8"/>
      <c r="BB627" s="8"/>
      <c r="BC627" s="8"/>
      <c r="BD627" s="8"/>
      <c r="BE627" s="8"/>
      <c r="BF627" s="8"/>
      <c r="BG627" s="8"/>
      <c r="BH627" s="8"/>
      <c r="BI627" s="8"/>
    </row>
    <row r="628" spans="1:61" ht="11.25" customHeight="1" x14ac:dyDescent="0.2">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c r="AM628" s="8"/>
      <c r="AN628" s="8"/>
      <c r="AO628" s="8"/>
      <c r="AP628" s="8"/>
      <c r="AQ628" s="8"/>
      <c r="AR628" s="8"/>
      <c r="AS628" s="8"/>
      <c r="AT628" s="8"/>
      <c r="AU628" s="8"/>
      <c r="AV628" s="8"/>
      <c r="AW628" s="8"/>
      <c r="AX628" s="8"/>
      <c r="AY628" s="8"/>
      <c r="AZ628" s="8"/>
      <c r="BA628" s="8"/>
      <c r="BB628" s="8"/>
      <c r="BC628" s="8"/>
      <c r="BD628" s="8"/>
      <c r="BE628" s="8"/>
      <c r="BF628" s="8"/>
      <c r="BG628" s="8"/>
      <c r="BH628" s="8"/>
      <c r="BI628" s="8"/>
    </row>
    <row r="629" spans="1:61" ht="11.25" customHeight="1" x14ac:dyDescent="0.2">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c r="AK629" s="8"/>
      <c r="AL629" s="8"/>
      <c r="AM629" s="8"/>
      <c r="AN629" s="8"/>
      <c r="AO629" s="8"/>
      <c r="AP629" s="8"/>
      <c r="AQ629" s="8"/>
      <c r="AR629" s="8"/>
      <c r="AS629" s="8"/>
      <c r="AT629" s="8"/>
      <c r="AU629" s="8"/>
      <c r="AV629" s="8"/>
      <c r="AW629" s="8"/>
      <c r="AX629" s="8"/>
      <c r="AY629" s="8"/>
      <c r="AZ629" s="8"/>
      <c r="BA629" s="8"/>
      <c r="BB629" s="8"/>
      <c r="BC629" s="8"/>
      <c r="BD629" s="8"/>
      <c r="BE629" s="8"/>
      <c r="BF629" s="8"/>
      <c r="BG629" s="8"/>
      <c r="BH629" s="8"/>
      <c r="BI629" s="8"/>
    </row>
    <row r="630" spans="1:61" ht="11.25" customHeight="1" x14ac:dyDescent="0.2">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c r="AK630" s="8"/>
      <c r="AL630" s="8"/>
      <c r="AM630" s="8"/>
      <c r="AN630" s="8"/>
      <c r="AO630" s="8"/>
      <c r="AP630" s="8"/>
      <c r="AQ630" s="8"/>
      <c r="AR630" s="8"/>
      <c r="AS630" s="8"/>
      <c r="AT630" s="8"/>
      <c r="AU630" s="8"/>
      <c r="AV630" s="8"/>
      <c r="AW630" s="8"/>
      <c r="AX630" s="8"/>
      <c r="AY630" s="8"/>
      <c r="AZ630" s="8"/>
      <c r="BA630" s="8"/>
      <c r="BB630" s="8"/>
      <c r="BC630" s="8"/>
      <c r="BD630" s="8"/>
      <c r="BE630" s="8"/>
      <c r="BF630" s="8"/>
      <c r="BG630" s="8"/>
      <c r="BH630" s="8"/>
      <c r="BI630" s="8"/>
    </row>
    <row r="631" spans="1:61" ht="11.25" customHeight="1" x14ac:dyDescent="0.2">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c r="AK631" s="8"/>
      <c r="AL631" s="8"/>
      <c r="AM631" s="8"/>
      <c r="AN631" s="8"/>
      <c r="AO631" s="8"/>
      <c r="AP631" s="8"/>
      <c r="AQ631" s="8"/>
      <c r="AR631" s="8"/>
      <c r="AS631" s="8"/>
      <c r="AT631" s="8"/>
      <c r="AU631" s="8"/>
      <c r="AV631" s="8"/>
      <c r="AW631" s="8"/>
      <c r="AX631" s="8"/>
      <c r="AY631" s="8"/>
      <c r="AZ631" s="8"/>
      <c r="BA631" s="8"/>
      <c r="BB631" s="8"/>
      <c r="BC631" s="8"/>
      <c r="BD631" s="8"/>
      <c r="BE631" s="8"/>
      <c r="BF631" s="8"/>
      <c r="BG631" s="8"/>
      <c r="BH631" s="8"/>
      <c r="BI631" s="8"/>
    </row>
    <row r="632" spans="1:61" ht="11.25" customHeight="1" x14ac:dyDescent="0.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c r="AU632" s="8"/>
      <c r="AV632" s="8"/>
      <c r="AW632" s="8"/>
      <c r="AX632" s="8"/>
      <c r="AY632" s="8"/>
      <c r="AZ632" s="8"/>
      <c r="BA632" s="8"/>
      <c r="BB632" s="8"/>
      <c r="BC632" s="8"/>
      <c r="BD632" s="8"/>
      <c r="BE632" s="8"/>
      <c r="BF632" s="8"/>
      <c r="BG632" s="8"/>
      <c r="BH632" s="8"/>
      <c r="BI632" s="8"/>
    </row>
    <row r="633" spans="1:61" ht="11.25" customHeight="1" x14ac:dyDescent="0.2">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8"/>
      <c r="AW633" s="8"/>
      <c r="AX633" s="8"/>
      <c r="AY633" s="8"/>
      <c r="AZ633" s="8"/>
      <c r="BA633" s="8"/>
      <c r="BB633" s="8"/>
      <c r="BC633" s="8"/>
      <c r="BD633" s="8"/>
      <c r="BE633" s="8"/>
      <c r="BF633" s="8"/>
      <c r="BG633" s="8"/>
      <c r="BH633" s="8"/>
      <c r="BI633" s="8"/>
    </row>
    <row r="634" spans="1:61" ht="11.25" customHeight="1" x14ac:dyDescent="0.2">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c r="AT634" s="8"/>
      <c r="AU634" s="8"/>
      <c r="AV634" s="8"/>
      <c r="AW634" s="8"/>
      <c r="AX634" s="8"/>
      <c r="AY634" s="8"/>
      <c r="AZ634" s="8"/>
      <c r="BA634" s="8"/>
      <c r="BB634" s="8"/>
      <c r="BC634" s="8"/>
      <c r="BD634" s="8"/>
      <c r="BE634" s="8"/>
      <c r="BF634" s="8"/>
      <c r="BG634" s="8"/>
      <c r="BH634" s="8"/>
      <c r="BI634" s="8"/>
    </row>
    <row r="635" spans="1:61" ht="11.25" customHeight="1" x14ac:dyDescent="0.2">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row>
    <row r="636" spans="1:61" ht="11.25" customHeight="1" x14ac:dyDescent="0.2">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8"/>
      <c r="AW636" s="8"/>
      <c r="AX636" s="8"/>
      <c r="AY636" s="8"/>
      <c r="AZ636" s="8"/>
      <c r="BA636" s="8"/>
      <c r="BB636" s="8"/>
      <c r="BC636" s="8"/>
      <c r="BD636" s="8"/>
      <c r="BE636" s="8"/>
      <c r="BF636" s="8"/>
      <c r="BG636" s="8"/>
      <c r="BH636" s="8"/>
      <c r="BI636" s="8"/>
    </row>
    <row r="637" spans="1:61" ht="11.25" customHeight="1" x14ac:dyDescent="0.2">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8"/>
      <c r="AW637" s="8"/>
      <c r="AX637" s="8"/>
      <c r="AY637" s="8"/>
      <c r="AZ637" s="8"/>
      <c r="BA637" s="8"/>
      <c r="BB637" s="8"/>
      <c r="BC637" s="8"/>
      <c r="BD637" s="8"/>
      <c r="BE637" s="8"/>
      <c r="BF637" s="8"/>
      <c r="BG637" s="8"/>
      <c r="BH637" s="8"/>
      <c r="BI637" s="8"/>
    </row>
    <row r="638" spans="1:61" ht="11.25" customHeight="1" x14ac:dyDescent="0.2">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c r="AM638" s="8"/>
      <c r="AN638" s="8"/>
      <c r="AO638" s="8"/>
      <c r="AP638" s="8"/>
      <c r="AQ638" s="8"/>
      <c r="AR638" s="8"/>
      <c r="AS638" s="8"/>
      <c r="AT638" s="8"/>
      <c r="AU638" s="8"/>
      <c r="AV638" s="8"/>
      <c r="AW638" s="8"/>
      <c r="AX638" s="8"/>
      <c r="AY638" s="8"/>
      <c r="AZ638" s="8"/>
      <c r="BA638" s="8"/>
      <c r="BB638" s="8"/>
      <c r="BC638" s="8"/>
      <c r="BD638" s="8"/>
      <c r="BE638" s="8"/>
      <c r="BF638" s="8"/>
      <c r="BG638" s="8"/>
      <c r="BH638" s="8"/>
      <c r="BI638" s="8"/>
    </row>
    <row r="639" spans="1:61" ht="11.25" customHeight="1" x14ac:dyDescent="0.2">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c r="AU639" s="8"/>
      <c r="AV639" s="8"/>
      <c r="AW639" s="8"/>
      <c r="AX639" s="8"/>
      <c r="AY639" s="8"/>
      <c r="AZ639" s="8"/>
      <c r="BA639" s="8"/>
      <c r="BB639" s="8"/>
      <c r="BC639" s="8"/>
      <c r="BD639" s="8"/>
      <c r="BE639" s="8"/>
      <c r="BF639" s="8"/>
      <c r="BG639" s="8"/>
      <c r="BH639" s="8"/>
      <c r="BI639" s="8"/>
    </row>
    <row r="640" spans="1:61" ht="11.25" customHeight="1" x14ac:dyDescent="0.2">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c r="AK640" s="8"/>
      <c r="AL640" s="8"/>
      <c r="AM640" s="8"/>
      <c r="AN640" s="8"/>
      <c r="AO640" s="8"/>
      <c r="AP640" s="8"/>
      <c r="AQ640" s="8"/>
      <c r="AR640" s="8"/>
      <c r="AS640" s="8"/>
      <c r="AT640" s="8"/>
      <c r="AU640" s="8"/>
      <c r="AV640" s="8"/>
      <c r="AW640" s="8"/>
      <c r="AX640" s="8"/>
      <c r="AY640" s="8"/>
      <c r="AZ640" s="8"/>
      <c r="BA640" s="8"/>
      <c r="BB640" s="8"/>
      <c r="BC640" s="8"/>
      <c r="BD640" s="8"/>
      <c r="BE640" s="8"/>
      <c r="BF640" s="8"/>
      <c r="BG640" s="8"/>
      <c r="BH640" s="8"/>
      <c r="BI640" s="8"/>
    </row>
    <row r="641" spans="1:61" ht="11.25" customHeight="1" x14ac:dyDescent="0.2">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c r="AM641" s="8"/>
      <c r="AN641" s="8"/>
      <c r="AO641" s="8"/>
      <c r="AP641" s="8"/>
      <c r="AQ641" s="8"/>
      <c r="AR641" s="8"/>
      <c r="AS641" s="8"/>
      <c r="AT641" s="8"/>
      <c r="AU641" s="8"/>
      <c r="AV641" s="8"/>
      <c r="AW641" s="8"/>
      <c r="AX641" s="8"/>
      <c r="AY641" s="8"/>
      <c r="AZ641" s="8"/>
      <c r="BA641" s="8"/>
      <c r="BB641" s="8"/>
      <c r="BC641" s="8"/>
      <c r="BD641" s="8"/>
      <c r="BE641" s="8"/>
      <c r="BF641" s="8"/>
      <c r="BG641" s="8"/>
      <c r="BH641" s="8"/>
      <c r="BI641" s="8"/>
    </row>
    <row r="642" spans="1:61" ht="11.25" customHeight="1" x14ac:dyDescent="0.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8"/>
      <c r="AW642" s="8"/>
      <c r="AX642" s="8"/>
      <c r="AY642" s="8"/>
      <c r="AZ642" s="8"/>
      <c r="BA642" s="8"/>
      <c r="BB642" s="8"/>
      <c r="BC642" s="8"/>
      <c r="BD642" s="8"/>
      <c r="BE642" s="8"/>
      <c r="BF642" s="8"/>
      <c r="BG642" s="8"/>
      <c r="BH642" s="8"/>
      <c r="BI642" s="8"/>
    </row>
    <row r="643" spans="1:61" ht="11.25" customHeight="1" x14ac:dyDescent="0.2">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c r="AT643" s="8"/>
      <c r="AU643" s="8"/>
      <c r="AV643" s="8"/>
      <c r="AW643" s="8"/>
      <c r="AX643" s="8"/>
      <c r="AY643" s="8"/>
      <c r="AZ643" s="8"/>
      <c r="BA643" s="8"/>
      <c r="BB643" s="8"/>
      <c r="BC643" s="8"/>
      <c r="BD643" s="8"/>
      <c r="BE643" s="8"/>
      <c r="BF643" s="8"/>
      <c r="BG643" s="8"/>
      <c r="BH643" s="8"/>
      <c r="BI643" s="8"/>
    </row>
    <row r="644" spans="1:61" ht="11.25" customHeight="1" x14ac:dyDescent="0.2">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c r="AT644" s="8"/>
      <c r="AU644" s="8"/>
      <c r="AV644" s="8"/>
      <c r="AW644" s="8"/>
      <c r="AX644" s="8"/>
      <c r="AY644" s="8"/>
      <c r="AZ644" s="8"/>
      <c r="BA644" s="8"/>
      <c r="BB644" s="8"/>
      <c r="BC644" s="8"/>
      <c r="BD644" s="8"/>
      <c r="BE644" s="8"/>
      <c r="BF644" s="8"/>
      <c r="BG644" s="8"/>
      <c r="BH644" s="8"/>
      <c r="BI644" s="8"/>
    </row>
    <row r="645" spans="1:61" ht="11.25" customHeight="1" x14ac:dyDescent="0.2">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8"/>
      <c r="AW645" s="8"/>
      <c r="AX645" s="8"/>
      <c r="AY645" s="8"/>
      <c r="AZ645" s="8"/>
      <c r="BA645" s="8"/>
      <c r="BB645" s="8"/>
      <c r="BC645" s="8"/>
      <c r="BD645" s="8"/>
      <c r="BE645" s="8"/>
      <c r="BF645" s="8"/>
      <c r="BG645" s="8"/>
      <c r="BH645" s="8"/>
      <c r="BI645" s="8"/>
    </row>
    <row r="646" spans="1:61" ht="11.25" customHeight="1" x14ac:dyDescent="0.2">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c r="AK646" s="8"/>
      <c r="AL646" s="8"/>
      <c r="AM646" s="8"/>
      <c r="AN646" s="8"/>
      <c r="AO646" s="8"/>
      <c r="AP646" s="8"/>
      <c r="AQ646" s="8"/>
      <c r="AR646" s="8"/>
      <c r="AS646" s="8"/>
      <c r="AT646" s="8"/>
      <c r="AU646" s="8"/>
      <c r="AV646" s="8"/>
      <c r="AW646" s="8"/>
      <c r="AX646" s="8"/>
      <c r="AY646" s="8"/>
      <c r="AZ646" s="8"/>
      <c r="BA646" s="8"/>
      <c r="BB646" s="8"/>
      <c r="BC646" s="8"/>
      <c r="BD646" s="8"/>
      <c r="BE646" s="8"/>
      <c r="BF646" s="8"/>
      <c r="BG646" s="8"/>
      <c r="BH646" s="8"/>
      <c r="BI646" s="8"/>
    </row>
    <row r="647" spans="1:61" ht="11.25" customHeight="1" x14ac:dyDescent="0.2">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c r="AM647" s="8"/>
      <c r="AN647" s="8"/>
      <c r="AO647" s="8"/>
      <c r="AP647" s="8"/>
      <c r="AQ647" s="8"/>
      <c r="AR647" s="8"/>
      <c r="AS647" s="8"/>
      <c r="AT647" s="8"/>
      <c r="AU647" s="8"/>
      <c r="AV647" s="8"/>
      <c r="AW647" s="8"/>
      <c r="AX647" s="8"/>
      <c r="AY647" s="8"/>
      <c r="AZ647" s="8"/>
      <c r="BA647" s="8"/>
      <c r="BB647" s="8"/>
      <c r="BC647" s="8"/>
      <c r="BD647" s="8"/>
      <c r="BE647" s="8"/>
      <c r="BF647" s="8"/>
      <c r="BG647" s="8"/>
      <c r="BH647" s="8"/>
      <c r="BI647" s="8"/>
    </row>
    <row r="648" spans="1:61" ht="11.25" customHeight="1" x14ac:dyDescent="0.2">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8"/>
      <c r="AW648" s="8"/>
      <c r="AX648" s="8"/>
      <c r="AY648" s="8"/>
      <c r="AZ648" s="8"/>
      <c r="BA648" s="8"/>
      <c r="BB648" s="8"/>
      <c r="BC648" s="8"/>
      <c r="BD648" s="8"/>
      <c r="BE648" s="8"/>
      <c r="BF648" s="8"/>
      <c r="BG648" s="8"/>
      <c r="BH648" s="8"/>
      <c r="BI648" s="8"/>
    </row>
    <row r="649" spans="1:61" ht="11.25" customHeight="1" x14ac:dyDescent="0.2">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c r="AM649" s="8"/>
      <c r="AN649" s="8"/>
      <c r="AO649" s="8"/>
      <c r="AP649" s="8"/>
      <c r="AQ649" s="8"/>
      <c r="AR649" s="8"/>
      <c r="AS649" s="8"/>
      <c r="AT649" s="8"/>
      <c r="AU649" s="8"/>
      <c r="AV649" s="8"/>
      <c r="AW649" s="8"/>
      <c r="AX649" s="8"/>
      <c r="AY649" s="8"/>
      <c r="AZ649" s="8"/>
      <c r="BA649" s="8"/>
      <c r="BB649" s="8"/>
      <c r="BC649" s="8"/>
      <c r="BD649" s="8"/>
      <c r="BE649" s="8"/>
      <c r="BF649" s="8"/>
      <c r="BG649" s="8"/>
      <c r="BH649" s="8"/>
      <c r="BI649" s="8"/>
    </row>
    <row r="650" spans="1:61" ht="11.25" customHeight="1" x14ac:dyDescent="0.2">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c r="AZ650" s="8"/>
      <c r="BA650" s="8"/>
      <c r="BB650" s="8"/>
      <c r="BC650" s="8"/>
      <c r="BD650" s="8"/>
      <c r="BE650" s="8"/>
      <c r="BF650" s="8"/>
      <c r="BG650" s="8"/>
      <c r="BH650" s="8"/>
      <c r="BI650" s="8"/>
    </row>
    <row r="651" spans="1:61" ht="11.25" customHeight="1" x14ac:dyDescent="0.2">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c r="AU651" s="8"/>
      <c r="AV651" s="8"/>
      <c r="AW651" s="8"/>
      <c r="AX651" s="8"/>
      <c r="AY651" s="8"/>
      <c r="AZ651" s="8"/>
      <c r="BA651" s="8"/>
      <c r="BB651" s="8"/>
      <c r="BC651" s="8"/>
      <c r="BD651" s="8"/>
      <c r="BE651" s="8"/>
      <c r="BF651" s="8"/>
      <c r="BG651" s="8"/>
      <c r="BH651" s="8"/>
      <c r="BI651" s="8"/>
    </row>
    <row r="652" spans="1:61" ht="11.25" customHeight="1" x14ac:dyDescent="0.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c r="AK652" s="8"/>
      <c r="AL652" s="8"/>
      <c r="AM652" s="8"/>
      <c r="AN652" s="8"/>
      <c r="AO652" s="8"/>
      <c r="AP652" s="8"/>
      <c r="AQ652" s="8"/>
      <c r="AR652" s="8"/>
      <c r="AS652" s="8"/>
      <c r="AT652" s="8"/>
      <c r="AU652" s="8"/>
      <c r="AV652" s="8"/>
      <c r="AW652" s="8"/>
      <c r="AX652" s="8"/>
      <c r="AY652" s="8"/>
      <c r="AZ652" s="8"/>
      <c r="BA652" s="8"/>
      <c r="BB652" s="8"/>
      <c r="BC652" s="8"/>
      <c r="BD652" s="8"/>
      <c r="BE652" s="8"/>
      <c r="BF652" s="8"/>
      <c r="BG652" s="8"/>
      <c r="BH652" s="8"/>
      <c r="BI652" s="8"/>
    </row>
    <row r="653" spans="1:61" ht="11.25" customHeight="1" x14ac:dyDescent="0.2">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c r="AM653" s="8"/>
      <c r="AN653" s="8"/>
      <c r="AO653" s="8"/>
      <c r="AP653" s="8"/>
      <c r="AQ653" s="8"/>
      <c r="AR653" s="8"/>
      <c r="AS653" s="8"/>
      <c r="AT653" s="8"/>
      <c r="AU653" s="8"/>
      <c r="AV653" s="8"/>
      <c r="AW653" s="8"/>
      <c r="AX653" s="8"/>
      <c r="AY653" s="8"/>
      <c r="AZ653" s="8"/>
      <c r="BA653" s="8"/>
      <c r="BB653" s="8"/>
      <c r="BC653" s="8"/>
      <c r="BD653" s="8"/>
      <c r="BE653" s="8"/>
      <c r="BF653" s="8"/>
      <c r="BG653" s="8"/>
      <c r="BH653" s="8"/>
      <c r="BI653" s="8"/>
    </row>
    <row r="654" spans="1:61" ht="11.25" customHeight="1" x14ac:dyDescent="0.2">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c r="AK654" s="8"/>
      <c r="AL654" s="8"/>
      <c r="AM654" s="8"/>
      <c r="AN654" s="8"/>
      <c r="AO654" s="8"/>
      <c r="AP654" s="8"/>
      <c r="AQ654" s="8"/>
      <c r="AR654" s="8"/>
      <c r="AS654" s="8"/>
      <c r="AT654" s="8"/>
      <c r="AU654" s="8"/>
      <c r="AV654" s="8"/>
      <c r="AW654" s="8"/>
      <c r="AX654" s="8"/>
      <c r="AY654" s="8"/>
      <c r="AZ654" s="8"/>
      <c r="BA654" s="8"/>
      <c r="BB654" s="8"/>
      <c r="BC654" s="8"/>
      <c r="BD654" s="8"/>
      <c r="BE654" s="8"/>
      <c r="BF654" s="8"/>
      <c r="BG654" s="8"/>
      <c r="BH654" s="8"/>
      <c r="BI654" s="8"/>
    </row>
    <row r="655" spans="1:61" ht="11.25" customHeight="1" x14ac:dyDescent="0.2">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c r="AK655" s="8"/>
      <c r="AL655" s="8"/>
      <c r="AM655" s="8"/>
      <c r="AN655" s="8"/>
      <c r="AO655" s="8"/>
      <c r="AP655" s="8"/>
      <c r="AQ655" s="8"/>
      <c r="AR655" s="8"/>
      <c r="AS655" s="8"/>
      <c r="AT655" s="8"/>
      <c r="AU655" s="8"/>
      <c r="AV655" s="8"/>
      <c r="AW655" s="8"/>
      <c r="AX655" s="8"/>
      <c r="AY655" s="8"/>
      <c r="AZ655" s="8"/>
      <c r="BA655" s="8"/>
      <c r="BB655" s="8"/>
      <c r="BC655" s="8"/>
      <c r="BD655" s="8"/>
      <c r="BE655" s="8"/>
      <c r="BF655" s="8"/>
      <c r="BG655" s="8"/>
      <c r="BH655" s="8"/>
      <c r="BI655" s="8"/>
    </row>
    <row r="656" spans="1:61" ht="11.25" customHeight="1" x14ac:dyDescent="0.2">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c r="AT656" s="8"/>
      <c r="AU656" s="8"/>
      <c r="AV656" s="8"/>
      <c r="AW656" s="8"/>
      <c r="AX656" s="8"/>
      <c r="AY656" s="8"/>
      <c r="AZ656" s="8"/>
      <c r="BA656" s="8"/>
      <c r="BB656" s="8"/>
      <c r="BC656" s="8"/>
      <c r="BD656" s="8"/>
      <c r="BE656" s="8"/>
      <c r="BF656" s="8"/>
      <c r="BG656" s="8"/>
      <c r="BH656" s="8"/>
      <c r="BI656" s="8"/>
    </row>
    <row r="657" spans="1:61" ht="11.25" customHeight="1" x14ac:dyDescent="0.2">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c r="AT657" s="8"/>
      <c r="AU657" s="8"/>
      <c r="AV657" s="8"/>
      <c r="AW657" s="8"/>
      <c r="AX657" s="8"/>
      <c r="AY657" s="8"/>
      <c r="AZ657" s="8"/>
      <c r="BA657" s="8"/>
      <c r="BB657" s="8"/>
      <c r="BC657" s="8"/>
      <c r="BD657" s="8"/>
      <c r="BE657" s="8"/>
      <c r="BF657" s="8"/>
      <c r="BG657" s="8"/>
      <c r="BH657" s="8"/>
      <c r="BI657" s="8"/>
    </row>
    <row r="658" spans="1:61" ht="11.25" customHeight="1" x14ac:dyDescent="0.2">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c r="AT658" s="8"/>
      <c r="AU658" s="8"/>
      <c r="AV658" s="8"/>
      <c r="AW658" s="8"/>
      <c r="AX658" s="8"/>
      <c r="AY658" s="8"/>
      <c r="AZ658" s="8"/>
      <c r="BA658" s="8"/>
      <c r="BB658" s="8"/>
      <c r="BC658" s="8"/>
      <c r="BD658" s="8"/>
      <c r="BE658" s="8"/>
      <c r="BF658" s="8"/>
      <c r="BG658" s="8"/>
      <c r="BH658" s="8"/>
      <c r="BI658" s="8"/>
    </row>
    <row r="659" spans="1:61" ht="11.25" customHeight="1" x14ac:dyDescent="0.2">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c r="AK659" s="8"/>
      <c r="AL659" s="8"/>
      <c r="AM659" s="8"/>
      <c r="AN659" s="8"/>
      <c r="AO659" s="8"/>
      <c r="AP659" s="8"/>
      <c r="AQ659" s="8"/>
      <c r="AR659" s="8"/>
      <c r="AS659" s="8"/>
      <c r="AT659" s="8"/>
      <c r="AU659" s="8"/>
      <c r="AV659" s="8"/>
      <c r="AW659" s="8"/>
      <c r="AX659" s="8"/>
      <c r="AY659" s="8"/>
      <c r="AZ659" s="8"/>
      <c r="BA659" s="8"/>
      <c r="BB659" s="8"/>
      <c r="BC659" s="8"/>
      <c r="BD659" s="8"/>
      <c r="BE659" s="8"/>
      <c r="BF659" s="8"/>
      <c r="BG659" s="8"/>
      <c r="BH659" s="8"/>
      <c r="BI659" s="8"/>
    </row>
    <row r="660" spans="1:61" ht="11.25" customHeight="1" x14ac:dyDescent="0.2">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c r="AK660" s="8"/>
      <c r="AL660" s="8"/>
      <c r="AM660" s="8"/>
      <c r="AN660" s="8"/>
      <c r="AO660" s="8"/>
      <c r="AP660" s="8"/>
      <c r="AQ660" s="8"/>
      <c r="AR660" s="8"/>
      <c r="AS660" s="8"/>
      <c r="AT660" s="8"/>
      <c r="AU660" s="8"/>
      <c r="AV660" s="8"/>
      <c r="AW660" s="8"/>
      <c r="AX660" s="8"/>
      <c r="AY660" s="8"/>
      <c r="AZ660" s="8"/>
      <c r="BA660" s="8"/>
      <c r="BB660" s="8"/>
      <c r="BC660" s="8"/>
      <c r="BD660" s="8"/>
      <c r="BE660" s="8"/>
      <c r="BF660" s="8"/>
      <c r="BG660" s="8"/>
      <c r="BH660" s="8"/>
      <c r="BI660" s="8"/>
    </row>
    <row r="661" spans="1:61" ht="11.25" customHeight="1" x14ac:dyDescent="0.2">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c r="AT661" s="8"/>
      <c r="AU661" s="8"/>
      <c r="AV661" s="8"/>
      <c r="AW661" s="8"/>
      <c r="AX661" s="8"/>
      <c r="AY661" s="8"/>
      <c r="AZ661" s="8"/>
      <c r="BA661" s="8"/>
      <c r="BB661" s="8"/>
      <c r="BC661" s="8"/>
      <c r="BD661" s="8"/>
      <c r="BE661" s="8"/>
      <c r="BF661" s="8"/>
      <c r="BG661" s="8"/>
      <c r="BH661" s="8"/>
      <c r="BI661" s="8"/>
    </row>
    <row r="662" spans="1:61" ht="11.25" customHeight="1" x14ac:dyDescent="0.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c r="AT662" s="8"/>
      <c r="AU662" s="8"/>
      <c r="AV662" s="8"/>
      <c r="AW662" s="8"/>
      <c r="AX662" s="8"/>
      <c r="AY662" s="8"/>
      <c r="AZ662" s="8"/>
      <c r="BA662" s="8"/>
      <c r="BB662" s="8"/>
      <c r="BC662" s="8"/>
      <c r="BD662" s="8"/>
      <c r="BE662" s="8"/>
      <c r="BF662" s="8"/>
      <c r="BG662" s="8"/>
      <c r="BH662" s="8"/>
      <c r="BI662" s="8"/>
    </row>
    <row r="663" spans="1:61" ht="11.25" customHeight="1" x14ac:dyDescent="0.2">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c r="AT663" s="8"/>
      <c r="AU663" s="8"/>
      <c r="AV663" s="8"/>
      <c r="AW663" s="8"/>
      <c r="AX663" s="8"/>
      <c r="AY663" s="8"/>
      <c r="AZ663" s="8"/>
      <c r="BA663" s="8"/>
      <c r="BB663" s="8"/>
      <c r="BC663" s="8"/>
      <c r="BD663" s="8"/>
      <c r="BE663" s="8"/>
      <c r="BF663" s="8"/>
      <c r="BG663" s="8"/>
      <c r="BH663" s="8"/>
      <c r="BI663" s="8"/>
    </row>
    <row r="664" spans="1:61" ht="11.25" customHeight="1" x14ac:dyDescent="0.2">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c r="AT664" s="8"/>
      <c r="AU664" s="8"/>
      <c r="AV664" s="8"/>
      <c r="AW664" s="8"/>
      <c r="AX664" s="8"/>
      <c r="AY664" s="8"/>
      <c r="AZ664" s="8"/>
      <c r="BA664" s="8"/>
      <c r="BB664" s="8"/>
      <c r="BC664" s="8"/>
      <c r="BD664" s="8"/>
      <c r="BE664" s="8"/>
      <c r="BF664" s="8"/>
      <c r="BG664" s="8"/>
      <c r="BH664" s="8"/>
      <c r="BI664" s="8"/>
    </row>
    <row r="665" spans="1:61" ht="11.25" customHeight="1" x14ac:dyDescent="0.2">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c r="AP665" s="8"/>
      <c r="AQ665" s="8"/>
      <c r="AR665" s="8"/>
      <c r="AS665" s="8"/>
      <c r="AT665" s="8"/>
      <c r="AU665" s="8"/>
      <c r="AV665" s="8"/>
      <c r="AW665" s="8"/>
      <c r="AX665" s="8"/>
      <c r="AY665" s="8"/>
      <c r="AZ665" s="8"/>
      <c r="BA665" s="8"/>
      <c r="BB665" s="8"/>
      <c r="BC665" s="8"/>
      <c r="BD665" s="8"/>
      <c r="BE665" s="8"/>
      <c r="BF665" s="8"/>
      <c r="BG665" s="8"/>
      <c r="BH665" s="8"/>
      <c r="BI665" s="8"/>
    </row>
    <row r="666" spans="1:61" ht="11.25" customHeight="1" x14ac:dyDescent="0.2">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8"/>
      <c r="AW666" s="8"/>
      <c r="AX666" s="8"/>
      <c r="AY666" s="8"/>
      <c r="AZ666" s="8"/>
      <c r="BA666" s="8"/>
      <c r="BB666" s="8"/>
      <c r="BC666" s="8"/>
      <c r="BD666" s="8"/>
      <c r="BE666" s="8"/>
      <c r="BF666" s="8"/>
      <c r="BG666" s="8"/>
      <c r="BH666" s="8"/>
      <c r="BI666" s="8"/>
    </row>
    <row r="667" spans="1:61" ht="11.25" customHeight="1" x14ac:dyDescent="0.2">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c r="AT667" s="8"/>
      <c r="AU667" s="8"/>
      <c r="AV667" s="8"/>
      <c r="AW667" s="8"/>
      <c r="AX667" s="8"/>
      <c r="AY667" s="8"/>
      <c r="AZ667" s="8"/>
      <c r="BA667" s="8"/>
      <c r="BB667" s="8"/>
      <c r="BC667" s="8"/>
      <c r="BD667" s="8"/>
      <c r="BE667" s="8"/>
      <c r="BF667" s="8"/>
      <c r="BG667" s="8"/>
      <c r="BH667" s="8"/>
      <c r="BI667" s="8"/>
    </row>
    <row r="668" spans="1:61" ht="11.25" customHeight="1" x14ac:dyDescent="0.2">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8"/>
      <c r="AW668" s="8"/>
      <c r="AX668" s="8"/>
      <c r="AY668" s="8"/>
      <c r="AZ668" s="8"/>
      <c r="BA668" s="8"/>
      <c r="BB668" s="8"/>
      <c r="BC668" s="8"/>
      <c r="BD668" s="8"/>
      <c r="BE668" s="8"/>
      <c r="BF668" s="8"/>
      <c r="BG668" s="8"/>
      <c r="BH668" s="8"/>
      <c r="BI668" s="8"/>
    </row>
    <row r="669" spans="1:61" ht="11.25" customHeight="1" x14ac:dyDescent="0.2">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8"/>
      <c r="AW669" s="8"/>
      <c r="AX669" s="8"/>
      <c r="AY669" s="8"/>
      <c r="AZ669" s="8"/>
      <c r="BA669" s="8"/>
      <c r="BB669" s="8"/>
      <c r="BC669" s="8"/>
      <c r="BD669" s="8"/>
      <c r="BE669" s="8"/>
      <c r="BF669" s="8"/>
      <c r="BG669" s="8"/>
      <c r="BH669" s="8"/>
      <c r="BI669" s="8"/>
    </row>
    <row r="670" spans="1:61" ht="11.25" customHeight="1" x14ac:dyDescent="0.2">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c r="AP670" s="8"/>
      <c r="AQ670" s="8"/>
      <c r="AR670" s="8"/>
      <c r="AS670" s="8"/>
      <c r="AT670" s="8"/>
      <c r="AU670" s="8"/>
      <c r="AV670" s="8"/>
      <c r="AW670" s="8"/>
      <c r="AX670" s="8"/>
      <c r="AY670" s="8"/>
      <c r="AZ670" s="8"/>
      <c r="BA670" s="8"/>
      <c r="BB670" s="8"/>
      <c r="BC670" s="8"/>
      <c r="BD670" s="8"/>
      <c r="BE670" s="8"/>
      <c r="BF670" s="8"/>
      <c r="BG670" s="8"/>
      <c r="BH670" s="8"/>
      <c r="BI670" s="8"/>
    </row>
    <row r="671" spans="1:61" ht="11.25" customHeight="1" x14ac:dyDescent="0.2">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row>
    <row r="672" spans="1:61" ht="11.25" customHeight="1" x14ac:dyDescent="0.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c r="AP672" s="8"/>
      <c r="AQ672" s="8"/>
      <c r="AR672" s="8"/>
      <c r="AS672" s="8"/>
      <c r="AT672" s="8"/>
      <c r="AU672" s="8"/>
      <c r="AV672" s="8"/>
      <c r="AW672" s="8"/>
      <c r="AX672" s="8"/>
      <c r="AY672" s="8"/>
      <c r="AZ672" s="8"/>
      <c r="BA672" s="8"/>
      <c r="BB672" s="8"/>
      <c r="BC672" s="8"/>
      <c r="BD672" s="8"/>
      <c r="BE672" s="8"/>
      <c r="BF672" s="8"/>
      <c r="BG672" s="8"/>
      <c r="BH672" s="8"/>
      <c r="BI672" s="8"/>
    </row>
    <row r="673" spans="1:61" ht="11.25" customHeight="1" x14ac:dyDescent="0.2">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c r="AP673" s="8"/>
      <c r="AQ673" s="8"/>
      <c r="AR673" s="8"/>
      <c r="AS673" s="8"/>
      <c r="AT673" s="8"/>
      <c r="AU673" s="8"/>
      <c r="AV673" s="8"/>
      <c r="AW673" s="8"/>
      <c r="AX673" s="8"/>
      <c r="AY673" s="8"/>
      <c r="AZ673" s="8"/>
      <c r="BA673" s="8"/>
      <c r="BB673" s="8"/>
      <c r="BC673" s="8"/>
      <c r="BD673" s="8"/>
      <c r="BE673" s="8"/>
      <c r="BF673" s="8"/>
      <c r="BG673" s="8"/>
      <c r="BH673" s="8"/>
      <c r="BI673" s="8"/>
    </row>
    <row r="674" spans="1:61" ht="11.25" customHeight="1" x14ac:dyDescent="0.2">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c r="AU674" s="8"/>
      <c r="AV674" s="8"/>
      <c r="AW674" s="8"/>
      <c r="AX674" s="8"/>
      <c r="AY674" s="8"/>
      <c r="AZ674" s="8"/>
      <c r="BA674" s="8"/>
      <c r="BB674" s="8"/>
      <c r="BC674" s="8"/>
      <c r="BD674" s="8"/>
      <c r="BE674" s="8"/>
      <c r="BF674" s="8"/>
      <c r="BG674" s="8"/>
      <c r="BH674" s="8"/>
      <c r="BI674" s="8"/>
    </row>
    <row r="675" spans="1:61" ht="11.25" customHeight="1" x14ac:dyDescent="0.2">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c r="AP675" s="8"/>
      <c r="AQ675" s="8"/>
      <c r="AR675" s="8"/>
      <c r="AS675" s="8"/>
      <c r="AT675" s="8"/>
      <c r="AU675" s="8"/>
      <c r="AV675" s="8"/>
      <c r="AW675" s="8"/>
      <c r="AX675" s="8"/>
      <c r="AY675" s="8"/>
      <c r="AZ675" s="8"/>
      <c r="BA675" s="8"/>
      <c r="BB675" s="8"/>
      <c r="BC675" s="8"/>
      <c r="BD675" s="8"/>
      <c r="BE675" s="8"/>
      <c r="BF675" s="8"/>
      <c r="BG675" s="8"/>
      <c r="BH675" s="8"/>
      <c r="BI675" s="8"/>
    </row>
    <row r="676" spans="1:61" ht="11.25" customHeight="1" x14ac:dyDescent="0.2">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c r="AT676" s="8"/>
      <c r="AU676" s="8"/>
      <c r="AV676" s="8"/>
      <c r="AW676" s="8"/>
      <c r="AX676" s="8"/>
      <c r="AY676" s="8"/>
      <c r="AZ676" s="8"/>
      <c r="BA676" s="8"/>
      <c r="BB676" s="8"/>
      <c r="BC676" s="8"/>
      <c r="BD676" s="8"/>
      <c r="BE676" s="8"/>
      <c r="BF676" s="8"/>
      <c r="BG676" s="8"/>
      <c r="BH676" s="8"/>
      <c r="BI676" s="8"/>
    </row>
    <row r="677" spans="1:61" ht="11.25" customHeight="1" x14ac:dyDescent="0.2">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c r="AM677" s="8"/>
      <c r="AN677" s="8"/>
      <c r="AO677" s="8"/>
      <c r="AP677" s="8"/>
      <c r="AQ677" s="8"/>
      <c r="AR677" s="8"/>
      <c r="AS677" s="8"/>
      <c r="AT677" s="8"/>
      <c r="AU677" s="8"/>
      <c r="AV677" s="8"/>
      <c r="AW677" s="8"/>
      <c r="AX677" s="8"/>
      <c r="AY677" s="8"/>
      <c r="AZ677" s="8"/>
      <c r="BA677" s="8"/>
      <c r="BB677" s="8"/>
      <c r="BC677" s="8"/>
      <c r="BD677" s="8"/>
      <c r="BE677" s="8"/>
      <c r="BF677" s="8"/>
      <c r="BG677" s="8"/>
      <c r="BH677" s="8"/>
      <c r="BI677" s="8"/>
    </row>
    <row r="678" spans="1:61" ht="11.25" customHeight="1" x14ac:dyDescent="0.2">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c r="AK678" s="8"/>
      <c r="AL678" s="8"/>
      <c r="AM678" s="8"/>
      <c r="AN678" s="8"/>
      <c r="AO678" s="8"/>
      <c r="AP678" s="8"/>
      <c r="AQ678" s="8"/>
      <c r="AR678" s="8"/>
      <c r="AS678" s="8"/>
      <c r="AT678" s="8"/>
      <c r="AU678" s="8"/>
      <c r="AV678" s="8"/>
      <c r="AW678" s="8"/>
      <c r="AX678" s="8"/>
      <c r="AY678" s="8"/>
      <c r="AZ678" s="8"/>
      <c r="BA678" s="8"/>
      <c r="BB678" s="8"/>
      <c r="BC678" s="8"/>
      <c r="BD678" s="8"/>
      <c r="BE678" s="8"/>
      <c r="BF678" s="8"/>
      <c r="BG678" s="8"/>
      <c r="BH678" s="8"/>
      <c r="BI678" s="8"/>
    </row>
    <row r="679" spans="1:61" ht="11.25" customHeight="1" x14ac:dyDescent="0.2">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c r="AK679" s="8"/>
      <c r="AL679" s="8"/>
      <c r="AM679" s="8"/>
      <c r="AN679" s="8"/>
      <c r="AO679" s="8"/>
      <c r="AP679" s="8"/>
      <c r="AQ679" s="8"/>
      <c r="AR679" s="8"/>
      <c r="AS679" s="8"/>
      <c r="AT679" s="8"/>
      <c r="AU679" s="8"/>
      <c r="AV679" s="8"/>
      <c r="AW679" s="8"/>
      <c r="AX679" s="8"/>
      <c r="AY679" s="8"/>
      <c r="AZ679" s="8"/>
      <c r="BA679" s="8"/>
      <c r="BB679" s="8"/>
      <c r="BC679" s="8"/>
      <c r="BD679" s="8"/>
      <c r="BE679" s="8"/>
      <c r="BF679" s="8"/>
      <c r="BG679" s="8"/>
      <c r="BH679" s="8"/>
      <c r="BI679" s="8"/>
    </row>
    <row r="680" spans="1:61" ht="11.25" customHeight="1" x14ac:dyDescent="0.2">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c r="AT680" s="8"/>
      <c r="AU680" s="8"/>
      <c r="AV680" s="8"/>
      <c r="AW680" s="8"/>
      <c r="AX680" s="8"/>
      <c r="AY680" s="8"/>
      <c r="AZ680" s="8"/>
      <c r="BA680" s="8"/>
      <c r="BB680" s="8"/>
      <c r="BC680" s="8"/>
      <c r="BD680" s="8"/>
      <c r="BE680" s="8"/>
      <c r="BF680" s="8"/>
      <c r="BG680" s="8"/>
      <c r="BH680" s="8"/>
      <c r="BI680" s="8"/>
    </row>
    <row r="681" spans="1:61" ht="11.25" customHeight="1" x14ac:dyDescent="0.2">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c r="AK681" s="8"/>
      <c r="AL681" s="8"/>
      <c r="AM681" s="8"/>
      <c r="AN681" s="8"/>
      <c r="AO681" s="8"/>
      <c r="AP681" s="8"/>
      <c r="AQ681" s="8"/>
      <c r="AR681" s="8"/>
      <c r="AS681" s="8"/>
      <c r="AT681" s="8"/>
      <c r="AU681" s="8"/>
      <c r="AV681" s="8"/>
      <c r="AW681" s="8"/>
      <c r="AX681" s="8"/>
      <c r="AY681" s="8"/>
      <c r="AZ681" s="8"/>
      <c r="BA681" s="8"/>
      <c r="BB681" s="8"/>
      <c r="BC681" s="8"/>
      <c r="BD681" s="8"/>
      <c r="BE681" s="8"/>
      <c r="BF681" s="8"/>
      <c r="BG681" s="8"/>
      <c r="BH681" s="8"/>
      <c r="BI681" s="8"/>
    </row>
    <row r="682" spans="1:61" ht="11.25" customHeight="1" x14ac:dyDescent="0.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c r="AK682" s="8"/>
      <c r="AL682" s="8"/>
      <c r="AM682" s="8"/>
      <c r="AN682" s="8"/>
      <c r="AO682" s="8"/>
      <c r="AP682" s="8"/>
      <c r="AQ682" s="8"/>
      <c r="AR682" s="8"/>
      <c r="AS682" s="8"/>
      <c r="AT682" s="8"/>
      <c r="AU682" s="8"/>
      <c r="AV682" s="8"/>
      <c r="AW682" s="8"/>
      <c r="AX682" s="8"/>
      <c r="AY682" s="8"/>
      <c r="AZ682" s="8"/>
      <c r="BA682" s="8"/>
      <c r="BB682" s="8"/>
      <c r="BC682" s="8"/>
      <c r="BD682" s="8"/>
      <c r="BE682" s="8"/>
      <c r="BF682" s="8"/>
      <c r="BG682" s="8"/>
      <c r="BH682" s="8"/>
      <c r="BI682" s="8"/>
    </row>
    <row r="683" spans="1:61" ht="11.25" customHeight="1" x14ac:dyDescent="0.2">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c r="AT683" s="8"/>
      <c r="AU683" s="8"/>
      <c r="AV683" s="8"/>
      <c r="AW683" s="8"/>
      <c r="AX683" s="8"/>
      <c r="AY683" s="8"/>
      <c r="AZ683" s="8"/>
      <c r="BA683" s="8"/>
      <c r="BB683" s="8"/>
      <c r="BC683" s="8"/>
      <c r="BD683" s="8"/>
      <c r="BE683" s="8"/>
      <c r="BF683" s="8"/>
      <c r="BG683" s="8"/>
      <c r="BH683" s="8"/>
      <c r="BI683" s="8"/>
    </row>
    <row r="684" spans="1:61" ht="11.25" customHeight="1" x14ac:dyDescent="0.2">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c r="AK684" s="8"/>
      <c r="AL684" s="8"/>
      <c r="AM684" s="8"/>
      <c r="AN684" s="8"/>
      <c r="AO684" s="8"/>
      <c r="AP684" s="8"/>
      <c r="AQ684" s="8"/>
      <c r="AR684" s="8"/>
      <c r="AS684" s="8"/>
      <c r="AT684" s="8"/>
      <c r="AU684" s="8"/>
      <c r="AV684" s="8"/>
      <c r="AW684" s="8"/>
      <c r="AX684" s="8"/>
      <c r="AY684" s="8"/>
      <c r="AZ684" s="8"/>
      <c r="BA684" s="8"/>
      <c r="BB684" s="8"/>
      <c r="BC684" s="8"/>
      <c r="BD684" s="8"/>
      <c r="BE684" s="8"/>
      <c r="BF684" s="8"/>
      <c r="BG684" s="8"/>
      <c r="BH684" s="8"/>
      <c r="BI684" s="8"/>
    </row>
    <row r="685" spans="1:61" ht="11.25" customHeight="1" x14ac:dyDescent="0.2">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c r="AM685" s="8"/>
      <c r="AN685" s="8"/>
      <c r="AO685" s="8"/>
      <c r="AP685" s="8"/>
      <c r="AQ685" s="8"/>
      <c r="AR685" s="8"/>
      <c r="AS685" s="8"/>
      <c r="AT685" s="8"/>
      <c r="AU685" s="8"/>
      <c r="AV685" s="8"/>
      <c r="AW685" s="8"/>
      <c r="AX685" s="8"/>
      <c r="AY685" s="8"/>
      <c r="AZ685" s="8"/>
      <c r="BA685" s="8"/>
      <c r="BB685" s="8"/>
      <c r="BC685" s="8"/>
      <c r="BD685" s="8"/>
      <c r="BE685" s="8"/>
      <c r="BF685" s="8"/>
      <c r="BG685" s="8"/>
      <c r="BH685" s="8"/>
      <c r="BI685" s="8"/>
    </row>
    <row r="686" spans="1:61" ht="11.25" customHeight="1" x14ac:dyDescent="0.2">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8"/>
      <c r="AW686" s="8"/>
      <c r="AX686" s="8"/>
      <c r="AY686" s="8"/>
      <c r="AZ686" s="8"/>
      <c r="BA686" s="8"/>
      <c r="BB686" s="8"/>
      <c r="BC686" s="8"/>
      <c r="BD686" s="8"/>
      <c r="BE686" s="8"/>
      <c r="BF686" s="8"/>
      <c r="BG686" s="8"/>
      <c r="BH686" s="8"/>
      <c r="BI686" s="8"/>
    </row>
    <row r="687" spans="1:61" ht="11.25" customHeight="1" x14ac:dyDescent="0.2">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c r="AM687" s="8"/>
      <c r="AN687" s="8"/>
      <c r="AO687" s="8"/>
      <c r="AP687" s="8"/>
      <c r="AQ687" s="8"/>
      <c r="AR687" s="8"/>
      <c r="AS687" s="8"/>
      <c r="AT687" s="8"/>
      <c r="AU687" s="8"/>
      <c r="AV687" s="8"/>
      <c r="AW687" s="8"/>
      <c r="AX687" s="8"/>
      <c r="AY687" s="8"/>
      <c r="AZ687" s="8"/>
      <c r="BA687" s="8"/>
      <c r="BB687" s="8"/>
      <c r="BC687" s="8"/>
      <c r="BD687" s="8"/>
      <c r="BE687" s="8"/>
      <c r="BF687" s="8"/>
      <c r="BG687" s="8"/>
      <c r="BH687" s="8"/>
      <c r="BI687" s="8"/>
    </row>
    <row r="688" spans="1:61" ht="11.25" customHeight="1" x14ac:dyDescent="0.2">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c r="AT688" s="8"/>
      <c r="AU688" s="8"/>
      <c r="AV688" s="8"/>
      <c r="AW688" s="8"/>
      <c r="AX688" s="8"/>
      <c r="AY688" s="8"/>
      <c r="AZ688" s="8"/>
      <c r="BA688" s="8"/>
      <c r="BB688" s="8"/>
      <c r="BC688" s="8"/>
      <c r="BD688" s="8"/>
      <c r="BE688" s="8"/>
      <c r="BF688" s="8"/>
      <c r="BG688" s="8"/>
      <c r="BH688" s="8"/>
      <c r="BI688" s="8"/>
    </row>
    <row r="689" spans="1:61" ht="11.25" customHeight="1" x14ac:dyDescent="0.2">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8"/>
      <c r="AW689" s="8"/>
      <c r="AX689" s="8"/>
      <c r="AY689" s="8"/>
      <c r="AZ689" s="8"/>
      <c r="BA689" s="8"/>
      <c r="BB689" s="8"/>
      <c r="BC689" s="8"/>
      <c r="BD689" s="8"/>
      <c r="BE689" s="8"/>
      <c r="BF689" s="8"/>
      <c r="BG689" s="8"/>
      <c r="BH689" s="8"/>
      <c r="BI689" s="8"/>
    </row>
    <row r="690" spans="1:61" ht="11.25" customHeight="1" x14ac:dyDescent="0.2">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c r="AU690" s="8"/>
      <c r="AV690" s="8"/>
      <c r="AW690" s="8"/>
      <c r="AX690" s="8"/>
      <c r="AY690" s="8"/>
      <c r="AZ690" s="8"/>
      <c r="BA690" s="8"/>
      <c r="BB690" s="8"/>
      <c r="BC690" s="8"/>
      <c r="BD690" s="8"/>
      <c r="BE690" s="8"/>
      <c r="BF690" s="8"/>
      <c r="BG690" s="8"/>
      <c r="BH690" s="8"/>
      <c r="BI690" s="8"/>
    </row>
    <row r="691" spans="1:61" ht="11.25" customHeight="1" x14ac:dyDescent="0.2">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c r="AM691" s="8"/>
      <c r="AN691" s="8"/>
      <c r="AO691" s="8"/>
      <c r="AP691" s="8"/>
      <c r="AQ691" s="8"/>
      <c r="AR691" s="8"/>
      <c r="AS691" s="8"/>
      <c r="AT691" s="8"/>
      <c r="AU691" s="8"/>
      <c r="AV691" s="8"/>
      <c r="AW691" s="8"/>
      <c r="AX691" s="8"/>
      <c r="AY691" s="8"/>
      <c r="AZ691" s="8"/>
      <c r="BA691" s="8"/>
      <c r="BB691" s="8"/>
      <c r="BC691" s="8"/>
      <c r="BD691" s="8"/>
      <c r="BE691" s="8"/>
      <c r="BF691" s="8"/>
      <c r="BG691" s="8"/>
      <c r="BH691" s="8"/>
      <c r="BI691" s="8"/>
    </row>
    <row r="692" spans="1:61" ht="11.25" customHeight="1" x14ac:dyDescent="0.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c r="BF692" s="8"/>
      <c r="BG692" s="8"/>
      <c r="BH692" s="8"/>
      <c r="BI692" s="8"/>
    </row>
    <row r="693" spans="1:61" ht="11.25" customHeight="1" x14ac:dyDescent="0.2">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c r="AM693" s="8"/>
      <c r="AN693" s="8"/>
      <c r="AO693" s="8"/>
      <c r="AP693" s="8"/>
      <c r="AQ693" s="8"/>
      <c r="AR693" s="8"/>
      <c r="AS693" s="8"/>
      <c r="AT693" s="8"/>
      <c r="AU693" s="8"/>
      <c r="AV693" s="8"/>
      <c r="AW693" s="8"/>
      <c r="AX693" s="8"/>
      <c r="AY693" s="8"/>
      <c r="AZ693" s="8"/>
      <c r="BA693" s="8"/>
      <c r="BB693" s="8"/>
      <c r="BC693" s="8"/>
      <c r="BD693" s="8"/>
      <c r="BE693" s="8"/>
      <c r="BF693" s="8"/>
      <c r="BG693" s="8"/>
      <c r="BH693" s="8"/>
      <c r="BI693" s="8"/>
    </row>
    <row r="694" spans="1:61" ht="11.25" customHeight="1" x14ac:dyDescent="0.2">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c r="AK694" s="8"/>
      <c r="AL694" s="8"/>
      <c r="AM694" s="8"/>
      <c r="AN694" s="8"/>
      <c r="AO694" s="8"/>
      <c r="AP694" s="8"/>
      <c r="AQ694" s="8"/>
      <c r="AR694" s="8"/>
      <c r="AS694" s="8"/>
      <c r="AT694" s="8"/>
      <c r="AU694" s="8"/>
      <c r="AV694" s="8"/>
      <c r="AW694" s="8"/>
      <c r="AX694" s="8"/>
      <c r="AY694" s="8"/>
      <c r="AZ694" s="8"/>
      <c r="BA694" s="8"/>
      <c r="BB694" s="8"/>
      <c r="BC694" s="8"/>
      <c r="BD694" s="8"/>
      <c r="BE694" s="8"/>
      <c r="BF694" s="8"/>
      <c r="BG694" s="8"/>
      <c r="BH694" s="8"/>
      <c r="BI694" s="8"/>
    </row>
    <row r="695" spans="1:61" ht="11.25" customHeight="1" x14ac:dyDescent="0.2">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8"/>
      <c r="AW695" s="8"/>
      <c r="AX695" s="8"/>
      <c r="AY695" s="8"/>
      <c r="AZ695" s="8"/>
      <c r="BA695" s="8"/>
      <c r="BB695" s="8"/>
      <c r="BC695" s="8"/>
      <c r="BD695" s="8"/>
      <c r="BE695" s="8"/>
      <c r="BF695" s="8"/>
      <c r="BG695" s="8"/>
      <c r="BH695" s="8"/>
      <c r="BI695" s="8"/>
    </row>
    <row r="696" spans="1:61" ht="11.25" customHeight="1" x14ac:dyDescent="0.2">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c r="AK696" s="8"/>
      <c r="AL696" s="8"/>
      <c r="AM696" s="8"/>
      <c r="AN696" s="8"/>
      <c r="AO696" s="8"/>
      <c r="AP696" s="8"/>
      <c r="AQ696" s="8"/>
      <c r="AR696" s="8"/>
      <c r="AS696" s="8"/>
      <c r="AT696" s="8"/>
      <c r="AU696" s="8"/>
      <c r="AV696" s="8"/>
      <c r="AW696" s="8"/>
      <c r="AX696" s="8"/>
      <c r="AY696" s="8"/>
      <c r="AZ696" s="8"/>
      <c r="BA696" s="8"/>
      <c r="BB696" s="8"/>
      <c r="BC696" s="8"/>
      <c r="BD696" s="8"/>
      <c r="BE696" s="8"/>
      <c r="BF696" s="8"/>
      <c r="BG696" s="8"/>
      <c r="BH696" s="8"/>
      <c r="BI696" s="8"/>
    </row>
    <row r="697" spans="1:61" ht="11.25" customHeight="1" x14ac:dyDescent="0.2">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c r="AK697" s="8"/>
      <c r="AL697" s="8"/>
      <c r="AM697" s="8"/>
      <c r="AN697" s="8"/>
      <c r="AO697" s="8"/>
      <c r="AP697" s="8"/>
      <c r="AQ697" s="8"/>
      <c r="AR697" s="8"/>
      <c r="AS697" s="8"/>
      <c r="AT697" s="8"/>
      <c r="AU697" s="8"/>
      <c r="AV697" s="8"/>
      <c r="AW697" s="8"/>
      <c r="AX697" s="8"/>
      <c r="AY697" s="8"/>
      <c r="AZ697" s="8"/>
      <c r="BA697" s="8"/>
      <c r="BB697" s="8"/>
      <c r="BC697" s="8"/>
      <c r="BD697" s="8"/>
      <c r="BE697" s="8"/>
      <c r="BF697" s="8"/>
      <c r="BG697" s="8"/>
      <c r="BH697" s="8"/>
      <c r="BI697" s="8"/>
    </row>
    <row r="698" spans="1:61" ht="11.25" customHeight="1" x14ac:dyDescent="0.2">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c r="AU698" s="8"/>
      <c r="AV698" s="8"/>
      <c r="AW698" s="8"/>
      <c r="AX698" s="8"/>
      <c r="AY698" s="8"/>
      <c r="AZ698" s="8"/>
      <c r="BA698" s="8"/>
      <c r="BB698" s="8"/>
      <c r="BC698" s="8"/>
      <c r="BD698" s="8"/>
      <c r="BE698" s="8"/>
      <c r="BF698" s="8"/>
      <c r="BG698" s="8"/>
      <c r="BH698" s="8"/>
      <c r="BI698" s="8"/>
    </row>
    <row r="699" spans="1:61" ht="11.25" customHeight="1" x14ac:dyDescent="0.2">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c r="AT699" s="8"/>
      <c r="AU699" s="8"/>
      <c r="AV699" s="8"/>
      <c r="AW699" s="8"/>
      <c r="AX699" s="8"/>
      <c r="AY699" s="8"/>
      <c r="AZ699" s="8"/>
      <c r="BA699" s="8"/>
      <c r="BB699" s="8"/>
      <c r="BC699" s="8"/>
      <c r="BD699" s="8"/>
      <c r="BE699" s="8"/>
      <c r="BF699" s="8"/>
      <c r="BG699" s="8"/>
      <c r="BH699" s="8"/>
      <c r="BI699" s="8"/>
    </row>
    <row r="700" spans="1:61" ht="11.25" customHeight="1" x14ac:dyDescent="0.2">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c r="AM700" s="8"/>
      <c r="AN700" s="8"/>
      <c r="AO700" s="8"/>
      <c r="AP700" s="8"/>
      <c r="AQ700" s="8"/>
      <c r="AR700" s="8"/>
      <c r="AS700" s="8"/>
      <c r="AT700" s="8"/>
      <c r="AU700" s="8"/>
      <c r="AV700" s="8"/>
      <c r="AW700" s="8"/>
      <c r="AX700" s="8"/>
      <c r="AY700" s="8"/>
      <c r="AZ700" s="8"/>
      <c r="BA700" s="8"/>
      <c r="BB700" s="8"/>
      <c r="BC700" s="8"/>
      <c r="BD700" s="8"/>
      <c r="BE700" s="8"/>
      <c r="BF700" s="8"/>
      <c r="BG700" s="8"/>
      <c r="BH700" s="8"/>
      <c r="BI700" s="8"/>
    </row>
    <row r="701" spans="1:61" ht="11.25" customHeight="1" x14ac:dyDescent="0.2">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c r="AK701" s="8"/>
      <c r="AL701" s="8"/>
      <c r="AM701" s="8"/>
      <c r="AN701" s="8"/>
      <c r="AO701" s="8"/>
      <c r="AP701" s="8"/>
      <c r="AQ701" s="8"/>
      <c r="AR701" s="8"/>
      <c r="AS701" s="8"/>
      <c r="AT701" s="8"/>
      <c r="AU701" s="8"/>
      <c r="AV701" s="8"/>
      <c r="AW701" s="8"/>
      <c r="AX701" s="8"/>
      <c r="AY701" s="8"/>
      <c r="AZ701" s="8"/>
      <c r="BA701" s="8"/>
      <c r="BB701" s="8"/>
      <c r="BC701" s="8"/>
      <c r="BD701" s="8"/>
      <c r="BE701" s="8"/>
      <c r="BF701" s="8"/>
      <c r="BG701" s="8"/>
      <c r="BH701" s="8"/>
      <c r="BI701" s="8"/>
    </row>
    <row r="702" spans="1:61" ht="11.25" customHeight="1" x14ac:dyDescent="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c r="AM702" s="8"/>
      <c r="AN702" s="8"/>
      <c r="AO702" s="8"/>
      <c r="AP702" s="8"/>
      <c r="AQ702" s="8"/>
      <c r="AR702" s="8"/>
      <c r="AS702" s="8"/>
      <c r="AT702" s="8"/>
      <c r="AU702" s="8"/>
      <c r="AV702" s="8"/>
      <c r="AW702" s="8"/>
      <c r="AX702" s="8"/>
      <c r="AY702" s="8"/>
      <c r="AZ702" s="8"/>
      <c r="BA702" s="8"/>
      <c r="BB702" s="8"/>
      <c r="BC702" s="8"/>
      <c r="BD702" s="8"/>
      <c r="BE702" s="8"/>
      <c r="BF702" s="8"/>
      <c r="BG702" s="8"/>
      <c r="BH702" s="8"/>
      <c r="BI702" s="8"/>
    </row>
    <row r="703" spans="1:61" ht="11.25" customHeight="1" x14ac:dyDescent="0.2">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c r="AM703" s="8"/>
      <c r="AN703" s="8"/>
      <c r="AO703" s="8"/>
      <c r="AP703" s="8"/>
      <c r="AQ703" s="8"/>
      <c r="AR703" s="8"/>
      <c r="AS703" s="8"/>
      <c r="AT703" s="8"/>
      <c r="AU703" s="8"/>
      <c r="AV703" s="8"/>
      <c r="AW703" s="8"/>
      <c r="AX703" s="8"/>
      <c r="AY703" s="8"/>
      <c r="AZ703" s="8"/>
      <c r="BA703" s="8"/>
      <c r="BB703" s="8"/>
      <c r="BC703" s="8"/>
      <c r="BD703" s="8"/>
      <c r="BE703" s="8"/>
      <c r="BF703" s="8"/>
      <c r="BG703" s="8"/>
      <c r="BH703" s="8"/>
      <c r="BI703" s="8"/>
    </row>
    <row r="704" spans="1:61" ht="11.25" customHeight="1" x14ac:dyDescent="0.2">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c r="AK704" s="8"/>
      <c r="AL704" s="8"/>
      <c r="AM704" s="8"/>
      <c r="AN704" s="8"/>
      <c r="AO704" s="8"/>
      <c r="AP704" s="8"/>
      <c r="AQ704" s="8"/>
      <c r="AR704" s="8"/>
      <c r="AS704" s="8"/>
      <c r="AT704" s="8"/>
      <c r="AU704" s="8"/>
      <c r="AV704" s="8"/>
      <c r="AW704" s="8"/>
      <c r="AX704" s="8"/>
      <c r="AY704" s="8"/>
      <c r="AZ704" s="8"/>
      <c r="BA704" s="8"/>
      <c r="BB704" s="8"/>
      <c r="BC704" s="8"/>
      <c r="BD704" s="8"/>
      <c r="BE704" s="8"/>
      <c r="BF704" s="8"/>
      <c r="BG704" s="8"/>
      <c r="BH704" s="8"/>
      <c r="BI704" s="8"/>
    </row>
    <row r="705" spans="1:61" ht="11.25" customHeight="1" x14ac:dyDescent="0.2">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c r="AU705" s="8"/>
      <c r="AV705" s="8"/>
      <c r="AW705" s="8"/>
      <c r="AX705" s="8"/>
      <c r="AY705" s="8"/>
      <c r="AZ705" s="8"/>
      <c r="BA705" s="8"/>
      <c r="BB705" s="8"/>
      <c r="BC705" s="8"/>
      <c r="BD705" s="8"/>
      <c r="BE705" s="8"/>
      <c r="BF705" s="8"/>
      <c r="BG705" s="8"/>
      <c r="BH705" s="8"/>
      <c r="BI705" s="8"/>
    </row>
    <row r="706" spans="1:61" ht="11.25" customHeight="1" x14ac:dyDescent="0.2">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c r="AK706" s="8"/>
      <c r="AL706" s="8"/>
      <c r="AM706" s="8"/>
      <c r="AN706" s="8"/>
      <c r="AO706" s="8"/>
      <c r="AP706" s="8"/>
      <c r="AQ706" s="8"/>
      <c r="AR706" s="8"/>
      <c r="AS706" s="8"/>
      <c r="AT706" s="8"/>
      <c r="AU706" s="8"/>
      <c r="AV706" s="8"/>
      <c r="AW706" s="8"/>
      <c r="AX706" s="8"/>
      <c r="AY706" s="8"/>
      <c r="AZ706" s="8"/>
      <c r="BA706" s="8"/>
      <c r="BB706" s="8"/>
      <c r="BC706" s="8"/>
      <c r="BD706" s="8"/>
      <c r="BE706" s="8"/>
      <c r="BF706" s="8"/>
      <c r="BG706" s="8"/>
      <c r="BH706" s="8"/>
      <c r="BI706" s="8"/>
    </row>
    <row r="707" spans="1:61" ht="11.25" customHeight="1" x14ac:dyDescent="0.2">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c r="AK707" s="8"/>
      <c r="AL707" s="8"/>
      <c r="AM707" s="8"/>
      <c r="AN707" s="8"/>
      <c r="AO707" s="8"/>
      <c r="AP707" s="8"/>
      <c r="AQ707" s="8"/>
      <c r="AR707" s="8"/>
      <c r="AS707" s="8"/>
      <c r="AT707" s="8"/>
      <c r="AU707" s="8"/>
      <c r="AV707" s="8"/>
      <c r="AW707" s="8"/>
      <c r="AX707" s="8"/>
      <c r="AY707" s="8"/>
      <c r="AZ707" s="8"/>
      <c r="BA707" s="8"/>
      <c r="BB707" s="8"/>
      <c r="BC707" s="8"/>
      <c r="BD707" s="8"/>
      <c r="BE707" s="8"/>
      <c r="BF707" s="8"/>
      <c r="BG707" s="8"/>
      <c r="BH707" s="8"/>
      <c r="BI707" s="8"/>
    </row>
    <row r="708" spans="1:61" ht="11.25" customHeight="1" x14ac:dyDescent="0.2">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row>
    <row r="709" spans="1:61" ht="11.25" customHeight="1" x14ac:dyDescent="0.2">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c r="AM709" s="8"/>
      <c r="AN709" s="8"/>
      <c r="AO709" s="8"/>
      <c r="AP709" s="8"/>
      <c r="AQ709" s="8"/>
      <c r="AR709" s="8"/>
      <c r="AS709" s="8"/>
      <c r="AT709" s="8"/>
      <c r="AU709" s="8"/>
      <c r="AV709" s="8"/>
      <c r="AW709" s="8"/>
      <c r="AX709" s="8"/>
      <c r="AY709" s="8"/>
      <c r="AZ709" s="8"/>
      <c r="BA709" s="8"/>
      <c r="BB709" s="8"/>
      <c r="BC709" s="8"/>
      <c r="BD709" s="8"/>
      <c r="BE709" s="8"/>
      <c r="BF709" s="8"/>
      <c r="BG709" s="8"/>
      <c r="BH709" s="8"/>
      <c r="BI709" s="8"/>
    </row>
    <row r="710" spans="1:61" ht="11.25" customHeight="1" x14ac:dyDescent="0.2">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c r="AM710" s="8"/>
      <c r="AN710" s="8"/>
      <c r="AO710" s="8"/>
      <c r="AP710" s="8"/>
      <c r="AQ710" s="8"/>
      <c r="AR710" s="8"/>
      <c r="AS710" s="8"/>
      <c r="AT710" s="8"/>
      <c r="AU710" s="8"/>
      <c r="AV710" s="8"/>
      <c r="AW710" s="8"/>
      <c r="AX710" s="8"/>
      <c r="AY710" s="8"/>
      <c r="AZ710" s="8"/>
      <c r="BA710" s="8"/>
      <c r="BB710" s="8"/>
      <c r="BC710" s="8"/>
      <c r="BD710" s="8"/>
      <c r="BE710" s="8"/>
      <c r="BF710" s="8"/>
      <c r="BG710" s="8"/>
      <c r="BH710" s="8"/>
      <c r="BI710" s="8"/>
    </row>
    <row r="711" spans="1:61" ht="11.25" customHeight="1" x14ac:dyDescent="0.2">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c r="AM711" s="8"/>
      <c r="AN711" s="8"/>
      <c r="AO711" s="8"/>
      <c r="AP711" s="8"/>
      <c r="AQ711" s="8"/>
      <c r="AR711" s="8"/>
      <c r="AS711" s="8"/>
      <c r="AT711" s="8"/>
      <c r="AU711" s="8"/>
      <c r="AV711" s="8"/>
      <c r="AW711" s="8"/>
      <c r="AX711" s="8"/>
      <c r="AY711" s="8"/>
      <c r="AZ711" s="8"/>
      <c r="BA711" s="8"/>
      <c r="BB711" s="8"/>
      <c r="BC711" s="8"/>
      <c r="BD711" s="8"/>
      <c r="BE711" s="8"/>
      <c r="BF711" s="8"/>
      <c r="BG711" s="8"/>
      <c r="BH711" s="8"/>
      <c r="BI711" s="8"/>
    </row>
    <row r="712" spans="1:61" ht="11.25" customHeight="1" x14ac:dyDescent="0.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c r="AK712" s="8"/>
      <c r="AL712" s="8"/>
      <c r="AM712" s="8"/>
      <c r="AN712" s="8"/>
      <c r="AO712" s="8"/>
      <c r="AP712" s="8"/>
      <c r="AQ712" s="8"/>
      <c r="AR712" s="8"/>
      <c r="AS712" s="8"/>
      <c r="AT712" s="8"/>
      <c r="AU712" s="8"/>
      <c r="AV712" s="8"/>
      <c r="AW712" s="8"/>
      <c r="AX712" s="8"/>
      <c r="AY712" s="8"/>
      <c r="AZ712" s="8"/>
      <c r="BA712" s="8"/>
      <c r="BB712" s="8"/>
      <c r="BC712" s="8"/>
      <c r="BD712" s="8"/>
      <c r="BE712" s="8"/>
      <c r="BF712" s="8"/>
      <c r="BG712" s="8"/>
      <c r="BH712" s="8"/>
      <c r="BI712" s="8"/>
    </row>
    <row r="713" spans="1:61" ht="11.25" customHeight="1" x14ac:dyDescent="0.2">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c r="AM713" s="8"/>
      <c r="AN713" s="8"/>
      <c r="AO713" s="8"/>
      <c r="AP713" s="8"/>
      <c r="AQ713" s="8"/>
      <c r="AR713" s="8"/>
      <c r="AS713" s="8"/>
      <c r="AT713" s="8"/>
      <c r="AU713" s="8"/>
      <c r="AV713" s="8"/>
      <c r="AW713" s="8"/>
      <c r="AX713" s="8"/>
      <c r="AY713" s="8"/>
      <c r="AZ713" s="8"/>
      <c r="BA713" s="8"/>
      <c r="BB713" s="8"/>
      <c r="BC713" s="8"/>
      <c r="BD713" s="8"/>
      <c r="BE713" s="8"/>
      <c r="BF713" s="8"/>
      <c r="BG713" s="8"/>
      <c r="BH713" s="8"/>
      <c r="BI713" s="8"/>
    </row>
    <row r="714" spans="1:61" ht="11.25" customHeight="1" x14ac:dyDescent="0.2">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c r="AT714" s="8"/>
      <c r="AU714" s="8"/>
      <c r="AV714" s="8"/>
      <c r="AW714" s="8"/>
      <c r="AX714" s="8"/>
      <c r="AY714" s="8"/>
      <c r="AZ714" s="8"/>
      <c r="BA714" s="8"/>
      <c r="BB714" s="8"/>
      <c r="BC714" s="8"/>
      <c r="BD714" s="8"/>
      <c r="BE714" s="8"/>
      <c r="BF714" s="8"/>
      <c r="BG714" s="8"/>
      <c r="BH714" s="8"/>
      <c r="BI714" s="8"/>
    </row>
    <row r="715" spans="1:61" ht="11.25" customHeight="1" x14ac:dyDescent="0.2">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c r="AU715" s="8"/>
      <c r="AV715" s="8"/>
      <c r="AW715" s="8"/>
      <c r="AX715" s="8"/>
      <c r="AY715" s="8"/>
      <c r="AZ715" s="8"/>
      <c r="BA715" s="8"/>
      <c r="BB715" s="8"/>
      <c r="BC715" s="8"/>
      <c r="BD715" s="8"/>
      <c r="BE715" s="8"/>
      <c r="BF715" s="8"/>
      <c r="BG715" s="8"/>
      <c r="BH715" s="8"/>
      <c r="BI715" s="8"/>
    </row>
    <row r="716" spans="1:61" ht="11.25" customHeight="1" x14ac:dyDescent="0.2">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c r="AM716" s="8"/>
      <c r="AN716" s="8"/>
      <c r="AO716" s="8"/>
      <c r="AP716" s="8"/>
      <c r="AQ716" s="8"/>
      <c r="AR716" s="8"/>
      <c r="AS716" s="8"/>
      <c r="AT716" s="8"/>
      <c r="AU716" s="8"/>
      <c r="AV716" s="8"/>
      <c r="AW716" s="8"/>
      <c r="AX716" s="8"/>
      <c r="AY716" s="8"/>
      <c r="AZ716" s="8"/>
      <c r="BA716" s="8"/>
      <c r="BB716" s="8"/>
      <c r="BC716" s="8"/>
      <c r="BD716" s="8"/>
      <c r="BE716" s="8"/>
      <c r="BF716" s="8"/>
      <c r="BG716" s="8"/>
      <c r="BH716" s="8"/>
      <c r="BI716" s="8"/>
    </row>
    <row r="717" spans="1:61" ht="11.25" customHeight="1" x14ac:dyDescent="0.2">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c r="AK717" s="8"/>
      <c r="AL717" s="8"/>
      <c r="AM717" s="8"/>
      <c r="AN717" s="8"/>
      <c r="AO717" s="8"/>
      <c r="AP717" s="8"/>
      <c r="AQ717" s="8"/>
      <c r="AR717" s="8"/>
      <c r="AS717" s="8"/>
      <c r="AT717" s="8"/>
      <c r="AU717" s="8"/>
      <c r="AV717" s="8"/>
      <c r="AW717" s="8"/>
      <c r="AX717" s="8"/>
      <c r="AY717" s="8"/>
      <c r="AZ717" s="8"/>
      <c r="BA717" s="8"/>
      <c r="BB717" s="8"/>
      <c r="BC717" s="8"/>
      <c r="BD717" s="8"/>
      <c r="BE717" s="8"/>
      <c r="BF717" s="8"/>
      <c r="BG717" s="8"/>
      <c r="BH717" s="8"/>
      <c r="BI717" s="8"/>
    </row>
    <row r="718" spans="1:61" ht="11.25" customHeight="1" x14ac:dyDescent="0.2">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c r="AT718" s="8"/>
      <c r="AU718" s="8"/>
      <c r="AV718" s="8"/>
      <c r="AW718" s="8"/>
      <c r="AX718" s="8"/>
      <c r="AY718" s="8"/>
      <c r="AZ718" s="8"/>
      <c r="BA718" s="8"/>
      <c r="BB718" s="8"/>
      <c r="BC718" s="8"/>
      <c r="BD718" s="8"/>
      <c r="BE718" s="8"/>
      <c r="BF718" s="8"/>
      <c r="BG718" s="8"/>
      <c r="BH718" s="8"/>
      <c r="BI718" s="8"/>
    </row>
    <row r="719" spans="1:61" ht="11.25" customHeight="1" x14ac:dyDescent="0.2">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c r="AK719" s="8"/>
      <c r="AL719" s="8"/>
      <c r="AM719" s="8"/>
      <c r="AN719" s="8"/>
      <c r="AO719" s="8"/>
      <c r="AP719" s="8"/>
      <c r="AQ719" s="8"/>
      <c r="AR719" s="8"/>
      <c r="AS719" s="8"/>
      <c r="AT719" s="8"/>
      <c r="AU719" s="8"/>
      <c r="AV719" s="8"/>
      <c r="AW719" s="8"/>
      <c r="AX719" s="8"/>
      <c r="AY719" s="8"/>
      <c r="AZ719" s="8"/>
      <c r="BA719" s="8"/>
      <c r="BB719" s="8"/>
      <c r="BC719" s="8"/>
      <c r="BD719" s="8"/>
      <c r="BE719" s="8"/>
      <c r="BF719" s="8"/>
      <c r="BG719" s="8"/>
      <c r="BH719" s="8"/>
      <c r="BI719" s="8"/>
    </row>
    <row r="720" spans="1:61" ht="11.25" customHeight="1" x14ac:dyDescent="0.2">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c r="AK720" s="8"/>
      <c r="AL720" s="8"/>
      <c r="AM720" s="8"/>
      <c r="AN720" s="8"/>
      <c r="AO720" s="8"/>
      <c r="AP720" s="8"/>
      <c r="AQ720" s="8"/>
      <c r="AR720" s="8"/>
      <c r="AS720" s="8"/>
      <c r="AT720" s="8"/>
      <c r="AU720" s="8"/>
      <c r="AV720" s="8"/>
      <c r="AW720" s="8"/>
      <c r="AX720" s="8"/>
      <c r="AY720" s="8"/>
      <c r="AZ720" s="8"/>
      <c r="BA720" s="8"/>
      <c r="BB720" s="8"/>
      <c r="BC720" s="8"/>
      <c r="BD720" s="8"/>
      <c r="BE720" s="8"/>
      <c r="BF720" s="8"/>
      <c r="BG720" s="8"/>
      <c r="BH720" s="8"/>
      <c r="BI720" s="8"/>
    </row>
    <row r="721" spans="1:61" ht="11.25" customHeight="1" x14ac:dyDescent="0.2">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8"/>
      <c r="AW721" s="8"/>
      <c r="AX721" s="8"/>
      <c r="AY721" s="8"/>
      <c r="AZ721" s="8"/>
      <c r="BA721" s="8"/>
      <c r="BB721" s="8"/>
      <c r="BC721" s="8"/>
      <c r="BD721" s="8"/>
      <c r="BE721" s="8"/>
      <c r="BF721" s="8"/>
      <c r="BG721" s="8"/>
      <c r="BH721" s="8"/>
      <c r="BI721" s="8"/>
    </row>
    <row r="722" spans="1:61" ht="11.25" customHeight="1" x14ac:dyDescent="0.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c r="AK722" s="8"/>
      <c r="AL722" s="8"/>
      <c r="AM722" s="8"/>
      <c r="AN722" s="8"/>
      <c r="AO722" s="8"/>
      <c r="AP722" s="8"/>
      <c r="AQ722" s="8"/>
      <c r="AR722" s="8"/>
      <c r="AS722" s="8"/>
      <c r="AT722" s="8"/>
      <c r="AU722" s="8"/>
      <c r="AV722" s="8"/>
      <c r="AW722" s="8"/>
      <c r="AX722" s="8"/>
      <c r="AY722" s="8"/>
      <c r="AZ722" s="8"/>
      <c r="BA722" s="8"/>
      <c r="BB722" s="8"/>
      <c r="BC722" s="8"/>
      <c r="BD722" s="8"/>
      <c r="BE722" s="8"/>
      <c r="BF722" s="8"/>
      <c r="BG722" s="8"/>
      <c r="BH722" s="8"/>
      <c r="BI722" s="8"/>
    </row>
    <row r="723" spans="1:61" ht="11.25" customHeight="1" x14ac:dyDescent="0.2">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c r="AM723" s="8"/>
      <c r="AN723" s="8"/>
      <c r="AO723" s="8"/>
      <c r="AP723" s="8"/>
      <c r="AQ723" s="8"/>
      <c r="AR723" s="8"/>
      <c r="AS723" s="8"/>
      <c r="AT723" s="8"/>
      <c r="AU723" s="8"/>
      <c r="AV723" s="8"/>
      <c r="AW723" s="8"/>
      <c r="AX723" s="8"/>
      <c r="AY723" s="8"/>
      <c r="AZ723" s="8"/>
      <c r="BA723" s="8"/>
      <c r="BB723" s="8"/>
      <c r="BC723" s="8"/>
      <c r="BD723" s="8"/>
      <c r="BE723" s="8"/>
      <c r="BF723" s="8"/>
      <c r="BG723" s="8"/>
      <c r="BH723" s="8"/>
      <c r="BI723" s="8"/>
    </row>
    <row r="724" spans="1:61" ht="11.25" customHeight="1" x14ac:dyDescent="0.2">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c r="AM724" s="8"/>
      <c r="AN724" s="8"/>
      <c r="AO724" s="8"/>
      <c r="AP724" s="8"/>
      <c r="AQ724" s="8"/>
      <c r="AR724" s="8"/>
      <c r="AS724" s="8"/>
      <c r="AT724" s="8"/>
      <c r="AU724" s="8"/>
      <c r="AV724" s="8"/>
      <c r="AW724" s="8"/>
      <c r="AX724" s="8"/>
      <c r="AY724" s="8"/>
      <c r="AZ724" s="8"/>
      <c r="BA724" s="8"/>
      <c r="BB724" s="8"/>
      <c r="BC724" s="8"/>
      <c r="BD724" s="8"/>
      <c r="BE724" s="8"/>
      <c r="BF724" s="8"/>
      <c r="BG724" s="8"/>
      <c r="BH724" s="8"/>
      <c r="BI724" s="8"/>
    </row>
    <row r="725" spans="1:61" ht="11.25" customHeight="1" x14ac:dyDescent="0.2">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c r="AU725" s="8"/>
      <c r="AV725" s="8"/>
      <c r="AW725" s="8"/>
      <c r="AX725" s="8"/>
      <c r="AY725" s="8"/>
      <c r="AZ725" s="8"/>
      <c r="BA725" s="8"/>
      <c r="BB725" s="8"/>
      <c r="BC725" s="8"/>
      <c r="BD725" s="8"/>
      <c r="BE725" s="8"/>
      <c r="BF725" s="8"/>
      <c r="BG725" s="8"/>
      <c r="BH725" s="8"/>
      <c r="BI725" s="8"/>
    </row>
    <row r="726" spans="1:61" ht="11.25" customHeight="1" x14ac:dyDescent="0.2">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c r="AK726" s="8"/>
      <c r="AL726" s="8"/>
      <c r="AM726" s="8"/>
      <c r="AN726" s="8"/>
      <c r="AO726" s="8"/>
      <c r="AP726" s="8"/>
      <c r="AQ726" s="8"/>
      <c r="AR726" s="8"/>
      <c r="AS726" s="8"/>
      <c r="AT726" s="8"/>
      <c r="AU726" s="8"/>
      <c r="AV726" s="8"/>
      <c r="AW726" s="8"/>
      <c r="AX726" s="8"/>
      <c r="AY726" s="8"/>
      <c r="AZ726" s="8"/>
      <c r="BA726" s="8"/>
      <c r="BB726" s="8"/>
      <c r="BC726" s="8"/>
      <c r="BD726" s="8"/>
      <c r="BE726" s="8"/>
      <c r="BF726" s="8"/>
      <c r="BG726" s="8"/>
      <c r="BH726" s="8"/>
      <c r="BI726" s="8"/>
    </row>
    <row r="727" spans="1:61" ht="11.25" customHeight="1" x14ac:dyDescent="0.2">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c r="AU727" s="8"/>
      <c r="AV727" s="8"/>
      <c r="AW727" s="8"/>
      <c r="AX727" s="8"/>
      <c r="AY727" s="8"/>
      <c r="AZ727" s="8"/>
      <c r="BA727" s="8"/>
      <c r="BB727" s="8"/>
      <c r="BC727" s="8"/>
      <c r="BD727" s="8"/>
      <c r="BE727" s="8"/>
      <c r="BF727" s="8"/>
      <c r="BG727" s="8"/>
      <c r="BH727" s="8"/>
      <c r="BI727" s="8"/>
    </row>
    <row r="728" spans="1:61" ht="11.25" customHeight="1" x14ac:dyDescent="0.2">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c r="AM728" s="8"/>
      <c r="AN728" s="8"/>
      <c r="AO728" s="8"/>
      <c r="AP728" s="8"/>
      <c r="AQ728" s="8"/>
      <c r="AR728" s="8"/>
      <c r="AS728" s="8"/>
      <c r="AT728" s="8"/>
      <c r="AU728" s="8"/>
      <c r="AV728" s="8"/>
      <c r="AW728" s="8"/>
      <c r="AX728" s="8"/>
      <c r="AY728" s="8"/>
      <c r="AZ728" s="8"/>
      <c r="BA728" s="8"/>
      <c r="BB728" s="8"/>
      <c r="BC728" s="8"/>
      <c r="BD728" s="8"/>
      <c r="BE728" s="8"/>
      <c r="BF728" s="8"/>
      <c r="BG728" s="8"/>
      <c r="BH728" s="8"/>
      <c r="BI728" s="8"/>
    </row>
    <row r="729" spans="1:61" ht="11.25" customHeight="1" x14ac:dyDescent="0.2">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c r="AU729" s="8"/>
      <c r="AV729" s="8"/>
      <c r="AW729" s="8"/>
      <c r="AX729" s="8"/>
      <c r="AY729" s="8"/>
      <c r="AZ729" s="8"/>
      <c r="BA729" s="8"/>
      <c r="BB729" s="8"/>
      <c r="BC729" s="8"/>
      <c r="BD729" s="8"/>
      <c r="BE729" s="8"/>
      <c r="BF729" s="8"/>
      <c r="BG729" s="8"/>
      <c r="BH729" s="8"/>
      <c r="BI729" s="8"/>
    </row>
    <row r="730" spans="1:61" ht="11.25" customHeight="1" x14ac:dyDescent="0.2">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c r="AT730" s="8"/>
      <c r="AU730" s="8"/>
      <c r="AV730" s="8"/>
      <c r="AW730" s="8"/>
      <c r="AX730" s="8"/>
      <c r="AY730" s="8"/>
      <c r="AZ730" s="8"/>
      <c r="BA730" s="8"/>
      <c r="BB730" s="8"/>
      <c r="BC730" s="8"/>
      <c r="BD730" s="8"/>
      <c r="BE730" s="8"/>
      <c r="BF730" s="8"/>
      <c r="BG730" s="8"/>
      <c r="BH730" s="8"/>
      <c r="BI730" s="8"/>
    </row>
    <row r="731" spans="1:61" ht="11.25" customHeight="1" x14ac:dyDescent="0.2">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c r="AM731" s="8"/>
      <c r="AN731" s="8"/>
      <c r="AO731" s="8"/>
      <c r="AP731" s="8"/>
      <c r="AQ731" s="8"/>
      <c r="AR731" s="8"/>
      <c r="AS731" s="8"/>
      <c r="AT731" s="8"/>
      <c r="AU731" s="8"/>
      <c r="AV731" s="8"/>
      <c r="AW731" s="8"/>
      <c r="AX731" s="8"/>
      <c r="AY731" s="8"/>
      <c r="AZ731" s="8"/>
      <c r="BA731" s="8"/>
      <c r="BB731" s="8"/>
      <c r="BC731" s="8"/>
      <c r="BD731" s="8"/>
      <c r="BE731" s="8"/>
      <c r="BF731" s="8"/>
      <c r="BG731" s="8"/>
      <c r="BH731" s="8"/>
      <c r="BI731" s="8"/>
    </row>
    <row r="732" spans="1:61" ht="11.25" customHeight="1" x14ac:dyDescent="0.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c r="AK732" s="8"/>
      <c r="AL732" s="8"/>
      <c r="AM732" s="8"/>
      <c r="AN732" s="8"/>
      <c r="AO732" s="8"/>
      <c r="AP732" s="8"/>
      <c r="AQ732" s="8"/>
      <c r="AR732" s="8"/>
      <c r="AS732" s="8"/>
      <c r="AT732" s="8"/>
      <c r="AU732" s="8"/>
      <c r="AV732" s="8"/>
      <c r="AW732" s="8"/>
      <c r="AX732" s="8"/>
      <c r="AY732" s="8"/>
      <c r="AZ732" s="8"/>
      <c r="BA732" s="8"/>
      <c r="BB732" s="8"/>
      <c r="BC732" s="8"/>
      <c r="BD732" s="8"/>
      <c r="BE732" s="8"/>
      <c r="BF732" s="8"/>
      <c r="BG732" s="8"/>
      <c r="BH732" s="8"/>
      <c r="BI732" s="8"/>
    </row>
    <row r="733" spans="1:61" ht="11.25" customHeight="1" x14ac:dyDescent="0.2">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c r="AU733" s="8"/>
      <c r="AV733" s="8"/>
      <c r="AW733" s="8"/>
      <c r="AX733" s="8"/>
      <c r="AY733" s="8"/>
      <c r="AZ733" s="8"/>
      <c r="BA733" s="8"/>
      <c r="BB733" s="8"/>
      <c r="BC733" s="8"/>
      <c r="BD733" s="8"/>
      <c r="BE733" s="8"/>
      <c r="BF733" s="8"/>
      <c r="BG733" s="8"/>
      <c r="BH733" s="8"/>
      <c r="BI733" s="8"/>
    </row>
    <row r="734" spans="1:61" ht="11.25" customHeight="1" x14ac:dyDescent="0.2">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c r="AM734" s="8"/>
      <c r="AN734" s="8"/>
      <c r="AO734" s="8"/>
      <c r="AP734" s="8"/>
      <c r="AQ734" s="8"/>
      <c r="AR734" s="8"/>
      <c r="AS734" s="8"/>
      <c r="AT734" s="8"/>
      <c r="AU734" s="8"/>
      <c r="AV734" s="8"/>
      <c r="AW734" s="8"/>
      <c r="AX734" s="8"/>
      <c r="AY734" s="8"/>
      <c r="AZ734" s="8"/>
      <c r="BA734" s="8"/>
      <c r="BB734" s="8"/>
      <c r="BC734" s="8"/>
      <c r="BD734" s="8"/>
      <c r="BE734" s="8"/>
      <c r="BF734" s="8"/>
      <c r="BG734" s="8"/>
      <c r="BH734" s="8"/>
      <c r="BI734" s="8"/>
    </row>
    <row r="735" spans="1:61" ht="11.25" customHeight="1" x14ac:dyDescent="0.2">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8"/>
      <c r="AW735" s="8"/>
      <c r="AX735" s="8"/>
      <c r="AY735" s="8"/>
      <c r="AZ735" s="8"/>
      <c r="BA735" s="8"/>
      <c r="BB735" s="8"/>
      <c r="BC735" s="8"/>
      <c r="BD735" s="8"/>
      <c r="BE735" s="8"/>
      <c r="BF735" s="8"/>
      <c r="BG735" s="8"/>
      <c r="BH735" s="8"/>
      <c r="BI735" s="8"/>
    </row>
    <row r="736" spans="1:61" ht="11.25" customHeight="1" x14ac:dyDescent="0.2">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c r="AZ736" s="8"/>
      <c r="BA736" s="8"/>
      <c r="BB736" s="8"/>
      <c r="BC736" s="8"/>
      <c r="BD736" s="8"/>
      <c r="BE736" s="8"/>
      <c r="BF736" s="8"/>
      <c r="BG736" s="8"/>
      <c r="BH736" s="8"/>
      <c r="BI736" s="8"/>
    </row>
    <row r="737" spans="1:61" ht="11.25" customHeight="1" x14ac:dyDescent="0.2">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c r="AT737" s="8"/>
      <c r="AU737" s="8"/>
      <c r="AV737" s="8"/>
      <c r="AW737" s="8"/>
      <c r="AX737" s="8"/>
      <c r="AY737" s="8"/>
      <c r="AZ737" s="8"/>
      <c r="BA737" s="8"/>
      <c r="BB737" s="8"/>
      <c r="BC737" s="8"/>
      <c r="BD737" s="8"/>
      <c r="BE737" s="8"/>
      <c r="BF737" s="8"/>
      <c r="BG737" s="8"/>
      <c r="BH737" s="8"/>
      <c r="BI737" s="8"/>
    </row>
    <row r="738" spans="1:61" ht="11.25" customHeight="1" x14ac:dyDescent="0.2">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c r="AU738" s="8"/>
      <c r="AV738" s="8"/>
      <c r="AW738" s="8"/>
      <c r="AX738" s="8"/>
      <c r="AY738" s="8"/>
      <c r="AZ738" s="8"/>
      <c r="BA738" s="8"/>
      <c r="BB738" s="8"/>
      <c r="BC738" s="8"/>
      <c r="BD738" s="8"/>
      <c r="BE738" s="8"/>
      <c r="BF738" s="8"/>
      <c r="BG738" s="8"/>
      <c r="BH738" s="8"/>
      <c r="BI738" s="8"/>
    </row>
    <row r="739" spans="1:61" ht="11.25" customHeight="1" x14ac:dyDescent="0.2">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c r="AU739" s="8"/>
      <c r="AV739" s="8"/>
      <c r="AW739" s="8"/>
      <c r="AX739" s="8"/>
      <c r="AY739" s="8"/>
      <c r="AZ739" s="8"/>
      <c r="BA739" s="8"/>
      <c r="BB739" s="8"/>
      <c r="BC739" s="8"/>
      <c r="BD739" s="8"/>
      <c r="BE739" s="8"/>
      <c r="BF739" s="8"/>
      <c r="BG739" s="8"/>
      <c r="BH739" s="8"/>
      <c r="BI739" s="8"/>
    </row>
    <row r="740" spans="1:61" ht="11.25" customHeight="1" x14ac:dyDescent="0.2">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c r="AK740" s="8"/>
      <c r="AL740" s="8"/>
      <c r="AM740" s="8"/>
      <c r="AN740" s="8"/>
      <c r="AO740" s="8"/>
      <c r="AP740" s="8"/>
      <c r="AQ740" s="8"/>
      <c r="AR740" s="8"/>
      <c r="AS740" s="8"/>
      <c r="AT740" s="8"/>
      <c r="AU740" s="8"/>
      <c r="AV740" s="8"/>
      <c r="AW740" s="8"/>
      <c r="AX740" s="8"/>
      <c r="AY740" s="8"/>
      <c r="AZ740" s="8"/>
      <c r="BA740" s="8"/>
      <c r="BB740" s="8"/>
      <c r="BC740" s="8"/>
      <c r="BD740" s="8"/>
      <c r="BE740" s="8"/>
      <c r="BF740" s="8"/>
      <c r="BG740" s="8"/>
      <c r="BH740" s="8"/>
      <c r="BI740" s="8"/>
    </row>
    <row r="741" spans="1:61" ht="11.25" customHeight="1" x14ac:dyDescent="0.2">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c r="AK741" s="8"/>
      <c r="AL741" s="8"/>
      <c r="AM741" s="8"/>
      <c r="AN741" s="8"/>
      <c r="AO741" s="8"/>
      <c r="AP741" s="8"/>
      <c r="AQ741" s="8"/>
      <c r="AR741" s="8"/>
      <c r="AS741" s="8"/>
      <c r="AT741" s="8"/>
      <c r="AU741" s="8"/>
      <c r="AV741" s="8"/>
      <c r="AW741" s="8"/>
      <c r="AX741" s="8"/>
      <c r="AY741" s="8"/>
      <c r="AZ741" s="8"/>
      <c r="BA741" s="8"/>
      <c r="BB741" s="8"/>
      <c r="BC741" s="8"/>
      <c r="BD741" s="8"/>
      <c r="BE741" s="8"/>
      <c r="BF741" s="8"/>
      <c r="BG741" s="8"/>
      <c r="BH741" s="8"/>
      <c r="BI741" s="8"/>
    </row>
    <row r="742" spans="1:61" ht="11.25" customHeight="1" x14ac:dyDescent="0.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c r="AT742" s="8"/>
      <c r="AU742" s="8"/>
      <c r="AV742" s="8"/>
      <c r="AW742" s="8"/>
      <c r="AX742" s="8"/>
      <c r="AY742" s="8"/>
      <c r="AZ742" s="8"/>
      <c r="BA742" s="8"/>
      <c r="BB742" s="8"/>
      <c r="BC742" s="8"/>
      <c r="BD742" s="8"/>
      <c r="BE742" s="8"/>
      <c r="BF742" s="8"/>
      <c r="BG742" s="8"/>
      <c r="BH742" s="8"/>
      <c r="BI742" s="8"/>
    </row>
    <row r="743" spans="1:61" ht="11.25" customHeight="1" x14ac:dyDescent="0.2">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c r="AM743" s="8"/>
      <c r="AN743" s="8"/>
      <c r="AO743" s="8"/>
      <c r="AP743" s="8"/>
      <c r="AQ743" s="8"/>
      <c r="AR743" s="8"/>
      <c r="AS743" s="8"/>
      <c r="AT743" s="8"/>
      <c r="AU743" s="8"/>
      <c r="AV743" s="8"/>
      <c r="AW743" s="8"/>
      <c r="AX743" s="8"/>
      <c r="AY743" s="8"/>
      <c r="AZ743" s="8"/>
      <c r="BA743" s="8"/>
      <c r="BB743" s="8"/>
      <c r="BC743" s="8"/>
      <c r="BD743" s="8"/>
      <c r="BE743" s="8"/>
      <c r="BF743" s="8"/>
      <c r="BG743" s="8"/>
      <c r="BH743" s="8"/>
      <c r="BI743" s="8"/>
    </row>
    <row r="744" spans="1:61" ht="11.25" customHeight="1" x14ac:dyDescent="0.2">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row>
    <row r="745" spans="1:61" ht="11.25" customHeight="1" x14ac:dyDescent="0.2">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c r="AZ745" s="8"/>
      <c r="BA745" s="8"/>
      <c r="BB745" s="8"/>
      <c r="BC745" s="8"/>
      <c r="BD745" s="8"/>
      <c r="BE745" s="8"/>
      <c r="BF745" s="8"/>
      <c r="BG745" s="8"/>
      <c r="BH745" s="8"/>
      <c r="BI745" s="8"/>
    </row>
    <row r="746" spans="1:61" ht="11.25" customHeight="1" x14ac:dyDescent="0.2">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c r="AM746" s="8"/>
      <c r="AN746" s="8"/>
      <c r="AO746" s="8"/>
      <c r="AP746" s="8"/>
      <c r="AQ746" s="8"/>
      <c r="AR746" s="8"/>
      <c r="AS746" s="8"/>
      <c r="AT746" s="8"/>
      <c r="AU746" s="8"/>
      <c r="AV746" s="8"/>
      <c r="AW746" s="8"/>
      <c r="AX746" s="8"/>
      <c r="AY746" s="8"/>
      <c r="AZ746" s="8"/>
      <c r="BA746" s="8"/>
      <c r="BB746" s="8"/>
      <c r="BC746" s="8"/>
      <c r="BD746" s="8"/>
      <c r="BE746" s="8"/>
      <c r="BF746" s="8"/>
      <c r="BG746" s="8"/>
      <c r="BH746" s="8"/>
      <c r="BI746" s="8"/>
    </row>
    <row r="747" spans="1:61" ht="11.25" customHeight="1" x14ac:dyDescent="0.2">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c r="AM747" s="8"/>
      <c r="AN747" s="8"/>
      <c r="AO747" s="8"/>
      <c r="AP747" s="8"/>
      <c r="AQ747" s="8"/>
      <c r="AR747" s="8"/>
      <c r="AS747" s="8"/>
      <c r="AT747" s="8"/>
      <c r="AU747" s="8"/>
      <c r="AV747" s="8"/>
      <c r="AW747" s="8"/>
      <c r="AX747" s="8"/>
      <c r="AY747" s="8"/>
      <c r="AZ747" s="8"/>
      <c r="BA747" s="8"/>
      <c r="BB747" s="8"/>
      <c r="BC747" s="8"/>
      <c r="BD747" s="8"/>
      <c r="BE747" s="8"/>
      <c r="BF747" s="8"/>
      <c r="BG747" s="8"/>
      <c r="BH747" s="8"/>
      <c r="BI747" s="8"/>
    </row>
    <row r="748" spans="1:61" ht="11.25" customHeight="1" x14ac:dyDescent="0.2">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c r="AM748" s="8"/>
      <c r="AN748" s="8"/>
      <c r="AO748" s="8"/>
      <c r="AP748" s="8"/>
      <c r="AQ748" s="8"/>
      <c r="AR748" s="8"/>
      <c r="AS748" s="8"/>
      <c r="AT748" s="8"/>
      <c r="AU748" s="8"/>
      <c r="AV748" s="8"/>
      <c r="AW748" s="8"/>
      <c r="AX748" s="8"/>
      <c r="AY748" s="8"/>
      <c r="AZ748" s="8"/>
      <c r="BA748" s="8"/>
      <c r="BB748" s="8"/>
      <c r="BC748" s="8"/>
      <c r="BD748" s="8"/>
      <c r="BE748" s="8"/>
      <c r="BF748" s="8"/>
      <c r="BG748" s="8"/>
      <c r="BH748" s="8"/>
      <c r="BI748" s="8"/>
    </row>
    <row r="749" spans="1:61" ht="11.25" customHeight="1" x14ac:dyDescent="0.2">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c r="AK749" s="8"/>
      <c r="AL749" s="8"/>
      <c r="AM749" s="8"/>
      <c r="AN749" s="8"/>
      <c r="AO749" s="8"/>
      <c r="AP749" s="8"/>
      <c r="AQ749" s="8"/>
      <c r="AR749" s="8"/>
      <c r="AS749" s="8"/>
      <c r="AT749" s="8"/>
      <c r="AU749" s="8"/>
      <c r="AV749" s="8"/>
      <c r="AW749" s="8"/>
      <c r="AX749" s="8"/>
      <c r="AY749" s="8"/>
      <c r="AZ749" s="8"/>
      <c r="BA749" s="8"/>
      <c r="BB749" s="8"/>
      <c r="BC749" s="8"/>
      <c r="BD749" s="8"/>
      <c r="BE749" s="8"/>
      <c r="BF749" s="8"/>
      <c r="BG749" s="8"/>
      <c r="BH749" s="8"/>
      <c r="BI749" s="8"/>
    </row>
    <row r="750" spans="1:61" ht="11.25" customHeight="1" x14ac:dyDescent="0.2">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c r="AK750" s="8"/>
      <c r="AL750" s="8"/>
      <c r="AM750" s="8"/>
      <c r="AN750" s="8"/>
      <c r="AO750" s="8"/>
      <c r="AP750" s="8"/>
      <c r="AQ750" s="8"/>
      <c r="AR750" s="8"/>
      <c r="AS750" s="8"/>
      <c r="AT750" s="8"/>
      <c r="AU750" s="8"/>
      <c r="AV750" s="8"/>
      <c r="AW750" s="8"/>
      <c r="AX750" s="8"/>
      <c r="AY750" s="8"/>
      <c r="AZ750" s="8"/>
      <c r="BA750" s="8"/>
      <c r="BB750" s="8"/>
      <c r="BC750" s="8"/>
      <c r="BD750" s="8"/>
      <c r="BE750" s="8"/>
      <c r="BF750" s="8"/>
      <c r="BG750" s="8"/>
      <c r="BH750" s="8"/>
      <c r="BI750" s="8"/>
    </row>
    <row r="751" spans="1:61" ht="11.25" customHeight="1" x14ac:dyDescent="0.2">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c r="AK751" s="8"/>
      <c r="AL751" s="8"/>
      <c r="AM751" s="8"/>
      <c r="AN751" s="8"/>
      <c r="AO751" s="8"/>
      <c r="AP751" s="8"/>
      <c r="AQ751" s="8"/>
      <c r="AR751" s="8"/>
      <c r="AS751" s="8"/>
      <c r="AT751" s="8"/>
      <c r="AU751" s="8"/>
      <c r="AV751" s="8"/>
      <c r="AW751" s="8"/>
      <c r="AX751" s="8"/>
      <c r="AY751" s="8"/>
      <c r="AZ751" s="8"/>
      <c r="BA751" s="8"/>
      <c r="BB751" s="8"/>
      <c r="BC751" s="8"/>
      <c r="BD751" s="8"/>
      <c r="BE751" s="8"/>
      <c r="BF751" s="8"/>
      <c r="BG751" s="8"/>
      <c r="BH751" s="8"/>
      <c r="BI751" s="8"/>
    </row>
    <row r="752" spans="1:61" ht="11.25" customHeight="1" x14ac:dyDescent="0.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c r="AK752" s="8"/>
      <c r="AL752" s="8"/>
      <c r="AM752" s="8"/>
      <c r="AN752" s="8"/>
      <c r="AO752" s="8"/>
      <c r="AP752" s="8"/>
      <c r="AQ752" s="8"/>
      <c r="AR752" s="8"/>
      <c r="AS752" s="8"/>
      <c r="AT752" s="8"/>
      <c r="AU752" s="8"/>
      <c r="AV752" s="8"/>
      <c r="AW752" s="8"/>
      <c r="AX752" s="8"/>
      <c r="AY752" s="8"/>
      <c r="AZ752" s="8"/>
      <c r="BA752" s="8"/>
      <c r="BB752" s="8"/>
      <c r="BC752" s="8"/>
      <c r="BD752" s="8"/>
      <c r="BE752" s="8"/>
      <c r="BF752" s="8"/>
      <c r="BG752" s="8"/>
      <c r="BH752" s="8"/>
      <c r="BI752" s="8"/>
    </row>
    <row r="753" spans="1:61" ht="11.25" customHeight="1" x14ac:dyDescent="0.2">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c r="AK753" s="8"/>
      <c r="AL753" s="8"/>
      <c r="AM753" s="8"/>
      <c r="AN753" s="8"/>
      <c r="AO753" s="8"/>
      <c r="AP753" s="8"/>
      <c r="AQ753" s="8"/>
      <c r="AR753" s="8"/>
      <c r="AS753" s="8"/>
      <c r="AT753" s="8"/>
      <c r="AU753" s="8"/>
      <c r="AV753" s="8"/>
      <c r="AW753" s="8"/>
      <c r="AX753" s="8"/>
      <c r="AY753" s="8"/>
      <c r="AZ753" s="8"/>
      <c r="BA753" s="8"/>
      <c r="BB753" s="8"/>
      <c r="BC753" s="8"/>
      <c r="BD753" s="8"/>
      <c r="BE753" s="8"/>
      <c r="BF753" s="8"/>
      <c r="BG753" s="8"/>
      <c r="BH753" s="8"/>
      <c r="BI753" s="8"/>
    </row>
    <row r="754" spans="1:61" ht="11.25" customHeight="1" x14ac:dyDescent="0.2">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8"/>
      <c r="AW754" s="8"/>
      <c r="AX754" s="8"/>
      <c r="AY754" s="8"/>
      <c r="AZ754" s="8"/>
      <c r="BA754" s="8"/>
      <c r="BB754" s="8"/>
      <c r="BC754" s="8"/>
      <c r="BD754" s="8"/>
      <c r="BE754" s="8"/>
      <c r="BF754" s="8"/>
      <c r="BG754" s="8"/>
      <c r="BH754" s="8"/>
      <c r="BI754" s="8"/>
    </row>
    <row r="755" spans="1:61" ht="11.25" customHeight="1" x14ac:dyDescent="0.2">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c r="AK755" s="8"/>
      <c r="AL755" s="8"/>
      <c r="AM755" s="8"/>
      <c r="AN755" s="8"/>
      <c r="AO755" s="8"/>
      <c r="AP755" s="8"/>
      <c r="AQ755" s="8"/>
      <c r="AR755" s="8"/>
      <c r="AS755" s="8"/>
      <c r="AT755" s="8"/>
      <c r="AU755" s="8"/>
      <c r="AV755" s="8"/>
      <c r="AW755" s="8"/>
      <c r="AX755" s="8"/>
      <c r="AY755" s="8"/>
      <c r="AZ755" s="8"/>
      <c r="BA755" s="8"/>
      <c r="BB755" s="8"/>
      <c r="BC755" s="8"/>
      <c r="BD755" s="8"/>
      <c r="BE755" s="8"/>
      <c r="BF755" s="8"/>
      <c r="BG755" s="8"/>
      <c r="BH755" s="8"/>
      <c r="BI755" s="8"/>
    </row>
    <row r="756" spans="1:61" ht="11.25" customHeight="1" x14ac:dyDescent="0.2">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c r="AM756" s="8"/>
      <c r="AN756" s="8"/>
      <c r="AO756" s="8"/>
      <c r="AP756" s="8"/>
      <c r="AQ756" s="8"/>
      <c r="AR756" s="8"/>
      <c r="AS756" s="8"/>
      <c r="AT756" s="8"/>
      <c r="AU756" s="8"/>
      <c r="AV756" s="8"/>
      <c r="AW756" s="8"/>
      <c r="AX756" s="8"/>
      <c r="AY756" s="8"/>
      <c r="AZ756" s="8"/>
      <c r="BA756" s="8"/>
      <c r="BB756" s="8"/>
      <c r="BC756" s="8"/>
      <c r="BD756" s="8"/>
      <c r="BE756" s="8"/>
      <c r="BF756" s="8"/>
      <c r="BG756" s="8"/>
      <c r="BH756" s="8"/>
      <c r="BI756" s="8"/>
    </row>
    <row r="757" spans="1:61" ht="11.25" customHeight="1" x14ac:dyDescent="0.2">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c r="AK757" s="8"/>
      <c r="AL757" s="8"/>
      <c r="AM757" s="8"/>
      <c r="AN757" s="8"/>
      <c r="AO757" s="8"/>
      <c r="AP757" s="8"/>
      <c r="AQ757" s="8"/>
      <c r="AR757" s="8"/>
      <c r="AS757" s="8"/>
      <c r="AT757" s="8"/>
      <c r="AU757" s="8"/>
      <c r="AV757" s="8"/>
      <c r="AW757" s="8"/>
      <c r="AX757" s="8"/>
      <c r="AY757" s="8"/>
      <c r="AZ757" s="8"/>
      <c r="BA757" s="8"/>
      <c r="BB757" s="8"/>
      <c r="BC757" s="8"/>
      <c r="BD757" s="8"/>
      <c r="BE757" s="8"/>
      <c r="BF757" s="8"/>
      <c r="BG757" s="8"/>
      <c r="BH757" s="8"/>
      <c r="BI757" s="8"/>
    </row>
    <row r="758" spans="1:61" ht="11.25" customHeight="1" x14ac:dyDescent="0.2">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c r="AK758" s="8"/>
      <c r="AL758" s="8"/>
      <c r="AM758" s="8"/>
      <c r="AN758" s="8"/>
      <c r="AO758" s="8"/>
      <c r="AP758" s="8"/>
      <c r="AQ758" s="8"/>
      <c r="AR758" s="8"/>
      <c r="AS758" s="8"/>
      <c r="AT758" s="8"/>
      <c r="AU758" s="8"/>
      <c r="AV758" s="8"/>
      <c r="AW758" s="8"/>
      <c r="AX758" s="8"/>
      <c r="AY758" s="8"/>
      <c r="AZ758" s="8"/>
      <c r="BA758" s="8"/>
      <c r="BB758" s="8"/>
      <c r="BC758" s="8"/>
      <c r="BD758" s="8"/>
      <c r="BE758" s="8"/>
      <c r="BF758" s="8"/>
      <c r="BG758" s="8"/>
      <c r="BH758" s="8"/>
      <c r="BI758" s="8"/>
    </row>
    <row r="759" spans="1:61" ht="11.25" customHeight="1" x14ac:dyDescent="0.2">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c r="AK759" s="8"/>
      <c r="AL759" s="8"/>
      <c r="AM759" s="8"/>
      <c r="AN759" s="8"/>
      <c r="AO759" s="8"/>
      <c r="AP759" s="8"/>
      <c r="AQ759" s="8"/>
      <c r="AR759" s="8"/>
      <c r="AS759" s="8"/>
      <c r="AT759" s="8"/>
      <c r="AU759" s="8"/>
      <c r="AV759" s="8"/>
      <c r="AW759" s="8"/>
      <c r="AX759" s="8"/>
      <c r="AY759" s="8"/>
      <c r="AZ759" s="8"/>
      <c r="BA759" s="8"/>
      <c r="BB759" s="8"/>
      <c r="BC759" s="8"/>
      <c r="BD759" s="8"/>
      <c r="BE759" s="8"/>
      <c r="BF759" s="8"/>
      <c r="BG759" s="8"/>
      <c r="BH759" s="8"/>
      <c r="BI759" s="8"/>
    </row>
    <row r="760" spans="1:61" ht="11.25" customHeight="1" x14ac:dyDescent="0.2">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c r="AK760" s="8"/>
      <c r="AL760" s="8"/>
      <c r="AM760" s="8"/>
      <c r="AN760" s="8"/>
      <c r="AO760" s="8"/>
      <c r="AP760" s="8"/>
      <c r="AQ760" s="8"/>
      <c r="AR760" s="8"/>
      <c r="AS760" s="8"/>
      <c r="AT760" s="8"/>
      <c r="AU760" s="8"/>
      <c r="AV760" s="8"/>
      <c r="AW760" s="8"/>
      <c r="AX760" s="8"/>
      <c r="AY760" s="8"/>
      <c r="AZ760" s="8"/>
      <c r="BA760" s="8"/>
      <c r="BB760" s="8"/>
      <c r="BC760" s="8"/>
      <c r="BD760" s="8"/>
      <c r="BE760" s="8"/>
      <c r="BF760" s="8"/>
      <c r="BG760" s="8"/>
      <c r="BH760" s="8"/>
      <c r="BI760" s="8"/>
    </row>
    <row r="761" spans="1:61" ht="11.25" customHeight="1" x14ac:dyDescent="0.2">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c r="AT761" s="8"/>
      <c r="AU761" s="8"/>
      <c r="AV761" s="8"/>
      <c r="AW761" s="8"/>
      <c r="AX761" s="8"/>
      <c r="AY761" s="8"/>
      <c r="AZ761" s="8"/>
      <c r="BA761" s="8"/>
      <c r="BB761" s="8"/>
      <c r="BC761" s="8"/>
      <c r="BD761" s="8"/>
      <c r="BE761" s="8"/>
      <c r="BF761" s="8"/>
      <c r="BG761" s="8"/>
      <c r="BH761" s="8"/>
      <c r="BI761" s="8"/>
    </row>
    <row r="762" spans="1:61" ht="11.25" customHeight="1" x14ac:dyDescent="0.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8"/>
      <c r="BB762" s="8"/>
      <c r="BC762" s="8"/>
      <c r="BD762" s="8"/>
      <c r="BE762" s="8"/>
      <c r="BF762" s="8"/>
      <c r="BG762" s="8"/>
      <c r="BH762" s="8"/>
      <c r="BI762" s="8"/>
    </row>
    <row r="763" spans="1:61" ht="11.25" customHeight="1" x14ac:dyDescent="0.2">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c r="AM763" s="8"/>
      <c r="AN763" s="8"/>
      <c r="AO763" s="8"/>
      <c r="AP763" s="8"/>
      <c r="AQ763" s="8"/>
      <c r="AR763" s="8"/>
      <c r="AS763" s="8"/>
      <c r="AT763" s="8"/>
      <c r="AU763" s="8"/>
      <c r="AV763" s="8"/>
      <c r="AW763" s="8"/>
      <c r="AX763" s="8"/>
      <c r="AY763" s="8"/>
      <c r="AZ763" s="8"/>
      <c r="BA763" s="8"/>
      <c r="BB763" s="8"/>
      <c r="BC763" s="8"/>
      <c r="BD763" s="8"/>
      <c r="BE763" s="8"/>
      <c r="BF763" s="8"/>
      <c r="BG763" s="8"/>
      <c r="BH763" s="8"/>
      <c r="BI763" s="8"/>
    </row>
    <row r="764" spans="1:61" ht="11.25" customHeight="1" x14ac:dyDescent="0.2">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c r="AZ764" s="8"/>
      <c r="BA764" s="8"/>
      <c r="BB764" s="8"/>
      <c r="BC764" s="8"/>
      <c r="BD764" s="8"/>
      <c r="BE764" s="8"/>
      <c r="BF764" s="8"/>
      <c r="BG764" s="8"/>
      <c r="BH764" s="8"/>
      <c r="BI764" s="8"/>
    </row>
    <row r="765" spans="1:61" ht="11.25" customHeight="1" x14ac:dyDescent="0.2">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8"/>
      <c r="BB765" s="8"/>
      <c r="BC765" s="8"/>
      <c r="BD765" s="8"/>
      <c r="BE765" s="8"/>
      <c r="BF765" s="8"/>
      <c r="BG765" s="8"/>
      <c r="BH765" s="8"/>
      <c r="BI765" s="8"/>
    </row>
    <row r="766" spans="1:61" ht="11.25" customHeight="1" x14ac:dyDescent="0.2">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c r="BA766" s="8"/>
      <c r="BB766" s="8"/>
      <c r="BC766" s="8"/>
      <c r="BD766" s="8"/>
      <c r="BE766" s="8"/>
      <c r="BF766" s="8"/>
      <c r="BG766" s="8"/>
      <c r="BH766" s="8"/>
      <c r="BI766" s="8"/>
    </row>
    <row r="767" spans="1:61" ht="11.25" customHeight="1" x14ac:dyDescent="0.2">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c r="BA767" s="8"/>
      <c r="BB767" s="8"/>
      <c r="BC767" s="8"/>
      <c r="BD767" s="8"/>
      <c r="BE767" s="8"/>
      <c r="BF767" s="8"/>
      <c r="BG767" s="8"/>
      <c r="BH767" s="8"/>
      <c r="BI767" s="8"/>
    </row>
    <row r="768" spans="1:61" ht="11.25" customHeight="1" x14ac:dyDescent="0.2">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8"/>
      <c r="BB768" s="8"/>
      <c r="BC768" s="8"/>
      <c r="BD768" s="8"/>
      <c r="BE768" s="8"/>
      <c r="BF768" s="8"/>
      <c r="BG768" s="8"/>
      <c r="BH768" s="8"/>
      <c r="BI768" s="8"/>
    </row>
    <row r="769" spans="1:61" ht="11.25" customHeight="1" x14ac:dyDescent="0.2">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c r="BA769" s="8"/>
      <c r="BB769" s="8"/>
      <c r="BC769" s="8"/>
      <c r="BD769" s="8"/>
      <c r="BE769" s="8"/>
      <c r="BF769" s="8"/>
      <c r="BG769" s="8"/>
      <c r="BH769" s="8"/>
      <c r="BI769" s="8"/>
    </row>
    <row r="770" spans="1:61" ht="11.25" customHeight="1" x14ac:dyDescent="0.2">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c r="BA770" s="8"/>
      <c r="BB770" s="8"/>
      <c r="BC770" s="8"/>
      <c r="BD770" s="8"/>
      <c r="BE770" s="8"/>
      <c r="BF770" s="8"/>
      <c r="BG770" s="8"/>
      <c r="BH770" s="8"/>
      <c r="BI770" s="8"/>
    </row>
    <row r="771" spans="1:61" ht="11.25" customHeight="1" x14ac:dyDescent="0.2">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8"/>
      <c r="BB771" s="8"/>
      <c r="BC771" s="8"/>
      <c r="BD771" s="8"/>
      <c r="BE771" s="8"/>
      <c r="BF771" s="8"/>
      <c r="BG771" s="8"/>
      <c r="BH771" s="8"/>
      <c r="BI771" s="8"/>
    </row>
    <row r="772" spans="1:61" ht="11.25" customHeight="1" x14ac:dyDescent="0.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c r="AZ772" s="8"/>
      <c r="BA772" s="8"/>
      <c r="BB772" s="8"/>
      <c r="BC772" s="8"/>
      <c r="BD772" s="8"/>
      <c r="BE772" s="8"/>
      <c r="BF772" s="8"/>
      <c r="BG772" s="8"/>
      <c r="BH772" s="8"/>
      <c r="BI772" s="8"/>
    </row>
    <row r="773" spans="1:61" ht="11.25" customHeight="1" x14ac:dyDescent="0.2">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c r="BA773" s="8"/>
      <c r="BB773" s="8"/>
      <c r="BC773" s="8"/>
      <c r="BD773" s="8"/>
      <c r="BE773" s="8"/>
      <c r="BF773" s="8"/>
      <c r="BG773" s="8"/>
      <c r="BH773" s="8"/>
      <c r="BI773" s="8"/>
    </row>
    <row r="774" spans="1:61" ht="11.25" customHeight="1" x14ac:dyDescent="0.2">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8"/>
      <c r="BB774" s="8"/>
      <c r="BC774" s="8"/>
      <c r="BD774" s="8"/>
      <c r="BE774" s="8"/>
      <c r="BF774" s="8"/>
      <c r="BG774" s="8"/>
      <c r="BH774" s="8"/>
      <c r="BI774" s="8"/>
    </row>
    <row r="775" spans="1:61" ht="11.25" customHeight="1" x14ac:dyDescent="0.2">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c r="BA775" s="8"/>
      <c r="BB775" s="8"/>
      <c r="BC775" s="8"/>
      <c r="BD775" s="8"/>
      <c r="BE775" s="8"/>
      <c r="BF775" s="8"/>
      <c r="BG775" s="8"/>
      <c r="BH775" s="8"/>
      <c r="BI775" s="8"/>
    </row>
    <row r="776" spans="1:61" ht="11.25" customHeight="1" x14ac:dyDescent="0.2">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c r="BA776" s="8"/>
      <c r="BB776" s="8"/>
      <c r="BC776" s="8"/>
      <c r="BD776" s="8"/>
      <c r="BE776" s="8"/>
      <c r="BF776" s="8"/>
      <c r="BG776" s="8"/>
      <c r="BH776" s="8"/>
      <c r="BI776" s="8"/>
    </row>
    <row r="777" spans="1:61" ht="11.25" customHeight="1" x14ac:dyDescent="0.2">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8"/>
      <c r="BB777" s="8"/>
      <c r="BC777" s="8"/>
      <c r="BD777" s="8"/>
      <c r="BE777" s="8"/>
      <c r="BF777" s="8"/>
      <c r="BG777" s="8"/>
      <c r="BH777" s="8"/>
      <c r="BI777" s="8"/>
    </row>
    <row r="778" spans="1:61" ht="11.25" customHeight="1" x14ac:dyDescent="0.2">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c r="AZ778" s="8"/>
      <c r="BA778" s="8"/>
      <c r="BB778" s="8"/>
      <c r="BC778" s="8"/>
      <c r="BD778" s="8"/>
      <c r="BE778" s="8"/>
      <c r="BF778" s="8"/>
      <c r="BG778" s="8"/>
      <c r="BH778" s="8"/>
      <c r="BI778" s="8"/>
    </row>
    <row r="779" spans="1:61" ht="11.25" customHeight="1" x14ac:dyDescent="0.2">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c r="BA779" s="8"/>
      <c r="BB779" s="8"/>
      <c r="BC779" s="8"/>
      <c r="BD779" s="8"/>
      <c r="BE779" s="8"/>
      <c r="BF779" s="8"/>
      <c r="BG779" s="8"/>
      <c r="BH779" s="8"/>
      <c r="BI779" s="8"/>
    </row>
    <row r="780" spans="1:61" ht="11.25" customHeight="1" x14ac:dyDescent="0.2">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row>
    <row r="781" spans="1:61" ht="11.25" customHeight="1" x14ac:dyDescent="0.2">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c r="AZ781" s="8"/>
      <c r="BA781" s="8"/>
      <c r="BB781" s="8"/>
      <c r="BC781" s="8"/>
      <c r="BD781" s="8"/>
      <c r="BE781" s="8"/>
      <c r="BF781" s="8"/>
      <c r="BG781" s="8"/>
      <c r="BH781" s="8"/>
      <c r="BI781" s="8"/>
    </row>
    <row r="782" spans="1:61" ht="11.25" customHeight="1" x14ac:dyDescent="0.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c r="BA782" s="8"/>
      <c r="BB782" s="8"/>
      <c r="BC782" s="8"/>
      <c r="BD782" s="8"/>
      <c r="BE782" s="8"/>
      <c r="BF782" s="8"/>
      <c r="BG782" s="8"/>
      <c r="BH782" s="8"/>
      <c r="BI782" s="8"/>
    </row>
    <row r="783" spans="1:61" ht="11.25" customHeight="1" x14ac:dyDescent="0.2">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8"/>
      <c r="BB783" s="8"/>
      <c r="BC783" s="8"/>
      <c r="BD783" s="8"/>
      <c r="BE783" s="8"/>
      <c r="BF783" s="8"/>
      <c r="BG783" s="8"/>
      <c r="BH783" s="8"/>
      <c r="BI783" s="8"/>
    </row>
    <row r="784" spans="1:61" ht="11.25" customHeight="1" x14ac:dyDescent="0.2">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c r="BA784" s="8"/>
      <c r="BB784" s="8"/>
      <c r="BC784" s="8"/>
      <c r="BD784" s="8"/>
      <c r="BE784" s="8"/>
      <c r="BF784" s="8"/>
      <c r="BG784" s="8"/>
      <c r="BH784" s="8"/>
      <c r="BI784" s="8"/>
    </row>
    <row r="785" spans="1:61" ht="11.25" customHeight="1" x14ac:dyDescent="0.2">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c r="BA785" s="8"/>
      <c r="BB785" s="8"/>
      <c r="BC785" s="8"/>
      <c r="BD785" s="8"/>
      <c r="BE785" s="8"/>
      <c r="BF785" s="8"/>
      <c r="BG785" s="8"/>
      <c r="BH785" s="8"/>
      <c r="BI785" s="8"/>
    </row>
    <row r="786" spans="1:61" ht="11.25" customHeight="1" x14ac:dyDescent="0.2">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8"/>
      <c r="BB786" s="8"/>
      <c r="BC786" s="8"/>
      <c r="BD786" s="8"/>
      <c r="BE786" s="8"/>
      <c r="BF786" s="8"/>
      <c r="BG786" s="8"/>
      <c r="BH786" s="8"/>
      <c r="BI786" s="8"/>
    </row>
    <row r="787" spans="1:61" ht="11.25" customHeight="1" x14ac:dyDescent="0.2">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8"/>
      <c r="BB787" s="8"/>
      <c r="BC787" s="8"/>
      <c r="BD787" s="8"/>
      <c r="BE787" s="8"/>
      <c r="BF787" s="8"/>
      <c r="BG787" s="8"/>
      <c r="BH787" s="8"/>
      <c r="BI787" s="8"/>
    </row>
    <row r="788" spans="1:61" ht="11.25" customHeight="1" x14ac:dyDescent="0.2">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8"/>
      <c r="BB788" s="8"/>
      <c r="BC788" s="8"/>
      <c r="BD788" s="8"/>
      <c r="BE788" s="8"/>
      <c r="BF788" s="8"/>
      <c r="BG788" s="8"/>
      <c r="BH788" s="8"/>
      <c r="BI788" s="8"/>
    </row>
    <row r="789" spans="1:61" ht="11.25" customHeight="1" x14ac:dyDescent="0.2">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8"/>
      <c r="BB789" s="8"/>
      <c r="BC789" s="8"/>
      <c r="BD789" s="8"/>
      <c r="BE789" s="8"/>
      <c r="BF789" s="8"/>
      <c r="BG789" s="8"/>
      <c r="BH789" s="8"/>
      <c r="BI789" s="8"/>
    </row>
    <row r="790" spans="1:61" ht="11.25" customHeight="1" x14ac:dyDescent="0.2">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8"/>
      <c r="BB790" s="8"/>
      <c r="BC790" s="8"/>
      <c r="BD790" s="8"/>
      <c r="BE790" s="8"/>
      <c r="BF790" s="8"/>
      <c r="BG790" s="8"/>
      <c r="BH790" s="8"/>
      <c r="BI790" s="8"/>
    </row>
    <row r="791" spans="1:61" ht="11.25" customHeight="1" x14ac:dyDescent="0.2">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c r="BA791" s="8"/>
      <c r="BB791" s="8"/>
      <c r="BC791" s="8"/>
      <c r="BD791" s="8"/>
      <c r="BE791" s="8"/>
      <c r="BF791" s="8"/>
      <c r="BG791" s="8"/>
      <c r="BH791" s="8"/>
      <c r="BI791" s="8"/>
    </row>
    <row r="792" spans="1:61" ht="11.25" customHeight="1" x14ac:dyDescent="0.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c r="BC792" s="8"/>
      <c r="BD792" s="8"/>
      <c r="BE792" s="8"/>
      <c r="BF792" s="8"/>
      <c r="BG792" s="8"/>
      <c r="BH792" s="8"/>
      <c r="BI792" s="8"/>
    </row>
    <row r="793" spans="1:61" ht="11.25" customHeight="1" x14ac:dyDescent="0.2">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c r="AK793" s="8"/>
      <c r="AL793" s="8"/>
      <c r="AM793" s="8"/>
      <c r="AN793" s="8"/>
      <c r="AO793" s="8"/>
      <c r="AP793" s="8"/>
      <c r="AQ793" s="8"/>
      <c r="AR793" s="8"/>
      <c r="AS793" s="8"/>
      <c r="AT793" s="8"/>
      <c r="AU793" s="8"/>
      <c r="AV793" s="8"/>
      <c r="AW793" s="8"/>
      <c r="AX793" s="8"/>
      <c r="AY793" s="8"/>
      <c r="AZ793" s="8"/>
      <c r="BA793" s="8"/>
      <c r="BB793" s="8"/>
      <c r="BC793" s="8"/>
      <c r="BD793" s="8"/>
      <c r="BE793" s="8"/>
      <c r="BF793" s="8"/>
      <c r="BG793" s="8"/>
      <c r="BH793" s="8"/>
      <c r="BI793" s="8"/>
    </row>
    <row r="794" spans="1:61" ht="11.25" customHeight="1" x14ac:dyDescent="0.2">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c r="AM794" s="8"/>
      <c r="AN794" s="8"/>
      <c r="AO794" s="8"/>
      <c r="AP794" s="8"/>
      <c r="AQ794" s="8"/>
      <c r="AR794" s="8"/>
      <c r="AS794" s="8"/>
      <c r="AT794" s="8"/>
      <c r="AU794" s="8"/>
      <c r="AV794" s="8"/>
      <c r="AW794" s="8"/>
      <c r="AX794" s="8"/>
      <c r="AY794" s="8"/>
      <c r="AZ794" s="8"/>
      <c r="BA794" s="8"/>
      <c r="BB794" s="8"/>
      <c r="BC794" s="8"/>
      <c r="BD794" s="8"/>
      <c r="BE794" s="8"/>
      <c r="BF794" s="8"/>
      <c r="BG794" s="8"/>
      <c r="BH794" s="8"/>
      <c r="BI794" s="8"/>
    </row>
    <row r="795" spans="1:61" ht="11.25" customHeight="1" x14ac:dyDescent="0.2">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c r="AM795" s="8"/>
      <c r="AN795" s="8"/>
      <c r="AO795" s="8"/>
      <c r="AP795" s="8"/>
      <c r="AQ795" s="8"/>
      <c r="AR795" s="8"/>
      <c r="AS795" s="8"/>
      <c r="AT795" s="8"/>
      <c r="AU795" s="8"/>
      <c r="AV795" s="8"/>
      <c r="AW795" s="8"/>
      <c r="AX795" s="8"/>
      <c r="AY795" s="8"/>
      <c r="AZ795" s="8"/>
      <c r="BA795" s="8"/>
      <c r="BB795" s="8"/>
      <c r="BC795" s="8"/>
      <c r="BD795" s="8"/>
      <c r="BE795" s="8"/>
      <c r="BF795" s="8"/>
      <c r="BG795" s="8"/>
      <c r="BH795" s="8"/>
      <c r="BI795" s="8"/>
    </row>
    <row r="796" spans="1:61" ht="11.25" customHeight="1" x14ac:dyDescent="0.2">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c r="AM796" s="8"/>
      <c r="AN796" s="8"/>
      <c r="AO796" s="8"/>
      <c r="AP796" s="8"/>
      <c r="AQ796" s="8"/>
      <c r="AR796" s="8"/>
      <c r="AS796" s="8"/>
      <c r="AT796" s="8"/>
      <c r="AU796" s="8"/>
      <c r="AV796" s="8"/>
      <c r="AW796" s="8"/>
      <c r="AX796" s="8"/>
      <c r="AY796" s="8"/>
      <c r="AZ796" s="8"/>
      <c r="BA796" s="8"/>
      <c r="BB796" s="8"/>
      <c r="BC796" s="8"/>
      <c r="BD796" s="8"/>
      <c r="BE796" s="8"/>
      <c r="BF796" s="8"/>
      <c r="BG796" s="8"/>
      <c r="BH796" s="8"/>
      <c r="BI796" s="8"/>
    </row>
    <row r="797" spans="1:61" ht="11.25" customHeight="1" x14ac:dyDescent="0.2">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c r="AM797" s="8"/>
      <c r="AN797" s="8"/>
      <c r="AO797" s="8"/>
      <c r="AP797" s="8"/>
      <c r="AQ797" s="8"/>
      <c r="AR797" s="8"/>
      <c r="AS797" s="8"/>
      <c r="AT797" s="8"/>
      <c r="AU797" s="8"/>
      <c r="AV797" s="8"/>
      <c r="AW797" s="8"/>
      <c r="AX797" s="8"/>
      <c r="AY797" s="8"/>
      <c r="AZ797" s="8"/>
      <c r="BA797" s="8"/>
      <c r="BB797" s="8"/>
      <c r="BC797" s="8"/>
      <c r="BD797" s="8"/>
      <c r="BE797" s="8"/>
      <c r="BF797" s="8"/>
      <c r="BG797" s="8"/>
      <c r="BH797" s="8"/>
      <c r="BI797" s="8"/>
    </row>
    <row r="798" spans="1:61" ht="11.25" customHeight="1" x14ac:dyDescent="0.2">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c r="AT798" s="8"/>
      <c r="AU798" s="8"/>
      <c r="AV798" s="8"/>
      <c r="AW798" s="8"/>
      <c r="AX798" s="8"/>
      <c r="AY798" s="8"/>
      <c r="AZ798" s="8"/>
      <c r="BA798" s="8"/>
      <c r="BB798" s="8"/>
      <c r="BC798" s="8"/>
      <c r="BD798" s="8"/>
      <c r="BE798" s="8"/>
      <c r="BF798" s="8"/>
      <c r="BG798" s="8"/>
      <c r="BH798" s="8"/>
      <c r="BI798" s="8"/>
    </row>
    <row r="799" spans="1:61" ht="11.25" customHeight="1" x14ac:dyDescent="0.2">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c r="AM799" s="8"/>
      <c r="AN799" s="8"/>
      <c r="AO799" s="8"/>
      <c r="AP799" s="8"/>
      <c r="AQ799" s="8"/>
      <c r="AR799" s="8"/>
      <c r="AS799" s="8"/>
      <c r="AT799" s="8"/>
      <c r="AU799" s="8"/>
      <c r="AV799" s="8"/>
      <c r="AW799" s="8"/>
      <c r="AX799" s="8"/>
      <c r="AY799" s="8"/>
      <c r="AZ799" s="8"/>
      <c r="BA799" s="8"/>
      <c r="BB799" s="8"/>
      <c r="BC799" s="8"/>
      <c r="BD799" s="8"/>
      <c r="BE799" s="8"/>
      <c r="BF799" s="8"/>
      <c r="BG799" s="8"/>
      <c r="BH799" s="8"/>
      <c r="BI799" s="8"/>
    </row>
    <row r="800" spans="1:61" ht="11.25" customHeight="1" x14ac:dyDescent="0.2">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c r="AM800" s="8"/>
      <c r="AN800" s="8"/>
      <c r="AO800" s="8"/>
      <c r="AP800" s="8"/>
      <c r="AQ800" s="8"/>
      <c r="AR800" s="8"/>
      <c r="AS800" s="8"/>
      <c r="AT800" s="8"/>
      <c r="AU800" s="8"/>
      <c r="AV800" s="8"/>
      <c r="AW800" s="8"/>
      <c r="AX800" s="8"/>
      <c r="AY800" s="8"/>
      <c r="AZ800" s="8"/>
      <c r="BA800" s="8"/>
      <c r="BB800" s="8"/>
      <c r="BC800" s="8"/>
      <c r="BD800" s="8"/>
      <c r="BE800" s="8"/>
      <c r="BF800" s="8"/>
      <c r="BG800" s="8"/>
      <c r="BH800" s="8"/>
      <c r="BI800" s="8"/>
    </row>
    <row r="801" spans="1:61" ht="11.25" customHeight="1" x14ac:dyDescent="0.2">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c r="AK801" s="8"/>
      <c r="AL801" s="8"/>
      <c r="AM801" s="8"/>
      <c r="AN801" s="8"/>
      <c r="AO801" s="8"/>
      <c r="AP801" s="8"/>
      <c r="AQ801" s="8"/>
      <c r="AR801" s="8"/>
      <c r="AS801" s="8"/>
      <c r="AT801" s="8"/>
      <c r="AU801" s="8"/>
      <c r="AV801" s="8"/>
      <c r="AW801" s="8"/>
      <c r="AX801" s="8"/>
      <c r="AY801" s="8"/>
      <c r="AZ801" s="8"/>
      <c r="BA801" s="8"/>
      <c r="BB801" s="8"/>
      <c r="BC801" s="8"/>
      <c r="BD801" s="8"/>
      <c r="BE801" s="8"/>
      <c r="BF801" s="8"/>
      <c r="BG801" s="8"/>
      <c r="BH801" s="8"/>
      <c r="BI801" s="8"/>
    </row>
    <row r="802" spans="1:61" ht="11.25" customHeight="1" x14ac:dyDescent="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c r="AM802" s="8"/>
      <c r="AN802" s="8"/>
      <c r="AO802" s="8"/>
      <c r="AP802" s="8"/>
      <c r="AQ802" s="8"/>
      <c r="AR802" s="8"/>
      <c r="AS802" s="8"/>
      <c r="AT802" s="8"/>
      <c r="AU802" s="8"/>
      <c r="AV802" s="8"/>
      <c r="AW802" s="8"/>
      <c r="AX802" s="8"/>
      <c r="AY802" s="8"/>
      <c r="AZ802" s="8"/>
      <c r="BA802" s="8"/>
      <c r="BB802" s="8"/>
      <c r="BC802" s="8"/>
      <c r="BD802" s="8"/>
      <c r="BE802" s="8"/>
      <c r="BF802" s="8"/>
      <c r="BG802" s="8"/>
      <c r="BH802" s="8"/>
      <c r="BI802" s="8"/>
    </row>
    <row r="803" spans="1:61" ht="11.25" customHeight="1" x14ac:dyDescent="0.2">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c r="AK803" s="8"/>
      <c r="AL803" s="8"/>
      <c r="AM803" s="8"/>
      <c r="AN803" s="8"/>
      <c r="AO803" s="8"/>
      <c r="AP803" s="8"/>
      <c r="AQ803" s="8"/>
      <c r="AR803" s="8"/>
      <c r="AS803" s="8"/>
      <c r="AT803" s="8"/>
      <c r="AU803" s="8"/>
      <c r="AV803" s="8"/>
      <c r="AW803" s="8"/>
      <c r="AX803" s="8"/>
      <c r="AY803" s="8"/>
      <c r="AZ803" s="8"/>
      <c r="BA803" s="8"/>
      <c r="BB803" s="8"/>
      <c r="BC803" s="8"/>
      <c r="BD803" s="8"/>
      <c r="BE803" s="8"/>
      <c r="BF803" s="8"/>
      <c r="BG803" s="8"/>
      <c r="BH803" s="8"/>
      <c r="BI803" s="8"/>
    </row>
    <row r="804" spans="1:61" ht="11.25" customHeight="1" x14ac:dyDescent="0.2">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c r="AK804" s="8"/>
      <c r="AL804" s="8"/>
      <c r="AM804" s="8"/>
      <c r="AN804" s="8"/>
      <c r="AO804" s="8"/>
      <c r="AP804" s="8"/>
      <c r="AQ804" s="8"/>
      <c r="AR804" s="8"/>
      <c r="AS804" s="8"/>
      <c r="AT804" s="8"/>
      <c r="AU804" s="8"/>
      <c r="AV804" s="8"/>
      <c r="AW804" s="8"/>
      <c r="AX804" s="8"/>
      <c r="AY804" s="8"/>
      <c r="AZ804" s="8"/>
      <c r="BA804" s="8"/>
      <c r="BB804" s="8"/>
      <c r="BC804" s="8"/>
      <c r="BD804" s="8"/>
      <c r="BE804" s="8"/>
      <c r="BF804" s="8"/>
      <c r="BG804" s="8"/>
      <c r="BH804" s="8"/>
      <c r="BI804" s="8"/>
    </row>
    <row r="805" spans="1:61" ht="11.25" customHeight="1" x14ac:dyDescent="0.2">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c r="AK805" s="8"/>
      <c r="AL805" s="8"/>
      <c r="AM805" s="8"/>
      <c r="AN805" s="8"/>
      <c r="AO805" s="8"/>
      <c r="AP805" s="8"/>
      <c r="AQ805" s="8"/>
      <c r="AR805" s="8"/>
      <c r="AS805" s="8"/>
      <c r="AT805" s="8"/>
      <c r="AU805" s="8"/>
      <c r="AV805" s="8"/>
      <c r="AW805" s="8"/>
      <c r="AX805" s="8"/>
      <c r="AY805" s="8"/>
      <c r="AZ805" s="8"/>
      <c r="BA805" s="8"/>
      <c r="BB805" s="8"/>
      <c r="BC805" s="8"/>
      <c r="BD805" s="8"/>
      <c r="BE805" s="8"/>
      <c r="BF805" s="8"/>
      <c r="BG805" s="8"/>
      <c r="BH805" s="8"/>
      <c r="BI805" s="8"/>
    </row>
    <row r="806" spans="1:61" ht="11.25" customHeight="1" x14ac:dyDescent="0.2">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c r="AK806" s="8"/>
      <c r="AL806" s="8"/>
      <c r="AM806" s="8"/>
      <c r="AN806" s="8"/>
      <c r="AO806" s="8"/>
      <c r="AP806" s="8"/>
      <c r="AQ806" s="8"/>
      <c r="AR806" s="8"/>
      <c r="AS806" s="8"/>
      <c r="AT806" s="8"/>
      <c r="AU806" s="8"/>
      <c r="AV806" s="8"/>
      <c r="AW806" s="8"/>
      <c r="AX806" s="8"/>
      <c r="AY806" s="8"/>
      <c r="AZ806" s="8"/>
      <c r="BA806" s="8"/>
      <c r="BB806" s="8"/>
      <c r="BC806" s="8"/>
      <c r="BD806" s="8"/>
      <c r="BE806" s="8"/>
      <c r="BF806" s="8"/>
      <c r="BG806" s="8"/>
      <c r="BH806" s="8"/>
      <c r="BI806" s="8"/>
    </row>
    <row r="807" spans="1:61" ht="11.25" customHeight="1" x14ac:dyDescent="0.2">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c r="AU807" s="8"/>
      <c r="AV807" s="8"/>
      <c r="AW807" s="8"/>
      <c r="AX807" s="8"/>
      <c r="AY807" s="8"/>
      <c r="AZ807" s="8"/>
      <c r="BA807" s="8"/>
      <c r="BB807" s="8"/>
      <c r="BC807" s="8"/>
      <c r="BD807" s="8"/>
      <c r="BE807" s="8"/>
      <c r="BF807" s="8"/>
      <c r="BG807" s="8"/>
      <c r="BH807" s="8"/>
      <c r="BI807" s="8"/>
    </row>
    <row r="808" spans="1:61" ht="11.25" customHeight="1" x14ac:dyDescent="0.2">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c r="AM808" s="8"/>
      <c r="AN808" s="8"/>
      <c r="AO808" s="8"/>
      <c r="AP808" s="8"/>
      <c r="AQ808" s="8"/>
      <c r="AR808" s="8"/>
      <c r="AS808" s="8"/>
      <c r="AT808" s="8"/>
      <c r="AU808" s="8"/>
      <c r="AV808" s="8"/>
      <c r="AW808" s="8"/>
      <c r="AX808" s="8"/>
      <c r="AY808" s="8"/>
      <c r="AZ808" s="8"/>
      <c r="BA808" s="8"/>
      <c r="BB808" s="8"/>
      <c r="BC808" s="8"/>
      <c r="BD808" s="8"/>
      <c r="BE808" s="8"/>
      <c r="BF808" s="8"/>
      <c r="BG808" s="8"/>
      <c r="BH808" s="8"/>
      <c r="BI808" s="8"/>
    </row>
    <row r="809" spans="1:61" ht="11.25" customHeight="1" x14ac:dyDescent="0.2">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c r="AU809" s="8"/>
      <c r="AV809" s="8"/>
      <c r="AW809" s="8"/>
      <c r="AX809" s="8"/>
      <c r="AY809" s="8"/>
      <c r="AZ809" s="8"/>
      <c r="BA809" s="8"/>
      <c r="BB809" s="8"/>
      <c r="BC809" s="8"/>
      <c r="BD809" s="8"/>
      <c r="BE809" s="8"/>
      <c r="BF809" s="8"/>
      <c r="BG809" s="8"/>
      <c r="BH809" s="8"/>
      <c r="BI809" s="8"/>
    </row>
    <row r="810" spans="1:61" ht="11.25" customHeight="1" x14ac:dyDescent="0.2">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c r="AM810" s="8"/>
      <c r="AN810" s="8"/>
      <c r="AO810" s="8"/>
      <c r="AP810" s="8"/>
      <c r="AQ810" s="8"/>
      <c r="AR810" s="8"/>
      <c r="AS810" s="8"/>
      <c r="AT810" s="8"/>
      <c r="AU810" s="8"/>
      <c r="AV810" s="8"/>
      <c r="AW810" s="8"/>
      <c r="AX810" s="8"/>
      <c r="AY810" s="8"/>
      <c r="AZ810" s="8"/>
      <c r="BA810" s="8"/>
      <c r="BB810" s="8"/>
      <c r="BC810" s="8"/>
      <c r="BD810" s="8"/>
      <c r="BE810" s="8"/>
      <c r="BF810" s="8"/>
      <c r="BG810" s="8"/>
      <c r="BH810" s="8"/>
      <c r="BI810" s="8"/>
    </row>
    <row r="811" spans="1:61" ht="11.25" customHeight="1" x14ac:dyDescent="0.2">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c r="AK811" s="8"/>
      <c r="AL811" s="8"/>
      <c r="AM811" s="8"/>
      <c r="AN811" s="8"/>
      <c r="AO811" s="8"/>
      <c r="AP811" s="8"/>
      <c r="AQ811" s="8"/>
      <c r="AR811" s="8"/>
      <c r="AS811" s="8"/>
      <c r="AT811" s="8"/>
      <c r="AU811" s="8"/>
      <c r="AV811" s="8"/>
      <c r="AW811" s="8"/>
      <c r="AX811" s="8"/>
      <c r="AY811" s="8"/>
      <c r="AZ811" s="8"/>
      <c r="BA811" s="8"/>
      <c r="BB811" s="8"/>
      <c r="BC811" s="8"/>
      <c r="BD811" s="8"/>
      <c r="BE811" s="8"/>
      <c r="BF811" s="8"/>
      <c r="BG811" s="8"/>
      <c r="BH811" s="8"/>
      <c r="BI811" s="8"/>
    </row>
    <row r="812" spans="1:61" ht="11.25" customHeight="1" x14ac:dyDescent="0.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c r="AU812" s="8"/>
      <c r="AV812" s="8"/>
      <c r="AW812" s="8"/>
      <c r="AX812" s="8"/>
      <c r="AY812" s="8"/>
      <c r="AZ812" s="8"/>
      <c r="BA812" s="8"/>
      <c r="BB812" s="8"/>
      <c r="BC812" s="8"/>
      <c r="BD812" s="8"/>
      <c r="BE812" s="8"/>
      <c r="BF812" s="8"/>
      <c r="BG812" s="8"/>
      <c r="BH812" s="8"/>
      <c r="BI812" s="8"/>
    </row>
    <row r="813" spans="1:61" ht="11.25" customHeight="1" x14ac:dyDescent="0.2">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c r="AK813" s="8"/>
      <c r="AL813" s="8"/>
      <c r="AM813" s="8"/>
      <c r="AN813" s="8"/>
      <c r="AO813" s="8"/>
      <c r="AP813" s="8"/>
      <c r="AQ813" s="8"/>
      <c r="AR813" s="8"/>
      <c r="AS813" s="8"/>
      <c r="AT813" s="8"/>
      <c r="AU813" s="8"/>
      <c r="AV813" s="8"/>
      <c r="AW813" s="8"/>
      <c r="AX813" s="8"/>
      <c r="AY813" s="8"/>
      <c r="AZ813" s="8"/>
      <c r="BA813" s="8"/>
      <c r="BB813" s="8"/>
      <c r="BC813" s="8"/>
      <c r="BD813" s="8"/>
      <c r="BE813" s="8"/>
      <c r="BF813" s="8"/>
      <c r="BG813" s="8"/>
      <c r="BH813" s="8"/>
      <c r="BI813" s="8"/>
    </row>
    <row r="814" spans="1:61" ht="11.25" customHeight="1" x14ac:dyDescent="0.2">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c r="AK814" s="8"/>
      <c r="AL814" s="8"/>
      <c r="AM814" s="8"/>
      <c r="AN814" s="8"/>
      <c r="AO814" s="8"/>
      <c r="AP814" s="8"/>
      <c r="AQ814" s="8"/>
      <c r="AR814" s="8"/>
      <c r="AS814" s="8"/>
      <c r="AT814" s="8"/>
      <c r="AU814" s="8"/>
      <c r="AV814" s="8"/>
      <c r="AW814" s="8"/>
      <c r="AX814" s="8"/>
      <c r="AY814" s="8"/>
      <c r="AZ814" s="8"/>
      <c r="BA814" s="8"/>
      <c r="BB814" s="8"/>
      <c r="BC814" s="8"/>
      <c r="BD814" s="8"/>
      <c r="BE814" s="8"/>
      <c r="BF814" s="8"/>
      <c r="BG814" s="8"/>
      <c r="BH814" s="8"/>
      <c r="BI814" s="8"/>
    </row>
    <row r="815" spans="1:61" ht="11.25" customHeight="1" x14ac:dyDescent="0.2">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c r="AU815" s="8"/>
      <c r="AV815" s="8"/>
      <c r="AW815" s="8"/>
      <c r="AX815" s="8"/>
      <c r="AY815" s="8"/>
      <c r="AZ815" s="8"/>
      <c r="BA815" s="8"/>
      <c r="BB815" s="8"/>
      <c r="BC815" s="8"/>
      <c r="BD815" s="8"/>
      <c r="BE815" s="8"/>
      <c r="BF815" s="8"/>
      <c r="BG815" s="8"/>
      <c r="BH815" s="8"/>
      <c r="BI815" s="8"/>
    </row>
    <row r="816" spans="1:61" ht="11.25" customHeight="1" x14ac:dyDescent="0.2">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c r="AK816" s="8"/>
      <c r="AL816" s="8"/>
      <c r="AM816" s="8"/>
      <c r="AN816" s="8"/>
      <c r="AO816" s="8"/>
      <c r="AP816" s="8"/>
      <c r="AQ816" s="8"/>
      <c r="AR816" s="8"/>
      <c r="AS816" s="8"/>
      <c r="AT816" s="8"/>
      <c r="AU816" s="8"/>
      <c r="AV816" s="8"/>
      <c r="AW816" s="8"/>
      <c r="AX816" s="8"/>
      <c r="AY816" s="8"/>
      <c r="AZ816" s="8"/>
      <c r="BA816" s="8"/>
      <c r="BB816" s="8"/>
      <c r="BC816" s="8"/>
      <c r="BD816" s="8"/>
      <c r="BE816" s="8"/>
      <c r="BF816" s="8"/>
      <c r="BG816" s="8"/>
      <c r="BH816" s="8"/>
      <c r="BI816" s="8"/>
    </row>
    <row r="817" spans="1:61" ht="11.25" customHeight="1" x14ac:dyDescent="0.2">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row>
    <row r="818" spans="1:61" ht="11.25" customHeight="1" x14ac:dyDescent="0.2">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c r="AU818" s="8"/>
      <c r="AV818" s="8"/>
      <c r="AW818" s="8"/>
      <c r="AX818" s="8"/>
      <c r="AY818" s="8"/>
      <c r="AZ818" s="8"/>
      <c r="BA818" s="8"/>
      <c r="BB818" s="8"/>
      <c r="BC818" s="8"/>
      <c r="BD818" s="8"/>
      <c r="BE818" s="8"/>
      <c r="BF818" s="8"/>
      <c r="BG818" s="8"/>
      <c r="BH818" s="8"/>
      <c r="BI818" s="8"/>
    </row>
    <row r="819" spans="1:61" ht="11.25" customHeight="1" x14ac:dyDescent="0.2">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c r="AT819" s="8"/>
      <c r="AU819" s="8"/>
      <c r="AV819" s="8"/>
      <c r="AW819" s="8"/>
      <c r="AX819" s="8"/>
      <c r="AY819" s="8"/>
      <c r="AZ819" s="8"/>
      <c r="BA819" s="8"/>
      <c r="BB819" s="8"/>
      <c r="BC819" s="8"/>
      <c r="BD819" s="8"/>
      <c r="BE819" s="8"/>
      <c r="BF819" s="8"/>
      <c r="BG819" s="8"/>
      <c r="BH819" s="8"/>
      <c r="BI819" s="8"/>
    </row>
    <row r="820" spans="1:61" ht="11.25" customHeight="1" x14ac:dyDescent="0.2">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c r="AK820" s="8"/>
      <c r="AL820" s="8"/>
      <c r="AM820" s="8"/>
      <c r="AN820" s="8"/>
      <c r="AO820" s="8"/>
      <c r="AP820" s="8"/>
      <c r="AQ820" s="8"/>
      <c r="AR820" s="8"/>
      <c r="AS820" s="8"/>
      <c r="AT820" s="8"/>
      <c r="AU820" s="8"/>
      <c r="AV820" s="8"/>
      <c r="AW820" s="8"/>
      <c r="AX820" s="8"/>
      <c r="AY820" s="8"/>
      <c r="AZ820" s="8"/>
      <c r="BA820" s="8"/>
      <c r="BB820" s="8"/>
      <c r="BC820" s="8"/>
      <c r="BD820" s="8"/>
      <c r="BE820" s="8"/>
      <c r="BF820" s="8"/>
      <c r="BG820" s="8"/>
      <c r="BH820" s="8"/>
      <c r="BI820" s="8"/>
    </row>
    <row r="821" spans="1:61" ht="11.25" customHeight="1" x14ac:dyDescent="0.2">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c r="AT821" s="8"/>
      <c r="AU821" s="8"/>
      <c r="AV821" s="8"/>
      <c r="AW821" s="8"/>
      <c r="AX821" s="8"/>
      <c r="AY821" s="8"/>
      <c r="AZ821" s="8"/>
      <c r="BA821" s="8"/>
      <c r="BB821" s="8"/>
      <c r="BC821" s="8"/>
      <c r="BD821" s="8"/>
      <c r="BE821" s="8"/>
      <c r="BF821" s="8"/>
      <c r="BG821" s="8"/>
      <c r="BH821" s="8"/>
      <c r="BI821" s="8"/>
    </row>
    <row r="822" spans="1:61" ht="11.25" customHeight="1" x14ac:dyDescent="0.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c r="AU822" s="8"/>
      <c r="AV822" s="8"/>
      <c r="AW822" s="8"/>
      <c r="AX822" s="8"/>
      <c r="AY822" s="8"/>
      <c r="AZ822" s="8"/>
      <c r="BA822" s="8"/>
      <c r="BB822" s="8"/>
      <c r="BC822" s="8"/>
      <c r="BD822" s="8"/>
      <c r="BE822" s="8"/>
      <c r="BF822" s="8"/>
      <c r="BG822" s="8"/>
      <c r="BH822" s="8"/>
      <c r="BI822" s="8"/>
    </row>
    <row r="823" spans="1:61" ht="11.25" customHeight="1" x14ac:dyDescent="0.2">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c r="AK823" s="8"/>
      <c r="AL823" s="8"/>
      <c r="AM823" s="8"/>
      <c r="AN823" s="8"/>
      <c r="AO823" s="8"/>
      <c r="AP823" s="8"/>
      <c r="AQ823" s="8"/>
      <c r="AR823" s="8"/>
      <c r="AS823" s="8"/>
      <c r="AT823" s="8"/>
      <c r="AU823" s="8"/>
      <c r="AV823" s="8"/>
      <c r="AW823" s="8"/>
      <c r="AX823" s="8"/>
      <c r="AY823" s="8"/>
      <c r="AZ823" s="8"/>
      <c r="BA823" s="8"/>
      <c r="BB823" s="8"/>
      <c r="BC823" s="8"/>
      <c r="BD823" s="8"/>
      <c r="BE823" s="8"/>
      <c r="BF823" s="8"/>
      <c r="BG823" s="8"/>
      <c r="BH823" s="8"/>
      <c r="BI823" s="8"/>
    </row>
    <row r="824" spans="1:61" ht="11.25" customHeight="1" x14ac:dyDescent="0.2">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c r="AK824" s="8"/>
      <c r="AL824" s="8"/>
      <c r="AM824" s="8"/>
      <c r="AN824" s="8"/>
      <c r="AO824" s="8"/>
      <c r="AP824" s="8"/>
      <c r="AQ824" s="8"/>
      <c r="AR824" s="8"/>
      <c r="AS824" s="8"/>
      <c r="AT824" s="8"/>
      <c r="AU824" s="8"/>
      <c r="AV824" s="8"/>
      <c r="AW824" s="8"/>
      <c r="AX824" s="8"/>
      <c r="AY824" s="8"/>
      <c r="AZ824" s="8"/>
      <c r="BA824" s="8"/>
      <c r="BB824" s="8"/>
      <c r="BC824" s="8"/>
      <c r="BD824" s="8"/>
      <c r="BE824" s="8"/>
      <c r="BF824" s="8"/>
      <c r="BG824" s="8"/>
      <c r="BH824" s="8"/>
      <c r="BI824" s="8"/>
    </row>
    <row r="825" spans="1:61" ht="11.25" customHeight="1" x14ac:dyDescent="0.2">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c r="AK825" s="8"/>
      <c r="AL825" s="8"/>
      <c r="AM825" s="8"/>
      <c r="AN825" s="8"/>
      <c r="AO825" s="8"/>
      <c r="AP825" s="8"/>
      <c r="AQ825" s="8"/>
      <c r="AR825" s="8"/>
      <c r="AS825" s="8"/>
      <c r="AT825" s="8"/>
      <c r="AU825" s="8"/>
      <c r="AV825" s="8"/>
      <c r="AW825" s="8"/>
      <c r="AX825" s="8"/>
      <c r="AY825" s="8"/>
      <c r="AZ825" s="8"/>
      <c r="BA825" s="8"/>
      <c r="BB825" s="8"/>
      <c r="BC825" s="8"/>
      <c r="BD825" s="8"/>
      <c r="BE825" s="8"/>
      <c r="BF825" s="8"/>
      <c r="BG825" s="8"/>
      <c r="BH825" s="8"/>
      <c r="BI825" s="8"/>
    </row>
    <row r="826" spans="1:61" ht="11.25" customHeight="1" x14ac:dyDescent="0.2">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c r="AK826" s="8"/>
      <c r="AL826" s="8"/>
      <c r="AM826" s="8"/>
      <c r="AN826" s="8"/>
      <c r="AO826" s="8"/>
      <c r="AP826" s="8"/>
      <c r="AQ826" s="8"/>
      <c r="AR826" s="8"/>
      <c r="AS826" s="8"/>
      <c r="AT826" s="8"/>
      <c r="AU826" s="8"/>
      <c r="AV826" s="8"/>
      <c r="AW826" s="8"/>
      <c r="AX826" s="8"/>
      <c r="AY826" s="8"/>
      <c r="AZ826" s="8"/>
      <c r="BA826" s="8"/>
      <c r="BB826" s="8"/>
      <c r="BC826" s="8"/>
      <c r="BD826" s="8"/>
      <c r="BE826" s="8"/>
      <c r="BF826" s="8"/>
      <c r="BG826" s="8"/>
      <c r="BH826" s="8"/>
      <c r="BI826" s="8"/>
    </row>
    <row r="827" spans="1:61" ht="11.25" customHeight="1" x14ac:dyDescent="0.2">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c r="AK827" s="8"/>
      <c r="AL827" s="8"/>
      <c r="AM827" s="8"/>
      <c r="AN827" s="8"/>
      <c r="AO827" s="8"/>
      <c r="AP827" s="8"/>
      <c r="AQ827" s="8"/>
      <c r="AR827" s="8"/>
      <c r="AS827" s="8"/>
      <c r="AT827" s="8"/>
      <c r="AU827" s="8"/>
      <c r="AV827" s="8"/>
      <c r="AW827" s="8"/>
      <c r="AX827" s="8"/>
      <c r="AY827" s="8"/>
      <c r="AZ827" s="8"/>
      <c r="BA827" s="8"/>
      <c r="BB827" s="8"/>
      <c r="BC827" s="8"/>
      <c r="BD827" s="8"/>
      <c r="BE827" s="8"/>
      <c r="BF827" s="8"/>
      <c r="BG827" s="8"/>
      <c r="BH827" s="8"/>
      <c r="BI827" s="8"/>
    </row>
    <row r="828" spans="1:61" ht="11.25" customHeight="1" x14ac:dyDescent="0.2">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c r="AK828" s="8"/>
      <c r="AL828" s="8"/>
      <c r="AM828" s="8"/>
      <c r="AN828" s="8"/>
      <c r="AO828" s="8"/>
      <c r="AP828" s="8"/>
      <c r="AQ828" s="8"/>
      <c r="AR828" s="8"/>
      <c r="AS828" s="8"/>
      <c r="AT828" s="8"/>
      <c r="AU828" s="8"/>
      <c r="AV828" s="8"/>
      <c r="AW828" s="8"/>
      <c r="AX828" s="8"/>
      <c r="AY828" s="8"/>
      <c r="AZ828" s="8"/>
      <c r="BA828" s="8"/>
      <c r="BB828" s="8"/>
      <c r="BC828" s="8"/>
      <c r="BD828" s="8"/>
      <c r="BE828" s="8"/>
      <c r="BF828" s="8"/>
      <c r="BG828" s="8"/>
      <c r="BH828" s="8"/>
      <c r="BI828" s="8"/>
    </row>
    <row r="829" spans="1:61" ht="11.25" customHeight="1" x14ac:dyDescent="0.2">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c r="AK829" s="8"/>
      <c r="AL829" s="8"/>
      <c r="AM829" s="8"/>
      <c r="AN829" s="8"/>
      <c r="AO829" s="8"/>
      <c r="AP829" s="8"/>
      <c r="AQ829" s="8"/>
      <c r="AR829" s="8"/>
      <c r="AS829" s="8"/>
      <c r="AT829" s="8"/>
      <c r="AU829" s="8"/>
      <c r="AV829" s="8"/>
      <c r="AW829" s="8"/>
      <c r="AX829" s="8"/>
      <c r="AY829" s="8"/>
      <c r="AZ829" s="8"/>
      <c r="BA829" s="8"/>
      <c r="BB829" s="8"/>
      <c r="BC829" s="8"/>
      <c r="BD829" s="8"/>
      <c r="BE829" s="8"/>
      <c r="BF829" s="8"/>
      <c r="BG829" s="8"/>
      <c r="BH829" s="8"/>
      <c r="BI829" s="8"/>
    </row>
    <row r="830" spans="1:61" ht="11.25" customHeight="1" x14ac:dyDescent="0.2">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c r="AK830" s="8"/>
      <c r="AL830" s="8"/>
      <c r="AM830" s="8"/>
      <c r="AN830" s="8"/>
      <c r="AO830" s="8"/>
      <c r="AP830" s="8"/>
      <c r="AQ830" s="8"/>
      <c r="AR830" s="8"/>
      <c r="AS830" s="8"/>
      <c r="AT830" s="8"/>
      <c r="AU830" s="8"/>
      <c r="AV830" s="8"/>
      <c r="AW830" s="8"/>
      <c r="AX830" s="8"/>
      <c r="AY830" s="8"/>
      <c r="AZ830" s="8"/>
      <c r="BA830" s="8"/>
      <c r="BB830" s="8"/>
      <c r="BC830" s="8"/>
      <c r="BD830" s="8"/>
      <c r="BE830" s="8"/>
      <c r="BF830" s="8"/>
      <c r="BG830" s="8"/>
      <c r="BH830" s="8"/>
      <c r="BI830" s="8"/>
    </row>
    <row r="831" spans="1:61" ht="11.25" customHeight="1" x14ac:dyDescent="0.2">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c r="AK831" s="8"/>
      <c r="AL831" s="8"/>
      <c r="AM831" s="8"/>
      <c r="AN831" s="8"/>
      <c r="AO831" s="8"/>
      <c r="AP831" s="8"/>
      <c r="AQ831" s="8"/>
      <c r="AR831" s="8"/>
      <c r="AS831" s="8"/>
      <c r="AT831" s="8"/>
      <c r="AU831" s="8"/>
      <c r="AV831" s="8"/>
      <c r="AW831" s="8"/>
      <c r="AX831" s="8"/>
      <c r="AY831" s="8"/>
      <c r="AZ831" s="8"/>
      <c r="BA831" s="8"/>
      <c r="BB831" s="8"/>
      <c r="BC831" s="8"/>
      <c r="BD831" s="8"/>
      <c r="BE831" s="8"/>
      <c r="BF831" s="8"/>
      <c r="BG831" s="8"/>
      <c r="BH831" s="8"/>
      <c r="BI831" s="8"/>
    </row>
    <row r="832" spans="1:61" ht="11.25" customHeight="1" x14ac:dyDescent="0.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c r="AK832" s="8"/>
      <c r="AL832" s="8"/>
      <c r="AM832" s="8"/>
      <c r="AN832" s="8"/>
      <c r="AO832" s="8"/>
      <c r="AP832" s="8"/>
      <c r="AQ832" s="8"/>
      <c r="AR832" s="8"/>
      <c r="AS832" s="8"/>
      <c r="AT832" s="8"/>
      <c r="AU832" s="8"/>
      <c r="AV832" s="8"/>
      <c r="AW832" s="8"/>
      <c r="AX832" s="8"/>
      <c r="AY832" s="8"/>
      <c r="AZ832" s="8"/>
      <c r="BA832" s="8"/>
      <c r="BB832" s="8"/>
      <c r="BC832" s="8"/>
      <c r="BD832" s="8"/>
      <c r="BE832" s="8"/>
      <c r="BF832" s="8"/>
      <c r="BG832" s="8"/>
      <c r="BH832" s="8"/>
      <c r="BI832" s="8"/>
    </row>
    <row r="833" spans="1:61" ht="11.25" customHeight="1" x14ac:dyDescent="0.2">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c r="AK833" s="8"/>
      <c r="AL833" s="8"/>
      <c r="AM833" s="8"/>
      <c r="AN833" s="8"/>
      <c r="AO833" s="8"/>
      <c r="AP833" s="8"/>
      <c r="AQ833" s="8"/>
      <c r="AR833" s="8"/>
      <c r="AS833" s="8"/>
      <c r="AT833" s="8"/>
      <c r="AU833" s="8"/>
      <c r="AV833" s="8"/>
      <c r="AW833" s="8"/>
      <c r="AX833" s="8"/>
      <c r="AY833" s="8"/>
      <c r="AZ833" s="8"/>
      <c r="BA833" s="8"/>
      <c r="BB833" s="8"/>
      <c r="BC833" s="8"/>
      <c r="BD833" s="8"/>
      <c r="BE833" s="8"/>
      <c r="BF833" s="8"/>
      <c r="BG833" s="8"/>
      <c r="BH833" s="8"/>
      <c r="BI833" s="8"/>
    </row>
    <row r="834" spans="1:61" ht="11.25" customHeight="1" x14ac:dyDescent="0.2">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c r="AK834" s="8"/>
      <c r="AL834" s="8"/>
      <c r="AM834" s="8"/>
      <c r="AN834" s="8"/>
      <c r="AO834" s="8"/>
      <c r="AP834" s="8"/>
      <c r="AQ834" s="8"/>
      <c r="AR834" s="8"/>
      <c r="AS834" s="8"/>
      <c r="AT834" s="8"/>
      <c r="AU834" s="8"/>
      <c r="AV834" s="8"/>
      <c r="AW834" s="8"/>
      <c r="AX834" s="8"/>
      <c r="AY834" s="8"/>
      <c r="AZ834" s="8"/>
      <c r="BA834" s="8"/>
      <c r="BB834" s="8"/>
      <c r="BC834" s="8"/>
      <c r="BD834" s="8"/>
      <c r="BE834" s="8"/>
      <c r="BF834" s="8"/>
      <c r="BG834" s="8"/>
      <c r="BH834" s="8"/>
      <c r="BI834" s="8"/>
    </row>
    <row r="835" spans="1:61" ht="11.25" customHeight="1" x14ac:dyDescent="0.2">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c r="AM835" s="8"/>
      <c r="AN835" s="8"/>
      <c r="AO835" s="8"/>
      <c r="AP835" s="8"/>
      <c r="AQ835" s="8"/>
      <c r="AR835" s="8"/>
      <c r="AS835" s="8"/>
      <c r="AT835" s="8"/>
      <c r="AU835" s="8"/>
      <c r="AV835" s="8"/>
      <c r="AW835" s="8"/>
      <c r="AX835" s="8"/>
      <c r="AY835" s="8"/>
      <c r="AZ835" s="8"/>
      <c r="BA835" s="8"/>
      <c r="BB835" s="8"/>
      <c r="BC835" s="8"/>
      <c r="BD835" s="8"/>
      <c r="BE835" s="8"/>
      <c r="BF835" s="8"/>
      <c r="BG835" s="8"/>
      <c r="BH835" s="8"/>
      <c r="BI835" s="8"/>
    </row>
    <row r="836" spans="1:61" ht="11.25" customHeight="1" x14ac:dyDescent="0.2">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c r="AM836" s="8"/>
      <c r="AN836" s="8"/>
      <c r="AO836" s="8"/>
      <c r="AP836" s="8"/>
      <c r="AQ836" s="8"/>
      <c r="AR836" s="8"/>
      <c r="AS836" s="8"/>
      <c r="AT836" s="8"/>
      <c r="AU836" s="8"/>
      <c r="AV836" s="8"/>
      <c r="AW836" s="8"/>
      <c r="AX836" s="8"/>
      <c r="AY836" s="8"/>
      <c r="AZ836" s="8"/>
      <c r="BA836" s="8"/>
      <c r="BB836" s="8"/>
      <c r="BC836" s="8"/>
      <c r="BD836" s="8"/>
      <c r="BE836" s="8"/>
      <c r="BF836" s="8"/>
      <c r="BG836" s="8"/>
      <c r="BH836" s="8"/>
      <c r="BI836" s="8"/>
    </row>
    <row r="837" spans="1:61" ht="11.25" customHeight="1" x14ac:dyDescent="0.2">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c r="AK837" s="8"/>
      <c r="AL837" s="8"/>
      <c r="AM837" s="8"/>
      <c r="AN837" s="8"/>
      <c r="AO837" s="8"/>
      <c r="AP837" s="8"/>
      <c r="AQ837" s="8"/>
      <c r="AR837" s="8"/>
      <c r="AS837" s="8"/>
      <c r="AT837" s="8"/>
      <c r="AU837" s="8"/>
      <c r="AV837" s="8"/>
      <c r="AW837" s="8"/>
      <c r="AX837" s="8"/>
      <c r="AY837" s="8"/>
      <c r="AZ837" s="8"/>
      <c r="BA837" s="8"/>
      <c r="BB837" s="8"/>
      <c r="BC837" s="8"/>
      <c r="BD837" s="8"/>
      <c r="BE837" s="8"/>
      <c r="BF837" s="8"/>
      <c r="BG837" s="8"/>
      <c r="BH837" s="8"/>
      <c r="BI837" s="8"/>
    </row>
    <row r="838" spans="1:61" ht="11.25" customHeight="1" x14ac:dyDescent="0.2">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c r="AK838" s="8"/>
      <c r="AL838" s="8"/>
      <c r="AM838" s="8"/>
      <c r="AN838" s="8"/>
      <c r="AO838" s="8"/>
      <c r="AP838" s="8"/>
      <c r="AQ838" s="8"/>
      <c r="AR838" s="8"/>
      <c r="AS838" s="8"/>
      <c r="AT838" s="8"/>
      <c r="AU838" s="8"/>
      <c r="AV838" s="8"/>
      <c r="AW838" s="8"/>
      <c r="AX838" s="8"/>
      <c r="AY838" s="8"/>
      <c r="AZ838" s="8"/>
      <c r="BA838" s="8"/>
      <c r="BB838" s="8"/>
      <c r="BC838" s="8"/>
      <c r="BD838" s="8"/>
      <c r="BE838" s="8"/>
      <c r="BF838" s="8"/>
      <c r="BG838" s="8"/>
      <c r="BH838" s="8"/>
      <c r="BI838" s="8"/>
    </row>
    <row r="839" spans="1:61" ht="11.25" customHeight="1" x14ac:dyDescent="0.2">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c r="AT839" s="8"/>
      <c r="AU839" s="8"/>
      <c r="AV839" s="8"/>
      <c r="AW839" s="8"/>
      <c r="AX839" s="8"/>
      <c r="AY839" s="8"/>
      <c r="AZ839" s="8"/>
      <c r="BA839" s="8"/>
      <c r="BB839" s="8"/>
      <c r="BC839" s="8"/>
      <c r="BD839" s="8"/>
      <c r="BE839" s="8"/>
      <c r="BF839" s="8"/>
      <c r="BG839" s="8"/>
      <c r="BH839" s="8"/>
      <c r="BI839" s="8"/>
    </row>
    <row r="840" spans="1:61" ht="11.25" customHeight="1" x14ac:dyDescent="0.2">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c r="AK840" s="8"/>
      <c r="AL840" s="8"/>
      <c r="AM840" s="8"/>
      <c r="AN840" s="8"/>
      <c r="AO840" s="8"/>
      <c r="AP840" s="8"/>
      <c r="AQ840" s="8"/>
      <c r="AR840" s="8"/>
      <c r="AS840" s="8"/>
      <c r="AT840" s="8"/>
      <c r="AU840" s="8"/>
      <c r="AV840" s="8"/>
      <c r="AW840" s="8"/>
      <c r="AX840" s="8"/>
      <c r="AY840" s="8"/>
      <c r="AZ840" s="8"/>
      <c r="BA840" s="8"/>
      <c r="BB840" s="8"/>
      <c r="BC840" s="8"/>
      <c r="BD840" s="8"/>
      <c r="BE840" s="8"/>
      <c r="BF840" s="8"/>
      <c r="BG840" s="8"/>
      <c r="BH840" s="8"/>
      <c r="BI840" s="8"/>
    </row>
    <row r="841" spans="1:61" ht="11.25" customHeight="1" x14ac:dyDescent="0.2">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c r="AK841" s="8"/>
      <c r="AL841" s="8"/>
      <c r="AM841" s="8"/>
      <c r="AN841" s="8"/>
      <c r="AO841" s="8"/>
      <c r="AP841" s="8"/>
      <c r="AQ841" s="8"/>
      <c r="AR841" s="8"/>
      <c r="AS841" s="8"/>
      <c r="AT841" s="8"/>
      <c r="AU841" s="8"/>
      <c r="AV841" s="8"/>
      <c r="AW841" s="8"/>
      <c r="AX841" s="8"/>
      <c r="AY841" s="8"/>
      <c r="AZ841" s="8"/>
      <c r="BA841" s="8"/>
      <c r="BB841" s="8"/>
      <c r="BC841" s="8"/>
      <c r="BD841" s="8"/>
      <c r="BE841" s="8"/>
      <c r="BF841" s="8"/>
      <c r="BG841" s="8"/>
      <c r="BH841" s="8"/>
      <c r="BI841" s="8"/>
    </row>
    <row r="842" spans="1:61" ht="11.25" customHeight="1" x14ac:dyDescent="0.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c r="AM842" s="8"/>
      <c r="AN842" s="8"/>
      <c r="AO842" s="8"/>
      <c r="AP842" s="8"/>
      <c r="AQ842" s="8"/>
      <c r="AR842" s="8"/>
      <c r="AS842" s="8"/>
      <c r="AT842" s="8"/>
      <c r="AU842" s="8"/>
      <c r="AV842" s="8"/>
      <c r="AW842" s="8"/>
      <c r="AX842" s="8"/>
      <c r="AY842" s="8"/>
      <c r="AZ842" s="8"/>
      <c r="BA842" s="8"/>
      <c r="BB842" s="8"/>
      <c r="BC842" s="8"/>
      <c r="BD842" s="8"/>
      <c r="BE842" s="8"/>
      <c r="BF842" s="8"/>
      <c r="BG842" s="8"/>
      <c r="BH842" s="8"/>
      <c r="BI842" s="8"/>
    </row>
    <row r="843" spans="1:61" ht="11.25" customHeight="1" x14ac:dyDescent="0.2">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c r="AK843" s="8"/>
      <c r="AL843" s="8"/>
      <c r="AM843" s="8"/>
      <c r="AN843" s="8"/>
      <c r="AO843" s="8"/>
      <c r="AP843" s="8"/>
      <c r="AQ843" s="8"/>
      <c r="AR843" s="8"/>
      <c r="AS843" s="8"/>
      <c r="AT843" s="8"/>
      <c r="AU843" s="8"/>
      <c r="AV843" s="8"/>
      <c r="AW843" s="8"/>
      <c r="AX843" s="8"/>
      <c r="AY843" s="8"/>
      <c r="AZ843" s="8"/>
      <c r="BA843" s="8"/>
      <c r="BB843" s="8"/>
      <c r="BC843" s="8"/>
      <c r="BD843" s="8"/>
      <c r="BE843" s="8"/>
      <c r="BF843" s="8"/>
      <c r="BG843" s="8"/>
      <c r="BH843" s="8"/>
      <c r="BI843" s="8"/>
    </row>
    <row r="844" spans="1:61" ht="11.25" customHeight="1" x14ac:dyDescent="0.2">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c r="AK844" s="8"/>
      <c r="AL844" s="8"/>
      <c r="AM844" s="8"/>
      <c r="AN844" s="8"/>
      <c r="AO844" s="8"/>
      <c r="AP844" s="8"/>
      <c r="AQ844" s="8"/>
      <c r="AR844" s="8"/>
      <c r="AS844" s="8"/>
      <c r="AT844" s="8"/>
      <c r="AU844" s="8"/>
      <c r="AV844" s="8"/>
      <c r="AW844" s="8"/>
      <c r="AX844" s="8"/>
      <c r="AY844" s="8"/>
      <c r="AZ844" s="8"/>
      <c r="BA844" s="8"/>
      <c r="BB844" s="8"/>
      <c r="BC844" s="8"/>
      <c r="BD844" s="8"/>
      <c r="BE844" s="8"/>
      <c r="BF844" s="8"/>
      <c r="BG844" s="8"/>
      <c r="BH844" s="8"/>
      <c r="BI844" s="8"/>
    </row>
    <row r="845" spans="1:61" ht="11.25" customHeight="1" x14ac:dyDescent="0.2">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c r="AK845" s="8"/>
      <c r="AL845" s="8"/>
      <c r="AM845" s="8"/>
      <c r="AN845" s="8"/>
      <c r="AO845" s="8"/>
      <c r="AP845" s="8"/>
      <c r="AQ845" s="8"/>
      <c r="AR845" s="8"/>
      <c r="AS845" s="8"/>
      <c r="AT845" s="8"/>
      <c r="AU845" s="8"/>
      <c r="AV845" s="8"/>
      <c r="AW845" s="8"/>
      <c r="AX845" s="8"/>
      <c r="AY845" s="8"/>
      <c r="AZ845" s="8"/>
      <c r="BA845" s="8"/>
      <c r="BB845" s="8"/>
      <c r="BC845" s="8"/>
      <c r="BD845" s="8"/>
      <c r="BE845" s="8"/>
      <c r="BF845" s="8"/>
      <c r="BG845" s="8"/>
      <c r="BH845" s="8"/>
      <c r="BI845" s="8"/>
    </row>
    <row r="846" spans="1:61" ht="11.25" customHeight="1" x14ac:dyDescent="0.2">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c r="AK846" s="8"/>
      <c r="AL846" s="8"/>
      <c r="AM846" s="8"/>
      <c r="AN846" s="8"/>
      <c r="AO846" s="8"/>
      <c r="AP846" s="8"/>
      <c r="AQ846" s="8"/>
      <c r="AR846" s="8"/>
      <c r="AS846" s="8"/>
      <c r="AT846" s="8"/>
      <c r="AU846" s="8"/>
      <c r="AV846" s="8"/>
      <c r="AW846" s="8"/>
      <c r="AX846" s="8"/>
      <c r="AY846" s="8"/>
      <c r="AZ846" s="8"/>
      <c r="BA846" s="8"/>
      <c r="BB846" s="8"/>
      <c r="BC846" s="8"/>
      <c r="BD846" s="8"/>
      <c r="BE846" s="8"/>
      <c r="BF846" s="8"/>
      <c r="BG846" s="8"/>
      <c r="BH846" s="8"/>
      <c r="BI846" s="8"/>
    </row>
    <row r="847" spans="1:61" ht="11.25" customHeight="1" x14ac:dyDescent="0.2">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c r="AK847" s="8"/>
      <c r="AL847" s="8"/>
      <c r="AM847" s="8"/>
      <c r="AN847" s="8"/>
      <c r="AO847" s="8"/>
      <c r="AP847" s="8"/>
      <c r="AQ847" s="8"/>
      <c r="AR847" s="8"/>
      <c r="AS847" s="8"/>
      <c r="AT847" s="8"/>
      <c r="AU847" s="8"/>
      <c r="AV847" s="8"/>
      <c r="AW847" s="8"/>
      <c r="AX847" s="8"/>
      <c r="AY847" s="8"/>
      <c r="AZ847" s="8"/>
      <c r="BA847" s="8"/>
      <c r="BB847" s="8"/>
      <c r="BC847" s="8"/>
      <c r="BD847" s="8"/>
      <c r="BE847" s="8"/>
      <c r="BF847" s="8"/>
      <c r="BG847" s="8"/>
      <c r="BH847" s="8"/>
      <c r="BI847" s="8"/>
    </row>
    <row r="848" spans="1:61" ht="11.25" customHeight="1" x14ac:dyDescent="0.2">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c r="AK848" s="8"/>
      <c r="AL848" s="8"/>
      <c r="AM848" s="8"/>
      <c r="AN848" s="8"/>
      <c r="AO848" s="8"/>
      <c r="AP848" s="8"/>
      <c r="AQ848" s="8"/>
      <c r="AR848" s="8"/>
      <c r="AS848" s="8"/>
      <c r="AT848" s="8"/>
      <c r="AU848" s="8"/>
      <c r="AV848" s="8"/>
      <c r="AW848" s="8"/>
      <c r="AX848" s="8"/>
      <c r="AY848" s="8"/>
      <c r="AZ848" s="8"/>
      <c r="BA848" s="8"/>
      <c r="BB848" s="8"/>
      <c r="BC848" s="8"/>
      <c r="BD848" s="8"/>
      <c r="BE848" s="8"/>
      <c r="BF848" s="8"/>
      <c r="BG848" s="8"/>
      <c r="BH848" s="8"/>
      <c r="BI848" s="8"/>
    </row>
    <row r="849" spans="1:61" ht="11.25" customHeight="1" x14ac:dyDescent="0.2">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c r="AK849" s="8"/>
      <c r="AL849" s="8"/>
      <c r="AM849" s="8"/>
      <c r="AN849" s="8"/>
      <c r="AO849" s="8"/>
      <c r="AP849" s="8"/>
      <c r="AQ849" s="8"/>
      <c r="AR849" s="8"/>
      <c r="AS849" s="8"/>
      <c r="AT849" s="8"/>
      <c r="AU849" s="8"/>
      <c r="AV849" s="8"/>
      <c r="AW849" s="8"/>
      <c r="AX849" s="8"/>
      <c r="AY849" s="8"/>
      <c r="AZ849" s="8"/>
      <c r="BA849" s="8"/>
      <c r="BB849" s="8"/>
      <c r="BC849" s="8"/>
      <c r="BD849" s="8"/>
      <c r="BE849" s="8"/>
      <c r="BF849" s="8"/>
      <c r="BG849" s="8"/>
      <c r="BH849" s="8"/>
      <c r="BI849" s="8"/>
    </row>
    <row r="850" spans="1:61" ht="11.25" customHeight="1" x14ac:dyDescent="0.2">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c r="AK850" s="8"/>
      <c r="AL850" s="8"/>
      <c r="AM850" s="8"/>
      <c r="AN850" s="8"/>
      <c r="AO850" s="8"/>
      <c r="AP850" s="8"/>
      <c r="AQ850" s="8"/>
      <c r="AR850" s="8"/>
      <c r="AS850" s="8"/>
      <c r="AT850" s="8"/>
      <c r="AU850" s="8"/>
      <c r="AV850" s="8"/>
      <c r="AW850" s="8"/>
      <c r="AX850" s="8"/>
      <c r="AY850" s="8"/>
      <c r="AZ850" s="8"/>
      <c r="BA850" s="8"/>
      <c r="BB850" s="8"/>
      <c r="BC850" s="8"/>
      <c r="BD850" s="8"/>
      <c r="BE850" s="8"/>
      <c r="BF850" s="8"/>
      <c r="BG850" s="8"/>
      <c r="BH850" s="8"/>
      <c r="BI850" s="8"/>
    </row>
    <row r="851" spans="1:61" ht="11.25" customHeight="1" x14ac:dyDescent="0.2">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c r="AK851" s="8"/>
      <c r="AL851" s="8"/>
      <c r="AM851" s="8"/>
      <c r="AN851" s="8"/>
      <c r="AO851" s="8"/>
      <c r="AP851" s="8"/>
      <c r="AQ851" s="8"/>
      <c r="AR851" s="8"/>
      <c r="AS851" s="8"/>
      <c r="AT851" s="8"/>
      <c r="AU851" s="8"/>
      <c r="AV851" s="8"/>
      <c r="AW851" s="8"/>
      <c r="AX851" s="8"/>
      <c r="AY851" s="8"/>
      <c r="AZ851" s="8"/>
      <c r="BA851" s="8"/>
      <c r="BB851" s="8"/>
      <c r="BC851" s="8"/>
      <c r="BD851" s="8"/>
      <c r="BE851" s="8"/>
      <c r="BF851" s="8"/>
      <c r="BG851" s="8"/>
      <c r="BH851" s="8"/>
      <c r="BI851" s="8"/>
    </row>
    <row r="852" spans="1:61" ht="11.25" customHeight="1" x14ac:dyDescent="0.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c r="AK852" s="8"/>
      <c r="AL852" s="8"/>
      <c r="AM852" s="8"/>
      <c r="AN852" s="8"/>
      <c r="AO852" s="8"/>
      <c r="AP852" s="8"/>
      <c r="AQ852" s="8"/>
      <c r="AR852" s="8"/>
      <c r="AS852" s="8"/>
      <c r="AT852" s="8"/>
      <c r="AU852" s="8"/>
      <c r="AV852" s="8"/>
      <c r="AW852" s="8"/>
      <c r="AX852" s="8"/>
      <c r="AY852" s="8"/>
      <c r="AZ852" s="8"/>
      <c r="BA852" s="8"/>
      <c r="BB852" s="8"/>
      <c r="BC852" s="8"/>
      <c r="BD852" s="8"/>
      <c r="BE852" s="8"/>
      <c r="BF852" s="8"/>
      <c r="BG852" s="8"/>
      <c r="BH852" s="8"/>
      <c r="BI852" s="8"/>
    </row>
    <row r="853" spans="1:61" ht="11.25" customHeight="1" x14ac:dyDescent="0.2">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row>
    <row r="854" spans="1:61" ht="11.25" customHeight="1" x14ac:dyDescent="0.2">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c r="AK854" s="8"/>
      <c r="AL854" s="8"/>
      <c r="AM854" s="8"/>
      <c r="AN854" s="8"/>
      <c r="AO854" s="8"/>
      <c r="AP854" s="8"/>
      <c r="AQ854" s="8"/>
      <c r="AR854" s="8"/>
      <c r="AS854" s="8"/>
      <c r="AT854" s="8"/>
      <c r="AU854" s="8"/>
      <c r="AV854" s="8"/>
      <c r="AW854" s="8"/>
      <c r="AX854" s="8"/>
      <c r="AY854" s="8"/>
      <c r="AZ854" s="8"/>
      <c r="BA854" s="8"/>
      <c r="BB854" s="8"/>
      <c r="BC854" s="8"/>
      <c r="BD854" s="8"/>
      <c r="BE854" s="8"/>
      <c r="BF854" s="8"/>
      <c r="BG854" s="8"/>
      <c r="BH854" s="8"/>
      <c r="BI854" s="8"/>
    </row>
    <row r="855" spans="1:61" ht="11.25" customHeight="1" x14ac:dyDescent="0.2">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c r="AT855" s="8"/>
      <c r="AU855" s="8"/>
      <c r="AV855" s="8"/>
      <c r="AW855" s="8"/>
      <c r="AX855" s="8"/>
      <c r="AY855" s="8"/>
      <c r="AZ855" s="8"/>
      <c r="BA855" s="8"/>
      <c r="BB855" s="8"/>
      <c r="BC855" s="8"/>
      <c r="BD855" s="8"/>
      <c r="BE855" s="8"/>
      <c r="BF855" s="8"/>
      <c r="BG855" s="8"/>
      <c r="BH855" s="8"/>
      <c r="BI855" s="8"/>
    </row>
    <row r="856" spans="1:61" ht="11.25" customHeight="1" x14ac:dyDescent="0.2">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c r="AK856" s="8"/>
      <c r="AL856" s="8"/>
      <c r="AM856" s="8"/>
      <c r="AN856" s="8"/>
      <c r="AO856" s="8"/>
      <c r="AP856" s="8"/>
      <c r="AQ856" s="8"/>
      <c r="AR856" s="8"/>
      <c r="AS856" s="8"/>
      <c r="AT856" s="8"/>
      <c r="AU856" s="8"/>
      <c r="AV856" s="8"/>
      <c r="AW856" s="8"/>
      <c r="AX856" s="8"/>
      <c r="AY856" s="8"/>
      <c r="AZ856" s="8"/>
      <c r="BA856" s="8"/>
      <c r="BB856" s="8"/>
      <c r="BC856" s="8"/>
      <c r="BD856" s="8"/>
      <c r="BE856" s="8"/>
      <c r="BF856" s="8"/>
      <c r="BG856" s="8"/>
      <c r="BH856" s="8"/>
      <c r="BI856" s="8"/>
    </row>
    <row r="857" spans="1:61" ht="11.25" customHeight="1" x14ac:dyDescent="0.2">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c r="AK857" s="8"/>
      <c r="AL857" s="8"/>
      <c r="AM857" s="8"/>
      <c r="AN857" s="8"/>
      <c r="AO857" s="8"/>
      <c r="AP857" s="8"/>
      <c r="AQ857" s="8"/>
      <c r="AR857" s="8"/>
      <c r="AS857" s="8"/>
      <c r="AT857" s="8"/>
      <c r="AU857" s="8"/>
      <c r="AV857" s="8"/>
      <c r="AW857" s="8"/>
      <c r="AX857" s="8"/>
      <c r="AY857" s="8"/>
      <c r="AZ857" s="8"/>
      <c r="BA857" s="8"/>
      <c r="BB857" s="8"/>
      <c r="BC857" s="8"/>
      <c r="BD857" s="8"/>
      <c r="BE857" s="8"/>
      <c r="BF857" s="8"/>
      <c r="BG857" s="8"/>
      <c r="BH857" s="8"/>
      <c r="BI857" s="8"/>
    </row>
    <row r="858" spans="1:61" ht="11.25" customHeight="1" x14ac:dyDescent="0.2">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c r="AK858" s="8"/>
      <c r="AL858" s="8"/>
      <c r="AM858" s="8"/>
      <c r="AN858" s="8"/>
      <c r="AO858" s="8"/>
      <c r="AP858" s="8"/>
      <c r="AQ858" s="8"/>
      <c r="AR858" s="8"/>
      <c r="AS858" s="8"/>
      <c r="AT858" s="8"/>
      <c r="AU858" s="8"/>
      <c r="AV858" s="8"/>
      <c r="AW858" s="8"/>
      <c r="AX858" s="8"/>
      <c r="AY858" s="8"/>
      <c r="AZ858" s="8"/>
      <c r="BA858" s="8"/>
      <c r="BB858" s="8"/>
      <c r="BC858" s="8"/>
      <c r="BD858" s="8"/>
      <c r="BE858" s="8"/>
      <c r="BF858" s="8"/>
      <c r="BG858" s="8"/>
      <c r="BH858" s="8"/>
      <c r="BI858" s="8"/>
    </row>
    <row r="859" spans="1:61" ht="11.25" customHeight="1" x14ac:dyDescent="0.2">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8"/>
      <c r="AW859" s="8"/>
      <c r="AX859" s="8"/>
      <c r="AY859" s="8"/>
      <c r="AZ859" s="8"/>
      <c r="BA859" s="8"/>
      <c r="BB859" s="8"/>
      <c r="BC859" s="8"/>
      <c r="BD859" s="8"/>
      <c r="BE859" s="8"/>
      <c r="BF859" s="8"/>
      <c r="BG859" s="8"/>
      <c r="BH859" s="8"/>
      <c r="BI859" s="8"/>
    </row>
    <row r="860" spans="1:61" ht="11.25" customHeight="1" x14ac:dyDescent="0.2">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c r="AK860" s="8"/>
      <c r="AL860" s="8"/>
      <c r="AM860" s="8"/>
      <c r="AN860" s="8"/>
      <c r="AO860" s="8"/>
      <c r="AP860" s="8"/>
      <c r="AQ860" s="8"/>
      <c r="AR860" s="8"/>
      <c r="AS860" s="8"/>
      <c r="AT860" s="8"/>
      <c r="AU860" s="8"/>
      <c r="AV860" s="8"/>
      <c r="AW860" s="8"/>
      <c r="AX860" s="8"/>
      <c r="AY860" s="8"/>
      <c r="AZ860" s="8"/>
      <c r="BA860" s="8"/>
      <c r="BB860" s="8"/>
      <c r="BC860" s="8"/>
      <c r="BD860" s="8"/>
      <c r="BE860" s="8"/>
      <c r="BF860" s="8"/>
      <c r="BG860" s="8"/>
      <c r="BH860" s="8"/>
      <c r="BI860" s="8"/>
    </row>
    <row r="861" spans="1:61" ht="11.25" customHeight="1" x14ac:dyDescent="0.2">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c r="AK861" s="8"/>
      <c r="AL861" s="8"/>
      <c r="AM861" s="8"/>
      <c r="AN861" s="8"/>
      <c r="AO861" s="8"/>
      <c r="AP861" s="8"/>
      <c r="AQ861" s="8"/>
      <c r="AR861" s="8"/>
      <c r="AS861" s="8"/>
      <c r="AT861" s="8"/>
      <c r="AU861" s="8"/>
      <c r="AV861" s="8"/>
      <c r="AW861" s="8"/>
      <c r="AX861" s="8"/>
      <c r="AY861" s="8"/>
      <c r="AZ861" s="8"/>
      <c r="BA861" s="8"/>
      <c r="BB861" s="8"/>
      <c r="BC861" s="8"/>
      <c r="BD861" s="8"/>
      <c r="BE861" s="8"/>
      <c r="BF861" s="8"/>
      <c r="BG861" s="8"/>
      <c r="BH861" s="8"/>
      <c r="BI861" s="8"/>
    </row>
    <row r="862" spans="1:61" ht="11.25" customHeight="1" x14ac:dyDescent="0.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c r="AK862" s="8"/>
      <c r="AL862" s="8"/>
      <c r="AM862" s="8"/>
      <c r="AN862" s="8"/>
      <c r="AO862" s="8"/>
      <c r="AP862" s="8"/>
      <c r="AQ862" s="8"/>
      <c r="AR862" s="8"/>
      <c r="AS862" s="8"/>
      <c r="AT862" s="8"/>
      <c r="AU862" s="8"/>
      <c r="AV862" s="8"/>
      <c r="AW862" s="8"/>
      <c r="AX862" s="8"/>
      <c r="AY862" s="8"/>
      <c r="AZ862" s="8"/>
      <c r="BA862" s="8"/>
      <c r="BB862" s="8"/>
      <c r="BC862" s="8"/>
      <c r="BD862" s="8"/>
      <c r="BE862" s="8"/>
      <c r="BF862" s="8"/>
      <c r="BG862" s="8"/>
      <c r="BH862" s="8"/>
      <c r="BI862" s="8"/>
    </row>
    <row r="863" spans="1:61" ht="11.25" customHeight="1" x14ac:dyDescent="0.2">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c r="AK863" s="8"/>
      <c r="AL863" s="8"/>
      <c r="AM863" s="8"/>
      <c r="AN863" s="8"/>
      <c r="AO863" s="8"/>
      <c r="AP863" s="8"/>
      <c r="AQ863" s="8"/>
      <c r="AR863" s="8"/>
      <c r="AS863" s="8"/>
      <c r="AT863" s="8"/>
      <c r="AU863" s="8"/>
      <c r="AV863" s="8"/>
      <c r="AW863" s="8"/>
      <c r="AX863" s="8"/>
      <c r="AY863" s="8"/>
      <c r="AZ863" s="8"/>
      <c r="BA863" s="8"/>
      <c r="BB863" s="8"/>
      <c r="BC863" s="8"/>
      <c r="BD863" s="8"/>
      <c r="BE863" s="8"/>
      <c r="BF863" s="8"/>
      <c r="BG863" s="8"/>
      <c r="BH863" s="8"/>
      <c r="BI863" s="8"/>
    </row>
    <row r="864" spans="1:61" ht="11.25" customHeight="1" x14ac:dyDescent="0.2">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c r="AK864" s="8"/>
      <c r="AL864" s="8"/>
      <c r="AM864" s="8"/>
      <c r="AN864" s="8"/>
      <c r="AO864" s="8"/>
      <c r="AP864" s="8"/>
      <c r="AQ864" s="8"/>
      <c r="AR864" s="8"/>
      <c r="AS864" s="8"/>
      <c r="AT864" s="8"/>
      <c r="AU864" s="8"/>
      <c r="AV864" s="8"/>
      <c r="AW864" s="8"/>
      <c r="AX864" s="8"/>
      <c r="AY864" s="8"/>
      <c r="AZ864" s="8"/>
      <c r="BA864" s="8"/>
      <c r="BB864" s="8"/>
      <c r="BC864" s="8"/>
      <c r="BD864" s="8"/>
      <c r="BE864" s="8"/>
      <c r="BF864" s="8"/>
      <c r="BG864" s="8"/>
      <c r="BH864" s="8"/>
      <c r="BI864" s="8"/>
    </row>
    <row r="865" spans="1:61" ht="11.25" customHeight="1" x14ac:dyDescent="0.2">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c r="AK865" s="8"/>
      <c r="AL865" s="8"/>
      <c r="AM865" s="8"/>
      <c r="AN865" s="8"/>
      <c r="AO865" s="8"/>
      <c r="AP865" s="8"/>
      <c r="AQ865" s="8"/>
      <c r="AR865" s="8"/>
      <c r="AS865" s="8"/>
      <c r="AT865" s="8"/>
      <c r="AU865" s="8"/>
      <c r="AV865" s="8"/>
      <c r="AW865" s="8"/>
      <c r="AX865" s="8"/>
      <c r="AY865" s="8"/>
      <c r="AZ865" s="8"/>
      <c r="BA865" s="8"/>
      <c r="BB865" s="8"/>
      <c r="BC865" s="8"/>
      <c r="BD865" s="8"/>
      <c r="BE865" s="8"/>
      <c r="BF865" s="8"/>
      <c r="BG865" s="8"/>
      <c r="BH865" s="8"/>
      <c r="BI865" s="8"/>
    </row>
    <row r="866" spans="1:61" ht="11.25" customHeight="1" x14ac:dyDescent="0.2">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c r="AK866" s="8"/>
      <c r="AL866" s="8"/>
      <c r="AM866" s="8"/>
      <c r="AN866" s="8"/>
      <c r="AO866" s="8"/>
      <c r="AP866" s="8"/>
      <c r="AQ866" s="8"/>
      <c r="AR866" s="8"/>
      <c r="AS866" s="8"/>
      <c r="AT866" s="8"/>
      <c r="AU866" s="8"/>
      <c r="AV866" s="8"/>
      <c r="AW866" s="8"/>
      <c r="AX866" s="8"/>
      <c r="AY866" s="8"/>
      <c r="AZ866" s="8"/>
      <c r="BA866" s="8"/>
      <c r="BB866" s="8"/>
      <c r="BC866" s="8"/>
      <c r="BD866" s="8"/>
      <c r="BE866" s="8"/>
      <c r="BF866" s="8"/>
      <c r="BG866" s="8"/>
      <c r="BH866" s="8"/>
      <c r="BI866" s="8"/>
    </row>
    <row r="867" spans="1:61" ht="11.25" customHeight="1" x14ac:dyDescent="0.2">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c r="AK867" s="8"/>
      <c r="AL867" s="8"/>
      <c r="AM867" s="8"/>
      <c r="AN867" s="8"/>
      <c r="AO867" s="8"/>
      <c r="AP867" s="8"/>
      <c r="AQ867" s="8"/>
      <c r="AR867" s="8"/>
      <c r="AS867" s="8"/>
      <c r="AT867" s="8"/>
      <c r="AU867" s="8"/>
      <c r="AV867" s="8"/>
      <c r="AW867" s="8"/>
      <c r="AX867" s="8"/>
      <c r="AY867" s="8"/>
      <c r="AZ867" s="8"/>
      <c r="BA867" s="8"/>
      <c r="BB867" s="8"/>
      <c r="BC867" s="8"/>
      <c r="BD867" s="8"/>
      <c r="BE867" s="8"/>
      <c r="BF867" s="8"/>
      <c r="BG867" s="8"/>
      <c r="BH867" s="8"/>
      <c r="BI867" s="8"/>
    </row>
    <row r="868" spans="1:61" ht="11.25" customHeight="1" x14ac:dyDescent="0.2">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c r="AK868" s="8"/>
      <c r="AL868" s="8"/>
      <c r="AM868" s="8"/>
      <c r="AN868" s="8"/>
      <c r="AO868" s="8"/>
      <c r="AP868" s="8"/>
      <c r="AQ868" s="8"/>
      <c r="AR868" s="8"/>
      <c r="AS868" s="8"/>
      <c r="AT868" s="8"/>
      <c r="AU868" s="8"/>
      <c r="AV868" s="8"/>
      <c r="AW868" s="8"/>
      <c r="AX868" s="8"/>
      <c r="AY868" s="8"/>
      <c r="AZ868" s="8"/>
      <c r="BA868" s="8"/>
      <c r="BB868" s="8"/>
      <c r="BC868" s="8"/>
      <c r="BD868" s="8"/>
      <c r="BE868" s="8"/>
      <c r="BF868" s="8"/>
      <c r="BG868" s="8"/>
      <c r="BH868" s="8"/>
      <c r="BI868" s="8"/>
    </row>
    <row r="869" spans="1:61" ht="11.25" customHeight="1" x14ac:dyDescent="0.2">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c r="AK869" s="8"/>
      <c r="AL869" s="8"/>
      <c r="AM869" s="8"/>
      <c r="AN869" s="8"/>
      <c r="AO869" s="8"/>
      <c r="AP869" s="8"/>
      <c r="AQ869" s="8"/>
      <c r="AR869" s="8"/>
      <c r="AS869" s="8"/>
      <c r="AT869" s="8"/>
      <c r="AU869" s="8"/>
      <c r="AV869" s="8"/>
      <c r="AW869" s="8"/>
      <c r="AX869" s="8"/>
      <c r="AY869" s="8"/>
      <c r="AZ869" s="8"/>
      <c r="BA869" s="8"/>
      <c r="BB869" s="8"/>
      <c r="BC869" s="8"/>
      <c r="BD869" s="8"/>
      <c r="BE869" s="8"/>
      <c r="BF869" s="8"/>
      <c r="BG869" s="8"/>
      <c r="BH869" s="8"/>
      <c r="BI869" s="8"/>
    </row>
    <row r="870" spans="1:61" ht="11.25" customHeight="1" x14ac:dyDescent="0.2">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c r="AK870" s="8"/>
      <c r="AL870" s="8"/>
      <c r="AM870" s="8"/>
      <c r="AN870" s="8"/>
      <c r="AO870" s="8"/>
      <c r="AP870" s="8"/>
      <c r="AQ870" s="8"/>
      <c r="AR870" s="8"/>
      <c r="AS870" s="8"/>
      <c r="AT870" s="8"/>
      <c r="AU870" s="8"/>
      <c r="AV870" s="8"/>
      <c r="AW870" s="8"/>
      <c r="AX870" s="8"/>
      <c r="AY870" s="8"/>
      <c r="AZ870" s="8"/>
      <c r="BA870" s="8"/>
      <c r="BB870" s="8"/>
      <c r="BC870" s="8"/>
      <c r="BD870" s="8"/>
      <c r="BE870" s="8"/>
      <c r="BF870" s="8"/>
      <c r="BG870" s="8"/>
      <c r="BH870" s="8"/>
      <c r="BI870" s="8"/>
    </row>
    <row r="871" spans="1:61" ht="11.25" customHeight="1" x14ac:dyDescent="0.2">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c r="AK871" s="8"/>
      <c r="AL871" s="8"/>
      <c r="AM871" s="8"/>
      <c r="AN871" s="8"/>
      <c r="AO871" s="8"/>
      <c r="AP871" s="8"/>
      <c r="AQ871" s="8"/>
      <c r="AR871" s="8"/>
      <c r="AS871" s="8"/>
      <c r="AT871" s="8"/>
      <c r="AU871" s="8"/>
      <c r="AV871" s="8"/>
      <c r="AW871" s="8"/>
      <c r="AX871" s="8"/>
      <c r="AY871" s="8"/>
      <c r="AZ871" s="8"/>
      <c r="BA871" s="8"/>
      <c r="BB871" s="8"/>
      <c r="BC871" s="8"/>
      <c r="BD871" s="8"/>
      <c r="BE871" s="8"/>
      <c r="BF871" s="8"/>
      <c r="BG871" s="8"/>
      <c r="BH871" s="8"/>
      <c r="BI871" s="8"/>
    </row>
    <row r="872" spans="1:61" ht="11.25" customHeight="1" x14ac:dyDescent="0.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c r="AK872" s="8"/>
      <c r="AL872" s="8"/>
      <c r="AM872" s="8"/>
      <c r="AN872" s="8"/>
      <c r="AO872" s="8"/>
      <c r="AP872" s="8"/>
      <c r="AQ872" s="8"/>
      <c r="AR872" s="8"/>
      <c r="AS872" s="8"/>
      <c r="AT872" s="8"/>
      <c r="AU872" s="8"/>
      <c r="AV872" s="8"/>
      <c r="AW872" s="8"/>
      <c r="AX872" s="8"/>
      <c r="AY872" s="8"/>
      <c r="AZ872" s="8"/>
      <c r="BA872" s="8"/>
      <c r="BB872" s="8"/>
      <c r="BC872" s="8"/>
      <c r="BD872" s="8"/>
      <c r="BE872" s="8"/>
      <c r="BF872" s="8"/>
      <c r="BG872" s="8"/>
      <c r="BH872" s="8"/>
      <c r="BI872" s="8"/>
    </row>
    <row r="873" spans="1:61" ht="11.25" customHeight="1" x14ac:dyDescent="0.2">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c r="AK873" s="8"/>
      <c r="AL873" s="8"/>
      <c r="AM873" s="8"/>
      <c r="AN873" s="8"/>
      <c r="AO873" s="8"/>
      <c r="AP873" s="8"/>
      <c r="AQ873" s="8"/>
      <c r="AR873" s="8"/>
      <c r="AS873" s="8"/>
      <c r="AT873" s="8"/>
      <c r="AU873" s="8"/>
      <c r="AV873" s="8"/>
      <c r="AW873" s="8"/>
      <c r="AX873" s="8"/>
      <c r="AY873" s="8"/>
      <c r="AZ873" s="8"/>
      <c r="BA873" s="8"/>
      <c r="BB873" s="8"/>
      <c r="BC873" s="8"/>
      <c r="BD873" s="8"/>
      <c r="BE873" s="8"/>
      <c r="BF873" s="8"/>
      <c r="BG873" s="8"/>
      <c r="BH873" s="8"/>
      <c r="BI873" s="8"/>
    </row>
    <row r="874" spans="1:61" ht="11.25" customHeight="1" x14ac:dyDescent="0.2">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c r="AK874" s="8"/>
      <c r="AL874" s="8"/>
      <c r="AM874" s="8"/>
      <c r="AN874" s="8"/>
      <c r="AO874" s="8"/>
      <c r="AP874" s="8"/>
      <c r="AQ874" s="8"/>
      <c r="AR874" s="8"/>
      <c r="AS874" s="8"/>
      <c r="AT874" s="8"/>
      <c r="AU874" s="8"/>
      <c r="AV874" s="8"/>
      <c r="AW874" s="8"/>
      <c r="AX874" s="8"/>
      <c r="AY874" s="8"/>
      <c r="AZ874" s="8"/>
      <c r="BA874" s="8"/>
      <c r="BB874" s="8"/>
      <c r="BC874" s="8"/>
      <c r="BD874" s="8"/>
      <c r="BE874" s="8"/>
      <c r="BF874" s="8"/>
      <c r="BG874" s="8"/>
      <c r="BH874" s="8"/>
      <c r="BI874" s="8"/>
    </row>
    <row r="875" spans="1:61" ht="11.25" customHeight="1" x14ac:dyDescent="0.2">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c r="AK875" s="8"/>
      <c r="AL875" s="8"/>
      <c r="AM875" s="8"/>
      <c r="AN875" s="8"/>
      <c r="AO875" s="8"/>
      <c r="AP875" s="8"/>
      <c r="AQ875" s="8"/>
      <c r="AR875" s="8"/>
      <c r="AS875" s="8"/>
      <c r="AT875" s="8"/>
      <c r="AU875" s="8"/>
      <c r="AV875" s="8"/>
      <c r="AW875" s="8"/>
      <c r="AX875" s="8"/>
      <c r="AY875" s="8"/>
      <c r="AZ875" s="8"/>
      <c r="BA875" s="8"/>
      <c r="BB875" s="8"/>
      <c r="BC875" s="8"/>
      <c r="BD875" s="8"/>
      <c r="BE875" s="8"/>
      <c r="BF875" s="8"/>
      <c r="BG875" s="8"/>
      <c r="BH875" s="8"/>
      <c r="BI875" s="8"/>
    </row>
    <row r="876" spans="1:61" ht="11.25" customHeight="1" x14ac:dyDescent="0.2">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c r="AK876" s="8"/>
      <c r="AL876" s="8"/>
      <c r="AM876" s="8"/>
      <c r="AN876" s="8"/>
      <c r="AO876" s="8"/>
      <c r="AP876" s="8"/>
      <c r="AQ876" s="8"/>
      <c r="AR876" s="8"/>
      <c r="AS876" s="8"/>
      <c r="AT876" s="8"/>
      <c r="AU876" s="8"/>
      <c r="AV876" s="8"/>
      <c r="AW876" s="8"/>
      <c r="AX876" s="8"/>
      <c r="AY876" s="8"/>
      <c r="AZ876" s="8"/>
      <c r="BA876" s="8"/>
      <c r="BB876" s="8"/>
      <c r="BC876" s="8"/>
      <c r="BD876" s="8"/>
      <c r="BE876" s="8"/>
      <c r="BF876" s="8"/>
      <c r="BG876" s="8"/>
      <c r="BH876" s="8"/>
      <c r="BI876" s="8"/>
    </row>
    <row r="877" spans="1:61" ht="11.25" customHeight="1" x14ac:dyDescent="0.2">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c r="AK877" s="8"/>
      <c r="AL877" s="8"/>
      <c r="AM877" s="8"/>
      <c r="AN877" s="8"/>
      <c r="AO877" s="8"/>
      <c r="AP877" s="8"/>
      <c r="AQ877" s="8"/>
      <c r="AR877" s="8"/>
      <c r="AS877" s="8"/>
      <c r="AT877" s="8"/>
      <c r="AU877" s="8"/>
      <c r="AV877" s="8"/>
      <c r="AW877" s="8"/>
      <c r="AX877" s="8"/>
      <c r="AY877" s="8"/>
      <c r="AZ877" s="8"/>
      <c r="BA877" s="8"/>
      <c r="BB877" s="8"/>
      <c r="BC877" s="8"/>
      <c r="BD877" s="8"/>
      <c r="BE877" s="8"/>
      <c r="BF877" s="8"/>
      <c r="BG877" s="8"/>
      <c r="BH877" s="8"/>
      <c r="BI877" s="8"/>
    </row>
    <row r="878" spans="1:61" ht="11.25" customHeight="1" x14ac:dyDescent="0.2">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c r="AK878" s="8"/>
      <c r="AL878" s="8"/>
      <c r="AM878" s="8"/>
      <c r="AN878" s="8"/>
      <c r="AO878" s="8"/>
      <c r="AP878" s="8"/>
      <c r="AQ878" s="8"/>
      <c r="AR878" s="8"/>
      <c r="AS878" s="8"/>
      <c r="AT878" s="8"/>
      <c r="AU878" s="8"/>
      <c r="AV878" s="8"/>
      <c r="AW878" s="8"/>
      <c r="AX878" s="8"/>
      <c r="AY878" s="8"/>
      <c r="AZ878" s="8"/>
      <c r="BA878" s="8"/>
      <c r="BB878" s="8"/>
      <c r="BC878" s="8"/>
      <c r="BD878" s="8"/>
      <c r="BE878" s="8"/>
      <c r="BF878" s="8"/>
      <c r="BG878" s="8"/>
      <c r="BH878" s="8"/>
      <c r="BI878" s="8"/>
    </row>
    <row r="879" spans="1:61" ht="11.25" customHeight="1" x14ac:dyDescent="0.2">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c r="AK879" s="8"/>
      <c r="AL879" s="8"/>
      <c r="AM879" s="8"/>
      <c r="AN879" s="8"/>
      <c r="AO879" s="8"/>
      <c r="AP879" s="8"/>
      <c r="AQ879" s="8"/>
      <c r="AR879" s="8"/>
      <c r="AS879" s="8"/>
      <c r="AT879" s="8"/>
      <c r="AU879" s="8"/>
      <c r="AV879" s="8"/>
      <c r="AW879" s="8"/>
      <c r="AX879" s="8"/>
      <c r="AY879" s="8"/>
      <c r="AZ879" s="8"/>
      <c r="BA879" s="8"/>
      <c r="BB879" s="8"/>
      <c r="BC879" s="8"/>
      <c r="BD879" s="8"/>
      <c r="BE879" s="8"/>
      <c r="BF879" s="8"/>
      <c r="BG879" s="8"/>
      <c r="BH879" s="8"/>
      <c r="BI879" s="8"/>
    </row>
    <row r="880" spans="1:61" ht="11.25" customHeight="1" x14ac:dyDescent="0.2">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c r="AM880" s="8"/>
      <c r="AN880" s="8"/>
      <c r="AO880" s="8"/>
      <c r="AP880" s="8"/>
      <c r="AQ880" s="8"/>
      <c r="AR880" s="8"/>
      <c r="AS880" s="8"/>
      <c r="AT880" s="8"/>
      <c r="AU880" s="8"/>
      <c r="AV880" s="8"/>
      <c r="AW880" s="8"/>
      <c r="AX880" s="8"/>
      <c r="AY880" s="8"/>
      <c r="AZ880" s="8"/>
      <c r="BA880" s="8"/>
      <c r="BB880" s="8"/>
      <c r="BC880" s="8"/>
      <c r="BD880" s="8"/>
      <c r="BE880" s="8"/>
      <c r="BF880" s="8"/>
      <c r="BG880" s="8"/>
      <c r="BH880" s="8"/>
      <c r="BI880" s="8"/>
    </row>
    <row r="881" spans="1:61" ht="11.25" customHeight="1" x14ac:dyDescent="0.2">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c r="AK881" s="8"/>
      <c r="AL881" s="8"/>
      <c r="AM881" s="8"/>
      <c r="AN881" s="8"/>
      <c r="AO881" s="8"/>
      <c r="AP881" s="8"/>
      <c r="AQ881" s="8"/>
      <c r="AR881" s="8"/>
      <c r="AS881" s="8"/>
      <c r="AT881" s="8"/>
      <c r="AU881" s="8"/>
      <c r="AV881" s="8"/>
      <c r="AW881" s="8"/>
      <c r="AX881" s="8"/>
      <c r="AY881" s="8"/>
      <c r="AZ881" s="8"/>
      <c r="BA881" s="8"/>
      <c r="BB881" s="8"/>
      <c r="BC881" s="8"/>
      <c r="BD881" s="8"/>
      <c r="BE881" s="8"/>
      <c r="BF881" s="8"/>
      <c r="BG881" s="8"/>
      <c r="BH881" s="8"/>
      <c r="BI881" s="8"/>
    </row>
    <row r="882" spans="1:61" ht="11.25" customHeight="1" x14ac:dyDescent="0.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c r="AK882" s="8"/>
      <c r="AL882" s="8"/>
      <c r="AM882" s="8"/>
      <c r="AN882" s="8"/>
      <c r="AO882" s="8"/>
      <c r="AP882" s="8"/>
      <c r="AQ882" s="8"/>
      <c r="AR882" s="8"/>
      <c r="AS882" s="8"/>
      <c r="AT882" s="8"/>
      <c r="AU882" s="8"/>
      <c r="AV882" s="8"/>
      <c r="AW882" s="8"/>
      <c r="AX882" s="8"/>
      <c r="AY882" s="8"/>
      <c r="AZ882" s="8"/>
      <c r="BA882" s="8"/>
      <c r="BB882" s="8"/>
      <c r="BC882" s="8"/>
      <c r="BD882" s="8"/>
      <c r="BE882" s="8"/>
      <c r="BF882" s="8"/>
      <c r="BG882" s="8"/>
      <c r="BH882" s="8"/>
      <c r="BI882" s="8"/>
    </row>
    <row r="883" spans="1:61" ht="11.25" customHeight="1" x14ac:dyDescent="0.2">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c r="AM883" s="8"/>
      <c r="AN883" s="8"/>
      <c r="AO883" s="8"/>
      <c r="AP883" s="8"/>
      <c r="AQ883" s="8"/>
      <c r="AR883" s="8"/>
      <c r="AS883" s="8"/>
      <c r="AT883" s="8"/>
      <c r="AU883" s="8"/>
      <c r="AV883" s="8"/>
      <c r="AW883" s="8"/>
      <c r="AX883" s="8"/>
      <c r="AY883" s="8"/>
      <c r="AZ883" s="8"/>
      <c r="BA883" s="8"/>
      <c r="BB883" s="8"/>
      <c r="BC883" s="8"/>
      <c r="BD883" s="8"/>
      <c r="BE883" s="8"/>
      <c r="BF883" s="8"/>
      <c r="BG883" s="8"/>
      <c r="BH883" s="8"/>
      <c r="BI883" s="8"/>
    </row>
    <row r="884" spans="1:61" ht="11.25" customHeight="1" x14ac:dyDescent="0.2">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c r="AK884" s="8"/>
      <c r="AL884" s="8"/>
      <c r="AM884" s="8"/>
      <c r="AN884" s="8"/>
      <c r="AO884" s="8"/>
      <c r="AP884" s="8"/>
      <c r="AQ884" s="8"/>
      <c r="AR884" s="8"/>
      <c r="AS884" s="8"/>
      <c r="AT884" s="8"/>
      <c r="AU884" s="8"/>
      <c r="AV884" s="8"/>
      <c r="AW884" s="8"/>
      <c r="AX884" s="8"/>
      <c r="AY884" s="8"/>
      <c r="AZ884" s="8"/>
      <c r="BA884" s="8"/>
      <c r="BB884" s="8"/>
      <c r="BC884" s="8"/>
      <c r="BD884" s="8"/>
      <c r="BE884" s="8"/>
      <c r="BF884" s="8"/>
      <c r="BG884" s="8"/>
      <c r="BH884" s="8"/>
      <c r="BI884" s="8"/>
    </row>
    <row r="885" spans="1:61" ht="11.25" customHeight="1" x14ac:dyDescent="0.2">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c r="AK885" s="8"/>
      <c r="AL885" s="8"/>
      <c r="AM885" s="8"/>
      <c r="AN885" s="8"/>
      <c r="AO885" s="8"/>
      <c r="AP885" s="8"/>
      <c r="AQ885" s="8"/>
      <c r="AR885" s="8"/>
      <c r="AS885" s="8"/>
      <c r="AT885" s="8"/>
      <c r="AU885" s="8"/>
      <c r="AV885" s="8"/>
      <c r="AW885" s="8"/>
      <c r="AX885" s="8"/>
      <c r="AY885" s="8"/>
      <c r="AZ885" s="8"/>
      <c r="BA885" s="8"/>
      <c r="BB885" s="8"/>
      <c r="BC885" s="8"/>
      <c r="BD885" s="8"/>
      <c r="BE885" s="8"/>
      <c r="BF885" s="8"/>
      <c r="BG885" s="8"/>
      <c r="BH885" s="8"/>
      <c r="BI885" s="8"/>
    </row>
    <row r="886" spans="1:61" ht="11.25" customHeight="1" x14ac:dyDescent="0.2">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c r="AK886" s="8"/>
      <c r="AL886" s="8"/>
      <c r="AM886" s="8"/>
      <c r="AN886" s="8"/>
      <c r="AO886" s="8"/>
      <c r="AP886" s="8"/>
      <c r="AQ886" s="8"/>
      <c r="AR886" s="8"/>
      <c r="AS886" s="8"/>
      <c r="AT886" s="8"/>
      <c r="AU886" s="8"/>
      <c r="AV886" s="8"/>
      <c r="AW886" s="8"/>
      <c r="AX886" s="8"/>
      <c r="AY886" s="8"/>
      <c r="AZ886" s="8"/>
      <c r="BA886" s="8"/>
      <c r="BB886" s="8"/>
      <c r="BC886" s="8"/>
      <c r="BD886" s="8"/>
      <c r="BE886" s="8"/>
      <c r="BF886" s="8"/>
      <c r="BG886" s="8"/>
      <c r="BH886" s="8"/>
      <c r="BI886" s="8"/>
    </row>
    <row r="887" spans="1:61" ht="11.25" customHeight="1" x14ac:dyDescent="0.2">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c r="AK887" s="8"/>
      <c r="AL887" s="8"/>
      <c r="AM887" s="8"/>
      <c r="AN887" s="8"/>
      <c r="AO887" s="8"/>
      <c r="AP887" s="8"/>
      <c r="AQ887" s="8"/>
      <c r="AR887" s="8"/>
      <c r="AS887" s="8"/>
      <c r="AT887" s="8"/>
      <c r="AU887" s="8"/>
      <c r="AV887" s="8"/>
      <c r="AW887" s="8"/>
      <c r="AX887" s="8"/>
      <c r="AY887" s="8"/>
      <c r="AZ887" s="8"/>
      <c r="BA887" s="8"/>
      <c r="BB887" s="8"/>
      <c r="BC887" s="8"/>
      <c r="BD887" s="8"/>
      <c r="BE887" s="8"/>
      <c r="BF887" s="8"/>
      <c r="BG887" s="8"/>
      <c r="BH887" s="8"/>
      <c r="BI887" s="8"/>
    </row>
    <row r="888" spans="1:61" ht="11.25" customHeight="1" x14ac:dyDescent="0.2">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c r="AK888" s="8"/>
      <c r="AL888" s="8"/>
      <c r="AM888" s="8"/>
      <c r="AN888" s="8"/>
      <c r="AO888" s="8"/>
      <c r="AP888" s="8"/>
      <c r="AQ888" s="8"/>
      <c r="AR888" s="8"/>
      <c r="AS888" s="8"/>
      <c r="AT888" s="8"/>
      <c r="AU888" s="8"/>
      <c r="AV888" s="8"/>
      <c r="AW888" s="8"/>
      <c r="AX888" s="8"/>
      <c r="AY888" s="8"/>
      <c r="AZ888" s="8"/>
      <c r="BA888" s="8"/>
      <c r="BB888" s="8"/>
      <c r="BC888" s="8"/>
      <c r="BD888" s="8"/>
      <c r="BE888" s="8"/>
      <c r="BF888" s="8"/>
      <c r="BG888" s="8"/>
      <c r="BH888" s="8"/>
      <c r="BI888" s="8"/>
    </row>
    <row r="889" spans="1:61" ht="11.25" customHeight="1" x14ac:dyDescent="0.2">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row>
    <row r="890" spans="1:61" ht="11.25" customHeight="1" x14ac:dyDescent="0.2">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c r="AK890" s="8"/>
      <c r="AL890" s="8"/>
      <c r="AM890" s="8"/>
      <c r="AN890" s="8"/>
      <c r="AO890" s="8"/>
      <c r="AP890" s="8"/>
      <c r="AQ890" s="8"/>
      <c r="AR890" s="8"/>
      <c r="AS890" s="8"/>
      <c r="AT890" s="8"/>
      <c r="AU890" s="8"/>
      <c r="AV890" s="8"/>
      <c r="AW890" s="8"/>
      <c r="AX890" s="8"/>
      <c r="AY890" s="8"/>
      <c r="AZ890" s="8"/>
      <c r="BA890" s="8"/>
      <c r="BB890" s="8"/>
      <c r="BC890" s="8"/>
      <c r="BD890" s="8"/>
      <c r="BE890" s="8"/>
      <c r="BF890" s="8"/>
      <c r="BG890" s="8"/>
      <c r="BH890" s="8"/>
      <c r="BI890" s="8"/>
    </row>
    <row r="891" spans="1:61" ht="11.25" customHeight="1" x14ac:dyDescent="0.2">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c r="AM891" s="8"/>
      <c r="AN891" s="8"/>
      <c r="AO891" s="8"/>
      <c r="AP891" s="8"/>
      <c r="AQ891" s="8"/>
      <c r="AR891" s="8"/>
      <c r="AS891" s="8"/>
      <c r="AT891" s="8"/>
      <c r="AU891" s="8"/>
      <c r="AV891" s="8"/>
      <c r="AW891" s="8"/>
      <c r="AX891" s="8"/>
      <c r="AY891" s="8"/>
      <c r="AZ891" s="8"/>
      <c r="BA891" s="8"/>
      <c r="BB891" s="8"/>
      <c r="BC891" s="8"/>
      <c r="BD891" s="8"/>
      <c r="BE891" s="8"/>
      <c r="BF891" s="8"/>
      <c r="BG891" s="8"/>
      <c r="BH891" s="8"/>
      <c r="BI891" s="8"/>
    </row>
    <row r="892" spans="1:61" ht="11.25" customHeight="1" x14ac:dyDescent="0.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c r="AK892" s="8"/>
      <c r="AL892" s="8"/>
      <c r="AM892" s="8"/>
      <c r="AN892" s="8"/>
      <c r="AO892" s="8"/>
      <c r="AP892" s="8"/>
      <c r="AQ892" s="8"/>
      <c r="AR892" s="8"/>
      <c r="AS892" s="8"/>
      <c r="AT892" s="8"/>
      <c r="AU892" s="8"/>
      <c r="AV892" s="8"/>
      <c r="AW892" s="8"/>
      <c r="AX892" s="8"/>
      <c r="AY892" s="8"/>
      <c r="AZ892" s="8"/>
      <c r="BA892" s="8"/>
      <c r="BB892" s="8"/>
      <c r="BC892" s="8"/>
      <c r="BD892" s="8"/>
      <c r="BE892" s="8"/>
      <c r="BF892" s="8"/>
      <c r="BG892" s="8"/>
      <c r="BH892" s="8"/>
      <c r="BI892" s="8"/>
    </row>
    <row r="893" spans="1:61" ht="11.25" customHeight="1" x14ac:dyDescent="0.2">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c r="AT893" s="8"/>
      <c r="AU893" s="8"/>
      <c r="AV893" s="8"/>
      <c r="AW893" s="8"/>
      <c r="AX893" s="8"/>
      <c r="AY893" s="8"/>
      <c r="AZ893" s="8"/>
      <c r="BA893" s="8"/>
      <c r="BB893" s="8"/>
      <c r="BC893" s="8"/>
      <c r="BD893" s="8"/>
      <c r="BE893" s="8"/>
      <c r="BF893" s="8"/>
      <c r="BG893" s="8"/>
      <c r="BH893" s="8"/>
      <c r="BI893" s="8"/>
    </row>
    <row r="894" spans="1:61" ht="11.25" customHeight="1" x14ac:dyDescent="0.2">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c r="AK894" s="8"/>
      <c r="AL894" s="8"/>
      <c r="AM894" s="8"/>
      <c r="AN894" s="8"/>
      <c r="AO894" s="8"/>
      <c r="AP894" s="8"/>
      <c r="AQ894" s="8"/>
      <c r="AR894" s="8"/>
      <c r="AS894" s="8"/>
      <c r="AT894" s="8"/>
      <c r="AU894" s="8"/>
      <c r="AV894" s="8"/>
      <c r="AW894" s="8"/>
      <c r="AX894" s="8"/>
      <c r="AY894" s="8"/>
      <c r="AZ894" s="8"/>
      <c r="BA894" s="8"/>
      <c r="BB894" s="8"/>
      <c r="BC894" s="8"/>
      <c r="BD894" s="8"/>
      <c r="BE894" s="8"/>
      <c r="BF894" s="8"/>
      <c r="BG894" s="8"/>
      <c r="BH894" s="8"/>
      <c r="BI894" s="8"/>
    </row>
    <row r="895" spans="1:61" ht="11.25" customHeight="1" x14ac:dyDescent="0.2">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c r="AK895" s="8"/>
      <c r="AL895" s="8"/>
      <c r="AM895" s="8"/>
      <c r="AN895" s="8"/>
      <c r="AO895" s="8"/>
      <c r="AP895" s="8"/>
      <c r="AQ895" s="8"/>
      <c r="AR895" s="8"/>
      <c r="AS895" s="8"/>
      <c r="AT895" s="8"/>
      <c r="AU895" s="8"/>
      <c r="AV895" s="8"/>
      <c r="AW895" s="8"/>
      <c r="AX895" s="8"/>
      <c r="AY895" s="8"/>
      <c r="AZ895" s="8"/>
      <c r="BA895" s="8"/>
      <c r="BB895" s="8"/>
      <c r="BC895" s="8"/>
      <c r="BD895" s="8"/>
      <c r="BE895" s="8"/>
      <c r="BF895" s="8"/>
      <c r="BG895" s="8"/>
      <c r="BH895" s="8"/>
      <c r="BI895" s="8"/>
    </row>
    <row r="896" spans="1:61" ht="11.25" customHeight="1" x14ac:dyDescent="0.2">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c r="AK896" s="8"/>
      <c r="AL896" s="8"/>
      <c r="AM896" s="8"/>
      <c r="AN896" s="8"/>
      <c r="AO896" s="8"/>
      <c r="AP896" s="8"/>
      <c r="AQ896" s="8"/>
      <c r="AR896" s="8"/>
      <c r="AS896" s="8"/>
      <c r="AT896" s="8"/>
      <c r="AU896" s="8"/>
      <c r="AV896" s="8"/>
      <c r="AW896" s="8"/>
      <c r="AX896" s="8"/>
      <c r="AY896" s="8"/>
      <c r="AZ896" s="8"/>
      <c r="BA896" s="8"/>
      <c r="BB896" s="8"/>
      <c r="BC896" s="8"/>
      <c r="BD896" s="8"/>
      <c r="BE896" s="8"/>
      <c r="BF896" s="8"/>
      <c r="BG896" s="8"/>
      <c r="BH896" s="8"/>
      <c r="BI896" s="8"/>
    </row>
    <row r="897" spans="1:61" ht="11.25" customHeight="1" x14ac:dyDescent="0.2">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c r="AK897" s="8"/>
      <c r="AL897" s="8"/>
      <c r="AM897" s="8"/>
      <c r="AN897" s="8"/>
      <c r="AO897" s="8"/>
      <c r="AP897" s="8"/>
      <c r="AQ897" s="8"/>
      <c r="AR897" s="8"/>
      <c r="AS897" s="8"/>
      <c r="AT897" s="8"/>
      <c r="AU897" s="8"/>
      <c r="AV897" s="8"/>
      <c r="AW897" s="8"/>
      <c r="AX897" s="8"/>
      <c r="AY897" s="8"/>
      <c r="AZ897" s="8"/>
      <c r="BA897" s="8"/>
      <c r="BB897" s="8"/>
      <c r="BC897" s="8"/>
      <c r="BD897" s="8"/>
      <c r="BE897" s="8"/>
      <c r="BF897" s="8"/>
      <c r="BG897" s="8"/>
      <c r="BH897" s="8"/>
      <c r="BI897" s="8"/>
    </row>
    <row r="898" spans="1:61" ht="11.25" customHeight="1" x14ac:dyDescent="0.2">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c r="AK898" s="8"/>
      <c r="AL898" s="8"/>
      <c r="AM898" s="8"/>
      <c r="AN898" s="8"/>
      <c r="AO898" s="8"/>
      <c r="AP898" s="8"/>
      <c r="AQ898" s="8"/>
      <c r="AR898" s="8"/>
      <c r="AS898" s="8"/>
      <c r="AT898" s="8"/>
      <c r="AU898" s="8"/>
      <c r="AV898" s="8"/>
      <c r="AW898" s="8"/>
      <c r="AX898" s="8"/>
      <c r="AY898" s="8"/>
      <c r="AZ898" s="8"/>
      <c r="BA898" s="8"/>
      <c r="BB898" s="8"/>
      <c r="BC898" s="8"/>
      <c r="BD898" s="8"/>
      <c r="BE898" s="8"/>
      <c r="BF898" s="8"/>
      <c r="BG898" s="8"/>
      <c r="BH898" s="8"/>
      <c r="BI898" s="8"/>
    </row>
    <row r="899" spans="1:61" ht="11.25" customHeight="1" x14ac:dyDescent="0.2">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c r="AK899" s="8"/>
      <c r="AL899" s="8"/>
      <c r="AM899" s="8"/>
      <c r="AN899" s="8"/>
      <c r="AO899" s="8"/>
      <c r="AP899" s="8"/>
      <c r="AQ899" s="8"/>
      <c r="AR899" s="8"/>
      <c r="AS899" s="8"/>
      <c r="AT899" s="8"/>
      <c r="AU899" s="8"/>
      <c r="AV899" s="8"/>
      <c r="AW899" s="8"/>
      <c r="AX899" s="8"/>
      <c r="AY899" s="8"/>
      <c r="AZ899" s="8"/>
      <c r="BA899" s="8"/>
      <c r="BB899" s="8"/>
      <c r="BC899" s="8"/>
      <c r="BD899" s="8"/>
      <c r="BE899" s="8"/>
      <c r="BF899" s="8"/>
      <c r="BG899" s="8"/>
      <c r="BH899" s="8"/>
      <c r="BI899" s="8"/>
    </row>
    <row r="900" spans="1:61" ht="11.25" customHeight="1" x14ac:dyDescent="0.2">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c r="AK900" s="8"/>
      <c r="AL900" s="8"/>
      <c r="AM900" s="8"/>
      <c r="AN900" s="8"/>
      <c r="AO900" s="8"/>
      <c r="AP900" s="8"/>
      <c r="AQ900" s="8"/>
      <c r="AR900" s="8"/>
      <c r="AS900" s="8"/>
      <c r="AT900" s="8"/>
      <c r="AU900" s="8"/>
      <c r="AV900" s="8"/>
      <c r="AW900" s="8"/>
      <c r="AX900" s="8"/>
      <c r="AY900" s="8"/>
      <c r="AZ900" s="8"/>
      <c r="BA900" s="8"/>
      <c r="BB900" s="8"/>
      <c r="BC900" s="8"/>
      <c r="BD900" s="8"/>
      <c r="BE900" s="8"/>
      <c r="BF900" s="8"/>
      <c r="BG900" s="8"/>
      <c r="BH900" s="8"/>
      <c r="BI900" s="8"/>
    </row>
    <row r="901" spans="1:61" ht="11.25" customHeight="1" x14ac:dyDescent="0.2">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c r="AK901" s="8"/>
      <c r="AL901" s="8"/>
      <c r="AM901" s="8"/>
      <c r="AN901" s="8"/>
      <c r="AO901" s="8"/>
      <c r="AP901" s="8"/>
      <c r="AQ901" s="8"/>
      <c r="AR901" s="8"/>
      <c r="AS901" s="8"/>
      <c r="AT901" s="8"/>
      <c r="AU901" s="8"/>
      <c r="AV901" s="8"/>
      <c r="AW901" s="8"/>
      <c r="AX901" s="8"/>
      <c r="AY901" s="8"/>
      <c r="AZ901" s="8"/>
      <c r="BA901" s="8"/>
      <c r="BB901" s="8"/>
      <c r="BC901" s="8"/>
      <c r="BD901" s="8"/>
      <c r="BE901" s="8"/>
      <c r="BF901" s="8"/>
      <c r="BG901" s="8"/>
      <c r="BH901" s="8"/>
      <c r="BI901" s="8"/>
    </row>
    <row r="902" spans="1:61" ht="11.25" customHeight="1" x14ac:dyDescent="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c r="AK902" s="8"/>
      <c r="AL902" s="8"/>
      <c r="AM902" s="8"/>
      <c r="AN902" s="8"/>
      <c r="AO902" s="8"/>
      <c r="AP902" s="8"/>
      <c r="AQ902" s="8"/>
      <c r="AR902" s="8"/>
      <c r="AS902" s="8"/>
      <c r="AT902" s="8"/>
      <c r="AU902" s="8"/>
      <c r="AV902" s="8"/>
      <c r="AW902" s="8"/>
      <c r="AX902" s="8"/>
      <c r="AY902" s="8"/>
      <c r="AZ902" s="8"/>
      <c r="BA902" s="8"/>
      <c r="BB902" s="8"/>
      <c r="BC902" s="8"/>
      <c r="BD902" s="8"/>
      <c r="BE902" s="8"/>
      <c r="BF902" s="8"/>
      <c r="BG902" s="8"/>
      <c r="BH902" s="8"/>
      <c r="BI902" s="8"/>
    </row>
    <row r="903" spans="1:61" ht="11.25" customHeight="1" x14ac:dyDescent="0.2">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c r="AM903" s="8"/>
      <c r="AN903" s="8"/>
      <c r="AO903" s="8"/>
      <c r="AP903" s="8"/>
      <c r="AQ903" s="8"/>
      <c r="AR903" s="8"/>
      <c r="AS903" s="8"/>
      <c r="AT903" s="8"/>
      <c r="AU903" s="8"/>
      <c r="AV903" s="8"/>
      <c r="AW903" s="8"/>
      <c r="AX903" s="8"/>
      <c r="AY903" s="8"/>
      <c r="AZ903" s="8"/>
      <c r="BA903" s="8"/>
      <c r="BB903" s="8"/>
      <c r="BC903" s="8"/>
      <c r="BD903" s="8"/>
      <c r="BE903" s="8"/>
      <c r="BF903" s="8"/>
      <c r="BG903" s="8"/>
      <c r="BH903" s="8"/>
      <c r="BI903" s="8"/>
    </row>
    <row r="904" spans="1:61" ht="11.25" customHeight="1" x14ac:dyDescent="0.2">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c r="AK904" s="8"/>
      <c r="AL904" s="8"/>
      <c r="AM904" s="8"/>
      <c r="AN904" s="8"/>
      <c r="AO904" s="8"/>
      <c r="AP904" s="8"/>
      <c r="AQ904" s="8"/>
      <c r="AR904" s="8"/>
      <c r="AS904" s="8"/>
      <c r="AT904" s="8"/>
      <c r="AU904" s="8"/>
      <c r="AV904" s="8"/>
      <c r="AW904" s="8"/>
      <c r="AX904" s="8"/>
      <c r="AY904" s="8"/>
      <c r="AZ904" s="8"/>
      <c r="BA904" s="8"/>
      <c r="BB904" s="8"/>
      <c r="BC904" s="8"/>
      <c r="BD904" s="8"/>
      <c r="BE904" s="8"/>
      <c r="BF904" s="8"/>
      <c r="BG904" s="8"/>
      <c r="BH904" s="8"/>
      <c r="BI904" s="8"/>
    </row>
    <row r="905" spans="1:61" ht="11.25" customHeight="1" x14ac:dyDescent="0.2">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8"/>
      <c r="AZ905" s="8"/>
      <c r="BA905" s="8"/>
      <c r="BB905" s="8"/>
      <c r="BC905" s="8"/>
      <c r="BD905" s="8"/>
      <c r="BE905" s="8"/>
      <c r="BF905" s="8"/>
      <c r="BG905" s="8"/>
      <c r="BH905" s="8"/>
      <c r="BI905" s="8"/>
    </row>
    <row r="906" spans="1:61" ht="11.25" customHeight="1" x14ac:dyDescent="0.2">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c r="AK906" s="8"/>
      <c r="AL906" s="8"/>
      <c r="AM906" s="8"/>
      <c r="AN906" s="8"/>
      <c r="AO906" s="8"/>
      <c r="AP906" s="8"/>
      <c r="AQ906" s="8"/>
      <c r="AR906" s="8"/>
      <c r="AS906" s="8"/>
      <c r="AT906" s="8"/>
      <c r="AU906" s="8"/>
      <c r="AV906" s="8"/>
      <c r="AW906" s="8"/>
      <c r="AX906" s="8"/>
      <c r="AY906" s="8"/>
      <c r="AZ906" s="8"/>
      <c r="BA906" s="8"/>
      <c r="BB906" s="8"/>
      <c r="BC906" s="8"/>
      <c r="BD906" s="8"/>
      <c r="BE906" s="8"/>
      <c r="BF906" s="8"/>
      <c r="BG906" s="8"/>
      <c r="BH906" s="8"/>
      <c r="BI906" s="8"/>
    </row>
    <row r="907" spans="1:61" ht="11.25" customHeight="1" x14ac:dyDescent="0.2">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c r="AK907" s="8"/>
      <c r="AL907" s="8"/>
      <c r="AM907" s="8"/>
      <c r="AN907" s="8"/>
      <c r="AO907" s="8"/>
      <c r="AP907" s="8"/>
      <c r="AQ907" s="8"/>
      <c r="AR907" s="8"/>
      <c r="AS907" s="8"/>
      <c r="AT907" s="8"/>
      <c r="AU907" s="8"/>
      <c r="AV907" s="8"/>
      <c r="AW907" s="8"/>
      <c r="AX907" s="8"/>
      <c r="AY907" s="8"/>
      <c r="AZ907" s="8"/>
      <c r="BA907" s="8"/>
      <c r="BB907" s="8"/>
      <c r="BC907" s="8"/>
      <c r="BD907" s="8"/>
      <c r="BE907" s="8"/>
      <c r="BF907" s="8"/>
      <c r="BG907" s="8"/>
      <c r="BH907" s="8"/>
      <c r="BI907" s="8"/>
    </row>
    <row r="908" spans="1:61" ht="11.25" customHeight="1" x14ac:dyDescent="0.2">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c r="AK908" s="8"/>
      <c r="AL908" s="8"/>
      <c r="AM908" s="8"/>
      <c r="AN908" s="8"/>
      <c r="AO908" s="8"/>
      <c r="AP908" s="8"/>
      <c r="AQ908" s="8"/>
      <c r="AR908" s="8"/>
      <c r="AS908" s="8"/>
      <c r="AT908" s="8"/>
      <c r="AU908" s="8"/>
      <c r="AV908" s="8"/>
      <c r="AW908" s="8"/>
      <c r="AX908" s="8"/>
      <c r="AY908" s="8"/>
      <c r="AZ908" s="8"/>
      <c r="BA908" s="8"/>
      <c r="BB908" s="8"/>
      <c r="BC908" s="8"/>
      <c r="BD908" s="8"/>
      <c r="BE908" s="8"/>
      <c r="BF908" s="8"/>
      <c r="BG908" s="8"/>
      <c r="BH908" s="8"/>
      <c r="BI908" s="8"/>
    </row>
    <row r="909" spans="1:61" ht="11.25" customHeight="1" x14ac:dyDescent="0.2">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c r="AK909" s="8"/>
      <c r="AL909" s="8"/>
      <c r="AM909" s="8"/>
      <c r="AN909" s="8"/>
      <c r="AO909" s="8"/>
      <c r="AP909" s="8"/>
      <c r="AQ909" s="8"/>
      <c r="AR909" s="8"/>
      <c r="AS909" s="8"/>
      <c r="AT909" s="8"/>
      <c r="AU909" s="8"/>
      <c r="AV909" s="8"/>
      <c r="AW909" s="8"/>
      <c r="AX909" s="8"/>
      <c r="AY909" s="8"/>
      <c r="AZ909" s="8"/>
      <c r="BA909" s="8"/>
      <c r="BB909" s="8"/>
      <c r="BC909" s="8"/>
      <c r="BD909" s="8"/>
      <c r="BE909" s="8"/>
      <c r="BF909" s="8"/>
      <c r="BG909" s="8"/>
      <c r="BH909" s="8"/>
      <c r="BI909" s="8"/>
    </row>
    <row r="910" spans="1:61" ht="11.25" customHeight="1" x14ac:dyDescent="0.2">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c r="AK910" s="8"/>
      <c r="AL910" s="8"/>
      <c r="AM910" s="8"/>
      <c r="AN910" s="8"/>
      <c r="AO910" s="8"/>
      <c r="AP910" s="8"/>
      <c r="AQ910" s="8"/>
      <c r="AR910" s="8"/>
      <c r="AS910" s="8"/>
      <c r="AT910" s="8"/>
      <c r="AU910" s="8"/>
      <c r="AV910" s="8"/>
      <c r="AW910" s="8"/>
      <c r="AX910" s="8"/>
      <c r="AY910" s="8"/>
      <c r="AZ910" s="8"/>
      <c r="BA910" s="8"/>
      <c r="BB910" s="8"/>
      <c r="BC910" s="8"/>
      <c r="BD910" s="8"/>
      <c r="BE910" s="8"/>
      <c r="BF910" s="8"/>
      <c r="BG910" s="8"/>
      <c r="BH910" s="8"/>
      <c r="BI910" s="8"/>
    </row>
    <row r="911" spans="1:61" ht="11.25" customHeight="1" x14ac:dyDescent="0.2">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c r="AK911" s="8"/>
      <c r="AL911" s="8"/>
      <c r="AM911" s="8"/>
      <c r="AN911" s="8"/>
      <c r="AO911" s="8"/>
      <c r="AP911" s="8"/>
      <c r="AQ911" s="8"/>
      <c r="AR911" s="8"/>
      <c r="AS911" s="8"/>
      <c r="AT911" s="8"/>
      <c r="AU911" s="8"/>
      <c r="AV911" s="8"/>
      <c r="AW911" s="8"/>
      <c r="AX911" s="8"/>
      <c r="AY911" s="8"/>
      <c r="AZ911" s="8"/>
      <c r="BA911" s="8"/>
      <c r="BB911" s="8"/>
      <c r="BC911" s="8"/>
      <c r="BD911" s="8"/>
      <c r="BE911" s="8"/>
      <c r="BF911" s="8"/>
      <c r="BG911" s="8"/>
      <c r="BH911" s="8"/>
      <c r="BI911" s="8"/>
    </row>
    <row r="912" spans="1:61" ht="11.25" customHeight="1" x14ac:dyDescent="0.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c r="AK912" s="8"/>
      <c r="AL912" s="8"/>
      <c r="AM912" s="8"/>
      <c r="AN912" s="8"/>
      <c r="AO912" s="8"/>
      <c r="AP912" s="8"/>
      <c r="AQ912" s="8"/>
      <c r="AR912" s="8"/>
      <c r="AS912" s="8"/>
      <c r="AT912" s="8"/>
      <c r="AU912" s="8"/>
      <c r="AV912" s="8"/>
      <c r="AW912" s="8"/>
      <c r="AX912" s="8"/>
      <c r="AY912" s="8"/>
      <c r="AZ912" s="8"/>
      <c r="BA912" s="8"/>
      <c r="BB912" s="8"/>
      <c r="BC912" s="8"/>
      <c r="BD912" s="8"/>
      <c r="BE912" s="8"/>
      <c r="BF912" s="8"/>
      <c r="BG912" s="8"/>
      <c r="BH912" s="8"/>
      <c r="BI912" s="8"/>
    </row>
    <row r="913" spans="1:61" ht="11.25" customHeight="1" x14ac:dyDescent="0.2">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c r="AK913" s="8"/>
      <c r="AL913" s="8"/>
      <c r="AM913" s="8"/>
      <c r="AN913" s="8"/>
      <c r="AO913" s="8"/>
      <c r="AP913" s="8"/>
      <c r="AQ913" s="8"/>
      <c r="AR913" s="8"/>
      <c r="AS913" s="8"/>
      <c r="AT913" s="8"/>
      <c r="AU913" s="8"/>
      <c r="AV913" s="8"/>
      <c r="AW913" s="8"/>
      <c r="AX913" s="8"/>
      <c r="AY913" s="8"/>
      <c r="AZ913" s="8"/>
      <c r="BA913" s="8"/>
      <c r="BB913" s="8"/>
      <c r="BC913" s="8"/>
      <c r="BD913" s="8"/>
      <c r="BE913" s="8"/>
      <c r="BF913" s="8"/>
      <c r="BG913" s="8"/>
      <c r="BH913" s="8"/>
      <c r="BI913" s="8"/>
    </row>
    <row r="914" spans="1:61" ht="11.25" customHeight="1" x14ac:dyDescent="0.2">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c r="AK914" s="8"/>
      <c r="AL914" s="8"/>
      <c r="AM914" s="8"/>
      <c r="AN914" s="8"/>
      <c r="AO914" s="8"/>
      <c r="AP914" s="8"/>
      <c r="AQ914" s="8"/>
      <c r="AR914" s="8"/>
      <c r="AS914" s="8"/>
      <c r="AT914" s="8"/>
      <c r="AU914" s="8"/>
      <c r="AV914" s="8"/>
      <c r="AW914" s="8"/>
      <c r="AX914" s="8"/>
      <c r="AY914" s="8"/>
      <c r="AZ914" s="8"/>
      <c r="BA914" s="8"/>
      <c r="BB914" s="8"/>
      <c r="BC914" s="8"/>
      <c r="BD914" s="8"/>
      <c r="BE914" s="8"/>
      <c r="BF914" s="8"/>
      <c r="BG914" s="8"/>
      <c r="BH914" s="8"/>
      <c r="BI914" s="8"/>
    </row>
    <row r="915" spans="1:61" ht="11.25" customHeight="1" x14ac:dyDescent="0.2">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c r="AK915" s="8"/>
      <c r="AL915" s="8"/>
      <c r="AM915" s="8"/>
      <c r="AN915" s="8"/>
      <c r="AO915" s="8"/>
      <c r="AP915" s="8"/>
      <c r="AQ915" s="8"/>
      <c r="AR915" s="8"/>
      <c r="AS915" s="8"/>
      <c r="AT915" s="8"/>
      <c r="AU915" s="8"/>
      <c r="AV915" s="8"/>
      <c r="AW915" s="8"/>
      <c r="AX915" s="8"/>
      <c r="AY915" s="8"/>
      <c r="AZ915" s="8"/>
      <c r="BA915" s="8"/>
      <c r="BB915" s="8"/>
      <c r="BC915" s="8"/>
      <c r="BD915" s="8"/>
      <c r="BE915" s="8"/>
      <c r="BF915" s="8"/>
      <c r="BG915" s="8"/>
      <c r="BH915" s="8"/>
      <c r="BI915" s="8"/>
    </row>
    <row r="916" spans="1:61" ht="11.25" customHeight="1" x14ac:dyDescent="0.2">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c r="AK916" s="8"/>
      <c r="AL916" s="8"/>
      <c r="AM916" s="8"/>
      <c r="AN916" s="8"/>
      <c r="AO916" s="8"/>
      <c r="AP916" s="8"/>
      <c r="AQ916" s="8"/>
      <c r="AR916" s="8"/>
      <c r="AS916" s="8"/>
      <c r="AT916" s="8"/>
      <c r="AU916" s="8"/>
      <c r="AV916" s="8"/>
      <c r="AW916" s="8"/>
      <c r="AX916" s="8"/>
      <c r="AY916" s="8"/>
      <c r="AZ916" s="8"/>
      <c r="BA916" s="8"/>
      <c r="BB916" s="8"/>
      <c r="BC916" s="8"/>
      <c r="BD916" s="8"/>
      <c r="BE916" s="8"/>
      <c r="BF916" s="8"/>
      <c r="BG916" s="8"/>
      <c r="BH916" s="8"/>
      <c r="BI916" s="8"/>
    </row>
    <row r="917" spans="1:61" ht="11.25" customHeight="1" x14ac:dyDescent="0.2">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c r="AK917" s="8"/>
      <c r="AL917" s="8"/>
      <c r="AM917" s="8"/>
      <c r="AN917" s="8"/>
      <c r="AO917" s="8"/>
      <c r="AP917" s="8"/>
      <c r="AQ917" s="8"/>
      <c r="AR917" s="8"/>
      <c r="AS917" s="8"/>
      <c r="AT917" s="8"/>
      <c r="AU917" s="8"/>
      <c r="AV917" s="8"/>
      <c r="AW917" s="8"/>
      <c r="AX917" s="8"/>
      <c r="AY917" s="8"/>
      <c r="AZ917" s="8"/>
      <c r="BA917" s="8"/>
      <c r="BB917" s="8"/>
      <c r="BC917" s="8"/>
      <c r="BD917" s="8"/>
      <c r="BE917" s="8"/>
      <c r="BF917" s="8"/>
      <c r="BG917" s="8"/>
      <c r="BH917" s="8"/>
      <c r="BI917" s="8"/>
    </row>
    <row r="918" spans="1:61" ht="11.25" customHeight="1" x14ac:dyDescent="0.2">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c r="AK918" s="8"/>
      <c r="AL918" s="8"/>
      <c r="AM918" s="8"/>
      <c r="AN918" s="8"/>
      <c r="AO918" s="8"/>
      <c r="AP918" s="8"/>
      <c r="AQ918" s="8"/>
      <c r="AR918" s="8"/>
      <c r="AS918" s="8"/>
      <c r="AT918" s="8"/>
      <c r="AU918" s="8"/>
      <c r="AV918" s="8"/>
      <c r="AW918" s="8"/>
      <c r="AX918" s="8"/>
      <c r="AY918" s="8"/>
      <c r="AZ918" s="8"/>
      <c r="BA918" s="8"/>
      <c r="BB918" s="8"/>
      <c r="BC918" s="8"/>
      <c r="BD918" s="8"/>
      <c r="BE918" s="8"/>
      <c r="BF918" s="8"/>
      <c r="BG918" s="8"/>
      <c r="BH918" s="8"/>
      <c r="BI918" s="8"/>
    </row>
    <row r="919" spans="1:61" ht="11.25" customHeight="1" x14ac:dyDescent="0.2">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c r="AM919" s="8"/>
      <c r="AN919" s="8"/>
      <c r="AO919" s="8"/>
      <c r="AP919" s="8"/>
      <c r="AQ919" s="8"/>
      <c r="AR919" s="8"/>
      <c r="AS919" s="8"/>
      <c r="AT919" s="8"/>
      <c r="AU919" s="8"/>
      <c r="AV919" s="8"/>
      <c r="AW919" s="8"/>
      <c r="AX919" s="8"/>
      <c r="AY919" s="8"/>
      <c r="AZ919" s="8"/>
      <c r="BA919" s="8"/>
      <c r="BB919" s="8"/>
      <c r="BC919" s="8"/>
      <c r="BD919" s="8"/>
      <c r="BE919" s="8"/>
      <c r="BF919" s="8"/>
      <c r="BG919" s="8"/>
      <c r="BH919" s="8"/>
      <c r="BI919" s="8"/>
    </row>
    <row r="920" spans="1:61" ht="11.25" customHeight="1" x14ac:dyDescent="0.2">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c r="AK920" s="8"/>
      <c r="AL920" s="8"/>
      <c r="AM920" s="8"/>
      <c r="AN920" s="8"/>
      <c r="AO920" s="8"/>
      <c r="AP920" s="8"/>
      <c r="AQ920" s="8"/>
      <c r="AR920" s="8"/>
      <c r="AS920" s="8"/>
      <c r="AT920" s="8"/>
      <c r="AU920" s="8"/>
      <c r="AV920" s="8"/>
      <c r="AW920" s="8"/>
      <c r="AX920" s="8"/>
      <c r="AY920" s="8"/>
      <c r="AZ920" s="8"/>
      <c r="BA920" s="8"/>
      <c r="BB920" s="8"/>
      <c r="BC920" s="8"/>
      <c r="BD920" s="8"/>
      <c r="BE920" s="8"/>
      <c r="BF920" s="8"/>
      <c r="BG920" s="8"/>
      <c r="BH920" s="8"/>
      <c r="BI920" s="8"/>
    </row>
    <row r="921" spans="1:61" ht="11.25" customHeight="1" x14ac:dyDescent="0.2">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8"/>
      <c r="AT921" s="8"/>
      <c r="AU921" s="8"/>
      <c r="AV921" s="8"/>
      <c r="AW921" s="8"/>
      <c r="AX921" s="8"/>
      <c r="AY921" s="8"/>
      <c r="AZ921" s="8"/>
      <c r="BA921" s="8"/>
      <c r="BB921" s="8"/>
      <c r="BC921" s="8"/>
      <c r="BD921" s="8"/>
      <c r="BE921" s="8"/>
      <c r="BF921" s="8"/>
      <c r="BG921" s="8"/>
      <c r="BH921" s="8"/>
      <c r="BI921" s="8"/>
    </row>
    <row r="922" spans="1:61" ht="11.25" customHeight="1" x14ac:dyDescent="0.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c r="AK922" s="8"/>
      <c r="AL922" s="8"/>
      <c r="AM922" s="8"/>
      <c r="AN922" s="8"/>
      <c r="AO922" s="8"/>
      <c r="AP922" s="8"/>
      <c r="AQ922" s="8"/>
      <c r="AR922" s="8"/>
      <c r="AS922" s="8"/>
      <c r="AT922" s="8"/>
      <c r="AU922" s="8"/>
      <c r="AV922" s="8"/>
      <c r="AW922" s="8"/>
      <c r="AX922" s="8"/>
      <c r="AY922" s="8"/>
      <c r="AZ922" s="8"/>
      <c r="BA922" s="8"/>
      <c r="BB922" s="8"/>
      <c r="BC922" s="8"/>
      <c r="BD922" s="8"/>
      <c r="BE922" s="8"/>
      <c r="BF922" s="8"/>
      <c r="BG922" s="8"/>
      <c r="BH922" s="8"/>
      <c r="BI922" s="8"/>
    </row>
    <row r="923" spans="1:61" ht="11.25" customHeight="1" x14ac:dyDescent="0.2">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c r="AK923" s="8"/>
      <c r="AL923" s="8"/>
      <c r="AM923" s="8"/>
      <c r="AN923" s="8"/>
      <c r="AO923" s="8"/>
      <c r="AP923" s="8"/>
      <c r="AQ923" s="8"/>
      <c r="AR923" s="8"/>
      <c r="AS923" s="8"/>
      <c r="AT923" s="8"/>
      <c r="AU923" s="8"/>
      <c r="AV923" s="8"/>
      <c r="AW923" s="8"/>
      <c r="AX923" s="8"/>
      <c r="AY923" s="8"/>
      <c r="AZ923" s="8"/>
      <c r="BA923" s="8"/>
      <c r="BB923" s="8"/>
      <c r="BC923" s="8"/>
      <c r="BD923" s="8"/>
      <c r="BE923" s="8"/>
      <c r="BF923" s="8"/>
      <c r="BG923" s="8"/>
      <c r="BH923" s="8"/>
      <c r="BI923" s="8"/>
    </row>
    <row r="924" spans="1:61" ht="11.25" customHeight="1" x14ac:dyDescent="0.2">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c r="AK924" s="8"/>
      <c r="AL924" s="8"/>
      <c r="AM924" s="8"/>
      <c r="AN924" s="8"/>
      <c r="AO924" s="8"/>
      <c r="AP924" s="8"/>
      <c r="AQ924" s="8"/>
      <c r="AR924" s="8"/>
      <c r="AS924" s="8"/>
      <c r="AT924" s="8"/>
      <c r="AU924" s="8"/>
      <c r="AV924" s="8"/>
      <c r="AW924" s="8"/>
      <c r="AX924" s="8"/>
      <c r="AY924" s="8"/>
      <c r="AZ924" s="8"/>
      <c r="BA924" s="8"/>
      <c r="BB924" s="8"/>
      <c r="BC924" s="8"/>
      <c r="BD924" s="8"/>
      <c r="BE924" s="8"/>
      <c r="BF924" s="8"/>
      <c r="BG924" s="8"/>
      <c r="BH924" s="8"/>
      <c r="BI924" s="8"/>
    </row>
    <row r="925" spans="1:61" ht="11.25" customHeight="1" x14ac:dyDescent="0.2">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c r="AK925" s="8"/>
      <c r="AL925" s="8"/>
      <c r="AM925" s="8"/>
      <c r="AN925" s="8"/>
      <c r="AO925" s="8"/>
      <c r="AP925" s="8"/>
      <c r="AQ925" s="8"/>
      <c r="AR925" s="8"/>
      <c r="AS925" s="8"/>
      <c r="AT925" s="8"/>
      <c r="AU925" s="8"/>
      <c r="AV925" s="8"/>
      <c r="AW925" s="8"/>
      <c r="AX925" s="8"/>
      <c r="AY925" s="8"/>
      <c r="AZ925" s="8"/>
      <c r="BA925" s="8"/>
      <c r="BB925" s="8"/>
      <c r="BC925" s="8"/>
      <c r="BD925" s="8"/>
      <c r="BE925" s="8"/>
      <c r="BF925" s="8"/>
      <c r="BG925" s="8"/>
      <c r="BH925" s="8"/>
      <c r="BI925" s="8"/>
    </row>
    <row r="926" spans="1:61" ht="11.25" customHeight="1" x14ac:dyDescent="0.2">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row>
    <row r="927" spans="1:61" ht="11.25" customHeight="1" x14ac:dyDescent="0.2">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c r="AK927" s="8"/>
      <c r="AL927" s="8"/>
      <c r="AM927" s="8"/>
      <c r="AN927" s="8"/>
      <c r="AO927" s="8"/>
      <c r="AP927" s="8"/>
      <c r="AQ927" s="8"/>
      <c r="AR927" s="8"/>
      <c r="AS927" s="8"/>
      <c r="AT927" s="8"/>
      <c r="AU927" s="8"/>
      <c r="AV927" s="8"/>
      <c r="AW927" s="8"/>
      <c r="AX927" s="8"/>
      <c r="AY927" s="8"/>
      <c r="AZ927" s="8"/>
      <c r="BA927" s="8"/>
      <c r="BB927" s="8"/>
      <c r="BC927" s="8"/>
      <c r="BD927" s="8"/>
      <c r="BE927" s="8"/>
      <c r="BF927" s="8"/>
      <c r="BG927" s="8"/>
      <c r="BH927" s="8"/>
      <c r="BI927" s="8"/>
    </row>
    <row r="928" spans="1:61" ht="11.25" customHeight="1" x14ac:dyDescent="0.2">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c r="AM928" s="8"/>
      <c r="AN928" s="8"/>
      <c r="AO928" s="8"/>
      <c r="AP928" s="8"/>
      <c r="AQ928" s="8"/>
      <c r="AR928" s="8"/>
      <c r="AS928" s="8"/>
      <c r="AT928" s="8"/>
      <c r="AU928" s="8"/>
      <c r="AV928" s="8"/>
      <c r="AW928" s="8"/>
      <c r="AX928" s="8"/>
      <c r="AY928" s="8"/>
      <c r="AZ928" s="8"/>
      <c r="BA928" s="8"/>
      <c r="BB928" s="8"/>
      <c r="BC928" s="8"/>
      <c r="BD928" s="8"/>
      <c r="BE928" s="8"/>
      <c r="BF928" s="8"/>
      <c r="BG928" s="8"/>
      <c r="BH928" s="8"/>
      <c r="BI928" s="8"/>
    </row>
    <row r="929" spans="1:61" ht="11.25" customHeight="1" x14ac:dyDescent="0.2">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c r="AK929" s="8"/>
      <c r="AL929" s="8"/>
      <c r="AM929" s="8"/>
      <c r="AN929" s="8"/>
      <c r="AO929" s="8"/>
      <c r="AP929" s="8"/>
      <c r="AQ929" s="8"/>
      <c r="AR929" s="8"/>
      <c r="AS929" s="8"/>
      <c r="AT929" s="8"/>
      <c r="AU929" s="8"/>
      <c r="AV929" s="8"/>
      <c r="AW929" s="8"/>
      <c r="AX929" s="8"/>
      <c r="AY929" s="8"/>
      <c r="AZ929" s="8"/>
      <c r="BA929" s="8"/>
      <c r="BB929" s="8"/>
      <c r="BC929" s="8"/>
      <c r="BD929" s="8"/>
      <c r="BE929" s="8"/>
      <c r="BF929" s="8"/>
      <c r="BG929" s="8"/>
      <c r="BH929" s="8"/>
      <c r="BI929" s="8"/>
    </row>
    <row r="930" spans="1:61" ht="11.25" customHeight="1" x14ac:dyDescent="0.2">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c r="AM930" s="8"/>
      <c r="AN930" s="8"/>
      <c r="AO930" s="8"/>
      <c r="AP930" s="8"/>
      <c r="AQ930" s="8"/>
      <c r="AR930" s="8"/>
      <c r="AS930" s="8"/>
      <c r="AT930" s="8"/>
      <c r="AU930" s="8"/>
      <c r="AV930" s="8"/>
      <c r="AW930" s="8"/>
      <c r="AX930" s="8"/>
      <c r="AY930" s="8"/>
      <c r="AZ930" s="8"/>
      <c r="BA930" s="8"/>
      <c r="BB930" s="8"/>
      <c r="BC930" s="8"/>
      <c r="BD930" s="8"/>
      <c r="BE930" s="8"/>
      <c r="BF930" s="8"/>
      <c r="BG930" s="8"/>
      <c r="BH930" s="8"/>
      <c r="BI930" s="8"/>
    </row>
    <row r="931" spans="1:61" ht="11.25" customHeight="1" x14ac:dyDescent="0.2">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c r="AK931" s="8"/>
      <c r="AL931" s="8"/>
      <c r="AM931" s="8"/>
      <c r="AN931" s="8"/>
      <c r="AO931" s="8"/>
      <c r="AP931" s="8"/>
      <c r="AQ931" s="8"/>
      <c r="AR931" s="8"/>
      <c r="AS931" s="8"/>
      <c r="AT931" s="8"/>
      <c r="AU931" s="8"/>
      <c r="AV931" s="8"/>
      <c r="AW931" s="8"/>
      <c r="AX931" s="8"/>
      <c r="AY931" s="8"/>
      <c r="AZ931" s="8"/>
      <c r="BA931" s="8"/>
      <c r="BB931" s="8"/>
      <c r="BC931" s="8"/>
      <c r="BD931" s="8"/>
      <c r="BE931" s="8"/>
      <c r="BF931" s="8"/>
      <c r="BG931" s="8"/>
      <c r="BH931" s="8"/>
      <c r="BI931" s="8"/>
    </row>
    <row r="932" spans="1:61" ht="11.25" customHeight="1" x14ac:dyDescent="0.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c r="AK932" s="8"/>
      <c r="AL932" s="8"/>
      <c r="AM932" s="8"/>
      <c r="AN932" s="8"/>
      <c r="AO932" s="8"/>
      <c r="AP932" s="8"/>
      <c r="AQ932" s="8"/>
      <c r="AR932" s="8"/>
      <c r="AS932" s="8"/>
      <c r="AT932" s="8"/>
      <c r="AU932" s="8"/>
      <c r="AV932" s="8"/>
      <c r="AW932" s="8"/>
      <c r="AX932" s="8"/>
      <c r="AY932" s="8"/>
      <c r="AZ932" s="8"/>
      <c r="BA932" s="8"/>
      <c r="BB932" s="8"/>
      <c r="BC932" s="8"/>
      <c r="BD932" s="8"/>
      <c r="BE932" s="8"/>
      <c r="BF932" s="8"/>
      <c r="BG932" s="8"/>
      <c r="BH932" s="8"/>
      <c r="BI932" s="8"/>
    </row>
    <row r="933" spans="1:61" ht="11.25" customHeight="1" x14ac:dyDescent="0.2">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c r="AM933" s="8"/>
      <c r="AN933" s="8"/>
      <c r="AO933" s="8"/>
      <c r="AP933" s="8"/>
      <c r="AQ933" s="8"/>
      <c r="AR933" s="8"/>
      <c r="AS933" s="8"/>
      <c r="AT933" s="8"/>
      <c r="AU933" s="8"/>
      <c r="AV933" s="8"/>
      <c r="AW933" s="8"/>
      <c r="AX933" s="8"/>
      <c r="AY933" s="8"/>
      <c r="AZ933" s="8"/>
      <c r="BA933" s="8"/>
      <c r="BB933" s="8"/>
      <c r="BC933" s="8"/>
      <c r="BD933" s="8"/>
      <c r="BE933" s="8"/>
      <c r="BF933" s="8"/>
      <c r="BG933" s="8"/>
      <c r="BH933" s="8"/>
      <c r="BI933" s="8"/>
    </row>
    <row r="934" spans="1:61" ht="11.25" customHeight="1" x14ac:dyDescent="0.2">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c r="AK934" s="8"/>
      <c r="AL934" s="8"/>
      <c r="AM934" s="8"/>
      <c r="AN934" s="8"/>
      <c r="AO934" s="8"/>
      <c r="AP934" s="8"/>
      <c r="AQ934" s="8"/>
      <c r="AR934" s="8"/>
      <c r="AS934" s="8"/>
      <c r="AT934" s="8"/>
      <c r="AU934" s="8"/>
      <c r="AV934" s="8"/>
      <c r="AW934" s="8"/>
      <c r="AX934" s="8"/>
      <c r="AY934" s="8"/>
      <c r="AZ934" s="8"/>
      <c r="BA934" s="8"/>
      <c r="BB934" s="8"/>
      <c r="BC934" s="8"/>
      <c r="BD934" s="8"/>
      <c r="BE934" s="8"/>
      <c r="BF934" s="8"/>
      <c r="BG934" s="8"/>
      <c r="BH934" s="8"/>
      <c r="BI934" s="8"/>
    </row>
    <row r="935" spans="1:61" ht="11.25" customHeight="1" x14ac:dyDescent="0.2">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c r="AK935" s="8"/>
      <c r="AL935" s="8"/>
      <c r="AM935" s="8"/>
      <c r="AN935" s="8"/>
      <c r="AO935" s="8"/>
      <c r="AP935" s="8"/>
      <c r="AQ935" s="8"/>
      <c r="AR935" s="8"/>
      <c r="AS935" s="8"/>
      <c r="AT935" s="8"/>
      <c r="AU935" s="8"/>
      <c r="AV935" s="8"/>
      <c r="AW935" s="8"/>
      <c r="AX935" s="8"/>
      <c r="AY935" s="8"/>
      <c r="AZ935" s="8"/>
      <c r="BA935" s="8"/>
      <c r="BB935" s="8"/>
      <c r="BC935" s="8"/>
      <c r="BD935" s="8"/>
      <c r="BE935" s="8"/>
      <c r="BF935" s="8"/>
      <c r="BG935" s="8"/>
      <c r="BH935" s="8"/>
      <c r="BI935" s="8"/>
    </row>
    <row r="936" spans="1:61" ht="11.25" customHeight="1" x14ac:dyDescent="0.2">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c r="AK936" s="8"/>
      <c r="AL936" s="8"/>
      <c r="AM936" s="8"/>
      <c r="AN936" s="8"/>
      <c r="AO936" s="8"/>
      <c r="AP936" s="8"/>
      <c r="AQ936" s="8"/>
      <c r="AR936" s="8"/>
      <c r="AS936" s="8"/>
      <c r="AT936" s="8"/>
      <c r="AU936" s="8"/>
      <c r="AV936" s="8"/>
      <c r="AW936" s="8"/>
      <c r="AX936" s="8"/>
      <c r="AY936" s="8"/>
      <c r="AZ936" s="8"/>
      <c r="BA936" s="8"/>
      <c r="BB936" s="8"/>
      <c r="BC936" s="8"/>
      <c r="BD936" s="8"/>
      <c r="BE936" s="8"/>
      <c r="BF936" s="8"/>
      <c r="BG936" s="8"/>
      <c r="BH936" s="8"/>
      <c r="BI936" s="8"/>
    </row>
    <row r="937" spans="1:61" ht="11.25" customHeight="1" x14ac:dyDescent="0.2">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c r="AK937" s="8"/>
      <c r="AL937" s="8"/>
      <c r="AM937" s="8"/>
      <c r="AN937" s="8"/>
      <c r="AO937" s="8"/>
      <c r="AP937" s="8"/>
      <c r="AQ937" s="8"/>
      <c r="AR937" s="8"/>
      <c r="AS937" s="8"/>
      <c r="AT937" s="8"/>
      <c r="AU937" s="8"/>
      <c r="AV937" s="8"/>
      <c r="AW937" s="8"/>
      <c r="AX937" s="8"/>
      <c r="AY937" s="8"/>
      <c r="AZ937" s="8"/>
      <c r="BA937" s="8"/>
      <c r="BB937" s="8"/>
      <c r="BC937" s="8"/>
      <c r="BD937" s="8"/>
      <c r="BE937" s="8"/>
      <c r="BF937" s="8"/>
      <c r="BG937" s="8"/>
      <c r="BH937" s="8"/>
      <c r="BI937" s="8"/>
    </row>
    <row r="938" spans="1:61" ht="11.25" customHeight="1" x14ac:dyDescent="0.2">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c r="AK938" s="8"/>
      <c r="AL938" s="8"/>
      <c r="AM938" s="8"/>
      <c r="AN938" s="8"/>
      <c r="AO938" s="8"/>
      <c r="AP938" s="8"/>
      <c r="AQ938" s="8"/>
      <c r="AR938" s="8"/>
      <c r="AS938" s="8"/>
      <c r="AT938" s="8"/>
      <c r="AU938" s="8"/>
      <c r="AV938" s="8"/>
      <c r="AW938" s="8"/>
      <c r="AX938" s="8"/>
      <c r="AY938" s="8"/>
      <c r="AZ938" s="8"/>
      <c r="BA938" s="8"/>
      <c r="BB938" s="8"/>
      <c r="BC938" s="8"/>
      <c r="BD938" s="8"/>
      <c r="BE938" s="8"/>
      <c r="BF938" s="8"/>
      <c r="BG938" s="8"/>
      <c r="BH938" s="8"/>
      <c r="BI938" s="8"/>
    </row>
    <row r="939" spans="1:61" ht="11.25" customHeight="1" x14ac:dyDescent="0.2">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c r="AK939" s="8"/>
      <c r="AL939" s="8"/>
      <c r="AM939" s="8"/>
      <c r="AN939" s="8"/>
      <c r="AO939" s="8"/>
      <c r="AP939" s="8"/>
      <c r="AQ939" s="8"/>
      <c r="AR939" s="8"/>
      <c r="AS939" s="8"/>
      <c r="AT939" s="8"/>
      <c r="AU939" s="8"/>
      <c r="AV939" s="8"/>
      <c r="AW939" s="8"/>
      <c r="AX939" s="8"/>
      <c r="AY939" s="8"/>
      <c r="AZ939" s="8"/>
      <c r="BA939" s="8"/>
      <c r="BB939" s="8"/>
      <c r="BC939" s="8"/>
      <c r="BD939" s="8"/>
      <c r="BE939" s="8"/>
      <c r="BF939" s="8"/>
      <c r="BG939" s="8"/>
      <c r="BH939" s="8"/>
      <c r="BI939" s="8"/>
    </row>
    <row r="940" spans="1:61" ht="11.25" customHeight="1" x14ac:dyDescent="0.2">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c r="AK940" s="8"/>
      <c r="AL940" s="8"/>
      <c r="AM940" s="8"/>
      <c r="AN940" s="8"/>
      <c r="AO940" s="8"/>
      <c r="AP940" s="8"/>
      <c r="AQ940" s="8"/>
      <c r="AR940" s="8"/>
      <c r="AS940" s="8"/>
      <c r="AT940" s="8"/>
      <c r="AU940" s="8"/>
      <c r="AV940" s="8"/>
      <c r="AW940" s="8"/>
      <c r="AX940" s="8"/>
      <c r="AY940" s="8"/>
      <c r="AZ940" s="8"/>
      <c r="BA940" s="8"/>
      <c r="BB940" s="8"/>
      <c r="BC940" s="8"/>
      <c r="BD940" s="8"/>
      <c r="BE940" s="8"/>
      <c r="BF940" s="8"/>
      <c r="BG940" s="8"/>
      <c r="BH940" s="8"/>
      <c r="BI940" s="8"/>
    </row>
    <row r="941" spans="1:61" ht="11.25" customHeight="1" x14ac:dyDescent="0.2">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c r="AK941" s="8"/>
      <c r="AL941" s="8"/>
      <c r="AM941" s="8"/>
      <c r="AN941" s="8"/>
      <c r="AO941" s="8"/>
      <c r="AP941" s="8"/>
      <c r="AQ941" s="8"/>
      <c r="AR941" s="8"/>
      <c r="AS941" s="8"/>
      <c r="AT941" s="8"/>
      <c r="AU941" s="8"/>
      <c r="AV941" s="8"/>
      <c r="AW941" s="8"/>
      <c r="AX941" s="8"/>
      <c r="AY941" s="8"/>
      <c r="AZ941" s="8"/>
      <c r="BA941" s="8"/>
      <c r="BB941" s="8"/>
      <c r="BC941" s="8"/>
      <c r="BD941" s="8"/>
      <c r="BE941" s="8"/>
      <c r="BF941" s="8"/>
      <c r="BG941" s="8"/>
      <c r="BH941" s="8"/>
      <c r="BI941" s="8"/>
    </row>
    <row r="942" spans="1:61" ht="11.25" customHeight="1" x14ac:dyDescent="0.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c r="AK942" s="8"/>
      <c r="AL942" s="8"/>
      <c r="AM942" s="8"/>
      <c r="AN942" s="8"/>
      <c r="AO942" s="8"/>
      <c r="AP942" s="8"/>
      <c r="AQ942" s="8"/>
      <c r="AR942" s="8"/>
      <c r="AS942" s="8"/>
      <c r="AT942" s="8"/>
      <c r="AU942" s="8"/>
      <c r="AV942" s="8"/>
      <c r="AW942" s="8"/>
      <c r="AX942" s="8"/>
      <c r="AY942" s="8"/>
      <c r="AZ942" s="8"/>
      <c r="BA942" s="8"/>
      <c r="BB942" s="8"/>
      <c r="BC942" s="8"/>
      <c r="BD942" s="8"/>
      <c r="BE942" s="8"/>
      <c r="BF942" s="8"/>
      <c r="BG942" s="8"/>
      <c r="BH942" s="8"/>
      <c r="BI942" s="8"/>
    </row>
    <row r="943" spans="1:61" ht="11.25" customHeight="1" x14ac:dyDescent="0.2">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c r="AK943" s="8"/>
      <c r="AL943" s="8"/>
      <c r="AM943" s="8"/>
      <c r="AN943" s="8"/>
      <c r="AO943" s="8"/>
      <c r="AP943" s="8"/>
      <c r="AQ943" s="8"/>
      <c r="AR943" s="8"/>
      <c r="AS943" s="8"/>
      <c r="AT943" s="8"/>
      <c r="AU943" s="8"/>
      <c r="AV943" s="8"/>
      <c r="AW943" s="8"/>
      <c r="AX943" s="8"/>
      <c r="AY943" s="8"/>
      <c r="AZ943" s="8"/>
      <c r="BA943" s="8"/>
      <c r="BB943" s="8"/>
      <c r="BC943" s="8"/>
      <c r="BD943" s="8"/>
      <c r="BE943" s="8"/>
      <c r="BF943" s="8"/>
      <c r="BG943" s="8"/>
      <c r="BH943" s="8"/>
      <c r="BI943" s="8"/>
    </row>
    <row r="944" spans="1:61" ht="11.25" customHeight="1" x14ac:dyDescent="0.2">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c r="AK944" s="8"/>
      <c r="AL944" s="8"/>
      <c r="AM944" s="8"/>
      <c r="AN944" s="8"/>
      <c r="AO944" s="8"/>
      <c r="AP944" s="8"/>
      <c r="AQ944" s="8"/>
      <c r="AR944" s="8"/>
      <c r="AS944" s="8"/>
      <c r="AT944" s="8"/>
      <c r="AU944" s="8"/>
      <c r="AV944" s="8"/>
      <c r="AW944" s="8"/>
      <c r="AX944" s="8"/>
      <c r="AY944" s="8"/>
      <c r="AZ944" s="8"/>
      <c r="BA944" s="8"/>
      <c r="BB944" s="8"/>
      <c r="BC944" s="8"/>
      <c r="BD944" s="8"/>
      <c r="BE944" s="8"/>
      <c r="BF944" s="8"/>
      <c r="BG944" s="8"/>
      <c r="BH944" s="8"/>
      <c r="BI944" s="8"/>
    </row>
    <row r="945" spans="1:61" ht="11.25" customHeight="1" x14ac:dyDescent="0.2">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c r="AK945" s="8"/>
      <c r="AL945" s="8"/>
      <c r="AM945" s="8"/>
      <c r="AN945" s="8"/>
      <c r="AO945" s="8"/>
      <c r="AP945" s="8"/>
      <c r="AQ945" s="8"/>
      <c r="AR945" s="8"/>
      <c r="AS945" s="8"/>
      <c r="AT945" s="8"/>
      <c r="AU945" s="8"/>
      <c r="AV945" s="8"/>
      <c r="AW945" s="8"/>
      <c r="AX945" s="8"/>
      <c r="AY945" s="8"/>
      <c r="AZ945" s="8"/>
      <c r="BA945" s="8"/>
      <c r="BB945" s="8"/>
      <c r="BC945" s="8"/>
      <c r="BD945" s="8"/>
      <c r="BE945" s="8"/>
      <c r="BF945" s="8"/>
      <c r="BG945" s="8"/>
      <c r="BH945" s="8"/>
      <c r="BI945" s="8"/>
    </row>
    <row r="946" spans="1:61" ht="11.25" customHeight="1" x14ac:dyDescent="0.2">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c r="AK946" s="8"/>
      <c r="AL946" s="8"/>
      <c r="AM946" s="8"/>
      <c r="AN946" s="8"/>
      <c r="AO946" s="8"/>
      <c r="AP946" s="8"/>
      <c r="AQ946" s="8"/>
      <c r="AR946" s="8"/>
      <c r="AS946" s="8"/>
      <c r="AT946" s="8"/>
      <c r="AU946" s="8"/>
      <c r="AV946" s="8"/>
      <c r="AW946" s="8"/>
      <c r="AX946" s="8"/>
      <c r="AY946" s="8"/>
      <c r="AZ946" s="8"/>
      <c r="BA946" s="8"/>
      <c r="BB946" s="8"/>
      <c r="BC946" s="8"/>
      <c r="BD946" s="8"/>
      <c r="BE946" s="8"/>
      <c r="BF946" s="8"/>
      <c r="BG946" s="8"/>
      <c r="BH946" s="8"/>
      <c r="BI946" s="8"/>
    </row>
    <row r="947" spans="1:61" ht="11.25" customHeight="1" x14ac:dyDescent="0.2">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c r="AK947" s="8"/>
      <c r="AL947" s="8"/>
      <c r="AM947" s="8"/>
      <c r="AN947" s="8"/>
      <c r="AO947" s="8"/>
      <c r="AP947" s="8"/>
      <c r="AQ947" s="8"/>
      <c r="AR947" s="8"/>
      <c r="AS947" s="8"/>
      <c r="AT947" s="8"/>
      <c r="AU947" s="8"/>
      <c r="AV947" s="8"/>
      <c r="AW947" s="8"/>
      <c r="AX947" s="8"/>
      <c r="AY947" s="8"/>
      <c r="AZ947" s="8"/>
      <c r="BA947" s="8"/>
      <c r="BB947" s="8"/>
      <c r="BC947" s="8"/>
      <c r="BD947" s="8"/>
      <c r="BE947" s="8"/>
      <c r="BF947" s="8"/>
      <c r="BG947" s="8"/>
      <c r="BH947" s="8"/>
      <c r="BI947" s="8"/>
    </row>
    <row r="948" spans="1:61" ht="11.25" customHeight="1" x14ac:dyDescent="0.2">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c r="AK948" s="8"/>
      <c r="AL948" s="8"/>
      <c r="AM948" s="8"/>
      <c r="AN948" s="8"/>
      <c r="AO948" s="8"/>
      <c r="AP948" s="8"/>
      <c r="AQ948" s="8"/>
      <c r="AR948" s="8"/>
      <c r="AS948" s="8"/>
      <c r="AT948" s="8"/>
      <c r="AU948" s="8"/>
      <c r="AV948" s="8"/>
      <c r="AW948" s="8"/>
      <c r="AX948" s="8"/>
      <c r="AY948" s="8"/>
      <c r="AZ948" s="8"/>
      <c r="BA948" s="8"/>
      <c r="BB948" s="8"/>
      <c r="BC948" s="8"/>
      <c r="BD948" s="8"/>
      <c r="BE948" s="8"/>
      <c r="BF948" s="8"/>
      <c r="BG948" s="8"/>
      <c r="BH948" s="8"/>
      <c r="BI948" s="8"/>
    </row>
    <row r="949" spans="1:61" ht="11.25" customHeight="1" x14ac:dyDescent="0.2">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c r="AK949" s="8"/>
      <c r="AL949" s="8"/>
      <c r="AM949" s="8"/>
      <c r="AN949" s="8"/>
      <c r="AO949" s="8"/>
      <c r="AP949" s="8"/>
      <c r="AQ949" s="8"/>
      <c r="AR949" s="8"/>
      <c r="AS949" s="8"/>
      <c r="AT949" s="8"/>
      <c r="AU949" s="8"/>
      <c r="AV949" s="8"/>
      <c r="AW949" s="8"/>
      <c r="AX949" s="8"/>
      <c r="AY949" s="8"/>
      <c r="AZ949" s="8"/>
      <c r="BA949" s="8"/>
      <c r="BB949" s="8"/>
      <c r="BC949" s="8"/>
      <c r="BD949" s="8"/>
      <c r="BE949" s="8"/>
      <c r="BF949" s="8"/>
      <c r="BG949" s="8"/>
      <c r="BH949" s="8"/>
      <c r="BI949" s="8"/>
    </row>
    <row r="950" spans="1:61" ht="11.25" customHeight="1" x14ac:dyDescent="0.2">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c r="AM950" s="8"/>
      <c r="AN950" s="8"/>
      <c r="AO950" s="8"/>
      <c r="AP950" s="8"/>
      <c r="AQ950" s="8"/>
      <c r="AR950" s="8"/>
      <c r="AS950" s="8"/>
      <c r="AT950" s="8"/>
      <c r="AU950" s="8"/>
      <c r="AV950" s="8"/>
      <c r="AW950" s="8"/>
      <c r="AX950" s="8"/>
      <c r="AY950" s="8"/>
      <c r="AZ950" s="8"/>
      <c r="BA950" s="8"/>
      <c r="BB950" s="8"/>
      <c r="BC950" s="8"/>
      <c r="BD950" s="8"/>
      <c r="BE950" s="8"/>
      <c r="BF950" s="8"/>
      <c r="BG950" s="8"/>
      <c r="BH950" s="8"/>
      <c r="BI950" s="8"/>
    </row>
    <row r="951" spans="1:61" ht="11.25" customHeight="1" x14ac:dyDescent="0.2">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8"/>
      <c r="AZ951" s="8"/>
      <c r="BA951" s="8"/>
      <c r="BB951" s="8"/>
      <c r="BC951" s="8"/>
      <c r="BD951" s="8"/>
      <c r="BE951" s="8"/>
      <c r="BF951" s="8"/>
      <c r="BG951" s="8"/>
      <c r="BH951" s="8"/>
      <c r="BI951" s="8"/>
    </row>
    <row r="952" spans="1:61" ht="11.25" customHeight="1" x14ac:dyDescent="0.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c r="AK952" s="8"/>
      <c r="AL952" s="8"/>
      <c r="AM952" s="8"/>
      <c r="AN952" s="8"/>
      <c r="AO952" s="8"/>
      <c r="AP952" s="8"/>
      <c r="AQ952" s="8"/>
      <c r="AR952" s="8"/>
      <c r="AS952" s="8"/>
      <c r="AT952" s="8"/>
      <c r="AU952" s="8"/>
      <c r="AV952" s="8"/>
      <c r="AW952" s="8"/>
      <c r="AX952" s="8"/>
      <c r="AY952" s="8"/>
      <c r="AZ952" s="8"/>
      <c r="BA952" s="8"/>
      <c r="BB952" s="8"/>
      <c r="BC952" s="8"/>
      <c r="BD952" s="8"/>
      <c r="BE952" s="8"/>
      <c r="BF952" s="8"/>
      <c r="BG952" s="8"/>
      <c r="BH952" s="8"/>
      <c r="BI952" s="8"/>
    </row>
    <row r="953" spans="1:61" ht="11.25" customHeight="1" x14ac:dyDescent="0.2">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c r="AT953" s="8"/>
      <c r="AU953" s="8"/>
      <c r="AV953" s="8"/>
      <c r="AW953" s="8"/>
      <c r="AX953" s="8"/>
      <c r="AY953" s="8"/>
      <c r="AZ953" s="8"/>
      <c r="BA953" s="8"/>
      <c r="BB953" s="8"/>
      <c r="BC953" s="8"/>
      <c r="BD953" s="8"/>
      <c r="BE953" s="8"/>
      <c r="BF953" s="8"/>
      <c r="BG953" s="8"/>
      <c r="BH953" s="8"/>
      <c r="BI953" s="8"/>
    </row>
    <row r="954" spans="1:61" ht="11.25" customHeight="1" x14ac:dyDescent="0.2">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c r="AK954" s="8"/>
      <c r="AL954" s="8"/>
      <c r="AM954" s="8"/>
      <c r="AN954" s="8"/>
      <c r="AO954" s="8"/>
      <c r="AP954" s="8"/>
      <c r="AQ954" s="8"/>
      <c r="AR954" s="8"/>
      <c r="AS954" s="8"/>
      <c r="AT954" s="8"/>
      <c r="AU954" s="8"/>
      <c r="AV954" s="8"/>
      <c r="AW954" s="8"/>
      <c r="AX954" s="8"/>
      <c r="AY954" s="8"/>
      <c r="AZ954" s="8"/>
      <c r="BA954" s="8"/>
      <c r="BB954" s="8"/>
      <c r="BC954" s="8"/>
      <c r="BD954" s="8"/>
      <c r="BE954" s="8"/>
      <c r="BF954" s="8"/>
      <c r="BG954" s="8"/>
      <c r="BH954" s="8"/>
      <c r="BI954" s="8"/>
    </row>
    <row r="955" spans="1:61" ht="11.25" customHeight="1" x14ac:dyDescent="0.2">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c r="AK955" s="8"/>
      <c r="AL955" s="8"/>
      <c r="AM955" s="8"/>
      <c r="AN955" s="8"/>
      <c r="AO955" s="8"/>
      <c r="AP955" s="8"/>
      <c r="AQ955" s="8"/>
      <c r="AR955" s="8"/>
      <c r="AS955" s="8"/>
      <c r="AT955" s="8"/>
      <c r="AU955" s="8"/>
      <c r="AV955" s="8"/>
      <c r="AW955" s="8"/>
      <c r="AX955" s="8"/>
      <c r="AY955" s="8"/>
      <c r="AZ955" s="8"/>
      <c r="BA955" s="8"/>
      <c r="BB955" s="8"/>
      <c r="BC955" s="8"/>
      <c r="BD955" s="8"/>
      <c r="BE955" s="8"/>
      <c r="BF955" s="8"/>
      <c r="BG955" s="8"/>
      <c r="BH955" s="8"/>
      <c r="BI955" s="8"/>
    </row>
    <row r="956" spans="1:61" ht="11.25" customHeight="1" x14ac:dyDescent="0.2">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c r="AM956" s="8"/>
      <c r="AN956" s="8"/>
      <c r="AO956" s="8"/>
      <c r="AP956" s="8"/>
      <c r="AQ956" s="8"/>
      <c r="AR956" s="8"/>
      <c r="AS956" s="8"/>
      <c r="AT956" s="8"/>
      <c r="AU956" s="8"/>
      <c r="AV956" s="8"/>
      <c r="AW956" s="8"/>
      <c r="AX956" s="8"/>
      <c r="AY956" s="8"/>
      <c r="AZ956" s="8"/>
      <c r="BA956" s="8"/>
      <c r="BB956" s="8"/>
      <c r="BC956" s="8"/>
      <c r="BD956" s="8"/>
      <c r="BE956" s="8"/>
      <c r="BF956" s="8"/>
      <c r="BG956" s="8"/>
      <c r="BH956" s="8"/>
      <c r="BI956" s="8"/>
    </row>
    <row r="957" spans="1:61" ht="11.25" customHeight="1" x14ac:dyDescent="0.2">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c r="AK957" s="8"/>
      <c r="AL957" s="8"/>
      <c r="AM957" s="8"/>
      <c r="AN957" s="8"/>
      <c r="AO957" s="8"/>
      <c r="AP957" s="8"/>
      <c r="AQ957" s="8"/>
      <c r="AR957" s="8"/>
      <c r="AS957" s="8"/>
      <c r="AT957" s="8"/>
      <c r="AU957" s="8"/>
      <c r="AV957" s="8"/>
      <c r="AW957" s="8"/>
      <c r="AX957" s="8"/>
      <c r="AY957" s="8"/>
      <c r="AZ957" s="8"/>
      <c r="BA957" s="8"/>
      <c r="BB957" s="8"/>
      <c r="BC957" s="8"/>
      <c r="BD957" s="8"/>
      <c r="BE957" s="8"/>
      <c r="BF957" s="8"/>
      <c r="BG957" s="8"/>
      <c r="BH957" s="8"/>
      <c r="BI957" s="8"/>
    </row>
    <row r="958" spans="1:61" ht="11.25" customHeight="1" x14ac:dyDescent="0.2">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c r="AK958" s="8"/>
      <c r="AL958" s="8"/>
      <c r="AM958" s="8"/>
      <c r="AN958" s="8"/>
      <c r="AO958" s="8"/>
      <c r="AP958" s="8"/>
      <c r="AQ958" s="8"/>
      <c r="AR958" s="8"/>
      <c r="AS958" s="8"/>
      <c r="AT958" s="8"/>
      <c r="AU958" s="8"/>
      <c r="AV958" s="8"/>
      <c r="AW958" s="8"/>
      <c r="AX958" s="8"/>
      <c r="AY958" s="8"/>
      <c r="AZ958" s="8"/>
      <c r="BA958" s="8"/>
      <c r="BB958" s="8"/>
      <c r="BC958" s="8"/>
      <c r="BD958" s="8"/>
      <c r="BE958" s="8"/>
      <c r="BF958" s="8"/>
      <c r="BG958" s="8"/>
      <c r="BH958" s="8"/>
      <c r="BI958" s="8"/>
    </row>
    <row r="959" spans="1:61" ht="11.25" customHeight="1" x14ac:dyDescent="0.2">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c r="AK959" s="8"/>
      <c r="AL959" s="8"/>
      <c r="AM959" s="8"/>
      <c r="AN959" s="8"/>
      <c r="AO959" s="8"/>
      <c r="AP959" s="8"/>
      <c r="AQ959" s="8"/>
      <c r="AR959" s="8"/>
      <c r="AS959" s="8"/>
      <c r="AT959" s="8"/>
      <c r="AU959" s="8"/>
      <c r="AV959" s="8"/>
      <c r="AW959" s="8"/>
      <c r="AX959" s="8"/>
      <c r="AY959" s="8"/>
      <c r="AZ959" s="8"/>
      <c r="BA959" s="8"/>
      <c r="BB959" s="8"/>
      <c r="BC959" s="8"/>
      <c r="BD959" s="8"/>
      <c r="BE959" s="8"/>
      <c r="BF959" s="8"/>
      <c r="BG959" s="8"/>
      <c r="BH959" s="8"/>
      <c r="BI959" s="8"/>
    </row>
    <row r="960" spans="1:61" ht="11.25" customHeight="1" x14ac:dyDescent="0.2">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c r="AK960" s="8"/>
      <c r="AL960" s="8"/>
      <c r="AM960" s="8"/>
      <c r="AN960" s="8"/>
      <c r="AO960" s="8"/>
      <c r="AP960" s="8"/>
      <c r="AQ960" s="8"/>
      <c r="AR960" s="8"/>
      <c r="AS960" s="8"/>
      <c r="AT960" s="8"/>
      <c r="AU960" s="8"/>
      <c r="AV960" s="8"/>
      <c r="AW960" s="8"/>
      <c r="AX960" s="8"/>
      <c r="AY960" s="8"/>
      <c r="AZ960" s="8"/>
      <c r="BA960" s="8"/>
      <c r="BB960" s="8"/>
      <c r="BC960" s="8"/>
      <c r="BD960" s="8"/>
      <c r="BE960" s="8"/>
      <c r="BF960" s="8"/>
      <c r="BG960" s="8"/>
      <c r="BH960" s="8"/>
      <c r="BI960" s="8"/>
    </row>
    <row r="961" spans="1:61" ht="11.25" customHeight="1" x14ac:dyDescent="0.2">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c r="AK961" s="8"/>
      <c r="AL961" s="8"/>
      <c r="AM961" s="8"/>
      <c r="AN961" s="8"/>
      <c r="AO961" s="8"/>
      <c r="AP961" s="8"/>
      <c r="AQ961" s="8"/>
      <c r="AR961" s="8"/>
      <c r="AS961" s="8"/>
      <c r="AT961" s="8"/>
      <c r="AU961" s="8"/>
      <c r="AV961" s="8"/>
      <c r="AW961" s="8"/>
      <c r="AX961" s="8"/>
      <c r="AY961" s="8"/>
      <c r="AZ961" s="8"/>
      <c r="BA961" s="8"/>
      <c r="BB961" s="8"/>
      <c r="BC961" s="8"/>
      <c r="BD961" s="8"/>
      <c r="BE961" s="8"/>
      <c r="BF961" s="8"/>
      <c r="BG961" s="8"/>
      <c r="BH961" s="8"/>
      <c r="BI961" s="8"/>
    </row>
    <row r="962" spans="1:61" ht="11.25" customHeight="1" x14ac:dyDescent="0.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row>
    <row r="963" spans="1:61" ht="11.25" customHeight="1" x14ac:dyDescent="0.2">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c r="AK963" s="8"/>
      <c r="AL963" s="8"/>
      <c r="AM963" s="8"/>
      <c r="AN963" s="8"/>
      <c r="AO963" s="8"/>
      <c r="AP963" s="8"/>
      <c r="AQ963" s="8"/>
      <c r="AR963" s="8"/>
      <c r="AS963" s="8"/>
      <c r="AT963" s="8"/>
      <c r="AU963" s="8"/>
      <c r="AV963" s="8"/>
      <c r="AW963" s="8"/>
      <c r="AX963" s="8"/>
      <c r="AY963" s="8"/>
      <c r="AZ963" s="8"/>
      <c r="BA963" s="8"/>
      <c r="BB963" s="8"/>
      <c r="BC963" s="8"/>
      <c r="BD963" s="8"/>
      <c r="BE963" s="8"/>
      <c r="BF963" s="8"/>
      <c r="BG963" s="8"/>
      <c r="BH963" s="8"/>
      <c r="BI963" s="8"/>
    </row>
    <row r="964" spans="1:61" ht="11.25" customHeight="1" x14ac:dyDescent="0.2">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c r="AK964" s="8"/>
      <c r="AL964" s="8"/>
      <c r="AM964" s="8"/>
      <c r="AN964" s="8"/>
      <c r="AO964" s="8"/>
      <c r="AP964" s="8"/>
      <c r="AQ964" s="8"/>
      <c r="AR964" s="8"/>
      <c r="AS964" s="8"/>
      <c r="AT964" s="8"/>
      <c r="AU964" s="8"/>
      <c r="AV964" s="8"/>
      <c r="AW964" s="8"/>
      <c r="AX964" s="8"/>
      <c r="AY964" s="8"/>
      <c r="AZ964" s="8"/>
      <c r="BA964" s="8"/>
      <c r="BB964" s="8"/>
      <c r="BC964" s="8"/>
      <c r="BD964" s="8"/>
      <c r="BE964" s="8"/>
      <c r="BF964" s="8"/>
      <c r="BG964" s="8"/>
      <c r="BH964" s="8"/>
      <c r="BI964" s="8"/>
    </row>
    <row r="965" spans="1:61" ht="11.25" customHeight="1" x14ac:dyDescent="0.2">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c r="AK965" s="8"/>
      <c r="AL965" s="8"/>
      <c r="AM965" s="8"/>
      <c r="AN965" s="8"/>
      <c r="AO965" s="8"/>
      <c r="AP965" s="8"/>
      <c r="AQ965" s="8"/>
      <c r="AR965" s="8"/>
      <c r="AS965" s="8"/>
      <c r="AT965" s="8"/>
      <c r="AU965" s="8"/>
      <c r="AV965" s="8"/>
      <c r="AW965" s="8"/>
      <c r="AX965" s="8"/>
      <c r="AY965" s="8"/>
      <c r="AZ965" s="8"/>
      <c r="BA965" s="8"/>
      <c r="BB965" s="8"/>
      <c r="BC965" s="8"/>
      <c r="BD965" s="8"/>
      <c r="BE965" s="8"/>
      <c r="BF965" s="8"/>
      <c r="BG965" s="8"/>
      <c r="BH965" s="8"/>
      <c r="BI965" s="8"/>
    </row>
    <row r="966" spans="1:61" ht="11.25" customHeight="1" x14ac:dyDescent="0.2">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c r="AK966" s="8"/>
      <c r="AL966" s="8"/>
      <c r="AM966" s="8"/>
      <c r="AN966" s="8"/>
      <c r="AO966" s="8"/>
      <c r="AP966" s="8"/>
      <c r="AQ966" s="8"/>
      <c r="AR966" s="8"/>
      <c r="AS966" s="8"/>
      <c r="AT966" s="8"/>
      <c r="AU966" s="8"/>
      <c r="AV966" s="8"/>
      <c r="AW966" s="8"/>
      <c r="AX966" s="8"/>
      <c r="AY966" s="8"/>
      <c r="AZ966" s="8"/>
      <c r="BA966" s="8"/>
      <c r="BB966" s="8"/>
      <c r="BC966" s="8"/>
      <c r="BD966" s="8"/>
      <c r="BE966" s="8"/>
      <c r="BF966" s="8"/>
      <c r="BG966" s="8"/>
      <c r="BH966" s="8"/>
      <c r="BI966" s="8"/>
    </row>
    <row r="967" spans="1:61" ht="11.25" customHeight="1" x14ac:dyDescent="0.2">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c r="AK967" s="8"/>
      <c r="AL967" s="8"/>
      <c r="AM967" s="8"/>
      <c r="AN967" s="8"/>
      <c r="AO967" s="8"/>
      <c r="AP967" s="8"/>
      <c r="AQ967" s="8"/>
      <c r="AR967" s="8"/>
      <c r="AS967" s="8"/>
      <c r="AT967" s="8"/>
      <c r="AU967" s="8"/>
      <c r="AV967" s="8"/>
      <c r="AW967" s="8"/>
      <c r="AX967" s="8"/>
      <c r="AY967" s="8"/>
      <c r="AZ967" s="8"/>
      <c r="BA967" s="8"/>
      <c r="BB967" s="8"/>
      <c r="BC967" s="8"/>
      <c r="BD967" s="8"/>
      <c r="BE967" s="8"/>
      <c r="BF967" s="8"/>
      <c r="BG967" s="8"/>
      <c r="BH967" s="8"/>
      <c r="BI967" s="8"/>
    </row>
    <row r="968" spans="1:61" ht="11.25" customHeight="1" x14ac:dyDescent="0.2">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c r="AT968" s="8"/>
      <c r="AU968" s="8"/>
      <c r="AV968" s="8"/>
      <c r="AW968" s="8"/>
      <c r="AX968" s="8"/>
      <c r="AY968" s="8"/>
      <c r="AZ968" s="8"/>
      <c r="BA968" s="8"/>
      <c r="BB968" s="8"/>
      <c r="BC968" s="8"/>
      <c r="BD968" s="8"/>
      <c r="BE968" s="8"/>
      <c r="BF968" s="8"/>
      <c r="BG968" s="8"/>
      <c r="BH968" s="8"/>
      <c r="BI968" s="8"/>
    </row>
    <row r="969" spans="1:61" ht="11.25" customHeight="1" x14ac:dyDescent="0.2">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c r="AK969" s="8"/>
      <c r="AL969" s="8"/>
      <c r="AM969" s="8"/>
      <c r="AN969" s="8"/>
      <c r="AO969" s="8"/>
      <c r="AP969" s="8"/>
      <c r="AQ969" s="8"/>
      <c r="AR969" s="8"/>
      <c r="AS969" s="8"/>
      <c r="AT969" s="8"/>
      <c r="AU969" s="8"/>
      <c r="AV969" s="8"/>
      <c r="AW969" s="8"/>
      <c r="AX969" s="8"/>
      <c r="AY969" s="8"/>
      <c r="AZ969" s="8"/>
      <c r="BA969" s="8"/>
      <c r="BB969" s="8"/>
      <c r="BC969" s="8"/>
      <c r="BD969" s="8"/>
      <c r="BE969" s="8"/>
      <c r="BF969" s="8"/>
      <c r="BG969" s="8"/>
      <c r="BH969" s="8"/>
      <c r="BI969" s="8"/>
    </row>
    <row r="970" spans="1:61" ht="11.25" customHeight="1" x14ac:dyDescent="0.2">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c r="AK970" s="8"/>
      <c r="AL970" s="8"/>
      <c r="AM970" s="8"/>
      <c r="AN970" s="8"/>
      <c r="AO970" s="8"/>
      <c r="AP970" s="8"/>
      <c r="AQ970" s="8"/>
      <c r="AR970" s="8"/>
      <c r="AS970" s="8"/>
      <c r="AT970" s="8"/>
      <c r="AU970" s="8"/>
      <c r="AV970" s="8"/>
      <c r="AW970" s="8"/>
      <c r="AX970" s="8"/>
      <c r="AY970" s="8"/>
      <c r="AZ970" s="8"/>
      <c r="BA970" s="8"/>
      <c r="BB970" s="8"/>
      <c r="BC970" s="8"/>
      <c r="BD970" s="8"/>
      <c r="BE970" s="8"/>
      <c r="BF970" s="8"/>
      <c r="BG970" s="8"/>
      <c r="BH970" s="8"/>
      <c r="BI970" s="8"/>
    </row>
    <row r="971" spans="1:61" ht="11.25" customHeight="1" x14ac:dyDescent="0.2">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8"/>
      <c r="AW971" s="8"/>
      <c r="AX971" s="8"/>
      <c r="AY971" s="8"/>
      <c r="AZ971" s="8"/>
      <c r="BA971" s="8"/>
      <c r="BB971" s="8"/>
      <c r="BC971" s="8"/>
      <c r="BD971" s="8"/>
      <c r="BE971" s="8"/>
      <c r="BF971" s="8"/>
      <c r="BG971" s="8"/>
      <c r="BH971" s="8"/>
      <c r="BI971" s="8"/>
    </row>
    <row r="972" spans="1:61" ht="11.25" customHeight="1" x14ac:dyDescent="0.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c r="AT972" s="8"/>
      <c r="AU972" s="8"/>
      <c r="AV972" s="8"/>
      <c r="AW972" s="8"/>
      <c r="AX972" s="8"/>
      <c r="AY972" s="8"/>
      <c r="AZ972" s="8"/>
      <c r="BA972" s="8"/>
      <c r="BB972" s="8"/>
      <c r="BC972" s="8"/>
      <c r="BD972" s="8"/>
      <c r="BE972" s="8"/>
      <c r="BF972" s="8"/>
      <c r="BG972" s="8"/>
      <c r="BH972" s="8"/>
      <c r="BI972" s="8"/>
    </row>
    <row r="973" spans="1:61" ht="11.25" customHeight="1" x14ac:dyDescent="0.2">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8"/>
      <c r="AV973" s="8"/>
      <c r="AW973" s="8"/>
      <c r="AX973" s="8"/>
      <c r="AY973" s="8"/>
      <c r="AZ973" s="8"/>
      <c r="BA973" s="8"/>
      <c r="BB973" s="8"/>
      <c r="BC973" s="8"/>
      <c r="BD973" s="8"/>
      <c r="BE973" s="8"/>
      <c r="BF973" s="8"/>
      <c r="BG973" s="8"/>
      <c r="BH973" s="8"/>
      <c r="BI973" s="8"/>
    </row>
    <row r="974" spans="1:61" ht="11.25" customHeight="1" x14ac:dyDescent="0.2">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8"/>
      <c r="AW974" s="8"/>
      <c r="AX974" s="8"/>
      <c r="AY974" s="8"/>
      <c r="AZ974" s="8"/>
      <c r="BA974" s="8"/>
      <c r="BB974" s="8"/>
      <c r="BC974" s="8"/>
      <c r="BD974" s="8"/>
      <c r="BE974" s="8"/>
      <c r="BF974" s="8"/>
      <c r="BG974" s="8"/>
      <c r="BH974" s="8"/>
      <c r="BI974" s="8"/>
    </row>
    <row r="975" spans="1:61" ht="11.25" customHeight="1" x14ac:dyDescent="0.2">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c r="AM975" s="8"/>
      <c r="AN975" s="8"/>
      <c r="AO975" s="8"/>
      <c r="AP975" s="8"/>
      <c r="AQ975" s="8"/>
      <c r="AR975" s="8"/>
      <c r="AS975" s="8"/>
      <c r="AT975" s="8"/>
      <c r="AU975" s="8"/>
      <c r="AV975" s="8"/>
      <c r="AW975" s="8"/>
      <c r="AX975" s="8"/>
      <c r="AY975" s="8"/>
      <c r="AZ975" s="8"/>
      <c r="BA975" s="8"/>
      <c r="BB975" s="8"/>
      <c r="BC975" s="8"/>
      <c r="BD975" s="8"/>
      <c r="BE975" s="8"/>
      <c r="BF975" s="8"/>
      <c r="BG975" s="8"/>
      <c r="BH975" s="8"/>
      <c r="BI975" s="8"/>
    </row>
    <row r="976" spans="1:61" ht="11.25" customHeight="1" x14ac:dyDescent="0.2">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c r="AK976" s="8"/>
      <c r="AL976" s="8"/>
      <c r="AM976" s="8"/>
      <c r="AN976" s="8"/>
      <c r="AO976" s="8"/>
      <c r="AP976" s="8"/>
      <c r="AQ976" s="8"/>
      <c r="AR976" s="8"/>
      <c r="AS976" s="8"/>
      <c r="AT976" s="8"/>
      <c r="AU976" s="8"/>
      <c r="AV976" s="8"/>
      <c r="AW976" s="8"/>
      <c r="AX976" s="8"/>
      <c r="AY976" s="8"/>
      <c r="AZ976" s="8"/>
      <c r="BA976" s="8"/>
      <c r="BB976" s="8"/>
      <c r="BC976" s="8"/>
      <c r="BD976" s="8"/>
      <c r="BE976" s="8"/>
      <c r="BF976" s="8"/>
      <c r="BG976" s="8"/>
      <c r="BH976" s="8"/>
      <c r="BI976" s="8"/>
    </row>
    <row r="977" spans="1:61" ht="11.25" customHeight="1" x14ac:dyDescent="0.2">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c r="AT977" s="8"/>
      <c r="AU977" s="8"/>
      <c r="AV977" s="8"/>
      <c r="AW977" s="8"/>
      <c r="AX977" s="8"/>
      <c r="AY977" s="8"/>
      <c r="AZ977" s="8"/>
      <c r="BA977" s="8"/>
      <c r="BB977" s="8"/>
      <c r="BC977" s="8"/>
      <c r="BD977" s="8"/>
      <c r="BE977" s="8"/>
      <c r="BF977" s="8"/>
      <c r="BG977" s="8"/>
      <c r="BH977" s="8"/>
      <c r="BI977" s="8"/>
    </row>
    <row r="978" spans="1:61" ht="11.25" customHeight="1" x14ac:dyDescent="0.2">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row>
  </sheetData>
  <mergeCells count="10">
    <mergeCell ref="O14:Q14"/>
    <mergeCell ref="C23:E23"/>
    <mergeCell ref="C24:D24"/>
    <mergeCell ref="J24:M24"/>
    <mergeCell ref="J6:K6"/>
    <mergeCell ref="D8:E8"/>
    <mergeCell ref="C13:E13"/>
    <mergeCell ref="C14:D14"/>
    <mergeCell ref="F14:I14"/>
    <mergeCell ref="L14:N14"/>
  </mergeCells>
  <printOptions gridLines="1"/>
  <pageMargins left="0.16" right="0.18" top="0.32" bottom="0.26" header="0" footer="0"/>
  <pageSetup paperSize="5" orientation="landscape"/>
  <colBreaks count="1" manualBreakCount="1">
    <brk id="31" man="1"/>
  </colBreaks>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N971"/>
  <sheetViews>
    <sheetView showGridLines="0" workbookViewId="0"/>
  </sheetViews>
  <sheetFormatPr defaultColWidth="16.83203125" defaultRowHeight="15" customHeight="1" x14ac:dyDescent="0.2"/>
  <cols>
    <col min="1" max="1" width="3.6640625" style="885" customWidth="1"/>
    <col min="2" max="2" width="41.6640625" style="885" customWidth="1"/>
    <col min="3" max="3" width="19" style="885" customWidth="1"/>
    <col min="4" max="4" width="21.83203125" style="885" customWidth="1"/>
    <col min="5" max="5" width="19.1640625" style="885" customWidth="1"/>
    <col min="6" max="6" width="17.83203125" style="885" customWidth="1"/>
    <col min="7" max="7" width="19.5" style="885" customWidth="1"/>
    <col min="8" max="8" width="15" style="885" customWidth="1"/>
    <col min="9" max="9" width="18.33203125" style="885" bestFit="1" customWidth="1"/>
    <col min="10" max="10" width="18.5" style="885" customWidth="1"/>
    <col min="11" max="11" width="13" style="885" customWidth="1"/>
    <col min="12" max="12" width="16.33203125" style="885" customWidth="1"/>
    <col min="13" max="13" width="18.5" style="885" customWidth="1"/>
    <col min="14" max="14" width="13" style="885" customWidth="1"/>
    <col min="15" max="18" width="8.83203125" style="885" customWidth="1"/>
    <col min="19" max="16384" width="16.83203125" style="885"/>
  </cols>
  <sheetData>
    <row r="2" spans="1:12" ht="21" customHeight="1" x14ac:dyDescent="0.25">
      <c r="B2" s="1022" t="s">
        <v>869</v>
      </c>
      <c r="E2" s="886"/>
      <c r="G2" s="873"/>
      <c r="H2" s="873"/>
    </row>
    <row r="3" spans="1:12" ht="99" customHeight="1" x14ac:dyDescent="0.2">
      <c r="A3" s="873"/>
    </row>
    <row r="4" spans="1:12" ht="11.25" customHeight="1" x14ac:dyDescent="0.2">
      <c r="B4" s="958"/>
      <c r="C4" s="873"/>
      <c r="D4" s="873"/>
      <c r="E4" s="901"/>
      <c r="F4" s="873"/>
      <c r="G4" s="901"/>
      <c r="H4" s="1238"/>
      <c r="I4" s="926"/>
      <c r="J4" s="1239"/>
      <c r="K4" s="873"/>
    </row>
    <row r="5" spans="1:12" ht="12.75" x14ac:dyDescent="0.2">
      <c r="B5" s="1275" t="s">
        <v>870</v>
      </c>
      <c r="C5" s="1241"/>
      <c r="D5" s="1240"/>
      <c r="E5" s="1242"/>
      <c r="F5" s="1241"/>
      <c r="G5" s="901"/>
      <c r="H5" s="2022" t="s">
        <v>1</v>
      </c>
      <c r="I5" s="2023"/>
      <c r="L5" s="873"/>
    </row>
    <row r="6" spans="1:12" ht="18.600000000000001" customHeight="1" x14ac:dyDescent="0.2">
      <c r="B6" s="873"/>
      <c r="C6" s="873"/>
      <c r="D6" s="873"/>
      <c r="E6" s="901"/>
      <c r="F6" s="873"/>
      <c r="G6" s="901"/>
      <c r="H6" s="1279"/>
      <c r="I6" s="1278" t="str">
        <f>Summary!E3</f>
        <v>AR6 100-yr GWP</v>
      </c>
      <c r="J6" s="873"/>
      <c r="K6" s="873"/>
    </row>
    <row r="7" spans="1:12" ht="38.25" x14ac:dyDescent="0.2">
      <c r="B7" s="1243"/>
      <c r="C7" s="1174" t="s">
        <v>871</v>
      </c>
      <c r="D7" s="1175" t="s">
        <v>1864</v>
      </c>
      <c r="E7" s="1175" t="s">
        <v>1865</v>
      </c>
      <c r="F7" s="1176" t="s">
        <v>1866</v>
      </c>
      <c r="G7" s="901"/>
      <c r="H7" s="902" t="str">
        <f>Summary!C4</f>
        <v>CO2</v>
      </c>
      <c r="I7" s="902">
        <f>Summary!E4</f>
        <v>1</v>
      </c>
      <c r="K7" s="873"/>
    </row>
    <row r="8" spans="1:12" ht="12.75" x14ac:dyDescent="0.2">
      <c r="B8" s="1244" t="s">
        <v>872</v>
      </c>
      <c r="C8" s="1177">
        <v>1</v>
      </c>
      <c r="D8" s="897">
        <v>4.1021717966689701</v>
      </c>
      <c r="E8" s="1178">
        <f>C8*D8</f>
        <v>4.1021717966689701</v>
      </c>
      <c r="F8" s="1179">
        <f>E8*I8/1000000</f>
        <v>1.1445059312706427E-4</v>
      </c>
      <c r="G8" s="901"/>
      <c r="H8" s="902" t="str">
        <f>Summary!C5</f>
        <v>CH4</v>
      </c>
      <c r="I8" s="902">
        <f>Summary!E5</f>
        <v>27.9</v>
      </c>
      <c r="K8" s="873"/>
    </row>
    <row r="9" spans="1:12" ht="12.75" x14ac:dyDescent="0.2">
      <c r="B9" s="1245" t="s">
        <v>873</v>
      </c>
      <c r="C9" s="1246"/>
      <c r="D9" s="1247"/>
      <c r="E9" s="1248"/>
      <c r="F9" s="1180">
        <f>F8</f>
        <v>1.1445059312706427E-4</v>
      </c>
      <c r="G9" s="901"/>
      <c r="H9" s="902" t="str">
        <f>Summary!C6</f>
        <v>N2O</v>
      </c>
      <c r="I9" s="902">
        <f>Summary!E6</f>
        <v>273</v>
      </c>
      <c r="K9" s="873"/>
    </row>
    <row r="10" spans="1:12" ht="11.25" customHeight="1" x14ac:dyDescent="0.2">
      <c r="B10" s="873"/>
      <c r="C10" s="873"/>
      <c r="D10" s="873"/>
      <c r="E10" s="873"/>
      <c r="F10" s="873"/>
      <c r="H10" s="902" t="str">
        <f>Summary!C7</f>
        <v>SF6</v>
      </c>
      <c r="I10" s="909">
        <f>Summary!E7</f>
        <v>24300</v>
      </c>
    </row>
    <row r="11" spans="1:12" ht="11.25" customHeight="1" x14ac:dyDescent="0.2">
      <c r="B11" s="873" t="s">
        <v>874</v>
      </c>
      <c r="D11" s="873"/>
      <c r="E11" s="873"/>
      <c r="F11" s="873"/>
    </row>
    <row r="12" spans="1:12" ht="11.25" customHeight="1" x14ac:dyDescent="0.2">
      <c r="B12" s="1249" t="s">
        <v>875</v>
      </c>
      <c r="C12" s="1250"/>
      <c r="D12" s="873"/>
      <c r="E12" s="873"/>
      <c r="F12" s="873"/>
    </row>
    <row r="13" spans="1:12" ht="11.25" customHeight="1" x14ac:dyDescent="0.2"/>
    <row r="14" spans="1:12" ht="11.25" customHeight="1" x14ac:dyDescent="0.2"/>
    <row r="15" spans="1:12" ht="12.75" x14ac:dyDescent="0.2">
      <c r="B15" s="1276" t="s">
        <v>876</v>
      </c>
      <c r="C15" s="1251"/>
      <c r="D15" s="1251"/>
      <c r="E15" s="1252"/>
      <c r="F15" s="1253"/>
      <c r="G15" s="901"/>
      <c r="H15" s="873"/>
      <c r="I15" s="873"/>
      <c r="J15" s="873"/>
    </row>
    <row r="16" spans="1:12" ht="11.25" customHeight="1" x14ac:dyDescent="0.2">
      <c r="B16" s="873"/>
      <c r="C16" s="873"/>
      <c r="D16" s="873"/>
      <c r="E16" s="901"/>
      <c r="F16" s="873"/>
      <c r="G16" s="901"/>
      <c r="H16" s="873"/>
      <c r="I16" s="873"/>
      <c r="J16" s="873"/>
    </row>
    <row r="17" spans="2:9" ht="38.25" x14ac:dyDescent="0.2">
      <c r="B17" s="1254"/>
      <c r="C17" s="1174" t="s">
        <v>871</v>
      </c>
      <c r="D17" s="1175" t="s">
        <v>1864</v>
      </c>
      <c r="E17" s="1175" t="s">
        <v>1865</v>
      </c>
      <c r="F17" s="1176" t="s">
        <v>1866</v>
      </c>
      <c r="G17" s="901"/>
      <c r="I17" s="901"/>
    </row>
    <row r="18" spans="2:9" ht="14.25" customHeight="1" x14ac:dyDescent="0.2">
      <c r="B18" s="1244" t="s">
        <v>877</v>
      </c>
      <c r="C18" s="1183">
        <v>985.65</v>
      </c>
      <c r="D18" s="897">
        <v>0.61847932799999994</v>
      </c>
      <c r="E18" s="1183">
        <f t="shared" ref="E18:E20" si="0">C18*D18</f>
        <v>609.60414964319989</v>
      </c>
      <c r="F18" s="1184">
        <f>E18*I8/1000000</f>
        <v>1.7007955775045276E-2</v>
      </c>
      <c r="G18" s="901"/>
      <c r="H18" s="1255"/>
      <c r="I18" s="1256"/>
    </row>
    <row r="19" spans="2:9" ht="25.5" x14ac:dyDescent="0.2">
      <c r="B19" s="1257" t="s">
        <v>881</v>
      </c>
      <c r="C19" s="905">
        <f>C18*0.006</f>
        <v>5.9138999999999999</v>
      </c>
      <c r="D19" s="1185">
        <v>983.65967615375553</v>
      </c>
      <c r="E19" s="905">
        <f t="shared" si="0"/>
        <v>5817.2649588056947</v>
      </c>
      <c r="F19" s="1186">
        <f>E19*I8/1000000</f>
        <v>0.16230169235067887</v>
      </c>
      <c r="G19" s="901"/>
      <c r="I19" s="1258"/>
    </row>
    <row r="20" spans="2:9" ht="25.5" x14ac:dyDescent="0.2">
      <c r="B20" s="1257" t="s">
        <v>883</v>
      </c>
      <c r="C20" s="905">
        <f>C18*0.0015</f>
        <v>1.478475</v>
      </c>
      <c r="D20" s="1185">
        <v>964.14925058889139</v>
      </c>
      <c r="E20" s="905">
        <f t="shared" si="0"/>
        <v>1425.4705632644111</v>
      </c>
      <c r="F20" s="1186">
        <f>E20*I8/1000000</f>
        <v>3.9770628715077069E-2</v>
      </c>
      <c r="G20" s="901"/>
      <c r="I20" s="926"/>
    </row>
    <row r="21" spans="2:9" ht="12.75" x14ac:dyDescent="0.2">
      <c r="B21" s="1259" t="s">
        <v>873</v>
      </c>
      <c r="C21" s="1187"/>
      <c r="D21" s="1187"/>
      <c r="E21" s="1188">
        <f t="shared" ref="E21:F21" si="1">SUM(E18:E20)</f>
        <v>7852.3396717133055</v>
      </c>
      <c r="F21" s="1189">
        <f t="shared" si="1"/>
        <v>0.21908027684080122</v>
      </c>
      <c r="G21" s="901"/>
      <c r="I21" s="1260"/>
    </row>
    <row r="22" spans="2:9" ht="11.25" customHeight="1" x14ac:dyDescent="0.2">
      <c r="B22" s="873"/>
      <c r="C22" s="873"/>
      <c r="D22" s="873"/>
      <c r="E22" s="873"/>
      <c r="F22" s="873"/>
    </row>
    <row r="23" spans="2:9" ht="11.25" customHeight="1" x14ac:dyDescent="0.2">
      <c r="B23" s="873" t="s">
        <v>884</v>
      </c>
      <c r="C23" s="1261"/>
      <c r="D23" s="1261"/>
      <c r="E23" s="1261"/>
      <c r="F23" s="1261"/>
      <c r="G23" s="1261"/>
      <c r="H23" s="1261"/>
      <c r="I23" s="1261"/>
    </row>
    <row r="24" spans="2:9" ht="11.25" customHeight="1" x14ac:dyDescent="0.2">
      <c r="B24" s="1249" t="s">
        <v>885</v>
      </c>
      <c r="C24" s="1261"/>
      <c r="D24" s="1261"/>
      <c r="E24" s="1261"/>
      <c r="F24" s="1261"/>
      <c r="G24" s="1261"/>
      <c r="H24" s="1261"/>
      <c r="I24" s="1261"/>
    </row>
    <row r="25" spans="2:9" ht="11.25" customHeight="1" x14ac:dyDescent="0.2">
      <c r="B25" s="2041" t="s">
        <v>886</v>
      </c>
      <c r="C25" s="2042"/>
      <c r="D25" s="2042"/>
      <c r="E25" s="2042"/>
      <c r="F25" s="2042"/>
      <c r="G25" s="2042"/>
      <c r="H25" s="2042"/>
      <c r="I25" s="2042"/>
    </row>
    <row r="26" spans="2:9" ht="11.25" customHeight="1" x14ac:dyDescent="0.2">
      <c r="B26" s="2041" t="s">
        <v>887</v>
      </c>
      <c r="C26" s="2042"/>
      <c r="D26" s="2042"/>
      <c r="E26" s="2042"/>
      <c r="F26" s="2042"/>
      <c r="G26" s="2042"/>
      <c r="H26" s="2042"/>
      <c r="I26" s="2042"/>
    </row>
    <row r="27" spans="2:9" ht="11.25" customHeight="1" x14ac:dyDescent="0.2">
      <c r="B27" s="873"/>
      <c r="C27" s="873"/>
      <c r="D27" s="873"/>
      <c r="E27" s="873"/>
      <c r="F27" s="873"/>
    </row>
    <row r="28" spans="2:9" ht="11.25" customHeight="1" x14ac:dyDescent="0.2"/>
    <row r="29" spans="2:9" ht="12.75" x14ac:dyDescent="0.2">
      <c r="B29" s="1277" t="s">
        <v>888</v>
      </c>
      <c r="C29" s="1262"/>
      <c r="D29" s="1263"/>
      <c r="E29" s="1263"/>
      <c r="F29" s="1263"/>
    </row>
    <row r="30" spans="2:9" ht="11.25" customHeight="1" x14ac:dyDescent="0.2">
      <c r="C30" s="2041"/>
      <c r="D30" s="2042"/>
      <c r="E30" s="2042"/>
      <c r="F30" s="2042"/>
    </row>
    <row r="31" spans="2:9" ht="38.25" x14ac:dyDescent="0.2">
      <c r="B31" s="1254"/>
      <c r="C31" s="1174" t="s">
        <v>871</v>
      </c>
      <c r="D31" s="1175" t="s">
        <v>1864</v>
      </c>
      <c r="E31" s="1175" t="s">
        <v>1865</v>
      </c>
      <c r="F31" s="1176" t="s">
        <v>1866</v>
      </c>
      <c r="G31" s="890"/>
    </row>
    <row r="32" spans="2:9" ht="12.75" x14ac:dyDescent="0.2">
      <c r="B32" s="1264" t="s">
        <v>889</v>
      </c>
      <c r="C32" s="1190"/>
      <c r="D32" s="1191"/>
      <c r="E32" s="1192"/>
      <c r="F32" s="1193"/>
      <c r="G32" s="1265"/>
    </row>
    <row r="33" spans="2:9" ht="12.75" x14ac:dyDescent="0.2">
      <c r="B33" s="1266" t="s">
        <v>890</v>
      </c>
      <c r="C33" s="1194">
        <v>952.39</v>
      </c>
      <c r="D33" s="1195">
        <v>5.8037235656204409</v>
      </c>
      <c r="E33" s="1194">
        <f t="shared" ref="E33:E36" si="2">C33*D33</f>
        <v>5527.4082866612516</v>
      </c>
      <c r="F33" s="1196">
        <f>E33*I8/1000000</f>
        <v>0.15421469119784892</v>
      </c>
      <c r="G33" s="1267"/>
      <c r="H33" s="1268"/>
    </row>
    <row r="34" spans="2:9" ht="25.5" x14ac:dyDescent="0.2">
      <c r="B34" s="1266" t="s">
        <v>891</v>
      </c>
      <c r="C34" s="1194">
        <v>167.04</v>
      </c>
      <c r="D34" s="1195">
        <v>2.1221753994811778</v>
      </c>
      <c r="E34" s="1194">
        <f t="shared" si="2"/>
        <v>354.48817872933591</v>
      </c>
      <c r="F34" s="1196">
        <f>E34*I8/1000000</f>
        <v>9.890220186548471E-3</v>
      </c>
      <c r="G34" s="1267"/>
    </row>
    <row r="35" spans="2:9" ht="25.5" x14ac:dyDescent="0.2">
      <c r="B35" s="1266" t="s">
        <v>892</v>
      </c>
      <c r="C35" s="1194">
        <v>5211.88</v>
      </c>
      <c r="D35" s="1195">
        <v>6.0046884276387047E-2</v>
      </c>
      <c r="E35" s="1194">
        <f t="shared" si="2"/>
        <v>312.95715522241613</v>
      </c>
      <c r="F35" s="1196">
        <f>E35*I8/1000000</f>
        <v>8.7315046307054091E-3</v>
      </c>
      <c r="G35" s="1267"/>
      <c r="H35" s="1268"/>
    </row>
    <row r="36" spans="2:9" ht="12.75" x14ac:dyDescent="0.2">
      <c r="B36" s="1266" t="s">
        <v>893</v>
      </c>
      <c r="C36" s="1194">
        <v>9241.6890000000003</v>
      </c>
      <c r="D36" s="1195">
        <v>0.37164760100393374</v>
      </c>
      <c r="E36" s="1194">
        <f t="shared" si="2"/>
        <v>3434.6515460744436</v>
      </c>
      <c r="F36" s="1196">
        <f>E36*I8/1000000</f>
        <v>9.5826778135476964E-2</v>
      </c>
      <c r="G36" s="1267"/>
      <c r="H36" s="1269"/>
      <c r="I36" s="1268"/>
    </row>
    <row r="37" spans="2:9" ht="12.75" x14ac:dyDescent="0.2">
      <c r="B37" s="904"/>
      <c r="C37" s="1194"/>
      <c r="D37" s="1195"/>
      <c r="E37" s="1194"/>
      <c r="F37" s="1196"/>
      <c r="G37" s="1267"/>
      <c r="H37" s="1268"/>
    </row>
    <row r="38" spans="2:9" ht="12.75" x14ac:dyDescent="0.2">
      <c r="B38" s="1264" t="s">
        <v>896</v>
      </c>
      <c r="C38" s="1194"/>
      <c r="D38" s="1195"/>
      <c r="E38" s="1194"/>
      <c r="F38" s="1196"/>
      <c r="G38" s="1267"/>
      <c r="H38" s="1268"/>
    </row>
    <row r="39" spans="2:9" ht="12.75" x14ac:dyDescent="0.2">
      <c r="B39" s="1266" t="s">
        <v>897</v>
      </c>
      <c r="C39" s="1194">
        <v>1093623</v>
      </c>
      <c r="D39" s="1195">
        <v>1.5267140136098032E-2</v>
      </c>
      <c r="E39" s="1194">
        <f t="shared" ref="E39:E41" si="3">C39*D39</f>
        <v>16696.495597059937</v>
      </c>
      <c r="F39" s="1196">
        <f>E39*I8/1000000</f>
        <v>0.46583222715797223</v>
      </c>
      <c r="G39" s="1267"/>
      <c r="H39" s="1269"/>
      <c r="I39" s="1268"/>
    </row>
    <row r="40" spans="2:9" ht="12.75" x14ac:dyDescent="0.2">
      <c r="B40" s="1266" t="s">
        <v>900</v>
      </c>
      <c r="C40" s="1194">
        <v>55792</v>
      </c>
      <c r="D40" s="1195">
        <v>3.2750300015441415E-2</v>
      </c>
      <c r="E40" s="1194">
        <f t="shared" si="3"/>
        <v>1827.2047384615075</v>
      </c>
      <c r="F40" s="1196">
        <f>E40*I8/1000000</f>
        <v>5.0979012203076053E-2</v>
      </c>
      <c r="G40" s="1267"/>
      <c r="H40" s="1268"/>
    </row>
    <row r="41" spans="2:9" ht="12.75" x14ac:dyDescent="0.2">
      <c r="B41" s="1266" t="s">
        <v>901</v>
      </c>
      <c r="C41" s="1194">
        <v>85950</v>
      </c>
      <c r="D41" s="1198">
        <v>3.4007868318860182E-3</v>
      </c>
      <c r="E41" s="1194">
        <f t="shared" si="3"/>
        <v>292.29762820060324</v>
      </c>
      <c r="F41" s="1196">
        <f>E41*I8/1000000</f>
        <v>8.1551038267968293E-3</v>
      </c>
      <c r="G41" s="1267"/>
    </row>
    <row r="42" spans="2:9" ht="12.75" x14ac:dyDescent="0.2">
      <c r="B42" s="1245" t="s">
        <v>873</v>
      </c>
      <c r="C42" s="1199"/>
      <c r="D42" s="1199"/>
      <c r="E42" s="1200">
        <f t="shared" ref="E42:F42" si="4">SUM(E33:E41)</f>
        <v>28445.503130409492</v>
      </c>
      <c r="F42" s="1201">
        <f t="shared" si="4"/>
        <v>0.7936295373384249</v>
      </c>
      <c r="G42" s="1270"/>
    </row>
    <row r="43" spans="2:9" ht="11.25" customHeight="1" x14ac:dyDescent="0.2"/>
    <row r="44" spans="2:9" ht="11.25" customHeight="1" x14ac:dyDescent="0.2">
      <c r="B44" s="2041" t="s">
        <v>902</v>
      </c>
      <c r="C44" s="2042"/>
      <c r="D44" s="2042"/>
      <c r="E44" s="2042"/>
      <c r="F44" s="2042"/>
      <c r="G44" s="2042"/>
      <c r="H44" s="2042"/>
      <c r="I44" s="2042"/>
    </row>
    <row r="45" spans="2:9" ht="11.25" customHeight="1" x14ac:dyDescent="0.2">
      <c r="B45" s="1249" t="s">
        <v>885</v>
      </c>
      <c r="C45" s="1261"/>
      <c r="D45" s="1261"/>
      <c r="E45" s="1261"/>
      <c r="F45" s="1261"/>
      <c r="G45" s="1261"/>
      <c r="H45" s="1261"/>
      <c r="I45" s="1261"/>
    </row>
    <row r="46" spans="2:9" ht="11.25" customHeight="1" x14ac:dyDescent="0.2"/>
    <row r="47" spans="2:9" ht="11.25" customHeight="1" x14ac:dyDescent="0.2"/>
    <row r="48" spans="2:9" ht="12.75" x14ac:dyDescent="0.2">
      <c r="B48" s="1280" t="s">
        <v>903</v>
      </c>
      <c r="C48" s="1271"/>
      <c r="D48" s="1272"/>
      <c r="E48" s="1272"/>
      <c r="F48" s="1272"/>
    </row>
    <row r="49" spans="2:14" ht="11.25" customHeight="1" x14ac:dyDescent="0.2"/>
    <row r="50" spans="2:14" ht="16.5" customHeight="1" x14ac:dyDescent="0.2">
      <c r="B50" s="2038" t="s">
        <v>904</v>
      </c>
      <c r="C50" s="2039"/>
      <c r="D50" s="2040"/>
      <c r="E50" s="2038" t="s">
        <v>813</v>
      </c>
      <c r="F50" s="2039"/>
      <c r="G50" s="2039"/>
      <c r="H50" s="2040"/>
      <c r="I50" s="2038" t="s">
        <v>905</v>
      </c>
      <c r="J50" s="2039"/>
      <c r="K50" s="2040"/>
      <c r="L50" s="2038" t="s">
        <v>906</v>
      </c>
      <c r="M50" s="2039"/>
      <c r="N50" s="2040"/>
    </row>
    <row r="51" spans="2:14" ht="25.5" x14ac:dyDescent="0.2">
      <c r="B51" s="1202" t="s">
        <v>1867</v>
      </c>
      <c r="C51" s="1203" t="s">
        <v>1868</v>
      </c>
      <c r="D51" s="1204" t="s">
        <v>1869</v>
      </c>
      <c r="E51" s="1205" t="s">
        <v>1870</v>
      </c>
      <c r="F51" s="1206" t="s">
        <v>1871</v>
      </c>
      <c r="G51" s="1206" t="s">
        <v>1872</v>
      </c>
      <c r="H51" s="1207" t="s">
        <v>1866</v>
      </c>
      <c r="I51" s="1205" t="s">
        <v>1873</v>
      </c>
      <c r="J51" s="1208" t="s">
        <v>1874</v>
      </c>
      <c r="K51" s="1209" t="s">
        <v>1866</v>
      </c>
      <c r="L51" s="1205" t="s">
        <v>1873</v>
      </c>
      <c r="M51" s="1208" t="s">
        <v>1865</v>
      </c>
      <c r="N51" s="1209" t="s">
        <v>1866</v>
      </c>
    </row>
    <row r="52" spans="2:14" ht="12.75" x14ac:dyDescent="0.2">
      <c r="B52" s="1210">
        <f>27068</f>
        <v>27068</v>
      </c>
      <c r="C52" s="1211">
        <v>1039</v>
      </c>
      <c r="D52" s="1212">
        <f>(B52*1000000*C52)/1000000000</f>
        <v>28123.651999999998</v>
      </c>
      <c r="E52" s="1213">
        <v>31.822471057195902</v>
      </c>
      <c r="F52" s="1214">
        <v>1</v>
      </c>
      <c r="G52" s="1211">
        <f>D52*1000*E52*F52/2000</f>
        <v>447482.0508963248</v>
      </c>
      <c r="H52" s="1215">
        <f>G52*(44/12)*0.907185/1000000</f>
        <v>1.4884796825887354</v>
      </c>
      <c r="I52" s="1216">
        <v>9.4955026735800017E-5</v>
      </c>
      <c r="J52" s="1217">
        <f>D52*I52</f>
        <v>2.6704821275683353</v>
      </c>
      <c r="K52" s="1218">
        <f>J52*$I$9/1000000</f>
        <v>7.290416208261555E-4</v>
      </c>
      <c r="L52" s="1216">
        <v>9.4955026735800007E-4</v>
      </c>
      <c r="M52" s="1217">
        <f>D52*L52</f>
        <v>26.704821275683351</v>
      </c>
      <c r="N52" s="1218">
        <f>M52*$I$8/1000000</f>
        <v>7.4506451359156536E-4</v>
      </c>
    </row>
    <row r="53" spans="2:14" ht="11.25" customHeight="1" x14ac:dyDescent="0.2"/>
    <row r="54" spans="2:14" ht="11.25" customHeight="1" x14ac:dyDescent="0.2">
      <c r="B54" s="873" t="s">
        <v>908</v>
      </c>
      <c r="H54" s="1219"/>
      <c r="K54" s="1220"/>
    </row>
    <row r="55" spans="2:14" ht="11.25" customHeight="1" x14ac:dyDescent="0.2">
      <c r="B55" s="1273" t="s">
        <v>910</v>
      </c>
    </row>
    <row r="56" spans="2:14" ht="11.25" customHeight="1" x14ac:dyDescent="0.2">
      <c r="B56" s="873" t="s">
        <v>911</v>
      </c>
      <c r="D56" s="901"/>
    </row>
    <row r="57" spans="2:14" ht="11.25" customHeight="1" x14ac:dyDescent="0.2">
      <c r="B57" s="1273" t="s">
        <v>912</v>
      </c>
      <c r="H57" s="1249"/>
    </row>
    <row r="58" spans="2:14" ht="11.25" customHeight="1" x14ac:dyDescent="0.2"/>
    <row r="59" spans="2:14" ht="11.25" customHeight="1" x14ac:dyDescent="0.2"/>
    <row r="60" spans="2:14" ht="12.75" x14ac:dyDescent="0.2">
      <c r="B60" s="968" t="s">
        <v>847</v>
      </c>
      <c r="C60" s="947"/>
      <c r="D60" s="947"/>
      <c r="E60" s="947"/>
      <c r="F60" s="947"/>
    </row>
    <row r="61" spans="2:14" ht="11.25" customHeight="1" x14ac:dyDescent="0.2"/>
    <row r="62" spans="2:14" ht="25.5" x14ac:dyDescent="0.2">
      <c r="B62" s="1222" t="s">
        <v>914</v>
      </c>
      <c r="C62" s="1223" t="s">
        <v>661</v>
      </c>
      <c r="D62" s="1224" t="s">
        <v>662</v>
      </c>
      <c r="E62" s="1224" t="s">
        <v>663</v>
      </c>
      <c r="F62" s="1225" t="s">
        <v>664</v>
      </c>
    </row>
    <row r="63" spans="2:14" ht="15" customHeight="1" x14ac:dyDescent="0.2">
      <c r="B63" s="921" t="s">
        <v>915</v>
      </c>
      <c r="C63" s="1226">
        <v>0</v>
      </c>
      <c r="D63" s="1227">
        <f>F9</f>
        <v>1.1445059312706427E-4</v>
      </c>
      <c r="E63" s="1228">
        <v>0</v>
      </c>
      <c r="F63" s="1229">
        <f t="shared" ref="F63:F66" si="5">SUM(C63:D63)</f>
        <v>1.1445059312706427E-4</v>
      </c>
      <c r="H63" s="927"/>
    </row>
    <row r="64" spans="2:14" ht="15" customHeight="1" x14ac:dyDescent="0.2">
      <c r="B64" s="904" t="s">
        <v>917</v>
      </c>
      <c r="C64" s="1185">
        <v>0</v>
      </c>
      <c r="D64" s="955">
        <f>F21</f>
        <v>0.21908027684080122</v>
      </c>
      <c r="E64" s="1230">
        <v>0</v>
      </c>
      <c r="F64" s="1231">
        <f t="shared" si="5"/>
        <v>0.21908027684080122</v>
      </c>
      <c r="H64" s="927"/>
    </row>
    <row r="65" spans="2:8" ht="15" customHeight="1" x14ac:dyDescent="0.2">
      <c r="B65" s="904" t="s">
        <v>918</v>
      </c>
      <c r="C65" s="1185">
        <v>0</v>
      </c>
      <c r="D65" s="955">
        <f>F42</f>
        <v>0.7936295373384249</v>
      </c>
      <c r="E65" s="1230">
        <v>0</v>
      </c>
      <c r="F65" s="1231">
        <f t="shared" si="5"/>
        <v>0.7936295373384249</v>
      </c>
      <c r="H65" s="927"/>
    </row>
    <row r="66" spans="2:8" ht="15" customHeight="1" x14ac:dyDescent="0.2">
      <c r="B66" s="910" t="s">
        <v>919</v>
      </c>
      <c r="C66" s="957">
        <f>H52</f>
        <v>1.4884796825887354</v>
      </c>
      <c r="D66" s="1018">
        <f>N52</f>
        <v>7.4506451359156536E-4</v>
      </c>
      <c r="E66" s="1018">
        <f>K52</f>
        <v>7.290416208261555E-4</v>
      </c>
      <c r="F66" s="1232">
        <f t="shared" si="5"/>
        <v>1.489224747102327</v>
      </c>
      <c r="H66" s="927"/>
    </row>
    <row r="67" spans="2:8" ht="15" customHeight="1" x14ac:dyDescent="0.2">
      <c r="B67" s="1233" t="s">
        <v>102</v>
      </c>
      <c r="C67" s="1234">
        <f t="shared" ref="C67:E67" si="6">SUM(C63:C66)</f>
        <v>1.4884796825887354</v>
      </c>
      <c r="D67" s="1234">
        <f t="shared" si="6"/>
        <v>1.0135693292859447</v>
      </c>
      <c r="E67" s="1235">
        <f t="shared" si="6"/>
        <v>7.290416208261555E-4</v>
      </c>
      <c r="F67" s="1236">
        <f>SUM(F63:F66)</f>
        <v>2.5020490118746803</v>
      </c>
      <c r="H67" s="1274"/>
    </row>
    <row r="68" spans="2:8" ht="12.75" x14ac:dyDescent="0.2">
      <c r="B68" s="873"/>
      <c r="C68" s="873"/>
      <c r="D68" s="873"/>
      <c r="E68" s="873"/>
      <c r="F68" s="873"/>
    </row>
    <row r="69" spans="2:8" ht="11.25" customHeight="1" x14ac:dyDescent="0.2"/>
    <row r="70" spans="2:8" ht="11.25" customHeight="1" x14ac:dyDescent="0.2"/>
    <row r="71" spans="2:8" ht="11.25" customHeight="1" x14ac:dyDescent="0.2"/>
    <row r="72" spans="2:8" ht="11.25" customHeight="1" x14ac:dyDescent="0.2"/>
    <row r="73" spans="2:8" ht="11.25" customHeight="1" x14ac:dyDescent="0.2"/>
    <row r="74" spans="2:8" ht="11.25" customHeight="1" x14ac:dyDescent="0.2"/>
    <row r="75" spans="2:8" ht="11.25" customHeight="1" x14ac:dyDescent="0.2"/>
    <row r="76" spans="2:8" ht="11.25" customHeight="1" x14ac:dyDescent="0.2"/>
    <row r="77" spans="2:8" ht="11.25" customHeight="1" x14ac:dyDescent="0.2"/>
    <row r="78" spans="2:8" ht="11.25" customHeight="1" x14ac:dyDescent="0.2"/>
    <row r="79" spans="2:8" ht="11.25" customHeight="1" x14ac:dyDescent="0.2"/>
    <row r="80" spans="2:8" ht="11.25" customHeight="1" x14ac:dyDescent="0.2"/>
    <row r="81" s="885" customFormat="1" ht="11.25" customHeight="1" x14ac:dyDescent="0.2"/>
    <row r="82" s="885" customFormat="1" ht="11.25" customHeight="1" x14ac:dyDescent="0.2"/>
    <row r="83" s="885" customFormat="1" ht="11.25" customHeight="1" x14ac:dyDescent="0.2"/>
    <row r="84" s="885" customFormat="1" ht="11.25" customHeight="1" x14ac:dyDescent="0.2"/>
    <row r="85" s="885" customFormat="1" ht="11.25" customHeight="1" x14ac:dyDescent="0.2"/>
    <row r="86" s="885" customFormat="1" ht="11.25" customHeight="1" x14ac:dyDescent="0.2"/>
    <row r="87" s="885" customFormat="1" ht="11.25" customHeight="1" x14ac:dyDescent="0.2"/>
    <row r="88" s="885" customFormat="1" ht="11.25" customHeight="1" x14ac:dyDescent="0.2"/>
    <row r="89" s="885" customFormat="1" ht="11.25" customHeight="1" x14ac:dyDescent="0.2"/>
    <row r="90" s="885" customFormat="1" ht="11.25" customHeight="1" x14ac:dyDescent="0.2"/>
    <row r="91" s="885" customFormat="1" ht="11.25" customHeight="1" x14ac:dyDescent="0.2"/>
    <row r="92" s="885" customFormat="1" ht="11.25" customHeight="1" x14ac:dyDescent="0.2"/>
    <row r="93" s="885" customFormat="1" ht="11.25" customHeight="1" x14ac:dyDescent="0.2"/>
    <row r="94" s="885" customFormat="1" ht="11.25" customHeight="1" x14ac:dyDescent="0.2"/>
    <row r="95" s="885" customFormat="1" ht="11.25" customHeight="1" x14ac:dyDescent="0.2"/>
    <row r="96" s="885" customFormat="1" ht="11.25" customHeight="1" x14ac:dyDescent="0.2"/>
    <row r="97" s="885" customFormat="1" ht="11.25" customHeight="1" x14ac:dyDescent="0.2"/>
    <row r="98" s="885" customFormat="1" ht="11.25" customHeight="1" x14ac:dyDescent="0.2"/>
    <row r="99" s="885" customFormat="1" ht="11.25" customHeight="1" x14ac:dyDescent="0.2"/>
    <row r="100" s="885" customFormat="1" ht="11.25" customHeight="1" x14ac:dyDescent="0.2"/>
    <row r="101" s="885" customFormat="1" ht="11.25" customHeight="1" x14ac:dyDescent="0.2"/>
    <row r="102" s="885" customFormat="1" ht="11.25" customHeight="1" x14ac:dyDescent="0.2"/>
    <row r="103" s="885" customFormat="1" ht="11.25" customHeight="1" x14ac:dyDescent="0.2"/>
    <row r="104" s="885" customFormat="1" ht="11.25" customHeight="1" x14ac:dyDescent="0.2"/>
    <row r="105" s="885" customFormat="1" ht="11.25" customHeight="1" x14ac:dyDescent="0.2"/>
    <row r="106" s="885" customFormat="1" ht="11.25" customHeight="1" x14ac:dyDescent="0.2"/>
    <row r="107" s="885" customFormat="1" ht="11.25" customHeight="1" x14ac:dyDescent="0.2"/>
    <row r="108" s="885" customFormat="1" ht="11.25" customHeight="1" x14ac:dyDescent="0.2"/>
    <row r="109" s="885" customFormat="1" ht="11.25" customHeight="1" x14ac:dyDescent="0.2"/>
    <row r="110" s="885" customFormat="1" ht="11.25" customHeight="1" x14ac:dyDescent="0.2"/>
    <row r="111" s="885" customFormat="1" ht="11.25" customHeight="1" x14ac:dyDescent="0.2"/>
    <row r="112" s="885" customFormat="1" ht="11.25" customHeight="1" x14ac:dyDescent="0.2"/>
    <row r="113" s="885" customFormat="1" ht="11.25" customHeight="1" x14ac:dyDescent="0.2"/>
    <row r="114" s="885" customFormat="1" ht="11.25" customHeight="1" x14ac:dyDescent="0.2"/>
    <row r="115" s="885" customFormat="1" ht="11.25" customHeight="1" x14ac:dyDescent="0.2"/>
    <row r="116" s="885" customFormat="1" ht="11.25" customHeight="1" x14ac:dyDescent="0.2"/>
    <row r="117" s="885" customFormat="1" ht="11.25" customHeight="1" x14ac:dyDescent="0.2"/>
    <row r="118" s="885" customFormat="1" ht="11.25" customHeight="1" x14ac:dyDescent="0.2"/>
    <row r="119" s="885" customFormat="1" ht="11.25" customHeight="1" x14ac:dyDescent="0.2"/>
    <row r="120" s="885" customFormat="1" ht="11.25" customHeight="1" x14ac:dyDescent="0.2"/>
    <row r="121" s="885" customFormat="1" ht="11.25" customHeight="1" x14ac:dyDescent="0.2"/>
    <row r="122" s="885" customFormat="1" ht="11.25" customHeight="1" x14ac:dyDescent="0.2"/>
    <row r="123" s="885" customFormat="1" ht="11.25" customHeight="1" x14ac:dyDescent="0.2"/>
    <row r="124" s="885" customFormat="1" ht="11.25" customHeight="1" x14ac:dyDescent="0.2"/>
    <row r="125" s="885" customFormat="1" ht="11.25" customHeight="1" x14ac:dyDescent="0.2"/>
    <row r="126" s="885" customFormat="1" ht="11.25" customHeight="1" x14ac:dyDescent="0.2"/>
    <row r="127" s="885" customFormat="1" ht="11.25" customHeight="1" x14ac:dyDescent="0.2"/>
    <row r="128" s="885" customFormat="1" ht="11.25" customHeight="1" x14ac:dyDescent="0.2"/>
    <row r="129" s="885" customFormat="1" ht="11.25" customHeight="1" x14ac:dyDescent="0.2"/>
    <row r="130" s="885" customFormat="1" ht="11.25" customHeight="1" x14ac:dyDescent="0.2"/>
    <row r="131" s="885" customFormat="1" ht="11.25" customHeight="1" x14ac:dyDescent="0.2"/>
    <row r="132" s="885" customFormat="1" ht="11.25" customHeight="1" x14ac:dyDescent="0.2"/>
    <row r="133" s="885" customFormat="1" ht="11.25" customHeight="1" x14ac:dyDescent="0.2"/>
    <row r="134" s="885" customFormat="1" ht="11.25" customHeight="1" x14ac:dyDescent="0.2"/>
    <row r="135" s="885" customFormat="1" ht="11.25" customHeight="1" x14ac:dyDescent="0.2"/>
    <row r="136" s="885" customFormat="1" ht="11.25" customHeight="1" x14ac:dyDescent="0.2"/>
    <row r="137" s="885" customFormat="1" ht="11.25" customHeight="1" x14ac:dyDescent="0.2"/>
    <row r="138" s="885" customFormat="1" ht="11.25" customHeight="1" x14ac:dyDescent="0.2"/>
    <row r="139" s="885" customFormat="1" ht="11.25" customHeight="1" x14ac:dyDescent="0.2"/>
    <row r="140" s="885" customFormat="1" ht="11.25" customHeight="1" x14ac:dyDescent="0.2"/>
    <row r="141" s="885" customFormat="1" ht="11.25" customHeight="1" x14ac:dyDescent="0.2"/>
    <row r="142" s="885" customFormat="1" ht="11.25" customHeight="1" x14ac:dyDescent="0.2"/>
    <row r="143" s="885" customFormat="1" ht="11.25" customHeight="1" x14ac:dyDescent="0.2"/>
    <row r="144" s="885" customFormat="1" ht="11.25" customHeight="1" x14ac:dyDescent="0.2"/>
    <row r="145" s="885" customFormat="1" ht="11.25" customHeight="1" x14ac:dyDescent="0.2"/>
    <row r="146" s="885" customFormat="1" ht="11.25" customHeight="1" x14ac:dyDescent="0.2"/>
    <row r="147" s="885" customFormat="1" ht="11.25" customHeight="1" x14ac:dyDescent="0.2"/>
    <row r="148" s="885" customFormat="1" ht="11.25" customHeight="1" x14ac:dyDescent="0.2"/>
    <row r="149" s="885" customFormat="1" ht="11.25" customHeight="1" x14ac:dyDescent="0.2"/>
    <row r="150" s="885" customFormat="1" ht="11.25" customHeight="1" x14ac:dyDescent="0.2"/>
    <row r="151" s="885" customFormat="1" ht="11.25" customHeight="1" x14ac:dyDescent="0.2"/>
    <row r="152" s="885" customFormat="1" ht="11.25" customHeight="1" x14ac:dyDescent="0.2"/>
    <row r="153" s="885" customFormat="1" ht="11.25" customHeight="1" x14ac:dyDescent="0.2"/>
    <row r="154" s="885" customFormat="1" ht="11.25" customHeight="1" x14ac:dyDescent="0.2"/>
    <row r="155" s="885" customFormat="1" ht="11.25" customHeight="1" x14ac:dyDescent="0.2"/>
    <row r="156" s="885" customFormat="1" ht="11.25" customHeight="1" x14ac:dyDescent="0.2"/>
    <row r="157" s="885" customFormat="1" ht="11.25" customHeight="1" x14ac:dyDescent="0.2"/>
    <row r="158" s="885" customFormat="1" ht="11.25" customHeight="1" x14ac:dyDescent="0.2"/>
    <row r="159" s="885" customFormat="1" ht="11.25" customHeight="1" x14ac:dyDescent="0.2"/>
    <row r="160" s="885" customFormat="1" ht="11.25" customHeight="1" x14ac:dyDescent="0.2"/>
    <row r="161" s="885" customFormat="1" ht="11.25" customHeight="1" x14ac:dyDescent="0.2"/>
    <row r="162" s="885" customFormat="1" ht="11.25" customHeight="1" x14ac:dyDescent="0.2"/>
    <row r="163" s="885" customFormat="1" ht="11.25" customHeight="1" x14ac:dyDescent="0.2"/>
    <row r="164" s="885" customFormat="1" ht="11.25" customHeight="1" x14ac:dyDescent="0.2"/>
    <row r="165" s="885" customFormat="1" ht="11.25" customHeight="1" x14ac:dyDescent="0.2"/>
    <row r="166" s="885" customFormat="1" ht="11.25" customHeight="1" x14ac:dyDescent="0.2"/>
    <row r="167" s="885" customFormat="1" ht="11.25" customHeight="1" x14ac:dyDescent="0.2"/>
    <row r="168" s="885" customFormat="1" ht="11.25" customHeight="1" x14ac:dyDescent="0.2"/>
    <row r="169" s="885" customFormat="1" ht="11.25" customHeight="1" x14ac:dyDescent="0.2"/>
    <row r="170" s="885" customFormat="1" ht="11.25" customHeight="1" x14ac:dyDescent="0.2"/>
    <row r="171" s="885" customFormat="1" ht="11.25" customHeight="1" x14ac:dyDescent="0.2"/>
    <row r="172" s="885" customFormat="1" ht="11.25" customHeight="1" x14ac:dyDescent="0.2"/>
    <row r="173" s="885" customFormat="1" ht="11.25" customHeight="1" x14ac:dyDescent="0.2"/>
    <row r="174" s="885" customFormat="1" ht="11.25" customHeight="1" x14ac:dyDescent="0.2"/>
    <row r="175" s="885" customFormat="1" ht="11.25" customHeight="1" x14ac:dyDescent="0.2"/>
    <row r="176" s="885" customFormat="1" ht="11.25" customHeight="1" x14ac:dyDescent="0.2"/>
    <row r="177" s="885" customFormat="1" ht="11.25" customHeight="1" x14ac:dyDescent="0.2"/>
    <row r="178" s="885" customFormat="1" ht="11.25" customHeight="1" x14ac:dyDescent="0.2"/>
    <row r="179" s="885" customFormat="1" ht="11.25" customHeight="1" x14ac:dyDescent="0.2"/>
    <row r="180" s="885" customFormat="1" ht="11.25" customHeight="1" x14ac:dyDescent="0.2"/>
    <row r="181" s="885" customFormat="1" ht="11.25" customHeight="1" x14ac:dyDescent="0.2"/>
    <row r="182" s="885" customFormat="1" ht="11.25" customHeight="1" x14ac:dyDescent="0.2"/>
    <row r="183" s="885" customFormat="1" ht="11.25" customHeight="1" x14ac:dyDescent="0.2"/>
    <row r="184" s="885" customFormat="1" ht="11.25" customHeight="1" x14ac:dyDescent="0.2"/>
    <row r="185" s="885" customFormat="1" ht="11.25" customHeight="1" x14ac:dyDescent="0.2"/>
    <row r="186" s="885" customFormat="1" ht="11.25" customHeight="1" x14ac:dyDescent="0.2"/>
    <row r="187" s="885" customFormat="1" ht="11.25" customHeight="1" x14ac:dyDescent="0.2"/>
    <row r="188" s="885" customFormat="1" ht="11.25" customHeight="1" x14ac:dyDescent="0.2"/>
    <row r="189" s="885" customFormat="1" ht="11.25" customHeight="1" x14ac:dyDescent="0.2"/>
    <row r="190" s="885" customFormat="1" ht="11.25" customHeight="1" x14ac:dyDescent="0.2"/>
    <row r="191" s="885" customFormat="1" ht="11.25" customHeight="1" x14ac:dyDescent="0.2"/>
    <row r="192" s="885" customFormat="1" ht="11.25" customHeight="1" x14ac:dyDescent="0.2"/>
    <row r="193" s="885" customFormat="1" ht="11.25" customHeight="1" x14ac:dyDescent="0.2"/>
    <row r="194" s="885" customFormat="1" ht="11.25" customHeight="1" x14ac:dyDescent="0.2"/>
    <row r="195" s="885" customFormat="1" ht="11.25" customHeight="1" x14ac:dyDescent="0.2"/>
    <row r="196" s="885" customFormat="1" ht="11.25" customHeight="1" x14ac:dyDescent="0.2"/>
    <row r="197" s="885" customFormat="1" ht="11.25" customHeight="1" x14ac:dyDescent="0.2"/>
    <row r="198" s="885" customFormat="1" ht="11.25" customHeight="1" x14ac:dyDescent="0.2"/>
    <row r="199" s="885" customFormat="1" ht="11.25" customHeight="1" x14ac:dyDescent="0.2"/>
    <row r="200" s="885" customFormat="1" ht="11.25" customHeight="1" x14ac:dyDescent="0.2"/>
    <row r="201" s="885" customFormat="1" ht="11.25" customHeight="1" x14ac:dyDescent="0.2"/>
    <row r="202" s="885" customFormat="1" ht="11.25" customHeight="1" x14ac:dyDescent="0.2"/>
    <row r="203" s="885" customFormat="1" ht="11.25" customHeight="1" x14ac:dyDescent="0.2"/>
    <row r="204" s="885" customFormat="1" ht="11.25" customHeight="1" x14ac:dyDescent="0.2"/>
    <row r="205" s="885" customFormat="1" ht="11.25" customHeight="1" x14ac:dyDescent="0.2"/>
    <row r="206" s="885" customFormat="1" ht="11.25" customHeight="1" x14ac:dyDescent="0.2"/>
    <row r="207" s="885" customFormat="1" ht="11.25" customHeight="1" x14ac:dyDescent="0.2"/>
    <row r="208" s="885" customFormat="1" ht="11.25" customHeight="1" x14ac:dyDescent="0.2"/>
    <row r="209" s="885" customFormat="1" ht="11.25" customHeight="1" x14ac:dyDescent="0.2"/>
    <row r="210" s="885" customFormat="1" ht="11.25" customHeight="1" x14ac:dyDescent="0.2"/>
    <row r="211" s="885" customFormat="1" ht="11.25" customHeight="1" x14ac:dyDescent="0.2"/>
    <row r="212" s="885" customFormat="1" ht="11.25" customHeight="1" x14ac:dyDescent="0.2"/>
    <row r="213" s="885" customFormat="1" ht="11.25" customHeight="1" x14ac:dyDescent="0.2"/>
    <row r="214" s="885" customFormat="1" ht="11.25" customHeight="1" x14ac:dyDescent="0.2"/>
    <row r="215" s="885" customFormat="1" ht="11.25" customHeight="1" x14ac:dyDescent="0.2"/>
    <row r="216" s="885" customFormat="1" ht="11.25" customHeight="1" x14ac:dyDescent="0.2"/>
    <row r="217" s="885" customFormat="1" ht="11.25" customHeight="1" x14ac:dyDescent="0.2"/>
    <row r="218" s="885" customFormat="1" ht="11.25" customHeight="1" x14ac:dyDescent="0.2"/>
    <row r="219" s="885" customFormat="1" ht="11.25" customHeight="1" x14ac:dyDescent="0.2"/>
    <row r="220" s="885" customFormat="1" ht="11.25" customHeight="1" x14ac:dyDescent="0.2"/>
    <row r="221" s="885" customFormat="1" ht="11.25" customHeight="1" x14ac:dyDescent="0.2"/>
    <row r="222" s="885" customFormat="1" ht="11.25" customHeight="1" x14ac:dyDescent="0.2"/>
    <row r="223" s="885" customFormat="1" ht="11.25" customHeight="1" x14ac:dyDescent="0.2"/>
    <row r="224" s="885" customFormat="1" ht="11.25" customHeight="1" x14ac:dyDescent="0.2"/>
    <row r="225" s="885" customFormat="1" ht="11.25" customHeight="1" x14ac:dyDescent="0.2"/>
    <row r="226" s="885" customFormat="1" ht="11.25" customHeight="1" x14ac:dyDescent="0.2"/>
    <row r="227" s="885" customFormat="1" ht="11.25" customHeight="1" x14ac:dyDescent="0.2"/>
    <row r="228" s="885" customFormat="1" ht="11.25" customHeight="1" x14ac:dyDescent="0.2"/>
    <row r="229" s="885" customFormat="1" ht="11.25" customHeight="1" x14ac:dyDescent="0.2"/>
    <row r="230" s="885" customFormat="1" ht="11.25" customHeight="1" x14ac:dyDescent="0.2"/>
    <row r="231" s="885" customFormat="1" ht="11.25" customHeight="1" x14ac:dyDescent="0.2"/>
    <row r="232" s="885" customFormat="1" ht="11.25" customHeight="1" x14ac:dyDescent="0.2"/>
    <row r="233" s="885" customFormat="1" ht="11.25" customHeight="1" x14ac:dyDescent="0.2"/>
    <row r="234" s="885" customFormat="1" ht="11.25" customHeight="1" x14ac:dyDescent="0.2"/>
    <row r="235" s="885" customFormat="1" ht="11.25" customHeight="1" x14ac:dyDescent="0.2"/>
    <row r="236" s="885" customFormat="1" ht="11.25" customHeight="1" x14ac:dyDescent="0.2"/>
    <row r="237" s="885" customFormat="1" ht="11.25" customHeight="1" x14ac:dyDescent="0.2"/>
    <row r="238" s="885" customFormat="1" ht="11.25" customHeight="1" x14ac:dyDescent="0.2"/>
    <row r="239" s="885" customFormat="1" ht="11.25" customHeight="1" x14ac:dyDescent="0.2"/>
    <row r="240" s="885" customFormat="1" ht="11.25" customHeight="1" x14ac:dyDescent="0.2"/>
    <row r="241" s="885" customFormat="1" ht="11.25" customHeight="1" x14ac:dyDescent="0.2"/>
    <row r="242" s="885" customFormat="1" ht="11.25" customHeight="1" x14ac:dyDescent="0.2"/>
    <row r="243" s="885" customFormat="1" ht="11.25" customHeight="1" x14ac:dyDescent="0.2"/>
    <row r="244" s="885" customFormat="1" ht="11.25" customHeight="1" x14ac:dyDescent="0.2"/>
    <row r="245" s="885" customFormat="1" ht="11.25" customHeight="1" x14ac:dyDescent="0.2"/>
    <row r="246" s="885" customFormat="1" ht="11.25" customHeight="1" x14ac:dyDescent="0.2"/>
    <row r="247" s="885" customFormat="1" ht="11.25" customHeight="1" x14ac:dyDescent="0.2"/>
    <row r="248" s="885" customFormat="1" ht="11.25" customHeight="1" x14ac:dyDescent="0.2"/>
    <row r="249" s="885" customFormat="1" ht="11.25" customHeight="1" x14ac:dyDescent="0.2"/>
    <row r="250" s="885" customFormat="1" ht="11.25" customHeight="1" x14ac:dyDescent="0.2"/>
    <row r="251" s="885" customFormat="1" ht="11.25" customHeight="1" x14ac:dyDescent="0.2"/>
    <row r="252" s="885" customFormat="1" ht="11.25" customHeight="1" x14ac:dyDescent="0.2"/>
    <row r="253" s="885" customFormat="1" ht="11.25" customHeight="1" x14ac:dyDescent="0.2"/>
    <row r="254" s="885" customFormat="1" ht="11.25" customHeight="1" x14ac:dyDescent="0.2"/>
    <row r="255" s="885" customFormat="1" ht="11.25" customHeight="1" x14ac:dyDescent="0.2"/>
    <row r="256" s="885" customFormat="1" ht="11.25" customHeight="1" x14ac:dyDescent="0.2"/>
    <row r="257" s="885" customFormat="1" ht="11.25" customHeight="1" x14ac:dyDescent="0.2"/>
    <row r="258" s="885" customFormat="1" ht="11.25" customHeight="1" x14ac:dyDescent="0.2"/>
    <row r="259" s="885" customFormat="1" ht="11.25" customHeight="1" x14ac:dyDescent="0.2"/>
    <row r="260" s="885" customFormat="1" ht="11.25" customHeight="1" x14ac:dyDescent="0.2"/>
    <row r="261" s="885" customFormat="1" ht="11.25" customHeight="1" x14ac:dyDescent="0.2"/>
    <row r="262" s="885" customFormat="1" ht="11.25" customHeight="1" x14ac:dyDescent="0.2"/>
    <row r="263" s="885" customFormat="1" ht="11.25" customHeight="1" x14ac:dyDescent="0.2"/>
    <row r="264" s="885" customFormat="1" ht="11.25" customHeight="1" x14ac:dyDescent="0.2"/>
    <row r="265" s="885" customFormat="1" ht="11.25" customHeight="1" x14ac:dyDescent="0.2"/>
    <row r="266" s="885" customFormat="1" ht="11.25" customHeight="1" x14ac:dyDescent="0.2"/>
    <row r="267" s="885" customFormat="1" ht="11.25" customHeight="1" x14ac:dyDescent="0.2"/>
    <row r="268" s="885" customFormat="1" ht="11.25" customHeight="1" x14ac:dyDescent="0.2"/>
    <row r="269" s="885" customFormat="1" ht="11.25" customHeight="1" x14ac:dyDescent="0.2"/>
    <row r="270" s="885" customFormat="1" ht="11.25" customHeight="1" x14ac:dyDescent="0.2"/>
    <row r="271" s="885" customFormat="1" ht="11.25" customHeight="1" x14ac:dyDescent="0.2"/>
    <row r="272" s="885" customFormat="1" ht="11.25" customHeight="1" x14ac:dyDescent="0.2"/>
    <row r="273" s="885" customFormat="1" ht="11.25" customHeight="1" x14ac:dyDescent="0.2"/>
    <row r="274" s="885" customFormat="1" ht="11.25" customHeight="1" x14ac:dyDescent="0.2"/>
    <row r="275" s="885" customFormat="1" ht="11.25" customHeight="1" x14ac:dyDescent="0.2"/>
    <row r="276" s="885" customFormat="1" ht="11.25" customHeight="1" x14ac:dyDescent="0.2"/>
    <row r="277" s="885" customFormat="1" ht="11.25" customHeight="1" x14ac:dyDescent="0.2"/>
    <row r="278" s="885" customFormat="1" ht="11.25" customHeight="1" x14ac:dyDescent="0.2"/>
    <row r="279" s="885" customFormat="1" ht="11.25" customHeight="1" x14ac:dyDescent="0.2"/>
    <row r="280" s="885" customFormat="1" ht="11.25" customHeight="1" x14ac:dyDescent="0.2"/>
    <row r="281" s="885" customFormat="1" ht="11.25" customHeight="1" x14ac:dyDescent="0.2"/>
    <row r="282" s="885" customFormat="1" ht="11.25" customHeight="1" x14ac:dyDescent="0.2"/>
    <row r="283" s="885" customFormat="1" ht="11.25" customHeight="1" x14ac:dyDescent="0.2"/>
    <row r="284" s="885" customFormat="1" ht="11.25" customHeight="1" x14ac:dyDescent="0.2"/>
    <row r="285" s="885" customFormat="1" ht="11.25" customHeight="1" x14ac:dyDescent="0.2"/>
    <row r="286" s="885" customFormat="1" ht="11.25" customHeight="1" x14ac:dyDescent="0.2"/>
    <row r="287" s="885" customFormat="1" ht="11.25" customHeight="1" x14ac:dyDescent="0.2"/>
    <row r="288" s="885" customFormat="1" ht="11.25" customHeight="1" x14ac:dyDescent="0.2"/>
    <row r="289" s="885" customFormat="1" ht="11.25" customHeight="1" x14ac:dyDescent="0.2"/>
    <row r="290" s="885" customFormat="1" ht="11.25" customHeight="1" x14ac:dyDescent="0.2"/>
    <row r="291" s="885" customFormat="1" ht="11.25" customHeight="1" x14ac:dyDescent="0.2"/>
    <row r="292" s="885" customFormat="1" ht="11.25" customHeight="1" x14ac:dyDescent="0.2"/>
    <row r="293" s="885" customFormat="1" ht="11.25" customHeight="1" x14ac:dyDescent="0.2"/>
    <row r="294" s="885" customFormat="1" ht="11.25" customHeight="1" x14ac:dyDescent="0.2"/>
    <row r="295" s="885" customFormat="1" ht="11.25" customHeight="1" x14ac:dyDescent="0.2"/>
    <row r="296" s="885" customFormat="1" ht="11.25" customHeight="1" x14ac:dyDescent="0.2"/>
    <row r="297" s="885" customFormat="1" ht="11.25" customHeight="1" x14ac:dyDescent="0.2"/>
    <row r="298" s="885" customFormat="1" ht="11.25" customHeight="1" x14ac:dyDescent="0.2"/>
    <row r="299" s="885" customFormat="1" ht="11.25" customHeight="1" x14ac:dyDescent="0.2"/>
    <row r="300" s="885" customFormat="1" ht="11.25" customHeight="1" x14ac:dyDescent="0.2"/>
    <row r="301" s="885" customFormat="1" ht="11.25" customHeight="1" x14ac:dyDescent="0.2"/>
    <row r="302" s="885" customFormat="1" ht="11.25" customHeight="1" x14ac:dyDescent="0.2"/>
    <row r="303" s="885" customFormat="1" ht="11.25" customHeight="1" x14ac:dyDescent="0.2"/>
    <row r="304" s="885" customFormat="1" ht="11.25" customHeight="1" x14ac:dyDescent="0.2"/>
    <row r="305" s="885" customFormat="1" ht="11.25" customHeight="1" x14ac:dyDescent="0.2"/>
    <row r="306" s="885" customFormat="1" ht="11.25" customHeight="1" x14ac:dyDescent="0.2"/>
    <row r="307" s="885" customFormat="1" ht="11.25" customHeight="1" x14ac:dyDescent="0.2"/>
    <row r="308" s="885" customFormat="1" ht="11.25" customHeight="1" x14ac:dyDescent="0.2"/>
    <row r="309" s="885" customFormat="1" ht="11.25" customHeight="1" x14ac:dyDescent="0.2"/>
    <row r="310" s="885" customFormat="1" ht="11.25" customHeight="1" x14ac:dyDescent="0.2"/>
    <row r="311" s="885" customFormat="1" ht="11.25" customHeight="1" x14ac:dyDescent="0.2"/>
    <row r="312" s="885" customFormat="1" ht="11.25" customHeight="1" x14ac:dyDescent="0.2"/>
    <row r="313" s="885" customFormat="1" ht="11.25" customHeight="1" x14ac:dyDescent="0.2"/>
    <row r="314" s="885" customFormat="1" ht="11.25" customHeight="1" x14ac:dyDescent="0.2"/>
    <row r="315" s="885" customFormat="1" ht="11.25" customHeight="1" x14ac:dyDescent="0.2"/>
    <row r="316" s="885" customFormat="1" ht="11.25" customHeight="1" x14ac:dyDescent="0.2"/>
    <row r="317" s="885" customFormat="1" ht="11.25" customHeight="1" x14ac:dyDescent="0.2"/>
    <row r="318" s="885" customFormat="1" ht="11.25" customHeight="1" x14ac:dyDescent="0.2"/>
    <row r="319" s="885" customFormat="1" ht="11.25" customHeight="1" x14ac:dyDescent="0.2"/>
    <row r="320" s="885" customFormat="1" ht="11.25" customHeight="1" x14ac:dyDescent="0.2"/>
    <row r="321" s="885" customFormat="1" ht="11.25" customHeight="1" x14ac:dyDescent="0.2"/>
    <row r="322" s="885" customFormat="1" ht="11.25" customHeight="1" x14ac:dyDescent="0.2"/>
    <row r="323" s="885" customFormat="1" ht="11.25" customHeight="1" x14ac:dyDescent="0.2"/>
    <row r="324" s="885" customFormat="1" ht="11.25" customHeight="1" x14ac:dyDescent="0.2"/>
    <row r="325" s="885" customFormat="1" ht="11.25" customHeight="1" x14ac:dyDescent="0.2"/>
    <row r="326" s="885" customFormat="1" ht="11.25" customHeight="1" x14ac:dyDescent="0.2"/>
    <row r="327" s="885" customFormat="1" ht="11.25" customHeight="1" x14ac:dyDescent="0.2"/>
    <row r="328" s="885" customFormat="1" ht="11.25" customHeight="1" x14ac:dyDescent="0.2"/>
    <row r="329" s="885" customFormat="1" ht="11.25" customHeight="1" x14ac:dyDescent="0.2"/>
    <row r="330" s="885" customFormat="1" ht="11.25" customHeight="1" x14ac:dyDescent="0.2"/>
    <row r="331" s="885" customFormat="1" ht="11.25" customHeight="1" x14ac:dyDescent="0.2"/>
    <row r="332" s="885" customFormat="1" ht="11.25" customHeight="1" x14ac:dyDescent="0.2"/>
    <row r="333" s="885" customFormat="1" ht="11.25" customHeight="1" x14ac:dyDescent="0.2"/>
    <row r="334" s="885" customFormat="1" ht="11.25" customHeight="1" x14ac:dyDescent="0.2"/>
    <row r="335" s="885" customFormat="1" ht="11.25" customHeight="1" x14ac:dyDescent="0.2"/>
    <row r="336" s="885" customFormat="1" ht="11.25" customHeight="1" x14ac:dyDescent="0.2"/>
    <row r="337" s="885" customFormat="1" ht="11.25" customHeight="1" x14ac:dyDescent="0.2"/>
    <row r="338" s="885" customFormat="1" ht="11.25" customHeight="1" x14ac:dyDescent="0.2"/>
    <row r="339" s="885" customFormat="1" ht="11.25" customHeight="1" x14ac:dyDescent="0.2"/>
    <row r="340" s="885" customFormat="1" ht="11.25" customHeight="1" x14ac:dyDescent="0.2"/>
    <row r="341" s="885" customFormat="1" ht="11.25" customHeight="1" x14ac:dyDescent="0.2"/>
    <row r="342" s="885" customFormat="1" ht="11.25" customHeight="1" x14ac:dyDescent="0.2"/>
    <row r="343" s="885" customFormat="1" ht="11.25" customHeight="1" x14ac:dyDescent="0.2"/>
    <row r="344" s="885" customFormat="1" ht="11.25" customHeight="1" x14ac:dyDescent="0.2"/>
    <row r="345" s="885" customFormat="1" ht="11.25" customHeight="1" x14ac:dyDescent="0.2"/>
    <row r="346" s="885" customFormat="1" ht="11.25" customHeight="1" x14ac:dyDescent="0.2"/>
    <row r="347" s="885" customFormat="1" ht="11.25" customHeight="1" x14ac:dyDescent="0.2"/>
    <row r="348" s="885" customFormat="1" ht="11.25" customHeight="1" x14ac:dyDescent="0.2"/>
    <row r="349" s="885" customFormat="1" ht="11.25" customHeight="1" x14ac:dyDescent="0.2"/>
    <row r="350" s="885" customFormat="1" ht="11.25" customHeight="1" x14ac:dyDescent="0.2"/>
    <row r="351" s="885" customFormat="1" ht="11.25" customHeight="1" x14ac:dyDescent="0.2"/>
    <row r="352" s="885" customFormat="1" ht="11.25" customHeight="1" x14ac:dyDescent="0.2"/>
    <row r="353" s="885" customFormat="1" ht="11.25" customHeight="1" x14ac:dyDescent="0.2"/>
    <row r="354" s="885" customFormat="1" ht="11.25" customHeight="1" x14ac:dyDescent="0.2"/>
    <row r="355" s="885" customFormat="1" ht="11.25" customHeight="1" x14ac:dyDescent="0.2"/>
    <row r="356" s="885" customFormat="1" ht="11.25" customHeight="1" x14ac:dyDescent="0.2"/>
    <row r="357" s="885" customFormat="1" ht="11.25" customHeight="1" x14ac:dyDescent="0.2"/>
    <row r="358" s="885" customFormat="1" ht="11.25" customHeight="1" x14ac:dyDescent="0.2"/>
    <row r="359" s="885" customFormat="1" ht="11.25" customHeight="1" x14ac:dyDescent="0.2"/>
    <row r="360" s="885" customFormat="1" ht="11.25" customHeight="1" x14ac:dyDescent="0.2"/>
    <row r="361" s="885" customFormat="1" ht="11.25" customHeight="1" x14ac:dyDescent="0.2"/>
    <row r="362" s="885" customFormat="1" ht="11.25" customHeight="1" x14ac:dyDescent="0.2"/>
    <row r="363" s="885" customFormat="1" ht="11.25" customHeight="1" x14ac:dyDescent="0.2"/>
    <row r="364" s="885" customFormat="1" ht="11.25" customHeight="1" x14ac:dyDescent="0.2"/>
    <row r="365" s="885" customFormat="1" ht="11.25" customHeight="1" x14ac:dyDescent="0.2"/>
    <row r="366" s="885" customFormat="1" ht="11.25" customHeight="1" x14ac:dyDescent="0.2"/>
    <row r="367" s="885" customFormat="1" ht="11.25" customHeight="1" x14ac:dyDescent="0.2"/>
    <row r="368" s="885" customFormat="1" ht="11.25" customHeight="1" x14ac:dyDescent="0.2"/>
    <row r="369" s="885" customFormat="1" ht="11.25" customHeight="1" x14ac:dyDescent="0.2"/>
    <row r="370" s="885" customFormat="1" ht="11.25" customHeight="1" x14ac:dyDescent="0.2"/>
    <row r="371" s="885" customFormat="1" ht="11.25" customHeight="1" x14ac:dyDescent="0.2"/>
    <row r="372" s="885" customFormat="1" ht="11.25" customHeight="1" x14ac:dyDescent="0.2"/>
    <row r="373" s="885" customFormat="1" ht="11.25" customHeight="1" x14ac:dyDescent="0.2"/>
    <row r="374" s="885" customFormat="1" ht="11.25" customHeight="1" x14ac:dyDescent="0.2"/>
    <row r="375" s="885" customFormat="1" ht="11.25" customHeight="1" x14ac:dyDescent="0.2"/>
    <row r="376" s="885" customFormat="1" ht="11.25" customHeight="1" x14ac:dyDescent="0.2"/>
    <row r="377" s="885" customFormat="1" ht="11.25" customHeight="1" x14ac:dyDescent="0.2"/>
    <row r="378" s="885" customFormat="1" ht="11.25" customHeight="1" x14ac:dyDescent="0.2"/>
    <row r="379" s="885" customFormat="1" ht="11.25" customHeight="1" x14ac:dyDescent="0.2"/>
    <row r="380" s="885" customFormat="1" ht="11.25" customHeight="1" x14ac:dyDescent="0.2"/>
    <row r="381" s="885" customFormat="1" ht="11.25" customHeight="1" x14ac:dyDescent="0.2"/>
    <row r="382" s="885" customFormat="1" ht="11.25" customHeight="1" x14ac:dyDescent="0.2"/>
    <row r="383" s="885" customFormat="1" ht="11.25" customHeight="1" x14ac:dyDescent="0.2"/>
    <row r="384" s="885" customFormat="1" ht="11.25" customHeight="1" x14ac:dyDescent="0.2"/>
    <row r="385" s="885" customFormat="1" ht="11.25" customHeight="1" x14ac:dyDescent="0.2"/>
    <row r="386" s="885" customFormat="1" ht="11.25" customHeight="1" x14ac:dyDescent="0.2"/>
    <row r="387" s="885" customFormat="1" ht="11.25" customHeight="1" x14ac:dyDescent="0.2"/>
    <row r="388" s="885" customFormat="1" ht="11.25" customHeight="1" x14ac:dyDescent="0.2"/>
    <row r="389" s="885" customFormat="1" ht="11.25" customHeight="1" x14ac:dyDescent="0.2"/>
    <row r="390" s="885" customFormat="1" ht="11.25" customHeight="1" x14ac:dyDescent="0.2"/>
    <row r="391" s="885" customFormat="1" ht="11.25" customHeight="1" x14ac:dyDescent="0.2"/>
    <row r="392" s="885" customFormat="1" ht="11.25" customHeight="1" x14ac:dyDescent="0.2"/>
    <row r="393" s="885" customFormat="1" ht="11.25" customHeight="1" x14ac:dyDescent="0.2"/>
    <row r="394" s="885" customFormat="1" ht="11.25" customHeight="1" x14ac:dyDescent="0.2"/>
    <row r="395" s="885" customFormat="1" ht="11.25" customHeight="1" x14ac:dyDescent="0.2"/>
    <row r="396" s="885" customFormat="1" ht="11.25" customHeight="1" x14ac:dyDescent="0.2"/>
    <row r="397" s="885" customFormat="1" ht="11.25" customHeight="1" x14ac:dyDescent="0.2"/>
    <row r="398" s="885" customFormat="1" ht="11.25" customHeight="1" x14ac:dyDescent="0.2"/>
    <row r="399" s="885" customFormat="1" ht="11.25" customHeight="1" x14ac:dyDescent="0.2"/>
    <row r="400" s="885" customFormat="1" ht="11.25" customHeight="1" x14ac:dyDescent="0.2"/>
    <row r="401" s="885" customFormat="1" ht="11.25" customHeight="1" x14ac:dyDescent="0.2"/>
    <row r="402" s="885" customFormat="1" ht="11.25" customHeight="1" x14ac:dyDescent="0.2"/>
    <row r="403" s="885" customFormat="1" ht="11.25" customHeight="1" x14ac:dyDescent="0.2"/>
    <row r="404" s="885" customFormat="1" ht="11.25" customHeight="1" x14ac:dyDescent="0.2"/>
    <row r="405" s="885" customFormat="1" ht="11.25" customHeight="1" x14ac:dyDescent="0.2"/>
    <row r="406" s="885" customFormat="1" ht="11.25" customHeight="1" x14ac:dyDescent="0.2"/>
    <row r="407" s="885" customFormat="1" ht="11.25" customHeight="1" x14ac:dyDescent="0.2"/>
    <row r="408" s="885" customFormat="1" ht="11.25" customHeight="1" x14ac:dyDescent="0.2"/>
    <row r="409" s="885" customFormat="1" ht="11.25" customHeight="1" x14ac:dyDescent="0.2"/>
    <row r="410" s="885" customFormat="1" ht="11.25" customHeight="1" x14ac:dyDescent="0.2"/>
    <row r="411" s="885" customFormat="1" ht="11.25" customHeight="1" x14ac:dyDescent="0.2"/>
    <row r="412" s="885" customFormat="1" ht="11.25" customHeight="1" x14ac:dyDescent="0.2"/>
    <row r="413" s="885" customFormat="1" ht="11.25" customHeight="1" x14ac:dyDescent="0.2"/>
    <row r="414" s="885" customFormat="1" ht="11.25" customHeight="1" x14ac:dyDescent="0.2"/>
    <row r="415" s="885" customFormat="1" ht="11.25" customHeight="1" x14ac:dyDescent="0.2"/>
    <row r="416" s="885" customFormat="1" ht="11.25" customHeight="1" x14ac:dyDescent="0.2"/>
    <row r="417" s="885" customFormat="1" ht="11.25" customHeight="1" x14ac:dyDescent="0.2"/>
    <row r="418" s="885" customFormat="1" ht="11.25" customHeight="1" x14ac:dyDescent="0.2"/>
    <row r="419" s="885" customFormat="1" ht="11.25" customHeight="1" x14ac:dyDescent="0.2"/>
    <row r="420" s="885" customFormat="1" ht="11.25" customHeight="1" x14ac:dyDescent="0.2"/>
    <row r="421" s="885" customFormat="1" ht="11.25" customHeight="1" x14ac:dyDescent="0.2"/>
    <row r="422" s="885" customFormat="1" ht="11.25" customHeight="1" x14ac:dyDescent="0.2"/>
    <row r="423" s="885" customFormat="1" ht="11.25" customHeight="1" x14ac:dyDescent="0.2"/>
    <row r="424" s="885" customFormat="1" ht="11.25" customHeight="1" x14ac:dyDescent="0.2"/>
    <row r="425" s="885" customFormat="1" ht="11.25" customHeight="1" x14ac:dyDescent="0.2"/>
    <row r="426" s="885" customFormat="1" ht="11.25" customHeight="1" x14ac:dyDescent="0.2"/>
    <row r="427" s="885" customFormat="1" ht="11.25" customHeight="1" x14ac:dyDescent="0.2"/>
    <row r="428" s="885" customFormat="1" ht="11.25" customHeight="1" x14ac:dyDescent="0.2"/>
    <row r="429" s="885" customFormat="1" ht="11.25" customHeight="1" x14ac:dyDescent="0.2"/>
    <row r="430" s="885" customFormat="1" ht="11.25" customHeight="1" x14ac:dyDescent="0.2"/>
    <row r="431" s="885" customFormat="1" ht="11.25" customHeight="1" x14ac:dyDescent="0.2"/>
    <row r="432" s="885" customFormat="1" ht="11.25" customHeight="1" x14ac:dyDescent="0.2"/>
    <row r="433" s="885" customFormat="1" ht="11.25" customHeight="1" x14ac:dyDescent="0.2"/>
    <row r="434" s="885" customFormat="1" ht="11.25" customHeight="1" x14ac:dyDescent="0.2"/>
    <row r="435" s="885" customFormat="1" ht="11.25" customHeight="1" x14ac:dyDescent="0.2"/>
    <row r="436" s="885" customFormat="1" ht="11.25" customHeight="1" x14ac:dyDescent="0.2"/>
    <row r="437" s="885" customFormat="1" ht="11.25" customHeight="1" x14ac:dyDescent="0.2"/>
    <row r="438" s="885" customFormat="1" ht="11.25" customHeight="1" x14ac:dyDescent="0.2"/>
    <row r="439" s="885" customFormat="1" ht="11.25" customHeight="1" x14ac:dyDescent="0.2"/>
    <row r="440" s="885" customFormat="1" ht="11.25" customHeight="1" x14ac:dyDescent="0.2"/>
    <row r="441" s="885" customFormat="1" ht="11.25" customHeight="1" x14ac:dyDescent="0.2"/>
    <row r="442" s="885" customFormat="1" ht="11.25" customHeight="1" x14ac:dyDescent="0.2"/>
    <row r="443" s="885" customFormat="1" ht="11.25" customHeight="1" x14ac:dyDescent="0.2"/>
    <row r="444" s="885" customFormat="1" ht="11.25" customHeight="1" x14ac:dyDescent="0.2"/>
    <row r="445" s="885" customFormat="1" ht="11.25" customHeight="1" x14ac:dyDescent="0.2"/>
    <row r="446" s="885" customFormat="1" ht="11.25" customHeight="1" x14ac:dyDescent="0.2"/>
    <row r="447" s="885" customFormat="1" ht="11.25" customHeight="1" x14ac:dyDescent="0.2"/>
    <row r="448" s="885" customFormat="1" ht="11.25" customHeight="1" x14ac:dyDescent="0.2"/>
    <row r="449" s="885" customFormat="1" ht="11.25" customHeight="1" x14ac:dyDescent="0.2"/>
    <row r="450" s="885" customFormat="1" ht="11.25" customHeight="1" x14ac:dyDescent="0.2"/>
    <row r="451" s="885" customFormat="1" ht="11.25" customHeight="1" x14ac:dyDescent="0.2"/>
    <row r="452" s="885" customFormat="1" ht="11.25" customHeight="1" x14ac:dyDescent="0.2"/>
    <row r="453" s="885" customFormat="1" ht="11.25" customHeight="1" x14ac:dyDescent="0.2"/>
    <row r="454" s="885" customFormat="1" ht="11.25" customHeight="1" x14ac:dyDescent="0.2"/>
    <row r="455" s="885" customFormat="1" ht="11.25" customHeight="1" x14ac:dyDescent="0.2"/>
    <row r="456" s="885" customFormat="1" ht="11.25" customHeight="1" x14ac:dyDescent="0.2"/>
    <row r="457" s="885" customFormat="1" ht="11.25" customHeight="1" x14ac:dyDescent="0.2"/>
    <row r="458" s="885" customFormat="1" ht="11.25" customHeight="1" x14ac:dyDescent="0.2"/>
    <row r="459" s="885" customFormat="1" ht="11.25" customHeight="1" x14ac:dyDescent="0.2"/>
    <row r="460" s="885" customFormat="1" ht="11.25" customHeight="1" x14ac:dyDescent="0.2"/>
    <row r="461" s="885" customFormat="1" ht="11.25" customHeight="1" x14ac:dyDescent="0.2"/>
    <row r="462" s="885" customFormat="1" ht="11.25" customHeight="1" x14ac:dyDescent="0.2"/>
    <row r="463" s="885" customFormat="1" ht="11.25" customHeight="1" x14ac:dyDescent="0.2"/>
    <row r="464" s="885" customFormat="1" ht="11.25" customHeight="1" x14ac:dyDescent="0.2"/>
    <row r="465" s="885" customFormat="1" ht="11.25" customHeight="1" x14ac:dyDescent="0.2"/>
    <row r="466" s="885" customFormat="1" ht="11.25" customHeight="1" x14ac:dyDescent="0.2"/>
    <row r="467" s="885" customFormat="1" ht="11.25" customHeight="1" x14ac:dyDescent="0.2"/>
    <row r="468" s="885" customFormat="1" ht="11.25" customHeight="1" x14ac:dyDescent="0.2"/>
    <row r="469" s="885" customFormat="1" ht="11.25" customHeight="1" x14ac:dyDescent="0.2"/>
    <row r="470" s="885" customFormat="1" ht="11.25" customHeight="1" x14ac:dyDescent="0.2"/>
    <row r="471" s="885" customFormat="1" ht="11.25" customHeight="1" x14ac:dyDescent="0.2"/>
    <row r="472" s="885" customFormat="1" ht="11.25" customHeight="1" x14ac:dyDescent="0.2"/>
    <row r="473" s="885" customFormat="1" ht="11.25" customHeight="1" x14ac:dyDescent="0.2"/>
    <row r="474" s="885" customFormat="1" ht="11.25" customHeight="1" x14ac:dyDescent="0.2"/>
    <row r="475" s="885" customFormat="1" ht="11.25" customHeight="1" x14ac:dyDescent="0.2"/>
    <row r="476" s="885" customFormat="1" ht="11.25" customHeight="1" x14ac:dyDescent="0.2"/>
    <row r="477" s="885" customFormat="1" ht="11.25" customHeight="1" x14ac:dyDescent="0.2"/>
    <row r="478" s="885" customFormat="1" ht="11.25" customHeight="1" x14ac:dyDescent="0.2"/>
    <row r="479" s="885" customFormat="1" ht="11.25" customHeight="1" x14ac:dyDescent="0.2"/>
    <row r="480" s="885" customFormat="1" ht="11.25" customHeight="1" x14ac:dyDescent="0.2"/>
    <row r="481" s="885" customFormat="1" ht="11.25" customHeight="1" x14ac:dyDescent="0.2"/>
    <row r="482" s="885" customFormat="1" ht="11.25" customHeight="1" x14ac:dyDescent="0.2"/>
    <row r="483" s="885" customFormat="1" ht="11.25" customHeight="1" x14ac:dyDescent="0.2"/>
    <row r="484" s="885" customFormat="1" ht="11.25" customHeight="1" x14ac:dyDescent="0.2"/>
    <row r="485" s="885" customFormat="1" ht="11.25" customHeight="1" x14ac:dyDescent="0.2"/>
    <row r="486" s="885" customFormat="1" ht="11.25" customHeight="1" x14ac:dyDescent="0.2"/>
    <row r="487" s="885" customFormat="1" ht="11.25" customHeight="1" x14ac:dyDescent="0.2"/>
    <row r="488" s="885" customFormat="1" ht="11.25" customHeight="1" x14ac:dyDescent="0.2"/>
    <row r="489" s="885" customFormat="1" ht="11.25" customHeight="1" x14ac:dyDescent="0.2"/>
    <row r="490" s="885" customFormat="1" ht="11.25" customHeight="1" x14ac:dyDescent="0.2"/>
    <row r="491" s="885" customFormat="1" ht="11.25" customHeight="1" x14ac:dyDescent="0.2"/>
    <row r="492" s="885" customFormat="1" ht="11.25" customHeight="1" x14ac:dyDescent="0.2"/>
    <row r="493" s="885" customFormat="1" ht="11.25" customHeight="1" x14ac:dyDescent="0.2"/>
    <row r="494" s="885" customFormat="1" ht="11.25" customHeight="1" x14ac:dyDescent="0.2"/>
    <row r="495" s="885" customFormat="1" ht="11.25" customHeight="1" x14ac:dyDescent="0.2"/>
    <row r="496" s="885" customFormat="1" ht="11.25" customHeight="1" x14ac:dyDescent="0.2"/>
    <row r="497" s="885" customFormat="1" ht="11.25" customHeight="1" x14ac:dyDescent="0.2"/>
    <row r="498" s="885" customFormat="1" ht="11.25" customHeight="1" x14ac:dyDescent="0.2"/>
    <row r="499" s="885" customFormat="1" ht="11.25" customHeight="1" x14ac:dyDescent="0.2"/>
    <row r="500" s="885" customFormat="1" ht="11.25" customHeight="1" x14ac:dyDescent="0.2"/>
    <row r="501" s="885" customFormat="1" ht="11.25" customHeight="1" x14ac:dyDescent="0.2"/>
    <row r="502" s="885" customFormat="1" ht="11.25" customHeight="1" x14ac:dyDescent="0.2"/>
    <row r="503" s="885" customFormat="1" ht="11.25" customHeight="1" x14ac:dyDescent="0.2"/>
    <row r="504" s="885" customFormat="1" ht="11.25" customHeight="1" x14ac:dyDescent="0.2"/>
    <row r="505" s="885" customFormat="1" ht="11.25" customHeight="1" x14ac:dyDescent="0.2"/>
    <row r="506" s="885" customFormat="1" ht="11.25" customHeight="1" x14ac:dyDescent="0.2"/>
    <row r="507" s="885" customFormat="1" ht="11.25" customHeight="1" x14ac:dyDescent="0.2"/>
    <row r="508" s="885" customFormat="1" ht="11.25" customHeight="1" x14ac:dyDescent="0.2"/>
    <row r="509" s="885" customFormat="1" ht="11.25" customHeight="1" x14ac:dyDescent="0.2"/>
    <row r="510" s="885" customFormat="1" ht="11.25" customHeight="1" x14ac:dyDescent="0.2"/>
    <row r="511" s="885" customFormat="1" ht="11.25" customHeight="1" x14ac:dyDescent="0.2"/>
    <row r="512" s="885" customFormat="1" ht="11.25" customHeight="1" x14ac:dyDescent="0.2"/>
    <row r="513" s="885" customFormat="1" ht="11.25" customHeight="1" x14ac:dyDescent="0.2"/>
    <row r="514" s="885" customFormat="1" ht="11.25" customHeight="1" x14ac:dyDescent="0.2"/>
    <row r="515" s="885" customFormat="1" ht="11.25" customHeight="1" x14ac:dyDescent="0.2"/>
    <row r="516" s="885" customFormat="1" ht="11.25" customHeight="1" x14ac:dyDescent="0.2"/>
    <row r="517" s="885" customFormat="1" ht="11.25" customHeight="1" x14ac:dyDescent="0.2"/>
    <row r="518" s="885" customFormat="1" ht="11.25" customHeight="1" x14ac:dyDescent="0.2"/>
    <row r="519" s="885" customFormat="1" ht="11.25" customHeight="1" x14ac:dyDescent="0.2"/>
    <row r="520" s="885" customFormat="1" ht="11.25" customHeight="1" x14ac:dyDescent="0.2"/>
    <row r="521" s="885" customFormat="1" ht="11.25" customHeight="1" x14ac:dyDescent="0.2"/>
    <row r="522" s="885" customFormat="1" ht="11.25" customHeight="1" x14ac:dyDescent="0.2"/>
    <row r="523" s="885" customFormat="1" ht="11.25" customHeight="1" x14ac:dyDescent="0.2"/>
    <row r="524" s="885" customFormat="1" ht="11.25" customHeight="1" x14ac:dyDescent="0.2"/>
    <row r="525" s="885" customFormat="1" ht="11.25" customHeight="1" x14ac:dyDescent="0.2"/>
    <row r="526" s="885" customFormat="1" ht="11.25" customHeight="1" x14ac:dyDescent="0.2"/>
    <row r="527" s="885" customFormat="1" ht="11.25" customHeight="1" x14ac:dyDescent="0.2"/>
    <row r="528" s="885" customFormat="1" ht="11.25" customHeight="1" x14ac:dyDescent="0.2"/>
    <row r="529" s="885" customFormat="1" ht="11.25" customHeight="1" x14ac:dyDescent="0.2"/>
    <row r="530" s="885" customFormat="1" ht="11.25" customHeight="1" x14ac:dyDescent="0.2"/>
    <row r="531" s="885" customFormat="1" ht="11.25" customHeight="1" x14ac:dyDescent="0.2"/>
    <row r="532" s="885" customFormat="1" ht="11.25" customHeight="1" x14ac:dyDescent="0.2"/>
    <row r="533" s="885" customFormat="1" ht="11.25" customHeight="1" x14ac:dyDescent="0.2"/>
    <row r="534" s="885" customFormat="1" ht="11.25" customHeight="1" x14ac:dyDescent="0.2"/>
    <row r="535" s="885" customFormat="1" ht="11.25" customHeight="1" x14ac:dyDescent="0.2"/>
    <row r="536" s="885" customFormat="1" ht="11.25" customHeight="1" x14ac:dyDescent="0.2"/>
    <row r="537" s="885" customFormat="1" ht="11.25" customHeight="1" x14ac:dyDescent="0.2"/>
    <row r="538" s="885" customFormat="1" ht="11.25" customHeight="1" x14ac:dyDescent="0.2"/>
    <row r="539" s="885" customFormat="1" ht="11.25" customHeight="1" x14ac:dyDescent="0.2"/>
    <row r="540" s="885" customFormat="1" ht="11.25" customHeight="1" x14ac:dyDescent="0.2"/>
    <row r="541" s="885" customFormat="1" ht="11.25" customHeight="1" x14ac:dyDescent="0.2"/>
    <row r="542" s="885" customFormat="1" ht="11.25" customHeight="1" x14ac:dyDescent="0.2"/>
    <row r="543" s="885" customFormat="1" ht="11.25" customHeight="1" x14ac:dyDescent="0.2"/>
    <row r="544" s="885" customFormat="1" ht="11.25" customHeight="1" x14ac:dyDescent="0.2"/>
    <row r="545" s="885" customFormat="1" ht="11.25" customHeight="1" x14ac:dyDescent="0.2"/>
    <row r="546" s="885" customFormat="1" ht="11.25" customHeight="1" x14ac:dyDescent="0.2"/>
    <row r="547" s="885" customFormat="1" ht="11.25" customHeight="1" x14ac:dyDescent="0.2"/>
    <row r="548" s="885" customFormat="1" ht="11.25" customHeight="1" x14ac:dyDescent="0.2"/>
    <row r="549" s="885" customFormat="1" ht="11.25" customHeight="1" x14ac:dyDescent="0.2"/>
    <row r="550" s="885" customFormat="1" ht="11.25" customHeight="1" x14ac:dyDescent="0.2"/>
    <row r="551" s="885" customFormat="1" ht="11.25" customHeight="1" x14ac:dyDescent="0.2"/>
    <row r="552" s="885" customFormat="1" ht="11.25" customHeight="1" x14ac:dyDescent="0.2"/>
    <row r="553" s="885" customFormat="1" ht="11.25" customHeight="1" x14ac:dyDescent="0.2"/>
    <row r="554" s="885" customFormat="1" ht="11.25" customHeight="1" x14ac:dyDescent="0.2"/>
    <row r="555" s="885" customFormat="1" ht="11.25" customHeight="1" x14ac:dyDescent="0.2"/>
    <row r="556" s="885" customFormat="1" ht="11.25" customHeight="1" x14ac:dyDescent="0.2"/>
    <row r="557" s="885" customFormat="1" ht="11.25" customHeight="1" x14ac:dyDescent="0.2"/>
    <row r="558" s="885" customFormat="1" ht="11.25" customHeight="1" x14ac:dyDescent="0.2"/>
    <row r="559" s="885" customFormat="1" ht="11.25" customHeight="1" x14ac:dyDescent="0.2"/>
    <row r="560" s="885" customFormat="1" ht="11.25" customHeight="1" x14ac:dyDescent="0.2"/>
    <row r="561" s="885" customFormat="1" ht="11.25" customHeight="1" x14ac:dyDescent="0.2"/>
    <row r="562" s="885" customFormat="1" ht="11.25" customHeight="1" x14ac:dyDescent="0.2"/>
    <row r="563" s="885" customFormat="1" ht="11.25" customHeight="1" x14ac:dyDescent="0.2"/>
    <row r="564" s="885" customFormat="1" ht="11.25" customHeight="1" x14ac:dyDescent="0.2"/>
    <row r="565" s="885" customFormat="1" ht="11.25" customHeight="1" x14ac:dyDescent="0.2"/>
    <row r="566" s="885" customFormat="1" ht="11.25" customHeight="1" x14ac:dyDescent="0.2"/>
    <row r="567" s="885" customFormat="1" ht="11.25" customHeight="1" x14ac:dyDescent="0.2"/>
    <row r="568" s="885" customFormat="1" ht="11.25" customHeight="1" x14ac:dyDescent="0.2"/>
    <row r="569" s="885" customFormat="1" ht="11.25" customHeight="1" x14ac:dyDescent="0.2"/>
    <row r="570" s="885" customFormat="1" ht="11.25" customHeight="1" x14ac:dyDescent="0.2"/>
    <row r="571" s="885" customFormat="1" ht="11.25" customHeight="1" x14ac:dyDescent="0.2"/>
    <row r="572" s="885" customFormat="1" ht="11.25" customHeight="1" x14ac:dyDescent="0.2"/>
    <row r="573" s="885" customFormat="1" ht="11.25" customHeight="1" x14ac:dyDescent="0.2"/>
    <row r="574" s="885" customFormat="1" ht="11.25" customHeight="1" x14ac:dyDescent="0.2"/>
    <row r="575" s="885" customFormat="1" ht="11.25" customHeight="1" x14ac:dyDescent="0.2"/>
    <row r="576" s="885" customFormat="1" ht="11.25" customHeight="1" x14ac:dyDescent="0.2"/>
    <row r="577" s="885" customFormat="1" ht="11.25" customHeight="1" x14ac:dyDescent="0.2"/>
    <row r="578" s="885" customFormat="1" ht="11.25" customHeight="1" x14ac:dyDescent="0.2"/>
    <row r="579" s="885" customFormat="1" ht="11.25" customHeight="1" x14ac:dyDescent="0.2"/>
    <row r="580" s="885" customFormat="1" ht="11.25" customHeight="1" x14ac:dyDescent="0.2"/>
    <row r="581" s="885" customFormat="1" ht="11.25" customHeight="1" x14ac:dyDescent="0.2"/>
    <row r="582" s="885" customFormat="1" ht="11.25" customHeight="1" x14ac:dyDescent="0.2"/>
    <row r="583" s="885" customFormat="1" ht="11.25" customHeight="1" x14ac:dyDescent="0.2"/>
    <row r="584" s="885" customFormat="1" ht="11.25" customHeight="1" x14ac:dyDescent="0.2"/>
    <row r="585" s="885" customFormat="1" ht="11.25" customHeight="1" x14ac:dyDescent="0.2"/>
    <row r="586" s="885" customFormat="1" ht="11.25" customHeight="1" x14ac:dyDescent="0.2"/>
    <row r="587" s="885" customFormat="1" ht="11.25" customHeight="1" x14ac:dyDescent="0.2"/>
    <row r="588" s="885" customFormat="1" ht="11.25" customHeight="1" x14ac:dyDescent="0.2"/>
    <row r="589" s="885" customFormat="1" ht="11.25" customHeight="1" x14ac:dyDescent="0.2"/>
    <row r="590" s="885" customFormat="1" ht="11.25" customHeight="1" x14ac:dyDescent="0.2"/>
    <row r="591" s="885" customFormat="1" ht="11.25" customHeight="1" x14ac:dyDescent="0.2"/>
    <row r="592" s="885" customFormat="1" ht="11.25" customHeight="1" x14ac:dyDescent="0.2"/>
    <row r="593" s="885" customFormat="1" ht="11.25" customHeight="1" x14ac:dyDescent="0.2"/>
    <row r="594" s="885" customFormat="1" ht="11.25" customHeight="1" x14ac:dyDescent="0.2"/>
    <row r="595" s="885" customFormat="1" ht="11.25" customHeight="1" x14ac:dyDescent="0.2"/>
    <row r="596" s="885" customFormat="1" ht="11.25" customHeight="1" x14ac:dyDescent="0.2"/>
    <row r="597" s="885" customFormat="1" ht="11.25" customHeight="1" x14ac:dyDescent="0.2"/>
    <row r="598" s="885" customFormat="1" ht="11.25" customHeight="1" x14ac:dyDescent="0.2"/>
    <row r="599" s="885" customFormat="1" ht="11.25" customHeight="1" x14ac:dyDescent="0.2"/>
    <row r="600" s="885" customFormat="1" ht="11.25" customHeight="1" x14ac:dyDescent="0.2"/>
    <row r="601" s="885" customFormat="1" ht="11.25" customHeight="1" x14ac:dyDescent="0.2"/>
    <row r="602" s="885" customFormat="1" ht="11.25" customHeight="1" x14ac:dyDescent="0.2"/>
    <row r="603" s="885" customFormat="1" ht="11.25" customHeight="1" x14ac:dyDescent="0.2"/>
    <row r="604" s="885" customFormat="1" ht="11.25" customHeight="1" x14ac:dyDescent="0.2"/>
    <row r="605" s="885" customFormat="1" ht="11.25" customHeight="1" x14ac:dyDescent="0.2"/>
    <row r="606" s="885" customFormat="1" ht="11.25" customHeight="1" x14ac:dyDescent="0.2"/>
    <row r="607" s="885" customFormat="1" ht="11.25" customHeight="1" x14ac:dyDescent="0.2"/>
    <row r="608" s="885" customFormat="1" ht="11.25" customHeight="1" x14ac:dyDescent="0.2"/>
    <row r="609" s="885" customFormat="1" ht="11.25" customHeight="1" x14ac:dyDescent="0.2"/>
    <row r="610" s="885" customFormat="1" ht="11.25" customHeight="1" x14ac:dyDescent="0.2"/>
    <row r="611" s="885" customFormat="1" ht="11.25" customHeight="1" x14ac:dyDescent="0.2"/>
    <row r="612" s="885" customFormat="1" ht="11.25" customHeight="1" x14ac:dyDescent="0.2"/>
    <row r="613" s="885" customFormat="1" ht="11.25" customHeight="1" x14ac:dyDescent="0.2"/>
    <row r="614" s="885" customFormat="1" ht="11.25" customHeight="1" x14ac:dyDescent="0.2"/>
    <row r="615" s="885" customFormat="1" ht="11.25" customHeight="1" x14ac:dyDescent="0.2"/>
    <row r="616" s="885" customFormat="1" ht="11.25" customHeight="1" x14ac:dyDescent="0.2"/>
    <row r="617" s="885" customFormat="1" ht="11.25" customHeight="1" x14ac:dyDescent="0.2"/>
    <row r="618" s="885" customFormat="1" ht="11.25" customHeight="1" x14ac:dyDescent="0.2"/>
    <row r="619" s="885" customFormat="1" ht="11.25" customHeight="1" x14ac:dyDescent="0.2"/>
    <row r="620" s="885" customFormat="1" ht="11.25" customHeight="1" x14ac:dyDescent="0.2"/>
    <row r="621" s="885" customFormat="1" ht="11.25" customHeight="1" x14ac:dyDescent="0.2"/>
    <row r="622" s="885" customFormat="1" ht="11.25" customHeight="1" x14ac:dyDescent="0.2"/>
    <row r="623" s="885" customFormat="1" ht="11.25" customHeight="1" x14ac:dyDescent="0.2"/>
    <row r="624" s="885" customFormat="1" ht="11.25" customHeight="1" x14ac:dyDescent="0.2"/>
    <row r="625" s="885" customFormat="1" ht="11.25" customHeight="1" x14ac:dyDescent="0.2"/>
    <row r="626" s="885" customFormat="1" ht="11.25" customHeight="1" x14ac:dyDescent="0.2"/>
    <row r="627" s="885" customFormat="1" ht="11.25" customHeight="1" x14ac:dyDescent="0.2"/>
    <row r="628" s="885" customFormat="1" ht="11.25" customHeight="1" x14ac:dyDescent="0.2"/>
    <row r="629" s="885" customFormat="1" ht="11.25" customHeight="1" x14ac:dyDescent="0.2"/>
    <row r="630" s="885" customFormat="1" ht="11.25" customHeight="1" x14ac:dyDescent="0.2"/>
    <row r="631" s="885" customFormat="1" ht="11.25" customHeight="1" x14ac:dyDescent="0.2"/>
    <row r="632" s="885" customFormat="1" ht="11.25" customHeight="1" x14ac:dyDescent="0.2"/>
    <row r="633" s="885" customFormat="1" ht="11.25" customHeight="1" x14ac:dyDescent="0.2"/>
    <row r="634" s="885" customFormat="1" ht="11.25" customHeight="1" x14ac:dyDescent="0.2"/>
    <row r="635" s="885" customFormat="1" ht="11.25" customHeight="1" x14ac:dyDescent="0.2"/>
    <row r="636" s="885" customFormat="1" ht="11.25" customHeight="1" x14ac:dyDescent="0.2"/>
    <row r="637" s="885" customFormat="1" ht="11.25" customHeight="1" x14ac:dyDescent="0.2"/>
    <row r="638" s="885" customFormat="1" ht="11.25" customHeight="1" x14ac:dyDescent="0.2"/>
    <row r="639" s="885" customFormat="1" ht="11.25" customHeight="1" x14ac:dyDescent="0.2"/>
    <row r="640" s="885" customFormat="1" ht="11.25" customHeight="1" x14ac:dyDescent="0.2"/>
    <row r="641" s="885" customFormat="1" ht="11.25" customHeight="1" x14ac:dyDescent="0.2"/>
    <row r="642" s="885" customFormat="1" ht="11.25" customHeight="1" x14ac:dyDescent="0.2"/>
    <row r="643" s="885" customFormat="1" ht="11.25" customHeight="1" x14ac:dyDescent="0.2"/>
    <row r="644" s="885" customFormat="1" ht="11.25" customHeight="1" x14ac:dyDescent="0.2"/>
    <row r="645" s="885" customFormat="1" ht="11.25" customHeight="1" x14ac:dyDescent="0.2"/>
    <row r="646" s="885" customFormat="1" ht="11.25" customHeight="1" x14ac:dyDescent="0.2"/>
    <row r="647" s="885" customFormat="1" ht="11.25" customHeight="1" x14ac:dyDescent="0.2"/>
    <row r="648" s="885" customFormat="1" ht="11.25" customHeight="1" x14ac:dyDescent="0.2"/>
    <row r="649" s="885" customFormat="1" ht="11.25" customHeight="1" x14ac:dyDescent="0.2"/>
    <row r="650" s="885" customFormat="1" ht="11.25" customHeight="1" x14ac:dyDescent="0.2"/>
    <row r="651" s="885" customFormat="1" ht="11.25" customHeight="1" x14ac:dyDescent="0.2"/>
    <row r="652" s="885" customFormat="1" ht="11.25" customHeight="1" x14ac:dyDescent="0.2"/>
    <row r="653" s="885" customFormat="1" ht="11.25" customHeight="1" x14ac:dyDescent="0.2"/>
    <row r="654" s="885" customFormat="1" ht="11.25" customHeight="1" x14ac:dyDescent="0.2"/>
    <row r="655" s="885" customFormat="1" ht="11.25" customHeight="1" x14ac:dyDescent="0.2"/>
    <row r="656" s="885" customFormat="1" ht="11.25" customHeight="1" x14ac:dyDescent="0.2"/>
    <row r="657" s="885" customFormat="1" ht="11.25" customHeight="1" x14ac:dyDescent="0.2"/>
    <row r="658" s="885" customFormat="1" ht="11.25" customHeight="1" x14ac:dyDescent="0.2"/>
    <row r="659" s="885" customFormat="1" ht="11.25" customHeight="1" x14ac:dyDescent="0.2"/>
    <row r="660" s="885" customFormat="1" ht="11.25" customHeight="1" x14ac:dyDescent="0.2"/>
    <row r="661" s="885" customFormat="1" ht="11.25" customHeight="1" x14ac:dyDescent="0.2"/>
    <row r="662" s="885" customFormat="1" ht="11.25" customHeight="1" x14ac:dyDescent="0.2"/>
    <row r="663" s="885" customFormat="1" ht="11.25" customHeight="1" x14ac:dyDescent="0.2"/>
    <row r="664" s="885" customFormat="1" ht="11.25" customHeight="1" x14ac:dyDescent="0.2"/>
    <row r="665" s="885" customFormat="1" ht="11.25" customHeight="1" x14ac:dyDescent="0.2"/>
    <row r="666" s="885" customFormat="1" ht="11.25" customHeight="1" x14ac:dyDescent="0.2"/>
    <row r="667" s="885" customFormat="1" ht="11.25" customHeight="1" x14ac:dyDescent="0.2"/>
    <row r="668" s="885" customFormat="1" ht="11.25" customHeight="1" x14ac:dyDescent="0.2"/>
    <row r="669" s="885" customFormat="1" ht="11.25" customHeight="1" x14ac:dyDescent="0.2"/>
    <row r="670" s="885" customFormat="1" ht="11.25" customHeight="1" x14ac:dyDescent="0.2"/>
    <row r="671" s="885" customFormat="1" ht="11.25" customHeight="1" x14ac:dyDescent="0.2"/>
    <row r="672" s="885" customFormat="1" ht="11.25" customHeight="1" x14ac:dyDescent="0.2"/>
    <row r="673" s="885" customFormat="1" ht="11.25" customHeight="1" x14ac:dyDescent="0.2"/>
    <row r="674" s="885" customFormat="1" ht="11.25" customHeight="1" x14ac:dyDescent="0.2"/>
    <row r="675" s="885" customFormat="1" ht="11.25" customHeight="1" x14ac:dyDescent="0.2"/>
    <row r="676" s="885" customFormat="1" ht="11.25" customHeight="1" x14ac:dyDescent="0.2"/>
    <row r="677" s="885" customFormat="1" ht="11.25" customHeight="1" x14ac:dyDescent="0.2"/>
    <row r="678" s="885" customFormat="1" ht="11.25" customHeight="1" x14ac:dyDescent="0.2"/>
    <row r="679" s="885" customFormat="1" ht="11.25" customHeight="1" x14ac:dyDescent="0.2"/>
    <row r="680" s="885" customFormat="1" ht="11.25" customHeight="1" x14ac:dyDescent="0.2"/>
    <row r="681" s="885" customFormat="1" ht="11.25" customHeight="1" x14ac:dyDescent="0.2"/>
    <row r="682" s="885" customFormat="1" ht="11.25" customHeight="1" x14ac:dyDescent="0.2"/>
    <row r="683" s="885" customFormat="1" ht="11.25" customHeight="1" x14ac:dyDescent="0.2"/>
    <row r="684" s="885" customFormat="1" ht="11.25" customHeight="1" x14ac:dyDescent="0.2"/>
    <row r="685" s="885" customFormat="1" ht="11.25" customHeight="1" x14ac:dyDescent="0.2"/>
    <row r="686" s="885" customFormat="1" ht="11.25" customHeight="1" x14ac:dyDescent="0.2"/>
    <row r="687" s="885" customFormat="1" ht="11.25" customHeight="1" x14ac:dyDescent="0.2"/>
    <row r="688" s="885" customFormat="1" ht="11.25" customHeight="1" x14ac:dyDescent="0.2"/>
    <row r="689" s="885" customFormat="1" ht="11.25" customHeight="1" x14ac:dyDescent="0.2"/>
    <row r="690" s="885" customFormat="1" ht="11.25" customHeight="1" x14ac:dyDescent="0.2"/>
    <row r="691" s="885" customFormat="1" ht="11.25" customHeight="1" x14ac:dyDescent="0.2"/>
    <row r="692" s="885" customFormat="1" ht="11.25" customHeight="1" x14ac:dyDescent="0.2"/>
    <row r="693" s="885" customFormat="1" ht="11.25" customHeight="1" x14ac:dyDescent="0.2"/>
    <row r="694" s="885" customFormat="1" ht="11.25" customHeight="1" x14ac:dyDescent="0.2"/>
    <row r="695" s="885" customFormat="1" ht="11.25" customHeight="1" x14ac:dyDescent="0.2"/>
    <row r="696" s="885" customFormat="1" ht="11.25" customHeight="1" x14ac:dyDescent="0.2"/>
    <row r="697" s="885" customFormat="1" ht="11.25" customHeight="1" x14ac:dyDescent="0.2"/>
    <row r="698" s="885" customFormat="1" ht="11.25" customHeight="1" x14ac:dyDescent="0.2"/>
    <row r="699" s="885" customFormat="1" ht="11.25" customHeight="1" x14ac:dyDescent="0.2"/>
    <row r="700" s="885" customFormat="1" ht="11.25" customHeight="1" x14ac:dyDescent="0.2"/>
    <row r="701" s="885" customFormat="1" ht="11.25" customHeight="1" x14ac:dyDescent="0.2"/>
    <row r="702" s="885" customFormat="1" ht="11.25" customHeight="1" x14ac:dyDescent="0.2"/>
    <row r="703" s="885" customFormat="1" ht="11.25" customHeight="1" x14ac:dyDescent="0.2"/>
    <row r="704" s="885" customFormat="1" ht="11.25" customHeight="1" x14ac:dyDescent="0.2"/>
    <row r="705" s="885" customFormat="1" ht="11.25" customHeight="1" x14ac:dyDescent="0.2"/>
    <row r="706" s="885" customFormat="1" ht="11.25" customHeight="1" x14ac:dyDescent="0.2"/>
    <row r="707" s="885" customFormat="1" ht="11.25" customHeight="1" x14ac:dyDescent="0.2"/>
    <row r="708" s="885" customFormat="1" ht="11.25" customHeight="1" x14ac:dyDescent="0.2"/>
    <row r="709" s="885" customFormat="1" ht="11.25" customHeight="1" x14ac:dyDescent="0.2"/>
    <row r="710" s="885" customFormat="1" ht="11.25" customHeight="1" x14ac:dyDescent="0.2"/>
    <row r="711" s="885" customFormat="1" ht="11.25" customHeight="1" x14ac:dyDescent="0.2"/>
    <row r="712" s="885" customFormat="1" ht="11.25" customHeight="1" x14ac:dyDescent="0.2"/>
    <row r="713" s="885" customFormat="1" ht="11.25" customHeight="1" x14ac:dyDescent="0.2"/>
    <row r="714" s="885" customFormat="1" ht="11.25" customHeight="1" x14ac:dyDescent="0.2"/>
    <row r="715" s="885" customFormat="1" ht="11.25" customHeight="1" x14ac:dyDescent="0.2"/>
    <row r="716" s="885" customFormat="1" ht="11.25" customHeight="1" x14ac:dyDescent="0.2"/>
    <row r="717" s="885" customFormat="1" ht="11.25" customHeight="1" x14ac:dyDescent="0.2"/>
    <row r="718" s="885" customFormat="1" ht="11.25" customHeight="1" x14ac:dyDescent="0.2"/>
    <row r="719" s="885" customFormat="1" ht="11.25" customHeight="1" x14ac:dyDescent="0.2"/>
    <row r="720" s="885" customFormat="1" ht="11.25" customHeight="1" x14ac:dyDescent="0.2"/>
    <row r="721" s="885" customFormat="1" ht="11.25" customHeight="1" x14ac:dyDescent="0.2"/>
    <row r="722" s="885" customFormat="1" ht="11.25" customHeight="1" x14ac:dyDescent="0.2"/>
    <row r="723" s="885" customFormat="1" ht="11.25" customHeight="1" x14ac:dyDescent="0.2"/>
    <row r="724" s="885" customFormat="1" ht="11.25" customHeight="1" x14ac:dyDescent="0.2"/>
    <row r="725" s="885" customFormat="1" ht="11.25" customHeight="1" x14ac:dyDescent="0.2"/>
    <row r="726" s="885" customFormat="1" ht="11.25" customHeight="1" x14ac:dyDescent="0.2"/>
    <row r="727" s="885" customFormat="1" ht="11.25" customHeight="1" x14ac:dyDescent="0.2"/>
    <row r="728" s="885" customFormat="1" ht="11.25" customHeight="1" x14ac:dyDescent="0.2"/>
    <row r="729" s="885" customFormat="1" ht="11.25" customHeight="1" x14ac:dyDescent="0.2"/>
    <row r="730" s="885" customFormat="1" ht="11.25" customHeight="1" x14ac:dyDescent="0.2"/>
    <row r="731" s="885" customFormat="1" ht="11.25" customHeight="1" x14ac:dyDescent="0.2"/>
    <row r="732" s="885" customFormat="1" ht="11.25" customHeight="1" x14ac:dyDescent="0.2"/>
    <row r="733" s="885" customFormat="1" ht="11.25" customHeight="1" x14ac:dyDescent="0.2"/>
    <row r="734" s="885" customFormat="1" ht="11.25" customHeight="1" x14ac:dyDescent="0.2"/>
    <row r="735" s="885" customFormat="1" ht="11.25" customHeight="1" x14ac:dyDescent="0.2"/>
    <row r="736" s="885" customFormat="1" ht="11.25" customHeight="1" x14ac:dyDescent="0.2"/>
    <row r="737" s="885" customFormat="1" ht="11.25" customHeight="1" x14ac:dyDescent="0.2"/>
    <row r="738" s="885" customFormat="1" ht="11.25" customHeight="1" x14ac:dyDescent="0.2"/>
    <row r="739" s="885" customFormat="1" ht="11.25" customHeight="1" x14ac:dyDescent="0.2"/>
    <row r="740" s="885" customFormat="1" ht="11.25" customHeight="1" x14ac:dyDescent="0.2"/>
    <row r="741" s="885" customFormat="1" ht="11.25" customHeight="1" x14ac:dyDescent="0.2"/>
    <row r="742" s="885" customFormat="1" ht="11.25" customHeight="1" x14ac:dyDescent="0.2"/>
    <row r="743" s="885" customFormat="1" ht="11.25" customHeight="1" x14ac:dyDescent="0.2"/>
    <row r="744" s="885" customFormat="1" ht="11.25" customHeight="1" x14ac:dyDescent="0.2"/>
    <row r="745" s="885" customFormat="1" ht="11.25" customHeight="1" x14ac:dyDescent="0.2"/>
    <row r="746" s="885" customFormat="1" ht="11.25" customHeight="1" x14ac:dyDescent="0.2"/>
    <row r="747" s="885" customFormat="1" ht="11.25" customHeight="1" x14ac:dyDescent="0.2"/>
    <row r="748" s="885" customFormat="1" ht="11.25" customHeight="1" x14ac:dyDescent="0.2"/>
    <row r="749" s="885" customFormat="1" ht="11.25" customHeight="1" x14ac:dyDescent="0.2"/>
    <row r="750" s="885" customFormat="1" ht="11.25" customHeight="1" x14ac:dyDescent="0.2"/>
    <row r="751" s="885" customFormat="1" ht="11.25" customHeight="1" x14ac:dyDescent="0.2"/>
    <row r="752" s="885" customFormat="1" ht="11.25" customHeight="1" x14ac:dyDescent="0.2"/>
    <row r="753" s="885" customFormat="1" ht="11.25" customHeight="1" x14ac:dyDescent="0.2"/>
    <row r="754" s="885" customFormat="1" ht="11.25" customHeight="1" x14ac:dyDescent="0.2"/>
    <row r="755" s="885" customFormat="1" ht="11.25" customHeight="1" x14ac:dyDescent="0.2"/>
    <row r="756" s="885" customFormat="1" ht="11.25" customHeight="1" x14ac:dyDescent="0.2"/>
    <row r="757" s="885" customFormat="1" ht="11.25" customHeight="1" x14ac:dyDescent="0.2"/>
    <row r="758" s="885" customFormat="1" ht="11.25" customHeight="1" x14ac:dyDescent="0.2"/>
    <row r="759" s="885" customFormat="1" ht="11.25" customHeight="1" x14ac:dyDescent="0.2"/>
    <row r="760" s="885" customFormat="1" ht="11.25" customHeight="1" x14ac:dyDescent="0.2"/>
    <row r="761" s="885" customFormat="1" ht="11.25" customHeight="1" x14ac:dyDescent="0.2"/>
    <row r="762" s="885" customFormat="1" ht="11.25" customHeight="1" x14ac:dyDescent="0.2"/>
    <row r="763" s="885" customFormat="1" ht="11.25" customHeight="1" x14ac:dyDescent="0.2"/>
    <row r="764" s="885" customFormat="1" ht="11.25" customHeight="1" x14ac:dyDescent="0.2"/>
    <row r="765" s="885" customFormat="1" ht="11.25" customHeight="1" x14ac:dyDescent="0.2"/>
    <row r="766" s="885" customFormat="1" ht="11.25" customHeight="1" x14ac:dyDescent="0.2"/>
    <row r="767" s="885" customFormat="1" ht="11.25" customHeight="1" x14ac:dyDescent="0.2"/>
    <row r="768" s="885" customFormat="1" ht="11.25" customHeight="1" x14ac:dyDescent="0.2"/>
    <row r="769" s="885" customFormat="1" ht="11.25" customHeight="1" x14ac:dyDescent="0.2"/>
    <row r="770" s="885" customFormat="1" ht="11.25" customHeight="1" x14ac:dyDescent="0.2"/>
    <row r="771" s="885" customFormat="1" ht="11.25" customHeight="1" x14ac:dyDescent="0.2"/>
    <row r="772" s="885" customFormat="1" ht="11.25" customHeight="1" x14ac:dyDescent="0.2"/>
    <row r="773" s="885" customFormat="1" ht="11.25" customHeight="1" x14ac:dyDescent="0.2"/>
    <row r="774" s="885" customFormat="1" ht="11.25" customHeight="1" x14ac:dyDescent="0.2"/>
    <row r="775" s="885" customFormat="1" ht="11.25" customHeight="1" x14ac:dyDescent="0.2"/>
    <row r="776" s="885" customFormat="1" ht="11.25" customHeight="1" x14ac:dyDescent="0.2"/>
    <row r="777" s="885" customFormat="1" ht="11.25" customHeight="1" x14ac:dyDescent="0.2"/>
    <row r="778" s="885" customFormat="1" ht="11.25" customHeight="1" x14ac:dyDescent="0.2"/>
    <row r="779" s="885" customFormat="1" ht="11.25" customHeight="1" x14ac:dyDescent="0.2"/>
    <row r="780" s="885" customFormat="1" ht="11.25" customHeight="1" x14ac:dyDescent="0.2"/>
    <row r="781" s="885" customFormat="1" ht="11.25" customHeight="1" x14ac:dyDescent="0.2"/>
    <row r="782" s="885" customFormat="1" ht="11.25" customHeight="1" x14ac:dyDescent="0.2"/>
    <row r="783" s="885" customFormat="1" ht="11.25" customHeight="1" x14ac:dyDescent="0.2"/>
    <row r="784" s="885" customFormat="1" ht="11.25" customHeight="1" x14ac:dyDescent="0.2"/>
    <row r="785" s="885" customFormat="1" ht="11.25" customHeight="1" x14ac:dyDescent="0.2"/>
    <row r="786" s="885" customFormat="1" ht="11.25" customHeight="1" x14ac:dyDescent="0.2"/>
    <row r="787" s="885" customFormat="1" ht="11.25" customHeight="1" x14ac:dyDescent="0.2"/>
    <row r="788" s="885" customFormat="1" ht="11.25" customHeight="1" x14ac:dyDescent="0.2"/>
    <row r="789" s="885" customFormat="1" ht="11.25" customHeight="1" x14ac:dyDescent="0.2"/>
    <row r="790" s="885" customFormat="1" ht="11.25" customHeight="1" x14ac:dyDescent="0.2"/>
    <row r="791" s="885" customFormat="1" ht="11.25" customHeight="1" x14ac:dyDescent="0.2"/>
    <row r="792" s="885" customFormat="1" ht="11.25" customHeight="1" x14ac:dyDescent="0.2"/>
    <row r="793" s="885" customFormat="1" ht="11.25" customHeight="1" x14ac:dyDescent="0.2"/>
    <row r="794" s="885" customFormat="1" ht="11.25" customHeight="1" x14ac:dyDescent="0.2"/>
    <row r="795" s="885" customFormat="1" ht="11.25" customHeight="1" x14ac:dyDescent="0.2"/>
    <row r="796" s="885" customFormat="1" ht="11.25" customHeight="1" x14ac:dyDescent="0.2"/>
    <row r="797" s="885" customFormat="1" ht="11.25" customHeight="1" x14ac:dyDescent="0.2"/>
    <row r="798" s="885" customFormat="1" ht="11.25" customHeight="1" x14ac:dyDescent="0.2"/>
    <row r="799" s="885" customFormat="1" ht="11.25" customHeight="1" x14ac:dyDescent="0.2"/>
    <row r="800" s="885" customFormat="1" ht="11.25" customHeight="1" x14ac:dyDescent="0.2"/>
    <row r="801" s="885" customFormat="1" ht="11.25" customHeight="1" x14ac:dyDescent="0.2"/>
    <row r="802" s="885" customFormat="1" ht="11.25" customHeight="1" x14ac:dyDescent="0.2"/>
    <row r="803" s="885" customFormat="1" ht="11.25" customHeight="1" x14ac:dyDescent="0.2"/>
    <row r="804" s="885" customFormat="1" ht="11.25" customHeight="1" x14ac:dyDescent="0.2"/>
    <row r="805" s="885" customFormat="1" ht="11.25" customHeight="1" x14ac:dyDescent="0.2"/>
    <row r="806" s="885" customFormat="1" ht="11.25" customHeight="1" x14ac:dyDescent="0.2"/>
    <row r="807" s="885" customFormat="1" ht="11.25" customHeight="1" x14ac:dyDescent="0.2"/>
    <row r="808" s="885" customFormat="1" ht="11.25" customHeight="1" x14ac:dyDescent="0.2"/>
    <row r="809" s="885" customFormat="1" ht="11.25" customHeight="1" x14ac:dyDescent="0.2"/>
    <row r="810" s="885" customFormat="1" ht="11.25" customHeight="1" x14ac:dyDescent="0.2"/>
    <row r="811" s="885" customFormat="1" ht="11.25" customHeight="1" x14ac:dyDescent="0.2"/>
    <row r="812" s="885" customFormat="1" ht="11.25" customHeight="1" x14ac:dyDescent="0.2"/>
    <row r="813" s="885" customFormat="1" ht="11.25" customHeight="1" x14ac:dyDescent="0.2"/>
    <row r="814" s="885" customFormat="1" ht="11.25" customHeight="1" x14ac:dyDescent="0.2"/>
    <row r="815" s="885" customFormat="1" ht="11.25" customHeight="1" x14ac:dyDescent="0.2"/>
    <row r="816" s="885" customFormat="1" ht="11.25" customHeight="1" x14ac:dyDescent="0.2"/>
    <row r="817" s="885" customFormat="1" ht="11.25" customHeight="1" x14ac:dyDescent="0.2"/>
    <row r="818" s="885" customFormat="1" ht="11.25" customHeight="1" x14ac:dyDescent="0.2"/>
    <row r="819" s="885" customFormat="1" ht="11.25" customHeight="1" x14ac:dyDescent="0.2"/>
    <row r="820" s="885" customFormat="1" ht="11.25" customHeight="1" x14ac:dyDescent="0.2"/>
    <row r="821" s="885" customFormat="1" ht="11.25" customHeight="1" x14ac:dyDescent="0.2"/>
    <row r="822" s="885" customFormat="1" ht="11.25" customHeight="1" x14ac:dyDescent="0.2"/>
    <row r="823" s="885" customFormat="1" ht="11.25" customHeight="1" x14ac:dyDescent="0.2"/>
    <row r="824" s="885" customFormat="1" ht="11.25" customHeight="1" x14ac:dyDescent="0.2"/>
    <row r="825" s="885" customFormat="1" ht="11.25" customHeight="1" x14ac:dyDescent="0.2"/>
    <row r="826" s="885" customFormat="1" ht="11.25" customHeight="1" x14ac:dyDescent="0.2"/>
    <row r="827" s="885" customFormat="1" ht="11.25" customHeight="1" x14ac:dyDescent="0.2"/>
    <row r="828" s="885" customFormat="1" ht="11.25" customHeight="1" x14ac:dyDescent="0.2"/>
    <row r="829" s="885" customFormat="1" ht="11.25" customHeight="1" x14ac:dyDescent="0.2"/>
    <row r="830" s="885" customFormat="1" ht="11.25" customHeight="1" x14ac:dyDescent="0.2"/>
    <row r="831" s="885" customFormat="1" ht="11.25" customHeight="1" x14ac:dyDescent="0.2"/>
    <row r="832" s="885" customFormat="1" ht="11.25" customHeight="1" x14ac:dyDescent="0.2"/>
    <row r="833" s="885" customFormat="1" ht="11.25" customHeight="1" x14ac:dyDescent="0.2"/>
    <row r="834" s="885" customFormat="1" ht="11.25" customHeight="1" x14ac:dyDescent="0.2"/>
    <row r="835" s="885" customFormat="1" ht="11.25" customHeight="1" x14ac:dyDescent="0.2"/>
    <row r="836" s="885" customFormat="1" ht="11.25" customHeight="1" x14ac:dyDescent="0.2"/>
    <row r="837" s="885" customFormat="1" ht="11.25" customHeight="1" x14ac:dyDescent="0.2"/>
    <row r="838" s="885" customFormat="1" ht="11.25" customHeight="1" x14ac:dyDescent="0.2"/>
    <row r="839" s="885" customFormat="1" ht="11.25" customHeight="1" x14ac:dyDescent="0.2"/>
    <row r="840" s="885" customFormat="1" ht="11.25" customHeight="1" x14ac:dyDescent="0.2"/>
    <row r="841" s="885" customFormat="1" ht="11.25" customHeight="1" x14ac:dyDescent="0.2"/>
    <row r="842" s="885" customFormat="1" ht="11.25" customHeight="1" x14ac:dyDescent="0.2"/>
    <row r="843" s="885" customFormat="1" ht="11.25" customHeight="1" x14ac:dyDescent="0.2"/>
    <row r="844" s="885" customFormat="1" ht="11.25" customHeight="1" x14ac:dyDescent="0.2"/>
    <row r="845" s="885" customFormat="1" ht="11.25" customHeight="1" x14ac:dyDescent="0.2"/>
    <row r="846" s="885" customFormat="1" ht="11.25" customHeight="1" x14ac:dyDescent="0.2"/>
    <row r="847" s="885" customFormat="1" ht="11.25" customHeight="1" x14ac:dyDescent="0.2"/>
    <row r="848" s="885" customFormat="1" ht="11.25" customHeight="1" x14ac:dyDescent="0.2"/>
    <row r="849" s="885" customFormat="1" ht="11.25" customHeight="1" x14ac:dyDescent="0.2"/>
    <row r="850" s="885" customFormat="1" ht="11.25" customHeight="1" x14ac:dyDescent="0.2"/>
    <row r="851" s="885" customFormat="1" ht="11.25" customHeight="1" x14ac:dyDescent="0.2"/>
    <row r="852" s="885" customFormat="1" ht="11.25" customHeight="1" x14ac:dyDescent="0.2"/>
    <row r="853" s="885" customFormat="1" ht="11.25" customHeight="1" x14ac:dyDescent="0.2"/>
    <row r="854" s="885" customFormat="1" ht="11.25" customHeight="1" x14ac:dyDescent="0.2"/>
    <row r="855" s="885" customFormat="1" ht="11.25" customHeight="1" x14ac:dyDescent="0.2"/>
    <row r="856" s="885" customFormat="1" ht="11.25" customHeight="1" x14ac:dyDescent="0.2"/>
    <row r="857" s="885" customFormat="1" ht="11.25" customHeight="1" x14ac:dyDescent="0.2"/>
    <row r="858" s="885" customFormat="1" ht="11.25" customHeight="1" x14ac:dyDescent="0.2"/>
    <row r="859" s="885" customFormat="1" ht="11.25" customHeight="1" x14ac:dyDescent="0.2"/>
    <row r="860" s="885" customFormat="1" ht="11.25" customHeight="1" x14ac:dyDescent="0.2"/>
    <row r="861" s="885" customFormat="1" ht="11.25" customHeight="1" x14ac:dyDescent="0.2"/>
    <row r="862" s="885" customFormat="1" ht="11.25" customHeight="1" x14ac:dyDescent="0.2"/>
    <row r="863" s="885" customFormat="1" ht="11.25" customHeight="1" x14ac:dyDescent="0.2"/>
    <row r="864" s="885" customFormat="1" ht="11.25" customHeight="1" x14ac:dyDescent="0.2"/>
    <row r="865" s="885" customFormat="1" ht="11.25" customHeight="1" x14ac:dyDescent="0.2"/>
    <row r="866" s="885" customFormat="1" ht="11.25" customHeight="1" x14ac:dyDescent="0.2"/>
    <row r="867" s="885" customFormat="1" ht="11.25" customHeight="1" x14ac:dyDescent="0.2"/>
    <row r="868" s="885" customFormat="1" ht="11.25" customHeight="1" x14ac:dyDescent="0.2"/>
    <row r="869" s="885" customFormat="1" ht="11.25" customHeight="1" x14ac:dyDescent="0.2"/>
    <row r="870" s="885" customFormat="1" ht="11.25" customHeight="1" x14ac:dyDescent="0.2"/>
    <row r="871" s="885" customFormat="1" ht="11.25" customHeight="1" x14ac:dyDescent="0.2"/>
    <row r="872" s="885" customFormat="1" ht="11.25" customHeight="1" x14ac:dyDescent="0.2"/>
    <row r="873" s="885" customFormat="1" ht="11.25" customHeight="1" x14ac:dyDescent="0.2"/>
    <row r="874" s="885" customFormat="1" ht="11.25" customHeight="1" x14ac:dyDescent="0.2"/>
    <row r="875" s="885" customFormat="1" ht="11.25" customHeight="1" x14ac:dyDescent="0.2"/>
    <row r="876" s="885" customFormat="1" ht="11.25" customHeight="1" x14ac:dyDescent="0.2"/>
    <row r="877" s="885" customFormat="1" ht="11.25" customHeight="1" x14ac:dyDescent="0.2"/>
    <row r="878" s="885" customFormat="1" ht="11.25" customHeight="1" x14ac:dyDescent="0.2"/>
    <row r="879" s="885" customFormat="1" ht="11.25" customHeight="1" x14ac:dyDescent="0.2"/>
    <row r="880" s="885" customFormat="1" ht="11.25" customHeight="1" x14ac:dyDescent="0.2"/>
    <row r="881" s="885" customFormat="1" ht="11.25" customHeight="1" x14ac:dyDescent="0.2"/>
    <row r="882" s="885" customFormat="1" ht="11.25" customHeight="1" x14ac:dyDescent="0.2"/>
    <row r="883" s="885" customFormat="1" ht="11.25" customHeight="1" x14ac:dyDescent="0.2"/>
    <row r="884" s="885" customFormat="1" ht="11.25" customHeight="1" x14ac:dyDescent="0.2"/>
    <row r="885" s="885" customFormat="1" ht="11.25" customHeight="1" x14ac:dyDescent="0.2"/>
    <row r="886" s="885" customFormat="1" ht="11.25" customHeight="1" x14ac:dyDescent="0.2"/>
    <row r="887" s="885" customFormat="1" ht="11.25" customHeight="1" x14ac:dyDescent="0.2"/>
    <row r="888" s="885" customFormat="1" ht="11.25" customHeight="1" x14ac:dyDescent="0.2"/>
    <row r="889" s="885" customFormat="1" ht="11.25" customHeight="1" x14ac:dyDescent="0.2"/>
    <row r="890" s="885" customFormat="1" ht="11.25" customHeight="1" x14ac:dyDescent="0.2"/>
    <row r="891" s="885" customFormat="1" ht="11.25" customHeight="1" x14ac:dyDescent="0.2"/>
    <row r="892" s="885" customFormat="1" ht="11.25" customHeight="1" x14ac:dyDescent="0.2"/>
    <row r="893" s="885" customFormat="1" ht="11.25" customHeight="1" x14ac:dyDescent="0.2"/>
    <row r="894" s="885" customFormat="1" ht="11.25" customHeight="1" x14ac:dyDescent="0.2"/>
    <row r="895" s="885" customFormat="1" ht="11.25" customHeight="1" x14ac:dyDescent="0.2"/>
    <row r="896" s="885" customFormat="1" ht="11.25" customHeight="1" x14ac:dyDescent="0.2"/>
    <row r="897" s="885" customFormat="1" ht="11.25" customHeight="1" x14ac:dyDescent="0.2"/>
    <row r="898" s="885" customFormat="1" ht="11.25" customHeight="1" x14ac:dyDescent="0.2"/>
    <row r="899" s="885" customFormat="1" ht="11.25" customHeight="1" x14ac:dyDescent="0.2"/>
    <row r="900" s="885" customFormat="1" ht="11.25" customHeight="1" x14ac:dyDescent="0.2"/>
    <row r="901" s="885" customFormat="1" ht="11.25" customHeight="1" x14ac:dyDescent="0.2"/>
    <row r="902" s="885" customFormat="1" ht="11.25" customHeight="1" x14ac:dyDescent="0.2"/>
    <row r="903" s="885" customFormat="1" ht="11.25" customHeight="1" x14ac:dyDescent="0.2"/>
    <row r="904" s="885" customFormat="1" ht="11.25" customHeight="1" x14ac:dyDescent="0.2"/>
    <row r="905" s="885" customFormat="1" ht="11.25" customHeight="1" x14ac:dyDescent="0.2"/>
    <row r="906" s="885" customFormat="1" ht="11.25" customHeight="1" x14ac:dyDescent="0.2"/>
    <row r="907" s="885" customFormat="1" ht="11.25" customHeight="1" x14ac:dyDescent="0.2"/>
    <row r="908" s="885" customFormat="1" ht="11.25" customHeight="1" x14ac:dyDescent="0.2"/>
    <row r="909" s="885" customFormat="1" ht="11.25" customHeight="1" x14ac:dyDescent="0.2"/>
    <row r="910" s="885" customFormat="1" ht="11.25" customHeight="1" x14ac:dyDescent="0.2"/>
    <row r="911" s="885" customFormat="1" ht="11.25" customHeight="1" x14ac:dyDescent="0.2"/>
    <row r="912" s="885" customFormat="1" ht="11.25" customHeight="1" x14ac:dyDescent="0.2"/>
    <row r="913" s="885" customFormat="1" ht="11.25" customHeight="1" x14ac:dyDescent="0.2"/>
    <row r="914" s="885" customFormat="1" ht="11.25" customHeight="1" x14ac:dyDescent="0.2"/>
    <row r="915" s="885" customFormat="1" ht="11.25" customHeight="1" x14ac:dyDescent="0.2"/>
    <row r="916" s="885" customFormat="1" ht="11.25" customHeight="1" x14ac:dyDescent="0.2"/>
    <row r="917" s="885" customFormat="1" ht="11.25" customHeight="1" x14ac:dyDescent="0.2"/>
    <row r="918" s="885" customFormat="1" ht="11.25" customHeight="1" x14ac:dyDescent="0.2"/>
    <row r="919" s="885" customFormat="1" ht="11.25" customHeight="1" x14ac:dyDescent="0.2"/>
    <row r="920" s="885" customFormat="1" ht="11.25" customHeight="1" x14ac:dyDescent="0.2"/>
    <row r="921" s="885" customFormat="1" ht="11.25" customHeight="1" x14ac:dyDescent="0.2"/>
    <row r="922" s="885" customFormat="1" ht="11.25" customHeight="1" x14ac:dyDescent="0.2"/>
    <row r="923" s="885" customFormat="1" ht="11.25" customHeight="1" x14ac:dyDescent="0.2"/>
    <row r="924" s="885" customFormat="1" ht="11.25" customHeight="1" x14ac:dyDescent="0.2"/>
    <row r="925" s="885" customFormat="1" ht="11.25" customHeight="1" x14ac:dyDescent="0.2"/>
    <row r="926" s="885" customFormat="1" ht="11.25" customHeight="1" x14ac:dyDescent="0.2"/>
    <row r="927" s="885" customFormat="1" ht="11.25" customHeight="1" x14ac:dyDescent="0.2"/>
    <row r="928" s="885" customFormat="1" ht="11.25" customHeight="1" x14ac:dyDescent="0.2"/>
    <row r="929" s="885" customFormat="1" ht="11.25" customHeight="1" x14ac:dyDescent="0.2"/>
    <row r="930" s="885" customFormat="1" ht="11.25" customHeight="1" x14ac:dyDescent="0.2"/>
    <row r="931" s="885" customFormat="1" ht="11.25" customHeight="1" x14ac:dyDescent="0.2"/>
    <row r="932" s="885" customFormat="1" ht="11.25" customHeight="1" x14ac:dyDescent="0.2"/>
    <row r="933" s="885" customFormat="1" ht="11.25" customHeight="1" x14ac:dyDescent="0.2"/>
    <row r="934" s="885" customFormat="1" ht="11.25" customHeight="1" x14ac:dyDescent="0.2"/>
    <row r="935" s="885" customFormat="1" ht="11.25" customHeight="1" x14ac:dyDescent="0.2"/>
    <row r="936" s="885" customFormat="1" ht="11.25" customHeight="1" x14ac:dyDescent="0.2"/>
    <row r="937" s="885" customFormat="1" ht="11.25" customHeight="1" x14ac:dyDescent="0.2"/>
    <row r="938" s="885" customFormat="1" ht="11.25" customHeight="1" x14ac:dyDescent="0.2"/>
    <row r="939" s="885" customFormat="1" ht="11.25" customHeight="1" x14ac:dyDescent="0.2"/>
    <row r="940" s="885" customFormat="1" ht="11.25" customHeight="1" x14ac:dyDescent="0.2"/>
    <row r="941" s="885" customFormat="1" ht="11.25" customHeight="1" x14ac:dyDescent="0.2"/>
    <row r="942" s="885" customFormat="1" ht="11.25" customHeight="1" x14ac:dyDescent="0.2"/>
    <row r="943" s="885" customFormat="1" ht="11.25" customHeight="1" x14ac:dyDescent="0.2"/>
    <row r="944" s="885" customFormat="1" ht="11.25" customHeight="1" x14ac:dyDescent="0.2"/>
    <row r="945" s="885" customFormat="1" ht="11.25" customHeight="1" x14ac:dyDescent="0.2"/>
    <row r="946" s="885" customFormat="1" ht="11.25" customHeight="1" x14ac:dyDescent="0.2"/>
    <row r="947" s="885" customFormat="1" ht="11.25" customHeight="1" x14ac:dyDescent="0.2"/>
    <row r="948" s="885" customFormat="1" ht="11.25" customHeight="1" x14ac:dyDescent="0.2"/>
    <row r="949" s="885" customFormat="1" ht="11.25" customHeight="1" x14ac:dyDescent="0.2"/>
    <row r="950" s="885" customFormat="1" ht="11.25" customHeight="1" x14ac:dyDescent="0.2"/>
    <row r="951" s="885" customFormat="1" ht="11.25" customHeight="1" x14ac:dyDescent="0.2"/>
    <row r="952" s="885" customFormat="1" ht="11.25" customHeight="1" x14ac:dyDescent="0.2"/>
    <row r="953" s="885" customFormat="1" ht="11.25" customHeight="1" x14ac:dyDescent="0.2"/>
    <row r="954" s="885" customFormat="1" ht="11.25" customHeight="1" x14ac:dyDescent="0.2"/>
    <row r="955" s="885" customFormat="1" ht="11.25" customHeight="1" x14ac:dyDescent="0.2"/>
    <row r="956" s="885" customFormat="1" ht="11.25" customHeight="1" x14ac:dyDescent="0.2"/>
    <row r="957" s="885" customFormat="1" ht="11.25" customHeight="1" x14ac:dyDescent="0.2"/>
    <row r="958" s="885" customFormat="1" ht="11.25" customHeight="1" x14ac:dyDescent="0.2"/>
    <row r="959" s="885" customFormat="1" ht="11.25" customHeight="1" x14ac:dyDescent="0.2"/>
    <row r="960" s="885" customFormat="1" ht="11.25" customHeight="1" x14ac:dyDescent="0.2"/>
    <row r="961" s="885" customFormat="1" ht="11.25" customHeight="1" x14ac:dyDescent="0.2"/>
    <row r="962" s="885" customFormat="1" ht="11.25" customHeight="1" x14ac:dyDescent="0.2"/>
    <row r="963" s="885" customFormat="1" ht="11.25" customHeight="1" x14ac:dyDescent="0.2"/>
    <row r="964" s="885" customFormat="1" ht="11.25" customHeight="1" x14ac:dyDescent="0.2"/>
    <row r="965" s="885" customFormat="1" ht="11.25" customHeight="1" x14ac:dyDescent="0.2"/>
    <row r="966" s="885" customFormat="1" ht="11.25" customHeight="1" x14ac:dyDescent="0.2"/>
    <row r="967" s="885" customFormat="1" ht="11.25" customHeight="1" x14ac:dyDescent="0.2"/>
    <row r="968" s="885" customFormat="1" ht="11.25" customHeight="1" x14ac:dyDescent="0.2"/>
    <row r="969" s="885" customFormat="1" ht="11.25" customHeight="1" x14ac:dyDescent="0.2"/>
    <row r="970" s="885" customFormat="1" ht="11.25" customHeight="1" x14ac:dyDescent="0.2"/>
    <row r="971" s="885" customFormat="1" ht="11.25" customHeight="1" x14ac:dyDescent="0.2"/>
  </sheetData>
  <mergeCells count="9">
    <mergeCell ref="I50:K50"/>
    <mergeCell ref="L50:N50"/>
    <mergeCell ref="H5:I5"/>
    <mergeCell ref="B25:I25"/>
    <mergeCell ref="B26:I26"/>
    <mergeCell ref="C30:F30"/>
    <mergeCell ref="B44:I44"/>
    <mergeCell ref="B50:D50"/>
    <mergeCell ref="E50:H50"/>
  </mergeCells>
  <hyperlinks>
    <hyperlink ref="B12" r:id="rId1" xr:uid="{00000000-0004-0000-0900-000000000000}"/>
    <hyperlink ref="B24" r:id="rId2" xr:uid="{00000000-0004-0000-0900-000001000000}"/>
    <hyperlink ref="B45" r:id="rId3" xr:uid="{00000000-0004-0000-0900-000002000000}"/>
    <hyperlink ref="B55" r:id="rId4" xr:uid="{00000000-0004-0000-0900-000003000000}"/>
    <hyperlink ref="B57" r:id="rId5" xr:uid="{00000000-0004-0000-0900-000004000000}"/>
  </hyperlinks>
  <printOptions gridLines="1"/>
  <pageMargins left="0.16" right="0.26" top="0.51" bottom="0.45" header="0" footer="0"/>
  <pageSetup scale="75" orientation="landscape"/>
  <drawing r:id="rId6"/>
  <legacyDrawing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V958"/>
  <sheetViews>
    <sheetView showGridLines="0" workbookViewId="0"/>
  </sheetViews>
  <sheetFormatPr defaultColWidth="16.83203125" defaultRowHeight="15" customHeight="1" x14ac:dyDescent="0.2"/>
  <cols>
    <col min="1" max="1" width="4.6640625" style="869" customWidth="1"/>
    <col min="2" max="2" width="26.6640625" style="869" customWidth="1"/>
    <col min="3" max="3" width="27.83203125" style="869" bestFit="1" customWidth="1"/>
    <col min="4" max="4" width="16.5" style="869" customWidth="1"/>
    <col min="5" max="5" width="20" style="869" customWidth="1"/>
    <col min="6" max="6" width="13.83203125" style="869" customWidth="1"/>
    <col min="7" max="7" width="17.1640625" style="869" customWidth="1"/>
    <col min="8" max="8" width="18.83203125" style="869" customWidth="1"/>
    <col min="9" max="9" width="3.83203125" style="869" customWidth="1"/>
    <col min="10" max="10" width="10.6640625" style="869" customWidth="1"/>
    <col min="11" max="11" width="11.1640625" style="869" customWidth="1"/>
    <col min="12" max="12" width="16.33203125" style="869" customWidth="1"/>
    <col min="13" max="21" width="8.83203125" style="869" customWidth="1"/>
    <col min="22" max="16384" width="16.83203125" style="869"/>
  </cols>
  <sheetData>
    <row r="1" spans="1:48" ht="15" customHeight="1" x14ac:dyDescent="0.2">
      <c r="A1" s="885"/>
      <c r="B1" s="885"/>
      <c r="C1" s="885"/>
      <c r="D1" s="885"/>
      <c r="E1" s="885"/>
      <c r="F1" s="885"/>
      <c r="G1" s="885"/>
      <c r="H1" s="885"/>
      <c r="I1" s="885"/>
      <c r="J1" s="885"/>
      <c r="K1" s="885"/>
      <c r="L1" s="885"/>
      <c r="M1" s="885"/>
      <c r="N1" s="885"/>
      <c r="O1" s="885"/>
      <c r="P1" s="885"/>
      <c r="Q1" s="885"/>
      <c r="R1" s="885"/>
      <c r="S1" s="885"/>
      <c r="T1" s="885"/>
      <c r="U1" s="885"/>
      <c r="V1" s="885"/>
      <c r="W1" s="885"/>
      <c r="X1" s="885"/>
      <c r="Y1" s="885"/>
      <c r="Z1" s="885"/>
      <c r="AA1" s="885"/>
      <c r="AB1" s="885"/>
      <c r="AC1" s="885"/>
      <c r="AD1" s="885"/>
      <c r="AE1" s="885"/>
      <c r="AF1" s="885"/>
      <c r="AG1" s="885"/>
      <c r="AH1" s="885"/>
      <c r="AI1" s="885"/>
      <c r="AJ1" s="885"/>
      <c r="AK1" s="873"/>
      <c r="AL1" s="873"/>
      <c r="AM1" s="873"/>
      <c r="AN1" s="873"/>
      <c r="AO1" s="873"/>
      <c r="AP1" s="873"/>
      <c r="AQ1" s="873"/>
      <c r="AR1" s="873"/>
      <c r="AS1" s="873"/>
      <c r="AT1" s="873"/>
      <c r="AU1" s="873"/>
      <c r="AV1" s="873"/>
    </row>
    <row r="2" spans="1:48" ht="15.75" x14ac:dyDescent="0.25">
      <c r="B2" s="1022" t="s">
        <v>907</v>
      </c>
      <c r="C2" s="885"/>
      <c r="D2" s="886"/>
      <c r="E2" s="873"/>
      <c r="F2" s="873"/>
      <c r="G2" s="873"/>
      <c r="H2" s="873"/>
      <c r="I2" s="873"/>
      <c r="J2" s="873"/>
      <c r="K2" s="873"/>
      <c r="L2" s="873"/>
      <c r="M2" s="873"/>
      <c r="N2" s="873"/>
      <c r="O2" s="873"/>
      <c r="P2" s="873"/>
      <c r="Q2" s="873"/>
      <c r="R2" s="873"/>
      <c r="S2" s="873"/>
      <c r="T2" s="873"/>
      <c r="U2" s="873"/>
      <c r="V2" s="873"/>
      <c r="W2" s="873"/>
      <c r="X2" s="873"/>
      <c r="Y2" s="873"/>
      <c r="Z2" s="873"/>
      <c r="AA2" s="873"/>
      <c r="AB2" s="873"/>
      <c r="AC2" s="873"/>
      <c r="AD2" s="873"/>
      <c r="AE2" s="873"/>
      <c r="AF2" s="873"/>
      <c r="AG2" s="873"/>
      <c r="AH2" s="873"/>
      <c r="AI2" s="873"/>
      <c r="AJ2" s="873"/>
      <c r="AK2" s="873"/>
      <c r="AL2" s="873"/>
      <c r="AM2" s="873"/>
      <c r="AN2" s="873"/>
      <c r="AO2" s="873"/>
      <c r="AP2" s="873"/>
      <c r="AQ2" s="873"/>
      <c r="AR2" s="873"/>
      <c r="AS2" s="873"/>
      <c r="AT2" s="873"/>
      <c r="AU2" s="873"/>
      <c r="AV2" s="873"/>
    </row>
    <row r="3" spans="1:48" ht="180" customHeight="1" x14ac:dyDescent="0.2">
      <c r="A3" s="958"/>
      <c r="B3" s="1281"/>
      <c r="C3" s="873"/>
      <c r="D3" s="873"/>
      <c r="E3" s="873"/>
      <c r="F3" s="873"/>
      <c r="G3" s="873"/>
      <c r="H3" s="873"/>
      <c r="I3" s="873"/>
      <c r="J3" s="873"/>
      <c r="K3" s="873"/>
      <c r="L3" s="873"/>
      <c r="M3" s="873"/>
      <c r="N3" s="873"/>
      <c r="O3" s="873"/>
      <c r="P3" s="873"/>
      <c r="Q3" s="873"/>
      <c r="R3" s="873"/>
      <c r="S3" s="873"/>
      <c r="T3" s="873"/>
      <c r="U3" s="873"/>
      <c r="V3" s="873"/>
      <c r="W3" s="873"/>
      <c r="X3" s="873"/>
      <c r="Y3" s="873"/>
      <c r="Z3" s="873"/>
      <c r="AA3" s="873"/>
      <c r="AB3" s="873"/>
      <c r="AC3" s="873"/>
      <c r="AD3" s="873"/>
      <c r="AE3" s="873"/>
      <c r="AF3" s="873"/>
      <c r="AG3" s="873"/>
      <c r="AH3" s="873"/>
      <c r="AI3" s="873"/>
      <c r="AJ3" s="873"/>
      <c r="AK3" s="873"/>
      <c r="AL3" s="873"/>
      <c r="AM3" s="873"/>
      <c r="AN3" s="873"/>
      <c r="AO3" s="873"/>
      <c r="AP3" s="873"/>
      <c r="AQ3" s="873"/>
      <c r="AR3" s="873"/>
      <c r="AS3" s="873"/>
      <c r="AT3" s="873"/>
      <c r="AU3" s="873"/>
      <c r="AV3" s="873"/>
    </row>
    <row r="4" spans="1:48" ht="16.5" customHeight="1" x14ac:dyDescent="0.2">
      <c r="A4" s="958"/>
      <c r="B4" s="1281"/>
      <c r="C4" s="873"/>
      <c r="D4" s="885"/>
      <c r="E4" s="885"/>
      <c r="F4" s="885"/>
      <c r="G4" s="885"/>
      <c r="H4" s="885"/>
      <c r="I4" s="885"/>
      <c r="J4" s="885"/>
      <c r="K4" s="885"/>
      <c r="L4" s="885"/>
      <c r="M4" s="885"/>
      <c r="N4" s="885"/>
      <c r="O4" s="885"/>
      <c r="P4" s="885"/>
      <c r="Q4" s="885"/>
      <c r="R4" s="885"/>
      <c r="S4" s="885"/>
      <c r="T4" s="885"/>
      <c r="U4" s="885"/>
      <c r="V4" s="885"/>
      <c r="W4" s="885"/>
      <c r="X4" s="885"/>
      <c r="Y4" s="885"/>
      <c r="Z4" s="885"/>
      <c r="AA4" s="885"/>
      <c r="AB4" s="885"/>
      <c r="AC4" s="885"/>
      <c r="AD4" s="885"/>
      <c r="AE4" s="885"/>
      <c r="AF4" s="885"/>
      <c r="AG4" s="885"/>
      <c r="AH4" s="885"/>
      <c r="AI4" s="885"/>
      <c r="AJ4" s="885"/>
      <c r="AK4" s="873"/>
      <c r="AL4" s="873"/>
      <c r="AM4" s="873"/>
      <c r="AN4" s="873"/>
      <c r="AO4" s="873"/>
      <c r="AP4" s="873"/>
      <c r="AQ4" s="873"/>
      <c r="AR4" s="873"/>
      <c r="AS4" s="873"/>
      <c r="AT4" s="873"/>
      <c r="AU4" s="873"/>
      <c r="AV4" s="873"/>
    </row>
    <row r="5" spans="1:48" ht="12.75" x14ac:dyDescent="0.2">
      <c r="A5" s="1282"/>
      <c r="B5" s="967" t="s">
        <v>909</v>
      </c>
      <c r="C5" s="1283"/>
      <c r="D5" s="1283"/>
      <c r="E5" s="1283"/>
      <c r="F5" s="1283"/>
      <c r="G5" s="1283"/>
      <c r="H5" s="1283"/>
      <c r="I5" s="958"/>
      <c r="J5" s="1283"/>
      <c r="K5" s="958"/>
      <c r="L5" s="1283"/>
      <c r="M5" s="873"/>
      <c r="N5" s="873"/>
      <c r="O5" s="873"/>
      <c r="P5" s="873"/>
      <c r="Q5" s="873"/>
      <c r="R5" s="873"/>
      <c r="S5" s="873"/>
      <c r="T5" s="873"/>
      <c r="U5" s="873"/>
      <c r="V5" s="873"/>
      <c r="W5" s="873"/>
      <c r="X5" s="873"/>
      <c r="Y5" s="873"/>
      <c r="Z5" s="873"/>
      <c r="AA5" s="873"/>
      <c r="AB5" s="873"/>
      <c r="AC5" s="873"/>
      <c r="AD5" s="873"/>
      <c r="AE5" s="873"/>
      <c r="AF5" s="873"/>
      <c r="AG5" s="873"/>
      <c r="AH5" s="873"/>
      <c r="AI5" s="873"/>
      <c r="AJ5" s="873"/>
      <c r="AK5" s="873"/>
      <c r="AL5" s="873"/>
      <c r="AM5" s="873"/>
      <c r="AN5" s="873"/>
      <c r="AO5" s="873"/>
      <c r="AP5" s="873"/>
      <c r="AQ5" s="873"/>
      <c r="AR5" s="873"/>
      <c r="AS5" s="873"/>
      <c r="AT5" s="873"/>
      <c r="AU5" s="873"/>
      <c r="AV5" s="873"/>
    </row>
    <row r="6" spans="1:48" ht="12.75" x14ac:dyDescent="0.2">
      <c r="A6" s="1282"/>
      <c r="B6" s="1284"/>
      <c r="C6" s="1283"/>
      <c r="D6" s="1283"/>
      <c r="E6" s="1283"/>
      <c r="F6" s="1283"/>
      <c r="G6" s="1283"/>
      <c r="H6" s="1283"/>
      <c r="I6" s="958"/>
      <c r="J6" s="1283"/>
      <c r="K6" s="958"/>
      <c r="L6" s="128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3"/>
      <c r="AP6" s="873"/>
      <c r="AQ6" s="873"/>
      <c r="AR6" s="873"/>
      <c r="AS6" s="873"/>
      <c r="AT6" s="873"/>
      <c r="AU6" s="873"/>
      <c r="AV6" s="873"/>
    </row>
    <row r="7" spans="1:48" ht="63.75" x14ac:dyDescent="0.2">
      <c r="A7" s="1282"/>
      <c r="B7" s="1285" t="s">
        <v>913</v>
      </c>
      <c r="C7" s="1286" t="s">
        <v>1875</v>
      </c>
      <c r="D7" s="1286" t="s">
        <v>1876</v>
      </c>
      <c r="E7" s="1287" t="s">
        <v>1877</v>
      </c>
      <c r="F7" s="1288" t="s">
        <v>1878</v>
      </c>
      <c r="G7" s="1289" t="s">
        <v>1865</v>
      </c>
      <c r="H7" s="1287" t="s">
        <v>1879</v>
      </c>
      <c r="I7" s="1284"/>
      <c r="J7" s="1284"/>
      <c r="K7" s="2022" t="s">
        <v>1</v>
      </c>
      <c r="L7" s="2043"/>
      <c r="M7" s="873"/>
      <c r="N7" s="873"/>
      <c r="O7" s="873"/>
      <c r="P7" s="873"/>
      <c r="Q7" s="873"/>
      <c r="R7" s="873"/>
      <c r="S7" s="873"/>
      <c r="T7" s="873"/>
      <c r="U7" s="873"/>
      <c r="V7" s="873"/>
      <c r="W7" s="873"/>
      <c r="X7" s="873"/>
      <c r="Y7" s="873"/>
      <c r="Z7" s="873"/>
      <c r="AA7" s="873"/>
      <c r="AB7" s="873"/>
      <c r="AC7" s="873"/>
      <c r="AD7" s="873"/>
      <c r="AE7" s="873"/>
      <c r="AF7" s="873"/>
      <c r="AG7" s="873"/>
      <c r="AH7" s="873"/>
      <c r="AI7" s="873"/>
      <c r="AJ7" s="873"/>
      <c r="AK7" s="873"/>
      <c r="AL7" s="873"/>
      <c r="AM7" s="873"/>
      <c r="AN7" s="873"/>
      <c r="AO7" s="873"/>
      <c r="AP7" s="873"/>
      <c r="AQ7" s="873"/>
      <c r="AR7" s="873"/>
      <c r="AS7" s="873"/>
      <c r="AT7" s="873"/>
      <c r="AU7" s="873"/>
      <c r="AV7" s="873"/>
    </row>
    <row r="8" spans="1:48" ht="15" customHeight="1" x14ac:dyDescent="0.2">
      <c r="A8" s="1282"/>
      <c r="B8" s="1290" t="s">
        <v>916</v>
      </c>
      <c r="C8" s="1291">
        <v>0</v>
      </c>
      <c r="D8" s="1291">
        <v>0</v>
      </c>
      <c r="E8" s="1292">
        <v>0</v>
      </c>
      <c r="F8" s="1293">
        <v>19.2</v>
      </c>
      <c r="G8" s="1294">
        <f>(C8+D8-E8)*1000000*F8/1000000</f>
        <v>0</v>
      </c>
      <c r="H8" s="1295">
        <f>G8*$L$10/1000000</f>
        <v>0</v>
      </c>
      <c r="I8" s="901"/>
      <c r="J8" s="1296"/>
      <c r="K8" s="894"/>
      <c r="L8" s="902" t="str">
        <f>Summary!E3</f>
        <v>AR6 100-yr GWP</v>
      </c>
      <c r="M8" s="873"/>
      <c r="N8" s="873"/>
      <c r="O8" s="873"/>
      <c r="P8" s="873"/>
      <c r="Q8" s="873"/>
      <c r="R8" s="873"/>
      <c r="S8" s="873"/>
      <c r="T8" s="873"/>
      <c r="U8" s="873"/>
      <c r="V8" s="873"/>
      <c r="W8" s="873"/>
      <c r="X8" s="873"/>
      <c r="Y8" s="873"/>
      <c r="Z8" s="873"/>
      <c r="AA8" s="873"/>
      <c r="AB8" s="873"/>
      <c r="AC8" s="873"/>
      <c r="AD8" s="873"/>
      <c r="AE8" s="873"/>
      <c r="AF8" s="873"/>
      <c r="AG8" s="873"/>
      <c r="AH8" s="873"/>
      <c r="AI8" s="873"/>
      <c r="AJ8" s="873"/>
      <c r="AK8" s="873"/>
      <c r="AL8" s="873"/>
      <c r="AM8" s="873"/>
      <c r="AN8" s="873"/>
      <c r="AO8" s="873"/>
      <c r="AP8" s="873"/>
      <c r="AQ8" s="873"/>
      <c r="AR8" s="873"/>
      <c r="AS8" s="873"/>
      <c r="AT8" s="873"/>
      <c r="AU8" s="873"/>
      <c r="AV8" s="873"/>
    </row>
    <row r="9" spans="1:48" ht="11.25" customHeight="1" x14ac:dyDescent="0.2">
      <c r="A9" s="1282"/>
      <c r="B9" s="1284"/>
      <c r="C9" s="1284"/>
      <c r="D9" s="1297"/>
      <c r="E9" s="901"/>
      <c r="F9" s="901"/>
      <c r="G9" s="901"/>
      <c r="H9" s="1298"/>
      <c r="I9" s="901"/>
      <c r="J9" s="927"/>
      <c r="K9" s="894" t="str">
        <f>Summary!C4</f>
        <v>CO2</v>
      </c>
      <c r="L9" s="902">
        <f>Summary!E4</f>
        <v>1</v>
      </c>
      <c r="M9" s="873"/>
      <c r="N9" s="873"/>
      <c r="O9" s="873"/>
      <c r="P9" s="873"/>
      <c r="Q9" s="873"/>
      <c r="R9" s="873"/>
      <c r="S9" s="873"/>
      <c r="T9" s="873"/>
      <c r="U9" s="873"/>
      <c r="V9" s="873"/>
      <c r="W9" s="873"/>
      <c r="X9" s="873"/>
      <c r="Y9" s="873"/>
      <c r="Z9" s="873"/>
      <c r="AA9" s="873"/>
      <c r="AB9" s="873"/>
      <c r="AC9" s="873"/>
      <c r="AD9" s="873"/>
      <c r="AE9" s="873"/>
      <c r="AF9" s="873"/>
      <c r="AG9" s="873"/>
      <c r="AH9" s="873"/>
      <c r="AI9" s="873"/>
      <c r="AJ9" s="873"/>
      <c r="AK9" s="873"/>
      <c r="AL9" s="873"/>
      <c r="AM9" s="873"/>
      <c r="AN9" s="873"/>
      <c r="AO9" s="873"/>
      <c r="AP9" s="873"/>
      <c r="AQ9" s="873"/>
      <c r="AR9" s="873"/>
      <c r="AS9" s="873"/>
      <c r="AT9" s="873"/>
      <c r="AU9" s="873"/>
      <c r="AV9" s="873"/>
    </row>
    <row r="10" spans="1:48" ht="38.25" x14ac:dyDescent="0.2">
      <c r="A10" s="1282"/>
      <c r="B10" s="1285" t="s">
        <v>913</v>
      </c>
      <c r="C10" s="1299" t="s">
        <v>922</v>
      </c>
      <c r="D10" s="1300" t="s">
        <v>1880</v>
      </c>
      <c r="E10" s="1289" t="s">
        <v>1881</v>
      </c>
      <c r="F10" s="1300" t="s">
        <v>1878</v>
      </c>
      <c r="G10" s="1289" t="s">
        <v>1865</v>
      </c>
      <c r="H10" s="1287" t="s">
        <v>1879</v>
      </c>
      <c r="I10" s="901"/>
      <c r="J10" s="1283"/>
      <c r="K10" s="894" t="str">
        <f>Summary!C5</f>
        <v>CH4</v>
      </c>
      <c r="L10" s="902">
        <f>Summary!E5</f>
        <v>27.9</v>
      </c>
      <c r="M10" s="873"/>
      <c r="N10" s="873"/>
      <c r="O10" s="873"/>
      <c r="P10" s="873"/>
      <c r="Q10" s="873"/>
      <c r="R10" s="873"/>
      <c r="S10" s="873"/>
      <c r="T10" s="873"/>
      <c r="U10" s="873"/>
      <c r="V10" s="873"/>
      <c r="W10" s="873"/>
      <c r="X10" s="873"/>
      <c r="Y10" s="873"/>
      <c r="Z10" s="873"/>
      <c r="AA10" s="873"/>
      <c r="AB10" s="873"/>
      <c r="AC10" s="873"/>
      <c r="AD10" s="873"/>
      <c r="AE10" s="873"/>
      <c r="AF10" s="873"/>
      <c r="AG10" s="873"/>
      <c r="AH10" s="873"/>
      <c r="AI10" s="873"/>
      <c r="AJ10" s="873"/>
      <c r="AK10" s="873"/>
      <c r="AL10" s="873"/>
      <c r="AM10" s="873"/>
      <c r="AN10" s="873"/>
      <c r="AO10" s="873"/>
      <c r="AP10" s="873"/>
      <c r="AQ10" s="873"/>
      <c r="AR10" s="873"/>
      <c r="AS10" s="873"/>
      <c r="AT10" s="873"/>
      <c r="AU10" s="873"/>
      <c r="AV10" s="873"/>
    </row>
    <row r="11" spans="1:48" ht="15" customHeight="1" x14ac:dyDescent="0.2">
      <c r="A11" s="1282"/>
      <c r="B11" s="1290" t="s">
        <v>923</v>
      </c>
      <c r="C11" s="1301" t="s">
        <v>924</v>
      </c>
      <c r="D11" s="1292">
        <v>798110.07</v>
      </c>
      <c r="E11" s="1302">
        <v>119</v>
      </c>
      <c r="F11" s="1303">
        <v>19.2</v>
      </c>
      <c r="G11" s="1304">
        <f>D11*E11*F11/1000000</f>
        <v>1823.5218879359998</v>
      </c>
      <c r="H11" s="1305">
        <f>G11*$L$10/1000000</f>
        <v>5.0876260673414393E-2</v>
      </c>
      <c r="I11" s="901"/>
      <c r="J11" s="1283"/>
      <c r="K11" s="894" t="str">
        <f>Summary!C6</f>
        <v>N2O</v>
      </c>
      <c r="L11" s="902">
        <f>Summary!E6</f>
        <v>273</v>
      </c>
      <c r="M11" s="873"/>
      <c r="N11" s="873"/>
      <c r="O11" s="873"/>
      <c r="P11" s="873"/>
      <c r="Q11" s="873"/>
      <c r="R11" s="873"/>
      <c r="S11" s="873"/>
      <c r="T11" s="873"/>
      <c r="U11" s="873"/>
      <c r="V11" s="873"/>
      <c r="W11" s="873"/>
      <c r="X11" s="873"/>
      <c r="Y11" s="873"/>
      <c r="Z11" s="873"/>
      <c r="AA11" s="873"/>
      <c r="AB11" s="873"/>
      <c r="AC11" s="873"/>
      <c r="AD11" s="873"/>
      <c r="AE11" s="873"/>
      <c r="AF11" s="873"/>
      <c r="AG11" s="873"/>
      <c r="AH11" s="873"/>
      <c r="AI11" s="873"/>
      <c r="AJ11" s="873"/>
      <c r="AK11" s="873"/>
      <c r="AL11" s="873"/>
      <c r="AM11" s="873"/>
      <c r="AN11" s="873"/>
      <c r="AO11" s="873"/>
      <c r="AP11" s="873"/>
      <c r="AQ11" s="873"/>
      <c r="AR11" s="873"/>
      <c r="AS11" s="873"/>
      <c r="AT11" s="873"/>
      <c r="AU11" s="873"/>
      <c r="AV11" s="873"/>
    </row>
    <row r="12" spans="1:48" ht="12.75" x14ac:dyDescent="0.2">
      <c r="A12" s="1282"/>
      <c r="B12" s="1306"/>
      <c r="C12" s="1306"/>
      <c r="D12" s="1307"/>
      <c r="E12" s="901"/>
      <c r="F12" s="1283"/>
      <c r="G12" s="901"/>
      <c r="H12" s="1283"/>
      <c r="I12" s="901"/>
      <c r="J12" s="1283"/>
      <c r="K12" s="894" t="str">
        <f>Summary!C7</f>
        <v>SF6</v>
      </c>
      <c r="L12" s="909">
        <f>Summary!E7</f>
        <v>24300</v>
      </c>
      <c r="M12" s="873"/>
      <c r="N12" s="873"/>
      <c r="O12" s="873"/>
      <c r="P12" s="873"/>
      <c r="Q12" s="873"/>
      <c r="R12" s="873"/>
      <c r="S12" s="873"/>
      <c r="T12" s="873"/>
      <c r="U12" s="873"/>
      <c r="V12" s="873"/>
      <c r="W12" s="873"/>
      <c r="X12" s="873"/>
      <c r="Y12" s="873"/>
      <c r="Z12" s="873"/>
      <c r="AA12" s="873"/>
      <c r="AB12" s="873"/>
      <c r="AC12" s="873"/>
      <c r="AD12" s="873"/>
      <c r="AE12" s="873"/>
      <c r="AF12" s="873"/>
      <c r="AG12" s="873"/>
      <c r="AH12" s="873"/>
      <c r="AI12" s="873"/>
      <c r="AJ12" s="873"/>
      <c r="AK12" s="873"/>
      <c r="AL12" s="873"/>
      <c r="AM12" s="873"/>
      <c r="AN12" s="873"/>
      <c r="AO12" s="873"/>
      <c r="AP12" s="873"/>
      <c r="AQ12" s="873"/>
      <c r="AR12" s="873"/>
      <c r="AS12" s="873"/>
      <c r="AT12" s="873"/>
      <c r="AU12" s="873"/>
      <c r="AV12" s="873"/>
    </row>
    <row r="13" spans="1:48" ht="12.75" x14ac:dyDescent="0.2">
      <c r="A13" s="1282"/>
      <c r="B13" s="1306"/>
      <c r="C13" s="1306"/>
      <c r="D13" s="1307"/>
      <c r="E13" s="901"/>
      <c r="F13" s="1283"/>
      <c r="G13" s="901"/>
      <c r="H13" s="1283"/>
      <c r="I13" s="901"/>
      <c r="J13" s="1283"/>
      <c r="K13" s="1333"/>
      <c r="L13" s="1334"/>
      <c r="M13" s="873"/>
      <c r="N13" s="873"/>
      <c r="O13" s="873"/>
      <c r="P13" s="873"/>
      <c r="Q13" s="873"/>
      <c r="R13" s="873"/>
      <c r="S13" s="873"/>
      <c r="T13" s="873"/>
      <c r="U13" s="873"/>
      <c r="V13" s="873"/>
      <c r="W13" s="873"/>
      <c r="X13" s="873"/>
      <c r="Y13" s="873"/>
      <c r="Z13" s="873"/>
      <c r="AA13" s="873"/>
      <c r="AB13" s="873"/>
      <c r="AC13" s="873"/>
      <c r="AD13" s="873"/>
      <c r="AE13" s="873"/>
      <c r="AF13" s="873"/>
      <c r="AG13" s="873"/>
      <c r="AH13" s="873"/>
      <c r="AI13" s="873"/>
      <c r="AJ13" s="873"/>
      <c r="AK13" s="873"/>
      <c r="AL13" s="873"/>
      <c r="AM13" s="873"/>
      <c r="AN13" s="873"/>
      <c r="AO13" s="873"/>
      <c r="AP13" s="873"/>
      <c r="AQ13" s="873"/>
      <c r="AR13" s="873"/>
      <c r="AS13" s="873"/>
      <c r="AT13" s="873"/>
      <c r="AU13" s="873"/>
      <c r="AV13" s="873"/>
    </row>
    <row r="14" spans="1:48" ht="12.75" x14ac:dyDescent="0.2">
      <c r="A14" s="958"/>
      <c r="B14" s="967" t="s">
        <v>926</v>
      </c>
      <c r="C14" s="873"/>
      <c r="D14" s="901"/>
      <c r="E14" s="873"/>
      <c r="F14" s="1308"/>
      <c r="G14" s="873"/>
      <c r="H14" s="873"/>
      <c r="I14" s="873"/>
      <c r="J14" s="873"/>
      <c r="K14" s="873"/>
      <c r="L14" s="873"/>
      <c r="M14" s="873"/>
      <c r="N14" s="873"/>
      <c r="O14" s="873"/>
      <c r="P14" s="873"/>
      <c r="Q14" s="873"/>
      <c r="R14" s="873"/>
      <c r="S14" s="873"/>
      <c r="T14" s="873"/>
      <c r="U14" s="873"/>
      <c r="V14" s="873"/>
      <c r="W14" s="873"/>
      <c r="X14" s="873"/>
      <c r="Y14" s="873"/>
      <c r="Z14" s="873"/>
      <c r="AA14" s="873"/>
      <c r="AB14" s="873"/>
      <c r="AC14" s="873"/>
      <c r="AD14" s="873"/>
      <c r="AE14" s="873"/>
      <c r="AF14" s="873"/>
      <c r="AG14" s="873"/>
      <c r="AH14" s="873"/>
      <c r="AI14" s="873"/>
      <c r="AJ14" s="873"/>
      <c r="AK14" s="873"/>
      <c r="AL14" s="873"/>
      <c r="AM14" s="873"/>
      <c r="AN14" s="873"/>
      <c r="AO14" s="873"/>
      <c r="AP14" s="873"/>
      <c r="AQ14" s="873"/>
      <c r="AR14" s="873"/>
      <c r="AS14" s="873"/>
      <c r="AT14" s="873"/>
      <c r="AU14" s="873"/>
      <c r="AV14" s="873"/>
    </row>
    <row r="15" spans="1:48" ht="12.75" x14ac:dyDescent="0.2">
      <c r="A15" s="958"/>
      <c r="C15" s="873"/>
      <c r="D15" s="901"/>
      <c r="E15" s="873"/>
      <c r="F15" s="1308"/>
      <c r="G15" s="873"/>
      <c r="H15" s="873"/>
      <c r="I15" s="873"/>
      <c r="J15" s="873"/>
      <c r="K15" s="873"/>
      <c r="L15" s="873"/>
      <c r="M15" s="873"/>
      <c r="N15" s="873"/>
      <c r="O15" s="873"/>
      <c r="P15" s="873"/>
      <c r="Q15" s="873"/>
      <c r="R15" s="873"/>
      <c r="S15" s="873"/>
      <c r="T15" s="873"/>
      <c r="U15" s="873"/>
      <c r="V15" s="873"/>
      <c r="W15" s="873"/>
      <c r="X15" s="873"/>
      <c r="Y15" s="873"/>
      <c r="Z15" s="873"/>
      <c r="AA15" s="873"/>
      <c r="AB15" s="873"/>
      <c r="AC15" s="873"/>
      <c r="AD15" s="873"/>
      <c r="AE15" s="873"/>
      <c r="AF15" s="873"/>
      <c r="AG15" s="873"/>
      <c r="AH15" s="873"/>
      <c r="AI15" s="873"/>
      <c r="AJ15" s="873"/>
      <c r="AK15" s="873"/>
      <c r="AL15" s="873"/>
      <c r="AM15" s="873"/>
      <c r="AN15" s="873"/>
      <c r="AO15" s="873"/>
      <c r="AP15" s="873"/>
      <c r="AQ15" s="873"/>
      <c r="AR15" s="873"/>
      <c r="AS15" s="873"/>
      <c r="AT15" s="873"/>
      <c r="AU15" s="873"/>
      <c r="AV15" s="873"/>
    </row>
    <row r="16" spans="1:48" ht="38.25" x14ac:dyDescent="0.2">
      <c r="A16" s="958"/>
      <c r="B16" s="1285" t="s">
        <v>913</v>
      </c>
      <c r="C16" s="1299" t="s">
        <v>922</v>
      </c>
      <c r="D16" s="1300" t="s">
        <v>1882</v>
      </c>
      <c r="E16" s="1289" t="s">
        <v>1881</v>
      </c>
      <c r="F16" s="1300" t="s">
        <v>1878</v>
      </c>
      <c r="G16" s="1289" t="s">
        <v>1865</v>
      </c>
      <c r="H16" s="1287" t="s">
        <v>1879</v>
      </c>
      <c r="I16" s="873"/>
      <c r="J16" s="1283"/>
      <c r="K16" s="873"/>
      <c r="L16" s="1283"/>
      <c r="M16" s="873"/>
      <c r="N16" s="873"/>
      <c r="O16" s="873"/>
      <c r="P16" s="873"/>
      <c r="Q16" s="873"/>
      <c r="R16" s="873"/>
      <c r="S16" s="873"/>
      <c r="T16" s="873"/>
      <c r="U16" s="873"/>
      <c r="V16" s="873"/>
      <c r="W16" s="873"/>
      <c r="X16" s="873"/>
      <c r="Y16" s="873"/>
      <c r="Z16" s="873"/>
      <c r="AA16" s="873"/>
      <c r="AB16" s="873"/>
      <c r="AC16" s="873"/>
      <c r="AD16" s="873"/>
      <c r="AE16" s="873"/>
      <c r="AF16" s="873"/>
      <c r="AG16" s="873"/>
      <c r="AH16" s="873"/>
      <c r="AI16" s="873"/>
      <c r="AJ16" s="873"/>
      <c r="AK16" s="873"/>
      <c r="AL16" s="873"/>
      <c r="AM16" s="873"/>
      <c r="AN16" s="873"/>
      <c r="AO16" s="873"/>
      <c r="AP16" s="873"/>
      <c r="AQ16" s="873"/>
      <c r="AR16" s="873"/>
      <c r="AS16" s="873"/>
      <c r="AT16" s="873"/>
      <c r="AU16" s="873"/>
      <c r="AV16" s="873"/>
    </row>
    <row r="17" spans="1:48" ht="15" customHeight="1" x14ac:dyDescent="0.2">
      <c r="A17" s="958"/>
      <c r="B17" s="1309" t="s">
        <v>916</v>
      </c>
      <c r="C17" s="1310" t="s">
        <v>924</v>
      </c>
      <c r="D17" s="1311">
        <f>662829.79</f>
        <v>662829.79</v>
      </c>
      <c r="E17" s="1312">
        <v>44.98</v>
      </c>
      <c r="F17" s="1313">
        <v>19.2</v>
      </c>
      <c r="G17" s="1314">
        <f t="shared" ref="G17:G18" si="0">D17*E17*F17/1000000</f>
        <v>572.43041192064004</v>
      </c>
      <c r="H17" s="1315">
        <f t="shared" ref="H17:H18" si="1">G17*$L$10/1000000</f>
        <v>1.5970808492585857E-2</v>
      </c>
      <c r="I17" s="901"/>
      <c r="J17" s="1298"/>
      <c r="K17" s="926"/>
      <c r="L17" s="1298"/>
      <c r="N17" s="873"/>
      <c r="O17" s="873"/>
      <c r="P17" s="873"/>
      <c r="Q17" s="873"/>
      <c r="R17" s="873"/>
      <c r="S17" s="873"/>
      <c r="T17" s="873"/>
      <c r="U17" s="873"/>
      <c r="V17" s="873"/>
      <c r="W17" s="873"/>
      <c r="X17" s="873"/>
      <c r="Y17" s="873"/>
      <c r="Z17" s="873"/>
      <c r="AA17" s="873"/>
      <c r="AB17" s="873"/>
      <c r="AC17" s="873"/>
      <c r="AD17" s="873"/>
      <c r="AE17" s="873"/>
      <c r="AF17" s="873"/>
      <c r="AG17" s="873"/>
      <c r="AH17" s="873"/>
      <c r="AI17" s="873"/>
      <c r="AJ17" s="873"/>
      <c r="AK17" s="873"/>
      <c r="AL17" s="873"/>
      <c r="AM17" s="873"/>
      <c r="AN17" s="873"/>
      <c r="AO17" s="873"/>
      <c r="AP17" s="873"/>
      <c r="AQ17" s="873"/>
      <c r="AR17" s="873"/>
      <c r="AS17" s="873"/>
      <c r="AT17" s="873"/>
      <c r="AU17" s="873"/>
      <c r="AV17" s="873"/>
    </row>
    <row r="18" spans="1:48" ht="15" customHeight="1" x14ac:dyDescent="0.2">
      <c r="A18" s="958"/>
      <c r="B18" s="1290" t="s">
        <v>923</v>
      </c>
      <c r="C18" s="1301" t="s">
        <v>924</v>
      </c>
      <c r="D18" s="1292">
        <f>798110.07</f>
        <v>798110.07</v>
      </c>
      <c r="E18" s="1302">
        <v>19.337499999999999</v>
      </c>
      <c r="F18" s="1303">
        <v>19.2</v>
      </c>
      <c r="G18" s="1304">
        <f t="shared" si="0"/>
        <v>296.32230678959996</v>
      </c>
      <c r="H18" s="1305">
        <f t="shared" si="1"/>
        <v>8.2673923594298402E-3</v>
      </c>
      <c r="I18" s="901"/>
      <c r="J18" s="1298"/>
      <c r="K18" s="926"/>
      <c r="L18" s="1298"/>
      <c r="N18" s="873"/>
      <c r="O18" s="873"/>
      <c r="P18" s="873"/>
      <c r="Q18" s="873"/>
      <c r="R18" s="873"/>
      <c r="S18" s="873"/>
      <c r="T18" s="873"/>
      <c r="U18" s="873"/>
      <c r="V18" s="873"/>
      <c r="W18" s="873"/>
      <c r="X18" s="873"/>
      <c r="Y18" s="873"/>
      <c r="Z18" s="873"/>
      <c r="AA18" s="873"/>
      <c r="AB18" s="873"/>
      <c r="AC18" s="873"/>
      <c r="AD18" s="873"/>
      <c r="AE18" s="873"/>
      <c r="AF18" s="873"/>
      <c r="AG18" s="873"/>
      <c r="AH18" s="873"/>
      <c r="AI18" s="873"/>
      <c r="AJ18" s="873"/>
      <c r="AK18" s="873"/>
      <c r="AL18" s="873"/>
      <c r="AM18" s="873"/>
      <c r="AN18" s="873"/>
      <c r="AO18" s="873"/>
      <c r="AP18" s="873"/>
      <c r="AQ18" s="873"/>
      <c r="AR18" s="873"/>
      <c r="AS18" s="873"/>
      <c r="AT18" s="873"/>
      <c r="AU18" s="873"/>
      <c r="AV18" s="873"/>
    </row>
    <row r="19" spans="1:48" ht="12.75" x14ac:dyDescent="0.2">
      <c r="A19" s="958"/>
      <c r="B19" s="884" t="s">
        <v>928</v>
      </c>
      <c r="M19" s="873"/>
      <c r="N19" s="873"/>
      <c r="O19" s="873"/>
      <c r="P19" s="873"/>
      <c r="Q19" s="873"/>
      <c r="R19" s="873"/>
      <c r="S19" s="873"/>
      <c r="T19" s="873"/>
      <c r="U19" s="873"/>
      <c r="V19" s="873"/>
      <c r="W19" s="873"/>
      <c r="X19" s="873"/>
      <c r="Y19" s="873"/>
      <c r="Z19" s="873"/>
      <c r="AA19" s="873"/>
      <c r="AB19" s="873"/>
      <c r="AC19" s="873"/>
      <c r="AD19" s="873"/>
      <c r="AE19" s="873"/>
      <c r="AF19" s="873"/>
      <c r="AG19" s="873"/>
      <c r="AH19" s="873"/>
      <c r="AI19" s="873"/>
      <c r="AJ19" s="873"/>
      <c r="AK19" s="873"/>
      <c r="AL19" s="873"/>
      <c r="AM19" s="873"/>
      <c r="AN19" s="873"/>
      <c r="AO19" s="873"/>
      <c r="AP19" s="873"/>
      <c r="AQ19" s="873"/>
      <c r="AR19" s="873"/>
      <c r="AS19" s="873"/>
      <c r="AT19" s="873"/>
      <c r="AU19" s="873"/>
      <c r="AV19" s="873"/>
    </row>
    <row r="20" spans="1:48" ht="12.75" x14ac:dyDescent="0.2">
      <c r="A20" s="958"/>
      <c r="B20" s="1181" t="s">
        <v>929</v>
      </c>
      <c r="C20" s="873"/>
      <c r="D20" s="901"/>
      <c r="E20" s="873"/>
      <c r="F20" s="1308"/>
      <c r="G20" s="873"/>
      <c r="H20" s="873"/>
      <c r="I20" s="873"/>
      <c r="J20" s="873"/>
      <c r="K20" s="873"/>
      <c r="L20" s="873"/>
      <c r="M20" s="873"/>
      <c r="N20" s="873"/>
      <c r="O20" s="873"/>
      <c r="P20" s="873"/>
      <c r="Q20" s="873"/>
      <c r="R20" s="873"/>
      <c r="S20" s="873"/>
      <c r="T20" s="873"/>
      <c r="U20" s="873"/>
      <c r="V20" s="873"/>
      <c r="W20" s="873"/>
      <c r="X20" s="873"/>
      <c r="Y20" s="873"/>
      <c r="Z20" s="873"/>
      <c r="AA20" s="873"/>
      <c r="AB20" s="873"/>
      <c r="AC20" s="873"/>
      <c r="AD20" s="873"/>
      <c r="AE20" s="873"/>
      <c r="AF20" s="873"/>
      <c r="AG20" s="873"/>
      <c r="AH20" s="873"/>
      <c r="AI20" s="873"/>
      <c r="AJ20" s="873"/>
      <c r="AK20" s="873"/>
      <c r="AL20" s="873"/>
      <c r="AM20" s="873"/>
      <c r="AN20" s="873"/>
      <c r="AO20" s="873"/>
      <c r="AP20" s="873"/>
      <c r="AQ20" s="873"/>
      <c r="AR20" s="873"/>
      <c r="AS20" s="873"/>
      <c r="AT20" s="873"/>
      <c r="AU20" s="873"/>
      <c r="AV20" s="873"/>
    </row>
    <row r="21" spans="1:48" ht="12.75" x14ac:dyDescent="0.2">
      <c r="A21" s="958"/>
      <c r="B21" s="1181"/>
      <c r="C21" s="873"/>
      <c r="D21" s="901"/>
      <c r="E21" s="873"/>
      <c r="F21" s="1308"/>
      <c r="G21" s="873"/>
      <c r="H21" s="873"/>
      <c r="I21" s="873"/>
      <c r="J21" s="873"/>
      <c r="K21" s="873"/>
      <c r="L21" s="873"/>
      <c r="M21" s="873"/>
      <c r="N21" s="873"/>
      <c r="O21" s="873"/>
      <c r="P21" s="873"/>
      <c r="Q21" s="873"/>
      <c r="R21" s="873"/>
      <c r="S21" s="873"/>
      <c r="T21" s="873"/>
      <c r="U21" s="873"/>
      <c r="V21" s="873"/>
      <c r="W21" s="873"/>
      <c r="X21" s="873"/>
      <c r="Y21" s="873"/>
      <c r="Z21" s="873"/>
      <c r="AA21" s="873"/>
      <c r="AB21" s="873"/>
      <c r="AC21" s="873"/>
      <c r="AD21" s="873"/>
      <c r="AE21" s="873"/>
      <c r="AF21" s="873"/>
      <c r="AG21" s="873"/>
      <c r="AH21" s="873"/>
      <c r="AI21" s="873"/>
      <c r="AJ21" s="873"/>
      <c r="AK21" s="873"/>
      <c r="AL21" s="873"/>
      <c r="AM21" s="873"/>
      <c r="AN21" s="873"/>
      <c r="AO21" s="873"/>
      <c r="AP21" s="873"/>
      <c r="AQ21" s="873"/>
      <c r="AR21" s="873"/>
      <c r="AS21" s="873"/>
      <c r="AT21" s="873"/>
      <c r="AU21" s="873"/>
      <c r="AV21" s="873"/>
    </row>
    <row r="22" spans="1:48" ht="12.75" x14ac:dyDescent="0.2">
      <c r="A22" s="958"/>
      <c r="B22" s="1182"/>
      <c r="C22" s="873"/>
      <c r="D22" s="901"/>
      <c r="E22" s="873"/>
      <c r="F22" s="1308"/>
      <c r="G22" s="873"/>
      <c r="H22" s="873"/>
      <c r="I22" s="873"/>
      <c r="J22" s="873"/>
      <c r="K22" s="873"/>
      <c r="L22" s="873"/>
      <c r="M22" s="873"/>
      <c r="N22" s="873"/>
      <c r="O22" s="873"/>
      <c r="P22" s="873"/>
      <c r="Q22" s="873"/>
      <c r="R22" s="873"/>
      <c r="S22" s="873"/>
      <c r="T22" s="873"/>
      <c r="U22" s="873"/>
      <c r="V22" s="873"/>
      <c r="W22" s="873"/>
      <c r="X22" s="873"/>
      <c r="Y22" s="873"/>
      <c r="Z22" s="873"/>
      <c r="AA22" s="873"/>
      <c r="AB22" s="873"/>
      <c r="AC22" s="873"/>
      <c r="AD22" s="873"/>
      <c r="AE22" s="873"/>
      <c r="AF22" s="873"/>
      <c r="AG22" s="873"/>
      <c r="AH22" s="873"/>
      <c r="AI22" s="873"/>
      <c r="AJ22" s="873"/>
      <c r="AK22" s="873"/>
      <c r="AL22" s="873"/>
      <c r="AM22" s="873"/>
      <c r="AN22" s="873"/>
      <c r="AO22" s="873"/>
      <c r="AP22" s="873"/>
      <c r="AQ22" s="873"/>
      <c r="AR22" s="873"/>
      <c r="AS22" s="873"/>
      <c r="AT22" s="873"/>
      <c r="AU22" s="873"/>
      <c r="AV22" s="873"/>
    </row>
    <row r="23" spans="1:48" ht="12.75" x14ac:dyDescent="0.2">
      <c r="A23" s="958"/>
      <c r="B23" s="967" t="s">
        <v>930</v>
      </c>
      <c r="M23" s="873"/>
      <c r="N23" s="873"/>
      <c r="O23" s="873"/>
      <c r="P23" s="873"/>
      <c r="Q23" s="873"/>
      <c r="R23" s="873"/>
      <c r="S23" s="873"/>
      <c r="T23" s="873"/>
      <c r="U23" s="873"/>
      <c r="V23" s="885"/>
      <c r="W23" s="885"/>
      <c r="X23" s="885"/>
      <c r="Y23" s="885"/>
      <c r="Z23" s="885"/>
      <c r="AA23" s="885"/>
      <c r="AB23" s="885"/>
      <c r="AC23" s="885"/>
      <c r="AD23" s="885"/>
      <c r="AE23" s="885"/>
      <c r="AF23" s="885"/>
      <c r="AG23" s="885"/>
      <c r="AH23" s="885"/>
      <c r="AI23" s="885"/>
      <c r="AJ23" s="885"/>
      <c r="AK23" s="873"/>
      <c r="AL23" s="873"/>
      <c r="AM23" s="873"/>
      <c r="AN23" s="873"/>
      <c r="AO23" s="873"/>
      <c r="AP23" s="873"/>
      <c r="AQ23" s="873"/>
      <c r="AR23" s="873"/>
      <c r="AS23" s="873"/>
      <c r="AT23" s="873"/>
      <c r="AU23" s="873"/>
      <c r="AV23" s="873"/>
    </row>
    <row r="24" spans="1:48" ht="12.75" x14ac:dyDescent="0.2">
      <c r="A24" s="958"/>
      <c r="B24" s="967"/>
      <c r="M24" s="873"/>
      <c r="N24" s="873"/>
      <c r="O24" s="873"/>
      <c r="P24" s="873"/>
      <c r="Q24" s="873"/>
      <c r="R24" s="873"/>
      <c r="S24" s="873"/>
      <c r="T24" s="873"/>
      <c r="U24" s="873"/>
      <c r="V24" s="885"/>
      <c r="W24" s="885"/>
      <c r="X24" s="885"/>
      <c r="Y24" s="885"/>
      <c r="Z24" s="885"/>
      <c r="AA24" s="885"/>
      <c r="AB24" s="885"/>
      <c r="AC24" s="885"/>
      <c r="AD24" s="885"/>
      <c r="AE24" s="885"/>
      <c r="AF24" s="885"/>
      <c r="AG24" s="885"/>
      <c r="AH24" s="885"/>
      <c r="AI24" s="885"/>
      <c r="AJ24" s="885"/>
      <c r="AK24" s="873"/>
      <c r="AL24" s="873"/>
      <c r="AM24" s="873"/>
      <c r="AN24" s="873"/>
      <c r="AO24" s="873"/>
      <c r="AP24" s="873"/>
      <c r="AQ24" s="873"/>
      <c r="AR24" s="873"/>
      <c r="AS24" s="873"/>
      <c r="AT24" s="873"/>
      <c r="AU24" s="873"/>
      <c r="AV24" s="873"/>
    </row>
    <row r="25" spans="1:48" ht="38.25" x14ac:dyDescent="0.2">
      <c r="A25" s="958"/>
      <c r="B25" s="1285" t="s">
        <v>931</v>
      </c>
      <c r="C25" s="1316" t="s">
        <v>1883</v>
      </c>
      <c r="D25" s="1300" t="s">
        <v>932</v>
      </c>
      <c r="E25" s="1289" t="s">
        <v>1865</v>
      </c>
      <c r="F25" s="1287" t="s">
        <v>1879</v>
      </c>
      <c r="G25" s="873"/>
      <c r="H25" s="1317"/>
      <c r="I25" s="1318"/>
      <c r="J25" s="1317"/>
      <c r="K25" s="873"/>
      <c r="L25" s="1317"/>
      <c r="M25" s="873"/>
      <c r="N25" s="873"/>
      <c r="O25" s="873"/>
      <c r="P25" s="873"/>
      <c r="Q25" s="873"/>
      <c r="R25" s="873"/>
      <c r="S25" s="873"/>
      <c r="T25" s="873"/>
      <c r="U25" s="873"/>
      <c r="V25" s="873"/>
      <c r="W25" s="873"/>
      <c r="X25" s="873"/>
      <c r="Y25" s="873"/>
      <c r="Z25" s="873"/>
      <c r="AA25" s="873"/>
      <c r="AB25" s="873"/>
      <c r="AC25" s="873"/>
      <c r="AD25" s="873"/>
      <c r="AE25" s="873"/>
      <c r="AF25" s="873"/>
      <c r="AG25" s="873"/>
      <c r="AH25" s="873"/>
      <c r="AI25" s="873"/>
      <c r="AJ25" s="873"/>
      <c r="AK25" s="873"/>
      <c r="AL25" s="873"/>
      <c r="AM25" s="873"/>
      <c r="AN25" s="873"/>
      <c r="AO25" s="873"/>
      <c r="AP25" s="873"/>
      <c r="AQ25" s="873"/>
      <c r="AR25" s="873"/>
      <c r="AS25" s="873"/>
      <c r="AT25" s="873"/>
      <c r="AU25" s="873"/>
      <c r="AV25" s="873"/>
    </row>
    <row r="26" spans="1:48" ht="15" customHeight="1" x14ac:dyDescent="0.2">
      <c r="A26" s="958"/>
      <c r="B26" s="1319" t="s">
        <v>933</v>
      </c>
      <c r="C26" s="1320"/>
      <c r="D26" s="1321">
        <v>0.125</v>
      </c>
      <c r="E26" s="1314">
        <f t="shared" ref="E26:E28" si="2">C$29*D26*1000</f>
        <v>27.117534249999999</v>
      </c>
      <c r="F26" s="1315">
        <f t="shared" ref="F26:F28" si="3">E26*$L$10/1000000</f>
        <v>7.565792055749999E-4</v>
      </c>
      <c r="G26" s="901"/>
      <c r="H26" s="1296"/>
      <c r="I26" s="901"/>
      <c r="J26" s="1296"/>
      <c r="K26" s="901"/>
      <c r="L26" s="1296"/>
      <c r="M26" s="873"/>
      <c r="N26" s="873"/>
      <c r="O26" s="1296"/>
      <c r="P26" s="1296"/>
      <c r="Q26" s="873"/>
      <c r="R26" s="873"/>
      <c r="S26" s="873"/>
      <c r="T26" s="873"/>
      <c r="U26" s="873"/>
      <c r="V26" s="873"/>
      <c r="W26" s="873"/>
      <c r="X26" s="873"/>
      <c r="Y26" s="873"/>
      <c r="Z26" s="873"/>
      <c r="AA26" s="873"/>
      <c r="AB26" s="873"/>
      <c r="AC26" s="873"/>
      <c r="AD26" s="873"/>
      <c r="AE26" s="873"/>
      <c r="AF26" s="873"/>
      <c r="AG26" s="873"/>
      <c r="AH26" s="873"/>
      <c r="AI26" s="873"/>
      <c r="AJ26" s="873"/>
      <c r="AK26" s="873"/>
      <c r="AL26" s="873"/>
      <c r="AM26" s="873"/>
      <c r="AN26" s="873"/>
      <c r="AO26" s="873"/>
      <c r="AP26" s="873"/>
      <c r="AQ26" s="873"/>
      <c r="AR26" s="873"/>
      <c r="AS26" s="873"/>
      <c r="AT26" s="873"/>
      <c r="AU26" s="873"/>
      <c r="AV26" s="873"/>
    </row>
    <row r="27" spans="1:48" ht="15" customHeight="1" x14ac:dyDescent="0.2">
      <c r="A27" s="958"/>
      <c r="B27" s="1319" t="s">
        <v>934</v>
      </c>
      <c r="C27" s="1320"/>
      <c r="D27" s="1321">
        <v>0.25</v>
      </c>
      <c r="E27" s="1314">
        <f t="shared" si="2"/>
        <v>54.235068499999997</v>
      </c>
      <c r="F27" s="1315">
        <f t="shared" si="3"/>
        <v>1.5131584111499998E-3</v>
      </c>
      <c r="G27" s="901"/>
      <c r="H27" s="1296"/>
      <c r="I27" s="901"/>
      <c r="J27" s="1296"/>
      <c r="K27" s="901"/>
      <c r="L27" s="1296"/>
      <c r="M27" s="873"/>
      <c r="N27" s="873"/>
      <c r="O27" s="1296"/>
      <c r="P27" s="1296"/>
      <c r="Q27" s="873"/>
      <c r="R27" s="873"/>
      <c r="S27" s="873"/>
      <c r="T27" s="873"/>
      <c r="U27" s="873"/>
      <c r="V27" s="873"/>
      <c r="W27" s="873"/>
      <c r="X27" s="873"/>
      <c r="Y27" s="873"/>
      <c r="Z27" s="873"/>
      <c r="AA27" s="873"/>
      <c r="AB27" s="873"/>
      <c r="AC27" s="873"/>
      <c r="AD27" s="873"/>
      <c r="AE27" s="873"/>
      <c r="AF27" s="873"/>
      <c r="AG27" s="873"/>
      <c r="AH27" s="873"/>
      <c r="AI27" s="873"/>
      <c r="AJ27" s="873"/>
      <c r="AK27" s="873"/>
      <c r="AL27" s="873"/>
      <c r="AM27" s="873"/>
      <c r="AN27" s="873"/>
      <c r="AO27" s="873"/>
      <c r="AP27" s="873"/>
      <c r="AQ27" s="873"/>
      <c r="AR27" s="873"/>
      <c r="AS27" s="873"/>
      <c r="AT27" s="873"/>
      <c r="AU27" s="873"/>
      <c r="AV27" s="873"/>
    </row>
    <row r="28" spans="1:48" ht="15" customHeight="1" x14ac:dyDescent="0.2">
      <c r="A28" s="958"/>
      <c r="B28" s="1322" t="s">
        <v>935</v>
      </c>
      <c r="C28" s="1323"/>
      <c r="D28" s="1324">
        <v>0.625</v>
      </c>
      <c r="E28" s="1304">
        <f t="shared" si="2"/>
        <v>135.58767125</v>
      </c>
      <c r="F28" s="1305">
        <f t="shared" si="3"/>
        <v>3.7828960278749996E-3</v>
      </c>
      <c r="G28" s="901"/>
      <c r="H28" s="1296"/>
      <c r="I28" s="901"/>
      <c r="J28" s="1296"/>
      <c r="K28" s="901"/>
      <c r="L28" s="1296"/>
      <c r="M28" s="873"/>
      <c r="N28" s="873"/>
      <c r="O28" s="1296"/>
      <c r="P28" s="1296"/>
      <c r="Q28" s="873"/>
      <c r="R28" s="873"/>
      <c r="S28" s="873"/>
      <c r="T28" s="873"/>
      <c r="U28" s="873"/>
      <c r="V28" s="873"/>
      <c r="W28" s="873"/>
      <c r="X28" s="873"/>
      <c r="Y28" s="873"/>
      <c r="Z28" s="873"/>
      <c r="AA28" s="873"/>
      <c r="AB28" s="873"/>
      <c r="AC28" s="873"/>
      <c r="AD28" s="873"/>
      <c r="AE28" s="873"/>
      <c r="AF28" s="873"/>
      <c r="AG28" s="873"/>
      <c r="AH28" s="873"/>
      <c r="AI28" s="873"/>
      <c r="AJ28" s="873"/>
      <c r="AK28" s="873"/>
      <c r="AL28" s="873"/>
      <c r="AM28" s="873"/>
      <c r="AN28" s="873"/>
      <c r="AO28" s="873"/>
      <c r="AP28" s="873"/>
      <c r="AQ28" s="873"/>
      <c r="AR28" s="873"/>
      <c r="AS28" s="873"/>
      <c r="AT28" s="873"/>
      <c r="AU28" s="873"/>
      <c r="AV28" s="873"/>
    </row>
    <row r="29" spans="1:48" ht="15" customHeight="1" x14ac:dyDescent="0.2">
      <c r="A29" s="958"/>
      <c r="B29" s="1325" t="s">
        <v>102</v>
      </c>
      <c r="C29" s="1326">
        <v>0.21694027399999999</v>
      </c>
      <c r="D29" s="1327"/>
      <c r="E29" s="1328">
        <f t="shared" ref="E29:F29" si="4">SUM(E26:E28)</f>
        <v>216.94027399999999</v>
      </c>
      <c r="F29" s="1329">
        <f t="shared" si="4"/>
        <v>6.0526336445999992E-3</v>
      </c>
      <c r="G29" s="873"/>
      <c r="H29" s="873"/>
      <c r="I29" s="873"/>
      <c r="J29" s="873"/>
      <c r="K29" s="873"/>
      <c r="L29" s="873"/>
      <c r="M29" s="873"/>
      <c r="N29" s="873"/>
      <c r="O29" s="873"/>
      <c r="P29" s="873"/>
      <c r="Q29" s="873"/>
      <c r="R29" s="873"/>
      <c r="S29" s="873"/>
      <c r="T29" s="873"/>
      <c r="U29" s="873"/>
      <c r="V29" s="873"/>
      <c r="W29" s="873"/>
      <c r="X29" s="873"/>
      <c r="Y29" s="873"/>
      <c r="Z29" s="873"/>
      <c r="AA29" s="873"/>
      <c r="AB29" s="873"/>
      <c r="AC29" s="873"/>
      <c r="AD29" s="873"/>
      <c r="AE29" s="873"/>
      <c r="AF29" s="873"/>
      <c r="AG29" s="873"/>
      <c r="AH29" s="873"/>
      <c r="AI29" s="873"/>
      <c r="AJ29" s="873"/>
      <c r="AK29" s="873"/>
      <c r="AL29" s="873"/>
      <c r="AM29" s="873"/>
      <c r="AN29" s="873"/>
      <c r="AO29" s="873"/>
      <c r="AP29" s="873"/>
      <c r="AQ29" s="873"/>
      <c r="AR29" s="873"/>
      <c r="AS29" s="873"/>
      <c r="AT29" s="873"/>
      <c r="AU29" s="873"/>
      <c r="AV29" s="873"/>
    </row>
    <row r="30" spans="1:48" ht="11.25" customHeight="1" x14ac:dyDescent="0.2">
      <c r="A30" s="873"/>
      <c r="B30" s="1281"/>
      <c r="C30" s="873"/>
      <c r="D30" s="873"/>
      <c r="E30" s="873"/>
      <c r="F30" s="873"/>
      <c r="G30" s="873"/>
      <c r="H30" s="873"/>
      <c r="I30" s="873"/>
      <c r="J30" s="873"/>
      <c r="K30" s="873"/>
      <c r="L30" s="873"/>
      <c r="M30" s="873"/>
      <c r="N30" s="873"/>
      <c r="O30" s="873"/>
      <c r="P30" s="873"/>
      <c r="Q30" s="873"/>
      <c r="R30" s="873"/>
      <c r="S30" s="873"/>
      <c r="T30" s="873"/>
      <c r="U30" s="873"/>
      <c r="V30" s="873"/>
      <c r="W30" s="873"/>
      <c r="X30" s="873"/>
      <c r="Y30" s="873"/>
      <c r="Z30" s="873"/>
      <c r="AA30" s="873"/>
      <c r="AB30" s="873"/>
      <c r="AC30" s="873"/>
      <c r="AD30" s="873"/>
      <c r="AE30" s="873"/>
      <c r="AF30" s="873"/>
      <c r="AG30" s="873"/>
      <c r="AH30" s="873"/>
      <c r="AI30" s="873"/>
      <c r="AJ30" s="873"/>
      <c r="AK30" s="873"/>
      <c r="AL30" s="873"/>
      <c r="AM30" s="873"/>
      <c r="AN30" s="873"/>
      <c r="AO30" s="873"/>
      <c r="AP30" s="873"/>
      <c r="AQ30" s="873"/>
      <c r="AR30" s="873"/>
      <c r="AS30" s="873"/>
      <c r="AT30" s="873"/>
      <c r="AU30" s="873"/>
      <c r="AV30" s="873"/>
    </row>
    <row r="31" spans="1:48" ht="15.75" x14ac:dyDescent="0.25">
      <c r="A31" s="873"/>
      <c r="B31" s="1022"/>
      <c r="C31" s="873"/>
      <c r="D31" s="873"/>
      <c r="E31" s="873"/>
      <c r="F31" s="873"/>
      <c r="G31" s="873"/>
      <c r="H31" s="873"/>
      <c r="I31" s="873"/>
      <c r="J31" s="873"/>
      <c r="K31" s="873"/>
      <c r="L31" s="873"/>
      <c r="M31" s="873"/>
      <c r="N31" s="873"/>
      <c r="O31" s="873"/>
      <c r="P31" s="873"/>
      <c r="Q31" s="873"/>
      <c r="R31" s="873"/>
      <c r="S31" s="873"/>
      <c r="T31" s="873"/>
      <c r="U31" s="873"/>
      <c r="V31" s="873"/>
      <c r="W31" s="873"/>
      <c r="X31" s="873"/>
      <c r="Y31" s="873"/>
      <c r="Z31" s="873"/>
      <c r="AA31" s="873"/>
      <c r="AB31" s="873"/>
      <c r="AC31" s="873"/>
      <c r="AD31" s="873"/>
      <c r="AE31" s="873"/>
      <c r="AF31" s="873"/>
      <c r="AG31" s="873"/>
      <c r="AH31" s="873"/>
      <c r="AI31" s="873"/>
      <c r="AJ31" s="873"/>
      <c r="AK31" s="873"/>
      <c r="AL31" s="873"/>
      <c r="AM31" s="873"/>
      <c r="AN31" s="873"/>
      <c r="AO31" s="873"/>
      <c r="AP31" s="873"/>
      <c r="AQ31" s="873"/>
      <c r="AR31" s="873"/>
      <c r="AS31" s="873"/>
      <c r="AT31" s="873"/>
      <c r="AU31" s="873"/>
      <c r="AV31" s="873"/>
    </row>
    <row r="32" spans="1:48" ht="15.75" x14ac:dyDescent="0.25">
      <c r="A32" s="873"/>
      <c r="B32" s="1221" t="s">
        <v>847</v>
      </c>
      <c r="C32" s="947"/>
      <c r="D32" s="947"/>
      <c r="E32" s="947"/>
      <c r="F32" s="947"/>
      <c r="G32" s="873"/>
      <c r="H32" s="873"/>
      <c r="I32" s="873"/>
      <c r="J32" s="873"/>
      <c r="K32" s="873"/>
      <c r="L32" s="873"/>
      <c r="M32" s="873"/>
      <c r="N32" s="873"/>
      <c r="O32" s="873"/>
      <c r="P32" s="873"/>
      <c r="Q32" s="873"/>
      <c r="R32" s="873"/>
      <c r="S32" s="873"/>
      <c r="T32" s="873"/>
      <c r="U32" s="873"/>
      <c r="V32" s="873"/>
      <c r="W32" s="873"/>
      <c r="X32" s="873"/>
      <c r="Y32" s="873"/>
      <c r="Z32" s="873"/>
      <c r="AA32" s="873"/>
      <c r="AB32" s="873"/>
      <c r="AC32" s="873"/>
      <c r="AD32" s="873"/>
      <c r="AE32" s="873"/>
      <c r="AF32" s="873"/>
      <c r="AG32" s="873"/>
      <c r="AH32" s="873"/>
      <c r="AI32" s="873"/>
      <c r="AJ32" s="873"/>
      <c r="AK32" s="873"/>
      <c r="AL32" s="873"/>
      <c r="AM32" s="873"/>
      <c r="AN32" s="873"/>
      <c r="AO32" s="873"/>
      <c r="AP32" s="873"/>
      <c r="AQ32" s="873"/>
      <c r="AR32" s="873"/>
      <c r="AS32" s="873"/>
      <c r="AT32" s="873"/>
      <c r="AU32" s="873"/>
      <c r="AV32" s="873"/>
    </row>
    <row r="33" spans="1:48" ht="12.75" x14ac:dyDescent="0.2">
      <c r="A33" s="873"/>
      <c r="G33" s="873"/>
      <c r="H33" s="873"/>
      <c r="I33" s="873"/>
      <c r="J33" s="873"/>
      <c r="K33" s="873"/>
      <c r="L33" s="873"/>
      <c r="M33" s="873"/>
      <c r="N33" s="873"/>
      <c r="O33" s="873"/>
      <c r="P33" s="873"/>
      <c r="Q33" s="873"/>
      <c r="R33" s="873"/>
      <c r="S33" s="873"/>
      <c r="T33" s="873"/>
      <c r="U33" s="873"/>
      <c r="V33" s="873"/>
      <c r="W33" s="873"/>
      <c r="X33" s="873"/>
      <c r="Y33" s="873"/>
      <c r="Z33" s="873"/>
      <c r="AA33" s="873"/>
      <c r="AB33" s="873"/>
      <c r="AC33" s="873"/>
      <c r="AD33" s="873"/>
      <c r="AE33" s="873"/>
      <c r="AF33" s="873"/>
      <c r="AG33" s="873"/>
      <c r="AH33" s="873"/>
      <c r="AI33" s="873"/>
      <c r="AJ33" s="873"/>
      <c r="AK33" s="873"/>
      <c r="AL33" s="873"/>
      <c r="AM33" s="873"/>
      <c r="AN33" s="873"/>
      <c r="AO33" s="873"/>
      <c r="AP33" s="873"/>
      <c r="AQ33" s="873"/>
      <c r="AR33" s="873"/>
      <c r="AS33" s="873"/>
      <c r="AT33" s="873"/>
      <c r="AU33" s="873"/>
      <c r="AV33" s="873"/>
    </row>
    <row r="34" spans="1:48" ht="25.5" x14ac:dyDescent="0.2">
      <c r="A34" s="873"/>
      <c r="B34" s="1222" t="s">
        <v>937</v>
      </c>
      <c r="C34" s="1223" t="s">
        <v>661</v>
      </c>
      <c r="D34" s="1224" t="s">
        <v>662</v>
      </c>
      <c r="E34" s="1224" t="s">
        <v>663</v>
      </c>
      <c r="F34" s="1225" t="s">
        <v>664</v>
      </c>
      <c r="G34" s="873"/>
      <c r="H34" s="873"/>
      <c r="I34" s="873"/>
      <c r="J34" s="873"/>
      <c r="K34" s="873"/>
      <c r="L34" s="873"/>
      <c r="M34" s="873"/>
      <c r="N34" s="873"/>
      <c r="O34" s="873"/>
      <c r="P34" s="873"/>
      <c r="Q34" s="873"/>
      <c r="R34" s="873"/>
      <c r="S34" s="873"/>
      <c r="T34" s="873"/>
      <c r="U34" s="873"/>
      <c r="V34" s="873"/>
      <c r="W34" s="873"/>
      <c r="X34" s="873"/>
      <c r="Y34" s="873"/>
      <c r="Z34" s="873"/>
      <c r="AA34" s="873"/>
      <c r="AB34" s="873"/>
      <c r="AC34" s="873"/>
      <c r="AD34" s="873"/>
      <c r="AE34" s="873"/>
      <c r="AF34" s="873"/>
      <c r="AG34" s="873"/>
      <c r="AH34" s="873"/>
      <c r="AI34" s="873"/>
      <c r="AJ34" s="873"/>
      <c r="AK34" s="873"/>
      <c r="AL34" s="873"/>
      <c r="AM34" s="873"/>
      <c r="AN34" s="873"/>
      <c r="AO34" s="873"/>
      <c r="AP34" s="873"/>
      <c r="AQ34" s="873"/>
      <c r="AR34" s="873"/>
      <c r="AS34" s="873"/>
      <c r="AT34" s="873"/>
      <c r="AU34" s="873"/>
      <c r="AV34" s="873"/>
    </row>
    <row r="35" spans="1:48" ht="15" customHeight="1" x14ac:dyDescent="0.2">
      <c r="A35" s="873"/>
      <c r="B35" s="921" t="s">
        <v>938</v>
      </c>
      <c r="C35" s="1226">
        <v>0</v>
      </c>
      <c r="D35" s="1227">
        <f>H8+H11</f>
        <v>5.0876260673414393E-2</v>
      </c>
      <c r="E35" s="1228">
        <v>0</v>
      </c>
      <c r="F35" s="1330">
        <f t="shared" ref="F35:F37" si="5">SUM(C35:D35)</f>
        <v>5.0876260673414393E-2</v>
      </c>
      <c r="G35" s="873"/>
      <c r="H35" s="873"/>
      <c r="I35" s="873"/>
      <c r="J35" s="873"/>
      <c r="K35" s="873"/>
      <c r="L35" s="873"/>
      <c r="M35" s="873"/>
      <c r="N35" s="873"/>
      <c r="O35" s="873"/>
      <c r="P35" s="873"/>
      <c r="Q35" s="873"/>
      <c r="R35" s="873"/>
      <c r="S35" s="873"/>
      <c r="T35" s="873"/>
      <c r="U35" s="873"/>
      <c r="V35" s="873"/>
      <c r="W35" s="873"/>
      <c r="X35" s="873"/>
      <c r="Y35" s="873"/>
      <c r="Z35" s="873"/>
      <c r="AA35" s="873"/>
      <c r="AB35" s="873"/>
      <c r="AC35" s="873"/>
      <c r="AD35" s="873"/>
      <c r="AE35" s="873"/>
      <c r="AF35" s="873"/>
      <c r="AG35" s="873"/>
      <c r="AH35" s="873"/>
      <c r="AI35" s="873"/>
      <c r="AJ35" s="873"/>
      <c r="AK35" s="873"/>
      <c r="AL35" s="873"/>
      <c r="AM35" s="873"/>
      <c r="AN35" s="873"/>
      <c r="AO35" s="873"/>
      <c r="AP35" s="873"/>
      <c r="AQ35" s="873"/>
      <c r="AR35" s="873"/>
      <c r="AS35" s="873"/>
      <c r="AT35" s="873"/>
      <c r="AU35" s="873"/>
      <c r="AV35" s="873"/>
    </row>
    <row r="36" spans="1:48" ht="15" customHeight="1" x14ac:dyDescent="0.2">
      <c r="A36" s="873"/>
      <c r="B36" s="904" t="s">
        <v>939</v>
      </c>
      <c r="C36" s="1185">
        <v>0</v>
      </c>
      <c r="D36" s="955">
        <f>H17+H18</f>
        <v>2.4238200852015696E-2</v>
      </c>
      <c r="E36" s="1230">
        <v>0</v>
      </c>
      <c r="F36" s="1231">
        <f t="shared" si="5"/>
        <v>2.4238200852015696E-2</v>
      </c>
      <c r="G36" s="873"/>
      <c r="H36" s="873"/>
      <c r="I36" s="873"/>
      <c r="J36" s="873"/>
      <c r="K36" s="873"/>
      <c r="L36" s="873"/>
      <c r="M36" s="873"/>
      <c r="N36" s="873"/>
      <c r="O36" s="873"/>
      <c r="P36" s="873"/>
      <c r="Q36" s="873"/>
      <c r="R36" s="873"/>
      <c r="S36" s="873"/>
      <c r="T36" s="873"/>
      <c r="U36" s="873"/>
      <c r="V36" s="873"/>
      <c r="W36" s="873"/>
      <c r="X36" s="873"/>
      <c r="Y36" s="873"/>
      <c r="Z36" s="873"/>
      <c r="AA36" s="873"/>
      <c r="AB36" s="873"/>
      <c r="AC36" s="873"/>
      <c r="AD36" s="873"/>
      <c r="AE36" s="873"/>
      <c r="AF36" s="873"/>
      <c r="AG36" s="873"/>
      <c r="AH36" s="873"/>
      <c r="AI36" s="873"/>
      <c r="AJ36" s="873"/>
      <c r="AK36" s="873"/>
      <c r="AL36" s="873"/>
      <c r="AM36" s="873"/>
      <c r="AN36" s="873"/>
      <c r="AO36" s="873"/>
      <c r="AP36" s="873"/>
      <c r="AQ36" s="873"/>
      <c r="AR36" s="873"/>
      <c r="AS36" s="873"/>
      <c r="AT36" s="873"/>
      <c r="AU36" s="873"/>
      <c r="AV36" s="873"/>
    </row>
    <row r="37" spans="1:48" ht="15" customHeight="1" x14ac:dyDescent="0.2">
      <c r="A37" s="873"/>
      <c r="B37" s="910" t="s">
        <v>941</v>
      </c>
      <c r="C37" s="1185">
        <v>0</v>
      </c>
      <c r="D37" s="1018">
        <f>F29</f>
        <v>6.0526336445999992E-3</v>
      </c>
      <c r="E37" s="1230">
        <v>0</v>
      </c>
      <c r="F37" s="1232">
        <f t="shared" si="5"/>
        <v>6.0526336445999992E-3</v>
      </c>
      <c r="G37" s="873"/>
      <c r="H37" s="873"/>
      <c r="I37" s="873"/>
      <c r="J37" s="873"/>
      <c r="K37" s="873"/>
      <c r="L37" s="873"/>
      <c r="M37" s="873"/>
      <c r="N37" s="873"/>
      <c r="O37" s="873"/>
      <c r="P37" s="873"/>
      <c r="Q37" s="873"/>
      <c r="R37" s="873"/>
      <c r="S37" s="873"/>
      <c r="T37" s="873"/>
      <c r="U37" s="873"/>
      <c r="V37" s="873"/>
      <c r="W37" s="873"/>
      <c r="X37" s="873"/>
      <c r="Y37" s="873"/>
      <c r="Z37" s="873"/>
      <c r="AA37" s="873"/>
      <c r="AB37" s="873"/>
      <c r="AC37" s="873"/>
      <c r="AD37" s="873"/>
      <c r="AE37" s="873"/>
      <c r="AF37" s="873"/>
      <c r="AG37" s="873"/>
      <c r="AH37" s="873"/>
      <c r="AI37" s="873"/>
      <c r="AJ37" s="873"/>
      <c r="AK37" s="873"/>
      <c r="AL37" s="873"/>
      <c r="AM37" s="873"/>
      <c r="AN37" s="873"/>
      <c r="AO37" s="873"/>
      <c r="AP37" s="873"/>
      <c r="AQ37" s="873"/>
      <c r="AR37" s="873"/>
      <c r="AS37" s="873"/>
      <c r="AT37" s="873"/>
      <c r="AU37" s="873"/>
      <c r="AV37" s="873"/>
    </row>
    <row r="38" spans="1:48" ht="15" customHeight="1" x14ac:dyDescent="0.2">
      <c r="A38" s="873"/>
      <c r="B38" s="1233" t="s">
        <v>102</v>
      </c>
      <c r="C38" s="1331">
        <f t="shared" ref="C38:E38" si="6">SUM(C35:C37)</f>
        <v>0</v>
      </c>
      <c r="D38" s="1234">
        <f t="shared" si="6"/>
        <v>8.1167095170030082E-2</v>
      </c>
      <c r="E38" s="1332">
        <f t="shared" si="6"/>
        <v>0</v>
      </c>
      <c r="F38" s="1236">
        <f>SUM(F35:F37)</f>
        <v>8.1167095170030082E-2</v>
      </c>
      <c r="G38" s="873"/>
      <c r="H38" s="873"/>
      <c r="I38" s="873"/>
      <c r="J38" s="873"/>
      <c r="K38" s="873"/>
      <c r="L38" s="873"/>
      <c r="M38" s="873"/>
      <c r="N38" s="873"/>
      <c r="O38" s="873"/>
      <c r="P38" s="873"/>
      <c r="Q38" s="873"/>
      <c r="R38" s="873"/>
      <c r="S38" s="873"/>
      <c r="T38" s="873"/>
      <c r="U38" s="873"/>
      <c r="V38" s="873"/>
      <c r="W38" s="873"/>
      <c r="X38" s="873"/>
      <c r="Y38" s="873"/>
      <c r="Z38" s="873"/>
      <c r="AA38" s="873"/>
      <c r="AB38" s="873"/>
      <c r="AC38" s="873"/>
      <c r="AD38" s="873"/>
      <c r="AE38" s="873"/>
      <c r="AF38" s="873"/>
      <c r="AG38" s="873"/>
      <c r="AH38" s="873"/>
      <c r="AI38" s="873"/>
      <c r="AJ38" s="873"/>
      <c r="AK38" s="873"/>
      <c r="AL38" s="873"/>
      <c r="AM38" s="873"/>
      <c r="AN38" s="873"/>
      <c r="AO38" s="873"/>
      <c r="AP38" s="873"/>
      <c r="AQ38" s="873"/>
      <c r="AR38" s="873"/>
      <c r="AS38" s="873"/>
      <c r="AT38" s="873"/>
      <c r="AU38" s="873"/>
      <c r="AV38" s="873"/>
    </row>
    <row r="39" spans="1:48" ht="11.25" customHeight="1" x14ac:dyDescent="0.2">
      <c r="A39" s="873"/>
      <c r="B39" s="873"/>
      <c r="C39" s="873"/>
      <c r="D39" s="873"/>
      <c r="E39" s="873"/>
      <c r="F39" s="873"/>
      <c r="G39" s="873"/>
      <c r="H39" s="873"/>
      <c r="I39" s="873"/>
      <c r="J39" s="873"/>
      <c r="K39" s="873"/>
      <c r="L39" s="873"/>
      <c r="M39" s="873"/>
      <c r="N39" s="873"/>
      <c r="O39" s="873"/>
      <c r="P39" s="873"/>
      <c r="Q39" s="873"/>
      <c r="R39" s="873"/>
      <c r="S39" s="873"/>
      <c r="T39" s="873"/>
      <c r="U39" s="873"/>
      <c r="V39" s="873"/>
      <c r="W39" s="873"/>
      <c r="X39" s="873"/>
      <c r="Y39" s="873"/>
      <c r="Z39" s="873"/>
      <c r="AA39" s="873"/>
      <c r="AB39" s="873"/>
      <c r="AC39" s="873"/>
      <c r="AD39" s="873"/>
      <c r="AE39" s="873"/>
      <c r="AF39" s="873"/>
      <c r="AG39" s="873"/>
      <c r="AH39" s="873"/>
      <c r="AI39" s="873"/>
      <c r="AJ39" s="873"/>
      <c r="AK39" s="873"/>
      <c r="AL39" s="873"/>
      <c r="AM39" s="873"/>
      <c r="AN39" s="873"/>
      <c r="AO39" s="873"/>
      <c r="AP39" s="873"/>
      <c r="AQ39" s="873"/>
      <c r="AR39" s="873"/>
      <c r="AS39" s="873"/>
      <c r="AT39" s="873"/>
      <c r="AU39" s="873"/>
      <c r="AV39" s="873"/>
    </row>
    <row r="40" spans="1:48" ht="11.25" customHeight="1" x14ac:dyDescent="0.2">
      <c r="A40" s="873"/>
      <c r="B40" s="873"/>
      <c r="C40" s="873"/>
      <c r="D40" s="873"/>
      <c r="E40" s="873"/>
      <c r="F40" s="873"/>
      <c r="G40" s="873"/>
      <c r="H40" s="873"/>
      <c r="I40" s="873"/>
      <c r="J40" s="873"/>
      <c r="K40" s="873"/>
      <c r="L40" s="873"/>
      <c r="M40" s="873"/>
      <c r="N40" s="873"/>
      <c r="O40" s="873"/>
      <c r="P40" s="873"/>
      <c r="Q40" s="873"/>
      <c r="R40" s="873"/>
      <c r="S40" s="873"/>
      <c r="T40" s="873"/>
      <c r="U40" s="873"/>
      <c r="V40" s="873"/>
      <c r="W40" s="873"/>
      <c r="X40" s="873"/>
      <c r="Y40" s="873"/>
      <c r="Z40" s="873"/>
      <c r="AA40" s="873"/>
      <c r="AB40" s="873"/>
      <c r="AC40" s="873"/>
      <c r="AD40" s="873"/>
      <c r="AE40" s="873"/>
      <c r="AF40" s="873"/>
      <c r="AG40" s="873"/>
      <c r="AH40" s="873"/>
      <c r="AI40" s="873"/>
      <c r="AJ40" s="873"/>
      <c r="AK40" s="873"/>
      <c r="AL40" s="873"/>
      <c r="AM40" s="873"/>
      <c r="AN40" s="873"/>
      <c r="AO40" s="873"/>
      <c r="AP40" s="873"/>
      <c r="AQ40" s="873"/>
      <c r="AR40" s="873"/>
      <c r="AS40" s="873"/>
      <c r="AT40" s="873"/>
      <c r="AU40" s="873"/>
      <c r="AV40" s="873"/>
    </row>
    <row r="41" spans="1:48" ht="11.25" customHeight="1" x14ac:dyDescent="0.2">
      <c r="A41" s="873"/>
      <c r="B41" s="873"/>
      <c r="C41" s="873"/>
      <c r="D41" s="873"/>
      <c r="E41" s="873"/>
      <c r="F41" s="873"/>
      <c r="G41" s="873"/>
      <c r="H41" s="873"/>
      <c r="I41" s="873"/>
      <c r="J41" s="873"/>
      <c r="K41" s="873"/>
      <c r="L41" s="873"/>
      <c r="M41" s="873"/>
      <c r="N41" s="873"/>
      <c r="O41" s="873"/>
      <c r="P41" s="873"/>
      <c r="Q41" s="873"/>
      <c r="R41" s="873"/>
      <c r="S41" s="873"/>
      <c r="T41" s="873"/>
      <c r="U41" s="873"/>
      <c r="V41" s="873"/>
      <c r="W41" s="873"/>
      <c r="X41" s="873"/>
      <c r="Y41" s="873"/>
      <c r="Z41" s="873"/>
      <c r="AA41" s="873"/>
      <c r="AB41" s="873"/>
      <c r="AC41" s="873"/>
      <c r="AD41" s="873"/>
      <c r="AE41" s="873"/>
      <c r="AF41" s="873"/>
      <c r="AG41" s="873"/>
      <c r="AH41" s="873"/>
      <c r="AI41" s="873"/>
      <c r="AJ41" s="873"/>
      <c r="AK41" s="873"/>
      <c r="AL41" s="873"/>
      <c r="AM41" s="873"/>
      <c r="AN41" s="873"/>
      <c r="AO41" s="873"/>
      <c r="AP41" s="873"/>
      <c r="AQ41" s="873"/>
      <c r="AR41" s="873"/>
      <c r="AS41" s="873"/>
      <c r="AT41" s="873"/>
      <c r="AU41" s="873"/>
      <c r="AV41" s="873"/>
    </row>
    <row r="42" spans="1:48" ht="11.25" customHeight="1" x14ac:dyDescent="0.2">
      <c r="A42" s="873"/>
      <c r="B42" s="873"/>
      <c r="C42" s="873"/>
      <c r="D42" s="873"/>
      <c r="E42" s="873"/>
      <c r="F42" s="873"/>
      <c r="G42" s="873"/>
      <c r="H42" s="873"/>
      <c r="I42" s="873"/>
      <c r="J42" s="873"/>
      <c r="K42" s="873"/>
      <c r="L42" s="873"/>
      <c r="M42" s="873"/>
      <c r="N42" s="873"/>
      <c r="O42" s="873"/>
      <c r="P42" s="873"/>
      <c r="Q42" s="873"/>
      <c r="R42" s="873"/>
      <c r="S42" s="873"/>
      <c r="T42" s="873"/>
      <c r="U42" s="873"/>
      <c r="V42" s="873"/>
      <c r="W42" s="873"/>
      <c r="X42" s="873"/>
      <c r="Y42" s="873"/>
      <c r="Z42" s="873"/>
      <c r="AA42" s="873"/>
      <c r="AB42" s="873"/>
      <c r="AC42" s="873"/>
      <c r="AD42" s="873"/>
      <c r="AE42" s="873"/>
      <c r="AF42" s="873"/>
      <c r="AG42" s="873"/>
      <c r="AH42" s="873"/>
      <c r="AI42" s="873"/>
      <c r="AJ42" s="873"/>
      <c r="AK42" s="873"/>
      <c r="AL42" s="873"/>
      <c r="AM42" s="873"/>
      <c r="AN42" s="873"/>
      <c r="AO42" s="873"/>
      <c r="AP42" s="873"/>
      <c r="AQ42" s="873"/>
      <c r="AR42" s="873"/>
      <c r="AS42" s="873"/>
      <c r="AT42" s="873"/>
      <c r="AU42" s="873"/>
      <c r="AV42" s="873"/>
    </row>
    <row r="43" spans="1:48" ht="11.25" customHeight="1" x14ac:dyDescent="0.2">
      <c r="A43" s="873"/>
      <c r="B43" s="873"/>
      <c r="C43" s="873"/>
      <c r="D43" s="873"/>
      <c r="E43" s="873"/>
      <c r="F43" s="873"/>
      <c r="G43" s="873"/>
      <c r="H43" s="873"/>
      <c r="I43" s="873"/>
      <c r="J43" s="873"/>
      <c r="K43" s="873"/>
      <c r="L43" s="873"/>
      <c r="M43" s="873"/>
      <c r="N43" s="873"/>
      <c r="O43" s="873"/>
      <c r="P43" s="873"/>
      <c r="Q43" s="873"/>
      <c r="R43" s="873"/>
      <c r="S43" s="873"/>
      <c r="T43" s="873"/>
      <c r="U43" s="873"/>
      <c r="V43" s="873"/>
      <c r="W43" s="873"/>
      <c r="X43" s="873"/>
      <c r="Y43" s="873"/>
      <c r="Z43" s="873"/>
      <c r="AA43" s="873"/>
      <c r="AB43" s="873"/>
      <c r="AC43" s="873"/>
      <c r="AD43" s="873"/>
      <c r="AE43" s="873"/>
      <c r="AF43" s="873"/>
      <c r="AG43" s="873"/>
      <c r="AH43" s="873"/>
      <c r="AI43" s="873"/>
      <c r="AJ43" s="873"/>
      <c r="AK43" s="873"/>
      <c r="AL43" s="873"/>
      <c r="AM43" s="873"/>
      <c r="AN43" s="873"/>
      <c r="AO43" s="873"/>
      <c r="AP43" s="873"/>
      <c r="AQ43" s="873"/>
      <c r="AR43" s="873"/>
      <c r="AS43" s="873"/>
      <c r="AT43" s="873"/>
      <c r="AU43" s="873"/>
      <c r="AV43" s="873"/>
    </row>
    <row r="44" spans="1:48" ht="11.25" customHeight="1" x14ac:dyDescent="0.2">
      <c r="A44" s="873"/>
      <c r="B44" s="873"/>
      <c r="C44" s="873"/>
      <c r="D44" s="873"/>
      <c r="E44" s="873"/>
      <c r="F44" s="873"/>
      <c r="G44" s="873"/>
      <c r="H44" s="873"/>
      <c r="I44" s="873"/>
      <c r="J44" s="873"/>
      <c r="K44" s="873"/>
      <c r="L44" s="873"/>
      <c r="M44" s="873"/>
      <c r="N44" s="873"/>
      <c r="O44" s="873"/>
      <c r="P44" s="873"/>
      <c r="Q44" s="873"/>
      <c r="R44" s="873"/>
      <c r="S44" s="873"/>
      <c r="T44" s="873"/>
      <c r="U44" s="873"/>
      <c r="V44" s="873"/>
      <c r="W44" s="873"/>
      <c r="X44" s="873"/>
      <c r="Y44" s="873"/>
      <c r="Z44" s="873"/>
      <c r="AA44" s="873"/>
      <c r="AB44" s="873"/>
      <c r="AC44" s="873"/>
      <c r="AD44" s="873"/>
      <c r="AE44" s="873"/>
      <c r="AF44" s="873"/>
      <c r="AG44" s="873"/>
      <c r="AH44" s="873"/>
      <c r="AI44" s="873"/>
      <c r="AJ44" s="873"/>
      <c r="AK44" s="873"/>
      <c r="AL44" s="873"/>
      <c r="AM44" s="873"/>
      <c r="AN44" s="873"/>
      <c r="AO44" s="873"/>
      <c r="AP44" s="873"/>
      <c r="AQ44" s="873"/>
      <c r="AR44" s="873"/>
      <c r="AS44" s="873"/>
      <c r="AT44" s="873"/>
      <c r="AU44" s="873"/>
      <c r="AV44" s="873"/>
    </row>
    <row r="45" spans="1:48" ht="11.25" customHeight="1" x14ac:dyDescent="0.2">
      <c r="A45" s="873"/>
      <c r="B45" s="873"/>
      <c r="C45" s="873"/>
      <c r="D45" s="873"/>
      <c r="E45" s="873"/>
      <c r="F45" s="873"/>
      <c r="G45" s="873"/>
      <c r="H45" s="873"/>
      <c r="I45" s="873"/>
      <c r="J45" s="873"/>
      <c r="K45" s="873"/>
      <c r="L45" s="873"/>
      <c r="M45" s="873"/>
      <c r="N45" s="873"/>
      <c r="O45" s="873"/>
      <c r="P45" s="873"/>
      <c r="Q45" s="873"/>
      <c r="R45" s="873"/>
      <c r="S45" s="873"/>
      <c r="T45" s="873"/>
      <c r="U45" s="873"/>
      <c r="V45" s="873"/>
      <c r="W45" s="873"/>
      <c r="X45" s="873"/>
      <c r="Y45" s="873"/>
      <c r="Z45" s="873"/>
      <c r="AA45" s="873"/>
      <c r="AB45" s="873"/>
      <c r="AC45" s="873"/>
      <c r="AD45" s="873"/>
      <c r="AE45" s="873"/>
      <c r="AF45" s="873"/>
      <c r="AG45" s="873"/>
      <c r="AH45" s="873"/>
      <c r="AI45" s="873"/>
      <c r="AJ45" s="873"/>
      <c r="AK45" s="873"/>
      <c r="AL45" s="873"/>
      <c r="AM45" s="873"/>
      <c r="AN45" s="873"/>
      <c r="AO45" s="873"/>
      <c r="AP45" s="873"/>
      <c r="AQ45" s="873"/>
      <c r="AR45" s="873"/>
      <c r="AS45" s="873"/>
      <c r="AT45" s="873"/>
      <c r="AU45" s="873"/>
      <c r="AV45" s="873"/>
    </row>
    <row r="46" spans="1:48" ht="11.25" customHeight="1" x14ac:dyDescent="0.2">
      <c r="A46" s="873"/>
      <c r="B46" s="873"/>
      <c r="C46" s="873"/>
      <c r="D46" s="873"/>
      <c r="E46" s="873"/>
      <c r="F46" s="873"/>
      <c r="G46" s="873"/>
      <c r="H46" s="873"/>
      <c r="I46" s="873"/>
      <c r="J46" s="873"/>
      <c r="K46" s="873"/>
      <c r="L46" s="873"/>
      <c r="M46" s="873"/>
      <c r="N46" s="873"/>
      <c r="O46" s="873"/>
      <c r="P46" s="873"/>
      <c r="Q46" s="873"/>
      <c r="R46" s="873"/>
      <c r="S46" s="873"/>
      <c r="T46" s="873"/>
      <c r="U46" s="873"/>
      <c r="V46" s="873"/>
      <c r="W46" s="873"/>
      <c r="X46" s="873"/>
      <c r="Y46" s="873"/>
      <c r="Z46" s="873"/>
      <c r="AA46" s="873"/>
      <c r="AB46" s="873"/>
      <c r="AC46" s="873"/>
      <c r="AD46" s="873"/>
      <c r="AE46" s="873"/>
      <c r="AF46" s="873"/>
      <c r="AG46" s="873"/>
      <c r="AH46" s="873"/>
      <c r="AI46" s="873"/>
      <c r="AJ46" s="873"/>
      <c r="AK46" s="873"/>
      <c r="AL46" s="873"/>
      <c r="AM46" s="873"/>
      <c r="AN46" s="873"/>
      <c r="AO46" s="873"/>
      <c r="AP46" s="873"/>
      <c r="AQ46" s="873"/>
      <c r="AR46" s="873"/>
      <c r="AS46" s="873"/>
      <c r="AT46" s="873"/>
      <c r="AU46" s="873"/>
      <c r="AV46" s="873"/>
    </row>
    <row r="47" spans="1:48" ht="11.25" customHeight="1" x14ac:dyDescent="0.2">
      <c r="A47" s="873"/>
      <c r="B47" s="873"/>
      <c r="C47" s="873"/>
      <c r="D47" s="873"/>
      <c r="E47" s="873"/>
      <c r="F47" s="873"/>
      <c r="G47" s="873"/>
      <c r="H47" s="873"/>
      <c r="I47" s="873"/>
      <c r="J47" s="873"/>
      <c r="K47" s="873"/>
      <c r="L47" s="873"/>
      <c r="M47" s="873"/>
      <c r="N47" s="873"/>
      <c r="O47" s="873"/>
      <c r="P47" s="873"/>
      <c r="Q47" s="873"/>
      <c r="R47" s="873"/>
      <c r="S47" s="873"/>
      <c r="T47" s="873"/>
      <c r="U47" s="873"/>
      <c r="V47" s="873"/>
      <c r="W47" s="873"/>
      <c r="X47" s="873"/>
      <c r="Y47" s="873"/>
      <c r="Z47" s="873"/>
      <c r="AA47" s="873"/>
      <c r="AB47" s="873"/>
      <c r="AC47" s="873"/>
      <c r="AD47" s="873"/>
      <c r="AE47" s="873"/>
      <c r="AF47" s="873"/>
      <c r="AG47" s="873"/>
      <c r="AH47" s="873"/>
      <c r="AI47" s="873"/>
      <c r="AJ47" s="873"/>
      <c r="AK47" s="873"/>
      <c r="AL47" s="873"/>
      <c r="AM47" s="873"/>
      <c r="AN47" s="873"/>
      <c r="AO47" s="873"/>
      <c r="AP47" s="873"/>
      <c r="AQ47" s="873"/>
      <c r="AR47" s="873"/>
      <c r="AS47" s="873"/>
      <c r="AT47" s="873"/>
      <c r="AU47" s="873"/>
      <c r="AV47" s="873"/>
    </row>
    <row r="48" spans="1:48" ht="11.25" customHeight="1" x14ac:dyDescent="0.2">
      <c r="A48" s="873"/>
      <c r="B48" s="873"/>
      <c r="C48" s="873"/>
      <c r="D48" s="873"/>
      <c r="E48" s="873"/>
      <c r="F48" s="873"/>
      <c r="G48" s="873"/>
      <c r="H48" s="873"/>
      <c r="I48" s="873"/>
      <c r="J48" s="873"/>
      <c r="K48" s="873"/>
      <c r="L48" s="873"/>
      <c r="M48" s="873"/>
      <c r="N48" s="873"/>
      <c r="O48" s="873"/>
      <c r="P48" s="873"/>
      <c r="Q48" s="873"/>
      <c r="R48" s="873"/>
      <c r="S48" s="873"/>
      <c r="T48" s="873"/>
      <c r="U48" s="873"/>
      <c r="V48" s="873"/>
      <c r="W48" s="873"/>
      <c r="X48" s="873"/>
      <c r="Y48" s="873"/>
      <c r="Z48" s="873"/>
      <c r="AA48" s="873"/>
      <c r="AB48" s="873"/>
      <c r="AC48" s="873"/>
      <c r="AD48" s="873"/>
      <c r="AE48" s="873"/>
      <c r="AF48" s="873"/>
      <c r="AG48" s="873"/>
      <c r="AH48" s="873"/>
      <c r="AI48" s="873"/>
      <c r="AJ48" s="873"/>
      <c r="AK48" s="873"/>
      <c r="AL48" s="873"/>
      <c r="AM48" s="873"/>
      <c r="AN48" s="873"/>
      <c r="AO48" s="873"/>
      <c r="AP48" s="873"/>
      <c r="AQ48" s="873"/>
      <c r="AR48" s="873"/>
      <c r="AS48" s="873"/>
      <c r="AT48" s="873"/>
      <c r="AU48" s="873"/>
      <c r="AV48" s="873"/>
    </row>
    <row r="49" spans="1:48" ht="11.25" customHeight="1" x14ac:dyDescent="0.2">
      <c r="A49" s="873"/>
      <c r="B49" s="873"/>
      <c r="C49" s="873"/>
      <c r="D49" s="873"/>
      <c r="E49" s="873"/>
      <c r="F49" s="873"/>
      <c r="G49" s="873"/>
      <c r="H49" s="873"/>
      <c r="I49" s="873"/>
      <c r="J49" s="873"/>
      <c r="K49" s="873"/>
      <c r="L49" s="873"/>
      <c r="M49" s="873"/>
      <c r="N49" s="873"/>
      <c r="O49" s="873"/>
      <c r="P49" s="873"/>
      <c r="Q49" s="873"/>
      <c r="R49" s="873"/>
      <c r="S49" s="873"/>
      <c r="T49" s="873"/>
      <c r="U49" s="873"/>
      <c r="V49" s="873"/>
      <c r="W49" s="873"/>
      <c r="X49" s="873"/>
      <c r="Y49" s="873"/>
      <c r="Z49" s="873"/>
      <c r="AA49" s="873"/>
      <c r="AB49" s="873"/>
      <c r="AC49" s="873"/>
      <c r="AD49" s="873"/>
      <c r="AE49" s="873"/>
      <c r="AF49" s="873"/>
      <c r="AG49" s="873"/>
      <c r="AH49" s="873"/>
      <c r="AI49" s="873"/>
      <c r="AJ49" s="873"/>
      <c r="AK49" s="873"/>
      <c r="AL49" s="873"/>
      <c r="AM49" s="873"/>
      <c r="AN49" s="873"/>
      <c r="AO49" s="873"/>
      <c r="AP49" s="873"/>
      <c r="AQ49" s="873"/>
      <c r="AR49" s="873"/>
      <c r="AS49" s="873"/>
      <c r="AT49" s="873"/>
      <c r="AU49" s="873"/>
      <c r="AV49" s="873"/>
    </row>
    <row r="50" spans="1:48" ht="11.25" customHeight="1" x14ac:dyDescent="0.2">
      <c r="A50" s="873"/>
      <c r="B50" s="873"/>
      <c r="C50" s="873"/>
      <c r="D50" s="873"/>
      <c r="E50" s="873"/>
      <c r="F50" s="873"/>
      <c r="G50" s="873"/>
      <c r="H50" s="873"/>
      <c r="I50" s="873"/>
      <c r="J50" s="873"/>
      <c r="K50" s="873"/>
      <c r="L50" s="873"/>
      <c r="M50" s="873"/>
      <c r="N50" s="873"/>
      <c r="O50" s="873"/>
      <c r="P50" s="873"/>
      <c r="Q50" s="873"/>
      <c r="R50" s="873"/>
      <c r="S50" s="873"/>
      <c r="T50" s="873"/>
      <c r="U50" s="873"/>
      <c r="V50" s="873"/>
      <c r="W50" s="873"/>
      <c r="X50" s="873"/>
      <c r="Y50" s="873"/>
      <c r="Z50" s="873"/>
      <c r="AA50" s="873"/>
      <c r="AB50" s="873"/>
      <c r="AC50" s="873"/>
      <c r="AD50" s="873"/>
      <c r="AE50" s="873"/>
      <c r="AF50" s="873"/>
      <c r="AG50" s="873"/>
      <c r="AH50" s="873"/>
      <c r="AI50" s="873"/>
      <c r="AJ50" s="873"/>
      <c r="AK50" s="873"/>
      <c r="AL50" s="873"/>
      <c r="AM50" s="873"/>
      <c r="AN50" s="873"/>
      <c r="AO50" s="873"/>
      <c r="AP50" s="873"/>
      <c r="AQ50" s="873"/>
      <c r="AR50" s="873"/>
      <c r="AS50" s="873"/>
      <c r="AT50" s="873"/>
      <c r="AU50" s="873"/>
      <c r="AV50" s="873"/>
    </row>
    <row r="51" spans="1:48" ht="11.25" customHeight="1" x14ac:dyDescent="0.2">
      <c r="A51" s="873"/>
      <c r="B51" s="873"/>
      <c r="C51" s="873"/>
      <c r="D51" s="873"/>
      <c r="E51" s="873"/>
      <c r="F51" s="873"/>
      <c r="G51" s="873"/>
      <c r="H51" s="873"/>
      <c r="I51" s="873"/>
      <c r="J51" s="873"/>
      <c r="K51" s="873"/>
      <c r="L51" s="873"/>
      <c r="M51" s="873"/>
      <c r="N51" s="873"/>
      <c r="O51" s="873"/>
      <c r="P51" s="873"/>
      <c r="Q51" s="873"/>
      <c r="R51" s="873"/>
      <c r="S51" s="873"/>
      <c r="T51" s="873"/>
      <c r="U51" s="873"/>
      <c r="V51" s="873"/>
      <c r="W51" s="873"/>
      <c r="X51" s="873"/>
      <c r="Y51" s="873"/>
      <c r="Z51" s="873"/>
      <c r="AA51" s="873"/>
      <c r="AB51" s="873"/>
      <c r="AC51" s="873"/>
      <c r="AD51" s="873"/>
      <c r="AE51" s="873"/>
      <c r="AF51" s="873"/>
      <c r="AG51" s="873"/>
      <c r="AH51" s="873"/>
      <c r="AI51" s="873"/>
      <c r="AJ51" s="873"/>
      <c r="AK51" s="873"/>
      <c r="AL51" s="873"/>
      <c r="AM51" s="873"/>
      <c r="AN51" s="873"/>
      <c r="AO51" s="873"/>
      <c r="AP51" s="873"/>
      <c r="AQ51" s="873"/>
      <c r="AR51" s="873"/>
      <c r="AS51" s="873"/>
      <c r="AT51" s="873"/>
      <c r="AU51" s="873"/>
      <c r="AV51" s="873"/>
    </row>
    <row r="52" spans="1:48" ht="11.25" customHeight="1" x14ac:dyDescent="0.2">
      <c r="A52" s="873"/>
      <c r="B52" s="873"/>
      <c r="C52" s="873"/>
      <c r="D52" s="873"/>
      <c r="E52" s="873"/>
      <c r="F52" s="873"/>
      <c r="G52" s="873"/>
      <c r="H52" s="873"/>
      <c r="I52" s="873"/>
      <c r="J52" s="873"/>
      <c r="K52" s="873"/>
      <c r="L52" s="873"/>
      <c r="M52" s="873"/>
      <c r="N52" s="873"/>
      <c r="O52" s="873"/>
      <c r="P52" s="873"/>
      <c r="Q52" s="873"/>
      <c r="R52" s="873"/>
      <c r="S52" s="873"/>
      <c r="T52" s="873"/>
      <c r="U52" s="873"/>
      <c r="V52" s="873"/>
      <c r="W52" s="873"/>
      <c r="X52" s="873"/>
      <c r="Y52" s="873"/>
      <c r="Z52" s="873"/>
      <c r="AA52" s="873"/>
      <c r="AB52" s="873"/>
      <c r="AC52" s="873"/>
      <c r="AD52" s="873"/>
      <c r="AE52" s="873"/>
      <c r="AF52" s="873"/>
      <c r="AG52" s="873"/>
      <c r="AH52" s="873"/>
      <c r="AI52" s="873"/>
      <c r="AJ52" s="873"/>
      <c r="AK52" s="873"/>
      <c r="AL52" s="873"/>
      <c r="AM52" s="873"/>
      <c r="AN52" s="873"/>
      <c r="AO52" s="873"/>
      <c r="AP52" s="873"/>
      <c r="AQ52" s="873"/>
      <c r="AR52" s="873"/>
      <c r="AS52" s="873"/>
      <c r="AT52" s="873"/>
      <c r="AU52" s="873"/>
      <c r="AV52" s="873"/>
    </row>
    <row r="53" spans="1:48" ht="11.25" customHeight="1" x14ac:dyDescent="0.2">
      <c r="A53" s="873"/>
      <c r="B53" s="873"/>
      <c r="C53" s="873"/>
      <c r="D53" s="873"/>
      <c r="E53" s="873"/>
      <c r="F53" s="873"/>
      <c r="G53" s="873"/>
      <c r="H53" s="873"/>
      <c r="I53" s="873"/>
      <c r="J53" s="873"/>
      <c r="K53" s="873"/>
      <c r="L53" s="873"/>
      <c r="M53" s="873"/>
      <c r="N53" s="873"/>
      <c r="O53" s="873"/>
      <c r="P53" s="873"/>
      <c r="Q53" s="873"/>
      <c r="R53" s="873"/>
      <c r="S53" s="873"/>
      <c r="T53" s="873"/>
      <c r="U53" s="873"/>
      <c r="V53" s="873"/>
      <c r="W53" s="873"/>
      <c r="X53" s="873"/>
      <c r="Y53" s="873"/>
      <c r="Z53" s="873"/>
      <c r="AA53" s="873"/>
      <c r="AB53" s="873"/>
      <c r="AC53" s="873"/>
      <c r="AD53" s="873"/>
      <c r="AE53" s="873"/>
      <c r="AF53" s="873"/>
      <c r="AG53" s="873"/>
      <c r="AH53" s="873"/>
      <c r="AI53" s="873"/>
      <c r="AJ53" s="873"/>
      <c r="AK53" s="873"/>
      <c r="AL53" s="873"/>
      <c r="AM53" s="873"/>
      <c r="AN53" s="873"/>
      <c r="AO53" s="873"/>
      <c r="AP53" s="873"/>
      <c r="AQ53" s="873"/>
      <c r="AR53" s="873"/>
      <c r="AS53" s="873"/>
      <c r="AT53" s="873"/>
      <c r="AU53" s="873"/>
      <c r="AV53" s="873"/>
    </row>
    <row r="54" spans="1:48" ht="11.25" customHeight="1" x14ac:dyDescent="0.2">
      <c r="A54" s="873"/>
      <c r="B54" s="873"/>
      <c r="C54" s="873"/>
      <c r="D54" s="873"/>
      <c r="E54" s="873"/>
      <c r="F54" s="873"/>
      <c r="G54" s="873"/>
      <c r="H54" s="873"/>
      <c r="I54" s="873"/>
      <c r="J54" s="873"/>
      <c r="K54" s="873"/>
      <c r="L54" s="873"/>
      <c r="M54" s="873"/>
      <c r="N54" s="873"/>
      <c r="O54" s="873"/>
      <c r="P54" s="873"/>
      <c r="Q54" s="873"/>
      <c r="R54" s="873"/>
      <c r="S54" s="873"/>
      <c r="T54" s="873"/>
      <c r="U54" s="873"/>
      <c r="V54" s="873"/>
      <c r="W54" s="873"/>
      <c r="X54" s="873"/>
      <c r="Y54" s="873"/>
      <c r="Z54" s="873"/>
      <c r="AA54" s="873"/>
      <c r="AB54" s="873"/>
      <c r="AC54" s="873"/>
      <c r="AD54" s="873"/>
      <c r="AE54" s="873"/>
      <c r="AF54" s="873"/>
      <c r="AG54" s="873"/>
      <c r="AH54" s="873"/>
      <c r="AI54" s="873"/>
      <c r="AJ54" s="873"/>
      <c r="AK54" s="873"/>
      <c r="AL54" s="873"/>
      <c r="AM54" s="873"/>
      <c r="AN54" s="873"/>
      <c r="AO54" s="873"/>
      <c r="AP54" s="873"/>
      <c r="AQ54" s="873"/>
      <c r="AR54" s="873"/>
      <c r="AS54" s="873"/>
      <c r="AT54" s="873"/>
      <c r="AU54" s="873"/>
      <c r="AV54" s="873"/>
    </row>
    <row r="55" spans="1:48" ht="11.25" customHeight="1" x14ac:dyDescent="0.2">
      <c r="A55" s="873"/>
      <c r="B55" s="873"/>
      <c r="C55" s="873"/>
      <c r="D55" s="873"/>
      <c r="E55" s="873"/>
      <c r="F55" s="873"/>
      <c r="G55" s="873"/>
      <c r="H55" s="873"/>
      <c r="I55" s="873"/>
      <c r="J55" s="873"/>
      <c r="K55" s="873"/>
      <c r="L55" s="873"/>
      <c r="M55" s="873"/>
      <c r="N55" s="873"/>
      <c r="O55" s="873"/>
      <c r="P55" s="873"/>
      <c r="Q55" s="873"/>
      <c r="R55" s="873"/>
      <c r="S55" s="873"/>
      <c r="T55" s="873"/>
      <c r="U55" s="873"/>
      <c r="V55" s="873"/>
      <c r="W55" s="873"/>
      <c r="X55" s="873"/>
      <c r="Y55" s="873"/>
      <c r="Z55" s="873"/>
      <c r="AA55" s="873"/>
      <c r="AB55" s="873"/>
      <c r="AC55" s="873"/>
      <c r="AD55" s="873"/>
      <c r="AE55" s="873"/>
      <c r="AF55" s="873"/>
      <c r="AG55" s="873"/>
      <c r="AH55" s="873"/>
      <c r="AI55" s="873"/>
      <c r="AJ55" s="873"/>
      <c r="AK55" s="873"/>
      <c r="AL55" s="873"/>
      <c r="AM55" s="873"/>
      <c r="AN55" s="873"/>
      <c r="AO55" s="873"/>
      <c r="AP55" s="873"/>
      <c r="AQ55" s="873"/>
      <c r="AR55" s="873"/>
      <c r="AS55" s="873"/>
      <c r="AT55" s="873"/>
      <c r="AU55" s="873"/>
      <c r="AV55" s="873"/>
    </row>
    <row r="56" spans="1:48" ht="11.25" customHeight="1" x14ac:dyDescent="0.2">
      <c r="A56" s="873"/>
      <c r="B56" s="873"/>
      <c r="C56" s="873"/>
      <c r="D56" s="873"/>
      <c r="E56" s="873"/>
      <c r="F56" s="873"/>
      <c r="G56" s="873"/>
      <c r="H56" s="873"/>
      <c r="I56" s="873"/>
      <c r="J56" s="873"/>
      <c r="K56" s="873"/>
      <c r="L56" s="873"/>
      <c r="M56" s="873"/>
      <c r="N56" s="873"/>
      <c r="O56" s="873"/>
      <c r="P56" s="873"/>
      <c r="Q56" s="873"/>
      <c r="R56" s="873"/>
      <c r="S56" s="873"/>
      <c r="T56" s="873"/>
      <c r="U56" s="873"/>
      <c r="V56" s="873"/>
      <c r="W56" s="873"/>
      <c r="X56" s="873"/>
      <c r="Y56" s="873"/>
      <c r="Z56" s="873"/>
      <c r="AA56" s="873"/>
      <c r="AB56" s="873"/>
      <c r="AC56" s="873"/>
      <c r="AD56" s="873"/>
      <c r="AE56" s="873"/>
      <c r="AF56" s="873"/>
      <c r="AG56" s="873"/>
      <c r="AH56" s="873"/>
      <c r="AI56" s="873"/>
      <c r="AJ56" s="873"/>
      <c r="AK56" s="873"/>
      <c r="AL56" s="873"/>
      <c r="AM56" s="873"/>
      <c r="AN56" s="873"/>
      <c r="AO56" s="873"/>
      <c r="AP56" s="873"/>
      <c r="AQ56" s="873"/>
      <c r="AR56" s="873"/>
      <c r="AS56" s="873"/>
      <c r="AT56" s="873"/>
      <c r="AU56" s="873"/>
      <c r="AV56" s="873"/>
    </row>
    <row r="57" spans="1:48" ht="11.25" customHeight="1" x14ac:dyDescent="0.2">
      <c r="A57" s="873"/>
      <c r="B57" s="873"/>
      <c r="C57" s="873"/>
      <c r="D57" s="873"/>
      <c r="E57" s="873"/>
      <c r="F57" s="873"/>
      <c r="G57" s="873"/>
      <c r="H57" s="873"/>
      <c r="I57" s="873"/>
      <c r="J57" s="873"/>
      <c r="K57" s="873"/>
      <c r="L57" s="873"/>
      <c r="M57" s="873"/>
      <c r="N57" s="873"/>
      <c r="O57" s="873"/>
      <c r="P57" s="873"/>
      <c r="Q57" s="873"/>
      <c r="R57" s="873"/>
      <c r="S57" s="873"/>
      <c r="T57" s="873"/>
      <c r="U57" s="873"/>
      <c r="V57" s="873"/>
      <c r="W57" s="873"/>
      <c r="X57" s="873"/>
      <c r="Y57" s="873"/>
      <c r="Z57" s="873"/>
      <c r="AA57" s="873"/>
      <c r="AB57" s="873"/>
      <c r="AC57" s="873"/>
      <c r="AD57" s="873"/>
      <c r="AE57" s="873"/>
      <c r="AF57" s="873"/>
      <c r="AG57" s="873"/>
      <c r="AH57" s="873"/>
      <c r="AI57" s="873"/>
      <c r="AJ57" s="873"/>
      <c r="AK57" s="873"/>
      <c r="AL57" s="873"/>
      <c r="AM57" s="873"/>
      <c r="AN57" s="873"/>
      <c r="AO57" s="873"/>
      <c r="AP57" s="873"/>
      <c r="AQ57" s="873"/>
      <c r="AR57" s="873"/>
      <c r="AS57" s="873"/>
      <c r="AT57" s="873"/>
      <c r="AU57" s="873"/>
      <c r="AV57" s="873"/>
    </row>
    <row r="58" spans="1:48" ht="11.25" customHeight="1" x14ac:dyDescent="0.2">
      <c r="A58" s="873"/>
      <c r="B58" s="873"/>
      <c r="C58" s="873"/>
      <c r="D58" s="873"/>
      <c r="E58" s="873"/>
      <c r="F58" s="873"/>
      <c r="G58" s="873"/>
      <c r="H58" s="873"/>
      <c r="I58" s="873"/>
      <c r="J58" s="873"/>
      <c r="K58" s="873"/>
      <c r="L58" s="873"/>
      <c r="M58" s="873"/>
      <c r="N58" s="873"/>
      <c r="O58" s="873"/>
      <c r="P58" s="873"/>
      <c r="Q58" s="873"/>
      <c r="R58" s="873"/>
      <c r="S58" s="873"/>
      <c r="T58" s="873"/>
      <c r="U58" s="873"/>
      <c r="V58" s="873"/>
      <c r="W58" s="873"/>
      <c r="X58" s="873"/>
      <c r="Y58" s="873"/>
      <c r="Z58" s="873"/>
      <c r="AA58" s="873"/>
      <c r="AB58" s="873"/>
      <c r="AC58" s="873"/>
      <c r="AD58" s="873"/>
      <c r="AE58" s="873"/>
      <c r="AF58" s="873"/>
      <c r="AG58" s="873"/>
      <c r="AH58" s="873"/>
      <c r="AI58" s="873"/>
      <c r="AJ58" s="873"/>
      <c r="AK58" s="873"/>
      <c r="AL58" s="873"/>
      <c r="AM58" s="873"/>
      <c r="AN58" s="873"/>
      <c r="AO58" s="873"/>
      <c r="AP58" s="873"/>
      <c r="AQ58" s="873"/>
      <c r="AR58" s="873"/>
      <c r="AS58" s="873"/>
      <c r="AT58" s="873"/>
      <c r="AU58" s="873"/>
      <c r="AV58" s="873"/>
    </row>
    <row r="59" spans="1:48" ht="11.25" customHeight="1" x14ac:dyDescent="0.2">
      <c r="A59" s="873"/>
      <c r="B59" s="873"/>
      <c r="C59" s="873"/>
      <c r="D59" s="873"/>
      <c r="E59" s="873"/>
      <c r="F59" s="873"/>
      <c r="G59" s="873"/>
      <c r="H59" s="873"/>
      <c r="I59" s="873"/>
      <c r="J59" s="873"/>
      <c r="K59" s="873"/>
      <c r="L59" s="873"/>
      <c r="M59" s="873"/>
      <c r="N59" s="873"/>
      <c r="O59" s="873"/>
      <c r="P59" s="873"/>
      <c r="Q59" s="873"/>
      <c r="R59" s="873"/>
      <c r="S59" s="873"/>
      <c r="T59" s="873"/>
      <c r="U59" s="873"/>
      <c r="V59" s="873"/>
      <c r="W59" s="873"/>
      <c r="X59" s="873"/>
      <c r="Y59" s="873"/>
      <c r="Z59" s="873"/>
      <c r="AA59" s="873"/>
      <c r="AB59" s="873"/>
      <c r="AC59" s="873"/>
      <c r="AD59" s="873"/>
      <c r="AE59" s="873"/>
      <c r="AF59" s="873"/>
      <c r="AG59" s="873"/>
      <c r="AH59" s="873"/>
      <c r="AI59" s="873"/>
      <c r="AJ59" s="873"/>
      <c r="AK59" s="873"/>
      <c r="AL59" s="873"/>
      <c r="AM59" s="873"/>
      <c r="AN59" s="873"/>
      <c r="AO59" s="873"/>
      <c r="AP59" s="873"/>
      <c r="AQ59" s="873"/>
      <c r="AR59" s="873"/>
      <c r="AS59" s="873"/>
      <c r="AT59" s="873"/>
      <c r="AU59" s="873"/>
      <c r="AV59" s="873"/>
    </row>
    <row r="60" spans="1:48" ht="11.25" customHeight="1" x14ac:dyDescent="0.2">
      <c r="A60" s="873"/>
      <c r="B60" s="873"/>
      <c r="C60" s="873"/>
      <c r="D60" s="873"/>
      <c r="E60" s="873"/>
      <c r="F60" s="873"/>
      <c r="G60" s="873"/>
      <c r="H60" s="873"/>
      <c r="I60" s="873"/>
      <c r="J60" s="873"/>
      <c r="K60" s="873"/>
      <c r="L60" s="873"/>
      <c r="M60" s="873"/>
      <c r="N60" s="873"/>
      <c r="O60" s="873"/>
      <c r="P60" s="873"/>
      <c r="Q60" s="873"/>
      <c r="R60" s="873"/>
      <c r="S60" s="873"/>
      <c r="T60" s="873"/>
      <c r="U60" s="873"/>
      <c r="V60" s="873"/>
      <c r="W60" s="873"/>
      <c r="X60" s="873"/>
      <c r="Y60" s="873"/>
      <c r="Z60" s="873"/>
      <c r="AA60" s="873"/>
      <c r="AB60" s="873"/>
      <c r="AC60" s="873"/>
      <c r="AD60" s="873"/>
      <c r="AE60" s="873"/>
      <c r="AF60" s="873"/>
      <c r="AG60" s="873"/>
      <c r="AH60" s="873"/>
      <c r="AI60" s="873"/>
      <c r="AJ60" s="873"/>
      <c r="AK60" s="873"/>
      <c r="AL60" s="873"/>
      <c r="AM60" s="873"/>
      <c r="AN60" s="873"/>
      <c r="AO60" s="873"/>
      <c r="AP60" s="873"/>
      <c r="AQ60" s="873"/>
      <c r="AR60" s="873"/>
      <c r="AS60" s="873"/>
      <c r="AT60" s="873"/>
      <c r="AU60" s="873"/>
      <c r="AV60" s="873"/>
    </row>
    <row r="61" spans="1:48" ht="11.25" customHeight="1" x14ac:dyDescent="0.2">
      <c r="A61" s="873"/>
      <c r="B61" s="873"/>
      <c r="C61" s="873"/>
      <c r="D61" s="873"/>
      <c r="E61" s="873"/>
      <c r="F61" s="873"/>
      <c r="G61" s="873"/>
      <c r="H61" s="873"/>
      <c r="I61" s="873"/>
      <c r="J61" s="873"/>
      <c r="K61" s="873"/>
      <c r="L61" s="873"/>
      <c r="M61" s="873"/>
      <c r="N61" s="873"/>
      <c r="O61" s="873"/>
      <c r="P61" s="873"/>
      <c r="Q61" s="873"/>
      <c r="R61" s="873"/>
      <c r="S61" s="873"/>
      <c r="T61" s="873"/>
      <c r="U61" s="873"/>
      <c r="V61" s="873"/>
      <c r="W61" s="873"/>
      <c r="X61" s="873"/>
      <c r="Y61" s="873"/>
      <c r="Z61" s="873"/>
      <c r="AA61" s="873"/>
      <c r="AB61" s="873"/>
      <c r="AC61" s="873"/>
      <c r="AD61" s="873"/>
      <c r="AE61" s="873"/>
      <c r="AF61" s="873"/>
      <c r="AG61" s="873"/>
      <c r="AH61" s="873"/>
      <c r="AI61" s="873"/>
      <c r="AJ61" s="873"/>
      <c r="AK61" s="873"/>
      <c r="AL61" s="873"/>
      <c r="AM61" s="873"/>
      <c r="AN61" s="873"/>
      <c r="AO61" s="873"/>
      <c r="AP61" s="873"/>
      <c r="AQ61" s="873"/>
      <c r="AR61" s="873"/>
      <c r="AS61" s="873"/>
      <c r="AT61" s="873"/>
      <c r="AU61" s="873"/>
      <c r="AV61" s="873"/>
    </row>
    <row r="62" spans="1:48" ht="11.25" customHeight="1" x14ac:dyDescent="0.2">
      <c r="A62" s="873"/>
      <c r="B62" s="873"/>
      <c r="C62" s="873"/>
      <c r="D62" s="873"/>
      <c r="E62" s="873"/>
      <c r="F62" s="873"/>
      <c r="G62" s="873"/>
      <c r="H62" s="873"/>
      <c r="I62" s="873"/>
      <c r="J62" s="873"/>
      <c r="K62" s="873"/>
      <c r="L62" s="873"/>
      <c r="M62" s="873"/>
      <c r="N62" s="873"/>
      <c r="O62" s="873"/>
      <c r="P62" s="873"/>
      <c r="Q62" s="873"/>
      <c r="R62" s="873"/>
      <c r="S62" s="873"/>
      <c r="T62" s="873"/>
      <c r="U62" s="873"/>
      <c r="V62" s="873"/>
      <c r="W62" s="873"/>
      <c r="X62" s="873"/>
      <c r="Y62" s="873"/>
      <c r="Z62" s="873"/>
      <c r="AA62" s="873"/>
      <c r="AB62" s="873"/>
      <c r="AC62" s="873"/>
      <c r="AD62" s="873"/>
      <c r="AE62" s="873"/>
      <c r="AF62" s="873"/>
      <c r="AG62" s="873"/>
      <c r="AH62" s="873"/>
      <c r="AI62" s="873"/>
      <c r="AJ62" s="873"/>
      <c r="AK62" s="873"/>
      <c r="AL62" s="873"/>
      <c r="AM62" s="873"/>
      <c r="AN62" s="873"/>
      <c r="AO62" s="873"/>
      <c r="AP62" s="873"/>
      <c r="AQ62" s="873"/>
      <c r="AR62" s="873"/>
      <c r="AS62" s="873"/>
      <c r="AT62" s="873"/>
      <c r="AU62" s="873"/>
      <c r="AV62" s="873"/>
    </row>
    <row r="63" spans="1:48" ht="11.25" customHeight="1" x14ac:dyDescent="0.2">
      <c r="A63" s="873"/>
      <c r="B63" s="873"/>
      <c r="C63" s="873"/>
      <c r="D63" s="873"/>
      <c r="E63" s="873"/>
      <c r="F63" s="873"/>
      <c r="G63" s="873"/>
      <c r="H63" s="873"/>
      <c r="I63" s="873"/>
      <c r="J63" s="873"/>
      <c r="K63" s="873"/>
      <c r="L63" s="873"/>
      <c r="M63" s="873"/>
      <c r="N63" s="873"/>
      <c r="O63" s="873"/>
      <c r="P63" s="873"/>
      <c r="Q63" s="873"/>
      <c r="R63" s="873"/>
      <c r="S63" s="873"/>
      <c r="T63" s="873"/>
      <c r="U63" s="873"/>
      <c r="V63" s="873"/>
      <c r="W63" s="873"/>
      <c r="X63" s="873"/>
      <c r="Y63" s="873"/>
      <c r="Z63" s="873"/>
      <c r="AA63" s="873"/>
      <c r="AB63" s="873"/>
      <c r="AC63" s="873"/>
      <c r="AD63" s="873"/>
      <c r="AE63" s="873"/>
      <c r="AF63" s="873"/>
      <c r="AG63" s="873"/>
      <c r="AH63" s="873"/>
      <c r="AI63" s="873"/>
      <c r="AJ63" s="873"/>
      <c r="AK63" s="873"/>
      <c r="AL63" s="873"/>
      <c r="AM63" s="873"/>
      <c r="AN63" s="873"/>
      <c r="AO63" s="873"/>
      <c r="AP63" s="873"/>
      <c r="AQ63" s="873"/>
      <c r="AR63" s="873"/>
      <c r="AS63" s="873"/>
      <c r="AT63" s="873"/>
      <c r="AU63" s="873"/>
      <c r="AV63" s="873"/>
    </row>
    <row r="64" spans="1:48" ht="11.25" customHeight="1" x14ac:dyDescent="0.2">
      <c r="A64" s="873"/>
      <c r="B64" s="873"/>
      <c r="C64" s="873"/>
      <c r="D64" s="873"/>
      <c r="E64" s="873"/>
      <c r="F64" s="873"/>
      <c r="G64" s="873"/>
      <c r="H64" s="873"/>
      <c r="I64" s="873"/>
      <c r="J64" s="873"/>
      <c r="K64" s="873"/>
      <c r="L64" s="873"/>
      <c r="M64" s="873"/>
      <c r="N64" s="873"/>
      <c r="O64" s="873"/>
      <c r="P64" s="873"/>
      <c r="Q64" s="873"/>
      <c r="R64" s="873"/>
      <c r="S64" s="873"/>
      <c r="T64" s="873"/>
      <c r="U64" s="873"/>
      <c r="V64" s="873"/>
      <c r="W64" s="873"/>
      <c r="X64" s="873"/>
      <c r="Y64" s="873"/>
      <c r="Z64" s="873"/>
      <c r="AA64" s="873"/>
      <c r="AB64" s="873"/>
      <c r="AC64" s="873"/>
      <c r="AD64" s="873"/>
      <c r="AE64" s="873"/>
      <c r="AF64" s="873"/>
      <c r="AG64" s="873"/>
      <c r="AH64" s="873"/>
      <c r="AI64" s="873"/>
      <c r="AJ64" s="873"/>
      <c r="AK64" s="873"/>
      <c r="AL64" s="873"/>
      <c r="AM64" s="873"/>
      <c r="AN64" s="873"/>
      <c r="AO64" s="873"/>
      <c r="AP64" s="873"/>
      <c r="AQ64" s="873"/>
      <c r="AR64" s="873"/>
      <c r="AS64" s="873"/>
      <c r="AT64" s="873"/>
      <c r="AU64" s="873"/>
      <c r="AV64" s="873"/>
    </row>
    <row r="65" spans="1:48" ht="11.25" customHeight="1" x14ac:dyDescent="0.2">
      <c r="A65" s="873"/>
      <c r="B65" s="873"/>
      <c r="C65" s="873"/>
      <c r="D65" s="873"/>
      <c r="E65" s="873"/>
      <c r="F65" s="873"/>
      <c r="G65" s="873"/>
      <c r="H65" s="873"/>
      <c r="I65" s="873"/>
      <c r="J65" s="873"/>
      <c r="K65" s="873"/>
      <c r="L65" s="873"/>
      <c r="M65" s="873"/>
      <c r="N65" s="873"/>
      <c r="O65" s="873"/>
      <c r="P65" s="873"/>
      <c r="Q65" s="873"/>
      <c r="R65" s="873"/>
      <c r="S65" s="873"/>
      <c r="T65" s="873"/>
      <c r="U65" s="873"/>
      <c r="V65" s="873"/>
      <c r="W65" s="873"/>
      <c r="X65" s="873"/>
      <c r="Y65" s="873"/>
      <c r="Z65" s="873"/>
      <c r="AA65" s="873"/>
      <c r="AB65" s="873"/>
      <c r="AC65" s="873"/>
      <c r="AD65" s="873"/>
      <c r="AE65" s="873"/>
      <c r="AF65" s="873"/>
      <c r="AG65" s="873"/>
      <c r="AH65" s="873"/>
      <c r="AI65" s="873"/>
      <c r="AJ65" s="873"/>
      <c r="AK65" s="873"/>
      <c r="AL65" s="873"/>
      <c r="AM65" s="873"/>
      <c r="AN65" s="873"/>
      <c r="AO65" s="873"/>
      <c r="AP65" s="873"/>
      <c r="AQ65" s="873"/>
      <c r="AR65" s="873"/>
      <c r="AS65" s="873"/>
      <c r="AT65" s="873"/>
      <c r="AU65" s="873"/>
      <c r="AV65" s="873"/>
    </row>
    <row r="66" spans="1:48" ht="11.25" customHeight="1" x14ac:dyDescent="0.2">
      <c r="A66" s="873"/>
      <c r="B66" s="873"/>
      <c r="C66" s="873"/>
      <c r="D66" s="873"/>
      <c r="E66" s="873"/>
      <c r="F66" s="873"/>
      <c r="G66" s="873"/>
      <c r="H66" s="873"/>
      <c r="I66" s="873"/>
      <c r="J66" s="873"/>
      <c r="K66" s="873"/>
      <c r="L66" s="873"/>
      <c r="M66" s="873"/>
      <c r="N66" s="873"/>
      <c r="O66" s="873"/>
      <c r="P66" s="873"/>
      <c r="Q66" s="873"/>
      <c r="R66" s="873"/>
      <c r="S66" s="873"/>
      <c r="T66" s="873"/>
      <c r="U66" s="873"/>
      <c r="V66" s="873"/>
      <c r="W66" s="873"/>
      <c r="X66" s="873"/>
      <c r="Y66" s="873"/>
      <c r="Z66" s="873"/>
      <c r="AA66" s="873"/>
      <c r="AB66" s="873"/>
      <c r="AC66" s="873"/>
      <c r="AD66" s="873"/>
      <c r="AE66" s="873"/>
      <c r="AF66" s="873"/>
      <c r="AG66" s="873"/>
      <c r="AH66" s="873"/>
      <c r="AI66" s="873"/>
      <c r="AJ66" s="873"/>
      <c r="AK66" s="873"/>
      <c r="AL66" s="873"/>
      <c r="AM66" s="873"/>
      <c r="AN66" s="873"/>
      <c r="AO66" s="873"/>
      <c r="AP66" s="873"/>
      <c r="AQ66" s="873"/>
      <c r="AR66" s="873"/>
      <c r="AS66" s="873"/>
      <c r="AT66" s="873"/>
      <c r="AU66" s="873"/>
      <c r="AV66" s="873"/>
    </row>
    <row r="67" spans="1:48" ht="11.25" customHeight="1" x14ac:dyDescent="0.2">
      <c r="A67" s="873"/>
      <c r="B67" s="873"/>
      <c r="C67" s="873"/>
      <c r="D67" s="873"/>
      <c r="E67" s="873"/>
      <c r="F67" s="873"/>
      <c r="G67" s="873"/>
      <c r="H67" s="873"/>
      <c r="I67" s="873"/>
      <c r="J67" s="873"/>
      <c r="K67" s="873"/>
      <c r="L67" s="873"/>
      <c r="M67" s="873"/>
      <c r="N67" s="873"/>
      <c r="O67" s="873"/>
      <c r="P67" s="873"/>
      <c r="Q67" s="873"/>
      <c r="R67" s="873"/>
      <c r="S67" s="873"/>
      <c r="T67" s="873"/>
      <c r="U67" s="873"/>
      <c r="V67" s="873"/>
      <c r="W67" s="873"/>
      <c r="X67" s="873"/>
      <c r="Y67" s="873"/>
      <c r="Z67" s="873"/>
      <c r="AA67" s="873"/>
      <c r="AB67" s="873"/>
      <c r="AC67" s="873"/>
      <c r="AD67" s="873"/>
      <c r="AE67" s="873"/>
      <c r="AF67" s="873"/>
      <c r="AG67" s="873"/>
      <c r="AH67" s="873"/>
      <c r="AI67" s="873"/>
      <c r="AJ67" s="873"/>
      <c r="AK67" s="873"/>
      <c r="AL67" s="873"/>
      <c r="AM67" s="873"/>
      <c r="AN67" s="873"/>
      <c r="AO67" s="873"/>
      <c r="AP67" s="873"/>
      <c r="AQ67" s="873"/>
      <c r="AR67" s="873"/>
      <c r="AS67" s="873"/>
      <c r="AT67" s="873"/>
      <c r="AU67" s="873"/>
      <c r="AV67" s="873"/>
    </row>
    <row r="68" spans="1:48" ht="11.25" customHeight="1" x14ac:dyDescent="0.2">
      <c r="A68" s="873"/>
      <c r="B68" s="873"/>
      <c r="C68" s="873"/>
      <c r="D68" s="873"/>
      <c r="E68" s="873"/>
      <c r="F68" s="873"/>
      <c r="G68" s="873"/>
      <c r="H68" s="873"/>
      <c r="I68" s="873"/>
      <c r="J68" s="873"/>
      <c r="K68" s="873"/>
      <c r="L68" s="873"/>
      <c r="M68" s="873"/>
      <c r="N68" s="873"/>
      <c r="O68" s="873"/>
      <c r="P68" s="873"/>
      <c r="Q68" s="873"/>
      <c r="R68" s="873"/>
      <c r="S68" s="873"/>
      <c r="T68" s="873"/>
      <c r="U68" s="873"/>
      <c r="V68" s="873"/>
      <c r="W68" s="873"/>
      <c r="X68" s="873"/>
      <c r="Y68" s="873"/>
      <c r="Z68" s="873"/>
      <c r="AA68" s="873"/>
      <c r="AB68" s="873"/>
      <c r="AC68" s="873"/>
      <c r="AD68" s="873"/>
      <c r="AE68" s="873"/>
      <c r="AF68" s="873"/>
      <c r="AG68" s="873"/>
      <c r="AH68" s="873"/>
      <c r="AI68" s="873"/>
      <c r="AJ68" s="873"/>
      <c r="AK68" s="873"/>
      <c r="AL68" s="873"/>
      <c r="AM68" s="873"/>
      <c r="AN68" s="873"/>
      <c r="AO68" s="873"/>
      <c r="AP68" s="873"/>
      <c r="AQ68" s="873"/>
      <c r="AR68" s="873"/>
      <c r="AS68" s="873"/>
      <c r="AT68" s="873"/>
      <c r="AU68" s="873"/>
      <c r="AV68" s="873"/>
    </row>
    <row r="69" spans="1:48" ht="11.25" customHeight="1" x14ac:dyDescent="0.2">
      <c r="A69" s="873"/>
      <c r="B69" s="873"/>
      <c r="C69" s="873"/>
      <c r="D69" s="873"/>
      <c r="E69" s="873"/>
      <c r="F69" s="873"/>
      <c r="G69" s="873"/>
      <c r="H69" s="873"/>
      <c r="I69" s="873"/>
      <c r="J69" s="873"/>
      <c r="K69" s="873"/>
      <c r="L69" s="873"/>
      <c r="M69" s="873"/>
      <c r="N69" s="873"/>
      <c r="O69" s="873"/>
      <c r="P69" s="873"/>
      <c r="Q69" s="873"/>
      <c r="R69" s="873"/>
      <c r="S69" s="873"/>
      <c r="T69" s="873"/>
      <c r="U69" s="873"/>
      <c r="V69" s="873"/>
      <c r="W69" s="873"/>
      <c r="X69" s="873"/>
      <c r="Y69" s="873"/>
      <c r="Z69" s="873"/>
      <c r="AA69" s="873"/>
      <c r="AB69" s="873"/>
      <c r="AC69" s="873"/>
      <c r="AD69" s="873"/>
      <c r="AE69" s="873"/>
      <c r="AF69" s="873"/>
      <c r="AG69" s="873"/>
      <c r="AH69" s="873"/>
      <c r="AI69" s="873"/>
      <c r="AJ69" s="873"/>
      <c r="AK69" s="873"/>
      <c r="AL69" s="873"/>
      <c r="AM69" s="873"/>
      <c r="AN69" s="873"/>
      <c r="AO69" s="873"/>
      <c r="AP69" s="873"/>
      <c r="AQ69" s="873"/>
      <c r="AR69" s="873"/>
      <c r="AS69" s="873"/>
      <c r="AT69" s="873"/>
      <c r="AU69" s="873"/>
      <c r="AV69" s="873"/>
    </row>
    <row r="70" spans="1:48" ht="11.25" customHeight="1" x14ac:dyDescent="0.2">
      <c r="A70" s="873"/>
      <c r="B70" s="873"/>
      <c r="C70" s="873"/>
      <c r="D70" s="873"/>
      <c r="E70" s="873"/>
      <c r="F70" s="873"/>
      <c r="G70" s="873"/>
      <c r="H70" s="873"/>
      <c r="I70" s="873"/>
      <c r="J70" s="873"/>
      <c r="K70" s="873"/>
      <c r="L70" s="873"/>
      <c r="M70" s="873"/>
      <c r="N70" s="873"/>
      <c r="O70" s="873"/>
      <c r="P70" s="873"/>
      <c r="Q70" s="873"/>
      <c r="R70" s="873"/>
      <c r="S70" s="873"/>
      <c r="T70" s="873"/>
      <c r="U70" s="873"/>
      <c r="V70" s="873"/>
      <c r="W70" s="873"/>
      <c r="X70" s="873"/>
      <c r="Y70" s="873"/>
      <c r="Z70" s="873"/>
      <c r="AA70" s="873"/>
      <c r="AB70" s="873"/>
      <c r="AC70" s="873"/>
      <c r="AD70" s="873"/>
      <c r="AE70" s="873"/>
      <c r="AF70" s="873"/>
      <c r="AG70" s="873"/>
      <c r="AH70" s="873"/>
      <c r="AI70" s="873"/>
      <c r="AJ70" s="873"/>
      <c r="AK70" s="873"/>
      <c r="AL70" s="873"/>
      <c r="AM70" s="873"/>
      <c r="AN70" s="873"/>
      <c r="AO70" s="873"/>
      <c r="AP70" s="873"/>
      <c r="AQ70" s="873"/>
      <c r="AR70" s="873"/>
      <c r="AS70" s="873"/>
      <c r="AT70" s="873"/>
      <c r="AU70" s="873"/>
      <c r="AV70" s="873"/>
    </row>
    <row r="71" spans="1:48" ht="11.25" customHeight="1" x14ac:dyDescent="0.2">
      <c r="A71" s="873"/>
      <c r="B71" s="873"/>
      <c r="C71" s="873"/>
      <c r="D71" s="873"/>
      <c r="E71" s="873"/>
      <c r="F71" s="873"/>
      <c r="G71" s="873"/>
      <c r="H71" s="873"/>
      <c r="I71" s="873"/>
      <c r="J71" s="873"/>
      <c r="K71" s="873"/>
      <c r="L71" s="873"/>
      <c r="M71" s="873"/>
      <c r="N71" s="873"/>
      <c r="O71" s="873"/>
      <c r="P71" s="873"/>
      <c r="Q71" s="873"/>
      <c r="R71" s="873"/>
      <c r="S71" s="873"/>
      <c r="T71" s="873"/>
      <c r="U71" s="873"/>
      <c r="V71" s="873"/>
      <c r="W71" s="873"/>
      <c r="X71" s="873"/>
      <c r="Y71" s="873"/>
      <c r="Z71" s="873"/>
      <c r="AA71" s="873"/>
      <c r="AB71" s="873"/>
      <c r="AC71" s="873"/>
      <c r="AD71" s="873"/>
      <c r="AE71" s="873"/>
      <c r="AF71" s="873"/>
      <c r="AG71" s="873"/>
      <c r="AH71" s="873"/>
      <c r="AI71" s="873"/>
      <c r="AJ71" s="873"/>
      <c r="AK71" s="873"/>
      <c r="AL71" s="873"/>
      <c r="AM71" s="873"/>
      <c r="AN71" s="873"/>
      <c r="AO71" s="873"/>
      <c r="AP71" s="873"/>
      <c r="AQ71" s="873"/>
      <c r="AR71" s="873"/>
      <c r="AS71" s="873"/>
      <c r="AT71" s="873"/>
      <c r="AU71" s="873"/>
      <c r="AV71" s="873"/>
    </row>
    <row r="72" spans="1:48" ht="11.25" customHeight="1" x14ac:dyDescent="0.2">
      <c r="A72" s="873"/>
      <c r="B72" s="873"/>
      <c r="C72" s="873"/>
      <c r="D72" s="873"/>
      <c r="E72" s="873"/>
      <c r="F72" s="873"/>
      <c r="G72" s="873"/>
      <c r="H72" s="873"/>
      <c r="I72" s="873"/>
      <c r="J72" s="873"/>
      <c r="K72" s="873"/>
      <c r="L72" s="873"/>
      <c r="M72" s="873"/>
      <c r="N72" s="873"/>
      <c r="O72" s="873"/>
      <c r="P72" s="873"/>
      <c r="Q72" s="873"/>
      <c r="R72" s="873"/>
      <c r="S72" s="873"/>
      <c r="T72" s="873"/>
      <c r="U72" s="873"/>
      <c r="V72" s="873"/>
      <c r="W72" s="873"/>
      <c r="X72" s="873"/>
      <c r="Y72" s="873"/>
      <c r="Z72" s="873"/>
      <c r="AA72" s="873"/>
      <c r="AB72" s="873"/>
      <c r="AC72" s="873"/>
      <c r="AD72" s="873"/>
      <c r="AE72" s="873"/>
      <c r="AF72" s="873"/>
      <c r="AG72" s="873"/>
      <c r="AH72" s="873"/>
      <c r="AI72" s="873"/>
      <c r="AJ72" s="873"/>
      <c r="AK72" s="873"/>
      <c r="AL72" s="873"/>
      <c r="AM72" s="873"/>
      <c r="AN72" s="873"/>
      <c r="AO72" s="873"/>
      <c r="AP72" s="873"/>
      <c r="AQ72" s="873"/>
      <c r="AR72" s="873"/>
      <c r="AS72" s="873"/>
      <c r="AT72" s="873"/>
      <c r="AU72" s="873"/>
      <c r="AV72" s="873"/>
    </row>
    <row r="73" spans="1:48" ht="11.25" customHeight="1" x14ac:dyDescent="0.2">
      <c r="A73" s="873"/>
      <c r="B73" s="873"/>
      <c r="C73" s="873"/>
      <c r="D73" s="873"/>
      <c r="E73" s="873"/>
      <c r="F73" s="873"/>
      <c r="G73" s="873"/>
      <c r="H73" s="873"/>
      <c r="I73" s="873"/>
      <c r="J73" s="873"/>
      <c r="K73" s="873"/>
      <c r="L73" s="873"/>
      <c r="M73" s="873"/>
      <c r="N73" s="873"/>
      <c r="O73" s="873"/>
      <c r="P73" s="873"/>
      <c r="Q73" s="873"/>
      <c r="R73" s="873"/>
      <c r="S73" s="873"/>
      <c r="T73" s="873"/>
      <c r="U73" s="873"/>
      <c r="V73" s="873"/>
      <c r="W73" s="873"/>
      <c r="X73" s="873"/>
      <c r="Y73" s="873"/>
      <c r="Z73" s="873"/>
      <c r="AA73" s="873"/>
      <c r="AB73" s="873"/>
      <c r="AC73" s="873"/>
      <c r="AD73" s="873"/>
      <c r="AE73" s="873"/>
      <c r="AF73" s="873"/>
      <c r="AG73" s="873"/>
      <c r="AH73" s="873"/>
      <c r="AI73" s="873"/>
      <c r="AJ73" s="873"/>
      <c r="AK73" s="873"/>
      <c r="AL73" s="873"/>
      <c r="AM73" s="873"/>
      <c r="AN73" s="873"/>
      <c r="AO73" s="873"/>
      <c r="AP73" s="873"/>
      <c r="AQ73" s="873"/>
      <c r="AR73" s="873"/>
      <c r="AS73" s="873"/>
      <c r="AT73" s="873"/>
      <c r="AU73" s="873"/>
      <c r="AV73" s="873"/>
    </row>
    <row r="74" spans="1:48" ht="11.25" customHeight="1" x14ac:dyDescent="0.2">
      <c r="A74" s="873"/>
      <c r="B74" s="873"/>
      <c r="C74" s="873"/>
      <c r="D74" s="873"/>
      <c r="E74" s="873"/>
      <c r="F74" s="873"/>
      <c r="G74" s="873"/>
      <c r="H74" s="873"/>
      <c r="I74" s="873"/>
      <c r="J74" s="873"/>
      <c r="K74" s="873"/>
      <c r="L74" s="873"/>
      <c r="M74" s="873"/>
      <c r="N74" s="873"/>
      <c r="O74" s="873"/>
      <c r="P74" s="873"/>
      <c r="Q74" s="873"/>
      <c r="R74" s="873"/>
      <c r="S74" s="873"/>
      <c r="T74" s="873"/>
      <c r="U74" s="873"/>
      <c r="V74" s="873"/>
      <c r="W74" s="873"/>
      <c r="X74" s="873"/>
      <c r="Y74" s="873"/>
      <c r="Z74" s="873"/>
      <c r="AA74" s="873"/>
      <c r="AB74" s="873"/>
      <c r="AC74" s="873"/>
      <c r="AD74" s="873"/>
      <c r="AE74" s="873"/>
      <c r="AF74" s="873"/>
      <c r="AG74" s="873"/>
      <c r="AH74" s="873"/>
      <c r="AI74" s="873"/>
      <c r="AJ74" s="873"/>
      <c r="AK74" s="873"/>
      <c r="AL74" s="873"/>
      <c r="AM74" s="873"/>
      <c r="AN74" s="873"/>
      <c r="AO74" s="873"/>
      <c r="AP74" s="873"/>
      <c r="AQ74" s="873"/>
      <c r="AR74" s="873"/>
      <c r="AS74" s="873"/>
      <c r="AT74" s="873"/>
      <c r="AU74" s="873"/>
      <c r="AV74" s="873"/>
    </row>
    <row r="75" spans="1:48" ht="11.25" customHeight="1" x14ac:dyDescent="0.2">
      <c r="A75" s="873"/>
      <c r="B75" s="873"/>
      <c r="C75" s="873"/>
      <c r="D75" s="873"/>
      <c r="E75" s="873"/>
      <c r="F75" s="873"/>
      <c r="G75" s="873"/>
      <c r="H75" s="873"/>
      <c r="I75" s="873"/>
      <c r="J75" s="873"/>
      <c r="K75" s="873"/>
      <c r="L75" s="873"/>
      <c r="M75" s="873"/>
      <c r="N75" s="873"/>
      <c r="O75" s="873"/>
      <c r="P75" s="873"/>
      <c r="Q75" s="873"/>
      <c r="R75" s="873"/>
      <c r="S75" s="873"/>
      <c r="T75" s="873"/>
      <c r="U75" s="873"/>
      <c r="V75" s="873"/>
      <c r="W75" s="873"/>
      <c r="X75" s="873"/>
      <c r="Y75" s="873"/>
      <c r="Z75" s="873"/>
      <c r="AA75" s="873"/>
      <c r="AB75" s="873"/>
      <c r="AC75" s="873"/>
      <c r="AD75" s="873"/>
      <c r="AE75" s="873"/>
      <c r="AF75" s="873"/>
      <c r="AG75" s="873"/>
      <c r="AH75" s="873"/>
      <c r="AI75" s="873"/>
      <c r="AJ75" s="873"/>
      <c r="AK75" s="873"/>
      <c r="AL75" s="873"/>
      <c r="AM75" s="873"/>
      <c r="AN75" s="873"/>
      <c r="AO75" s="873"/>
      <c r="AP75" s="873"/>
      <c r="AQ75" s="873"/>
      <c r="AR75" s="873"/>
      <c r="AS75" s="873"/>
      <c r="AT75" s="873"/>
      <c r="AU75" s="873"/>
      <c r="AV75" s="873"/>
    </row>
    <row r="76" spans="1:48" ht="11.25" customHeight="1" x14ac:dyDescent="0.2">
      <c r="A76" s="873"/>
      <c r="B76" s="873"/>
      <c r="C76" s="873"/>
      <c r="D76" s="873"/>
      <c r="E76" s="873"/>
      <c r="F76" s="873"/>
      <c r="G76" s="873"/>
      <c r="H76" s="873"/>
      <c r="I76" s="873"/>
      <c r="J76" s="873"/>
      <c r="K76" s="873"/>
      <c r="L76" s="873"/>
      <c r="M76" s="873"/>
      <c r="N76" s="873"/>
      <c r="O76" s="873"/>
      <c r="P76" s="873"/>
      <c r="Q76" s="873"/>
      <c r="R76" s="873"/>
      <c r="S76" s="873"/>
      <c r="T76" s="873"/>
      <c r="U76" s="873"/>
      <c r="V76" s="873"/>
      <c r="W76" s="873"/>
      <c r="X76" s="873"/>
      <c r="Y76" s="873"/>
      <c r="Z76" s="873"/>
      <c r="AA76" s="873"/>
      <c r="AB76" s="873"/>
      <c r="AC76" s="873"/>
      <c r="AD76" s="873"/>
      <c r="AE76" s="873"/>
      <c r="AF76" s="873"/>
      <c r="AG76" s="873"/>
      <c r="AH76" s="873"/>
      <c r="AI76" s="873"/>
      <c r="AJ76" s="873"/>
      <c r="AK76" s="873"/>
      <c r="AL76" s="873"/>
      <c r="AM76" s="873"/>
      <c r="AN76" s="873"/>
      <c r="AO76" s="873"/>
      <c r="AP76" s="873"/>
      <c r="AQ76" s="873"/>
      <c r="AR76" s="873"/>
      <c r="AS76" s="873"/>
      <c r="AT76" s="873"/>
      <c r="AU76" s="873"/>
      <c r="AV76" s="873"/>
    </row>
    <row r="77" spans="1:48" ht="11.25" customHeight="1" x14ac:dyDescent="0.2">
      <c r="A77" s="873"/>
      <c r="B77" s="873"/>
      <c r="C77" s="873"/>
      <c r="D77" s="873"/>
      <c r="E77" s="873"/>
      <c r="F77" s="873"/>
      <c r="G77" s="873"/>
      <c r="H77" s="873"/>
      <c r="I77" s="873"/>
      <c r="J77" s="873"/>
      <c r="K77" s="873"/>
      <c r="L77" s="873"/>
      <c r="M77" s="873"/>
      <c r="N77" s="873"/>
      <c r="O77" s="873"/>
      <c r="P77" s="873"/>
      <c r="Q77" s="873"/>
      <c r="R77" s="873"/>
      <c r="S77" s="873"/>
      <c r="T77" s="873"/>
      <c r="U77" s="873"/>
      <c r="V77" s="873"/>
      <c r="W77" s="873"/>
      <c r="X77" s="873"/>
      <c r="Y77" s="873"/>
      <c r="Z77" s="873"/>
      <c r="AA77" s="873"/>
      <c r="AB77" s="873"/>
      <c r="AC77" s="873"/>
      <c r="AD77" s="873"/>
      <c r="AE77" s="873"/>
      <c r="AF77" s="873"/>
      <c r="AG77" s="873"/>
      <c r="AH77" s="873"/>
      <c r="AI77" s="873"/>
      <c r="AJ77" s="873"/>
      <c r="AK77" s="873"/>
      <c r="AL77" s="873"/>
      <c r="AM77" s="873"/>
      <c r="AN77" s="873"/>
      <c r="AO77" s="873"/>
      <c r="AP77" s="873"/>
      <c r="AQ77" s="873"/>
      <c r="AR77" s="873"/>
      <c r="AS77" s="873"/>
      <c r="AT77" s="873"/>
      <c r="AU77" s="873"/>
      <c r="AV77" s="873"/>
    </row>
    <row r="78" spans="1:48" ht="11.25" customHeight="1" x14ac:dyDescent="0.2">
      <c r="A78" s="873"/>
      <c r="B78" s="873"/>
      <c r="C78" s="873"/>
      <c r="D78" s="873"/>
      <c r="E78" s="873"/>
      <c r="F78" s="873"/>
      <c r="G78" s="873"/>
      <c r="H78" s="873"/>
      <c r="I78" s="873"/>
      <c r="J78" s="873"/>
      <c r="K78" s="873"/>
      <c r="L78" s="873"/>
      <c r="M78" s="873"/>
      <c r="N78" s="873"/>
      <c r="O78" s="873"/>
      <c r="P78" s="873"/>
      <c r="Q78" s="873"/>
      <c r="R78" s="873"/>
      <c r="S78" s="873"/>
      <c r="T78" s="873"/>
      <c r="U78" s="873"/>
      <c r="V78" s="873"/>
      <c r="W78" s="873"/>
      <c r="X78" s="873"/>
      <c r="Y78" s="873"/>
      <c r="Z78" s="873"/>
      <c r="AA78" s="873"/>
      <c r="AB78" s="873"/>
      <c r="AC78" s="873"/>
      <c r="AD78" s="873"/>
      <c r="AE78" s="873"/>
      <c r="AF78" s="873"/>
      <c r="AG78" s="873"/>
      <c r="AH78" s="873"/>
      <c r="AI78" s="873"/>
      <c r="AJ78" s="873"/>
      <c r="AK78" s="873"/>
      <c r="AL78" s="873"/>
      <c r="AM78" s="873"/>
      <c r="AN78" s="873"/>
      <c r="AO78" s="873"/>
      <c r="AP78" s="873"/>
      <c r="AQ78" s="873"/>
      <c r="AR78" s="873"/>
      <c r="AS78" s="873"/>
      <c r="AT78" s="873"/>
      <c r="AU78" s="873"/>
      <c r="AV78" s="873"/>
    </row>
    <row r="79" spans="1:48" ht="11.25" customHeight="1" x14ac:dyDescent="0.2">
      <c r="A79" s="873"/>
      <c r="B79" s="873"/>
      <c r="C79" s="873"/>
      <c r="D79" s="873"/>
      <c r="E79" s="873"/>
      <c r="F79" s="873"/>
      <c r="G79" s="873"/>
      <c r="H79" s="873"/>
      <c r="I79" s="873"/>
      <c r="J79" s="873"/>
      <c r="K79" s="873"/>
      <c r="L79" s="873"/>
      <c r="M79" s="873"/>
      <c r="N79" s="873"/>
      <c r="O79" s="873"/>
      <c r="P79" s="873"/>
      <c r="Q79" s="873"/>
      <c r="R79" s="873"/>
      <c r="S79" s="873"/>
      <c r="T79" s="873"/>
      <c r="U79" s="873"/>
      <c r="V79" s="873"/>
      <c r="W79" s="873"/>
      <c r="X79" s="873"/>
      <c r="Y79" s="873"/>
      <c r="Z79" s="873"/>
      <c r="AA79" s="873"/>
      <c r="AB79" s="873"/>
      <c r="AC79" s="873"/>
      <c r="AD79" s="873"/>
      <c r="AE79" s="873"/>
      <c r="AF79" s="873"/>
      <c r="AG79" s="873"/>
      <c r="AH79" s="873"/>
      <c r="AI79" s="873"/>
      <c r="AJ79" s="873"/>
      <c r="AK79" s="873"/>
      <c r="AL79" s="873"/>
      <c r="AM79" s="873"/>
      <c r="AN79" s="873"/>
      <c r="AO79" s="873"/>
      <c r="AP79" s="873"/>
      <c r="AQ79" s="873"/>
      <c r="AR79" s="873"/>
      <c r="AS79" s="873"/>
      <c r="AT79" s="873"/>
      <c r="AU79" s="873"/>
      <c r="AV79" s="873"/>
    </row>
    <row r="80" spans="1:48" ht="11.25" customHeight="1" x14ac:dyDescent="0.2">
      <c r="A80" s="873"/>
      <c r="B80" s="873"/>
      <c r="C80" s="873"/>
      <c r="D80" s="873"/>
      <c r="E80" s="873"/>
      <c r="F80" s="873"/>
      <c r="G80" s="873"/>
      <c r="H80" s="873"/>
      <c r="I80" s="873"/>
      <c r="J80" s="873"/>
      <c r="K80" s="873"/>
      <c r="L80" s="873"/>
      <c r="M80" s="873"/>
      <c r="N80" s="873"/>
      <c r="O80" s="873"/>
      <c r="P80" s="873"/>
      <c r="Q80" s="873"/>
      <c r="R80" s="873"/>
      <c r="S80" s="873"/>
      <c r="T80" s="873"/>
      <c r="U80" s="873"/>
      <c r="V80" s="873"/>
      <c r="W80" s="873"/>
      <c r="X80" s="873"/>
      <c r="Y80" s="873"/>
      <c r="Z80" s="873"/>
      <c r="AA80" s="873"/>
      <c r="AB80" s="873"/>
      <c r="AC80" s="873"/>
      <c r="AD80" s="873"/>
      <c r="AE80" s="873"/>
      <c r="AF80" s="873"/>
      <c r="AG80" s="873"/>
      <c r="AH80" s="873"/>
      <c r="AI80" s="873"/>
      <c r="AJ80" s="873"/>
      <c r="AK80" s="873"/>
      <c r="AL80" s="873"/>
      <c r="AM80" s="873"/>
      <c r="AN80" s="873"/>
      <c r="AO80" s="873"/>
      <c r="AP80" s="873"/>
      <c r="AQ80" s="873"/>
      <c r="AR80" s="873"/>
      <c r="AS80" s="873"/>
      <c r="AT80" s="873"/>
      <c r="AU80" s="873"/>
      <c r="AV80" s="873"/>
    </row>
    <row r="81" spans="1:48" ht="11.25" customHeight="1" x14ac:dyDescent="0.2">
      <c r="A81" s="873"/>
      <c r="B81" s="873"/>
      <c r="C81" s="873"/>
      <c r="D81" s="873"/>
      <c r="E81" s="873"/>
      <c r="F81" s="873"/>
      <c r="G81" s="873"/>
      <c r="H81" s="873"/>
      <c r="I81" s="873"/>
      <c r="J81" s="873"/>
      <c r="K81" s="873"/>
      <c r="L81" s="873"/>
      <c r="M81" s="873"/>
      <c r="N81" s="873"/>
      <c r="O81" s="873"/>
      <c r="P81" s="873"/>
      <c r="Q81" s="873"/>
      <c r="R81" s="873"/>
      <c r="S81" s="873"/>
      <c r="T81" s="873"/>
      <c r="U81" s="873"/>
      <c r="V81" s="873"/>
      <c r="W81" s="873"/>
      <c r="X81" s="873"/>
      <c r="Y81" s="873"/>
      <c r="Z81" s="873"/>
      <c r="AA81" s="873"/>
      <c r="AB81" s="873"/>
      <c r="AC81" s="873"/>
      <c r="AD81" s="873"/>
      <c r="AE81" s="873"/>
      <c r="AF81" s="873"/>
      <c r="AG81" s="873"/>
      <c r="AH81" s="873"/>
      <c r="AI81" s="873"/>
      <c r="AJ81" s="873"/>
      <c r="AK81" s="873"/>
      <c r="AL81" s="873"/>
      <c r="AM81" s="873"/>
      <c r="AN81" s="873"/>
      <c r="AO81" s="873"/>
      <c r="AP81" s="873"/>
      <c r="AQ81" s="873"/>
      <c r="AR81" s="873"/>
      <c r="AS81" s="873"/>
      <c r="AT81" s="873"/>
      <c r="AU81" s="873"/>
      <c r="AV81" s="873"/>
    </row>
    <row r="82" spans="1:48" ht="11.25" customHeight="1" x14ac:dyDescent="0.2">
      <c r="A82" s="873"/>
      <c r="B82" s="873"/>
      <c r="C82" s="873"/>
      <c r="D82" s="873"/>
      <c r="E82" s="873"/>
      <c r="F82" s="873"/>
      <c r="G82" s="873"/>
      <c r="H82" s="873"/>
      <c r="I82" s="873"/>
      <c r="J82" s="873"/>
      <c r="K82" s="873"/>
      <c r="L82" s="873"/>
      <c r="M82" s="873"/>
      <c r="N82" s="873"/>
      <c r="O82" s="873"/>
      <c r="P82" s="873"/>
      <c r="Q82" s="873"/>
      <c r="R82" s="873"/>
      <c r="S82" s="873"/>
      <c r="T82" s="873"/>
      <c r="U82" s="873"/>
      <c r="V82" s="873"/>
      <c r="W82" s="873"/>
      <c r="X82" s="873"/>
      <c r="Y82" s="873"/>
      <c r="Z82" s="873"/>
      <c r="AA82" s="873"/>
      <c r="AB82" s="873"/>
      <c r="AC82" s="873"/>
      <c r="AD82" s="873"/>
      <c r="AE82" s="873"/>
      <c r="AF82" s="873"/>
      <c r="AG82" s="873"/>
      <c r="AH82" s="873"/>
      <c r="AI82" s="873"/>
      <c r="AJ82" s="873"/>
      <c r="AK82" s="873"/>
      <c r="AL82" s="873"/>
      <c r="AM82" s="873"/>
      <c r="AN82" s="873"/>
      <c r="AO82" s="873"/>
      <c r="AP82" s="873"/>
      <c r="AQ82" s="873"/>
      <c r="AR82" s="873"/>
      <c r="AS82" s="873"/>
      <c r="AT82" s="873"/>
      <c r="AU82" s="873"/>
      <c r="AV82" s="873"/>
    </row>
    <row r="83" spans="1:48" ht="11.25" customHeight="1" x14ac:dyDescent="0.2">
      <c r="A83" s="873"/>
      <c r="B83" s="873"/>
      <c r="C83" s="873"/>
      <c r="D83" s="873"/>
      <c r="E83" s="873"/>
      <c r="F83" s="873"/>
      <c r="G83" s="873"/>
      <c r="H83" s="873"/>
      <c r="I83" s="873"/>
      <c r="J83" s="873"/>
      <c r="K83" s="873"/>
      <c r="L83" s="873"/>
      <c r="M83" s="873"/>
      <c r="N83" s="873"/>
      <c r="O83" s="873"/>
      <c r="P83" s="873"/>
      <c r="Q83" s="873"/>
      <c r="R83" s="873"/>
      <c r="S83" s="873"/>
      <c r="T83" s="873"/>
      <c r="U83" s="873"/>
      <c r="V83" s="873"/>
      <c r="W83" s="873"/>
      <c r="X83" s="873"/>
      <c r="Y83" s="873"/>
      <c r="Z83" s="873"/>
      <c r="AA83" s="873"/>
      <c r="AB83" s="873"/>
      <c r="AC83" s="873"/>
      <c r="AD83" s="873"/>
      <c r="AE83" s="873"/>
      <c r="AF83" s="873"/>
      <c r="AG83" s="873"/>
      <c r="AH83" s="873"/>
      <c r="AI83" s="873"/>
      <c r="AJ83" s="873"/>
      <c r="AK83" s="873"/>
      <c r="AL83" s="873"/>
      <c r="AM83" s="873"/>
      <c r="AN83" s="873"/>
      <c r="AO83" s="873"/>
      <c r="AP83" s="873"/>
      <c r="AQ83" s="873"/>
      <c r="AR83" s="873"/>
      <c r="AS83" s="873"/>
      <c r="AT83" s="873"/>
      <c r="AU83" s="873"/>
      <c r="AV83" s="873"/>
    </row>
    <row r="84" spans="1:48" ht="11.25" customHeight="1" x14ac:dyDescent="0.2">
      <c r="A84" s="873"/>
      <c r="B84" s="873"/>
      <c r="C84" s="873"/>
      <c r="D84" s="873"/>
      <c r="E84" s="873"/>
      <c r="F84" s="873"/>
      <c r="G84" s="873"/>
      <c r="H84" s="873"/>
      <c r="I84" s="873"/>
      <c r="J84" s="873"/>
      <c r="K84" s="873"/>
      <c r="L84" s="873"/>
      <c r="M84" s="873"/>
      <c r="N84" s="873"/>
      <c r="O84" s="873"/>
      <c r="P84" s="873"/>
      <c r="Q84" s="873"/>
      <c r="R84" s="873"/>
      <c r="S84" s="873"/>
      <c r="T84" s="873"/>
      <c r="U84" s="873"/>
      <c r="V84" s="873"/>
      <c r="W84" s="873"/>
      <c r="X84" s="873"/>
      <c r="Y84" s="873"/>
      <c r="Z84" s="873"/>
      <c r="AA84" s="873"/>
      <c r="AB84" s="873"/>
      <c r="AC84" s="873"/>
      <c r="AD84" s="873"/>
      <c r="AE84" s="873"/>
      <c r="AF84" s="873"/>
      <c r="AG84" s="873"/>
      <c r="AH84" s="873"/>
      <c r="AI84" s="873"/>
      <c r="AJ84" s="873"/>
      <c r="AK84" s="873"/>
      <c r="AL84" s="873"/>
      <c r="AM84" s="873"/>
      <c r="AN84" s="873"/>
      <c r="AO84" s="873"/>
      <c r="AP84" s="873"/>
      <c r="AQ84" s="873"/>
      <c r="AR84" s="873"/>
      <c r="AS84" s="873"/>
      <c r="AT84" s="873"/>
      <c r="AU84" s="873"/>
      <c r="AV84" s="873"/>
    </row>
    <row r="85" spans="1:48" ht="11.25" customHeight="1" x14ac:dyDescent="0.2">
      <c r="A85" s="873"/>
      <c r="B85" s="873"/>
      <c r="C85" s="873"/>
      <c r="D85" s="873"/>
      <c r="E85" s="873"/>
      <c r="F85" s="873"/>
      <c r="G85" s="873"/>
      <c r="H85" s="873"/>
      <c r="I85" s="873"/>
      <c r="J85" s="873"/>
      <c r="K85" s="873"/>
      <c r="L85" s="873"/>
      <c r="M85" s="873"/>
      <c r="N85" s="873"/>
      <c r="O85" s="873"/>
      <c r="P85" s="873"/>
      <c r="Q85" s="873"/>
      <c r="R85" s="873"/>
      <c r="S85" s="873"/>
      <c r="T85" s="873"/>
      <c r="U85" s="873"/>
      <c r="V85" s="873"/>
      <c r="W85" s="873"/>
      <c r="X85" s="873"/>
      <c r="Y85" s="873"/>
      <c r="Z85" s="873"/>
      <c r="AA85" s="873"/>
      <c r="AB85" s="873"/>
      <c r="AC85" s="873"/>
      <c r="AD85" s="873"/>
      <c r="AE85" s="873"/>
      <c r="AF85" s="873"/>
      <c r="AG85" s="873"/>
      <c r="AH85" s="873"/>
      <c r="AI85" s="873"/>
      <c r="AJ85" s="873"/>
      <c r="AK85" s="873"/>
      <c r="AL85" s="873"/>
      <c r="AM85" s="873"/>
      <c r="AN85" s="873"/>
      <c r="AO85" s="873"/>
      <c r="AP85" s="873"/>
      <c r="AQ85" s="873"/>
      <c r="AR85" s="873"/>
      <c r="AS85" s="873"/>
      <c r="AT85" s="873"/>
      <c r="AU85" s="873"/>
      <c r="AV85" s="873"/>
    </row>
    <row r="86" spans="1:48" ht="11.25" customHeight="1" x14ac:dyDescent="0.2">
      <c r="A86" s="873"/>
      <c r="B86" s="873"/>
      <c r="C86" s="873"/>
      <c r="D86" s="873"/>
      <c r="E86" s="873"/>
      <c r="F86" s="873"/>
      <c r="G86" s="873"/>
      <c r="H86" s="873"/>
      <c r="I86" s="873"/>
      <c r="J86" s="873"/>
      <c r="K86" s="873"/>
      <c r="L86" s="873"/>
      <c r="M86" s="873"/>
      <c r="N86" s="873"/>
      <c r="O86" s="873"/>
      <c r="P86" s="873"/>
      <c r="Q86" s="873"/>
      <c r="R86" s="873"/>
      <c r="S86" s="873"/>
      <c r="T86" s="873"/>
      <c r="U86" s="873"/>
      <c r="V86" s="873"/>
      <c r="W86" s="873"/>
      <c r="X86" s="873"/>
      <c r="Y86" s="873"/>
      <c r="Z86" s="873"/>
      <c r="AA86" s="873"/>
      <c r="AB86" s="873"/>
      <c r="AC86" s="873"/>
      <c r="AD86" s="873"/>
      <c r="AE86" s="873"/>
      <c r="AF86" s="873"/>
      <c r="AG86" s="873"/>
      <c r="AH86" s="873"/>
      <c r="AI86" s="873"/>
      <c r="AJ86" s="873"/>
      <c r="AK86" s="873"/>
      <c r="AL86" s="873"/>
      <c r="AM86" s="873"/>
      <c r="AN86" s="873"/>
      <c r="AO86" s="873"/>
      <c r="AP86" s="873"/>
      <c r="AQ86" s="873"/>
      <c r="AR86" s="873"/>
      <c r="AS86" s="873"/>
      <c r="AT86" s="873"/>
      <c r="AU86" s="873"/>
      <c r="AV86" s="873"/>
    </row>
    <row r="87" spans="1:48" ht="11.25" customHeight="1" x14ac:dyDescent="0.2">
      <c r="A87" s="873"/>
      <c r="B87" s="873"/>
      <c r="C87" s="873"/>
      <c r="D87" s="873"/>
      <c r="E87" s="873"/>
      <c r="F87" s="873"/>
      <c r="G87" s="873"/>
      <c r="H87" s="873"/>
      <c r="I87" s="873"/>
      <c r="J87" s="873"/>
      <c r="K87" s="873"/>
      <c r="L87" s="873"/>
      <c r="M87" s="873"/>
      <c r="N87" s="873"/>
      <c r="O87" s="873"/>
      <c r="P87" s="873"/>
      <c r="Q87" s="873"/>
      <c r="R87" s="873"/>
      <c r="S87" s="873"/>
      <c r="T87" s="873"/>
      <c r="U87" s="873"/>
      <c r="V87" s="873"/>
      <c r="W87" s="873"/>
      <c r="X87" s="873"/>
      <c r="Y87" s="873"/>
      <c r="Z87" s="873"/>
      <c r="AA87" s="873"/>
      <c r="AB87" s="873"/>
      <c r="AC87" s="873"/>
      <c r="AD87" s="873"/>
      <c r="AE87" s="873"/>
      <c r="AF87" s="873"/>
      <c r="AG87" s="873"/>
      <c r="AH87" s="873"/>
      <c r="AI87" s="873"/>
      <c r="AJ87" s="873"/>
      <c r="AK87" s="873"/>
      <c r="AL87" s="873"/>
      <c r="AM87" s="873"/>
      <c r="AN87" s="873"/>
      <c r="AO87" s="873"/>
      <c r="AP87" s="873"/>
      <c r="AQ87" s="873"/>
      <c r="AR87" s="873"/>
      <c r="AS87" s="873"/>
      <c r="AT87" s="873"/>
      <c r="AU87" s="873"/>
      <c r="AV87" s="873"/>
    </row>
    <row r="88" spans="1:48" ht="11.25" customHeight="1" x14ac:dyDescent="0.2">
      <c r="A88" s="873"/>
      <c r="B88" s="873"/>
      <c r="C88" s="873"/>
      <c r="D88" s="873"/>
      <c r="E88" s="873"/>
      <c r="F88" s="873"/>
      <c r="G88" s="873"/>
      <c r="H88" s="873"/>
      <c r="I88" s="873"/>
      <c r="J88" s="873"/>
      <c r="K88" s="873"/>
      <c r="L88" s="873"/>
      <c r="M88" s="873"/>
      <c r="N88" s="873"/>
      <c r="O88" s="873"/>
      <c r="P88" s="873"/>
      <c r="Q88" s="873"/>
      <c r="R88" s="873"/>
      <c r="S88" s="873"/>
      <c r="T88" s="873"/>
      <c r="U88" s="873"/>
      <c r="V88" s="873"/>
      <c r="W88" s="873"/>
      <c r="X88" s="873"/>
      <c r="Y88" s="873"/>
      <c r="Z88" s="873"/>
      <c r="AA88" s="873"/>
      <c r="AB88" s="873"/>
      <c r="AC88" s="873"/>
      <c r="AD88" s="873"/>
      <c r="AE88" s="873"/>
      <c r="AF88" s="873"/>
      <c r="AG88" s="873"/>
      <c r="AH88" s="873"/>
      <c r="AI88" s="873"/>
      <c r="AJ88" s="873"/>
      <c r="AK88" s="873"/>
      <c r="AL88" s="873"/>
      <c r="AM88" s="873"/>
      <c r="AN88" s="873"/>
      <c r="AO88" s="873"/>
      <c r="AP88" s="873"/>
      <c r="AQ88" s="873"/>
      <c r="AR88" s="873"/>
      <c r="AS88" s="873"/>
      <c r="AT88" s="873"/>
      <c r="AU88" s="873"/>
      <c r="AV88" s="873"/>
    </row>
    <row r="89" spans="1:48" ht="11.25" customHeight="1" x14ac:dyDescent="0.2">
      <c r="A89" s="873"/>
      <c r="B89" s="873"/>
      <c r="C89" s="873"/>
      <c r="D89" s="873"/>
      <c r="E89" s="873"/>
      <c r="F89" s="873"/>
      <c r="G89" s="873"/>
      <c r="H89" s="873"/>
      <c r="I89" s="873"/>
      <c r="J89" s="873"/>
      <c r="K89" s="873"/>
      <c r="L89" s="873"/>
      <c r="M89" s="873"/>
      <c r="N89" s="873"/>
      <c r="O89" s="873"/>
      <c r="P89" s="873"/>
      <c r="Q89" s="873"/>
      <c r="R89" s="873"/>
      <c r="S89" s="873"/>
      <c r="T89" s="873"/>
      <c r="U89" s="873"/>
      <c r="V89" s="873"/>
      <c r="W89" s="873"/>
      <c r="X89" s="873"/>
      <c r="Y89" s="873"/>
      <c r="Z89" s="873"/>
      <c r="AA89" s="873"/>
      <c r="AB89" s="873"/>
      <c r="AC89" s="873"/>
      <c r="AD89" s="873"/>
      <c r="AE89" s="873"/>
      <c r="AF89" s="873"/>
      <c r="AG89" s="873"/>
      <c r="AH89" s="873"/>
      <c r="AI89" s="873"/>
      <c r="AJ89" s="873"/>
      <c r="AK89" s="873"/>
      <c r="AL89" s="873"/>
      <c r="AM89" s="873"/>
      <c r="AN89" s="873"/>
      <c r="AO89" s="873"/>
      <c r="AP89" s="873"/>
      <c r="AQ89" s="873"/>
      <c r="AR89" s="873"/>
      <c r="AS89" s="873"/>
      <c r="AT89" s="873"/>
      <c r="AU89" s="873"/>
      <c r="AV89" s="873"/>
    </row>
    <row r="90" spans="1:48" ht="11.25" customHeight="1" x14ac:dyDescent="0.2">
      <c r="A90" s="873"/>
      <c r="B90" s="873"/>
      <c r="C90" s="873"/>
      <c r="D90" s="873"/>
      <c r="E90" s="873"/>
      <c r="F90" s="873"/>
      <c r="G90" s="873"/>
      <c r="H90" s="873"/>
      <c r="I90" s="873"/>
      <c r="J90" s="873"/>
      <c r="K90" s="873"/>
      <c r="L90" s="873"/>
      <c r="M90" s="873"/>
      <c r="N90" s="873"/>
      <c r="O90" s="873"/>
      <c r="P90" s="873"/>
      <c r="Q90" s="873"/>
      <c r="R90" s="873"/>
      <c r="S90" s="873"/>
      <c r="T90" s="873"/>
      <c r="U90" s="873"/>
      <c r="V90" s="873"/>
      <c r="W90" s="873"/>
      <c r="X90" s="873"/>
      <c r="Y90" s="873"/>
      <c r="Z90" s="873"/>
      <c r="AA90" s="873"/>
      <c r="AB90" s="873"/>
      <c r="AC90" s="873"/>
      <c r="AD90" s="873"/>
      <c r="AE90" s="873"/>
      <c r="AF90" s="873"/>
      <c r="AG90" s="873"/>
      <c r="AH90" s="873"/>
      <c r="AI90" s="873"/>
      <c r="AJ90" s="873"/>
      <c r="AK90" s="873"/>
      <c r="AL90" s="873"/>
      <c r="AM90" s="873"/>
      <c r="AN90" s="873"/>
      <c r="AO90" s="873"/>
      <c r="AP90" s="873"/>
      <c r="AQ90" s="873"/>
      <c r="AR90" s="873"/>
      <c r="AS90" s="873"/>
      <c r="AT90" s="873"/>
      <c r="AU90" s="873"/>
      <c r="AV90" s="873"/>
    </row>
    <row r="91" spans="1:48" ht="11.25" customHeight="1" x14ac:dyDescent="0.2">
      <c r="A91" s="873"/>
      <c r="B91" s="873"/>
      <c r="C91" s="873"/>
      <c r="D91" s="873"/>
      <c r="E91" s="873"/>
      <c r="F91" s="873"/>
      <c r="G91" s="873"/>
      <c r="H91" s="873"/>
      <c r="I91" s="873"/>
      <c r="J91" s="873"/>
      <c r="K91" s="873"/>
      <c r="L91" s="873"/>
      <c r="M91" s="873"/>
      <c r="N91" s="873"/>
      <c r="O91" s="873"/>
      <c r="P91" s="873"/>
      <c r="Q91" s="873"/>
      <c r="R91" s="873"/>
      <c r="S91" s="873"/>
      <c r="T91" s="873"/>
      <c r="U91" s="873"/>
      <c r="V91" s="873"/>
      <c r="W91" s="873"/>
      <c r="X91" s="873"/>
      <c r="Y91" s="873"/>
      <c r="Z91" s="873"/>
      <c r="AA91" s="873"/>
      <c r="AB91" s="873"/>
      <c r="AC91" s="873"/>
      <c r="AD91" s="873"/>
      <c r="AE91" s="873"/>
      <c r="AF91" s="873"/>
      <c r="AG91" s="873"/>
      <c r="AH91" s="873"/>
      <c r="AI91" s="873"/>
      <c r="AJ91" s="873"/>
      <c r="AK91" s="873"/>
      <c r="AL91" s="873"/>
      <c r="AM91" s="873"/>
      <c r="AN91" s="873"/>
      <c r="AO91" s="873"/>
      <c r="AP91" s="873"/>
      <c r="AQ91" s="873"/>
      <c r="AR91" s="873"/>
      <c r="AS91" s="873"/>
      <c r="AT91" s="873"/>
      <c r="AU91" s="873"/>
      <c r="AV91" s="873"/>
    </row>
    <row r="92" spans="1:48" ht="11.25" customHeight="1" x14ac:dyDescent="0.2">
      <c r="A92" s="873"/>
      <c r="B92" s="873"/>
      <c r="C92" s="873"/>
      <c r="D92" s="873"/>
      <c r="E92" s="873"/>
      <c r="F92" s="873"/>
      <c r="G92" s="873"/>
      <c r="H92" s="873"/>
      <c r="I92" s="873"/>
      <c r="J92" s="873"/>
      <c r="K92" s="873"/>
      <c r="L92" s="873"/>
      <c r="M92" s="873"/>
      <c r="N92" s="873"/>
      <c r="O92" s="873"/>
      <c r="P92" s="873"/>
      <c r="Q92" s="873"/>
      <c r="R92" s="873"/>
      <c r="S92" s="873"/>
      <c r="T92" s="873"/>
      <c r="U92" s="873"/>
      <c r="V92" s="873"/>
      <c r="W92" s="873"/>
      <c r="X92" s="873"/>
      <c r="Y92" s="873"/>
      <c r="Z92" s="873"/>
      <c r="AA92" s="873"/>
      <c r="AB92" s="873"/>
      <c r="AC92" s="873"/>
      <c r="AD92" s="873"/>
      <c r="AE92" s="873"/>
      <c r="AF92" s="873"/>
      <c r="AG92" s="873"/>
      <c r="AH92" s="873"/>
      <c r="AI92" s="873"/>
      <c r="AJ92" s="873"/>
      <c r="AK92" s="873"/>
      <c r="AL92" s="873"/>
      <c r="AM92" s="873"/>
      <c r="AN92" s="873"/>
      <c r="AO92" s="873"/>
      <c r="AP92" s="873"/>
      <c r="AQ92" s="873"/>
      <c r="AR92" s="873"/>
      <c r="AS92" s="873"/>
      <c r="AT92" s="873"/>
      <c r="AU92" s="873"/>
      <c r="AV92" s="873"/>
    </row>
    <row r="93" spans="1:48" ht="11.25" customHeight="1" x14ac:dyDescent="0.2">
      <c r="A93" s="873"/>
      <c r="B93" s="873"/>
      <c r="C93" s="873"/>
      <c r="D93" s="873"/>
      <c r="E93" s="873"/>
      <c r="F93" s="873"/>
      <c r="G93" s="873"/>
      <c r="H93" s="873"/>
      <c r="I93" s="873"/>
      <c r="J93" s="873"/>
      <c r="K93" s="873"/>
      <c r="L93" s="873"/>
      <c r="M93" s="873"/>
      <c r="N93" s="873"/>
      <c r="O93" s="873"/>
      <c r="P93" s="873"/>
      <c r="Q93" s="873"/>
      <c r="R93" s="873"/>
      <c r="S93" s="873"/>
      <c r="T93" s="873"/>
      <c r="U93" s="873"/>
      <c r="V93" s="873"/>
      <c r="W93" s="873"/>
      <c r="X93" s="873"/>
      <c r="Y93" s="873"/>
      <c r="Z93" s="873"/>
      <c r="AA93" s="873"/>
      <c r="AB93" s="873"/>
      <c r="AC93" s="873"/>
      <c r="AD93" s="873"/>
      <c r="AE93" s="873"/>
      <c r="AF93" s="873"/>
      <c r="AG93" s="873"/>
      <c r="AH93" s="873"/>
      <c r="AI93" s="873"/>
      <c r="AJ93" s="873"/>
      <c r="AK93" s="873"/>
      <c r="AL93" s="873"/>
      <c r="AM93" s="873"/>
      <c r="AN93" s="873"/>
      <c r="AO93" s="873"/>
      <c r="AP93" s="873"/>
      <c r="AQ93" s="873"/>
      <c r="AR93" s="873"/>
      <c r="AS93" s="873"/>
      <c r="AT93" s="873"/>
      <c r="AU93" s="873"/>
      <c r="AV93" s="873"/>
    </row>
    <row r="94" spans="1:48" ht="11.25" customHeight="1" x14ac:dyDescent="0.2">
      <c r="A94" s="873"/>
      <c r="B94" s="873"/>
      <c r="C94" s="873"/>
      <c r="D94" s="873"/>
      <c r="E94" s="873"/>
      <c r="F94" s="873"/>
      <c r="G94" s="873"/>
      <c r="H94" s="873"/>
      <c r="I94" s="873"/>
      <c r="J94" s="873"/>
      <c r="K94" s="873"/>
      <c r="L94" s="873"/>
      <c r="M94" s="873"/>
      <c r="N94" s="873"/>
      <c r="O94" s="873"/>
      <c r="P94" s="873"/>
      <c r="Q94" s="873"/>
      <c r="R94" s="873"/>
      <c r="S94" s="873"/>
      <c r="T94" s="873"/>
      <c r="U94" s="873"/>
      <c r="V94" s="873"/>
      <c r="W94" s="873"/>
      <c r="X94" s="873"/>
      <c r="Y94" s="873"/>
      <c r="Z94" s="873"/>
      <c r="AA94" s="873"/>
      <c r="AB94" s="873"/>
      <c r="AC94" s="873"/>
      <c r="AD94" s="873"/>
      <c r="AE94" s="873"/>
      <c r="AF94" s="873"/>
      <c r="AG94" s="873"/>
      <c r="AH94" s="873"/>
      <c r="AI94" s="873"/>
      <c r="AJ94" s="873"/>
      <c r="AK94" s="873"/>
      <c r="AL94" s="873"/>
      <c r="AM94" s="873"/>
      <c r="AN94" s="873"/>
      <c r="AO94" s="873"/>
      <c r="AP94" s="873"/>
      <c r="AQ94" s="873"/>
      <c r="AR94" s="873"/>
      <c r="AS94" s="873"/>
      <c r="AT94" s="873"/>
      <c r="AU94" s="873"/>
      <c r="AV94" s="873"/>
    </row>
    <row r="95" spans="1:48" ht="11.25" customHeight="1" x14ac:dyDescent="0.2">
      <c r="A95" s="873"/>
      <c r="B95" s="873"/>
      <c r="C95" s="873"/>
      <c r="D95" s="873"/>
      <c r="E95" s="873"/>
      <c r="F95" s="873"/>
      <c r="G95" s="873"/>
      <c r="H95" s="873"/>
      <c r="I95" s="873"/>
      <c r="J95" s="873"/>
      <c r="K95" s="873"/>
      <c r="L95" s="873"/>
      <c r="M95" s="873"/>
      <c r="N95" s="873"/>
      <c r="O95" s="873"/>
      <c r="P95" s="873"/>
      <c r="Q95" s="873"/>
      <c r="R95" s="873"/>
      <c r="S95" s="873"/>
      <c r="T95" s="873"/>
      <c r="U95" s="873"/>
      <c r="V95" s="873"/>
      <c r="W95" s="873"/>
      <c r="X95" s="873"/>
      <c r="Y95" s="873"/>
      <c r="Z95" s="873"/>
      <c r="AA95" s="873"/>
      <c r="AB95" s="873"/>
      <c r="AC95" s="873"/>
      <c r="AD95" s="873"/>
      <c r="AE95" s="873"/>
      <c r="AF95" s="873"/>
      <c r="AG95" s="873"/>
      <c r="AH95" s="873"/>
      <c r="AI95" s="873"/>
      <c r="AJ95" s="873"/>
      <c r="AK95" s="873"/>
      <c r="AL95" s="873"/>
      <c r="AM95" s="873"/>
      <c r="AN95" s="873"/>
      <c r="AO95" s="873"/>
      <c r="AP95" s="873"/>
      <c r="AQ95" s="873"/>
      <c r="AR95" s="873"/>
      <c r="AS95" s="873"/>
      <c r="AT95" s="873"/>
      <c r="AU95" s="873"/>
      <c r="AV95" s="873"/>
    </row>
    <row r="96" spans="1:48" ht="11.25" customHeight="1" x14ac:dyDescent="0.2">
      <c r="A96" s="873"/>
      <c r="B96" s="873"/>
      <c r="C96" s="873"/>
      <c r="D96" s="873"/>
      <c r="E96" s="873"/>
      <c r="F96" s="873"/>
      <c r="G96" s="873"/>
      <c r="H96" s="873"/>
      <c r="I96" s="873"/>
      <c r="J96" s="873"/>
      <c r="K96" s="873"/>
      <c r="L96" s="873"/>
      <c r="M96" s="873"/>
      <c r="N96" s="873"/>
      <c r="O96" s="873"/>
      <c r="P96" s="873"/>
      <c r="Q96" s="873"/>
      <c r="R96" s="873"/>
      <c r="S96" s="873"/>
      <c r="T96" s="873"/>
      <c r="U96" s="873"/>
      <c r="V96" s="873"/>
      <c r="W96" s="873"/>
      <c r="X96" s="873"/>
      <c r="Y96" s="873"/>
      <c r="Z96" s="873"/>
      <c r="AA96" s="873"/>
      <c r="AB96" s="873"/>
      <c r="AC96" s="873"/>
      <c r="AD96" s="873"/>
      <c r="AE96" s="873"/>
      <c r="AF96" s="873"/>
      <c r="AG96" s="873"/>
      <c r="AH96" s="873"/>
      <c r="AI96" s="873"/>
      <c r="AJ96" s="873"/>
      <c r="AK96" s="873"/>
      <c r="AL96" s="873"/>
      <c r="AM96" s="873"/>
      <c r="AN96" s="873"/>
      <c r="AO96" s="873"/>
      <c r="AP96" s="873"/>
      <c r="AQ96" s="873"/>
      <c r="AR96" s="873"/>
      <c r="AS96" s="873"/>
      <c r="AT96" s="873"/>
      <c r="AU96" s="873"/>
      <c r="AV96" s="873"/>
    </row>
    <row r="97" spans="1:48" ht="11.25" customHeight="1" x14ac:dyDescent="0.2">
      <c r="A97" s="873"/>
      <c r="B97" s="873"/>
      <c r="C97" s="873"/>
      <c r="D97" s="873"/>
      <c r="E97" s="873"/>
      <c r="F97" s="873"/>
      <c r="G97" s="873"/>
      <c r="H97" s="873"/>
      <c r="I97" s="873"/>
      <c r="J97" s="873"/>
      <c r="K97" s="873"/>
      <c r="L97" s="873"/>
      <c r="M97" s="873"/>
      <c r="N97" s="873"/>
      <c r="O97" s="873"/>
      <c r="P97" s="873"/>
      <c r="Q97" s="873"/>
      <c r="R97" s="873"/>
      <c r="S97" s="873"/>
      <c r="T97" s="873"/>
      <c r="U97" s="873"/>
      <c r="V97" s="873"/>
      <c r="W97" s="873"/>
      <c r="X97" s="873"/>
      <c r="Y97" s="873"/>
      <c r="Z97" s="873"/>
      <c r="AA97" s="873"/>
      <c r="AB97" s="873"/>
      <c r="AC97" s="873"/>
      <c r="AD97" s="873"/>
      <c r="AE97" s="873"/>
      <c r="AF97" s="873"/>
      <c r="AG97" s="873"/>
      <c r="AH97" s="873"/>
      <c r="AI97" s="873"/>
      <c r="AJ97" s="873"/>
      <c r="AK97" s="873"/>
      <c r="AL97" s="873"/>
      <c r="AM97" s="873"/>
      <c r="AN97" s="873"/>
      <c r="AO97" s="873"/>
      <c r="AP97" s="873"/>
      <c r="AQ97" s="873"/>
      <c r="AR97" s="873"/>
      <c r="AS97" s="873"/>
      <c r="AT97" s="873"/>
      <c r="AU97" s="873"/>
      <c r="AV97" s="873"/>
    </row>
    <row r="98" spans="1:48" ht="11.25" customHeight="1" x14ac:dyDescent="0.2">
      <c r="A98" s="873"/>
      <c r="B98" s="873"/>
      <c r="C98" s="873"/>
      <c r="D98" s="873"/>
      <c r="E98" s="873"/>
      <c r="F98" s="873"/>
      <c r="G98" s="873"/>
      <c r="H98" s="873"/>
      <c r="I98" s="873"/>
      <c r="J98" s="873"/>
      <c r="K98" s="873"/>
      <c r="L98" s="873"/>
      <c r="M98" s="873"/>
      <c r="N98" s="873"/>
      <c r="O98" s="873"/>
      <c r="P98" s="873"/>
      <c r="Q98" s="873"/>
      <c r="R98" s="873"/>
      <c r="S98" s="873"/>
      <c r="T98" s="873"/>
      <c r="U98" s="873"/>
      <c r="V98" s="873"/>
      <c r="W98" s="873"/>
      <c r="X98" s="873"/>
      <c r="Y98" s="873"/>
      <c r="Z98" s="873"/>
      <c r="AA98" s="873"/>
      <c r="AB98" s="873"/>
      <c r="AC98" s="873"/>
      <c r="AD98" s="873"/>
      <c r="AE98" s="873"/>
      <c r="AF98" s="873"/>
      <c r="AG98" s="873"/>
      <c r="AH98" s="873"/>
      <c r="AI98" s="873"/>
      <c r="AJ98" s="873"/>
      <c r="AK98" s="873"/>
      <c r="AL98" s="873"/>
      <c r="AM98" s="873"/>
      <c r="AN98" s="873"/>
      <c r="AO98" s="873"/>
      <c r="AP98" s="873"/>
      <c r="AQ98" s="873"/>
      <c r="AR98" s="873"/>
      <c r="AS98" s="873"/>
      <c r="AT98" s="873"/>
      <c r="AU98" s="873"/>
      <c r="AV98" s="873"/>
    </row>
    <row r="99" spans="1:48" ht="11.25" customHeight="1" x14ac:dyDescent="0.2">
      <c r="A99" s="873"/>
      <c r="B99" s="873"/>
      <c r="C99" s="873"/>
      <c r="D99" s="873"/>
      <c r="E99" s="873"/>
      <c r="F99" s="873"/>
      <c r="G99" s="873"/>
      <c r="H99" s="873"/>
      <c r="I99" s="873"/>
      <c r="J99" s="873"/>
      <c r="K99" s="873"/>
      <c r="L99" s="873"/>
      <c r="M99" s="873"/>
      <c r="N99" s="873"/>
      <c r="O99" s="873"/>
      <c r="P99" s="873"/>
      <c r="Q99" s="873"/>
      <c r="R99" s="873"/>
      <c r="S99" s="873"/>
      <c r="T99" s="873"/>
      <c r="U99" s="873"/>
      <c r="V99" s="873"/>
      <c r="W99" s="873"/>
      <c r="X99" s="873"/>
      <c r="Y99" s="873"/>
      <c r="Z99" s="873"/>
      <c r="AA99" s="873"/>
      <c r="AB99" s="873"/>
      <c r="AC99" s="873"/>
      <c r="AD99" s="873"/>
      <c r="AE99" s="873"/>
      <c r="AF99" s="873"/>
      <c r="AG99" s="873"/>
      <c r="AH99" s="873"/>
      <c r="AI99" s="873"/>
      <c r="AJ99" s="873"/>
      <c r="AK99" s="873"/>
      <c r="AL99" s="873"/>
      <c r="AM99" s="873"/>
      <c r="AN99" s="873"/>
      <c r="AO99" s="873"/>
      <c r="AP99" s="873"/>
      <c r="AQ99" s="873"/>
      <c r="AR99" s="873"/>
      <c r="AS99" s="873"/>
      <c r="AT99" s="873"/>
      <c r="AU99" s="873"/>
      <c r="AV99" s="873"/>
    </row>
    <row r="100" spans="1:48" ht="11.25" customHeight="1" x14ac:dyDescent="0.2">
      <c r="A100" s="873"/>
      <c r="B100" s="873"/>
      <c r="C100" s="873"/>
      <c r="D100" s="873"/>
      <c r="E100" s="873"/>
      <c r="F100" s="873"/>
      <c r="G100" s="873"/>
      <c r="H100" s="873"/>
      <c r="I100" s="873"/>
      <c r="J100" s="873"/>
      <c r="K100" s="873"/>
      <c r="L100" s="873"/>
      <c r="M100" s="873"/>
      <c r="N100" s="873"/>
      <c r="O100" s="873"/>
      <c r="P100" s="873"/>
      <c r="Q100" s="873"/>
      <c r="R100" s="873"/>
      <c r="S100" s="873"/>
      <c r="T100" s="873"/>
      <c r="U100" s="873"/>
      <c r="V100" s="873"/>
      <c r="W100" s="873"/>
      <c r="X100" s="873"/>
      <c r="Y100" s="873"/>
      <c r="Z100" s="873"/>
      <c r="AA100" s="873"/>
      <c r="AB100" s="873"/>
      <c r="AC100" s="873"/>
      <c r="AD100" s="873"/>
      <c r="AE100" s="873"/>
      <c r="AF100" s="873"/>
      <c r="AG100" s="873"/>
      <c r="AH100" s="873"/>
      <c r="AI100" s="873"/>
      <c r="AJ100" s="873"/>
      <c r="AK100" s="873"/>
      <c r="AL100" s="873"/>
      <c r="AM100" s="873"/>
      <c r="AN100" s="873"/>
      <c r="AO100" s="873"/>
      <c r="AP100" s="873"/>
      <c r="AQ100" s="873"/>
      <c r="AR100" s="873"/>
      <c r="AS100" s="873"/>
      <c r="AT100" s="873"/>
      <c r="AU100" s="873"/>
      <c r="AV100" s="873"/>
    </row>
    <row r="101" spans="1:48" ht="11.25" customHeight="1" x14ac:dyDescent="0.2">
      <c r="A101" s="873"/>
      <c r="B101" s="873"/>
      <c r="C101" s="873"/>
      <c r="D101" s="873"/>
      <c r="E101" s="873"/>
      <c r="F101" s="873"/>
      <c r="G101" s="873"/>
      <c r="H101" s="873"/>
      <c r="I101" s="873"/>
      <c r="J101" s="873"/>
      <c r="K101" s="873"/>
      <c r="L101" s="873"/>
      <c r="M101" s="873"/>
      <c r="N101" s="873"/>
      <c r="O101" s="873"/>
      <c r="P101" s="873"/>
      <c r="Q101" s="873"/>
      <c r="R101" s="873"/>
      <c r="S101" s="873"/>
      <c r="T101" s="873"/>
      <c r="U101" s="873"/>
      <c r="V101" s="873"/>
      <c r="W101" s="873"/>
      <c r="X101" s="873"/>
      <c r="Y101" s="873"/>
      <c r="Z101" s="873"/>
      <c r="AA101" s="873"/>
      <c r="AB101" s="873"/>
      <c r="AC101" s="873"/>
      <c r="AD101" s="873"/>
      <c r="AE101" s="873"/>
      <c r="AF101" s="873"/>
      <c r="AG101" s="873"/>
      <c r="AH101" s="873"/>
      <c r="AI101" s="873"/>
      <c r="AJ101" s="873"/>
      <c r="AK101" s="873"/>
      <c r="AL101" s="873"/>
      <c r="AM101" s="873"/>
      <c r="AN101" s="873"/>
      <c r="AO101" s="873"/>
      <c r="AP101" s="873"/>
      <c r="AQ101" s="873"/>
      <c r="AR101" s="873"/>
      <c r="AS101" s="873"/>
      <c r="AT101" s="873"/>
      <c r="AU101" s="873"/>
      <c r="AV101" s="873"/>
    </row>
    <row r="102" spans="1:48" ht="11.25" customHeight="1" x14ac:dyDescent="0.2">
      <c r="A102" s="873"/>
      <c r="B102" s="873"/>
      <c r="C102" s="873"/>
      <c r="D102" s="873"/>
      <c r="E102" s="873"/>
      <c r="F102" s="873"/>
      <c r="G102" s="873"/>
      <c r="H102" s="873"/>
      <c r="I102" s="873"/>
      <c r="J102" s="873"/>
      <c r="K102" s="873"/>
      <c r="L102" s="873"/>
      <c r="M102" s="873"/>
      <c r="N102" s="873"/>
      <c r="O102" s="873"/>
      <c r="P102" s="873"/>
      <c r="Q102" s="873"/>
      <c r="R102" s="873"/>
      <c r="S102" s="873"/>
      <c r="T102" s="873"/>
      <c r="U102" s="873"/>
      <c r="V102" s="873"/>
      <c r="W102" s="873"/>
      <c r="X102" s="873"/>
      <c r="Y102" s="873"/>
      <c r="Z102" s="873"/>
      <c r="AA102" s="873"/>
      <c r="AB102" s="873"/>
      <c r="AC102" s="873"/>
      <c r="AD102" s="873"/>
      <c r="AE102" s="873"/>
      <c r="AF102" s="873"/>
      <c r="AG102" s="873"/>
      <c r="AH102" s="873"/>
      <c r="AI102" s="873"/>
      <c r="AJ102" s="873"/>
      <c r="AK102" s="873"/>
      <c r="AL102" s="873"/>
      <c r="AM102" s="873"/>
      <c r="AN102" s="873"/>
      <c r="AO102" s="873"/>
      <c r="AP102" s="873"/>
      <c r="AQ102" s="873"/>
      <c r="AR102" s="873"/>
      <c r="AS102" s="873"/>
      <c r="AT102" s="873"/>
      <c r="AU102" s="873"/>
      <c r="AV102" s="873"/>
    </row>
    <row r="103" spans="1:48" ht="11.25" customHeight="1" x14ac:dyDescent="0.2">
      <c r="A103" s="873"/>
      <c r="B103" s="873"/>
      <c r="C103" s="873"/>
      <c r="D103" s="873"/>
      <c r="E103" s="873"/>
      <c r="F103" s="873"/>
      <c r="G103" s="873"/>
      <c r="H103" s="873"/>
      <c r="I103" s="873"/>
      <c r="J103" s="873"/>
      <c r="K103" s="873"/>
      <c r="L103" s="873"/>
      <c r="M103" s="873"/>
      <c r="N103" s="873"/>
      <c r="O103" s="873"/>
      <c r="P103" s="873"/>
      <c r="Q103" s="873"/>
      <c r="R103" s="873"/>
      <c r="S103" s="873"/>
      <c r="T103" s="873"/>
      <c r="U103" s="873"/>
      <c r="V103" s="873"/>
      <c r="W103" s="873"/>
      <c r="X103" s="873"/>
      <c r="Y103" s="873"/>
      <c r="Z103" s="873"/>
      <c r="AA103" s="873"/>
      <c r="AB103" s="873"/>
      <c r="AC103" s="873"/>
      <c r="AD103" s="873"/>
      <c r="AE103" s="873"/>
      <c r="AF103" s="873"/>
      <c r="AG103" s="873"/>
      <c r="AH103" s="873"/>
      <c r="AI103" s="873"/>
      <c r="AJ103" s="873"/>
      <c r="AK103" s="873"/>
      <c r="AL103" s="873"/>
      <c r="AM103" s="873"/>
      <c r="AN103" s="873"/>
      <c r="AO103" s="873"/>
      <c r="AP103" s="873"/>
      <c r="AQ103" s="873"/>
      <c r="AR103" s="873"/>
      <c r="AS103" s="873"/>
      <c r="AT103" s="873"/>
      <c r="AU103" s="873"/>
      <c r="AV103" s="873"/>
    </row>
    <row r="104" spans="1:48" ht="11.25" customHeight="1" x14ac:dyDescent="0.2">
      <c r="A104" s="873"/>
      <c r="B104" s="873"/>
      <c r="C104" s="873"/>
      <c r="D104" s="873"/>
      <c r="E104" s="873"/>
      <c r="F104" s="873"/>
      <c r="G104" s="873"/>
      <c r="H104" s="873"/>
      <c r="I104" s="873"/>
      <c r="J104" s="873"/>
      <c r="K104" s="873"/>
      <c r="L104" s="873"/>
      <c r="M104" s="873"/>
      <c r="N104" s="873"/>
      <c r="O104" s="873"/>
      <c r="P104" s="873"/>
      <c r="Q104" s="873"/>
      <c r="R104" s="873"/>
      <c r="S104" s="873"/>
      <c r="T104" s="873"/>
      <c r="U104" s="873"/>
      <c r="V104" s="873"/>
      <c r="W104" s="873"/>
      <c r="X104" s="873"/>
      <c r="Y104" s="873"/>
      <c r="Z104" s="873"/>
      <c r="AA104" s="873"/>
      <c r="AB104" s="873"/>
      <c r="AC104" s="873"/>
      <c r="AD104" s="873"/>
      <c r="AE104" s="873"/>
      <c r="AF104" s="873"/>
      <c r="AG104" s="873"/>
      <c r="AH104" s="873"/>
      <c r="AI104" s="873"/>
      <c r="AJ104" s="873"/>
      <c r="AK104" s="873"/>
      <c r="AL104" s="873"/>
      <c r="AM104" s="873"/>
      <c r="AN104" s="873"/>
      <c r="AO104" s="873"/>
      <c r="AP104" s="873"/>
      <c r="AQ104" s="873"/>
      <c r="AR104" s="873"/>
      <c r="AS104" s="873"/>
      <c r="AT104" s="873"/>
      <c r="AU104" s="873"/>
      <c r="AV104" s="873"/>
    </row>
    <row r="105" spans="1:48" ht="11.25" customHeight="1" x14ac:dyDescent="0.2">
      <c r="A105" s="873"/>
      <c r="B105" s="873"/>
      <c r="C105" s="873"/>
      <c r="D105" s="873"/>
      <c r="E105" s="873"/>
      <c r="F105" s="873"/>
      <c r="G105" s="873"/>
      <c r="H105" s="873"/>
      <c r="I105" s="873"/>
      <c r="J105" s="873"/>
      <c r="K105" s="873"/>
      <c r="L105" s="873"/>
      <c r="M105" s="873"/>
      <c r="N105" s="873"/>
      <c r="O105" s="873"/>
      <c r="P105" s="873"/>
      <c r="Q105" s="873"/>
      <c r="R105" s="873"/>
      <c r="S105" s="873"/>
      <c r="T105" s="873"/>
      <c r="U105" s="873"/>
      <c r="V105" s="873"/>
      <c r="W105" s="873"/>
      <c r="X105" s="873"/>
      <c r="Y105" s="873"/>
      <c r="Z105" s="873"/>
      <c r="AA105" s="873"/>
      <c r="AB105" s="873"/>
      <c r="AC105" s="873"/>
      <c r="AD105" s="873"/>
      <c r="AE105" s="873"/>
      <c r="AF105" s="873"/>
      <c r="AG105" s="873"/>
      <c r="AH105" s="873"/>
      <c r="AI105" s="873"/>
      <c r="AJ105" s="873"/>
      <c r="AK105" s="873"/>
      <c r="AL105" s="873"/>
      <c r="AM105" s="873"/>
      <c r="AN105" s="873"/>
      <c r="AO105" s="873"/>
      <c r="AP105" s="873"/>
      <c r="AQ105" s="873"/>
      <c r="AR105" s="873"/>
      <c r="AS105" s="873"/>
      <c r="AT105" s="873"/>
      <c r="AU105" s="873"/>
      <c r="AV105" s="873"/>
    </row>
    <row r="106" spans="1:48" ht="11.25" customHeight="1" x14ac:dyDescent="0.2">
      <c r="A106" s="873"/>
      <c r="B106" s="873"/>
      <c r="C106" s="873"/>
      <c r="D106" s="873"/>
      <c r="E106" s="873"/>
      <c r="F106" s="873"/>
      <c r="G106" s="873"/>
      <c r="H106" s="873"/>
      <c r="I106" s="873"/>
      <c r="J106" s="873"/>
      <c r="K106" s="873"/>
      <c r="L106" s="873"/>
      <c r="M106" s="873"/>
      <c r="N106" s="873"/>
      <c r="O106" s="873"/>
      <c r="P106" s="873"/>
      <c r="Q106" s="873"/>
      <c r="R106" s="873"/>
      <c r="S106" s="873"/>
      <c r="T106" s="873"/>
      <c r="U106" s="873"/>
      <c r="V106" s="873"/>
      <c r="W106" s="873"/>
      <c r="X106" s="873"/>
      <c r="Y106" s="873"/>
      <c r="Z106" s="873"/>
      <c r="AA106" s="873"/>
      <c r="AB106" s="873"/>
      <c r="AC106" s="873"/>
      <c r="AD106" s="873"/>
      <c r="AE106" s="873"/>
      <c r="AF106" s="873"/>
      <c r="AG106" s="873"/>
      <c r="AH106" s="873"/>
      <c r="AI106" s="873"/>
      <c r="AJ106" s="873"/>
      <c r="AK106" s="873"/>
      <c r="AL106" s="873"/>
      <c r="AM106" s="873"/>
      <c r="AN106" s="873"/>
      <c r="AO106" s="873"/>
      <c r="AP106" s="873"/>
      <c r="AQ106" s="873"/>
      <c r="AR106" s="873"/>
      <c r="AS106" s="873"/>
      <c r="AT106" s="873"/>
      <c r="AU106" s="873"/>
      <c r="AV106" s="873"/>
    </row>
    <row r="107" spans="1:48" ht="11.25" customHeight="1" x14ac:dyDescent="0.2">
      <c r="A107" s="873"/>
      <c r="B107" s="873"/>
      <c r="C107" s="873"/>
      <c r="D107" s="873"/>
      <c r="E107" s="873"/>
      <c r="F107" s="873"/>
      <c r="G107" s="873"/>
      <c r="H107" s="873"/>
      <c r="I107" s="873"/>
      <c r="J107" s="873"/>
      <c r="K107" s="873"/>
      <c r="L107" s="873"/>
      <c r="M107" s="873"/>
      <c r="N107" s="873"/>
      <c r="O107" s="873"/>
      <c r="P107" s="873"/>
      <c r="Q107" s="873"/>
      <c r="R107" s="873"/>
      <c r="S107" s="873"/>
      <c r="T107" s="873"/>
      <c r="U107" s="873"/>
      <c r="V107" s="873"/>
      <c r="W107" s="873"/>
      <c r="X107" s="873"/>
      <c r="Y107" s="873"/>
      <c r="Z107" s="873"/>
      <c r="AA107" s="873"/>
      <c r="AB107" s="873"/>
      <c r="AC107" s="873"/>
      <c r="AD107" s="873"/>
      <c r="AE107" s="873"/>
      <c r="AF107" s="873"/>
      <c r="AG107" s="873"/>
      <c r="AH107" s="873"/>
      <c r="AI107" s="873"/>
      <c r="AJ107" s="873"/>
      <c r="AK107" s="873"/>
      <c r="AL107" s="873"/>
      <c r="AM107" s="873"/>
      <c r="AN107" s="873"/>
      <c r="AO107" s="873"/>
      <c r="AP107" s="873"/>
      <c r="AQ107" s="873"/>
      <c r="AR107" s="873"/>
      <c r="AS107" s="873"/>
      <c r="AT107" s="873"/>
      <c r="AU107" s="873"/>
      <c r="AV107" s="873"/>
    </row>
    <row r="108" spans="1:48" ht="11.25" customHeight="1" x14ac:dyDescent="0.2">
      <c r="A108" s="873"/>
      <c r="B108" s="873"/>
      <c r="C108" s="873"/>
      <c r="D108" s="873"/>
      <c r="E108" s="873"/>
      <c r="F108" s="873"/>
      <c r="G108" s="873"/>
      <c r="H108" s="873"/>
      <c r="I108" s="873"/>
      <c r="J108" s="873"/>
      <c r="K108" s="873"/>
      <c r="L108" s="873"/>
      <c r="M108" s="873"/>
      <c r="N108" s="873"/>
      <c r="O108" s="873"/>
      <c r="P108" s="873"/>
      <c r="Q108" s="873"/>
      <c r="R108" s="873"/>
      <c r="S108" s="873"/>
      <c r="T108" s="873"/>
      <c r="U108" s="873"/>
      <c r="V108" s="873"/>
      <c r="W108" s="873"/>
      <c r="X108" s="873"/>
      <c r="Y108" s="873"/>
      <c r="Z108" s="873"/>
      <c r="AA108" s="873"/>
      <c r="AB108" s="873"/>
      <c r="AC108" s="873"/>
      <c r="AD108" s="873"/>
      <c r="AE108" s="873"/>
      <c r="AF108" s="873"/>
      <c r="AG108" s="873"/>
      <c r="AH108" s="873"/>
      <c r="AI108" s="873"/>
      <c r="AJ108" s="873"/>
      <c r="AK108" s="873"/>
      <c r="AL108" s="873"/>
      <c r="AM108" s="873"/>
      <c r="AN108" s="873"/>
      <c r="AO108" s="873"/>
      <c r="AP108" s="873"/>
      <c r="AQ108" s="873"/>
      <c r="AR108" s="873"/>
      <c r="AS108" s="873"/>
      <c r="AT108" s="873"/>
      <c r="AU108" s="873"/>
      <c r="AV108" s="873"/>
    </row>
    <row r="109" spans="1:48" ht="11.25" customHeight="1" x14ac:dyDescent="0.2">
      <c r="A109" s="873"/>
      <c r="B109" s="873"/>
      <c r="C109" s="873"/>
      <c r="D109" s="873"/>
      <c r="E109" s="873"/>
      <c r="F109" s="873"/>
      <c r="G109" s="873"/>
      <c r="H109" s="873"/>
      <c r="I109" s="873"/>
      <c r="J109" s="873"/>
      <c r="K109" s="873"/>
      <c r="L109" s="873"/>
      <c r="M109" s="873"/>
      <c r="N109" s="873"/>
      <c r="O109" s="873"/>
      <c r="P109" s="873"/>
      <c r="Q109" s="873"/>
      <c r="R109" s="873"/>
      <c r="S109" s="873"/>
      <c r="T109" s="873"/>
      <c r="U109" s="873"/>
      <c r="V109" s="873"/>
      <c r="W109" s="873"/>
      <c r="X109" s="873"/>
      <c r="Y109" s="873"/>
      <c r="Z109" s="873"/>
      <c r="AA109" s="873"/>
      <c r="AB109" s="873"/>
      <c r="AC109" s="873"/>
      <c r="AD109" s="873"/>
      <c r="AE109" s="873"/>
      <c r="AF109" s="873"/>
      <c r="AG109" s="873"/>
      <c r="AH109" s="873"/>
      <c r="AI109" s="873"/>
      <c r="AJ109" s="873"/>
      <c r="AK109" s="873"/>
      <c r="AL109" s="873"/>
      <c r="AM109" s="873"/>
      <c r="AN109" s="873"/>
      <c r="AO109" s="873"/>
      <c r="AP109" s="873"/>
      <c r="AQ109" s="873"/>
      <c r="AR109" s="873"/>
      <c r="AS109" s="873"/>
      <c r="AT109" s="873"/>
      <c r="AU109" s="873"/>
      <c r="AV109" s="873"/>
    </row>
    <row r="110" spans="1:48" ht="11.25" customHeight="1" x14ac:dyDescent="0.2">
      <c r="A110" s="873"/>
      <c r="B110" s="873"/>
      <c r="C110" s="873"/>
      <c r="D110" s="873"/>
      <c r="E110" s="873"/>
      <c r="F110" s="873"/>
      <c r="G110" s="873"/>
      <c r="H110" s="873"/>
      <c r="I110" s="873"/>
      <c r="J110" s="873"/>
      <c r="K110" s="873"/>
      <c r="L110" s="873"/>
      <c r="M110" s="873"/>
      <c r="N110" s="873"/>
      <c r="O110" s="873"/>
      <c r="P110" s="873"/>
      <c r="Q110" s="873"/>
      <c r="R110" s="873"/>
      <c r="S110" s="873"/>
      <c r="T110" s="873"/>
      <c r="U110" s="873"/>
      <c r="V110" s="873"/>
      <c r="W110" s="873"/>
      <c r="X110" s="873"/>
      <c r="Y110" s="873"/>
      <c r="Z110" s="873"/>
      <c r="AA110" s="873"/>
      <c r="AB110" s="873"/>
      <c r="AC110" s="873"/>
      <c r="AD110" s="873"/>
      <c r="AE110" s="873"/>
      <c r="AF110" s="873"/>
      <c r="AG110" s="873"/>
      <c r="AH110" s="873"/>
      <c r="AI110" s="873"/>
      <c r="AJ110" s="873"/>
      <c r="AK110" s="873"/>
      <c r="AL110" s="873"/>
      <c r="AM110" s="873"/>
      <c r="AN110" s="873"/>
      <c r="AO110" s="873"/>
      <c r="AP110" s="873"/>
      <c r="AQ110" s="873"/>
      <c r="AR110" s="873"/>
      <c r="AS110" s="873"/>
      <c r="AT110" s="873"/>
      <c r="AU110" s="873"/>
      <c r="AV110" s="873"/>
    </row>
    <row r="111" spans="1:48" ht="11.25" customHeight="1" x14ac:dyDescent="0.2">
      <c r="A111" s="873"/>
      <c r="B111" s="873"/>
      <c r="C111" s="873"/>
      <c r="D111" s="873"/>
      <c r="E111" s="873"/>
      <c r="F111" s="873"/>
      <c r="G111" s="873"/>
      <c r="H111" s="873"/>
      <c r="I111" s="873"/>
      <c r="J111" s="873"/>
      <c r="K111" s="873"/>
      <c r="L111" s="873"/>
      <c r="M111" s="873"/>
      <c r="N111" s="873"/>
      <c r="O111" s="873"/>
      <c r="P111" s="873"/>
      <c r="Q111" s="873"/>
      <c r="R111" s="873"/>
      <c r="S111" s="873"/>
      <c r="T111" s="873"/>
      <c r="U111" s="873"/>
      <c r="V111" s="873"/>
      <c r="W111" s="873"/>
      <c r="X111" s="873"/>
      <c r="Y111" s="873"/>
      <c r="Z111" s="873"/>
      <c r="AA111" s="873"/>
      <c r="AB111" s="873"/>
      <c r="AC111" s="873"/>
      <c r="AD111" s="873"/>
      <c r="AE111" s="873"/>
      <c r="AF111" s="873"/>
      <c r="AG111" s="873"/>
      <c r="AH111" s="873"/>
      <c r="AI111" s="873"/>
      <c r="AJ111" s="873"/>
      <c r="AK111" s="873"/>
      <c r="AL111" s="873"/>
      <c r="AM111" s="873"/>
      <c r="AN111" s="873"/>
      <c r="AO111" s="873"/>
      <c r="AP111" s="873"/>
      <c r="AQ111" s="873"/>
      <c r="AR111" s="873"/>
      <c r="AS111" s="873"/>
      <c r="AT111" s="873"/>
      <c r="AU111" s="873"/>
      <c r="AV111" s="873"/>
    </row>
    <row r="112" spans="1:48" ht="11.25" customHeight="1" x14ac:dyDescent="0.2">
      <c r="A112" s="873"/>
      <c r="B112" s="873"/>
      <c r="C112" s="873"/>
      <c r="D112" s="873"/>
      <c r="E112" s="873"/>
      <c r="F112" s="873"/>
      <c r="G112" s="873"/>
      <c r="H112" s="873"/>
      <c r="I112" s="873"/>
      <c r="J112" s="873"/>
      <c r="K112" s="873"/>
      <c r="L112" s="873"/>
      <c r="M112" s="873"/>
      <c r="N112" s="873"/>
      <c r="O112" s="873"/>
      <c r="P112" s="873"/>
      <c r="Q112" s="873"/>
      <c r="R112" s="873"/>
      <c r="S112" s="873"/>
      <c r="T112" s="873"/>
      <c r="U112" s="873"/>
      <c r="V112" s="873"/>
      <c r="W112" s="873"/>
      <c r="X112" s="873"/>
      <c r="Y112" s="873"/>
      <c r="Z112" s="873"/>
      <c r="AA112" s="873"/>
      <c r="AB112" s="873"/>
      <c r="AC112" s="873"/>
      <c r="AD112" s="873"/>
      <c r="AE112" s="873"/>
      <c r="AF112" s="873"/>
      <c r="AG112" s="873"/>
      <c r="AH112" s="873"/>
      <c r="AI112" s="873"/>
      <c r="AJ112" s="873"/>
      <c r="AK112" s="873"/>
      <c r="AL112" s="873"/>
      <c r="AM112" s="873"/>
      <c r="AN112" s="873"/>
      <c r="AO112" s="873"/>
      <c r="AP112" s="873"/>
      <c r="AQ112" s="873"/>
      <c r="AR112" s="873"/>
      <c r="AS112" s="873"/>
      <c r="AT112" s="873"/>
      <c r="AU112" s="873"/>
      <c r="AV112" s="873"/>
    </row>
    <row r="113" spans="1:48" ht="11.25" customHeight="1" x14ac:dyDescent="0.2">
      <c r="A113" s="873"/>
      <c r="B113" s="873"/>
      <c r="C113" s="873"/>
      <c r="D113" s="873"/>
      <c r="E113" s="873"/>
      <c r="F113" s="873"/>
      <c r="G113" s="873"/>
      <c r="H113" s="873"/>
      <c r="I113" s="873"/>
      <c r="J113" s="873"/>
      <c r="K113" s="873"/>
      <c r="L113" s="873"/>
      <c r="M113" s="873"/>
      <c r="N113" s="873"/>
      <c r="O113" s="873"/>
      <c r="P113" s="873"/>
      <c r="Q113" s="873"/>
      <c r="R113" s="873"/>
      <c r="S113" s="873"/>
      <c r="T113" s="873"/>
      <c r="U113" s="873"/>
      <c r="V113" s="873"/>
      <c r="W113" s="873"/>
      <c r="X113" s="873"/>
      <c r="Y113" s="873"/>
      <c r="Z113" s="873"/>
      <c r="AA113" s="873"/>
      <c r="AB113" s="873"/>
      <c r="AC113" s="873"/>
      <c r="AD113" s="873"/>
      <c r="AE113" s="873"/>
      <c r="AF113" s="873"/>
      <c r="AG113" s="873"/>
      <c r="AH113" s="873"/>
      <c r="AI113" s="873"/>
      <c r="AJ113" s="873"/>
      <c r="AK113" s="873"/>
      <c r="AL113" s="873"/>
      <c r="AM113" s="873"/>
      <c r="AN113" s="873"/>
      <c r="AO113" s="873"/>
      <c r="AP113" s="873"/>
      <c r="AQ113" s="873"/>
      <c r="AR113" s="873"/>
      <c r="AS113" s="873"/>
      <c r="AT113" s="873"/>
      <c r="AU113" s="873"/>
      <c r="AV113" s="873"/>
    </row>
    <row r="114" spans="1:48" ht="11.25" customHeight="1" x14ac:dyDescent="0.2">
      <c r="A114" s="873"/>
      <c r="B114" s="873"/>
      <c r="C114" s="873"/>
      <c r="D114" s="873"/>
      <c r="E114" s="873"/>
      <c r="F114" s="873"/>
      <c r="G114" s="873"/>
      <c r="H114" s="873"/>
      <c r="I114" s="873"/>
      <c r="J114" s="873"/>
      <c r="K114" s="873"/>
      <c r="L114" s="873"/>
      <c r="M114" s="873"/>
      <c r="N114" s="873"/>
      <c r="O114" s="873"/>
      <c r="P114" s="873"/>
      <c r="Q114" s="873"/>
      <c r="R114" s="873"/>
      <c r="S114" s="873"/>
      <c r="T114" s="873"/>
      <c r="U114" s="873"/>
      <c r="V114" s="873"/>
      <c r="W114" s="873"/>
      <c r="X114" s="873"/>
      <c r="Y114" s="873"/>
      <c r="Z114" s="873"/>
      <c r="AA114" s="873"/>
      <c r="AB114" s="873"/>
      <c r="AC114" s="873"/>
      <c r="AD114" s="873"/>
      <c r="AE114" s="873"/>
      <c r="AF114" s="873"/>
      <c r="AG114" s="873"/>
      <c r="AH114" s="873"/>
      <c r="AI114" s="873"/>
      <c r="AJ114" s="873"/>
      <c r="AK114" s="873"/>
      <c r="AL114" s="873"/>
      <c r="AM114" s="873"/>
      <c r="AN114" s="873"/>
      <c r="AO114" s="873"/>
      <c r="AP114" s="873"/>
      <c r="AQ114" s="873"/>
      <c r="AR114" s="873"/>
      <c r="AS114" s="873"/>
      <c r="AT114" s="873"/>
      <c r="AU114" s="873"/>
      <c r="AV114" s="873"/>
    </row>
    <row r="115" spans="1:48" ht="11.25" customHeight="1" x14ac:dyDescent="0.2">
      <c r="A115" s="873"/>
      <c r="B115" s="873"/>
      <c r="C115" s="873"/>
      <c r="D115" s="873"/>
      <c r="E115" s="873"/>
      <c r="F115" s="873"/>
      <c r="G115" s="873"/>
      <c r="H115" s="873"/>
      <c r="I115" s="873"/>
      <c r="J115" s="873"/>
      <c r="K115" s="873"/>
      <c r="L115" s="873"/>
      <c r="M115" s="873"/>
      <c r="N115" s="873"/>
      <c r="O115" s="873"/>
      <c r="P115" s="873"/>
      <c r="Q115" s="873"/>
      <c r="R115" s="873"/>
      <c r="S115" s="873"/>
      <c r="T115" s="873"/>
      <c r="U115" s="873"/>
      <c r="V115" s="873"/>
      <c r="W115" s="873"/>
      <c r="X115" s="873"/>
      <c r="Y115" s="873"/>
      <c r="Z115" s="873"/>
      <c r="AA115" s="873"/>
      <c r="AB115" s="873"/>
      <c r="AC115" s="873"/>
      <c r="AD115" s="873"/>
      <c r="AE115" s="873"/>
      <c r="AF115" s="873"/>
      <c r="AG115" s="873"/>
      <c r="AH115" s="873"/>
      <c r="AI115" s="873"/>
      <c r="AJ115" s="873"/>
      <c r="AK115" s="873"/>
      <c r="AL115" s="873"/>
      <c r="AM115" s="873"/>
      <c r="AN115" s="873"/>
      <c r="AO115" s="873"/>
      <c r="AP115" s="873"/>
      <c r="AQ115" s="873"/>
      <c r="AR115" s="873"/>
      <c r="AS115" s="873"/>
      <c r="AT115" s="873"/>
      <c r="AU115" s="873"/>
      <c r="AV115" s="873"/>
    </row>
    <row r="116" spans="1:48" ht="11.25" customHeight="1" x14ac:dyDescent="0.2">
      <c r="A116" s="873"/>
      <c r="B116" s="873"/>
      <c r="C116" s="873"/>
      <c r="D116" s="873"/>
      <c r="E116" s="873"/>
      <c r="F116" s="873"/>
      <c r="G116" s="873"/>
      <c r="H116" s="873"/>
      <c r="I116" s="873"/>
      <c r="J116" s="873"/>
      <c r="K116" s="873"/>
      <c r="L116" s="873"/>
      <c r="M116" s="873"/>
      <c r="N116" s="873"/>
      <c r="O116" s="873"/>
      <c r="P116" s="873"/>
      <c r="Q116" s="873"/>
      <c r="R116" s="873"/>
      <c r="S116" s="873"/>
      <c r="T116" s="873"/>
      <c r="U116" s="873"/>
      <c r="V116" s="873"/>
      <c r="W116" s="873"/>
      <c r="X116" s="873"/>
      <c r="Y116" s="873"/>
      <c r="Z116" s="873"/>
      <c r="AA116" s="873"/>
      <c r="AB116" s="873"/>
      <c r="AC116" s="873"/>
      <c r="AD116" s="873"/>
      <c r="AE116" s="873"/>
      <c r="AF116" s="873"/>
      <c r="AG116" s="873"/>
      <c r="AH116" s="873"/>
      <c r="AI116" s="873"/>
      <c r="AJ116" s="873"/>
      <c r="AK116" s="873"/>
      <c r="AL116" s="873"/>
      <c r="AM116" s="873"/>
      <c r="AN116" s="873"/>
      <c r="AO116" s="873"/>
      <c r="AP116" s="873"/>
      <c r="AQ116" s="873"/>
      <c r="AR116" s="873"/>
      <c r="AS116" s="873"/>
      <c r="AT116" s="873"/>
      <c r="AU116" s="873"/>
      <c r="AV116" s="873"/>
    </row>
    <row r="117" spans="1:48" ht="11.25" customHeight="1" x14ac:dyDescent="0.2">
      <c r="A117" s="873"/>
      <c r="B117" s="873"/>
      <c r="C117" s="873"/>
      <c r="D117" s="873"/>
      <c r="E117" s="873"/>
      <c r="F117" s="873"/>
      <c r="G117" s="873"/>
      <c r="H117" s="873"/>
      <c r="I117" s="873"/>
      <c r="J117" s="873"/>
      <c r="K117" s="873"/>
      <c r="L117" s="873"/>
      <c r="M117" s="873"/>
      <c r="N117" s="873"/>
      <c r="O117" s="873"/>
      <c r="P117" s="873"/>
      <c r="Q117" s="873"/>
      <c r="R117" s="873"/>
      <c r="S117" s="873"/>
      <c r="T117" s="873"/>
      <c r="U117" s="873"/>
      <c r="V117" s="873"/>
      <c r="W117" s="873"/>
      <c r="X117" s="873"/>
      <c r="Y117" s="873"/>
      <c r="Z117" s="873"/>
      <c r="AA117" s="873"/>
      <c r="AB117" s="873"/>
      <c r="AC117" s="873"/>
      <c r="AD117" s="873"/>
      <c r="AE117" s="873"/>
      <c r="AF117" s="873"/>
      <c r="AG117" s="873"/>
      <c r="AH117" s="873"/>
      <c r="AI117" s="873"/>
      <c r="AJ117" s="873"/>
      <c r="AK117" s="873"/>
      <c r="AL117" s="873"/>
      <c r="AM117" s="873"/>
      <c r="AN117" s="873"/>
      <c r="AO117" s="873"/>
      <c r="AP117" s="873"/>
      <c r="AQ117" s="873"/>
      <c r="AR117" s="873"/>
      <c r="AS117" s="873"/>
      <c r="AT117" s="873"/>
      <c r="AU117" s="873"/>
      <c r="AV117" s="873"/>
    </row>
    <row r="118" spans="1:48" ht="11.25" customHeight="1" x14ac:dyDescent="0.2">
      <c r="A118" s="873"/>
      <c r="B118" s="873"/>
      <c r="C118" s="873"/>
      <c r="D118" s="873"/>
      <c r="E118" s="873"/>
      <c r="F118" s="873"/>
      <c r="G118" s="873"/>
      <c r="H118" s="873"/>
      <c r="I118" s="873"/>
      <c r="J118" s="873"/>
      <c r="K118" s="873"/>
      <c r="L118" s="873"/>
      <c r="M118" s="873"/>
      <c r="N118" s="873"/>
      <c r="O118" s="873"/>
      <c r="P118" s="873"/>
      <c r="Q118" s="873"/>
      <c r="R118" s="873"/>
      <c r="S118" s="873"/>
      <c r="T118" s="873"/>
      <c r="U118" s="873"/>
      <c r="V118" s="873"/>
      <c r="W118" s="873"/>
      <c r="X118" s="873"/>
      <c r="Y118" s="873"/>
      <c r="Z118" s="873"/>
      <c r="AA118" s="873"/>
      <c r="AB118" s="873"/>
      <c r="AC118" s="873"/>
      <c r="AD118" s="873"/>
      <c r="AE118" s="873"/>
      <c r="AF118" s="873"/>
      <c r="AG118" s="873"/>
      <c r="AH118" s="873"/>
      <c r="AI118" s="873"/>
      <c r="AJ118" s="873"/>
      <c r="AK118" s="873"/>
      <c r="AL118" s="873"/>
      <c r="AM118" s="873"/>
      <c r="AN118" s="873"/>
      <c r="AO118" s="873"/>
      <c r="AP118" s="873"/>
      <c r="AQ118" s="873"/>
      <c r="AR118" s="873"/>
      <c r="AS118" s="873"/>
      <c r="AT118" s="873"/>
      <c r="AU118" s="873"/>
      <c r="AV118" s="873"/>
    </row>
    <row r="119" spans="1:48" ht="11.25" customHeight="1" x14ac:dyDescent="0.2">
      <c r="A119" s="873"/>
      <c r="B119" s="873"/>
      <c r="C119" s="873"/>
      <c r="D119" s="873"/>
      <c r="E119" s="873"/>
      <c r="F119" s="873"/>
      <c r="G119" s="873"/>
      <c r="H119" s="873"/>
      <c r="I119" s="873"/>
      <c r="J119" s="873"/>
      <c r="K119" s="873"/>
      <c r="L119" s="873"/>
      <c r="M119" s="873"/>
      <c r="N119" s="873"/>
      <c r="O119" s="873"/>
      <c r="P119" s="873"/>
      <c r="Q119" s="873"/>
      <c r="R119" s="873"/>
      <c r="S119" s="873"/>
      <c r="T119" s="873"/>
      <c r="U119" s="873"/>
      <c r="V119" s="873"/>
      <c r="W119" s="873"/>
      <c r="X119" s="873"/>
      <c r="Y119" s="873"/>
      <c r="Z119" s="873"/>
      <c r="AA119" s="873"/>
      <c r="AB119" s="873"/>
      <c r="AC119" s="873"/>
      <c r="AD119" s="873"/>
      <c r="AE119" s="873"/>
      <c r="AF119" s="873"/>
      <c r="AG119" s="873"/>
      <c r="AH119" s="873"/>
      <c r="AI119" s="873"/>
      <c r="AJ119" s="873"/>
      <c r="AK119" s="873"/>
      <c r="AL119" s="873"/>
      <c r="AM119" s="873"/>
      <c r="AN119" s="873"/>
      <c r="AO119" s="873"/>
      <c r="AP119" s="873"/>
      <c r="AQ119" s="873"/>
      <c r="AR119" s="873"/>
      <c r="AS119" s="873"/>
      <c r="AT119" s="873"/>
      <c r="AU119" s="873"/>
      <c r="AV119" s="873"/>
    </row>
    <row r="120" spans="1:48" ht="11.25" customHeight="1" x14ac:dyDescent="0.2">
      <c r="A120" s="873"/>
      <c r="B120" s="873"/>
      <c r="C120" s="873"/>
      <c r="D120" s="873"/>
      <c r="E120" s="873"/>
      <c r="F120" s="873"/>
      <c r="G120" s="873"/>
      <c r="H120" s="873"/>
      <c r="I120" s="873"/>
      <c r="J120" s="873"/>
      <c r="K120" s="873"/>
      <c r="L120" s="873"/>
      <c r="M120" s="873"/>
      <c r="N120" s="873"/>
      <c r="O120" s="873"/>
      <c r="P120" s="873"/>
      <c r="Q120" s="873"/>
      <c r="R120" s="873"/>
      <c r="S120" s="873"/>
      <c r="T120" s="873"/>
      <c r="U120" s="873"/>
      <c r="V120" s="873"/>
      <c r="W120" s="873"/>
      <c r="X120" s="873"/>
      <c r="Y120" s="873"/>
      <c r="Z120" s="873"/>
      <c r="AA120" s="873"/>
      <c r="AB120" s="873"/>
      <c r="AC120" s="873"/>
      <c r="AD120" s="873"/>
      <c r="AE120" s="873"/>
      <c r="AF120" s="873"/>
      <c r="AG120" s="873"/>
      <c r="AH120" s="873"/>
      <c r="AI120" s="873"/>
      <c r="AJ120" s="873"/>
      <c r="AK120" s="873"/>
      <c r="AL120" s="873"/>
      <c r="AM120" s="873"/>
      <c r="AN120" s="873"/>
      <c r="AO120" s="873"/>
      <c r="AP120" s="873"/>
      <c r="AQ120" s="873"/>
      <c r="AR120" s="873"/>
      <c r="AS120" s="873"/>
      <c r="AT120" s="873"/>
      <c r="AU120" s="873"/>
      <c r="AV120" s="873"/>
    </row>
    <row r="121" spans="1:48" ht="11.25" customHeight="1" x14ac:dyDescent="0.2">
      <c r="A121" s="873"/>
      <c r="B121" s="873"/>
      <c r="C121" s="873"/>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3"/>
      <c r="AA121" s="873"/>
      <c r="AB121" s="873"/>
      <c r="AC121" s="873"/>
      <c r="AD121" s="873"/>
      <c r="AE121" s="873"/>
      <c r="AF121" s="873"/>
      <c r="AG121" s="873"/>
      <c r="AH121" s="873"/>
      <c r="AI121" s="873"/>
      <c r="AJ121" s="873"/>
      <c r="AK121" s="873"/>
      <c r="AL121" s="873"/>
      <c r="AM121" s="873"/>
      <c r="AN121" s="873"/>
      <c r="AO121" s="873"/>
      <c r="AP121" s="873"/>
      <c r="AQ121" s="873"/>
      <c r="AR121" s="873"/>
      <c r="AS121" s="873"/>
      <c r="AT121" s="873"/>
      <c r="AU121" s="873"/>
      <c r="AV121" s="873"/>
    </row>
    <row r="122" spans="1:48" ht="11.25" customHeight="1" x14ac:dyDescent="0.2">
      <c r="A122" s="873"/>
      <c r="B122" s="873"/>
      <c r="C122" s="873"/>
      <c r="D122" s="873"/>
      <c r="E122" s="873"/>
      <c r="F122" s="873"/>
      <c r="G122" s="873"/>
      <c r="H122" s="873"/>
      <c r="I122" s="873"/>
      <c r="J122" s="873"/>
      <c r="K122" s="873"/>
      <c r="L122" s="873"/>
      <c r="M122" s="873"/>
      <c r="N122" s="873"/>
      <c r="O122" s="873"/>
      <c r="P122" s="873"/>
      <c r="Q122" s="873"/>
      <c r="R122" s="873"/>
      <c r="S122" s="873"/>
      <c r="T122" s="873"/>
      <c r="U122" s="873"/>
      <c r="V122" s="873"/>
      <c r="W122" s="873"/>
      <c r="X122" s="873"/>
      <c r="Y122" s="873"/>
      <c r="Z122" s="873"/>
      <c r="AA122" s="873"/>
      <c r="AB122" s="873"/>
      <c r="AC122" s="873"/>
      <c r="AD122" s="873"/>
      <c r="AE122" s="873"/>
      <c r="AF122" s="873"/>
      <c r="AG122" s="873"/>
      <c r="AH122" s="873"/>
      <c r="AI122" s="873"/>
      <c r="AJ122" s="873"/>
      <c r="AK122" s="873"/>
      <c r="AL122" s="873"/>
      <c r="AM122" s="873"/>
      <c r="AN122" s="873"/>
      <c r="AO122" s="873"/>
      <c r="AP122" s="873"/>
      <c r="AQ122" s="873"/>
      <c r="AR122" s="873"/>
      <c r="AS122" s="873"/>
      <c r="AT122" s="873"/>
      <c r="AU122" s="873"/>
      <c r="AV122" s="873"/>
    </row>
    <row r="123" spans="1:48" ht="11.25" customHeight="1" x14ac:dyDescent="0.2">
      <c r="A123" s="873"/>
      <c r="B123" s="873"/>
      <c r="C123" s="873"/>
      <c r="D123" s="873"/>
      <c r="E123" s="873"/>
      <c r="F123" s="873"/>
      <c r="G123" s="873"/>
      <c r="H123" s="873"/>
      <c r="I123" s="873"/>
      <c r="J123" s="873"/>
      <c r="K123" s="873"/>
      <c r="L123" s="873"/>
      <c r="M123" s="873"/>
      <c r="N123" s="873"/>
      <c r="O123" s="873"/>
      <c r="P123" s="873"/>
      <c r="Q123" s="873"/>
      <c r="R123" s="873"/>
      <c r="S123" s="873"/>
      <c r="T123" s="873"/>
      <c r="U123" s="873"/>
      <c r="V123" s="873"/>
      <c r="W123" s="873"/>
      <c r="X123" s="873"/>
      <c r="Y123" s="873"/>
      <c r="Z123" s="873"/>
      <c r="AA123" s="873"/>
      <c r="AB123" s="873"/>
      <c r="AC123" s="873"/>
      <c r="AD123" s="873"/>
      <c r="AE123" s="873"/>
      <c r="AF123" s="873"/>
      <c r="AG123" s="873"/>
      <c r="AH123" s="873"/>
      <c r="AI123" s="873"/>
      <c r="AJ123" s="873"/>
      <c r="AK123" s="873"/>
      <c r="AL123" s="873"/>
      <c r="AM123" s="873"/>
      <c r="AN123" s="873"/>
      <c r="AO123" s="873"/>
      <c r="AP123" s="873"/>
      <c r="AQ123" s="873"/>
      <c r="AR123" s="873"/>
      <c r="AS123" s="873"/>
      <c r="AT123" s="873"/>
      <c r="AU123" s="873"/>
      <c r="AV123" s="873"/>
    </row>
    <row r="124" spans="1:48" ht="11.25" customHeight="1" x14ac:dyDescent="0.2">
      <c r="A124" s="873"/>
      <c r="B124" s="873"/>
      <c r="C124" s="873"/>
      <c r="D124" s="873"/>
      <c r="E124" s="873"/>
      <c r="F124" s="873"/>
      <c r="G124" s="873"/>
      <c r="H124" s="873"/>
      <c r="I124" s="873"/>
      <c r="J124" s="873"/>
      <c r="K124" s="873"/>
      <c r="L124" s="873"/>
      <c r="M124" s="873"/>
      <c r="N124" s="873"/>
      <c r="O124" s="873"/>
      <c r="P124" s="873"/>
      <c r="Q124" s="873"/>
      <c r="R124" s="873"/>
      <c r="S124" s="873"/>
      <c r="T124" s="873"/>
      <c r="U124" s="873"/>
      <c r="V124" s="873"/>
      <c r="W124" s="873"/>
      <c r="X124" s="873"/>
      <c r="Y124" s="873"/>
      <c r="Z124" s="873"/>
      <c r="AA124" s="873"/>
      <c r="AB124" s="873"/>
      <c r="AC124" s="873"/>
      <c r="AD124" s="873"/>
      <c r="AE124" s="873"/>
      <c r="AF124" s="873"/>
      <c r="AG124" s="873"/>
      <c r="AH124" s="873"/>
      <c r="AI124" s="873"/>
      <c r="AJ124" s="873"/>
      <c r="AK124" s="873"/>
      <c r="AL124" s="873"/>
      <c r="AM124" s="873"/>
      <c r="AN124" s="873"/>
      <c r="AO124" s="873"/>
      <c r="AP124" s="873"/>
      <c r="AQ124" s="873"/>
      <c r="AR124" s="873"/>
      <c r="AS124" s="873"/>
      <c r="AT124" s="873"/>
      <c r="AU124" s="873"/>
      <c r="AV124" s="873"/>
    </row>
    <row r="125" spans="1:48" ht="11.25" customHeight="1" x14ac:dyDescent="0.2">
      <c r="A125" s="873"/>
      <c r="B125" s="873"/>
      <c r="C125" s="873"/>
      <c r="D125" s="873"/>
      <c r="E125" s="873"/>
      <c r="F125" s="873"/>
      <c r="G125" s="873"/>
      <c r="H125" s="873"/>
      <c r="I125" s="873"/>
      <c r="J125" s="873"/>
      <c r="K125" s="873"/>
      <c r="L125" s="873"/>
      <c r="M125" s="873"/>
      <c r="N125" s="873"/>
      <c r="O125" s="873"/>
      <c r="P125" s="873"/>
      <c r="Q125" s="873"/>
      <c r="R125" s="873"/>
      <c r="S125" s="873"/>
      <c r="T125" s="873"/>
      <c r="U125" s="873"/>
      <c r="V125" s="873"/>
      <c r="W125" s="873"/>
      <c r="X125" s="873"/>
      <c r="Y125" s="873"/>
      <c r="Z125" s="873"/>
      <c r="AA125" s="873"/>
      <c r="AB125" s="873"/>
      <c r="AC125" s="873"/>
      <c r="AD125" s="873"/>
      <c r="AE125" s="873"/>
      <c r="AF125" s="873"/>
      <c r="AG125" s="873"/>
      <c r="AH125" s="873"/>
      <c r="AI125" s="873"/>
      <c r="AJ125" s="873"/>
      <c r="AK125" s="873"/>
      <c r="AL125" s="873"/>
      <c r="AM125" s="873"/>
      <c r="AN125" s="873"/>
      <c r="AO125" s="873"/>
      <c r="AP125" s="873"/>
      <c r="AQ125" s="873"/>
      <c r="AR125" s="873"/>
      <c r="AS125" s="873"/>
      <c r="AT125" s="873"/>
      <c r="AU125" s="873"/>
      <c r="AV125" s="873"/>
    </row>
    <row r="126" spans="1:48" ht="11.25" customHeight="1" x14ac:dyDescent="0.2">
      <c r="A126" s="873"/>
      <c r="B126" s="873"/>
      <c r="C126" s="873"/>
      <c r="D126" s="873"/>
      <c r="E126" s="873"/>
      <c r="F126" s="873"/>
      <c r="G126" s="873"/>
      <c r="H126" s="873"/>
      <c r="I126" s="873"/>
      <c r="J126" s="873"/>
      <c r="K126" s="873"/>
      <c r="L126" s="873"/>
      <c r="M126" s="873"/>
      <c r="N126" s="873"/>
      <c r="O126" s="873"/>
      <c r="P126" s="873"/>
      <c r="Q126" s="873"/>
      <c r="R126" s="873"/>
      <c r="S126" s="873"/>
      <c r="T126" s="873"/>
      <c r="U126" s="873"/>
      <c r="V126" s="873"/>
      <c r="W126" s="873"/>
      <c r="X126" s="873"/>
      <c r="Y126" s="873"/>
      <c r="Z126" s="873"/>
      <c r="AA126" s="873"/>
      <c r="AB126" s="873"/>
      <c r="AC126" s="873"/>
      <c r="AD126" s="873"/>
      <c r="AE126" s="873"/>
      <c r="AF126" s="873"/>
      <c r="AG126" s="873"/>
      <c r="AH126" s="873"/>
      <c r="AI126" s="873"/>
      <c r="AJ126" s="873"/>
      <c r="AK126" s="873"/>
      <c r="AL126" s="873"/>
      <c r="AM126" s="873"/>
      <c r="AN126" s="873"/>
      <c r="AO126" s="873"/>
      <c r="AP126" s="873"/>
      <c r="AQ126" s="873"/>
      <c r="AR126" s="873"/>
      <c r="AS126" s="873"/>
      <c r="AT126" s="873"/>
      <c r="AU126" s="873"/>
      <c r="AV126" s="873"/>
    </row>
    <row r="127" spans="1:48" ht="11.25" customHeight="1" x14ac:dyDescent="0.2">
      <c r="A127" s="873"/>
      <c r="B127" s="873"/>
      <c r="C127" s="873"/>
      <c r="D127" s="873"/>
      <c r="E127" s="873"/>
      <c r="F127" s="873"/>
      <c r="G127" s="873"/>
      <c r="H127" s="873"/>
      <c r="I127" s="873"/>
      <c r="J127" s="873"/>
      <c r="K127" s="873"/>
      <c r="L127" s="873"/>
      <c r="M127" s="873"/>
      <c r="N127" s="873"/>
      <c r="O127" s="873"/>
      <c r="P127" s="873"/>
      <c r="Q127" s="873"/>
      <c r="R127" s="873"/>
      <c r="S127" s="873"/>
      <c r="T127" s="873"/>
      <c r="U127" s="873"/>
      <c r="V127" s="873"/>
      <c r="W127" s="873"/>
      <c r="X127" s="873"/>
      <c r="Y127" s="873"/>
      <c r="Z127" s="873"/>
      <c r="AA127" s="873"/>
      <c r="AB127" s="873"/>
      <c r="AC127" s="873"/>
      <c r="AD127" s="873"/>
      <c r="AE127" s="873"/>
      <c r="AF127" s="873"/>
      <c r="AG127" s="873"/>
      <c r="AH127" s="873"/>
      <c r="AI127" s="873"/>
      <c r="AJ127" s="873"/>
      <c r="AK127" s="873"/>
      <c r="AL127" s="873"/>
      <c r="AM127" s="873"/>
      <c r="AN127" s="873"/>
      <c r="AO127" s="873"/>
      <c r="AP127" s="873"/>
      <c r="AQ127" s="873"/>
      <c r="AR127" s="873"/>
      <c r="AS127" s="873"/>
      <c r="AT127" s="873"/>
      <c r="AU127" s="873"/>
      <c r="AV127" s="873"/>
    </row>
    <row r="128" spans="1:48" ht="11.25" customHeight="1" x14ac:dyDescent="0.2">
      <c r="A128" s="873"/>
      <c r="B128" s="873"/>
      <c r="C128" s="873"/>
      <c r="D128" s="873"/>
      <c r="E128" s="873"/>
      <c r="F128" s="873"/>
      <c r="G128" s="873"/>
      <c r="H128" s="873"/>
      <c r="I128" s="873"/>
      <c r="J128" s="873"/>
      <c r="K128" s="873"/>
      <c r="L128" s="873"/>
      <c r="M128" s="873"/>
      <c r="N128" s="873"/>
      <c r="O128" s="873"/>
      <c r="P128" s="873"/>
      <c r="Q128" s="873"/>
      <c r="R128" s="873"/>
      <c r="S128" s="873"/>
      <c r="T128" s="873"/>
      <c r="U128" s="873"/>
      <c r="V128" s="873"/>
      <c r="W128" s="873"/>
      <c r="X128" s="873"/>
      <c r="Y128" s="873"/>
      <c r="Z128" s="873"/>
      <c r="AA128" s="873"/>
      <c r="AB128" s="873"/>
      <c r="AC128" s="873"/>
      <c r="AD128" s="873"/>
      <c r="AE128" s="873"/>
      <c r="AF128" s="873"/>
      <c r="AG128" s="873"/>
      <c r="AH128" s="873"/>
      <c r="AI128" s="873"/>
      <c r="AJ128" s="873"/>
      <c r="AK128" s="873"/>
      <c r="AL128" s="873"/>
      <c r="AM128" s="873"/>
      <c r="AN128" s="873"/>
      <c r="AO128" s="873"/>
      <c r="AP128" s="873"/>
      <c r="AQ128" s="873"/>
      <c r="AR128" s="873"/>
      <c r="AS128" s="873"/>
      <c r="AT128" s="873"/>
      <c r="AU128" s="873"/>
      <c r="AV128" s="873"/>
    </row>
    <row r="129" spans="1:48" ht="11.25" customHeight="1" x14ac:dyDescent="0.2">
      <c r="A129" s="873"/>
      <c r="B129" s="873"/>
      <c r="C129" s="873"/>
      <c r="D129" s="873"/>
      <c r="E129" s="873"/>
      <c r="F129" s="873"/>
      <c r="G129" s="873"/>
      <c r="H129" s="873"/>
      <c r="I129" s="873"/>
      <c r="J129" s="873"/>
      <c r="K129" s="873"/>
      <c r="L129" s="873"/>
      <c r="M129" s="873"/>
      <c r="N129" s="873"/>
      <c r="O129" s="873"/>
      <c r="P129" s="873"/>
      <c r="Q129" s="873"/>
      <c r="R129" s="873"/>
      <c r="S129" s="873"/>
      <c r="T129" s="873"/>
      <c r="U129" s="873"/>
      <c r="V129" s="873"/>
      <c r="W129" s="873"/>
      <c r="X129" s="873"/>
      <c r="Y129" s="873"/>
      <c r="Z129" s="873"/>
      <c r="AA129" s="873"/>
      <c r="AB129" s="873"/>
      <c r="AC129" s="873"/>
      <c r="AD129" s="873"/>
      <c r="AE129" s="873"/>
      <c r="AF129" s="873"/>
      <c r="AG129" s="873"/>
      <c r="AH129" s="873"/>
      <c r="AI129" s="873"/>
      <c r="AJ129" s="873"/>
      <c r="AK129" s="873"/>
      <c r="AL129" s="873"/>
      <c r="AM129" s="873"/>
      <c r="AN129" s="873"/>
      <c r="AO129" s="873"/>
      <c r="AP129" s="873"/>
      <c r="AQ129" s="873"/>
      <c r="AR129" s="873"/>
      <c r="AS129" s="873"/>
      <c r="AT129" s="873"/>
      <c r="AU129" s="873"/>
      <c r="AV129" s="873"/>
    </row>
    <row r="130" spans="1:48" ht="11.25" customHeight="1" x14ac:dyDescent="0.2">
      <c r="A130" s="873"/>
      <c r="B130" s="873"/>
      <c r="C130" s="873"/>
      <c r="D130" s="873"/>
      <c r="E130" s="873"/>
      <c r="F130" s="873"/>
      <c r="G130" s="873"/>
      <c r="H130" s="873"/>
      <c r="I130" s="873"/>
      <c r="J130" s="873"/>
      <c r="K130" s="873"/>
      <c r="L130" s="873"/>
      <c r="M130" s="873"/>
      <c r="N130" s="873"/>
      <c r="O130" s="873"/>
      <c r="P130" s="873"/>
      <c r="Q130" s="873"/>
      <c r="R130" s="873"/>
      <c r="S130" s="873"/>
      <c r="T130" s="873"/>
      <c r="U130" s="873"/>
      <c r="V130" s="873"/>
      <c r="W130" s="873"/>
      <c r="X130" s="873"/>
      <c r="Y130" s="873"/>
      <c r="Z130" s="873"/>
      <c r="AA130" s="873"/>
      <c r="AB130" s="873"/>
      <c r="AC130" s="873"/>
      <c r="AD130" s="873"/>
      <c r="AE130" s="873"/>
      <c r="AF130" s="873"/>
      <c r="AG130" s="873"/>
      <c r="AH130" s="873"/>
      <c r="AI130" s="873"/>
      <c r="AJ130" s="873"/>
      <c r="AK130" s="873"/>
      <c r="AL130" s="873"/>
      <c r="AM130" s="873"/>
      <c r="AN130" s="873"/>
      <c r="AO130" s="873"/>
      <c r="AP130" s="873"/>
      <c r="AQ130" s="873"/>
      <c r="AR130" s="873"/>
      <c r="AS130" s="873"/>
      <c r="AT130" s="873"/>
      <c r="AU130" s="873"/>
      <c r="AV130" s="873"/>
    </row>
    <row r="131" spans="1:48" ht="11.25" customHeight="1" x14ac:dyDescent="0.2">
      <c r="A131" s="873"/>
      <c r="B131" s="873"/>
      <c r="C131" s="873"/>
      <c r="D131" s="873"/>
      <c r="E131" s="873"/>
      <c r="F131" s="873"/>
      <c r="G131" s="873"/>
      <c r="H131" s="873"/>
      <c r="I131" s="873"/>
      <c r="J131" s="873"/>
      <c r="K131" s="873"/>
      <c r="L131" s="873"/>
      <c r="M131" s="873"/>
      <c r="N131" s="873"/>
      <c r="O131" s="873"/>
      <c r="P131" s="873"/>
      <c r="Q131" s="873"/>
      <c r="R131" s="873"/>
      <c r="S131" s="873"/>
      <c r="T131" s="873"/>
      <c r="U131" s="873"/>
      <c r="V131" s="873"/>
      <c r="W131" s="873"/>
      <c r="X131" s="873"/>
      <c r="Y131" s="873"/>
      <c r="Z131" s="873"/>
      <c r="AA131" s="873"/>
      <c r="AB131" s="873"/>
      <c r="AC131" s="873"/>
      <c r="AD131" s="873"/>
      <c r="AE131" s="873"/>
      <c r="AF131" s="873"/>
      <c r="AG131" s="873"/>
      <c r="AH131" s="873"/>
      <c r="AI131" s="873"/>
      <c r="AJ131" s="873"/>
      <c r="AK131" s="873"/>
      <c r="AL131" s="873"/>
      <c r="AM131" s="873"/>
      <c r="AN131" s="873"/>
      <c r="AO131" s="873"/>
      <c r="AP131" s="873"/>
      <c r="AQ131" s="873"/>
      <c r="AR131" s="873"/>
      <c r="AS131" s="873"/>
      <c r="AT131" s="873"/>
      <c r="AU131" s="873"/>
      <c r="AV131" s="873"/>
    </row>
    <row r="132" spans="1:48" ht="11.25" customHeight="1" x14ac:dyDescent="0.2">
      <c r="A132" s="873"/>
      <c r="B132" s="873"/>
      <c r="C132" s="873"/>
      <c r="D132" s="873"/>
      <c r="E132" s="873"/>
      <c r="F132" s="873"/>
      <c r="G132" s="873"/>
      <c r="H132" s="873"/>
      <c r="I132" s="873"/>
      <c r="J132" s="873"/>
      <c r="K132" s="873"/>
      <c r="L132" s="873"/>
      <c r="M132" s="873"/>
      <c r="N132" s="873"/>
      <c r="O132" s="873"/>
      <c r="P132" s="873"/>
      <c r="Q132" s="873"/>
      <c r="R132" s="873"/>
      <c r="S132" s="873"/>
      <c r="T132" s="873"/>
      <c r="U132" s="873"/>
      <c r="V132" s="873"/>
      <c r="W132" s="873"/>
      <c r="X132" s="873"/>
      <c r="Y132" s="873"/>
      <c r="Z132" s="873"/>
      <c r="AA132" s="873"/>
      <c r="AB132" s="873"/>
      <c r="AC132" s="873"/>
      <c r="AD132" s="873"/>
      <c r="AE132" s="873"/>
      <c r="AF132" s="873"/>
      <c r="AG132" s="873"/>
      <c r="AH132" s="873"/>
      <c r="AI132" s="873"/>
      <c r="AJ132" s="873"/>
      <c r="AK132" s="873"/>
      <c r="AL132" s="873"/>
      <c r="AM132" s="873"/>
      <c r="AN132" s="873"/>
      <c r="AO132" s="873"/>
      <c r="AP132" s="873"/>
      <c r="AQ132" s="873"/>
      <c r="AR132" s="873"/>
      <c r="AS132" s="873"/>
      <c r="AT132" s="873"/>
      <c r="AU132" s="873"/>
      <c r="AV132" s="873"/>
    </row>
    <row r="133" spans="1:48" ht="11.25" customHeight="1" x14ac:dyDescent="0.2">
      <c r="A133" s="873"/>
      <c r="B133" s="873"/>
      <c r="C133" s="873"/>
      <c r="D133" s="873"/>
      <c r="E133" s="873"/>
      <c r="F133" s="873"/>
      <c r="G133" s="873"/>
      <c r="H133" s="873"/>
      <c r="I133" s="873"/>
      <c r="J133" s="873"/>
      <c r="K133" s="873"/>
      <c r="L133" s="873"/>
      <c r="M133" s="873"/>
      <c r="N133" s="873"/>
      <c r="O133" s="873"/>
      <c r="P133" s="873"/>
      <c r="Q133" s="873"/>
      <c r="R133" s="873"/>
      <c r="S133" s="873"/>
      <c r="T133" s="873"/>
      <c r="U133" s="873"/>
      <c r="V133" s="873"/>
      <c r="W133" s="873"/>
      <c r="X133" s="873"/>
      <c r="Y133" s="873"/>
      <c r="Z133" s="873"/>
      <c r="AA133" s="873"/>
      <c r="AB133" s="873"/>
      <c r="AC133" s="873"/>
      <c r="AD133" s="873"/>
      <c r="AE133" s="873"/>
      <c r="AF133" s="873"/>
      <c r="AG133" s="873"/>
      <c r="AH133" s="873"/>
      <c r="AI133" s="873"/>
      <c r="AJ133" s="873"/>
      <c r="AK133" s="873"/>
      <c r="AL133" s="873"/>
      <c r="AM133" s="873"/>
      <c r="AN133" s="873"/>
      <c r="AO133" s="873"/>
      <c r="AP133" s="873"/>
      <c r="AQ133" s="873"/>
      <c r="AR133" s="873"/>
      <c r="AS133" s="873"/>
      <c r="AT133" s="873"/>
      <c r="AU133" s="873"/>
      <c r="AV133" s="873"/>
    </row>
    <row r="134" spans="1:48" ht="11.25" customHeight="1" x14ac:dyDescent="0.2">
      <c r="A134" s="873"/>
      <c r="B134" s="873"/>
      <c r="C134" s="873"/>
      <c r="D134" s="873"/>
      <c r="E134" s="873"/>
      <c r="F134" s="873"/>
      <c r="G134" s="873"/>
      <c r="H134" s="873"/>
      <c r="I134" s="873"/>
      <c r="J134" s="873"/>
      <c r="K134" s="873"/>
      <c r="L134" s="873"/>
      <c r="M134" s="873"/>
      <c r="N134" s="873"/>
      <c r="O134" s="873"/>
      <c r="P134" s="873"/>
      <c r="Q134" s="873"/>
      <c r="R134" s="873"/>
      <c r="S134" s="873"/>
      <c r="T134" s="873"/>
      <c r="U134" s="873"/>
      <c r="V134" s="873"/>
      <c r="W134" s="873"/>
      <c r="X134" s="873"/>
      <c r="Y134" s="873"/>
      <c r="Z134" s="873"/>
      <c r="AA134" s="873"/>
      <c r="AB134" s="873"/>
      <c r="AC134" s="873"/>
      <c r="AD134" s="873"/>
      <c r="AE134" s="873"/>
      <c r="AF134" s="873"/>
      <c r="AG134" s="873"/>
      <c r="AH134" s="873"/>
      <c r="AI134" s="873"/>
      <c r="AJ134" s="873"/>
      <c r="AK134" s="873"/>
      <c r="AL134" s="873"/>
      <c r="AM134" s="873"/>
      <c r="AN134" s="873"/>
      <c r="AO134" s="873"/>
      <c r="AP134" s="873"/>
      <c r="AQ134" s="873"/>
      <c r="AR134" s="873"/>
      <c r="AS134" s="873"/>
      <c r="AT134" s="873"/>
      <c r="AU134" s="873"/>
      <c r="AV134" s="873"/>
    </row>
    <row r="135" spans="1:48" ht="11.25" customHeight="1" x14ac:dyDescent="0.2">
      <c r="A135" s="873"/>
      <c r="B135" s="873"/>
      <c r="C135" s="873"/>
      <c r="D135" s="873"/>
      <c r="E135" s="873"/>
      <c r="F135" s="873"/>
      <c r="G135" s="873"/>
      <c r="H135" s="873"/>
      <c r="I135" s="873"/>
      <c r="J135" s="873"/>
      <c r="K135" s="873"/>
      <c r="L135" s="873"/>
      <c r="M135" s="873"/>
      <c r="N135" s="873"/>
      <c r="O135" s="873"/>
      <c r="P135" s="873"/>
      <c r="Q135" s="873"/>
      <c r="R135" s="873"/>
      <c r="S135" s="873"/>
      <c r="T135" s="873"/>
      <c r="U135" s="873"/>
      <c r="V135" s="873"/>
      <c r="W135" s="873"/>
      <c r="X135" s="873"/>
      <c r="Y135" s="873"/>
      <c r="Z135" s="873"/>
      <c r="AA135" s="873"/>
      <c r="AB135" s="873"/>
      <c r="AC135" s="873"/>
      <c r="AD135" s="873"/>
      <c r="AE135" s="873"/>
      <c r="AF135" s="873"/>
      <c r="AG135" s="873"/>
      <c r="AH135" s="873"/>
      <c r="AI135" s="873"/>
      <c r="AJ135" s="873"/>
      <c r="AK135" s="873"/>
      <c r="AL135" s="873"/>
      <c r="AM135" s="873"/>
      <c r="AN135" s="873"/>
      <c r="AO135" s="873"/>
      <c r="AP135" s="873"/>
      <c r="AQ135" s="873"/>
      <c r="AR135" s="873"/>
      <c r="AS135" s="873"/>
      <c r="AT135" s="873"/>
      <c r="AU135" s="873"/>
      <c r="AV135" s="873"/>
    </row>
    <row r="136" spans="1:48" ht="11.25" customHeight="1" x14ac:dyDescent="0.2">
      <c r="A136" s="873"/>
      <c r="B136" s="873"/>
      <c r="C136" s="873"/>
      <c r="D136" s="873"/>
      <c r="E136" s="873"/>
      <c r="F136" s="873"/>
      <c r="G136" s="873"/>
      <c r="H136" s="873"/>
      <c r="I136" s="873"/>
      <c r="J136" s="873"/>
      <c r="K136" s="873"/>
      <c r="L136" s="873"/>
      <c r="M136" s="873"/>
      <c r="N136" s="873"/>
      <c r="O136" s="873"/>
      <c r="P136" s="873"/>
      <c r="Q136" s="873"/>
      <c r="R136" s="873"/>
      <c r="S136" s="873"/>
      <c r="T136" s="873"/>
      <c r="U136" s="873"/>
      <c r="V136" s="873"/>
      <c r="W136" s="873"/>
      <c r="X136" s="873"/>
      <c r="Y136" s="873"/>
      <c r="Z136" s="873"/>
      <c r="AA136" s="873"/>
      <c r="AB136" s="873"/>
      <c r="AC136" s="873"/>
      <c r="AD136" s="873"/>
      <c r="AE136" s="873"/>
      <c r="AF136" s="873"/>
      <c r="AG136" s="873"/>
      <c r="AH136" s="873"/>
      <c r="AI136" s="873"/>
      <c r="AJ136" s="873"/>
      <c r="AK136" s="873"/>
      <c r="AL136" s="873"/>
      <c r="AM136" s="873"/>
      <c r="AN136" s="873"/>
      <c r="AO136" s="873"/>
      <c r="AP136" s="873"/>
      <c r="AQ136" s="873"/>
      <c r="AR136" s="873"/>
      <c r="AS136" s="873"/>
      <c r="AT136" s="873"/>
      <c r="AU136" s="873"/>
      <c r="AV136" s="873"/>
    </row>
    <row r="137" spans="1:48" ht="11.25" customHeight="1" x14ac:dyDescent="0.2">
      <c r="A137" s="873"/>
      <c r="B137" s="873"/>
      <c r="C137" s="873"/>
      <c r="D137" s="873"/>
      <c r="E137" s="873"/>
      <c r="F137" s="873"/>
      <c r="G137" s="873"/>
      <c r="H137" s="873"/>
      <c r="I137" s="873"/>
      <c r="J137" s="873"/>
      <c r="K137" s="873"/>
      <c r="L137" s="873"/>
      <c r="M137" s="873"/>
      <c r="N137" s="873"/>
      <c r="O137" s="873"/>
      <c r="P137" s="873"/>
      <c r="Q137" s="873"/>
      <c r="R137" s="873"/>
      <c r="S137" s="873"/>
      <c r="T137" s="873"/>
      <c r="U137" s="873"/>
      <c r="V137" s="873"/>
      <c r="W137" s="873"/>
      <c r="X137" s="873"/>
      <c r="Y137" s="873"/>
      <c r="Z137" s="873"/>
      <c r="AA137" s="873"/>
      <c r="AB137" s="873"/>
      <c r="AC137" s="873"/>
      <c r="AD137" s="873"/>
      <c r="AE137" s="873"/>
      <c r="AF137" s="873"/>
      <c r="AG137" s="873"/>
      <c r="AH137" s="873"/>
      <c r="AI137" s="873"/>
      <c r="AJ137" s="873"/>
      <c r="AK137" s="873"/>
      <c r="AL137" s="873"/>
      <c r="AM137" s="873"/>
      <c r="AN137" s="873"/>
      <c r="AO137" s="873"/>
      <c r="AP137" s="873"/>
      <c r="AQ137" s="873"/>
      <c r="AR137" s="873"/>
      <c r="AS137" s="873"/>
      <c r="AT137" s="873"/>
      <c r="AU137" s="873"/>
      <c r="AV137" s="873"/>
    </row>
    <row r="138" spans="1:48" ht="11.25" customHeight="1" x14ac:dyDescent="0.2">
      <c r="A138" s="873"/>
      <c r="B138" s="873"/>
      <c r="C138" s="873"/>
      <c r="D138" s="873"/>
      <c r="E138" s="873"/>
      <c r="F138" s="873"/>
      <c r="G138" s="873"/>
      <c r="H138" s="873"/>
      <c r="I138" s="873"/>
      <c r="J138" s="873"/>
      <c r="K138" s="873"/>
      <c r="L138" s="873"/>
      <c r="M138" s="873"/>
      <c r="N138" s="873"/>
      <c r="O138" s="873"/>
      <c r="P138" s="873"/>
      <c r="Q138" s="873"/>
      <c r="R138" s="873"/>
      <c r="S138" s="873"/>
      <c r="T138" s="873"/>
      <c r="U138" s="873"/>
      <c r="V138" s="873"/>
      <c r="W138" s="873"/>
      <c r="X138" s="873"/>
      <c r="Y138" s="873"/>
      <c r="Z138" s="873"/>
      <c r="AA138" s="873"/>
      <c r="AB138" s="873"/>
      <c r="AC138" s="873"/>
      <c r="AD138" s="873"/>
      <c r="AE138" s="873"/>
      <c r="AF138" s="873"/>
      <c r="AG138" s="873"/>
      <c r="AH138" s="873"/>
      <c r="AI138" s="873"/>
      <c r="AJ138" s="873"/>
      <c r="AK138" s="873"/>
      <c r="AL138" s="873"/>
      <c r="AM138" s="873"/>
      <c r="AN138" s="873"/>
      <c r="AO138" s="873"/>
      <c r="AP138" s="873"/>
      <c r="AQ138" s="873"/>
      <c r="AR138" s="873"/>
      <c r="AS138" s="873"/>
      <c r="AT138" s="873"/>
      <c r="AU138" s="873"/>
      <c r="AV138" s="873"/>
    </row>
    <row r="139" spans="1:48" ht="11.25" customHeight="1" x14ac:dyDescent="0.2">
      <c r="A139" s="873"/>
      <c r="B139" s="873"/>
      <c r="C139" s="873"/>
      <c r="D139" s="873"/>
      <c r="E139" s="873"/>
      <c r="F139" s="873"/>
      <c r="G139" s="873"/>
      <c r="H139" s="873"/>
      <c r="I139" s="873"/>
      <c r="J139" s="873"/>
      <c r="K139" s="873"/>
      <c r="L139" s="873"/>
      <c r="M139" s="873"/>
      <c r="N139" s="873"/>
      <c r="O139" s="873"/>
      <c r="P139" s="873"/>
      <c r="Q139" s="873"/>
      <c r="R139" s="873"/>
      <c r="S139" s="873"/>
      <c r="T139" s="873"/>
      <c r="U139" s="873"/>
      <c r="V139" s="873"/>
      <c r="W139" s="873"/>
      <c r="X139" s="873"/>
      <c r="Y139" s="873"/>
      <c r="Z139" s="873"/>
      <c r="AA139" s="873"/>
      <c r="AB139" s="873"/>
      <c r="AC139" s="873"/>
      <c r="AD139" s="873"/>
      <c r="AE139" s="873"/>
      <c r="AF139" s="873"/>
      <c r="AG139" s="873"/>
      <c r="AH139" s="873"/>
      <c r="AI139" s="873"/>
      <c r="AJ139" s="873"/>
      <c r="AK139" s="873"/>
      <c r="AL139" s="873"/>
      <c r="AM139" s="873"/>
      <c r="AN139" s="873"/>
      <c r="AO139" s="873"/>
      <c r="AP139" s="873"/>
      <c r="AQ139" s="873"/>
      <c r="AR139" s="873"/>
      <c r="AS139" s="873"/>
      <c r="AT139" s="873"/>
      <c r="AU139" s="873"/>
      <c r="AV139" s="873"/>
    </row>
    <row r="140" spans="1:48" ht="11.25" customHeight="1" x14ac:dyDescent="0.2">
      <c r="A140" s="873"/>
      <c r="B140" s="873"/>
      <c r="C140" s="873"/>
      <c r="D140" s="873"/>
      <c r="E140" s="873"/>
      <c r="F140" s="873"/>
      <c r="G140" s="873"/>
      <c r="H140" s="873"/>
      <c r="I140" s="873"/>
      <c r="J140" s="873"/>
      <c r="K140" s="873"/>
      <c r="L140" s="873"/>
      <c r="M140" s="873"/>
      <c r="N140" s="873"/>
      <c r="O140" s="873"/>
      <c r="P140" s="873"/>
      <c r="Q140" s="873"/>
      <c r="R140" s="873"/>
      <c r="S140" s="873"/>
      <c r="T140" s="873"/>
      <c r="U140" s="873"/>
      <c r="V140" s="873"/>
      <c r="W140" s="873"/>
      <c r="X140" s="873"/>
      <c r="Y140" s="873"/>
      <c r="Z140" s="873"/>
      <c r="AA140" s="873"/>
      <c r="AB140" s="873"/>
      <c r="AC140" s="873"/>
      <c r="AD140" s="873"/>
      <c r="AE140" s="873"/>
      <c r="AF140" s="873"/>
      <c r="AG140" s="873"/>
      <c r="AH140" s="873"/>
      <c r="AI140" s="873"/>
      <c r="AJ140" s="873"/>
      <c r="AK140" s="873"/>
      <c r="AL140" s="873"/>
      <c r="AM140" s="873"/>
      <c r="AN140" s="873"/>
      <c r="AO140" s="873"/>
      <c r="AP140" s="873"/>
      <c r="AQ140" s="873"/>
      <c r="AR140" s="873"/>
      <c r="AS140" s="873"/>
      <c r="AT140" s="873"/>
      <c r="AU140" s="873"/>
      <c r="AV140" s="873"/>
    </row>
    <row r="141" spans="1:48" ht="11.25" customHeight="1" x14ac:dyDescent="0.2">
      <c r="A141" s="873"/>
      <c r="B141" s="873"/>
      <c r="C141" s="873"/>
      <c r="D141" s="873"/>
      <c r="E141" s="873"/>
      <c r="F141" s="873"/>
      <c r="G141" s="873"/>
      <c r="H141" s="873"/>
      <c r="I141" s="873"/>
      <c r="J141" s="873"/>
      <c r="K141" s="873"/>
      <c r="L141" s="873"/>
      <c r="M141" s="873"/>
      <c r="N141" s="873"/>
      <c r="O141" s="873"/>
      <c r="P141" s="873"/>
      <c r="Q141" s="873"/>
      <c r="R141" s="873"/>
      <c r="S141" s="873"/>
      <c r="T141" s="873"/>
      <c r="U141" s="873"/>
      <c r="V141" s="873"/>
      <c r="W141" s="873"/>
      <c r="X141" s="873"/>
      <c r="Y141" s="873"/>
      <c r="Z141" s="873"/>
      <c r="AA141" s="873"/>
      <c r="AB141" s="873"/>
      <c r="AC141" s="873"/>
      <c r="AD141" s="873"/>
      <c r="AE141" s="873"/>
      <c r="AF141" s="873"/>
      <c r="AG141" s="873"/>
      <c r="AH141" s="873"/>
      <c r="AI141" s="873"/>
      <c r="AJ141" s="873"/>
      <c r="AK141" s="873"/>
      <c r="AL141" s="873"/>
      <c r="AM141" s="873"/>
      <c r="AN141" s="873"/>
      <c r="AO141" s="873"/>
      <c r="AP141" s="873"/>
      <c r="AQ141" s="873"/>
      <c r="AR141" s="873"/>
      <c r="AS141" s="873"/>
      <c r="AT141" s="873"/>
      <c r="AU141" s="873"/>
      <c r="AV141" s="873"/>
    </row>
    <row r="142" spans="1:48" ht="11.25" customHeight="1" x14ac:dyDescent="0.2">
      <c r="A142" s="873"/>
      <c r="B142" s="873"/>
      <c r="C142" s="873"/>
      <c r="D142" s="873"/>
      <c r="E142" s="873"/>
      <c r="F142" s="873"/>
      <c r="G142" s="873"/>
      <c r="H142" s="873"/>
      <c r="I142" s="873"/>
      <c r="J142" s="873"/>
      <c r="K142" s="873"/>
      <c r="L142" s="873"/>
      <c r="M142" s="873"/>
      <c r="N142" s="873"/>
      <c r="O142" s="873"/>
      <c r="P142" s="873"/>
      <c r="Q142" s="873"/>
      <c r="R142" s="873"/>
      <c r="S142" s="873"/>
      <c r="T142" s="873"/>
      <c r="U142" s="873"/>
      <c r="V142" s="873"/>
      <c r="W142" s="873"/>
      <c r="X142" s="873"/>
      <c r="Y142" s="873"/>
      <c r="Z142" s="873"/>
      <c r="AA142" s="873"/>
      <c r="AB142" s="873"/>
      <c r="AC142" s="873"/>
      <c r="AD142" s="873"/>
      <c r="AE142" s="873"/>
      <c r="AF142" s="873"/>
      <c r="AG142" s="873"/>
      <c r="AH142" s="873"/>
      <c r="AI142" s="873"/>
      <c r="AJ142" s="873"/>
      <c r="AK142" s="873"/>
      <c r="AL142" s="873"/>
      <c r="AM142" s="873"/>
      <c r="AN142" s="873"/>
      <c r="AO142" s="873"/>
      <c r="AP142" s="873"/>
      <c r="AQ142" s="873"/>
      <c r="AR142" s="873"/>
      <c r="AS142" s="873"/>
      <c r="AT142" s="873"/>
      <c r="AU142" s="873"/>
      <c r="AV142" s="873"/>
    </row>
    <row r="143" spans="1:48" ht="11.25" customHeight="1" x14ac:dyDescent="0.2">
      <c r="A143" s="873"/>
      <c r="B143" s="873"/>
      <c r="C143" s="873"/>
      <c r="D143" s="873"/>
      <c r="E143" s="873"/>
      <c r="F143" s="873"/>
      <c r="G143" s="873"/>
      <c r="H143" s="873"/>
      <c r="I143" s="873"/>
      <c r="J143" s="873"/>
      <c r="K143" s="873"/>
      <c r="L143" s="873"/>
      <c r="M143" s="873"/>
      <c r="N143" s="873"/>
      <c r="O143" s="873"/>
      <c r="P143" s="873"/>
      <c r="Q143" s="873"/>
      <c r="R143" s="873"/>
      <c r="S143" s="873"/>
      <c r="T143" s="873"/>
      <c r="U143" s="873"/>
      <c r="V143" s="873"/>
      <c r="W143" s="873"/>
      <c r="X143" s="873"/>
      <c r="Y143" s="873"/>
      <c r="Z143" s="873"/>
      <c r="AA143" s="873"/>
      <c r="AB143" s="873"/>
      <c r="AC143" s="873"/>
      <c r="AD143" s="873"/>
      <c r="AE143" s="873"/>
      <c r="AF143" s="873"/>
      <c r="AG143" s="873"/>
      <c r="AH143" s="873"/>
      <c r="AI143" s="873"/>
      <c r="AJ143" s="873"/>
      <c r="AK143" s="873"/>
      <c r="AL143" s="873"/>
      <c r="AM143" s="873"/>
      <c r="AN143" s="873"/>
      <c r="AO143" s="873"/>
      <c r="AP143" s="873"/>
      <c r="AQ143" s="873"/>
      <c r="AR143" s="873"/>
      <c r="AS143" s="873"/>
      <c r="AT143" s="873"/>
      <c r="AU143" s="873"/>
      <c r="AV143" s="873"/>
    </row>
    <row r="144" spans="1:48" ht="11.25" customHeight="1" x14ac:dyDescent="0.2">
      <c r="A144" s="873"/>
      <c r="B144" s="873"/>
      <c r="C144" s="873"/>
      <c r="D144" s="873"/>
      <c r="E144" s="873"/>
      <c r="F144" s="873"/>
      <c r="G144" s="873"/>
      <c r="H144" s="873"/>
      <c r="I144" s="873"/>
      <c r="J144" s="873"/>
      <c r="K144" s="873"/>
      <c r="L144" s="873"/>
      <c r="M144" s="873"/>
      <c r="N144" s="873"/>
      <c r="O144" s="873"/>
      <c r="P144" s="873"/>
      <c r="Q144" s="873"/>
      <c r="R144" s="873"/>
      <c r="S144" s="873"/>
      <c r="T144" s="873"/>
      <c r="U144" s="873"/>
      <c r="V144" s="873"/>
      <c r="W144" s="873"/>
      <c r="X144" s="873"/>
      <c r="Y144" s="873"/>
      <c r="Z144" s="873"/>
      <c r="AA144" s="873"/>
      <c r="AB144" s="873"/>
      <c r="AC144" s="873"/>
      <c r="AD144" s="873"/>
      <c r="AE144" s="873"/>
      <c r="AF144" s="873"/>
      <c r="AG144" s="873"/>
      <c r="AH144" s="873"/>
      <c r="AI144" s="873"/>
      <c r="AJ144" s="873"/>
      <c r="AK144" s="873"/>
      <c r="AL144" s="873"/>
      <c r="AM144" s="873"/>
      <c r="AN144" s="873"/>
      <c r="AO144" s="873"/>
      <c r="AP144" s="873"/>
      <c r="AQ144" s="873"/>
      <c r="AR144" s="873"/>
      <c r="AS144" s="873"/>
      <c r="AT144" s="873"/>
      <c r="AU144" s="873"/>
      <c r="AV144" s="873"/>
    </row>
    <row r="145" spans="1:48" ht="11.25" customHeight="1" x14ac:dyDescent="0.2">
      <c r="A145" s="873"/>
      <c r="B145" s="873"/>
      <c r="C145" s="873"/>
      <c r="D145" s="873"/>
      <c r="E145" s="873"/>
      <c r="F145" s="873"/>
      <c r="G145" s="873"/>
      <c r="H145" s="873"/>
      <c r="I145" s="873"/>
      <c r="J145" s="873"/>
      <c r="K145" s="873"/>
      <c r="L145" s="873"/>
      <c r="M145" s="873"/>
      <c r="N145" s="873"/>
      <c r="O145" s="873"/>
      <c r="P145" s="873"/>
      <c r="Q145" s="873"/>
      <c r="R145" s="873"/>
      <c r="S145" s="873"/>
      <c r="T145" s="873"/>
      <c r="U145" s="873"/>
      <c r="V145" s="873"/>
      <c r="W145" s="873"/>
      <c r="X145" s="873"/>
      <c r="Y145" s="873"/>
      <c r="Z145" s="873"/>
      <c r="AA145" s="873"/>
      <c r="AB145" s="873"/>
      <c r="AC145" s="873"/>
      <c r="AD145" s="873"/>
      <c r="AE145" s="873"/>
      <c r="AF145" s="873"/>
      <c r="AG145" s="873"/>
      <c r="AH145" s="873"/>
      <c r="AI145" s="873"/>
      <c r="AJ145" s="873"/>
      <c r="AK145" s="873"/>
      <c r="AL145" s="873"/>
      <c r="AM145" s="873"/>
      <c r="AN145" s="873"/>
      <c r="AO145" s="873"/>
      <c r="AP145" s="873"/>
      <c r="AQ145" s="873"/>
      <c r="AR145" s="873"/>
      <c r="AS145" s="873"/>
      <c r="AT145" s="873"/>
      <c r="AU145" s="873"/>
      <c r="AV145" s="873"/>
    </row>
    <row r="146" spans="1:48" ht="11.25" customHeight="1" x14ac:dyDescent="0.2">
      <c r="A146" s="873"/>
      <c r="B146" s="873"/>
      <c r="C146" s="873"/>
      <c r="D146" s="873"/>
      <c r="E146" s="873"/>
      <c r="F146" s="873"/>
      <c r="G146" s="873"/>
      <c r="H146" s="873"/>
      <c r="I146" s="873"/>
      <c r="J146" s="873"/>
      <c r="K146" s="873"/>
      <c r="L146" s="873"/>
      <c r="M146" s="873"/>
      <c r="N146" s="873"/>
      <c r="O146" s="873"/>
      <c r="P146" s="873"/>
      <c r="Q146" s="873"/>
      <c r="R146" s="873"/>
      <c r="S146" s="873"/>
      <c r="T146" s="873"/>
      <c r="U146" s="873"/>
      <c r="V146" s="873"/>
      <c r="W146" s="873"/>
      <c r="X146" s="873"/>
      <c r="Y146" s="873"/>
      <c r="Z146" s="873"/>
      <c r="AA146" s="873"/>
      <c r="AB146" s="873"/>
      <c r="AC146" s="873"/>
      <c r="AD146" s="873"/>
      <c r="AE146" s="873"/>
      <c r="AF146" s="873"/>
      <c r="AG146" s="873"/>
      <c r="AH146" s="873"/>
      <c r="AI146" s="873"/>
      <c r="AJ146" s="873"/>
      <c r="AK146" s="873"/>
      <c r="AL146" s="873"/>
      <c r="AM146" s="873"/>
      <c r="AN146" s="873"/>
      <c r="AO146" s="873"/>
      <c r="AP146" s="873"/>
      <c r="AQ146" s="873"/>
      <c r="AR146" s="873"/>
      <c r="AS146" s="873"/>
      <c r="AT146" s="873"/>
      <c r="AU146" s="873"/>
      <c r="AV146" s="873"/>
    </row>
    <row r="147" spans="1:48" ht="11.25" customHeight="1" x14ac:dyDescent="0.2">
      <c r="A147" s="873"/>
      <c r="B147" s="873"/>
      <c r="C147" s="873"/>
      <c r="D147" s="873"/>
      <c r="E147" s="873"/>
      <c r="F147" s="873"/>
      <c r="G147" s="873"/>
      <c r="H147" s="873"/>
      <c r="I147" s="873"/>
      <c r="J147" s="873"/>
      <c r="K147" s="873"/>
      <c r="L147" s="873"/>
      <c r="M147" s="873"/>
      <c r="N147" s="873"/>
      <c r="O147" s="873"/>
      <c r="P147" s="873"/>
      <c r="Q147" s="873"/>
      <c r="R147" s="873"/>
      <c r="S147" s="873"/>
      <c r="T147" s="873"/>
      <c r="U147" s="873"/>
      <c r="V147" s="873"/>
      <c r="W147" s="873"/>
      <c r="X147" s="873"/>
      <c r="Y147" s="873"/>
      <c r="Z147" s="873"/>
      <c r="AA147" s="873"/>
      <c r="AB147" s="873"/>
      <c r="AC147" s="873"/>
      <c r="AD147" s="873"/>
      <c r="AE147" s="873"/>
      <c r="AF147" s="873"/>
      <c r="AG147" s="873"/>
      <c r="AH147" s="873"/>
      <c r="AI147" s="873"/>
      <c r="AJ147" s="873"/>
      <c r="AK147" s="873"/>
      <c r="AL147" s="873"/>
      <c r="AM147" s="873"/>
      <c r="AN147" s="873"/>
      <c r="AO147" s="873"/>
      <c r="AP147" s="873"/>
      <c r="AQ147" s="873"/>
      <c r="AR147" s="873"/>
      <c r="AS147" s="873"/>
      <c r="AT147" s="873"/>
      <c r="AU147" s="873"/>
      <c r="AV147" s="873"/>
    </row>
    <row r="148" spans="1:48" ht="11.25" customHeight="1" x14ac:dyDescent="0.2">
      <c r="A148" s="873"/>
      <c r="B148" s="873"/>
      <c r="C148" s="873"/>
      <c r="D148" s="873"/>
      <c r="E148" s="873"/>
      <c r="F148" s="873"/>
      <c r="G148" s="873"/>
      <c r="H148" s="873"/>
      <c r="I148" s="873"/>
      <c r="J148" s="873"/>
      <c r="K148" s="873"/>
      <c r="L148" s="873"/>
      <c r="M148" s="873"/>
      <c r="N148" s="873"/>
      <c r="O148" s="873"/>
      <c r="P148" s="873"/>
      <c r="Q148" s="873"/>
      <c r="R148" s="873"/>
      <c r="S148" s="873"/>
      <c r="T148" s="873"/>
      <c r="U148" s="873"/>
      <c r="V148" s="873"/>
      <c r="W148" s="873"/>
      <c r="X148" s="873"/>
      <c r="Y148" s="873"/>
      <c r="Z148" s="873"/>
      <c r="AA148" s="873"/>
      <c r="AB148" s="873"/>
      <c r="AC148" s="873"/>
      <c r="AD148" s="873"/>
      <c r="AE148" s="873"/>
      <c r="AF148" s="873"/>
      <c r="AG148" s="873"/>
      <c r="AH148" s="873"/>
      <c r="AI148" s="873"/>
      <c r="AJ148" s="873"/>
      <c r="AK148" s="873"/>
      <c r="AL148" s="873"/>
      <c r="AM148" s="873"/>
      <c r="AN148" s="873"/>
      <c r="AO148" s="873"/>
      <c r="AP148" s="873"/>
      <c r="AQ148" s="873"/>
      <c r="AR148" s="873"/>
      <c r="AS148" s="873"/>
      <c r="AT148" s="873"/>
      <c r="AU148" s="873"/>
      <c r="AV148" s="873"/>
    </row>
    <row r="149" spans="1:48" ht="11.25" customHeight="1" x14ac:dyDescent="0.2">
      <c r="A149" s="873"/>
      <c r="B149" s="873"/>
      <c r="C149" s="873"/>
      <c r="D149" s="873"/>
      <c r="E149" s="873"/>
      <c r="F149" s="873"/>
      <c r="G149" s="873"/>
      <c r="H149" s="873"/>
      <c r="I149" s="873"/>
      <c r="J149" s="873"/>
      <c r="K149" s="873"/>
      <c r="L149" s="873"/>
      <c r="M149" s="873"/>
      <c r="N149" s="873"/>
      <c r="O149" s="873"/>
      <c r="P149" s="873"/>
      <c r="Q149" s="873"/>
      <c r="R149" s="873"/>
      <c r="S149" s="873"/>
      <c r="T149" s="873"/>
      <c r="U149" s="873"/>
      <c r="V149" s="873"/>
      <c r="W149" s="873"/>
      <c r="X149" s="873"/>
      <c r="Y149" s="873"/>
      <c r="Z149" s="873"/>
      <c r="AA149" s="873"/>
      <c r="AB149" s="873"/>
      <c r="AC149" s="873"/>
      <c r="AD149" s="873"/>
      <c r="AE149" s="873"/>
      <c r="AF149" s="873"/>
      <c r="AG149" s="873"/>
      <c r="AH149" s="873"/>
      <c r="AI149" s="873"/>
      <c r="AJ149" s="873"/>
      <c r="AK149" s="873"/>
      <c r="AL149" s="873"/>
      <c r="AM149" s="873"/>
      <c r="AN149" s="873"/>
      <c r="AO149" s="873"/>
      <c r="AP149" s="873"/>
      <c r="AQ149" s="873"/>
      <c r="AR149" s="873"/>
      <c r="AS149" s="873"/>
      <c r="AT149" s="873"/>
      <c r="AU149" s="873"/>
      <c r="AV149" s="873"/>
    </row>
    <row r="150" spans="1:48" ht="11.25" customHeight="1" x14ac:dyDescent="0.2">
      <c r="A150" s="873"/>
      <c r="B150" s="873"/>
      <c r="C150" s="873"/>
      <c r="D150" s="873"/>
      <c r="E150" s="873"/>
      <c r="F150" s="873"/>
      <c r="G150" s="873"/>
      <c r="H150" s="873"/>
      <c r="I150" s="873"/>
      <c r="J150" s="873"/>
      <c r="K150" s="873"/>
      <c r="L150" s="873"/>
      <c r="M150" s="873"/>
      <c r="N150" s="873"/>
      <c r="O150" s="873"/>
      <c r="P150" s="873"/>
      <c r="Q150" s="873"/>
      <c r="R150" s="873"/>
      <c r="S150" s="873"/>
      <c r="T150" s="873"/>
      <c r="U150" s="873"/>
      <c r="V150" s="873"/>
      <c r="W150" s="873"/>
      <c r="X150" s="873"/>
      <c r="Y150" s="873"/>
      <c r="Z150" s="873"/>
      <c r="AA150" s="873"/>
      <c r="AB150" s="873"/>
      <c r="AC150" s="873"/>
      <c r="AD150" s="873"/>
      <c r="AE150" s="873"/>
      <c r="AF150" s="873"/>
      <c r="AG150" s="873"/>
      <c r="AH150" s="873"/>
      <c r="AI150" s="873"/>
      <c r="AJ150" s="873"/>
      <c r="AK150" s="873"/>
      <c r="AL150" s="873"/>
      <c r="AM150" s="873"/>
      <c r="AN150" s="873"/>
      <c r="AO150" s="873"/>
      <c r="AP150" s="873"/>
      <c r="AQ150" s="873"/>
      <c r="AR150" s="873"/>
      <c r="AS150" s="873"/>
      <c r="AT150" s="873"/>
      <c r="AU150" s="873"/>
      <c r="AV150" s="873"/>
    </row>
    <row r="151" spans="1:48" ht="11.25" customHeight="1" x14ac:dyDescent="0.2">
      <c r="A151" s="873"/>
      <c r="B151" s="873"/>
      <c r="C151" s="873"/>
      <c r="D151" s="873"/>
      <c r="E151" s="873"/>
      <c r="F151" s="873"/>
      <c r="G151" s="873"/>
      <c r="H151" s="873"/>
      <c r="I151" s="873"/>
      <c r="J151" s="873"/>
      <c r="K151" s="873"/>
      <c r="L151" s="873"/>
      <c r="M151" s="873"/>
      <c r="N151" s="873"/>
      <c r="O151" s="873"/>
      <c r="P151" s="873"/>
      <c r="Q151" s="873"/>
      <c r="R151" s="873"/>
      <c r="S151" s="873"/>
      <c r="T151" s="873"/>
      <c r="U151" s="873"/>
      <c r="V151" s="873"/>
      <c r="W151" s="873"/>
      <c r="X151" s="873"/>
      <c r="Y151" s="873"/>
      <c r="Z151" s="873"/>
      <c r="AA151" s="873"/>
      <c r="AB151" s="873"/>
      <c r="AC151" s="873"/>
      <c r="AD151" s="873"/>
      <c r="AE151" s="873"/>
      <c r="AF151" s="873"/>
      <c r="AG151" s="873"/>
      <c r="AH151" s="873"/>
      <c r="AI151" s="873"/>
      <c r="AJ151" s="873"/>
      <c r="AK151" s="873"/>
      <c r="AL151" s="873"/>
      <c r="AM151" s="873"/>
      <c r="AN151" s="873"/>
      <c r="AO151" s="873"/>
      <c r="AP151" s="873"/>
      <c r="AQ151" s="873"/>
      <c r="AR151" s="873"/>
      <c r="AS151" s="873"/>
      <c r="AT151" s="873"/>
      <c r="AU151" s="873"/>
      <c r="AV151" s="873"/>
    </row>
    <row r="152" spans="1:48" ht="11.25" customHeight="1" x14ac:dyDescent="0.2">
      <c r="A152" s="873"/>
      <c r="B152" s="873"/>
      <c r="C152" s="873"/>
      <c r="D152" s="873"/>
      <c r="E152" s="873"/>
      <c r="F152" s="873"/>
      <c r="G152" s="873"/>
      <c r="H152" s="873"/>
      <c r="I152" s="873"/>
      <c r="J152" s="873"/>
      <c r="K152" s="873"/>
      <c r="L152" s="873"/>
      <c r="M152" s="873"/>
      <c r="N152" s="873"/>
      <c r="O152" s="873"/>
      <c r="P152" s="873"/>
      <c r="Q152" s="873"/>
      <c r="R152" s="873"/>
      <c r="S152" s="873"/>
      <c r="T152" s="873"/>
      <c r="U152" s="873"/>
      <c r="V152" s="873"/>
      <c r="W152" s="873"/>
      <c r="X152" s="873"/>
      <c r="Y152" s="873"/>
      <c r="Z152" s="873"/>
      <c r="AA152" s="873"/>
      <c r="AB152" s="873"/>
      <c r="AC152" s="873"/>
      <c r="AD152" s="873"/>
      <c r="AE152" s="873"/>
      <c r="AF152" s="873"/>
      <c r="AG152" s="873"/>
      <c r="AH152" s="873"/>
      <c r="AI152" s="873"/>
      <c r="AJ152" s="873"/>
      <c r="AK152" s="873"/>
      <c r="AL152" s="873"/>
      <c r="AM152" s="873"/>
      <c r="AN152" s="873"/>
      <c r="AO152" s="873"/>
      <c r="AP152" s="873"/>
      <c r="AQ152" s="873"/>
      <c r="AR152" s="873"/>
      <c r="AS152" s="873"/>
      <c r="AT152" s="873"/>
      <c r="AU152" s="873"/>
      <c r="AV152" s="873"/>
    </row>
    <row r="153" spans="1:48" ht="11.25" customHeight="1" x14ac:dyDescent="0.2">
      <c r="A153" s="873"/>
      <c r="B153" s="873"/>
      <c r="C153" s="873"/>
      <c r="D153" s="873"/>
      <c r="E153" s="873"/>
      <c r="F153" s="873"/>
      <c r="G153" s="873"/>
      <c r="H153" s="873"/>
      <c r="I153" s="873"/>
      <c r="J153" s="873"/>
      <c r="K153" s="873"/>
      <c r="L153" s="873"/>
      <c r="M153" s="873"/>
      <c r="N153" s="873"/>
      <c r="O153" s="873"/>
      <c r="P153" s="873"/>
      <c r="Q153" s="873"/>
      <c r="R153" s="873"/>
      <c r="S153" s="873"/>
      <c r="T153" s="873"/>
      <c r="U153" s="873"/>
      <c r="V153" s="873"/>
      <c r="W153" s="873"/>
      <c r="X153" s="873"/>
      <c r="Y153" s="873"/>
      <c r="Z153" s="873"/>
      <c r="AA153" s="873"/>
      <c r="AB153" s="873"/>
      <c r="AC153" s="873"/>
      <c r="AD153" s="873"/>
      <c r="AE153" s="873"/>
      <c r="AF153" s="873"/>
      <c r="AG153" s="873"/>
      <c r="AH153" s="873"/>
      <c r="AI153" s="873"/>
      <c r="AJ153" s="873"/>
      <c r="AK153" s="873"/>
      <c r="AL153" s="873"/>
      <c r="AM153" s="873"/>
      <c r="AN153" s="873"/>
      <c r="AO153" s="873"/>
      <c r="AP153" s="873"/>
      <c r="AQ153" s="873"/>
      <c r="AR153" s="873"/>
      <c r="AS153" s="873"/>
      <c r="AT153" s="873"/>
      <c r="AU153" s="873"/>
      <c r="AV153" s="873"/>
    </row>
    <row r="154" spans="1:48" ht="11.25" customHeight="1" x14ac:dyDescent="0.2">
      <c r="A154" s="873"/>
      <c r="B154" s="873"/>
      <c r="C154" s="873"/>
      <c r="D154" s="873"/>
      <c r="E154" s="873"/>
      <c r="F154" s="873"/>
      <c r="G154" s="873"/>
      <c r="H154" s="873"/>
      <c r="I154" s="873"/>
      <c r="J154" s="873"/>
      <c r="K154" s="873"/>
      <c r="L154" s="873"/>
      <c r="M154" s="873"/>
      <c r="N154" s="873"/>
      <c r="O154" s="873"/>
      <c r="P154" s="873"/>
      <c r="Q154" s="873"/>
      <c r="R154" s="873"/>
      <c r="S154" s="873"/>
      <c r="T154" s="873"/>
      <c r="U154" s="873"/>
      <c r="V154" s="873"/>
      <c r="W154" s="873"/>
      <c r="X154" s="873"/>
      <c r="Y154" s="873"/>
      <c r="Z154" s="873"/>
      <c r="AA154" s="873"/>
      <c r="AB154" s="873"/>
      <c r="AC154" s="873"/>
      <c r="AD154" s="873"/>
      <c r="AE154" s="873"/>
      <c r="AF154" s="873"/>
      <c r="AG154" s="873"/>
      <c r="AH154" s="873"/>
      <c r="AI154" s="873"/>
      <c r="AJ154" s="873"/>
      <c r="AK154" s="873"/>
      <c r="AL154" s="873"/>
      <c r="AM154" s="873"/>
      <c r="AN154" s="873"/>
      <c r="AO154" s="873"/>
      <c r="AP154" s="873"/>
      <c r="AQ154" s="873"/>
      <c r="AR154" s="873"/>
      <c r="AS154" s="873"/>
      <c r="AT154" s="873"/>
      <c r="AU154" s="873"/>
      <c r="AV154" s="873"/>
    </row>
    <row r="155" spans="1:48" ht="11.25" customHeight="1" x14ac:dyDescent="0.2">
      <c r="A155" s="873"/>
      <c r="B155" s="873"/>
      <c r="C155" s="873"/>
      <c r="D155" s="873"/>
      <c r="E155" s="873"/>
      <c r="F155" s="873"/>
      <c r="G155" s="873"/>
      <c r="H155" s="873"/>
      <c r="I155" s="873"/>
      <c r="J155" s="873"/>
      <c r="K155" s="873"/>
      <c r="L155" s="873"/>
      <c r="M155" s="873"/>
      <c r="N155" s="873"/>
      <c r="O155" s="873"/>
      <c r="P155" s="873"/>
      <c r="Q155" s="873"/>
      <c r="R155" s="873"/>
      <c r="S155" s="873"/>
      <c r="T155" s="873"/>
      <c r="U155" s="873"/>
      <c r="V155" s="873"/>
      <c r="W155" s="873"/>
      <c r="X155" s="873"/>
      <c r="Y155" s="873"/>
      <c r="Z155" s="873"/>
      <c r="AA155" s="873"/>
      <c r="AB155" s="873"/>
      <c r="AC155" s="873"/>
      <c r="AD155" s="873"/>
      <c r="AE155" s="873"/>
      <c r="AF155" s="873"/>
      <c r="AG155" s="873"/>
      <c r="AH155" s="873"/>
      <c r="AI155" s="873"/>
      <c r="AJ155" s="873"/>
      <c r="AK155" s="873"/>
      <c r="AL155" s="873"/>
      <c r="AM155" s="873"/>
      <c r="AN155" s="873"/>
      <c r="AO155" s="873"/>
      <c r="AP155" s="873"/>
      <c r="AQ155" s="873"/>
      <c r="AR155" s="873"/>
      <c r="AS155" s="873"/>
      <c r="AT155" s="873"/>
      <c r="AU155" s="873"/>
      <c r="AV155" s="873"/>
    </row>
    <row r="156" spans="1:48" ht="11.25" customHeight="1" x14ac:dyDescent="0.2">
      <c r="A156" s="873"/>
      <c r="B156" s="873"/>
      <c r="C156" s="873"/>
      <c r="D156" s="873"/>
      <c r="E156" s="873"/>
      <c r="F156" s="873"/>
      <c r="G156" s="873"/>
      <c r="H156" s="873"/>
      <c r="I156" s="873"/>
      <c r="J156" s="873"/>
      <c r="K156" s="873"/>
      <c r="L156" s="873"/>
      <c r="M156" s="873"/>
      <c r="N156" s="873"/>
      <c r="O156" s="873"/>
      <c r="P156" s="873"/>
      <c r="Q156" s="873"/>
      <c r="R156" s="873"/>
      <c r="S156" s="873"/>
      <c r="T156" s="873"/>
      <c r="U156" s="873"/>
      <c r="V156" s="873"/>
      <c r="W156" s="873"/>
      <c r="X156" s="873"/>
      <c r="Y156" s="873"/>
      <c r="Z156" s="873"/>
      <c r="AA156" s="873"/>
      <c r="AB156" s="873"/>
      <c r="AC156" s="873"/>
      <c r="AD156" s="873"/>
      <c r="AE156" s="873"/>
      <c r="AF156" s="873"/>
      <c r="AG156" s="873"/>
      <c r="AH156" s="873"/>
      <c r="AI156" s="873"/>
      <c r="AJ156" s="873"/>
      <c r="AK156" s="873"/>
      <c r="AL156" s="873"/>
      <c r="AM156" s="873"/>
      <c r="AN156" s="873"/>
      <c r="AO156" s="873"/>
      <c r="AP156" s="873"/>
      <c r="AQ156" s="873"/>
      <c r="AR156" s="873"/>
      <c r="AS156" s="873"/>
      <c r="AT156" s="873"/>
      <c r="AU156" s="873"/>
      <c r="AV156" s="873"/>
    </row>
    <row r="157" spans="1:48" ht="11.25" customHeight="1" x14ac:dyDescent="0.2">
      <c r="A157" s="873"/>
      <c r="B157" s="873"/>
      <c r="C157" s="873"/>
      <c r="D157" s="873"/>
      <c r="E157" s="873"/>
      <c r="F157" s="873"/>
      <c r="G157" s="873"/>
      <c r="H157" s="873"/>
      <c r="I157" s="873"/>
      <c r="J157" s="873"/>
      <c r="K157" s="873"/>
      <c r="L157" s="873"/>
      <c r="M157" s="873"/>
      <c r="N157" s="873"/>
      <c r="O157" s="873"/>
      <c r="P157" s="873"/>
      <c r="Q157" s="873"/>
      <c r="R157" s="873"/>
      <c r="S157" s="873"/>
      <c r="T157" s="873"/>
      <c r="U157" s="873"/>
      <c r="V157" s="873"/>
      <c r="W157" s="873"/>
      <c r="X157" s="873"/>
      <c r="Y157" s="873"/>
      <c r="Z157" s="873"/>
      <c r="AA157" s="873"/>
      <c r="AB157" s="873"/>
      <c r="AC157" s="873"/>
      <c r="AD157" s="873"/>
      <c r="AE157" s="873"/>
      <c r="AF157" s="873"/>
      <c r="AG157" s="873"/>
      <c r="AH157" s="873"/>
      <c r="AI157" s="873"/>
      <c r="AJ157" s="873"/>
      <c r="AK157" s="873"/>
      <c r="AL157" s="873"/>
      <c r="AM157" s="873"/>
      <c r="AN157" s="873"/>
      <c r="AO157" s="873"/>
      <c r="AP157" s="873"/>
      <c r="AQ157" s="873"/>
      <c r="AR157" s="873"/>
      <c r="AS157" s="873"/>
      <c r="AT157" s="873"/>
      <c r="AU157" s="873"/>
      <c r="AV157" s="873"/>
    </row>
    <row r="158" spans="1:48" ht="11.25" customHeight="1" x14ac:dyDescent="0.2">
      <c r="A158" s="873"/>
      <c r="B158" s="873"/>
      <c r="C158" s="873"/>
      <c r="D158" s="873"/>
      <c r="E158" s="873"/>
      <c r="F158" s="873"/>
      <c r="G158" s="873"/>
      <c r="H158" s="873"/>
      <c r="I158" s="873"/>
      <c r="J158" s="873"/>
      <c r="K158" s="873"/>
      <c r="L158" s="873"/>
      <c r="M158" s="873"/>
      <c r="N158" s="873"/>
      <c r="O158" s="873"/>
      <c r="P158" s="873"/>
      <c r="Q158" s="873"/>
      <c r="R158" s="873"/>
      <c r="S158" s="873"/>
      <c r="T158" s="873"/>
      <c r="U158" s="873"/>
      <c r="V158" s="873"/>
      <c r="W158" s="873"/>
      <c r="X158" s="873"/>
      <c r="Y158" s="873"/>
      <c r="Z158" s="873"/>
      <c r="AA158" s="873"/>
      <c r="AB158" s="873"/>
      <c r="AC158" s="873"/>
      <c r="AD158" s="873"/>
      <c r="AE158" s="873"/>
      <c r="AF158" s="873"/>
      <c r="AG158" s="873"/>
      <c r="AH158" s="873"/>
      <c r="AI158" s="873"/>
      <c r="AJ158" s="873"/>
      <c r="AK158" s="873"/>
      <c r="AL158" s="873"/>
      <c r="AM158" s="873"/>
      <c r="AN158" s="873"/>
      <c r="AO158" s="873"/>
      <c r="AP158" s="873"/>
      <c r="AQ158" s="873"/>
      <c r="AR158" s="873"/>
      <c r="AS158" s="873"/>
      <c r="AT158" s="873"/>
      <c r="AU158" s="873"/>
      <c r="AV158" s="873"/>
    </row>
    <row r="159" spans="1:48" ht="11.25" customHeight="1" x14ac:dyDescent="0.2">
      <c r="A159" s="873"/>
      <c r="B159" s="873"/>
      <c r="C159" s="873"/>
      <c r="D159" s="873"/>
      <c r="E159" s="873"/>
      <c r="F159" s="873"/>
      <c r="G159" s="873"/>
      <c r="H159" s="873"/>
      <c r="I159" s="873"/>
      <c r="J159" s="873"/>
      <c r="K159" s="873"/>
      <c r="L159" s="873"/>
      <c r="M159" s="873"/>
      <c r="N159" s="873"/>
      <c r="O159" s="873"/>
      <c r="P159" s="873"/>
      <c r="Q159" s="873"/>
      <c r="R159" s="873"/>
      <c r="S159" s="873"/>
      <c r="T159" s="873"/>
      <c r="U159" s="873"/>
      <c r="V159" s="873"/>
      <c r="W159" s="873"/>
      <c r="X159" s="873"/>
      <c r="Y159" s="873"/>
      <c r="Z159" s="873"/>
      <c r="AA159" s="873"/>
      <c r="AB159" s="873"/>
      <c r="AC159" s="873"/>
      <c r="AD159" s="873"/>
      <c r="AE159" s="873"/>
      <c r="AF159" s="873"/>
      <c r="AG159" s="873"/>
      <c r="AH159" s="873"/>
      <c r="AI159" s="873"/>
      <c r="AJ159" s="873"/>
      <c r="AK159" s="873"/>
      <c r="AL159" s="873"/>
      <c r="AM159" s="873"/>
      <c r="AN159" s="873"/>
      <c r="AO159" s="873"/>
      <c r="AP159" s="873"/>
      <c r="AQ159" s="873"/>
      <c r="AR159" s="873"/>
      <c r="AS159" s="873"/>
      <c r="AT159" s="873"/>
      <c r="AU159" s="873"/>
      <c r="AV159" s="873"/>
    </row>
    <row r="160" spans="1:48" ht="11.25" customHeight="1" x14ac:dyDescent="0.2">
      <c r="A160" s="873"/>
      <c r="B160" s="873"/>
      <c r="C160" s="873"/>
      <c r="D160" s="873"/>
      <c r="E160" s="873"/>
      <c r="F160" s="873"/>
      <c r="G160" s="873"/>
      <c r="H160" s="873"/>
      <c r="I160" s="873"/>
      <c r="J160" s="873"/>
      <c r="K160" s="873"/>
      <c r="L160" s="873"/>
      <c r="M160" s="873"/>
      <c r="N160" s="873"/>
      <c r="O160" s="873"/>
      <c r="P160" s="873"/>
      <c r="Q160" s="873"/>
      <c r="R160" s="873"/>
      <c r="S160" s="873"/>
      <c r="T160" s="873"/>
      <c r="U160" s="873"/>
      <c r="V160" s="873"/>
      <c r="W160" s="873"/>
      <c r="X160" s="873"/>
      <c r="Y160" s="873"/>
      <c r="Z160" s="873"/>
      <c r="AA160" s="873"/>
      <c r="AB160" s="873"/>
      <c r="AC160" s="873"/>
      <c r="AD160" s="873"/>
      <c r="AE160" s="873"/>
      <c r="AF160" s="873"/>
      <c r="AG160" s="873"/>
      <c r="AH160" s="873"/>
      <c r="AI160" s="873"/>
      <c r="AJ160" s="873"/>
      <c r="AK160" s="873"/>
      <c r="AL160" s="873"/>
      <c r="AM160" s="873"/>
      <c r="AN160" s="873"/>
      <c r="AO160" s="873"/>
      <c r="AP160" s="873"/>
      <c r="AQ160" s="873"/>
      <c r="AR160" s="873"/>
      <c r="AS160" s="873"/>
      <c r="AT160" s="873"/>
      <c r="AU160" s="873"/>
      <c r="AV160" s="873"/>
    </row>
    <row r="161" spans="1:48" ht="11.25" customHeight="1" x14ac:dyDescent="0.2">
      <c r="A161" s="873"/>
      <c r="B161" s="873"/>
      <c r="C161" s="873"/>
      <c r="D161" s="873"/>
      <c r="E161" s="873"/>
      <c r="F161" s="873"/>
      <c r="G161" s="873"/>
      <c r="H161" s="873"/>
      <c r="I161" s="873"/>
      <c r="J161" s="873"/>
      <c r="K161" s="873"/>
      <c r="L161" s="873"/>
      <c r="M161" s="873"/>
      <c r="N161" s="873"/>
      <c r="O161" s="873"/>
      <c r="P161" s="873"/>
      <c r="Q161" s="873"/>
      <c r="R161" s="873"/>
      <c r="S161" s="873"/>
      <c r="T161" s="873"/>
      <c r="U161" s="873"/>
      <c r="V161" s="873"/>
      <c r="W161" s="873"/>
      <c r="X161" s="873"/>
      <c r="Y161" s="873"/>
      <c r="Z161" s="873"/>
      <c r="AA161" s="873"/>
      <c r="AB161" s="873"/>
      <c r="AC161" s="873"/>
      <c r="AD161" s="873"/>
      <c r="AE161" s="873"/>
      <c r="AF161" s="873"/>
      <c r="AG161" s="873"/>
      <c r="AH161" s="873"/>
      <c r="AI161" s="873"/>
      <c r="AJ161" s="873"/>
      <c r="AK161" s="873"/>
      <c r="AL161" s="873"/>
      <c r="AM161" s="873"/>
      <c r="AN161" s="873"/>
      <c r="AO161" s="873"/>
      <c r="AP161" s="873"/>
      <c r="AQ161" s="873"/>
      <c r="AR161" s="873"/>
      <c r="AS161" s="873"/>
      <c r="AT161" s="873"/>
      <c r="AU161" s="873"/>
      <c r="AV161" s="873"/>
    </row>
    <row r="162" spans="1:48" ht="11.25" customHeight="1" x14ac:dyDescent="0.2">
      <c r="A162" s="873"/>
      <c r="B162" s="873"/>
      <c r="C162" s="873"/>
      <c r="D162" s="873"/>
      <c r="E162" s="873"/>
      <c r="F162" s="873"/>
      <c r="G162" s="873"/>
      <c r="H162" s="873"/>
      <c r="I162" s="873"/>
      <c r="J162" s="873"/>
      <c r="K162" s="873"/>
      <c r="L162" s="873"/>
      <c r="M162" s="873"/>
      <c r="N162" s="873"/>
      <c r="O162" s="873"/>
      <c r="P162" s="873"/>
      <c r="Q162" s="873"/>
      <c r="R162" s="873"/>
      <c r="S162" s="873"/>
      <c r="T162" s="873"/>
      <c r="U162" s="873"/>
      <c r="V162" s="873"/>
      <c r="W162" s="873"/>
      <c r="X162" s="873"/>
      <c r="Y162" s="873"/>
      <c r="Z162" s="873"/>
      <c r="AA162" s="873"/>
      <c r="AB162" s="873"/>
      <c r="AC162" s="873"/>
      <c r="AD162" s="873"/>
      <c r="AE162" s="873"/>
      <c r="AF162" s="873"/>
      <c r="AG162" s="873"/>
      <c r="AH162" s="873"/>
      <c r="AI162" s="873"/>
      <c r="AJ162" s="873"/>
      <c r="AK162" s="873"/>
      <c r="AL162" s="873"/>
      <c r="AM162" s="873"/>
      <c r="AN162" s="873"/>
      <c r="AO162" s="873"/>
      <c r="AP162" s="873"/>
      <c r="AQ162" s="873"/>
      <c r="AR162" s="873"/>
      <c r="AS162" s="873"/>
      <c r="AT162" s="873"/>
      <c r="AU162" s="873"/>
      <c r="AV162" s="873"/>
    </row>
    <row r="163" spans="1:48" ht="11.25" customHeight="1" x14ac:dyDescent="0.2">
      <c r="A163" s="873"/>
      <c r="B163" s="873"/>
      <c r="C163" s="873"/>
      <c r="D163" s="873"/>
      <c r="E163" s="873"/>
      <c r="F163" s="873"/>
      <c r="G163" s="873"/>
      <c r="H163" s="873"/>
      <c r="I163" s="873"/>
      <c r="J163" s="873"/>
      <c r="K163" s="873"/>
      <c r="L163" s="873"/>
      <c r="M163" s="873"/>
      <c r="N163" s="873"/>
      <c r="O163" s="873"/>
      <c r="P163" s="873"/>
      <c r="Q163" s="873"/>
      <c r="R163" s="873"/>
      <c r="S163" s="873"/>
      <c r="T163" s="873"/>
      <c r="U163" s="873"/>
      <c r="V163" s="873"/>
      <c r="W163" s="873"/>
      <c r="X163" s="873"/>
      <c r="Y163" s="873"/>
      <c r="Z163" s="873"/>
      <c r="AA163" s="873"/>
      <c r="AB163" s="873"/>
      <c r="AC163" s="873"/>
      <c r="AD163" s="873"/>
      <c r="AE163" s="873"/>
      <c r="AF163" s="873"/>
      <c r="AG163" s="873"/>
      <c r="AH163" s="873"/>
      <c r="AI163" s="873"/>
      <c r="AJ163" s="873"/>
      <c r="AK163" s="873"/>
      <c r="AL163" s="873"/>
      <c r="AM163" s="873"/>
      <c r="AN163" s="873"/>
      <c r="AO163" s="873"/>
      <c r="AP163" s="873"/>
      <c r="AQ163" s="873"/>
      <c r="AR163" s="873"/>
      <c r="AS163" s="873"/>
      <c r="AT163" s="873"/>
      <c r="AU163" s="873"/>
      <c r="AV163" s="873"/>
    </row>
    <row r="164" spans="1:48" ht="11.25" customHeight="1" x14ac:dyDescent="0.2">
      <c r="A164" s="873"/>
      <c r="B164" s="873"/>
      <c r="C164" s="873"/>
      <c r="D164" s="873"/>
      <c r="E164" s="873"/>
      <c r="F164" s="873"/>
      <c r="G164" s="873"/>
      <c r="H164" s="873"/>
      <c r="I164" s="873"/>
      <c r="J164" s="873"/>
      <c r="K164" s="873"/>
      <c r="L164" s="873"/>
      <c r="M164" s="873"/>
      <c r="N164" s="873"/>
      <c r="O164" s="873"/>
      <c r="P164" s="873"/>
      <c r="Q164" s="873"/>
      <c r="R164" s="873"/>
      <c r="S164" s="873"/>
      <c r="T164" s="873"/>
      <c r="U164" s="873"/>
      <c r="V164" s="873"/>
      <c r="W164" s="873"/>
      <c r="X164" s="873"/>
      <c r="Y164" s="873"/>
      <c r="Z164" s="873"/>
      <c r="AA164" s="873"/>
      <c r="AB164" s="873"/>
      <c r="AC164" s="873"/>
      <c r="AD164" s="873"/>
      <c r="AE164" s="873"/>
      <c r="AF164" s="873"/>
      <c r="AG164" s="873"/>
      <c r="AH164" s="873"/>
      <c r="AI164" s="873"/>
      <c r="AJ164" s="873"/>
      <c r="AK164" s="873"/>
      <c r="AL164" s="873"/>
      <c r="AM164" s="873"/>
      <c r="AN164" s="873"/>
      <c r="AO164" s="873"/>
      <c r="AP164" s="873"/>
      <c r="AQ164" s="873"/>
      <c r="AR164" s="873"/>
      <c r="AS164" s="873"/>
      <c r="AT164" s="873"/>
      <c r="AU164" s="873"/>
      <c r="AV164" s="873"/>
    </row>
    <row r="165" spans="1:48" ht="11.25" customHeight="1" x14ac:dyDescent="0.2">
      <c r="A165" s="873"/>
      <c r="B165" s="873"/>
      <c r="C165" s="873"/>
      <c r="D165" s="873"/>
      <c r="E165" s="873"/>
      <c r="F165" s="873"/>
      <c r="G165" s="873"/>
      <c r="H165" s="873"/>
      <c r="I165" s="873"/>
      <c r="J165" s="873"/>
      <c r="K165" s="873"/>
      <c r="L165" s="873"/>
      <c r="M165" s="873"/>
      <c r="N165" s="873"/>
      <c r="O165" s="873"/>
      <c r="P165" s="873"/>
      <c r="Q165" s="873"/>
      <c r="R165" s="873"/>
      <c r="S165" s="873"/>
      <c r="T165" s="873"/>
      <c r="U165" s="873"/>
      <c r="V165" s="873"/>
      <c r="W165" s="873"/>
      <c r="X165" s="873"/>
      <c r="Y165" s="873"/>
      <c r="Z165" s="873"/>
      <c r="AA165" s="873"/>
      <c r="AB165" s="873"/>
      <c r="AC165" s="873"/>
      <c r="AD165" s="873"/>
      <c r="AE165" s="873"/>
      <c r="AF165" s="873"/>
      <c r="AG165" s="873"/>
      <c r="AH165" s="873"/>
      <c r="AI165" s="873"/>
      <c r="AJ165" s="873"/>
      <c r="AK165" s="873"/>
      <c r="AL165" s="873"/>
      <c r="AM165" s="873"/>
      <c r="AN165" s="873"/>
      <c r="AO165" s="873"/>
      <c r="AP165" s="873"/>
      <c r="AQ165" s="873"/>
      <c r="AR165" s="873"/>
      <c r="AS165" s="873"/>
      <c r="AT165" s="873"/>
      <c r="AU165" s="873"/>
      <c r="AV165" s="873"/>
    </row>
    <row r="166" spans="1:48" ht="11.25" customHeight="1" x14ac:dyDescent="0.2">
      <c r="A166" s="873"/>
      <c r="B166" s="873"/>
      <c r="C166" s="873"/>
      <c r="D166" s="873"/>
      <c r="E166" s="873"/>
      <c r="F166" s="873"/>
      <c r="G166" s="873"/>
      <c r="H166" s="873"/>
      <c r="I166" s="873"/>
      <c r="J166" s="873"/>
      <c r="K166" s="873"/>
      <c r="L166" s="873"/>
      <c r="M166" s="873"/>
      <c r="N166" s="873"/>
      <c r="O166" s="873"/>
      <c r="P166" s="873"/>
      <c r="Q166" s="873"/>
      <c r="R166" s="873"/>
      <c r="S166" s="873"/>
      <c r="T166" s="873"/>
      <c r="U166" s="873"/>
      <c r="V166" s="873"/>
      <c r="W166" s="873"/>
      <c r="X166" s="873"/>
      <c r="Y166" s="873"/>
      <c r="Z166" s="873"/>
      <c r="AA166" s="873"/>
      <c r="AB166" s="873"/>
      <c r="AC166" s="873"/>
      <c r="AD166" s="873"/>
      <c r="AE166" s="873"/>
      <c r="AF166" s="873"/>
      <c r="AG166" s="873"/>
      <c r="AH166" s="873"/>
      <c r="AI166" s="873"/>
      <c r="AJ166" s="873"/>
      <c r="AK166" s="873"/>
      <c r="AL166" s="873"/>
      <c r="AM166" s="873"/>
      <c r="AN166" s="873"/>
      <c r="AO166" s="873"/>
      <c r="AP166" s="873"/>
      <c r="AQ166" s="873"/>
      <c r="AR166" s="873"/>
      <c r="AS166" s="873"/>
      <c r="AT166" s="873"/>
      <c r="AU166" s="873"/>
      <c r="AV166" s="873"/>
    </row>
    <row r="167" spans="1:48" ht="11.25" customHeight="1" x14ac:dyDescent="0.2">
      <c r="A167" s="873"/>
      <c r="B167" s="873"/>
      <c r="C167" s="873"/>
      <c r="D167" s="873"/>
      <c r="E167" s="873"/>
      <c r="F167" s="873"/>
      <c r="G167" s="873"/>
      <c r="H167" s="873"/>
      <c r="I167" s="873"/>
      <c r="J167" s="873"/>
      <c r="K167" s="873"/>
      <c r="L167" s="873"/>
      <c r="M167" s="873"/>
      <c r="N167" s="873"/>
      <c r="O167" s="873"/>
      <c r="P167" s="873"/>
      <c r="Q167" s="873"/>
      <c r="R167" s="873"/>
      <c r="S167" s="873"/>
      <c r="T167" s="873"/>
      <c r="U167" s="873"/>
      <c r="V167" s="873"/>
      <c r="W167" s="873"/>
      <c r="X167" s="873"/>
      <c r="Y167" s="873"/>
      <c r="Z167" s="873"/>
      <c r="AA167" s="873"/>
      <c r="AB167" s="873"/>
      <c r="AC167" s="873"/>
      <c r="AD167" s="873"/>
      <c r="AE167" s="873"/>
      <c r="AF167" s="873"/>
      <c r="AG167" s="873"/>
      <c r="AH167" s="873"/>
      <c r="AI167" s="873"/>
      <c r="AJ167" s="873"/>
      <c r="AK167" s="873"/>
      <c r="AL167" s="873"/>
      <c r="AM167" s="873"/>
      <c r="AN167" s="873"/>
      <c r="AO167" s="873"/>
      <c r="AP167" s="873"/>
      <c r="AQ167" s="873"/>
      <c r="AR167" s="873"/>
      <c r="AS167" s="873"/>
      <c r="AT167" s="873"/>
      <c r="AU167" s="873"/>
      <c r="AV167" s="873"/>
    </row>
    <row r="168" spans="1:48" ht="11.25" customHeight="1" x14ac:dyDescent="0.2">
      <c r="A168" s="873"/>
      <c r="B168" s="873"/>
      <c r="C168" s="873"/>
      <c r="D168" s="873"/>
      <c r="E168" s="873"/>
      <c r="F168" s="873"/>
      <c r="G168" s="873"/>
      <c r="H168" s="873"/>
      <c r="I168" s="873"/>
      <c r="J168" s="873"/>
      <c r="K168" s="873"/>
      <c r="L168" s="873"/>
      <c r="M168" s="873"/>
      <c r="N168" s="873"/>
      <c r="O168" s="873"/>
      <c r="P168" s="873"/>
      <c r="Q168" s="873"/>
      <c r="R168" s="873"/>
      <c r="S168" s="873"/>
      <c r="T168" s="873"/>
      <c r="U168" s="873"/>
      <c r="V168" s="873"/>
      <c r="W168" s="873"/>
      <c r="X168" s="873"/>
      <c r="Y168" s="873"/>
      <c r="Z168" s="873"/>
      <c r="AA168" s="873"/>
      <c r="AB168" s="873"/>
      <c r="AC168" s="873"/>
      <c r="AD168" s="873"/>
      <c r="AE168" s="873"/>
      <c r="AF168" s="873"/>
      <c r="AG168" s="873"/>
      <c r="AH168" s="873"/>
      <c r="AI168" s="873"/>
      <c r="AJ168" s="873"/>
      <c r="AK168" s="873"/>
      <c r="AL168" s="873"/>
      <c r="AM168" s="873"/>
      <c r="AN168" s="873"/>
      <c r="AO168" s="873"/>
      <c r="AP168" s="873"/>
      <c r="AQ168" s="873"/>
      <c r="AR168" s="873"/>
      <c r="AS168" s="873"/>
      <c r="AT168" s="873"/>
      <c r="AU168" s="873"/>
      <c r="AV168" s="873"/>
    </row>
    <row r="169" spans="1:48" ht="11.25" customHeight="1" x14ac:dyDescent="0.2">
      <c r="A169" s="873"/>
      <c r="B169" s="873"/>
      <c r="C169" s="873"/>
      <c r="D169" s="873"/>
      <c r="E169" s="873"/>
      <c r="F169" s="873"/>
      <c r="G169" s="873"/>
      <c r="H169" s="873"/>
      <c r="I169" s="873"/>
      <c r="J169" s="873"/>
      <c r="K169" s="873"/>
      <c r="L169" s="873"/>
      <c r="M169" s="873"/>
      <c r="N169" s="873"/>
      <c r="O169" s="873"/>
      <c r="P169" s="873"/>
      <c r="Q169" s="873"/>
      <c r="R169" s="873"/>
      <c r="S169" s="873"/>
      <c r="T169" s="873"/>
      <c r="U169" s="873"/>
      <c r="V169" s="873"/>
      <c r="W169" s="873"/>
      <c r="X169" s="873"/>
      <c r="Y169" s="873"/>
      <c r="Z169" s="873"/>
      <c r="AA169" s="873"/>
      <c r="AB169" s="873"/>
      <c r="AC169" s="873"/>
      <c r="AD169" s="873"/>
      <c r="AE169" s="873"/>
      <c r="AF169" s="873"/>
      <c r="AG169" s="873"/>
      <c r="AH169" s="873"/>
      <c r="AI169" s="873"/>
      <c r="AJ169" s="873"/>
      <c r="AK169" s="873"/>
      <c r="AL169" s="873"/>
      <c r="AM169" s="873"/>
      <c r="AN169" s="873"/>
      <c r="AO169" s="873"/>
      <c r="AP169" s="873"/>
      <c r="AQ169" s="873"/>
      <c r="AR169" s="873"/>
      <c r="AS169" s="873"/>
      <c r="AT169" s="873"/>
      <c r="AU169" s="873"/>
      <c r="AV169" s="873"/>
    </row>
    <row r="170" spans="1:48" ht="11.25" customHeight="1" x14ac:dyDescent="0.2">
      <c r="A170" s="873"/>
      <c r="B170" s="873"/>
      <c r="C170" s="873"/>
      <c r="D170" s="873"/>
      <c r="E170" s="873"/>
      <c r="F170" s="873"/>
      <c r="G170" s="873"/>
      <c r="H170" s="873"/>
      <c r="I170" s="873"/>
      <c r="J170" s="873"/>
      <c r="K170" s="873"/>
      <c r="L170" s="873"/>
      <c r="M170" s="873"/>
      <c r="N170" s="873"/>
      <c r="O170" s="873"/>
      <c r="P170" s="873"/>
      <c r="Q170" s="873"/>
      <c r="R170" s="873"/>
      <c r="S170" s="873"/>
      <c r="T170" s="873"/>
      <c r="U170" s="873"/>
      <c r="V170" s="873"/>
      <c r="W170" s="873"/>
      <c r="X170" s="873"/>
      <c r="Y170" s="873"/>
      <c r="Z170" s="873"/>
      <c r="AA170" s="873"/>
      <c r="AB170" s="873"/>
      <c r="AC170" s="873"/>
      <c r="AD170" s="873"/>
      <c r="AE170" s="873"/>
      <c r="AF170" s="873"/>
      <c r="AG170" s="873"/>
      <c r="AH170" s="873"/>
      <c r="AI170" s="873"/>
      <c r="AJ170" s="873"/>
      <c r="AK170" s="873"/>
      <c r="AL170" s="873"/>
      <c r="AM170" s="873"/>
      <c r="AN170" s="873"/>
      <c r="AO170" s="873"/>
      <c r="AP170" s="873"/>
      <c r="AQ170" s="873"/>
      <c r="AR170" s="873"/>
      <c r="AS170" s="873"/>
      <c r="AT170" s="873"/>
      <c r="AU170" s="873"/>
      <c r="AV170" s="873"/>
    </row>
    <row r="171" spans="1:48" ht="11.25" customHeight="1" x14ac:dyDescent="0.2">
      <c r="A171" s="873"/>
      <c r="B171" s="873"/>
      <c r="C171" s="873"/>
      <c r="D171" s="873"/>
      <c r="E171" s="873"/>
      <c r="F171" s="873"/>
      <c r="G171" s="873"/>
      <c r="H171" s="873"/>
      <c r="I171" s="873"/>
      <c r="J171" s="873"/>
      <c r="K171" s="873"/>
      <c r="L171" s="873"/>
      <c r="M171" s="873"/>
      <c r="N171" s="873"/>
      <c r="O171" s="873"/>
      <c r="P171" s="873"/>
      <c r="Q171" s="873"/>
      <c r="R171" s="873"/>
      <c r="S171" s="873"/>
      <c r="T171" s="873"/>
      <c r="U171" s="873"/>
      <c r="V171" s="873"/>
      <c r="W171" s="873"/>
      <c r="X171" s="873"/>
      <c r="Y171" s="873"/>
      <c r="Z171" s="873"/>
      <c r="AA171" s="873"/>
      <c r="AB171" s="873"/>
      <c r="AC171" s="873"/>
      <c r="AD171" s="873"/>
      <c r="AE171" s="873"/>
      <c r="AF171" s="873"/>
      <c r="AG171" s="873"/>
      <c r="AH171" s="873"/>
      <c r="AI171" s="873"/>
      <c r="AJ171" s="873"/>
      <c r="AK171" s="873"/>
      <c r="AL171" s="873"/>
      <c r="AM171" s="873"/>
      <c r="AN171" s="873"/>
      <c r="AO171" s="873"/>
      <c r="AP171" s="873"/>
      <c r="AQ171" s="873"/>
      <c r="AR171" s="873"/>
      <c r="AS171" s="873"/>
      <c r="AT171" s="873"/>
      <c r="AU171" s="873"/>
      <c r="AV171" s="873"/>
    </row>
    <row r="172" spans="1:48" ht="11.25" customHeight="1" x14ac:dyDescent="0.2">
      <c r="A172" s="873"/>
      <c r="B172" s="873"/>
      <c r="C172" s="873"/>
      <c r="D172" s="873"/>
      <c r="E172" s="873"/>
      <c r="F172" s="873"/>
      <c r="G172" s="873"/>
      <c r="H172" s="873"/>
      <c r="I172" s="873"/>
      <c r="J172" s="873"/>
      <c r="K172" s="873"/>
      <c r="L172" s="873"/>
      <c r="M172" s="873"/>
      <c r="N172" s="873"/>
      <c r="O172" s="873"/>
      <c r="P172" s="873"/>
      <c r="Q172" s="873"/>
      <c r="R172" s="873"/>
      <c r="S172" s="873"/>
      <c r="T172" s="873"/>
      <c r="U172" s="873"/>
      <c r="V172" s="873"/>
      <c r="W172" s="873"/>
      <c r="X172" s="873"/>
      <c r="Y172" s="873"/>
      <c r="Z172" s="873"/>
      <c r="AA172" s="873"/>
      <c r="AB172" s="873"/>
      <c r="AC172" s="873"/>
      <c r="AD172" s="873"/>
      <c r="AE172" s="873"/>
      <c r="AF172" s="873"/>
      <c r="AG172" s="873"/>
      <c r="AH172" s="873"/>
      <c r="AI172" s="873"/>
      <c r="AJ172" s="873"/>
      <c r="AK172" s="873"/>
      <c r="AL172" s="873"/>
      <c r="AM172" s="873"/>
      <c r="AN172" s="873"/>
      <c r="AO172" s="873"/>
      <c r="AP172" s="873"/>
      <c r="AQ172" s="873"/>
      <c r="AR172" s="873"/>
      <c r="AS172" s="873"/>
      <c r="AT172" s="873"/>
      <c r="AU172" s="873"/>
      <c r="AV172" s="873"/>
    </row>
    <row r="173" spans="1:48" ht="11.25" customHeight="1" x14ac:dyDescent="0.2">
      <c r="A173" s="873"/>
      <c r="B173" s="873"/>
      <c r="C173" s="873"/>
      <c r="D173" s="873"/>
      <c r="E173" s="873"/>
      <c r="F173" s="873"/>
      <c r="G173" s="873"/>
      <c r="H173" s="873"/>
      <c r="I173" s="873"/>
      <c r="J173" s="873"/>
      <c r="K173" s="873"/>
      <c r="L173" s="873"/>
      <c r="M173" s="873"/>
      <c r="N173" s="873"/>
      <c r="O173" s="873"/>
      <c r="P173" s="873"/>
      <c r="Q173" s="873"/>
      <c r="R173" s="873"/>
      <c r="S173" s="873"/>
      <c r="T173" s="873"/>
      <c r="U173" s="873"/>
      <c r="V173" s="873"/>
      <c r="W173" s="873"/>
      <c r="X173" s="873"/>
      <c r="Y173" s="873"/>
      <c r="Z173" s="873"/>
      <c r="AA173" s="873"/>
      <c r="AB173" s="873"/>
      <c r="AC173" s="873"/>
      <c r="AD173" s="873"/>
      <c r="AE173" s="873"/>
      <c r="AF173" s="873"/>
      <c r="AG173" s="873"/>
      <c r="AH173" s="873"/>
      <c r="AI173" s="873"/>
      <c r="AJ173" s="873"/>
      <c r="AK173" s="873"/>
      <c r="AL173" s="873"/>
      <c r="AM173" s="873"/>
      <c r="AN173" s="873"/>
      <c r="AO173" s="873"/>
      <c r="AP173" s="873"/>
      <c r="AQ173" s="873"/>
      <c r="AR173" s="873"/>
      <c r="AS173" s="873"/>
      <c r="AT173" s="873"/>
      <c r="AU173" s="873"/>
      <c r="AV173" s="873"/>
    </row>
    <row r="174" spans="1:48" ht="11.25" customHeight="1" x14ac:dyDescent="0.2">
      <c r="A174" s="873"/>
      <c r="B174" s="873"/>
      <c r="C174" s="873"/>
      <c r="D174" s="873"/>
      <c r="E174" s="873"/>
      <c r="F174" s="873"/>
      <c r="G174" s="873"/>
      <c r="H174" s="873"/>
      <c r="I174" s="873"/>
      <c r="J174" s="873"/>
      <c r="K174" s="873"/>
      <c r="L174" s="873"/>
      <c r="M174" s="873"/>
      <c r="N174" s="873"/>
      <c r="O174" s="873"/>
      <c r="P174" s="873"/>
      <c r="Q174" s="873"/>
      <c r="R174" s="873"/>
      <c r="S174" s="873"/>
      <c r="T174" s="873"/>
      <c r="U174" s="873"/>
      <c r="V174" s="873"/>
      <c r="W174" s="873"/>
      <c r="X174" s="873"/>
      <c r="Y174" s="873"/>
      <c r="Z174" s="873"/>
      <c r="AA174" s="873"/>
      <c r="AB174" s="873"/>
      <c r="AC174" s="873"/>
      <c r="AD174" s="873"/>
      <c r="AE174" s="873"/>
      <c r="AF174" s="873"/>
      <c r="AG174" s="873"/>
      <c r="AH174" s="873"/>
      <c r="AI174" s="873"/>
      <c r="AJ174" s="873"/>
      <c r="AK174" s="873"/>
      <c r="AL174" s="873"/>
      <c r="AM174" s="873"/>
      <c r="AN174" s="873"/>
      <c r="AO174" s="873"/>
      <c r="AP174" s="873"/>
      <c r="AQ174" s="873"/>
      <c r="AR174" s="873"/>
      <c r="AS174" s="873"/>
      <c r="AT174" s="873"/>
      <c r="AU174" s="873"/>
      <c r="AV174" s="873"/>
    </row>
    <row r="175" spans="1:48" ht="11.25" customHeight="1" x14ac:dyDescent="0.2">
      <c r="A175" s="873"/>
      <c r="B175" s="873"/>
      <c r="C175" s="873"/>
      <c r="D175" s="873"/>
      <c r="E175" s="873"/>
      <c r="F175" s="873"/>
      <c r="G175" s="873"/>
      <c r="H175" s="873"/>
      <c r="I175" s="873"/>
      <c r="J175" s="873"/>
      <c r="K175" s="873"/>
      <c r="L175" s="873"/>
      <c r="M175" s="873"/>
      <c r="N175" s="873"/>
      <c r="O175" s="873"/>
      <c r="P175" s="873"/>
      <c r="Q175" s="873"/>
      <c r="R175" s="873"/>
      <c r="S175" s="873"/>
      <c r="T175" s="873"/>
      <c r="U175" s="873"/>
      <c r="V175" s="873"/>
      <c r="W175" s="873"/>
      <c r="X175" s="873"/>
      <c r="Y175" s="873"/>
      <c r="Z175" s="873"/>
      <c r="AA175" s="873"/>
      <c r="AB175" s="873"/>
      <c r="AC175" s="873"/>
      <c r="AD175" s="873"/>
      <c r="AE175" s="873"/>
      <c r="AF175" s="873"/>
      <c r="AG175" s="873"/>
      <c r="AH175" s="873"/>
      <c r="AI175" s="873"/>
      <c r="AJ175" s="873"/>
      <c r="AK175" s="873"/>
      <c r="AL175" s="873"/>
      <c r="AM175" s="873"/>
      <c r="AN175" s="873"/>
      <c r="AO175" s="873"/>
      <c r="AP175" s="873"/>
      <c r="AQ175" s="873"/>
      <c r="AR175" s="873"/>
      <c r="AS175" s="873"/>
      <c r="AT175" s="873"/>
      <c r="AU175" s="873"/>
      <c r="AV175" s="873"/>
    </row>
    <row r="176" spans="1:48" ht="11.25" customHeight="1" x14ac:dyDescent="0.2">
      <c r="A176" s="873"/>
      <c r="B176" s="873"/>
      <c r="C176" s="873"/>
      <c r="D176" s="873"/>
      <c r="E176" s="873"/>
      <c r="F176" s="873"/>
      <c r="G176" s="873"/>
      <c r="H176" s="873"/>
      <c r="I176" s="873"/>
      <c r="J176" s="873"/>
      <c r="K176" s="873"/>
      <c r="L176" s="873"/>
      <c r="M176" s="873"/>
      <c r="N176" s="873"/>
      <c r="O176" s="873"/>
      <c r="P176" s="873"/>
      <c r="Q176" s="873"/>
      <c r="R176" s="873"/>
      <c r="S176" s="873"/>
      <c r="T176" s="873"/>
      <c r="U176" s="873"/>
      <c r="V176" s="873"/>
      <c r="W176" s="873"/>
      <c r="X176" s="873"/>
      <c r="Y176" s="873"/>
      <c r="Z176" s="873"/>
      <c r="AA176" s="873"/>
      <c r="AB176" s="873"/>
      <c r="AC176" s="873"/>
      <c r="AD176" s="873"/>
      <c r="AE176" s="873"/>
      <c r="AF176" s="873"/>
      <c r="AG176" s="873"/>
      <c r="AH176" s="873"/>
      <c r="AI176" s="873"/>
      <c r="AJ176" s="873"/>
      <c r="AK176" s="873"/>
      <c r="AL176" s="873"/>
      <c r="AM176" s="873"/>
      <c r="AN176" s="873"/>
      <c r="AO176" s="873"/>
      <c r="AP176" s="873"/>
      <c r="AQ176" s="873"/>
      <c r="AR176" s="873"/>
      <c r="AS176" s="873"/>
      <c r="AT176" s="873"/>
      <c r="AU176" s="873"/>
      <c r="AV176" s="873"/>
    </row>
    <row r="177" spans="1:48" ht="11.25" customHeight="1" x14ac:dyDescent="0.2">
      <c r="A177" s="873"/>
      <c r="B177" s="873"/>
      <c r="C177" s="873"/>
      <c r="D177" s="873"/>
      <c r="E177" s="873"/>
      <c r="F177" s="873"/>
      <c r="G177" s="873"/>
      <c r="H177" s="873"/>
      <c r="I177" s="873"/>
      <c r="J177" s="873"/>
      <c r="K177" s="873"/>
      <c r="L177" s="873"/>
      <c r="M177" s="873"/>
      <c r="N177" s="873"/>
      <c r="O177" s="873"/>
      <c r="P177" s="873"/>
      <c r="Q177" s="873"/>
      <c r="R177" s="873"/>
      <c r="S177" s="873"/>
      <c r="T177" s="873"/>
      <c r="U177" s="873"/>
      <c r="V177" s="873"/>
      <c r="W177" s="873"/>
      <c r="X177" s="873"/>
      <c r="Y177" s="873"/>
      <c r="Z177" s="873"/>
      <c r="AA177" s="873"/>
      <c r="AB177" s="873"/>
      <c r="AC177" s="873"/>
      <c r="AD177" s="873"/>
      <c r="AE177" s="873"/>
      <c r="AF177" s="873"/>
      <c r="AG177" s="873"/>
      <c r="AH177" s="873"/>
      <c r="AI177" s="873"/>
      <c r="AJ177" s="873"/>
      <c r="AK177" s="873"/>
      <c r="AL177" s="873"/>
      <c r="AM177" s="873"/>
      <c r="AN177" s="873"/>
      <c r="AO177" s="873"/>
      <c r="AP177" s="873"/>
      <c r="AQ177" s="873"/>
      <c r="AR177" s="873"/>
      <c r="AS177" s="873"/>
      <c r="AT177" s="873"/>
      <c r="AU177" s="873"/>
      <c r="AV177" s="873"/>
    </row>
    <row r="178" spans="1:48" ht="11.25" customHeight="1" x14ac:dyDescent="0.2">
      <c r="A178" s="873"/>
      <c r="B178" s="873"/>
      <c r="C178" s="873"/>
      <c r="D178" s="873"/>
      <c r="E178" s="873"/>
      <c r="F178" s="873"/>
      <c r="G178" s="873"/>
      <c r="H178" s="873"/>
      <c r="I178" s="873"/>
      <c r="J178" s="873"/>
      <c r="K178" s="873"/>
      <c r="L178" s="873"/>
      <c r="M178" s="873"/>
      <c r="N178" s="873"/>
      <c r="O178" s="873"/>
      <c r="P178" s="873"/>
      <c r="Q178" s="873"/>
      <c r="R178" s="873"/>
      <c r="S178" s="873"/>
      <c r="T178" s="873"/>
      <c r="U178" s="873"/>
      <c r="V178" s="873"/>
      <c r="W178" s="873"/>
      <c r="X178" s="873"/>
      <c r="Y178" s="873"/>
      <c r="Z178" s="873"/>
      <c r="AA178" s="873"/>
      <c r="AB178" s="873"/>
      <c r="AC178" s="873"/>
      <c r="AD178" s="873"/>
      <c r="AE178" s="873"/>
      <c r="AF178" s="873"/>
      <c r="AG178" s="873"/>
      <c r="AH178" s="873"/>
      <c r="AI178" s="873"/>
      <c r="AJ178" s="873"/>
      <c r="AK178" s="873"/>
      <c r="AL178" s="873"/>
      <c r="AM178" s="873"/>
      <c r="AN178" s="873"/>
      <c r="AO178" s="873"/>
      <c r="AP178" s="873"/>
      <c r="AQ178" s="873"/>
      <c r="AR178" s="873"/>
      <c r="AS178" s="873"/>
      <c r="AT178" s="873"/>
      <c r="AU178" s="873"/>
      <c r="AV178" s="873"/>
    </row>
    <row r="179" spans="1:48" ht="11.25" customHeight="1" x14ac:dyDescent="0.2">
      <c r="A179" s="873"/>
      <c r="B179" s="873"/>
      <c r="C179" s="873"/>
      <c r="D179" s="873"/>
      <c r="E179" s="873"/>
      <c r="F179" s="873"/>
      <c r="G179" s="873"/>
      <c r="H179" s="873"/>
      <c r="I179" s="873"/>
      <c r="J179" s="873"/>
      <c r="K179" s="873"/>
      <c r="L179" s="873"/>
      <c r="M179" s="873"/>
      <c r="N179" s="873"/>
      <c r="O179" s="873"/>
      <c r="P179" s="873"/>
      <c r="Q179" s="873"/>
      <c r="R179" s="873"/>
      <c r="S179" s="873"/>
      <c r="T179" s="873"/>
      <c r="U179" s="873"/>
      <c r="V179" s="873"/>
      <c r="W179" s="873"/>
      <c r="X179" s="873"/>
      <c r="Y179" s="873"/>
      <c r="Z179" s="873"/>
      <c r="AA179" s="873"/>
      <c r="AB179" s="873"/>
      <c r="AC179" s="873"/>
      <c r="AD179" s="873"/>
      <c r="AE179" s="873"/>
      <c r="AF179" s="873"/>
      <c r="AG179" s="873"/>
      <c r="AH179" s="873"/>
      <c r="AI179" s="873"/>
      <c r="AJ179" s="873"/>
      <c r="AK179" s="873"/>
      <c r="AL179" s="873"/>
      <c r="AM179" s="873"/>
      <c r="AN179" s="873"/>
      <c r="AO179" s="873"/>
      <c r="AP179" s="873"/>
      <c r="AQ179" s="873"/>
      <c r="AR179" s="873"/>
      <c r="AS179" s="873"/>
      <c r="AT179" s="873"/>
      <c r="AU179" s="873"/>
      <c r="AV179" s="873"/>
    </row>
    <row r="180" spans="1:48" ht="11.25" customHeight="1" x14ac:dyDescent="0.2">
      <c r="A180" s="873"/>
      <c r="B180" s="873"/>
      <c r="C180" s="873"/>
      <c r="D180" s="873"/>
      <c r="E180" s="873"/>
      <c r="F180" s="873"/>
      <c r="G180" s="873"/>
      <c r="H180" s="873"/>
      <c r="I180" s="873"/>
      <c r="J180" s="873"/>
      <c r="K180" s="873"/>
      <c r="L180" s="873"/>
      <c r="M180" s="873"/>
      <c r="N180" s="873"/>
      <c r="O180" s="873"/>
      <c r="P180" s="873"/>
      <c r="Q180" s="873"/>
      <c r="R180" s="873"/>
      <c r="S180" s="873"/>
      <c r="T180" s="873"/>
      <c r="U180" s="873"/>
      <c r="V180" s="873"/>
      <c r="W180" s="873"/>
      <c r="X180" s="873"/>
      <c r="Y180" s="873"/>
      <c r="Z180" s="873"/>
      <c r="AA180" s="873"/>
      <c r="AB180" s="873"/>
      <c r="AC180" s="873"/>
      <c r="AD180" s="873"/>
      <c r="AE180" s="873"/>
      <c r="AF180" s="873"/>
      <c r="AG180" s="873"/>
      <c r="AH180" s="873"/>
      <c r="AI180" s="873"/>
      <c r="AJ180" s="873"/>
      <c r="AK180" s="873"/>
      <c r="AL180" s="873"/>
      <c r="AM180" s="873"/>
      <c r="AN180" s="873"/>
      <c r="AO180" s="873"/>
      <c r="AP180" s="873"/>
      <c r="AQ180" s="873"/>
      <c r="AR180" s="873"/>
      <c r="AS180" s="873"/>
      <c r="AT180" s="873"/>
      <c r="AU180" s="873"/>
      <c r="AV180" s="873"/>
    </row>
    <row r="181" spans="1:48" ht="11.25" customHeight="1" x14ac:dyDescent="0.2">
      <c r="A181" s="873"/>
      <c r="B181" s="873"/>
      <c r="C181" s="873"/>
      <c r="D181" s="873"/>
      <c r="E181" s="873"/>
      <c r="F181" s="873"/>
      <c r="G181" s="873"/>
      <c r="H181" s="873"/>
      <c r="I181" s="873"/>
      <c r="J181" s="873"/>
      <c r="K181" s="873"/>
      <c r="L181" s="873"/>
      <c r="M181" s="873"/>
      <c r="N181" s="873"/>
      <c r="O181" s="873"/>
      <c r="P181" s="873"/>
      <c r="Q181" s="873"/>
      <c r="R181" s="873"/>
      <c r="S181" s="873"/>
      <c r="T181" s="873"/>
      <c r="U181" s="873"/>
      <c r="V181" s="873"/>
      <c r="W181" s="873"/>
      <c r="X181" s="873"/>
      <c r="Y181" s="873"/>
      <c r="Z181" s="873"/>
      <c r="AA181" s="873"/>
      <c r="AB181" s="873"/>
      <c r="AC181" s="873"/>
      <c r="AD181" s="873"/>
      <c r="AE181" s="873"/>
      <c r="AF181" s="873"/>
      <c r="AG181" s="873"/>
      <c r="AH181" s="873"/>
      <c r="AI181" s="873"/>
      <c r="AJ181" s="873"/>
      <c r="AK181" s="873"/>
      <c r="AL181" s="873"/>
      <c r="AM181" s="873"/>
      <c r="AN181" s="873"/>
      <c r="AO181" s="873"/>
      <c r="AP181" s="873"/>
      <c r="AQ181" s="873"/>
      <c r="AR181" s="873"/>
      <c r="AS181" s="873"/>
      <c r="AT181" s="873"/>
      <c r="AU181" s="873"/>
      <c r="AV181" s="873"/>
    </row>
    <row r="182" spans="1:48" ht="11.25" customHeight="1" x14ac:dyDescent="0.2">
      <c r="A182" s="873"/>
      <c r="B182" s="873"/>
      <c r="C182" s="873"/>
      <c r="D182" s="873"/>
      <c r="E182" s="873"/>
      <c r="F182" s="873"/>
      <c r="G182" s="873"/>
      <c r="H182" s="873"/>
      <c r="I182" s="873"/>
      <c r="J182" s="873"/>
      <c r="K182" s="873"/>
      <c r="L182" s="873"/>
      <c r="M182" s="873"/>
      <c r="N182" s="873"/>
      <c r="O182" s="873"/>
      <c r="P182" s="873"/>
      <c r="Q182" s="873"/>
      <c r="R182" s="873"/>
      <c r="S182" s="873"/>
      <c r="T182" s="873"/>
      <c r="U182" s="873"/>
      <c r="V182" s="873"/>
      <c r="W182" s="873"/>
      <c r="X182" s="873"/>
      <c r="Y182" s="873"/>
      <c r="Z182" s="873"/>
      <c r="AA182" s="873"/>
      <c r="AB182" s="873"/>
      <c r="AC182" s="873"/>
      <c r="AD182" s="873"/>
      <c r="AE182" s="873"/>
      <c r="AF182" s="873"/>
      <c r="AG182" s="873"/>
      <c r="AH182" s="873"/>
      <c r="AI182" s="873"/>
      <c r="AJ182" s="873"/>
      <c r="AK182" s="873"/>
      <c r="AL182" s="873"/>
      <c r="AM182" s="873"/>
      <c r="AN182" s="873"/>
      <c r="AO182" s="873"/>
      <c r="AP182" s="873"/>
      <c r="AQ182" s="873"/>
      <c r="AR182" s="873"/>
      <c r="AS182" s="873"/>
      <c r="AT182" s="873"/>
      <c r="AU182" s="873"/>
      <c r="AV182" s="873"/>
    </row>
    <row r="183" spans="1:48" ht="11.25" customHeight="1" x14ac:dyDescent="0.2">
      <c r="A183" s="873"/>
      <c r="B183" s="873"/>
      <c r="C183" s="873"/>
      <c r="D183" s="873"/>
      <c r="E183" s="873"/>
      <c r="F183" s="873"/>
      <c r="G183" s="873"/>
      <c r="H183" s="873"/>
      <c r="I183" s="873"/>
      <c r="J183" s="873"/>
      <c r="K183" s="873"/>
      <c r="L183" s="873"/>
      <c r="M183" s="873"/>
      <c r="N183" s="873"/>
      <c r="O183" s="873"/>
      <c r="P183" s="873"/>
      <c r="Q183" s="873"/>
      <c r="R183" s="873"/>
      <c r="S183" s="873"/>
      <c r="T183" s="873"/>
      <c r="U183" s="873"/>
      <c r="V183" s="873"/>
      <c r="W183" s="873"/>
      <c r="X183" s="873"/>
      <c r="Y183" s="873"/>
      <c r="Z183" s="873"/>
      <c r="AA183" s="873"/>
      <c r="AB183" s="873"/>
      <c r="AC183" s="873"/>
      <c r="AD183" s="873"/>
      <c r="AE183" s="873"/>
      <c r="AF183" s="873"/>
      <c r="AG183" s="873"/>
      <c r="AH183" s="873"/>
      <c r="AI183" s="873"/>
      <c r="AJ183" s="873"/>
      <c r="AK183" s="873"/>
      <c r="AL183" s="873"/>
      <c r="AM183" s="873"/>
      <c r="AN183" s="873"/>
      <c r="AO183" s="873"/>
      <c r="AP183" s="873"/>
      <c r="AQ183" s="873"/>
      <c r="AR183" s="873"/>
      <c r="AS183" s="873"/>
      <c r="AT183" s="873"/>
      <c r="AU183" s="873"/>
      <c r="AV183" s="873"/>
    </row>
    <row r="184" spans="1:48" ht="11.25" customHeight="1" x14ac:dyDescent="0.2">
      <c r="A184" s="873"/>
      <c r="B184" s="873"/>
      <c r="C184" s="873"/>
      <c r="D184" s="873"/>
      <c r="E184" s="873"/>
      <c r="F184" s="873"/>
      <c r="G184" s="873"/>
      <c r="H184" s="873"/>
      <c r="I184" s="873"/>
      <c r="J184" s="873"/>
      <c r="K184" s="873"/>
      <c r="L184" s="873"/>
      <c r="M184" s="873"/>
      <c r="N184" s="873"/>
      <c r="O184" s="873"/>
      <c r="P184" s="873"/>
      <c r="Q184" s="873"/>
      <c r="R184" s="873"/>
      <c r="S184" s="873"/>
      <c r="T184" s="873"/>
      <c r="U184" s="873"/>
      <c r="V184" s="873"/>
      <c r="W184" s="873"/>
      <c r="X184" s="873"/>
      <c r="Y184" s="873"/>
      <c r="Z184" s="873"/>
      <c r="AA184" s="873"/>
      <c r="AB184" s="873"/>
      <c r="AC184" s="873"/>
      <c r="AD184" s="873"/>
      <c r="AE184" s="873"/>
      <c r="AF184" s="873"/>
      <c r="AG184" s="873"/>
      <c r="AH184" s="873"/>
      <c r="AI184" s="873"/>
      <c r="AJ184" s="873"/>
      <c r="AK184" s="873"/>
      <c r="AL184" s="873"/>
      <c r="AM184" s="873"/>
      <c r="AN184" s="873"/>
      <c r="AO184" s="873"/>
      <c r="AP184" s="873"/>
      <c r="AQ184" s="873"/>
      <c r="AR184" s="873"/>
      <c r="AS184" s="873"/>
      <c r="AT184" s="873"/>
      <c r="AU184" s="873"/>
      <c r="AV184" s="873"/>
    </row>
    <row r="185" spans="1:48" ht="11.25" customHeight="1" x14ac:dyDescent="0.2">
      <c r="A185" s="873"/>
      <c r="B185" s="873"/>
      <c r="C185" s="873"/>
      <c r="D185" s="873"/>
      <c r="E185" s="873"/>
      <c r="F185" s="873"/>
      <c r="G185" s="873"/>
      <c r="H185" s="873"/>
      <c r="I185" s="873"/>
      <c r="J185" s="873"/>
      <c r="K185" s="873"/>
      <c r="L185" s="873"/>
      <c r="M185" s="873"/>
      <c r="N185" s="873"/>
      <c r="O185" s="873"/>
      <c r="P185" s="873"/>
      <c r="Q185" s="873"/>
      <c r="R185" s="873"/>
      <c r="S185" s="873"/>
      <c r="T185" s="873"/>
      <c r="U185" s="873"/>
      <c r="V185" s="873"/>
      <c r="W185" s="873"/>
      <c r="X185" s="873"/>
      <c r="Y185" s="873"/>
      <c r="Z185" s="873"/>
      <c r="AA185" s="873"/>
      <c r="AB185" s="873"/>
      <c r="AC185" s="873"/>
      <c r="AD185" s="873"/>
      <c r="AE185" s="873"/>
      <c r="AF185" s="873"/>
      <c r="AG185" s="873"/>
      <c r="AH185" s="873"/>
      <c r="AI185" s="873"/>
      <c r="AJ185" s="873"/>
      <c r="AK185" s="873"/>
      <c r="AL185" s="873"/>
      <c r="AM185" s="873"/>
      <c r="AN185" s="873"/>
      <c r="AO185" s="873"/>
      <c r="AP185" s="873"/>
      <c r="AQ185" s="873"/>
      <c r="AR185" s="873"/>
      <c r="AS185" s="873"/>
      <c r="AT185" s="873"/>
      <c r="AU185" s="873"/>
      <c r="AV185" s="873"/>
    </row>
    <row r="186" spans="1:48" ht="11.25" customHeight="1" x14ac:dyDescent="0.2">
      <c r="A186" s="873"/>
      <c r="B186" s="873"/>
      <c r="C186" s="873"/>
      <c r="D186" s="873"/>
      <c r="E186" s="873"/>
      <c r="F186" s="873"/>
      <c r="G186" s="873"/>
      <c r="H186" s="873"/>
      <c r="I186" s="873"/>
      <c r="J186" s="873"/>
      <c r="K186" s="873"/>
      <c r="L186" s="873"/>
      <c r="M186" s="873"/>
      <c r="N186" s="873"/>
      <c r="O186" s="873"/>
      <c r="P186" s="873"/>
      <c r="Q186" s="873"/>
      <c r="R186" s="873"/>
      <c r="S186" s="873"/>
      <c r="T186" s="873"/>
      <c r="U186" s="873"/>
      <c r="V186" s="873"/>
      <c r="W186" s="873"/>
      <c r="X186" s="873"/>
      <c r="Y186" s="873"/>
      <c r="Z186" s="873"/>
      <c r="AA186" s="873"/>
      <c r="AB186" s="873"/>
      <c r="AC186" s="873"/>
      <c r="AD186" s="873"/>
      <c r="AE186" s="873"/>
      <c r="AF186" s="873"/>
      <c r="AG186" s="873"/>
      <c r="AH186" s="873"/>
      <c r="AI186" s="873"/>
      <c r="AJ186" s="873"/>
      <c r="AK186" s="873"/>
      <c r="AL186" s="873"/>
      <c r="AM186" s="873"/>
      <c r="AN186" s="873"/>
      <c r="AO186" s="873"/>
      <c r="AP186" s="873"/>
      <c r="AQ186" s="873"/>
      <c r="AR186" s="873"/>
      <c r="AS186" s="873"/>
      <c r="AT186" s="873"/>
      <c r="AU186" s="873"/>
      <c r="AV186" s="873"/>
    </row>
    <row r="187" spans="1:48" ht="11.25" customHeight="1" x14ac:dyDescent="0.2">
      <c r="A187" s="873"/>
      <c r="B187" s="873"/>
      <c r="C187" s="873"/>
      <c r="D187" s="873"/>
      <c r="E187" s="873"/>
      <c r="F187" s="873"/>
      <c r="G187" s="873"/>
      <c r="H187" s="873"/>
      <c r="I187" s="873"/>
      <c r="J187" s="873"/>
      <c r="K187" s="873"/>
      <c r="L187" s="873"/>
      <c r="M187" s="873"/>
      <c r="N187" s="873"/>
      <c r="O187" s="873"/>
      <c r="P187" s="873"/>
      <c r="Q187" s="873"/>
      <c r="R187" s="873"/>
      <c r="S187" s="873"/>
      <c r="T187" s="873"/>
      <c r="U187" s="873"/>
      <c r="V187" s="873"/>
      <c r="W187" s="873"/>
      <c r="X187" s="873"/>
      <c r="Y187" s="873"/>
      <c r="Z187" s="873"/>
      <c r="AA187" s="873"/>
      <c r="AB187" s="873"/>
      <c r="AC187" s="873"/>
      <c r="AD187" s="873"/>
      <c r="AE187" s="873"/>
      <c r="AF187" s="873"/>
      <c r="AG187" s="873"/>
      <c r="AH187" s="873"/>
      <c r="AI187" s="873"/>
      <c r="AJ187" s="873"/>
      <c r="AK187" s="873"/>
      <c r="AL187" s="873"/>
      <c r="AM187" s="873"/>
      <c r="AN187" s="873"/>
      <c r="AO187" s="873"/>
      <c r="AP187" s="873"/>
      <c r="AQ187" s="873"/>
      <c r="AR187" s="873"/>
      <c r="AS187" s="873"/>
      <c r="AT187" s="873"/>
      <c r="AU187" s="873"/>
      <c r="AV187" s="873"/>
    </row>
    <row r="188" spans="1:48" ht="11.25" customHeight="1" x14ac:dyDescent="0.2">
      <c r="A188" s="873"/>
      <c r="B188" s="873"/>
      <c r="C188" s="873"/>
      <c r="D188" s="873"/>
      <c r="E188" s="873"/>
      <c r="F188" s="873"/>
      <c r="G188" s="873"/>
      <c r="H188" s="873"/>
      <c r="I188" s="873"/>
      <c r="J188" s="873"/>
      <c r="K188" s="873"/>
      <c r="L188" s="873"/>
      <c r="M188" s="873"/>
      <c r="N188" s="873"/>
      <c r="O188" s="873"/>
      <c r="P188" s="873"/>
      <c r="Q188" s="873"/>
      <c r="R188" s="873"/>
      <c r="S188" s="873"/>
      <c r="T188" s="873"/>
      <c r="U188" s="873"/>
      <c r="V188" s="873"/>
      <c r="W188" s="873"/>
      <c r="X188" s="873"/>
      <c r="Y188" s="873"/>
      <c r="Z188" s="873"/>
      <c r="AA188" s="873"/>
      <c r="AB188" s="873"/>
      <c r="AC188" s="873"/>
      <c r="AD188" s="873"/>
      <c r="AE188" s="873"/>
      <c r="AF188" s="873"/>
      <c r="AG188" s="873"/>
      <c r="AH188" s="873"/>
      <c r="AI188" s="873"/>
      <c r="AJ188" s="873"/>
      <c r="AK188" s="873"/>
      <c r="AL188" s="873"/>
      <c r="AM188" s="873"/>
      <c r="AN188" s="873"/>
      <c r="AO188" s="873"/>
      <c r="AP188" s="873"/>
      <c r="AQ188" s="873"/>
      <c r="AR188" s="873"/>
      <c r="AS188" s="873"/>
      <c r="AT188" s="873"/>
      <c r="AU188" s="873"/>
      <c r="AV188" s="873"/>
    </row>
    <row r="189" spans="1:48" ht="11.25" customHeight="1" x14ac:dyDescent="0.2">
      <c r="A189" s="873"/>
      <c r="B189" s="873"/>
      <c r="C189" s="873"/>
      <c r="D189" s="873"/>
      <c r="E189" s="873"/>
      <c r="F189" s="873"/>
      <c r="G189" s="873"/>
      <c r="H189" s="873"/>
      <c r="I189" s="873"/>
      <c r="J189" s="873"/>
      <c r="K189" s="873"/>
      <c r="L189" s="873"/>
      <c r="M189" s="873"/>
      <c r="N189" s="873"/>
      <c r="O189" s="873"/>
      <c r="P189" s="873"/>
      <c r="Q189" s="873"/>
      <c r="R189" s="873"/>
      <c r="S189" s="873"/>
      <c r="T189" s="873"/>
      <c r="U189" s="873"/>
      <c r="V189" s="873"/>
      <c r="W189" s="873"/>
      <c r="X189" s="873"/>
      <c r="Y189" s="873"/>
      <c r="Z189" s="873"/>
      <c r="AA189" s="873"/>
      <c r="AB189" s="873"/>
      <c r="AC189" s="873"/>
      <c r="AD189" s="873"/>
      <c r="AE189" s="873"/>
      <c r="AF189" s="873"/>
      <c r="AG189" s="873"/>
      <c r="AH189" s="873"/>
      <c r="AI189" s="873"/>
      <c r="AJ189" s="873"/>
      <c r="AK189" s="873"/>
      <c r="AL189" s="873"/>
      <c r="AM189" s="873"/>
      <c r="AN189" s="873"/>
      <c r="AO189" s="873"/>
      <c r="AP189" s="873"/>
      <c r="AQ189" s="873"/>
      <c r="AR189" s="873"/>
      <c r="AS189" s="873"/>
      <c r="AT189" s="873"/>
      <c r="AU189" s="873"/>
      <c r="AV189" s="873"/>
    </row>
    <row r="190" spans="1:48" ht="11.25" customHeight="1" x14ac:dyDescent="0.2">
      <c r="A190" s="873"/>
      <c r="B190" s="873"/>
      <c r="C190" s="873"/>
      <c r="D190" s="873"/>
      <c r="E190" s="873"/>
      <c r="F190" s="873"/>
      <c r="G190" s="873"/>
      <c r="H190" s="873"/>
      <c r="I190" s="873"/>
      <c r="J190" s="873"/>
      <c r="K190" s="873"/>
      <c r="L190" s="873"/>
      <c r="M190" s="873"/>
      <c r="N190" s="873"/>
      <c r="O190" s="873"/>
      <c r="P190" s="873"/>
      <c r="Q190" s="873"/>
      <c r="R190" s="873"/>
      <c r="S190" s="873"/>
      <c r="T190" s="873"/>
      <c r="U190" s="873"/>
      <c r="V190" s="873"/>
      <c r="W190" s="873"/>
      <c r="X190" s="873"/>
      <c r="Y190" s="873"/>
      <c r="Z190" s="873"/>
      <c r="AA190" s="873"/>
      <c r="AB190" s="873"/>
      <c r="AC190" s="873"/>
      <c r="AD190" s="873"/>
      <c r="AE190" s="873"/>
      <c r="AF190" s="873"/>
      <c r="AG190" s="873"/>
      <c r="AH190" s="873"/>
      <c r="AI190" s="873"/>
      <c r="AJ190" s="873"/>
      <c r="AK190" s="873"/>
      <c r="AL190" s="873"/>
      <c r="AM190" s="873"/>
      <c r="AN190" s="873"/>
      <c r="AO190" s="873"/>
      <c r="AP190" s="873"/>
      <c r="AQ190" s="873"/>
      <c r="AR190" s="873"/>
      <c r="AS190" s="873"/>
      <c r="AT190" s="873"/>
      <c r="AU190" s="873"/>
      <c r="AV190" s="873"/>
    </row>
    <row r="191" spans="1:48" ht="11.25" customHeight="1" x14ac:dyDescent="0.2">
      <c r="A191" s="873"/>
      <c r="B191" s="873"/>
      <c r="C191" s="873"/>
      <c r="D191" s="873"/>
      <c r="E191" s="873"/>
      <c r="F191" s="873"/>
      <c r="G191" s="873"/>
      <c r="H191" s="873"/>
      <c r="I191" s="873"/>
      <c r="J191" s="873"/>
      <c r="K191" s="873"/>
      <c r="L191" s="873"/>
      <c r="M191" s="873"/>
      <c r="N191" s="873"/>
      <c r="O191" s="873"/>
      <c r="P191" s="873"/>
      <c r="Q191" s="873"/>
      <c r="R191" s="873"/>
      <c r="S191" s="873"/>
      <c r="T191" s="873"/>
      <c r="U191" s="873"/>
      <c r="V191" s="873"/>
      <c r="W191" s="873"/>
      <c r="X191" s="873"/>
      <c r="Y191" s="873"/>
      <c r="Z191" s="873"/>
      <c r="AA191" s="873"/>
      <c r="AB191" s="873"/>
      <c r="AC191" s="873"/>
      <c r="AD191" s="873"/>
      <c r="AE191" s="873"/>
      <c r="AF191" s="873"/>
      <c r="AG191" s="873"/>
      <c r="AH191" s="873"/>
      <c r="AI191" s="873"/>
      <c r="AJ191" s="873"/>
      <c r="AK191" s="873"/>
      <c r="AL191" s="873"/>
      <c r="AM191" s="873"/>
      <c r="AN191" s="873"/>
      <c r="AO191" s="873"/>
      <c r="AP191" s="873"/>
      <c r="AQ191" s="873"/>
      <c r="AR191" s="873"/>
      <c r="AS191" s="873"/>
      <c r="AT191" s="873"/>
      <c r="AU191" s="873"/>
      <c r="AV191" s="873"/>
    </row>
    <row r="192" spans="1:48" ht="11.25" customHeight="1" x14ac:dyDescent="0.2">
      <c r="A192" s="873"/>
      <c r="B192" s="873"/>
      <c r="C192" s="873"/>
      <c r="D192" s="873"/>
      <c r="E192" s="873"/>
      <c r="F192" s="873"/>
      <c r="G192" s="873"/>
      <c r="H192" s="873"/>
      <c r="I192" s="873"/>
      <c r="J192" s="873"/>
      <c r="K192" s="873"/>
      <c r="L192" s="873"/>
      <c r="M192" s="873"/>
      <c r="N192" s="873"/>
      <c r="O192" s="873"/>
      <c r="P192" s="873"/>
      <c r="Q192" s="873"/>
      <c r="R192" s="873"/>
      <c r="S192" s="873"/>
      <c r="T192" s="873"/>
      <c r="U192" s="873"/>
      <c r="V192" s="873"/>
      <c r="W192" s="873"/>
      <c r="X192" s="873"/>
      <c r="Y192" s="873"/>
      <c r="Z192" s="873"/>
      <c r="AA192" s="873"/>
      <c r="AB192" s="873"/>
      <c r="AC192" s="873"/>
      <c r="AD192" s="873"/>
      <c r="AE192" s="873"/>
      <c r="AF192" s="873"/>
      <c r="AG192" s="873"/>
      <c r="AH192" s="873"/>
      <c r="AI192" s="873"/>
      <c r="AJ192" s="873"/>
      <c r="AK192" s="873"/>
      <c r="AL192" s="873"/>
      <c r="AM192" s="873"/>
      <c r="AN192" s="873"/>
      <c r="AO192" s="873"/>
      <c r="AP192" s="873"/>
      <c r="AQ192" s="873"/>
      <c r="AR192" s="873"/>
      <c r="AS192" s="873"/>
      <c r="AT192" s="873"/>
      <c r="AU192" s="873"/>
      <c r="AV192" s="873"/>
    </row>
    <row r="193" spans="1:48" ht="11.25" customHeight="1" x14ac:dyDescent="0.2">
      <c r="A193" s="873"/>
      <c r="B193" s="873"/>
      <c r="C193" s="873"/>
      <c r="D193" s="873"/>
      <c r="E193" s="873"/>
      <c r="F193" s="873"/>
      <c r="G193" s="873"/>
      <c r="H193" s="873"/>
      <c r="I193" s="873"/>
      <c r="J193" s="873"/>
      <c r="K193" s="873"/>
      <c r="L193" s="873"/>
      <c r="M193" s="873"/>
      <c r="N193" s="873"/>
      <c r="O193" s="873"/>
      <c r="P193" s="873"/>
      <c r="Q193" s="873"/>
      <c r="R193" s="873"/>
      <c r="S193" s="873"/>
      <c r="T193" s="873"/>
      <c r="U193" s="873"/>
      <c r="V193" s="873"/>
      <c r="W193" s="873"/>
      <c r="X193" s="873"/>
      <c r="Y193" s="873"/>
      <c r="Z193" s="873"/>
      <c r="AA193" s="873"/>
      <c r="AB193" s="873"/>
      <c r="AC193" s="873"/>
      <c r="AD193" s="873"/>
      <c r="AE193" s="873"/>
      <c r="AF193" s="873"/>
      <c r="AG193" s="873"/>
      <c r="AH193" s="873"/>
      <c r="AI193" s="873"/>
      <c r="AJ193" s="873"/>
      <c r="AK193" s="873"/>
      <c r="AL193" s="873"/>
      <c r="AM193" s="873"/>
      <c r="AN193" s="873"/>
      <c r="AO193" s="873"/>
      <c r="AP193" s="873"/>
      <c r="AQ193" s="873"/>
      <c r="AR193" s="873"/>
      <c r="AS193" s="873"/>
      <c r="AT193" s="873"/>
      <c r="AU193" s="873"/>
      <c r="AV193" s="873"/>
    </row>
    <row r="194" spans="1:48" ht="11.25" customHeight="1" x14ac:dyDescent="0.2">
      <c r="A194" s="873"/>
      <c r="B194" s="873"/>
      <c r="C194" s="873"/>
      <c r="D194" s="873"/>
      <c r="E194" s="873"/>
      <c r="F194" s="873"/>
      <c r="G194" s="873"/>
      <c r="H194" s="873"/>
      <c r="I194" s="873"/>
      <c r="J194" s="873"/>
      <c r="K194" s="873"/>
      <c r="L194" s="873"/>
      <c r="M194" s="873"/>
      <c r="N194" s="873"/>
      <c r="O194" s="873"/>
      <c r="P194" s="873"/>
      <c r="Q194" s="873"/>
      <c r="R194" s="873"/>
      <c r="S194" s="873"/>
      <c r="T194" s="873"/>
      <c r="U194" s="873"/>
      <c r="V194" s="873"/>
      <c r="W194" s="873"/>
      <c r="X194" s="873"/>
      <c r="Y194" s="873"/>
      <c r="Z194" s="873"/>
      <c r="AA194" s="873"/>
      <c r="AB194" s="873"/>
      <c r="AC194" s="873"/>
      <c r="AD194" s="873"/>
      <c r="AE194" s="873"/>
      <c r="AF194" s="873"/>
      <c r="AG194" s="873"/>
      <c r="AH194" s="873"/>
      <c r="AI194" s="873"/>
      <c r="AJ194" s="873"/>
      <c r="AK194" s="873"/>
      <c r="AL194" s="873"/>
      <c r="AM194" s="873"/>
      <c r="AN194" s="873"/>
      <c r="AO194" s="873"/>
      <c r="AP194" s="873"/>
      <c r="AQ194" s="873"/>
      <c r="AR194" s="873"/>
      <c r="AS194" s="873"/>
      <c r="AT194" s="873"/>
      <c r="AU194" s="873"/>
      <c r="AV194" s="873"/>
    </row>
    <row r="195" spans="1:48" ht="11.25" customHeight="1" x14ac:dyDescent="0.2">
      <c r="A195" s="873"/>
      <c r="B195" s="873"/>
      <c r="C195" s="873"/>
      <c r="D195" s="873"/>
      <c r="E195" s="873"/>
      <c r="F195" s="873"/>
      <c r="G195" s="873"/>
      <c r="H195" s="873"/>
      <c r="I195" s="873"/>
      <c r="J195" s="873"/>
      <c r="K195" s="873"/>
      <c r="L195" s="873"/>
      <c r="M195" s="873"/>
      <c r="N195" s="873"/>
      <c r="O195" s="873"/>
      <c r="P195" s="873"/>
      <c r="Q195" s="873"/>
      <c r="R195" s="873"/>
      <c r="S195" s="873"/>
      <c r="T195" s="873"/>
      <c r="U195" s="873"/>
      <c r="V195" s="873"/>
      <c r="W195" s="873"/>
      <c r="X195" s="873"/>
      <c r="Y195" s="873"/>
      <c r="Z195" s="873"/>
      <c r="AA195" s="873"/>
      <c r="AB195" s="873"/>
      <c r="AC195" s="873"/>
      <c r="AD195" s="873"/>
      <c r="AE195" s="873"/>
      <c r="AF195" s="873"/>
      <c r="AG195" s="873"/>
      <c r="AH195" s="873"/>
      <c r="AI195" s="873"/>
      <c r="AJ195" s="873"/>
      <c r="AK195" s="873"/>
      <c r="AL195" s="873"/>
      <c r="AM195" s="873"/>
      <c r="AN195" s="873"/>
      <c r="AO195" s="873"/>
      <c r="AP195" s="873"/>
      <c r="AQ195" s="873"/>
      <c r="AR195" s="873"/>
      <c r="AS195" s="873"/>
      <c r="AT195" s="873"/>
      <c r="AU195" s="873"/>
      <c r="AV195" s="873"/>
    </row>
    <row r="196" spans="1:48" ht="11.25" customHeight="1" x14ac:dyDescent="0.2">
      <c r="A196" s="873"/>
      <c r="B196" s="873"/>
      <c r="C196" s="873"/>
      <c r="D196" s="873"/>
      <c r="E196" s="873"/>
      <c r="F196" s="873"/>
      <c r="G196" s="873"/>
      <c r="H196" s="873"/>
      <c r="I196" s="873"/>
      <c r="J196" s="873"/>
      <c r="K196" s="873"/>
      <c r="L196" s="873"/>
      <c r="M196" s="873"/>
      <c r="N196" s="873"/>
      <c r="O196" s="873"/>
      <c r="P196" s="873"/>
      <c r="Q196" s="873"/>
      <c r="R196" s="873"/>
      <c r="S196" s="873"/>
      <c r="T196" s="873"/>
      <c r="U196" s="873"/>
      <c r="V196" s="873"/>
      <c r="W196" s="873"/>
      <c r="X196" s="873"/>
      <c r="Y196" s="873"/>
      <c r="Z196" s="873"/>
      <c r="AA196" s="873"/>
      <c r="AB196" s="873"/>
      <c r="AC196" s="873"/>
      <c r="AD196" s="873"/>
      <c r="AE196" s="873"/>
      <c r="AF196" s="873"/>
      <c r="AG196" s="873"/>
      <c r="AH196" s="873"/>
      <c r="AI196" s="873"/>
      <c r="AJ196" s="873"/>
      <c r="AK196" s="873"/>
      <c r="AL196" s="873"/>
      <c r="AM196" s="873"/>
      <c r="AN196" s="873"/>
      <c r="AO196" s="873"/>
      <c r="AP196" s="873"/>
      <c r="AQ196" s="873"/>
      <c r="AR196" s="873"/>
      <c r="AS196" s="873"/>
      <c r="AT196" s="873"/>
      <c r="AU196" s="873"/>
      <c r="AV196" s="873"/>
    </row>
    <row r="197" spans="1:48" ht="11.25" customHeight="1" x14ac:dyDescent="0.2">
      <c r="A197" s="873"/>
      <c r="B197" s="873"/>
      <c r="C197" s="873"/>
      <c r="D197" s="873"/>
      <c r="E197" s="873"/>
      <c r="F197" s="873"/>
      <c r="G197" s="873"/>
      <c r="H197" s="873"/>
      <c r="I197" s="873"/>
      <c r="J197" s="873"/>
      <c r="K197" s="873"/>
      <c r="L197" s="873"/>
      <c r="M197" s="873"/>
      <c r="N197" s="873"/>
      <c r="O197" s="873"/>
      <c r="P197" s="873"/>
      <c r="Q197" s="873"/>
      <c r="R197" s="873"/>
      <c r="S197" s="873"/>
      <c r="T197" s="873"/>
      <c r="U197" s="873"/>
      <c r="V197" s="873"/>
      <c r="W197" s="873"/>
      <c r="X197" s="873"/>
      <c r="Y197" s="873"/>
      <c r="Z197" s="873"/>
      <c r="AA197" s="873"/>
      <c r="AB197" s="873"/>
      <c r="AC197" s="873"/>
      <c r="AD197" s="873"/>
      <c r="AE197" s="873"/>
      <c r="AF197" s="873"/>
      <c r="AG197" s="873"/>
      <c r="AH197" s="873"/>
      <c r="AI197" s="873"/>
      <c r="AJ197" s="873"/>
      <c r="AK197" s="873"/>
      <c r="AL197" s="873"/>
      <c r="AM197" s="873"/>
      <c r="AN197" s="873"/>
      <c r="AO197" s="873"/>
      <c r="AP197" s="873"/>
      <c r="AQ197" s="873"/>
      <c r="AR197" s="873"/>
      <c r="AS197" s="873"/>
      <c r="AT197" s="873"/>
      <c r="AU197" s="873"/>
      <c r="AV197" s="873"/>
    </row>
    <row r="198" spans="1:48" ht="11.25" customHeight="1" x14ac:dyDescent="0.2">
      <c r="A198" s="873"/>
      <c r="B198" s="873"/>
      <c r="C198" s="873"/>
      <c r="D198" s="873"/>
      <c r="E198" s="873"/>
      <c r="F198" s="873"/>
      <c r="G198" s="873"/>
      <c r="H198" s="873"/>
      <c r="I198" s="873"/>
      <c r="J198" s="873"/>
      <c r="K198" s="873"/>
      <c r="L198" s="873"/>
      <c r="M198" s="873"/>
      <c r="N198" s="873"/>
      <c r="O198" s="873"/>
      <c r="P198" s="873"/>
      <c r="Q198" s="873"/>
      <c r="R198" s="873"/>
      <c r="S198" s="873"/>
      <c r="T198" s="873"/>
      <c r="U198" s="873"/>
      <c r="V198" s="873"/>
      <c r="W198" s="873"/>
      <c r="X198" s="873"/>
      <c r="Y198" s="873"/>
      <c r="Z198" s="873"/>
      <c r="AA198" s="873"/>
      <c r="AB198" s="873"/>
      <c r="AC198" s="873"/>
      <c r="AD198" s="873"/>
      <c r="AE198" s="873"/>
      <c r="AF198" s="873"/>
      <c r="AG198" s="873"/>
      <c r="AH198" s="873"/>
      <c r="AI198" s="873"/>
      <c r="AJ198" s="873"/>
      <c r="AK198" s="873"/>
      <c r="AL198" s="873"/>
      <c r="AM198" s="873"/>
      <c r="AN198" s="873"/>
      <c r="AO198" s="873"/>
      <c r="AP198" s="873"/>
      <c r="AQ198" s="873"/>
      <c r="AR198" s="873"/>
      <c r="AS198" s="873"/>
      <c r="AT198" s="873"/>
      <c r="AU198" s="873"/>
      <c r="AV198" s="873"/>
    </row>
    <row r="199" spans="1:48" ht="11.25" customHeight="1" x14ac:dyDescent="0.2">
      <c r="A199" s="873"/>
      <c r="B199" s="873"/>
      <c r="C199" s="873"/>
      <c r="D199" s="873"/>
      <c r="E199" s="873"/>
      <c r="F199" s="873"/>
      <c r="G199" s="873"/>
      <c r="H199" s="873"/>
      <c r="I199" s="873"/>
      <c r="J199" s="873"/>
      <c r="K199" s="873"/>
      <c r="L199" s="873"/>
      <c r="M199" s="873"/>
      <c r="N199" s="873"/>
      <c r="O199" s="873"/>
      <c r="P199" s="873"/>
      <c r="Q199" s="873"/>
      <c r="R199" s="873"/>
      <c r="S199" s="873"/>
      <c r="T199" s="873"/>
      <c r="U199" s="873"/>
      <c r="V199" s="873"/>
      <c r="W199" s="873"/>
      <c r="X199" s="873"/>
      <c r="Y199" s="873"/>
      <c r="Z199" s="873"/>
      <c r="AA199" s="873"/>
      <c r="AB199" s="873"/>
      <c r="AC199" s="873"/>
      <c r="AD199" s="873"/>
      <c r="AE199" s="873"/>
      <c r="AF199" s="873"/>
      <c r="AG199" s="873"/>
      <c r="AH199" s="873"/>
      <c r="AI199" s="873"/>
      <c r="AJ199" s="873"/>
      <c r="AK199" s="873"/>
      <c r="AL199" s="873"/>
      <c r="AM199" s="873"/>
      <c r="AN199" s="873"/>
      <c r="AO199" s="873"/>
      <c r="AP199" s="873"/>
      <c r="AQ199" s="873"/>
      <c r="AR199" s="873"/>
      <c r="AS199" s="873"/>
      <c r="AT199" s="873"/>
      <c r="AU199" s="873"/>
      <c r="AV199" s="873"/>
    </row>
    <row r="200" spans="1:48" ht="11.25" customHeight="1" x14ac:dyDescent="0.2">
      <c r="A200" s="873"/>
      <c r="B200" s="873"/>
      <c r="C200" s="873"/>
      <c r="D200" s="873"/>
      <c r="E200" s="873"/>
      <c r="F200" s="873"/>
      <c r="G200" s="873"/>
      <c r="H200" s="873"/>
      <c r="I200" s="873"/>
      <c r="J200" s="873"/>
      <c r="K200" s="873"/>
      <c r="L200" s="873"/>
      <c r="M200" s="873"/>
      <c r="N200" s="873"/>
      <c r="O200" s="873"/>
      <c r="P200" s="873"/>
      <c r="Q200" s="873"/>
      <c r="R200" s="873"/>
      <c r="S200" s="873"/>
      <c r="T200" s="873"/>
      <c r="U200" s="873"/>
      <c r="V200" s="873"/>
      <c r="W200" s="873"/>
      <c r="X200" s="873"/>
      <c r="Y200" s="873"/>
      <c r="Z200" s="873"/>
      <c r="AA200" s="873"/>
      <c r="AB200" s="873"/>
      <c r="AC200" s="873"/>
      <c r="AD200" s="873"/>
      <c r="AE200" s="873"/>
      <c r="AF200" s="873"/>
      <c r="AG200" s="873"/>
      <c r="AH200" s="873"/>
      <c r="AI200" s="873"/>
      <c r="AJ200" s="873"/>
      <c r="AK200" s="873"/>
      <c r="AL200" s="873"/>
      <c r="AM200" s="873"/>
      <c r="AN200" s="873"/>
      <c r="AO200" s="873"/>
      <c r="AP200" s="873"/>
      <c r="AQ200" s="873"/>
      <c r="AR200" s="873"/>
      <c r="AS200" s="873"/>
      <c r="AT200" s="873"/>
      <c r="AU200" s="873"/>
      <c r="AV200" s="873"/>
    </row>
    <row r="201" spans="1:48" ht="11.25" customHeight="1" x14ac:dyDescent="0.2">
      <c r="A201" s="873"/>
      <c r="B201" s="873"/>
      <c r="C201" s="873"/>
      <c r="D201" s="873"/>
      <c r="E201" s="873"/>
      <c r="F201" s="873"/>
      <c r="G201" s="873"/>
      <c r="H201" s="873"/>
      <c r="I201" s="873"/>
      <c r="J201" s="873"/>
      <c r="K201" s="873"/>
      <c r="L201" s="873"/>
      <c r="M201" s="873"/>
      <c r="N201" s="873"/>
      <c r="O201" s="873"/>
      <c r="P201" s="873"/>
      <c r="Q201" s="873"/>
      <c r="R201" s="873"/>
      <c r="S201" s="873"/>
      <c r="T201" s="873"/>
      <c r="U201" s="873"/>
      <c r="V201" s="873"/>
      <c r="W201" s="873"/>
      <c r="X201" s="873"/>
      <c r="Y201" s="873"/>
      <c r="Z201" s="873"/>
      <c r="AA201" s="873"/>
      <c r="AB201" s="873"/>
      <c r="AC201" s="873"/>
      <c r="AD201" s="873"/>
      <c r="AE201" s="873"/>
      <c r="AF201" s="873"/>
      <c r="AG201" s="873"/>
      <c r="AH201" s="873"/>
      <c r="AI201" s="873"/>
      <c r="AJ201" s="873"/>
      <c r="AK201" s="873"/>
      <c r="AL201" s="873"/>
      <c r="AM201" s="873"/>
      <c r="AN201" s="873"/>
      <c r="AO201" s="873"/>
      <c r="AP201" s="873"/>
      <c r="AQ201" s="873"/>
      <c r="AR201" s="873"/>
      <c r="AS201" s="873"/>
      <c r="AT201" s="873"/>
      <c r="AU201" s="873"/>
      <c r="AV201" s="873"/>
    </row>
    <row r="202" spans="1:48" ht="11.25" customHeight="1" x14ac:dyDescent="0.2">
      <c r="A202" s="873"/>
      <c r="B202" s="873"/>
      <c r="C202" s="873"/>
      <c r="D202" s="873"/>
      <c r="E202" s="873"/>
      <c r="F202" s="873"/>
      <c r="G202" s="873"/>
      <c r="H202" s="873"/>
      <c r="I202" s="873"/>
      <c r="J202" s="873"/>
      <c r="K202" s="873"/>
      <c r="L202" s="873"/>
      <c r="M202" s="873"/>
      <c r="N202" s="873"/>
      <c r="O202" s="873"/>
      <c r="P202" s="873"/>
      <c r="Q202" s="873"/>
      <c r="R202" s="873"/>
      <c r="S202" s="873"/>
      <c r="T202" s="873"/>
      <c r="U202" s="873"/>
      <c r="V202" s="873"/>
      <c r="W202" s="873"/>
      <c r="X202" s="873"/>
      <c r="Y202" s="873"/>
      <c r="Z202" s="873"/>
      <c r="AA202" s="873"/>
      <c r="AB202" s="873"/>
      <c r="AC202" s="873"/>
      <c r="AD202" s="873"/>
      <c r="AE202" s="873"/>
      <c r="AF202" s="873"/>
      <c r="AG202" s="873"/>
      <c r="AH202" s="873"/>
      <c r="AI202" s="873"/>
      <c r="AJ202" s="873"/>
      <c r="AK202" s="873"/>
      <c r="AL202" s="873"/>
      <c r="AM202" s="873"/>
      <c r="AN202" s="873"/>
      <c r="AO202" s="873"/>
      <c r="AP202" s="873"/>
      <c r="AQ202" s="873"/>
      <c r="AR202" s="873"/>
      <c r="AS202" s="873"/>
      <c r="AT202" s="873"/>
      <c r="AU202" s="873"/>
      <c r="AV202" s="873"/>
    </row>
    <row r="203" spans="1:48" ht="11.25" customHeight="1" x14ac:dyDescent="0.2">
      <c r="A203" s="873"/>
      <c r="B203" s="873"/>
      <c r="C203" s="873"/>
      <c r="D203" s="873"/>
      <c r="E203" s="873"/>
      <c r="F203" s="873"/>
      <c r="G203" s="873"/>
      <c r="H203" s="873"/>
      <c r="I203" s="873"/>
      <c r="J203" s="873"/>
      <c r="K203" s="873"/>
      <c r="L203" s="873"/>
      <c r="M203" s="873"/>
      <c r="N203" s="873"/>
      <c r="O203" s="873"/>
      <c r="P203" s="873"/>
      <c r="Q203" s="873"/>
      <c r="R203" s="873"/>
      <c r="S203" s="873"/>
      <c r="T203" s="873"/>
      <c r="U203" s="873"/>
      <c r="V203" s="873"/>
      <c r="W203" s="873"/>
      <c r="X203" s="873"/>
      <c r="Y203" s="873"/>
      <c r="Z203" s="873"/>
      <c r="AA203" s="873"/>
      <c r="AB203" s="873"/>
      <c r="AC203" s="873"/>
      <c r="AD203" s="873"/>
      <c r="AE203" s="873"/>
      <c r="AF203" s="873"/>
      <c r="AG203" s="873"/>
      <c r="AH203" s="873"/>
      <c r="AI203" s="873"/>
      <c r="AJ203" s="873"/>
      <c r="AK203" s="873"/>
      <c r="AL203" s="873"/>
      <c r="AM203" s="873"/>
      <c r="AN203" s="873"/>
      <c r="AO203" s="873"/>
      <c r="AP203" s="873"/>
      <c r="AQ203" s="873"/>
      <c r="AR203" s="873"/>
      <c r="AS203" s="873"/>
      <c r="AT203" s="873"/>
      <c r="AU203" s="873"/>
      <c r="AV203" s="873"/>
    </row>
    <row r="204" spans="1:48" ht="11.25" customHeight="1" x14ac:dyDescent="0.2">
      <c r="A204" s="873"/>
      <c r="B204" s="873"/>
      <c r="C204" s="873"/>
      <c r="D204" s="873"/>
      <c r="E204" s="873"/>
      <c r="F204" s="873"/>
      <c r="G204" s="873"/>
      <c r="H204" s="873"/>
      <c r="I204" s="873"/>
      <c r="J204" s="873"/>
      <c r="K204" s="873"/>
      <c r="L204" s="873"/>
      <c r="M204" s="873"/>
      <c r="N204" s="873"/>
      <c r="O204" s="873"/>
      <c r="P204" s="873"/>
      <c r="Q204" s="873"/>
      <c r="R204" s="873"/>
      <c r="S204" s="873"/>
      <c r="T204" s="873"/>
      <c r="U204" s="873"/>
      <c r="V204" s="873"/>
      <c r="W204" s="873"/>
      <c r="X204" s="873"/>
      <c r="Y204" s="873"/>
      <c r="Z204" s="873"/>
      <c r="AA204" s="873"/>
      <c r="AB204" s="873"/>
      <c r="AC204" s="873"/>
      <c r="AD204" s="873"/>
      <c r="AE204" s="873"/>
      <c r="AF204" s="873"/>
      <c r="AG204" s="873"/>
      <c r="AH204" s="873"/>
      <c r="AI204" s="873"/>
      <c r="AJ204" s="873"/>
      <c r="AK204" s="873"/>
      <c r="AL204" s="873"/>
      <c r="AM204" s="873"/>
      <c r="AN204" s="873"/>
      <c r="AO204" s="873"/>
      <c r="AP204" s="873"/>
      <c r="AQ204" s="873"/>
      <c r="AR204" s="873"/>
      <c r="AS204" s="873"/>
      <c r="AT204" s="873"/>
      <c r="AU204" s="873"/>
      <c r="AV204" s="873"/>
    </row>
    <row r="205" spans="1:48" ht="11.25" customHeight="1" x14ac:dyDescent="0.2">
      <c r="A205" s="873"/>
      <c r="B205" s="873"/>
      <c r="C205" s="873"/>
      <c r="D205" s="873"/>
      <c r="E205" s="873"/>
      <c r="F205" s="873"/>
      <c r="G205" s="873"/>
      <c r="H205" s="873"/>
      <c r="I205" s="873"/>
      <c r="J205" s="873"/>
      <c r="K205" s="873"/>
      <c r="L205" s="873"/>
      <c r="M205" s="873"/>
      <c r="N205" s="873"/>
      <c r="O205" s="873"/>
      <c r="P205" s="873"/>
      <c r="Q205" s="873"/>
      <c r="R205" s="873"/>
      <c r="S205" s="873"/>
      <c r="T205" s="873"/>
      <c r="U205" s="873"/>
      <c r="V205" s="873"/>
      <c r="W205" s="873"/>
      <c r="X205" s="873"/>
      <c r="Y205" s="873"/>
      <c r="Z205" s="873"/>
      <c r="AA205" s="873"/>
      <c r="AB205" s="873"/>
      <c r="AC205" s="873"/>
      <c r="AD205" s="873"/>
      <c r="AE205" s="873"/>
      <c r="AF205" s="873"/>
      <c r="AG205" s="873"/>
      <c r="AH205" s="873"/>
      <c r="AI205" s="873"/>
      <c r="AJ205" s="873"/>
      <c r="AK205" s="873"/>
      <c r="AL205" s="873"/>
      <c r="AM205" s="873"/>
      <c r="AN205" s="873"/>
      <c r="AO205" s="873"/>
      <c r="AP205" s="873"/>
      <c r="AQ205" s="873"/>
      <c r="AR205" s="873"/>
      <c r="AS205" s="873"/>
      <c r="AT205" s="873"/>
      <c r="AU205" s="873"/>
      <c r="AV205" s="873"/>
    </row>
    <row r="206" spans="1:48" ht="11.25" customHeight="1" x14ac:dyDescent="0.2">
      <c r="A206" s="873"/>
      <c r="B206" s="873"/>
      <c r="C206" s="873"/>
      <c r="D206" s="873"/>
      <c r="E206" s="873"/>
      <c r="F206" s="873"/>
      <c r="G206" s="873"/>
      <c r="H206" s="873"/>
      <c r="I206" s="873"/>
      <c r="J206" s="873"/>
      <c r="K206" s="873"/>
      <c r="L206" s="873"/>
      <c r="M206" s="873"/>
      <c r="N206" s="873"/>
      <c r="O206" s="873"/>
      <c r="P206" s="873"/>
      <c r="Q206" s="873"/>
      <c r="R206" s="873"/>
      <c r="S206" s="873"/>
      <c r="T206" s="873"/>
      <c r="U206" s="873"/>
      <c r="V206" s="873"/>
      <c r="W206" s="873"/>
      <c r="X206" s="873"/>
      <c r="Y206" s="873"/>
      <c r="Z206" s="873"/>
      <c r="AA206" s="873"/>
      <c r="AB206" s="873"/>
      <c r="AC206" s="873"/>
      <c r="AD206" s="873"/>
      <c r="AE206" s="873"/>
      <c r="AF206" s="873"/>
      <c r="AG206" s="873"/>
      <c r="AH206" s="873"/>
      <c r="AI206" s="873"/>
      <c r="AJ206" s="873"/>
      <c r="AK206" s="873"/>
      <c r="AL206" s="873"/>
      <c r="AM206" s="873"/>
      <c r="AN206" s="873"/>
      <c r="AO206" s="873"/>
      <c r="AP206" s="873"/>
      <c r="AQ206" s="873"/>
      <c r="AR206" s="873"/>
      <c r="AS206" s="873"/>
      <c r="AT206" s="873"/>
      <c r="AU206" s="873"/>
      <c r="AV206" s="873"/>
    </row>
    <row r="207" spans="1:48" ht="11.25" customHeight="1" x14ac:dyDescent="0.2">
      <c r="A207" s="873"/>
      <c r="B207" s="873"/>
      <c r="C207" s="873"/>
      <c r="D207" s="873"/>
      <c r="E207" s="873"/>
      <c r="F207" s="873"/>
      <c r="G207" s="873"/>
      <c r="H207" s="873"/>
      <c r="I207" s="873"/>
      <c r="J207" s="873"/>
      <c r="K207" s="873"/>
      <c r="L207" s="873"/>
      <c r="M207" s="873"/>
      <c r="N207" s="873"/>
      <c r="O207" s="873"/>
      <c r="P207" s="873"/>
      <c r="Q207" s="873"/>
      <c r="R207" s="873"/>
      <c r="S207" s="873"/>
      <c r="T207" s="873"/>
      <c r="U207" s="873"/>
      <c r="V207" s="873"/>
      <c r="W207" s="873"/>
      <c r="X207" s="873"/>
      <c r="Y207" s="873"/>
      <c r="Z207" s="873"/>
      <c r="AA207" s="873"/>
      <c r="AB207" s="873"/>
      <c r="AC207" s="873"/>
      <c r="AD207" s="873"/>
      <c r="AE207" s="873"/>
      <c r="AF207" s="873"/>
      <c r="AG207" s="873"/>
      <c r="AH207" s="873"/>
      <c r="AI207" s="873"/>
      <c r="AJ207" s="873"/>
      <c r="AK207" s="873"/>
      <c r="AL207" s="873"/>
      <c r="AM207" s="873"/>
      <c r="AN207" s="873"/>
      <c r="AO207" s="873"/>
      <c r="AP207" s="873"/>
      <c r="AQ207" s="873"/>
      <c r="AR207" s="873"/>
      <c r="AS207" s="873"/>
      <c r="AT207" s="873"/>
      <c r="AU207" s="873"/>
      <c r="AV207" s="873"/>
    </row>
    <row r="208" spans="1:48" ht="11.25" customHeight="1" x14ac:dyDescent="0.2">
      <c r="A208" s="873"/>
      <c r="B208" s="873"/>
      <c r="C208" s="873"/>
      <c r="D208" s="873"/>
      <c r="E208" s="873"/>
      <c r="F208" s="873"/>
      <c r="G208" s="873"/>
      <c r="H208" s="873"/>
      <c r="I208" s="873"/>
      <c r="J208" s="873"/>
      <c r="K208" s="873"/>
      <c r="L208" s="873"/>
      <c r="M208" s="873"/>
      <c r="N208" s="873"/>
      <c r="O208" s="873"/>
      <c r="P208" s="873"/>
      <c r="Q208" s="873"/>
      <c r="R208" s="873"/>
      <c r="S208" s="873"/>
      <c r="T208" s="873"/>
      <c r="U208" s="873"/>
      <c r="V208" s="873"/>
      <c r="W208" s="873"/>
      <c r="X208" s="873"/>
      <c r="Y208" s="873"/>
      <c r="Z208" s="873"/>
      <c r="AA208" s="873"/>
      <c r="AB208" s="873"/>
      <c r="AC208" s="873"/>
      <c r="AD208" s="873"/>
      <c r="AE208" s="873"/>
      <c r="AF208" s="873"/>
      <c r="AG208" s="873"/>
      <c r="AH208" s="873"/>
      <c r="AI208" s="873"/>
      <c r="AJ208" s="873"/>
      <c r="AK208" s="873"/>
      <c r="AL208" s="873"/>
      <c r="AM208" s="873"/>
      <c r="AN208" s="873"/>
      <c r="AO208" s="873"/>
      <c r="AP208" s="873"/>
      <c r="AQ208" s="873"/>
      <c r="AR208" s="873"/>
      <c r="AS208" s="873"/>
      <c r="AT208" s="873"/>
      <c r="AU208" s="873"/>
      <c r="AV208" s="873"/>
    </row>
    <row r="209" spans="1:48" ht="11.25" customHeight="1" x14ac:dyDescent="0.2">
      <c r="A209" s="873"/>
      <c r="B209" s="873"/>
      <c r="C209" s="873"/>
      <c r="D209" s="873"/>
      <c r="E209" s="873"/>
      <c r="F209" s="873"/>
      <c r="G209" s="873"/>
      <c r="H209" s="873"/>
      <c r="I209" s="873"/>
      <c r="J209" s="873"/>
      <c r="K209" s="873"/>
      <c r="L209" s="873"/>
      <c r="M209" s="873"/>
      <c r="N209" s="873"/>
      <c r="O209" s="873"/>
      <c r="P209" s="873"/>
      <c r="Q209" s="873"/>
      <c r="R209" s="873"/>
      <c r="S209" s="873"/>
      <c r="T209" s="873"/>
      <c r="U209" s="873"/>
      <c r="V209" s="873"/>
      <c r="W209" s="873"/>
      <c r="X209" s="873"/>
      <c r="Y209" s="873"/>
      <c r="Z209" s="873"/>
      <c r="AA209" s="873"/>
      <c r="AB209" s="873"/>
      <c r="AC209" s="873"/>
      <c r="AD209" s="873"/>
      <c r="AE209" s="873"/>
      <c r="AF209" s="873"/>
      <c r="AG209" s="873"/>
      <c r="AH209" s="873"/>
      <c r="AI209" s="873"/>
      <c r="AJ209" s="873"/>
      <c r="AK209" s="873"/>
      <c r="AL209" s="873"/>
      <c r="AM209" s="873"/>
      <c r="AN209" s="873"/>
      <c r="AO209" s="873"/>
      <c r="AP209" s="873"/>
      <c r="AQ209" s="873"/>
      <c r="AR209" s="873"/>
      <c r="AS209" s="873"/>
      <c r="AT209" s="873"/>
      <c r="AU209" s="873"/>
      <c r="AV209" s="873"/>
    </row>
    <row r="210" spans="1:48" ht="11.25" customHeight="1" x14ac:dyDescent="0.2">
      <c r="A210" s="873"/>
      <c r="B210" s="873"/>
      <c r="C210" s="873"/>
      <c r="D210" s="873"/>
      <c r="E210" s="873"/>
      <c r="F210" s="873"/>
      <c r="G210" s="873"/>
      <c r="H210" s="873"/>
      <c r="I210" s="873"/>
      <c r="J210" s="873"/>
      <c r="K210" s="873"/>
      <c r="L210" s="873"/>
      <c r="M210" s="873"/>
      <c r="N210" s="873"/>
      <c r="O210" s="873"/>
      <c r="P210" s="873"/>
      <c r="Q210" s="873"/>
      <c r="R210" s="873"/>
      <c r="S210" s="873"/>
      <c r="T210" s="873"/>
      <c r="U210" s="873"/>
      <c r="V210" s="873"/>
      <c r="W210" s="873"/>
      <c r="X210" s="873"/>
      <c r="Y210" s="873"/>
      <c r="Z210" s="873"/>
      <c r="AA210" s="873"/>
      <c r="AB210" s="873"/>
      <c r="AC210" s="873"/>
      <c r="AD210" s="873"/>
      <c r="AE210" s="873"/>
      <c r="AF210" s="873"/>
      <c r="AG210" s="873"/>
      <c r="AH210" s="873"/>
      <c r="AI210" s="873"/>
      <c r="AJ210" s="873"/>
      <c r="AK210" s="873"/>
      <c r="AL210" s="873"/>
      <c r="AM210" s="873"/>
      <c r="AN210" s="873"/>
      <c r="AO210" s="873"/>
      <c r="AP210" s="873"/>
      <c r="AQ210" s="873"/>
      <c r="AR210" s="873"/>
      <c r="AS210" s="873"/>
      <c r="AT210" s="873"/>
      <c r="AU210" s="873"/>
      <c r="AV210" s="873"/>
    </row>
    <row r="211" spans="1:48" ht="11.25" customHeight="1" x14ac:dyDescent="0.2">
      <c r="A211" s="873"/>
      <c r="B211" s="873"/>
      <c r="C211" s="873"/>
      <c r="D211" s="873"/>
      <c r="E211" s="873"/>
      <c r="F211" s="873"/>
      <c r="G211" s="873"/>
      <c r="H211" s="873"/>
      <c r="I211" s="873"/>
      <c r="J211" s="873"/>
      <c r="K211" s="873"/>
      <c r="L211" s="873"/>
      <c r="M211" s="873"/>
      <c r="N211" s="873"/>
      <c r="O211" s="873"/>
      <c r="P211" s="873"/>
      <c r="Q211" s="873"/>
      <c r="R211" s="873"/>
      <c r="S211" s="873"/>
      <c r="T211" s="873"/>
      <c r="U211" s="873"/>
      <c r="V211" s="873"/>
      <c r="W211" s="873"/>
      <c r="X211" s="873"/>
      <c r="Y211" s="873"/>
      <c r="Z211" s="873"/>
      <c r="AA211" s="873"/>
      <c r="AB211" s="873"/>
      <c r="AC211" s="873"/>
      <c r="AD211" s="873"/>
      <c r="AE211" s="873"/>
      <c r="AF211" s="873"/>
      <c r="AG211" s="873"/>
      <c r="AH211" s="873"/>
      <c r="AI211" s="873"/>
      <c r="AJ211" s="873"/>
      <c r="AK211" s="873"/>
      <c r="AL211" s="873"/>
      <c r="AM211" s="873"/>
      <c r="AN211" s="873"/>
      <c r="AO211" s="873"/>
      <c r="AP211" s="873"/>
      <c r="AQ211" s="873"/>
      <c r="AR211" s="873"/>
      <c r="AS211" s="873"/>
      <c r="AT211" s="873"/>
      <c r="AU211" s="873"/>
      <c r="AV211" s="873"/>
    </row>
    <row r="212" spans="1:48" ht="11.25" customHeight="1" x14ac:dyDescent="0.2">
      <c r="A212" s="873"/>
      <c r="B212" s="873"/>
      <c r="C212" s="873"/>
      <c r="D212" s="873"/>
      <c r="E212" s="873"/>
      <c r="F212" s="873"/>
      <c r="G212" s="873"/>
      <c r="H212" s="873"/>
      <c r="I212" s="873"/>
      <c r="J212" s="873"/>
      <c r="K212" s="873"/>
      <c r="L212" s="873"/>
      <c r="M212" s="873"/>
      <c r="N212" s="873"/>
      <c r="O212" s="873"/>
      <c r="P212" s="873"/>
      <c r="Q212" s="873"/>
      <c r="R212" s="873"/>
      <c r="S212" s="873"/>
      <c r="T212" s="873"/>
      <c r="U212" s="873"/>
      <c r="V212" s="873"/>
      <c r="W212" s="873"/>
      <c r="X212" s="873"/>
      <c r="Y212" s="873"/>
      <c r="Z212" s="873"/>
      <c r="AA212" s="873"/>
      <c r="AB212" s="873"/>
      <c r="AC212" s="873"/>
      <c r="AD212" s="873"/>
      <c r="AE212" s="873"/>
      <c r="AF212" s="873"/>
      <c r="AG212" s="873"/>
      <c r="AH212" s="873"/>
      <c r="AI212" s="873"/>
      <c r="AJ212" s="873"/>
      <c r="AK212" s="873"/>
      <c r="AL212" s="873"/>
      <c r="AM212" s="873"/>
      <c r="AN212" s="873"/>
      <c r="AO212" s="873"/>
      <c r="AP212" s="873"/>
      <c r="AQ212" s="873"/>
      <c r="AR212" s="873"/>
      <c r="AS212" s="873"/>
      <c r="AT212" s="873"/>
      <c r="AU212" s="873"/>
      <c r="AV212" s="873"/>
    </row>
    <row r="213" spans="1:48" ht="11.25" customHeight="1" x14ac:dyDescent="0.2">
      <c r="A213" s="873"/>
      <c r="B213" s="873"/>
      <c r="C213" s="873"/>
      <c r="D213" s="873"/>
      <c r="E213" s="873"/>
      <c r="F213" s="873"/>
      <c r="G213" s="873"/>
      <c r="H213" s="873"/>
      <c r="I213" s="873"/>
      <c r="J213" s="873"/>
      <c r="K213" s="873"/>
      <c r="L213" s="873"/>
      <c r="M213" s="873"/>
      <c r="N213" s="873"/>
      <c r="O213" s="873"/>
      <c r="P213" s="873"/>
      <c r="Q213" s="873"/>
      <c r="R213" s="873"/>
      <c r="S213" s="873"/>
      <c r="T213" s="873"/>
      <c r="U213" s="873"/>
      <c r="V213" s="873"/>
      <c r="W213" s="873"/>
      <c r="X213" s="873"/>
      <c r="Y213" s="873"/>
      <c r="Z213" s="873"/>
      <c r="AA213" s="873"/>
      <c r="AB213" s="873"/>
      <c r="AC213" s="873"/>
      <c r="AD213" s="873"/>
      <c r="AE213" s="873"/>
      <c r="AF213" s="873"/>
      <c r="AG213" s="873"/>
      <c r="AH213" s="873"/>
      <c r="AI213" s="873"/>
      <c r="AJ213" s="873"/>
      <c r="AK213" s="873"/>
      <c r="AL213" s="873"/>
      <c r="AM213" s="873"/>
      <c r="AN213" s="873"/>
      <c r="AO213" s="873"/>
      <c r="AP213" s="873"/>
      <c r="AQ213" s="873"/>
      <c r="AR213" s="873"/>
      <c r="AS213" s="873"/>
      <c r="AT213" s="873"/>
      <c r="AU213" s="873"/>
      <c r="AV213" s="873"/>
    </row>
    <row r="214" spans="1:48" ht="11.25" customHeight="1" x14ac:dyDescent="0.2">
      <c r="A214" s="873"/>
      <c r="B214" s="873"/>
      <c r="C214" s="873"/>
      <c r="D214" s="873"/>
      <c r="E214" s="873"/>
      <c r="F214" s="873"/>
      <c r="G214" s="873"/>
      <c r="H214" s="873"/>
      <c r="I214" s="873"/>
      <c r="J214" s="873"/>
      <c r="K214" s="873"/>
      <c r="L214" s="873"/>
      <c r="M214" s="873"/>
      <c r="N214" s="873"/>
      <c r="O214" s="873"/>
      <c r="P214" s="873"/>
      <c r="Q214" s="873"/>
      <c r="R214" s="873"/>
      <c r="S214" s="873"/>
      <c r="T214" s="873"/>
      <c r="U214" s="873"/>
      <c r="V214" s="873"/>
      <c r="W214" s="873"/>
      <c r="X214" s="873"/>
      <c r="Y214" s="873"/>
      <c r="Z214" s="873"/>
      <c r="AA214" s="873"/>
      <c r="AB214" s="873"/>
      <c r="AC214" s="873"/>
      <c r="AD214" s="873"/>
      <c r="AE214" s="873"/>
      <c r="AF214" s="873"/>
      <c r="AG214" s="873"/>
      <c r="AH214" s="873"/>
      <c r="AI214" s="873"/>
      <c r="AJ214" s="873"/>
      <c r="AK214" s="873"/>
      <c r="AL214" s="873"/>
      <c r="AM214" s="873"/>
      <c r="AN214" s="873"/>
      <c r="AO214" s="873"/>
      <c r="AP214" s="873"/>
      <c r="AQ214" s="873"/>
      <c r="AR214" s="873"/>
      <c r="AS214" s="873"/>
      <c r="AT214" s="873"/>
      <c r="AU214" s="873"/>
      <c r="AV214" s="873"/>
    </row>
    <row r="215" spans="1:48" ht="11.25" customHeight="1" x14ac:dyDescent="0.2">
      <c r="A215" s="873"/>
      <c r="B215" s="873"/>
      <c r="C215" s="873"/>
      <c r="D215" s="873"/>
      <c r="E215" s="873"/>
      <c r="F215" s="873"/>
      <c r="G215" s="873"/>
      <c r="H215" s="873"/>
      <c r="I215" s="873"/>
      <c r="J215" s="873"/>
      <c r="K215" s="873"/>
      <c r="L215" s="873"/>
      <c r="M215" s="873"/>
      <c r="N215" s="873"/>
      <c r="O215" s="873"/>
      <c r="P215" s="873"/>
      <c r="Q215" s="873"/>
      <c r="R215" s="873"/>
      <c r="S215" s="873"/>
      <c r="T215" s="873"/>
      <c r="U215" s="873"/>
      <c r="V215" s="873"/>
      <c r="W215" s="873"/>
      <c r="X215" s="873"/>
      <c r="Y215" s="873"/>
      <c r="Z215" s="873"/>
      <c r="AA215" s="873"/>
      <c r="AB215" s="873"/>
      <c r="AC215" s="873"/>
      <c r="AD215" s="873"/>
      <c r="AE215" s="873"/>
      <c r="AF215" s="873"/>
      <c r="AG215" s="873"/>
      <c r="AH215" s="873"/>
      <c r="AI215" s="873"/>
      <c r="AJ215" s="873"/>
      <c r="AK215" s="873"/>
      <c r="AL215" s="873"/>
      <c r="AM215" s="873"/>
      <c r="AN215" s="873"/>
      <c r="AO215" s="873"/>
      <c r="AP215" s="873"/>
      <c r="AQ215" s="873"/>
      <c r="AR215" s="873"/>
      <c r="AS215" s="873"/>
      <c r="AT215" s="873"/>
      <c r="AU215" s="873"/>
      <c r="AV215" s="873"/>
    </row>
    <row r="216" spans="1:48" ht="11.25" customHeight="1" x14ac:dyDescent="0.2">
      <c r="A216" s="873"/>
      <c r="B216" s="873"/>
      <c r="C216" s="873"/>
      <c r="D216" s="873"/>
      <c r="E216" s="873"/>
      <c r="F216" s="873"/>
      <c r="G216" s="873"/>
      <c r="H216" s="873"/>
      <c r="I216" s="873"/>
      <c r="J216" s="873"/>
      <c r="K216" s="873"/>
      <c r="L216" s="873"/>
      <c r="M216" s="873"/>
      <c r="N216" s="873"/>
      <c r="O216" s="873"/>
      <c r="P216" s="873"/>
      <c r="Q216" s="873"/>
      <c r="R216" s="873"/>
      <c r="S216" s="873"/>
      <c r="T216" s="873"/>
      <c r="U216" s="873"/>
      <c r="V216" s="873"/>
      <c r="W216" s="873"/>
      <c r="X216" s="873"/>
      <c r="Y216" s="873"/>
      <c r="Z216" s="873"/>
      <c r="AA216" s="873"/>
      <c r="AB216" s="873"/>
      <c r="AC216" s="873"/>
      <c r="AD216" s="873"/>
      <c r="AE216" s="873"/>
      <c r="AF216" s="873"/>
      <c r="AG216" s="873"/>
      <c r="AH216" s="873"/>
      <c r="AI216" s="873"/>
      <c r="AJ216" s="873"/>
      <c r="AK216" s="873"/>
      <c r="AL216" s="873"/>
      <c r="AM216" s="873"/>
      <c r="AN216" s="873"/>
      <c r="AO216" s="873"/>
      <c r="AP216" s="873"/>
      <c r="AQ216" s="873"/>
      <c r="AR216" s="873"/>
      <c r="AS216" s="873"/>
      <c r="AT216" s="873"/>
      <c r="AU216" s="873"/>
      <c r="AV216" s="873"/>
    </row>
    <row r="217" spans="1:48" ht="11.25" customHeight="1" x14ac:dyDescent="0.2">
      <c r="A217" s="873"/>
      <c r="B217" s="873"/>
      <c r="C217" s="873"/>
      <c r="D217" s="873"/>
      <c r="E217" s="873"/>
      <c r="F217" s="873"/>
      <c r="G217" s="873"/>
      <c r="H217" s="873"/>
      <c r="I217" s="873"/>
      <c r="J217" s="873"/>
      <c r="K217" s="873"/>
      <c r="L217" s="873"/>
      <c r="M217" s="873"/>
      <c r="N217" s="873"/>
      <c r="O217" s="873"/>
      <c r="P217" s="873"/>
      <c r="Q217" s="873"/>
      <c r="R217" s="873"/>
      <c r="S217" s="873"/>
      <c r="T217" s="873"/>
      <c r="U217" s="873"/>
      <c r="V217" s="873"/>
      <c r="W217" s="873"/>
      <c r="X217" s="873"/>
      <c r="Y217" s="873"/>
      <c r="Z217" s="873"/>
      <c r="AA217" s="873"/>
      <c r="AB217" s="873"/>
      <c r="AC217" s="873"/>
      <c r="AD217" s="873"/>
      <c r="AE217" s="873"/>
      <c r="AF217" s="873"/>
      <c r="AG217" s="873"/>
      <c r="AH217" s="873"/>
      <c r="AI217" s="873"/>
      <c r="AJ217" s="873"/>
      <c r="AK217" s="873"/>
      <c r="AL217" s="873"/>
      <c r="AM217" s="873"/>
      <c r="AN217" s="873"/>
      <c r="AO217" s="873"/>
      <c r="AP217" s="873"/>
      <c r="AQ217" s="873"/>
      <c r="AR217" s="873"/>
      <c r="AS217" s="873"/>
      <c r="AT217" s="873"/>
      <c r="AU217" s="873"/>
      <c r="AV217" s="873"/>
    </row>
    <row r="218" spans="1:48" ht="11.25" customHeight="1" x14ac:dyDescent="0.2">
      <c r="A218" s="873"/>
      <c r="B218" s="873"/>
      <c r="C218" s="873"/>
      <c r="D218" s="873"/>
      <c r="E218" s="873"/>
      <c r="F218" s="873"/>
      <c r="G218" s="873"/>
      <c r="H218" s="873"/>
      <c r="I218" s="873"/>
      <c r="J218" s="873"/>
      <c r="K218" s="873"/>
      <c r="L218" s="873"/>
      <c r="M218" s="873"/>
      <c r="N218" s="873"/>
      <c r="O218" s="873"/>
      <c r="P218" s="873"/>
      <c r="Q218" s="873"/>
      <c r="R218" s="873"/>
      <c r="S218" s="873"/>
      <c r="T218" s="873"/>
      <c r="U218" s="873"/>
      <c r="V218" s="873"/>
      <c r="W218" s="873"/>
      <c r="X218" s="873"/>
      <c r="Y218" s="873"/>
      <c r="Z218" s="873"/>
      <c r="AA218" s="873"/>
      <c r="AB218" s="873"/>
      <c r="AC218" s="873"/>
      <c r="AD218" s="873"/>
      <c r="AE218" s="873"/>
      <c r="AF218" s="873"/>
      <c r="AG218" s="873"/>
      <c r="AH218" s="873"/>
      <c r="AI218" s="873"/>
      <c r="AJ218" s="873"/>
      <c r="AK218" s="873"/>
      <c r="AL218" s="873"/>
      <c r="AM218" s="873"/>
      <c r="AN218" s="873"/>
      <c r="AO218" s="873"/>
      <c r="AP218" s="873"/>
      <c r="AQ218" s="873"/>
      <c r="AR218" s="873"/>
      <c r="AS218" s="873"/>
      <c r="AT218" s="873"/>
      <c r="AU218" s="873"/>
      <c r="AV218" s="873"/>
    </row>
    <row r="219" spans="1:48" ht="11.25" customHeight="1" x14ac:dyDescent="0.2">
      <c r="A219" s="873"/>
      <c r="B219" s="873"/>
      <c r="C219" s="873"/>
      <c r="D219" s="873"/>
      <c r="E219" s="873"/>
      <c r="F219" s="873"/>
      <c r="G219" s="873"/>
      <c r="H219" s="873"/>
      <c r="I219" s="873"/>
      <c r="J219" s="873"/>
      <c r="K219" s="873"/>
      <c r="L219" s="873"/>
      <c r="M219" s="873"/>
      <c r="N219" s="873"/>
      <c r="O219" s="873"/>
      <c r="P219" s="873"/>
      <c r="Q219" s="873"/>
      <c r="R219" s="873"/>
      <c r="S219" s="873"/>
      <c r="T219" s="873"/>
      <c r="U219" s="873"/>
      <c r="V219" s="873"/>
      <c r="W219" s="873"/>
      <c r="X219" s="873"/>
      <c r="Y219" s="873"/>
      <c r="Z219" s="873"/>
      <c r="AA219" s="873"/>
      <c r="AB219" s="873"/>
      <c r="AC219" s="873"/>
      <c r="AD219" s="873"/>
      <c r="AE219" s="873"/>
      <c r="AF219" s="873"/>
      <c r="AG219" s="873"/>
      <c r="AH219" s="873"/>
      <c r="AI219" s="873"/>
      <c r="AJ219" s="873"/>
      <c r="AK219" s="873"/>
      <c r="AL219" s="873"/>
      <c r="AM219" s="873"/>
      <c r="AN219" s="873"/>
      <c r="AO219" s="873"/>
      <c r="AP219" s="873"/>
      <c r="AQ219" s="873"/>
      <c r="AR219" s="873"/>
      <c r="AS219" s="873"/>
      <c r="AT219" s="873"/>
      <c r="AU219" s="873"/>
      <c r="AV219" s="873"/>
    </row>
    <row r="220" spans="1:48" ht="11.25" customHeight="1" x14ac:dyDescent="0.2">
      <c r="A220" s="873"/>
      <c r="B220" s="873"/>
      <c r="C220" s="873"/>
      <c r="D220" s="873"/>
      <c r="E220" s="873"/>
      <c r="F220" s="873"/>
      <c r="G220" s="873"/>
      <c r="H220" s="873"/>
      <c r="I220" s="873"/>
      <c r="J220" s="873"/>
      <c r="K220" s="873"/>
      <c r="L220" s="873"/>
      <c r="M220" s="873"/>
      <c r="N220" s="873"/>
      <c r="O220" s="873"/>
      <c r="P220" s="873"/>
      <c r="Q220" s="873"/>
      <c r="R220" s="873"/>
      <c r="S220" s="873"/>
      <c r="T220" s="873"/>
      <c r="U220" s="873"/>
      <c r="V220" s="873"/>
      <c r="W220" s="873"/>
      <c r="X220" s="873"/>
      <c r="Y220" s="873"/>
      <c r="Z220" s="873"/>
      <c r="AA220" s="873"/>
      <c r="AB220" s="873"/>
      <c r="AC220" s="873"/>
      <c r="AD220" s="873"/>
      <c r="AE220" s="873"/>
      <c r="AF220" s="873"/>
      <c r="AG220" s="873"/>
      <c r="AH220" s="873"/>
      <c r="AI220" s="873"/>
      <c r="AJ220" s="873"/>
      <c r="AK220" s="873"/>
      <c r="AL220" s="873"/>
      <c r="AM220" s="873"/>
      <c r="AN220" s="873"/>
      <c r="AO220" s="873"/>
      <c r="AP220" s="873"/>
      <c r="AQ220" s="873"/>
      <c r="AR220" s="873"/>
      <c r="AS220" s="873"/>
      <c r="AT220" s="873"/>
      <c r="AU220" s="873"/>
      <c r="AV220" s="873"/>
    </row>
    <row r="221" spans="1:48" ht="11.25" customHeight="1" x14ac:dyDescent="0.2">
      <c r="A221" s="873"/>
      <c r="B221" s="873"/>
      <c r="C221" s="873"/>
      <c r="D221" s="873"/>
      <c r="E221" s="873"/>
      <c r="F221" s="873"/>
      <c r="G221" s="873"/>
      <c r="H221" s="873"/>
      <c r="I221" s="873"/>
      <c r="J221" s="873"/>
      <c r="K221" s="873"/>
      <c r="L221" s="873"/>
      <c r="M221" s="873"/>
      <c r="N221" s="873"/>
      <c r="O221" s="873"/>
      <c r="P221" s="873"/>
      <c r="Q221" s="873"/>
      <c r="R221" s="873"/>
      <c r="S221" s="873"/>
      <c r="T221" s="873"/>
      <c r="U221" s="873"/>
      <c r="V221" s="873"/>
      <c r="W221" s="873"/>
      <c r="X221" s="873"/>
      <c r="Y221" s="873"/>
      <c r="Z221" s="873"/>
      <c r="AA221" s="873"/>
      <c r="AB221" s="873"/>
      <c r="AC221" s="873"/>
      <c r="AD221" s="873"/>
      <c r="AE221" s="873"/>
      <c r="AF221" s="873"/>
      <c r="AG221" s="873"/>
      <c r="AH221" s="873"/>
      <c r="AI221" s="873"/>
      <c r="AJ221" s="873"/>
      <c r="AK221" s="873"/>
      <c r="AL221" s="873"/>
      <c r="AM221" s="873"/>
      <c r="AN221" s="873"/>
      <c r="AO221" s="873"/>
      <c r="AP221" s="873"/>
      <c r="AQ221" s="873"/>
      <c r="AR221" s="873"/>
      <c r="AS221" s="873"/>
      <c r="AT221" s="873"/>
      <c r="AU221" s="873"/>
      <c r="AV221" s="873"/>
    </row>
    <row r="222" spans="1:48" ht="11.25" customHeight="1" x14ac:dyDescent="0.2">
      <c r="A222" s="873"/>
      <c r="B222" s="873"/>
      <c r="C222" s="873"/>
      <c r="D222" s="873"/>
      <c r="E222" s="873"/>
      <c r="F222" s="873"/>
      <c r="G222" s="873"/>
      <c r="H222" s="873"/>
      <c r="I222" s="873"/>
      <c r="J222" s="873"/>
      <c r="K222" s="873"/>
      <c r="L222" s="873"/>
      <c r="M222" s="873"/>
      <c r="N222" s="873"/>
      <c r="O222" s="873"/>
      <c r="P222" s="873"/>
      <c r="Q222" s="873"/>
      <c r="R222" s="873"/>
      <c r="S222" s="873"/>
      <c r="T222" s="873"/>
      <c r="U222" s="873"/>
      <c r="V222" s="873"/>
      <c r="W222" s="873"/>
      <c r="X222" s="873"/>
      <c r="Y222" s="873"/>
      <c r="Z222" s="873"/>
      <c r="AA222" s="873"/>
      <c r="AB222" s="873"/>
      <c r="AC222" s="873"/>
      <c r="AD222" s="873"/>
      <c r="AE222" s="873"/>
      <c r="AF222" s="873"/>
      <c r="AG222" s="873"/>
      <c r="AH222" s="873"/>
      <c r="AI222" s="873"/>
      <c r="AJ222" s="873"/>
      <c r="AK222" s="873"/>
      <c r="AL222" s="873"/>
      <c r="AM222" s="873"/>
      <c r="AN222" s="873"/>
      <c r="AO222" s="873"/>
      <c r="AP222" s="873"/>
      <c r="AQ222" s="873"/>
      <c r="AR222" s="873"/>
      <c r="AS222" s="873"/>
      <c r="AT222" s="873"/>
      <c r="AU222" s="873"/>
      <c r="AV222" s="873"/>
    </row>
    <row r="223" spans="1:48" ht="11.25" customHeight="1" x14ac:dyDescent="0.2">
      <c r="A223" s="873"/>
      <c r="B223" s="873"/>
      <c r="C223" s="873"/>
      <c r="D223" s="873"/>
      <c r="E223" s="873"/>
      <c r="F223" s="873"/>
      <c r="G223" s="873"/>
      <c r="H223" s="873"/>
      <c r="I223" s="873"/>
      <c r="J223" s="873"/>
      <c r="K223" s="873"/>
      <c r="L223" s="873"/>
      <c r="M223" s="873"/>
      <c r="N223" s="873"/>
      <c r="O223" s="873"/>
      <c r="P223" s="873"/>
      <c r="Q223" s="873"/>
      <c r="R223" s="873"/>
      <c r="S223" s="873"/>
      <c r="T223" s="873"/>
      <c r="U223" s="873"/>
      <c r="V223" s="873"/>
      <c r="W223" s="873"/>
      <c r="X223" s="873"/>
      <c r="Y223" s="873"/>
      <c r="Z223" s="873"/>
      <c r="AA223" s="873"/>
      <c r="AB223" s="873"/>
      <c r="AC223" s="873"/>
      <c r="AD223" s="873"/>
      <c r="AE223" s="873"/>
      <c r="AF223" s="873"/>
      <c r="AG223" s="873"/>
      <c r="AH223" s="873"/>
      <c r="AI223" s="873"/>
      <c r="AJ223" s="873"/>
      <c r="AK223" s="873"/>
      <c r="AL223" s="873"/>
      <c r="AM223" s="873"/>
      <c r="AN223" s="873"/>
      <c r="AO223" s="873"/>
      <c r="AP223" s="873"/>
      <c r="AQ223" s="873"/>
      <c r="AR223" s="873"/>
      <c r="AS223" s="873"/>
      <c r="AT223" s="873"/>
      <c r="AU223" s="873"/>
      <c r="AV223" s="873"/>
    </row>
    <row r="224" spans="1:48" ht="11.25" customHeight="1" x14ac:dyDescent="0.2">
      <c r="A224" s="873"/>
      <c r="B224" s="873"/>
      <c r="C224" s="873"/>
      <c r="D224" s="873"/>
      <c r="E224" s="873"/>
      <c r="F224" s="873"/>
      <c r="G224" s="873"/>
      <c r="H224" s="873"/>
      <c r="I224" s="873"/>
      <c r="J224" s="873"/>
      <c r="K224" s="873"/>
      <c r="L224" s="873"/>
      <c r="M224" s="873"/>
      <c r="N224" s="873"/>
      <c r="O224" s="873"/>
      <c r="P224" s="873"/>
      <c r="Q224" s="873"/>
      <c r="R224" s="873"/>
      <c r="S224" s="873"/>
      <c r="T224" s="873"/>
      <c r="U224" s="873"/>
      <c r="V224" s="873"/>
      <c r="W224" s="873"/>
      <c r="X224" s="873"/>
      <c r="Y224" s="873"/>
      <c r="Z224" s="873"/>
      <c r="AA224" s="873"/>
      <c r="AB224" s="873"/>
      <c r="AC224" s="873"/>
      <c r="AD224" s="873"/>
      <c r="AE224" s="873"/>
      <c r="AF224" s="873"/>
      <c r="AG224" s="873"/>
      <c r="AH224" s="873"/>
      <c r="AI224" s="873"/>
      <c r="AJ224" s="873"/>
      <c r="AK224" s="873"/>
      <c r="AL224" s="873"/>
      <c r="AM224" s="873"/>
      <c r="AN224" s="873"/>
      <c r="AO224" s="873"/>
      <c r="AP224" s="873"/>
      <c r="AQ224" s="873"/>
      <c r="AR224" s="873"/>
      <c r="AS224" s="873"/>
      <c r="AT224" s="873"/>
      <c r="AU224" s="873"/>
      <c r="AV224" s="873"/>
    </row>
    <row r="225" spans="1:48" ht="11.25" customHeight="1" x14ac:dyDescent="0.2">
      <c r="A225" s="873"/>
      <c r="B225" s="873"/>
      <c r="C225" s="873"/>
      <c r="D225" s="873"/>
      <c r="E225" s="873"/>
      <c r="F225" s="873"/>
      <c r="G225" s="873"/>
      <c r="H225" s="873"/>
      <c r="I225" s="873"/>
      <c r="J225" s="873"/>
      <c r="K225" s="873"/>
      <c r="L225" s="873"/>
      <c r="M225" s="873"/>
      <c r="N225" s="873"/>
      <c r="O225" s="873"/>
      <c r="P225" s="873"/>
      <c r="Q225" s="873"/>
      <c r="R225" s="873"/>
      <c r="S225" s="873"/>
      <c r="T225" s="873"/>
      <c r="U225" s="873"/>
      <c r="V225" s="873"/>
      <c r="W225" s="873"/>
      <c r="X225" s="873"/>
      <c r="Y225" s="873"/>
      <c r="Z225" s="873"/>
      <c r="AA225" s="873"/>
      <c r="AB225" s="873"/>
      <c r="AC225" s="873"/>
      <c r="AD225" s="873"/>
      <c r="AE225" s="873"/>
      <c r="AF225" s="873"/>
      <c r="AG225" s="873"/>
      <c r="AH225" s="873"/>
      <c r="AI225" s="873"/>
      <c r="AJ225" s="873"/>
      <c r="AK225" s="873"/>
      <c r="AL225" s="873"/>
      <c r="AM225" s="873"/>
      <c r="AN225" s="873"/>
      <c r="AO225" s="873"/>
      <c r="AP225" s="873"/>
      <c r="AQ225" s="873"/>
      <c r="AR225" s="873"/>
      <c r="AS225" s="873"/>
      <c r="AT225" s="873"/>
      <c r="AU225" s="873"/>
      <c r="AV225" s="873"/>
    </row>
    <row r="226" spans="1:48" ht="11.25" customHeight="1" x14ac:dyDescent="0.2">
      <c r="A226" s="873"/>
      <c r="B226" s="873"/>
      <c r="C226" s="873"/>
      <c r="D226" s="873"/>
      <c r="E226" s="873"/>
      <c r="F226" s="873"/>
      <c r="G226" s="873"/>
      <c r="H226" s="873"/>
      <c r="I226" s="873"/>
      <c r="J226" s="873"/>
      <c r="K226" s="873"/>
      <c r="L226" s="873"/>
      <c r="M226" s="873"/>
      <c r="N226" s="873"/>
      <c r="O226" s="873"/>
      <c r="P226" s="873"/>
      <c r="Q226" s="873"/>
      <c r="R226" s="873"/>
      <c r="S226" s="873"/>
      <c r="T226" s="873"/>
      <c r="U226" s="873"/>
      <c r="V226" s="873"/>
      <c r="W226" s="873"/>
      <c r="X226" s="873"/>
      <c r="Y226" s="873"/>
      <c r="Z226" s="873"/>
      <c r="AA226" s="873"/>
      <c r="AB226" s="873"/>
      <c r="AC226" s="873"/>
      <c r="AD226" s="873"/>
      <c r="AE226" s="873"/>
      <c r="AF226" s="873"/>
      <c r="AG226" s="873"/>
      <c r="AH226" s="873"/>
      <c r="AI226" s="873"/>
      <c r="AJ226" s="873"/>
      <c r="AK226" s="873"/>
      <c r="AL226" s="873"/>
      <c r="AM226" s="873"/>
      <c r="AN226" s="873"/>
      <c r="AO226" s="873"/>
      <c r="AP226" s="873"/>
      <c r="AQ226" s="873"/>
      <c r="AR226" s="873"/>
      <c r="AS226" s="873"/>
      <c r="AT226" s="873"/>
      <c r="AU226" s="873"/>
      <c r="AV226" s="873"/>
    </row>
    <row r="227" spans="1:48" ht="11.25" customHeight="1" x14ac:dyDescent="0.2">
      <c r="A227" s="873"/>
      <c r="B227" s="873"/>
      <c r="C227" s="873"/>
      <c r="D227" s="873"/>
      <c r="E227" s="873"/>
      <c r="F227" s="873"/>
      <c r="G227" s="873"/>
      <c r="H227" s="873"/>
      <c r="I227" s="873"/>
      <c r="J227" s="873"/>
      <c r="K227" s="873"/>
      <c r="L227" s="873"/>
      <c r="M227" s="873"/>
      <c r="N227" s="873"/>
      <c r="O227" s="873"/>
      <c r="P227" s="873"/>
      <c r="Q227" s="873"/>
      <c r="R227" s="873"/>
      <c r="S227" s="873"/>
      <c r="T227" s="873"/>
      <c r="U227" s="873"/>
      <c r="V227" s="873"/>
      <c r="W227" s="873"/>
      <c r="X227" s="873"/>
      <c r="Y227" s="873"/>
      <c r="Z227" s="873"/>
      <c r="AA227" s="873"/>
      <c r="AB227" s="873"/>
      <c r="AC227" s="873"/>
      <c r="AD227" s="873"/>
      <c r="AE227" s="873"/>
      <c r="AF227" s="873"/>
      <c r="AG227" s="873"/>
      <c r="AH227" s="873"/>
      <c r="AI227" s="873"/>
      <c r="AJ227" s="873"/>
      <c r="AK227" s="873"/>
      <c r="AL227" s="873"/>
      <c r="AM227" s="873"/>
      <c r="AN227" s="873"/>
      <c r="AO227" s="873"/>
      <c r="AP227" s="873"/>
      <c r="AQ227" s="873"/>
      <c r="AR227" s="873"/>
      <c r="AS227" s="873"/>
      <c r="AT227" s="873"/>
      <c r="AU227" s="873"/>
      <c r="AV227" s="873"/>
    </row>
    <row r="228" spans="1:48" ht="11.25" customHeight="1" x14ac:dyDescent="0.2">
      <c r="A228" s="873"/>
      <c r="B228" s="873"/>
      <c r="C228" s="873"/>
      <c r="D228" s="873"/>
      <c r="E228" s="873"/>
      <c r="F228" s="873"/>
      <c r="G228" s="873"/>
      <c r="H228" s="873"/>
      <c r="I228" s="873"/>
      <c r="J228" s="873"/>
      <c r="K228" s="873"/>
      <c r="L228" s="873"/>
      <c r="M228" s="873"/>
      <c r="N228" s="873"/>
      <c r="O228" s="873"/>
      <c r="P228" s="873"/>
      <c r="Q228" s="873"/>
      <c r="R228" s="873"/>
      <c r="S228" s="873"/>
      <c r="T228" s="873"/>
      <c r="U228" s="873"/>
      <c r="V228" s="873"/>
      <c r="W228" s="873"/>
      <c r="X228" s="873"/>
      <c r="Y228" s="873"/>
      <c r="Z228" s="873"/>
      <c r="AA228" s="873"/>
      <c r="AB228" s="873"/>
      <c r="AC228" s="873"/>
      <c r="AD228" s="873"/>
      <c r="AE228" s="873"/>
      <c r="AF228" s="873"/>
      <c r="AG228" s="873"/>
      <c r="AH228" s="873"/>
      <c r="AI228" s="873"/>
      <c r="AJ228" s="873"/>
      <c r="AK228" s="873"/>
      <c r="AL228" s="873"/>
      <c r="AM228" s="873"/>
      <c r="AN228" s="873"/>
      <c r="AO228" s="873"/>
      <c r="AP228" s="873"/>
      <c r="AQ228" s="873"/>
      <c r="AR228" s="873"/>
      <c r="AS228" s="873"/>
      <c r="AT228" s="873"/>
      <c r="AU228" s="873"/>
      <c r="AV228" s="873"/>
    </row>
    <row r="229" spans="1:48" ht="11.25" customHeight="1" x14ac:dyDescent="0.2">
      <c r="A229" s="873"/>
      <c r="B229" s="873"/>
      <c r="C229" s="873"/>
      <c r="D229" s="873"/>
      <c r="E229" s="873"/>
      <c r="F229" s="873"/>
      <c r="G229" s="873"/>
      <c r="H229" s="873"/>
      <c r="I229" s="873"/>
      <c r="J229" s="873"/>
      <c r="K229" s="873"/>
      <c r="L229" s="873"/>
      <c r="M229" s="873"/>
      <c r="N229" s="873"/>
      <c r="O229" s="873"/>
      <c r="P229" s="873"/>
      <c r="Q229" s="873"/>
      <c r="R229" s="873"/>
      <c r="S229" s="873"/>
      <c r="T229" s="873"/>
      <c r="U229" s="873"/>
      <c r="V229" s="873"/>
      <c r="W229" s="873"/>
      <c r="X229" s="873"/>
      <c r="Y229" s="873"/>
      <c r="Z229" s="873"/>
      <c r="AA229" s="873"/>
      <c r="AB229" s="873"/>
      <c r="AC229" s="873"/>
      <c r="AD229" s="873"/>
      <c r="AE229" s="873"/>
      <c r="AF229" s="873"/>
      <c r="AG229" s="873"/>
      <c r="AH229" s="873"/>
      <c r="AI229" s="873"/>
      <c r="AJ229" s="873"/>
      <c r="AK229" s="873"/>
      <c r="AL229" s="873"/>
      <c r="AM229" s="873"/>
      <c r="AN229" s="873"/>
      <c r="AO229" s="873"/>
      <c r="AP229" s="873"/>
      <c r="AQ229" s="873"/>
      <c r="AR229" s="873"/>
      <c r="AS229" s="873"/>
      <c r="AT229" s="873"/>
      <c r="AU229" s="873"/>
      <c r="AV229" s="873"/>
    </row>
    <row r="230" spans="1:48" ht="11.25" customHeight="1" x14ac:dyDescent="0.2">
      <c r="A230" s="873"/>
      <c r="B230" s="873"/>
      <c r="C230" s="873"/>
      <c r="D230" s="873"/>
      <c r="E230" s="873"/>
      <c r="F230" s="873"/>
      <c r="G230" s="873"/>
      <c r="H230" s="873"/>
      <c r="I230" s="873"/>
      <c r="J230" s="873"/>
      <c r="K230" s="873"/>
      <c r="L230" s="873"/>
      <c r="M230" s="873"/>
      <c r="N230" s="873"/>
      <c r="O230" s="873"/>
      <c r="P230" s="873"/>
      <c r="Q230" s="873"/>
      <c r="R230" s="873"/>
      <c r="S230" s="873"/>
      <c r="T230" s="873"/>
      <c r="U230" s="873"/>
      <c r="V230" s="873"/>
      <c r="W230" s="873"/>
      <c r="X230" s="873"/>
      <c r="Y230" s="873"/>
      <c r="Z230" s="873"/>
      <c r="AA230" s="873"/>
      <c r="AB230" s="873"/>
      <c r="AC230" s="873"/>
      <c r="AD230" s="873"/>
      <c r="AE230" s="873"/>
      <c r="AF230" s="873"/>
      <c r="AG230" s="873"/>
      <c r="AH230" s="873"/>
      <c r="AI230" s="873"/>
      <c r="AJ230" s="873"/>
      <c r="AK230" s="873"/>
      <c r="AL230" s="873"/>
      <c r="AM230" s="873"/>
      <c r="AN230" s="873"/>
      <c r="AO230" s="873"/>
      <c r="AP230" s="873"/>
      <c r="AQ230" s="873"/>
      <c r="AR230" s="873"/>
      <c r="AS230" s="873"/>
      <c r="AT230" s="873"/>
      <c r="AU230" s="873"/>
      <c r="AV230" s="873"/>
    </row>
    <row r="231" spans="1:48" ht="11.25" customHeight="1" x14ac:dyDescent="0.2">
      <c r="A231" s="873"/>
      <c r="B231" s="873"/>
      <c r="C231" s="873"/>
      <c r="D231" s="873"/>
      <c r="E231" s="873"/>
      <c r="F231" s="873"/>
      <c r="G231" s="873"/>
      <c r="H231" s="873"/>
      <c r="I231" s="873"/>
      <c r="J231" s="873"/>
      <c r="K231" s="873"/>
      <c r="L231" s="873"/>
      <c r="M231" s="873"/>
      <c r="N231" s="873"/>
      <c r="O231" s="873"/>
      <c r="P231" s="873"/>
      <c r="Q231" s="873"/>
      <c r="R231" s="873"/>
      <c r="S231" s="873"/>
      <c r="T231" s="873"/>
      <c r="U231" s="873"/>
      <c r="V231" s="873"/>
      <c r="W231" s="873"/>
      <c r="X231" s="873"/>
      <c r="Y231" s="873"/>
      <c r="Z231" s="873"/>
      <c r="AA231" s="873"/>
      <c r="AB231" s="873"/>
      <c r="AC231" s="873"/>
      <c r="AD231" s="873"/>
      <c r="AE231" s="873"/>
      <c r="AF231" s="873"/>
      <c r="AG231" s="873"/>
      <c r="AH231" s="873"/>
      <c r="AI231" s="873"/>
      <c r="AJ231" s="873"/>
      <c r="AK231" s="873"/>
      <c r="AL231" s="873"/>
      <c r="AM231" s="873"/>
      <c r="AN231" s="873"/>
      <c r="AO231" s="873"/>
      <c r="AP231" s="873"/>
      <c r="AQ231" s="873"/>
      <c r="AR231" s="873"/>
      <c r="AS231" s="873"/>
      <c r="AT231" s="873"/>
      <c r="AU231" s="873"/>
      <c r="AV231" s="873"/>
    </row>
    <row r="232" spans="1:48" ht="11.25" customHeight="1" x14ac:dyDescent="0.2">
      <c r="A232" s="873"/>
      <c r="B232" s="873"/>
      <c r="C232" s="873"/>
      <c r="D232" s="873"/>
      <c r="E232" s="873"/>
      <c r="F232" s="873"/>
      <c r="G232" s="873"/>
      <c r="H232" s="873"/>
      <c r="I232" s="873"/>
      <c r="J232" s="873"/>
      <c r="K232" s="873"/>
      <c r="L232" s="873"/>
      <c r="M232" s="873"/>
      <c r="N232" s="873"/>
      <c r="O232" s="873"/>
      <c r="P232" s="873"/>
      <c r="Q232" s="873"/>
      <c r="R232" s="873"/>
      <c r="S232" s="873"/>
      <c r="T232" s="873"/>
      <c r="U232" s="873"/>
      <c r="V232" s="873"/>
      <c r="W232" s="873"/>
      <c r="X232" s="873"/>
      <c r="Y232" s="873"/>
      <c r="Z232" s="873"/>
      <c r="AA232" s="873"/>
      <c r="AB232" s="873"/>
      <c r="AC232" s="873"/>
      <c r="AD232" s="873"/>
      <c r="AE232" s="873"/>
      <c r="AF232" s="873"/>
      <c r="AG232" s="873"/>
      <c r="AH232" s="873"/>
      <c r="AI232" s="873"/>
      <c r="AJ232" s="873"/>
      <c r="AK232" s="873"/>
      <c r="AL232" s="873"/>
      <c r="AM232" s="873"/>
      <c r="AN232" s="873"/>
      <c r="AO232" s="873"/>
      <c r="AP232" s="873"/>
      <c r="AQ232" s="873"/>
      <c r="AR232" s="873"/>
      <c r="AS232" s="873"/>
      <c r="AT232" s="873"/>
      <c r="AU232" s="873"/>
      <c r="AV232" s="873"/>
    </row>
    <row r="233" spans="1:48" ht="11.25" customHeight="1" x14ac:dyDescent="0.2">
      <c r="A233" s="873"/>
      <c r="B233" s="873"/>
      <c r="C233" s="873"/>
      <c r="D233" s="873"/>
      <c r="E233" s="873"/>
      <c r="F233" s="873"/>
      <c r="G233" s="873"/>
      <c r="H233" s="873"/>
      <c r="I233" s="873"/>
      <c r="J233" s="873"/>
      <c r="K233" s="873"/>
      <c r="L233" s="873"/>
      <c r="M233" s="873"/>
      <c r="N233" s="873"/>
      <c r="O233" s="873"/>
      <c r="P233" s="873"/>
      <c r="Q233" s="873"/>
      <c r="R233" s="873"/>
      <c r="S233" s="873"/>
      <c r="T233" s="873"/>
      <c r="U233" s="873"/>
      <c r="V233" s="873"/>
      <c r="W233" s="873"/>
      <c r="X233" s="873"/>
      <c r="Y233" s="873"/>
      <c r="Z233" s="873"/>
      <c r="AA233" s="873"/>
      <c r="AB233" s="873"/>
      <c r="AC233" s="873"/>
      <c r="AD233" s="873"/>
      <c r="AE233" s="873"/>
      <c r="AF233" s="873"/>
      <c r="AG233" s="873"/>
      <c r="AH233" s="873"/>
      <c r="AI233" s="873"/>
      <c r="AJ233" s="873"/>
      <c r="AK233" s="873"/>
      <c r="AL233" s="873"/>
      <c r="AM233" s="873"/>
      <c r="AN233" s="873"/>
      <c r="AO233" s="873"/>
      <c r="AP233" s="873"/>
      <c r="AQ233" s="873"/>
      <c r="AR233" s="873"/>
      <c r="AS233" s="873"/>
      <c r="AT233" s="873"/>
      <c r="AU233" s="873"/>
      <c r="AV233" s="873"/>
    </row>
    <row r="234" spans="1:48" ht="11.25" customHeight="1" x14ac:dyDescent="0.2">
      <c r="A234" s="873"/>
      <c r="B234" s="873"/>
      <c r="C234" s="873"/>
      <c r="D234" s="873"/>
      <c r="E234" s="873"/>
      <c r="F234" s="873"/>
      <c r="G234" s="873"/>
      <c r="H234" s="873"/>
      <c r="I234" s="873"/>
      <c r="J234" s="873"/>
      <c r="K234" s="873"/>
      <c r="L234" s="873"/>
      <c r="M234" s="873"/>
      <c r="N234" s="873"/>
      <c r="O234" s="873"/>
      <c r="P234" s="873"/>
      <c r="Q234" s="873"/>
      <c r="R234" s="873"/>
      <c r="S234" s="873"/>
      <c r="T234" s="873"/>
      <c r="U234" s="873"/>
      <c r="V234" s="873"/>
      <c r="W234" s="873"/>
      <c r="X234" s="873"/>
      <c r="Y234" s="873"/>
      <c r="Z234" s="873"/>
      <c r="AA234" s="873"/>
      <c r="AB234" s="873"/>
      <c r="AC234" s="873"/>
      <c r="AD234" s="873"/>
      <c r="AE234" s="873"/>
      <c r="AF234" s="873"/>
      <c r="AG234" s="873"/>
      <c r="AH234" s="873"/>
      <c r="AI234" s="873"/>
      <c r="AJ234" s="873"/>
      <c r="AK234" s="873"/>
      <c r="AL234" s="873"/>
      <c r="AM234" s="873"/>
      <c r="AN234" s="873"/>
      <c r="AO234" s="873"/>
      <c r="AP234" s="873"/>
      <c r="AQ234" s="873"/>
      <c r="AR234" s="873"/>
      <c r="AS234" s="873"/>
      <c r="AT234" s="873"/>
      <c r="AU234" s="873"/>
      <c r="AV234" s="873"/>
    </row>
    <row r="235" spans="1:48" ht="11.25" customHeight="1" x14ac:dyDescent="0.2">
      <c r="A235" s="873"/>
      <c r="B235" s="873"/>
      <c r="C235" s="873"/>
      <c r="D235" s="873"/>
      <c r="E235" s="873"/>
      <c r="F235" s="873"/>
      <c r="G235" s="873"/>
      <c r="H235" s="873"/>
      <c r="I235" s="873"/>
      <c r="J235" s="873"/>
      <c r="K235" s="873"/>
      <c r="L235" s="873"/>
      <c r="M235" s="873"/>
      <c r="N235" s="873"/>
      <c r="O235" s="873"/>
      <c r="P235" s="873"/>
      <c r="Q235" s="873"/>
      <c r="R235" s="873"/>
      <c r="S235" s="873"/>
      <c r="T235" s="873"/>
      <c r="U235" s="873"/>
      <c r="V235" s="873"/>
      <c r="W235" s="873"/>
      <c r="X235" s="873"/>
      <c r="Y235" s="873"/>
      <c r="Z235" s="873"/>
      <c r="AA235" s="873"/>
      <c r="AB235" s="873"/>
      <c r="AC235" s="873"/>
      <c r="AD235" s="873"/>
      <c r="AE235" s="873"/>
      <c r="AF235" s="873"/>
      <c r="AG235" s="873"/>
      <c r="AH235" s="873"/>
      <c r="AI235" s="873"/>
      <c r="AJ235" s="873"/>
      <c r="AK235" s="873"/>
      <c r="AL235" s="873"/>
      <c r="AM235" s="873"/>
      <c r="AN235" s="873"/>
      <c r="AO235" s="873"/>
      <c r="AP235" s="873"/>
      <c r="AQ235" s="873"/>
      <c r="AR235" s="873"/>
      <c r="AS235" s="873"/>
      <c r="AT235" s="873"/>
      <c r="AU235" s="873"/>
      <c r="AV235" s="873"/>
    </row>
    <row r="236" spans="1:48" ht="11.25" customHeight="1" x14ac:dyDescent="0.2">
      <c r="A236" s="873"/>
      <c r="B236" s="873"/>
      <c r="C236" s="873"/>
      <c r="D236" s="873"/>
      <c r="E236" s="873"/>
      <c r="F236" s="873"/>
      <c r="G236" s="873"/>
      <c r="H236" s="873"/>
      <c r="I236" s="873"/>
      <c r="J236" s="873"/>
      <c r="K236" s="873"/>
      <c r="L236" s="873"/>
      <c r="M236" s="873"/>
      <c r="N236" s="873"/>
      <c r="O236" s="873"/>
      <c r="P236" s="873"/>
      <c r="Q236" s="873"/>
      <c r="R236" s="873"/>
      <c r="S236" s="873"/>
      <c r="T236" s="873"/>
      <c r="U236" s="873"/>
      <c r="V236" s="873"/>
      <c r="W236" s="873"/>
      <c r="X236" s="873"/>
      <c r="Y236" s="873"/>
      <c r="Z236" s="873"/>
      <c r="AA236" s="873"/>
      <c r="AB236" s="873"/>
      <c r="AC236" s="873"/>
      <c r="AD236" s="873"/>
      <c r="AE236" s="873"/>
      <c r="AF236" s="873"/>
      <c r="AG236" s="873"/>
      <c r="AH236" s="873"/>
      <c r="AI236" s="873"/>
      <c r="AJ236" s="873"/>
      <c r="AK236" s="873"/>
      <c r="AL236" s="873"/>
      <c r="AM236" s="873"/>
      <c r="AN236" s="873"/>
      <c r="AO236" s="873"/>
      <c r="AP236" s="873"/>
      <c r="AQ236" s="873"/>
      <c r="AR236" s="873"/>
      <c r="AS236" s="873"/>
      <c r="AT236" s="873"/>
      <c r="AU236" s="873"/>
      <c r="AV236" s="873"/>
    </row>
    <row r="237" spans="1:48" ht="11.25" customHeight="1" x14ac:dyDescent="0.2">
      <c r="A237" s="873"/>
      <c r="B237" s="873"/>
      <c r="C237" s="873"/>
      <c r="D237" s="873"/>
      <c r="E237" s="873"/>
      <c r="F237" s="873"/>
      <c r="G237" s="873"/>
      <c r="H237" s="873"/>
      <c r="I237" s="873"/>
      <c r="J237" s="873"/>
      <c r="K237" s="873"/>
      <c r="L237" s="873"/>
      <c r="M237" s="873"/>
      <c r="N237" s="873"/>
      <c r="O237" s="873"/>
      <c r="P237" s="873"/>
      <c r="Q237" s="873"/>
      <c r="R237" s="873"/>
      <c r="S237" s="873"/>
      <c r="T237" s="873"/>
      <c r="U237" s="873"/>
      <c r="V237" s="873"/>
      <c r="W237" s="873"/>
      <c r="X237" s="873"/>
      <c r="Y237" s="873"/>
      <c r="Z237" s="873"/>
      <c r="AA237" s="873"/>
      <c r="AB237" s="873"/>
      <c r="AC237" s="873"/>
      <c r="AD237" s="873"/>
      <c r="AE237" s="873"/>
      <c r="AF237" s="873"/>
      <c r="AG237" s="873"/>
      <c r="AH237" s="873"/>
      <c r="AI237" s="873"/>
      <c r="AJ237" s="873"/>
      <c r="AK237" s="873"/>
      <c r="AL237" s="873"/>
      <c r="AM237" s="873"/>
      <c r="AN237" s="873"/>
      <c r="AO237" s="873"/>
      <c r="AP237" s="873"/>
      <c r="AQ237" s="873"/>
      <c r="AR237" s="873"/>
      <c r="AS237" s="873"/>
      <c r="AT237" s="873"/>
      <c r="AU237" s="873"/>
      <c r="AV237" s="873"/>
    </row>
    <row r="238" spans="1:48" ht="11.25" customHeight="1" x14ac:dyDescent="0.2">
      <c r="A238" s="873"/>
      <c r="B238" s="873"/>
      <c r="C238" s="873"/>
      <c r="D238" s="873"/>
      <c r="E238" s="873"/>
      <c r="F238" s="873"/>
      <c r="G238" s="873"/>
      <c r="H238" s="873"/>
      <c r="I238" s="873"/>
      <c r="J238" s="873"/>
      <c r="K238" s="873"/>
      <c r="L238" s="873"/>
      <c r="M238" s="873"/>
      <c r="N238" s="873"/>
      <c r="O238" s="873"/>
      <c r="P238" s="873"/>
      <c r="Q238" s="873"/>
      <c r="R238" s="873"/>
      <c r="S238" s="873"/>
      <c r="T238" s="873"/>
      <c r="U238" s="873"/>
      <c r="V238" s="873"/>
      <c r="W238" s="873"/>
      <c r="X238" s="873"/>
      <c r="Y238" s="873"/>
      <c r="Z238" s="873"/>
      <c r="AA238" s="873"/>
      <c r="AB238" s="873"/>
      <c r="AC238" s="873"/>
      <c r="AD238" s="873"/>
      <c r="AE238" s="873"/>
      <c r="AF238" s="873"/>
      <c r="AG238" s="873"/>
      <c r="AH238" s="873"/>
      <c r="AI238" s="873"/>
      <c r="AJ238" s="873"/>
      <c r="AK238" s="873"/>
      <c r="AL238" s="873"/>
      <c r="AM238" s="873"/>
      <c r="AN238" s="873"/>
      <c r="AO238" s="873"/>
      <c r="AP238" s="873"/>
      <c r="AQ238" s="873"/>
      <c r="AR238" s="873"/>
      <c r="AS238" s="873"/>
      <c r="AT238" s="873"/>
      <c r="AU238" s="873"/>
      <c r="AV238" s="873"/>
    </row>
    <row r="239" spans="1:48" ht="11.25" customHeight="1" x14ac:dyDescent="0.2">
      <c r="A239" s="873"/>
      <c r="B239" s="873"/>
      <c r="C239" s="873"/>
      <c r="D239" s="873"/>
      <c r="E239" s="873"/>
      <c r="F239" s="873"/>
      <c r="G239" s="873"/>
      <c r="H239" s="873"/>
      <c r="I239" s="873"/>
      <c r="J239" s="873"/>
      <c r="K239" s="873"/>
      <c r="L239" s="873"/>
      <c r="M239" s="873"/>
      <c r="N239" s="873"/>
      <c r="O239" s="873"/>
      <c r="P239" s="873"/>
      <c r="Q239" s="873"/>
      <c r="R239" s="873"/>
      <c r="S239" s="873"/>
      <c r="T239" s="873"/>
      <c r="U239" s="873"/>
      <c r="V239" s="873"/>
      <c r="W239" s="873"/>
      <c r="X239" s="873"/>
      <c r="Y239" s="873"/>
      <c r="Z239" s="873"/>
      <c r="AA239" s="873"/>
      <c r="AB239" s="873"/>
      <c r="AC239" s="873"/>
      <c r="AD239" s="873"/>
      <c r="AE239" s="873"/>
      <c r="AF239" s="873"/>
      <c r="AG239" s="873"/>
      <c r="AH239" s="873"/>
      <c r="AI239" s="873"/>
      <c r="AJ239" s="873"/>
      <c r="AK239" s="873"/>
      <c r="AL239" s="873"/>
      <c r="AM239" s="873"/>
      <c r="AN239" s="873"/>
      <c r="AO239" s="873"/>
      <c r="AP239" s="873"/>
      <c r="AQ239" s="873"/>
      <c r="AR239" s="873"/>
      <c r="AS239" s="873"/>
      <c r="AT239" s="873"/>
      <c r="AU239" s="873"/>
      <c r="AV239" s="873"/>
    </row>
    <row r="240" spans="1:48" ht="11.25" customHeight="1" x14ac:dyDescent="0.2">
      <c r="A240" s="873"/>
      <c r="B240" s="873"/>
      <c r="C240" s="873"/>
      <c r="D240" s="873"/>
      <c r="E240" s="873"/>
      <c r="F240" s="873"/>
      <c r="G240" s="873"/>
      <c r="H240" s="873"/>
      <c r="I240" s="873"/>
      <c r="J240" s="873"/>
      <c r="K240" s="873"/>
      <c r="L240" s="873"/>
      <c r="M240" s="873"/>
      <c r="N240" s="873"/>
      <c r="O240" s="873"/>
      <c r="P240" s="873"/>
      <c r="Q240" s="873"/>
      <c r="R240" s="873"/>
      <c r="S240" s="873"/>
      <c r="T240" s="873"/>
      <c r="U240" s="873"/>
      <c r="V240" s="873"/>
      <c r="W240" s="873"/>
      <c r="X240" s="873"/>
      <c r="Y240" s="873"/>
      <c r="Z240" s="873"/>
      <c r="AA240" s="873"/>
      <c r="AB240" s="873"/>
      <c r="AC240" s="873"/>
      <c r="AD240" s="873"/>
      <c r="AE240" s="873"/>
      <c r="AF240" s="873"/>
      <c r="AG240" s="873"/>
      <c r="AH240" s="873"/>
      <c r="AI240" s="873"/>
      <c r="AJ240" s="873"/>
      <c r="AK240" s="873"/>
      <c r="AL240" s="873"/>
      <c r="AM240" s="873"/>
      <c r="AN240" s="873"/>
      <c r="AO240" s="873"/>
      <c r="AP240" s="873"/>
      <c r="AQ240" s="873"/>
      <c r="AR240" s="873"/>
      <c r="AS240" s="873"/>
      <c r="AT240" s="873"/>
      <c r="AU240" s="873"/>
      <c r="AV240" s="873"/>
    </row>
    <row r="241" spans="1:48" ht="11.25" customHeight="1" x14ac:dyDescent="0.2">
      <c r="A241" s="873"/>
      <c r="B241" s="873"/>
      <c r="C241" s="873"/>
      <c r="D241" s="873"/>
      <c r="E241" s="873"/>
      <c r="F241" s="873"/>
      <c r="G241" s="873"/>
      <c r="H241" s="873"/>
      <c r="I241" s="873"/>
      <c r="J241" s="873"/>
      <c r="K241" s="873"/>
      <c r="L241" s="873"/>
      <c r="M241" s="873"/>
      <c r="N241" s="873"/>
      <c r="O241" s="873"/>
      <c r="P241" s="873"/>
      <c r="Q241" s="873"/>
      <c r="R241" s="873"/>
      <c r="S241" s="873"/>
      <c r="T241" s="873"/>
      <c r="U241" s="873"/>
      <c r="V241" s="873"/>
      <c r="W241" s="873"/>
      <c r="X241" s="873"/>
      <c r="Y241" s="873"/>
      <c r="Z241" s="873"/>
      <c r="AA241" s="873"/>
      <c r="AB241" s="873"/>
      <c r="AC241" s="873"/>
      <c r="AD241" s="873"/>
      <c r="AE241" s="873"/>
      <c r="AF241" s="873"/>
      <c r="AG241" s="873"/>
      <c r="AH241" s="873"/>
      <c r="AI241" s="873"/>
      <c r="AJ241" s="873"/>
      <c r="AK241" s="873"/>
      <c r="AL241" s="873"/>
      <c r="AM241" s="873"/>
      <c r="AN241" s="873"/>
      <c r="AO241" s="873"/>
      <c r="AP241" s="873"/>
      <c r="AQ241" s="873"/>
      <c r="AR241" s="873"/>
      <c r="AS241" s="873"/>
      <c r="AT241" s="873"/>
      <c r="AU241" s="873"/>
      <c r="AV241" s="873"/>
    </row>
    <row r="242" spans="1:48" ht="11.25" customHeight="1" x14ac:dyDescent="0.2">
      <c r="A242" s="873"/>
      <c r="B242" s="873"/>
      <c r="C242" s="873"/>
      <c r="D242" s="873"/>
      <c r="E242" s="873"/>
      <c r="F242" s="873"/>
      <c r="G242" s="873"/>
      <c r="H242" s="873"/>
      <c r="I242" s="873"/>
      <c r="J242" s="873"/>
      <c r="K242" s="873"/>
      <c r="L242" s="873"/>
      <c r="M242" s="873"/>
      <c r="N242" s="873"/>
      <c r="O242" s="873"/>
      <c r="P242" s="873"/>
      <c r="Q242" s="873"/>
      <c r="R242" s="873"/>
      <c r="S242" s="873"/>
      <c r="T242" s="873"/>
      <c r="U242" s="873"/>
      <c r="V242" s="873"/>
      <c r="W242" s="873"/>
      <c r="X242" s="873"/>
      <c r="Y242" s="873"/>
      <c r="Z242" s="873"/>
      <c r="AA242" s="873"/>
      <c r="AB242" s="873"/>
      <c r="AC242" s="873"/>
      <c r="AD242" s="873"/>
      <c r="AE242" s="873"/>
      <c r="AF242" s="873"/>
      <c r="AG242" s="873"/>
      <c r="AH242" s="873"/>
      <c r="AI242" s="873"/>
      <c r="AJ242" s="873"/>
      <c r="AK242" s="873"/>
      <c r="AL242" s="873"/>
      <c r="AM242" s="873"/>
      <c r="AN242" s="873"/>
      <c r="AO242" s="873"/>
      <c r="AP242" s="873"/>
      <c r="AQ242" s="873"/>
      <c r="AR242" s="873"/>
      <c r="AS242" s="873"/>
      <c r="AT242" s="873"/>
      <c r="AU242" s="873"/>
      <c r="AV242" s="873"/>
    </row>
    <row r="243" spans="1:48" ht="11.25" customHeight="1" x14ac:dyDescent="0.2">
      <c r="A243" s="873"/>
      <c r="B243" s="873"/>
      <c r="C243" s="873"/>
      <c r="D243" s="873"/>
      <c r="E243" s="873"/>
      <c r="F243" s="873"/>
      <c r="G243" s="873"/>
      <c r="H243" s="873"/>
      <c r="I243" s="873"/>
      <c r="J243" s="873"/>
      <c r="K243" s="873"/>
      <c r="L243" s="873"/>
      <c r="M243" s="873"/>
      <c r="N243" s="873"/>
      <c r="O243" s="873"/>
      <c r="P243" s="873"/>
      <c r="Q243" s="873"/>
      <c r="R243" s="873"/>
      <c r="S243" s="873"/>
      <c r="T243" s="873"/>
      <c r="U243" s="873"/>
      <c r="V243" s="873"/>
      <c r="W243" s="873"/>
      <c r="X243" s="873"/>
      <c r="Y243" s="873"/>
      <c r="Z243" s="873"/>
      <c r="AA243" s="873"/>
      <c r="AB243" s="873"/>
      <c r="AC243" s="873"/>
      <c r="AD243" s="873"/>
      <c r="AE243" s="873"/>
      <c r="AF243" s="873"/>
      <c r="AG243" s="873"/>
      <c r="AH243" s="873"/>
      <c r="AI243" s="873"/>
      <c r="AJ243" s="873"/>
      <c r="AK243" s="873"/>
      <c r="AL243" s="873"/>
      <c r="AM243" s="873"/>
      <c r="AN243" s="873"/>
      <c r="AO243" s="873"/>
      <c r="AP243" s="873"/>
      <c r="AQ243" s="873"/>
      <c r="AR243" s="873"/>
      <c r="AS243" s="873"/>
      <c r="AT243" s="873"/>
      <c r="AU243" s="873"/>
      <c r="AV243" s="873"/>
    </row>
    <row r="244" spans="1:48" ht="11.25" customHeight="1" x14ac:dyDescent="0.2">
      <c r="A244" s="873"/>
      <c r="B244" s="873"/>
      <c r="C244" s="873"/>
      <c r="D244" s="873"/>
      <c r="E244" s="873"/>
      <c r="F244" s="873"/>
      <c r="G244" s="873"/>
      <c r="H244" s="873"/>
      <c r="I244" s="873"/>
      <c r="J244" s="873"/>
      <c r="K244" s="873"/>
      <c r="L244" s="873"/>
      <c r="M244" s="873"/>
      <c r="N244" s="873"/>
      <c r="O244" s="873"/>
      <c r="P244" s="873"/>
      <c r="Q244" s="873"/>
      <c r="R244" s="873"/>
      <c r="S244" s="873"/>
      <c r="T244" s="873"/>
      <c r="U244" s="873"/>
      <c r="V244" s="873"/>
      <c r="W244" s="873"/>
      <c r="X244" s="873"/>
      <c r="Y244" s="873"/>
      <c r="Z244" s="873"/>
      <c r="AA244" s="873"/>
      <c r="AB244" s="873"/>
      <c r="AC244" s="873"/>
      <c r="AD244" s="873"/>
      <c r="AE244" s="873"/>
      <c r="AF244" s="873"/>
      <c r="AG244" s="873"/>
      <c r="AH244" s="873"/>
      <c r="AI244" s="873"/>
      <c r="AJ244" s="873"/>
      <c r="AK244" s="873"/>
      <c r="AL244" s="873"/>
      <c r="AM244" s="873"/>
      <c r="AN244" s="873"/>
      <c r="AO244" s="873"/>
      <c r="AP244" s="873"/>
      <c r="AQ244" s="873"/>
      <c r="AR244" s="873"/>
      <c r="AS244" s="873"/>
      <c r="AT244" s="873"/>
      <c r="AU244" s="873"/>
      <c r="AV244" s="873"/>
    </row>
    <row r="245" spans="1:48" ht="11.25" customHeight="1" x14ac:dyDescent="0.2">
      <c r="A245" s="873"/>
      <c r="B245" s="873"/>
      <c r="C245" s="873"/>
      <c r="D245" s="873"/>
      <c r="E245" s="873"/>
      <c r="F245" s="873"/>
      <c r="G245" s="873"/>
      <c r="H245" s="873"/>
      <c r="I245" s="873"/>
      <c r="J245" s="873"/>
      <c r="K245" s="873"/>
      <c r="L245" s="873"/>
      <c r="M245" s="873"/>
      <c r="N245" s="873"/>
      <c r="O245" s="873"/>
      <c r="P245" s="873"/>
      <c r="Q245" s="873"/>
      <c r="R245" s="873"/>
      <c r="S245" s="873"/>
      <c r="T245" s="873"/>
      <c r="U245" s="873"/>
      <c r="V245" s="873"/>
      <c r="W245" s="873"/>
      <c r="X245" s="873"/>
      <c r="Y245" s="873"/>
      <c r="Z245" s="873"/>
      <c r="AA245" s="873"/>
      <c r="AB245" s="873"/>
      <c r="AC245" s="873"/>
      <c r="AD245" s="873"/>
      <c r="AE245" s="873"/>
      <c r="AF245" s="873"/>
      <c r="AG245" s="873"/>
      <c r="AH245" s="873"/>
      <c r="AI245" s="873"/>
      <c r="AJ245" s="873"/>
      <c r="AK245" s="873"/>
      <c r="AL245" s="873"/>
      <c r="AM245" s="873"/>
      <c r="AN245" s="873"/>
      <c r="AO245" s="873"/>
      <c r="AP245" s="873"/>
      <c r="AQ245" s="873"/>
      <c r="AR245" s="873"/>
      <c r="AS245" s="873"/>
      <c r="AT245" s="873"/>
      <c r="AU245" s="873"/>
      <c r="AV245" s="873"/>
    </row>
    <row r="246" spans="1:48" ht="11.25" customHeight="1" x14ac:dyDescent="0.2">
      <c r="A246" s="873"/>
      <c r="B246" s="873"/>
      <c r="C246" s="873"/>
      <c r="D246" s="873"/>
      <c r="E246" s="873"/>
      <c r="F246" s="873"/>
      <c r="G246" s="873"/>
      <c r="H246" s="873"/>
      <c r="I246" s="873"/>
      <c r="J246" s="873"/>
      <c r="K246" s="873"/>
      <c r="L246" s="873"/>
      <c r="M246" s="873"/>
      <c r="N246" s="873"/>
      <c r="O246" s="873"/>
      <c r="P246" s="873"/>
      <c r="Q246" s="873"/>
      <c r="R246" s="873"/>
      <c r="S246" s="873"/>
      <c r="T246" s="873"/>
      <c r="U246" s="873"/>
      <c r="V246" s="873"/>
      <c r="W246" s="873"/>
      <c r="X246" s="873"/>
      <c r="Y246" s="873"/>
      <c r="Z246" s="873"/>
      <c r="AA246" s="873"/>
      <c r="AB246" s="873"/>
      <c r="AC246" s="873"/>
      <c r="AD246" s="873"/>
      <c r="AE246" s="873"/>
      <c r="AF246" s="873"/>
      <c r="AG246" s="873"/>
      <c r="AH246" s="873"/>
      <c r="AI246" s="873"/>
      <c r="AJ246" s="873"/>
      <c r="AK246" s="873"/>
      <c r="AL246" s="873"/>
      <c r="AM246" s="873"/>
      <c r="AN246" s="873"/>
      <c r="AO246" s="873"/>
      <c r="AP246" s="873"/>
      <c r="AQ246" s="873"/>
      <c r="AR246" s="873"/>
      <c r="AS246" s="873"/>
      <c r="AT246" s="873"/>
      <c r="AU246" s="873"/>
      <c r="AV246" s="873"/>
    </row>
    <row r="247" spans="1:48" ht="11.25" customHeight="1" x14ac:dyDescent="0.2">
      <c r="A247" s="873"/>
      <c r="B247" s="873"/>
      <c r="C247" s="873"/>
      <c r="D247" s="873"/>
      <c r="E247" s="873"/>
      <c r="F247" s="873"/>
      <c r="G247" s="873"/>
      <c r="H247" s="873"/>
      <c r="I247" s="873"/>
      <c r="J247" s="873"/>
      <c r="K247" s="873"/>
      <c r="L247" s="873"/>
      <c r="M247" s="873"/>
      <c r="N247" s="873"/>
      <c r="O247" s="873"/>
      <c r="P247" s="873"/>
      <c r="Q247" s="873"/>
      <c r="R247" s="873"/>
      <c r="S247" s="873"/>
      <c r="T247" s="873"/>
      <c r="U247" s="873"/>
      <c r="V247" s="873"/>
      <c r="W247" s="873"/>
      <c r="X247" s="873"/>
      <c r="Y247" s="873"/>
      <c r="Z247" s="873"/>
      <c r="AA247" s="873"/>
      <c r="AB247" s="873"/>
      <c r="AC247" s="873"/>
      <c r="AD247" s="873"/>
      <c r="AE247" s="873"/>
      <c r="AF247" s="873"/>
      <c r="AG247" s="873"/>
      <c r="AH247" s="873"/>
      <c r="AI247" s="873"/>
      <c r="AJ247" s="873"/>
      <c r="AK247" s="873"/>
      <c r="AL247" s="873"/>
      <c r="AM247" s="873"/>
      <c r="AN247" s="873"/>
      <c r="AO247" s="873"/>
      <c r="AP247" s="873"/>
      <c r="AQ247" s="873"/>
      <c r="AR247" s="873"/>
      <c r="AS247" s="873"/>
      <c r="AT247" s="873"/>
      <c r="AU247" s="873"/>
      <c r="AV247" s="873"/>
    </row>
    <row r="248" spans="1:48" ht="11.25" customHeight="1" x14ac:dyDescent="0.2">
      <c r="A248" s="873"/>
      <c r="B248" s="873"/>
      <c r="C248" s="873"/>
      <c r="D248" s="873"/>
      <c r="E248" s="873"/>
      <c r="F248" s="873"/>
      <c r="G248" s="873"/>
      <c r="H248" s="873"/>
      <c r="I248" s="873"/>
      <c r="J248" s="873"/>
      <c r="K248" s="873"/>
      <c r="L248" s="873"/>
      <c r="M248" s="873"/>
      <c r="N248" s="873"/>
      <c r="O248" s="873"/>
      <c r="P248" s="873"/>
      <c r="Q248" s="873"/>
      <c r="R248" s="873"/>
      <c r="S248" s="873"/>
      <c r="T248" s="873"/>
      <c r="U248" s="873"/>
      <c r="V248" s="873"/>
      <c r="W248" s="873"/>
      <c r="X248" s="873"/>
      <c r="Y248" s="873"/>
      <c r="Z248" s="873"/>
      <c r="AA248" s="873"/>
      <c r="AB248" s="873"/>
      <c r="AC248" s="873"/>
      <c r="AD248" s="873"/>
      <c r="AE248" s="873"/>
      <c r="AF248" s="873"/>
      <c r="AG248" s="873"/>
      <c r="AH248" s="873"/>
      <c r="AI248" s="873"/>
      <c r="AJ248" s="873"/>
      <c r="AK248" s="873"/>
      <c r="AL248" s="873"/>
      <c r="AM248" s="873"/>
      <c r="AN248" s="873"/>
      <c r="AO248" s="873"/>
      <c r="AP248" s="873"/>
      <c r="AQ248" s="873"/>
      <c r="AR248" s="873"/>
      <c r="AS248" s="873"/>
      <c r="AT248" s="873"/>
      <c r="AU248" s="873"/>
      <c r="AV248" s="873"/>
    </row>
    <row r="249" spans="1:48" ht="11.25" customHeight="1" x14ac:dyDescent="0.2">
      <c r="A249" s="873"/>
      <c r="B249" s="873"/>
      <c r="C249" s="873"/>
      <c r="D249" s="873"/>
      <c r="E249" s="873"/>
      <c r="F249" s="873"/>
      <c r="G249" s="873"/>
      <c r="H249" s="873"/>
      <c r="I249" s="873"/>
      <c r="J249" s="873"/>
      <c r="K249" s="873"/>
      <c r="L249" s="873"/>
      <c r="M249" s="873"/>
      <c r="N249" s="873"/>
      <c r="O249" s="873"/>
      <c r="P249" s="873"/>
      <c r="Q249" s="873"/>
      <c r="R249" s="873"/>
      <c r="S249" s="873"/>
      <c r="T249" s="873"/>
      <c r="U249" s="873"/>
      <c r="V249" s="873"/>
      <c r="W249" s="873"/>
      <c r="X249" s="873"/>
      <c r="Y249" s="873"/>
      <c r="Z249" s="873"/>
      <c r="AA249" s="873"/>
      <c r="AB249" s="873"/>
      <c r="AC249" s="873"/>
      <c r="AD249" s="873"/>
      <c r="AE249" s="873"/>
      <c r="AF249" s="873"/>
      <c r="AG249" s="873"/>
      <c r="AH249" s="873"/>
      <c r="AI249" s="873"/>
      <c r="AJ249" s="873"/>
      <c r="AK249" s="873"/>
      <c r="AL249" s="873"/>
      <c r="AM249" s="873"/>
      <c r="AN249" s="873"/>
      <c r="AO249" s="873"/>
      <c r="AP249" s="873"/>
      <c r="AQ249" s="873"/>
      <c r="AR249" s="873"/>
      <c r="AS249" s="873"/>
      <c r="AT249" s="873"/>
      <c r="AU249" s="873"/>
      <c r="AV249" s="873"/>
    </row>
    <row r="250" spans="1:48" ht="11.25" customHeight="1" x14ac:dyDescent="0.2">
      <c r="A250" s="873"/>
      <c r="B250" s="873"/>
      <c r="C250" s="873"/>
      <c r="D250" s="873"/>
      <c r="E250" s="873"/>
      <c r="F250" s="873"/>
      <c r="G250" s="873"/>
      <c r="H250" s="873"/>
      <c r="I250" s="873"/>
      <c r="J250" s="873"/>
      <c r="K250" s="873"/>
      <c r="L250" s="873"/>
      <c r="M250" s="873"/>
      <c r="N250" s="873"/>
      <c r="O250" s="873"/>
      <c r="P250" s="873"/>
      <c r="Q250" s="873"/>
      <c r="R250" s="873"/>
      <c r="S250" s="873"/>
      <c r="T250" s="873"/>
      <c r="U250" s="873"/>
      <c r="V250" s="873"/>
      <c r="W250" s="873"/>
      <c r="X250" s="873"/>
      <c r="Y250" s="873"/>
      <c r="Z250" s="873"/>
      <c r="AA250" s="873"/>
      <c r="AB250" s="873"/>
      <c r="AC250" s="873"/>
      <c r="AD250" s="873"/>
      <c r="AE250" s="873"/>
      <c r="AF250" s="873"/>
      <c r="AG250" s="873"/>
      <c r="AH250" s="873"/>
      <c r="AI250" s="873"/>
      <c r="AJ250" s="873"/>
      <c r="AK250" s="873"/>
      <c r="AL250" s="873"/>
      <c r="AM250" s="873"/>
      <c r="AN250" s="873"/>
      <c r="AO250" s="873"/>
      <c r="AP250" s="873"/>
      <c r="AQ250" s="873"/>
      <c r="AR250" s="873"/>
      <c r="AS250" s="873"/>
      <c r="AT250" s="873"/>
      <c r="AU250" s="873"/>
      <c r="AV250" s="873"/>
    </row>
    <row r="251" spans="1:48" ht="11.25" customHeight="1" x14ac:dyDescent="0.2">
      <c r="A251" s="873"/>
      <c r="B251" s="873"/>
      <c r="C251" s="873"/>
      <c r="D251" s="873"/>
      <c r="E251" s="873"/>
      <c r="F251" s="873"/>
      <c r="G251" s="873"/>
      <c r="H251" s="873"/>
      <c r="I251" s="873"/>
      <c r="J251" s="873"/>
      <c r="K251" s="873"/>
      <c r="L251" s="873"/>
      <c r="M251" s="873"/>
      <c r="N251" s="873"/>
      <c r="O251" s="873"/>
      <c r="P251" s="873"/>
      <c r="Q251" s="873"/>
      <c r="R251" s="873"/>
      <c r="S251" s="873"/>
      <c r="T251" s="873"/>
      <c r="U251" s="873"/>
      <c r="V251" s="873"/>
      <c r="W251" s="873"/>
      <c r="X251" s="873"/>
      <c r="Y251" s="873"/>
      <c r="Z251" s="873"/>
      <c r="AA251" s="873"/>
      <c r="AB251" s="873"/>
      <c r="AC251" s="873"/>
      <c r="AD251" s="873"/>
      <c r="AE251" s="873"/>
      <c r="AF251" s="873"/>
      <c r="AG251" s="873"/>
      <c r="AH251" s="873"/>
      <c r="AI251" s="873"/>
      <c r="AJ251" s="873"/>
      <c r="AK251" s="873"/>
      <c r="AL251" s="873"/>
      <c r="AM251" s="873"/>
      <c r="AN251" s="873"/>
      <c r="AO251" s="873"/>
      <c r="AP251" s="873"/>
      <c r="AQ251" s="873"/>
      <c r="AR251" s="873"/>
      <c r="AS251" s="873"/>
      <c r="AT251" s="873"/>
      <c r="AU251" s="873"/>
      <c r="AV251" s="873"/>
    </row>
    <row r="252" spans="1:48" ht="11.25" customHeight="1" x14ac:dyDescent="0.2">
      <c r="A252" s="873"/>
      <c r="B252" s="873"/>
      <c r="C252" s="873"/>
      <c r="D252" s="873"/>
      <c r="E252" s="873"/>
      <c r="F252" s="873"/>
      <c r="G252" s="873"/>
      <c r="H252" s="873"/>
      <c r="I252" s="873"/>
      <c r="J252" s="873"/>
      <c r="K252" s="873"/>
      <c r="L252" s="873"/>
      <c r="M252" s="873"/>
      <c r="N252" s="873"/>
      <c r="O252" s="873"/>
      <c r="P252" s="873"/>
      <c r="Q252" s="873"/>
      <c r="R252" s="873"/>
      <c r="S252" s="873"/>
      <c r="T252" s="873"/>
      <c r="U252" s="873"/>
      <c r="V252" s="873"/>
      <c r="W252" s="873"/>
      <c r="X252" s="873"/>
      <c r="Y252" s="873"/>
      <c r="Z252" s="873"/>
      <c r="AA252" s="873"/>
      <c r="AB252" s="873"/>
      <c r="AC252" s="873"/>
      <c r="AD252" s="873"/>
      <c r="AE252" s="873"/>
      <c r="AF252" s="873"/>
      <c r="AG252" s="873"/>
      <c r="AH252" s="873"/>
      <c r="AI252" s="873"/>
      <c r="AJ252" s="873"/>
      <c r="AK252" s="873"/>
      <c r="AL252" s="873"/>
      <c r="AM252" s="873"/>
      <c r="AN252" s="873"/>
      <c r="AO252" s="873"/>
      <c r="AP252" s="873"/>
      <c r="AQ252" s="873"/>
      <c r="AR252" s="873"/>
      <c r="AS252" s="873"/>
      <c r="AT252" s="873"/>
      <c r="AU252" s="873"/>
      <c r="AV252" s="873"/>
    </row>
    <row r="253" spans="1:48" ht="11.25" customHeight="1" x14ac:dyDescent="0.2">
      <c r="A253" s="873"/>
      <c r="B253" s="873"/>
      <c r="C253" s="873"/>
      <c r="D253" s="873"/>
      <c r="E253" s="873"/>
      <c r="F253" s="873"/>
      <c r="G253" s="873"/>
      <c r="H253" s="873"/>
      <c r="I253" s="873"/>
      <c r="J253" s="873"/>
      <c r="K253" s="873"/>
      <c r="L253" s="873"/>
      <c r="M253" s="873"/>
      <c r="N253" s="873"/>
      <c r="O253" s="873"/>
      <c r="P253" s="873"/>
      <c r="Q253" s="873"/>
      <c r="R253" s="873"/>
      <c r="S253" s="873"/>
      <c r="T253" s="873"/>
      <c r="U253" s="873"/>
      <c r="V253" s="873"/>
      <c r="W253" s="873"/>
      <c r="X253" s="873"/>
      <c r="Y253" s="873"/>
      <c r="Z253" s="873"/>
      <c r="AA253" s="873"/>
      <c r="AB253" s="873"/>
      <c r="AC253" s="873"/>
      <c r="AD253" s="873"/>
      <c r="AE253" s="873"/>
      <c r="AF253" s="873"/>
      <c r="AG253" s="873"/>
      <c r="AH253" s="873"/>
      <c r="AI253" s="873"/>
      <c r="AJ253" s="873"/>
      <c r="AK253" s="873"/>
      <c r="AL253" s="873"/>
      <c r="AM253" s="873"/>
      <c r="AN253" s="873"/>
      <c r="AO253" s="873"/>
      <c r="AP253" s="873"/>
      <c r="AQ253" s="873"/>
      <c r="AR253" s="873"/>
      <c r="AS253" s="873"/>
      <c r="AT253" s="873"/>
      <c r="AU253" s="873"/>
      <c r="AV253" s="873"/>
    </row>
    <row r="254" spans="1:48" ht="11.25" customHeight="1" x14ac:dyDescent="0.2">
      <c r="A254" s="873"/>
      <c r="B254" s="873"/>
      <c r="C254" s="873"/>
      <c r="D254" s="873"/>
      <c r="E254" s="873"/>
      <c r="F254" s="873"/>
      <c r="G254" s="873"/>
      <c r="H254" s="873"/>
      <c r="I254" s="873"/>
      <c r="J254" s="873"/>
      <c r="K254" s="873"/>
      <c r="L254" s="873"/>
      <c r="M254" s="873"/>
      <c r="N254" s="873"/>
      <c r="O254" s="873"/>
      <c r="P254" s="873"/>
      <c r="Q254" s="873"/>
      <c r="R254" s="873"/>
      <c r="S254" s="873"/>
      <c r="T254" s="873"/>
      <c r="U254" s="873"/>
      <c r="V254" s="873"/>
      <c r="W254" s="873"/>
      <c r="X254" s="873"/>
      <c r="Y254" s="873"/>
      <c r="Z254" s="873"/>
      <c r="AA254" s="873"/>
      <c r="AB254" s="873"/>
      <c r="AC254" s="873"/>
      <c r="AD254" s="873"/>
      <c r="AE254" s="873"/>
      <c r="AF254" s="873"/>
      <c r="AG254" s="873"/>
      <c r="AH254" s="873"/>
      <c r="AI254" s="873"/>
      <c r="AJ254" s="873"/>
      <c r="AK254" s="873"/>
      <c r="AL254" s="873"/>
      <c r="AM254" s="873"/>
      <c r="AN254" s="873"/>
      <c r="AO254" s="873"/>
      <c r="AP254" s="873"/>
      <c r="AQ254" s="873"/>
      <c r="AR254" s="873"/>
      <c r="AS254" s="873"/>
      <c r="AT254" s="873"/>
      <c r="AU254" s="873"/>
      <c r="AV254" s="873"/>
    </row>
    <row r="255" spans="1:48" ht="11.25" customHeight="1" x14ac:dyDescent="0.2">
      <c r="A255" s="873"/>
      <c r="B255" s="873"/>
      <c r="C255" s="873"/>
      <c r="D255" s="873"/>
      <c r="E255" s="873"/>
      <c r="F255" s="873"/>
      <c r="G255" s="873"/>
      <c r="H255" s="873"/>
      <c r="I255" s="873"/>
      <c r="J255" s="873"/>
      <c r="K255" s="873"/>
      <c r="L255" s="873"/>
      <c r="M255" s="873"/>
      <c r="N255" s="873"/>
      <c r="O255" s="873"/>
      <c r="P255" s="873"/>
      <c r="Q255" s="873"/>
      <c r="R255" s="873"/>
      <c r="S255" s="873"/>
      <c r="T255" s="873"/>
      <c r="U255" s="873"/>
      <c r="V255" s="873"/>
      <c r="W255" s="873"/>
      <c r="X255" s="873"/>
      <c r="Y255" s="873"/>
      <c r="Z255" s="873"/>
      <c r="AA255" s="873"/>
      <c r="AB255" s="873"/>
      <c r="AC255" s="873"/>
      <c r="AD255" s="873"/>
      <c r="AE255" s="873"/>
      <c r="AF255" s="873"/>
      <c r="AG255" s="873"/>
      <c r="AH255" s="873"/>
      <c r="AI255" s="873"/>
      <c r="AJ255" s="873"/>
      <c r="AK255" s="873"/>
      <c r="AL255" s="873"/>
      <c r="AM255" s="873"/>
      <c r="AN255" s="873"/>
      <c r="AO255" s="873"/>
      <c r="AP255" s="873"/>
      <c r="AQ255" s="873"/>
      <c r="AR255" s="873"/>
      <c r="AS255" s="873"/>
      <c r="AT255" s="873"/>
      <c r="AU255" s="873"/>
      <c r="AV255" s="873"/>
    </row>
    <row r="256" spans="1:48" ht="11.25" customHeight="1" x14ac:dyDescent="0.2">
      <c r="A256" s="873"/>
      <c r="B256" s="873"/>
      <c r="C256" s="873"/>
      <c r="D256" s="873"/>
      <c r="E256" s="873"/>
      <c r="F256" s="873"/>
      <c r="G256" s="873"/>
      <c r="H256" s="873"/>
      <c r="I256" s="873"/>
      <c r="J256" s="873"/>
      <c r="K256" s="873"/>
      <c r="L256" s="873"/>
      <c r="M256" s="873"/>
      <c r="N256" s="873"/>
      <c r="O256" s="873"/>
      <c r="P256" s="873"/>
      <c r="Q256" s="873"/>
      <c r="R256" s="873"/>
      <c r="S256" s="873"/>
      <c r="T256" s="873"/>
      <c r="U256" s="873"/>
      <c r="V256" s="873"/>
      <c r="W256" s="873"/>
      <c r="X256" s="873"/>
      <c r="Y256" s="873"/>
      <c r="Z256" s="873"/>
      <c r="AA256" s="873"/>
      <c r="AB256" s="873"/>
      <c r="AC256" s="873"/>
      <c r="AD256" s="873"/>
      <c r="AE256" s="873"/>
      <c r="AF256" s="873"/>
      <c r="AG256" s="873"/>
      <c r="AH256" s="873"/>
      <c r="AI256" s="873"/>
      <c r="AJ256" s="873"/>
      <c r="AK256" s="873"/>
      <c r="AL256" s="873"/>
      <c r="AM256" s="873"/>
      <c r="AN256" s="873"/>
      <c r="AO256" s="873"/>
      <c r="AP256" s="873"/>
      <c r="AQ256" s="873"/>
      <c r="AR256" s="873"/>
      <c r="AS256" s="873"/>
      <c r="AT256" s="873"/>
      <c r="AU256" s="873"/>
      <c r="AV256" s="873"/>
    </row>
    <row r="257" spans="1:48" ht="11.25" customHeight="1" x14ac:dyDescent="0.2">
      <c r="A257" s="873"/>
      <c r="B257" s="873"/>
      <c r="C257" s="873"/>
      <c r="D257" s="873"/>
      <c r="E257" s="873"/>
      <c r="F257" s="873"/>
      <c r="G257" s="873"/>
      <c r="H257" s="873"/>
      <c r="I257" s="873"/>
      <c r="J257" s="873"/>
      <c r="K257" s="873"/>
      <c r="L257" s="873"/>
      <c r="M257" s="873"/>
      <c r="N257" s="873"/>
      <c r="O257" s="873"/>
      <c r="P257" s="873"/>
      <c r="Q257" s="873"/>
      <c r="R257" s="873"/>
      <c r="S257" s="873"/>
      <c r="T257" s="873"/>
      <c r="U257" s="873"/>
      <c r="V257" s="873"/>
      <c r="W257" s="873"/>
      <c r="X257" s="873"/>
      <c r="Y257" s="873"/>
      <c r="Z257" s="873"/>
      <c r="AA257" s="873"/>
      <c r="AB257" s="873"/>
      <c r="AC257" s="873"/>
      <c r="AD257" s="873"/>
      <c r="AE257" s="873"/>
      <c r="AF257" s="873"/>
      <c r="AG257" s="873"/>
      <c r="AH257" s="873"/>
      <c r="AI257" s="873"/>
      <c r="AJ257" s="873"/>
      <c r="AK257" s="873"/>
      <c r="AL257" s="873"/>
      <c r="AM257" s="873"/>
      <c r="AN257" s="873"/>
      <c r="AO257" s="873"/>
      <c r="AP257" s="873"/>
      <c r="AQ257" s="873"/>
      <c r="AR257" s="873"/>
      <c r="AS257" s="873"/>
      <c r="AT257" s="873"/>
      <c r="AU257" s="873"/>
      <c r="AV257" s="873"/>
    </row>
    <row r="258" spans="1:48" ht="11.25" customHeight="1" x14ac:dyDescent="0.2">
      <c r="A258" s="873"/>
      <c r="B258" s="873"/>
      <c r="C258" s="873"/>
      <c r="D258" s="873"/>
      <c r="E258" s="873"/>
      <c r="F258" s="873"/>
      <c r="G258" s="873"/>
      <c r="H258" s="873"/>
      <c r="I258" s="873"/>
      <c r="J258" s="873"/>
      <c r="K258" s="873"/>
      <c r="L258" s="873"/>
      <c r="M258" s="873"/>
      <c r="N258" s="873"/>
      <c r="O258" s="873"/>
      <c r="P258" s="873"/>
      <c r="Q258" s="873"/>
      <c r="R258" s="873"/>
      <c r="S258" s="873"/>
      <c r="T258" s="873"/>
      <c r="U258" s="873"/>
      <c r="V258" s="873"/>
      <c r="W258" s="873"/>
      <c r="X258" s="873"/>
      <c r="Y258" s="873"/>
      <c r="Z258" s="873"/>
      <c r="AA258" s="873"/>
      <c r="AB258" s="873"/>
      <c r="AC258" s="873"/>
      <c r="AD258" s="873"/>
      <c r="AE258" s="873"/>
      <c r="AF258" s="873"/>
      <c r="AG258" s="873"/>
      <c r="AH258" s="873"/>
      <c r="AI258" s="873"/>
      <c r="AJ258" s="873"/>
      <c r="AK258" s="873"/>
      <c r="AL258" s="873"/>
      <c r="AM258" s="873"/>
      <c r="AN258" s="873"/>
      <c r="AO258" s="873"/>
      <c r="AP258" s="873"/>
      <c r="AQ258" s="873"/>
      <c r="AR258" s="873"/>
      <c r="AS258" s="873"/>
      <c r="AT258" s="873"/>
      <c r="AU258" s="873"/>
      <c r="AV258" s="873"/>
    </row>
    <row r="259" spans="1:48" ht="11.25" customHeight="1" x14ac:dyDescent="0.2">
      <c r="A259" s="873"/>
      <c r="B259" s="873"/>
      <c r="C259" s="873"/>
      <c r="D259" s="873"/>
      <c r="E259" s="873"/>
      <c r="F259" s="873"/>
      <c r="G259" s="873"/>
      <c r="H259" s="873"/>
      <c r="I259" s="873"/>
      <c r="J259" s="873"/>
      <c r="K259" s="873"/>
      <c r="L259" s="873"/>
      <c r="M259" s="873"/>
      <c r="N259" s="873"/>
      <c r="O259" s="873"/>
      <c r="P259" s="873"/>
      <c r="Q259" s="873"/>
      <c r="R259" s="873"/>
      <c r="S259" s="873"/>
      <c r="T259" s="873"/>
      <c r="U259" s="873"/>
      <c r="V259" s="873"/>
      <c r="W259" s="873"/>
      <c r="X259" s="873"/>
      <c r="Y259" s="873"/>
      <c r="Z259" s="873"/>
      <c r="AA259" s="873"/>
      <c r="AB259" s="873"/>
      <c r="AC259" s="873"/>
      <c r="AD259" s="873"/>
      <c r="AE259" s="873"/>
      <c r="AF259" s="873"/>
      <c r="AG259" s="873"/>
      <c r="AH259" s="873"/>
      <c r="AI259" s="873"/>
      <c r="AJ259" s="873"/>
      <c r="AK259" s="873"/>
      <c r="AL259" s="873"/>
      <c r="AM259" s="873"/>
      <c r="AN259" s="873"/>
      <c r="AO259" s="873"/>
      <c r="AP259" s="873"/>
      <c r="AQ259" s="873"/>
      <c r="AR259" s="873"/>
      <c r="AS259" s="873"/>
      <c r="AT259" s="873"/>
      <c r="AU259" s="873"/>
      <c r="AV259" s="873"/>
    </row>
    <row r="260" spans="1:48" ht="11.25" customHeight="1" x14ac:dyDescent="0.2">
      <c r="A260" s="873"/>
      <c r="B260" s="873"/>
      <c r="C260" s="873"/>
      <c r="D260" s="873"/>
      <c r="E260" s="873"/>
      <c r="F260" s="873"/>
      <c r="G260" s="873"/>
      <c r="H260" s="873"/>
      <c r="I260" s="873"/>
      <c r="J260" s="873"/>
      <c r="K260" s="873"/>
      <c r="L260" s="873"/>
      <c r="M260" s="873"/>
      <c r="N260" s="873"/>
      <c r="O260" s="873"/>
      <c r="P260" s="873"/>
      <c r="Q260" s="873"/>
      <c r="R260" s="873"/>
      <c r="S260" s="873"/>
      <c r="T260" s="873"/>
      <c r="U260" s="873"/>
      <c r="V260" s="873"/>
      <c r="W260" s="873"/>
      <c r="X260" s="873"/>
      <c r="Y260" s="873"/>
      <c r="Z260" s="873"/>
      <c r="AA260" s="873"/>
      <c r="AB260" s="873"/>
      <c r="AC260" s="873"/>
      <c r="AD260" s="873"/>
      <c r="AE260" s="873"/>
      <c r="AF260" s="873"/>
      <c r="AG260" s="873"/>
      <c r="AH260" s="873"/>
      <c r="AI260" s="873"/>
      <c r="AJ260" s="873"/>
      <c r="AK260" s="873"/>
      <c r="AL260" s="873"/>
      <c r="AM260" s="873"/>
      <c r="AN260" s="873"/>
      <c r="AO260" s="873"/>
      <c r="AP260" s="873"/>
      <c r="AQ260" s="873"/>
      <c r="AR260" s="873"/>
      <c r="AS260" s="873"/>
      <c r="AT260" s="873"/>
      <c r="AU260" s="873"/>
      <c r="AV260" s="873"/>
    </row>
    <row r="261" spans="1:48" ht="11.25" customHeight="1" x14ac:dyDescent="0.2">
      <c r="A261" s="873"/>
      <c r="B261" s="873"/>
      <c r="C261" s="873"/>
      <c r="D261" s="873"/>
      <c r="E261" s="873"/>
      <c r="F261" s="873"/>
      <c r="G261" s="873"/>
      <c r="H261" s="873"/>
      <c r="I261" s="873"/>
      <c r="J261" s="873"/>
      <c r="K261" s="873"/>
      <c r="L261" s="873"/>
      <c r="M261" s="873"/>
      <c r="N261" s="873"/>
      <c r="O261" s="873"/>
      <c r="P261" s="873"/>
      <c r="Q261" s="873"/>
      <c r="R261" s="873"/>
      <c r="S261" s="873"/>
      <c r="T261" s="873"/>
      <c r="U261" s="873"/>
      <c r="V261" s="873"/>
      <c r="W261" s="873"/>
      <c r="X261" s="873"/>
      <c r="Y261" s="873"/>
      <c r="Z261" s="873"/>
      <c r="AA261" s="873"/>
      <c r="AB261" s="873"/>
      <c r="AC261" s="873"/>
      <c r="AD261" s="873"/>
      <c r="AE261" s="873"/>
      <c r="AF261" s="873"/>
      <c r="AG261" s="873"/>
      <c r="AH261" s="873"/>
      <c r="AI261" s="873"/>
      <c r="AJ261" s="873"/>
      <c r="AK261" s="873"/>
      <c r="AL261" s="873"/>
      <c r="AM261" s="873"/>
      <c r="AN261" s="873"/>
      <c r="AO261" s="873"/>
      <c r="AP261" s="873"/>
      <c r="AQ261" s="873"/>
      <c r="AR261" s="873"/>
      <c r="AS261" s="873"/>
      <c r="AT261" s="873"/>
      <c r="AU261" s="873"/>
      <c r="AV261" s="873"/>
    </row>
    <row r="262" spans="1:48" ht="11.25" customHeight="1" x14ac:dyDescent="0.2">
      <c r="A262" s="873"/>
      <c r="B262" s="873"/>
      <c r="C262" s="873"/>
      <c r="D262" s="873"/>
      <c r="E262" s="873"/>
      <c r="F262" s="873"/>
      <c r="G262" s="873"/>
      <c r="H262" s="873"/>
      <c r="I262" s="873"/>
      <c r="J262" s="873"/>
      <c r="K262" s="873"/>
      <c r="L262" s="873"/>
      <c r="M262" s="873"/>
      <c r="N262" s="873"/>
      <c r="O262" s="873"/>
      <c r="P262" s="873"/>
      <c r="Q262" s="873"/>
      <c r="R262" s="873"/>
      <c r="S262" s="873"/>
      <c r="T262" s="873"/>
      <c r="U262" s="873"/>
      <c r="V262" s="873"/>
      <c r="W262" s="873"/>
      <c r="X262" s="873"/>
      <c r="Y262" s="873"/>
      <c r="Z262" s="873"/>
      <c r="AA262" s="873"/>
      <c r="AB262" s="873"/>
      <c r="AC262" s="873"/>
      <c r="AD262" s="873"/>
      <c r="AE262" s="873"/>
      <c r="AF262" s="873"/>
      <c r="AG262" s="873"/>
      <c r="AH262" s="873"/>
      <c r="AI262" s="873"/>
      <c r="AJ262" s="873"/>
      <c r="AK262" s="873"/>
      <c r="AL262" s="873"/>
      <c r="AM262" s="873"/>
      <c r="AN262" s="873"/>
      <c r="AO262" s="873"/>
      <c r="AP262" s="873"/>
      <c r="AQ262" s="873"/>
      <c r="AR262" s="873"/>
      <c r="AS262" s="873"/>
      <c r="AT262" s="873"/>
      <c r="AU262" s="873"/>
      <c r="AV262" s="873"/>
    </row>
    <row r="263" spans="1:48" ht="11.25" customHeight="1" x14ac:dyDescent="0.2">
      <c r="A263" s="873"/>
      <c r="B263" s="873"/>
      <c r="C263" s="873"/>
      <c r="D263" s="873"/>
      <c r="E263" s="873"/>
      <c r="F263" s="873"/>
      <c r="G263" s="873"/>
      <c r="H263" s="873"/>
      <c r="I263" s="873"/>
      <c r="J263" s="873"/>
      <c r="K263" s="873"/>
      <c r="L263" s="873"/>
      <c r="M263" s="873"/>
      <c r="N263" s="873"/>
      <c r="O263" s="873"/>
      <c r="P263" s="873"/>
      <c r="Q263" s="873"/>
      <c r="R263" s="873"/>
      <c r="S263" s="873"/>
      <c r="T263" s="873"/>
      <c r="U263" s="873"/>
      <c r="V263" s="873"/>
      <c r="W263" s="873"/>
      <c r="X263" s="873"/>
      <c r="Y263" s="873"/>
      <c r="Z263" s="873"/>
      <c r="AA263" s="873"/>
      <c r="AB263" s="873"/>
      <c r="AC263" s="873"/>
      <c r="AD263" s="873"/>
      <c r="AE263" s="873"/>
      <c r="AF263" s="873"/>
      <c r="AG263" s="873"/>
      <c r="AH263" s="873"/>
      <c r="AI263" s="873"/>
      <c r="AJ263" s="873"/>
      <c r="AK263" s="873"/>
      <c r="AL263" s="873"/>
      <c r="AM263" s="873"/>
      <c r="AN263" s="873"/>
      <c r="AO263" s="873"/>
      <c r="AP263" s="873"/>
      <c r="AQ263" s="873"/>
      <c r="AR263" s="873"/>
      <c r="AS263" s="873"/>
      <c r="AT263" s="873"/>
      <c r="AU263" s="873"/>
      <c r="AV263" s="873"/>
    </row>
    <row r="264" spans="1:48" ht="11.25" customHeight="1" x14ac:dyDescent="0.2">
      <c r="A264" s="873"/>
      <c r="B264" s="873"/>
      <c r="C264" s="873"/>
      <c r="D264" s="873"/>
      <c r="E264" s="873"/>
      <c r="F264" s="873"/>
      <c r="G264" s="873"/>
      <c r="H264" s="873"/>
      <c r="I264" s="873"/>
      <c r="J264" s="873"/>
      <c r="K264" s="873"/>
      <c r="L264" s="873"/>
      <c r="M264" s="873"/>
      <c r="N264" s="873"/>
      <c r="O264" s="873"/>
      <c r="P264" s="873"/>
      <c r="Q264" s="873"/>
      <c r="R264" s="873"/>
      <c r="S264" s="873"/>
      <c r="T264" s="873"/>
      <c r="U264" s="873"/>
      <c r="V264" s="873"/>
      <c r="W264" s="873"/>
      <c r="X264" s="873"/>
      <c r="Y264" s="873"/>
      <c r="Z264" s="873"/>
      <c r="AA264" s="873"/>
      <c r="AB264" s="873"/>
      <c r="AC264" s="873"/>
      <c r="AD264" s="873"/>
      <c r="AE264" s="873"/>
      <c r="AF264" s="873"/>
      <c r="AG264" s="873"/>
      <c r="AH264" s="873"/>
      <c r="AI264" s="873"/>
      <c r="AJ264" s="873"/>
      <c r="AK264" s="873"/>
      <c r="AL264" s="873"/>
      <c r="AM264" s="873"/>
      <c r="AN264" s="873"/>
      <c r="AO264" s="873"/>
      <c r="AP264" s="873"/>
      <c r="AQ264" s="873"/>
      <c r="AR264" s="873"/>
      <c r="AS264" s="873"/>
      <c r="AT264" s="873"/>
      <c r="AU264" s="873"/>
      <c r="AV264" s="873"/>
    </row>
    <row r="265" spans="1:48" ht="11.25" customHeight="1" x14ac:dyDescent="0.2">
      <c r="A265" s="873"/>
      <c r="B265" s="873"/>
      <c r="C265" s="873"/>
      <c r="D265" s="873"/>
      <c r="E265" s="873"/>
      <c r="F265" s="873"/>
      <c r="G265" s="873"/>
      <c r="H265" s="873"/>
      <c r="I265" s="873"/>
      <c r="J265" s="873"/>
      <c r="K265" s="873"/>
      <c r="L265" s="873"/>
      <c r="M265" s="873"/>
      <c r="N265" s="873"/>
      <c r="O265" s="873"/>
      <c r="P265" s="873"/>
      <c r="Q265" s="873"/>
      <c r="R265" s="873"/>
      <c r="S265" s="873"/>
      <c r="T265" s="873"/>
      <c r="U265" s="873"/>
      <c r="V265" s="873"/>
      <c r="W265" s="873"/>
      <c r="X265" s="873"/>
      <c r="Y265" s="873"/>
      <c r="Z265" s="873"/>
      <c r="AA265" s="873"/>
      <c r="AB265" s="873"/>
      <c r="AC265" s="873"/>
      <c r="AD265" s="873"/>
      <c r="AE265" s="873"/>
      <c r="AF265" s="873"/>
      <c r="AG265" s="873"/>
      <c r="AH265" s="873"/>
      <c r="AI265" s="873"/>
      <c r="AJ265" s="873"/>
      <c r="AK265" s="873"/>
      <c r="AL265" s="873"/>
      <c r="AM265" s="873"/>
      <c r="AN265" s="873"/>
      <c r="AO265" s="873"/>
      <c r="AP265" s="873"/>
      <c r="AQ265" s="873"/>
      <c r="AR265" s="873"/>
      <c r="AS265" s="873"/>
      <c r="AT265" s="873"/>
      <c r="AU265" s="873"/>
      <c r="AV265" s="873"/>
    </row>
    <row r="266" spans="1:48" ht="11.25" customHeight="1" x14ac:dyDescent="0.2">
      <c r="A266" s="873"/>
      <c r="B266" s="873"/>
      <c r="C266" s="873"/>
      <c r="D266" s="873"/>
      <c r="E266" s="873"/>
      <c r="F266" s="873"/>
      <c r="G266" s="873"/>
      <c r="H266" s="873"/>
      <c r="I266" s="873"/>
      <c r="J266" s="873"/>
      <c r="K266" s="873"/>
      <c r="L266" s="873"/>
      <c r="M266" s="873"/>
      <c r="N266" s="873"/>
      <c r="O266" s="873"/>
      <c r="P266" s="873"/>
      <c r="Q266" s="873"/>
      <c r="R266" s="873"/>
      <c r="S266" s="873"/>
      <c r="T266" s="873"/>
      <c r="U266" s="873"/>
      <c r="V266" s="873"/>
      <c r="W266" s="873"/>
      <c r="X266" s="873"/>
      <c r="Y266" s="873"/>
      <c r="Z266" s="873"/>
      <c r="AA266" s="873"/>
      <c r="AB266" s="873"/>
      <c r="AC266" s="873"/>
      <c r="AD266" s="873"/>
      <c r="AE266" s="873"/>
      <c r="AF266" s="873"/>
      <c r="AG266" s="873"/>
      <c r="AH266" s="873"/>
      <c r="AI266" s="873"/>
      <c r="AJ266" s="873"/>
      <c r="AK266" s="873"/>
      <c r="AL266" s="873"/>
      <c r="AM266" s="873"/>
      <c r="AN266" s="873"/>
      <c r="AO266" s="873"/>
      <c r="AP266" s="873"/>
      <c r="AQ266" s="873"/>
      <c r="AR266" s="873"/>
      <c r="AS266" s="873"/>
      <c r="AT266" s="873"/>
      <c r="AU266" s="873"/>
      <c r="AV266" s="873"/>
    </row>
    <row r="267" spans="1:48" ht="11.25" customHeight="1" x14ac:dyDescent="0.2">
      <c r="A267" s="873"/>
      <c r="B267" s="873"/>
      <c r="C267" s="873"/>
      <c r="D267" s="873"/>
      <c r="E267" s="873"/>
      <c r="F267" s="873"/>
      <c r="G267" s="873"/>
      <c r="H267" s="873"/>
      <c r="I267" s="873"/>
      <c r="J267" s="873"/>
      <c r="K267" s="873"/>
      <c r="L267" s="873"/>
      <c r="M267" s="873"/>
      <c r="N267" s="873"/>
      <c r="O267" s="873"/>
      <c r="P267" s="873"/>
      <c r="Q267" s="873"/>
      <c r="R267" s="873"/>
      <c r="S267" s="873"/>
      <c r="T267" s="873"/>
      <c r="U267" s="873"/>
      <c r="V267" s="873"/>
      <c r="W267" s="873"/>
      <c r="X267" s="873"/>
      <c r="Y267" s="873"/>
      <c r="Z267" s="873"/>
      <c r="AA267" s="873"/>
      <c r="AB267" s="873"/>
      <c r="AC267" s="873"/>
      <c r="AD267" s="873"/>
      <c r="AE267" s="873"/>
      <c r="AF267" s="873"/>
      <c r="AG267" s="873"/>
      <c r="AH267" s="873"/>
      <c r="AI267" s="873"/>
      <c r="AJ267" s="873"/>
      <c r="AK267" s="873"/>
      <c r="AL267" s="873"/>
      <c r="AM267" s="873"/>
      <c r="AN267" s="873"/>
      <c r="AO267" s="873"/>
      <c r="AP267" s="873"/>
      <c r="AQ267" s="873"/>
      <c r="AR267" s="873"/>
      <c r="AS267" s="873"/>
      <c r="AT267" s="873"/>
      <c r="AU267" s="873"/>
      <c r="AV267" s="873"/>
    </row>
    <row r="268" spans="1:48" ht="11.25" customHeight="1" x14ac:dyDescent="0.2">
      <c r="A268" s="873"/>
      <c r="B268" s="873"/>
      <c r="C268" s="873"/>
      <c r="D268" s="873"/>
      <c r="E268" s="873"/>
      <c r="F268" s="873"/>
      <c r="G268" s="873"/>
      <c r="H268" s="873"/>
      <c r="I268" s="873"/>
      <c r="J268" s="873"/>
      <c r="K268" s="873"/>
      <c r="L268" s="873"/>
      <c r="M268" s="873"/>
      <c r="N268" s="873"/>
      <c r="O268" s="873"/>
      <c r="P268" s="873"/>
      <c r="Q268" s="873"/>
      <c r="R268" s="873"/>
      <c r="S268" s="873"/>
      <c r="T268" s="873"/>
      <c r="U268" s="873"/>
      <c r="V268" s="873"/>
      <c r="W268" s="873"/>
      <c r="X268" s="873"/>
      <c r="Y268" s="873"/>
      <c r="Z268" s="873"/>
      <c r="AA268" s="873"/>
      <c r="AB268" s="873"/>
      <c r="AC268" s="873"/>
      <c r="AD268" s="873"/>
      <c r="AE268" s="873"/>
      <c r="AF268" s="873"/>
      <c r="AG268" s="873"/>
      <c r="AH268" s="873"/>
      <c r="AI268" s="873"/>
      <c r="AJ268" s="873"/>
      <c r="AK268" s="873"/>
      <c r="AL268" s="873"/>
      <c r="AM268" s="873"/>
      <c r="AN268" s="873"/>
      <c r="AO268" s="873"/>
      <c r="AP268" s="873"/>
      <c r="AQ268" s="873"/>
      <c r="AR268" s="873"/>
      <c r="AS268" s="873"/>
      <c r="AT268" s="873"/>
      <c r="AU268" s="873"/>
      <c r="AV268" s="873"/>
    </row>
    <row r="269" spans="1:48" ht="11.25" customHeight="1" x14ac:dyDescent="0.2">
      <c r="A269" s="873"/>
      <c r="B269" s="873"/>
      <c r="C269" s="873"/>
      <c r="D269" s="873"/>
      <c r="E269" s="873"/>
      <c r="F269" s="873"/>
      <c r="G269" s="873"/>
      <c r="H269" s="873"/>
      <c r="I269" s="873"/>
      <c r="J269" s="873"/>
      <c r="K269" s="873"/>
      <c r="L269" s="873"/>
      <c r="M269" s="873"/>
      <c r="N269" s="873"/>
      <c r="O269" s="873"/>
      <c r="P269" s="873"/>
      <c r="Q269" s="873"/>
      <c r="R269" s="873"/>
      <c r="S269" s="873"/>
      <c r="T269" s="873"/>
      <c r="U269" s="873"/>
      <c r="V269" s="873"/>
      <c r="W269" s="873"/>
      <c r="X269" s="873"/>
      <c r="Y269" s="873"/>
      <c r="Z269" s="873"/>
      <c r="AA269" s="873"/>
      <c r="AB269" s="873"/>
      <c r="AC269" s="873"/>
      <c r="AD269" s="873"/>
      <c r="AE269" s="873"/>
      <c r="AF269" s="873"/>
      <c r="AG269" s="873"/>
      <c r="AH269" s="873"/>
      <c r="AI269" s="873"/>
      <c r="AJ269" s="873"/>
      <c r="AK269" s="873"/>
      <c r="AL269" s="873"/>
      <c r="AM269" s="873"/>
      <c r="AN269" s="873"/>
      <c r="AO269" s="873"/>
      <c r="AP269" s="873"/>
      <c r="AQ269" s="873"/>
      <c r="AR269" s="873"/>
      <c r="AS269" s="873"/>
      <c r="AT269" s="873"/>
      <c r="AU269" s="873"/>
      <c r="AV269" s="873"/>
    </row>
    <row r="270" spans="1:48" ht="11.25" customHeight="1" x14ac:dyDescent="0.2">
      <c r="A270" s="873"/>
      <c r="B270" s="873"/>
      <c r="C270" s="873"/>
      <c r="D270" s="873"/>
      <c r="E270" s="873"/>
      <c r="F270" s="873"/>
      <c r="G270" s="873"/>
      <c r="H270" s="873"/>
      <c r="I270" s="873"/>
      <c r="J270" s="873"/>
      <c r="K270" s="873"/>
      <c r="L270" s="873"/>
      <c r="M270" s="873"/>
      <c r="N270" s="873"/>
      <c r="O270" s="873"/>
      <c r="P270" s="873"/>
      <c r="Q270" s="873"/>
      <c r="R270" s="873"/>
      <c r="S270" s="873"/>
      <c r="T270" s="873"/>
      <c r="U270" s="873"/>
      <c r="V270" s="873"/>
      <c r="W270" s="873"/>
      <c r="X270" s="873"/>
      <c r="Y270" s="873"/>
      <c r="Z270" s="873"/>
      <c r="AA270" s="873"/>
      <c r="AB270" s="873"/>
      <c r="AC270" s="873"/>
      <c r="AD270" s="873"/>
      <c r="AE270" s="873"/>
      <c r="AF270" s="873"/>
      <c r="AG270" s="873"/>
      <c r="AH270" s="873"/>
      <c r="AI270" s="873"/>
      <c r="AJ270" s="873"/>
      <c r="AK270" s="873"/>
      <c r="AL270" s="873"/>
      <c r="AM270" s="873"/>
      <c r="AN270" s="873"/>
      <c r="AO270" s="873"/>
      <c r="AP270" s="873"/>
      <c r="AQ270" s="873"/>
      <c r="AR270" s="873"/>
      <c r="AS270" s="873"/>
      <c r="AT270" s="873"/>
      <c r="AU270" s="873"/>
      <c r="AV270" s="873"/>
    </row>
    <row r="271" spans="1:48" ht="11.25" customHeight="1" x14ac:dyDescent="0.2">
      <c r="A271" s="873"/>
      <c r="B271" s="873"/>
      <c r="C271" s="873"/>
      <c r="D271" s="873"/>
      <c r="E271" s="873"/>
      <c r="F271" s="873"/>
      <c r="G271" s="873"/>
      <c r="H271" s="873"/>
      <c r="I271" s="873"/>
      <c r="J271" s="873"/>
      <c r="K271" s="873"/>
      <c r="L271" s="873"/>
      <c r="M271" s="873"/>
      <c r="N271" s="873"/>
      <c r="O271" s="873"/>
      <c r="P271" s="873"/>
      <c r="Q271" s="873"/>
      <c r="R271" s="873"/>
      <c r="S271" s="873"/>
      <c r="T271" s="873"/>
      <c r="U271" s="873"/>
      <c r="V271" s="873"/>
      <c r="W271" s="873"/>
      <c r="X271" s="873"/>
      <c r="Y271" s="873"/>
      <c r="Z271" s="873"/>
      <c r="AA271" s="873"/>
      <c r="AB271" s="873"/>
      <c r="AC271" s="873"/>
      <c r="AD271" s="873"/>
      <c r="AE271" s="873"/>
      <c r="AF271" s="873"/>
      <c r="AG271" s="873"/>
      <c r="AH271" s="873"/>
      <c r="AI271" s="873"/>
      <c r="AJ271" s="873"/>
      <c r="AK271" s="873"/>
      <c r="AL271" s="873"/>
      <c r="AM271" s="873"/>
      <c r="AN271" s="873"/>
      <c r="AO271" s="873"/>
      <c r="AP271" s="873"/>
      <c r="AQ271" s="873"/>
      <c r="AR271" s="873"/>
      <c r="AS271" s="873"/>
      <c r="AT271" s="873"/>
      <c r="AU271" s="873"/>
      <c r="AV271" s="873"/>
    </row>
    <row r="272" spans="1:48" ht="11.25" customHeight="1" x14ac:dyDescent="0.2">
      <c r="A272" s="873"/>
      <c r="B272" s="873"/>
      <c r="C272" s="873"/>
      <c r="D272" s="873"/>
      <c r="E272" s="873"/>
      <c r="F272" s="873"/>
      <c r="G272" s="873"/>
      <c r="H272" s="873"/>
      <c r="I272" s="873"/>
      <c r="J272" s="873"/>
      <c r="K272" s="873"/>
      <c r="L272" s="873"/>
      <c r="M272" s="873"/>
      <c r="N272" s="873"/>
      <c r="O272" s="873"/>
      <c r="P272" s="873"/>
      <c r="Q272" s="873"/>
      <c r="R272" s="873"/>
      <c r="S272" s="873"/>
      <c r="T272" s="873"/>
      <c r="U272" s="873"/>
      <c r="V272" s="873"/>
      <c r="W272" s="873"/>
      <c r="X272" s="873"/>
      <c r="Y272" s="873"/>
      <c r="Z272" s="873"/>
      <c r="AA272" s="873"/>
      <c r="AB272" s="873"/>
      <c r="AC272" s="873"/>
      <c r="AD272" s="873"/>
      <c r="AE272" s="873"/>
      <c r="AF272" s="873"/>
      <c r="AG272" s="873"/>
      <c r="AH272" s="873"/>
      <c r="AI272" s="873"/>
      <c r="AJ272" s="873"/>
      <c r="AK272" s="873"/>
      <c r="AL272" s="873"/>
      <c r="AM272" s="873"/>
      <c r="AN272" s="873"/>
      <c r="AO272" s="873"/>
      <c r="AP272" s="873"/>
      <c r="AQ272" s="873"/>
      <c r="AR272" s="873"/>
      <c r="AS272" s="873"/>
      <c r="AT272" s="873"/>
      <c r="AU272" s="873"/>
      <c r="AV272" s="873"/>
    </row>
    <row r="273" spans="1:48" ht="11.25" customHeight="1" x14ac:dyDescent="0.2">
      <c r="A273" s="873"/>
      <c r="B273" s="873"/>
      <c r="C273" s="873"/>
      <c r="D273" s="873"/>
      <c r="E273" s="873"/>
      <c r="F273" s="873"/>
      <c r="G273" s="873"/>
      <c r="H273" s="873"/>
      <c r="I273" s="873"/>
      <c r="J273" s="873"/>
      <c r="K273" s="873"/>
      <c r="L273" s="873"/>
      <c r="M273" s="873"/>
      <c r="N273" s="873"/>
      <c r="O273" s="873"/>
      <c r="P273" s="873"/>
      <c r="Q273" s="873"/>
      <c r="R273" s="873"/>
      <c r="S273" s="873"/>
      <c r="T273" s="873"/>
      <c r="U273" s="873"/>
      <c r="V273" s="873"/>
      <c r="W273" s="873"/>
      <c r="X273" s="873"/>
      <c r="Y273" s="873"/>
      <c r="Z273" s="873"/>
      <c r="AA273" s="873"/>
      <c r="AB273" s="873"/>
      <c r="AC273" s="873"/>
      <c r="AD273" s="873"/>
      <c r="AE273" s="873"/>
      <c r="AF273" s="873"/>
      <c r="AG273" s="873"/>
      <c r="AH273" s="873"/>
      <c r="AI273" s="873"/>
      <c r="AJ273" s="873"/>
      <c r="AK273" s="873"/>
      <c r="AL273" s="873"/>
      <c r="AM273" s="873"/>
      <c r="AN273" s="873"/>
      <c r="AO273" s="873"/>
      <c r="AP273" s="873"/>
      <c r="AQ273" s="873"/>
      <c r="AR273" s="873"/>
      <c r="AS273" s="873"/>
      <c r="AT273" s="873"/>
      <c r="AU273" s="873"/>
      <c r="AV273" s="873"/>
    </row>
    <row r="274" spans="1:48" ht="11.25" customHeight="1" x14ac:dyDescent="0.2">
      <c r="A274" s="873"/>
      <c r="B274" s="873"/>
      <c r="C274" s="873"/>
      <c r="D274" s="873"/>
      <c r="E274" s="873"/>
      <c r="F274" s="873"/>
      <c r="G274" s="873"/>
      <c r="H274" s="873"/>
      <c r="I274" s="873"/>
      <c r="J274" s="873"/>
      <c r="K274" s="873"/>
      <c r="L274" s="873"/>
      <c r="M274" s="873"/>
      <c r="N274" s="873"/>
      <c r="O274" s="873"/>
      <c r="P274" s="873"/>
      <c r="Q274" s="873"/>
      <c r="R274" s="873"/>
      <c r="S274" s="873"/>
      <c r="T274" s="873"/>
      <c r="U274" s="873"/>
      <c r="V274" s="873"/>
      <c r="W274" s="873"/>
      <c r="X274" s="873"/>
      <c r="Y274" s="873"/>
      <c r="Z274" s="873"/>
      <c r="AA274" s="873"/>
      <c r="AB274" s="873"/>
      <c r="AC274" s="873"/>
      <c r="AD274" s="873"/>
      <c r="AE274" s="873"/>
      <c r="AF274" s="873"/>
      <c r="AG274" s="873"/>
      <c r="AH274" s="873"/>
      <c r="AI274" s="873"/>
      <c r="AJ274" s="873"/>
      <c r="AK274" s="873"/>
      <c r="AL274" s="873"/>
      <c r="AM274" s="873"/>
      <c r="AN274" s="873"/>
      <c r="AO274" s="873"/>
      <c r="AP274" s="873"/>
      <c r="AQ274" s="873"/>
      <c r="AR274" s="873"/>
      <c r="AS274" s="873"/>
      <c r="AT274" s="873"/>
      <c r="AU274" s="873"/>
      <c r="AV274" s="873"/>
    </row>
    <row r="275" spans="1:48" ht="11.25" customHeight="1" x14ac:dyDescent="0.2">
      <c r="A275" s="873"/>
      <c r="B275" s="873"/>
      <c r="C275" s="873"/>
      <c r="D275" s="873"/>
      <c r="E275" s="873"/>
      <c r="F275" s="873"/>
      <c r="G275" s="873"/>
      <c r="H275" s="873"/>
      <c r="I275" s="873"/>
      <c r="J275" s="873"/>
      <c r="K275" s="873"/>
      <c r="L275" s="873"/>
      <c r="M275" s="873"/>
      <c r="N275" s="873"/>
      <c r="O275" s="873"/>
      <c r="P275" s="873"/>
      <c r="Q275" s="873"/>
      <c r="R275" s="873"/>
      <c r="S275" s="873"/>
      <c r="T275" s="873"/>
      <c r="U275" s="873"/>
      <c r="V275" s="873"/>
      <c r="W275" s="873"/>
      <c r="X275" s="873"/>
      <c r="Y275" s="873"/>
      <c r="Z275" s="873"/>
      <c r="AA275" s="873"/>
      <c r="AB275" s="873"/>
      <c r="AC275" s="873"/>
      <c r="AD275" s="873"/>
      <c r="AE275" s="873"/>
      <c r="AF275" s="873"/>
      <c r="AG275" s="873"/>
      <c r="AH275" s="873"/>
      <c r="AI275" s="873"/>
      <c r="AJ275" s="873"/>
      <c r="AK275" s="873"/>
      <c r="AL275" s="873"/>
      <c r="AM275" s="873"/>
      <c r="AN275" s="873"/>
      <c r="AO275" s="873"/>
      <c r="AP275" s="873"/>
      <c r="AQ275" s="873"/>
      <c r="AR275" s="873"/>
      <c r="AS275" s="873"/>
      <c r="AT275" s="873"/>
      <c r="AU275" s="873"/>
      <c r="AV275" s="873"/>
    </row>
    <row r="276" spans="1:48" ht="11.25" customHeight="1" x14ac:dyDescent="0.2">
      <c r="A276" s="873"/>
      <c r="B276" s="873"/>
      <c r="C276" s="873"/>
      <c r="D276" s="873"/>
      <c r="E276" s="873"/>
      <c r="F276" s="873"/>
      <c r="G276" s="873"/>
      <c r="H276" s="873"/>
      <c r="I276" s="873"/>
      <c r="J276" s="873"/>
      <c r="K276" s="873"/>
      <c r="L276" s="873"/>
      <c r="M276" s="873"/>
      <c r="N276" s="873"/>
      <c r="O276" s="873"/>
      <c r="P276" s="873"/>
      <c r="Q276" s="873"/>
      <c r="R276" s="873"/>
      <c r="S276" s="873"/>
      <c r="T276" s="873"/>
      <c r="U276" s="873"/>
      <c r="V276" s="873"/>
      <c r="W276" s="873"/>
      <c r="X276" s="873"/>
      <c r="Y276" s="873"/>
      <c r="Z276" s="873"/>
      <c r="AA276" s="873"/>
      <c r="AB276" s="873"/>
      <c r="AC276" s="873"/>
      <c r="AD276" s="873"/>
      <c r="AE276" s="873"/>
      <c r="AF276" s="873"/>
      <c r="AG276" s="873"/>
      <c r="AH276" s="873"/>
      <c r="AI276" s="873"/>
      <c r="AJ276" s="873"/>
      <c r="AK276" s="873"/>
      <c r="AL276" s="873"/>
      <c r="AM276" s="873"/>
      <c r="AN276" s="873"/>
      <c r="AO276" s="873"/>
      <c r="AP276" s="873"/>
      <c r="AQ276" s="873"/>
      <c r="AR276" s="873"/>
      <c r="AS276" s="873"/>
      <c r="AT276" s="873"/>
      <c r="AU276" s="873"/>
      <c r="AV276" s="873"/>
    </row>
    <row r="277" spans="1:48" ht="11.25" customHeight="1" x14ac:dyDescent="0.2">
      <c r="A277" s="873"/>
      <c r="B277" s="873"/>
      <c r="C277" s="873"/>
      <c r="D277" s="873"/>
      <c r="E277" s="873"/>
      <c r="F277" s="873"/>
      <c r="G277" s="873"/>
      <c r="H277" s="873"/>
      <c r="I277" s="873"/>
      <c r="J277" s="873"/>
      <c r="K277" s="873"/>
      <c r="L277" s="873"/>
      <c r="M277" s="873"/>
      <c r="N277" s="873"/>
      <c r="O277" s="873"/>
      <c r="P277" s="873"/>
      <c r="Q277" s="873"/>
      <c r="R277" s="873"/>
      <c r="S277" s="873"/>
      <c r="T277" s="873"/>
      <c r="U277" s="873"/>
      <c r="V277" s="873"/>
      <c r="W277" s="873"/>
      <c r="X277" s="873"/>
      <c r="Y277" s="873"/>
      <c r="Z277" s="873"/>
      <c r="AA277" s="873"/>
      <c r="AB277" s="873"/>
      <c r="AC277" s="873"/>
      <c r="AD277" s="873"/>
      <c r="AE277" s="873"/>
      <c r="AF277" s="873"/>
      <c r="AG277" s="873"/>
      <c r="AH277" s="873"/>
      <c r="AI277" s="873"/>
      <c r="AJ277" s="873"/>
      <c r="AK277" s="873"/>
      <c r="AL277" s="873"/>
      <c r="AM277" s="873"/>
      <c r="AN277" s="873"/>
      <c r="AO277" s="873"/>
      <c r="AP277" s="873"/>
      <c r="AQ277" s="873"/>
      <c r="AR277" s="873"/>
      <c r="AS277" s="873"/>
      <c r="AT277" s="873"/>
      <c r="AU277" s="873"/>
      <c r="AV277" s="873"/>
    </row>
    <row r="278" spans="1:48" ht="11.25" customHeight="1" x14ac:dyDescent="0.2">
      <c r="A278" s="873"/>
      <c r="B278" s="873"/>
      <c r="C278" s="873"/>
      <c r="D278" s="873"/>
      <c r="E278" s="873"/>
      <c r="F278" s="873"/>
      <c r="G278" s="873"/>
      <c r="H278" s="873"/>
      <c r="I278" s="873"/>
      <c r="J278" s="873"/>
      <c r="K278" s="873"/>
      <c r="L278" s="873"/>
      <c r="M278" s="873"/>
      <c r="N278" s="873"/>
      <c r="O278" s="873"/>
      <c r="P278" s="873"/>
      <c r="Q278" s="873"/>
      <c r="R278" s="873"/>
      <c r="S278" s="873"/>
      <c r="T278" s="873"/>
      <c r="U278" s="873"/>
      <c r="V278" s="873"/>
      <c r="W278" s="873"/>
      <c r="X278" s="873"/>
      <c r="Y278" s="873"/>
      <c r="Z278" s="873"/>
      <c r="AA278" s="873"/>
      <c r="AB278" s="873"/>
      <c r="AC278" s="873"/>
      <c r="AD278" s="873"/>
      <c r="AE278" s="873"/>
      <c r="AF278" s="873"/>
      <c r="AG278" s="873"/>
      <c r="AH278" s="873"/>
      <c r="AI278" s="873"/>
      <c r="AJ278" s="873"/>
      <c r="AK278" s="873"/>
      <c r="AL278" s="873"/>
      <c r="AM278" s="873"/>
      <c r="AN278" s="873"/>
      <c r="AO278" s="873"/>
      <c r="AP278" s="873"/>
      <c r="AQ278" s="873"/>
      <c r="AR278" s="873"/>
      <c r="AS278" s="873"/>
      <c r="AT278" s="873"/>
      <c r="AU278" s="873"/>
      <c r="AV278" s="873"/>
    </row>
    <row r="279" spans="1:48" ht="11.25" customHeight="1" x14ac:dyDescent="0.2">
      <c r="A279" s="873"/>
      <c r="B279" s="873"/>
      <c r="C279" s="873"/>
      <c r="D279" s="873"/>
      <c r="E279" s="873"/>
      <c r="F279" s="873"/>
      <c r="G279" s="873"/>
      <c r="H279" s="873"/>
      <c r="I279" s="873"/>
      <c r="J279" s="873"/>
      <c r="K279" s="873"/>
      <c r="L279" s="873"/>
      <c r="M279" s="873"/>
      <c r="N279" s="873"/>
      <c r="O279" s="873"/>
      <c r="P279" s="873"/>
      <c r="Q279" s="873"/>
      <c r="R279" s="873"/>
      <c r="S279" s="873"/>
      <c r="T279" s="873"/>
      <c r="U279" s="873"/>
      <c r="V279" s="873"/>
      <c r="W279" s="873"/>
      <c r="X279" s="873"/>
      <c r="Y279" s="873"/>
      <c r="Z279" s="873"/>
      <c r="AA279" s="873"/>
      <c r="AB279" s="873"/>
      <c r="AC279" s="873"/>
      <c r="AD279" s="873"/>
      <c r="AE279" s="873"/>
      <c r="AF279" s="873"/>
      <c r="AG279" s="873"/>
      <c r="AH279" s="873"/>
      <c r="AI279" s="873"/>
      <c r="AJ279" s="873"/>
      <c r="AK279" s="873"/>
      <c r="AL279" s="873"/>
      <c r="AM279" s="873"/>
      <c r="AN279" s="873"/>
      <c r="AO279" s="873"/>
      <c r="AP279" s="873"/>
      <c r="AQ279" s="873"/>
      <c r="AR279" s="873"/>
      <c r="AS279" s="873"/>
      <c r="AT279" s="873"/>
      <c r="AU279" s="873"/>
      <c r="AV279" s="873"/>
    </row>
    <row r="280" spans="1:48" ht="11.25" customHeight="1" x14ac:dyDescent="0.2">
      <c r="A280" s="873"/>
      <c r="B280" s="873"/>
      <c r="C280" s="873"/>
      <c r="D280" s="873"/>
      <c r="E280" s="873"/>
      <c r="F280" s="873"/>
      <c r="G280" s="873"/>
      <c r="H280" s="873"/>
      <c r="I280" s="873"/>
      <c r="J280" s="873"/>
      <c r="K280" s="873"/>
      <c r="L280" s="873"/>
      <c r="M280" s="873"/>
      <c r="N280" s="873"/>
      <c r="O280" s="873"/>
      <c r="P280" s="873"/>
      <c r="Q280" s="873"/>
      <c r="R280" s="873"/>
      <c r="S280" s="873"/>
      <c r="T280" s="873"/>
      <c r="U280" s="873"/>
      <c r="V280" s="873"/>
      <c r="W280" s="873"/>
      <c r="X280" s="873"/>
      <c r="Y280" s="873"/>
      <c r="Z280" s="873"/>
      <c r="AA280" s="873"/>
      <c r="AB280" s="873"/>
      <c r="AC280" s="873"/>
      <c r="AD280" s="873"/>
      <c r="AE280" s="873"/>
      <c r="AF280" s="873"/>
      <c r="AG280" s="873"/>
      <c r="AH280" s="873"/>
      <c r="AI280" s="873"/>
      <c r="AJ280" s="873"/>
      <c r="AK280" s="873"/>
      <c r="AL280" s="873"/>
      <c r="AM280" s="873"/>
      <c r="AN280" s="873"/>
      <c r="AO280" s="873"/>
      <c r="AP280" s="873"/>
      <c r="AQ280" s="873"/>
      <c r="AR280" s="873"/>
      <c r="AS280" s="873"/>
      <c r="AT280" s="873"/>
      <c r="AU280" s="873"/>
      <c r="AV280" s="873"/>
    </row>
    <row r="281" spans="1:48" ht="11.25" customHeight="1" x14ac:dyDescent="0.2">
      <c r="A281" s="873"/>
      <c r="B281" s="873"/>
      <c r="C281" s="873"/>
      <c r="D281" s="873"/>
      <c r="E281" s="873"/>
      <c r="F281" s="873"/>
      <c r="G281" s="873"/>
      <c r="H281" s="873"/>
      <c r="I281" s="873"/>
      <c r="J281" s="873"/>
      <c r="K281" s="873"/>
      <c r="L281" s="873"/>
      <c r="M281" s="873"/>
      <c r="N281" s="873"/>
      <c r="O281" s="873"/>
      <c r="P281" s="873"/>
      <c r="Q281" s="873"/>
      <c r="R281" s="873"/>
      <c r="S281" s="873"/>
      <c r="T281" s="873"/>
      <c r="U281" s="873"/>
      <c r="V281" s="873"/>
      <c r="W281" s="873"/>
      <c r="X281" s="873"/>
      <c r="Y281" s="873"/>
      <c r="Z281" s="873"/>
      <c r="AA281" s="873"/>
      <c r="AB281" s="873"/>
      <c r="AC281" s="873"/>
      <c r="AD281" s="873"/>
      <c r="AE281" s="873"/>
      <c r="AF281" s="873"/>
      <c r="AG281" s="873"/>
      <c r="AH281" s="873"/>
      <c r="AI281" s="873"/>
      <c r="AJ281" s="873"/>
      <c r="AK281" s="873"/>
      <c r="AL281" s="873"/>
      <c r="AM281" s="873"/>
      <c r="AN281" s="873"/>
      <c r="AO281" s="873"/>
      <c r="AP281" s="873"/>
      <c r="AQ281" s="873"/>
      <c r="AR281" s="873"/>
      <c r="AS281" s="873"/>
      <c r="AT281" s="873"/>
      <c r="AU281" s="873"/>
      <c r="AV281" s="873"/>
    </row>
    <row r="282" spans="1:48" ht="11.25" customHeight="1" x14ac:dyDescent="0.2">
      <c r="A282" s="873"/>
      <c r="B282" s="873"/>
      <c r="C282" s="873"/>
      <c r="D282" s="873"/>
      <c r="E282" s="873"/>
      <c r="F282" s="873"/>
      <c r="G282" s="873"/>
      <c r="H282" s="873"/>
      <c r="I282" s="873"/>
      <c r="J282" s="873"/>
      <c r="K282" s="873"/>
      <c r="L282" s="873"/>
      <c r="M282" s="873"/>
      <c r="N282" s="873"/>
      <c r="O282" s="873"/>
      <c r="P282" s="873"/>
      <c r="Q282" s="873"/>
      <c r="R282" s="873"/>
      <c r="S282" s="873"/>
      <c r="T282" s="873"/>
      <c r="U282" s="873"/>
      <c r="V282" s="873"/>
      <c r="W282" s="873"/>
      <c r="X282" s="873"/>
      <c r="Y282" s="873"/>
      <c r="Z282" s="873"/>
      <c r="AA282" s="873"/>
      <c r="AB282" s="873"/>
      <c r="AC282" s="873"/>
      <c r="AD282" s="873"/>
      <c r="AE282" s="873"/>
      <c r="AF282" s="873"/>
      <c r="AG282" s="873"/>
      <c r="AH282" s="873"/>
      <c r="AI282" s="873"/>
      <c r="AJ282" s="873"/>
      <c r="AK282" s="873"/>
      <c r="AL282" s="873"/>
      <c r="AM282" s="873"/>
      <c r="AN282" s="873"/>
      <c r="AO282" s="873"/>
      <c r="AP282" s="873"/>
      <c r="AQ282" s="873"/>
      <c r="AR282" s="873"/>
      <c r="AS282" s="873"/>
      <c r="AT282" s="873"/>
      <c r="AU282" s="873"/>
      <c r="AV282" s="873"/>
    </row>
    <row r="283" spans="1:48" ht="11.25" customHeight="1" x14ac:dyDescent="0.2">
      <c r="A283" s="873"/>
      <c r="B283" s="873"/>
      <c r="C283" s="873"/>
      <c r="D283" s="873"/>
      <c r="E283" s="873"/>
      <c r="F283" s="873"/>
      <c r="G283" s="873"/>
      <c r="H283" s="873"/>
      <c r="I283" s="873"/>
      <c r="J283" s="873"/>
      <c r="K283" s="873"/>
      <c r="L283" s="873"/>
      <c r="M283" s="873"/>
      <c r="N283" s="873"/>
      <c r="O283" s="873"/>
      <c r="P283" s="873"/>
      <c r="Q283" s="873"/>
      <c r="R283" s="873"/>
      <c r="S283" s="873"/>
      <c r="T283" s="873"/>
      <c r="U283" s="873"/>
      <c r="V283" s="873"/>
      <c r="W283" s="873"/>
      <c r="X283" s="873"/>
      <c r="Y283" s="873"/>
      <c r="Z283" s="873"/>
      <c r="AA283" s="873"/>
      <c r="AB283" s="873"/>
      <c r="AC283" s="873"/>
      <c r="AD283" s="873"/>
      <c r="AE283" s="873"/>
      <c r="AF283" s="873"/>
      <c r="AG283" s="873"/>
      <c r="AH283" s="873"/>
      <c r="AI283" s="873"/>
      <c r="AJ283" s="873"/>
      <c r="AK283" s="873"/>
      <c r="AL283" s="873"/>
      <c r="AM283" s="873"/>
      <c r="AN283" s="873"/>
      <c r="AO283" s="873"/>
      <c r="AP283" s="873"/>
      <c r="AQ283" s="873"/>
      <c r="AR283" s="873"/>
      <c r="AS283" s="873"/>
      <c r="AT283" s="873"/>
      <c r="AU283" s="873"/>
      <c r="AV283" s="873"/>
    </row>
    <row r="284" spans="1:48" ht="11.25" customHeight="1" x14ac:dyDescent="0.2">
      <c r="A284" s="873"/>
      <c r="B284" s="873"/>
      <c r="C284" s="873"/>
      <c r="D284" s="873"/>
      <c r="E284" s="873"/>
      <c r="F284" s="873"/>
      <c r="G284" s="873"/>
      <c r="H284" s="873"/>
      <c r="I284" s="873"/>
      <c r="J284" s="873"/>
      <c r="K284" s="873"/>
      <c r="L284" s="873"/>
      <c r="M284" s="873"/>
      <c r="N284" s="873"/>
      <c r="O284" s="873"/>
      <c r="P284" s="873"/>
      <c r="Q284" s="873"/>
      <c r="R284" s="873"/>
      <c r="S284" s="873"/>
      <c r="T284" s="873"/>
      <c r="U284" s="873"/>
      <c r="V284" s="873"/>
      <c r="W284" s="873"/>
      <c r="X284" s="873"/>
      <c r="Y284" s="873"/>
      <c r="Z284" s="873"/>
      <c r="AA284" s="873"/>
      <c r="AB284" s="873"/>
      <c r="AC284" s="873"/>
      <c r="AD284" s="873"/>
      <c r="AE284" s="873"/>
      <c r="AF284" s="873"/>
      <c r="AG284" s="873"/>
      <c r="AH284" s="873"/>
      <c r="AI284" s="873"/>
      <c r="AJ284" s="873"/>
      <c r="AK284" s="873"/>
      <c r="AL284" s="873"/>
      <c r="AM284" s="873"/>
      <c r="AN284" s="873"/>
      <c r="AO284" s="873"/>
      <c r="AP284" s="873"/>
      <c r="AQ284" s="873"/>
      <c r="AR284" s="873"/>
      <c r="AS284" s="873"/>
      <c r="AT284" s="873"/>
      <c r="AU284" s="873"/>
      <c r="AV284" s="873"/>
    </row>
    <row r="285" spans="1:48" ht="11.25" customHeight="1" x14ac:dyDescent="0.2">
      <c r="A285" s="873"/>
      <c r="B285" s="873"/>
      <c r="C285" s="873"/>
      <c r="D285" s="873"/>
      <c r="E285" s="873"/>
      <c r="F285" s="873"/>
      <c r="G285" s="873"/>
      <c r="H285" s="873"/>
      <c r="I285" s="873"/>
      <c r="J285" s="873"/>
      <c r="K285" s="873"/>
      <c r="L285" s="873"/>
      <c r="M285" s="873"/>
      <c r="N285" s="873"/>
      <c r="O285" s="873"/>
      <c r="P285" s="873"/>
      <c r="Q285" s="873"/>
      <c r="R285" s="873"/>
      <c r="S285" s="873"/>
      <c r="T285" s="873"/>
      <c r="U285" s="873"/>
      <c r="V285" s="873"/>
      <c r="W285" s="873"/>
      <c r="X285" s="873"/>
      <c r="Y285" s="873"/>
      <c r="Z285" s="873"/>
      <c r="AA285" s="873"/>
      <c r="AB285" s="873"/>
      <c r="AC285" s="873"/>
      <c r="AD285" s="873"/>
      <c r="AE285" s="873"/>
      <c r="AF285" s="873"/>
      <c r="AG285" s="873"/>
      <c r="AH285" s="873"/>
      <c r="AI285" s="873"/>
      <c r="AJ285" s="873"/>
      <c r="AK285" s="873"/>
      <c r="AL285" s="873"/>
      <c r="AM285" s="873"/>
      <c r="AN285" s="873"/>
      <c r="AO285" s="873"/>
      <c r="AP285" s="873"/>
      <c r="AQ285" s="873"/>
      <c r="AR285" s="873"/>
      <c r="AS285" s="873"/>
      <c r="AT285" s="873"/>
      <c r="AU285" s="873"/>
      <c r="AV285" s="873"/>
    </row>
    <row r="286" spans="1:48" ht="11.25" customHeight="1" x14ac:dyDescent="0.2">
      <c r="A286" s="873"/>
      <c r="B286" s="873"/>
      <c r="C286" s="873"/>
      <c r="D286" s="873"/>
      <c r="E286" s="873"/>
      <c r="F286" s="873"/>
      <c r="G286" s="873"/>
      <c r="H286" s="873"/>
      <c r="I286" s="873"/>
      <c r="J286" s="873"/>
      <c r="K286" s="873"/>
      <c r="L286" s="873"/>
      <c r="M286" s="873"/>
      <c r="N286" s="873"/>
      <c r="O286" s="873"/>
      <c r="P286" s="873"/>
      <c r="Q286" s="873"/>
      <c r="R286" s="873"/>
      <c r="S286" s="873"/>
      <c r="T286" s="873"/>
      <c r="U286" s="873"/>
      <c r="V286" s="873"/>
      <c r="W286" s="873"/>
      <c r="X286" s="873"/>
      <c r="Y286" s="873"/>
      <c r="Z286" s="873"/>
      <c r="AA286" s="873"/>
      <c r="AB286" s="873"/>
      <c r="AC286" s="873"/>
      <c r="AD286" s="873"/>
      <c r="AE286" s="873"/>
      <c r="AF286" s="873"/>
      <c r="AG286" s="873"/>
      <c r="AH286" s="873"/>
      <c r="AI286" s="873"/>
      <c r="AJ286" s="873"/>
      <c r="AK286" s="873"/>
      <c r="AL286" s="873"/>
      <c r="AM286" s="873"/>
      <c r="AN286" s="873"/>
      <c r="AO286" s="873"/>
      <c r="AP286" s="873"/>
      <c r="AQ286" s="873"/>
      <c r="AR286" s="873"/>
      <c r="AS286" s="873"/>
      <c r="AT286" s="873"/>
      <c r="AU286" s="873"/>
      <c r="AV286" s="873"/>
    </row>
    <row r="287" spans="1:48" ht="11.25" customHeight="1" x14ac:dyDescent="0.2">
      <c r="A287" s="873"/>
      <c r="B287" s="873"/>
      <c r="C287" s="873"/>
      <c r="D287" s="873"/>
      <c r="E287" s="873"/>
      <c r="F287" s="873"/>
      <c r="G287" s="873"/>
      <c r="H287" s="873"/>
      <c r="I287" s="873"/>
      <c r="J287" s="873"/>
      <c r="K287" s="873"/>
      <c r="L287" s="873"/>
      <c r="M287" s="873"/>
      <c r="N287" s="873"/>
      <c r="O287" s="873"/>
      <c r="P287" s="873"/>
      <c r="Q287" s="873"/>
      <c r="R287" s="873"/>
      <c r="S287" s="873"/>
      <c r="T287" s="873"/>
      <c r="U287" s="873"/>
      <c r="V287" s="873"/>
      <c r="W287" s="873"/>
      <c r="X287" s="873"/>
      <c r="Y287" s="873"/>
      <c r="Z287" s="873"/>
      <c r="AA287" s="873"/>
      <c r="AB287" s="873"/>
      <c r="AC287" s="873"/>
      <c r="AD287" s="873"/>
      <c r="AE287" s="873"/>
      <c r="AF287" s="873"/>
      <c r="AG287" s="873"/>
      <c r="AH287" s="873"/>
      <c r="AI287" s="873"/>
      <c r="AJ287" s="873"/>
      <c r="AK287" s="873"/>
      <c r="AL287" s="873"/>
      <c r="AM287" s="873"/>
      <c r="AN287" s="873"/>
      <c r="AO287" s="873"/>
      <c r="AP287" s="873"/>
      <c r="AQ287" s="873"/>
      <c r="AR287" s="873"/>
      <c r="AS287" s="873"/>
      <c r="AT287" s="873"/>
      <c r="AU287" s="873"/>
      <c r="AV287" s="873"/>
    </row>
    <row r="288" spans="1:48" ht="11.25" customHeight="1" x14ac:dyDescent="0.2">
      <c r="A288" s="873"/>
      <c r="B288" s="873"/>
      <c r="C288" s="873"/>
      <c r="D288" s="873"/>
      <c r="E288" s="873"/>
      <c r="F288" s="873"/>
      <c r="G288" s="873"/>
      <c r="H288" s="873"/>
      <c r="I288" s="873"/>
      <c r="J288" s="873"/>
      <c r="K288" s="873"/>
      <c r="L288" s="873"/>
      <c r="M288" s="873"/>
      <c r="N288" s="873"/>
      <c r="O288" s="873"/>
      <c r="P288" s="873"/>
      <c r="Q288" s="873"/>
      <c r="R288" s="873"/>
      <c r="S288" s="873"/>
      <c r="T288" s="873"/>
      <c r="U288" s="873"/>
      <c r="V288" s="873"/>
      <c r="W288" s="873"/>
      <c r="X288" s="873"/>
      <c r="Y288" s="873"/>
      <c r="Z288" s="873"/>
      <c r="AA288" s="873"/>
      <c r="AB288" s="873"/>
      <c r="AC288" s="873"/>
      <c r="AD288" s="873"/>
      <c r="AE288" s="873"/>
      <c r="AF288" s="873"/>
      <c r="AG288" s="873"/>
      <c r="AH288" s="873"/>
      <c r="AI288" s="873"/>
      <c r="AJ288" s="873"/>
      <c r="AK288" s="873"/>
      <c r="AL288" s="873"/>
      <c r="AM288" s="873"/>
      <c r="AN288" s="873"/>
      <c r="AO288" s="873"/>
      <c r="AP288" s="873"/>
      <c r="AQ288" s="873"/>
      <c r="AR288" s="873"/>
      <c r="AS288" s="873"/>
      <c r="AT288" s="873"/>
      <c r="AU288" s="873"/>
      <c r="AV288" s="873"/>
    </row>
    <row r="289" spans="1:48" ht="11.25" customHeight="1" x14ac:dyDescent="0.2">
      <c r="A289" s="873"/>
      <c r="B289" s="873"/>
      <c r="C289" s="873"/>
      <c r="D289" s="873"/>
      <c r="E289" s="873"/>
      <c r="F289" s="873"/>
      <c r="G289" s="873"/>
      <c r="H289" s="873"/>
      <c r="I289" s="873"/>
      <c r="J289" s="873"/>
      <c r="K289" s="873"/>
      <c r="L289" s="873"/>
      <c r="M289" s="873"/>
      <c r="N289" s="873"/>
      <c r="O289" s="873"/>
      <c r="P289" s="873"/>
      <c r="Q289" s="873"/>
      <c r="R289" s="873"/>
      <c r="S289" s="873"/>
      <c r="T289" s="873"/>
      <c r="U289" s="873"/>
      <c r="V289" s="873"/>
      <c r="W289" s="873"/>
      <c r="X289" s="873"/>
      <c r="Y289" s="873"/>
      <c r="Z289" s="873"/>
      <c r="AA289" s="873"/>
      <c r="AB289" s="873"/>
      <c r="AC289" s="873"/>
      <c r="AD289" s="873"/>
      <c r="AE289" s="873"/>
      <c r="AF289" s="873"/>
      <c r="AG289" s="873"/>
      <c r="AH289" s="873"/>
      <c r="AI289" s="873"/>
      <c r="AJ289" s="873"/>
      <c r="AK289" s="873"/>
      <c r="AL289" s="873"/>
      <c r="AM289" s="873"/>
      <c r="AN289" s="873"/>
      <c r="AO289" s="873"/>
      <c r="AP289" s="873"/>
      <c r="AQ289" s="873"/>
      <c r="AR289" s="873"/>
      <c r="AS289" s="873"/>
      <c r="AT289" s="873"/>
      <c r="AU289" s="873"/>
      <c r="AV289" s="873"/>
    </row>
    <row r="290" spans="1:48" ht="11.25" customHeight="1" x14ac:dyDescent="0.2">
      <c r="A290" s="873"/>
      <c r="B290" s="873"/>
      <c r="C290" s="873"/>
      <c r="D290" s="873"/>
      <c r="E290" s="873"/>
      <c r="F290" s="873"/>
      <c r="G290" s="873"/>
      <c r="H290" s="873"/>
      <c r="I290" s="873"/>
      <c r="J290" s="873"/>
      <c r="K290" s="873"/>
      <c r="L290" s="873"/>
      <c r="M290" s="873"/>
      <c r="N290" s="873"/>
      <c r="O290" s="873"/>
      <c r="P290" s="873"/>
      <c r="Q290" s="873"/>
      <c r="R290" s="873"/>
      <c r="S290" s="873"/>
      <c r="T290" s="873"/>
      <c r="U290" s="873"/>
      <c r="V290" s="873"/>
      <c r="W290" s="873"/>
      <c r="X290" s="873"/>
      <c r="Y290" s="873"/>
      <c r="Z290" s="873"/>
      <c r="AA290" s="873"/>
      <c r="AB290" s="873"/>
      <c r="AC290" s="873"/>
      <c r="AD290" s="873"/>
      <c r="AE290" s="873"/>
      <c r="AF290" s="873"/>
      <c r="AG290" s="873"/>
      <c r="AH290" s="873"/>
      <c r="AI290" s="873"/>
      <c r="AJ290" s="873"/>
      <c r="AK290" s="873"/>
      <c r="AL290" s="873"/>
      <c r="AM290" s="873"/>
      <c r="AN290" s="873"/>
      <c r="AO290" s="873"/>
      <c r="AP290" s="873"/>
      <c r="AQ290" s="873"/>
      <c r="AR290" s="873"/>
      <c r="AS290" s="873"/>
      <c r="AT290" s="873"/>
      <c r="AU290" s="873"/>
      <c r="AV290" s="873"/>
    </row>
    <row r="291" spans="1:48" ht="11.25" customHeight="1" x14ac:dyDescent="0.2">
      <c r="A291" s="873"/>
      <c r="B291" s="873"/>
      <c r="C291" s="873"/>
      <c r="D291" s="873"/>
      <c r="E291" s="873"/>
      <c r="F291" s="873"/>
      <c r="G291" s="873"/>
      <c r="H291" s="873"/>
      <c r="I291" s="873"/>
      <c r="J291" s="873"/>
      <c r="K291" s="873"/>
      <c r="L291" s="873"/>
      <c r="M291" s="873"/>
      <c r="N291" s="873"/>
      <c r="O291" s="873"/>
      <c r="P291" s="873"/>
      <c r="Q291" s="873"/>
      <c r="R291" s="873"/>
      <c r="S291" s="873"/>
      <c r="T291" s="873"/>
      <c r="U291" s="873"/>
      <c r="V291" s="873"/>
      <c r="W291" s="873"/>
      <c r="X291" s="873"/>
      <c r="Y291" s="873"/>
      <c r="Z291" s="873"/>
      <c r="AA291" s="873"/>
      <c r="AB291" s="873"/>
      <c r="AC291" s="873"/>
      <c r="AD291" s="873"/>
      <c r="AE291" s="873"/>
      <c r="AF291" s="873"/>
      <c r="AG291" s="873"/>
      <c r="AH291" s="873"/>
      <c r="AI291" s="873"/>
      <c r="AJ291" s="873"/>
      <c r="AK291" s="873"/>
      <c r="AL291" s="873"/>
      <c r="AM291" s="873"/>
      <c r="AN291" s="873"/>
      <c r="AO291" s="873"/>
      <c r="AP291" s="873"/>
      <c r="AQ291" s="873"/>
      <c r="AR291" s="873"/>
      <c r="AS291" s="873"/>
      <c r="AT291" s="873"/>
      <c r="AU291" s="873"/>
      <c r="AV291" s="873"/>
    </row>
    <row r="292" spans="1:48" ht="11.25" customHeight="1" x14ac:dyDescent="0.2">
      <c r="A292" s="873"/>
      <c r="B292" s="873"/>
      <c r="C292" s="873"/>
      <c r="D292" s="873"/>
      <c r="E292" s="873"/>
      <c r="F292" s="873"/>
      <c r="G292" s="873"/>
      <c r="H292" s="873"/>
      <c r="I292" s="873"/>
      <c r="J292" s="873"/>
      <c r="K292" s="873"/>
      <c r="L292" s="873"/>
      <c r="M292" s="873"/>
      <c r="N292" s="873"/>
      <c r="O292" s="873"/>
      <c r="P292" s="873"/>
      <c r="Q292" s="873"/>
      <c r="R292" s="873"/>
      <c r="S292" s="873"/>
      <c r="T292" s="873"/>
      <c r="U292" s="873"/>
      <c r="V292" s="873"/>
      <c r="W292" s="873"/>
      <c r="X292" s="873"/>
      <c r="Y292" s="873"/>
      <c r="Z292" s="873"/>
      <c r="AA292" s="873"/>
      <c r="AB292" s="873"/>
      <c r="AC292" s="873"/>
      <c r="AD292" s="873"/>
      <c r="AE292" s="873"/>
      <c r="AF292" s="873"/>
      <c r="AG292" s="873"/>
      <c r="AH292" s="873"/>
      <c r="AI292" s="873"/>
      <c r="AJ292" s="873"/>
      <c r="AK292" s="873"/>
      <c r="AL292" s="873"/>
      <c r="AM292" s="873"/>
      <c r="AN292" s="873"/>
      <c r="AO292" s="873"/>
      <c r="AP292" s="873"/>
      <c r="AQ292" s="873"/>
      <c r="AR292" s="873"/>
      <c r="AS292" s="873"/>
      <c r="AT292" s="873"/>
      <c r="AU292" s="873"/>
      <c r="AV292" s="873"/>
    </row>
    <row r="293" spans="1:48" ht="11.25" customHeight="1" x14ac:dyDescent="0.2">
      <c r="A293" s="873"/>
      <c r="B293" s="873"/>
      <c r="C293" s="873"/>
      <c r="D293" s="873"/>
      <c r="E293" s="873"/>
      <c r="F293" s="873"/>
      <c r="G293" s="873"/>
      <c r="H293" s="873"/>
      <c r="I293" s="873"/>
      <c r="J293" s="873"/>
      <c r="K293" s="873"/>
      <c r="L293" s="873"/>
      <c r="M293" s="873"/>
      <c r="N293" s="873"/>
      <c r="O293" s="873"/>
      <c r="P293" s="873"/>
      <c r="Q293" s="873"/>
      <c r="R293" s="873"/>
      <c r="S293" s="873"/>
      <c r="T293" s="873"/>
      <c r="U293" s="873"/>
      <c r="V293" s="873"/>
      <c r="W293" s="873"/>
      <c r="X293" s="873"/>
      <c r="Y293" s="873"/>
      <c r="Z293" s="873"/>
      <c r="AA293" s="873"/>
      <c r="AB293" s="873"/>
      <c r="AC293" s="873"/>
      <c r="AD293" s="873"/>
      <c r="AE293" s="873"/>
      <c r="AF293" s="873"/>
      <c r="AG293" s="873"/>
      <c r="AH293" s="873"/>
      <c r="AI293" s="873"/>
      <c r="AJ293" s="873"/>
      <c r="AK293" s="873"/>
      <c r="AL293" s="873"/>
      <c r="AM293" s="873"/>
      <c r="AN293" s="873"/>
      <c r="AO293" s="873"/>
      <c r="AP293" s="873"/>
      <c r="AQ293" s="873"/>
      <c r="AR293" s="873"/>
      <c r="AS293" s="873"/>
      <c r="AT293" s="873"/>
      <c r="AU293" s="873"/>
      <c r="AV293" s="873"/>
    </row>
    <row r="294" spans="1:48" ht="11.25" customHeight="1" x14ac:dyDescent="0.2">
      <c r="A294" s="873"/>
      <c r="B294" s="873"/>
      <c r="C294" s="873"/>
      <c r="D294" s="873"/>
      <c r="E294" s="873"/>
      <c r="F294" s="873"/>
      <c r="G294" s="873"/>
      <c r="H294" s="873"/>
      <c r="I294" s="873"/>
      <c r="J294" s="873"/>
      <c r="K294" s="873"/>
      <c r="L294" s="873"/>
      <c r="M294" s="873"/>
      <c r="N294" s="873"/>
      <c r="O294" s="873"/>
      <c r="P294" s="873"/>
      <c r="Q294" s="873"/>
      <c r="R294" s="873"/>
      <c r="S294" s="873"/>
      <c r="T294" s="873"/>
      <c r="U294" s="873"/>
      <c r="V294" s="873"/>
      <c r="W294" s="873"/>
      <c r="X294" s="873"/>
      <c r="Y294" s="873"/>
      <c r="Z294" s="873"/>
      <c r="AA294" s="873"/>
      <c r="AB294" s="873"/>
      <c r="AC294" s="873"/>
      <c r="AD294" s="873"/>
      <c r="AE294" s="873"/>
      <c r="AF294" s="873"/>
      <c r="AG294" s="873"/>
      <c r="AH294" s="873"/>
      <c r="AI294" s="873"/>
      <c r="AJ294" s="873"/>
      <c r="AK294" s="873"/>
      <c r="AL294" s="873"/>
      <c r="AM294" s="873"/>
      <c r="AN294" s="873"/>
      <c r="AO294" s="873"/>
      <c r="AP294" s="873"/>
      <c r="AQ294" s="873"/>
      <c r="AR294" s="873"/>
      <c r="AS294" s="873"/>
      <c r="AT294" s="873"/>
      <c r="AU294" s="873"/>
      <c r="AV294" s="873"/>
    </row>
    <row r="295" spans="1:48" ht="11.25" customHeight="1" x14ac:dyDescent="0.2">
      <c r="A295" s="873"/>
      <c r="B295" s="873"/>
      <c r="C295" s="873"/>
      <c r="D295" s="873"/>
      <c r="E295" s="873"/>
      <c r="F295" s="873"/>
      <c r="G295" s="873"/>
      <c r="H295" s="873"/>
      <c r="I295" s="873"/>
      <c r="J295" s="873"/>
      <c r="K295" s="873"/>
      <c r="L295" s="873"/>
      <c r="M295" s="873"/>
      <c r="N295" s="873"/>
      <c r="O295" s="873"/>
      <c r="P295" s="873"/>
      <c r="Q295" s="873"/>
      <c r="R295" s="873"/>
      <c r="S295" s="873"/>
      <c r="T295" s="873"/>
      <c r="U295" s="873"/>
      <c r="V295" s="873"/>
      <c r="W295" s="873"/>
      <c r="X295" s="873"/>
      <c r="Y295" s="873"/>
      <c r="Z295" s="873"/>
      <c r="AA295" s="873"/>
      <c r="AB295" s="873"/>
      <c r="AC295" s="873"/>
      <c r="AD295" s="873"/>
      <c r="AE295" s="873"/>
      <c r="AF295" s="873"/>
      <c r="AG295" s="873"/>
      <c r="AH295" s="873"/>
      <c r="AI295" s="873"/>
      <c r="AJ295" s="873"/>
      <c r="AK295" s="873"/>
      <c r="AL295" s="873"/>
      <c r="AM295" s="873"/>
      <c r="AN295" s="873"/>
      <c r="AO295" s="873"/>
      <c r="AP295" s="873"/>
      <c r="AQ295" s="873"/>
      <c r="AR295" s="873"/>
      <c r="AS295" s="873"/>
      <c r="AT295" s="873"/>
      <c r="AU295" s="873"/>
      <c r="AV295" s="873"/>
    </row>
    <row r="296" spans="1:48" ht="11.25" customHeight="1" x14ac:dyDescent="0.2">
      <c r="A296" s="873"/>
      <c r="B296" s="873"/>
      <c r="C296" s="873"/>
      <c r="D296" s="873"/>
      <c r="E296" s="873"/>
      <c r="F296" s="873"/>
      <c r="G296" s="873"/>
      <c r="H296" s="873"/>
      <c r="I296" s="873"/>
      <c r="J296" s="873"/>
      <c r="K296" s="873"/>
      <c r="L296" s="873"/>
      <c r="M296" s="873"/>
      <c r="N296" s="873"/>
      <c r="O296" s="873"/>
      <c r="P296" s="873"/>
      <c r="Q296" s="873"/>
      <c r="R296" s="873"/>
      <c r="S296" s="873"/>
      <c r="T296" s="873"/>
      <c r="U296" s="873"/>
      <c r="V296" s="873"/>
      <c r="W296" s="873"/>
      <c r="X296" s="873"/>
      <c r="Y296" s="873"/>
      <c r="Z296" s="873"/>
      <c r="AA296" s="873"/>
      <c r="AB296" s="873"/>
      <c r="AC296" s="873"/>
      <c r="AD296" s="873"/>
      <c r="AE296" s="873"/>
      <c r="AF296" s="873"/>
      <c r="AG296" s="873"/>
      <c r="AH296" s="873"/>
      <c r="AI296" s="873"/>
      <c r="AJ296" s="873"/>
      <c r="AK296" s="873"/>
      <c r="AL296" s="873"/>
      <c r="AM296" s="873"/>
      <c r="AN296" s="873"/>
      <c r="AO296" s="873"/>
      <c r="AP296" s="873"/>
      <c r="AQ296" s="873"/>
      <c r="AR296" s="873"/>
      <c r="AS296" s="873"/>
      <c r="AT296" s="873"/>
      <c r="AU296" s="873"/>
      <c r="AV296" s="873"/>
    </row>
    <row r="297" spans="1:48" ht="11.25" customHeight="1" x14ac:dyDescent="0.2">
      <c r="A297" s="873"/>
      <c r="B297" s="873"/>
      <c r="C297" s="873"/>
      <c r="D297" s="873"/>
      <c r="E297" s="873"/>
      <c r="F297" s="873"/>
      <c r="G297" s="873"/>
      <c r="H297" s="873"/>
      <c r="I297" s="873"/>
      <c r="J297" s="873"/>
      <c r="K297" s="873"/>
      <c r="L297" s="873"/>
      <c r="M297" s="873"/>
      <c r="N297" s="873"/>
      <c r="O297" s="873"/>
      <c r="P297" s="873"/>
      <c r="Q297" s="873"/>
      <c r="R297" s="873"/>
      <c r="S297" s="873"/>
      <c r="T297" s="873"/>
      <c r="U297" s="873"/>
      <c r="V297" s="873"/>
      <c r="W297" s="873"/>
      <c r="X297" s="873"/>
      <c r="Y297" s="873"/>
      <c r="Z297" s="873"/>
      <c r="AA297" s="873"/>
      <c r="AB297" s="873"/>
      <c r="AC297" s="873"/>
      <c r="AD297" s="873"/>
      <c r="AE297" s="873"/>
      <c r="AF297" s="873"/>
      <c r="AG297" s="873"/>
      <c r="AH297" s="873"/>
      <c r="AI297" s="873"/>
      <c r="AJ297" s="873"/>
      <c r="AK297" s="873"/>
      <c r="AL297" s="873"/>
      <c r="AM297" s="873"/>
      <c r="AN297" s="873"/>
      <c r="AO297" s="873"/>
      <c r="AP297" s="873"/>
      <c r="AQ297" s="873"/>
      <c r="AR297" s="873"/>
      <c r="AS297" s="873"/>
      <c r="AT297" s="873"/>
      <c r="AU297" s="873"/>
      <c r="AV297" s="873"/>
    </row>
    <row r="298" spans="1:48" ht="11.25" customHeight="1" x14ac:dyDescent="0.2">
      <c r="A298" s="873"/>
      <c r="B298" s="873"/>
      <c r="C298" s="873"/>
      <c r="D298" s="873"/>
      <c r="E298" s="873"/>
      <c r="F298" s="873"/>
      <c r="G298" s="873"/>
      <c r="H298" s="873"/>
      <c r="I298" s="873"/>
      <c r="J298" s="873"/>
      <c r="K298" s="873"/>
      <c r="L298" s="873"/>
      <c r="M298" s="873"/>
      <c r="N298" s="873"/>
      <c r="O298" s="873"/>
      <c r="P298" s="873"/>
      <c r="Q298" s="873"/>
      <c r="R298" s="873"/>
      <c r="S298" s="873"/>
      <c r="T298" s="873"/>
      <c r="U298" s="873"/>
      <c r="V298" s="873"/>
      <c r="W298" s="873"/>
      <c r="X298" s="873"/>
      <c r="Y298" s="873"/>
      <c r="Z298" s="873"/>
      <c r="AA298" s="873"/>
      <c r="AB298" s="873"/>
      <c r="AC298" s="873"/>
      <c r="AD298" s="873"/>
      <c r="AE298" s="873"/>
      <c r="AF298" s="873"/>
      <c r="AG298" s="873"/>
      <c r="AH298" s="873"/>
      <c r="AI298" s="873"/>
      <c r="AJ298" s="873"/>
      <c r="AK298" s="873"/>
      <c r="AL298" s="873"/>
      <c r="AM298" s="873"/>
      <c r="AN298" s="873"/>
      <c r="AO298" s="873"/>
      <c r="AP298" s="873"/>
      <c r="AQ298" s="873"/>
      <c r="AR298" s="873"/>
      <c r="AS298" s="873"/>
      <c r="AT298" s="873"/>
      <c r="AU298" s="873"/>
      <c r="AV298" s="873"/>
    </row>
    <row r="299" spans="1:48" ht="11.25" customHeight="1" x14ac:dyDescent="0.2">
      <c r="A299" s="873"/>
      <c r="B299" s="873"/>
      <c r="C299" s="873"/>
      <c r="D299" s="873"/>
      <c r="E299" s="873"/>
      <c r="F299" s="873"/>
      <c r="G299" s="873"/>
      <c r="H299" s="873"/>
      <c r="I299" s="873"/>
      <c r="J299" s="873"/>
      <c r="K299" s="873"/>
      <c r="L299" s="873"/>
      <c r="M299" s="873"/>
      <c r="N299" s="873"/>
      <c r="O299" s="873"/>
      <c r="P299" s="873"/>
      <c r="Q299" s="873"/>
      <c r="R299" s="873"/>
      <c r="S299" s="873"/>
      <c r="T299" s="873"/>
      <c r="U299" s="873"/>
      <c r="V299" s="873"/>
      <c r="W299" s="873"/>
      <c r="X299" s="873"/>
      <c r="Y299" s="873"/>
      <c r="Z299" s="873"/>
      <c r="AA299" s="873"/>
      <c r="AB299" s="873"/>
      <c r="AC299" s="873"/>
      <c r="AD299" s="873"/>
      <c r="AE299" s="873"/>
      <c r="AF299" s="873"/>
      <c r="AG299" s="873"/>
      <c r="AH299" s="873"/>
      <c r="AI299" s="873"/>
      <c r="AJ299" s="873"/>
      <c r="AK299" s="873"/>
      <c r="AL299" s="873"/>
      <c r="AM299" s="873"/>
      <c r="AN299" s="873"/>
      <c r="AO299" s="873"/>
      <c r="AP299" s="873"/>
      <c r="AQ299" s="873"/>
      <c r="AR299" s="873"/>
      <c r="AS299" s="873"/>
      <c r="AT299" s="873"/>
      <c r="AU299" s="873"/>
      <c r="AV299" s="873"/>
    </row>
    <row r="300" spans="1:48" ht="11.25" customHeight="1" x14ac:dyDescent="0.2">
      <c r="A300" s="873"/>
      <c r="B300" s="873"/>
      <c r="C300" s="873"/>
      <c r="D300" s="873"/>
      <c r="E300" s="873"/>
      <c r="F300" s="873"/>
      <c r="G300" s="873"/>
      <c r="H300" s="873"/>
      <c r="I300" s="873"/>
      <c r="J300" s="873"/>
      <c r="K300" s="873"/>
      <c r="L300" s="873"/>
      <c r="M300" s="873"/>
      <c r="N300" s="873"/>
      <c r="O300" s="873"/>
      <c r="P300" s="873"/>
      <c r="Q300" s="873"/>
      <c r="R300" s="873"/>
      <c r="S300" s="873"/>
      <c r="T300" s="873"/>
      <c r="U300" s="873"/>
      <c r="V300" s="873"/>
      <c r="W300" s="873"/>
      <c r="X300" s="873"/>
      <c r="Y300" s="873"/>
      <c r="Z300" s="873"/>
      <c r="AA300" s="873"/>
      <c r="AB300" s="873"/>
      <c r="AC300" s="873"/>
      <c r="AD300" s="873"/>
      <c r="AE300" s="873"/>
      <c r="AF300" s="873"/>
      <c r="AG300" s="873"/>
      <c r="AH300" s="873"/>
      <c r="AI300" s="873"/>
      <c r="AJ300" s="873"/>
      <c r="AK300" s="873"/>
      <c r="AL300" s="873"/>
      <c r="AM300" s="873"/>
      <c r="AN300" s="873"/>
      <c r="AO300" s="873"/>
      <c r="AP300" s="873"/>
      <c r="AQ300" s="873"/>
      <c r="AR300" s="873"/>
      <c r="AS300" s="873"/>
      <c r="AT300" s="873"/>
      <c r="AU300" s="873"/>
      <c r="AV300" s="873"/>
    </row>
    <row r="301" spans="1:48" ht="11.25" customHeight="1" x14ac:dyDescent="0.2">
      <c r="A301" s="873"/>
      <c r="B301" s="873"/>
      <c r="C301" s="873"/>
      <c r="D301" s="873"/>
      <c r="E301" s="873"/>
      <c r="F301" s="873"/>
      <c r="G301" s="873"/>
      <c r="H301" s="873"/>
      <c r="I301" s="873"/>
      <c r="J301" s="873"/>
      <c r="K301" s="873"/>
      <c r="L301" s="873"/>
      <c r="M301" s="873"/>
      <c r="N301" s="873"/>
      <c r="O301" s="873"/>
      <c r="P301" s="873"/>
      <c r="Q301" s="873"/>
      <c r="R301" s="873"/>
      <c r="S301" s="873"/>
      <c r="T301" s="873"/>
      <c r="U301" s="873"/>
      <c r="V301" s="873"/>
      <c r="W301" s="873"/>
      <c r="X301" s="873"/>
      <c r="Y301" s="873"/>
      <c r="Z301" s="873"/>
      <c r="AA301" s="873"/>
      <c r="AB301" s="873"/>
      <c r="AC301" s="873"/>
      <c r="AD301" s="873"/>
      <c r="AE301" s="873"/>
      <c r="AF301" s="873"/>
      <c r="AG301" s="873"/>
      <c r="AH301" s="873"/>
      <c r="AI301" s="873"/>
      <c r="AJ301" s="873"/>
      <c r="AK301" s="873"/>
      <c r="AL301" s="873"/>
      <c r="AM301" s="873"/>
      <c r="AN301" s="873"/>
      <c r="AO301" s="873"/>
      <c r="AP301" s="873"/>
      <c r="AQ301" s="873"/>
      <c r="AR301" s="873"/>
      <c r="AS301" s="873"/>
      <c r="AT301" s="873"/>
      <c r="AU301" s="873"/>
      <c r="AV301" s="873"/>
    </row>
    <row r="302" spans="1:48" ht="11.25" customHeight="1" x14ac:dyDescent="0.2">
      <c r="A302" s="873"/>
      <c r="B302" s="873"/>
      <c r="C302" s="873"/>
      <c r="D302" s="873"/>
      <c r="E302" s="873"/>
      <c r="F302" s="873"/>
      <c r="G302" s="873"/>
      <c r="H302" s="873"/>
      <c r="I302" s="873"/>
      <c r="J302" s="873"/>
      <c r="K302" s="873"/>
      <c r="L302" s="873"/>
      <c r="M302" s="873"/>
      <c r="N302" s="873"/>
      <c r="O302" s="873"/>
      <c r="P302" s="873"/>
      <c r="Q302" s="873"/>
      <c r="R302" s="873"/>
      <c r="S302" s="873"/>
      <c r="T302" s="873"/>
      <c r="U302" s="873"/>
      <c r="V302" s="873"/>
      <c r="W302" s="873"/>
      <c r="X302" s="873"/>
      <c r="Y302" s="873"/>
      <c r="Z302" s="873"/>
      <c r="AA302" s="873"/>
      <c r="AB302" s="873"/>
      <c r="AC302" s="873"/>
      <c r="AD302" s="873"/>
      <c r="AE302" s="873"/>
      <c r="AF302" s="873"/>
      <c r="AG302" s="873"/>
      <c r="AH302" s="873"/>
      <c r="AI302" s="873"/>
      <c r="AJ302" s="873"/>
      <c r="AK302" s="873"/>
      <c r="AL302" s="873"/>
      <c r="AM302" s="873"/>
      <c r="AN302" s="873"/>
      <c r="AO302" s="873"/>
      <c r="AP302" s="873"/>
      <c r="AQ302" s="873"/>
      <c r="AR302" s="873"/>
      <c r="AS302" s="873"/>
      <c r="AT302" s="873"/>
      <c r="AU302" s="873"/>
      <c r="AV302" s="873"/>
    </row>
    <row r="303" spans="1:48" ht="11.25" customHeight="1" x14ac:dyDescent="0.2">
      <c r="A303" s="873"/>
      <c r="B303" s="873"/>
      <c r="C303" s="873"/>
      <c r="D303" s="873"/>
      <c r="E303" s="873"/>
      <c r="F303" s="873"/>
      <c r="G303" s="873"/>
      <c r="H303" s="873"/>
      <c r="I303" s="873"/>
      <c r="J303" s="873"/>
      <c r="K303" s="873"/>
      <c r="L303" s="873"/>
      <c r="M303" s="873"/>
      <c r="N303" s="873"/>
      <c r="O303" s="873"/>
      <c r="P303" s="873"/>
      <c r="Q303" s="873"/>
      <c r="R303" s="873"/>
      <c r="S303" s="873"/>
      <c r="T303" s="873"/>
      <c r="U303" s="873"/>
      <c r="V303" s="873"/>
      <c r="W303" s="873"/>
      <c r="X303" s="873"/>
      <c r="Y303" s="873"/>
      <c r="Z303" s="873"/>
      <c r="AA303" s="873"/>
      <c r="AB303" s="873"/>
      <c r="AC303" s="873"/>
      <c r="AD303" s="873"/>
      <c r="AE303" s="873"/>
      <c r="AF303" s="873"/>
      <c r="AG303" s="873"/>
      <c r="AH303" s="873"/>
      <c r="AI303" s="873"/>
      <c r="AJ303" s="873"/>
      <c r="AK303" s="873"/>
      <c r="AL303" s="873"/>
      <c r="AM303" s="873"/>
      <c r="AN303" s="873"/>
      <c r="AO303" s="873"/>
      <c r="AP303" s="873"/>
      <c r="AQ303" s="873"/>
      <c r="AR303" s="873"/>
      <c r="AS303" s="873"/>
      <c r="AT303" s="873"/>
      <c r="AU303" s="873"/>
      <c r="AV303" s="873"/>
    </row>
    <row r="304" spans="1:48" ht="11.25" customHeight="1" x14ac:dyDescent="0.2">
      <c r="A304" s="873"/>
      <c r="B304" s="873"/>
      <c r="C304" s="873"/>
      <c r="D304" s="873"/>
      <c r="E304" s="873"/>
      <c r="F304" s="873"/>
      <c r="G304" s="873"/>
      <c r="H304" s="873"/>
      <c r="I304" s="873"/>
      <c r="J304" s="873"/>
      <c r="K304" s="873"/>
      <c r="L304" s="873"/>
      <c r="M304" s="873"/>
      <c r="N304" s="873"/>
      <c r="O304" s="873"/>
      <c r="P304" s="873"/>
      <c r="Q304" s="873"/>
      <c r="R304" s="873"/>
      <c r="S304" s="873"/>
      <c r="T304" s="873"/>
      <c r="U304" s="873"/>
      <c r="V304" s="873"/>
      <c r="W304" s="873"/>
      <c r="X304" s="873"/>
      <c r="Y304" s="873"/>
      <c r="Z304" s="873"/>
      <c r="AA304" s="873"/>
      <c r="AB304" s="873"/>
      <c r="AC304" s="873"/>
      <c r="AD304" s="873"/>
      <c r="AE304" s="873"/>
      <c r="AF304" s="873"/>
      <c r="AG304" s="873"/>
      <c r="AH304" s="873"/>
      <c r="AI304" s="873"/>
      <c r="AJ304" s="873"/>
      <c r="AK304" s="873"/>
      <c r="AL304" s="873"/>
      <c r="AM304" s="873"/>
      <c r="AN304" s="873"/>
      <c r="AO304" s="873"/>
      <c r="AP304" s="873"/>
      <c r="AQ304" s="873"/>
      <c r="AR304" s="873"/>
      <c r="AS304" s="873"/>
      <c r="AT304" s="873"/>
      <c r="AU304" s="873"/>
      <c r="AV304" s="873"/>
    </row>
    <row r="305" spans="1:48" ht="11.25" customHeight="1" x14ac:dyDescent="0.2">
      <c r="A305" s="873"/>
      <c r="B305" s="873"/>
      <c r="C305" s="873"/>
      <c r="D305" s="873"/>
      <c r="E305" s="873"/>
      <c r="F305" s="873"/>
      <c r="G305" s="873"/>
      <c r="H305" s="873"/>
      <c r="I305" s="873"/>
      <c r="J305" s="873"/>
      <c r="K305" s="873"/>
      <c r="L305" s="873"/>
      <c r="M305" s="873"/>
      <c r="N305" s="873"/>
      <c r="O305" s="873"/>
      <c r="P305" s="873"/>
      <c r="Q305" s="873"/>
      <c r="R305" s="873"/>
      <c r="S305" s="873"/>
      <c r="T305" s="873"/>
      <c r="U305" s="873"/>
      <c r="V305" s="873"/>
      <c r="W305" s="873"/>
      <c r="X305" s="873"/>
      <c r="Y305" s="873"/>
      <c r="Z305" s="873"/>
      <c r="AA305" s="873"/>
      <c r="AB305" s="873"/>
      <c r="AC305" s="873"/>
      <c r="AD305" s="873"/>
      <c r="AE305" s="873"/>
      <c r="AF305" s="873"/>
      <c r="AG305" s="873"/>
      <c r="AH305" s="873"/>
      <c r="AI305" s="873"/>
      <c r="AJ305" s="873"/>
      <c r="AK305" s="873"/>
      <c r="AL305" s="873"/>
      <c r="AM305" s="873"/>
      <c r="AN305" s="873"/>
      <c r="AO305" s="873"/>
      <c r="AP305" s="873"/>
      <c r="AQ305" s="873"/>
      <c r="AR305" s="873"/>
      <c r="AS305" s="873"/>
      <c r="AT305" s="873"/>
      <c r="AU305" s="873"/>
      <c r="AV305" s="873"/>
    </row>
    <row r="306" spans="1:48" ht="11.25" customHeight="1" x14ac:dyDescent="0.2">
      <c r="A306" s="873"/>
      <c r="B306" s="873"/>
      <c r="C306" s="873"/>
      <c r="D306" s="873"/>
      <c r="E306" s="873"/>
      <c r="F306" s="873"/>
      <c r="G306" s="873"/>
      <c r="H306" s="873"/>
      <c r="I306" s="873"/>
      <c r="J306" s="873"/>
      <c r="K306" s="873"/>
      <c r="L306" s="873"/>
      <c r="M306" s="873"/>
      <c r="N306" s="873"/>
      <c r="O306" s="873"/>
      <c r="P306" s="873"/>
      <c r="Q306" s="873"/>
      <c r="R306" s="873"/>
      <c r="S306" s="873"/>
      <c r="T306" s="873"/>
      <c r="U306" s="873"/>
      <c r="V306" s="873"/>
      <c r="W306" s="873"/>
      <c r="X306" s="873"/>
      <c r="Y306" s="873"/>
      <c r="Z306" s="873"/>
      <c r="AA306" s="873"/>
      <c r="AB306" s="873"/>
      <c r="AC306" s="873"/>
      <c r="AD306" s="873"/>
      <c r="AE306" s="873"/>
      <c r="AF306" s="873"/>
      <c r="AG306" s="873"/>
      <c r="AH306" s="873"/>
      <c r="AI306" s="873"/>
      <c r="AJ306" s="873"/>
      <c r="AK306" s="873"/>
      <c r="AL306" s="873"/>
      <c r="AM306" s="873"/>
      <c r="AN306" s="873"/>
      <c r="AO306" s="873"/>
      <c r="AP306" s="873"/>
      <c r="AQ306" s="873"/>
      <c r="AR306" s="873"/>
      <c r="AS306" s="873"/>
      <c r="AT306" s="873"/>
      <c r="AU306" s="873"/>
      <c r="AV306" s="873"/>
    </row>
    <row r="307" spans="1:48" ht="11.25" customHeight="1" x14ac:dyDescent="0.2">
      <c r="A307" s="873"/>
      <c r="B307" s="873"/>
      <c r="C307" s="873"/>
      <c r="D307" s="873"/>
      <c r="E307" s="873"/>
      <c r="F307" s="873"/>
      <c r="G307" s="873"/>
      <c r="H307" s="873"/>
      <c r="I307" s="873"/>
      <c r="J307" s="873"/>
      <c r="K307" s="873"/>
      <c r="L307" s="873"/>
      <c r="M307" s="873"/>
      <c r="N307" s="873"/>
      <c r="O307" s="873"/>
      <c r="P307" s="873"/>
      <c r="Q307" s="873"/>
      <c r="R307" s="873"/>
      <c r="S307" s="873"/>
      <c r="T307" s="873"/>
      <c r="U307" s="873"/>
      <c r="V307" s="873"/>
      <c r="W307" s="873"/>
      <c r="X307" s="873"/>
      <c r="Y307" s="873"/>
      <c r="Z307" s="873"/>
      <c r="AA307" s="873"/>
      <c r="AB307" s="873"/>
      <c r="AC307" s="873"/>
      <c r="AD307" s="873"/>
      <c r="AE307" s="873"/>
      <c r="AF307" s="873"/>
      <c r="AG307" s="873"/>
      <c r="AH307" s="873"/>
      <c r="AI307" s="873"/>
      <c r="AJ307" s="873"/>
      <c r="AK307" s="873"/>
      <c r="AL307" s="873"/>
      <c r="AM307" s="873"/>
      <c r="AN307" s="873"/>
      <c r="AO307" s="873"/>
      <c r="AP307" s="873"/>
      <c r="AQ307" s="873"/>
      <c r="AR307" s="873"/>
      <c r="AS307" s="873"/>
      <c r="AT307" s="873"/>
      <c r="AU307" s="873"/>
      <c r="AV307" s="873"/>
    </row>
    <row r="308" spans="1:48" ht="11.25" customHeight="1" x14ac:dyDescent="0.2">
      <c r="A308" s="873"/>
      <c r="B308" s="873"/>
      <c r="C308" s="873"/>
      <c r="D308" s="873"/>
      <c r="E308" s="873"/>
      <c r="F308" s="873"/>
      <c r="G308" s="873"/>
      <c r="H308" s="873"/>
      <c r="I308" s="873"/>
      <c r="J308" s="873"/>
      <c r="K308" s="873"/>
      <c r="L308" s="873"/>
      <c r="M308" s="873"/>
      <c r="N308" s="873"/>
      <c r="O308" s="873"/>
      <c r="P308" s="873"/>
      <c r="Q308" s="873"/>
      <c r="R308" s="873"/>
      <c r="S308" s="873"/>
      <c r="T308" s="873"/>
      <c r="U308" s="873"/>
      <c r="V308" s="873"/>
      <c r="W308" s="873"/>
      <c r="X308" s="873"/>
      <c r="Y308" s="873"/>
      <c r="Z308" s="873"/>
      <c r="AA308" s="873"/>
      <c r="AB308" s="873"/>
      <c r="AC308" s="873"/>
      <c r="AD308" s="873"/>
      <c r="AE308" s="873"/>
      <c r="AF308" s="873"/>
      <c r="AG308" s="873"/>
      <c r="AH308" s="873"/>
      <c r="AI308" s="873"/>
      <c r="AJ308" s="873"/>
      <c r="AK308" s="873"/>
      <c r="AL308" s="873"/>
      <c r="AM308" s="873"/>
      <c r="AN308" s="873"/>
      <c r="AO308" s="873"/>
      <c r="AP308" s="873"/>
      <c r="AQ308" s="873"/>
      <c r="AR308" s="873"/>
      <c r="AS308" s="873"/>
      <c r="AT308" s="873"/>
      <c r="AU308" s="873"/>
      <c r="AV308" s="873"/>
    </row>
    <row r="309" spans="1:48" ht="11.25" customHeight="1" x14ac:dyDescent="0.2">
      <c r="A309" s="873"/>
      <c r="B309" s="873"/>
      <c r="C309" s="873"/>
      <c r="D309" s="873"/>
      <c r="E309" s="873"/>
      <c r="F309" s="873"/>
      <c r="G309" s="873"/>
      <c r="H309" s="873"/>
      <c r="I309" s="873"/>
      <c r="J309" s="873"/>
      <c r="K309" s="873"/>
      <c r="L309" s="873"/>
      <c r="M309" s="873"/>
      <c r="N309" s="873"/>
      <c r="O309" s="873"/>
      <c r="P309" s="873"/>
      <c r="Q309" s="873"/>
      <c r="R309" s="873"/>
      <c r="S309" s="873"/>
      <c r="T309" s="873"/>
      <c r="U309" s="873"/>
      <c r="V309" s="873"/>
      <c r="W309" s="873"/>
      <c r="X309" s="873"/>
      <c r="Y309" s="873"/>
      <c r="Z309" s="873"/>
      <c r="AA309" s="873"/>
      <c r="AB309" s="873"/>
      <c r="AC309" s="873"/>
      <c r="AD309" s="873"/>
      <c r="AE309" s="873"/>
      <c r="AF309" s="873"/>
      <c r="AG309" s="873"/>
      <c r="AH309" s="873"/>
      <c r="AI309" s="873"/>
      <c r="AJ309" s="873"/>
      <c r="AK309" s="873"/>
      <c r="AL309" s="873"/>
      <c r="AM309" s="873"/>
      <c r="AN309" s="873"/>
      <c r="AO309" s="873"/>
      <c r="AP309" s="873"/>
      <c r="AQ309" s="873"/>
      <c r="AR309" s="873"/>
      <c r="AS309" s="873"/>
      <c r="AT309" s="873"/>
      <c r="AU309" s="873"/>
      <c r="AV309" s="873"/>
    </row>
    <row r="310" spans="1:48" ht="11.25" customHeight="1" x14ac:dyDescent="0.2">
      <c r="A310" s="873"/>
      <c r="B310" s="873"/>
      <c r="C310" s="873"/>
      <c r="D310" s="873"/>
      <c r="E310" s="873"/>
      <c r="F310" s="873"/>
      <c r="G310" s="873"/>
      <c r="H310" s="873"/>
      <c r="I310" s="873"/>
      <c r="J310" s="873"/>
      <c r="K310" s="873"/>
      <c r="L310" s="873"/>
      <c r="M310" s="873"/>
      <c r="N310" s="873"/>
      <c r="O310" s="873"/>
      <c r="P310" s="873"/>
      <c r="Q310" s="873"/>
      <c r="R310" s="873"/>
      <c r="S310" s="873"/>
      <c r="T310" s="873"/>
      <c r="U310" s="873"/>
      <c r="V310" s="873"/>
      <c r="W310" s="873"/>
      <c r="X310" s="873"/>
      <c r="Y310" s="873"/>
      <c r="Z310" s="873"/>
      <c r="AA310" s="873"/>
      <c r="AB310" s="873"/>
      <c r="AC310" s="873"/>
      <c r="AD310" s="873"/>
      <c r="AE310" s="873"/>
      <c r="AF310" s="873"/>
      <c r="AG310" s="873"/>
      <c r="AH310" s="873"/>
      <c r="AI310" s="873"/>
      <c r="AJ310" s="873"/>
      <c r="AK310" s="873"/>
      <c r="AL310" s="873"/>
      <c r="AM310" s="873"/>
      <c r="AN310" s="873"/>
      <c r="AO310" s="873"/>
      <c r="AP310" s="873"/>
      <c r="AQ310" s="873"/>
      <c r="AR310" s="873"/>
      <c r="AS310" s="873"/>
      <c r="AT310" s="873"/>
      <c r="AU310" s="873"/>
      <c r="AV310" s="873"/>
    </row>
    <row r="311" spans="1:48" ht="11.25" customHeight="1" x14ac:dyDescent="0.2">
      <c r="A311" s="873"/>
      <c r="B311" s="873"/>
      <c r="C311" s="873"/>
      <c r="D311" s="873"/>
      <c r="E311" s="873"/>
      <c r="F311" s="873"/>
      <c r="G311" s="873"/>
      <c r="H311" s="873"/>
      <c r="I311" s="873"/>
      <c r="J311" s="873"/>
      <c r="K311" s="873"/>
      <c r="L311" s="873"/>
      <c r="M311" s="873"/>
      <c r="N311" s="873"/>
      <c r="O311" s="873"/>
      <c r="P311" s="873"/>
      <c r="Q311" s="873"/>
      <c r="R311" s="873"/>
      <c r="S311" s="873"/>
      <c r="T311" s="873"/>
      <c r="U311" s="873"/>
      <c r="V311" s="873"/>
      <c r="W311" s="873"/>
      <c r="X311" s="873"/>
      <c r="Y311" s="873"/>
      <c r="Z311" s="873"/>
      <c r="AA311" s="873"/>
      <c r="AB311" s="873"/>
      <c r="AC311" s="873"/>
      <c r="AD311" s="873"/>
      <c r="AE311" s="873"/>
      <c r="AF311" s="873"/>
      <c r="AG311" s="873"/>
      <c r="AH311" s="873"/>
      <c r="AI311" s="873"/>
      <c r="AJ311" s="873"/>
      <c r="AK311" s="873"/>
      <c r="AL311" s="873"/>
      <c r="AM311" s="873"/>
      <c r="AN311" s="873"/>
      <c r="AO311" s="873"/>
      <c r="AP311" s="873"/>
      <c r="AQ311" s="873"/>
      <c r="AR311" s="873"/>
      <c r="AS311" s="873"/>
      <c r="AT311" s="873"/>
      <c r="AU311" s="873"/>
      <c r="AV311" s="873"/>
    </row>
    <row r="312" spans="1:48" ht="11.25" customHeight="1" x14ac:dyDescent="0.2">
      <c r="A312" s="873"/>
      <c r="B312" s="873"/>
      <c r="C312" s="873"/>
      <c r="D312" s="873"/>
      <c r="E312" s="873"/>
      <c r="F312" s="873"/>
      <c r="G312" s="873"/>
      <c r="H312" s="873"/>
      <c r="I312" s="873"/>
      <c r="J312" s="873"/>
      <c r="K312" s="873"/>
      <c r="L312" s="873"/>
      <c r="M312" s="873"/>
      <c r="N312" s="873"/>
      <c r="O312" s="873"/>
      <c r="P312" s="873"/>
      <c r="Q312" s="873"/>
      <c r="R312" s="873"/>
      <c r="S312" s="873"/>
      <c r="T312" s="873"/>
      <c r="U312" s="873"/>
      <c r="V312" s="873"/>
      <c r="W312" s="873"/>
      <c r="X312" s="873"/>
      <c r="Y312" s="873"/>
      <c r="Z312" s="873"/>
      <c r="AA312" s="873"/>
      <c r="AB312" s="873"/>
      <c r="AC312" s="873"/>
      <c r="AD312" s="873"/>
      <c r="AE312" s="873"/>
      <c r="AF312" s="873"/>
      <c r="AG312" s="873"/>
      <c r="AH312" s="873"/>
      <c r="AI312" s="873"/>
      <c r="AJ312" s="873"/>
      <c r="AK312" s="873"/>
      <c r="AL312" s="873"/>
      <c r="AM312" s="873"/>
      <c r="AN312" s="873"/>
      <c r="AO312" s="873"/>
      <c r="AP312" s="873"/>
      <c r="AQ312" s="873"/>
      <c r="AR312" s="873"/>
      <c r="AS312" s="873"/>
      <c r="AT312" s="873"/>
      <c r="AU312" s="873"/>
      <c r="AV312" s="873"/>
    </row>
    <row r="313" spans="1:48" ht="11.25" customHeight="1" x14ac:dyDescent="0.2">
      <c r="A313" s="873"/>
      <c r="B313" s="873"/>
      <c r="C313" s="873"/>
      <c r="D313" s="873"/>
      <c r="E313" s="873"/>
      <c r="F313" s="873"/>
      <c r="G313" s="873"/>
      <c r="H313" s="873"/>
      <c r="I313" s="873"/>
      <c r="J313" s="873"/>
      <c r="K313" s="873"/>
      <c r="L313" s="873"/>
      <c r="M313" s="873"/>
      <c r="N313" s="873"/>
      <c r="O313" s="873"/>
      <c r="P313" s="873"/>
      <c r="Q313" s="873"/>
      <c r="R313" s="873"/>
      <c r="S313" s="873"/>
      <c r="T313" s="873"/>
      <c r="U313" s="873"/>
      <c r="V313" s="873"/>
      <c r="W313" s="873"/>
      <c r="X313" s="873"/>
      <c r="Y313" s="873"/>
      <c r="Z313" s="873"/>
      <c r="AA313" s="873"/>
      <c r="AB313" s="873"/>
      <c r="AC313" s="873"/>
      <c r="AD313" s="873"/>
      <c r="AE313" s="873"/>
      <c r="AF313" s="873"/>
      <c r="AG313" s="873"/>
      <c r="AH313" s="873"/>
      <c r="AI313" s="873"/>
      <c r="AJ313" s="873"/>
      <c r="AK313" s="873"/>
      <c r="AL313" s="873"/>
      <c r="AM313" s="873"/>
      <c r="AN313" s="873"/>
      <c r="AO313" s="873"/>
      <c r="AP313" s="873"/>
      <c r="AQ313" s="873"/>
      <c r="AR313" s="873"/>
      <c r="AS313" s="873"/>
      <c r="AT313" s="873"/>
      <c r="AU313" s="873"/>
      <c r="AV313" s="873"/>
    </row>
    <row r="314" spans="1:48" ht="11.25" customHeight="1" x14ac:dyDescent="0.2">
      <c r="A314" s="873"/>
      <c r="B314" s="873"/>
      <c r="C314" s="873"/>
      <c r="D314" s="873"/>
      <c r="E314" s="873"/>
      <c r="F314" s="873"/>
      <c r="G314" s="873"/>
      <c r="H314" s="873"/>
      <c r="I314" s="873"/>
      <c r="J314" s="873"/>
      <c r="K314" s="873"/>
      <c r="L314" s="873"/>
      <c r="M314" s="873"/>
      <c r="N314" s="873"/>
      <c r="O314" s="873"/>
      <c r="P314" s="873"/>
      <c r="Q314" s="873"/>
      <c r="R314" s="873"/>
      <c r="S314" s="873"/>
      <c r="T314" s="873"/>
      <c r="U314" s="873"/>
      <c r="V314" s="873"/>
      <c r="W314" s="873"/>
      <c r="X314" s="873"/>
      <c r="Y314" s="873"/>
      <c r="Z314" s="873"/>
      <c r="AA314" s="873"/>
      <c r="AB314" s="873"/>
      <c r="AC314" s="873"/>
      <c r="AD314" s="873"/>
      <c r="AE314" s="873"/>
      <c r="AF314" s="873"/>
      <c r="AG314" s="873"/>
      <c r="AH314" s="873"/>
      <c r="AI314" s="873"/>
      <c r="AJ314" s="873"/>
      <c r="AK314" s="873"/>
      <c r="AL314" s="873"/>
      <c r="AM314" s="873"/>
      <c r="AN314" s="873"/>
      <c r="AO314" s="873"/>
      <c r="AP314" s="873"/>
      <c r="AQ314" s="873"/>
      <c r="AR314" s="873"/>
      <c r="AS314" s="873"/>
      <c r="AT314" s="873"/>
      <c r="AU314" s="873"/>
      <c r="AV314" s="873"/>
    </row>
    <row r="315" spans="1:48" ht="11.25" customHeight="1" x14ac:dyDescent="0.2">
      <c r="A315" s="873"/>
      <c r="B315" s="873"/>
      <c r="C315" s="873"/>
      <c r="D315" s="873"/>
      <c r="E315" s="873"/>
      <c r="F315" s="873"/>
      <c r="G315" s="873"/>
      <c r="H315" s="873"/>
      <c r="I315" s="873"/>
      <c r="J315" s="873"/>
      <c r="K315" s="873"/>
      <c r="L315" s="873"/>
      <c r="M315" s="873"/>
      <c r="N315" s="873"/>
      <c r="O315" s="873"/>
      <c r="P315" s="873"/>
      <c r="Q315" s="873"/>
      <c r="R315" s="873"/>
      <c r="S315" s="873"/>
      <c r="T315" s="873"/>
      <c r="U315" s="873"/>
      <c r="V315" s="873"/>
      <c r="W315" s="873"/>
      <c r="X315" s="873"/>
      <c r="Y315" s="873"/>
      <c r="Z315" s="873"/>
      <c r="AA315" s="873"/>
      <c r="AB315" s="873"/>
      <c r="AC315" s="873"/>
      <c r="AD315" s="873"/>
      <c r="AE315" s="873"/>
      <c r="AF315" s="873"/>
      <c r="AG315" s="873"/>
      <c r="AH315" s="873"/>
      <c r="AI315" s="873"/>
      <c r="AJ315" s="873"/>
      <c r="AK315" s="873"/>
      <c r="AL315" s="873"/>
      <c r="AM315" s="873"/>
      <c r="AN315" s="873"/>
      <c r="AO315" s="873"/>
      <c r="AP315" s="873"/>
      <c r="AQ315" s="873"/>
      <c r="AR315" s="873"/>
      <c r="AS315" s="873"/>
      <c r="AT315" s="873"/>
      <c r="AU315" s="873"/>
      <c r="AV315" s="873"/>
    </row>
    <row r="316" spans="1:48" ht="11.25" customHeight="1" x14ac:dyDescent="0.2">
      <c r="A316" s="873"/>
      <c r="B316" s="873"/>
      <c r="C316" s="873"/>
      <c r="D316" s="873"/>
      <c r="E316" s="873"/>
      <c r="F316" s="873"/>
      <c r="G316" s="873"/>
      <c r="H316" s="873"/>
      <c r="I316" s="873"/>
      <c r="J316" s="873"/>
      <c r="K316" s="873"/>
      <c r="L316" s="873"/>
      <c r="M316" s="873"/>
      <c r="N316" s="873"/>
      <c r="O316" s="873"/>
      <c r="P316" s="873"/>
      <c r="Q316" s="873"/>
      <c r="R316" s="873"/>
      <c r="S316" s="873"/>
      <c r="T316" s="873"/>
      <c r="U316" s="873"/>
      <c r="V316" s="873"/>
      <c r="W316" s="873"/>
      <c r="X316" s="873"/>
      <c r="Y316" s="873"/>
      <c r="Z316" s="873"/>
      <c r="AA316" s="873"/>
      <c r="AB316" s="873"/>
      <c r="AC316" s="873"/>
      <c r="AD316" s="873"/>
      <c r="AE316" s="873"/>
      <c r="AF316" s="873"/>
      <c r="AG316" s="873"/>
      <c r="AH316" s="873"/>
      <c r="AI316" s="873"/>
      <c r="AJ316" s="873"/>
      <c r="AK316" s="873"/>
      <c r="AL316" s="873"/>
      <c r="AM316" s="873"/>
      <c r="AN316" s="873"/>
      <c r="AO316" s="873"/>
      <c r="AP316" s="873"/>
      <c r="AQ316" s="873"/>
      <c r="AR316" s="873"/>
      <c r="AS316" s="873"/>
      <c r="AT316" s="873"/>
      <c r="AU316" s="873"/>
      <c r="AV316" s="873"/>
    </row>
    <row r="317" spans="1:48" ht="11.25" customHeight="1" x14ac:dyDescent="0.2">
      <c r="A317" s="873"/>
      <c r="B317" s="873"/>
      <c r="C317" s="873"/>
      <c r="D317" s="873"/>
      <c r="E317" s="873"/>
      <c r="F317" s="873"/>
      <c r="G317" s="873"/>
      <c r="H317" s="873"/>
      <c r="I317" s="873"/>
      <c r="J317" s="873"/>
      <c r="K317" s="873"/>
      <c r="L317" s="873"/>
      <c r="M317" s="873"/>
      <c r="N317" s="873"/>
      <c r="O317" s="873"/>
      <c r="P317" s="873"/>
      <c r="Q317" s="873"/>
      <c r="R317" s="873"/>
      <c r="S317" s="873"/>
      <c r="T317" s="873"/>
      <c r="U317" s="873"/>
      <c r="V317" s="873"/>
      <c r="W317" s="873"/>
      <c r="X317" s="873"/>
      <c r="Y317" s="873"/>
      <c r="Z317" s="873"/>
      <c r="AA317" s="873"/>
      <c r="AB317" s="873"/>
      <c r="AC317" s="873"/>
      <c r="AD317" s="873"/>
      <c r="AE317" s="873"/>
      <c r="AF317" s="873"/>
      <c r="AG317" s="873"/>
      <c r="AH317" s="873"/>
      <c r="AI317" s="873"/>
      <c r="AJ317" s="873"/>
      <c r="AK317" s="873"/>
      <c r="AL317" s="873"/>
      <c r="AM317" s="873"/>
      <c r="AN317" s="873"/>
      <c r="AO317" s="873"/>
      <c r="AP317" s="873"/>
      <c r="AQ317" s="873"/>
      <c r="AR317" s="873"/>
      <c r="AS317" s="873"/>
      <c r="AT317" s="873"/>
      <c r="AU317" s="873"/>
      <c r="AV317" s="873"/>
    </row>
    <row r="318" spans="1:48" ht="11.25" customHeight="1" x14ac:dyDescent="0.2">
      <c r="A318" s="873"/>
      <c r="B318" s="873"/>
      <c r="C318" s="873"/>
      <c r="D318" s="873"/>
      <c r="E318" s="873"/>
      <c r="F318" s="873"/>
      <c r="G318" s="873"/>
      <c r="H318" s="873"/>
      <c r="I318" s="873"/>
      <c r="J318" s="873"/>
      <c r="K318" s="873"/>
      <c r="L318" s="873"/>
      <c r="M318" s="873"/>
      <c r="N318" s="873"/>
      <c r="O318" s="873"/>
      <c r="P318" s="873"/>
      <c r="Q318" s="873"/>
      <c r="R318" s="873"/>
      <c r="S318" s="873"/>
      <c r="T318" s="873"/>
      <c r="U318" s="873"/>
      <c r="V318" s="873"/>
      <c r="W318" s="873"/>
      <c r="X318" s="873"/>
      <c r="Y318" s="873"/>
      <c r="Z318" s="873"/>
      <c r="AA318" s="873"/>
      <c r="AB318" s="873"/>
      <c r="AC318" s="873"/>
      <c r="AD318" s="873"/>
      <c r="AE318" s="873"/>
      <c r="AF318" s="873"/>
      <c r="AG318" s="873"/>
      <c r="AH318" s="873"/>
      <c r="AI318" s="873"/>
      <c r="AJ318" s="873"/>
      <c r="AK318" s="873"/>
      <c r="AL318" s="873"/>
      <c r="AM318" s="873"/>
      <c r="AN318" s="873"/>
      <c r="AO318" s="873"/>
      <c r="AP318" s="873"/>
      <c r="AQ318" s="873"/>
      <c r="AR318" s="873"/>
      <c r="AS318" s="873"/>
      <c r="AT318" s="873"/>
      <c r="AU318" s="873"/>
      <c r="AV318" s="873"/>
    </row>
    <row r="319" spans="1:48" ht="11.25" customHeight="1" x14ac:dyDescent="0.2">
      <c r="A319" s="873"/>
      <c r="B319" s="873"/>
      <c r="C319" s="873"/>
      <c r="D319" s="873"/>
      <c r="E319" s="873"/>
      <c r="F319" s="873"/>
      <c r="G319" s="873"/>
      <c r="H319" s="873"/>
      <c r="I319" s="873"/>
      <c r="J319" s="873"/>
      <c r="K319" s="873"/>
      <c r="L319" s="873"/>
      <c r="M319" s="873"/>
      <c r="N319" s="873"/>
      <c r="O319" s="873"/>
      <c r="P319" s="873"/>
      <c r="Q319" s="873"/>
      <c r="R319" s="873"/>
      <c r="S319" s="873"/>
      <c r="T319" s="873"/>
      <c r="U319" s="873"/>
      <c r="V319" s="873"/>
      <c r="W319" s="873"/>
      <c r="X319" s="873"/>
      <c r="Y319" s="873"/>
      <c r="Z319" s="873"/>
      <c r="AA319" s="873"/>
      <c r="AB319" s="873"/>
      <c r="AC319" s="873"/>
      <c r="AD319" s="873"/>
      <c r="AE319" s="873"/>
      <c r="AF319" s="873"/>
      <c r="AG319" s="873"/>
      <c r="AH319" s="873"/>
      <c r="AI319" s="873"/>
      <c r="AJ319" s="873"/>
      <c r="AK319" s="873"/>
      <c r="AL319" s="873"/>
      <c r="AM319" s="873"/>
      <c r="AN319" s="873"/>
      <c r="AO319" s="873"/>
      <c r="AP319" s="873"/>
      <c r="AQ319" s="873"/>
      <c r="AR319" s="873"/>
      <c r="AS319" s="873"/>
      <c r="AT319" s="873"/>
      <c r="AU319" s="873"/>
      <c r="AV319" s="873"/>
    </row>
    <row r="320" spans="1:48" ht="11.25" customHeight="1" x14ac:dyDescent="0.2">
      <c r="A320" s="873"/>
      <c r="B320" s="873"/>
      <c r="C320" s="873"/>
      <c r="D320" s="873"/>
      <c r="E320" s="873"/>
      <c r="F320" s="873"/>
      <c r="G320" s="873"/>
      <c r="H320" s="873"/>
      <c r="I320" s="873"/>
      <c r="J320" s="873"/>
      <c r="K320" s="873"/>
      <c r="L320" s="873"/>
      <c r="M320" s="873"/>
      <c r="N320" s="873"/>
      <c r="O320" s="873"/>
      <c r="P320" s="873"/>
      <c r="Q320" s="873"/>
      <c r="R320" s="873"/>
      <c r="S320" s="873"/>
      <c r="T320" s="873"/>
      <c r="U320" s="873"/>
      <c r="V320" s="873"/>
      <c r="W320" s="873"/>
      <c r="X320" s="873"/>
      <c r="Y320" s="873"/>
      <c r="Z320" s="873"/>
      <c r="AA320" s="873"/>
      <c r="AB320" s="873"/>
      <c r="AC320" s="873"/>
      <c r="AD320" s="873"/>
      <c r="AE320" s="873"/>
      <c r="AF320" s="873"/>
      <c r="AG320" s="873"/>
      <c r="AH320" s="873"/>
      <c r="AI320" s="873"/>
      <c r="AJ320" s="873"/>
      <c r="AK320" s="873"/>
      <c r="AL320" s="873"/>
      <c r="AM320" s="873"/>
      <c r="AN320" s="873"/>
      <c r="AO320" s="873"/>
      <c r="AP320" s="873"/>
      <c r="AQ320" s="873"/>
      <c r="AR320" s="873"/>
      <c r="AS320" s="873"/>
      <c r="AT320" s="873"/>
      <c r="AU320" s="873"/>
      <c r="AV320" s="873"/>
    </row>
    <row r="321" spans="1:48" ht="11.25" customHeight="1" x14ac:dyDescent="0.2">
      <c r="A321" s="873"/>
      <c r="B321" s="873"/>
      <c r="C321" s="873"/>
      <c r="D321" s="873"/>
      <c r="E321" s="873"/>
      <c r="F321" s="873"/>
      <c r="G321" s="873"/>
      <c r="H321" s="873"/>
      <c r="I321" s="873"/>
      <c r="J321" s="873"/>
      <c r="K321" s="873"/>
      <c r="L321" s="873"/>
      <c r="M321" s="873"/>
      <c r="N321" s="873"/>
      <c r="O321" s="873"/>
      <c r="P321" s="873"/>
      <c r="Q321" s="873"/>
      <c r="R321" s="873"/>
      <c r="S321" s="873"/>
      <c r="T321" s="873"/>
      <c r="U321" s="873"/>
      <c r="V321" s="873"/>
      <c r="W321" s="873"/>
      <c r="X321" s="873"/>
      <c r="Y321" s="873"/>
      <c r="Z321" s="873"/>
      <c r="AA321" s="873"/>
      <c r="AB321" s="873"/>
      <c r="AC321" s="873"/>
      <c r="AD321" s="873"/>
      <c r="AE321" s="873"/>
      <c r="AF321" s="873"/>
      <c r="AG321" s="873"/>
      <c r="AH321" s="873"/>
      <c r="AI321" s="873"/>
      <c r="AJ321" s="873"/>
      <c r="AK321" s="873"/>
      <c r="AL321" s="873"/>
      <c r="AM321" s="873"/>
      <c r="AN321" s="873"/>
      <c r="AO321" s="873"/>
      <c r="AP321" s="873"/>
      <c r="AQ321" s="873"/>
      <c r="AR321" s="873"/>
      <c r="AS321" s="873"/>
      <c r="AT321" s="873"/>
      <c r="AU321" s="873"/>
      <c r="AV321" s="873"/>
    </row>
    <row r="322" spans="1:48" ht="11.25" customHeight="1" x14ac:dyDescent="0.2">
      <c r="A322" s="873"/>
      <c r="B322" s="873"/>
      <c r="C322" s="873"/>
      <c r="D322" s="873"/>
      <c r="E322" s="873"/>
      <c r="F322" s="873"/>
      <c r="G322" s="873"/>
      <c r="H322" s="873"/>
      <c r="I322" s="873"/>
      <c r="J322" s="873"/>
      <c r="K322" s="873"/>
      <c r="L322" s="873"/>
      <c r="M322" s="873"/>
      <c r="N322" s="873"/>
      <c r="O322" s="873"/>
      <c r="P322" s="873"/>
      <c r="Q322" s="873"/>
      <c r="R322" s="873"/>
      <c r="S322" s="873"/>
      <c r="T322" s="873"/>
      <c r="U322" s="873"/>
      <c r="V322" s="873"/>
      <c r="W322" s="873"/>
      <c r="X322" s="873"/>
      <c r="Y322" s="873"/>
      <c r="Z322" s="873"/>
      <c r="AA322" s="873"/>
      <c r="AB322" s="873"/>
      <c r="AC322" s="873"/>
      <c r="AD322" s="873"/>
      <c r="AE322" s="873"/>
      <c r="AF322" s="873"/>
      <c r="AG322" s="873"/>
      <c r="AH322" s="873"/>
      <c r="AI322" s="873"/>
      <c r="AJ322" s="873"/>
      <c r="AK322" s="873"/>
      <c r="AL322" s="873"/>
      <c r="AM322" s="873"/>
      <c r="AN322" s="873"/>
      <c r="AO322" s="873"/>
      <c r="AP322" s="873"/>
      <c r="AQ322" s="873"/>
      <c r="AR322" s="873"/>
      <c r="AS322" s="873"/>
      <c r="AT322" s="873"/>
      <c r="AU322" s="873"/>
      <c r="AV322" s="873"/>
    </row>
    <row r="323" spans="1:48" ht="11.25" customHeight="1" x14ac:dyDescent="0.2">
      <c r="A323" s="873"/>
      <c r="B323" s="873"/>
      <c r="C323" s="873"/>
      <c r="D323" s="873"/>
      <c r="E323" s="873"/>
      <c r="F323" s="873"/>
      <c r="G323" s="873"/>
      <c r="H323" s="873"/>
      <c r="I323" s="873"/>
      <c r="J323" s="873"/>
      <c r="K323" s="873"/>
      <c r="L323" s="873"/>
      <c r="M323" s="873"/>
      <c r="N323" s="873"/>
      <c r="O323" s="873"/>
      <c r="P323" s="873"/>
      <c r="Q323" s="873"/>
      <c r="R323" s="873"/>
      <c r="S323" s="873"/>
      <c r="T323" s="873"/>
      <c r="U323" s="873"/>
      <c r="V323" s="873"/>
      <c r="W323" s="873"/>
      <c r="X323" s="873"/>
      <c r="Y323" s="873"/>
      <c r="Z323" s="873"/>
      <c r="AA323" s="873"/>
      <c r="AB323" s="873"/>
      <c r="AC323" s="873"/>
      <c r="AD323" s="873"/>
      <c r="AE323" s="873"/>
      <c r="AF323" s="873"/>
      <c r="AG323" s="873"/>
      <c r="AH323" s="873"/>
      <c r="AI323" s="873"/>
      <c r="AJ323" s="873"/>
      <c r="AK323" s="873"/>
      <c r="AL323" s="873"/>
      <c r="AM323" s="873"/>
      <c r="AN323" s="873"/>
      <c r="AO323" s="873"/>
      <c r="AP323" s="873"/>
      <c r="AQ323" s="873"/>
      <c r="AR323" s="873"/>
      <c r="AS323" s="873"/>
      <c r="AT323" s="873"/>
      <c r="AU323" s="873"/>
      <c r="AV323" s="873"/>
    </row>
    <row r="324" spans="1:48" ht="11.25" customHeight="1" x14ac:dyDescent="0.2">
      <c r="A324" s="873"/>
      <c r="B324" s="873"/>
      <c r="C324" s="873"/>
      <c r="D324" s="873"/>
      <c r="E324" s="873"/>
      <c r="F324" s="873"/>
      <c r="G324" s="873"/>
      <c r="H324" s="873"/>
      <c r="I324" s="873"/>
      <c r="J324" s="873"/>
      <c r="K324" s="873"/>
      <c r="L324" s="873"/>
      <c r="M324" s="873"/>
      <c r="N324" s="873"/>
      <c r="O324" s="873"/>
      <c r="P324" s="873"/>
      <c r="Q324" s="873"/>
      <c r="R324" s="873"/>
      <c r="S324" s="873"/>
      <c r="T324" s="873"/>
      <c r="U324" s="873"/>
      <c r="V324" s="873"/>
      <c r="W324" s="873"/>
      <c r="X324" s="873"/>
      <c r="Y324" s="873"/>
      <c r="Z324" s="873"/>
      <c r="AA324" s="873"/>
      <c r="AB324" s="873"/>
      <c r="AC324" s="873"/>
      <c r="AD324" s="873"/>
      <c r="AE324" s="873"/>
      <c r="AF324" s="873"/>
      <c r="AG324" s="873"/>
      <c r="AH324" s="873"/>
      <c r="AI324" s="873"/>
      <c r="AJ324" s="873"/>
      <c r="AK324" s="873"/>
      <c r="AL324" s="873"/>
      <c r="AM324" s="873"/>
      <c r="AN324" s="873"/>
      <c r="AO324" s="873"/>
      <c r="AP324" s="873"/>
      <c r="AQ324" s="873"/>
      <c r="AR324" s="873"/>
      <c r="AS324" s="873"/>
      <c r="AT324" s="873"/>
      <c r="AU324" s="873"/>
      <c r="AV324" s="873"/>
    </row>
    <row r="325" spans="1:48" ht="11.25" customHeight="1" x14ac:dyDescent="0.2">
      <c r="A325" s="873"/>
      <c r="B325" s="873"/>
      <c r="C325" s="873"/>
      <c r="D325" s="873"/>
      <c r="E325" s="873"/>
      <c r="F325" s="873"/>
      <c r="G325" s="873"/>
      <c r="H325" s="873"/>
      <c r="I325" s="873"/>
      <c r="J325" s="873"/>
      <c r="K325" s="873"/>
      <c r="L325" s="873"/>
      <c r="M325" s="873"/>
      <c r="N325" s="873"/>
      <c r="O325" s="873"/>
      <c r="P325" s="873"/>
      <c r="Q325" s="873"/>
      <c r="R325" s="873"/>
      <c r="S325" s="873"/>
      <c r="T325" s="873"/>
      <c r="U325" s="873"/>
      <c r="V325" s="873"/>
      <c r="W325" s="873"/>
      <c r="X325" s="873"/>
      <c r="Y325" s="873"/>
      <c r="Z325" s="873"/>
      <c r="AA325" s="873"/>
      <c r="AB325" s="873"/>
      <c r="AC325" s="873"/>
      <c r="AD325" s="873"/>
      <c r="AE325" s="873"/>
      <c r="AF325" s="873"/>
      <c r="AG325" s="873"/>
      <c r="AH325" s="873"/>
      <c r="AI325" s="873"/>
      <c r="AJ325" s="873"/>
      <c r="AK325" s="873"/>
      <c r="AL325" s="873"/>
      <c r="AM325" s="873"/>
      <c r="AN325" s="873"/>
      <c r="AO325" s="873"/>
      <c r="AP325" s="873"/>
      <c r="AQ325" s="873"/>
      <c r="AR325" s="873"/>
      <c r="AS325" s="873"/>
      <c r="AT325" s="873"/>
      <c r="AU325" s="873"/>
      <c r="AV325" s="873"/>
    </row>
    <row r="326" spans="1:48" ht="11.25" customHeight="1" x14ac:dyDescent="0.2">
      <c r="A326" s="873"/>
      <c r="B326" s="873"/>
      <c r="C326" s="873"/>
      <c r="D326" s="873"/>
      <c r="E326" s="873"/>
      <c r="F326" s="873"/>
      <c r="G326" s="873"/>
      <c r="H326" s="873"/>
      <c r="I326" s="873"/>
      <c r="J326" s="873"/>
      <c r="K326" s="873"/>
      <c r="L326" s="873"/>
      <c r="M326" s="873"/>
      <c r="N326" s="873"/>
      <c r="O326" s="873"/>
      <c r="P326" s="873"/>
      <c r="Q326" s="873"/>
      <c r="R326" s="873"/>
      <c r="S326" s="873"/>
      <c r="T326" s="873"/>
      <c r="U326" s="873"/>
      <c r="V326" s="873"/>
      <c r="W326" s="873"/>
      <c r="X326" s="873"/>
      <c r="Y326" s="873"/>
      <c r="Z326" s="873"/>
      <c r="AA326" s="873"/>
      <c r="AB326" s="873"/>
      <c r="AC326" s="873"/>
      <c r="AD326" s="873"/>
      <c r="AE326" s="873"/>
      <c r="AF326" s="873"/>
      <c r="AG326" s="873"/>
      <c r="AH326" s="873"/>
      <c r="AI326" s="873"/>
      <c r="AJ326" s="873"/>
      <c r="AK326" s="873"/>
      <c r="AL326" s="873"/>
      <c r="AM326" s="873"/>
      <c r="AN326" s="873"/>
      <c r="AO326" s="873"/>
      <c r="AP326" s="873"/>
      <c r="AQ326" s="873"/>
      <c r="AR326" s="873"/>
      <c r="AS326" s="873"/>
      <c r="AT326" s="873"/>
      <c r="AU326" s="873"/>
      <c r="AV326" s="873"/>
    </row>
    <row r="327" spans="1:48" ht="11.25" customHeight="1" x14ac:dyDescent="0.2">
      <c r="A327" s="873"/>
      <c r="B327" s="873"/>
      <c r="C327" s="873"/>
      <c r="D327" s="873"/>
      <c r="E327" s="873"/>
      <c r="F327" s="873"/>
      <c r="G327" s="873"/>
      <c r="H327" s="873"/>
      <c r="I327" s="873"/>
      <c r="J327" s="873"/>
      <c r="K327" s="873"/>
      <c r="L327" s="873"/>
      <c r="M327" s="873"/>
      <c r="N327" s="873"/>
      <c r="O327" s="873"/>
      <c r="P327" s="873"/>
      <c r="Q327" s="873"/>
      <c r="R327" s="873"/>
      <c r="S327" s="873"/>
      <c r="T327" s="873"/>
      <c r="U327" s="873"/>
      <c r="V327" s="873"/>
      <c r="W327" s="873"/>
      <c r="X327" s="873"/>
      <c r="Y327" s="873"/>
      <c r="Z327" s="873"/>
      <c r="AA327" s="873"/>
      <c r="AB327" s="873"/>
      <c r="AC327" s="873"/>
      <c r="AD327" s="873"/>
      <c r="AE327" s="873"/>
      <c r="AF327" s="873"/>
      <c r="AG327" s="873"/>
      <c r="AH327" s="873"/>
      <c r="AI327" s="873"/>
      <c r="AJ327" s="873"/>
      <c r="AK327" s="873"/>
      <c r="AL327" s="873"/>
      <c r="AM327" s="873"/>
      <c r="AN327" s="873"/>
      <c r="AO327" s="873"/>
      <c r="AP327" s="873"/>
      <c r="AQ327" s="873"/>
      <c r="AR327" s="873"/>
      <c r="AS327" s="873"/>
      <c r="AT327" s="873"/>
      <c r="AU327" s="873"/>
      <c r="AV327" s="873"/>
    </row>
    <row r="328" spans="1:48" ht="11.25" customHeight="1" x14ac:dyDescent="0.2">
      <c r="A328" s="873"/>
      <c r="B328" s="873"/>
      <c r="C328" s="873"/>
      <c r="D328" s="873"/>
      <c r="E328" s="873"/>
      <c r="F328" s="873"/>
      <c r="G328" s="873"/>
      <c r="H328" s="873"/>
      <c r="I328" s="873"/>
      <c r="J328" s="873"/>
      <c r="K328" s="873"/>
      <c r="L328" s="873"/>
      <c r="M328" s="873"/>
      <c r="N328" s="873"/>
      <c r="O328" s="873"/>
      <c r="P328" s="873"/>
      <c r="Q328" s="873"/>
      <c r="R328" s="873"/>
      <c r="S328" s="873"/>
      <c r="T328" s="873"/>
      <c r="U328" s="873"/>
      <c r="V328" s="873"/>
      <c r="W328" s="873"/>
      <c r="X328" s="873"/>
      <c r="Y328" s="873"/>
      <c r="Z328" s="873"/>
      <c r="AA328" s="873"/>
      <c r="AB328" s="873"/>
      <c r="AC328" s="873"/>
      <c r="AD328" s="873"/>
      <c r="AE328" s="873"/>
      <c r="AF328" s="873"/>
      <c r="AG328" s="873"/>
      <c r="AH328" s="873"/>
      <c r="AI328" s="873"/>
      <c r="AJ328" s="873"/>
      <c r="AK328" s="873"/>
      <c r="AL328" s="873"/>
      <c r="AM328" s="873"/>
      <c r="AN328" s="873"/>
      <c r="AO328" s="873"/>
      <c r="AP328" s="873"/>
      <c r="AQ328" s="873"/>
      <c r="AR328" s="873"/>
      <c r="AS328" s="873"/>
      <c r="AT328" s="873"/>
      <c r="AU328" s="873"/>
      <c r="AV328" s="873"/>
    </row>
    <row r="329" spans="1:48" ht="11.25" customHeight="1" x14ac:dyDescent="0.2">
      <c r="A329" s="873"/>
      <c r="B329" s="873"/>
      <c r="C329" s="873"/>
      <c r="D329" s="873"/>
      <c r="E329" s="873"/>
      <c r="F329" s="873"/>
      <c r="G329" s="873"/>
      <c r="H329" s="873"/>
      <c r="I329" s="873"/>
      <c r="J329" s="873"/>
      <c r="K329" s="873"/>
      <c r="L329" s="873"/>
      <c r="M329" s="873"/>
      <c r="N329" s="873"/>
      <c r="O329" s="873"/>
      <c r="P329" s="873"/>
      <c r="Q329" s="873"/>
      <c r="R329" s="873"/>
      <c r="S329" s="873"/>
      <c r="T329" s="873"/>
      <c r="U329" s="873"/>
      <c r="V329" s="873"/>
      <c r="W329" s="873"/>
      <c r="X329" s="873"/>
      <c r="Y329" s="873"/>
      <c r="Z329" s="873"/>
      <c r="AA329" s="873"/>
      <c r="AB329" s="873"/>
      <c r="AC329" s="873"/>
      <c r="AD329" s="873"/>
      <c r="AE329" s="873"/>
      <c r="AF329" s="873"/>
      <c r="AG329" s="873"/>
      <c r="AH329" s="873"/>
      <c r="AI329" s="873"/>
      <c r="AJ329" s="873"/>
      <c r="AK329" s="873"/>
      <c r="AL329" s="873"/>
      <c r="AM329" s="873"/>
      <c r="AN329" s="873"/>
      <c r="AO329" s="873"/>
      <c r="AP329" s="873"/>
      <c r="AQ329" s="873"/>
      <c r="AR329" s="873"/>
      <c r="AS329" s="873"/>
      <c r="AT329" s="873"/>
      <c r="AU329" s="873"/>
      <c r="AV329" s="873"/>
    </row>
    <row r="330" spans="1:48" ht="11.25" customHeight="1" x14ac:dyDescent="0.2">
      <c r="A330" s="873"/>
      <c r="B330" s="873"/>
      <c r="C330" s="873"/>
      <c r="D330" s="873"/>
      <c r="E330" s="873"/>
      <c r="F330" s="873"/>
      <c r="G330" s="873"/>
      <c r="H330" s="873"/>
      <c r="I330" s="873"/>
      <c r="J330" s="873"/>
      <c r="K330" s="873"/>
      <c r="L330" s="873"/>
      <c r="M330" s="873"/>
      <c r="N330" s="873"/>
      <c r="O330" s="873"/>
      <c r="P330" s="873"/>
      <c r="Q330" s="873"/>
      <c r="R330" s="873"/>
      <c r="S330" s="873"/>
      <c r="T330" s="873"/>
      <c r="U330" s="873"/>
      <c r="V330" s="873"/>
      <c r="W330" s="873"/>
      <c r="X330" s="873"/>
      <c r="Y330" s="873"/>
      <c r="Z330" s="873"/>
      <c r="AA330" s="873"/>
      <c r="AB330" s="873"/>
      <c r="AC330" s="873"/>
      <c r="AD330" s="873"/>
      <c r="AE330" s="873"/>
      <c r="AF330" s="873"/>
      <c r="AG330" s="873"/>
      <c r="AH330" s="873"/>
      <c r="AI330" s="873"/>
      <c r="AJ330" s="873"/>
      <c r="AK330" s="873"/>
      <c r="AL330" s="873"/>
      <c r="AM330" s="873"/>
      <c r="AN330" s="873"/>
      <c r="AO330" s="873"/>
      <c r="AP330" s="873"/>
      <c r="AQ330" s="873"/>
      <c r="AR330" s="873"/>
      <c r="AS330" s="873"/>
      <c r="AT330" s="873"/>
      <c r="AU330" s="873"/>
      <c r="AV330" s="873"/>
    </row>
    <row r="331" spans="1:48" ht="11.25" customHeight="1" x14ac:dyDescent="0.2">
      <c r="A331" s="873"/>
      <c r="B331" s="873"/>
      <c r="C331" s="873"/>
      <c r="D331" s="873"/>
      <c r="E331" s="873"/>
      <c r="F331" s="873"/>
      <c r="G331" s="873"/>
      <c r="H331" s="873"/>
      <c r="I331" s="873"/>
      <c r="J331" s="873"/>
      <c r="K331" s="873"/>
      <c r="L331" s="873"/>
      <c r="M331" s="873"/>
      <c r="N331" s="873"/>
      <c r="O331" s="873"/>
      <c r="P331" s="873"/>
      <c r="Q331" s="873"/>
      <c r="R331" s="873"/>
      <c r="S331" s="873"/>
      <c r="T331" s="873"/>
      <c r="U331" s="873"/>
      <c r="V331" s="873"/>
      <c r="W331" s="873"/>
      <c r="X331" s="873"/>
      <c r="Y331" s="873"/>
      <c r="Z331" s="873"/>
      <c r="AA331" s="873"/>
      <c r="AB331" s="873"/>
      <c r="AC331" s="873"/>
      <c r="AD331" s="873"/>
      <c r="AE331" s="873"/>
      <c r="AF331" s="873"/>
      <c r="AG331" s="873"/>
      <c r="AH331" s="873"/>
      <c r="AI331" s="873"/>
      <c r="AJ331" s="873"/>
      <c r="AK331" s="873"/>
      <c r="AL331" s="873"/>
      <c r="AM331" s="873"/>
      <c r="AN331" s="873"/>
      <c r="AO331" s="873"/>
      <c r="AP331" s="873"/>
      <c r="AQ331" s="873"/>
      <c r="AR331" s="873"/>
      <c r="AS331" s="873"/>
      <c r="AT331" s="873"/>
      <c r="AU331" s="873"/>
      <c r="AV331" s="873"/>
    </row>
    <row r="332" spans="1:48" ht="11.25" customHeight="1" x14ac:dyDescent="0.2">
      <c r="A332" s="873"/>
      <c r="B332" s="873"/>
      <c r="C332" s="873"/>
      <c r="D332" s="873"/>
      <c r="E332" s="873"/>
      <c r="F332" s="873"/>
      <c r="G332" s="873"/>
      <c r="H332" s="873"/>
      <c r="I332" s="873"/>
      <c r="J332" s="873"/>
      <c r="K332" s="873"/>
      <c r="L332" s="873"/>
      <c r="M332" s="873"/>
      <c r="N332" s="873"/>
      <c r="O332" s="873"/>
      <c r="P332" s="873"/>
      <c r="Q332" s="873"/>
      <c r="R332" s="873"/>
      <c r="S332" s="873"/>
      <c r="T332" s="873"/>
      <c r="U332" s="873"/>
      <c r="V332" s="873"/>
      <c r="W332" s="873"/>
      <c r="X332" s="873"/>
      <c r="Y332" s="873"/>
      <c r="Z332" s="873"/>
      <c r="AA332" s="873"/>
      <c r="AB332" s="873"/>
      <c r="AC332" s="873"/>
      <c r="AD332" s="873"/>
      <c r="AE332" s="873"/>
      <c r="AF332" s="873"/>
      <c r="AG332" s="873"/>
      <c r="AH332" s="873"/>
      <c r="AI332" s="873"/>
      <c r="AJ332" s="873"/>
      <c r="AK332" s="873"/>
      <c r="AL332" s="873"/>
      <c r="AM332" s="873"/>
      <c r="AN332" s="873"/>
      <c r="AO332" s="873"/>
      <c r="AP332" s="873"/>
      <c r="AQ332" s="873"/>
      <c r="AR332" s="873"/>
      <c r="AS332" s="873"/>
      <c r="AT332" s="873"/>
      <c r="AU332" s="873"/>
      <c r="AV332" s="873"/>
    </row>
    <row r="333" spans="1:48" ht="11.25" customHeight="1" x14ac:dyDescent="0.2">
      <c r="A333" s="873"/>
      <c r="B333" s="873"/>
      <c r="C333" s="873"/>
      <c r="D333" s="873"/>
      <c r="E333" s="873"/>
      <c r="F333" s="873"/>
      <c r="G333" s="873"/>
      <c r="H333" s="873"/>
      <c r="I333" s="873"/>
      <c r="J333" s="873"/>
      <c r="K333" s="873"/>
      <c r="L333" s="873"/>
      <c r="M333" s="873"/>
      <c r="N333" s="873"/>
      <c r="O333" s="873"/>
      <c r="P333" s="873"/>
      <c r="Q333" s="873"/>
      <c r="R333" s="873"/>
      <c r="S333" s="873"/>
      <c r="T333" s="873"/>
      <c r="U333" s="873"/>
      <c r="V333" s="873"/>
      <c r="W333" s="873"/>
      <c r="X333" s="873"/>
      <c r="Y333" s="873"/>
      <c r="Z333" s="873"/>
      <c r="AA333" s="873"/>
      <c r="AB333" s="873"/>
      <c r="AC333" s="873"/>
      <c r="AD333" s="873"/>
      <c r="AE333" s="873"/>
      <c r="AF333" s="873"/>
      <c r="AG333" s="873"/>
      <c r="AH333" s="873"/>
      <c r="AI333" s="873"/>
      <c r="AJ333" s="873"/>
      <c r="AK333" s="873"/>
      <c r="AL333" s="873"/>
      <c r="AM333" s="873"/>
      <c r="AN333" s="873"/>
      <c r="AO333" s="873"/>
      <c r="AP333" s="873"/>
      <c r="AQ333" s="873"/>
      <c r="AR333" s="873"/>
      <c r="AS333" s="873"/>
      <c r="AT333" s="873"/>
      <c r="AU333" s="873"/>
      <c r="AV333" s="873"/>
    </row>
    <row r="334" spans="1:48" ht="11.25" customHeight="1" x14ac:dyDescent="0.2">
      <c r="A334" s="873"/>
      <c r="B334" s="873"/>
      <c r="C334" s="873"/>
      <c r="D334" s="873"/>
      <c r="E334" s="873"/>
      <c r="F334" s="873"/>
      <c r="G334" s="873"/>
      <c r="H334" s="873"/>
      <c r="I334" s="873"/>
      <c r="J334" s="873"/>
      <c r="K334" s="873"/>
      <c r="L334" s="873"/>
      <c r="M334" s="873"/>
      <c r="N334" s="873"/>
      <c r="O334" s="873"/>
      <c r="P334" s="873"/>
      <c r="Q334" s="873"/>
      <c r="R334" s="873"/>
      <c r="S334" s="873"/>
      <c r="T334" s="873"/>
      <c r="U334" s="873"/>
      <c r="V334" s="873"/>
      <c r="W334" s="873"/>
      <c r="X334" s="873"/>
      <c r="Y334" s="873"/>
      <c r="Z334" s="873"/>
      <c r="AA334" s="873"/>
      <c r="AB334" s="873"/>
      <c r="AC334" s="873"/>
      <c r="AD334" s="873"/>
      <c r="AE334" s="873"/>
      <c r="AF334" s="873"/>
      <c r="AG334" s="873"/>
      <c r="AH334" s="873"/>
      <c r="AI334" s="873"/>
      <c r="AJ334" s="873"/>
      <c r="AK334" s="873"/>
      <c r="AL334" s="873"/>
      <c r="AM334" s="873"/>
      <c r="AN334" s="873"/>
      <c r="AO334" s="873"/>
      <c r="AP334" s="873"/>
      <c r="AQ334" s="873"/>
      <c r="AR334" s="873"/>
      <c r="AS334" s="873"/>
      <c r="AT334" s="873"/>
      <c r="AU334" s="873"/>
      <c r="AV334" s="873"/>
    </row>
    <row r="335" spans="1:48" ht="11.25" customHeight="1" x14ac:dyDescent="0.2">
      <c r="A335" s="873"/>
      <c r="B335" s="873"/>
      <c r="C335" s="873"/>
      <c r="D335" s="873"/>
      <c r="E335" s="873"/>
      <c r="F335" s="873"/>
      <c r="G335" s="873"/>
      <c r="H335" s="873"/>
      <c r="I335" s="873"/>
      <c r="J335" s="873"/>
      <c r="K335" s="873"/>
      <c r="L335" s="873"/>
      <c r="M335" s="873"/>
      <c r="N335" s="873"/>
      <c r="O335" s="873"/>
      <c r="P335" s="873"/>
      <c r="Q335" s="873"/>
      <c r="R335" s="873"/>
      <c r="S335" s="873"/>
      <c r="T335" s="873"/>
      <c r="U335" s="873"/>
      <c r="V335" s="873"/>
      <c r="W335" s="873"/>
      <c r="X335" s="873"/>
      <c r="Y335" s="873"/>
      <c r="Z335" s="873"/>
      <c r="AA335" s="873"/>
      <c r="AB335" s="873"/>
      <c r="AC335" s="873"/>
      <c r="AD335" s="873"/>
      <c r="AE335" s="873"/>
      <c r="AF335" s="873"/>
      <c r="AG335" s="873"/>
      <c r="AH335" s="873"/>
      <c r="AI335" s="873"/>
      <c r="AJ335" s="873"/>
      <c r="AK335" s="873"/>
      <c r="AL335" s="873"/>
      <c r="AM335" s="873"/>
      <c r="AN335" s="873"/>
      <c r="AO335" s="873"/>
      <c r="AP335" s="873"/>
      <c r="AQ335" s="873"/>
      <c r="AR335" s="873"/>
      <c r="AS335" s="873"/>
      <c r="AT335" s="873"/>
      <c r="AU335" s="873"/>
      <c r="AV335" s="873"/>
    </row>
    <row r="336" spans="1:48" ht="11.25" customHeight="1" x14ac:dyDescent="0.2">
      <c r="A336" s="873"/>
      <c r="B336" s="873"/>
      <c r="C336" s="873"/>
      <c r="D336" s="873"/>
      <c r="E336" s="873"/>
      <c r="F336" s="873"/>
      <c r="G336" s="873"/>
      <c r="H336" s="873"/>
      <c r="I336" s="873"/>
      <c r="J336" s="873"/>
      <c r="K336" s="873"/>
      <c r="L336" s="873"/>
      <c r="M336" s="873"/>
      <c r="N336" s="873"/>
      <c r="O336" s="873"/>
      <c r="P336" s="873"/>
      <c r="Q336" s="873"/>
      <c r="R336" s="873"/>
      <c r="S336" s="873"/>
      <c r="T336" s="873"/>
      <c r="U336" s="873"/>
      <c r="V336" s="873"/>
      <c r="W336" s="873"/>
      <c r="X336" s="873"/>
      <c r="Y336" s="873"/>
      <c r="Z336" s="873"/>
      <c r="AA336" s="873"/>
      <c r="AB336" s="873"/>
      <c r="AC336" s="873"/>
      <c r="AD336" s="873"/>
      <c r="AE336" s="873"/>
      <c r="AF336" s="873"/>
      <c r="AG336" s="873"/>
      <c r="AH336" s="873"/>
      <c r="AI336" s="873"/>
      <c r="AJ336" s="873"/>
      <c r="AK336" s="873"/>
      <c r="AL336" s="873"/>
      <c r="AM336" s="873"/>
      <c r="AN336" s="873"/>
      <c r="AO336" s="873"/>
      <c r="AP336" s="873"/>
      <c r="AQ336" s="873"/>
      <c r="AR336" s="873"/>
      <c r="AS336" s="873"/>
      <c r="AT336" s="873"/>
      <c r="AU336" s="873"/>
      <c r="AV336" s="873"/>
    </row>
    <row r="337" spans="1:48" ht="11.25" customHeight="1" x14ac:dyDescent="0.2">
      <c r="A337" s="873"/>
      <c r="B337" s="873"/>
      <c r="C337" s="873"/>
      <c r="D337" s="873"/>
      <c r="E337" s="873"/>
      <c r="F337" s="873"/>
      <c r="G337" s="873"/>
      <c r="H337" s="873"/>
      <c r="I337" s="873"/>
      <c r="J337" s="873"/>
      <c r="K337" s="873"/>
      <c r="L337" s="873"/>
      <c r="M337" s="873"/>
      <c r="N337" s="873"/>
      <c r="O337" s="873"/>
      <c r="P337" s="873"/>
      <c r="Q337" s="873"/>
      <c r="R337" s="873"/>
      <c r="S337" s="873"/>
      <c r="T337" s="873"/>
      <c r="U337" s="873"/>
      <c r="V337" s="873"/>
      <c r="W337" s="873"/>
      <c r="X337" s="873"/>
      <c r="Y337" s="873"/>
      <c r="Z337" s="873"/>
      <c r="AA337" s="873"/>
      <c r="AB337" s="873"/>
      <c r="AC337" s="873"/>
      <c r="AD337" s="873"/>
      <c r="AE337" s="873"/>
      <c r="AF337" s="873"/>
      <c r="AG337" s="873"/>
      <c r="AH337" s="873"/>
      <c r="AI337" s="873"/>
      <c r="AJ337" s="873"/>
      <c r="AK337" s="873"/>
      <c r="AL337" s="873"/>
      <c r="AM337" s="873"/>
      <c r="AN337" s="873"/>
      <c r="AO337" s="873"/>
      <c r="AP337" s="873"/>
      <c r="AQ337" s="873"/>
      <c r="AR337" s="873"/>
      <c r="AS337" s="873"/>
      <c r="AT337" s="873"/>
      <c r="AU337" s="873"/>
      <c r="AV337" s="873"/>
    </row>
    <row r="338" spans="1:48" ht="11.25" customHeight="1" x14ac:dyDescent="0.2">
      <c r="A338" s="873"/>
      <c r="B338" s="873"/>
      <c r="C338" s="873"/>
      <c r="D338" s="873"/>
      <c r="E338" s="873"/>
      <c r="F338" s="873"/>
      <c r="G338" s="873"/>
      <c r="H338" s="873"/>
      <c r="I338" s="873"/>
      <c r="J338" s="873"/>
      <c r="K338" s="873"/>
      <c r="L338" s="873"/>
      <c r="M338" s="873"/>
      <c r="N338" s="873"/>
      <c r="O338" s="873"/>
      <c r="P338" s="873"/>
      <c r="Q338" s="873"/>
      <c r="R338" s="873"/>
      <c r="S338" s="873"/>
      <c r="T338" s="873"/>
      <c r="U338" s="873"/>
      <c r="V338" s="873"/>
      <c r="W338" s="873"/>
      <c r="X338" s="873"/>
      <c r="Y338" s="873"/>
      <c r="Z338" s="873"/>
      <c r="AA338" s="873"/>
      <c r="AB338" s="873"/>
      <c r="AC338" s="873"/>
      <c r="AD338" s="873"/>
      <c r="AE338" s="873"/>
      <c r="AF338" s="873"/>
      <c r="AG338" s="873"/>
      <c r="AH338" s="873"/>
      <c r="AI338" s="873"/>
      <c r="AJ338" s="873"/>
      <c r="AK338" s="873"/>
      <c r="AL338" s="873"/>
      <c r="AM338" s="873"/>
      <c r="AN338" s="873"/>
      <c r="AO338" s="873"/>
      <c r="AP338" s="873"/>
      <c r="AQ338" s="873"/>
      <c r="AR338" s="873"/>
      <c r="AS338" s="873"/>
      <c r="AT338" s="873"/>
      <c r="AU338" s="873"/>
      <c r="AV338" s="873"/>
    </row>
    <row r="339" spans="1:48" ht="11.25" customHeight="1" x14ac:dyDescent="0.2">
      <c r="A339" s="873"/>
      <c r="B339" s="873"/>
      <c r="C339" s="873"/>
      <c r="D339" s="873"/>
      <c r="E339" s="873"/>
      <c r="F339" s="873"/>
      <c r="G339" s="873"/>
      <c r="H339" s="873"/>
      <c r="I339" s="873"/>
      <c r="J339" s="873"/>
      <c r="K339" s="873"/>
      <c r="L339" s="873"/>
      <c r="M339" s="873"/>
      <c r="N339" s="873"/>
      <c r="O339" s="873"/>
      <c r="P339" s="873"/>
      <c r="Q339" s="873"/>
      <c r="R339" s="873"/>
      <c r="S339" s="873"/>
      <c r="T339" s="873"/>
      <c r="U339" s="873"/>
      <c r="V339" s="873"/>
      <c r="W339" s="873"/>
      <c r="X339" s="873"/>
      <c r="Y339" s="873"/>
      <c r="Z339" s="873"/>
      <c r="AA339" s="873"/>
      <c r="AB339" s="873"/>
      <c r="AC339" s="873"/>
      <c r="AD339" s="873"/>
      <c r="AE339" s="873"/>
      <c r="AF339" s="873"/>
      <c r="AG339" s="873"/>
      <c r="AH339" s="873"/>
      <c r="AI339" s="873"/>
      <c r="AJ339" s="873"/>
      <c r="AK339" s="873"/>
      <c r="AL339" s="873"/>
      <c r="AM339" s="873"/>
      <c r="AN339" s="873"/>
      <c r="AO339" s="873"/>
      <c r="AP339" s="873"/>
      <c r="AQ339" s="873"/>
      <c r="AR339" s="873"/>
      <c r="AS339" s="873"/>
      <c r="AT339" s="873"/>
      <c r="AU339" s="873"/>
      <c r="AV339" s="873"/>
    </row>
    <row r="340" spans="1:48" ht="11.25" customHeight="1" x14ac:dyDescent="0.2">
      <c r="A340" s="873"/>
      <c r="B340" s="873"/>
      <c r="C340" s="873"/>
      <c r="D340" s="873"/>
      <c r="E340" s="873"/>
      <c r="F340" s="873"/>
      <c r="G340" s="873"/>
      <c r="H340" s="873"/>
      <c r="I340" s="873"/>
      <c r="J340" s="873"/>
      <c r="K340" s="873"/>
      <c r="L340" s="873"/>
      <c r="M340" s="873"/>
      <c r="N340" s="873"/>
      <c r="O340" s="873"/>
      <c r="P340" s="873"/>
      <c r="Q340" s="873"/>
      <c r="R340" s="873"/>
      <c r="S340" s="873"/>
      <c r="T340" s="873"/>
      <c r="U340" s="873"/>
      <c r="V340" s="873"/>
      <c r="W340" s="873"/>
      <c r="X340" s="873"/>
      <c r="Y340" s="873"/>
      <c r="Z340" s="873"/>
      <c r="AA340" s="873"/>
      <c r="AB340" s="873"/>
      <c r="AC340" s="873"/>
      <c r="AD340" s="873"/>
      <c r="AE340" s="873"/>
      <c r="AF340" s="873"/>
      <c r="AG340" s="873"/>
      <c r="AH340" s="873"/>
      <c r="AI340" s="873"/>
      <c r="AJ340" s="873"/>
      <c r="AK340" s="873"/>
      <c r="AL340" s="873"/>
      <c r="AM340" s="873"/>
      <c r="AN340" s="873"/>
      <c r="AO340" s="873"/>
      <c r="AP340" s="873"/>
      <c r="AQ340" s="873"/>
      <c r="AR340" s="873"/>
      <c r="AS340" s="873"/>
      <c r="AT340" s="873"/>
      <c r="AU340" s="873"/>
      <c r="AV340" s="873"/>
    </row>
    <row r="341" spans="1:48" ht="11.25" customHeight="1" x14ac:dyDescent="0.2">
      <c r="A341" s="873"/>
      <c r="B341" s="873"/>
      <c r="C341" s="873"/>
      <c r="D341" s="873"/>
      <c r="E341" s="873"/>
      <c r="F341" s="873"/>
      <c r="G341" s="873"/>
      <c r="H341" s="873"/>
      <c r="I341" s="873"/>
      <c r="J341" s="873"/>
      <c r="K341" s="873"/>
      <c r="L341" s="873"/>
      <c r="M341" s="873"/>
      <c r="N341" s="873"/>
      <c r="O341" s="873"/>
      <c r="P341" s="873"/>
      <c r="Q341" s="873"/>
      <c r="R341" s="873"/>
      <c r="S341" s="873"/>
      <c r="T341" s="873"/>
      <c r="U341" s="873"/>
      <c r="V341" s="873"/>
      <c r="W341" s="873"/>
      <c r="X341" s="873"/>
      <c r="Y341" s="873"/>
      <c r="Z341" s="873"/>
      <c r="AA341" s="873"/>
      <c r="AB341" s="873"/>
      <c r="AC341" s="873"/>
      <c r="AD341" s="873"/>
      <c r="AE341" s="873"/>
      <c r="AF341" s="873"/>
      <c r="AG341" s="873"/>
      <c r="AH341" s="873"/>
      <c r="AI341" s="873"/>
      <c r="AJ341" s="873"/>
      <c r="AK341" s="873"/>
      <c r="AL341" s="873"/>
      <c r="AM341" s="873"/>
      <c r="AN341" s="873"/>
      <c r="AO341" s="873"/>
      <c r="AP341" s="873"/>
      <c r="AQ341" s="873"/>
      <c r="AR341" s="873"/>
      <c r="AS341" s="873"/>
      <c r="AT341" s="873"/>
      <c r="AU341" s="873"/>
      <c r="AV341" s="873"/>
    </row>
    <row r="342" spans="1:48" ht="11.25" customHeight="1" x14ac:dyDescent="0.2">
      <c r="A342" s="873"/>
      <c r="B342" s="873"/>
      <c r="C342" s="873"/>
      <c r="D342" s="873"/>
      <c r="E342" s="873"/>
      <c r="F342" s="873"/>
      <c r="G342" s="873"/>
      <c r="H342" s="873"/>
      <c r="I342" s="873"/>
      <c r="J342" s="873"/>
      <c r="K342" s="873"/>
      <c r="L342" s="873"/>
      <c r="M342" s="873"/>
      <c r="N342" s="873"/>
      <c r="O342" s="873"/>
      <c r="P342" s="873"/>
      <c r="Q342" s="873"/>
      <c r="R342" s="873"/>
      <c r="S342" s="873"/>
      <c r="T342" s="873"/>
      <c r="U342" s="873"/>
      <c r="V342" s="873"/>
      <c r="W342" s="873"/>
      <c r="X342" s="873"/>
      <c r="Y342" s="873"/>
      <c r="Z342" s="873"/>
      <c r="AA342" s="873"/>
      <c r="AB342" s="873"/>
      <c r="AC342" s="873"/>
      <c r="AD342" s="873"/>
      <c r="AE342" s="873"/>
      <c r="AF342" s="873"/>
      <c r="AG342" s="873"/>
      <c r="AH342" s="873"/>
      <c r="AI342" s="873"/>
      <c r="AJ342" s="873"/>
      <c r="AK342" s="873"/>
      <c r="AL342" s="873"/>
      <c r="AM342" s="873"/>
      <c r="AN342" s="873"/>
      <c r="AO342" s="873"/>
      <c r="AP342" s="873"/>
      <c r="AQ342" s="873"/>
      <c r="AR342" s="873"/>
      <c r="AS342" s="873"/>
      <c r="AT342" s="873"/>
      <c r="AU342" s="873"/>
      <c r="AV342" s="873"/>
    </row>
    <row r="343" spans="1:48" ht="11.25" customHeight="1" x14ac:dyDescent="0.2">
      <c r="A343" s="873"/>
      <c r="B343" s="873"/>
      <c r="C343" s="873"/>
      <c r="D343" s="873"/>
      <c r="E343" s="873"/>
      <c r="F343" s="873"/>
      <c r="G343" s="873"/>
      <c r="H343" s="873"/>
      <c r="I343" s="873"/>
      <c r="J343" s="873"/>
      <c r="K343" s="873"/>
      <c r="L343" s="873"/>
      <c r="M343" s="873"/>
      <c r="N343" s="873"/>
      <c r="O343" s="873"/>
      <c r="P343" s="873"/>
      <c r="Q343" s="873"/>
      <c r="R343" s="873"/>
      <c r="S343" s="873"/>
      <c r="T343" s="873"/>
      <c r="U343" s="873"/>
      <c r="V343" s="873"/>
      <c r="W343" s="873"/>
      <c r="X343" s="873"/>
      <c r="Y343" s="873"/>
      <c r="Z343" s="873"/>
      <c r="AA343" s="873"/>
      <c r="AB343" s="873"/>
      <c r="AC343" s="873"/>
      <c r="AD343" s="873"/>
      <c r="AE343" s="873"/>
      <c r="AF343" s="873"/>
      <c r="AG343" s="873"/>
      <c r="AH343" s="873"/>
      <c r="AI343" s="873"/>
      <c r="AJ343" s="873"/>
      <c r="AK343" s="873"/>
      <c r="AL343" s="873"/>
      <c r="AM343" s="873"/>
      <c r="AN343" s="873"/>
      <c r="AO343" s="873"/>
      <c r="AP343" s="873"/>
      <c r="AQ343" s="873"/>
      <c r="AR343" s="873"/>
      <c r="AS343" s="873"/>
      <c r="AT343" s="873"/>
      <c r="AU343" s="873"/>
      <c r="AV343" s="873"/>
    </row>
    <row r="344" spans="1:48" ht="11.25" customHeight="1" x14ac:dyDescent="0.2">
      <c r="A344" s="873"/>
      <c r="B344" s="873"/>
      <c r="C344" s="873"/>
      <c r="D344" s="873"/>
      <c r="E344" s="873"/>
      <c r="F344" s="873"/>
      <c r="G344" s="873"/>
      <c r="H344" s="873"/>
      <c r="I344" s="873"/>
      <c r="J344" s="873"/>
      <c r="K344" s="873"/>
      <c r="L344" s="873"/>
      <c r="M344" s="873"/>
      <c r="N344" s="873"/>
      <c r="O344" s="873"/>
      <c r="P344" s="873"/>
      <c r="Q344" s="873"/>
      <c r="R344" s="873"/>
      <c r="S344" s="873"/>
      <c r="T344" s="873"/>
      <c r="U344" s="873"/>
      <c r="V344" s="873"/>
      <c r="W344" s="873"/>
      <c r="X344" s="873"/>
      <c r="Y344" s="873"/>
      <c r="Z344" s="873"/>
      <c r="AA344" s="873"/>
      <c r="AB344" s="873"/>
      <c r="AC344" s="873"/>
      <c r="AD344" s="873"/>
      <c r="AE344" s="873"/>
      <c r="AF344" s="873"/>
      <c r="AG344" s="873"/>
      <c r="AH344" s="873"/>
      <c r="AI344" s="873"/>
      <c r="AJ344" s="873"/>
      <c r="AK344" s="873"/>
      <c r="AL344" s="873"/>
      <c r="AM344" s="873"/>
      <c r="AN344" s="873"/>
      <c r="AO344" s="873"/>
      <c r="AP344" s="873"/>
      <c r="AQ344" s="873"/>
      <c r="AR344" s="873"/>
      <c r="AS344" s="873"/>
      <c r="AT344" s="873"/>
      <c r="AU344" s="873"/>
      <c r="AV344" s="873"/>
    </row>
    <row r="345" spans="1:48" ht="11.25" customHeight="1" x14ac:dyDescent="0.2">
      <c r="A345" s="873"/>
      <c r="B345" s="873"/>
      <c r="C345" s="873"/>
      <c r="D345" s="873"/>
      <c r="E345" s="873"/>
      <c r="F345" s="873"/>
      <c r="G345" s="873"/>
      <c r="H345" s="873"/>
      <c r="I345" s="873"/>
      <c r="J345" s="873"/>
      <c r="K345" s="873"/>
      <c r="L345" s="873"/>
      <c r="M345" s="873"/>
      <c r="N345" s="873"/>
      <c r="O345" s="873"/>
      <c r="P345" s="873"/>
      <c r="Q345" s="873"/>
      <c r="R345" s="873"/>
      <c r="S345" s="873"/>
      <c r="T345" s="873"/>
      <c r="U345" s="873"/>
      <c r="V345" s="873"/>
      <c r="W345" s="873"/>
      <c r="X345" s="873"/>
      <c r="Y345" s="873"/>
      <c r="Z345" s="873"/>
      <c r="AA345" s="873"/>
      <c r="AB345" s="873"/>
      <c r="AC345" s="873"/>
      <c r="AD345" s="873"/>
      <c r="AE345" s="873"/>
      <c r="AF345" s="873"/>
      <c r="AG345" s="873"/>
      <c r="AH345" s="873"/>
      <c r="AI345" s="873"/>
      <c r="AJ345" s="873"/>
      <c r="AK345" s="873"/>
      <c r="AL345" s="873"/>
      <c r="AM345" s="873"/>
      <c r="AN345" s="873"/>
      <c r="AO345" s="873"/>
      <c r="AP345" s="873"/>
      <c r="AQ345" s="873"/>
      <c r="AR345" s="873"/>
      <c r="AS345" s="873"/>
      <c r="AT345" s="873"/>
      <c r="AU345" s="873"/>
      <c r="AV345" s="873"/>
    </row>
    <row r="346" spans="1:48" ht="11.25" customHeight="1" x14ac:dyDescent="0.2">
      <c r="A346" s="873"/>
      <c r="B346" s="873"/>
      <c r="C346" s="873"/>
      <c r="D346" s="873"/>
      <c r="E346" s="873"/>
      <c r="F346" s="873"/>
      <c r="G346" s="873"/>
      <c r="H346" s="873"/>
      <c r="I346" s="873"/>
      <c r="J346" s="873"/>
      <c r="K346" s="873"/>
      <c r="L346" s="873"/>
      <c r="M346" s="873"/>
      <c r="N346" s="873"/>
      <c r="O346" s="873"/>
      <c r="P346" s="873"/>
      <c r="Q346" s="873"/>
      <c r="R346" s="873"/>
      <c r="S346" s="873"/>
      <c r="T346" s="873"/>
      <c r="U346" s="873"/>
      <c r="V346" s="873"/>
      <c r="W346" s="873"/>
      <c r="X346" s="873"/>
      <c r="Y346" s="873"/>
      <c r="Z346" s="873"/>
      <c r="AA346" s="873"/>
      <c r="AB346" s="873"/>
      <c r="AC346" s="873"/>
      <c r="AD346" s="873"/>
      <c r="AE346" s="873"/>
      <c r="AF346" s="873"/>
      <c r="AG346" s="873"/>
      <c r="AH346" s="873"/>
      <c r="AI346" s="873"/>
      <c r="AJ346" s="873"/>
      <c r="AK346" s="873"/>
      <c r="AL346" s="873"/>
      <c r="AM346" s="873"/>
      <c r="AN346" s="873"/>
      <c r="AO346" s="873"/>
      <c r="AP346" s="873"/>
      <c r="AQ346" s="873"/>
      <c r="AR346" s="873"/>
      <c r="AS346" s="873"/>
      <c r="AT346" s="873"/>
      <c r="AU346" s="873"/>
      <c r="AV346" s="873"/>
    </row>
    <row r="347" spans="1:48" ht="11.25" customHeight="1" x14ac:dyDescent="0.2">
      <c r="A347" s="873"/>
      <c r="B347" s="873"/>
      <c r="C347" s="873"/>
      <c r="D347" s="873"/>
      <c r="E347" s="873"/>
      <c r="F347" s="873"/>
      <c r="G347" s="873"/>
      <c r="H347" s="873"/>
      <c r="I347" s="873"/>
      <c r="J347" s="873"/>
      <c r="K347" s="873"/>
      <c r="L347" s="873"/>
      <c r="M347" s="873"/>
      <c r="N347" s="873"/>
      <c r="O347" s="873"/>
      <c r="P347" s="873"/>
      <c r="Q347" s="873"/>
      <c r="R347" s="873"/>
      <c r="S347" s="873"/>
      <c r="T347" s="873"/>
      <c r="U347" s="873"/>
      <c r="V347" s="873"/>
      <c r="W347" s="873"/>
      <c r="X347" s="873"/>
      <c r="Y347" s="873"/>
      <c r="Z347" s="873"/>
      <c r="AA347" s="873"/>
      <c r="AB347" s="873"/>
      <c r="AC347" s="873"/>
      <c r="AD347" s="873"/>
      <c r="AE347" s="873"/>
      <c r="AF347" s="873"/>
      <c r="AG347" s="873"/>
      <c r="AH347" s="873"/>
      <c r="AI347" s="873"/>
      <c r="AJ347" s="873"/>
      <c r="AK347" s="873"/>
      <c r="AL347" s="873"/>
      <c r="AM347" s="873"/>
      <c r="AN347" s="873"/>
      <c r="AO347" s="873"/>
      <c r="AP347" s="873"/>
      <c r="AQ347" s="873"/>
      <c r="AR347" s="873"/>
      <c r="AS347" s="873"/>
      <c r="AT347" s="873"/>
      <c r="AU347" s="873"/>
      <c r="AV347" s="873"/>
    </row>
    <row r="348" spans="1:48" ht="11.25" customHeight="1" x14ac:dyDescent="0.2">
      <c r="A348" s="873"/>
      <c r="B348" s="873"/>
      <c r="C348" s="873"/>
      <c r="D348" s="873"/>
      <c r="E348" s="873"/>
      <c r="F348" s="873"/>
      <c r="G348" s="873"/>
      <c r="H348" s="873"/>
      <c r="I348" s="873"/>
      <c r="J348" s="873"/>
      <c r="K348" s="873"/>
      <c r="L348" s="873"/>
      <c r="M348" s="873"/>
      <c r="N348" s="873"/>
      <c r="O348" s="873"/>
      <c r="P348" s="873"/>
      <c r="Q348" s="873"/>
      <c r="R348" s="873"/>
      <c r="S348" s="873"/>
      <c r="T348" s="873"/>
      <c r="U348" s="873"/>
      <c r="V348" s="873"/>
      <c r="W348" s="873"/>
      <c r="X348" s="873"/>
      <c r="Y348" s="873"/>
      <c r="Z348" s="873"/>
      <c r="AA348" s="873"/>
      <c r="AB348" s="873"/>
      <c r="AC348" s="873"/>
      <c r="AD348" s="873"/>
      <c r="AE348" s="873"/>
      <c r="AF348" s="873"/>
      <c r="AG348" s="873"/>
      <c r="AH348" s="873"/>
      <c r="AI348" s="873"/>
      <c r="AJ348" s="873"/>
      <c r="AK348" s="873"/>
      <c r="AL348" s="873"/>
      <c r="AM348" s="873"/>
      <c r="AN348" s="873"/>
      <c r="AO348" s="873"/>
      <c r="AP348" s="873"/>
      <c r="AQ348" s="873"/>
      <c r="AR348" s="873"/>
      <c r="AS348" s="873"/>
      <c r="AT348" s="873"/>
      <c r="AU348" s="873"/>
      <c r="AV348" s="873"/>
    </row>
    <row r="349" spans="1:48" ht="11.25" customHeight="1" x14ac:dyDescent="0.2">
      <c r="A349" s="873"/>
      <c r="B349" s="873"/>
      <c r="C349" s="873"/>
      <c r="D349" s="873"/>
      <c r="E349" s="873"/>
      <c r="F349" s="873"/>
      <c r="G349" s="873"/>
      <c r="H349" s="873"/>
      <c r="I349" s="873"/>
      <c r="J349" s="873"/>
      <c r="K349" s="873"/>
      <c r="L349" s="873"/>
      <c r="M349" s="873"/>
      <c r="N349" s="873"/>
      <c r="O349" s="873"/>
      <c r="P349" s="873"/>
      <c r="Q349" s="873"/>
      <c r="R349" s="873"/>
      <c r="S349" s="873"/>
      <c r="T349" s="873"/>
      <c r="U349" s="873"/>
      <c r="V349" s="873"/>
      <c r="W349" s="873"/>
      <c r="X349" s="873"/>
      <c r="Y349" s="873"/>
      <c r="Z349" s="873"/>
      <c r="AA349" s="873"/>
      <c r="AB349" s="873"/>
      <c r="AC349" s="873"/>
      <c r="AD349" s="873"/>
      <c r="AE349" s="873"/>
      <c r="AF349" s="873"/>
      <c r="AG349" s="873"/>
      <c r="AH349" s="873"/>
      <c r="AI349" s="873"/>
      <c r="AJ349" s="873"/>
      <c r="AK349" s="873"/>
      <c r="AL349" s="873"/>
      <c r="AM349" s="873"/>
      <c r="AN349" s="873"/>
      <c r="AO349" s="873"/>
      <c r="AP349" s="873"/>
      <c r="AQ349" s="873"/>
      <c r="AR349" s="873"/>
      <c r="AS349" s="873"/>
      <c r="AT349" s="873"/>
      <c r="AU349" s="873"/>
      <c r="AV349" s="873"/>
    </row>
    <row r="350" spans="1:48" ht="11.25" customHeight="1" x14ac:dyDescent="0.2">
      <c r="A350" s="873"/>
      <c r="B350" s="873"/>
      <c r="C350" s="873"/>
      <c r="D350" s="873"/>
      <c r="E350" s="873"/>
      <c r="F350" s="873"/>
      <c r="G350" s="873"/>
      <c r="H350" s="873"/>
      <c r="I350" s="873"/>
      <c r="J350" s="873"/>
      <c r="K350" s="873"/>
      <c r="L350" s="873"/>
      <c r="M350" s="873"/>
      <c r="N350" s="873"/>
      <c r="O350" s="873"/>
      <c r="P350" s="873"/>
      <c r="Q350" s="873"/>
      <c r="R350" s="873"/>
      <c r="S350" s="873"/>
      <c r="T350" s="873"/>
      <c r="U350" s="873"/>
      <c r="V350" s="873"/>
      <c r="W350" s="873"/>
      <c r="X350" s="873"/>
      <c r="Y350" s="873"/>
      <c r="Z350" s="873"/>
      <c r="AA350" s="873"/>
      <c r="AB350" s="873"/>
      <c r="AC350" s="873"/>
      <c r="AD350" s="873"/>
      <c r="AE350" s="873"/>
      <c r="AF350" s="873"/>
      <c r="AG350" s="873"/>
      <c r="AH350" s="873"/>
      <c r="AI350" s="873"/>
      <c r="AJ350" s="873"/>
      <c r="AK350" s="873"/>
      <c r="AL350" s="873"/>
      <c r="AM350" s="873"/>
      <c r="AN350" s="873"/>
      <c r="AO350" s="873"/>
      <c r="AP350" s="873"/>
      <c r="AQ350" s="873"/>
      <c r="AR350" s="873"/>
      <c r="AS350" s="873"/>
      <c r="AT350" s="873"/>
      <c r="AU350" s="873"/>
      <c r="AV350" s="873"/>
    </row>
    <row r="351" spans="1:48" ht="11.25" customHeight="1" x14ac:dyDescent="0.2">
      <c r="A351" s="873"/>
      <c r="B351" s="873"/>
      <c r="C351" s="873"/>
      <c r="D351" s="873"/>
      <c r="E351" s="873"/>
      <c r="F351" s="873"/>
      <c r="G351" s="873"/>
      <c r="H351" s="873"/>
      <c r="I351" s="873"/>
      <c r="J351" s="873"/>
      <c r="K351" s="873"/>
      <c r="L351" s="873"/>
      <c r="M351" s="873"/>
      <c r="N351" s="873"/>
      <c r="O351" s="873"/>
      <c r="P351" s="873"/>
      <c r="Q351" s="873"/>
      <c r="R351" s="873"/>
      <c r="S351" s="873"/>
      <c r="T351" s="873"/>
      <c r="U351" s="873"/>
      <c r="V351" s="873"/>
      <c r="W351" s="873"/>
      <c r="X351" s="873"/>
      <c r="Y351" s="873"/>
      <c r="Z351" s="873"/>
      <c r="AA351" s="873"/>
      <c r="AB351" s="873"/>
      <c r="AC351" s="873"/>
      <c r="AD351" s="873"/>
      <c r="AE351" s="873"/>
      <c r="AF351" s="873"/>
      <c r="AG351" s="873"/>
      <c r="AH351" s="873"/>
      <c r="AI351" s="873"/>
      <c r="AJ351" s="873"/>
      <c r="AK351" s="873"/>
      <c r="AL351" s="873"/>
      <c r="AM351" s="873"/>
      <c r="AN351" s="873"/>
      <c r="AO351" s="873"/>
      <c r="AP351" s="873"/>
      <c r="AQ351" s="873"/>
      <c r="AR351" s="873"/>
      <c r="AS351" s="873"/>
      <c r="AT351" s="873"/>
      <c r="AU351" s="873"/>
      <c r="AV351" s="873"/>
    </row>
    <row r="352" spans="1:48" ht="11.25" customHeight="1" x14ac:dyDescent="0.2">
      <c r="A352" s="873"/>
      <c r="B352" s="873"/>
      <c r="C352" s="873"/>
      <c r="D352" s="873"/>
      <c r="E352" s="873"/>
      <c r="F352" s="873"/>
      <c r="G352" s="873"/>
      <c r="H352" s="873"/>
      <c r="I352" s="873"/>
      <c r="J352" s="873"/>
      <c r="K352" s="873"/>
      <c r="L352" s="873"/>
      <c r="M352" s="873"/>
      <c r="N352" s="873"/>
      <c r="O352" s="873"/>
      <c r="P352" s="873"/>
      <c r="Q352" s="873"/>
      <c r="R352" s="873"/>
      <c r="S352" s="873"/>
      <c r="T352" s="873"/>
      <c r="U352" s="873"/>
      <c r="V352" s="873"/>
      <c r="W352" s="873"/>
      <c r="X352" s="873"/>
      <c r="Y352" s="873"/>
      <c r="Z352" s="873"/>
      <c r="AA352" s="873"/>
      <c r="AB352" s="873"/>
      <c r="AC352" s="873"/>
      <c r="AD352" s="873"/>
      <c r="AE352" s="873"/>
      <c r="AF352" s="873"/>
      <c r="AG352" s="873"/>
      <c r="AH352" s="873"/>
      <c r="AI352" s="873"/>
      <c r="AJ352" s="873"/>
      <c r="AK352" s="873"/>
      <c r="AL352" s="873"/>
      <c r="AM352" s="873"/>
      <c r="AN352" s="873"/>
      <c r="AO352" s="873"/>
      <c r="AP352" s="873"/>
      <c r="AQ352" s="873"/>
      <c r="AR352" s="873"/>
      <c r="AS352" s="873"/>
      <c r="AT352" s="873"/>
      <c r="AU352" s="873"/>
      <c r="AV352" s="873"/>
    </row>
    <row r="353" spans="1:48" ht="11.25" customHeight="1" x14ac:dyDescent="0.2">
      <c r="A353" s="873"/>
      <c r="B353" s="873"/>
      <c r="C353" s="873"/>
      <c r="D353" s="873"/>
      <c r="E353" s="873"/>
      <c r="F353" s="873"/>
      <c r="G353" s="873"/>
      <c r="H353" s="873"/>
      <c r="I353" s="873"/>
      <c r="J353" s="873"/>
      <c r="K353" s="873"/>
      <c r="L353" s="873"/>
      <c r="M353" s="873"/>
      <c r="N353" s="873"/>
      <c r="O353" s="873"/>
      <c r="P353" s="873"/>
      <c r="Q353" s="873"/>
      <c r="R353" s="873"/>
      <c r="S353" s="873"/>
      <c r="T353" s="873"/>
      <c r="U353" s="873"/>
      <c r="V353" s="873"/>
      <c r="W353" s="873"/>
      <c r="X353" s="873"/>
      <c r="Y353" s="873"/>
      <c r="Z353" s="873"/>
      <c r="AA353" s="873"/>
      <c r="AB353" s="873"/>
      <c r="AC353" s="873"/>
      <c r="AD353" s="873"/>
      <c r="AE353" s="873"/>
      <c r="AF353" s="873"/>
      <c r="AG353" s="873"/>
      <c r="AH353" s="873"/>
      <c r="AI353" s="873"/>
      <c r="AJ353" s="873"/>
      <c r="AK353" s="873"/>
      <c r="AL353" s="873"/>
      <c r="AM353" s="873"/>
      <c r="AN353" s="873"/>
      <c r="AO353" s="873"/>
      <c r="AP353" s="873"/>
      <c r="AQ353" s="873"/>
      <c r="AR353" s="873"/>
      <c r="AS353" s="873"/>
      <c r="AT353" s="873"/>
      <c r="AU353" s="873"/>
      <c r="AV353" s="873"/>
    </row>
    <row r="354" spans="1:48" ht="11.25" customHeight="1" x14ac:dyDescent="0.2">
      <c r="A354" s="873"/>
      <c r="B354" s="873"/>
      <c r="C354" s="873"/>
      <c r="D354" s="873"/>
      <c r="E354" s="873"/>
      <c r="F354" s="873"/>
      <c r="G354" s="873"/>
      <c r="H354" s="873"/>
      <c r="I354" s="873"/>
      <c r="J354" s="873"/>
      <c r="K354" s="873"/>
      <c r="L354" s="873"/>
      <c r="M354" s="873"/>
      <c r="N354" s="873"/>
      <c r="O354" s="873"/>
      <c r="P354" s="873"/>
      <c r="Q354" s="873"/>
      <c r="R354" s="873"/>
      <c r="S354" s="873"/>
      <c r="T354" s="873"/>
      <c r="U354" s="873"/>
      <c r="V354" s="873"/>
      <c r="W354" s="873"/>
      <c r="X354" s="873"/>
      <c r="Y354" s="873"/>
      <c r="Z354" s="873"/>
      <c r="AA354" s="873"/>
      <c r="AB354" s="873"/>
      <c r="AC354" s="873"/>
      <c r="AD354" s="873"/>
      <c r="AE354" s="873"/>
      <c r="AF354" s="873"/>
      <c r="AG354" s="873"/>
      <c r="AH354" s="873"/>
      <c r="AI354" s="873"/>
      <c r="AJ354" s="873"/>
      <c r="AK354" s="873"/>
      <c r="AL354" s="873"/>
      <c r="AM354" s="873"/>
      <c r="AN354" s="873"/>
      <c r="AO354" s="873"/>
      <c r="AP354" s="873"/>
      <c r="AQ354" s="873"/>
      <c r="AR354" s="873"/>
      <c r="AS354" s="873"/>
      <c r="AT354" s="873"/>
      <c r="AU354" s="873"/>
      <c r="AV354" s="873"/>
    </row>
    <row r="355" spans="1:48" ht="11.25" customHeight="1" x14ac:dyDescent="0.2">
      <c r="A355" s="873"/>
      <c r="B355" s="873"/>
      <c r="C355" s="873"/>
      <c r="D355" s="873"/>
      <c r="E355" s="873"/>
      <c r="F355" s="873"/>
      <c r="G355" s="873"/>
      <c r="H355" s="873"/>
      <c r="I355" s="873"/>
      <c r="J355" s="873"/>
      <c r="K355" s="873"/>
      <c r="L355" s="873"/>
      <c r="M355" s="873"/>
      <c r="N355" s="873"/>
      <c r="O355" s="873"/>
      <c r="P355" s="873"/>
      <c r="Q355" s="873"/>
      <c r="R355" s="873"/>
      <c r="S355" s="873"/>
      <c r="T355" s="873"/>
      <c r="U355" s="873"/>
      <c r="V355" s="873"/>
      <c r="W355" s="873"/>
      <c r="X355" s="873"/>
      <c r="Y355" s="873"/>
      <c r="Z355" s="873"/>
      <c r="AA355" s="873"/>
      <c r="AB355" s="873"/>
      <c r="AC355" s="873"/>
      <c r="AD355" s="873"/>
      <c r="AE355" s="873"/>
      <c r="AF355" s="873"/>
      <c r="AG355" s="873"/>
      <c r="AH355" s="873"/>
      <c r="AI355" s="873"/>
      <c r="AJ355" s="873"/>
      <c r="AK355" s="873"/>
      <c r="AL355" s="873"/>
      <c r="AM355" s="873"/>
      <c r="AN355" s="873"/>
      <c r="AO355" s="873"/>
      <c r="AP355" s="873"/>
      <c r="AQ355" s="873"/>
      <c r="AR355" s="873"/>
      <c r="AS355" s="873"/>
      <c r="AT355" s="873"/>
      <c r="AU355" s="873"/>
      <c r="AV355" s="873"/>
    </row>
    <row r="356" spans="1:48" ht="11.25" customHeight="1" x14ac:dyDescent="0.2">
      <c r="A356" s="873"/>
      <c r="B356" s="873"/>
      <c r="C356" s="873"/>
      <c r="D356" s="873"/>
      <c r="E356" s="873"/>
      <c r="F356" s="873"/>
      <c r="G356" s="873"/>
      <c r="H356" s="873"/>
      <c r="I356" s="873"/>
      <c r="J356" s="873"/>
      <c r="K356" s="873"/>
      <c r="L356" s="873"/>
      <c r="M356" s="873"/>
      <c r="N356" s="873"/>
      <c r="O356" s="873"/>
      <c r="P356" s="873"/>
      <c r="Q356" s="873"/>
      <c r="R356" s="873"/>
      <c r="S356" s="873"/>
      <c r="T356" s="873"/>
      <c r="U356" s="873"/>
      <c r="V356" s="873"/>
      <c r="W356" s="873"/>
      <c r="X356" s="873"/>
      <c r="Y356" s="873"/>
      <c r="Z356" s="873"/>
      <c r="AA356" s="873"/>
      <c r="AB356" s="873"/>
      <c r="AC356" s="873"/>
      <c r="AD356" s="873"/>
      <c r="AE356" s="873"/>
      <c r="AF356" s="873"/>
      <c r="AG356" s="873"/>
      <c r="AH356" s="873"/>
      <c r="AI356" s="873"/>
      <c r="AJ356" s="873"/>
      <c r="AK356" s="873"/>
      <c r="AL356" s="873"/>
      <c r="AM356" s="873"/>
      <c r="AN356" s="873"/>
      <c r="AO356" s="873"/>
      <c r="AP356" s="873"/>
      <c r="AQ356" s="873"/>
      <c r="AR356" s="873"/>
      <c r="AS356" s="873"/>
      <c r="AT356" s="873"/>
      <c r="AU356" s="873"/>
      <c r="AV356" s="873"/>
    </row>
    <row r="357" spans="1:48" ht="11.25" customHeight="1" x14ac:dyDescent="0.2">
      <c r="A357" s="873"/>
      <c r="B357" s="873"/>
      <c r="C357" s="873"/>
      <c r="D357" s="873"/>
      <c r="E357" s="873"/>
      <c r="F357" s="873"/>
      <c r="G357" s="873"/>
      <c r="H357" s="873"/>
      <c r="I357" s="873"/>
      <c r="J357" s="873"/>
      <c r="K357" s="873"/>
      <c r="L357" s="873"/>
      <c r="M357" s="873"/>
      <c r="N357" s="873"/>
      <c r="O357" s="873"/>
      <c r="P357" s="873"/>
      <c r="Q357" s="873"/>
      <c r="R357" s="873"/>
      <c r="S357" s="873"/>
      <c r="T357" s="873"/>
      <c r="U357" s="873"/>
      <c r="V357" s="873"/>
      <c r="W357" s="873"/>
      <c r="X357" s="873"/>
      <c r="Y357" s="873"/>
      <c r="Z357" s="873"/>
      <c r="AA357" s="873"/>
      <c r="AB357" s="873"/>
      <c r="AC357" s="873"/>
      <c r="AD357" s="873"/>
      <c r="AE357" s="873"/>
      <c r="AF357" s="873"/>
      <c r="AG357" s="873"/>
      <c r="AH357" s="873"/>
      <c r="AI357" s="873"/>
      <c r="AJ357" s="873"/>
      <c r="AK357" s="873"/>
      <c r="AL357" s="873"/>
      <c r="AM357" s="873"/>
      <c r="AN357" s="873"/>
      <c r="AO357" s="873"/>
      <c r="AP357" s="873"/>
      <c r="AQ357" s="873"/>
      <c r="AR357" s="873"/>
      <c r="AS357" s="873"/>
      <c r="AT357" s="873"/>
      <c r="AU357" s="873"/>
      <c r="AV357" s="873"/>
    </row>
    <row r="358" spans="1:48" ht="11.25" customHeight="1" x14ac:dyDescent="0.2">
      <c r="A358" s="873"/>
      <c r="B358" s="873"/>
      <c r="C358" s="873"/>
      <c r="D358" s="873"/>
      <c r="E358" s="873"/>
      <c r="F358" s="873"/>
      <c r="G358" s="873"/>
      <c r="H358" s="873"/>
      <c r="I358" s="873"/>
      <c r="J358" s="873"/>
      <c r="K358" s="873"/>
      <c r="L358" s="873"/>
      <c r="M358" s="873"/>
      <c r="N358" s="873"/>
      <c r="O358" s="873"/>
      <c r="P358" s="873"/>
      <c r="Q358" s="873"/>
      <c r="R358" s="873"/>
      <c r="S358" s="873"/>
      <c r="T358" s="873"/>
      <c r="U358" s="873"/>
      <c r="V358" s="873"/>
      <c r="W358" s="873"/>
      <c r="X358" s="873"/>
      <c r="Y358" s="873"/>
      <c r="Z358" s="873"/>
      <c r="AA358" s="873"/>
      <c r="AB358" s="873"/>
      <c r="AC358" s="873"/>
      <c r="AD358" s="873"/>
      <c r="AE358" s="873"/>
      <c r="AF358" s="873"/>
      <c r="AG358" s="873"/>
      <c r="AH358" s="873"/>
      <c r="AI358" s="873"/>
      <c r="AJ358" s="873"/>
      <c r="AK358" s="873"/>
      <c r="AL358" s="873"/>
      <c r="AM358" s="873"/>
      <c r="AN358" s="873"/>
      <c r="AO358" s="873"/>
      <c r="AP358" s="873"/>
      <c r="AQ358" s="873"/>
      <c r="AR358" s="873"/>
      <c r="AS358" s="873"/>
      <c r="AT358" s="873"/>
      <c r="AU358" s="873"/>
      <c r="AV358" s="873"/>
    </row>
    <row r="359" spans="1:48" ht="11.25" customHeight="1" x14ac:dyDescent="0.2">
      <c r="A359" s="873"/>
      <c r="B359" s="873"/>
      <c r="C359" s="873"/>
      <c r="D359" s="873"/>
      <c r="E359" s="873"/>
      <c r="F359" s="873"/>
      <c r="G359" s="873"/>
      <c r="H359" s="873"/>
      <c r="I359" s="873"/>
      <c r="J359" s="873"/>
      <c r="K359" s="873"/>
      <c r="L359" s="873"/>
      <c r="M359" s="873"/>
      <c r="N359" s="873"/>
      <c r="O359" s="873"/>
      <c r="P359" s="873"/>
      <c r="Q359" s="873"/>
      <c r="R359" s="873"/>
      <c r="S359" s="873"/>
      <c r="T359" s="873"/>
      <c r="U359" s="873"/>
      <c r="V359" s="873"/>
      <c r="W359" s="873"/>
      <c r="X359" s="873"/>
      <c r="Y359" s="873"/>
      <c r="Z359" s="873"/>
      <c r="AA359" s="873"/>
      <c r="AB359" s="873"/>
      <c r="AC359" s="873"/>
      <c r="AD359" s="873"/>
      <c r="AE359" s="873"/>
      <c r="AF359" s="873"/>
      <c r="AG359" s="873"/>
      <c r="AH359" s="873"/>
      <c r="AI359" s="873"/>
      <c r="AJ359" s="873"/>
      <c r="AK359" s="873"/>
      <c r="AL359" s="873"/>
      <c r="AM359" s="873"/>
      <c r="AN359" s="873"/>
      <c r="AO359" s="873"/>
      <c r="AP359" s="873"/>
      <c r="AQ359" s="873"/>
      <c r="AR359" s="873"/>
      <c r="AS359" s="873"/>
      <c r="AT359" s="873"/>
      <c r="AU359" s="873"/>
      <c r="AV359" s="873"/>
    </row>
    <row r="360" spans="1:48" ht="11.25" customHeight="1" x14ac:dyDescent="0.2">
      <c r="A360" s="873"/>
      <c r="B360" s="873"/>
      <c r="C360" s="873"/>
      <c r="D360" s="873"/>
      <c r="E360" s="873"/>
      <c r="F360" s="873"/>
      <c r="G360" s="873"/>
      <c r="H360" s="873"/>
      <c r="I360" s="873"/>
      <c r="J360" s="873"/>
      <c r="K360" s="873"/>
      <c r="L360" s="873"/>
      <c r="M360" s="873"/>
      <c r="N360" s="873"/>
      <c r="O360" s="873"/>
      <c r="P360" s="873"/>
      <c r="Q360" s="873"/>
      <c r="R360" s="873"/>
      <c r="S360" s="873"/>
      <c r="T360" s="873"/>
      <c r="U360" s="873"/>
      <c r="V360" s="873"/>
      <c r="W360" s="873"/>
      <c r="X360" s="873"/>
      <c r="Y360" s="873"/>
      <c r="Z360" s="873"/>
      <c r="AA360" s="873"/>
      <c r="AB360" s="873"/>
      <c r="AC360" s="873"/>
      <c r="AD360" s="873"/>
      <c r="AE360" s="873"/>
      <c r="AF360" s="873"/>
      <c r="AG360" s="873"/>
      <c r="AH360" s="873"/>
      <c r="AI360" s="873"/>
      <c r="AJ360" s="873"/>
      <c r="AK360" s="873"/>
      <c r="AL360" s="873"/>
      <c r="AM360" s="873"/>
      <c r="AN360" s="873"/>
      <c r="AO360" s="873"/>
      <c r="AP360" s="873"/>
      <c r="AQ360" s="873"/>
      <c r="AR360" s="873"/>
      <c r="AS360" s="873"/>
      <c r="AT360" s="873"/>
      <c r="AU360" s="873"/>
      <c r="AV360" s="873"/>
    </row>
    <row r="361" spans="1:48" ht="11.25" customHeight="1" x14ac:dyDescent="0.2">
      <c r="A361" s="873"/>
      <c r="B361" s="873"/>
      <c r="C361" s="873"/>
      <c r="D361" s="873"/>
      <c r="E361" s="873"/>
      <c r="F361" s="873"/>
      <c r="G361" s="873"/>
      <c r="H361" s="873"/>
      <c r="I361" s="873"/>
      <c r="J361" s="873"/>
      <c r="K361" s="873"/>
      <c r="L361" s="873"/>
      <c r="M361" s="873"/>
      <c r="N361" s="873"/>
      <c r="O361" s="873"/>
      <c r="P361" s="873"/>
      <c r="Q361" s="873"/>
      <c r="R361" s="873"/>
      <c r="S361" s="873"/>
      <c r="T361" s="873"/>
      <c r="U361" s="873"/>
      <c r="V361" s="873"/>
      <c r="W361" s="873"/>
      <c r="X361" s="873"/>
      <c r="Y361" s="873"/>
      <c r="Z361" s="873"/>
      <c r="AA361" s="873"/>
      <c r="AB361" s="873"/>
      <c r="AC361" s="873"/>
      <c r="AD361" s="873"/>
      <c r="AE361" s="873"/>
      <c r="AF361" s="873"/>
      <c r="AG361" s="873"/>
      <c r="AH361" s="873"/>
      <c r="AI361" s="873"/>
      <c r="AJ361" s="873"/>
      <c r="AK361" s="873"/>
      <c r="AL361" s="873"/>
      <c r="AM361" s="873"/>
      <c r="AN361" s="873"/>
      <c r="AO361" s="873"/>
      <c r="AP361" s="873"/>
      <c r="AQ361" s="873"/>
      <c r="AR361" s="873"/>
      <c r="AS361" s="873"/>
      <c r="AT361" s="873"/>
      <c r="AU361" s="873"/>
      <c r="AV361" s="873"/>
    </row>
    <row r="362" spans="1:48" ht="11.25" customHeight="1" x14ac:dyDescent="0.2">
      <c r="A362" s="873"/>
      <c r="B362" s="873"/>
      <c r="C362" s="873"/>
      <c r="D362" s="873"/>
      <c r="E362" s="873"/>
      <c r="F362" s="873"/>
      <c r="G362" s="873"/>
      <c r="H362" s="873"/>
      <c r="I362" s="873"/>
      <c r="J362" s="873"/>
      <c r="K362" s="873"/>
      <c r="L362" s="873"/>
      <c r="M362" s="873"/>
      <c r="N362" s="873"/>
      <c r="O362" s="873"/>
      <c r="P362" s="873"/>
      <c r="Q362" s="873"/>
      <c r="R362" s="873"/>
      <c r="S362" s="873"/>
      <c r="T362" s="873"/>
      <c r="U362" s="873"/>
      <c r="V362" s="873"/>
      <c r="W362" s="873"/>
      <c r="X362" s="873"/>
      <c r="Y362" s="873"/>
      <c r="Z362" s="873"/>
      <c r="AA362" s="873"/>
      <c r="AB362" s="873"/>
      <c r="AC362" s="873"/>
      <c r="AD362" s="873"/>
      <c r="AE362" s="873"/>
      <c r="AF362" s="873"/>
      <c r="AG362" s="873"/>
      <c r="AH362" s="873"/>
      <c r="AI362" s="873"/>
      <c r="AJ362" s="873"/>
      <c r="AK362" s="873"/>
      <c r="AL362" s="873"/>
      <c r="AM362" s="873"/>
      <c r="AN362" s="873"/>
      <c r="AO362" s="873"/>
      <c r="AP362" s="873"/>
      <c r="AQ362" s="873"/>
      <c r="AR362" s="873"/>
      <c r="AS362" s="873"/>
      <c r="AT362" s="873"/>
      <c r="AU362" s="873"/>
      <c r="AV362" s="873"/>
    </row>
    <row r="363" spans="1:48" ht="11.25" customHeight="1" x14ac:dyDescent="0.2">
      <c r="A363" s="873"/>
      <c r="B363" s="873"/>
      <c r="C363" s="873"/>
      <c r="D363" s="873"/>
      <c r="E363" s="873"/>
      <c r="F363" s="873"/>
      <c r="G363" s="873"/>
      <c r="H363" s="873"/>
      <c r="I363" s="873"/>
      <c r="J363" s="873"/>
      <c r="K363" s="873"/>
      <c r="L363" s="873"/>
      <c r="M363" s="873"/>
      <c r="N363" s="873"/>
      <c r="O363" s="873"/>
      <c r="P363" s="873"/>
      <c r="Q363" s="873"/>
      <c r="R363" s="873"/>
      <c r="S363" s="873"/>
      <c r="T363" s="873"/>
      <c r="U363" s="873"/>
      <c r="V363" s="873"/>
      <c r="W363" s="873"/>
      <c r="X363" s="873"/>
      <c r="Y363" s="873"/>
      <c r="Z363" s="873"/>
      <c r="AA363" s="873"/>
      <c r="AB363" s="873"/>
      <c r="AC363" s="873"/>
      <c r="AD363" s="873"/>
      <c r="AE363" s="873"/>
      <c r="AF363" s="873"/>
      <c r="AG363" s="873"/>
      <c r="AH363" s="873"/>
      <c r="AI363" s="873"/>
      <c r="AJ363" s="873"/>
      <c r="AK363" s="873"/>
      <c r="AL363" s="873"/>
      <c r="AM363" s="873"/>
      <c r="AN363" s="873"/>
      <c r="AO363" s="873"/>
      <c r="AP363" s="873"/>
      <c r="AQ363" s="873"/>
      <c r="AR363" s="873"/>
      <c r="AS363" s="873"/>
      <c r="AT363" s="873"/>
      <c r="AU363" s="873"/>
      <c r="AV363" s="873"/>
    </row>
    <row r="364" spans="1:48" ht="11.25" customHeight="1" x14ac:dyDescent="0.2">
      <c r="A364" s="873"/>
      <c r="B364" s="873"/>
      <c r="C364" s="873"/>
      <c r="D364" s="873"/>
      <c r="E364" s="873"/>
      <c r="F364" s="873"/>
      <c r="G364" s="873"/>
      <c r="H364" s="873"/>
      <c r="I364" s="873"/>
      <c r="J364" s="873"/>
      <c r="K364" s="873"/>
      <c r="L364" s="873"/>
      <c r="M364" s="873"/>
      <c r="N364" s="873"/>
      <c r="O364" s="873"/>
      <c r="P364" s="873"/>
      <c r="Q364" s="873"/>
      <c r="R364" s="873"/>
      <c r="S364" s="873"/>
      <c r="T364" s="873"/>
      <c r="U364" s="873"/>
      <c r="V364" s="873"/>
      <c r="W364" s="873"/>
      <c r="X364" s="873"/>
      <c r="Y364" s="873"/>
      <c r="Z364" s="873"/>
      <c r="AA364" s="873"/>
      <c r="AB364" s="873"/>
      <c r="AC364" s="873"/>
      <c r="AD364" s="873"/>
      <c r="AE364" s="873"/>
      <c r="AF364" s="873"/>
      <c r="AG364" s="873"/>
      <c r="AH364" s="873"/>
      <c r="AI364" s="873"/>
      <c r="AJ364" s="873"/>
      <c r="AK364" s="873"/>
      <c r="AL364" s="873"/>
      <c r="AM364" s="873"/>
      <c r="AN364" s="873"/>
      <c r="AO364" s="873"/>
      <c r="AP364" s="873"/>
      <c r="AQ364" s="873"/>
      <c r="AR364" s="873"/>
      <c r="AS364" s="873"/>
      <c r="AT364" s="873"/>
      <c r="AU364" s="873"/>
      <c r="AV364" s="873"/>
    </row>
    <row r="365" spans="1:48" ht="11.25" customHeight="1" x14ac:dyDescent="0.2">
      <c r="A365" s="873"/>
      <c r="B365" s="873"/>
      <c r="C365" s="873"/>
      <c r="D365" s="873"/>
      <c r="E365" s="873"/>
      <c r="F365" s="873"/>
      <c r="G365" s="873"/>
      <c r="H365" s="873"/>
      <c r="I365" s="873"/>
      <c r="J365" s="873"/>
      <c r="K365" s="873"/>
      <c r="L365" s="873"/>
      <c r="M365" s="873"/>
      <c r="N365" s="873"/>
      <c r="O365" s="873"/>
      <c r="P365" s="873"/>
      <c r="Q365" s="873"/>
      <c r="R365" s="873"/>
      <c r="S365" s="873"/>
      <c r="T365" s="873"/>
      <c r="U365" s="873"/>
      <c r="V365" s="873"/>
      <c r="W365" s="873"/>
      <c r="X365" s="873"/>
      <c r="Y365" s="873"/>
      <c r="Z365" s="873"/>
      <c r="AA365" s="873"/>
      <c r="AB365" s="873"/>
      <c r="AC365" s="873"/>
      <c r="AD365" s="873"/>
      <c r="AE365" s="873"/>
      <c r="AF365" s="873"/>
      <c r="AG365" s="873"/>
      <c r="AH365" s="873"/>
      <c r="AI365" s="873"/>
      <c r="AJ365" s="873"/>
      <c r="AK365" s="873"/>
      <c r="AL365" s="873"/>
      <c r="AM365" s="873"/>
      <c r="AN365" s="873"/>
      <c r="AO365" s="873"/>
      <c r="AP365" s="873"/>
      <c r="AQ365" s="873"/>
      <c r="AR365" s="873"/>
      <c r="AS365" s="873"/>
      <c r="AT365" s="873"/>
      <c r="AU365" s="873"/>
      <c r="AV365" s="873"/>
    </row>
    <row r="366" spans="1:48" ht="11.25" customHeight="1" x14ac:dyDescent="0.2">
      <c r="A366" s="873"/>
      <c r="B366" s="873"/>
      <c r="C366" s="873"/>
      <c r="D366" s="873"/>
      <c r="E366" s="873"/>
      <c r="F366" s="873"/>
      <c r="G366" s="873"/>
      <c r="H366" s="873"/>
      <c r="I366" s="873"/>
      <c r="J366" s="873"/>
      <c r="K366" s="873"/>
      <c r="L366" s="873"/>
      <c r="M366" s="873"/>
      <c r="N366" s="873"/>
      <c r="O366" s="873"/>
      <c r="P366" s="873"/>
      <c r="Q366" s="873"/>
      <c r="R366" s="873"/>
      <c r="S366" s="873"/>
      <c r="T366" s="873"/>
      <c r="U366" s="873"/>
      <c r="V366" s="873"/>
      <c r="W366" s="873"/>
      <c r="X366" s="873"/>
      <c r="Y366" s="873"/>
      <c r="Z366" s="873"/>
      <c r="AA366" s="873"/>
      <c r="AB366" s="873"/>
      <c r="AC366" s="873"/>
      <c r="AD366" s="873"/>
      <c r="AE366" s="873"/>
      <c r="AF366" s="873"/>
      <c r="AG366" s="873"/>
      <c r="AH366" s="873"/>
      <c r="AI366" s="873"/>
      <c r="AJ366" s="873"/>
      <c r="AK366" s="873"/>
      <c r="AL366" s="873"/>
      <c r="AM366" s="873"/>
      <c r="AN366" s="873"/>
      <c r="AO366" s="873"/>
      <c r="AP366" s="873"/>
      <c r="AQ366" s="873"/>
      <c r="AR366" s="873"/>
      <c r="AS366" s="873"/>
      <c r="AT366" s="873"/>
      <c r="AU366" s="873"/>
      <c r="AV366" s="873"/>
    </row>
    <row r="367" spans="1:48" ht="11.25" customHeight="1" x14ac:dyDescent="0.2">
      <c r="A367" s="873"/>
      <c r="B367" s="873"/>
      <c r="C367" s="873"/>
      <c r="D367" s="873"/>
      <c r="E367" s="873"/>
      <c r="F367" s="873"/>
      <c r="G367" s="873"/>
      <c r="H367" s="873"/>
      <c r="I367" s="873"/>
      <c r="J367" s="873"/>
      <c r="K367" s="873"/>
      <c r="L367" s="873"/>
      <c r="M367" s="873"/>
      <c r="N367" s="873"/>
      <c r="O367" s="873"/>
      <c r="P367" s="873"/>
      <c r="Q367" s="873"/>
      <c r="R367" s="873"/>
      <c r="S367" s="873"/>
      <c r="T367" s="873"/>
      <c r="U367" s="873"/>
      <c r="V367" s="873"/>
      <c r="W367" s="873"/>
      <c r="X367" s="873"/>
      <c r="Y367" s="873"/>
      <c r="Z367" s="873"/>
      <c r="AA367" s="873"/>
      <c r="AB367" s="873"/>
      <c r="AC367" s="873"/>
      <c r="AD367" s="873"/>
      <c r="AE367" s="873"/>
      <c r="AF367" s="873"/>
      <c r="AG367" s="873"/>
      <c r="AH367" s="873"/>
      <c r="AI367" s="873"/>
      <c r="AJ367" s="873"/>
      <c r="AK367" s="873"/>
      <c r="AL367" s="873"/>
      <c r="AM367" s="873"/>
      <c r="AN367" s="873"/>
      <c r="AO367" s="873"/>
      <c r="AP367" s="873"/>
      <c r="AQ367" s="873"/>
      <c r="AR367" s="873"/>
      <c r="AS367" s="873"/>
      <c r="AT367" s="873"/>
      <c r="AU367" s="873"/>
      <c r="AV367" s="873"/>
    </row>
    <row r="368" spans="1:48" ht="11.25" customHeight="1" x14ac:dyDescent="0.2">
      <c r="A368" s="873"/>
      <c r="B368" s="873"/>
      <c r="C368" s="873"/>
      <c r="D368" s="873"/>
      <c r="E368" s="873"/>
      <c r="F368" s="873"/>
      <c r="G368" s="873"/>
      <c r="H368" s="873"/>
      <c r="I368" s="873"/>
      <c r="J368" s="873"/>
      <c r="K368" s="873"/>
      <c r="L368" s="873"/>
      <c r="M368" s="873"/>
      <c r="N368" s="873"/>
      <c r="O368" s="873"/>
      <c r="P368" s="873"/>
      <c r="Q368" s="873"/>
      <c r="R368" s="873"/>
      <c r="S368" s="873"/>
      <c r="T368" s="873"/>
      <c r="U368" s="873"/>
      <c r="V368" s="873"/>
      <c r="W368" s="873"/>
      <c r="X368" s="873"/>
      <c r="Y368" s="873"/>
      <c r="Z368" s="873"/>
      <c r="AA368" s="873"/>
      <c r="AB368" s="873"/>
      <c r="AC368" s="873"/>
      <c r="AD368" s="873"/>
      <c r="AE368" s="873"/>
      <c r="AF368" s="873"/>
      <c r="AG368" s="873"/>
      <c r="AH368" s="873"/>
      <c r="AI368" s="873"/>
      <c r="AJ368" s="873"/>
      <c r="AK368" s="873"/>
      <c r="AL368" s="873"/>
      <c r="AM368" s="873"/>
      <c r="AN368" s="873"/>
      <c r="AO368" s="873"/>
      <c r="AP368" s="873"/>
      <c r="AQ368" s="873"/>
      <c r="AR368" s="873"/>
      <c r="AS368" s="873"/>
      <c r="AT368" s="873"/>
      <c r="AU368" s="873"/>
      <c r="AV368" s="873"/>
    </row>
    <row r="369" spans="1:48" ht="11.25" customHeight="1" x14ac:dyDescent="0.2">
      <c r="A369" s="873"/>
      <c r="B369" s="873"/>
      <c r="C369" s="873"/>
      <c r="D369" s="873"/>
      <c r="E369" s="873"/>
      <c r="F369" s="873"/>
      <c r="G369" s="873"/>
      <c r="H369" s="873"/>
      <c r="I369" s="873"/>
      <c r="J369" s="873"/>
      <c r="K369" s="873"/>
      <c r="L369" s="873"/>
      <c r="M369" s="873"/>
      <c r="N369" s="873"/>
      <c r="O369" s="873"/>
      <c r="P369" s="873"/>
      <c r="Q369" s="873"/>
      <c r="R369" s="873"/>
      <c r="S369" s="873"/>
      <c r="T369" s="873"/>
      <c r="U369" s="873"/>
      <c r="V369" s="873"/>
      <c r="W369" s="873"/>
      <c r="X369" s="873"/>
      <c r="Y369" s="873"/>
      <c r="Z369" s="873"/>
      <c r="AA369" s="873"/>
      <c r="AB369" s="873"/>
      <c r="AC369" s="873"/>
      <c r="AD369" s="873"/>
      <c r="AE369" s="873"/>
      <c r="AF369" s="873"/>
      <c r="AG369" s="873"/>
      <c r="AH369" s="873"/>
      <c r="AI369" s="873"/>
      <c r="AJ369" s="873"/>
      <c r="AK369" s="873"/>
      <c r="AL369" s="873"/>
      <c r="AM369" s="873"/>
      <c r="AN369" s="873"/>
      <c r="AO369" s="873"/>
      <c r="AP369" s="873"/>
      <c r="AQ369" s="873"/>
      <c r="AR369" s="873"/>
      <c r="AS369" s="873"/>
      <c r="AT369" s="873"/>
      <c r="AU369" s="873"/>
      <c r="AV369" s="873"/>
    </row>
    <row r="370" spans="1:48" ht="11.25" customHeight="1" x14ac:dyDescent="0.2">
      <c r="A370" s="873"/>
      <c r="B370" s="873"/>
      <c r="C370" s="873"/>
      <c r="D370" s="873"/>
      <c r="E370" s="873"/>
      <c r="F370" s="873"/>
      <c r="G370" s="873"/>
      <c r="H370" s="873"/>
      <c r="I370" s="873"/>
      <c r="J370" s="873"/>
      <c r="K370" s="873"/>
      <c r="L370" s="873"/>
      <c r="M370" s="873"/>
      <c r="N370" s="873"/>
      <c r="O370" s="873"/>
      <c r="P370" s="873"/>
      <c r="Q370" s="873"/>
      <c r="R370" s="873"/>
      <c r="S370" s="873"/>
      <c r="T370" s="873"/>
      <c r="U370" s="873"/>
      <c r="V370" s="873"/>
      <c r="W370" s="873"/>
      <c r="X370" s="873"/>
      <c r="Y370" s="873"/>
      <c r="Z370" s="873"/>
      <c r="AA370" s="873"/>
      <c r="AB370" s="873"/>
      <c r="AC370" s="873"/>
      <c r="AD370" s="873"/>
      <c r="AE370" s="873"/>
      <c r="AF370" s="873"/>
      <c r="AG370" s="873"/>
      <c r="AH370" s="873"/>
      <c r="AI370" s="873"/>
      <c r="AJ370" s="873"/>
      <c r="AK370" s="873"/>
      <c r="AL370" s="873"/>
      <c r="AM370" s="873"/>
      <c r="AN370" s="873"/>
      <c r="AO370" s="873"/>
      <c r="AP370" s="873"/>
      <c r="AQ370" s="873"/>
      <c r="AR370" s="873"/>
      <c r="AS370" s="873"/>
      <c r="AT370" s="873"/>
      <c r="AU370" s="873"/>
      <c r="AV370" s="873"/>
    </row>
    <row r="371" spans="1:48" ht="11.25" customHeight="1" x14ac:dyDescent="0.2">
      <c r="A371" s="873"/>
      <c r="B371" s="873"/>
      <c r="C371" s="873"/>
      <c r="D371" s="873"/>
      <c r="E371" s="873"/>
      <c r="F371" s="873"/>
      <c r="G371" s="873"/>
      <c r="H371" s="873"/>
      <c r="I371" s="873"/>
      <c r="J371" s="873"/>
      <c r="K371" s="873"/>
      <c r="L371" s="873"/>
      <c r="M371" s="873"/>
      <c r="N371" s="873"/>
      <c r="O371" s="873"/>
      <c r="P371" s="873"/>
      <c r="Q371" s="873"/>
      <c r="R371" s="873"/>
      <c r="S371" s="873"/>
      <c r="T371" s="873"/>
      <c r="U371" s="873"/>
      <c r="V371" s="873"/>
      <c r="W371" s="873"/>
      <c r="X371" s="873"/>
      <c r="Y371" s="873"/>
      <c r="Z371" s="873"/>
      <c r="AA371" s="873"/>
      <c r="AB371" s="873"/>
      <c r="AC371" s="873"/>
      <c r="AD371" s="873"/>
      <c r="AE371" s="873"/>
      <c r="AF371" s="873"/>
      <c r="AG371" s="873"/>
      <c r="AH371" s="873"/>
      <c r="AI371" s="873"/>
      <c r="AJ371" s="873"/>
      <c r="AK371" s="873"/>
      <c r="AL371" s="873"/>
      <c r="AM371" s="873"/>
      <c r="AN371" s="873"/>
      <c r="AO371" s="873"/>
      <c r="AP371" s="873"/>
      <c r="AQ371" s="873"/>
      <c r="AR371" s="873"/>
      <c r="AS371" s="873"/>
      <c r="AT371" s="873"/>
      <c r="AU371" s="873"/>
      <c r="AV371" s="873"/>
    </row>
    <row r="372" spans="1:48" ht="11.25" customHeight="1" x14ac:dyDescent="0.2">
      <c r="A372" s="873"/>
      <c r="B372" s="873"/>
      <c r="C372" s="873"/>
      <c r="D372" s="873"/>
      <c r="E372" s="873"/>
      <c r="F372" s="873"/>
      <c r="G372" s="873"/>
      <c r="H372" s="873"/>
      <c r="I372" s="873"/>
      <c r="J372" s="873"/>
      <c r="K372" s="873"/>
      <c r="L372" s="873"/>
      <c r="M372" s="873"/>
      <c r="N372" s="873"/>
      <c r="O372" s="873"/>
      <c r="P372" s="873"/>
      <c r="Q372" s="873"/>
      <c r="R372" s="873"/>
      <c r="S372" s="873"/>
      <c r="T372" s="873"/>
      <c r="U372" s="873"/>
      <c r="V372" s="873"/>
      <c r="W372" s="873"/>
      <c r="X372" s="873"/>
      <c r="Y372" s="873"/>
      <c r="Z372" s="873"/>
      <c r="AA372" s="873"/>
      <c r="AB372" s="873"/>
      <c r="AC372" s="873"/>
      <c r="AD372" s="873"/>
      <c r="AE372" s="873"/>
      <c r="AF372" s="873"/>
      <c r="AG372" s="873"/>
      <c r="AH372" s="873"/>
      <c r="AI372" s="873"/>
      <c r="AJ372" s="873"/>
      <c r="AK372" s="873"/>
      <c r="AL372" s="873"/>
      <c r="AM372" s="873"/>
      <c r="AN372" s="873"/>
      <c r="AO372" s="873"/>
      <c r="AP372" s="873"/>
      <c r="AQ372" s="873"/>
      <c r="AR372" s="873"/>
      <c r="AS372" s="873"/>
      <c r="AT372" s="873"/>
      <c r="AU372" s="873"/>
      <c r="AV372" s="873"/>
    </row>
    <row r="373" spans="1:48" ht="11.25" customHeight="1" x14ac:dyDescent="0.2">
      <c r="A373" s="873"/>
      <c r="B373" s="873"/>
      <c r="C373" s="873"/>
      <c r="D373" s="873"/>
      <c r="E373" s="873"/>
      <c r="F373" s="873"/>
      <c r="G373" s="873"/>
      <c r="H373" s="873"/>
      <c r="I373" s="873"/>
      <c r="J373" s="873"/>
      <c r="K373" s="873"/>
      <c r="L373" s="873"/>
      <c r="M373" s="873"/>
      <c r="N373" s="873"/>
      <c r="O373" s="873"/>
      <c r="P373" s="873"/>
      <c r="Q373" s="873"/>
      <c r="R373" s="873"/>
      <c r="S373" s="873"/>
      <c r="T373" s="873"/>
      <c r="U373" s="873"/>
      <c r="V373" s="873"/>
      <c r="W373" s="873"/>
      <c r="X373" s="873"/>
      <c r="Y373" s="873"/>
      <c r="Z373" s="873"/>
      <c r="AA373" s="873"/>
      <c r="AB373" s="873"/>
      <c r="AC373" s="873"/>
      <c r="AD373" s="873"/>
      <c r="AE373" s="873"/>
      <c r="AF373" s="873"/>
      <c r="AG373" s="873"/>
      <c r="AH373" s="873"/>
      <c r="AI373" s="873"/>
      <c r="AJ373" s="873"/>
      <c r="AK373" s="873"/>
      <c r="AL373" s="873"/>
      <c r="AM373" s="873"/>
      <c r="AN373" s="873"/>
      <c r="AO373" s="873"/>
      <c r="AP373" s="873"/>
      <c r="AQ373" s="873"/>
      <c r="AR373" s="873"/>
      <c r="AS373" s="873"/>
      <c r="AT373" s="873"/>
      <c r="AU373" s="873"/>
      <c r="AV373" s="873"/>
    </row>
    <row r="374" spans="1:48" ht="11.25" customHeight="1" x14ac:dyDescent="0.2">
      <c r="A374" s="873"/>
      <c r="B374" s="873"/>
      <c r="C374" s="873"/>
      <c r="D374" s="873"/>
      <c r="E374" s="873"/>
      <c r="F374" s="873"/>
      <c r="G374" s="873"/>
      <c r="H374" s="873"/>
      <c r="I374" s="873"/>
      <c r="J374" s="873"/>
      <c r="K374" s="873"/>
      <c r="L374" s="873"/>
      <c r="M374" s="873"/>
      <c r="N374" s="873"/>
      <c r="O374" s="873"/>
      <c r="P374" s="873"/>
      <c r="Q374" s="873"/>
      <c r="R374" s="873"/>
      <c r="S374" s="873"/>
      <c r="T374" s="873"/>
      <c r="U374" s="873"/>
      <c r="V374" s="873"/>
      <c r="W374" s="873"/>
      <c r="X374" s="873"/>
      <c r="Y374" s="873"/>
      <c r="Z374" s="873"/>
      <c r="AA374" s="873"/>
      <c r="AB374" s="873"/>
      <c r="AC374" s="873"/>
      <c r="AD374" s="873"/>
      <c r="AE374" s="873"/>
      <c r="AF374" s="873"/>
      <c r="AG374" s="873"/>
      <c r="AH374" s="873"/>
      <c r="AI374" s="873"/>
      <c r="AJ374" s="873"/>
      <c r="AK374" s="873"/>
      <c r="AL374" s="873"/>
      <c r="AM374" s="873"/>
      <c r="AN374" s="873"/>
      <c r="AO374" s="873"/>
      <c r="AP374" s="873"/>
      <c r="AQ374" s="873"/>
      <c r="AR374" s="873"/>
      <c r="AS374" s="873"/>
      <c r="AT374" s="873"/>
      <c r="AU374" s="873"/>
      <c r="AV374" s="873"/>
    </row>
    <row r="375" spans="1:48" ht="11.25" customHeight="1" x14ac:dyDescent="0.2">
      <c r="A375" s="873"/>
      <c r="B375" s="873"/>
      <c r="C375" s="873"/>
      <c r="D375" s="873"/>
      <c r="E375" s="873"/>
      <c r="F375" s="873"/>
      <c r="G375" s="873"/>
      <c r="H375" s="873"/>
      <c r="I375" s="873"/>
      <c r="J375" s="873"/>
      <c r="K375" s="873"/>
      <c r="L375" s="873"/>
      <c r="M375" s="873"/>
      <c r="N375" s="873"/>
      <c r="O375" s="873"/>
      <c r="P375" s="873"/>
      <c r="Q375" s="873"/>
      <c r="R375" s="873"/>
      <c r="S375" s="873"/>
      <c r="T375" s="873"/>
      <c r="U375" s="873"/>
      <c r="V375" s="873"/>
      <c r="W375" s="873"/>
      <c r="X375" s="873"/>
      <c r="Y375" s="873"/>
      <c r="Z375" s="873"/>
      <c r="AA375" s="873"/>
      <c r="AB375" s="873"/>
      <c r="AC375" s="873"/>
      <c r="AD375" s="873"/>
      <c r="AE375" s="873"/>
      <c r="AF375" s="873"/>
      <c r="AG375" s="873"/>
      <c r="AH375" s="873"/>
      <c r="AI375" s="873"/>
      <c r="AJ375" s="873"/>
      <c r="AK375" s="873"/>
      <c r="AL375" s="873"/>
      <c r="AM375" s="873"/>
      <c r="AN375" s="873"/>
      <c r="AO375" s="873"/>
      <c r="AP375" s="873"/>
      <c r="AQ375" s="873"/>
      <c r="AR375" s="873"/>
      <c r="AS375" s="873"/>
      <c r="AT375" s="873"/>
      <c r="AU375" s="873"/>
      <c r="AV375" s="873"/>
    </row>
    <row r="376" spans="1:48" ht="11.25" customHeight="1" x14ac:dyDescent="0.2">
      <c r="A376" s="873"/>
      <c r="B376" s="873"/>
      <c r="C376" s="873"/>
      <c r="D376" s="873"/>
      <c r="E376" s="873"/>
      <c r="F376" s="873"/>
      <c r="G376" s="873"/>
      <c r="H376" s="873"/>
      <c r="I376" s="873"/>
      <c r="J376" s="873"/>
      <c r="K376" s="873"/>
      <c r="L376" s="873"/>
      <c r="M376" s="873"/>
      <c r="N376" s="873"/>
      <c r="O376" s="873"/>
      <c r="P376" s="873"/>
      <c r="Q376" s="873"/>
      <c r="R376" s="873"/>
      <c r="S376" s="873"/>
      <c r="T376" s="873"/>
      <c r="U376" s="873"/>
      <c r="V376" s="873"/>
      <c r="W376" s="873"/>
      <c r="X376" s="873"/>
      <c r="Y376" s="873"/>
      <c r="Z376" s="873"/>
      <c r="AA376" s="873"/>
      <c r="AB376" s="873"/>
      <c r="AC376" s="873"/>
      <c r="AD376" s="873"/>
      <c r="AE376" s="873"/>
      <c r="AF376" s="873"/>
      <c r="AG376" s="873"/>
      <c r="AH376" s="873"/>
      <c r="AI376" s="873"/>
      <c r="AJ376" s="873"/>
      <c r="AK376" s="873"/>
      <c r="AL376" s="873"/>
      <c r="AM376" s="873"/>
      <c r="AN376" s="873"/>
      <c r="AO376" s="873"/>
      <c r="AP376" s="873"/>
      <c r="AQ376" s="873"/>
      <c r="AR376" s="873"/>
      <c r="AS376" s="873"/>
      <c r="AT376" s="873"/>
      <c r="AU376" s="873"/>
      <c r="AV376" s="873"/>
    </row>
    <row r="377" spans="1:48" ht="11.25" customHeight="1" x14ac:dyDescent="0.2">
      <c r="A377" s="873"/>
      <c r="B377" s="873"/>
      <c r="C377" s="873"/>
      <c r="D377" s="873"/>
      <c r="E377" s="873"/>
      <c r="F377" s="873"/>
      <c r="G377" s="873"/>
      <c r="H377" s="873"/>
      <c r="I377" s="873"/>
      <c r="J377" s="873"/>
      <c r="K377" s="873"/>
      <c r="L377" s="873"/>
      <c r="M377" s="873"/>
      <c r="N377" s="873"/>
      <c r="O377" s="873"/>
      <c r="P377" s="873"/>
      <c r="Q377" s="873"/>
      <c r="R377" s="873"/>
      <c r="S377" s="873"/>
      <c r="T377" s="873"/>
      <c r="U377" s="873"/>
      <c r="V377" s="873"/>
      <c r="W377" s="873"/>
      <c r="X377" s="873"/>
      <c r="Y377" s="873"/>
      <c r="Z377" s="873"/>
      <c r="AA377" s="873"/>
      <c r="AB377" s="873"/>
      <c r="AC377" s="873"/>
      <c r="AD377" s="873"/>
      <c r="AE377" s="873"/>
      <c r="AF377" s="873"/>
      <c r="AG377" s="873"/>
      <c r="AH377" s="873"/>
      <c r="AI377" s="873"/>
      <c r="AJ377" s="873"/>
      <c r="AK377" s="873"/>
      <c r="AL377" s="873"/>
      <c r="AM377" s="873"/>
      <c r="AN377" s="873"/>
      <c r="AO377" s="873"/>
      <c r="AP377" s="873"/>
      <c r="AQ377" s="873"/>
      <c r="AR377" s="873"/>
      <c r="AS377" s="873"/>
      <c r="AT377" s="873"/>
      <c r="AU377" s="873"/>
      <c r="AV377" s="873"/>
    </row>
    <row r="378" spans="1:48" ht="11.25" customHeight="1" x14ac:dyDescent="0.2">
      <c r="A378" s="873"/>
      <c r="B378" s="873"/>
      <c r="C378" s="873"/>
      <c r="D378" s="873"/>
      <c r="E378" s="873"/>
      <c r="F378" s="873"/>
      <c r="G378" s="873"/>
      <c r="H378" s="873"/>
      <c r="I378" s="873"/>
      <c r="J378" s="873"/>
      <c r="K378" s="873"/>
      <c r="L378" s="873"/>
      <c r="M378" s="873"/>
      <c r="N378" s="873"/>
      <c r="O378" s="873"/>
      <c r="P378" s="873"/>
      <c r="Q378" s="873"/>
      <c r="R378" s="873"/>
      <c r="S378" s="873"/>
      <c r="T378" s="873"/>
      <c r="U378" s="873"/>
      <c r="V378" s="873"/>
      <c r="W378" s="873"/>
      <c r="X378" s="873"/>
      <c r="Y378" s="873"/>
      <c r="Z378" s="873"/>
      <c r="AA378" s="873"/>
      <c r="AB378" s="873"/>
      <c r="AC378" s="873"/>
      <c r="AD378" s="873"/>
      <c r="AE378" s="873"/>
      <c r="AF378" s="873"/>
      <c r="AG378" s="873"/>
      <c r="AH378" s="873"/>
      <c r="AI378" s="873"/>
      <c r="AJ378" s="873"/>
      <c r="AK378" s="873"/>
      <c r="AL378" s="873"/>
      <c r="AM378" s="873"/>
      <c r="AN378" s="873"/>
      <c r="AO378" s="873"/>
      <c r="AP378" s="873"/>
      <c r="AQ378" s="873"/>
      <c r="AR378" s="873"/>
      <c r="AS378" s="873"/>
      <c r="AT378" s="873"/>
      <c r="AU378" s="873"/>
      <c r="AV378" s="873"/>
    </row>
    <row r="379" spans="1:48" ht="11.25" customHeight="1" x14ac:dyDescent="0.2">
      <c r="A379" s="873"/>
      <c r="B379" s="873"/>
      <c r="C379" s="873"/>
      <c r="D379" s="873"/>
      <c r="E379" s="873"/>
      <c r="F379" s="873"/>
      <c r="G379" s="873"/>
      <c r="H379" s="873"/>
      <c r="I379" s="873"/>
      <c r="J379" s="873"/>
      <c r="K379" s="873"/>
      <c r="L379" s="873"/>
      <c r="M379" s="873"/>
      <c r="N379" s="873"/>
      <c r="O379" s="873"/>
      <c r="P379" s="873"/>
      <c r="Q379" s="873"/>
      <c r="R379" s="873"/>
      <c r="S379" s="873"/>
      <c r="T379" s="873"/>
      <c r="U379" s="873"/>
      <c r="V379" s="873"/>
      <c r="W379" s="873"/>
      <c r="X379" s="873"/>
      <c r="Y379" s="873"/>
      <c r="Z379" s="873"/>
      <c r="AA379" s="873"/>
      <c r="AB379" s="873"/>
      <c r="AC379" s="873"/>
      <c r="AD379" s="873"/>
      <c r="AE379" s="873"/>
      <c r="AF379" s="873"/>
      <c r="AG379" s="873"/>
      <c r="AH379" s="873"/>
      <c r="AI379" s="873"/>
      <c r="AJ379" s="873"/>
      <c r="AK379" s="873"/>
      <c r="AL379" s="873"/>
      <c r="AM379" s="873"/>
      <c r="AN379" s="873"/>
      <c r="AO379" s="873"/>
      <c r="AP379" s="873"/>
      <c r="AQ379" s="873"/>
      <c r="AR379" s="873"/>
      <c r="AS379" s="873"/>
      <c r="AT379" s="873"/>
      <c r="AU379" s="873"/>
      <c r="AV379" s="873"/>
    </row>
    <row r="380" spans="1:48" ht="11.25" customHeight="1" x14ac:dyDescent="0.2">
      <c r="A380" s="873"/>
      <c r="B380" s="873"/>
      <c r="C380" s="873"/>
      <c r="D380" s="873"/>
      <c r="E380" s="873"/>
      <c r="F380" s="873"/>
      <c r="G380" s="873"/>
      <c r="H380" s="873"/>
      <c r="I380" s="873"/>
      <c r="J380" s="873"/>
      <c r="K380" s="873"/>
      <c r="L380" s="873"/>
      <c r="M380" s="873"/>
      <c r="N380" s="873"/>
      <c r="O380" s="873"/>
      <c r="P380" s="873"/>
      <c r="Q380" s="873"/>
      <c r="R380" s="873"/>
      <c r="S380" s="873"/>
      <c r="T380" s="873"/>
      <c r="U380" s="873"/>
      <c r="V380" s="873"/>
      <c r="W380" s="873"/>
      <c r="X380" s="873"/>
      <c r="Y380" s="873"/>
      <c r="Z380" s="873"/>
      <c r="AA380" s="873"/>
      <c r="AB380" s="873"/>
      <c r="AC380" s="873"/>
      <c r="AD380" s="873"/>
      <c r="AE380" s="873"/>
      <c r="AF380" s="873"/>
      <c r="AG380" s="873"/>
      <c r="AH380" s="873"/>
      <c r="AI380" s="873"/>
      <c r="AJ380" s="873"/>
      <c r="AK380" s="873"/>
      <c r="AL380" s="873"/>
      <c r="AM380" s="873"/>
      <c r="AN380" s="873"/>
      <c r="AO380" s="873"/>
      <c r="AP380" s="873"/>
      <c r="AQ380" s="873"/>
      <c r="AR380" s="873"/>
      <c r="AS380" s="873"/>
      <c r="AT380" s="873"/>
      <c r="AU380" s="873"/>
      <c r="AV380" s="873"/>
    </row>
    <row r="381" spans="1:48" ht="11.25" customHeight="1" x14ac:dyDescent="0.2">
      <c r="A381" s="873"/>
      <c r="B381" s="873"/>
      <c r="C381" s="873"/>
      <c r="D381" s="873"/>
      <c r="E381" s="873"/>
      <c r="F381" s="873"/>
      <c r="G381" s="873"/>
      <c r="H381" s="873"/>
      <c r="I381" s="873"/>
      <c r="J381" s="873"/>
      <c r="K381" s="873"/>
      <c r="L381" s="873"/>
      <c r="M381" s="873"/>
      <c r="N381" s="873"/>
      <c r="O381" s="873"/>
      <c r="P381" s="873"/>
      <c r="Q381" s="873"/>
      <c r="R381" s="873"/>
      <c r="S381" s="873"/>
      <c r="T381" s="873"/>
      <c r="U381" s="873"/>
      <c r="V381" s="873"/>
      <c r="W381" s="873"/>
      <c r="X381" s="873"/>
      <c r="Y381" s="873"/>
      <c r="Z381" s="873"/>
      <c r="AA381" s="873"/>
      <c r="AB381" s="873"/>
      <c r="AC381" s="873"/>
      <c r="AD381" s="873"/>
      <c r="AE381" s="873"/>
      <c r="AF381" s="873"/>
      <c r="AG381" s="873"/>
      <c r="AH381" s="873"/>
      <c r="AI381" s="873"/>
      <c r="AJ381" s="873"/>
      <c r="AK381" s="873"/>
      <c r="AL381" s="873"/>
      <c r="AM381" s="873"/>
      <c r="AN381" s="873"/>
      <c r="AO381" s="873"/>
      <c r="AP381" s="873"/>
      <c r="AQ381" s="873"/>
      <c r="AR381" s="873"/>
      <c r="AS381" s="873"/>
      <c r="AT381" s="873"/>
      <c r="AU381" s="873"/>
      <c r="AV381" s="873"/>
    </row>
    <row r="382" spans="1:48" ht="11.25" customHeight="1" x14ac:dyDescent="0.2">
      <c r="A382" s="873"/>
      <c r="B382" s="873"/>
      <c r="C382" s="873"/>
      <c r="D382" s="873"/>
      <c r="E382" s="873"/>
      <c r="F382" s="873"/>
      <c r="G382" s="873"/>
      <c r="H382" s="873"/>
      <c r="I382" s="873"/>
      <c r="J382" s="873"/>
      <c r="K382" s="873"/>
      <c r="L382" s="873"/>
      <c r="M382" s="873"/>
      <c r="N382" s="873"/>
      <c r="O382" s="873"/>
      <c r="P382" s="873"/>
      <c r="Q382" s="873"/>
      <c r="R382" s="873"/>
      <c r="S382" s="873"/>
      <c r="T382" s="873"/>
      <c r="U382" s="873"/>
      <c r="V382" s="873"/>
      <c r="W382" s="873"/>
      <c r="X382" s="873"/>
      <c r="Y382" s="873"/>
      <c r="Z382" s="873"/>
      <c r="AA382" s="873"/>
      <c r="AB382" s="873"/>
      <c r="AC382" s="873"/>
      <c r="AD382" s="873"/>
      <c r="AE382" s="873"/>
      <c r="AF382" s="873"/>
      <c r="AG382" s="873"/>
      <c r="AH382" s="873"/>
      <c r="AI382" s="873"/>
      <c r="AJ382" s="873"/>
      <c r="AK382" s="873"/>
      <c r="AL382" s="873"/>
      <c r="AM382" s="873"/>
      <c r="AN382" s="873"/>
      <c r="AO382" s="873"/>
      <c r="AP382" s="873"/>
      <c r="AQ382" s="873"/>
      <c r="AR382" s="873"/>
      <c r="AS382" s="873"/>
      <c r="AT382" s="873"/>
      <c r="AU382" s="873"/>
      <c r="AV382" s="873"/>
    </row>
    <row r="383" spans="1:48" ht="11.25" customHeight="1" x14ac:dyDescent="0.2">
      <c r="A383" s="873"/>
      <c r="B383" s="873"/>
      <c r="C383" s="873"/>
      <c r="D383" s="873"/>
      <c r="E383" s="873"/>
      <c r="F383" s="873"/>
      <c r="G383" s="873"/>
      <c r="H383" s="873"/>
      <c r="I383" s="873"/>
      <c r="J383" s="873"/>
      <c r="K383" s="873"/>
      <c r="L383" s="873"/>
      <c r="M383" s="873"/>
      <c r="N383" s="873"/>
      <c r="O383" s="873"/>
      <c r="P383" s="873"/>
      <c r="Q383" s="873"/>
      <c r="R383" s="873"/>
      <c r="S383" s="873"/>
      <c r="T383" s="873"/>
      <c r="U383" s="873"/>
      <c r="V383" s="873"/>
      <c r="W383" s="873"/>
      <c r="X383" s="873"/>
      <c r="Y383" s="873"/>
      <c r="Z383" s="873"/>
      <c r="AA383" s="873"/>
      <c r="AB383" s="873"/>
      <c r="AC383" s="873"/>
      <c r="AD383" s="873"/>
      <c r="AE383" s="873"/>
      <c r="AF383" s="873"/>
      <c r="AG383" s="873"/>
      <c r="AH383" s="873"/>
      <c r="AI383" s="873"/>
      <c r="AJ383" s="873"/>
      <c r="AK383" s="873"/>
      <c r="AL383" s="873"/>
      <c r="AM383" s="873"/>
      <c r="AN383" s="873"/>
      <c r="AO383" s="873"/>
      <c r="AP383" s="873"/>
      <c r="AQ383" s="873"/>
      <c r="AR383" s="873"/>
      <c r="AS383" s="873"/>
      <c r="AT383" s="873"/>
      <c r="AU383" s="873"/>
      <c r="AV383" s="873"/>
    </row>
    <row r="384" spans="1:48" ht="11.25" customHeight="1" x14ac:dyDescent="0.2">
      <c r="A384" s="873"/>
      <c r="B384" s="873"/>
      <c r="C384" s="873"/>
      <c r="D384" s="873"/>
      <c r="E384" s="873"/>
      <c r="F384" s="873"/>
      <c r="G384" s="873"/>
      <c r="H384" s="873"/>
      <c r="I384" s="873"/>
      <c r="J384" s="873"/>
      <c r="K384" s="873"/>
      <c r="L384" s="873"/>
      <c r="M384" s="873"/>
      <c r="N384" s="873"/>
      <c r="O384" s="873"/>
      <c r="P384" s="873"/>
      <c r="Q384" s="873"/>
      <c r="R384" s="873"/>
      <c r="S384" s="873"/>
      <c r="T384" s="873"/>
      <c r="U384" s="873"/>
      <c r="V384" s="873"/>
      <c r="W384" s="873"/>
      <c r="X384" s="873"/>
      <c r="Y384" s="873"/>
      <c r="Z384" s="873"/>
      <c r="AA384" s="873"/>
      <c r="AB384" s="873"/>
      <c r="AC384" s="873"/>
      <c r="AD384" s="873"/>
      <c r="AE384" s="873"/>
      <c r="AF384" s="873"/>
      <c r="AG384" s="873"/>
      <c r="AH384" s="873"/>
      <c r="AI384" s="873"/>
      <c r="AJ384" s="873"/>
      <c r="AK384" s="873"/>
      <c r="AL384" s="873"/>
      <c r="AM384" s="873"/>
      <c r="AN384" s="873"/>
      <c r="AO384" s="873"/>
      <c r="AP384" s="873"/>
      <c r="AQ384" s="873"/>
      <c r="AR384" s="873"/>
      <c r="AS384" s="873"/>
      <c r="AT384" s="873"/>
      <c r="AU384" s="873"/>
      <c r="AV384" s="873"/>
    </row>
    <row r="385" spans="1:48" ht="11.25" customHeight="1" x14ac:dyDescent="0.2">
      <c r="A385" s="873"/>
      <c r="B385" s="873"/>
      <c r="C385" s="873"/>
      <c r="D385" s="873"/>
      <c r="E385" s="873"/>
      <c r="F385" s="873"/>
      <c r="G385" s="873"/>
      <c r="H385" s="873"/>
      <c r="I385" s="873"/>
      <c r="J385" s="873"/>
      <c r="K385" s="873"/>
      <c r="L385" s="873"/>
      <c r="M385" s="873"/>
      <c r="N385" s="873"/>
      <c r="O385" s="873"/>
      <c r="P385" s="873"/>
      <c r="Q385" s="873"/>
      <c r="R385" s="873"/>
      <c r="S385" s="873"/>
      <c r="T385" s="873"/>
      <c r="U385" s="873"/>
      <c r="V385" s="873"/>
      <c r="W385" s="873"/>
      <c r="X385" s="873"/>
      <c r="Y385" s="873"/>
      <c r="Z385" s="873"/>
      <c r="AA385" s="873"/>
      <c r="AB385" s="873"/>
      <c r="AC385" s="873"/>
      <c r="AD385" s="873"/>
      <c r="AE385" s="873"/>
      <c r="AF385" s="873"/>
      <c r="AG385" s="873"/>
      <c r="AH385" s="873"/>
      <c r="AI385" s="873"/>
      <c r="AJ385" s="873"/>
      <c r="AK385" s="873"/>
      <c r="AL385" s="873"/>
      <c r="AM385" s="873"/>
      <c r="AN385" s="873"/>
      <c r="AO385" s="873"/>
      <c r="AP385" s="873"/>
      <c r="AQ385" s="873"/>
      <c r="AR385" s="873"/>
      <c r="AS385" s="873"/>
      <c r="AT385" s="873"/>
      <c r="AU385" s="873"/>
      <c r="AV385" s="873"/>
    </row>
    <row r="386" spans="1:48" ht="11.25" customHeight="1" x14ac:dyDescent="0.2">
      <c r="A386" s="873"/>
      <c r="B386" s="873"/>
      <c r="C386" s="873"/>
      <c r="D386" s="873"/>
      <c r="E386" s="873"/>
      <c r="F386" s="873"/>
      <c r="G386" s="873"/>
      <c r="H386" s="873"/>
      <c r="I386" s="873"/>
      <c r="J386" s="873"/>
      <c r="K386" s="873"/>
      <c r="L386" s="873"/>
      <c r="M386" s="873"/>
      <c r="N386" s="873"/>
      <c r="O386" s="873"/>
      <c r="P386" s="873"/>
      <c r="Q386" s="873"/>
      <c r="R386" s="873"/>
      <c r="S386" s="873"/>
      <c r="T386" s="873"/>
      <c r="U386" s="873"/>
      <c r="V386" s="873"/>
      <c r="W386" s="873"/>
      <c r="X386" s="873"/>
      <c r="Y386" s="873"/>
      <c r="Z386" s="873"/>
      <c r="AA386" s="873"/>
      <c r="AB386" s="873"/>
      <c r="AC386" s="873"/>
      <c r="AD386" s="873"/>
      <c r="AE386" s="873"/>
      <c r="AF386" s="873"/>
      <c r="AG386" s="873"/>
      <c r="AH386" s="873"/>
      <c r="AI386" s="873"/>
      <c r="AJ386" s="873"/>
      <c r="AK386" s="873"/>
      <c r="AL386" s="873"/>
      <c r="AM386" s="873"/>
      <c r="AN386" s="873"/>
      <c r="AO386" s="873"/>
      <c r="AP386" s="873"/>
      <c r="AQ386" s="873"/>
      <c r="AR386" s="873"/>
      <c r="AS386" s="873"/>
      <c r="AT386" s="873"/>
      <c r="AU386" s="873"/>
      <c r="AV386" s="873"/>
    </row>
    <row r="387" spans="1:48" ht="11.25" customHeight="1" x14ac:dyDescent="0.2">
      <c r="A387" s="873"/>
      <c r="B387" s="873"/>
      <c r="C387" s="873"/>
      <c r="D387" s="873"/>
      <c r="E387" s="873"/>
      <c r="F387" s="873"/>
      <c r="G387" s="873"/>
      <c r="H387" s="873"/>
      <c r="I387" s="873"/>
      <c r="J387" s="873"/>
      <c r="K387" s="873"/>
      <c r="L387" s="873"/>
      <c r="M387" s="873"/>
      <c r="N387" s="873"/>
      <c r="O387" s="873"/>
      <c r="P387" s="873"/>
      <c r="Q387" s="873"/>
      <c r="R387" s="873"/>
      <c r="S387" s="873"/>
      <c r="T387" s="873"/>
      <c r="U387" s="873"/>
      <c r="V387" s="873"/>
      <c r="W387" s="873"/>
      <c r="X387" s="873"/>
      <c r="Y387" s="873"/>
      <c r="Z387" s="873"/>
      <c r="AA387" s="873"/>
      <c r="AB387" s="873"/>
      <c r="AC387" s="873"/>
      <c r="AD387" s="873"/>
      <c r="AE387" s="873"/>
      <c r="AF387" s="873"/>
      <c r="AG387" s="873"/>
      <c r="AH387" s="873"/>
      <c r="AI387" s="873"/>
      <c r="AJ387" s="873"/>
      <c r="AK387" s="873"/>
      <c r="AL387" s="873"/>
      <c r="AM387" s="873"/>
      <c r="AN387" s="873"/>
      <c r="AO387" s="873"/>
      <c r="AP387" s="873"/>
      <c r="AQ387" s="873"/>
      <c r="AR387" s="873"/>
      <c r="AS387" s="873"/>
      <c r="AT387" s="873"/>
      <c r="AU387" s="873"/>
      <c r="AV387" s="873"/>
    </row>
    <row r="388" spans="1:48" ht="11.25" customHeight="1" x14ac:dyDescent="0.2">
      <c r="A388" s="873"/>
      <c r="B388" s="873"/>
      <c r="C388" s="873"/>
      <c r="D388" s="873"/>
      <c r="E388" s="873"/>
      <c r="F388" s="873"/>
      <c r="G388" s="873"/>
      <c r="H388" s="873"/>
      <c r="I388" s="873"/>
      <c r="J388" s="873"/>
      <c r="K388" s="873"/>
      <c r="L388" s="873"/>
      <c r="M388" s="873"/>
      <c r="N388" s="873"/>
      <c r="O388" s="873"/>
      <c r="P388" s="873"/>
      <c r="Q388" s="873"/>
      <c r="R388" s="873"/>
      <c r="S388" s="873"/>
      <c r="T388" s="873"/>
      <c r="U388" s="873"/>
      <c r="V388" s="873"/>
      <c r="W388" s="873"/>
      <c r="X388" s="873"/>
      <c r="Y388" s="873"/>
      <c r="Z388" s="873"/>
      <c r="AA388" s="873"/>
      <c r="AB388" s="873"/>
      <c r="AC388" s="873"/>
      <c r="AD388" s="873"/>
      <c r="AE388" s="873"/>
      <c r="AF388" s="873"/>
      <c r="AG388" s="873"/>
      <c r="AH388" s="873"/>
      <c r="AI388" s="873"/>
      <c r="AJ388" s="873"/>
      <c r="AK388" s="873"/>
      <c r="AL388" s="873"/>
      <c r="AM388" s="873"/>
      <c r="AN388" s="873"/>
      <c r="AO388" s="873"/>
      <c r="AP388" s="873"/>
      <c r="AQ388" s="873"/>
      <c r="AR388" s="873"/>
      <c r="AS388" s="873"/>
      <c r="AT388" s="873"/>
      <c r="AU388" s="873"/>
      <c r="AV388" s="873"/>
    </row>
    <row r="389" spans="1:48" ht="11.25" customHeight="1" x14ac:dyDescent="0.2">
      <c r="A389" s="873"/>
      <c r="B389" s="873"/>
      <c r="C389" s="873"/>
      <c r="D389" s="873"/>
      <c r="E389" s="873"/>
      <c r="F389" s="873"/>
      <c r="G389" s="873"/>
      <c r="H389" s="873"/>
      <c r="I389" s="873"/>
      <c r="J389" s="873"/>
      <c r="K389" s="873"/>
      <c r="L389" s="873"/>
      <c r="M389" s="873"/>
      <c r="N389" s="873"/>
      <c r="O389" s="873"/>
      <c r="P389" s="873"/>
      <c r="Q389" s="873"/>
      <c r="R389" s="873"/>
      <c r="S389" s="873"/>
      <c r="T389" s="873"/>
      <c r="U389" s="873"/>
      <c r="V389" s="873"/>
      <c r="W389" s="873"/>
      <c r="X389" s="873"/>
      <c r="Y389" s="873"/>
      <c r="Z389" s="873"/>
      <c r="AA389" s="873"/>
      <c r="AB389" s="873"/>
      <c r="AC389" s="873"/>
      <c r="AD389" s="873"/>
      <c r="AE389" s="873"/>
      <c r="AF389" s="873"/>
      <c r="AG389" s="873"/>
      <c r="AH389" s="873"/>
      <c r="AI389" s="873"/>
      <c r="AJ389" s="873"/>
      <c r="AK389" s="873"/>
      <c r="AL389" s="873"/>
      <c r="AM389" s="873"/>
      <c r="AN389" s="873"/>
      <c r="AO389" s="873"/>
      <c r="AP389" s="873"/>
      <c r="AQ389" s="873"/>
      <c r="AR389" s="873"/>
      <c r="AS389" s="873"/>
      <c r="AT389" s="873"/>
      <c r="AU389" s="873"/>
      <c r="AV389" s="873"/>
    </row>
    <row r="390" spans="1:48" ht="11.25" customHeight="1" x14ac:dyDescent="0.2">
      <c r="A390" s="873"/>
      <c r="B390" s="873"/>
      <c r="C390" s="873"/>
      <c r="D390" s="873"/>
      <c r="E390" s="873"/>
      <c r="F390" s="873"/>
      <c r="G390" s="873"/>
      <c r="H390" s="873"/>
      <c r="I390" s="873"/>
      <c r="J390" s="873"/>
      <c r="K390" s="873"/>
      <c r="L390" s="873"/>
      <c r="M390" s="873"/>
      <c r="N390" s="873"/>
      <c r="O390" s="873"/>
      <c r="P390" s="873"/>
      <c r="Q390" s="873"/>
      <c r="R390" s="873"/>
      <c r="S390" s="873"/>
      <c r="T390" s="873"/>
      <c r="U390" s="873"/>
      <c r="V390" s="873"/>
      <c r="W390" s="873"/>
      <c r="X390" s="873"/>
      <c r="Y390" s="873"/>
      <c r="Z390" s="873"/>
      <c r="AA390" s="873"/>
      <c r="AB390" s="873"/>
      <c r="AC390" s="873"/>
      <c r="AD390" s="873"/>
      <c r="AE390" s="873"/>
      <c r="AF390" s="873"/>
      <c r="AG390" s="873"/>
      <c r="AH390" s="873"/>
      <c r="AI390" s="873"/>
      <c r="AJ390" s="873"/>
      <c r="AK390" s="873"/>
      <c r="AL390" s="873"/>
      <c r="AM390" s="873"/>
      <c r="AN390" s="873"/>
      <c r="AO390" s="873"/>
      <c r="AP390" s="873"/>
      <c r="AQ390" s="873"/>
      <c r="AR390" s="873"/>
      <c r="AS390" s="873"/>
      <c r="AT390" s="873"/>
      <c r="AU390" s="873"/>
      <c r="AV390" s="873"/>
    </row>
    <row r="391" spans="1:48" ht="11.25" customHeight="1" x14ac:dyDescent="0.2">
      <c r="A391" s="873"/>
      <c r="B391" s="873"/>
      <c r="C391" s="873"/>
      <c r="D391" s="873"/>
      <c r="E391" s="873"/>
      <c r="F391" s="873"/>
      <c r="G391" s="873"/>
      <c r="H391" s="873"/>
      <c r="I391" s="873"/>
      <c r="J391" s="873"/>
      <c r="K391" s="873"/>
      <c r="L391" s="873"/>
      <c r="M391" s="873"/>
      <c r="N391" s="873"/>
      <c r="O391" s="873"/>
      <c r="P391" s="873"/>
      <c r="Q391" s="873"/>
      <c r="R391" s="873"/>
      <c r="S391" s="873"/>
      <c r="T391" s="873"/>
      <c r="U391" s="873"/>
      <c r="V391" s="873"/>
      <c r="W391" s="873"/>
      <c r="X391" s="873"/>
      <c r="Y391" s="873"/>
      <c r="Z391" s="873"/>
      <c r="AA391" s="873"/>
      <c r="AB391" s="873"/>
      <c r="AC391" s="873"/>
      <c r="AD391" s="873"/>
      <c r="AE391" s="873"/>
      <c r="AF391" s="873"/>
      <c r="AG391" s="873"/>
      <c r="AH391" s="873"/>
      <c r="AI391" s="873"/>
      <c r="AJ391" s="873"/>
      <c r="AK391" s="873"/>
      <c r="AL391" s="873"/>
      <c r="AM391" s="873"/>
      <c r="AN391" s="873"/>
      <c r="AO391" s="873"/>
      <c r="AP391" s="873"/>
      <c r="AQ391" s="873"/>
      <c r="AR391" s="873"/>
      <c r="AS391" s="873"/>
      <c r="AT391" s="873"/>
      <c r="AU391" s="873"/>
      <c r="AV391" s="873"/>
    </row>
    <row r="392" spans="1:48" ht="11.25" customHeight="1" x14ac:dyDescent="0.2">
      <c r="A392" s="873"/>
      <c r="B392" s="873"/>
      <c r="C392" s="873"/>
      <c r="D392" s="873"/>
      <c r="E392" s="873"/>
      <c r="F392" s="873"/>
      <c r="G392" s="873"/>
      <c r="H392" s="873"/>
      <c r="I392" s="873"/>
      <c r="J392" s="873"/>
      <c r="K392" s="873"/>
      <c r="L392" s="873"/>
      <c r="M392" s="873"/>
      <c r="N392" s="873"/>
      <c r="O392" s="873"/>
      <c r="P392" s="873"/>
      <c r="Q392" s="873"/>
      <c r="R392" s="873"/>
      <c r="S392" s="873"/>
      <c r="T392" s="873"/>
      <c r="U392" s="873"/>
      <c r="V392" s="873"/>
      <c r="W392" s="873"/>
      <c r="X392" s="873"/>
      <c r="Y392" s="873"/>
      <c r="Z392" s="873"/>
      <c r="AA392" s="873"/>
      <c r="AB392" s="873"/>
      <c r="AC392" s="873"/>
      <c r="AD392" s="873"/>
      <c r="AE392" s="873"/>
      <c r="AF392" s="873"/>
      <c r="AG392" s="873"/>
      <c r="AH392" s="873"/>
      <c r="AI392" s="873"/>
      <c r="AJ392" s="873"/>
      <c r="AK392" s="873"/>
      <c r="AL392" s="873"/>
      <c r="AM392" s="873"/>
      <c r="AN392" s="873"/>
      <c r="AO392" s="873"/>
      <c r="AP392" s="873"/>
      <c r="AQ392" s="873"/>
      <c r="AR392" s="873"/>
      <c r="AS392" s="873"/>
      <c r="AT392" s="873"/>
      <c r="AU392" s="873"/>
      <c r="AV392" s="873"/>
    </row>
    <row r="393" spans="1:48" ht="11.25" customHeight="1" x14ac:dyDescent="0.2">
      <c r="A393" s="873"/>
      <c r="B393" s="873"/>
      <c r="C393" s="873"/>
      <c r="D393" s="873"/>
      <c r="E393" s="873"/>
      <c r="F393" s="873"/>
      <c r="G393" s="873"/>
      <c r="H393" s="873"/>
      <c r="I393" s="873"/>
      <c r="J393" s="873"/>
      <c r="K393" s="873"/>
      <c r="L393" s="873"/>
      <c r="M393" s="873"/>
      <c r="N393" s="873"/>
      <c r="O393" s="873"/>
      <c r="P393" s="873"/>
      <c r="Q393" s="873"/>
      <c r="R393" s="873"/>
      <c r="S393" s="873"/>
      <c r="T393" s="873"/>
      <c r="U393" s="873"/>
      <c r="V393" s="873"/>
      <c r="W393" s="873"/>
      <c r="X393" s="873"/>
      <c r="Y393" s="873"/>
      <c r="Z393" s="873"/>
      <c r="AA393" s="873"/>
      <c r="AB393" s="873"/>
      <c r="AC393" s="873"/>
      <c r="AD393" s="873"/>
      <c r="AE393" s="873"/>
      <c r="AF393" s="873"/>
      <c r="AG393" s="873"/>
      <c r="AH393" s="873"/>
      <c r="AI393" s="873"/>
      <c r="AJ393" s="873"/>
      <c r="AK393" s="873"/>
      <c r="AL393" s="873"/>
      <c r="AM393" s="873"/>
      <c r="AN393" s="873"/>
      <c r="AO393" s="873"/>
      <c r="AP393" s="873"/>
      <c r="AQ393" s="873"/>
      <c r="AR393" s="873"/>
      <c r="AS393" s="873"/>
      <c r="AT393" s="873"/>
      <c r="AU393" s="873"/>
      <c r="AV393" s="873"/>
    </row>
    <row r="394" spans="1:48" ht="11.25" customHeight="1" x14ac:dyDescent="0.2">
      <c r="A394" s="873"/>
      <c r="B394" s="873"/>
      <c r="C394" s="873"/>
      <c r="D394" s="873"/>
      <c r="E394" s="873"/>
      <c r="F394" s="873"/>
      <c r="G394" s="873"/>
      <c r="H394" s="873"/>
      <c r="I394" s="873"/>
      <c r="J394" s="873"/>
      <c r="K394" s="873"/>
      <c r="L394" s="873"/>
      <c r="M394" s="873"/>
      <c r="N394" s="873"/>
      <c r="O394" s="873"/>
      <c r="P394" s="873"/>
      <c r="Q394" s="873"/>
      <c r="R394" s="873"/>
      <c r="S394" s="873"/>
      <c r="T394" s="873"/>
      <c r="U394" s="873"/>
      <c r="V394" s="873"/>
      <c r="W394" s="873"/>
      <c r="X394" s="873"/>
      <c r="Y394" s="873"/>
      <c r="Z394" s="873"/>
      <c r="AA394" s="873"/>
      <c r="AB394" s="873"/>
      <c r="AC394" s="873"/>
      <c r="AD394" s="873"/>
      <c r="AE394" s="873"/>
      <c r="AF394" s="873"/>
      <c r="AG394" s="873"/>
      <c r="AH394" s="873"/>
      <c r="AI394" s="873"/>
      <c r="AJ394" s="873"/>
      <c r="AK394" s="873"/>
      <c r="AL394" s="873"/>
      <c r="AM394" s="873"/>
      <c r="AN394" s="873"/>
      <c r="AO394" s="873"/>
      <c r="AP394" s="873"/>
      <c r="AQ394" s="873"/>
      <c r="AR394" s="873"/>
      <c r="AS394" s="873"/>
      <c r="AT394" s="873"/>
      <c r="AU394" s="873"/>
      <c r="AV394" s="873"/>
    </row>
    <row r="395" spans="1:48" ht="11.25" customHeight="1" x14ac:dyDescent="0.2">
      <c r="A395" s="873"/>
      <c r="B395" s="873"/>
      <c r="C395" s="873"/>
      <c r="D395" s="873"/>
      <c r="E395" s="873"/>
      <c r="F395" s="873"/>
      <c r="G395" s="873"/>
      <c r="H395" s="873"/>
      <c r="I395" s="873"/>
      <c r="J395" s="873"/>
      <c r="K395" s="873"/>
      <c r="L395" s="873"/>
      <c r="M395" s="873"/>
      <c r="N395" s="873"/>
      <c r="O395" s="873"/>
      <c r="P395" s="873"/>
      <c r="Q395" s="873"/>
      <c r="R395" s="873"/>
      <c r="S395" s="873"/>
      <c r="T395" s="873"/>
      <c r="U395" s="873"/>
      <c r="V395" s="873"/>
      <c r="W395" s="873"/>
      <c r="X395" s="873"/>
      <c r="Y395" s="873"/>
      <c r="Z395" s="873"/>
      <c r="AA395" s="873"/>
      <c r="AB395" s="873"/>
      <c r="AC395" s="873"/>
      <c r="AD395" s="873"/>
      <c r="AE395" s="873"/>
      <c r="AF395" s="873"/>
      <c r="AG395" s="873"/>
      <c r="AH395" s="873"/>
      <c r="AI395" s="873"/>
      <c r="AJ395" s="873"/>
      <c r="AK395" s="873"/>
      <c r="AL395" s="873"/>
      <c r="AM395" s="873"/>
      <c r="AN395" s="873"/>
      <c r="AO395" s="873"/>
      <c r="AP395" s="873"/>
      <c r="AQ395" s="873"/>
      <c r="AR395" s="873"/>
      <c r="AS395" s="873"/>
      <c r="AT395" s="873"/>
      <c r="AU395" s="873"/>
      <c r="AV395" s="873"/>
    </row>
    <row r="396" spans="1:48" ht="11.25" customHeight="1" x14ac:dyDescent="0.2">
      <c r="A396" s="873"/>
      <c r="B396" s="873"/>
      <c r="C396" s="873"/>
      <c r="D396" s="873"/>
      <c r="E396" s="873"/>
      <c r="F396" s="873"/>
      <c r="G396" s="873"/>
      <c r="H396" s="873"/>
      <c r="I396" s="873"/>
      <c r="J396" s="873"/>
      <c r="K396" s="873"/>
      <c r="L396" s="873"/>
      <c r="M396" s="873"/>
      <c r="N396" s="873"/>
      <c r="O396" s="873"/>
      <c r="P396" s="873"/>
      <c r="Q396" s="873"/>
      <c r="R396" s="873"/>
      <c r="S396" s="873"/>
      <c r="T396" s="873"/>
      <c r="U396" s="873"/>
      <c r="V396" s="873"/>
      <c r="W396" s="873"/>
      <c r="X396" s="873"/>
      <c r="Y396" s="873"/>
      <c r="Z396" s="873"/>
      <c r="AA396" s="873"/>
      <c r="AB396" s="873"/>
      <c r="AC396" s="873"/>
      <c r="AD396" s="873"/>
      <c r="AE396" s="873"/>
      <c r="AF396" s="873"/>
      <c r="AG396" s="873"/>
      <c r="AH396" s="873"/>
      <c r="AI396" s="873"/>
      <c r="AJ396" s="873"/>
      <c r="AK396" s="873"/>
      <c r="AL396" s="873"/>
      <c r="AM396" s="873"/>
      <c r="AN396" s="873"/>
      <c r="AO396" s="873"/>
      <c r="AP396" s="873"/>
      <c r="AQ396" s="873"/>
      <c r="AR396" s="873"/>
      <c r="AS396" s="873"/>
      <c r="AT396" s="873"/>
      <c r="AU396" s="873"/>
      <c r="AV396" s="873"/>
    </row>
    <row r="397" spans="1:48" ht="11.25" customHeight="1" x14ac:dyDescent="0.2">
      <c r="A397" s="873"/>
      <c r="B397" s="873"/>
      <c r="C397" s="873"/>
      <c r="D397" s="873"/>
      <c r="E397" s="873"/>
      <c r="F397" s="873"/>
      <c r="G397" s="873"/>
      <c r="H397" s="873"/>
      <c r="I397" s="873"/>
      <c r="J397" s="873"/>
      <c r="K397" s="873"/>
      <c r="L397" s="873"/>
      <c r="M397" s="873"/>
      <c r="N397" s="873"/>
      <c r="O397" s="873"/>
      <c r="P397" s="873"/>
      <c r="Q397" s="873"/>
      <c r="R397" s="873"/>
      <c r="S397" s="873"/>
      <c r="T397" s="873"/>
      <c r="U397" s="873"/>
      <c r="V397" s="873"/>
      <c r="W397" s="873"/>
      <c r="X397" s="873"/>
      <c r="Y397" s="873"/>
      <c r="Z397" s="873"/>
      <c r="AA397" s="873"/>
      <c r="AB397" s="873"/>
      <c r="AC397" s="873"/>
      <c r="AD397" s="873"/>
      <c r="AE397" s="873"/>
      <c r="AF397" s="873"/>
      <c r="AG397" s="873"/>
      <c r="AH397" s="873"/>
      <c r="AI397" s="873"/>
      <c r="AJ397" s="873"/>
      <c r="AK397" s="873"/>
      <c r="AL397" s="873"/>
      <c r="AM397" s="873"/>
      <c r="AN397" s="873"/>
      <c r="AO397" s="873"/>
      <c r="AP397" s="873"/>
      <c r="AQ397" s="873"/>
      <c r="AR397" s="873"/>
      <c r="AS397" s="873"/>
      <c r="AT397" s="873"/>
      <c r="AU397" s="873"/>
      <c r="AV397" s="873"/>
    </row>
    <row r="398" spans="1:48" ht="11.25" customHeight="1" x14ac:dyDescent="0.2">
      <c r="A398" s="873"/>
      <c r="B398" s="873"/>
      <c r="C398" s="873"/>
      <c r="D398" s="873"/>
      <c r="E398" s="873"/>
      <c r="F398" s="873"/>
      <c r="G398" s="873"/>
      <c r="H398" s="873"/>
      <c r="I398" s="873"/>
      <c r="J398" s="873"/>
      <c r="K398" s="873"/>
      <c r="L398" s="873"/>
      <c r="M398" s="873"/>
      <c r="N398" s="873"/>
      <c r="O398" s="873"/>
      <c r="P398" s="873"/>
      <c r="Q398" s="873"/>
      <c r="R398" s="873"/>
      <c r="S398" s="873"/>
      <c r="T398" s="873"/>
      <c r="U398" s="873"/>
      <c r="V398" s="873"/>
      <c r="W398" s="873"/>
      <c r="X398" s="873"/>
      <c r="Y398" s="873"/>
      <c r="Z398" s="873"/>
      <c r="AA398" s="873"/>
      <c r="AB398" s="873"/>
      <c r="AC398" s="873"/>
      <c r="AD398" s="873"/>
      <c r="AE398" s="873"/>
      <c r="AF398" s="873"/>
      <c r="AG398" s="873"/>
      <c r="AH398" s="873"/>
      <c r="AI398" s="873"/>
      <c r="AJ398" s="873"/>
      <c r="AK398" s="873"/>
      <c r="AL398" s="873"/>
      <c r="AM398" s="873"/>
      <c r="AN398" s="873"/>
      <c r="AO398" s="873"/>
      <c r="AP398" s="873"/>
      <c r="AQ398" s="873"/>
      <c r="AR398" s="873"/>
      <c r="AS398" s="873"/>
      <c r="AT398" s="873"/>
      <c r="AU398" s="873"/>
      <c r="AV398" s="873"/>
    </row>
    <row r="399" spans="1:48" ht="11.25" customHeight="1" x14ac:dyDescent="0.2">
      <c r="A399" s="873"/>
      <c r="B399" s="873"/>
      <c r="C399" s="873"/>
      <c r="D399" s="873"/>
      <c r="E399" s="873"/>
      <c r="F399" s="873"/>
      <c r="G399" s="873"/>
      <c r="H399" s="873"/>
      <c r="I399" s="873"/>
      <c r="J399" s="873"/>
      <c r="K399" s="873"/>
      <c r="L399" s="873"/>
      <c r="M399" s="873"/>
      <c r="N399" s="873"/>
      <c r="O399" s="873"/>
      <c r="P399" s="873"/>
      <c r="Q399" s="873"/>
      <c r="R399" s="873"/>
      <c r="S399" s="873"/>
      <c r="T399" s="873"/>
      <c r="U399" s="873"/>
      <c r="V399" s="873"/>
      <c r="W399" s="873"/>
      <c r="X399" s="873"/>
      <c r="Y399" s="873"/>
      <c r="Z399" s="873"/>
      <c r="AA399" s="873"/>
      <c r="AB399" s="873"/>
      <c r="AC399" s="873"/>
      <c r="AD399" s="873"/>
      <c r="AE399" s="873"/>
      <c r="AF399" s="873"/>
      <c r="AG399" s="873"/>
      <c r="AH399" s="873"/>
      <c r="AI399" s="873"/>
      <c r="AJ399" s="873"/>
      <c r="AK399" s="873"/>
      <c r="AL399" s="873"/>
      <c r="AM399" s="873"/>
      <c r="AN399" s="873"/>
      <c r="AO399" s="873"/>
      <c r="AP399" s="873"/>
      <c r="AQ399" s="873"/>
      <c r="AR399" s="873"/>
      <c r="AS399" s="873"/>
      <c r="AT399" s="873"/>
      <c r="AU399" s="873"/>
      <c r="AV399" s="873"/>
    </row>
    <row r="400" spans="1:48" ht="11.25" customHeight="1" x14ac:dyDescent="0.2">
      <c r="A400" s="873"/>
      <c r="B400" s="873"/>
      <c r="C400" s="873"/>
      <c r="D400" s="873"/>
      <c r="E400" s="873"/>
      <c r="F400" s="873"/>
      <c r="G400" s="873"/>
      <c r="H400" s="873"/>
      <c r="I400" s="873"/>
      <c r="J400" s="873"/>
      <c r="K400" s="873"/>
      <c r="L400" s="873"/>
      <c r="M400" s="873"/>
      <c r="N400" s="873"/>
      <c r="O400" s="873"/>
      <c r="P400" s="873"/>
      <c r="Q400" s="873"/>
      <c r="R400" s="873"/>
      <c r="S400" s="873"/>
      <c r="T400" s="873"/>
      <c r="U400" s="873"/>
      <c r="V400" s="873"/>
      <c r="W400" s="873"/>
      <c r="X400" s="873"/>
      <c r="Y400" s="873"/>
      <c r="Z400" s="873"/>
      <c r="AA400" s="873"/>
      <c r="AB400" s="873"/>
      <c r="AC400" s="873"/>
      <c r="AD400" s="873"/>
      <c r="AE400" s="873"/>
      <c r="AF400" s="873"/>
      <c r="AG400" s="873"/>
      <c r="AH400" s="873"/>
      <c r="AI400" s="873"/>
      <c r="AJ400" s="873"/>
      <c r="AK400" s="873"/>
      <c r="AL400" s="873"/>
      <c r="AM400" s="873"/>
      <c r="AN400" s="873"/>
      <c r="AO400" s="873"/>
      <c r="AP400" s="873"/>
      <c r="AQ400" s="873"/>
      <c r="AR400" s="873"/>
      <c r="AS400" s="873"/>
      <c r="AT400" s="873"/>
      <c r="AU400" s="873"/>
      <c r="AV400" s="873"/>
    </row>
    <row r="401" spans="1:48" ht="11.25" customHeight="1" x14ac:dyDescent="0.2">
      <c r="A401" s="873"/>
      <c r="B401" s="873"/>
      <c r="C401" s="873"/>
      <c r="D401" s="873"/>
      <c r="E401" s="873"/>
      <c r="F401" s="873"/>
      <c r="G401" s="873"/>
      <c r="H401" s="873"/>
      <c r="I401" s="873"/>
      <c r="J401" s="873"/>
      <c r="K401" s="873"/>
      <c r="L401" s="873"/>
      <c r="M401" s="873"/>
      <c r="N401" s="873"/>
      <c r="O401" s="873"/>
      <c r="P401" s="873"/>
      <c r="Q401" s="873"/>
      <c r="R401" s="873"/>
      <c r="S401" s="873"/>
      <c r="T401" s="873"/>
      <c r="U401" s="873"/>
      <c r="V401" s="873"/>
      <c r="W401" s="873"/>
      <c r="X401" s="873"/>
      <c r="Y401" s="873"/>
      <c r="Z401" s="873"/>
      <c r="AA401" s="873"/>
      <c r="AB401" s="873"/>
      <c r="AC401" s="873"/>
      <c r="AD401" s="873"/>
      <c r="AE401" s="873"/>
      <c r="AF401" s="873"/>
      <c r="AG401" s="873"/>
      <c r="AH401" s="873"/>
      <c r="AI401" s="873"/>
      <c r="AJ401" s="873"/>
      <c r="AK401" s="873"/>
      <c r="AL401" s="873"/>
      <c r="AM401" s="873"/>
      <c r="AN401" s="873"/>
      <c r="AO401" s="873"/>
      <c r="AP401" s="873"/>
      <c r="AQ401" s="873"/>
      <c r="AR401" s="873"/>
      <c r="AS401" s="873"/>
      <c r="AT401" s="873"/>
      <c r="AU401" s="873"/>
      <c r="AV401" s="873"/>
    </row>
    <row r="402" spans="1:48" ht="11.25" customHeight="1" x14ac:dyDescent="0.2">
      <c r="A402" s="873"/>
      <c r="B402" s="873"/>
      <c r="C402" s="873"/>
      <c r="D402" s="873"/>
      <c r="E402" s="873"/>
      <c r="F402" s="873"/>
      <c r="G402" s="873"/>
      <c r="H402" s="873"/>
      <c r="I402" s="873"/>
      <c r="J402" s="873"/>
      <c r="K402" s="873"/>
      <c r="L402" s="873"/>
      <c r="M402" s="873"/>
      <c r="N402" s="873"/>
      <c r="O402" s="873"/>
      <c r="P402" s="873"/>
      <c r="Q402" s="873"/>
      <c r="R402" s="873"/>
      <c r="S402" s="873"/>
      <c r="T402" s="873"/>
      <c r="U402" s="873"/>
      <c r="V402" s="873"/>
      <c r="W402" s="873"/>
      <c r="X402" s="873"/>
      <c r="Y402" s="873"/>
      <c r="Z402" s="873"/>
      <c r="AA402" s="873"/>
      <c r="AB402" s="873"/>
      <c r="AC402" s="873"/>
      <c r="AD402" s="873"/>
      <c r="AE402" s="873"/>
      <c r="AF402" s="873"/>
      <c r="AG402" s="873"/>
      <c r="AH402" s="873"/>
      <c r="AI402" s="873"/>
      <c r="AJ402" s="873"/>
      <c r="AK402" s="873"/>
      <c r="AL402" s="873"/>
      <c r="AM402" s="873"/>
      <c r="AN402" s="873"/>
      <c r="AO402" s="873"/>
      <c r="AP402" s="873"/>
      <c r="AQ402" s="873"/>
      <c r="AR402" s="873"/>
      <c r="AS402" s="873"/>
      <c r="AT402" s="873"/>
      <c r="AU402" s="873"/>
      <c r="AV402" s="873"/>
    </row>
    <row r="403" spans="1:48" ht="11.25" customHeight="1" x14ac:dyDescent="0.2">
      <c r="A403" s="873"/>
      <c r="B403" s="873"/>
      <c r="C403" s="873"/>
      <c r="D403" s="873"/>
      <c r="E403" s="873"/>
      <c r="F403" s="873"/>
      <c r="G403" s="873"/>
      <c r="H403" s="873"/>
      <c r="I403" s="873"/>
      <c r="J403" s="873"/>
      <c r="K403" s="873"/>
      <c r="L403" s="873"/>
      <c r="M403" s="873"/>
      <c r="N403" s="873"/>
      <c r="O403" s="873"/>
      <c r="P403" s="873"/>
      <c r="Q403" s="873"/>
      <c r="R403" s="873"/>
      <c r="S403" s="873"/>
      <c r="T403" s="873"/>
      <c r="U403" s="873"/>
      <c r="V403" s="873"/>
      <c r="W403" s="873"/>
      <c r="X403" s="873"/>
      <c r="Y403" s="873"/>
      <c r="Z403" s="873"/>
      <c r="AA403" s="873"/>
      <c r="AB403" s="873"/>
      <c r="AC403" s="873"/>
      <c r="AD403" s="873"/>
      <c r="AE403" s="873"/>
      <c r="AF403" s="873"/>
      <c r="AG403" s="873"/>
      <c r="AH403" s="873"/>
      <c r="AI403" s="873"/>
      <c r="AJ403" s="873"/>
      <c r="AK403" s="873"/>
      <c r="AL403" s="873"/>
      <c r="AM403" s="873"/>
      <c r="AN403" s="873"/>
      <c r="AO403" s="873"/>
      <c r="AP403" s="873"/>
      <c r="AQ403" s="873"/>
      <c r="AR403" s="873"/>
      <c r="AS403" s="873"/>
      <c r="AT403" s="873"/>
      <c r="AU403" s="873"/>
      <c r="AV403" s="873"/>
    </row>
    <row r="404" spans="1:48" ht="11.25" customHeight="1" x14ac:dyDescent="0.2">
      <c r="A404" s="873"/>
      <c r="B404" s="873"/>
      <c r="C404" s="873"/>
      <c r="D404" s="873"/>
      <c r="E404" s="873"/>
      <c r="F404" s="873"/>
      <c r="G404" s="873"/>
      <c r="H404" s="873"/>
      <c r="I404" s="873"/>
      <c r="J404" s="873"/>
      <c r="K404" s="873"/>
      <c r="L404" s="873"/>
      <c r="M404" s="873"/>
      <c r="N404" s="873"/>
      <c r="O404" s="873"/>
      <c r="P404" s="873"/>
      <c r="Q404" s="873"/>
      <c r="R404" s="873"/>
      <c r="S404" s="873"/>
      <c r="T404" s="873"/>
      <c r="U404" s="873"/>
      <c r="V404" s="873"/>
      <c r="W404" s="873"/>
      <c r="X404" s="873"/>
      <c r="Y404" s="873"/>
      <c r="Z404" s="873"/>
      <c r="AA404" s="873"/>
      <c r="AB404" s="873"/>
      <c r="AC404" s="873"/>
      <c r="AD404" s="873"/>
      <c r="AE404" s="873"/>
      <c r="AF404" s="873"/>
      <c r="AG404" s="873"/>
      <c r="AH404" s="873"/>
      <c r="AI404" s="873"/>
      <c r="AJ404" s="873"/>
      <c r="AK404" s="873"/>
      <c r="AL404" s="873"/>
      <c r="AM404" s="873"/>
      <c r="AN404" s="873"/>
      <c r="AO404" s="873"/>
      <c r="AP404" s="873"/>
      <c r="AQ404" s="873"/>
      <c r="AR404" s="873"/>
      <c r="AS404" s="873"/>
      <c r="AT404" s="873"/>
      <c r="AU404" s="873"/>
      <c r="AV404" s="873"/>
    </row>
    <row r="405" spans="1:48" ht="11.25" customHeight="1" x14ac:dyDescent="0.2">
      <c r="A405" s="873"/>
      <c r="B405" s="873"/>
      <c r="C405" s="873"/>
      <c r="D405" s="873"/>
      <c r="E405" s="873"/>
      <c r="F405" s="873"/>
      <c r="G405" s="873"/>
      <c r="H405" s="873"/>
      <c r="I405" s="873"/>
      <c r="J405" s="873"/>
      <c r="K405" s="873"/>
      <c r="L405" s="873"/>
      <c r="M405" s="873"/>
      <c r="N405" s="873"/>
      <c r="O405" s="873"/>
      <c r="P405" s="873"/>
      <c r="Q405" s="873"/>
      <c r="R405" s="873"/>
      <c r="S405" s="873"/>
      <c r="T405" s="873"/>
      <c r="U405" s="873"/>
      <c r="V405" s="873"/>
      <c r="W405" s="873"/>
      <c r="X405" s="873"/>
      <c r="Y405" s="873"/>
      <c r="Z405" s="873"/>
      <c r="AA405" s="873"/>
      <c r="AB405" s="873"/>
      <c r="AC405" s="873"/>
      <c r="AD405" s="873"/>
      <c r="AE405" s="873"/>
      <c r="AF405" s="873"/>
      <c r="AG405" s="873"/>
      <c r="AH405" s="873"/>
      <c r="AI405" s="873"/>
      <c r="AJ405" s="873"/>
      <c r="AK405" s="873"/>
      <c r="AL405" s="873"/>
      <c r="AM405" s="873"/>
      <c r="AN405" s="873"/>
      <c r="AO405" s="873"/>
      <c r="AP405" s="873"/>
      <c r="AQ405" s="873"/>
      <c r="AR405" s="873"/>
      <c r="AS405" s="873"/>
      <c r="AT405" s="873"/>
      <c r="AU405" s="873"/>
      <c r="AV405" s="873"/>
    </row>
    <row r="406" spans="1:48" ht="11.25" customHeight="1" x14ac:dyDescent="0.2">
      <c r="A406" s="873"/>
      <c r="B406" s="873"/>
      <c r="C406" s="873"/>
      <c r="D406" s="873"/>
      <c r="E406" s="873"/>
      <c r="F406" s="873"/>
      <c r="G406" s="873"/>
      <c r="H406" s="873"/>
      <c r="I406" s="873"/>
      <c r="J406" s="873"/>
      <c r="K406" s="873"/>
      <c r="L406" s="873"/>
      <c r="M406" s="873"/>
      <c r="N406" s="873"/>
      <c r="O406" s="873"/>
      <c r="P406" s="873"/>
      <c r="Q406" s="873"/>
      <c r="R406" s="873"/>
      <c r="S406" s="873"/>
      <c r="T406" s="873"/>
      <c r="U406" s="873"/>
      <c r="V406" s="873"/>
      <c r="W406" s="873"/>
      <c r="X406" s="873"/>
      <c r="Y406" s="873"/>
      <c r="Z406" s="873"/>
      <c r="AA406" s="873"/>
      <c r="AB406" s="873"/>
      <c r="AC406" s="873"/>
      <c r="AD406" s="873"/>
      <c r="AE406" s="873"/>
      <c r="AF406" s="873"/>
      <c r="AG406" s="873"/>
      <c r="AH406" s="873"/>
      <c r="AI406" s="873"/>
      <c r="AJ406" s="873"/>
      <c r="AK406" s="873"/>
      <c r="AL406" s="873"/>
      <c r="AM406" s="873"/>
      <c r="AN406" s="873"/>
      <c r="AO406" s="873"/>
      <c r="AP406" s="873"/>
      <c r="AQ406" s="873"/>
      <c r="AR406" s="873"/>
      <c r="AS406" s="873"/>
      <c r="AT406" s="873"/>
      <c r="AU406" s="873"/>
      <c r="AV406" s="873"/>
    </row>
    <row r="407" spans="1:48" ht="11.25" customHeight="1" x14ac:dyDescent="0.2">
      <c r="A407" s="873"/>
      <c r="B407" s="873"/>
      <c r="C407" s="873"/>
      <c r="D407" s="873"/>
      <c r="E407" s="873"/>
      <c r="F407" s="873"/>
      <c r="G407" s="873"/>
      <c r="H407" s="873"/>
      <c r="I407" s="873"/>
      <c r="J407" s="873"/>
      <c r="K407" s="873"/>
      <c r="L407" s="873"/>
      <c r="M407" s="873"/>
      <c r="N407" s="873"/>
      <c r="O407" s="873"/>
      <c r="P407" s="873"/>
      <c r="Q407" s="873"/>
      <c r="R407" s="873"/>
      <c r="S407" s="873"/>
      <c r="T407" s="873"/>
      <c r="U407" s="873"/>
      <c r="V407" s="873"/>
      <c r="W407" s="873"/>
      <c r="X407" s="873"/>
      <c r="Y407" s="873"/>
      <c r="Z407" s="873"/>
      <c r="AA407" s="873"/>
      <c r="AB407" s="873"/>
      <c r="AC407" s="873"/>
      <c r="AD407" s="873"/>
      <c r="AE407" s="873"/>
      <c r="AF407" s="873"/>
      <c r="AG407" s="873"/>
      <c r="AH407" s="873"/>
      <c r="AI407" s="873"/>
      <c r="AJ407" s="873"/>
      <c r="AK407" s="873"/>
      <c r="AL407" s="873"/>
      <c r="AM407" s="873"/>
      <c r="AN407" s="873"/>
      <c r="AO407" s="873"/>
      <c r="AP407" s="873"/>
      <c r="AQ407" s="873"/>
      <c r="AR407" s="873"/>
      <c r="AS407" s="873"/>
      <c r="AT407" s="873"/>
      <c r="AU407" s="873"/>
      <c r="AV407" s="873"/>
    </row>
    <row r="408" spans="1:48" ht="11.25" customHeight="1" x14ac:dyDescent="0.2">
      <c r="A408" s="873"/>
      <c r="B408" s="873"/>
      <c r="C408" s="873"/>
      <c r="D408" s="873"/>
      <c r="E408" s="873"/>
      <c r="F408" s="873"/>
      <c r="G408" s="873"/>
      <c r="H408" s="873"/>
      <c r="I408" s="873"/>
      <c r="J408" s="873"/>
      <c r="K408" s="873"/>
      <c r="L408" s="873"/>
      <c r="M408" s="873"/>
      <c r="N408" s="873"/>
      <c r="O408" s="873"/>
      <c r="P408" s="873"/>
      <c r="Q408" s="873"/>
      <c r="R408" s="873"/>
      <c r="S408" s="873"/>
      <c r="T408" s="873"/>
      <c r="U408" s="873"/>
      <c r="V408" s="873"/>
      <c r="W408" s="873"/>
      <c r="X408" s="873"/>
      <c r="Y408" s="873"/>
      <c r="Z408" s="873"/>
      <c r="AA408" s="873"/>
      <c r="AB408" s="873"/>
      <c r="AC408" s="873"/>
      <c r="AD408" s="873"/>
      <c r="AE408" s="873"/>
      <c r="AF408" s="873"/>
      <c r="AG408" s="873"/>
      <c r="AH408" s="873"/>
      <c r="AI408" s="873"/>
      <c r="AJ408" s="873"/>
      <c r="AK408" s="873"/>
      <c r="AL408" s="873"/>
      <c r="AM408" s="873"/>
      <c r="AN408" s="873"/>
      <c r="AO408" s="873"/>
      <c r="AP408" s="873"/>
      <c r="AQ408" s="873"/>
      <c r="AR408" s="873"/>
      <c r="AS408" s="873"/>
      <c r="AT408" s="873"/>
      <c r="AU408" s="873"/>
      <c r="AV408" s="873"/>
    </row>
    <row r="409" spans="1:48" ht="11.25" customHeight="1" x14ac:dyDescent="0.2">
      <c r="A409" s="873"/>
      <c r="B409" s="873"/>
      <c r="C409" s="873"/>
      <c r="D409" s="873"/>
      <c r="E409" s="873"/>
      <c r="F409" s="873"/>
      <c r="G409" s="873"/>
      <c r="H409" s="873"/>
      <c r="I409" s="873"/>
      <c r="J409" s="873"/>
      <c r="K409" s="873"/>
      <c r="L409" s="873"/>
      <c r="M409" s="873"/>
      <c r="N409" s="873"/>
      <c r="O409" s="873"/>
      <c r="P409" s="873"/>
      <c r="Q409" s="873"/>
      <c r="R409" s="873"/>
      <c r="S409" s="873"/>
      <c r="T409" s="873"/>
      <c r="U409" s="873"/>
      <c r="V409" s="873"/>
      <c r="W409" s="873"/>
      <c r="X409" s="873"/>
      <c r="Y409" s="873"/>
      <c r="Z409" s="873"/>
      <c r="AA409" s="873"/>
      <c r="AB409" s="873"/>
      <c r="AC409" s="873"/>
      <c r="AD409" s="873"/>
      <c r="AE409" s="873"/>
      <c r="AF409" s="873"/>
      <c r="AG409" s="873"/>
      <c r="AH409" s="873"/>
      <c r="AI409" s="873"/>
      <c r="AJ409" s="873"/>
      <c r="AK409" s="873"/>
      <c r="AL409" s="873"/>
      <c r="AM409" s="873"/>
      <c r="AN409" s="873"/>
      <c r="AO409" s="873"/>
      <c r="AP409" s="873"/>
      <c r="AQ409" s="873"/>
      <c r="AR409" s="873"/>
      <c r="AS409" s="873"/>
      <c r="AT409" s="873"/>
      <c r="AU409" s="873"/>
      <c r="AV409" s="873"/>
    </row>
    <row r="410" spans="1:48" ht="11.25" customHeight="1" x14ac:dyDescent="0.2">
      <c r="A410" s="873"/>
      <c r="B410" s="873"/>
      <c r="C410" s="873"/>
      <c r="D410" s="873"/>
      <c r="E410" s="873"/>
      <c r="F410" s="873"/>
      <c r="G410" s="873"/>
      <c r="H410" s="873"/>
      <c r="I410" s="873"/>
      <c r="J410" s="873"/>
      <c r="K410" s="873"/>
      <c r="L410" s="873"/>
      <c r="M410" s="873"/>
      <c r="N410" s="873"/>
      <c r="O410" s="873"/>
      <c r="P410" s="873"/>
      <c r="Q410" s="873"/>
      <c r="R410" s="873"/>
      <c r="S410" s="873"/>
      <c r="T410" s="873"/>
      <c r="U410" s="873"/>
      <c r="V410" s="873"/>
      <c r="W410" s="873"/>
      <c r="X410" s="873"/>
      <c r="Y410" s="873"/>
      <c r="Z410" s="873"/>
      <c r="AA410" s="873"/>
      <c r="AB410" s="873"/>
      <c r="AC410" s="873"/>
      <c r="AD410" s="873"/>
      <c r="AE410" s="873"/>
      <c r="AF410" s="873"/>
      <c r="AG410" s="873"/>
      <c r="AH410" s="873"/>
      <c r="AI410" s="873"/>
      <c r="AJ410" s="873"/>
      <c r="AK410" s="873"/>
      <c r="AL410" s="873"/>
      <c r="AM410" s="873"/>
      <c r="AN410" s="873"/>
      <c r="AO410" s="873"/>
      <c r="AP410" s="873"/>
      <c r="AQ410" s="873"/>
      <c r="AR410" s="873"/>
      <c r="AS410" s="873"/>
      <c r="AT410" s="873"/>
      <c r="AU410" s="873"/>
      <c r="AV410" s="873"/>
    </row>
    <row r="411" spans="1:48" ht="11.25" customHeight="1" x14ac:dyDescent="0.2">
      <c r="A411" s="873"/>
      <c r="B411" s="873"/>
      <c r="C411" s="873"/>
      <c r="D411" s="873"/>
      <c r="E411" s="873"/>
      <c r="F411" s="873"/>
      <c r="G411" s="873"/>
      <c r="H411" s="873"/>
      <c r="I411" s="873"/>
      <c r="J411" s="873"/>
      <c r="K411" s="873"/>
      <c r="L411" s="873"/>
      <c r="M411" s="873"/>
      <c r="N411" s="873"/>
      <c r="O411" s="873"/>
      <c r="P411" s="873"/>
      <c r="Q411" s="873"/>
      <c r="R411" s="873"/>
      <c r="S411" s="873"/>
      <c r="T411" s="873"/>
      <c r="U411" s="873"/>
      <c r="V411" s="873"/>
      <c r="W411" s="873"/>
      <c r="X411" s="873"/>
      <c r="Y411" s="873"/>
      <c r="Z411" s="873"/>
      <c r="AA411" s="873"/>
      <c r="AB411" s="873"/>
      <c r="AC411" s="873"/>
      <c r="AD411" s="873"/>
      <c r="AE411" s="873"/>
      <c r="AF411" s="873"/>
      <c r="AG411" s="873"/>
      <c r="AH411" s="873"/>
      <c r="AI411" s="873"/>
      <c r="AJ411" s="873"/>
      <c r="AK411" s="873"/>
      <c r="AL411" s="873"/>
      <c r="AM411" s="873"/>
      <c r="AN411" s="873"/>
      <c r="AO411" s="873"/>
      <c r="AP411" s="873"/>
      <c r="AQ411" s="873"/>
      <c r="AR411" s="873"/>
      <c r="AS411" s="873"/>
      <c r="AT411" s="873"/>
      <c r="AU411" s="873"/>
      <c r="AV411" s="873"/>
    </row>
    <row r="412" spans="1:48" ht="11.25" customHeight="1" x14ac:dyDescent="0.2">
      <c r="A412" s="873"/>
      <c r="B412" s="873"/>
      <c r="C412" s="873"/>
      <c r="D412" s="873"/>
      <c r="E412" s="873"/>
      <c r="F412" s="873"/>
      <c r="G412" s="873"/>
      <c r="H412" s="873"/>
      <c r="I412" s="873"/>
      <c r="J412" s="873"/>
      <c r="K412" s="873"/>
      <c r="L412" s="873"/>
      <c r="M412" s="873"/>
      <c r="N412" s="873"/>
      <c r="O412" s="873"/>
      <c r="P412" s="873"/>
      <c r="Q412" s="873"/>
      <c r="R412" s="873"/>
      <c r="S412" s="873"/>
      <c r="T412" s="873"/>
      <c r="U412" s="873"/>
      <c r="V412" s="873"/>
      <c r="W412" s="873"/>
      <c r="X412" s="873"/>
      <c r="Y412" s="873"/>
      <c r="Z412" s="873"/>
      <c r="AA412" s="873"/>
      <c r="AB412" s="873"/>
      <c r="AC412" s="873"/>
      <c r="AD412" s="873"/>
      <c r="AE412" s="873"/>
      <c r="AF412" s="873"/>
      <c r="AG412" s="873"/>
      <c r="AH412" s="873"/>
      <c r="AI412" s="873"/>
      <c r="AJ412" s="873"/>
      <c r="AK412" s="873"/>
      <c r="AL412" s="873"/>
      <c r="AM412" s="873"/>
      <c r="AN412" s="873"/>
      <c r="AO412" s="873"/>
      <c r="AP412" s="873"/>
      <c r="AQ412" s="873"/>
      <c r="AR412" s="873"/>
      <c r="AS412" s="873"/>
      <c r="AT412" s="873"/>
      <c r="AU412" s="873"/>
      <c r="AV412" s="873"/>
    </row>
    <row r="413" spans="1:48" ht="11.25" customHeight="1" x14ac:dyDescent="0.2">
      <c r="A413" s="873"/>
      <c r="B413" s="873"/>
      <c r="C413" s="873"/>
      <c r="D413" s="873"/>
      <c r="E413" s="873"/>
      <c r="F413" s="873"/>
      <c r="G413" s="873"/>
      <c r="H413" s="873"/>
      <c r="I413" s="873"/>
      <c r="J413" s="873"/>
      <c r="K413" s="873"/>
      <c r="L413" s="873"/>
      <c r="M413" s="873"/>
      <c r="N413" s="873"/>
      <c r="O413" s="873"/>
      <c r="P413" s="873"/>
      <c r="Q413" s="873"/>
      <c r="R413" s="873"/>
      <c r="S413" s="873"/>
      <c r="T413" s="873"/>
      <c r="U413" s="873"/>
      <c r="V413" s="873"/>
      <c r="W413" s="873"/>
      <c r="X413" s="873"/>
      <c r="Y413" s="873"/>
      <c r="Z413" s="873"/>
      <c r="AA413" s="873"/>
      <c r="AB413" s="873"/>
      <c r="AC413" s="873"/>
      <c r="AD413" s="873"/>
      <c r="AE413" s="873"/>
      <c r="AF413" s="873"/>
      <c r="AG413" s="873"/>
      <c r="AH413" s="873"/>
      <c r="AI413" s="873"/>
      <c r="AJ413" s="873"/>
      <c r="AK413" s="873"/>
      <c r="AL413" s="873"/>
      <c r="AM413" s="873"/>
      <c r="AN413" s="873"/>
      <c r="AO413" s="873"/>
      <c r="AP413" s="873"/>
      <c r="AQ413" s="873"/>
      <c r="AR413" s="873"/>
      <c r="AS413" s="873"/>
      <c r="AT413" s="873"/>
      <c r="AU413" s="873"/>
      <c r="AV413" s="873"/>
    </row>
    <row r="414" spans="1:48" ht="11.25" customHeight="1" x14ac:dyDescent="0.2">
      <c r="A414" s="873"/>
      <c r="B414" s="873"/>
      <c r="C414" s="873"/>
      <c r="D414" s="873"/>
      <c r="E414" s="873"/>
      <c r="F414" s="873"/>
      <c r="G414" s="873"/>
      <c r="H414" s="873"/>
      <c r="I414" s="873"/>
      <c r="J414" s="873"/>
      <c r="K414" s="873"/>
      <c r="L414" s="873"/>
      <c r="M414" s="873"/>
      <c r="N414" s="873"/>
      <c r="O414" s="873"/>
      <c r="P414" s="873"/>
      <c r="Q414" s="873"/>
      <c r="R414" s="873"/>
      <c r="S414" s="873"/>
      <c r="T414" s="873"/>
      <c r="U414" s="873"/>
      <c r="V414" s="873"/>
      <c r="W414" s="873"/>
      <c r="X414" s="873"/>
      <c r="Y414" s="873"/>
      <c r="Z414" s="873"/>
      <c r="AA414" s="873"/>
      <c r="AB414" s="873"/>
      <c r="AC414" s="873"/>
      <c r="AD414" s="873"/>
      <c r="AE414" s="873"/>
      <c r="AF414" s="873"/>
      <c r="AG414" s="873"/>
      <c r="AH414" s="873"/>
      <c r="AI414" s="873"/>
      <c r="AJ414" s="873"/>
      <c r="AK414" s="873"/>
      <c r="AL414" s="873"/>
      <c r="AM414" s="873"/>
      <c r="AN414" s="873"/>
      <c r="AO414" s="873"/>
      <c r="AP414" s="873"/>
      <c r="AQ414" s="873"/>
      <c r="AR414" s="873"/>
      <c r="AS414" s="873"/>
      <c r="AT414" s="873"/>
      <c r="AU414" s="873"/>
      <c r="AV414" s="873"/>
    </row>
    <row r="415" spans="1:48" ht="11.25" customHeight="1" x14ac:dyDescent="0.2">
      <c r="A415" s="873"/>
      <c r="B415" s="873"/>
      <c r="C415" s="873"/>
      <c r="D415" s="873"/>
      <c r="E415" s="873"/>
      <c r="F415" s="873"/>
      <c r="G415" s="873"/>
      <c r="H415" s="873"/>
      <c r="I415" s="873"/>
      <c r="J415" s="873"/>
      <c r="K415" s="873"/>
      <c r="L415" s="873"/>
      <c r="M415" s="873"/>
      <c r="N415" s="873"/>
      <c r="O415" s="873"/>
      <c r="P415" s="873"/>
      <c r="Q415" s="873"/>
      <c r="R415" s="873"/>
      <c r="S415" s="873"/>
      <c r="T415" s="873"/>
      <c r="U415" s="873"/>
      <c r="V415" s="873"/>
      <c r="W415" s="873"/>
      <c r="X415" s="873"/>
      <c r="Y415" s="873"/>
      <c r="Z415" s="873"/>
      <c r="AA415" s="873"/>
      <c r="AB415" s="873"/>
      <c r="AC415" s="873"/>
      <c r="AD415" s="873"/>
      <c r="AE415" s="873"/>
      <c r="AF415" s="873"/>
      <c r="AG415" s="873"/>
      <c r="AH415" s="873"/>
      <c r="AI415" s="873"/>
      <c r="AJ415" s="873"/>
      <c r="AK415" s="873"/>
      <c r="AL415" s="873"/>
      <c r="AM415" s="873"/>
      <c r="AN415" s="873"/>
      <c r="AO415" s="873"/>
      <c r="AP415" s="873"/>
      <c r="AQ415" s="873"/>
      <c r="AR415" s="873"/>
      <c r="AS415" s="873"/>
      <c r="AT415" s="873"/>
      <c r="AU415" s="873"/>
      <c r="AV415" s="873"/>
    </row>
    <row r="416" spans="1:48" ht="11.25" customHeight="1" x14ac:dyDescent="0.2">
      <c r="A416" s="873"/>
      <c r="B416" s="873"/>
      <c r="C416" s="873"/>
      <c r="D416" s="873"/>
      <c r="E416" s="873"/>
      <c r="F416" s="873"/>
      <c r="G416" s="873"/>
      <c r="H416" s="873"/>
      <c r="I416" s="873"/>
      <c r="J416" s="873"/>
      <c r="K416" s="873"/>
      <c r="L416" s="873"/>
      <c r="M416" s="873"/>
      <c r="N416" s="873"/>
      <c r="O416" s="873"/>
      <c r="P416" s="873"/>
      <c r="Q416" s="873"/>
      <c r="R416" s="873"/>
      <c r="S416" s="873"/>
      <c r="T416" s="873"/>
      <c r="U416" s="873"/>
      <c r="V416" s="873"/>
      <c r="W416" s="873"/>
      <c r="X416" s="873"/>
      <c r="Y416" s="873"/>
      <c r="Z416" s="873"/>
      <c r="AA416" s="873"/>
      <c r="AB416" s="873"/>
      <c r="AC416" s="873"/>
      <c r="AD416" s="873"/>
      <c r="AE416" s="873"/>
      <c r="AF416" s="873"/>
      <c r="AG416" s="873"/>
      <c r="AH416" s="873"/>
      <c r="AI416" s="873"/>
      <c r="AJ416" s="873"/>
      <c r="AK416" s="873"/>
      <c r="AL416" s="873"/>
      <c r="AM416" s="873"/>
      <c r="AN416" s="873"/>
      <c r="AO416" s="873"/>
      <c r="AP416" s="873"/>
      <c r="AQ416" s="873"/>
      <c r="AR416" s="873"/>
      <c r="AS416" s="873"/>
      <c r="AT416" s="873"/>
      <c r="AU416" s="873"/>
      <c r="AV416" s="873"/>
    </row>
    <row r="417" spans="1:48" ht="11.25" customHeight="1" x14ac:dyDescent="0.2">
      <c r="A417" s="873"/>
      <c r="B417" s="873"/>
      <c r="C417" s="873"/>
      <c r="D417" s="873"/>
      <c r="E417" s="873"/>
      <c r="F417" s="873"/>
      <c r="G417" s="873"/>
      <c r="H417" s="873"/>
      <c r="I417" s="873"/>
      <c r="J417" s="873"/>
      <c r="K417" s="873"/>
      <c r="L417" s="873"/>
      <c r="M417" s="873"/>
      <c r="N417" s="873"/>
      <c r="O417" s="873"/>
      <c r="P417" s="873"/>
      <c r="Q417" s="873"/>
      <c r="R417" s="873"/>
      <c r="S417" s="873"/>
      <c r="T417" s="873"/>
      <c r="U417" s="873"/>
      <c r="V417" s="873"/>
      <c r="W417" s="873"/>
      <c r="X417" s="873"/>
      <c r="Y417" s="873"/>
      <c r="Z417" s="873"/>
      <c r="AA417" s="873"/>
      <c r="AB417" s="873"/>
      <c r="AC417" s="873"/>
      <c r="AD417" s="873"/>
      <c r="AE417" s="873"/>
      <c r="AF417" s="873"/>
      <c r="AG417" s="873"/>
      <c r="AH417" s="873"/>
      <c r="AI417" s="873"/>
      <c r="AJ417" s="873"/>
      <c r="AK417" s="873"/>
      <c r="AL417" s="873"/>
      <c r="AM417" s="873"/>
      <c r="AN417" s="873"/>
      <c r="AO417" s="873"/>
      <c r="AP417" s="873"/>
      <c r="AQ417" s="873"/>
      <c r="AR417" s="873"/>
      <c r="AS417" s="873"/>
      <c r="AT417" s="873"/>
      <c r="AU417" s="873"/>
      <c r="AV417" s="873"/>
    </row>
    <row r="418" spans="1:48" ht="11.25" customHeight="1" x14ac:dyDescent="0.2">
      <c r="A418" s="873"/>
      <c r="B418" s="873"/>
      <c r="C418" s="873"/>
      <c r="D418" s="873"/>
      <c r="E418" s="873"/>
      <c r="F418" s="873"/>
      <c r="G418" s="873"/>
      <c r="H418" s="873"/>
      <c r="I418" s="873"/>
      <c r="J418" s="873"/>
      <c r="K418" s="873"/>
      <c r="L418" s="873"/>
      <c r="M418" s="873"/>
      <c r="N418" s="873"/>
      <c r="O418" s="873"/>
      <c r="P418" s="873"/>
      <c r="Q418" s="873"/>
      <c r="R418" s="873"/>
      <c r="S418" s="873"/>
      <c r="T418" s="873"/>
      <c r="U418" s="873"/>
      <c r="V418" s="873"/>
      <c r="W418" s="873"/>
      <c r="X418" s="873"/>
      <c r="Y418" s="873"/>
      <c r="Z418" s="873"/>
      <c r="AA418" s="873"/>
      <c r="AB418" s="873"/>
      <c r="AC418" s="873"/>
      <c r="AD418" s="873"/>
      <c r="AE418" s="873"/>
      <c r="AF418" s="873"/>
      <c r="AG418" s="873"/>
      <c r="AH418" s="873"/>
      <c r="AI418" s="873"/>
      <c r="AJ418" s="873"/>
      <c r="AK418" s="873"/>
      <c r="AL418" s="873"/>
      <c r="AM418" s="873"/>
      <c r="AN418" s="873"/>
      <c r="AO418" s="873"/>
      <c r="AP418" s="873"/>
      <c r="AQ418" s="873"/>
      <c r="AR418" s="873"/>
      <c r="AS418" s="873"/>
      <c r="AT418" s="873"/>
      <c r="AU418" s="873"/>
      <c r="AV418" s="873"/>
    </row>
    <row r="419" spans="1:48" ht="11.25" customHeight="1" x14ac:dyDescent="0.2">
      <c r="A419" s="873"/>
      <c r="B419" s="873"/>
      <c r="C419" s="873"/>
      <c r="D419" s="873"/>
      <c r="E419" s="873"/>
      <c r="F419" s="873"/>
      <c r="G419" s="873"/>
      <c r="H419" s="873"/>
      <c r="I419" s="873"/>
      <c r="J419" s="873"/>
      <c r="K419" s="873"/>
      <c r="L419" s="873"/>
      <c r="M419" s="873"/>
      <c r="N419" s="873"/>
      <c r="O419" s="873"/>
      <c r="P419" s="873"/>
      <c r="Q419" s="873"/>
      <c r="R419" s="873"/>
      <c r="S419" s="873"/>
      <c r="T419" s="873"/>
      <c r="U419" s="873"/>
      <c r="V419" s="873"/>
      <c r="W419" s="873"/>
      <c r="X419" s="873"/>
      <c r="Y419" s="873"/>
      <c r="Z419" s="873"/>
      <c r="AA419" s="873"/>
      <c r="AB419" s="873"/>
      <c r="AC419" s="873"/>
      <c r="AD419" s="873"/>
      <c r="AE419" s="873"/>
      <c r="AF419" s="873"/>
      <c r="AG419" s="873"/>
      <c r="AH419" s="873"/>
      <c r="AI419" s="873"/>
      <c r="AJ419" s="873"/>
      <c r="AK419" s="873"/>
      <c r="AL419" s="873"/>
      <c r="AM419" s="873"/>
      <c r="AN419" s="873"/>
      <c r="AO419" s="873"/>
      <c r="AP419" s="873"/>
      <c r="AQ419" s="873"/>
      <c r="AR419" s="873"/>
      <c r="AS419" s="873"/>
      <c r="AT419" s="873"/>
      <c r="AU419" s="873"/>
      <c r="AV419" s="873"/>
    </row>
    <row r="420" spans="1:48" ht="11.25" customHeight="1" x14ac:dyDescent="0.2">
      <c r="A420" s="873"/>
      <c r="B420" s="873"/>
      <c r="C420" s="873"/>
      <c r="D420" s="873"/>
      <c r="E420" s="873"/>
      <c r="F420" s="873"/>
      <c r="G420" s="873"/>
      <c r="H420" s="873"/>
      <c r="I420" s="873"/>
      <c r="J420" s="873"/>
      <c r="K420" s="873"/>
      <c r="L420" s="873"/>
      <c r="M420" s="873"/>
      <c r="N420" s="873"/>
      <c r="O420" s="873"/>
      <c r="P420" s="873"/>
      <c r="Q420" s="873"/>
      <c r="R420" s="873"/>
      <c r="S420" s="873"/>
      <c r="T420" s="873"/>
      <c r="U420" s="873"/>
      <c r="V420" s="873"/>
      <c r="W420" s="873"/>
      <c r="X420" s="873"/>
      <c r="Y420" s="873"/>
      <c r="Z420" s="873"/>
      <c r="AA420" s="873"/>
      <c r="AB420" s="873"/>
      <c r="AC420" s="873"/>
      <c r="AD420" s="873"/>
      <c r="AE420" s="873"/>
      <c r="AF420" s="873"/>
      <c r="AG420" s="873"/>
      <c r="AH420" s="873"/>
      <c r="AI420" s="873"/>
      <c r="AJ420" s="873"/>
      <c r="AK420" s="873"/>
      <c r="AL420" s="873"/>
      <c r="AM420" s="873"/>
      <c r="AN420" s="873"/>
      <c r="AO420" s="873"/>
      <c r="AP420" s="873"/>
      <c r="AQ420" s="873"/>
      <c r="AR420" s="873"/>
      <c r="AS420" s="873"/>
      <c r="AT420" s="873"/>
      <c r="AU420" s="873"/>
      <c r="AV420" s="873"/>
    </row>
    <row r="421" spans="1:48" ht="11.25" customHeight="1" x14ac:dyDescent="0.2">
      <c r="A421" s="873"/>
      <c r="B421" s="873"/>
      <c r="C421" s="873"/>
      <c r="D421" s="873"/>
      <c r="E421" s="873"/>
      <c r="F421" s="873"/>
      <c r="G421" s="873"/>
      <c r="H421" s="873"/>
      <c r="I421" s="873"/>
      <c r="J421" s="873"/>
      <c r="K421" s="873"/>
      <c r="L421" s="873"/>
      <c r="M421" s="873"/>
      <c r="N421" s="873"/>
      <c r="O421" s="873"/>
      <c r="P421" s="873"/>
      <c r="Q421" s="873"/>
      <c r="R421" s="873"/>
      <c r="S421" s="873"/>
      <c r="T421" s="873"/>
      <c r="U421" s="873"/>
      <c r="V421" s="873"/>
      <c r="W421" s="873"/>
      <c r="X421" s="873"/>
      <c r="Y421" s="873"/>
      <c r="Z421" s="873"/>
      <c r="AA421" s="873"/>
      <c r="AB421" s="873"/>
      <c r="AC421" s="873"/>
      <c r="AD421" s="873"/>
      <c r="AE421" s="873"/>
      <c r="AF421" s="873"/>
      <c r="AG421" s="873"/>
      <c r="AH421" s="873"/>
      <c r="AI421" s="873"/>
      <c r="AJ421" s="873"/>
      <c r="AK421" s="873"/>
      <c r="AL421" s="873"/>
      <c r="AM421" s="873"/>
      <c r="AN421" s="873"/>
      <c r="AO421" s="873"/>
      <c r="AP421" s="873"/>
      <c r="AQ421" s="873"/>
      <c r="AR421" s="873"/>
      <c r="AS421" s="873"/>
      <c r="AT421" s="873"/>
      <c r="AU421" s="873"/>
      <c r="AV421" s="873"/>
    </row>
    <row r="422" spans="1:48" ht="11.25" customHeight="1" x14ac:dyDescent="0.2">
      <c r="A422" s="873"/>
      <c r="B422" s="873"/>
      <c r="C422" s="873"/>
      <c r="D422" s="873"/>
      <c r="E422" s="873"/>
      <c r="F422" s="873"/>
      <c r="G422" s="873"/>
      <c r="H422" s="873"/>
      <c r="I422" s="873"/>
      <c r="J422" s="873"/>
      <c r="K422" s="873"/>
      <c r="L422" s="873"/>
      <c r="M422" s="873"/>
      <c r="N422" s="873"/>
      <c r="O422" s="873"/>
      <c r="P422" s="873"/>
      <c r="Q422" s="873"/>
      <c r="R422" s="873"/>
      <c r="S422" s="873"/>
      <c r="T422" s="873"/>
      <c r="U422" s="873"/>
      <c r="V422" s="873"/>
      <c r="W422" s="873"/>
      <c r="X422" s="873"/>
      <c r="Y422" s="873"/>
      <c r="Z422" s="873"/>
      <c r="AA422" s="873"/>
      <c r="AB422" s="873"/>
      <c r="AC422" s="873"/>
      <c r="AD422" s="873"/>
      <c r="AE422" s="873"/>
      <c r="AF422" s="873"/>
      <c r="AG422" s="873"/>
      <c r="AH422" s="873"/>
      <c r="AI422" s="873"/>
      <c r="AJ422" s="873"/>
      <c r="AK422" s="873"/>
      <c r="AL422" s="873"/>
      <c r="AM422" s="873"/>
      <c r="AN422" s="873"/>
      <c r="AO422" s="873"/>
      <c r="AP422" s="873"/>
      <c r="AQ422" s="873"/>
      <c r="AR422" s="873"/>
      <c r="AS422" s="873"/>
      <c r="AT422" s="873"/>
      <c r="AU422" s="873"/>
      <c r="AV422" s="873"/>
    </row>
    <row r="423" spans="1:48" ht="11.25" customHeight="1" x14ac:dyDescent="0.2">
      <c r="A423" s="873"/>
      <c r="B423" s="873"/>
      <c r="C423" s="873"/>
      <c r="D423" s="873"/>
      <c r="E423" s="873"/>
      <c r="F423" s="873"/>
      <c r="G423" s="873"/>
      <c r="H423" s="873"/>
      <c r="I423" s="873"/>
      <c r="J423" s="873"/>
      <c r="K423" s="873"/>
      <c r="L423" s="873"/>
      <c r="M423" s="873"/>
      <c r="N423" s="873"/>
      <c r="O423" s="873"/>
      <c r="P423" s="873"/>
      <c r="Q423" s="873"/>
      <c r="R423" s="873"/>
      <c r="S423" s="873"/>
      <c r="T423" s="873"/>
      <c r="U423" s="873"/>
      <c r="V423" s="873"/>
      <c r="W423" s="873"/>
      <c r="X423" s="873"/>
      <c r="Y423" s="873"/>
      <c r="Z423" s="873"/>
      <c r="AA423" s="873"/>
      <c r="AB423" s="873"/>
      <c r="AC423" s="873"/>
      <c r="AD423" s="873"/>
      <c r="AE423" s="873"/>
      <c r="AF423" s="873"/>
      <c r="AG423" s="873"/>
      <c r="AH423" s="873"/>
      <c r="AI423" s="873"/>
      <c r="AJ423" s="873"/>
      <c r="AK423" s="873"/>
      <c r="AL423" s="873"/>
      <c r="AM423" s="873"/>
      <c r="AN423" s="873"/>
      <c r="AO423" s="873"/>
      <c r="AP423" s="873"/>
      <c r="AQ423" s="873"/>
      <c r="AR423" s="873"/>
      <c r="AS423" s="873"/>
      <c r="AT423" s="873"/>
      <c r="AU423" s="873"/>
      <c r="AV423" s="873"/>
    </row>
    <row r="424" spans="1:48" ht="11.25" customHeight="1" x14ac:dyDescent="0.2">
      <c r="A424" s="873"/>
      <c r="B424" s="873"/>
      <c r="C424" s="873"/>
      <c r="D424" s="873"/>
      <c r="E424" s="873"/>
      <c r="F424" s="873"/>
      <c r="G424" s="873"/>
      <c r="H424" s="873"/>
      <c r="I424" s="873"/>
      <c r="J424" s="873"/>
      <c r="K424" s="873"/>
      <c r="L424" s="873"/>
      <c r="M424" s="873"/>
      <c r="N424" s="873"/>
      <c r="O424" s="873"/>
      <c r="P424" s="873"/>
      <c r="Q424" s="873"/>
      <c r="R424" s="873"/>
      <c r="S424" s="873"/>
      <c r="T424" s="873"/>
      <c r="U424" s="873"/>
      <c r="V424" s="873"/>
      <c r="W424" s="873"/>
      <c r="X424" s="873"/>
      <c r="Y424" s="873"/>
      <c r="Z424" s="873"/>
      <c r="AA424" s="873"/>
      <c r="AB424" s="873"/>
      <c r="AC424" s="873"/>
      <c r="AD424" s="873"/>
      <c r="AE424" s="873"/>
      <c r="AF424" s="873"/>
      <c r="AG424" s="873"/>
      <c r="AH424" s="873"/>
      <c r="AI424" s="873"/>
      <c r="AJ424" s="873"/>
      <c r="AK424" s="873"/>
      <c r="AL424" s="873"/>
      <c r="AM424" s="873"/>
      <c r="AN424" s="873"/>
      <c r="AO424" s="873"/>
      <c r="AP424" s="873"/>
      <c r="AQ424" s="873"/>
      <c r="AR424" s="873"/>
      <c r="AS424" s="873"/>
      <c r="AT424" s="873"/>
      <c r="AU424" s="873"/>
      <c r="AV424" s="873"/>
    </row>
    <row r="425" spans="1:48" ht="11.25" customHeight="1" x14ac:dyDescent="0.2">
      <c r="A425" s="873"/>
      <c r="B425" s="873"/>
      <c r="C425" s="873"/>
      <c r="D425" s="873"/>
      <c r="E425" s="873"/>
      <c r="F425" s="873"/>
      <c r="G425" s="873"/>
      <c r="H425" s="873"/>
      <c r="I425" s="873"/>
      <c r="J425" s="873"/>
      <c r="K425" s="873"/>
      <c r="L425" s="873"/>
      <c r="M425" s="873"/>
      <c r="N425" s="873"/>
      <c r="O425" s="873"/>
      <c r="P425" s="873"/>
      <c r="Q425" s="873"/>
      <c r="R425" s="873"/>
      <c r="S425" s="873"/>
      <c r="T425" s="873"/>
      <c r="U425" s="873"/>
      <c r="V425" s="873"/>
      <c r="W425" s="873"/>
      <c r="X425" s="873"/>
      <c r="Y425" s="873"/>
      <c r="Z425" s="873"/>
      <c r="AA425" s="873"/>
      <c r="AB425" s="873"/>
      <c r="AC425" s="873"/>
      <c r="AD425" s="873"/>
      <c r="AE425" s="873"/>
      <c r="AF425" s="873"/>
      <c r="AG425" s="873"/>
      <c r="AH425" s="873"/>
      <c r="AI425" s="873"/>
      <c r="AJ425" s="873"/>
      <c r="AK425" s="873"/>
      <c r="AL425" s="873"/>
      <c r="AM425" s="873"/>
      <c r="AN425" s="873"/>
      <c r="AO425" s="873"/>
      <c r="AP425" s="873"/>
      <c r="AQ425" s="873"/>
      <c r="AR425" s="873"/>
      <c r="AS425" s="873"/>
      <c r="AT425" s="873"/>
      <c r="AU425" s="873"/>
      <c r="AV425" s="873"/>
    </row>
    <row r="426" spans="1:48" ht="11.25" customHeight="1" x14ac:dyDescent="0.2">
      <c r="A426" s="873"/>
      <c r="B426" s="873"/>
      <c r="C426" s="873"/>
      <c r="D426" s="873"/>
      <c r="E426" s="873"/>
      <c r="F426" s="873"/>
      <c r="G426" s="873"/>
      <c r="H426" s="873"/>
      <c r="I426" s="873"/>
      <c r="J426" s="873"/>
      <c r="K426" s="873"/>
      <c r="L426" s="873"/>
      <c r="M426" s="873"/>
      <c r="N426" s="873"/>
      <c r="O426" s="873"/>
      <c r="P426" s="873"/>
      <c r="Q426" s="873"/>
      <c r="R426" s="873"/>
      <c r="S426" s="873"/>
      <c r="T426" s="873"/>
      <c r="U426" s="873"/>
      <c r="V426" s="873"/>
      <c r="W426" s="873"/>
      <c r="X426" s="873"/>
      <c r="Y426" s="873"/>
      <c r="Z426" s="873"/>
      <c r="AA426" s="873"/>
      <c r="AB426" s="873"/>
      <c r="AC426" s="873"/>
      <c r="AD426" s="873"/>
      <c r="AE426" s="873"/>
      <c r="AF426" s="873"/>
      <c r="AG426" s="873"/>
      <c r="AH426" s="873"/>
      <c r="AI426" s="873"/>
      <c r="AJ426" s="873"/>
      <c r="AK426" s="873"/>
      <c r="AL426" s="873"/>
      <c r="AM426" s="873"/>
      <c r="AN426" s="873"/>
      <c r="AO426" s="873"/>
      <c r="AP426" s="873"/>
      <c r="AQ426" s="873"/>
      <c r="AR426" s="873"/>
      <c r="AS426" s="873"/>
      <c r="AT426" s="873"/>
      <c r="AU426" s="873"/>
      <c r="AV426" s="873"/>
    </row>
    <row r="427" spans="1:48" ht="11.25" customHeight="1" x14ac:dyDescent="0.2">
      <c r="A427" s="873"/>
      <c r="B427" s="873"/>
      <c r="C427" s="873"/>
      <c r="D427" s="873"/>
      <c r="E427" s="873"/>
      <c r="F427" s="873"/>
      <c r="G427" s="873"/>
      <c r="H427" s="873"/>
      <c r="I427" s="873"/>
      <c r="J427" s="873"/>
      <c r="K427" s="873"/>
      <c r="L427" s="873"/>
      <c r="M427" s="873"/>
      <c r="N427" s="873"/>
      <c r="O427" s="873"/>
      <c r="P427" s="873"/>
      <c r="Q427" s="873"/>
      <c r="R427" s="873"/>
      <c r="S427" s="873"/>
      <c r="T427" s="873"/>
      <c r="U427" s="873"/>
      <c r="V427" s="873"/>
      <c r="W427" s="873"/>
      <c r="X427" s="873"/>
      <c r="Y427" s="873"/>
      <c r="Z427" s="873"/>
      <c r="AA427" s="873"/>
      <c r="AB427" s="873"/>
      <c r="AC427" s="873"/>
      <c r="AD427" s="873"/>
      <c r="AE427" s="873"/>
      <c r="AF427" s="873"/>
      <c r="AG427" s="873"/>
      <c r="AH427" s="873"/>
      <c r="AI427" s="873"/>
      <c r="AJ427" s="873"/>
      <c r="AK427" s="873"/>
      <c r="AL427" s="873"/>
      <c r="AM427" s="873"/>
      <c r="AN427" s="873"/>
      <c r="AO427" s="873"/>
      <c r="AP427" s="873"/>
      <c r="AQ427" s="873"/>
      <c r="AR427" s="873"/>
      <c r="AS427" s="873"/>
      <c r="AT427" s="873"/>
      <c r="AU427" s="873"/>
      <c r="AV427" s="873"/>
    </row>
    <row r="428" spans="1:48" ht="11.25" customHeight="1" x14ac:dyDescent="0.2">
      <c r="A428" s="873"/>
      <c r="B428" s="873"/>
      <c r="C428" s="873"/>
      <c r="D428" s="873"/>
      <c r="E428" s="873"/>
      <c r="F428" s="873"/>
      <c r="G428" s="873"/>
      <c r="H428" s="873"/>
      <c r="I428" s="873"/>
      <c r="J428" s="873"/>
      <c r="K428" s="873"/>
      <c r="L428" s="873"/>
      <c r="M428" s="873"/>
      <c r="N428" s="873"/>
      <c r="O428" s="873"/>
      <c r="P428" s="873"/>
      <c r="Q428" s="873"/>
      <c r="R428" s="873"/>
      <c r="S428" s="873"/>
      <c r="T428" s="873"/>
      <c r="U428" s="873"/>
      <c r="V428" s="873"/>
      <c r="W428" s="873"/>
      <c r="X428" s="873"/>
      <c r="Y428" s="873"/>
      <c r="Z428" s="873"/>
      <c r="AA428" s="873"/>
      <c r="AB428" s="873"/>
      <c r="AC428" s="873"/>
      <c r="AD428" s="873"/>
      <c r="AE428" s="873"/>
      <c r="AF428" s="873"/>
      <c r="AG428" s="873"/>
      <c r="AH428" s="873"/>
      <c r="AI428" s="873"/>
      <c r="AJ428" s="873"/>
      <c r="AK428" s="873"/>
      <c r="AL428" s="873"/>
      <c r="AM428" s="873"/>
      <c r="AN428" s="873"/>
      <c r="AO428" s="873"/>
      <c r="AP428" s="873"/>
      <c r="AQ428" s="873"/>
      <c r="AR428" s="873"/>
      <c r="AS428" s="873"/>
      <c r="AT428" s="873"/>
      <c r="AU428" s="873"/>
      <c r="AV428" s="873"/>
    </row>
    <row r="429" spans="1:48" ht="11.25" customHeight="1" x14ac:dyDescent="0.2">
      <c r="A429" s="873"/>
      <c r="B429" s="873"/>
      <c r="C429" s="873"/>
      <c r="D429" s="873"/>
      <c r="E429" s="873"/>
      <c r="F429" s="873"/>
      <c r="G429" s="873"/>
      <c r="H429" s="873"/>
      <c r="I429" s="873"/>
      <c r="J429" s="873"/>
      <c r="K429" s="873"/>
      <c r="L429" s="873"/>
      <c r="M429" s="873"/>
      <c r="N429" s="873"/>
      <c r="O429" s="873"/>
      <c r="P429" s="873"/>
      <c r="Q429" s="873"/>
      <c r="R429" s="873"/>
      <c r="S429" s="873"/>
      <c r="T429" s="873"/>
      <c r="U429" s="873"/>
      <c r="V429" s="873"/>
      <c r="W429" s="873"/>
      <c r="X429" s="873"/>
      <c r="Y429" s="873"/>
      <c r="Z429" s="873"/>
      <c r="AA429" s="873"/>
      <c r="AB429" s="873"/>
      <c r="AC429" s="873"/>
      <c r="AD429" s="873"/>
      <c r="AE429" s="873"/>
      <c r="AF429" s="873"/>
      <c r="AG429" s="873"/>
      <c r="AH429" s="873"/>
      <c r="AI429" s="873"/>
      <c r="AJ429" s="873"/>
      <c r="AK429" s="873"/>
      <c r="AL429" s="873"/>
      <c r="AM429" s="873"/>
      <c r="AN429" s="873"/>
      <c r="AO429" s="873"/>
      <c r="AP429" s="873"/>
      <c r="AQ429" s="873"/>
      <c r="AR429" s="873"/>
      <c r="AS429" s="873"/>
      <c r="AT429" s="873"/>
      <c r="AU429" s="873"/>
      <c r="AV429" s="873"/>
    </row>
    <row r="430" spans="1:48" ht="11.25" customHeight="1" x14ac:dyDescent="0.2">
      <c r="A430" s="873"/>
      <c r="B430" s="873"/>
      <c r="C430" s="873"/>
      <c r="D430" s="873"/>
      <c r="E430" s="873"/>
      <c r="F430" s="873"/>
      <c r="G430" s="873"/>
      <c r="H430" s="873"/>
      <c r="I430" s="873"/>
      <c r="J430" s="873"/>
      <c r="K430" s="873"/>
      <c r="L430" s="873"/>
      <c r="M430" s="873"/>
      <c r="N430" s="873"/>
      <c r="O430" s="873"/>
      <c r="P430" s="873"/>
      <c r="Q430" s="873"/>
      <c r="R430" s="873"/>
      <c r="S430" s="873"/>
      <c r="T430" s="873"/>
      <c r="U430" s="873"/>
      <c r="V430" s="873"/>
      <c r="W430" s="873"/>
      <c r="X430" s="873"/>
      <c r="Y430" s="873"/>
      <c r="Z430" s="873"/>
      <c r="AA430" s="873"/>
      <c r="AB430" s="873"/>
      <c r="AC430" s="873"/>
      <c r="AD430" s="873"/>
      <c r="AE430" s="873"/>
      <c r="AF430" s="873"/>
      <c r="AG430" s="873"/>
      <c r="AH430" s="873"/>
      <c r="AI430" s="873"/>
      <c r="AJ430" s="873"/>
      <c r="AK430" s="873"/>
      <c r="AL430" s="873"/>
      <c r="AM430" s="873"/>
      <c r="AN430" s="873"/>
      <c r="AO430" s="873"/>
      <c r="AP430" s="873"/>
      <c r="AQ430" s="873"/>
      <c r="AR430" s="873"/>
      <c r="AS430" s="873"/>
      <c r="AT430" s="873"/>
      <c r="AU430" s="873"/>
      <c r="AV430" s="873"/>
    </row>
    <row r="431" spans="1:48" ht="11.25" customHeight="1" x14ac:dyDescent="0.2">
      <c r="A431" s="873"/>
      <c r="B431" s="873"/>
      <c r="C431" s="873"/>
      <c r="D431" s="873"/>
      <c r="E431" s="873"/>
      <c r="F431" s="873"/>
      <c r="G431" s="873"/>
      <c r="H431" s="873"/>
      <c r="I431" s="873"/>
      <c r="J431" s="873"/>
      <c r="K431" s="873"/>
      <c r="L431" s="873"/>
      <c r="M431" s="873"/>
      <c r="N431" s="873"/>
      <c r="O431" s="873"/>
      <c r="P431" s="873"/>
      <c r="Q431" s="873"/>
      <c r="R431" s="873"/>
      <c r="S431" s="873"/>
      <c r="T431" s="873"/>
      <c r="U431" s="873"/>
      <c r="V431" s="873"/>
      <c r="W431" s="873"/>
      <c r="X431" s="873"/>
      <c r="Y431" s="873"/>
      <c r="Z431" s="873"/>
      <c r="AA431" s="873"/>
      <c r="AB431" s="873"/>
      <c r="AC431" s="873"/>
      <c r="AD431" s="873"/>
      <c r="AE431" s="873"/>
      <c r="AF431" s="873"/>
      <c r="AG431" s="873"/>
      <c r="AH431" s="873"/>
      <c r="AI431" s="873"/>
      <c r="AJ431" s="873"/>
      <c r="AK431" s="873"/>
      <c r="AL431" s="873"/>
      <c r="AM431" s="873"/>
      <c r="AN431" s="873"/>
      <c r="AO431" s="873"/>
      <c r="AP431" s="873"/>
      <c r="AQ431" s="873"/>
      <c r="AR431" s="873"/>
      <c r="AS431" s="873"/>
      <c r="AT431" s="873"/>
      <c r="AU431" s="873"/>
      <c r="AV431" s="873"/>
    </row>
    <row r="432" spans="1:48" ht="11.25" customHeight="1" x14ac:dyDescent="0.2">
      <c r="A432" s="873"/>
      <c r="B432" s="873"/>
      <c r="C432" s="873"/>
      <c r="D432" s="873"/>
      <c r="E432" s="873"/>
      <c r="F432" s="873"/>
      <c r="G432" s="873"/>
      <c r="H432" s="873"/>
      <c r="I432" s="873"/>
      <c r="J432" s="873"/>
      <c r="K432" s="873"/>
      <c r="L432" s="873"/>
      <c r="M432" s="873"/>
      <c r="N432" s="873"/>
      <c r="O432" s="873"/>
      <c r="P432" s="873"/>
      <c r="Q432" s="873"/>
      <c r="R432" s="873"/>
      <c r="S432" s="873"/>
      <c r="T432" s="873"/>
      <c r="U432" s="873"/>
      <c r="V432" s="873"/>
      <c r="W432" s="873"/>
      <c r="X432" s="873"/>
      <c r="Y432" s="873"/>
      <c r="Z432" s="873"/>
      <c r="AA432" s="873"/>
      <c r="AB432" s="873"/>
      <c r="AC432" s="873"/>
      <c r="AD432" s="873"/>
      <c r="AE432" s="873"/>
      <c r="AF432" s="873"/>
      <c r="AG432" s="873"/>
      <c r="AH432" s="873"/>
      <c r="AI432" s="873"/>
      <c r="AJ432" s="873"/>
      <c r="AK432" s="873"/>
      <c r="AL432" s="873"/>
      <c r="AM432" s="873"/>
      <c r="AN432" s="873"/>
      <c r="AO432" s="873"/>
      <c r="AP432" s="873"/>
      <c r="AQ432" s="873"/>
      <c r="AR432" s="873"/>
      <c r="AS432" s="873"/>
      <c r="AT432" s="873"/>
      <c r="AU432" s="873"/>
      <c r="AV432" s="873"/>
    </row>
    <row r="433" spans="1:48" ht="11.25" customHeight="1" x14ac:dyDescent="0.2">
      <c r="A433" s="873"/>
      <c r="B433" s="873"/>
      <c r="C433" s="873"/>
      <c r="D433" s="873"/>
      <c r="E433" s="873"/>
      <c r="F433" s="873"/>
      <c r="G433" s="873"/>
      <c r="H433" s="873"/>
      <c r="I433" s="873"/>
      <c r="J433" s="873"/>
      <c r="K433" s="873"/>
      <c r="L433" s="873"/>
      <c r="M433" s="873"/>
      <c r="N433" s="873"/>
      <c r="O433" s="873"/>
      <c r="P433" s="873"/>
      <c r="Q433" s="873"/>
      <c r="R433" s="873"/>
      <c r="S433" s="873"/>
      <c r="T433" s="873"/>
      <c r="U433" s="873"/>
      <c r="V433" s="873"/>
      <c r="W433" s="873"/>
      <c r="X433" s="873"/>
      <c r="Y433" s="873"/>
      <c r="Z433" s="873"/>
      <c r="AA433" s="873"/>
      <c r="AB433" s="873"/>
      <c r="AC433" s="873"/>
      <c r="AD433" s="873"/>
      <c r="AE433" s="873"/>
      <c r="AF433" s="873"/>
      <c r="AG433" s="873"/>
      <c r="AH433" s="873"/>
      <c r="AI433" s="873"/>
      <c r="AJ433" s="873"/>
      <c r="AK433" s="873"/>
      <c r="AL433" s="873"/>
      <c r="AM433" s="873"/>
      <c r="AN433" s="873"/>
      <c r="AO433" s="873"/>
      <c r="AP433" s="873"/>
      <c r="AQ433" s="873"/>
      <c r="AR433" s="873"/>
      <c r="AS433" s="873"/>
      <c r="AT433" s="873"/>
      <c r="AU433" s="873"/>
      <c r="AV433" s="873"/>
    </row>
    <row r="434" spans="1:48" ht="11.25" customHeight="1" x14ac:dyDescent="0.2">
      <c r="A434" s="873"/>
      <c r="B434" s="873"/>
      <c r="C434" s="873"/>
      <c r="D434" s="873"/>
      <c r="E434" s="873"/>
      <c r="F434" s="873"/>
      <c r="G434" s="873"/>
      <c r="H434" s="873"/>
      <c r="I434" s="873"/>
      <c r="J434" s="873"/>
      <c r="K434" s="873"/>
      <c r="L434" s="873"/>
      <c r="M434" s="873"/>
      <c r="N434" s="873"/>
      <c r="O434" s="873"/>
      <c r="P434" s="873"/>
      <c r="Q434" s="873"/>
      <c r="R434" s="873"/>
      <c r="S434" s="873"/>
      <c r="T434" s="873"/>
      <c r="U434" s="873"/>
      <c r="V434" s="873"/>
      <c r="W434" s="873"/>
      <c r="X434" s="873"/>
      <c r="Y434" s="873"/>
      <c r="Z434" s="873"/>
      <c r="AA434" s="873"/>
      <c r="AB434" s="873"/>
      <c r="AC434" s="873"/>
      <c r="AD434" s="873"/>
      <c r="AE434" s="873"/>
      <c r="AF434" s="873"/>
      <c r="AG434" s="873"/>
      <c r="AH434" s="873"/>
      <c r="AI434" s="873"/>
      <c r="AJ434" s="873"/>
      <c r="AK434" s="873"/>
      <c r="AL434" s="873"/>
      <c r="AM434" s="873"/>
      <c r="AN434" s="873"/>
      <c r="AO434" s="873"/>
      <c r="AP434" s="873"/>
      <c r="AQ434" s="873"/>
      <c r="AR434" s="873"/>
      <c r="AS434" s="873"/>
      <c r="AT434" s="873"/>
      <c r="AU434" s="873"/>
      <c r="AV434" s="873"/>
    </row>
    <row r="435" spans="1:48" ht="11.25" customHeight="1" x14ac:dyDescent="0.2">
      <c r="A435" s="873"/>
      <c r="B435" s="873"/>
      <c r="C435" s="873"/>
      <c r="D435" s="873"/>
      <c r="E435" s="873"/>
      <c r="F435" s="873"/>
      <c r="G435" s="873"/>
      <c r="H435" s="873"/>
      <c r="I435" s="873"/>
      <c r="J435" s="873"/>
      <c r="K435" s="873"/>
      <c r="L435" s="873"/>
      <c r="M435" s="873"/>
      <c r="N435" s="873"/>
      <c r="O435" s="873"/>
      <c r="P435" s="873"/>
      <c r="Q435" s="873"/>
      <c r="R435" s="873"/>
      <c r="S435" s="873"/>
      <c r="T435" s="873"/>
      <c r="U435" s="873"/>
      <c r="V435" s="873"/>
      <c r="W435" s="873"/>
      <c r="X435" s="873"/>
      <c r="Y435" s="873"/>
      <c r="Z435" s="873"/>
      <c r="AA435" s="873"/>
      <c r="AB435" s="873"/>
      <c r="AC435" s="873"/>
      <c r="AD435" s="873"/>
      <c r="AE435" s="873"/>
      <c r="AF435" s="873"/>
      <c r="AG435" s="873"/>
      <c r="AH435" s="873"/>
      <c r="AI435" s="873"/>
      <c r="AJ435" s="873"/>
      <c r="AK435" s="873"/>
      <c r="AL435" s="873"/>
      <c r="AM435" s="873"/>
      <c r="AN435" s="873"/>
      <c r="AO435" s="873"/>
      <c r="AP435" s="873"/>
      <c r="AQ435" s="873"/>
      <c r="AR435" s="873"/>
      <c r="AS435" s="873"/>
      <c r="AT435" s="873"/>
      <c r="AU435" s="873"/>
      <c r="AV435" s="873"/>
    </row>
    <row r="436" spans="1:48" ht="11.25" customHeight="1" x14ac:dyDescent="0.2">
      <c r="A436" s="873"/>
      <c r="B436" s="873"/>
      <c r="C436" s="873"/>
      <c r="D436" s="873"/>
      <c r="E436" s="873"/>
      <c r="F436" s="873"/>
      <c r="G436" s="873"/>
      <c r="H436" s="873"/>
      <c r="I436" s="873"/>
      <c r="J436" s="873"/>
      <c r="K436" s="873"/>
      <c r="L436" s="873"/>
      <c r="M436" s="873"/>
      <c r="N436" s="873"/>
      <c r="O436" s="873"/>
      <c r="P436" s="873"/>
      <c r="Q436" s="873"/>
      <c r="R436" s="873"/>
      <c r="S436" s="873"/>
      <c r="T436" s="873"/>
      <c r="U436" s="873"/>
      <c r="V436" s="873"/>
      <c r="W436" s="873"/>
      <c r="X436" s="873"/>
      <c r="Y436" s="873"/>
      <c r="Z436" s="873"/>
      <c r="AA436" s="873"/>
      <c r="AB436" s="873"/>
      <c r="AC436" s="873"/>
      <c r="AD436" s="873"/>
      <c r="AE436" s="873"/>
      <c r="AF436" s="873"/>
      <c r="AG436" s="873"/>
      <c r="AH436" s="873"/>
      <c r="AI436" s="873"/>
      <c r="AJ436" s="873"/>
      <c r="AK436" s="873"/>
      <c r="AL436" s="873"/>
      <c r="AM436" s="873"/>
      <c r="AN436" s="873"/>
      <c r="AO436" s="873"/>
      <c r="AP436" s="873"/>
      <c r="AQ436" s="873"/>
      <c r="AR436" s="873"/>
      <c r="AS436" s="873"/>
      <c r="AT436" s="873"/>
      <c r="AU436" s="873"/>
      <c r="AV436" s="873"/>
    </row>
    <row r="437" spans="1:48" ht="11.25" customHeight="1" x14ac:dyDescent="0.2">
      <c r="A437" s="873"/>
      <c r="B437" s="873"/>
      <c r="C437" s="873"/>
      <c r="D437" s="873"/>
      <c r="E437" s="873"/>
      <c r="F437" s="873"/>
      <c r="G437" s="873"/>
      <c r="H437" s="873"/>
      <c r="I437" s="873"/>
      <c r="J437" s="873"/>
      <c r="K437" s="873"/>
      <c r="L437" s="873"/>
      <c r="M437" s="873"/>
      <c r="N437" s="873"/>
      <c r="O437" s="873"/>
      <c r="P437" s="873"/>
      <c r="Q437" s="873"/>
      <c r="R437" s="873"/>
      <c r="S437" s="873"/>
      <c r="T437" s="873"/>
      <c r="U437" s="873"/>
      <c r="V437" s="873"/>
      <c r="W437" s="873"/>
      <c r="X437" s="873"/>
      <c r="Y437" s="873"/>
      <c r="Z437" s="873"/>
      <c r="AA437" s="873"/>
      <c r="AB437" s="873"/>
      <c r="AC437" s="873"/>
      <c r="AD437" s="873"/>
      <c r="AE437" s="873"/>
      <c r="AF437" s="873"/>
      <c r="AG437" s="873"/>
      <c r="AH437" s="873"/>
      <c r="AI437" s="873"/>
      <c r="AJ437" s="873"/>
      <c r="AK437" s="873"/>
      <c r="AL437" s="873"/>
      <c r="AM437" s="873"/>
      <c r="AN437" s="873"/>
      <c r="AO437" s="873"/>
      <c r="AP437" s="873"/>
      <c r="AQ437" s="873"/>
      <c r="AR437" s="873"/>
      <c r="AS437" s="873"/>
      <c r="AT437" s="873"/>
      <c r="AU437" s="873"/>
      <c r="AV437" s="873"/>
    </row>
    <row r="438" spans="1:48" ht="11.25" customHeight="1" x14ac:dyDescent="0.2">
      <c r="A438" s="873"/>
      <c r="B438" s="873"/>
      <c r="C438" s="873"/>
      <c r="D438" s="873"/>
      <c r="E438" s="873"/>
      <c r="F438" s="873"/>
      <c r="G438" s="873"/>
      <c r="H438" s="873"/>
      <c r="I438" s="873"/>
      <c r="J438" s="873"/>
      <c r="K438" s="873"/>
      <c r="L438" s="873"/>
      <c r="M438" s="873"/>
      <c r="N438" s="873"/>
      <c r="O438" s="873"/>
      <c r="P438" s="873"/>
      <c r="Q438" s="873"/>
      <c r="R438" s="873"/>
      <c r="S438" s="873"/>
      <c r="T438" s="873"/>
      <c r="U438" s="873"/>
      <c r="V438" s="873"/>
      <c r="W438" s="873"/>
      <c r="X438" s="873"/>
      <c r="Y438" s="873"/>
      <c r="Z438" s="873"/>
      <c r="AA438" s="873"/>
      <c r="AB438" s="873"/>
      <c r="AC438" s="873"/>
      <c r="AD438" s="873"/>
      <c r="AE438" s="873"/>
      <c r="AF438" s="873"/>
      <c r="AG438" s="873"/>
      <c r="AH438" s="873"/>
      <c r="AI438" s="873"/>
      <c r="AJ438" s="873"/>
      <c r="AK438" s="873"/>
      <c r="AL438" s="873"/>
      <c r="AM438" s="873"/>
      <c r="AN438" s="873"/>
      <c r="AO438" s="873"/>
      <c r="AP438" s="873"/>
      <c r="AQ438" s="873"/>
      <c r="AR438" s="873"/>
      <c r="AS438" s="873"/>
      <c r="AT438" s="873"/>
      <c r="AU438" s="873"/>
      <c r="AV438" s="873"/>
    </row>
    <row r="439" spans="1:48" ht="11.25" customHeight="1" x14ac:dyDescent="0.2">
      <c r="A439" s="873"/>
      <c r="B439" s="873"/>
      <c r="C439" s="873"/>
      <c r="D439" s="873"/>
      <c r="E439" s="873"/>
      <c r="F439" s="873"/>
      <c r="G439" s="873"/>
      <c r="H439" s="873"/>
      <c r="I439" s="873"/>
      <c r="J439" s="873"/>
      <c r="K439" s="873"/>
      <c r="L439" s="873"/>
      <c r="M439" s="873"/>
      <c r="N439" s="873"/>
      <c r="O439" s="873"/>
      <c r="P439" s="873"/>
      <c r="Q439" s="873"/>
      <c r="R439" s="873"/>
      <c r="S439" s="873"/>
      <c r="T439" s="873"/>
      <c r="U439" s="873"/>
      <c r="V439" s="873"/>
      <c r="W439" s="873"/>
      <c r="X439" s="873"/>
      <c r="Y439" s="873"/>
      <c r="Z439" s="873"/>
      <c r="AA439" s="873"/>
      <c r="AB439" s="873"/>
      <c r="AC439" s="873"/>
      <c r="AD439" s="873"/>
      <c r="AE439" s="873"/>
      <c r="AF439" s="873"/>
      <c r="AG439" s="873"/>
      <c r="AH439" s="873"/>
      <c r="AI439" s="873"/>
      <c r="AJ439" s="873"/>
      <c r="AK439" s="873"/>
      <c r="AL439" s="873"/>
      <c r="AM439" s="873"/>
      <c r="AN439" s="873"/>
      <c r="AO439" s="873"/>
      <c r="AP439" s="873"/>
      <c r="AQ439" s="873"/>
      <c r="AR439" s="873"/>
      <c r="AS439" s="873"/>
      <c r="AT439" s="873"/>
      <c r="AU439" s="873"/>
      <c r="AV439" s="873"/>
    </row>
    <row r="440" spans="1:48" ht="11.25" customHeight="1" x14ac:dyDescent="0.2">
      <c r="A440" s="873"/>
      <c r="B440" s="873"/>
      <c r="C440" s="873"/>
      <c r="D440" s="873"/>
      <c r="E440" s="873"/>
      <c r="F440" s="873"/>
      <c r="G440" s="873"/>
      <c r="H440" s="873"/>
      <c r="I440" s="873"/>
      <c r="J440" s="873"/>
      <c r="K440" s="873"/>
      <c r="L440" s="873"/>
      <c r="M440" s="873"/>
      <c r="N440" s="873"/>
      <c r="O440" s="873"/>
      <c r="P440" s="873"/>
      <c r="Q440" s="873"/>
      <c r="R440" s="873"/>
      <c r="S440" s="873"/>
      <c r="T440" s="873"/>
      <c r="U440" s="873"/>
      <c r="V440" s="873"/>
      <c r="W440" s="873"/>
      <c r="X440" s="873"/>
      <c r="Y440" s="873"/>
      <c r="Z440" s="873"/>
      <c r="AA440" s="873"/>
      <c r="AB440" s="873"/>
      <c r="AC440" s="873"/>
      <c r="AD440" s="873"/>
      <c r="AE440" s="873"/>
      <c r="AF440" s="873"/>
      <c r="AG440" s="873"/>
      <c r="AH440" s="873"/>
      <c r="AI440" s="873"/>
      <c r="AJ440" s="873"/>
      <c r="AK440" s="873"/>
      <c r="AL440" s="873"/>
      <c r="AM440" s="873"/>
      <c r="AN440" s="873"/>
      <c r="AO440" s="873"/>
      <c r="AP440" s="873"/>
      <c r="AQ440" s="873"/>
      <c r="AR440" s="873"/>
      <c r="AS440" s="873"/>
      <c r="AT440" s="873"/>
      <c r="AU440" s="873"/>
      <c r="AV440" s="873"/>
    </row>
    <row r="441" spans="1:48" ht="11.25" customHeight="1" x14ac:dyDescent="0.2">
      <c r="A441" s="873"/>
      <c r="B441" s="873"/>
      <c r="C441" s="873"/>
      <c r="D441" s="873"/>
      <c r="E441" s="873"/>
      <c r="F441" s="873"/>
      <c r="G441" s="873"/>
      <c r="H441" s="873"/>
      <c r="I441" s="873"/>
      <c r="J441" s="873"/>
      <c r="K441" s="873"/>
      <c r="L441" s="873"/>
      <c r="M441" s="873"/>
      <c r="N441" s="873"/>
      <c r="O441" s="873"/>
      <c r="P441" s="873"/>
      <c r="Q441" s="873"/>
      <c r="R441" s="873"/>
      <c r="S441" s="873"/>
      <c r="T441" s="873"/>
      <c r="U441" s="873"/>
      <c r="V441" s="873"/>
      <c r="W441" s="873"/>
      <c r="X441" s="873"/>
      <c r="Y441" s="873"/>
      <c r="Z441" s="873"/>
      <c r="AA441" s="873"/>
      <c r="AB441" s="873"/>
      <c r="AC441" s="873"/>
      <c r="AD441" s="873"/>
      <c r="AE441" s="873"/>
      <c r="AF441" s="873"/>
      <c r="AG441" s="873"/>
      <c r="AH441" s="873"/>
      <c r="AI441" s="873"/>
      <c r="AJ441" s="873"/>
      <c r="AK441" s="873"/>
      <c r="AL441" s="873"/>
      <c r="AM441" s="873"/>
      <c r="AN441" s="873"/>
      <c r="AO441" s="873"/>
      <c r="AP441" s="873"/>
      <c r="AQ441" s="873"/>
      <c r="AR441" s="873"/>
      <c r="AS441" s="873"/>
      <c r="AT441" s="873"/>
      <c r="AU441" s="873"/>
      <c r="AV441" s="873"/>
    </row>
    <row r="442" spans="1:48" ht="11.25" customHeight="1" x14ac:dyDescent="0.2">
      <c r="A442" s="873"/>
      <c r="B442" s="873"/>
      <c r="C442" s="873"/>
      <c r="D442" s="873"/>
      <c r="E442" s="873"/>
      <c r="F442" s="873"/>
      <c r="G442" s="873"/>
      <c r="H442" s="873"/>
      <c r="I442" s="873"/>
      <c r="J442" s="873"/>
      <c r="K442" s="873"/>
      <c r="L442" s="873"/>
      <c r="M442" s="873"/>
      <c r="N442" s="873"/>
      <c r="O442" s="873"/>
      <c r="P442" s="873"/>
      <c r="Q442" s="873"/>
      <c r="R442" s="873"/>
      <c r="S442" s="873"/>
      <c r="T442" s="873"/>
      <c r="U442" s="873"/>
      <c r="V442" s="873"/>
      <c r="W442" s="873"/>
      <c r="X442" s="873"/>
      <c r="Y442" s="873"/>
      <c r="Z442" s="873"/>
      <c r="AA442" s="873"/>
      <c r="AB442" s="873"/>
      <c r="AC442" s="873"/>
      <c r="AD442" s="873"/>
      <c r="AE442" s="873"/>
      <c r="AF442" s="873"/>
      <c r="AG442" s="873"/>
      <c r="AH442" s="873"/>
      <c r="AI442" s="873"/>
      <c r="AJ442" s="873"/>
      <c r="AK442" s="873"/>
      <c r="AL442" s="873"/>
      <c r="AM442" s="873"/>
      <c r="AN442" s="873"/>
      <c r="AO442" s="873"/>
      <c r="AP442" s="873"/>
      <c r="AQ442" s="873"/>
      <c r="AR442" s="873"/>
      <c r="AS442" s="873"/>
      <c r="AT442" s="873"/>
      <c r="AU442" s="873"/>
      <c r="AV442" s="873"/>
    </row>
    <row r="443" spans="1:48" ht="11.25" customHeight="1" x14ac:dyDescent="0.2">
      <c r="A443" s="873"/>
      <c r="B443" s="873"/>
      <c r="C443" s="873"/>
      <c r="D443" s="873"/>
      <c r="E443" s="873"/>
      <c r="F443" s="873"/>
      <c r="G443" s="873"/>
      <c r="H443" s="873"/>
      <c r="I443" s="873"/>
      <c r="J443" s="873"/>
      <c r="K443" s="873"/>
      <c r="L443" s="873"/>
      <c r="M443" s="873"/>
      <c r="N443" s="873"/>
      <c r="O443" s="873"/>
      <c r="P443" s="873"/>
      <c r="Q443" s="873"/>
      <c r="R443" s="873"/>
      <c r="S443" s="873"/>
      <c r="T443" s="873"/>
      <c r="U443" s="873"/>
      <c r="V443" s="873"/>
      <c r="W443" s="873"/>
      <c r="X443" s="873"/>
      <c r="Y443" s="873"/>
      <c r="Z443" s="873"/>
      <c r="AA443" s="873"/>
      <c r="AB443" s="873"/>
      <c r="AC443" s="873"/>
      <c r="AD443" s="873"/>
      <c r="AE443" s="873"/>
      <c r="AF443" s="873"/>
      <c r="AG443" s="873"/>
      <c r="AH443" s="873"/>
      <c r="AI443" s="873"/>
      <c r="AJ443" s="873"/>
      <c r="AK443" s="873"/>
      <c r="AL443" s="873"/>
      <c r="AM443" s="873"/>
      <c r="AN443" s="873"/>
      <c r="AO443" s="873"/>
      <c r="AP443" s="873"/>
      <c r="AQ443" s="873"/>
      <c r="AR443" s="873"/>
      <c r="AS443" s="873"/>
      <c r="AT443" s="873"/>
      <c r="AU443" s="873"/>
      <c r="AV443" s="873"/>
    </row>
    <row r="444" spans="1:48" ht="11.25" customHeight="1" x14ac:dyDescent="0.2">
      <c r="A444" s="873"/>
      <c r="B444" s="873"/>
      <c r="C444" s="873"/>
      <c r="D444" s="873"/>
      <c r="E444" s="873"/>
      <c r="F444" s="873"/>
      <c r="G444" s="873"/>
      <c r="H444" s="873"/>
      <c r="I444" s="873"/>
      <c r="J444" s="873"/>
      <c r="K444" s="873"/>
      <c r="L444" s="873"/>
      <c r="M444" s="873"/>
      <c r="N444" s="873"/>
      <c r="O444" s="873"/>
      <c r="P444" s="873"/>
      <c r="Q444" s="873"/>
      <c r="R444" s="873"/>
      <c r="S444" s="873"/>
      <c r="T444" s="873"/>
      <c r="U444" s="873"/>
      <c r="V444" s="873"/>
      <c r="W444" s="873"/>
      <c r="X444" s="873"/>
      <c r="Y444" s="873"/>
      <c r="Z444" s="873"/>
      <c r="AA444" s="873"/>
      <c r="AB444" s="873"/>
      <c r="AC444" s="873"/>
      <c r="AD444" s="873"/>
      <c r="AE444" s="873"/>
      <c r="AF444" s="873"/>
      <c r="AG444" s="873"/>
      <c r="AH444" s="873"/>
      <c r="AI444" s="873"/>
      <c r="AJ444" s="873"/>
      <c r="AK444" s="873"/>
      <c r="AL444" s="873"/>
      <c r="AM444" s="873"/>
      <c r="AN444" s="873"/>
      <c r="AO444" s="873"/>
      <c r="AP444" s="873"/>
      <c r="AQ444" s="873"/>
      <c r="AR444" s="873"/>
      <c r="AS444" s="873"/>
      <c r="AT444" s="873"/>
      <c r="AU444" s="873"/>
      <c r="AV444" s="873"/>
    </row>
    <row r="445" spans="1:48" ht="11.25" customHeight="1" x14ac:dyDescent="0.2">
      <c r="A445" s="873"/>
      <c r="B445" s="873"/>
      <c r="C445" s="873"/>
      <c r="D445" s="873"/>
      <c r="E445" s="873"/>
      <c r="F445" s="873"/>
      <c r="G445" s="873"/>
      <c r="H445" s="873"/>
      <c r="I445" s="873"/>
      <c r="J445" s="873"/>
      <c r="K445" s="873"/>
      <c r="L445" s="873"/>
      <c r="M445" s="873"/>
      <c r="N445" s="873"/>
      <c r="O445" s="873"/>
      <c r="P445" s="873"/>
      <c r="Q445" s="873"/>
      <c r="R445" s="873"/>
      <c r="S445" s="873"/>
      <c r="T445" s="873"/>
      <c r="U445" s="873"/>
      <c r="V445" s="873"/>
      <c r="W445" s="873"/>
      <c r="X445" s="873"/>
      <c r="Y445" s="873"/>
      <c r="Z445" s="873"/>
      <c r="AA445" s="873"/>
      <c r="AB445" s="873"/>
      <c r="AC445" s="873"/>
      <c r="AD445" s="873"/>
      <c r="AE445" s="873"/>
      <c r="AF445" s="873"/>
      <c r="AG445" s="873"/>
      <c r="AH445" s="873"/>
      <c r="AI445" s="873"/>
      <c r="AJ445" s="873"/>
      <c r="AK445" s="873"/>
      <c r="AL445" s="873"/>
      <c r="AM445" s="873"/>
      <c r="AN445" s="873"/>
      <c r="AO445" s="873"/>
      <c r="AP445" s="873"/>
      <c r="AQ445" s="873"/>
      <c r="AR445" s="873"/>
      <c r="AS445" s="873"/>
      <c r="AT445" s="873"/>
      <c r="AU445" s="873"/>
      <c r="AV445" s="873"/>
    </row>
    <row r="446" spans="1:48" ht="11.25" customHeight="1" x14ac:dyDescent="0.2">
      <c r="A446" s="873"/>
      <c r="B446" s="873"/>
      <c r="C446" s="873"/>
      <c r="D446" s="873"/>
      <c r="E446" s="873"/>
      <c r="F446" s="873"/>
      <c r="G446" s="873"/>
      <c r="H446" s="873"/>
      <c r="I446" s="873"/>
      <c r="J446" s="873"/>
      <c r="K446" s="873"/>
      <c r="L446" s="873"/>
      <c r="M446" s="873"/>
      <c r="N446" s="873"/>
      <c r="O446" s="873"/>
      <c r="P446" s="873"/>
      <c r="Q446" s="873"/>
      <c r="R446" s="873"/>
      <c r="S446" s="873"/>
      <c r="T446" s="873"/>
      <c r="U446" s="873"/>
      <c r="V446" s="873"/>
      <c r="W446" s="873"/>
      <c r="X446" s="873"/>
      <c r="Y446" s="873"/>
      <c r="Z446" s="873"/>
      <c r="AA446" s="873"/>
      <c r="AB446" s="873"/>
      <c r="AC446" s="873"/>
      <c r="AD446" s="873"/>
      <c r="AE446" s="873"/>
      <c r="AF446" s="873"/>
      <c r="AG446" s="873"/>
      <c r="AH446" s="873"/>
      <c r="AI446" s="873"/>
      <c r="AJ446" s="873"/>
      <c r="AK446" s="873"/>
      <c r="AL446" s="873"/>
      <c r="AM446" s="873"/>
      <c r="AN446" s="873"/>
      <c r="AO446" s="873"/>
      <c r="AP446" s="873"/>
      <c r="AQ446" s="873"/>
      <c r="AR446" s="873"/>
      <c r="AS446" s="873"/>
      <c r="AT446" s="873"/>
      <c r="AU446" s="873"/>
      <c r="AV446" s="873"/>
    </row>
    <row r="447" spans="1:48" ht="11.25" customHeight="1" x14ac:dyDescent="0.2">
      <c r="A447" s="873"/>
      <c r="B447" s="873"/>
      <c r="C447" s="873"/>
      <c r="D447" s="873"/>
      <c r="E447" s="873"/>
      <c r="F447" s="873"/>
      <c r="G447" s="873"/>
      <c r="H447" s="873"/>
      <c r="I447" s="873"/>
      <c r="J447" s="873"/>
      <c r="K447" s="873"/>
      <c r="L447" s="873"/>
      <c r="M447" s="873"/>
      <c r="N447" s="873"/>
      <c r="O447" s="873"/>
      <c r="P447" s="873"/>
      <c r="Q447" s="873"/>
      <c r="R447" s="873"/>
      <c r="S447" s="873"/>
      <c r="T447" s="873"/>
      <c r="U447" s="873"/>
      <c r="V447" s="873"/>
      <c r="W447" s="873"/>
      <c r="X447" s="873"/>
      <c r="Y447" s="873"/>
      <c r="Z447" s="873"/>
      <c r="AA447" s="873"/>
      <c r="AB447" s="873"/>
      <c r="AC447" s="873"/>
      <c r="AD447" s="873"/>
      <c r="AE447" s="873"/>
      <c r="AF447" s="873"/>
      <c r="AG447" s="873"/>
      <c r="AH447" s="873"/>
      <c r="AI447" s="873"/>
      <c r="AJ447" s="873"/>
      <c r="AK447" s="873"/>
      <c r="AL447" s="873"/>
      <c r="AM447" s="873"/>
      <c r="AN447" s="873"/>
      <c r="AO447" s="873"/>
      <c r="AP447" s="873"/>
      <c r="AQ447" s="873"/>
      <c r="AR447" s="873"/>
      <c r="AS447" s="873"/>
      <c r="AT447" s="873"/>
      <c r="AU447" s="873"/>
      <c r="AV447" s="873"/>
    </row>
    <row r="448" spans="1:48" ht="11.25" customHeight="1" x14ac:dyDescent="0.2">
      <c r="A448" s="873"/>
      <c r="B448" s="873"/>
      <c r="C448" s="873"/>
      <c r="D448" s="873"/>
      <c r="E448" s="873"/>
      <c r="F448" s="873"/>
      <c r="G448" s="873"/>
      <c r="H448" s="873"/>
      <c r="I448" s="873"/>
      <c r="J448" s="873"/>
      <c r="K448" s="873"/>
      <c r="L448" s="873"/>
      <c r="M448" s="873"/>
      <c r="N448" s="873"/>
      <c r="O448" s="873"/>
      <c r="P448" s="873"/>
      <c r="Q448" s="873"/>
      <c r="R448" s="873"/>
      <c r="S448" s="873"/>
      <c r="T448" s="873"/>
      <c r="U448" s="873"/>
      <c r="V448" s="873"/>
      <c r="W448" s="873"/>
      <c r="X448" s="873"/>
      <c r="Y448" s="873"/>
      <c r="Z448" s="873"/>
      <c r="AA448" s="873"/>
      <c r="AB448" s="873"/>
      <c r="AC448" s="873"/>
      <c r="AD448" s="873"/>
      <c r="AE448" s="873"/>
      <c r="AF448" s="873"/>
      <c r="AG448" s="873"/>
      <c r="AH448" s="873"/>
      <c r="AI448" s="873"/>
      <c r="AJ448" s="873"/>
      <c r="AK448" s="873"/>
      <c r="AL448" s="873"/>
      <c r="AM448" s="873"/>
      <c r="AN448" s="873"/>
      <c r="AO448" s="873"/>
      <c r="AP448" s="873"/>
      <c r="AQ448" s="873"/>
      <c r="AR448" s="873"/>
      <c r="AS448" s="873"/>
      <c r="AT448" s="873"/>
      <c r="AU448" s="873"/>
      <c r="AV448" s="873"/>
    </row>
    <row r="449" spans="1:48" ht="11.25" customHeight="1" x14ac:dyDescent="0.2">
      <c r="A449" s="873"/>
      <c r="B449" s="873"/>
      <c r="C449" s="873"/>
      <c r="D449" s="873"/>
      <c r="E449" s="873"/>
      <c r="F449" s="873"/>
      <c r="G449" s="873"/>
      <c r="H449" s="873"/>
      <c r="I449" s="873"/>
      <c r="J449" s="873"/>
      <c r="K449" s="873"/>
      <c r="L449" s="873"/>
      <c r="M449" s="873"/>
      <c r="N449" s="873"/>
      <c r="O449" s="873"/>
      <c r="P449" s="873"/>
      <c r="Q449" s="873"/>
      <c r="R449" s="873"/>
      <c r="S449" s="873"/>
      <c r="T449" s="873"/>
      <c r="U449" s="873"/>
      <c r="V449" s="873"/>
      <c r="W449" s="873"/>
      <c r="X449" s="873"/>
      <c r="Y449" s="873"/>
      <c r="Z449" s="873"/>
      <c r="AA449" s="873"/>
      <c r="AB449" s="873"/>
      <c r="AC449" s="873"/>
      <c r="AD449" s="873"/>
      <c r="AE449" s="873"/>
      <c r="AF449" s="873"/>
      <c r="AG449" s="873"/>
      <c r="AH449" s="873"/>
      <c r="AI449" s="873"/>
      <c r="AJ449" s="873"/>
      <c r="AK449" s="873"/>
      <c r="AL449" s="873"/>
      <c r="AM449" s="873"/>
      <c r="AN449" s="873"/>
      <c r="AO449" s="873"/>
      <c r="AP449" s="873"/>
      <c r="AQ449" s="873"/>
      <c r="AR449" s="873"/>
      <c r="AS449" s="873"/>
      <c r="AT449" s="873"/>
      <c r="AU449" s="873"/>
      <c r="AV449" s="873"/>
    </row>
    <row r="450" spans="1:48" ht="11.25" customHeight="1" x14ac:dyDescent="0.2">
      <c r="A450" s="873"/>
      <c r="B450" s="873"/>
      <c r="C450" s="873"/>
      <c r="D450" s="873"/>
      <c r="E450" s="873"/>
      <c r="F450" s="873"/>
      <c r="G450" s="873"/>
      <c r="H450" s="873"/>
      <c r="I450" s="873"/>
      <c r="J450" s="873"/>
      <c r="K450" s="873"/>
      <c r="L450" s="873"/>
      <c r="M450" s="873"/>
      <c r="N450" s="873"/>
      <c r="O450" s="873"/>
      <c r="P450" s="873"/>
      <c r="Q450" s="873"/>
      <c r="R450" s="873"/>
      <c r="S450" s="873"/>
      <c r="T450" s="873"/>
      <c r="U450" s="873"/>
      <c r="V450" s="873"/>
      <c r="W450" s="873"/>
      <c r="X450" s="873"/>
      <c r="Y450" s="873"/>
      <c r="Z450" s="873"/>
      <c r="AA450" s="873"/>
      <c r="AB450" s="873"/>
      <c r="AC450" s="873"/>
      <c r="AD450" s="873"/>
      <c r="AE450" s="873"/>
      <c r="AF450" s="873"/>
      <c r="AG450" s="873"/>
      <c r="AH450" s="873"/>
      <c r="AI450" s="873"/>
      <c r="AJ450" s="873"/>
      <c r="AK450" s="873"/>
      <c r="AL450" s="873"/>
      <c r="AM450" s="873"/>
      <c r="AN450" s="873"/>
      <c r="AO450" s="873"/>
      <c r="AP450" s="873"/>
      <c r="AQ450" s="873"/>
      <c r="AR450" s="873"/>
      <c r="AS450" s="873"/>
      <c r="AT450" s="873"/>
      <c r="AU450" s="873"/>
      <c r="AV450" s="873"/>
    </row>
    <row r="451" spans="1:48" ht="11.25" customHeight="1" x14ac:dyDescent="0.2">
      <c r="A451" s="873"/>
      <c r="B451" s="873"/>
      <c r="C451" s="873"/>
      <c r="D451" s="873"/>
      <c r="E451" s="873"/>
      <c r="F451" s="873"/>
      <c r="G451" s="873"/>
      <c r="H451" s="873"/>
      <c r="I451" s="873"/>
      <c r="J451" s="873"/>
      <c r="K451" s="873"/>
      <c r="L451" s="873"/>
      <c r="M451" s="873"/>
      <c r="N451" s="873"/>
      <c r="O451" s="873"/>
      <c r="P451" s="873"/>
      <c r="Q451" s="873"/>
      <c r="R451" s="873"/>
      <c r="S451" s="873"/>
      <c r="T451" s="873"/>
      <c r="U451" s="873"/>
      <c r="V451" s="873"/>
      <c r="W451" s="873"/>
      <c r="X451" s="873"/>
      <c r="Y451" s="873"/>
      <c r="Z451" s="873"/>
      <c r="AA451" s="873"/>
      <c r="AB451" s="873"/>
      <c r="AC451" s="873"/>
      <c r="AD451" s="873"/>
      <c r="AE451" s="873"/>
      <c r="AF451" s="873"/>
      <c r="AG451" s="873"/>
      <c r="AH451" s="873"/>
      <c r="AI451" s="873"/>
      <c r="AJ451" s="873"/>
      <c r="AK451" s="873"/>
      <c r="AL451" s="873"/>
      <c r="AM451" s="873"/>
      <c r="AN451" s="873"/>
      <c r="AO451" s="873"/>
      <c r="AP451" s="873"/>
      <c r="AQ451" s="873"/>
      <c r="AR451" s="873"/>
      <c r="AS451" s="873"/>
      <c r="AT451" s="873"/>
      <c r="AU451" s="873"/>
      <c r="AV451" s="873"/>
    </row>
    <row r="452" spans="1:48" ht="11.25" customHeight="1" x14ac:dyDescent="0.2">
      <c r="A452" s="873"/>
      <c r="B452" s="873"/>
      <c r="C452" s="873"/>
      <c r="D452" s="873"/>
      <c r="E452" s="873"/>
      <c r="F452" s="873"/>
      <c r="G452" s="873"/>
      <c r="H452" s="873"/>
      <c r="I452" s="873"/>
      <c r="J452" s="873"/>
      <c r="K452" s="873"/>
      <c r="L452" s="873"/>
      <c r="M452" s="873"/>
      <c r="N452" s="873"/>
      <c r="O452" s="873"/>
      <c r="P452" s="873"/>
      <c r="Q452" s="873"/>
      <c r="R452" s="873"/>
      <c r="S452" s="873"/>
      <c r="T452" s="873"/>
      <c r="U452" s="873"/>
      <c r="V452" s="873"/>
      <c r="W452" s="873"/>
      <c r="X452" s="873"/>
      <c r="Y452" s="873"/>
      <c r="Z452" s="873"/>
      <c r="AA452" s="873"/>
      <c r="AB452" s="873"/>
      <c r="AC452" s="873"/>
      <c r="AD452" s="873"/>
      <c r="AE452" s="873"/>
      <c r="AF452" s="873"/>
      <c r="AG452" s="873"/>
      <c r="AH452" s="873"/>
      <c r="AI452" s="873"/>
      <c r="AJ452" s="873"/>
      <c r="AK452" s="873"/>
      <c r="AL452" s="873"/>
      <c r="AM452" s="873"/>
      <c r="AN452" s="873"/>
      <c r="AO452" s="873"/>
      <c r="AP452" s="873"/>
      <c r="AQ452" s="873"/>
      <c r="AR452" s="873"/>
      <c r="AS452" s="873"/>
      <c r="AT452" s="873"/>
      <c r="AU452" s="873"/>
      <c r="AV452" s="873"/>
    </row>
    <row r="453" spans="1:48" ht="11.25" customHeight="1" x14ac:dyDescent="0.2">
      <c r="A453" s="873"/>
      <c r="B453" s="873"/>
      <c r="C453" s="873"/>
      <c r="D453" s="873"/>
      <c r="E453" s="873"/>
      <c r="F453" s="873"/>
      <c r="G453" s="873"/>
      <c r="H453" s="873"/>
      <c r="I453" s="873"/>
      <c r="J453" s="873"/>
      <c r="K453" s="873"/>
      <c r="L453" s="873"/>
      <c r="M453" s="873"/>
      <c r="N453" s="873"/>
      <c r="O453" s="873"/>
      <c r="P453" s="873"/>
      <c r="Q453" s="873"/>
      <c r="R453" s="873"/>
      <c r="S453" s="873"/>
      <c r="T453" s="873"/>
      <c r="U453" s="873"/>
      <c r="V453" s="873"/>
      <c r="W453" s="873"/>
      <c r="X453" s="873"/>
      <c r="Y453" s="873"/>
      <c r="Z453" s="873"/>
      <c r="AA453" s="873"/>
      <c r="AB453" s="873"/>
      <c r="AC453" s="873"/>
      <c r="AD453" s="873"/>
      <c r="AE453" s="873"/>
      <c r="AF453" s="873"/>
      <c r="AG453" s="873"/>
      <c r="AH453" s="873"/>
      <c r="AI453" s="873"/>
      <c r="AJ453" s="873"/>
      <c r="AK453" s="873"/>
      <c r="AL453" s="873"/>
      <c r="AM453" s="873"/>
      <c r="AN453" s="873"/>
      <c r="AO453" s="873"/>
      <c r="AP453" s="873"/>
      <c r="AQ453" s="873"/>
      <c r="AR453" s="873"/>
      <c r="AS453" s="873"/>
      <c r="AT453" s="873"/>
      <c r="AU453" s="873"/>
      <c r="AV453" s="873"/>
    </row>
    <row r="454" spans="1:48" ht="11.25" customHeight="1" x14ac:dyDescent="0.2">
      <c r="A454" s="873"/>
      <c r="B454" s="873"/>
      <c r="C454" s="873"/>
      <c r="D454" s="873"/>
      <c r="E454" s="873"/>
      <c r="F454" s="873"/>
      <c r="G454" s="873"/>
      <c r="H454" s="873"/>
      <c r="I454" s="873"/>
      <c r="J454" s="873"/>
      <c r="K454" s="873"/>
      <c r="L454" s="873"/>
      <c r="M454" s="873"/>
      <c r="N454" s="873"/>
      <c r="O454" s="873"/>
      <c r="P454" s="873"/>
      <c r="Q454" s="873"/>
      <c r="R454" s="873"/>
      <c r="S454" s="873"/>
      <c r="T454" s="873"/>
      <c r="U454" s="873"/>
      <c r="V454" s="873"/>
      <c r="W454" s="873"/>
      <c r="X454" s="873"/>
      <c r="Y454" s="873"/>
      <c r="Z454" s="873"/>
      <c r="AA454" s="873"/>
      <c r="AB454" s="873"/>
      <c r="AC454" s="873"/>
      <c r="AD454" s="873"/>
      <c r="AE454" s="873"/>
      <c r="AF454" s="873"/>
      <c r="AG454" s="873"/>
      <c r="AH454" s="873"/>
      <c r="AI454" s="873"/>
      <c r="AJ454" s="873"/>
      <c r="AK454" s="873"/>
      <c r="AL454" s="873"/>
      <c r="AM454" s="873"/>
      <c r="AN454" s="873"/>
      <c r="AO454" s="873"/>
      <c r="AP454" s="873"/>
      <c r="AQ454" s="873"/>
      <c r="AR454" s="873"/>
      <c r="AS454" s="873"/>
      <c r="AT454" s="873"/>
      <c r="AU454" s="873"/>
      <c r="AV454" s="873"/>
    </row>
    <row r="455" spans="1:48" ht="11.25" customHeight="1" x14ac:dyDescent="0.2">
      <c r="A455" s="873"/>
      <c r="B455" s="873"/>
      <c r="C455" s="873"/>
      <c r="D455" s="873"/>
      <c r="E455" s="873"/>
      <c r="F455" s="873"/>
      <c r="G455" s="873"/>
      <c r="H455" s="873"/>
      <c r="I455" s="873"/>
      <c r="J455" s="873"/>
      <c r="K455" s="873"/>
      <c r="L455" s="873"/>
      <c r="M455" s="873"/>
      <c r="N455" s="873"/>
      <c r="O455" s="873"/>
      <c r="P455" s="873"/>
      <c r="Q455" s="873"/>
      <c r="R455" s="873"/>
      <c r="S455" s="873"/>
      <c r="T455" s="873"/>
      <c r="U455" s="873"/>
      <c r="V455" s="873"/>
      <c r="W455" s="873"/>
      <c r="X455" s="873"/>
      <c r="Y455" s="873"/>
      <c r="Z455" s="873"/>
      <c r="AA455" s="873"/>
      <c r="AB455" s="873"/>
      <c r="AC455" s="873"/>
      <c r="AD455" s="873"/>
      <c r="AE455" s="873"/>
      <c r="AF455" s="873"/>
      <c r="AG455" s="873"/>
      <c r="AH455" s="873"/>
      <c r="AI455" s="873"/>
      <c r="AJ455" s="873"/>
      <c r="AK455" s="873"/>
      <c r="AL455" s="873"/>
      <c r="AM455" s="873"/>
      <c r="AN455" s="873"/>
      <c r="AO455" s="873"/>
      <c r="AP455" s="873"/>
      <c r="AQ455" s="873"/>
      <c r="AR455" s="873"/>
      <c r="AS455" s="873"/>
      <c r="AT455" s="873"/>
      <c r="AU455" s="873"/>
      <c r="AV455" s="873"/>
    </row>
    <row r="456" spans="1:48" ht="11.25" customHeight="1" x14ac:dyDescent="0.2">
      <c r="A456" s="873"/>
      <c r="B456" s="873"/>
      <c r="C456" s="873"/>
      <c r="D456" s="873"/>
      <c r="E456" s="873"/>
      <c r="F456" s="873"/>
      <c r="G456" s="873"/>
      <c r="H456" s="873"/>
      <c r="I456" s="873"/>
      <c r="J456" s="873"/>
      <c r="K456" s="873"/>
      <c r="L456" s="873"/>
      <c r="M456" s="873"/>
      <c r="N456" s="873"/>
      <c r="O456" s="873"/>
      <c r="P456" s="873"/>
      <c r="Q456" s="873"/>
      <c r="R456" s="873"/>
      <c r="S456" s="873"/>
      <c r="T456" s="873"/>
      <c r="U456" s="873"/>
      <c r="V456" s="873"/>
      <c r="W456" s="873"/>
      <c r="X456" s="873"/>
      <c r="Y456" s="873"/>
      <c r="Z456" s="873"/>
      <c r="AA456" s="873"/>
      <c r="AB456" s="873"/>
      <c r="AC456" s="873"/>
      <c r="AD456" s="873"/>
      <c r="AE456" s="873"/>
      <c r="AF456" s="873"/>
      <c r="AG456" s="873"/>
      <c r="AH456" s="873"/>
      <c r="AI456" s="873"/>
      <c r="AJ456" s="873"/>
      <c r="AK456" s="873"/>
      <c r="AL456" s="873"/>
      <c r="AM456" s="873"/>
      <c r="AN456" s="873"/>
      <c r="AO456" s="873"/>
      <c r="AP456" s="873"/>
      <c r="AQ456" s="873"/>
      <c r="AR456" s="873"/>
      <c r="AS456" s="873"/>
      <c r="AT456" s="873"/>
      <c r="AU456" s="873"/>
      <c r="AV456" s="873"/>
    </row>
    <row r="457" spans="1:48" ht="11.25" customHeight="1" x14ac:dyDescent="0.2">
      <c r="A457" s="873"/>
      <c r="B457" s="873"/>
      <c r="C457" s="873"/>
      <c r="D457" s="873"/>
      <c r="E457" s="873"/>
      <c r="F457" s="873"/>
      <c r="G457" s="873"/>
      <c r="H457" s="873"/>
      <c r="I457" s="873"/>
      <c r="J457" s="873"/>
      <c r="K457" s="873"/>
      <c r="L457" s="873"/>
      <c r="M457" s="873"/>
      <c r="N457" s="873"/>
      <c r="O457" s="873"/>
      <c r="P457" s="873"/>
      <c r="Q457" s="873"/>
      <c r="R457" s="873"/>
      <c r="S457" s="873"/>
      <c r="T457" s="873"/>
      <c r="U457" s="873"/>
      <c r="V457" s="873"/>
      <c r="W457" s="873"/>
      <c r="X457" s="873"/>
      <c r="Y457" s="873"/>
      <c r="Z457" s="873"/>
      <c r="AA457" s="873"/>
      <c r="AB457" s="873"/>
      <c r="AC457" s="873"/>
      <c r="AD457" s="873"/>
      <c r="AE457" s="873"/>
      <c r="AF457" s="873"/>
      <c r="AG457" s="873"/>
      <c r="AH457" s="873"/>
      <c r="AI457" s="873"/>
      <c r="AJ457" s="873"/>
      <c r="AK457" s="873"/>
      <c r="AL457" s="873"/>
      <c r="AM457" s="873"/>
      <c r="AN457" s="873"/>
      <c r="AO457" s="873"/>
      <c r="AP457" s="873"/>
      <c r="AQ457" s="873"/>
      <c r="AR457" s="873"/>
      <c r="AS457" s="873"/>
      <c r="AT457" s="873"/>
      <c r="AU457" s="873"/>
      <c r="AV457" s="873"/>
    </row>
    <row r="458" spans="1:48" ht="11.25" customHeight="1" x14ac:dyDescent="0.2">
      <c r="A458" s="873"/>
      <c r="B458" s="873"/>
      <c r="C458" s="873"/>
      <c r="D458" s="873"/>
      <c r="E458" s="873"/>
      <c r="F458" s="873"/>
      <c r="G458" s="873"/>
      <c r="H458" s="873"/>
      <c r="I458" s="873"/>
      <c r="J458" s="873"/>
      <c r="K458" s="873"/>
      <c r="L458" s="873"/>
      <c r="M458" s="873"/>
      <c r="N458" s="873"/>
      <c r="O458" s="873"/>
      <c r="P458" s="873"/>
      <c r="Q458" s="873"/>
      <c r="R458" s="873"/>
      <c r="S458" s="873"/>
      <c r="T458" s="873"/>
      <c r="U458" s="873"/>
      <c r="V458" s="873"/>
      <c r="W458" s="873"/>
      <c r="X458" s="873"/>
      <c r="Y458" s="873"/>
      <c r="Z458" s="873"/>
      <c r="AA458" s="873"/>
      <c r="AB458" s="873"/>
      <c r="AC458" s="873"/>
      <c r="AD458" s="873"/>
      <c r="AE458" s="873"/>
      <c r="AF458" s="873"/>
      <c r="AG458" s="873"/>
      <c r="AH458" s="873"/>
      <c r="AI458" s="873"/>
      <c r="AJ458" s="873"/>
      <c r="AK458" s="873"/>
      <c r="AL458" s="873"/>
      <c r="AM458" s="873"/>
      <c r="AN458" s="873"/>
      <c r="AO458" s="873"/>
      <c r="AP458" s="873"/>
      <c r="AQ458" s="873"/>
      <c r="AR458" s="873"/>
      <c r="AS458" s="873"/>
      <c r="AT458" s="873"/>
      <c r="AU458" s="873"/>
      <c r="AV458" s="873"/>
    </row>
    <row r="459" spans="1:48" ht="11.25" customHeight="1" x14ac:dyDescent="0.2">
      <c r="A459" s="873"/>
      <c r="B459" s="873"/>
      <c r="C459" s="873"/>
      <c r="D459" s="873"/>
      <c r="E459" s="873"/>
      <c r="F459" s="873"/>
      <c r="G459" s="873"/>
      <c r="H459" s="873"/>
      <c r="I459" s="873"/>
      <c r="J459" s="873"/>
      <c r="K459" s="873"/>
      <c r="L459" s="873"/>
      <c r="M459" s="873"/>
      <c r="N459" s="873"/>
      <c r="O459" s="873"/>
      <c r="P459" s="873"/>
      <c r="Q459" s="873"/>
      <c r="R459" s="873"/>
      <c r="S459" s="873"/>
      <c r="T459" s="873"/>
      <c r="U459" s="873"/>
      <c r="V459" s="873"/>
      <c r="W459" s="873"/>
      <c r="X459" s="873"/>
      <c r="Y459" s="873"/>
      <c r="Z459" s="873"/>
      <c r="AA459" s="873"/>
      <c r="AB459" s="873"/>
      <c r="AC459" s="873"/>
      <c r="AD459" s="873"/>
      <c r="AE459" s="873"/>
      <c r="AF459" s="873"/>
      <c r="AG459" s="873"/>
      <c r="AH459" s="873"/>
      <c r="AI459" s="873"/>
      <c r="AJ459" s="873"/>
      <c r="AK459" s="873"/>
      <c r="AL459" s="873"/>
      <c r="AM459" s="873"/>
      <c r="AN459" s="873"/>
      <c r="AO459" s="873"/>
      <c r="AP459" s="873"/>
      <c r="AQ459" s="873"/>
      <c r="AR459" s="873"/>
      <c r="AS459" s="873"/>
      <c r="AT459" s="873"/>
      <c r="AU459" s="873"/>
      <c r="AV459" s="873"/>
    </row>
    <row r="460" spans="1:48" ht="11.25" customHeight="1" x14ac:dyDescent="0.2">
      <c r="A460" s="873"/>
      <c r="B460" s="873"/>
      <c r="C460" s="873"/>
      <c r="D460" s="873"/>
      <c r="E460" s="873"/>
      <c r="F460" s="873"/>
      <c r="G460" s="873"/>
      <c r="H460" s="873"/>
      <c r="I460" s="873"/>
      <c r="J460" s="873"/>
      <c r="K460" s="873"/>
      <c r="L460" s="873"/>
      <c r="M460" s="873"/>
      <c r="N460" s="873"/>
      <c r="O460" s="873"/>
      <c r="P460" s="873"/>
      <c r="Q460" s="873"/>
      <c r="R460" s="873"/>
      <c r="S460" s="873"/>
      <c r="T460" s="873"/>
      <c r="U460" s="873"/>
      <c r="V460" s="873"/>
      <c r="W460" s="873"/>
      <c r="X460" s="873"/>
      <c r="Y460" s="873"/>
      <c r="Z460" s="873"/>
      <c r="AA460" s="873"/>
      <c r="AB460" s="873"/>
      <c r="AC460" s="873"/>
      <c r="AD460" s="873"/>
      <c r="AE460" s="873"/>
      <c r="AF460" s="873"/>
      <c r="AG460" s="873"/>
      <c r="AH460" s="873"/>
      <c r="AI460" s="873"/>
      <c r="AJ460" s="873"/>
      <c r="AK460" s="873"/>
      <c r="AL460" s="873"/>
      <c r="AM460" s="873"/>
      <c r="AN460" s="873"/>
      <c r="AO460" s="873"/>
      <c r="AP460" s="873"/>
      <c r="AQ460" s="873"/>
      <c r="AR460" s="873"/>
      <c r="AS460" s="873"/>
      <c r="AT460" s="873"/>
      <c r="AU460" s="873"/>
      <c r="AV460" s="873"/>
    </row>
    <row r="461" spans="1:48" ht="11.25" customHeight="1" x14ac:dyDescent="0.2">
      <c r="A461" s="873"/>
      <c r="B461" s="873"/>
      <c r="C461" s="873"/>
      <c r="D461" s="873"/>
      <c r="E461" s="873"/>
      <c r="F461" s="873"/>
      <c r="G461" s="873"/>
      <c r="H461" s="873"/>
      <c r="I461" s="873"/>
      <c r="J461" s="873"/>
      <c r="K461" s="873"/>
      <c r="L461" s="873"/>
      <c r="M461" s="873"/>
      <c r="N461" s="873"/>
      <c r="O461" s="873"/>
      <c r="P461" s="873"/>
      <c r="Q461" s="873"/>
      <c r="R461" s="873"/>
      <c r="S461" s="873"/>
      <c r="T461" s="873"/>
      <c r="U461" s="873"/>
      <c r="V461" s="873"/>
      <c r="W461" s="873"/>
      <c r="X461" s="873"/>
      <c r="Y461" s="873"/>
      <c r="Z461" s="873"/>
      <c r="AA461" s="873"/>
      <c r="AB461" s="873"/>
      <c r="AC461" s="873"/>
      <c r="AD461" s="873"/>
      <c r="AE461" s="873"/>
      <c r="AF461" s="873"/>
      <c r="AG461" s="873"/>
      <c r="AH461" s="873"/>
      <c r="AI461" s="873"/>
      <c r="AJ461" s="873"/>
      <c r="AK461" s="873"/>
      <c r="AL461" s="873"/>
      <c r="AM461" s="873"/>
      <c r="AN461" s="873"/>
      <c r="AO461" s="873"/>
      <c r="AP461" s="873"/>
      <c r="AQ461" s="873"/>
      <c r="AR461" s="873"/>
      <c r="AS461" s="873"/>
      <c r="AT461" s="873"/>
      <c r="AU461" s="873"/>
      <c r="AV461" s="873"/>
    </row>
    <row r="462" spans="1:48" ht="11.25" customHeight="1" x14ac:dyDescent="0.2">
      <c r="A462" s="873"/>
      <c r="B462" s="873"/>
      <c r="C462" s="873"/>
      <c r="D462" s="873"/>
      <c r="E462" s="873"/>
      <c r="F462" s="873"/>
      <c r="G462" s="873"/>
      <c r="H462" s="873"/>
      <c r="I462" s="873"/>
      <c r="J462" s="873"/>
      <c r="K462" s="873"/>
      <c r="L462" s="873"/>
      <c r="M462" s="873"/>
      <c r="N462" s="873"/>
      <c r="O462" s="873"/>
      <c r="P462" s="873"/>
      <c r="Q462" s="873"/>
      <c r="R462" s="873"/>
      <c r="S462" s="873"/>
      <c r="T462" s="873"/>
      <c r="U462" s="873"/>
      <c r="V462" s="873"/>
      <c r="W462" s="873"/>
      <c r="X462" s="873"/>
      <c r="Y462" s="873"/>
      <c r="Z462" s="873"/>
      <c r="AA462" s="873"/>
      <c r="AB462" s="873"/>
      <c r="AC462" s="873"/>
      <c r="AD462" s="873"/>
      <c r="AE462" s="873"/>
      <c r="AF462" s="873"/>
      <c r="AG462" s="873"/>
      <c r="AH462" s="873"/>
      <c r="AI462" s="873"/>
      <c r="AJ462" s="873"/>
      <c r="AK462" s="873"/>
      <c r="AL462" s="873"/>
      <c r="AM462" s="873"/>
      <c r="AN462" s="873"/>
      <c r="AO462" s="873"/>
      <c r="AP462" s="873"/>
      <c r="AQ462" s="873"/>
      <c r="AR462" s="873"/>
      <c r="AS462" s="873"/>
      <c r="AT462" s="873"/>
      <c r="AU462" s="873"/>
      <c r="AV462" s="873"/>
    </row>
    <row r="463" spans="1:48" ht="11.25" customHeight="1" x14ac:dyDescent="0.2">
      <c r="A463" s="873"/>
      <c r="B463" s="873"/>
      <c r="C463" s="873"/>
      <c r="D463" s="873"/>
      <c r="E463" s="873"/>
      <c r="F463" s="873"/>
      <c r="G463" s="873"/>
      <c r="H463" s="873"/>
      <c r="I463" s="873"/>
      <c r="J463" s="873"/>
      <c r="K463" s="873"/>
      <c r="L463" s="873"/>
      <c r="M463" s="873"/>
      <c r="N463" s="873"/>
      <c r="O463" s="873"/>
      <c r="P463" s="873"/>
      <c r="Q463" s="873"/>
      <c r="R463" s="873"/>
      <c r="S463" s="873"/>
      <c r="T463" s="873"/>
      <c r="U463" s="873"/>
      <c r="V463" s="873"/>
      <c r="W463" s="873"/>
      <c r="X463" s="873"/>
      <c r="Y463" s="873"/>
      <c r="Z463" s="873"/>
      <c r="AA463" s="873"/>
      <c r="AB463" s="873"/>
      <c r="AC463" s="873"/>
      <c r="AD463" s="873"/>
      <c r="AE463" s="873"/>
      <c r="AF463" s="873"/>
      <c r="AG463" s="873"/>
      <c r="AH463" s="873"/>
      <c r="AI463" s="873"/>
      <c r="AJ463" s="873"/>
      <c r="AK463" s="873"/>
      <c r="AL463" s="873"/>
      <c r="AM463" s="873"/>
      <c r="AN463" s="873"/>
      <c r="AO463" s="873"/>
      <c r="AP463" s="873"/>
      <c r="AQ463" s="873"/>
      <c r="AR463" s="873"/>
      <c r="AS463" s="873"/>
      <c r="AT463" s="873"/>
      <c r="AU463" s="873"/>
      <c r="AV463" s="873"/>
    </row>
    <row r="464" spans="1:48" ht="11.25" customHeight="1" x14ac:dyDescent="0.2">
      <c r="A464" s="873"/>
      <c r="B464" s="873"/>
      <c r="C464" s="873"/>
      <c r="D464" s="873"/>
      <c r="E464" s="873"/>
      <c r="F464" s="873"/>
      <c r="G464" s="873"/>
      <c r="H464" s="873"/>
      <c r="I464" s="873"/>
      <c r="J464" s="873"/>
      <c r="K464" s="873"/>
      <c r="L464" s="873"/>
      <c r="M464" s="873"/>
      <c r="N464" s="873"/>
      <c r="O464" s="873"/>
      <c r="P464" s="873"/>
      <c r="Q464" s="873"/>
      <c r="R464" s="873"/>
      <c r="S464" s="873"/>
      <c r="T464" s="873"/>
      <c r="U464" s="873"/>
      <c r="V464" s="873"/>
      <c r="W464" s="873"/>
      <c r="X464" s="873"/>
      <c r="Y464" s="873"/>
      <c r="Z464" s="873"/>
      <c r="AA464" s="873"/>
      <c r="AB464" s="873"/>
      <c r="AC464" s="873"/>
      <c r="AD464" s="873"/>
      <c r="AE464" s="873"/>
      <c r="AF464" s="873"/>
      <c r="AG464" s="873"/>
      <c r="AH464" s="873"/>
      <c r="AI464" s="873"/>
      <c r="AJ464" s="873"/>
      <c r="AK464" s="873"/>
      <c r="AL464" s="873"/>
      <c r="AM464" s="873"/>
      <c r="AN464" s="873"/>
      <c r="AO464" s="873"/>
      <c r="AP464" s="873"/>
      <c r="AQ464" s="873"/>
      <c r="AR464" s="873"/>
      <c r="AS464" s="873"/>
      <c r="AT464" s="873"/>
      <c r="AU464" s="873"/>
      <c r="AV464" s="873"/>
    </row>
    <row r="465" spans="1:48" ht="11.25" customHeight="1" x14ac:dyDescent="0.2">
      <c r="A465" s="873"/>
      <c r="B465" s="873"/>
      <c r="C465" s="873"/>
      <c r="D465" s="873"/>
      <c r="E465" s="873"/>
      <c r="F465" s="873"/>
      <c r="G465" s="873"/>
      <c r="H465" s="873"/>
      <c r="I465" s="873"/>
      <c r="J465" s="873"/>
      <c r="K465" s="873"/>
      <c r="L465" s="873"/>
      <c r="M465" s="873"/>
      <c r="N465" s="873"/>
      <c r="O465" s="873"/>
      <c r="P465" s="873"/>
      <c r="Q465" s="873"/>
      <c r="R465" s="873"/>
      <c r="S465" s="873"/>
      <c r="T465" s="873"/>
      <c r="U465" s="873"/>
      <c r="V465" s="873"/>
      <c r="W465" s="873"/>
      <c r="X465" s="873"/>
      <c r="Y465" s="873"/>
      <c r="Z465" s="873"/>
      <c r="AA465" s="873"/>
      <c r="AB465" s="873"/>
      <c r="AC465" s="873"/>
      <c r="AD465" s="873"/>
      <c r="AE465" s="873"/>
      <c r="AF465" s="873"/>
      <c r="AG465" s="873"/>
      <c r="AH465" s="873"/>
      <c r="AI465" s="873"/>
      <c r="AJ465" s="873"/>
      <c r="AK465" s="873"/>
      <c r="AL465" s="873"/>
      <c r="AM465" s="873"/>
      <c r="AN465" s="873"/>
      <c r="AO465" s="873"/>
      <c r="AP465" s="873"/>
      <c r="AQ465" s="873"/>
      <c r="AR465" s="873"/>
      <c r="AS465" s="873"/>
      <c r="AT465" s="873"/>
      <c r="AU465" s="873"/>
      <c r="AV465" s="873"/>
    </row>
    <row r="466" spans="1:48" ht="11.25" customHeight="1" x14ac:dyDescent="0.2">
      <c r="A466" s="873"/>
      <c r="B466" s="873"/>
      <c r="C466" s="873"/>
      <c r="D466" s="873"/>
      <c r="E466" s="873"/>
      <c r="F466" s="873"/>
      <c r="G466" s="873"/>
      <c r="H466" s="873"/>
      <c r="I466" s="873"/>
      <c r="J466" s="873"/>
      <c r="K466" s="873"/>
      <c r="L466" s="873"/>
      <c r="M466" s="873"/>
      <c r="N466" s="873"/>
      <c r="O466" s="873"/>
      <c r="P466" s="873"/>
      <c r="Q466" s="873"/>
      <c r="R466" s="873"/>
      <c r="S466" s="873"/>
      <c r="T466" s="873"/>
      <c r="U466" s="873"/>
      <c r="V466" s="873"/>
      <c r="W466" s="873"/>
      <c r="X466" s="873"/>
      <c r="Y466" s="873"/>
      <c r="Z466" s="873"/>
      <c r="AA466" s="873"/>
      <c r="AB466" s="873"/>
      <c r="AC466" s="873"/>
      <c r="AD466" s="873"/>
      <c r="AE466" s="873"/>
      <c r="AF466" s="873"/>
      <c r="AG466" s="873"/>
      <c r="AH466" s="873"/>
      <c r="AI466" s="873"/>
      <c r="AJ466" s="873"/>
      <c r="AK466" s="873"/>
      <c r="AL466" s="873"/>
      <c r="AM466" s="873"/>
      <c r="AN466" s="873"/>
      <c r="AO466" s="873"/>
      <c r="AP466" s="873"/>
      <c r="AQ466" s="873"/>
      <c r="AR466" s="873"/>
      <c r="AS466" s="873"/>
      <c r="AT466" s="873"/>
      <c r="AU466" s="873"/>
      <c r="AV466" s="873"/>
    </row>
    <row r="467" spans="1:48" ht="11.25" customHeight="1" x14ac:dyDescent="0.2">
      <c r="A467" s="873"/>
      <c r="B467" s="873"/>
      <c r="C467" s="873"/>
      <c r="D467" s="873"/>
      <c r="E467" s="873"/>
      <c r="F467" s="873"/>
      <c r="G467" s="873"/>
      <c r="H467" s="873"/>
      <c r="I467" s="873"/>
      <c r="J467" s="873"/>
      <c r="K467" s="873"/>
      <c r="L467" s="873"/>
      <c r="M467" s="873"/>
      <c r="N467" s="873"/>
      <c r="O467" s="873"/>
      <c r="P467" s="873"/>
      <c r="Q467" s="873"/>
      <c r="R467" s="873"/>
      <c r="S467" s="873"/>
      <c r="T467" s="873"/>
      <c r="U467" s="873"/>
      <c r="V467" s="873"/>
      <c r="W467" s="873"/>
      <c r="X467" s="873"/>
      <c r="Y467" s="873"/>
      <c r="Z467" s="873"/>
      <c r="AA467" s="873"/>
      <c r="AB467" s="873"/>
      <c r="AC467" s="873"/>
      <c r="AD467" s="873"/>
      <c r="AE467" s="873"/>
      <c r="AF467" s="873"/>
      <c r="AG467" s="873"/>
      <c r="AH467" s="873"/>
      <c r="AI467" s="873"/>
      <c r="AJ467" s="873"/>
      <c r="AK467" s="873"/>
      <c r="AL467" s="873"/>
      <c r="AM467" s="873"/>
      <c r="AN467" s="873"/>
      <c r="AO467" s="873"/>
      <c r="AP467" s="873"/>
      <c r="AQ467" s="873"/>
      <c r="AR467" s="873"/>
      <c r="AS467" s="873"/>
      <c r="AT467" s="873"/>
      <c r="AU467" s="873"/>
      <c r="AV467" s="873"/>
    </row>
    <row r="468" spans="1:48" ht="11.25" customHeight="1" x14ac:dyDescent="0.2">
      <c r="A468" s="873"/>
      <c r="B468" s="873"/>
      <c r="C468" s="873"/>
      <c r="D468" s="873"/>
      <c r="E468" s="873"/>
      <c r="F468" s="873"/>
      <c r="G468" s="873"/>
      <c r="H468" s="873"/>
      <c r="I468" s="873"/>
      <c r="J468" s="873"/>
      <c r="K468" s="873"/>
      <c r="L468" s="873"/>
      <c r="M468" s="873"/>
      <c r="N468" s="873"/>
      <c r="O468" s="873"/>
      <c r="P468" s="873"/>
      <c r="Q468" s="873"/>
      <c r="R468" s="873"/>
      <c r="S468" s="873"/>
      <c r="T468" s="873"/>
      <c r="U468" s="873"/>
      <c r="V468" s="873"/>
      <c r="W468" s="873"/>
      <c r="X468" s="873"/>
      <c r="Y468" s="873"/>
      <c r="Z468" s="873"/>
      <c r="AA468" s="873"/>
      <c r="AB468" s="873"/>
      <c r="AC468" s="873"/>
      <c r="AD468" s="873"/>
      <c r="AE468" s="873"/>
      <c r="AF468" s="873"/>
      <c r="AG468" s="873"/>
      <c r="AH468" s="873"/>
      <c r="AI468" s="873"/>
      <c r="AJ468" s="873"/>
      <c r="AK468" s="873"/>
      <c r="AL468" s="873"/>
      <c r="AM468" s="873"/>
      <c r="AN468" s="873"/>
      <c r="AO468" s="873"/>
      <c r="AP468" s="873"/>
      <c r="AQ468" s="873"/>
      <c r="AR468" s="873"/>
      <c r="AS468" s="873"/>
      <c r="AT468" s="873"/>
      <c r="AU468" s="873"/>
      <c r="AV468" s="873"/>
    </row>
    <row r="469" spans="1:48" ht="11.25" customHeight="1" x14ac:dyDescent="0.2">
      <c r="A469" s="873"/>
      <c r="B469" s="873"/>
      <c r="C469" s="873"/>
      <c r="D469" s="873"/>
      <c r="E469" s="873"/>
      <c r="F469" s="873"/>
      <c r="G469" s="873"/>
      <c r="H469" s="873"/>
      <c r="I469" s="873"/>
      <c r="J469" s="873"/>
      <c r="K469" s="873"/>
      <c r="L469" s="873"/>
      <c r="M469" s="873"/>
      <c r="N469" s="873"/>
      <c r="O469" s="873"/>
      <c r="P469" s="873"/>
      <c r="Q469" s="873"/>
      <c r="R469" s="873"/>
      <c r="S469" s="873"/>
      <c r="T469" s="873"/>
      <c r="U469" s="873"/>
      <c r="V469" s="873"/>
      <c r="W469" s="873"/>
      <c r="X469" s="873"/>
      <c r="Y469" s="873"/>
      <c r="Z469" s="873"/>
      <c r="AA469" s="873"/>
      <c r="AB469" s="873"/>
      <c r="AC469" s="873"/>
      <c r="AD469" s="873"/>
      <c r="AE469" s="873"/>
      <c r="AF469" s="873"/>
      <c r="AG469" s="873"/>
      <c r="AH469" s="873"/>
      <c r="AI469" s="873"/>
      <c r="AJ469" s="873"/>
      <c r="AK469" s="873"/>
      <c r="AL469" s="873"/>
      <c r="AM469" s="873"/>
      <c r="AN469" s="873"/>
      <c r="AO469" s="873"/>
      <c r="AP469" s="873"/>
      <c r="AQ469" s="873"/>
      <c r="AR469" s="873"/>
      <c r="AS469" s="873"/>
      <c r="AT469" s="873"/>
      <c r="AU469" s="873"/>
      <c r="AV469" s="873"/>
    </row>
    <row r="470" spans="1:48" ht="11.25" customHeight="1" x14ac:dyDescent="0.2">
      <c r="A470" s="873"/>
      <c r="B470" s="873"/>
      <c r="C470" s="873"/>
      <c r="D470" s="873"/>
      <c r="E470" s="873"/>
      <c r="F470" s="873"/>
      <c r="G470" s="873"/>
      <c r="H470" s="873"/>
      <c r="I470" s="873"/>
      <c r="J470" s="873"/>
      <c r="K470" s="873"/>
      <c r="L470" s="873"/>
      <c r="M470" s="873"/>
      <c r="N470" s="873"/>
      <c r="O470" s="873"/>
      <c r="P470" s="873"/>
      <c r="Q470" s="873"/>
      <c r="R470" s="873"/>
      <c r="S470" s="873"/>
      <c r="T470" s="873"/>
      <c r="U470" s="873"/>
      <c r="V470" s="873"/>
      <c r="W470" s="873"/>
      <c r="X470" s="873"/>
      <c r="Y470" s="873"/>
      <c r="Z470" s="873"/>
      <c r="AA470" s="873"/>
      <c r="AB470" s="873"/>
      <c r="AC470" s="873"/>
      <c r="AD470" s="873"/>
      <c r="AE470" s="873"/>
      <c r="AF470" s="873"/>
      <c r="AG470" s="873"/>
      <c r="AH470" s="873"/>
      <c r="AI470" s="873"/>
      <c r="AJ470" s="873"/>
      <c r="AK470" s="873"/>
      <c r="AL470" s="873"/>
      <c r="AM470" s="873"/>
      <c r="AN470" s="873"/>
      <c r="AO470" s="873"/>
      <c r="AP470" s="873"/>
      <c r="AQ470" s="873"/>
      <c r="AR470" s="873"/>
      <c r="AS470" s="873"/>
      <c r="AT470" s="873"/>
      <c r="AU470" s="873"/>
      <c r="AV470" s="873"/>
    </row>
    <row r="471" spans="1:48" ht="11.25" customHeight="1" x14ac:dyDescent="0.2">
      <c r="A471" s="873"/>
      <c r="B471" s="873"/>
      <c r="C471" s="873"/>
      <c r="D471" s="873"/>
      <c r="E471" s="873"/>
      <c r="F471" s="873"/>
      <c r="G471" s="873"/>
      <c r="H471" s="873"/>
      <c r="I471" s="873"/>
      <c r="J471" s="873"/>
      <c r="K471" s="873"/>
      <c r="L471" s="873"/>
      <c r="M471" s="873"/>
      <c r="N471" s="873"/>
      <c r="O471" s="873"/>
      <c r="P471" s="873"/>
      <c r="Q471" s="873"/>
      <c r="R471" s="873"/>
      <c r="S471" s="873"/>
      <c r="T471" s="873"/>
      <c r="U471" s="873"/>
      <c r="V471" s="873"/>
      <c r="W471" s="873"/>
      <c r="X471" s="873"/>
      <c r="Y471" s="873"/>
      <c r="Z471" s="873"/>
      <c r="AA471" s="873"/>
      <c r="AB471" s="873"/>
      <c r="AC471" s="873"/>
      <c r="AD471" s="873"/>
      <c r="AE471" s="873"/>
      <c r="AF471" s="873"/>
      <c r="AG471" s="873"/>
      <c r="AH471" s="873"/>
      <c r="AI471" s="873"/>
      <c r="AJ471" s="873"/>
      <c r="AK471" s="873"/>
      <c r="AL471" s="873"/>
      <c r="AM471" s="873"/>
      <c r="AN471" s="873"/>
      <c r="AO471" s="873"/>
      <c r="AP471" s="873"/>
      <c r="AQ471" s="873"/>
      <c r="AR471" s="873"/>
      <c r="AS471" s="873"/>
      <c r="AT471" s="873"/>
      <c r="AU471" s="873"/>
      <c r="AV471" s="873"/>
    </row>
    <row r="472" spans="1:48" ht="11.25" customHeight="1" x14ac:dyDescent="0.2">
      <c r="A472" s="873"/>
      <c r="B472" s="873"/>
      <c r="C472" s="873"/>
      <c r="D472" s="873"/>
      <c r="E472" s="873"/>
      <c r="F472" s="873"/>
      <c r="G472" s="873"/>
      <c r="H472" s="873"/>
      <c r="I472" s="873"/>
      <c r="J472" s="873"/>
      <c r="K472" s="873"/>
      <c r="L472" s="873"/>
      <c r="M472" s="873"/>
      <c r="N472" s="873"/>
      <c r="O472" s="873"/>
      <c r="P472" s="873"/>
      <c r="Q472" s="873"/>
      <c r="R472" s="873"/>
      <c r="S472" s="873"/>
      <c r="T472" s="873"/>
      <c r="U472" s="873"/>
      <c r="V472" s="873"/>
      <c r="W472" s="873"/>
      <c r="X472" s="873"/>
      <c r="Y472" s="873"/>
      <c r="Z472" s="873"/>
      <c r="AA472" s="873"/>
      <c r="AB472" s="873"/>
      <c r="AC472" s="873"/>
      <c r="AD472" s="873"/>
      <c r="AE472" s="873"/>
      <c r="AF472" s="873"/>
      <c r="AG472" s="873"/>
      <c r="AH472" s="873"/>
      <c r="AI472" s="873"/>
      <c r="AJ472" s="873"/>
      <c r="AK472" s="873"/>
      <c r="AL472" s="873"/>
      <c r="AM472" s="873"/>
      <c r="AN472" s="873"/>
      <c r="AO472" s="873"/>
      <c r="AP472" s="873"/>
      <c r="AQ472" s="873"/>
      <c r="AR472" s="873"/>
      <c r="AS472" s="873"/>
      <c r="AT472" s="873"/>
      <c r="AU472" s="873"/>
      <c r="AV472" s="873"/>
    </row>
    <row r="473" spans="1:48" ht="11.25" customHeight="1" x14ac:dyDescent="0.2">
      <c r="A473" s="873"/>
      <c r="B473" s="873"/>
      <c r="C473" s="873"/>
      <c r="D473" s="873"/>
      <c r="E473" s="873"/>
      <c r="F473" s="873"/>
      <c r="G473" s="873"/>
      <c r="H473" s="873"/>
      <c r="I473" s="873"/>
      <c r="J473" s="873"/>
      <c r="K473" s="873"/>
      <c r="L473" s="873"/>
      <c r="M473" s="873"/>
      <c r="N473" s="873"/>
      <c r="O473" s="873"/>
      <c r="P473" s="873"/>
      <c r="Q473" s="873"/>
      <c r="R473" s="873"/>
      <c r="S473" s="873"/>
      <c r="T473" s="873"/>
      <c r="U473" s="873"/>
      <c r="V473" s="873"/>
      <c r="W473" s="873"/>
      <c r="X473" s="873"/>
      <c r="Y473" s="873"/>
      <c r="Z473" s="873"/>
      <c r="AA473" s="873"/>
      <c r="AB473" s="873"/>
      <c r="AC473" s="873"/>
      <c r="AD473" s="873"/>
      <c r="AE473" s="873"/>
      <c r="AF473" s="873"/>
      <c r="AG473" s="873"/>
      <c r="AH473" s="873"/>
      <c r="AI473" s="873"/>
      <c r="AJ473" s="873"/>
      <c r="AK473" s="873"/>
      <c r="AL473" s="873"/>
      <c r="AM473" s="873"/>
      <c r="AN473" s="873"/>
      <c r="AO473" s="873"/>
      <c r="AP473" s="873"/>
      <c r="AQ473" s="873"/>
      <c r="AR473" s="873"/>
      <c r="AS473" s="873"/>
      <c r="AT473" s="873"/>
      <c r="AU473" s="873"/>
      <c r="AV473" s="873"/>
    </row>
    <row r="474" spans="1:48" ht="11.25" customHeight="1" x14ac:dyDescent="0.2">
      <c r="A474" s="873"/>
      <c r="B474" s="873"/>
      <c r="C474" s="873"/>
      <c r="D474" s="873"/>
      <c r="E474" s="873"/>
      <c r="F474" s="873"/>
      <c r="G474" s="873"/>
      <c r="H474" s="873"/>
      <c r="I474" s="873"/>
      <c r="J474" s="873"/>
      <c r="K474" s="873"/>
      <c r="L474" s="873"/>
      <c r="M474" s="873"/>
      <c r="N474" s="873"/>
      <c r="O474" s="873"/>
      <c r="P474" s="873"/>
      <c r="Q474" s="873"/>
      <c r="R474" s="873"/>
      <c r="S474" s="873"/>
      <c r="T474" s="873"/>
      <c r="U474" s="873"/>
      <c r="V474" s="873"/>
      <c r="W474" s="873"/>
      <c r="X474" s="873"/>
      <c r="Y474" s="873"/>
      <c r="Z474" s="873"/>
      <c r="AA474" s="873"/>
      <c r="AB474" s="873"/>
      <c r="AC474" s="873"/>
      <c r="AD474" s="873"/>
      <c r="AE474" s="873"/>
      <c r="AF474" s="873"/>
      <c r="AG474" s="873"/>
      <c r="AH474" s="873"/>
      <c r="AI474" s="873"/>
      <c r="AJ474" s="873"/>
      <c r="AK474" s="873"/>
      <c r="AL474" s="873"/>
      <c r="AM474" s="873"/>
      <c r="AN474" s="873"/>
      <c r="AO474" s="873"/>
      <c r="AP474" s="873"/>
      <c r="AQ474" s="873"/>
      <c r="AR474" s="873"/>
      <c r="AS474" s="873"/>
      <c r="AT474" s="873"/>
      <c r="AU474" s="873"/>
      <c r="AV474" s="873"/>
    </row>
    <row r="475" spans="1:48" ht="11.25" customHeight="1" x14ac:dyDescent="0.2">
      <c r="A475" s="873"/>
      <c r="B475" s="873"/>
      <c r="C475" s="873"/>
      <c r="D475" s="873"/>
      <c r="E475" s="873"/>
      <c r="F475" s="873"/>
      <c r="G475" s="873"/>
      <c r="H475" s="873"/>
      <c r="I475" s="873"/>
      <c r="J475" s="873"/>
      <c r="K475" s="873"/>
      <c r="L475" s="873"/>
      <c r="M475" s="873"/>
      <c r="N475" s="873"/>
      <c r="O475" s="873"/>
      <c r="P475" s="873"/>
      <c r="Q475" s="873"/>
      <c r="R475" s="873"/>
      <c r="S475" s="873"/>
      <c r="T475" s="873"/>
      <c r="U475" s="873"/>
      <c r="V475" s="873"/>
      <c r="W475" s="873"/>
      <c r="X475" s="873"/>
      <c r="Y475" s="873"/>
      <c r="Z475" s="873"/>
      <c r="AA475" s="873"/>
      <c r="AB475" s="873"/>
      <c r="AC475" s="873"/>
      <c r="AD475" s="873"/>
      <c r="AE475" s="873"/>
      <c r="AF475" s="873"/>
      <c r="AG475" s="873"/>
      <c r="AH475" s="873"/>
      <c r="AI475" s="873"/>
      <c r="AJ475" s="873"/>
      <c r="AK475" s="873"/>
      <c r="AL475" s="873"/>
      <c r="AM475" s="873"/>
      <c r="AN475" s="873"/>
      <c r="AO475" s="873"/>
      <c r="AP475" s="873"/>
      <c r="AQ475" s="873"/>
      <c r="AR475" s="873"/>
      <c r="AS475" s="873"/>
      <c r="AT475" s="873"/>
      <c r="AU475" s="873"/>
      <c r="AV475" s="873"/>
    </row>
    <row r="476" spans="1:48" ht="11.25" customHeight="1" x14ac:dyDescent="0.2">
      <c r="A476" s="873"/>
      <c r="B476" s="873"/>
      <c r="C476" s="873"/>
      <c r="D476" s="873"/>
      <c r="E476" s="873"/>
      <c r="F476" s="873"/>
      <c r="G476" s="873"/>
      <c r="H476" s="873"/>
      <c r="I476" s="873"/>
      <c r="J476" s="873"/>
      <c r="K476" s="873"/>
      <c r="L476" s="873"/>
      <c r="M476" s="873"/>
      <c r="N476" s="873"/>
      <c r="O476" s="873"/>
      <c r="P476" s="873"/>
      <c r="Q476" s="873"/>
      <c r="R476" s="873"/>
      <c r="S476" s="873"/>
      <c r="T476" s="873"/>
      <c r="U476" s="873"/>
      <c r="V476" s="873"/>
      <c r="W476" s="873"/>
      <c r="X476" s="873"/>
      <c r="Y476" s="873"/>
      <c r="Z476" s="873"/>
      <c r="AA476" s="873"/>
      <c r="AB476" s="873"/>
      <c r="AC476" s="873"/>
      <c r="AD476" s="873"/>
      <c r="AE476" s="873"/>
      <c r="AF476" s="873"/>
      <c r="AG476" s="873"/>
      <c r="AH476" s="873"/>
      <c r="AI476" s="873"/>
      <c r="AJ476" s="873"/>
      <c r="AK476" s="873"/>
      <c r="AL476" s="873"/>
      <c r="AM476" s="873"/>
      <c r="AN476" s="873"/>
      <c r="AO476" s="873"/>
      <c r="AP476" s="873"/>
      <c r="AQ476" s="873"/>
      <c r="AR476" s="873"/>
      <c r="AS476" s="873"/>
      <c r="AT476" s="873"/>
      <c r="AU476" s="873"/>
      <c r="AV476" s="873"/>
    </row>
    <row r="477" spans="1:48" ht="11.25" customHeight="1" x14ac:dyDescent="0.2">
      <c r="A477" s="873"/>
      <c r="B477" s="873"/>
      <c r="C477" s="873"/>
      <c r="D477" s="873"/>
      <c r="E477" s="873"/>
      <c r="F477" s="873"/>
      <c r="G477" s="873"/>
      <c r="H477" s="873"/>
      <c r="I477" s="873"/>
      <c r="J477" s="873"/>
      <c r="K477" s="873"/>
      <c r="L477" s="873"/>
      <c r="M477" s="873"/>
      <c r="N477" s="873"/>
      <c r="O477" s="873"/>
      <c r="P477" s="873"/>
      <c r="Q477" s="873"/>
      <c r="R477" s="873"/>
      <c r="S477" s="873"/>
      <c r="T477" s="873"/>
      <c r="U477" s="873"/>
      <c r="V477" s="873"/>
      <c r="W477" s="873"/>
      <c r="X477" s="873"/>
      <c r="Y477" s="873"/>
      <c r="Z477" s="873"/>
      <c r="AA477" s="873"/>
      <c r="AB477" s="873"/>
      <c r="AC477" s="873"/>
      <c r="AD477" s="873"/>
      <c r="AE477" s="873"/>
      <c r="AF477" s="873"/>
      <c r="AG477" s="873"/>
      <c r="AH477" s="873"/>
      <c r="AI477" s="873"/>
      <c r="AJ477" s="873"/>
      <c r="AK477" s="873"/>
      <c r="AL477" s="873"/>
      <c r="AM477" s="873"/>
      <c r="AN477" s="873"/>
      <c r="AO477" s="873"/>
      <c r="AP477" s="873"/>
      <c r="AQ477" s="873"/>
      <c r="AR477" s="873"/>
      <c r="AS477" s="873"/>
      <c r="AT477" s="873"/>
      <c r="AU477" s="873"/>
      <c r="AV477" s="873"/>
    </row>
    <row r="478" spans="1:48" ht="11.25" customHeight="1" x14ac:dyDescent="0.2">
      <c r="A478" s="873"/>
      <c r="B478" s="873"/>
      <c r="C478" s="873"/>
      <c r="D478" s="873"/>
      <c r="E478" s="873"/>
      <c r="F478" s="873"/>
      <c r="G478" s="873"/>
      <c r="H478" s="873"/>
      <c r="I478" s="873"/>
      <c r="J478" s="873"/>
      <c r="K478" s="873"/>
      <c r="L478" s="873"/>
      <c r="M478" s="873"/>
      <c r="N478" s="873"/>
      <c r="O478" s="873"/>
      <c r="P478" s="873"/>
      <c r="Q478" s="873"/>
      <c r="R478" s="873"/>
      <c r="S478" s="873"/>
      <c r="T478" s="873"/>
      <c r="U478" s="873"/>
      <c r="V478" s="873"/>
      <c r="W478" s="873"/>
      <c r="X478" s="873"/>
      <c r="Y478" s="873"/>
      <c r="Z478" s="873"/>
      <c r="AA478" s="873"/>
      <c r="AB478" s="873"/>
      <c r="AC478" s="873"/>
      <c r="AD478" s="873"/>
      <c r="AE478" s="873"/>
      <c r="AF478" s="873"/>
      <c r="AG478" s="873"/>
      <c r="AH478" s="873"/>
      <c r="AI478" s="873"/>
      <c r="AJ478" s="873"/>
      <c r="AK478" s="873"/>
      <c r="AL478" s="873"/>
      <c r="AM478" s="873"/>
      <c r="AN478" s="873"/>
      <c r="AO478" s="873"/>
      <c r="AP478" s="873"/>
      <c r="AQ478" s="873"/>
      <c r="AR478" s="873"/>
      <c r="AS478" s="873"/>
      <c r="AT478" s="873"/>
      <c r="AU478" s="873"/>
      <c r="AV478" s="873"/>
    </row>
    <row r="479" spans="1:48" ht="11.25" customHeight="1" x14ac:dyDescent="0.2">
      <c r="A479" s="873"/>
      <c r="B479" s="873"/>
      <c r="C479" s="873"/>
      <c r="D479" s="873"/>
      <c r="E479" s="873"/>
      <c r="F479" s="873"/>
      <c r="G479" s="873"/>
      <c r="H479" s="873"/>
      <c r="I479" s="873"/>
      <c r="J479" s="873"/>
      <c r="K479" s="873"/>
      <c r="L479" s="873"/>
      <c r="M479" s="873"/>
      <c r="N479" s="873"/>
      <c r="O479" s="873"/>
      <c r="P479" s="873"/>
      <c r="Q479" s="873"/>
      <c r="R479" s="873"/>
      <c r="S479" s="873"/>
      <c r="T479" s="873"/>
      <c r="U479" s="873"/>
      <c r="V479" s="873"/>
      <c r="W479" s="873"/>
      <c r="X479" s="873"/>
      <c r="Y479" s="873"/>
      <c r="Z479" s="873"/>
      <c r="AA479" s="873"/>
      <c r="AB479" s="873"/>
      <c r="AC479" s="873"/>
      <c r="AD479" s="873"/>
      <c r="AE479" s="873"/>
      <c r="AF479" s="873"/>
      <c r="AG479" s="873"/>
      <c r="AH479" s="873"/>
      <c r="AI479" s="873"/>
      <c r="AJ479" s="873"/>
      <c r="AK479" s="873"/>
      <c r="AL479" s="873"/>
      <c r="AM479" s="873"/>
      <c r="AN479" s="873"/>
      <c r="AO479" s="873"/>
      <c r="AP479" s="873"/>
      <c r="AQ479" s="873"/>
      <c r="AR479" s="873"/>
      <c r="AS479" s="873"/>
      <c r="AT479" s="873"/>
      <c r="AU479" s="873"/>
      <c r="AV479" s="873"/>
    </row>
    <row r="480" spans="1:48" ht="11.25" customHeight="1" x14ac:dyDescent="0.2">
      <c r="A480" s="873"/>
      <c r="B480" s="873"/>
      <c r="C480" s="873"/>
      <c r="D480" s="873"/>
      <c r="E480" s="873"/>
      <c r="F480" s="873"/>
      <c r="G480" s="873"/>
      <c r="H480" s="873"/>
      <c r="I480" s="873"/>
      <c r="J480" s="873"/>
      <c r="K480" s="873"/>
      <c r="L480" s="873"/>
      <c r="M480" s="873"/>
      <c r="N480" s="873"/>
      <c r="O480" s="873"/>
      <c r="P480" s="873"/>
      <c r="Q480" s="873"/>
      <c r="R480" s="873"/>
      <c r="S480" s="873"/>
      <c r="T480" s="873"/>
      <c r="U480" s="873"/>
      <c r="V480" s="873"/>
      <c r="W480" s="873"/>
      <c r="X480" s="873"/>
      <c r="Y480" s="873"/>
      <c r="Z480" s="873"/>
      <c r="AA480" s="873"/>
      <c r="AB480" s="873"/>
      <c r="AC480" s="873"/>
      <c r="AD480" s="873"/>
      <c r="AE480" s="873"/>
      <c r="AF480" s="873"/>
      <c r="AG480" s="873"/>
      <c r="AH480" s="873"/>
      <c r="AI480" s="873"/>
      <c r="AJ480" s="873"/>
      <c r="AK480" s="873"/>
      <c r="AL480" s="873"/>
      <c r="AM480" s="873"/>
      <c r="AN480" s="873"/>
      <c r="AO480" s="873"/>
      <c r="AP480" s="873"/>
      <c r="AQ480" s="873"/>
      <c r="AR480" s="873"/>
      <c r="AS480" s="873"/>
      <c r="AT480" s="873"/>
      <c r="AU480" s="873"/>
      <c r="AV480" s="873"/>
    </row>
    <row r="481" spans="1:48" ht="11.25" customHeight="1" x14ac:dyDescent="0.2">
      <c r="A481" s="873"/>
      <c r="B481" s="873"/>
      <c r="C481" s="873"/>
      <c r="D481" s="873"/>
      <c r="E481" s="873"/>
      <c r="F481" s="873"/>
      <c r="G481" s="873"/>
      <c r="H481" s="873"/>
      <c r="I481" s="873"/>
      <c r="J481" s="873"/>
      <c r="K481" s="873"/>
      <c r="L481" s="873"/>
      <c r="M481" s="873"/>
      <c r="N481" s="873"/>
      <c r="O481" s="873"/>
      <c r="P481" s="873"/>
      <c r="Q481" s="873"/>
      <c r="R481" s="873"/>
      <c r="S481" s="873"/>
      <c r="T481" s="873"/>
      <c r="U481" s="873"/>
      <c r="V481" s="873"/>
      <c r="W481" s="873"/>
      <c r="X481" s="873"/>
      <c r="Y481" s="873"/>
      <c r="Z481" s="873"/>
      <c r="AA481" s="873"/>
      <c r="AB481" s="873"/>
      <c r="AC481" s="873"/>
      <c r="AD481" s="873"/>
      <c r="AE481" s="873"/>
      <c r="AF481" s="873"/>
      <c r="AG481" s="873"/>
      <c r="AH481" s="873"/>
      <c r="AI481" s="873"/>
      <c r="AJ481" s="873"/>
      <c r="AK481" s="873"/>
      <c r="AL481" s="873"/>
      <c r="AM481" s="873"/>
      <c r="AN481" s="873"/>
      <c r="AO481" s="873"/>
      <c r="AP481" s="873"/>
      <c r="AQ481" s="873"/>
      <c r="AR481" s="873"/>
      <c r="AS481" s="873"/>
      <c r="AT481" s="873"/>
      <c r="AU481" s="873"/>
      <c r="AV481" s="873"/>
    </row>
    <row r="482" spans="1:48" ht="11.25" customHeight="1" x14ac:dyDescent="0.2">
      <c r="A482" s="873"/>
      <c r="B482" s="873"/>
      <c r="C482" s="873"/>
      <c r="D482" s="873"/>
      <c r="E482" s="873"/>
      <c r="F482" s="873"/>
      <c r="G482" s="873"/>
      <c r="H482" s="873"/>
      <c r="I482" s="873"/>
      <c r="J482" s="873"/>
      <c r="K482" s="873"/>
      <c r="L482" s="873"/>
      <c r="M482" s="873"/>
      <c r="N482" s="873"/>
      <c r="O482" s="873"/>
      <c r="P482" s="873"/>
      <c r="Q482" s="873"/>
      <c r="R482" s="873"/>
      <c r="S482" s="873"/>
      <c r="T482" s="873"/>
      <c r="U482" s="873"/>
      <c r="V482" s="873"/>
      <c r="W482" s="873"/>
      <c r="X482" s="873"/>
      <c r="Y482" s="873"/>
      <c r="Z482" s="873"/>
      <c r="AA482" s="873"/>
      <c r="AB482" s="873"/>
      <c r="AC482" s="873"/>
      <c r="AD482" s="873"/>
      <c r="AE482" s="873"/>
      <c r="AF482" s="873"/>
      <c r="AG482" s="873"/>
      <c r="AH482" s="873"/>
      <c r="AI482" s="873"/>
      <c r="AJ482" s="873"/>
      <c r="AK482" s="873"/>
      <c r="AL482" s="873"/>
      <c r="AM482" s="873"/>
      <c r="AN482" s="873"/>
      <c r="AO482" s="873"/>
      <c r="AP482" s="873"/>
      <c r="AQ482" s="873"/>
      <c r="AR482" s="873"/>
      <c r="AS482" s="873"/>
      <c r="AT482" s="873"/>
      <c r="AU482" s="873"/>
      <c r="AV482" s="873"/>
    </row>
    <row r="483" spans="1:48" ht="11.25" customHeight="1" x14ac:dyDescent="0.2">
      <c r="A483" s="873"/>
      <c r="B483" s="873"/>
      <c r="C483" s="873"/>
      <c r="D483" s="873"/>
      <c r="E483" s="873"/>
      <c r="F483" s="873"/>
      <c r="G483" s="873"/>
      <c r="H483" s="873"/>
      <c r="I483" s="873"/>
      <c r="J483" s="873"/>
      <c r="K483" s="873"/>
      <c r="L483" s="873"/>
      <c r="M483" s="873"/>
      <c r="N483" s="873"/>
      <c r="O483" s="873"/>
      <c r="P483" s="873"/>
      <c r="Q483" s="873"/>
      <c r="R483" s="873"/>
      <c r="S483" s="873"/>
      <c r="T483" s="873"/>
      <c r="U483" s="873"/>
      <c r="V483" s="873"/>
      <c r="W483" s="873"/>
      <c r="X483" s="873"/>
      <c r="Y483" s="873"/>
      <c r="Z483" s="873"/>
      <c r="AA483" s="873"/>
      <c r="AB483" s="873"/>
      <c r="AC483" s="873"/>
      <c r="AD483" s="873"/>
      <c r="AE483" s="873"/>
      <c r="AF483" s="873"/>
      <c r="AG483" s="873"/>
      <c r="AH483" s="873"/>
      <c r="AI483" s="873"/>
      <c r="AJ483" s="873"/>
      <c r="AK483" s="873"/>
      <c r="AL483" s="873"/>
      <c r="AM483" s="873"/>
      <c r="AN483" s="873"/>
      <c r="AO483" s="873"/>
      <c r="AP483" s="873"/>
      <c r="AQ483" s="873"/>
      <c r="AR483" s="873"/>
      <c r="AS483" s="873"/>
      <c r="AT483" s="873"/>
      <c r="AU483" s="873"/>
      <c r="AV483" s="873"/>
    </row>
    <row r="484" spans="1:48" ht="11.25" customHeight="1" x14ac:dyDescent="0.2">
      <c r="A484" s="873"/>
      <c r="B484" s="873"/>
      <c r="C484" s="873"/>
      <c r="D484" s="873"/>
      <c r="E484" s="873"/>
      <c r="F484" s="873"/>
      <c r="G484" s="873"/>
      <c r="H484" s="873"/>
      <c r="I484" s="873"/>
      <c r="J484" s="873"/>
      <c r="K484" s="873"/>
      <c r="L484" s="873"/>
      <c r="M484" s="873"/>
      <c r="N484" s="873"/>
      <c r="O484" s="873"/>
      <c r="P484" s="873"/>
      <c r="Q484" s="873"/>
      <c r="R484" s="873"/>
      <c r="S484" s="873"/>
      <c r="T484" s="873"/>
      <c r="U484" s="873"/>
      <c r="V484" s="873"/>
      <c r="W484" s="873"/>
      <c r="X484" s="873"/>
      <c r="Y484" s="873"/>
      <c r="Z484" s="873"/>
      <c r="AA484" s="873"/>
      <c r="AB484" s="873"/>
      <c r="AC484" s="873"/>
      <c r="AD484" s="873"/>
      <c r="AE484" s="873"/>
      <c r="AF484" s="873"/>
      <c r="AG484" s="873"/>
      <c r="AH484" s="873"/>
      <c r="AI484" s="873"/>
      <c r="AJ484" s="873"/>
      <c r="AK484" s="873"/>
      <c r="AL484" s="873"/>
      <c r="AM484" s="873"/>
      <c r="AN484" s="873"/>
      <c r="AO484" s="873"/>
      <c r="AP484" s="873"/>
      <c r="AQ484" s="873"/>
      <c r="AR484" s="873"/>
      <c r="AS484" s="873"/>
      <c r="AT484" s="873"/>
      <c r="AU484" s="873"/>
      <c r="AV484" s="873"/>
    </row>
    <row r="485" spans="1:48" ht="11.25" customHeight="1" x14ac:dyDescent="0.2">
      <c r="A485" s="873"/>
      <c r="B485" s="873"/>
      <c r="C485" s="873"/>
      <c r="D485" s="873"/>
      <c r="E485" s="873"/>
      <c r="F485" s="873"/>
      <c r="G485" s="873"/>
      <c r="H485" s="873"/>
      <c r="I485" s="873"/>
      <c r="J485" s="873"/>
      <c r="K485" s="873"/>
      <c r="L485" s="873"/>
      <c r="M485" s="873"/>
      <c r="N485" s="873"/>
      <c r="O485" s="873"/>
      <c r="P485" s="873"/>
      <c r="Q485" s="873"/>
      <c r="R485" s="873"/>
      <c r="S485" s="873"/>
      <c r="T485" s="873"/>
      <c r="U485" s="873"/>
      <c r="V485" s="873"/>
      <c r="W485" s="873"/>
      <c r="X485" s="873"/>
      <c r="Y485" s="873"/>
      <c r="Z485" s="873"/>
      <c r="AA485" s="873"/>
      <c r="AB485" s="873"/>
      <c r="AC485" s="873"/>
      <c r="AD485" s="873"/>
      <c r="AE485" s="873"/>
      <c r="AF485" s="873"/>
      <c r="AG485" s="873"/>
      <c r="AH485" s="873"/>
      <c r="AI485" s="873"/>
      <c r="AJ485" s="873"/>
      <c r="AK485" s="873"/>
      <c r="AL485" s="873"/>
      <c r="AM485" s="873"/>
      <c r="AN485" s="873"/>
      <c r="AO485" s="873"/>
      <c r="AP485" s="873"/>
      <c r="AQ485" s="873"/>
      <c r="AR485" s="873"/>
      <c r="AS485" s="873"/>
      <c r="AT485" s="873"/>
      <c r="AU485" s="873"/>
      <c r="AV485" s="873"/>
    </row>
    <row r="486" spans="1:48" ht="11.25" customHeight="1" x14ac:dyDescent="0.2">
      <c r="A486" s="873"/>
      <c r="B486" s="873"/>
      <c r="C486" s="873"/>
      <c r="D486" s="873"/>
      <c r="E486" s="873"/>
      <c r="F486" s="873"/>
      <c r="G486" s="873"/>
      <c r="H486" s="873"/>
      <c r="I486" s="873"/>
      <c r="J486" s="873"/>
      <c r="K486" s="873"/>
      <c r="L486" s="873"/>
      <c r="M486" s="873"/>
      <c r="N486" s="873"/>
      <c r="O486" s="873"/>
      <c r="P486" s="873"/>
      <c r="Q486" s="873"/>
      <c r="R486" s="873"/>
      <c r="S486" s="873"/>
      <c r="T486" s="873"/>
      <c r="U486" s="873"/>
      <c r="V486" s="873"/>
      <c r="W486" s="873"/>
      <c r="X486" s="873"/>
      <c r="Y486" s="873"/>
      <c r="Z486" s="873"/>
      <c r="AA486" s="873"/>
      <c r="AB486" s="873"/>
      <c r="AC486" s="873"/>
      <c r="AD486" s="873"/>
      <c r="AE486" s="873"/>
      <c r="AF486" s="873"/>
      <c r="AG486" s="873"/>
      <c r="AH486" s="873"/>
      <c r="AI486" s="873"/>
      <c r="AJ486" s="873"/>
      <c r="AK486" s="873"/>
      <c r="AL486" s="873"/>
      <c r="AM486" s="873"/>
      <c r="AN486" s="873"/>
      <c r="AO486" s="873"/>
      <c r="AP486" s="873"/>
      <c r="AQ486" s="873"/>
      <c r="AR486" s="873"/>
      <c r="AS486" s="873"/>
      <c r="AT486" s="873"/>
      <c r="AU486" s="873"/>
      <c r="AV486" s="873"/>
    </row>
    <row r="487" spans="1:48" ht="11.25" customHeight="1" x14ac:dyDescent="0.2">
      <c r="A487" s="873"/>
      <c r="B487" s="873"/>
      <c r="C487" s="873"/>
      <c r="D487" s="873"/>
      <c r="E487" s="873"/>
      <c r="F487" s="873"/>
      <c r="G487" s="873"/>
      <c r="H487" s="873"/>
      <c r="I487" s="873"/>
      <c r="J487" s="873"/>
      <c r="K487" s="873"/>
      <c r="L487" s="873"/>
      <c r="M487" s="873"/>
      <c r="N487" s="873"/>
      <c r="O487" s="873"/>
      <c r="P487" s="873"/>
      <c r="Q487" s="873"/>
      <c r="R487" s="873"/>
      <c r="S487" s="873"/>
      <c r="T487" s="873"/>
      <c r="U487" s="873"/>
      <c r="V487" s="873"/>
      <c r="W487" s="873"/>
      <c r="X487" s="873"/>
      <c r="Y487" s="873"/>
      <c r="Z487" s="873"/>
      <c r="AA487" s="873"/>
      <c r="AB487" s="873"/>
      <c r="AC487" s="873"/>
      <c r="AD487" s="873"/>
      <c r="AE487" s="873"/>
      <c r="AF487" s="873"/>
      <c r="AG487" s="873"/>
      <c r="AH487" s="873"/>
      <c r="AI487" s="873"/>
      <c r="AJ487" s="873"/>
      <c r="AK487" s="873"/>
      <c r="AL487" s="873"/>
      <c r="AM487" s="873"/>
      <c r="AN487" s="873"/>
      <c r="AO487" s="873"/>
      <c r="AP487" s="873"/>
      <c r="AQ487" s="873"/>
      <c r="AR487" s="873"/>
      <c r="AS487" s="873"/>
      <c r="AT487" s="873"/>
      <c r="AU487" s="873"/>
      <c r="AV487" s="873"/>
    </row>
    <row r="488" spans="1:48" ht="11.25" customHeight="1" x14ac:dyDescent="0.2">
      <c r="A488" s="873"/>
      <c r="B488" s="873"/>
      <c r="C488" s="873"/>
      <c r="D488" s="873"/>
      <c r="E488" s="873"/>
      <c r="F488" s="873"/>
      <c r="G488" s="873"/>
      <c r="H488" s="873"/>
      <c r="I488" s="873"/>
      <c r="J488" s="873"/>
      <c r="K488" s="873"/>
      <c r="L488" s="873"/>
      <c r="M488" s="873"/>
      <c r="N488" s="873"/>
      <c r="O488" s="873"/>
      <c r="P488" s="873"/>
      <c r="Q488" s="873"/>
      <c r="R488" s="873"/>
      <c r="S488" s="873"/>
      <c r="T488" s="873"/>
      <c r="U488" s="873"/>
      <c r="V488" s="873"/>
      <c r="W488" s="873"/>
      <c r="X488" s="873"/>
      <c r="Y488" s="873"/>
      <c r="Z488" s="873"/>
      <c r="AA488" s="873"/>
      <c r="AB488" s="873"/>
      <c r="AC488" s="873"/>
      <c r="AD488" s="873"/>
      <c r="AE488" s="873"/>
      <c r="AF488" s="873"/>
      <c r="AG488" s="873"/>
      <c r="AH488" s="873"/>
      <c r="AI488" s="873"/>
      <c r="AJ488" s="873"/>
      <c r="AK488" s="873"/>
      <c r="AL488" s="873"/>
      <c r="AM488" s="873"/>
      <c r="AN488" s="873"/>
      <c r="AO488" s="873"/>
      <c r="AP488" s="873"/>
      <c r="AQ488" s="873"/>
      <c r="AR488" s="873"/>
      <c r="AS488" s="873"/>
      <c r="AT488" s="873"/>
      <c r="AU488" s="873"/>
      <c r="AV488" s="873"/>
    </row>
    <row r="489" spans="1:48" ht="11.25" customHeight="1" x14ac:dyDescent="0.2">
      <c r="A489" s="873"/>
      <c r="B489" s="873"/>
      <c r="C489" s="873"/>
      <c r="D489" s="873"/>
      <c r="E489" s="873"/>
      <c r="F489" s="873"/>
      <c r="G489" s="873"/>
      <c r="H489" s="873"/>
      <c r="I489" s="873"/>
      <c r="J489" s="873"/>
      <c r="K489" s="873"/>
      <c r="L489" s="873"/>
      <c r="M489" s="873"/>
      <c r="N489" s="873"/>
      <c r="O489" s="873"/>
      <c r="P489" s="873"/>
      <c r="Q489" s="873"/>
      <c r="R489" s="873"/>
      <c r="S489" s="873"/>
      <c r="T489" s="873"/>
      <c r="U489" s="873"/>
      <c r="V489" s="873"/>
      <c r="W489" s="873"/>
      <c r="X489" s="873"/>
      <c r="Y489" s="873"/>
      <c r="Z489" s="873"/>
      <c r="AA489" s="873"/>
      <c r="AB489" s="873"/>
      <c r="AC489" s="873"/>
      <c r="AD489" s="873"/>
      <c r="AE489" s="873"/>
      <c r="AF489" s="873"/>
      <c r="AG489" s="873"/>
      <c r="AH489" s="873"/>
      <c r="AI489" s="873"/>
      <c r="AJ489" s="873"/>
      <c r="AK489" s="873"/>
      <c r="AL489" s="873"/>
      <c r="AM489" s="873"/>
      <c r="AN489" s="873"/>
      <c r="AO489" s="873"/>
      <c r="AP489" s="873"/>
      <c r="AQ489" s="873"/>
      <c r="AR489" s="873"/>
      <c r="AS489" s="873"/>
      <c r="AT489" s="873"/>
      <c r="AU489" s="873"/>
      <c r="AV489" s="873"/>
    </row>
    <row r="490" spans="1:48" ht="11.25" customHeight="1" x14ac:dyDescent="0.2">
      <c r="A490" s="873"/>
      <c r="B490" s="873"/>
      <c r="C490" s="873"/>
      <c r="D490" s="873"/>
      <c r="E490" s="873"/>
      <c r="F490" s="873"/>
      <c r="G490" s="873"/>
      <c r="H490" s="873"/>
      <c r="I490" s="873"/>
      <c r="J490" s="873"/>
      <c r="K490" s="873"/>
      <c r="L490" s="873"/>
      <c r="M490" s="873"/>
      <c r="N490" s="873"/>
      <c r="O490" s="873"/>
      <c r="P490" s="873"/>
      <c r="Q490" s="873"/>
      <c r="R490" s="873"/>
      <c r="S490" s="873"/>
      <c r="T490" s="873"/>
      <c r="U490" s="873"/>
      <c r="V490" s="873"/>
      <c r="W490" s="873"/>
      <c r="X490" s="873"/>
      <c r="Y490" s="873"/>
      <c r="Z490" s="873"/>
      <c r="AA490" s="873"/>
      <c r="AB490" s="873"/>
      <c r="AC490" s="873"/>
      <c r="AD490" s="873"/>
      <c r="AE490" s="873"/>
      <c r="AF490" s="873"/>
      <c r="AG490" s="873"/>
      <c r="AH490" s="873"/>
      <c r="AI490" s="873"/>
      <c r="AJ490" s="873"/>
      <c r="AK490" s="873"/>
      <c r="AL490" s="873"/>
      <c r="AM490" s="873"/>
      <c r="AN490" s="873"/>
      <c r="AO490" s="873"/>
      <c r="AP490" s="873"/>
      <c r="AQ490" s="873"/>
      <c r="AR490" s="873"/>
      <c r="AS490" s="873"/>
      <c r="AT490" s="873"/>
      <c r="AU490" s="873"/>
      <c r="AV490" s="873"/>
    </row>
    <row r="491" spans="1:48" ht="11.25" customHeight="1" x14ac:dyDescent="0.2">
      <c r="A491" s="873"/>
      <c r="B491" s="873"/>
      <c r="C491" s="873"/>
      <c r="D491" s="873"/>
      <c r="E491" s="873"/>
      <c r="F491" s="873"/>
      <c r="G491" s="873"/>
      <c r="H491" s="873"/>
      <c r="I491" s="873"/>
      <c r="J491" s="873"/>
      <c r="K491" s="873"/>
      <c r="L491" s="873"/>
      <c r="M491" s="873"/>
      <c r="N491" s="873"/>
      <c r="O491" s="873"/>
      <c r="P491" s="873"/>
      <c r="Q491" s="873"/>
      <c r="R491" s="873"/>
      <c r="S491" s="873"/>
      <c r="T491" s="873"/>
      <c r="U491" s="873"/>
      <c r="V491" s="873"/>
      <c r="W491" s="873"/>
      <c r="X491" s="873"/>
      <c r="Y491" s="873"/>
      <c r="Z491" s="873"/>
      <c r="AA491" s="873"/>
      <c r="AB491" s="873"/>
      <c r="AC491" s="873"/>
      <c r="AD491" s="873"/>
      <c r="AE491" s="873"/>
      <c r="AF491" s="873"/>
      <c r="AG491" s="873"/>
      <c r="AH491" s="873"/>
      <c r="AI491" s="873"/>
      <c r="AJ491" s="873"/>
      <c r="AK491" s="873"/>
      <c r="AL491" s="873"/>
      <c r="AM491" s="873"/>
      <c r="AN491" s="873"/>
      <c r="AO491" s="873"/>
      <c r="AP491" s="873"/>
      <c r="AQ491" s="873"/>
      <c r="AR491" s="873"/>
      <c r="AS491" s="873"/>
      <c r="AT491" s="873"/>
      <c r="AU491" s="873"/>
      <c r="AV491" s="873"/>
    </row>
    <row r="492" spans="1:48" ht="11.25" customHeight="1" x14ac:dyDescent="0.2">
      <c r="A492" s="873"/>
      <c r="B492" s="873"/>
      <c r="C492" s="873"/>
      <c r="D492" s="873"/>
      <c r="E492" s="873"/>
      <c r="F492" s="873"/>
      <c r="G492" s="873"/>
      <c r="H492" s="873"/>
      <c r="I492" s="873"/>
      <c r="J492" s="873"/>
      <c r="K492" s="873"/>
      <c r="L492" s="873"/>
      <c r="M492" s="873"/>
      <c r="N492" s="873"/>
      <c r="O492" s="873"/>
      <c r="P492" s="873"/>
      <c r="Q492" s="873"/>
      <c r="R492" s="873"/>
      <c r="S492" s="873"/>
      <c r="T492" s="873"/>
      <c r="U492" s="873"/>
      <c r="V492" s="873"/>
      <c r="W492" s="873"/>
      <c r="X492" s="873"/>
      <c r="Y492" s="873"/>
      <c r="Z492" s="873"/>
      <c r="AA492" s="873"/>
      <c r="AB492" s="873"/>
      <c r="AC492" s="873"/>
      <c r="AD492" s="873"/>
      <c r="AE492" s="873"/>
      <c r="AF492" s="873"/>
      <c r="AG492" s="873"/>
      <c r="AH492" s="873"/>
      <c r="AI492" s="873"/>
      <c r="AJ492" s="873"/>
      <c r="AK492" s="873"/>
      <c r="AL492" s="873"/>
      <c r="AM492" s="873"/>
      <c r="AN492" s="873"/>
      <c r="AO492" s="873"/>
      <c r="AP492" s="873"/>
      <c r="AQ492" s="873"/>
      <c r="AR492" s="873"/>
      <c r="AS492" s="873"/>
      <c r="AT492" s="873"/>
      <c r="AU492" s="873"/>
      <c r="AV492" s="873"/>
    </row>
    <row r="493" spans="1:48" ht="11.25" customHeight="1" x14ac:dyDescent="0.2">
      <c r="A493" s="873"/>
      <c r="B493" s="873"/>
      <c r="C493" s="873"/>
      <c r="D493" s="873"/>
      <c r="E493" s="873"/>
      <c r="F493" s="873"/>
      <c r="G493" s="873"/>
      <c r="H493" s="873"/>
      <c r="I493" s="873"/>
      <c r="J493" s="873"/>
      <c r="K493" s="873"/>
      <c r="L493" s="873"/>
      <c r="M493" s="873"/>
      <c r="N493" s="873"/>
      <c r="O493" s="873"/>
      <c r="P493" s="873"/>
      <c r="Q493" s="873"/>
      <c r="R493" s="873"/>
      <c r="S493" s="873"/>
      <c r="T493" s="873"/>
      <c r="U493" s="873"/>
      <c r="V493" s="873"/>
      <c r="W493" s="873"/>
      <c r="X493" s="873"/>
      <c r="Y493" s="873"/>
      <c r="Z493" s="873"/>
      <c r="AA493" s="873"/>
      <c r="AB493" s="873"/>
      <c r="AC493" s="873"/>
      <c r="AD493" s="873"/>
      <c r="AE493" s="873"/>
      <c r="AF493" s="873"/>
      <c r="AG493" s="873"/>
      <c r="AH493" s="873"/>
      <c r="AI493" s="873"/>
      <c r="AJ493" s="873"/>
      <c r="AK493" s="873"/>
      <c r="AL493" s="873"/>
      <c r="AM493" s="873"/>
      <c r="AN493" s="873"/>
      <c r="AO493" s="873"/>
      <c r="AP493" s="873"/>
      <c r="AQ493" s="873"/>
      <c r="AR493" s="873"/>
      <c r="AS493" s="873"/>
      <c r="AT493" s="873"/>
      <c r="AU493" s="873"/>
      <c r="AV493" s="873"/>
    </row>
    <row r="494" spans="1:48" ht="11.25" customHeight="1" x14ac:dyDescent="0.2">
      <c r="A494" s="873"/>
      <c r="B494" s="873"/>
      <c r="C494" s="873"/>
      <c r="D494" s="873"/>
      <c r="E494" s="873"/>
      <c r="F494" s="873"/>
      <c r="G494" s="873"/>
      <c r="H494" s="873"/>
      <c r="I494" s="873"/>
      <c r="J494" s="873"/>
      <c r="K494" s="873"/>
      <c r="L494" s="873"/>
      <c r="M494" s="873"/>
      <c r="N494" s="873"/>
      <c r="O494" s="873"/>
      <c r="P494" s="873"/>
      <c r="Q494" s="873"/>
      <c r="R494" s="873"/>
      <c r="S494" s="873"/>
      <c r="T494" s="873"/>
      <c r="U494" s="873"/>
      <c r="V494" s="873"/>
      <c r="W494" s="873"/>
      <c r="X494" s="873"/>
      <c r="Y494" s="873"/>
      <c r="Z494" s="873"/>
      <c r="AA494" s="873"/>
      <c r="AB494" s="873"/>
      <c r="AC494" s="873"/>
      <c r="AD494" s="873"/>
      <c r="AE494" s="873"/>
      <c r="AF494" s="873"/>
      <c r="AG494" s="873"/>
      <c r="AH494" s="873"/>
      <c r="AI494" s="873"/>
      <c r="AJ494" s="873"/>
      <c r="AK494" s="873"/>
      <c r="AL494" s="873"/>
      <c r="AM494" s="873"/>
      <c r="AN494" s="873"/>
      <c r="AO494" s="873"/>
      <c r="AP494" s="873"/>
      <c r="AQ494" s="873"/>
      <c r="AR494" s="873"/>
      <c r="AS494" s="873"/>
      <c r="AT494" s="873"/>
      <c r="AU494" s="873"/>
      <c r="AV494" s="873"/>
    </row>
    <row r="495" spans="1:48" ht="11.25" customHeight="1" x14ac:dyDescent="0.2">
      <c r="A495" s="873"/>
      <c r="B495" s="873"/>
      <c r="C495" s="873"/>
      <c r="D495" s="873"/>
      <c r="E495" s="873"/>
      <c r="F495" s="873"/>
      <c r="G495" s="873"/>
      <c r="H495" s="873"/>
      <c r="I495" s="873"/>
      <c r="J495" s="873"/>
      <c r="K495" s="873"/>
      <c r="L495" s="873"/>
      <c r="M495" s="873"/>
      <c r="N495" s="873"/>
      <c r="O495" s="873"/>
      <c r="P495" s="873"/>
      <c r="Q495" s="873"/>
      <c r="R495" s="873"/>
      <c r="S495" s="873"/>
      <c r="T495" s="873"/>
      <c r="U495" s="873"/>
      <c r="V495" s="873"/>
      <c r="W495" s="873"/>
      <c r="X495" s="873"/>
      <c r="Y495" s="873"/>
      <c r="Z495" s="873"/>
      <c r="AA495" s="873"/>
      <c r="AB495" s="873"/>
      <c r="AC495" s="873"/>
      <c r="AD495" s="873"/>
      <c r="AE495" s="873"/>
      <c r="AF495" s="873"/>
      <c r="AG495" s="873"/>
      <c r="AH495" s="873"/>
      <c r="AI495" s="873"/>
      <c r="AJ495" s="873"/>
      <c r="AK495" s="873"/>
      <c r="AL495" s="873"/>
      <c r="AM495" s="873"/>
      <c r="AN495" s="873"/>
      <c r="AO495" s="873"/>
      <c r="AP495" s="873"/>
      <c r="AQ495" s="873"/>
      <c r="AR495" s="873"/>
      <c r="AS495" s="873"/>
      <c r="AT495" s="873"/>
      <c r="AU495" s="873"/>
      <c r="AV495" s="873"/>
    </row>
    <row r="496" spans="1:48" ht="11.25" customHeight="1" x14ac:dyDescent="0.2">
      <c r="A496" s="873"/>
      <c r="B496" s="873"/>
      <c r="C496" s="873"/>
      <c r="D496" s="873"/>
      <c r="E496" s="873"/>
      <c r="F496" s="873"/>
      <c r="G496" s="873"/>
      <c r="H496" s="873"/>
      <c r="I496" s="873"/>
      <c r="J496" s="873"/>
      <c r="K496" s="873"/>
      <c r="L496" s="873"/>
      <c r="M496" s="873"/>
      <c r="N496" s="873"/>
      <c r="O496" s="873"/>
      <c r="P496" s="873"/>
      <c r="Q496" s="873"/>
      <c r="R496" s="873"/>
      <c r="S496" s="873"/>
      <c r="T496" s="873"/>
      <c r="U496" s="873"/>
      <c r="V496" s="873"/>
      <c r="W496" s="873"/>
      <c r="X496" s="873"/>
      <c r="Y496" s="873"/>
      <c r="Z496" s="873"/>
      <c r="AA496" s="873"/>
      <c r="AB496" s="873"/>
      <c r="AC496" s="873"/>
      <c r="AD496" s="873"/>
      <c r="AE496" s="873"/>
      <c r="AF496" s="873"/>
      <c r="AG496" s="873"/>
      <c r="AH496" s="873"/>
      <c r="AI496" s="873"/>
      <c r="AJ496" s="873"/>
      <c r="AK496" s="873"/>
      <c r="AL496" s="873"/>
      <c r="AM496" s="873"/>
      <c r="AN496" s="873"/>
      <c r="AO496" s="873"/>
      <c r="AP496" s="873"/>
      <c r="AQ496" s="873"/>
      <c r="AR496" s="873"/>
      <c r="AS496" s="873"/>
      <c r="AT496" s="873"/>
      <c r="AU496" s="873"/>
      <c r="AV496" s="873"/>
    </row>
    <row r="497" spans="1:48" ht="11.25" customHeight="1" x14ac:dyDescent="0.2">
      <c r="A497" s="873"/>
      <c r="B497" s="873"/>
      <c r="C497" s="873"/>
      <c r="D497" s="873"/>
      <c r="E497" s="873"/>
      <c r="F497" s="873"/>
      <c r="G497" s="873"/>
      <c r="H497" s="873"/>
      <c r="I497" s="873"/>
      <c r="J497" s="873"/>
      <c r="K497" s="873"/>
      <c r="L497" s="873"/>
      <c r="M497" s="873"/>
      <c r="N497" s="873"/>
      <c r="O497" s="873"/>
      <c r="P497" s="873"/>
      <c r="Q497" s="873"/>
      <c r="R497" s="873"/>
      <c r="S497" s="873"/>
      <c r="T497" s="873"/>
      <c r="U497" s="873"/>
      <c r="V497" s="873"/>
      <c r="W497" s="873"/>
      <c r="X497" s="873"/>
      <c r="Y497" s="873"/>
      <c r="Z497" s="873"/>
      <c r="AA497" s="873"/>
      <c r="AB497" s="873"/>
      <c r="AC497" s="873"/>
      <c r="AD497" s="873"/>
      <c r="AE497" s="873"/>
      <c r="AF497" s="873"/>
      <c r="AG497" s="873"/>
      <c r="AH497" s="873"/>
      <c r="AI497" s="873"/>
      <c r="AJ497" s="873"/>
      <c r="AK497" s="873"/>
      <c r="AL497" s="873"/>
      <c r="AM497" s="873"/>
      <c r="AN497" s="873"/>
      <c r="AO497" s="873"/>
      <c r="AP497" s="873"/>
      <c r="AQ497" s="873"/>
      <c r="AR497" s="873"/>
      <c r="AS497" s="873"/>
      <c r="AT497" s="873"/>
      <c r="AU497" s="873"/>
      <c r="AV497" s="873"/>
    </row>
    <row r="498" spans="1:48" ht="11.25" customHeight="1" x14ac:dyDescent="0.2">
      <c r="A498" s="873"/>
      <c r="B498" s="873"/>
      <c r="C498" s="873"/>
      <c r="D498" s="873"/>
      <c r="E498" s="873"/>
      <c r="F498" s="873"/>
      <c r="G498" s="873"/>
      <c r="H498" s="873"/>
      <c r="I498" s="873"/>
      <c r="J498" s="873"/>
      <c r="K498" s="873"/>
      <c r="L498" s="873"/>
      <c r="M498" s="873"/>
      <c r="N498" s="873"/>
      <c r="O498" s="873"/>
      <c r="P498" s="873"/>
      <c r="Q498" s="873"/>
      <c r="R498" s="873"/>
      <c r="S498" s="873"/>
      <c r="T498" s="873"/>
      <c r="U498" s="873"/>
      <c r="V498" s="873"/>
      <c r="W498" s="873"/>
      <c r="X498" s="873"/>
      <c r="Y498" s="873"/>
      <c r="Z498" s="873"/>
      <c r="AA498" s="873"/>
      <c r="AB498" s="873"/>
      <c r="AC498" s="873"/>
      <c r="AD498" s="873"/>
      <c r="AE498" s="873"/>
      <c r="AF498" s="873"/>
      <c r="AG498" s="873"/>
      <c r="AH498" s="873"/>
      <c r="AI498" s="873"/>
      <c r="AJ498" s="873"/>
      <c r="AK498" s="873"/>
      <c r="AL498" s="873"/>
      <c r="AM498" s="873"/>
      <c r="AN498" s="873"/>
      <c r="AO498" s="873"/>
      <c r="AP498" s="873"/>
      <c r="AQ498" s="873"/>
      <c r="AR498" s="873"/>
      <c r="AS498" s="873"/>
      <c r="AT498" s="873"/>
      <c r="AU498" s="873"/>
      <c r="AV498" s="873"/>
    </row>
    <row r="499" spans="1:48" ht="11.25" customHeight="1" x14ac:dyDescent="0.2">
      <c r="A499" s="873"/>
      <c r="B499" s="873"/>
      <c r="C499" s="873"/>
      <c r="D499" s="873"/>
      <c r="E499" s="873"/>
      <c r="F499" s="873"/>
      <c r="G499" s="873"/>
      <c r="H499" s="873"/>
      <c r="I499" s="873"/>
      <c r="J499" s="873"/>
      <c r="K499" s="873"/>
      <c r="L499" s="873"/>
      <c r="M499" s="873"/>
      <c r="N499" s="873"/>
      <c r="O499" s="873"/>
      <c r="P499" s="873"/>
      <c r="Q499" s="873"/>
      <c r="R499" s="873"/>
      <c r="S499" s="873"/>
      <c r="T499" s="873"/>
      <c r="U499" s="873"/>
      <c r="V499" s="873"/>
      <c r="W499" s="873"/>
      <c r="X499" s="873"/>
      <c r="Y499" s="873"/>
      <c r="Z499" s="873"/>
      <c r="AA499" s="873"/>
      <c r="AB499" s="873"/>
      <c r="AC499" s="873"/>
      <c r="AD499" s="873"/>
      <c r="AE499" s="873"/>
      <c r="AF499" s="873"/>
      <c r="AG499" s="873"/>
      <c r="AH499" s="873"/>
      <c r="AI499" s="873"/>
      <c r="AJ499" s="873"/>
      <c r="AK499" s="873"/>
      <c r="AL499" s="873"/>
      <c r="AM499" s="873"/>
      <c r="AN499" s="873"/>
      <c r="AO499" s="873"/>
      <c r="AP499" s="873"/>
      <c r="AQ499" s="873"/>
      <c r="AR499" s="873"/>
      <c r="AS499" s="873"/>
      <c r="AT499" s="873"/>
      <c r="AU499" s="873"/>
      <c r="AV499" s="873"/>
    </row>
    <row r="500" spans="1:48" ht="11.25" customHeight="1" x14ac:dyDescent="0.2">
      <c r="A500" s="873"/>
      <c r="B500" s="873"/>
      <c r="C500" s="873"/>
      <c r="D500" s="873"/>
      <c r="E500" s="873"/>
      <c r="F500" s="873"/>
      <c r="G500" s="873"/>
      <c r="H500" s="873"/>
      <c r="I500" s="873"/>
      <c r="J500" s="873"/>
      <c r="K500" s="873"/>
      <c r="L500" s="873"/>
      <c r="M500" s="873"/>
      <c r="N500" s="873"/>
      <c r="O500" s="873"/>
      <c r="P500" s="873"/>
      <c r="Q500" s="873"/>
      <c r="R500" s="873"/>
      <c r="S500" s="873"/>
      <c r="T500" s="873"/>
      <c r="U500" s="873"/>
      <c r="V500" s="873"/>
      <c r="W500" s="873"/>
      <c r="X500" s="873"/>
      <c r="Y500" s="873"/>
      <c r="Z500" s="873"/>
      <c r="AA500" s="873"/>
      <c r="AB500" s="873"/>
      <c r="AC500" s="873"/>
      <c r="AD500" s="873"/>
      <c r="AE500" s="873"/>
      <c r="AF500" s="873"/>
      <c r="AG500" s="873"/>
      <c r="AH500" s="873"/>
      <c r="AI500" s="873"/>
      <c r="AJ500" s="873"/>
      <c r="AK500" s="873"/>
      <c r="AL500" s="873"/>
      <c r="AM500" s="873"/>
      <c r="AN500" s="873"/>
      <c r="AO500" s="873"/>
      <c r="AP500" s="873"/>
      <c r="AQ500" s="873"/>
      <c r="AR500" s="873"/>
      <c r="AS500" s="873"/>
      <c r="AT500" s="873"/>
      <c r="AU500" s="873"/>
      <c r="AV500" s="873"/>
    </row>
    <row r="501" spans="1:48" ht="11.25" customHeight="1" x14ac:dyDescent="0.2">
      <c r="A501" s="873"/>
      <c r="B501" s="873"/>
      <c r="C501" s="873"/>
      <c r="D501" s="873"/>
      <c r="E501" s="873"/>
      <c r="F501" s="873"/>
      <c r="G501" s="873"/>
      <c r="H501" s="873"/>
      <c r="I501" s="873"/>
      <c r="J501" s="873"/>
      <c r="K501" s="873"/>
      <c r="L501" s="873"/>
      <c r="M501" s="873"/>
      <c r="N501" s="873"/>
      <c r="O501" s="873"/>
      <c r="P501" s="873"/>
      <c r="Q501" s="873"/>
      <c r="R501" s="873"/>
      <c r="S501" s="873"/>
      <c r="T501" s="873"/>
      <c r="U501" s="873"/>
      <c r="V501" s="873"/>
      <c r="W501" s="873"/>
      <c r="X501" s="873"/>
      <c r="Y501" s="873"/>
      <c r="Z501" s="873"/>
      <c r="AA501" s="873"/>
      <c r="AB501" s="873"/>
      <c r="AC501" s="873"/>
      <c r="AD501" s="873"/>
      <c r="AE501" s="873"/>
      <c r="AF501" s="873"/>
      <c r="AG501" s="873"/>
      <c r="AH501" s="873"/>
      <c r="AI501" s="873"/>
      <c r="AJ501" s="873"/>
      <c r="AK501" s="873"/>
      <c r="AL501" s="873"/>
      <c r="AM501" s="873"/>
      <c r="AN501" s="873"/>
      <c r="AO501" s="873"/>
      <c r="AP501" s="873"/>
      <c r="AQ501" s="873"/>
      <c r="AR501" s="873"/>
      <c r="AS501" s="873"/>
      <c r="AT501" s="873"/>
      <c r="AU501" s="873"/>
      <c r="AV501" s="873"/>
    </row>
    <row r="502" spans="1:48" ht="11.25" customHeight="1" x14ac:dyDescent="0.2">
      <c r="A502" s="873"/>
      <c r="B502" s="873"/>
      <c r="C502" s="873"/>
      <c r="D502" s="873"/>
      <c r="E502" s="873"/>
      <c r="F502" s="873"/>
      <c r="G502" s="873"/>
      <c r="H502" s="873"/>
      <c r="I502" s="873"/>
      <c r="J502" s="873"/>
      <c r="K502" s="873"/>
      <c r="L502" s="873"/>
      <c r="M502" s="873"/>
      <c r="N502" s="873"/>
      <c r="O502" s="873"/>
      <c r="P502" s="873"/>
      <c r="Q502" s="873"/>
      <c r="R502" s="873"/>
      <c r="S502" s="873"/>
      <c r="T502" s="873"/>
      <c r="U502" s="873"/>
      <c r="V502" s="873"/>
      <c r="W502" s="873"/>
      <c r="X502" s="873"/>
      <c r="Y502" s="873"/>
      <c r="Z502" s="873"/>
      <c r="AA502" s="873"/>
      <c r="AB502" s="873"/>
      <c r="AC502" s="873"/>
      <c r="AD502" s="873"/>
      <c r="AE502" s="873"/>
      <c r="AF502" s="873"/>
      <c r="AG502" s="873"/>
      <c r="AH502" s="873"/>
      <c r="AI502" s="873"/>
      <c r="AJ502" s="873"/>
      <c r="AK502" s="873"/>
      <c r="AL502" s="873"/>
      <c r="AM502" s="873"/>
      <c r="AN502" s="873"/>
      <c r="AO502" s="873"/>
      <c r="AP502" s="873"/>
      <c r="AQ502" s="873"/>
      <c r="AR502" s="873"/>
      <c r="AS502" s="873"/>
      <c r="AT502" s="873"/>
      <c r="AU502" s="873"/>
      <c r="AV502" s="873"/>
    </row>
    <row r="503" spans="1:48" ht="11.25" customHeight="1" x14ac:dyDescent="0.2">
      <c r="A503" s="873"/>
      <c r="B503" s="873"/>
      <c r="C503" s="873"/>
      <c r="D503" s="873"/>
      <c r="E503" s="873"/>
      <c r="F503" s="873"/>
      <c r="G503" s="873"/>
      <c r="H503" s="873"/>
      <c r="I503" s="873"/>
      <c r="J503" s="873"/>
      <c r="K503" s="873"/>
      <c r="L503" s="873"/>
      <c r="M503" s="873"/>
      <c r="N503" s="873"/>
      <c r="O503" s="873"/>
      <c r="P503" s="873"/>
      <c r="Q503" s="873"/>
      <c r="R503" s="873"/>
      <c r="S503" s="873"/>
      <c r="T503" s="873"/>
      <c r="U503" s="873"/>
      <c r="V503" s="873"/>
      <c r="W503" s="873"/>
      <c r="X503" s="873"/>
      <c r="Y503" s="873"/>
      <c r="Z503" s="873"/>
      <c r="AA503" s="873"/>
      <c r="AB503" s="873"/>
      <c r="AC503" s="873"/>
      <c r="AD503" s="873"/>
      <c r="AE503" s="873"/>
      <c r="AF503" s="873"/>
      <c r="AG503" s="873"/>
      <c r="AH503" s="873"/>
      <c r="AI503" s="873"/>
      <c r="AJ503" s="873"/>
      <c r="AK503" s="873"/>
      <c r="AL503" s="873"/>
      <c r="AM503" s="873"/>
      <c r="AN503" s="873"/>
      <c r="AO503" s="873"/>
      <c r="AP503" s="873"/>
      <c r="AQ503" s="873"/>
      <c r="AR503" s="873"/>
      <c r="AS503" s="873"/>
      <c r="AT503" s="873"/>
      <c r="AU503" s="873"/>
      <c r="AV503" s="873"/>
    </row>
    <row r="504" spans="1:48" ht="11.25" customHeight="1" x14ac:dyDescent="0.2">
      <c r="A504" s="873"/>
      <c r="B504" s="873"/>
      <c r="C504" s="873"/>
      <c r="D504" s="873"/>
      <c r="E504" s="873"/>
      <c r="F504" s="873"/>
      <c r="G504" s="873"/>
      <c r="H504" s="873"/>
      <c r="I504" s="873"/>
      <c r="J504" s="873"/>
      <c r="K504" s="873"/>
      <c r="L504" s="873"/>
      <c r="M504" s="873"/>
      <c r="N504" s="873"/>
      <c r="O504" s="873"/>
      <c r="P504" s="873"/>
      <c r="Q504" s="873"/>
      <c r="R504" s="873"/>
      <c r="S504" s="873"/>
      <c r="T504" s="873"/>
      <c r="U504" s="873"/>
      <c r="V504" s="873"/>
      <c r="W504" s="873"/>
      <c r="X504" s="873"/>
      <c r="Y504" s="873"/>
      <c r="Z504" s="873"/>
      <c r="AA504" s="873"/>
      <c r="AB504" s="873"/>
      <c r="AC504" s="873"/>
      <c r="AD504" s="873"/>
      <c r="AE504" s="873"/>
      <c r="AF504" s="873"/>
      <c r="AG504" s="873"/>
      <c r="AH504" s="873"/>
      <c r="AI504" s="873"/>
      <c r="AJ504" s="873"/>
      <c r="AK504" s="873"/>
      <c r="AL504" s="873"/>
      <c r="AM504" s="873"/>
      <c r="AN504" s="873"/>
      <c r="AO504" s="873"/>
      <c r="AP504" s="873"/>
      <c r="AQ504" s="873"/>
      <c r="AR504" s="873"/>
      <c r="AS504" s="873"/>
      <c r="AT504" s="873"/>
      <c r="AU504" s="873"/>
      <c r="AV504" s="873"/>
    </row>
    <row r="505" spans="1:48" ht="11.25" customHeight="1" x14ac:dyDescent="0.2">
      <c r="A505" s="873"/>
      <c r="B505" s="873"/>
      <c r="C505" s="873"/>
      <c r="D505" s="873"/>
      <c r="E505" s="873"/>
      <c r="F505" s="873"/>
      <c r="G505" s="873"/>
      <c r="H505" s="873"/>
      <c r="I505" s="873"/>
      <c r="J505" s="873"/>
      <c r="K505" s="873"/>
      <c r="L505" s="873"/>
      <c r="M505" s="873"/>
      <c r="N505" s="873"/>
      <c r="O505" s="873"/>
      <c r="P505" s="873"/>
      <c r="Q505" s="873"/>
      <c r="R505" s="873"/>
      <c r="S505" s="873"/>
      <c r="T505" s="873"/>
      <c r="U505" s="873"/>
      <c r="V505" s="873"/>
      <c r="W505" s="873"/>
      <c r="X505" s="873"/>
      <c r="Y505" s="873"/>
      <c r="Z505" s="873"/>
      <c r="AA505" s="873"/>
      <c r="AB505" s="873"/>
      <c r="AC505" s="873"/>
      <c r="AD505" s="873"/>
      <c r="AE505" s="873"/>
      <c r="AF505" s="873"/>
      <c r="AG505" s="873"/>
      <c r="AH505" s="873"/>
      <c r="AI505" s="873"/>
      <c r="AJ505" s="873"/>
      <c r="AK505" s="873"/>
      <c r="AL505" s="873"/>
      <c r="AM505" s="873"/>
      <c r="AN505" s="873"/>
      <c r="AO505" s="873"/>
      <c r="AP505" s="873"/>
      <c r="AQ505" s="873"/>
      <c r="AR505" s="873"/>
      <c r="AS505" s="873"/>
      <c r="AT505" s="873"/>
      <c r="AU505" s="873"/>
      <c r="AV505" s="873"/>
    </row>
    <row r="506" spans="1:48" ht="11.25" customHeight="1" x14ac:dyDescent="0.2">
      <c r="A506" s="873"/>
      <c r="B506" s="873"/>
      <c r="C506" s="873"/>
      <c r="D506" s="873"/>
      <c r="E506" s="873"/>
      <c r="F506" s="873"/>
      <c r="G506" s="873"/>
      <c r="H506" s="873"/>
      <c r="I506" s="873"/>
      <c r="J506" s="873"/>
      <c r="K506" s="873"/>
      <c r="L506" s="873"/>
      <c r="M506" s="873"/>
      <c r="N506" s="873"/>
      <c r="O506" s="873"/>
      <c r="P506" s="873"/>
      <c r="Q506" s="873"/>
      <c r="R506" s="873"/>
      <c r="S506" s="873"/>
      <c r="T506" s="873"/>
      <c r="U506" s="873"/>
      <c r="V506" s="873"/>
      <c r="W506" s="873"/>
      <c r="X506" s="873"/>
      <c r="Y506" s="873"/>
      <c r="Z506" s="873"/>
      <c r="AA506" s="873"/>
      <c r="AB506" s="873"/>
      <c r="AC506" s="873"/>
      <c r="AD506" s="873"/>
      <c r="AE506" s="873"/>
      <c r="AF506" s="873"/>
      <c r="AG506" s="873"/>
      <c r="AH506" s="873"/>
      <c r="AI506" s="873"/>
      <c r="AJ506" s="873"/>
      <c r="AK506" s="873"/>
      <c r="AL506" s="873"/>
      <c r="AM506" s="873"/>
      <c r="AN506" s="873"/>
      <c r="AO506" s="873"/>
      <c r="AP506" s="873"/>
      <c r="AQ506" s="873"/>
      <c r="AR506" s="873"/>
      <c r="AS506" s="873"/>
      <c r="AT506" s="873"/>
      <c r="AU506" s="873"/>
      <c r="AV506" s="873"/>
    </row>
    <row r="507" spans="1:48" ht="11.25" customHeight="1" x14ac:dyDescent="0.2">
      <c r="A507" s="873"/>
      <c r="B507" s="873"/>
      <c r="C507" s="873"/>
      <c r="D507" s="873"/>
      <c r="E507" s="873"/>
      <c r="F507" s="873"/>
      <c r="G507" s="873"/>
      <c r="H507" s="873"/>
      <c r="I507" s="873"/>
      <c r="J507" s="873"/>
      <c r="K507" s="873"/>
      <c r="L507" s="873"/>
      <c r="M507" s="873"/>
      <c r="N507" s="873"/>
      <c r="O507" s="873"/>
      <c r="P507" s="873"/>
      <c r="Q507" s="873"/>
      <c r="R507" s="873"/>
      <c r="S507" s="873"/>
      <c r="T507" s="873"/>
      <c r="U507" s="873"/>
      <c r="V507" s="873"/>
      <c r="W507" s="873"/>
      <c r="X507" s="873"/>
      <c r="Y507" s="873"/>
      <c r="Z507" s="873"/>
      <c r="AA507" s="873"/>
      <c r="AB507" s="873"/>
      <c r="AC507" s="873"/>
      <c r="AD507" s="873"/>
      <c r="AE507" s="873"/>
      <c r="AF507" s="873"/>
      <c r="AG507" s="873"/>
      <c r="AH507" s="873"/>
      <c r="AI507" s="873"/>
      <c r="AJ507" s="873"/>
      <c r="AK507" s="873"/>
      <c r="AL507" s="873"/>
      <c r="AM507" s="873"/>
      <c r="AN507" s="873"/>
      <c r="AO507" s="873"/>
      <c r="AP507" s="873"/>
      <c r="AQ507" s="873"/>
      <c r="AR507" s="873"/>
      <c r="AS507" s="873"/>
      <c r="AT507" s="873"/>
      <c r="AU507" s="873"/>
      <c r="AV507" s="873"/>
    </row>
    <row r="508" spans="1:48" ht="11.25" customHeight="1" x14ac:dyDescent="0.2">
      <c r="A508" s="873"/>
      <c r="B508" s="873"/>
      <c r="C508" s="873"/>
      <c r="D508" s="873"/>
      <c r="E508" s="873"/>
      <c r="F508" s="873"/>
      <c r="G508" s="873"/>
      <c r="H508" s="873"/>
      <c r="I508" s="873"/>
      <c r="J508" s="873"/>
      <c r="K508" s="873"/>
      <c r="L508" s="873"/>
      <c r="M508" s="873"/>
      <c r="N508" s="873"/>
      <c r="O508" s="873"/>
      <c r="P508" s="873"/>
      <c r="Q508" s="873"/>
      <c r="R508" s="873"/>
      <c r="S508" s="873"/>
      <c r="T508" s="873"/>
      <c r="U508" s="873"/>
      <c r="V508" s="873"/>
      <c r="W508" s="873"/>
      <c r="X508" s="873"/>
      <c r="Y508" s="873"/>
      <c r="Z508" s="873"/>
      <c r="AA508" s="873"/>
      <c r="AB508" s="873"/>
      <c r="AC508" s="873"/>
      <c r="AD508" s="873"/>
      <c r="AE508" s="873"/>
      <c r="AF508" s="873"/>
      <c r="AG508" s="873"/>
      <c r="AH508" s="873"/>
      <c r="AI508" s="873"/>
      <c r="AJ508" s="873"/>
      <c r="AK508" s="873"/>
      <c r="AL508" s="873"/>
      <c r="AM508" s="873"/>
      <c r="AN508" s="873"/>
      <c r="AO508" s="873"/>
      <c r="AP508" s="873"/>
      <c r="AQ508" s="873"/>
      <c r="AR508" s="873"/>
      <c r="AS508" s="873"/>
      <c r="AT508" s="873"/>
      <c r="AU508" s="873"/>
      <c r="AV508" s="873"/>
    </row>
    <row r="509" spans="1:48" ht="11.25" customHeight="1" x14ac:dyDescent="0.2">
      <c r="A509" s="873"/>
      <c r="B509" s="873"/>
      <c r="C509" s="873"/>
      <c r="D509" s="873"/>
      <c r="E509" s="873"/>
      <c r="F509" s="873"/>
      <c r="G509" s="873"/>
      <c r="H509" s="873"/>
      <c r="I509" s="873"/>
      <c r="J509" s="873"/>
      <c r="K509" s="873"/>
      <c r="L509" s="873"/>
      <c r="M509" s="873"/>
      <c r="N509" s="873"/>
      <c r="O509" s="873"/>
      <c r="P509" s="873"/>
      <c r="Q509" s="873"/>
      <c r="R509" s="873"/>
      <c r="S509" s="873"/>
      <c r="T509" s="873"/>
      <c r="U509" s="873"/>
      <c r="V509" s="873"/>
      <c r="W509" s="873"/>
      <c r="X509" s="873"/>
      <c r="Y509" s="873"/>
      <c r="Z509" s="873"/>
      <c r="AA509" s="873"/>
      <c r="AB509" s="873"/>
      <c r="AC509" s="873"/>
      <c r="AD509" s="873"/>
      <c r="AE509" s="873"/>
      <c r="AF509" s="873"/>
      <c r="AG509" s="873"/>
      <c r="AH509" s="873"/>
      <c r="AI509" s="873"/>
      <c r="AJ509" s="873"/>
      <c r="AK509" s="873"/>
      <c r="AL509" s="873"/>
      <c r="AM509" s="873"/>
      <c r="AN509" s="873"/>
      <c r="AO509" s="873"/>
      <c r="AP509" s="873"/>
      <c r="AQ509" s="873"/>
      <c r="AR509" s="873"/>
      <c r="AS509" s="873"/>
      <c r="AT509" s="873"/>
      <c r="AU509" s="873"/>
      <c r="AV509" s="873"/>
    </row>
    <row r="510" spans="1:48" ht="11.25" customHeight="1" x14ac:dyDescent="0.2">
      <c r="A510" s="873"/>
      <c r="B510" s="873"/>
      <c r="C510" s="873"/>
      <c r="D510" s="873"/>
      <c r="E510" s="873"/>
      <c r="F510" s="873"/>
      <c r="G510" s="873"/>
      <c r="H510" s="873"/>
      <c r="I510" s="873"/>
      <c r="J510" s="873"/>
      <c r="K510" s="873"/>
      <c r="L510" s="873"/>
      <c r="M510" s="873"/>
      <c r="N510" s="873"/>
      <c r="O510" s="873"/>
      <c r="P510" s="873"/>
      <c r="Q510" s="873"/>
      <c r="R510" s="873"/>
      <c r="S510" s="873"/>
      <c r="T510" s="873"/>
      <c r="U510" s="873"/>
      <c r="V510" s="873"/>
      <c r="W510" s="873"/>
      <c r="X510" s="873"/>
      <c r="Y510" s="873"/>
      <c r="Z510" s="873"/>
      <c r="AA510" s="873"/>
      <c r="AB510" s="873"/>
      <c r="AC510" s="873"/>
      <c r="AD510" s="873"/>
      <c r="AE510" s="873"/>
      <c r="AF510" s="873"/>
      <c r="AG510" s="873"/>
      <c r="AH510" s="873"/>
      <c r="AI510" s="873"/>
      <c r="AJ510" s="873"/>
      <c r="AK510" s="873"/>
      <c r="AL510" s="873"/>
      <c r="AM510" s="873"/>
      <c r="AN510" s="873"/>
      <c r="AO510" s="873"/>
      <c r="AP510" s="873"/>
      <c r="AQ510" s="873"/>
      <c r="AR510" s="873"/>
      <c r="AS510" s="873"/>
      <c r="AT510" s="873"/>
      <c r="AU510" s="873"/>
      <c r="AV510" s="873"/>
    </row>
    <row r="511" spans="1:48" ht="11.25" customHeight="1" x14ac:dyDescent="0.2">
      <c r="A511" s="873"/>
      <c r="B511" s="873"/>
      <c r="C511" s="873"/>
      <c r="D511" s="873"/>
      <c r="E511" s="873"/>
      <c r="F511" s="873"/>
      <c r="G511" s="873"/>
      <c r="H511" s="873"/>
      <c r="I511" s="873"/>
      <c r="J511" s="873"/>
      <c r="K511" s="873"/>
      <c r="L511" s="873"/>
      <c r="M511" s="873"/>
      <c r="N511" s="873"/>
      <c r="O511" s="873"/>
      <c r="P511" s="873"/>
      <c r="Q511" s="873"/>
      <c r="R511" s="873"/>
      <c r="S511" s="873"/>
      <c r="T511" s="873"/>
      <c r="U511" s="873"/>
      <c r="V511" s="873"/>
      <c r="W511" s="873"/>
      <c r="X511" s="873"/>
      <c r="Y511" s="873"/>
      <c r="Z511" s="873"/>
      <c r="AA511" s="873"/>
      <c r="AB511" s="873"/>
      <c r="AC511" s="873"/>
      <c r="AD511" s="873"/>
      <c r="AE511" s="873"/>
      <c r="AF511" s="873"/>
      <c r="AG511" s="873"/>
      <c r="AH511" s="873"/>
      <c r="AI511" s="873"/>
      <c r="AJ511" s="873"/>
      <c r="AK511" s="873"/>
      <c r="AL511" s="873"/>
      <c r="AM511" s="873"/>
      <c r="AN511" s="873"/>
      <c r="AO511" s="873"/>
      <c r="AP511" s="873"/>
      <c r="AQ511" s="873"/>
      <c r="AR511" s="873"/>
      <c r="AS511" s="873"/>
      <c r="AT511" s="873"/>
      <c r="AU511" s="873"/>
      <c r="AV511" s="873"/>
    </row>
    <row r="512" spans="1:48" ht="11.25" customHeight="1" x14ac:dyDescent="0.2">
      <c r="A512" s="873"/>
      <c r="B512" s="873"/>
      <c r="C512" s="873"/>
      <c r="D512" s="873"/>
      <c r="E512" s="873"/>
      <c r="F512" s="873"/>
      <c r="G512" s="873"/>
      <c r="H512" s="873"/>
      <c r="I512" s="873"/>
      <c r="J512" s="873"/>
      <c r="K512" s="873"/>
      <c r="L512" s="873"/>
      <c r="M512" s="873"/>
      <c r="N512" s="873"/>
      <c r="O512" s="873"/>
      <c r="P512" s="873"/>
      <c r="Q512" s="873"/>
      <c r="R512" s="873"/>
      <c r="S512" s="873"/>
      <c r="T512" s="873"/>
      <c r="U512" s="873"/>
      <c r="V512" s="873"/>
      <c r="W512" s="873"/>
      <c r="X512" s="873"/>
      <c r="Y512" s="873"/>
      <c r="Z512" s="873"/>
      <c r="AA512" s="873"/>
      <c r="AB512" s="873"/>
      <c r="AC512" s="873"/>
      <c r="AD512" s="873"/>
      <c r="AE512" s="873"/>
      <c r="AF512" s="873"/>
      <c r="AG512" s="873"/>
      <c r="AH512" s="873"/>
      <c r="AI512" s="873"/>
      <c r="AJ512" s="873"/>
      <c r="AK512" s="873"/>
      <c r="AL512" s="873"/>
      <c r="AM512" s="873"/>
      <c r="AN512" s="873"/>
      <c r="AO512" s="873"/>
      <c r="AP512" s="873"/>
      <c r="AQ512" s="873"/>
      <c r="AR512" s="873"/>
      <c r="AS512" s="873"/>
      <c r="AT512" s="873"/>
      <c r="AU512" s="873"/>
      <c r="AV512" s="873"/>
    </row>
    <row r="513" spans="1:48" ht="11.25" customHeight="1" x14ac:dyDescent="0.2">
      <c r="A513" s="873"/>
      <c r="B513" s="873"/>
      <c r="C513" s="873"/>
      <c r="D513" s="873"/>
      <c r="E513" s="873"/>
      <c r="F513" s="873"/>
      <c r="G513" s="873"/>
      <c r="H513" s="873"/>
      <c r="I513" s="873"/>
      <c r="J513" s="873"/>
      <c r="K513" s="873"/>
      <c r="L513" s="873"/>
      <c r="M513" s="873"/>
      <c r="N513" s="873"/>
      <c r="O513" s="873"/>
      <c r="P513" s="873"/>
      <c r="Q513" s="873"/>
      <c r="R513" s="873"/>
      <c r="S513" s="873"/>
      <c r="T513" s="873"/>
      <c r="U513" s="873"/>
      <c r="V513" s="873"/>
      <c r="W513" s="873"/>
      <c r="X513" s="873"/>
      <c r="Y513" s="873"/>
      <c r="Z513" s="873"/>
      <c r="AA513" s="873"/>
      <c r="AB513" s="873"/>
      <c r="AC513" s="873"/>
      <c r="AD513" s="873"/>
      <c r="AE513" s="873"/>
      <c r="AF513" s="873"/>
      <c r="AG513" s="873"/>
      <c r="AH513" s="873"/>
      <c r="AI513" s="873"/>
      <c r="AJ513" s="873"/>
      <c r="AK513" s="873"/>
      <c r="AL513" s="873"/>
      <c r="AM513" s="873"/>
      <c r="AN513" s="873"/>
      <c r="AO513" s="873"/>
      <c r="AP513" s="873"/>
      <c r="AQ513" s="873"/>
      <c r="AR513" s="873"/>
      <c r="AS513" s="873"/>
      <c r="AT513" s="873"/>
      <c r="AU513" s="873"/>
      <c r="AV513" s="873"/>
    </row>
    <row r="514" spans="1:48" ht="11.25" customHeight="1" x14ac:dyDescent="0.2">
      <c r="A514" s="873"/>
      <c r="B514" s="873"/>
      <c r="C514" s="873"/>
      <c r="D514" s="873"/>
      <c r="E514" s="873"/>
      <c r="F514" s="873"/>
      <c r="G514" s="873"/>
      <c r="H514" s="873"/>
      <c r="I514" s="873"/>
      <c r="J514" s="873"/>
      <c r="K514" s="873"/>
      <c r="L514" s="873"/>
      <c r="M514" s="873"/>
      <c r="N514" s="873"/>
      <c r="O514" s="873"/>
      <c r="P514" s="873"/>
      <c r="Q514" s="873"/>
      <c r="R514" s="873"/>
      <c r="S514" s="873"/>
      <c r="T514" s="873"/>
      <c r="U514" s="873"/>
      <c r="V514" s="873"/>
      <c r="W514" s="873"/>
      <c r="X514" s="873"/>
      <c r="Y514" s="873"/>
      <c r="Z514" s="873"/>
      <c r="AA514" s="873"/>
      <c r="AB514" s="873"/>
      <c r="AC514" s="873"/>
      <c r="AD514" s="873"/>
      <c r="AE514" s="873"/>
      <c r="AF514" s="873"/>
      <c r="AG514" s="873"/>
      <c r="AH514" s="873"/>
      <c r="AI514" s="873"/>
      <c r="AJ514" s="873"/>
      <c r="AK514" s="873"/>
      <c r="AL514" s="873"/>
      <c r="AM514" s="873"/>
      <c r="AN514" s="873"/>
      <c r="AO514" s="873"/>
      <c r="AP514" s="873"/>
      <c r="AQ514" s="873"/>
      <c r="AR514" s="873"/>
      <c r="AS514" s="873"/>
      <c r="AT514" s="873"/>
      <c r="AU514" s="873"/>
      <c r="AV514" s="873"/>
    </row>
    <row r="515" spans="1:48" ht="11.25" customHeight="1" x14ac:dyDescent="0.2">
      <c r="A515" s="873"/>
      <c r="B515" s="873"/>
      <c r="C515" s="873"/>
      <c r="D515" s="873"/>
      <c r="E515" s="873"/>
      <c r="F515" s="873"/>
      <c r="G515" s="873"/>
      <c r="H515" s="873"/>
      <c r="I515" s="873"/>
      <c r="J515" s="873"/>
      <c r="K515" s="873"/>
      <c r="L515" s="873"/>
      <c r="M515" s="873"/>
      <c r="N515" s="873"/>
      <c r="O515" s="873"/>
      <c r="P515" s="873"/>
      <c r="Q515" s="873"/>
      <c r="R515" s="873"/>
      <c r="S515" s="873"/>
      <c r="T515" s="873"/>
      <c r="U515" s="873"/>
      <c r="V515" s="873"/>
      <c r="W515" s="873"/>
      <c r="X515" s="873"/>
      <c r="Y515" s="873"/>
      <c r="Z515" s="873"/>
      <c r="AA515" s="873"/>
      <c r="AB515" s="873"/>
      <c r="AC515" s="873"/>
      <c r="AD515" s="873"/>
      <c r="AE515" s="873"/>
      <c r="AF515" s="873"/>
      <c r="AG515" s="873"/>
      <c r="AH515" s="873"/>
      <c r="AI515" s="873"/>
      <c r="AJ515" s="873"/>
      <c r="AK515" s="873"/>
      <c r="AL515" s="873"/>
      <c r="AM515" s="873"/>
      <c r="AN515" s="873"/>
      <c r="AO515" s="873"/>
      <c r="AP515" s="873"/>
      <c r="AQ515" s="873"/>
      <c r="AR515" s="873"/>
      <c r="AS515" s="873"/>
      <c r="AT515" s="873"/>
      <c r="AU515" s="873"/>
      <c r="AV515" s="873"/>
    </row>
    <row r="516" spans="1:48" ht="11.25" customHeight="1" x14ac:dyDescent="0.2">
      <c r="A516" s="873"/>
      <c r="B516" s="873"/>
      <c r="C516" s="873"/>
      <c r="D516" s="873"/>
      <c r="E516" s="873"/>
      <c r="F516" s="873"/>
      <c r="G516" s="873"/>
      <c r="H516" s="873"/>
      <c r="I516" s="873"/>
      <c r="J516" s="873"/>
      <c r="K516" s="873"/>
      <c r="L516" s="873"/>
      <c r="M516" s="873"/>
      <c r="N516" s="873"/>
      <c r="O516" s="873"/>
      <c r="P516" s="873"/>
      <c r="Q516" s="873"/>
      <c r="R516" s="873"/>
      <c r="S516" s="873"/>
      <c r="T516" s="873"/>
      <c r="U516" s="873"/>
      <c r="V516" s="873"/>
      <c r="W516" s="873"/>
      <c r="X516" s="873"/>
      <c r="Y516" s="873"/>
      <c r="Z516" s="873"/>
      <c r="AA516" s="873"/>
      <c r="AB516" s="873"/>
      <c r="AC516" s="873"/>
      <c r="AD516" s="873"/>
      <c r="AE516" s="873"/>
      <c r="AF516" s="873"/>
      <c r="AG516" s="873"/>
      <c r="AH516" s="873"/>
      <c r="AI516" s="873"/>
      <c r="AJ516" s="873"/>
      <c r="AK516" s="873"/>
      <c r="AL516" s="873"/>
      <c r="AM516" s="873"/>
      <c r="AN516" s="873"/>
      <c r="AO516" s="873"/>
      <c r="AP516" s="873"/>
      <c r="AQ516" s="873"/>
      <c r="AR516" s="873"/>
      <c r="AS516" s="873"/>
      <c r="AT516" s="873"/>
      <c r="AU516" s="873"/>
      <c r="AV516" s="873"/>
    </row>
    <row r="517" spans="1:48" ht="11.25" customHeight="1" x14ac:dyDescent="0.2">
      <c r="A517" s="873"/>
      <c r="B517" s="873"/>
      <c r="C517" s="873"/>
      <c r="D517" s="873"/>
      <c r="E517" s="873"/>
      <c r="F517" s="873"/>
      <c r="G517" s="873"/>
      <c r="H517" s="873"/>
      <c r="I517" s="873"/>
      <c r="J517" s="873"/>
      <c r="K517" s="873"/>
      <c r="L517" s="873"/>
      <c r="M517" s="873"/>
      <c r="N517" s="873"/>
      <c r="O517" s="873"/>
      <c r="P517" s="873"/>
      <c r="Q517" s="873"/>
      <c r="R517" s="873"/>
      <c r="S517" s="873"/>
      <c r="T517" s="873"/>
      <c r="U517" s="873"/>
      <c r="V517" s="873"/>
      <c r="W517" s="873"/>
      <c r="X517" s="873"/>
      <c r="Y517" s="873"/>
      <c r="Z517" s="873"/>
      <c r="AA517" s="873"/>
      <c r="AB517" s="873"/>
      <c r="AC517" s="873"/>
      <c r="AD517" s="873"/>
      <c r="AE517" s="873"/>
      <c r="AF517" s="873"/>
      <c r="AG517" s="873"/>
      <c r="AH517" s="873"/>
      <c r="AI517" s="873"/>
      <c r="AJ517" s="873"/>
      <c r="AK517" s="873"/>
      <c r="AL517" s="873"/>
      <c r="AM517" s="873"/>
      <c r="AN517" s="873"/>
      <c r="AO517" s="873"/>
      <c r="AP517" s="873"/>
      <c r="AQ517" s="873"/>
      <c r="AR517" s="873"/>
      <c r="AS517" s="873"/>
      <c r="AT517" s="873"/>
      <c r="AU517" s="873"/>
      <c r="AV517" s="873"/>
    </row>
    <row r="518" spans="1:48" ht="11.25" customHeight="1" x14ac:dyDescent="0.2">
      <c r="A518" s="873"/>
      <c r="B518" s="873"/>
      <c r="C518" s="873"/>
      <c r="D518" s="873"/>
      <c r="E518" s="873"/>
      <c r="F518" s="873"/>
      <c r="G518" s="873"/>
      <c r="H518" s="873"/>
      <c r="I518" s="873"/>
      <c r="J518" s="873"/>
      <c r="K518" s="873"/>
      <c r="L518" s="873"/>
      <c r="M518" s="873"/>
      <c r="N518" s="873"/>
      <c r="O518" s="873"/>
      <c r="P518" s="873"/>
      <c r="Q518" s="873"/>
      <c r="R518" s="873"/>
      <c r="S518" s="873"/>
      <c r="T518" s="873"/>
      <c r="U518" s="873"/>
      <c r="V518" s="873"/>
      <c r="W518" s="873"/>
      <c r="X518" s="873"/>
      <c r="Y518" s="873"/>
      <c r="Z518" s="873"/>
      <c r="AA518" s="873"/>
      <c r="AB518" s="873"/>
      <c r="AC518" s="873"/>
      <c r="AD518" s="873"/>
      <c r="AE518" s="873"/>
      <c r="AF518" s="873"/>
      <c r="AG518" s="873"/>
      <c r="AH518" s="873"/>
      <c r="AI518" s="873"/>
      <c r="AJ518" s="873"/>
      <c r="AK518" s="873"/>
      <c r="AL518" s="873"/>
      <c r="AM518" s="873"/>
      <c r="AN518" s="873"/>
      <c r="AO518" s="873"/>
      <c r="AP518" s="873"/>
      <c r="AQ518" s="873"/>
      <c r="AR518" s="873"/>
      <c r="AS518" s="873"/>
      <c r="AT518" s="873"/>
      <c r="AU518" s="873"/>
      <c r="AV518" s="873"/>
    </row>
    <row r="519" spans="1:48" ht="11.25" customHeight="1" x14ac:dyDescent="0.2">
      <c r="A519" s="873"/>
      <c r="B519" s="873"/>
      <c r="C519" s="873"/>
      <c r="D519" s="873"/>
      <c r="E519" s="873"/>
      <c r="F519" s="873"/>
      <c r="G519" s="873"/>
      <c r="H519" s="873"/>
      <c r="I519" s="873"/>
      <c r="J519" s="873"/>
      <c r="K519" s="873"/>
      <c r="L519" s="873"/>
      <c r="M519" s="873"/>
      <c r="N519" s="873"/>
      <c r="O519" s="873"/>
      <c r="P519" s="873"/>
      <c r="Q519" s="873"/>
      <c r="R519" s="873"/>
      <c r="S519" s="873"/>
      <c r="T519" s="873"/>
      <c r="U519" s="873"/>
      <c r="V519" s="873"/>
      <c r="W519" s="873"/>
      <c r="X519" s="873"/>
      <c r="Y519" s="873"/>
      <c r="Z519" s="873"/>
      <c r="AA519" s="873"/>
      <c r="AB519" s="873"/>
      <c r="AC519" s="873"/>
      <c r="AD519" s="873"/>
      <c r="AE519" s="873"/>
      <c r="AF519" s="873"/>
      <c r="AG519" s="873"/>
      <c r="AH519" s="873"/>
      <c r="AI519" s="873"/>
      <c r="AJ519" s="873"/>
      <c r="AK519" s="873"/>
      <c r="AL519" s="873"/>
      <c r="AM519" s="873"/>
      <c r="AN519" s="873"/>
      <c r="AO519" s="873"/>
      <c r="AP519" s="873"/>
      <c r="AQ519" s="873"/>
      <c r="AR519" s="873"/>
      <c r="AS519" s="873"/>
      <c r="AT519" s="873"/>
      <c r="AU519" s="873"/>
      <c r="AV519" s="873"/>
    </row>
    <row r="520" spans="1:48" ht="11.25" customHeight="1" x14ac:dyDescent="0.2">
      <c r="A520" s="873"/>
      <c r="B520" s="873"/>
      <c r="C520" s="873"/>
      <c r="D520" s="873"/>
      <c r="E520" s="873"/>
      <c r="F520" s="873"/>
      <c r="G520" s="873"/>
      <c r="H520" s="873"/>
      <c r="I520" s="873"/>
      <c r="J520" s="873"/>
      <c r="K520" s="873"/>
      <c r="L520" s="873"/>
      <c r="M520" s="873"/>
      <c r="N520" s="873"/>
      <c r="O520" s="873"/>
      <c r="P520" s="873"/>
      <c r="Q520" s="873"/>
      <c r="R520" s="873"/>
      <c r="S520" s="873"/>
      <c r="T520" s="873"/>
      <c r="U520" s="873"/>
      <c r="V520" s="873"/>
      <c r="W520" s="873"/>
      <c r="X520" s="873"/>
      <c r="Y520" s="873"/>
      <c r="Z520" s="873"/>
      <c r="AA520" s="873"/>
      <c r="AB520" s="873"/>
      <c r="AC520" s="873"/>
      <c r="AD520" s="873"/>
      <c r="AE520" s="873"/>
      <c r="AF520" s="873"/>
      <c r="AG520" s="873"/>
      <c r="AH520" s="873"/>
      <c r="AI520" s="873"/>
      <c r="AJ520" s="873"/>
      <c r="AK520" s="873"/>
      <c r="AL520" s="873"/>
      <c r="AM520" s="873"/>
      <c r="AN520" s="873"/>
      <c r="AO520" s="873"/>
      <c r="AP520" s="873"/>
      <c r="AQ520" s="873"/>
      <c r="AR520" s="873"/>
      <c r="AS520" s="873"/>
      <c r="AT520" s="873"/>
      <c r="AU520" s="873"/>
      <c r="AV520" s="873"/>
    </row>
    <row r="521" spans="1:48" ht="11.25" customHeight="1" x14ac:dyDescent="0.2">
      <c r="A521" s="873"/>
      <c r="B521" s="873"/>
      <c r="C521" s="873"/>
      <c r="D521" s="873"/>
      <c r="E521" s="873"/>
      <c r="F521" s="873"/>
      <c r="G521" s="873"/>
      <c r="H521" s="873"/>
      <c r="I521" s="873"/>
      <c r="J521" s="873"/>
      <c r="K521" s="873"/>
      <c r="L521" s="873"/>
      <c r="M521" s="873"/>
      <c r="N521" s="873"/>
      <c r="O521" s="873"/>
      <c r="P521" s="873"/>
      <c r="Q521" s="873"/>
      <c r="R521" s="873"/>
      <c r="S521" s="873"/>
      <c r="T521" s="873"/>
      <c r="U521" s="873"/>
      <c r="V521" s="873"/>
      <c r="W521" s="873"/>
      <c r="X521" s="873"/>
      <c r="Y521" s="873"/>
      <c r="Z521" s="873"/>
      <c r="AA521" s="873"/>
      <c r="AB521" s="873"/>
      <c r="AC521" s="873"/>
      <c r="AD521" s="873"/>
      <c r="AE521" s="873"/>
      <c r="AF521" s="873"/>
      <c r="AG521" s="873"/>
      <c r="AH521" s="873"/>
      <c r="AI521" s="873"/>
      <c r="AJ521" s="873"/>
      <c r="AK521" s="873"/>
      <c r="AL521" s="873"/>
      <c r="AM521" s="873"/>
      <c r="AN521" s="873"/>
      <c r="AO521" s="873"/>
      <c r="AP521" s="873"/>
      <c r="AQ521" s="873"/>
      <c r="AR521" s="873"/>
      <c r="AS521" s="873"/>
      <c r="AT521" s="873"/>
      <c r="AU521" s="873"/>
      <c r="AV521" s="873"/>
    </row>
    <row r="522" spans="1:48" ht="11.25" customHeight="1" x14ac:dyDescent="0.2">
      <c r="A522" s="873"/>
      <c r="B522" s="873"/>
      <c r="C522" s="873"/>
      <c r="D522" s="873"/>
      <c r="E522" s="873"/>
      <c r="F522" s="873"/>
      <c r="G522" s="873"/>
      <c r="H522" s="873"/>
      <c r="I522" s="873"/>
      <c r="J522" s="873"/>
      <c r="K522" s="873"/>
      <c r="L522" s="873"/>
      <c r="M522" s="873"/>
      <c r="N522" s="873"/>
      <c r="O522" s="873"/>
      <c r="P522" s="873"/>
      <c r="Q522" s="873"/>
      <c r="R522" s="873"/>
      <c r="S522" s="873"/>
      <c r="T522" s="873"/>
      <c r="U522" s="873"/>
      <c r="V522" s="873"/>
      <c r="W522" s="873"/>
      <c r="X522" s="873"/>
      <c r="Y522" s="873"/>
      <c r="Z522" s="873"/>
      <c r="AA522" s="873"/>
      <c r="AB522" s="873"/>
      <c r="AC522" s="873"/>
      <c r="AD522" s="873"/>
      <c r="AE522" s="873"/>
      <c r="AF522" s="873"/>
      <c r="AG522" s="873"/>
      <c r="AH522" s="873"/>
      <c r="AI522" s="873"/>
      <c r="AJ522" s="873"/>
      <c r="AK522" s="873"/>
      <c r="AL522" s="873"/>
      <c r="AM522" s="873"/>
      <c r="AN522" s="873"/>
      <c r="AO522" s="873"/>
      <c r="AP522" s="873"/>
      <c r="AQ522" s="873"/>
      <c r="AR522" s="873"/>
      <c r="AS522" s="873"/>
      <c r="AT522" s="873"/>
      <c r="AU522" s="873"/>
      <c r="AV522" s="873"/>
    </row>
    <row r="523" spans="1:48" ht="11.25" customHeight="1" x14ac:dyDescent="0.2">
      <c r="A523" s="873"/>
      <c r="B523" s="873"/>
      <c r="C523" s="873"/>
      <c r="D523" s="873"/>
      <c r="E523" s="873"/>
      <c r="F523" s="873"/>
      <c r="G523" s="873"/>
      <c r="H523" s="873"/>
      <c r="I523" s="873"/>
      <c r="J523" s="873"/>
      <c r="K523" s="873"/>
      <c r="L523" s="873"/>
      <c r="M523" s="873"/>
      <c r="N523" s="873"/>
      <c r="O523" s="873"/>
      <c r="P523" s="873"/>
      <c r="Q523" s="873"/>
      <c r="R523" s="873"/>
      <c r="S523" s="873"/>
      <c r="T523" s="873"/>
      <c r="U523" s="873"/>
      <c r="V523" s="873"/>
      <c r="W523" s="873"/>
      <c r="X523" s="873"/>
      <c r="Y523" s="873"/>
      <c r="Z523" s="873"/>
      <c r="AA523" s="873"/>
      <c r="AB523" s="873"/>
      <c r="AC523" s="873"/>
      <c r="AD523" s="873"/>
      <c r="AE523" s="873"/>
      <c r="AF523" s="873"/>
      <c r="AG523" s="873"/>
      <c r="AH523" s="873"/>
      <c r="AI523" s="873"/>
      <c r="AJ523" s="873"/>
      <c r="AK523" s="873"/>
      <c r="AL523" s="873"/>
      <c r="AM523" s="873"/>
      <c r="AN523" s="873"/>
      <c r="AO523" s="873"/>
      <c r="AP523" s="873"/>
      <c r="AQ523" s="873"/>
      <c r="AR523" s="873"/>
      <c r="AS523" s="873"/>
      <c r="AT523" s="873"/>
      <c r="AU523" s="873"/>
      <c r="AV523" s="873"/>
    </row>
    <row r="524" spans="1:48" ht="11.25" customHeight="1" x14ac:dyDescent="0.2">
      <c r="A524" s="873"/>
      <c r="B524" s="873"/>
      <c r="C524" s="873"/>
      <c r="D524" s="873"/>
      <c r="E524" s="873"/>
      <c r="F524" s="873"/>
      <c r="G524" s="873"/>
      <c r="H524" s="873"/>
      <c r="I524" s="873"/>
      <c r="J524" s="873"/>
      <c r="K524" s="873"/>
      <c r="L524" s="873"/>
      <c r="M524" s="873"/>
      <c r="N524" s="873"/>
      <c r="O524" s="873"/>
      <c r="P524" s="873"/>
      <c r="Q524" s="873"/>
      <c r="R524" s="873"/>
      <c r="S524" s="873"/>
      <c r="T524" s="873"/>
      <c r="U524" s="873"/>
      <c r="V524" s="873"/>
      <c r="W524" s="873"/>
      <c r="X524" s="873"/>
      <c r="Y524" s="873"/>
      <c r="Z524" s="873"/>
      <c r="AA524" s="873"/>
      <c r="AB524" s="873"/>
      <c r="AC524" s="873"/>
      <c r="AD524" s="873"/>
      <c r="AE524" s="873"/>
      <c r="AF524" s="873"/>
      <c r="AG524" s="873"/>
      <c r="AH524" s="873"/>
      <c r="AI524" s="873"/>
      <c r="AJ524" s="873"/>
      <c r="AK524" s="873"/>
      <c r="AL524" s="873"/>
      <c r="AM524" s="873"/>
      <c r="AN524" s="873"/>
      <c r="AO524" s="873"/>
      <c r="AP524" s="873"/>
      <c r="AQ524" s="873"/>
      <c r="AR524" s="873"/>
      <c r="AS524" s="873"/>
      <c r="AT524" s="873"/>
      <c r="AU524" s="873"/>
      <c r="AV524" s="873"/>
    </row>
    <row r="525" spans="1:48" ht="11.25" customHeight="1" x14ac:dyDescent="0.2">
      <c r="A525" s="873"/>
      <c r="B525" s="873"/>
      <c r="C525" s="873"/>
      <c r="D525" s="873"/>
      <c r="E525" s="873"/>
      <c r="F525" s="873"/>
      <c r="G525" s="873"/>
      <c r="H525" s="873"/>
      <c r="I525" s="873"/>
      <c r="J525" s="873"/>
      <c r="K525" s="873"/>
      <c r="L525" s="873"/>
      <c r="M525" s="873"/>
      <c r="N525" s="873"/>
      <c r="O525" s="873"/>
      <c r="P525" s="873"/>
      <c r="Q525" s="873"/>
      <c r="R525" s="873"/>
      <c r="S525" s="873"/>
      <c r="T525" s="873"/>
      <c r="U525" s="873"/>
      <c r="V525" s="873"/>
      <c r="W525" s="873"/>
      <c r="X525" s="873"/>
      <c r="Y525" s="873"/>
      <c r="Z525" s="873"/>
      <c r="AA525" s="873"/>
      <c r="AB525" s="873"/>
      <c r="AC525" s="873"/>
      <c r="AD525" s="873"/>
      <c r="AE525" s="873"/>
      <c r="AF525" s="873"/>
      <c r="AG525" s="873"/>
      <c r="AH525" s="873"/>
      <c r="AI525" s="873"/>
      <c r="AJ525" s="873"/>
      <c r="AK525" s="873"/>
      <c r="AL525" s="873"/>
      <c r="AM525" s="873"/>
      <c r="AN525" s="873"/>
      <c r="AO525" s="873"/>
      <c r="AP525" s="873"/>
      <c r="AQ525" s="873"/>
      <c r="AR525" s="873"/>
      <c r="AS525" s="873"/>
      <c r="AT525" s="873"/>
      <c r="AU525" s="873"/>
      <c r="AV525" s="873"/>
    </row>
    <row r="526" spans="1:48" ht="11.25" customHeight="1" x14ac:dyDescent="0.2">
      <c r="A526" s="873"/>
      <c r="B526" s="873"/>
      <c r="C526" s="873"/>
      <c r="D526" s="873"/>
      <c r="E526" s="873"/>
      <c r="F526" s="873"/>
      <c r="G526" s="873"/>
      <c r="H526" s="873"/>
      <c r="I526" s="873"/>
      <c r="J526" s="873"/>
      <c r="K526" s="873"/>
      <c r="L526" s="873"/>
      <c r="M526" s="873"/>
      <c r="N526" s="873"/>
      <c r="O526" s="873"/>
      <c r="P526" s="873"/>
      <c r="Q526" s="873"/>
      <c r="R526" s="873"/>
      <c r="S526" s="873"/>
      <c r="T526" s="873"/>
      <c r="U526" s="873"/>
      <c r="V526" s="873"/>
      <c r="W526" s="873"/>
      <c r="X526" s="873"/>
      <c r="Y526" s="873"/>
      <c r="Z526" s="873"/>
      <c r="AA526" s="873"/>
      <c r="AB526" s="873"/>
      <c r="AC526" s="873"/>
      <c r="AD526" s="873"/>
      <c r="AE526" s="873"/>
      <c r="AF526" s="873"/>
      <c r="AG526" s="873"/>
      <c r="AH526" s="873"/>
      <c r="AI526" s="873"/>
      <c r="AJ526" s="873"/>
      <c r="AK526" s="873"/>
      <c r="AL526" s="873"/>
      <c r="AM526" s="873"/>
      <c r="AN526" s="873"/>
      <c r="AO526" s="873"/>
      <c r="AP526" s="873"/>
      <c r="AQ526" s="873"/>
      <c r="AR526" s="873"/>
      <c r="AS526" s="873"/>
      <c r="AT526" s="873"/>
      <c r="AU526" s="873"/>
      <c r="AV526" s="873"/>
    </row>
    <row r="527" spans="1:48" ht="11.25" customHeight="1" x14ac:dyDescent="0.2">
      <c r="A527" s="873"/>
      <c r="B527" s="873"/>
      <c r="C527" s="873"/>
      <c r="D527" s="873"/>
      <c r="E527" s="873"/>
      <c r="F527" s="873"/>
      <c r="G527" s="873"/>
      <c r="H527" s="873"/>
      <c r="I527" s="873"/>
      <c r="J527" s="873"/>
      <c r="K527" s="873"/>
      <c r="L527" s="873"/>
      <c r="M527" s="873"/>
      <c r="N527" s="873"/>
      <c r="O527" s="873"/>
      <c r="P527" s="873"/>
      <c r="Q527" s="873"/>
      <c r="R527" s="873"/>
      <c r="S527" s="873"/>
      <c r="T527" s="873"/>
      <c r="U527" s="873"/>
      <c r="V527" s="873"/>
      <c r="W527" s="873"/>
      <c r="X527" s="873"/>
      <c r="Y527" s="873"/>
      <c r="Z527" s="873"/>
      <c r="AA527" s="873"/>
      <c r="AB527" s="873"/>
      <c r="AC527" s="873"/>
      <c r="AD527" s="873"/>
      <c r="AE527" s="873"/>
      <c r="AF527" s="873"/>
      <c r="AG527" s="873"/>
      <c r="AH527" s="873"/>
      <c r="AI527" s="873"/>
      <c r="AJ527" s="873"/>
      <c r="AK527" s="873"/>
      <c r="AL527" s="873"/>
      <c r="AM527" s="873"/>
      <c r="AN527" s="873"/>
      <c r="AO527" s="873"/>
      <c r="AP527" s="873"/>
      <c r="AQ527" s="873"/>
      <c r="AR527" s="873"/>
      <c r="AS527" s="873"/>
      <c r="AT527" s="873"/>
      <c r="AU527" s="873"/>
      <c r="AV527" s="873"/>
    </row>
    <row r="528" spans="1:48" ht="11.25" customHeight="1" x14ac:dyDescent="0.2">
      <c r="A528" s="873"/>
      <c r="B528" s="873"/>
      <c r="C528" s="873"/>
      <c r="D528" s="873"/>
      <c r="E528" s="873"/>
      <c r="F528" s="873"/>
      <c r="G528" s="873"/>
      <c r="H528" s="873"/>
      <c r="I528" s="873"/>
      <c r="J528" s="873"/>
      <c r="K528" s="873"/>
      <c r="L528" s="873"/>
      <c r="M528" s="873"/>
      <c r="N528" s="873"/>
      <c r="O528" s="873"/>
      <c r="P528" s="873"/>
      <c r="Q528" s="873"/>
      <c r="R528" s="873"/>
      <c r="S528" s="873"/>
      <c r="T528" s="873"/>
      <c r="U528" s="873"/>
      <c r="V528" s="873"/>
      <c r="W528" s="873"/>
      <c r="X528" s="873"/>
      <c r="Y528" s="873"/>
      <c r="Z528" s="873"/>
      <c r="AA528" s="873"/>
      <c r="AB528" s="873"/>
      <c r="AC528" s="873"/>
      <c r="AD528" s="873"/>
      <c r="AE528" s="873"/>
      <c r="AF528" s="873"/>
      <c r="AG528" s="873"/>
      <c r="AH528" s="873"/>
      <c r="AI528" s="873"/>
      <c r="AJ528" s="873"/>
      <c r="AK528" s="873"/>
      <c r="AL528" s="873"/>
      <c r="AM528" s="873"/>
      <c r="AN528" s="873"/>
      <c r="AO528" s="873"/>
      <c r="AP528" s="873"/>
      <c r="AQ528" s="873"/>
      <c r="AR528" s="873"/>
      <c r="AS528" s="873"/>
      <c r="AT528" s="873"/>
      <c r="AU528" s="873"/>
      <c r="AV528" s="873"/>
    </row>
    <row r="529" spans="1:48" ht="11.25" customHeight="1" x14ac:dyDescent="0.2">
      <c r="A529" s="873"/>
      <c r="B529" s="873"/>
      <c r="C529" s="873"/>
      <c r="D529" s="873"/>
      <c r="E529" s="873"/>
      <c r="F529" s="873"/>
      <c r="G529" s="873"/>
      <c r="H529" s="873"/>
      <c r="I529" s="873"/>
      <c r="J529" s="873"/>
      <c r="K529" s="873"/>
      <c r="L529" s="873"/>
      <c r="M529" s="873"/>
      <c r="N529" s="873"/>
      <c r="O529" s="873"/>
      <c r="P529" s="873"/>
      <c r="Q529" s="873"/>
      <c r="R529" s="873"/>
      <c r="S529" s="873"/>
      <c r="T529" s="873"/>
      <c r="U529" s="873"/>
      <c r="V529" s="873"/>
      <c r="W529" s="873"/>
      <c r="X529" s="873"/>
      <c r="Y529" s="873"/>
      <c r="Z529" s="873"/>
      <c r="AA529" s="873"/>
      <c r="AB529" s="873"/>
      <c r="AC529" s="873"/>
      <c r="AD529" s="873"/>
      <c r="AE529" s="873"/>
      <c r="AF529" s="873"/>
      <c r="AG529" s="873"/>
      <c r="AH529" s="873"/>
      <c r="AI529" s="873"/>
      <c r="AJ529" s="873"/>
      <c r="AK529" s="873"/>
      <c r="AL529" s="873"/>
      <c r="AM529" s="873"/>
      <c r="AN529" s="873"/>
      <c r="AO529" s="873"/>
      <c r="AP529" s="873"/>
      <c r="AQ529" s="873"/>
      <c r="AR529" s="873"/>
      <c r="AS529" s="873"/>
      <c r="AT529" s="873"/>
      <c r="AU529" s="873"/>
      <c r="AV529" s="873"/>
    </row>
    <row r="530" spans="1:48" ht="11.25" customHeight="1" x14ac:dyDescent="0.2">
      <c r="A530" s="873"/>
      <c r="B530" s="873"/>
      <c r="C530" s="873"/>
      <c r="D530" s="873"/>
      <c r="E530" s="873"/>
      <c r="F530" s="873"/>
      <c r="G530" s="873"/>
      <c r="H530" s="873"/>
      <c r="I530" s="873"/>
      <c r="J530" s="873"/>
      <c r="K530" s="873"/>
      <c r="L530" s="873"/>
      <c r="M530" s="873"/>
      <c r="N530" s="873"/>
      <c r="O530" s="873"/>
      <c r="P530" s="873"/>
      <c r="Q530" s="873"/>
      <c r="R530" s="873"/>
      <c r="S530" s="873"/>
      <c r="T530" s="873"/>
      <c r="U530" s="873"/>
      <c r="V530" s="873"/>
      <c r="W530" s="873"/>
      <c r="X530" s="873"/>
      <c r="Y530" s="873"/>
      <c r="Z530" s="873"/>
      <c r="AA530" s="873"/>
      <c r="AB530" s="873"/>
      <c r="AC530" s="873"/>
      <c r="AD530" s="873"/>
      <c r="AE530" s="873"/>
      <c r="AF530" s="873"/>
      <c r="AG530" s="873"/>
      <c r="AH530" s="873"/>
      <c r="AI530" s="873"/>
      <c r="AJ530" s="873"/>
      <c r="AK530" s="873"/>
      <c r="AL530" s="873"/>
      <c r="AM530" s="873"/>
      <c r="AN530" s="873"/>
      <c r="AO530" s="873"/>
      <c r="AP530" s="873"/>
      <c r="AQ530" s="873"/>
      <c r="AR530" s="873"/>
      <c r="AS530" s="873"/>
      <c r="AT530" s="873"/>
      <c r="AU530" s="873"/>
      <c r="AV530" s="873"/>
    </row>
    <row r="531" spans="1:48" ht="11.25" customHeight="1" x14ac:dyDescent="0.2">
      <c r="A531" s="873"/>
      <c r="B531" s="873"/>
      <c r="C531" s="873"/>
      <c r="D531" s="873"/>
      <c r="E531" s="873"/>
      <c r="F531" s="873"/>
      <c r="G531" s="873"/>
      <c r="H531" s="873"/>
      <c r="I531" s="873"/>
      <c r="J531" s="873"/>
      <c r="K531" s="873"/>
      <c r="L531" s="873"/>
      <c r="M531" s="873"/>
      <c r="N531" s="873"/>
      <c r="O531" s="873"/>
      <c r="P531" s="873"/>
      <c r="Q531" s="873"/>
      <c r="R531" s="873"/>
      <c r="S531" s="873"/>
      <c r="T531" s="873"/>
      <c r="U531" s="873"/>
      <c r="V531" s="873"/>
      <c r="W531" s="873"/>
      <c r="X531" s="873"/>
      <c r="Y531" s="873"/>
      <c r="Z531" s="873"/>
      <c r="AA531" s="873"/>
      <c r="AB531" s="873"/>
      <c r="AC531" s="873"/>
      <c r="AD531" s="873"/>
      <c r="AE531" s="873"/>
      <c r="AF531" s="873"/>
      <c r="AG531" s="873"/>
      <c r="AH531" s="873"/>
      <c r="AI531" s="873"/>
      <c r="AJ531" s="873"/>
      <c r="AK531" s="873"/>
      <c r="AL531" s="873"/>
      <c r="AM531" s="873"/>
      <c r="AN531" s="873"/>
      <c r="AO531" s="873"/>
      <c r="AP531" s="873"/>
      <c r="AQ531" s="873"/>
      <c r="AR531" s="873"/>
      <c r="AS531" s="873"/>
      <c r="AT531" s="873"/>
      <c r="AU531" s="873"/>
      <c r="AV531" s="873"/>
    </row>
    <row r="532" spans="1:48" ht="11.25" customHeight="1" x14ac:dyDescent="0.2">
      <c r="A532" s="873"/>
      <c r="B532" s="873"/>
      <c r="C532" s="873"/>
      <c r="D532" s="873"/>
      <c r="E532" s="873"/>
      <c r="F532" s="873"/>
      <c r="G532" s="873"/>
      <c r="H532" s="873"/>
      <c r="I532" s="873"/>
      <c r="J532" s="873"/>
      <c r="K532" s="873"/>
      <c r="L532" s="873"/>
      <c r="M532" s="873"/>
      <c r="N532" s="873"/>
      <c r="O532" s="873"/>
      <c r="P532" s="873"/>
      <c r="Q532" s="873"/>
      <c r="R532" s="873"/>
      <c r="S532" s="873"/>
      <c r="T532" s="873"/>
      <c r="U532" s="873"/>
      <c r="V532" s="873"/>
      <c r="W532" s="873"/>
      <c r="X532" s="873"/>
      <c r="Y532" s="873"/>
      <c r="Z532" s="873"/>
      <c r="AA532" s="873"/>
      <c r="AB532" s="873"/>
      <c r="AC532" s="873"/>
      <c r="AD532" s="873"/>
      <c r="AE532" s="873"/>
      <c r="AF532" s="873"/>
      <c r="AG532" s="873"/>
      <c r="AH532" s="873"/>
      <c r="AI532" s="873"/>
      <c r="AJ532" s="873"/>
      <c r="AK532" s="873"/>
      <c r="AL532" s="873"/>
      <c r="AM532" s="873"/>
      <c r="AN532" s="873"/>
      <c r="AO532" s="873"/>
      <c r="AP532" s="873"/>
      <c r="AQ532" s="873"/>
      <c r="AR532" s="873"/>
      <c r="AS532" s="873"/>
      <c r="AT532" s="873"/>
      <c r="AU532" s="873"/>
      <c r="AV532" s="873"/>
    </row>
    <row r="533" spans="1:48" ht="11.25" customHeight="1" x14ac:dyDescent="0.2">
      <c r="A533" s="873"/>
      <c r="B533" s="873"/>
      <c r="C533" s="873"/>
      <c r="D533" s="873"/>
      <c r="E533" s="873"/>
      <c r="F533" s="873"/>
      <c r="G533" s="873"/>
      <c r="H533" s="873"/>
      <c r="I533" s="873"/>
      <c r="J533" s="873"/>
      <c r="K533" s="873"/>
      <c r="L533" s="873"/>
      <c r="M533" s="873"/>
      <c r="N533" s="873"/>
      <c r="O533" s="873"/>
      <c r="P533" s="873"/>
      <c r="Q533" s="873"/>
      <c r="R533" s="873"/>
      <c r="S533" s="873"/>
      <c r="T533" s="873"/>
      <c r="U533" s="873"/>
      <c r="V533" s="873"/>
      <c r="W533" s="873"/>
      <c r="X533" s="873"/>
      <c r="Y533" s="873"/>
      <c r="Z533" s="873"/>
      <c r="AA533" s="873"/>
      <c r="AB533" s="873"/>
      <c r="AC533" s="873"/>
      <c r="AD533" s="873"/>
      <c r="AE533" s="873"/>
      <c r="AF533" s="873"/>
      <c r="AG533" s="873"/>
      <c r="AH533" s="873"/>
      <c r="AI533" s="873"/>
      <c r="AJ533" s="873"/>
      <c r="AK533" s="873"/>
      <c r="AL533" s="873"/>
      <c r="AM533" s="873"/>
      <c r="AN533" s="873"/>
      <c r="AO533" s="873"/>
      <c r="AP533" s="873"/>
      <c r="AQ533" s="873"/>
      <c r="AR533" s="873"/>
      <c r="AS533" s="873"/>
      <c r="AT533" s="873"/>
      <c r="AU533" s="873"/>
      <c r="AV533" s="873"/>
    </row>
    <row r="534" spans="1:48" ht="11.25" customHeight="1" x14ac:dyDescent="0.2">
      <c r="A534" s="873"/>
      <c r="B534" s="873"/>
      <c r="C534" s="873"/>
      <c r="D534" s="873"/>
      <c r="E534" s="873"/>
      <c r="F534" s="873"/>
      <c r="G534" s="873"/>
      <c r="H534" s="873"/>
      <c r="I534" s="873"/>
      <c r="J534" s="873"/>
      <c r="K534" s="873"/>
      <c r="L534" s="873"/>
      <c r="M534" s="873"/>
      <c r="N534" s="873"/>
      <c r="O534" s="873"/>
      <c r="P534" s="873"/>
      <c r="Q534" s="873"/>
      <c r="R534" s="873"/>
      <c r="S534" s="873"/>
      <c r="T534" s="873"/>
      <c r="U534" s="873"/>
      <c r="V534" s="873"/>
      <c r="W534" s="873"/>
      <c r="X534" s="873"/>
      <c r="Y534" s="873"/>
      <c r="Z534" s="873"/>
      <c r="AA534" s="873"/>
      <c r="AB534" s="873"/>
      <c r="AC534" s="873"/>
      <c r="AD534" s="873"/>
      <c r="AE534" s="873"/>
      <c r="AF534" s="873"/>
      <c r="AG534" s="873"/>
      <c r="AH534" s="873"/>
      <c r="AI534" s="873"/>
      <c r="AJ534" s="873"/>
      <c r="AK534" s="873"/>
      <c r="AL534" s="873"/>
      <c r="AM534" s="873"/>
      <c r="AN534" s="873"/>
      <c r="AO534" s="873"/>
      <c r="AP534" s="873"/>
      <c r="AQ534" s="873"/>
      <c r="AR534" s="873"/>
      <c r="AS534" s="873"/>
      <c r="AT534" s="873"/>
      <c r="AU534" s="873"/>
      <c r="AV534" s="873"/>
    </row>
    <row r="535" spans="1:48" ht="11.25" customHeight="1" x14ac:dyDescent="0.2">
      <c r="A535" s="873"/>
      <c r="B535" s="873"/>
      <c r="C535" s="873"/>
      <c r="D535" s="873"/>
      <c r="E535" s="873"/>
      <c r="F535" s="873"/>
      <c r="G535" s="873"/>
      <c r="H535" s="873"/>
      <c r="I535" s="873"/>
      <c r="J535" s="873"/>
      <c r="K535" s="873"/>
      <c r="L535" s="873"/>
      <c r="M535" s="873"/>
      <c r="N535" s="873"/>
      <c r="O535" s="873"/>
      <c r="P535" s="873"/>
      <c r="Q535" s="873"/>
      <c r="R535" s="873"/>
      <c r="S535" s="873"/>
      <c r="T535" s="873"/>
      <c r="U535" s="873"/>
      <c r="V535" s="873"/>
      <c r="W535" s="873"/>
      <c r="X535" s="873"/>
      <c r="Y535" s="873"/>
      <c r="Z535" s="873"/>
      <c r="AA535" s="873"/>
      <c r="AB535" s="873"/>
      <c r="AC535" s="873"/>
      <c r="AD535" s="873"/>
      <c r="AE535" s="873"/>
      <c r="AF535" s="873"/>
      <c r="AG535" s="873"/>
      <c r="AH535" s="873"/>
      <c r="AI535" s="873"/>
      <c r="AJ535" s="873"/>
      <c r="AK535" s="873"/>
      <c r="AL535" s="873"/>
      <c r="AM535" s="873"/>
      <c r="AN535" s="873"/>
      <c r="AO535" s="873"/>
      <c r="AP535" s="873"/>
      <c r="AQ535" s="873"/>
      <c r="AR535" s="873"/>
      <c r="AS535" s="873"/>
      <c r="AT535" s="873"/>
      <c r="AU535" s="873"/>
      <c r="AV535" s="873"/>
    </row>
    <row r="536" spans="1:48" ht="11.25" customHeight="1" x14ac:dyDescent="0.2">
      <c r="A536" s="873"/>
      <c r="B536" s="873"/>
      <c r="C536" s="873"/>
      <c r="D536" s="873"/>
      <c r="E536" s="873"/>
      <c r="F536" s="873"/>
      <c r="G536" s="873"/>
      <c r="H536" s="873"/>
      <c r="I536" s="873"/>
      <c r="J536" s="873"/>
      <c r="K536" s="873"/>
      <c r="L536" s="873"/>
      <c r="M536" s="873"/>
      <c r="N536" s="873"/>
      <c r="O536" s="873"/>
      <c r="P536" s="873"/>
      <c r="Q536" s="873"/>
      <c r="R536" s="873"/>
      <c r="S536" s="873"/>
      <c r="T536" s="873"/>
      <c r="U536" s="873"/>
      <c r="V536" s="873"/>
      <c r="W536" s="873"/>
      <c r="X536" s="873"/>
      <c r="Y536" s="873"/>
      <c r="Z536" s="873"/>
      <c r="AA536" s="873"/>
      <c r="AB536" s="873"/>
      <c r="AC536" s="873"/>
      <c r="AD536" s="873"/>
      <c r="AE536" s="873"/>
      <c r="AF536" s="873"/>
      <c r="AG536" s="873"/>
      <c r="AH536" s="873"/>
      <c r="AI536" s="873"/>
      <c r="AJ536" s="873"/>
      <c r="AK536" s="873"/>
      <c r="AL536" s="873"/>
      <c r="AM536" s="873"/>
      <c r="AN536" s="873"/>
      <c r="AO536" s="873"/>
      <c r="AP536" s="873"/>
      <c r="AQ536" s="873"/>
      <c r="AR536" s="873"/>
      <c r="AS536" s="873"/>
      <c r="AT536" s="873"/>
      <c r="AU536" s="873"/>
      <c r="AV536" s="873"/>
    </row>
    <row r="537" spans="1:48" ht="11.25" customHeight="1" x14ac:dyDescent="0.2">
      <c r="A537" s="873"/>
      <c r="B537" s="873"/>
      <c r="C537" s="873"/>
      <c r="D537" s="873"/>
      <c r="E537" s="873"/>
      <c r="F537" s="873"/>
      <c r="G537" s="873"/>
      <c r="H537" s="873"/>
      <c r="I537" s="873"/>
      <c r="J537" s="873"/>
      <c r="K537" s="873"/>
      <c r="L537" s="873"/>
      <c r="M537" s="873"/>
      <c r="N537" s="873"/>
      <c r="O537" s="873"/>
      <c r="P537" s="873"/>
      <c r="Q537" s="873"/>
      <c r="R537" s="873"/>
      <c r="S537" s="873"/>
      <c r="T537" s="873"/>
      <c r="U537" s="873"/>
      <c r="V537" s="873"/>
      <c r="W537" s="873"/>
      <c r="X537" s="873"/>
      <c r="Y537" s="873"/>
      <c r="Z537" s="873"/>
      <c r="AA537" s="873"/>
      <c r="AB537" s="873"/>
      <c r="AC537" s="873"/>
      <c r="AD537" s="873"/>
      <c r="AE537" s="873"/>
      <c r="AF537" s="873"/>
      <c r="AG537" s="873"/>
      <c r="AH537" s="873"/>
      <c r="AI537" s="873"/>
      <c r="AJ537" s="873"/>
      <c r="AK537" s="873"/>
      <c r="AL537" s="873"/>
      <c r="AM537" s="873"/>
      <c r="AN537" s="873"/>
      <c r="AO537" s="873"/>
      <c r="AP537" s="873"/>
      <c r="AQ537" s="873"/>
      <c r="AR537" s="873"/>
      <c r="AS537" s="873"/>
      <c r="AT537" s="873"/>
      <c r="AU537" s="873"/>
      <c r="AV537" s="873"/>
    </row>
    <row r="538" spans="1:48" ht="11.25" customHeight="1" x14ac:dyDescent="0.2">
      <c r="A538" s="873"/>
      <c r="B538" s="873"/>
      <c r="C538" s="873"/>
      <c r="D538" s="873"/>
      <c r="E538" s="873"/>
      <c r="F538" s="873"/>
      <c r="G538" s="873"/>
      <c r="H538" s="873"/>
      <c r="I538" s="873"/>
      <c r="J538" s="873"/>
      <c r="K538" s="873"/>
      <c r="L538" s="873"/>
      <c r="M538" s="873"/>
      <c r="N538" s="873"/>
      <c r="O538" s="873"/>
      <c r="P538" s="873"/>
      <c r="Q538" s="873"/>
      <c r="R538" s="873"/>
      <c r="S538" s="873"/>
      <c r="T538" s="873"/>
      <c r="U538" s="873"/>
      <c r="V538" s="873"/>
      <c r="W538" s="873"/>
      <c r="X538" s="873"/>
      <c r="Y538" s="873"/>
      <c r="Z538" s="873"/>
      <c r="AA538" s="873"/>
      <c r="AB538" s="873"/>
      <c r="AC538" s="873"/>
      <c r="AD538" s="873"/>
      <c r="AE538" s="873"/>
      <c r="AF538" s="873"/>
      <c r="AG538" s="873"/>
      <c r="AH538" s="873"/>
      <c r="AI538" s="873"/>
      <c r="AJ538" s="873"/>
      <c r="AK538" s="873"/>
      <c r="AL538" s="873"/>
      <c r="AM538" s="873"/>
      <c r="AN538" s="873"/>
      <c r="AO538" s="873"/>
      <c r="AP538" s="873"/>
      <c r="AQ538" s="873"/>
      <c r="AR538" s="873"/>
      <c r="AS538" s="873"/>
      <c r="AT538" s="873"/>
      <c r="AU538" s="873"/>
      <c r="AV538" s="873"/>
    </row>
    <row r="539" spans="1:48" ht="11.25" customHeight="1" x14ac:dyDescent="0.2">
      <c r="A539" s="873"/>
      <c r="B539" s="873"/>
      <c r="C539" s="873"/>
      <c r="D539" s="873"/>
      <c r="E539" s="873"/>
      <c r="F539" s="873"/>
      <c r="G539" s="873"/>
      <c r="H539" s="873"/>
      <c r="I539" s="873"/>
      <c r="J539" s="873"/>
      <c r="K539" s="873"/>
      <c r="L539" s="873"/>
      <c r="M539" s="873"/>
      <c r="N539" s="873"/>
      <c r="O539" s="873"/>
      <c r="P539" s="873"/>
      <c r="Q539" s="873"/>
      <c r="R539" s="873"/>
      <c r="S539" s="873"/>
      <c r="T539" s="873"/>
      <c r="U539" s="873"/>
      <c r="V539" s="873"/>
      <c r="W539" s="873"/>
      <c r="X539" s="873"/>
      <c r="Y539" s="873"/>
      <c r="Z539" s="873"/>
      <c r="AA539" s="873"/>
      <c r="AB539" s="873"/>
      <c r="AC539" s="873"/>
      <c r="AD539" s="873"/>
      <c r="AE539" s="873"/>
      <c r="AF539" s="873"/>
      <c r="AG539" s="873"/>
      <c r="AH539" s="873"/>
      <c r="AI539" s="873"/>
      <c r="AJ539" s="873"/>
      <c r="AK539" s="873"/>
      <c r="AL539" s="873"/>
      <c r="AM539" s="873"/>
      <c r="AN539" s="873"/>
      <c r="AO539" s="873"/>
      <c r="AP539" s="873"/>
      <c r="AQ539" s="873"/>
      <c r="AR539" s="873"/>
      <c r="AS539" s="873"/>
      <c r="AT539" s="873"/>
      <c r="AU539" s="873"/>
      <c r="AV539" s="873"/>
    </row>
    <row r="540" spans="1:48" ht="11.25" customHeight="1" x14ac:dyDescent="0.2">
      <c r="A540" s="873"/>
      <c r="B540" s="873"/>
      <c r="C540" s="873"/>
      <c r="D540" s="873"/>
      <c r="E540" s="873"/>
      <c r="F540" s="873"/>
      <c r="G540" s="873"/>
      <c r="H540" s="873"/>
      <c r="I540" s="873"/>
      <c r="J540" s="873"/>
      <c r="K540" s="873"/>
      <c r="L540" s="873"/>
      <c r="M540" s="873"/>
      <c r="N540" s="873"/>
      <c r="O540" s="873"/>
      <c r="P540" s="873"/>
      <c r="Q540" s="873"/>
      <c r="R540" s="873"/>
      <c r="S540" s="873"/>
      <c r="T540" s="873"/>
      <c r="U540" s="873"/>
      <c r="V540" s="873"/>
      <c r="W540" s="873"/>
      <c r="X540" s="873"/>
      <c r="Y540" s="873"/>
      <c r="Z540" s="873"/>
      <c r="AA540" s="873"/>
      <c r="AB540" s="873"/>
      <c r="AC540" s="873"/>
      <c r="AD540" s="873"/>
      <c r="AE540" s="873"/>
      <c r="AF540" s="873"/>
      <c r="AG540" s="873"/>
      <c r="AH540" s="873"/>
      <c r="AI540" s="873"/>
      <c r="AJ540" s="873"/>
      <c r="AK540" s="873"/>
      <c r="AL540" s="873"/>
      <c r="AM540" s="873"/>
      <c r="AN540" s="873"/>
      <c r="AO540" s="873"/>
      <c r="AP540" s="873"/>
      <c r="AQ540" s="873"/>
      <c r="AR540" s="873"/>
      <c r="AS540" s="873"/>
      <c r="AT540" s="873"/>
      <c r="AU540" s="873"/>
      <c r="AV540" s="873"/>
    </row>
    <row r="541" spans="1:48" ht="11.25" customHeight="1" x14ac:dyDescent="0.2">
      <c r="A541" s="873"/>
      <c r="B541" s="873"/>
      <c r="C541" s="873"/>
      <c r="D541" s="873"/>
      <c r="E541" s="873"/>
      <c r="F541" s="873"/>
      <c r="G541" s="873"/>
      <c r="H541" s="873"/>
      <c r="I541" s="873"/>
      <c r="J541" s="873"/>
      <c r="K541" s="873"/>
      <c r="L541" s="873"/>
      <c r="M541" s="873"/>
      <c r="N541" s="873"/>
      <c r="O541" s="873"/>
      <c r="P541" s="873"/>
      <c r="Q541" s="873"/>
      <c r="R541" s="873"/>
      <c r="S541" s="873"/>
      <c r="T541" s="873"/>
      <c r="U541" s="873"/>
      <c r="V541" s="873"/>
      <c r="W541" s="873"/>
      <c r="X541" s="873"/>
      <c r="Y541" s="873"/>
      <c r="Z541" s="873"/>
      <c r="AA541" s="873"/>
      <c r="AB541" s="873"/>
      <c r="AC541" s="873"/>
      <c r="AD541" s="873"/>
      <c r="AE541" s="873"/>
      <c r="AF541" s="873"/>
      <c r="AG541" s="873"/>
      <c r="AH541" s="873"/>
      <c r="AI541" s="873"/>
      <c r="AJ541" s="873"/>
      <c r="AK541" s="873"/>
      <c r="AL541" s="873"/>
      <c r="AM541" s="873"/>
      <c r="AN541" s="873"/>
      <c r="AO541" s="873"/>
      <c r="AP541" s="873"/>
      <c r="AQ541" s="873"/>
      <c r="AR541" s="873"/>
      <c r="AS541" s="873"/>
      <c r="AT541" s="873"/>
      <c r="AU541" s="873"/>
      <c r="AV541" s="873"/>
    </row>
    <row r="542" spans="1:48" ht="11.25" customHeight="1" x14ac:dyDescent="0.2">
      <c r="A542" s="873"/>
      <c r="B542" s="873"/>
      <c r="C542" s="873"/>
      <c r="D542" s="873"/>
      <c r="E542" s="873"/>
      <c r="F542" s="873"/>
      <c r="G542" s="873"/>
      <c r="H542" s="873"/>
      <c r="I542" s="873"/>
      <c r="J542" s="873"/>
      <c r="K542" s="873"/>
      <c r="L542" s="873"/>
      <c r="M542" s="873"/>
      <c r="N542" s="873"/>
      <c r="O542" s="873"/>
      <c r="P542" s="873"/>
      <c r="Q542" s="873"/>
      <c r="R542" s="873"/>
      <c r="S542" s="873"/>
      <c r="T542" s="873"/>
      <c r="U542" s="873"/>
      <c r="V542" s="873"/>
      <c r="W542" s="873"/>
      <c r="X542" s="873"/>
      <c r="Y542" s="873"/>
      <c r="Z542" s="873"/>
      <c r="AA542" s="873"/>
      <c r="AB542" s="873"/>
      <c r="AC542" s="873"/>
      <c r="AD542" s="873"/>
      <c r="AE542" s="873"/>
      <c r="AF542" s="873"/>
      <c r="AG542" s="873"/>
      <c r="AH542" s="873"/>
      <c r="AI542" s="873"/>
      <c r="AJ542" s="873"/>
      <c r="AK542" s="873"/>
      <c r="AL542" s="873"/>
      <c r="AM542" s="873"/>
      <c r="AN542" s="873"/>
      <c r="AO542" s="873"/>
      <c r="AP542" s="873"/>
      <c r="AQ542" s="873"/>
      <c r="AR542" s="873"/>
      <c r="AS542" s="873"/>
      <c r="AT542" s="873"/>
      <c r="AU542" s="873"/>
      <c r="AV542" s="873"/>
    </row>
    <row r="543" spans="1:48" ht="11.25" customHeight="1" x14ac:dyDescent="0.2">
      <c r="A543" s="873"/>
      <c r="B543" s="873"/>
      <c r="C543" s="873"/>
      <c r="D543" s="873"/>
      <c r="E543" s="873"/>
      <c r="F543" s="873"/>
      <c r="G543" s="873"/>
      <c r="H543" s="873"/>
      <c r="I543" s="873"/>
      <c r="J543" s="873"/>
      <c r="K543" s="873"/>
      <c r="L543" s="873"/>
      <c r="M543" s="873"/>
      <c r="N543" s="873"/>
      <c r="O543" s="873"/>
      <c r="P543" s="873"/>
      <c r="Q543" s="873"/>
      <c r="R543" s="873"/>
      <c r="S543" s="873"/>
      <c r="T543" s="873"/>
      <c r="U543" s="873"/>
      <c r="V543" s="873"/>
      <c r="W543" s="873"/>
      <c r="X543" s="873"/>
      <c r="Y543" s="873"/>
      <c r="Z543" s="873"/>
      <c r="AA543" s="873"/>
      <c r="AB543" s="873"/>
      <c r="AC543" s="873"/>
      <c r="AD543" s="873"/>
      <c r="AE543" s="873"/>
      <c r="AF543" s="873"/>
      <c r="AG543" s="873"/>
      <c r="AH543" s="873"/>
      <c r="AI543" s="873"/>
      <c r="AJ543" s="873"/>
      <c r="AK543" s="873"/>
      <c r="AL543" s="873"/>
      <c r="AM543" s="873"/>
      <c r="AN543" s="873"/>
      <c r="AO543" s="873"/>
      <c r="AP543" s="873"/>
      <c r="AQ543" s="873"/>
      <c r="AR543" s="873"/>
      <c r="AS543" s="873"/>
      <c r="AT543" s="873"/>
      <c r="AU543" s="873"/>
      <c r="AV543" s="873"/>
    </row>
    <row r="544" spans="1:48" ht="11.25" customHeight="1" x14ac:dyDescent="0.2">
      <c r="A544" s="873"/>
      <c r="B544" s="873"/>
      <c r="C544" s="873"/>
      <c r="D544" s="873"/>
      <c r="E544" s="873"/>
      <c r="F544" s="873"/>
      <c r="G544" s="873"/>
      <c r="H544" s="873"/>
      <c r="I544" s="873"/>
      <c r="J544" s="873"/>
      <c r="K544" s="873"/>
      <c r="L544" s="873"/>
      <c r="M544" s="873"/>
      <c r="N544" s="873"/>
      <c r="O544" s="873"/>
      <c r="P544" s="873"/>
      <c r="Q544" s="873"/>
      <c r="R544" s="873"/>
      <c r="S544" s="873"/>
      <c r="T544" s="873"/>
      <c r="U544" s="873"/>
      <c r="V544" s="873"/>
      <c r="W544" s="873"/>
      <c r="X544" s="873"/>
      <c r="Y544" s="873"/>
      <c r="Z544" s="873"/>
      <c r="AA544" s="873"/>
      <c r="AB544" s="873"/>
      <c r="AC544" s="873"/>
      <c r="AD544" s="873"/>
      <c r="AE544" s="873"/>
      <c r="AF544" s="873"/>
      <c r="AG544" s="873"/>
      <c r="AH544" s="873"/>
      <c r="AI544" s="873"/>
      <c r="AJ544" s="873"/>
      <c r="AK544" s="873"/>
      <c r="AL544" s="873"/>
      <c r="AM544" s="873"/>
      <c r="AN544" s="873"/>
      <c r="AO544" s="873"/>
      <c r="AP544" s="873"/>
      <c r="AQ544" s="873"/>
      <c r="AR544" s="873"/>
      <c r="AS544" s="873"/>
      <c r="AT544" s="873"/>
      <c r="AU544" s="873"/>
      <c r="AV544" s="873"/>
    </row>
    <row r="545" spans="1:48" ht="11.25" customHeight="1" x14ac:dyDescent="0.2">
      <c r="A545" s="873"/>
      <c r="B545" s="873"/>
      <c r="C545" s="873"/>
      <c r="D545" s="873"/>
      <c r="E545" s="873"/>
      <c r="F545" s="873"/>
      <c r="G545" s="873"/>
      <c r="H545" s="873"/>
      <c r="I545" s="873"/>
      <c r="J545" s="873"/>
      <c r="K545" s="873"/>
      <c r="L545" s="873"/>
      <c r="M545" s="873"/>
      <c r="N545" s="873"/>
      <c r="O545" s="873"/>
      <c r="P545" s="873"/>
      <c r="Q545" s="873"/>
      <c r="R545" s="873"/>
      <c r="S545" s="873"/>
      <c r="T545" s="873"/>
      <c r="U545" s="873"/>
      <c r="V545" s="873"/>
      <c r="W545" s="873"/>
      <c r="X545" s="873"/>
      <c r="Y545" s="873"/>
      <c r="Z545" s="873"/>
      <c r="AA545" s="873"/>
      <c r="AB545" s="873"/>
      <c r="AC545" s="873"/>
      <c r="AD545" s="873"/>
      <c r="AE545" s="873"/>
      <c r="AF545" s="873"/>
      <c r="AG545" s="873"/>
      <c r="AH545" s="873"/>
      <c r="AI545" s="873"/>
      <c r="AJ545" s="873"/>
      <c r="AK545" s="873"/>
      <c r="AL545" s="873"/>
      <c r="AM545" s="873"/>
      <c r="AN545" s="873"/>
      <c r="AO545" s="873"/>
      <c r="AP545" s="873"/>
      <c r="AQ545" s="873"/>
      <c r="AR545" s="873"/>
      <c r="AS545" s="873"/>
      <c r="AT545" s="873"/>
      <c r="AU545" s="873"/>
      <c r="AV545" s="873"/>
    </row>
    <row r="546" spans="1:48" ht="11.25" customHeight="1" x14ac:dyDescent="0.2">
      <c r="A546" s="873"/>
      <c r="B546" s="873"/>
      <c r="C546" s="873"/>
      <c r="D546" s="873"/>
      <c r="E546" s="873"/>
      <c r="F546" s="873"/>
      <c r="G546" s="873"/>
      <c r="H546" s="873"/>
      <c r="I546" s="873"/>
      <c r="J546" s="873"/>
      <c r="K546" s="873"/>
      <c r="L546" s="873"/>
      <c r="M546" s="873"/>
      <c r="N546" s="873"/>
      <c r="O546" s="873"/>
      <c r="P546" s="873"/>
      <c r="Q546" s="873"/>
      <c r="R546" s="873"/>
      <c r="S546" s="873"/>
      <c r="T546" s="873"/>
      <c r="U546" s="873"/>
      <c r="V546" s="873"/>
      <c r="W546" s="873"/>
      <c r="X546" s="873"/>
      <c r="Y546" s="873"/>
      <c r="Z546" s="873"/>
      <c r="AA546" s="873"/>
      <c r="AB546" s="873"/>
      <c r="AC546" s="873"/>
      <c r="AD546" s="873"/>
      <c r="AE546" s="873"/>
      <c r="AF546" s="873"/>
      <c r="AG546" s="873"/>
      <c r="AH546" s="873"/>
      <c r="AI546" s="873"/>
      <c r="AJ546" s="873"/>
      <c r="AK546" s="873"/>
      <c r="AL546" s="873"/>
      <c r="AM546" s="873"/>
      <c r="AN546" s="873"/>
      <c r="AO546" s="873"/>
      <c r="AP546" s="873"/>
      <c r="AQ546" s="873"/>
      <c r="AR546" s="873"/>
      <c r="AS546" s="873"/>
      <c r="AT546" s="873"/>
      <c r="AU546" s="873"/>
      <c r="AV546" s="873"/>
    </row>
    <row r="547" spans="1:48" ht="11.25" customHeight="1" x14ac:dyDescent="0.2">
      <c r="A547" s="873"/>
      <c r="B547" s="873"/>
      <c r="C547" s="873"/>
      <c r="D547" s="873"/>
      <c r="E547" s="873"/>
      <c r="F547" s="873"/>
      <c r="G547" s="873"/>
      <c r="H547" s="873"/>
      <c r="I547" s="873"/>
      <c r="J547" s="873"/>
      <c r="K547" s="873"/>
      <c r="L547" s="873"/>
      <c r="M547" s="873"/>
      <c r="N547" s="873"/>
      <c r="O547" s="873"/>
      <c r="P547" s="873"/>
      <c r="Q547" s="873"/>
      <c r="R547" s="873"/>
      <c r="S547" s="873"/>
      <c r="T547" s="873"/>
      <c r="U547" s="873"/>
      <c r="V547" s="873"/>
      <c r="W547" s="873"/>
      <c r="X547" s="873"/>
      <c r="Y547" s="873"/>
      <c r="Z547" s="873"/>
      <c r="AA547" s="873"/>
      <c r="AB547" s="873"/>
      <c r="AC547" s="873"/>
      <c r="AD547" s="873"/>
      <c r="AE547" s="873"/>
      <c r="AF547" s="873"/>
      <c r="AG547" s="873"/>
      <c r="AH547" s="873"/>
      <c r="AI547" s="873"/>
      <c r="AJ547" s="873"/>
      <c r="AK547" s="873"/>
      <c r="AL547" s="873"/>
      <c r="AM547" s="873"/>
      <c r="AN547" s="873"/>
      <c r="AO547" s="873"/>
      <c r="AP547" s="873"/>
      <c r="AQ547" s="873"/>
      <c r="AR547" s="873"/>
      <c r="AS547" s="873"/>
      <c r="AT547" s="873"/>
      <c r="AU547" s="873"/>
      <c r="AV547" s="873"/>
    </row>
    <row r="548" spans="1:48" ht="11.25" customHeight="1" x14ac:dyDescent="0.2">
      <c r="A548" s="873"/>
      <c r="B548" s="873"/>
      <c r="C548" s="873"/>
      <c r="D548" s="873"/>
      <c r="E548" s="873"/>
      <c r="F548" s="873"/>
      <c r="G548" s="873"/>
      <c r="H548" s="873"/>
      <c r="I548" s="873"/>
      <c r="J548" s="873"/>
      <c r="K548" s="873"/>
      <c r="L548" s="873"/>
      <c r="M548" s="873"/>
      <c r="N548" s="873"/>
      <c r="O548" s="873"/>
      <c r="P548" s="873"/>
      <c r="Q548" s="873"/>
      <c r="R548" s="873"/>
      <c r="S548" s="873"/>
      <c r="T548" s="873"/>
      <c r="U548" s="873"/>
      <c r="V548" s="873"/>
      <c r="W548" s="873"/>
      <c r="X548" s="873"/>
      <c r="Y548" s="873"/>
      <c r="Z548" s="873"/>
      <c r="AA548" s="873"/>
      <c r="AB548" s="873"/>
      <c r="AC548" s="873"/>
      <c r="AD548" s="873"/>
      <c r="AE548" s="873"/>
      <c r="AF548" s="873"/>
      <c r="AG548" s="873"/>
      <c r="AH548" s="873"/>
      <c r="AI548" s="873"/>
      <c r="AJ548" s="873"/>
      <c r="AK548" s="873"/>
      <c r="AL548" s="873"/>
      <c r="AM548" s="873"/>
      <c r="AN548" s="873"/>
      <c r="AO548" s="873"/>
      <c r="AP548" s="873"/>
      <c r="AQ548" s="873"/>
      <c r="AR548" s="873"/>
      <c r="AS548" s="873"/>
      <c r="AT548" s="873"/>
      <c r="AU548" s="873"/>
      <c r="AV548" s="873"/>
    </row>
    <row r="549" spans="1:48" ht="11.25" customHeight="1" x14ac:dyDescent="0.2">
      <c r="A549" s="873"/>
      <c r="B549" s="873"/>
      <c r="C549" s="873"/>
      <c r="D549" s="873"/>
      <c r="E549" s="873"/>
      <c r="F549" s="873"/>
      <c r="G549" s="873"/>
      <c r="H549" s="873"/>
      <c r="I549" s="873"/>
      <c r="J549" s="873"/>
      <c r="K549" s="873"/>
      <c r="L549" s="873"/>
      <c r="M549" s="873"/>
      <c r="N549" s="873"/>
      <c r="O549" s="873"/>
      <c r="P549" s="873"/>
      <c r="Q549" s="873"/>
      <c r="R549" s="873"/>
      <c r="S549" s="873"/>
      <c r="T549" s="873"/>
      <c r="U549" s="873"/>
      <c r="V549" s="873"/>
      <c r="W549" s="873"/>
      <c r="X549" s="873"/>
      <c r="Y549" s="873"/>
      <c r="Z549" s="873"/>
      <c r="AA549" s="873"/>
      <c r="AB549" s="873"/>
      <c r="AC549" s="873"/>
      <c r="AD549" s="873"/>
      <c r="AE549" s="873"/>
      <c r="AF549" s="873"/>
      <c r="AG549" s="873"/>
      <c r="AH549" s="873"/>
      <c r="AI549" s="873"/>
      <c r="AJ549" s="873"/>
      <c r="AK549" s="873"/>
      <c r="AL549" s="873"/>
      <c r="AM549" s="873"/>
      <c r="AN549" s="873"/>
      <c r="AO549" s="873"/>
      <c r="AP549" s="873"/>
      <c r="AQ549" s="873"/>
      <c r="AR549" s="873"/>
      <c r="AS549" s="873"/>
      <c r="AT549" s="873"/>
      <c r="AU549" s="873"/>
      <c r="AV549" s="873"/>
    </row>
    <row r="550" spans="1:48" ht="11.25" customHeight="1" x14ac:dyDescent="0.2">
      <c r="A550" s="873"/>
      <c r="B550" s="873"/>
      <c r="C550" s="873"/>
      <c r="D550" s="873"/>
      <c r="E550" s="873"/>
      <c r="F550" s="873"/>
      <c r="G550" s="873"/>
      <c r="H550" s="873"/>
      <c r="I550" s="873"/>
      <c r="J550" s="873"/>
      <c r="K550" s="873"/>
      <c r="L550" s="873"/>
      <c r="M550" s="873"/>
      <c r="N550" s="873"/>
      <c r="O550" s="873"/>
      <c r="P550" s="873"/>
      <c r="Q550" s="873"/>
      <c r="R550" s="873"/>
      <c r="S550" s="873"/>
      <c r="T550" s="873"/>
      <c r="U550" s="873"/>
      <c r="V550" s="873"/>
      <c r="W550" s="873"/>
      <c r="X550" s="873"/>
      <c r="Y550" s="873"/>
      <c r="Z550" s="873"/>
      <c r="AA550" s="873"/>
      <c r="AB550" s="873"/>
      <c r="AC550" s="873"/>
      <c r="AD550" s="873"/>
      <c r="AE550" s="873"/>
      <c r="AF550" s="873"/>
      <c r="AG550" s="873"/>
      <c r="AH550" s="873"/>
      <c r="AI550" s="873"/>
      <c r="AJ550" s="873"/>
      <c r="AK550" s="873"/>
      <c r="AL550" s="873"/>
      <c r="AM550" s="873"/>
      <c r="AN550" s="873"/>
      <c r="AO550" s="873"/>
      <c r="AP550" s="873"/>
      <c r="AQ550" s="873"/>
      <c r="AR550" s="873"/>
      <c r="AS550" s="873"/>
      <c r="AT550" s="873"/>
      <c r="AU550" s="873"/>
      <c r="AV550" s="873"/>
    </row>
    <row r="551" spans="1:48" ht="11.25" customHeight="1" x14ac:dyDescent="0.2">
      <c r="A551" s="873"/>
      <c r="B551" s="873"/>
      <c r="C551" s="873"/>
      <c r="D551" s="873"/>
      <c r="E551" s="873"/>
      <c r="F551" s="873"/>
      <c r="G551" s="873"/>
      <c r="H551" s="873"/>
      <c r="I551" s="873"/>
      <c r="J551" s="873"/>
      <c r="K551" s="873"/>
      <c r="L551" s="873"/>
      <c r="M551" s="873"/>
      <c r="N551" s="873"/>
      <c r="O551" s="873"/>
      <c r="P551" s="873"/>
      <c r="Q551" s="873"/>
      <c r="R551" s="873"/>
      <c r="S551" s="873"/>
      <c r="T551" s="873"/>
      <c r="U551" s="873"/>
      <c r="V551" s="873"/>
      <c r="W551" s="873"/>
      <c r="X551" s="873"/>
      <c r="Y551" s="873"/>
      <c r="Z551" s="873"/>
      <c r="AA551" s="873"/>
      <c r="AB551" s="873"/>
      <c r="AC551" s="873"/>
      <c r="AD551" s="873"/>
      <c r="AE551" s="873"/>
      <c r="AF551" s="873"/>
      <c r="AG551" s="873"/>
      <c r="AH551" s="873"/>
      <c r="AI551" s="873"/>
      <c r="AJ551" s="873"/>
      <c r="AK551" s="873"/>
      <c r="AL551" s="873"/>
      <c r="AM551" s="873"/>
      <c r="AN551" s="873"/>
      <c r="AO551" s="873"/>
      <c r="AP551" s="873"/>
      <c r="AQ551" s="873"/>
      <c r="AR551" s="873"/>
      <c r="AS551" s="873"/>
      <c r="AT551" s="873"/>
      <c r="AU551" s="873"/>
      <c r="AV551" s="873"/>
    </row>
    <row r="552" spans="1:48" ht="11.25" customHeight="1" x14ac:dyDescent="0.2">
      <c r="A552" s="873"/>
      <c r="B552" s="873"/>
      <c r="C552" s="873"/>
      <c r="D552" s="873"/>
      <c r="E552" s="873"/>
      <c r="F552" s="873"/>
      <c r="G552" s="873"/>
      <c r="H552" s="873"/>
      <c r="I552" s="873"/>
      <c r="J552" s="873"/>
      <c r="K552" s="873"/>
      <c r="L552" s="873"/>
      <c r="M552" s="873"/>
      <c r="N552" s="873"/>
      <c r="O552" s="873"/>
      <c r="P552" s="873"/>
      <c r="Q552" s="873"/>
      <c r="R552" s="873"/>
      <c r="S552" s="873"/>
      <c r="T552" s="873"/>
      <c r="U552" s="873"/>
      <c r="V552" s="873"/>
      <c r="W552" s="873"/>
      <c r="X552" s="873"/>
      <c r="Y552" s="873"/>
      <c r="Z552" s="873"/>
      <c r="AA552" s="873"/>
      <c r="AB552" s="873"/>
      <c r="AC552" s="873"/>
      <c r="AD552" s="873"/>
      <c r="AE552" s="873"/>
      <c r="AF552" s="873"/>
      <c r="AG552" s="873"/>
      <c r="AH552" s="873"/>
      <c r="AI552" s="873"/>
      <c r="AJ552" s="873"/>
      <c r="AK552" s="873"/>
      <c r="AL552" s="873"/>
      <c r="AM552" s="873"/>
      <c r="AN552" s="873"/>
      <c r="AO552" s="873"/>
      <c r="AP552" s="873"/>
      <c r="AQ552" s="873"/>
      <c r="AR552" s="873"/>
      <c r="AS552" s="873"/>
      <c r="AT552" s="873"/>
      <c r="AU552" s="873"/>
      <c r="AV552" s="873"/>
    </row>
    <row r="553" spans="1:48" ht="11.25" customHeight="1" x14ac:dyDescent="0.2">
      <c r="A553" s="873"/>
      <c r="B553" s="873"/>
      <c r="C553" s="873"/>
      <c r="D553" s="873"/>
      <c r="E553" s="873"/>
      <c r="F553" s="873"/>
      <c r="G553" s="873"/>
      <c r="H553" s="873"/>
      <c r="I553" s="873"/>
      <c r="J553" s="873"/>
      <c r="K553" s="873"/>
      <c r="L553" s="873"/>
      <c r="M553" s="873"/>
      <c r="N553" s="873"/>
      <c r="O553" s="873"/>
      <c r="P553" s="873"/>
      <c r="Q553" s="873"/>
      <c r="R553" s="873"/>
      <c r="S553" s="873"/>
      <c r="T553" s="873"/>
      <c r="U553" s="873"/>
      <c r="V553" s="873"/>
      <c r="W553" s="873"/>
      <c r="X553" s="873"/>
      <c r="Y553" s="873"/>
      <c r="Z553" s="873"/>
      <c r="AA553" s="873"/>
      <c r="AB553" s="873"/>
      <c r="AC553" s="873"/>
      <c r="AD553" s="873"/>
      <c r="AE553" s="873"/>
      <c r="AF553" s="873"/>
      <c r="AG553" s="873"/>
      <c r="AH553" s="873"/>
      <c r="AI553" s="873"/>
      <c r="AJ553" s="873"/>
      <c r="AK553" s="873"/>
      <c r="AL553" s="873"/>
      <c r="AM553" s="873"/>
      <c r="AN553" s="873"/>
      <c r="AO553" s="873"/>
      <c r="AP553" s="873"/>
      <c r="AQ553" s="873"/>
      <c r="AR553" s="873"/>
      <c r="AS553" s="873"/>
      <c r="AT553" s="873"/>
      <c r="AU553" s="873"/>
      <c r="AV553" s="873"/>
    </row>
    <row r="554" spans="1:48" ht="11.25" customHeight="1" x14ac:dyDescent="0.2">
      <c r="A554" s="873"/>
      <c r="B554" s="873"/>
      <c r="C554" s="873"/>
      <c r="D554" s="873"/>
      <c r="E554" s="873"/>
      <c r="F554" s="873"/>
      <c r="G554" s="873"/>
      <c r="H554" s="873"/>
      <c r="I554" s="873"/>
      <c r="J554" s="873"/>
      <c r="K554" s="873"/>
      <c r="L554" s="873"/>
      <c r="M554" s="873"/>
      <c r="N554" s="873"/>
      <c r="O554" s="873"/>
      <c r="P554" s="873"/>
      <c r="Q554" s="873"/>
      <c r="R554" s="873"/>
      <c r="S554" s="873"/>
      <c r="T554" s="873"/>
      <c r="U554" s="873"/>
      <c r="V554" s="873"/>
      <c r="W554" s="873"/>
      <c r="X554" s="873"/>
      <c r="Y554" s="873"/>
      <c r="Z554" s="873"/>
      <c r="AA554" s="873"/>
      <c r="AB554" s="873"/>
      <c r="AC554" s="873"/>
      <c r="AD554" s="873"/>
      <c r="AE554" s="873"/>
      <c r="AF554" s="873"/>
      <c r="AG554" s="873"/>
      <c r="AH554" s="873"/>
      <c r="AI554" s="873"/>
      <c r="AJ554" s="873"/>
      <c r="AK554" s="873"/>
      <c r="AL554" s="873"/>
      <c r="AM554" s="873"/>
      <c r="AN554" s="873"/>
      <c r="AO554" s="873"/>
      <c r="AP554" s="873"/>
      <c r="AQ554" s="873"/>
      <c r="AR554" s="873"/>
      <c r="AS554" s="873"/>
      <c r="AT554" s="873"/>
      <c r="AU554" s="873"/>
      <c r="AV554" s="873"/>
    </row>
    <row r="555" spans="1:48" ht="11.25" customHeight="1" x14ac:dyDescent="0.2">
      <c r="A555" s="873"/>
      <c r="B555" s="873"/>
      <c r="C555" s="873"/>
      <c r="D555" s="873"/>
      <c r="E555" s="873"/>
      <c r="F555" s="873"/>
      <c r="G555" s="873"/>
      <c r="H555" s="873"/>
      <c r="I555" s="873"/>
      <c r="J555" s="873"/>
      <c r="K555" s="873"/>
      <c r="L555" s="873"/>
      <c r="M555" s="873"/>
      <c r="N555" s="873"/>
      <c r="O555" s="873"/>
      <c r="P555" s="873"/>
      <c r="Q555" s="873"/>
      <c r="R555" s="873"/>
      <c r="S555" s="873"/>
      <c r="T555" s="873"/>
      <c r="U555" s="873"/>
      <c r="V555" s="873"/>
      <c r="W555" s="873"/>
      <c r="X555" s="873"/>
      <c r="Y555" s="873"/>
      <c r="Z555" s="873"/>
      <c r="AA555" s="873"/>
      <c r="AB555" s="873"/>
      <c r="AC555" s="873"/>
      <c r="AD555" s="873"/>
      <c r="AE555" s="873"/>
      <c r="AF555" s="873"/>
      <c r="AG555" s="873"/>
      <c r="AH555" s="873"/>
      <c r="AI555" s="873"/>
      <c r="AJ555" s="873"/>
      <c r="AK555" s="873"/>
      <c r="AL555" s="873"/>
      <c r="AM555" s="873"/>
      <c r="AN555" s="873"/>
      <c r="AO555" s="873"/>
      <c r="AP555" s="873"/>
      <c r="AQ555" s="873"/>
      <c r="AR555" s="873"/>
      <c r="AS555" s="873"/>
      <c r="AT555" s="873"/>
      <c r="AU555" s="873"/>
      <c r="AV555" s="873"/>
    </row>
    <row r="556" spans="1:48" ht="11.25" customHeight="1" x14ac:dyDescent="0.2">
      <c r="A556" s="873"/>
      <c r="B556" s="873"/>
      <c r="C556" s="873"/>
      <c r="D556" s="873"/>
      <c r="E556" s="873"/>
      <c r="F556" s="873"/>
      <c r="G556" s="873"/>
      <c r="H556" s="873"/>
      <c r="I556" s="873"/>
      <c r="J556" s="873"/>
      <c r="K556" s="873"/>
      <c r="L556" s="873"/>
      <c r="M556" s="873"/>
      <c r="N556" s="873"/>
      <c r="O556" s="873"/>
      <c r="P556" s="873"/>
      <c r="Q556" s="873"/>
      <c r="R556" s="873"/>
      <c r="S556" s="873"/>
      <c r="T556" s="873"/>
      <c r="U556" s="873"/>
      <c r="V556" s="873"/>
      <c r="W556" s="873"/>
      <c r="X556" s="873"/>
      <c r="Y556" s="873"/>
      <c r="Z556" s="873"/>
      <c r="AA556" s="873"/>
      <c r="AB556" s="873"/>
      <c r="AC556" s="873"/>
      <c r="AD556" s="873"/>
      <c r="AE556" s="873"/>
      <c r="AF556" s="873"/>
      <c r="AG556" s="873"/>
      <c r="AH556" s="873"/>
      <c r="AI556" s="873"/>
      <c r="AJ556" s="873"/>
      <c r="AK556" s="873"/>
      <c r="AL556" s="873"/>
      <c r="AM556" s="873"/>
      <c r="AN556" s="873"/>
      <c r="AO556" s="873"/>
      <c r="AP556" s="873"/>
      <c r="AQ556" s="873"/>
      <c r="AR556" s="873"/>
      <c r="AS556" s="873"/>
      <c r="AT556" s="873"/>
      <c r="AU556" s="873"/>
      <c r="AV556" s="873"/>
    </row>
    <row r="557" spans="1:48" ht="11.25" customHeight="1" x14ac:dyDescent="0.2">
      <c r="A557" s="873"/>
      <c r="B557" s="873"/>
      <c r="C557" s="873"/>
      <c r="D557" s="873"/>
      <c r="E557" s="873"/>
      <c r="F557" s="873"/>
      <c r="G557" s="873"/>
      <c r="H557" s="873"/>
      <c r="I557" s="873"/>
      <c r="J557" s="873"/>
      <c r="K557" s="873"/>
      <c r="L557" s="873"/>
      <c r="M557" s="873"/>
      <c r="N557" s="873"/>
      <c r="O557" s="873"/>
      <c r="P557" s="873"/>
      <c r="Q557" s="873"/>
      <c r="R557" s="873"/>
      <c r="S557" s="873"/>
      <c r="T557" s="873"/>
      <c r="U557" s="873"/>
      <c r="V557" s="873"/>
      <c r="W557" s="873"/>
      <c r="X557" s="873"/>
      <c r="Y557" s="873"/>
      <c r="Z557" s="873"/>
      <c r="AA557" s="873"/>
      <c r="AB557" s="873"/>
      <c r="AC557" s="873"/>
      <c r="AD557" s="873"/>
      <c r="AE557" s="873"/>
      <c r="AF557" s="873"/>
      <c r="AG557" s="873"/>
      <c r="AH557" s="873"/>
      <c r="AI557" s="873"/>
      <c r="AJ557" s="873"/>
      <c r="AK557" s="873"/>
      <c r="AL557" s="873"/>
      <c r="AM557" s="873"/>
      <c r="AN557" s="873"/>
      <c r="AO557" s="873"/>
      <c r="AP557" s="873"/>
      <c r="AQ557" s="873"/>
      <c r="AR557" s="873"/>
      <c r="AS557" s="873"/>
      <c r="AT557" s="873"/>
      <c r="AU557" s="873"/>
      <c r="AV557" s="873"/>
    </row>
    <row r="558" spans="1:48" ht="11.25" customHeight="1" x14ac:dyDescent="0.2">
      <c r="A558" s="873"/>
      <c r="B558" s="873"/>
      <c r="C558" s="873"/>
      <c r="D558" s="873"/>
      <c r="E558" s="873"/>
      <c r="F558" s="873"/>
      <c r="G558" s="873"/>
      <c r="H558" s="873"/>
      <c r="I558" s="873"/>
      <c r="J558" s="873"/>
      <c r="K558" s="873"/>
      <c r="L558" s="873"/>
      <c r="M558" s="873"/>
      <c r="N558" s="873"/>
      <c r="O558" s="873"/>
      <c r="P558" s="873"/>
      <c r="Q558" s="873"/>
      <c r="R558" s="873"/>
      <c r="S558" s="873"/>
      <c r="T558" s="873"/>
      <c r="U558" s="873"/>
      <c r="V558" s="873"/>
      <c r="W558" s="873"/>
      <c r="X558" s="873"/>
      <c r="Y558" s="873"/>
      <c r="Z558" s="873"/>
      <c r="AA558" s="873"/>
      <c r="AB558" s="873"/>
      <c r="AC558" s="873"/>
      <c r="AD558" s="873"/>
      <c r="AE558" s="873"/>
      <c r="AF558" s="873"/>
      <c r="AG558" s="873"/>
      <c r="AH558" s="873"/>
      <c r="AI558" s="873"/>
      <c r="AJ558" s="873"/>
      <c r="AK558" s="873"/>
      <c r="AL558" s="873"/>
      <c r="AM558" s="873"/>
      <c r="AN558" s="873"/>
      <c r="AO558" s="873"/>
      <c r="AP558" s="873"/>
      <c r="AQ558" s="873"/>
      <c r="AR558" s="873"/>
      <c r="AS558" s="873"/>
      <c r="AT558" s="873"/>
      <c r="AU558" s="873"/>
      <c r="AV558" s="873"/>
    </row>
    <row r="559" spans="1:48" ht="11.25" customHeight="1" x14ac:dyDescent="0.2">
      <c r="A559" s="873"/>
      <c r="B559" s="873"/>
      <c r="C559" s="873"/>
      <c r="D559" s="873"/>
      <c r="E559" s="873"/>
      <c r="F559" s="873"/>
      <c r="G559" s="873"/>
      <c r="H559" s="873"/>
      <c r="I559" s="873"/>
      <c r="J559" s="873"/>
      <c r="K559" s="873"/>
      <c r="L559" s="873"/>
      <c r="M559" s="873"/>
      <c r="N559" s="873"/>
      <c r="O559" s="873"/>
      <c r="P559" s="873"/>
      <c r="Q559" s="873"/>
      <c r="R559" s="873"/>
      <c r="S559" s="873"/>
      <c r="T559" s="873"/>
      <c r="U559" s="873"/>
      <c r="V559" s="873"/>
      <c r="W559" s="873"/>
      <c r="X559" s="873"/>
      <c r="Y559" s="873"/>
      <c r="Z559" s="873"/>
      <c r="AA559" s="873"/>
      <c r="AB559" s="873"/>
      <c r="AC559" s="873"/>
      <c r="AD559" s="873"/>
      <c r="AE559" s="873"/>
      <c r="AF559" s="873"/>
      <c r="AG559" s="873"/>
      <c r="AH559" s="873"/>
      <c r="AI559" s="873"/>
      <c r="AJ559" s="873"/>
      <c r="AK559" s="873"/>
      <c r="AL559" s="873"/>
      <c r="AM559" s="873"/>
      <c r="AN559" s="873"/>
      <c r="AO559" s="873"/>
      <c r="AP559" s="873"/>
      <c r="AQ559" s="873"/>
      <c r="AR559" s="873"/>
      <c r="AS559" s="873"/>
      <c r="AT559" s="873"/>
      <c r="AU559" s="873"/>
      <c r="AV559" s="873"/>
    </row>
    <row r="560" spans="1:48" ht="11.25" customHeight="1" x14ac:dyDescent="0.2">
      <c r="A560" s="873"/>
      <c r="B560" s="873"/>
      <c r="C560" s="873"/>
      <c r="D560" s="873"/>
      <c r="E560" s="873"/>
      <c r="F560" s="873"/>
      <c r="G560" s="873"/>
      <c r="H560" s="873"/>
      <c r="I560" s="873"/>
      <c r="J560" s="873"/>
      <c r="K560" s="873"/>
      <c r="L560" s="873"/>
      <c r="M560" s="873"/>
      <c r="N560" s="873"/>
      <c r="O560" s="873"/>
      <c r="P560" s="873"/>
      <c r="Q560" s="873"/>
      <c r="R560" s="873"/>
      <c r="S560" s="873"/>
      <c r="T560" s="873"/>
      <c r="U560" s="873"/>
      <c r="V560" s="873"/>
      <c r="W560" s="873"/>
      <c r="X560" s="873"/>
      <c r="Y560" s="873"/>
      <c r="Z560" s="873"/>
      <c r="AA560" s="873"/>
      <c r="AB560" s="873"/>
      <c r="AC560" s="873"/>
      <c r="AD560" s="873"/>
      <c r="AE560" s="873"/>
      <c r="AF560" s="873"/>
      <c r="AG560" s="873"/>
      <c r="AH560" s="873"/>
      <c r="AI560" s="873"/>
      <c r="AJ560" s="873"/>
      <c r="AK560" s="873"/>
      <c r="AL560" s="873"/>
      <c r="AM560" s="873"/>
      <c r="AN560" s="873"/>
      <c r="AO560" s="873"/>
      <c r="AP560" s="873"/>
      <c r="AQ560" s="873"/>
      <c r="AR560" s="873"/>
      <c r="AS560" s="873"/>
      <c r="AT560" s="873"/>
      <c r="AU560" s="873"/>
      <c r="AV560" s="873"/>
    </row>
    <row r="561" spans="1:48" ht="11.25" customHeight="1" x14ac:dyDescent="0.2">
      <c r="A561" s="873"/>
      <c r="B561" s="873"/>
      <c r="C561" s="873"/>
      <c r="D561" s="873"/>
      <c r="E561" s="873"/>
      <c r="F561" s="873"/>
      <c r="G561" s="873"/>
      <c r="H561" s="873"/>
      <c r="I561" s="873"/>
      <c r="J561" s="873"/>
      <c r="K561" s="873"/>
      <c r="L561" s="873"/>
      <c r="M561" s="873"/>
      <c r="N561" s="873"/>
      <c r="O561" s="873"/>
      <c r="P561" s="873"/>
      <c r="Q561" s="873"/>
      <c r="R561" s="873"/>
      <c r="S561" s="873"/>
      <c r="T561" s="873"/>
      <c r="U561" s="873"/>
      <c r="V561" s="873"/>
      <c r="W561" s="873"/>
      <c r="X561" s="873"/>
      <c r="Y561" s="873"/>
      <c r="Z561" s="873"/>
      <c r="AA561" s="873"/>
      <c r="AB561" s="873"/>
      <c r="AC561" s="873"/>
      <c r="AD561" s="873"/>
      <c r="AE561" s="873"/>
      <c r="AF561" s="873"/>
      <c r="AG561" s="873"/>
      <c r="AH561" s="873"/>
      <c r="AI561" s="873"/>
      <c r="AJ561" s="873"/>
      <c r="AK561" s="873"/>
      <c r="AL561" s="873"/>
      <c r="AM561" s="873"/>
      <c r="AN561" s="873"/>
      <c r="AO561" s="873"/>
      <c r="AP561" s="873"/>
      <c r="AQ561" s="873"/>
      <c r="AR561" s="873"/>
      <c r="AS561" s="873"/>
      <c r="AT561" s="873"/>
      <c r="AU561" s="873"/>
      <c r="AV561" s="873"/>
    </row>
    <row r="562" spans="1:48" ht="11.25" customHeight="1" x14ac:dyDescent="0.2">
      <c r="A562" s="873"/>
      <c r="B562" s="873"/>
      <c r="C562" s="873"/>
      <c r="D562" s="873"/>
      <c r="E562" s="873"/>
      <c r="F562" s="873"/>
      <c r="G562" s="873"/>
      <c r="H562" s="873"/>
      <c r="I562" s="873"/>
      <c r="J562" s="873"/>
      <c r="K562" s="873"/>
      <c r="L562" s="873"/>
      <c r="M562" s="873"/>
      <c r="N562" s="873"/>
      <c r="O562" s="873"/>
      <c r="P562" s="873"/>
      <c r="Q562" s="873"/>
      <c r="R562" s="873"/>
      <c r="S562" s="873"/>
      <c r="T562" s="873"/>
      <c r="U562" s="873"/>
      <c r="V562" s="873"/>
      <c r="W562" s="873"/>
      <c r="X562" s="873"/>
      <c r="Y562" s="873"/>
      <c r="Z562" s="873"/>
      <c r="AA562" s="873"/>
      <c r="AB562" s="873"/>
      <c r="AC562" s="873"/>
      <c r="AD562" s="873"/>
      <c r="AE562" s="873"/>
      <c r="AF562" s="873"/>
      <c r="AG562" s="873"/>
      <c r="AH562" s="873"/>
      <c r="AI562" s="873"/>
      <c r="AJ562" s="873"/>
      <c r="AK562" s="873"/>
      <c r="AL562" s="873"/>
      <c r="AM562" s="873"/>
      <c r="AN562" s="873"/>
      <c r="AO562" s="873"/>
      <c r="AP562" s="873"/>
      <c r="AQ562" s="873"/>
      <c r="AR562" s="873"/>
      <c r="AS562" s="873"/>
      <c r="AT562" s="873"/>
      <c r="AU562" s="873"/>
      <c r="AV562" s="873"/>
    </row>
    <row r="563" spans="1:48" ht="11.25" customHeight="1" x14ac:dyDescent="0.2">
      <c r="A563" s="873"/>
      <c r="B563" s="873"/>
      <c r="C563" s="873"/>
      <c r="D563" s="873"/>
      <c r="E563" s="873"/>
      <c r="F563" s="873"/>
      <c r="G563" s="873"/>
      <c r="H563" s="873"/>
      <c r="I563" s="873"/>
      <c r="J563" s="873"/>
      <c r="K563" s="873"/>
      <c r="L563" s="873"/>
      <c r="M563" s="873"/>
      <c r="N563" s="873"/>
      <c r="O563" s="873"/>
      <c r="P563" s="873"/>
      <c r="Q563" s="873"/>
      <c r="R563" s="873"/>
      <c r="S563" s="873"/>
      <c r="T563" s="873"/>
      <c r="U563" s="873"/>
      <c r="V563" s="873"/>
      <c r="W563" s="873"/>
      <c r="X563" s="873"/>
      <c r="Y563" s="873"/>
      <c r="Z563" s="873"/>
      <c r="AA563" s="873"/>
      <c r="AB563" s="873"/>
      <c r="AC563" s="873"/>
      <c r="AD563" s="873"/>
      <c r="AE563" s="873"/>
      <c r="AF563" s="873"/>
      <c r="AG563" s="873"/>
      <c r="AH563" s="873"/>
      <c r="AI563" s="873"/>
      <c r="AJ563" s="873"/>
      <c r="AK563" s="873"/>
      <c r="AL563" s="873"/>
      <c r="AM563" s="873"/>
      <c r="AN563" s="873"/>
      <c r="AO563" s="873"/>
      <c r="AP563" s="873"/>
      <c r="AQ563" s="873"/>
      <c r="AR563" s="873"/>
      <c r="AS563" s="873"/>
      <c r="AT563" s="873"/>
      <c r="AU563" s="873"/>
      <c r="AV563" s="873"/>
    </row>
    <row r="564" spans="1:48" ht="11.25" customHeight="1" x14ac:dyDescent="0.2">
      <c r="A564" s="873"/>
      <c r="B564" s="873"/>
      <c r="C564" s="873"/>
      <c r="D564" s="873"/>
      <c r="E564" s="873"/>
      <c r="F564" s="873"/>
      <c r="G564" s="873"/>
      <c r="H564" s="873"/>
      <c r="I564" s="873"/>
      <c r="J564" s="873"/>
      <c r="K564" s="873"/>
      <c r="L564" s="873"/>
      <c r="M564" s="873"/>
      <c r="N564" s="873"/>
      <c r="O564" s="873"/>
      <c r="P564" s="873"/>
      <c r="Q564" s="873"/>
      <c r="R564" s="873"/>
      <c r="S564" s="873"/>
      <c r="T564" s="873"/>
      <c r="U564" s="873"/>
      <c r="V564" s="873"/>
      <c r="W564" s="873"/>
      <c r="X564" s="873"/>
      <c r="Y564" s="873"/>
      <c r="Z564" s="873"/>
      <c r="AA564" s="873"/>
      <c r="AB564" s="873"/>
      <c r="AC564" s="873"/>
      <c r="AD564" s="873"/>
      <c r="AE564" s="873"/>
      <c r="AF564" s="873"/>
      <c r="AG564" s="873"/>
      <c r="AH564" s="873"/>
      <c r="AI564" s="873"/>
      <c r="AJ564" s="873"/>
      <c r="AK564" s="873"/>
      <c r="AL564" s="873"/>
      <c r="AM564" s="873"/>
      <c r="AN564" s="873"/>
      <c r="AO564" s="873"/>
      <c r="AP564" s="873"/>
      <c r="AQ564" s="873"/>
      <c r="AR564" s="873"/>
      <c r="AS564" s="873"/>
      <c r="AT564" s="873"/>
      <c r="AU564" s="873"/>
      <c r="AV564" s="873"/>
    </row>
    <row r="565" spans="1:48" ht="11.25" customHeight="1" x14ac:dyDescent="0.2">
      <c r="A565" s="873"/>
      <c r="B565" s="873"/>
      <c r="C565" s="873"/>
      <c r="D565" s="873"/>
      <c r="E565" s="873"/>
      <c r="F565" s="873"/>
      <c r="G565" s="873"/>
      <c r="H565" s="873"/>
      <c r="I565" s="873"/>
      <c r="J565" s="873"/>
      <c r="K565" s="873"/>
      <c r="L565" s="873"/>
      <c r="M565" s="873"/>
      <c r="N565" s="873"/>
      <c r="O565" s="873"/>
      <c r="P565" s="873"/>
      <c r="Q565" s="873"/>
      <c r="R565" s="873"/>
      <c r="S565" s="873"/>
      <c r="T565" s="873"/>
      <c r="U565" s="873"/>
      <c r="V565" s="873"/>
      <c r="W565" s="873"/>
      <c r="X565" s="873"/>
      <c r="Y565" s="873"/>
      <c r="Z565" s="873"/>
      <c r="AA565" s="873"/>
      <c r="AB565" s="873"/>
      <c r="AC565" s="873"/>
      <c r="AD565" s="873"/>
      <c r="AE565" s="873"/>
      <c r="AF565" s="873"/>
      <c r="AG565" s="873"/>
      <c r="AH565" s="873"/>
      <c r="AI565" s="873"/>
      <c r="AJ565" s="873"/>
      <c r="AK565" s="873"/>
      <c r="AL565" s="873"/>
      <c r="AM565" s="873"/>
      <c r="AN565" s="873"/>
      <c r="AO565" s="873"/>
      <c r="AP565" s="873"/>
      <c r="AQ565" s="873"/>
      <c r="AR565" s="873"/>
      <c r="AS565" s="873"/>
      <c r="AT565" s="873"/>
      <c r="AU565" s="873"/>
      <c r="AV565" s="873"/>
    </row>
    <row r="566" spans="1:48" ht="11.25" customHeight="1" x14ac:dyDescent="0.2">
      <c r="A566" s="873"/>
      <c r="B566" s="873"/>
      <c r="C566" s="873"/>
      <c r="D566" s="873"/>
      <c r="E566" s="873"/>
      <c r="F566" s="873"/>
      <c r="G566" s="873"/>
      <c r="H566" s="873"/>
      <c r="I566" s="873"/>
      <c r="J566" s="873"/>
      <c r="K566" s="873"/>
      <c r="L566" s="873"/>
      <c r="M566" s="873"/>
      <c r="N566" s="873"/>
      <c r="O566" s="873"/>
      <c r="P566" s="873"/>
      <c r="Q566" s="873"/>
      <c r="R566" s="873"/>
      <c r="S566" s="873"/>
      <c r="T566" s="873"/>
      <c r="U566" s="873"/>
      <c r="V566" s="873"/>
      <c r="W566" s="873"/>
      <c r="X566" s="873"/>
      <c r="Y566" s="873"/>
      <c r="Z566" s="873"/>
      <c r="AA566" s="873"/>
      <c r="AB566" s="873"/>
      <c r="AC566" s="873"/>
      <c r="AD566" s="873"/>
      <c r="AE566" s="873"/>
      <c r="AF566" s="873"/>
      <c r="AG566" s="873"/>
      <c r="AH566" s="873"/>
      <c r="AI566" s="873"/>
      <c r="AJ566" s="873"/>
      <c r="AK566" s="873"/>
      <c r="AL566" s="873"/>
      <c r="AM566" s="873"/>
      <c r="AN566" s="873"/>
      <c r="AO566" s="873"/>
      <c r="AP566" s="873"/>
      <c r="AQ566" s="873"/>
      <c r="AR566" s="873"/>
      <c r="AS566" s="873"/>
      <c r="AT566" s="873"/>
      <c r="AU566" s="873"/>
      <c r="AV566" s="873"/>
    </row>
    <row r="567" spans="1:48" ht="11.25" customHeight="1" x14ac:dyDescent="0.2">
      <c r="A567" s="873"/>
      <c r="B567" s="873"/>
      <c r="C567" s="873"/>
      <c r="D567" s="873"/>
      <c r="E567" s="873"/>
      <c r="F567" s="873"/>
      <c r="G567" s="873"/>
      <c r="H567" s="873"/>
      <c r="I567" s="873"/>
      <c r="J567" s="873"/>
      <c r="K567" s="873"/>
      <c r="L567" s="873"/>
      <c r="M567" s="873"/>
      <c r="N567" s="873"/>
      <c r="O567" s="873"/>
      <c r="P567" s="873"/>
      <c r="Q567" s="873"/>
      <c r="R567" s="873"/>
      <c r="S567" s="873"/>
      <c r="T567" s="873"/>
      <c r="U567" s="873"/>
      <c r="V567" s="873"/>
      <c r="W567" s="873"/>
      <c r="X567" s="873"/>
      <c r="Y567" s="873"/>
      <c r="Z567" s="873"/>
      <c r="AA567" s="873"/>
      <c r="AB567" s="873"/>
      <c r="AC567" s="873"/>
      <c r="AD567" s="873"/>
      <c r="AE567" s="873"/>
      <c r="AF567" s="873"/>
      <c r="AG567" s="873"/>
      <c r="AH567" s="873"/>
      <c r="AI567" s="873"/>
      <c r="AJ567" s="873"/>
      <c r="AK567" s="873"/>
      <c r="AL567" s="873"/>
      <c r="AM567" s="873"/>
      <c r="AN567" s="873"/>
      <c r="AO567" s="873"/>
      <c r="AP567" s="873"/>
      <c r="AQ567" s="873"/>
      <c r="AR567" s="873"/>
      <c r="AS567" s="873"/>
      <c r="AT567" s="873"/>
      <c r="AU567" s="873"/>
      <c r="AV567" s="873"/>
    </row>
    <row r="568" spans="1:48" ht="11.25" customHeight="1" x14ac:dyDescent="0.2">
      <c r="A568" s="873"/>
      <c r="B568" s="873"/>
      <c r="C568" s="873"/>
      <c r="D568" s="873"/>
      <c r="E568" s="873"/>
      <c r="F568" s="873"/>
      <c r="G568" s="873"/>
      <c r="H568" s="873"/>
      <c r="I568" s="873"/>
      <c r="J568" s="873"/>
      <c r="K568" s="873"/>
      <c r="L568" s="873"/>
      <c r="M568" s="873"/>
      <c r="N568" s="873"/>
      <c r="O568" s="873"/>
      <c r="P568" s="873"/>
      <c r="Q568" s="873"/>
      <c r="R568" s="873"/>
      <c r="S568" s="873"/>
      <c r="T568" s="873"/>
      <c r="U568" s="873"/>
      <c r="V568" s="873"/>
      <c r="W568" s="873"/>
      <c r="X568" s="873"/>
      <c r="Y568" s="873"/>
      <c r="Z568" s="873"/>
      <c r="AA568" s="873"/>
      <c r="AB568" s="873"/>
      <c r="AC568" s="873"/>
      <c r="AD568" s="873"/>
      <c r="AE568" s="873"/>
      <c r="AF568" s="873"/>
      <c r="AG568" s="873"/>
      <c r="AH568" s="873"/>
      <c r="AI568" s="873"/>
      <c r="AJ568" s="873"/>
      <c r="AK568" s="873"/>
      <c r="AL568" s="873"/>
      <c r="AM568" s="873"/>
      <c r="AN568" s="873"/>
      <c r="AO568" s="873"/>
      <c r="AP568" s="873"/>
      <c r="AQ568" s="873"/>
      <c r="AR568" s="873"/>
      <c r="AS568" s="873"/>
      <c r="AT568" s="873"/>
      <c r="AU568" s="873"/>
      <c r="AV568" s="873"/>
    </row>
    <row r="569" spans="1:48" ht="11.25" customHeight="1" x14ac:dyDescent="0.2">
      <c r="A569" s="873"/>
      <c r="B569" s="873"/>
      <c r="C569" s="873"/>
      <c r="D569" s="873"/>
      <c r="E569" s="873"/>
      <c r="F569" s="873"/>
      <c r="G569" s="873"/>
      <c r="H569" s="873"/>
      <c r="I569" s="873"/>
      <c r="J569" s="873"/>
      <c r="K569" s="873"/>
      <c r="L569" s="873"/>
      <c r="M569" s="873"/>
      <c r="N569" s="873"/>
      <c r="O569" s="873"/>
      <c r="P569" s="873"/>
      <c r="Q569" s="873"/>
      <c r="R569" s="873"/>
      <c r="S569" s="873"/>
      <c r="T569" s="873"/>
      <c r="U569" s="873"/>
      <c r="V569" s="873"/>
      <c r="W569" s="873"/>
      <c r="X569" s="873"/>
      <c r="Y569" s="873"/>
      <c r="Z569" s="873"/>
      <c r="AA569" s="873"/>
      <c r="AB569" s="873"/>
      <c r="AC569" s="873"/>
      <c r="AD569" s="873"/>
      <c r="AE569" s="873"/>
      <c r="AF569" s="873"/>
      <c r="AG569" s="873"/>
      <c r="AH569" s="873"/>
      <c r="AI569" s="873"/>
      <c r="AJ569" s="873"/>
      <c r="AK569" s="873"/>
      <c r="AL569" s="873"/>
      <c r="AM569" s="873"/>
      <c r="AN569" s="873"/>
      <c r="AO569" s="873"/>
      <c r="AP569" s="873"/>
      <c r="AQ569" s="873"/>
      <c r="AR569" s="873"/>
      <c r="AS569" s="873"/>
      <c r="AT569" s="873"/>
      <c r="AU569" s="873"/>
      <c r="AV569" s="873"/>
    </row>
    <row r="570" spans="1:48" ht="11.25" customHeight="1" x14ac:dyDescent="0.2">
      <c r="A570" s="873"/>
      <c r="B570" s="873"/>
      <c r="C570" s="873"/>
      <c r="D570" s="873"/>
      <c r="E570" s="873"/>
      <c r="F570" s="873"/>
      <c r="G570" s="873"/>
      <c r="H570" s="873"/>
      <c r="I570" s="873"/>
      <c r="J570" s="873"/>
      <c r="K570" s="873"/>
      <c r="L570" s="873"/>
      <c r="M570" s="873"/>
      <c r="N570" s="873"/>
      <c r="O570" s="873"/>
      <c r="P570" s="873"/>
      <c r="Q570" s="873"/>
      <c r="R570" s="873"/>
      <c r="S570" s="873"/>
      <c r="T570" s="873"/>
      <c r="U570" s="873"/>
      <c r="V570" s="873"/>
      <c r="W570" s="873"/>
      <c r="X570" s="873"/>
      <c r="Y570" s="873"/>
      <c r="Z570" s="873"/>
      <c r="AA570" s="873"/>
      <c r="AB570" s="873"/>
      <c r="AC570" s="873"/>
      <c r="AD570" s="873"/>
      <c r="AE570" s="873"/>
      <c r="AF570" s="873"/>
      <c r="AG570" s="873"/>
      <c r="AH570" s="873"/>
      <c r="AI570" s="873"/>
      <c r="AJ570" s="873"/>
      <c r="AK570" s="873"/>
      <c r="AL570" s="873"/>
      <c r="AM570" s="873"/>
      <c r="AN570" s="873"/>
      <c r="AO570" s="873"/>
      <c r="AP570" s="873"/>
      <c r="AQ570" s="873"/>
      <c r="AR570" s="873"/>
      <c r="AS570" s="873"/>
      <c r="AT570" s="873"/>
      <c r="AU570" s="873"/>
      <c r="AV570" s="873"/>
    </row>
    <row r="571" spans="1:48" ht="11.25" customHeight="1" x14ac:dyDescent="0.2">
      <c r="A571" s="873"/>
      <c r="B571" s="873"/>
      <c r="C571" s="873"/>
      <c r="D571" s="873"/>
      <c r="E571" s="873"/>
      <c r="F571" s="873"/>
      <c r="G571" s="873"/>
      <c r="H571" s="873"/>
      <c r="I571" s="873"/>
      <c r="J571" s="873"/>
      <c r="K571" s="873"/>
      <c r="L571" s="873"/>
      <c r="M571" s="873"/>
      <c r="N571" s="873"/>
      <c r="O571" s="873"/>
      <c r="P571" s="873"/>
      <c r="Q571" s="873"/>
      <c r="R571" s="873"/>
      <c r="S571" s="873"/>
      <c r="T571" s="873"/>
      <c r="U571" s="873"/>
      <c r="V571" s="873"/>
      <c r="W571" s="873"/>
      <c r="X571" s="873"/>
      <c r="Y571" s="873"/>
      <c r="Z571" s="873"/>
      <c r="AA571" s="873"/>
      <c r="AB571" s="873"/>
      <c r="AC571" s="873"/>
      <c r="AD571" s="873"/>
      <c r="AE571" s="873"/>
      <c r="AF571" s="873"/>
      <c r="AG571" s="873"/>
      <c r="AH571" s="873"/>
      <c r="AI571" s="873"/>
      <c r="AJ571" s="873"/>
      <c r="AK571" s="873"/>
      <c r="AL571" s="873"/>
      <c r="AM571" s="873"/>
      <c r="AN571" s="873"/>
      <c r="AO571" s="873"/>
      <c r="AP571" s="873"/>
      <c r="AQ571" s="873"/>
      <c r="AR571" s="873"/>
      <c r="AS571" s="873"/>
      <c r="AT571" s="873"/>
      <c r="AU571" s="873"/>
      <c r="AV571" s="873"/>
    </row>
    <row r="572" spans="1:48" ht="11.25" customHeight="1" x14ac:dyDescent="0.2">
      <c r="A572" s="873"/>
      <c r="B572" s="873"/>
      <c r="C572" s="873"/>
      <c r="D572" s="873"/>
      <c r="E572" s="873"/>
      <c r="F572" s="873"/>
      <c r="G572" s="873"/>
      <c r="H572" s="873"/>
      <c r="I572" s="873"/>
      <c r="J572" s="873"/>
      <c r="K572" s="873"/>
      <c r="L572" s="873"/>
      <c r="M572" s="873"/>
      <c r="N572" s="873"/>
      <c r="O572" s="873"/>
      <c r="P572" s="873"/>
      <c r="Q572" s="873"/>
      <c r="R572" s="873"/>
      <c r="S572" s="873"/>
      <c r="T572" s="873"/>
      <c r="U572" s="873"/>
      <c r="V572" s="873"/>
      <c r="W572" s="873"/>
      <c r="X572" s="873"/>
      <c r="Y572" s="873"/>
      <c r="Z572" s="873"/>
      <c r="AA572" s="873"/>
      <c r="AB572" s="873"/>
      <c r="AC572" s="873"/>
      <c r="AD572" s="873"/>
      <c r="AE572" s="873"/>
      <c r="AF572" s="873"/>
      <c r="AG572" s="873"/>
      <c r="AH572" s="873"/>
      <c r="AI572" s="873"/>
      <c r="AJ572" s="873"/>
      <c r="AK572" s="873"/>
      <c r="AL572" s="873"/>
      <c r="AM572" s="873"/>
      <c r="AN572" s="873"/>
      <c r="AO572" s="873"/>
      <c r="AP572" s="873"/>
      <c r="AQ572" s="873"/>
      <c r="AR572" s="873"/>
      <c r="AS572" s="873"/>
      <c r="AT572" s="873"/>
      <c r="AU572" s="873"/>
      <c r="AV572" s="873"/>
    </row>
    <row r="573" spans="1:48" ht="11.25" customHeight="1" x14ac:dyDescent="0.2">
      <c r="A573" s="873"/>
      <c r="B573" s="873"/>
      <c r="C573" s="873"/>
      <c r="D573" s="873"/>
      <c r="E573" s="873"/>
      <c r="F573" s="873"/>
      <c r="G573" s="873"/>
      <c r="H573" s="873"/>
      <c r="I573" s="873"/>
      <c r="J573" s="873"/>
      <c r="K573" s="873"/>
      <c r="L573" s="873"/>
      <c r="M573" s="873"/>
      <c r="N573" s="873"/>
      <c r="O573" s="873"/>
      <c r="P573" s="873"/>
      <c r="Q573" s="873"/>
      <c r="R573" s="873"/>
      <c r="S573" s="873"/>
      <c r="T573" s="873"/>
      <c r="U573" s="873"/>
      <c r="V573" s="873"/>
      <c r="W573" s="873"/>
      <c r="X573" s="873"/>
      <c r="Y573" s="873"/>
      <c r="Z573" s="873"/>
      <c r="AA573" s="873"/>
      <c r="AB573" s="873"/>
      <c r="AC573" s="873"/>
      <c r="AD573" s="873"/>
      <c r="AE573" s="873"/>
      <c r="AF573" s="873"/>
      <c r="AG573" s="873"/>
      <c r="AH573" s="873"/>
      <c r="AI573" s="873"/>
      <c r="AJ573" s="873"/>
      <c r="AK573" s="873"/>
      <c r="AL573" s="873"/>
      <c r="AM573" s="873"/>
      <c r="AN573" s="873"/>
      <c r="AO573" s="873"/>
      <c r="AP573" s="873"/>
      <c r="AQ573" s="873"/>
      <c r="AR573" s="873"/>
      <c r="AS573" s="873"/>
      <c r="AT573" s="873"/>
      <c r="AU573" s="873"/>
      <c r="AV573" s="873"/>
    </row>
    <row r="574" spans="1:48" ht="11.25" customHeight="1" x14ac:dyDescent="0.2">
      <c r="A574" s="873"/>
      <c r="B574" s="873"/>
      <c r="C574" s="873"/>
      <c r="D574" s="873"/>
      <c r="E574" s="873"/>
      <c r="F574" s="873"/>
      <c r="G574" s="873"/>
      <c r="H574" s="873"/>
      <c r="I574" s="873"/>
      <c r="J574" s="873"/>
      <c r="K574" s="873"/>
      <c r="L574" s="873"/>
      <c r="M574" s="873"/>
      <c r="N574" s="873"/>
      <c r="O574" s="873"/>
      <c r="P574" s="873"/>
      <c r="Q574" s="873"/>
      <c r="R574" s="873"/>
      <c r="S574" s="873"/>
      <c r="T574" s="873"/>
      <c r="U574" s="873"/>
      <c r="V574" s="873"/>
      <c r="W574" s="873"/>
      <c r="X574" s="873"/>
      <c r="Y574" s="873"/>
      <c r="Z574" s="873"/>
      <c r="AA574" s="873"/>
      <c r="AB574" s="873"/>
      <c r="AC574" s="873"/>
      <c r="AD574" s="873"/>
      <c r="AE574" s="873"/>
      <c r="AF574" s="873"/>
      <c r="AG574" s="873"/>
      <c r="AH574" s="873"/>
      <c r="AI574" s="873"/>
      <c r="AJ574" s="873"/>
      <c r="AK574" s="873"/>
      <c r="AL574" s="873"/>
      <c r="AM574" s="873"/>
      <c r="AN574" s="873"/>
      <c r="AO574" s="873"/>
      <c r="AP574" s="873"/>
      <c r="AQ574" s="873"/>
      <c r="AR574" s="873"/>
      <c r="AS574" s="873"/>
      <c r="AT574" s="873"/>
      <c r="AU574" s="873"/>
      <c r="AV574" s="873"/>
    </row>
    <row r="575" spans="1:48" ht="11.25" customHeight="1" x14ac:dyDescent="0.2">
      <c r="A575" s="873"/>
      <c r="B575" s="873"/>
      <c r="C575" s="873"/>
      <c r="D575" s="873"/>
      <c r="E575" s="873"/>
      <c r="F575" s="873"/>
      <c r="G575" s="873"/>
      <c r="H575" s="873"/>
      <c r="I575" s="873"/>
      <c r="J575" s="873"/>
      <c r="K575" s="873"/>
      <c r="L575" s="873"/>
      <c r="M575" s="873"/>
      <c r="N575" s="873"/>
      <c r="O575" s="873"/>
      <c r="P575" s="873"/>
      <c r="Q575" s="873"/>
      <c r="R575" s="873"/>
      <c r="S575" s="873"/>
      <c r="T575" s="873"/>
      <c r="U575" s="873"/>
      <c r="V575" s="873"/>
      <c r="W575" s="873"/>
      <c r="X575" s="873"/>
      <c r="Y575" s="873"/>
      <c r="Z575" s="873"/>
      <c r="AA575" s="873"/>
      <c r="AB575" s="873"/>
      <c r="AC575" s="873"/>
      <c r="AD575" s="873"/>
      <c r="AE575" s="873"/>
      <c r="AF575" s="873"/>
      <c r="AG575" s="873"/>
      <c r="AH575" s="873"/>
      <c r="AI575" s="873"/>
      <c r="AJ575" s="873"/>
      <c r="AK575" s="873"/>
      <c r="AL575" s="873"/>
      <c r="AM575" s="873"/>
      <c r="AN575" s="873"/>
      <c r="AO575" s="873"/>
      <c r="AP575" s="873"/>
      <c r="AQ575" s="873"/>
      <c r="AR575" s="873"/>
      <c r="AS575" s="873"/>
      <c r="AT575" s="873"/>
      <c r="AU575" s="873"/>
      <c r="AV575" s="873"/>
    </row>
    <row r="576" spans="1:48" ht="11.25" customHeight="1" x14ac:dyDescent="0.2">
      <c r="A576" s="873"/>
      <c r="B576" s="873"/>
      <c r="C576" s="873"/>
      <c r="D576" s="873"/>
      <c r="E576" s="873"/>
      <c r="F576" s="873"/>
      <c r="G576" s="873"/>
      <c r="H576" s="873"/>
      <c r="I576" s="873"/>
      <c r="J576" s="873"/>
      <c r="K576" s="873"/>
      <c r="L576" s="873"/>
      <c r="M576" s="873"/>
      <c r="N576" s="873"/>
      <c r="O576" s="873"/>
      <c r="P576" s="873"/>
      <c r="Q576" s="873"/>
      <c r="R576" s="873"/>
      <c r="S576" s="873"/>
      <c r="T576" s="873"/>
      <c r="U576" s="873"/>
      <c r="V576" s="873"/>
      <c r="W576" s="873"/>
      <c r="X576" s="873"/>
      <c r="Y576" s="873"/>
      <c r="Z576" s="873"/>
      <c r="AA576" s="873"/>
      <c r="AB576" s="873"/>
      <c r="AC576" s="873"/>
      <c r="AD576" s="873"/>
      <c r="AE576" s="873"/>
      <c r="AF576" s="873"/>
      <c r="AG576" s="873"/>
      <c r="AH576" s="873"/>
      <c r="AI576" s="873"/>
      <c r="AJ576" s="873"/>
      <c r="AK576" s="873"/>
      <c r="AL576" s="873"/>
      <c r="AM576" s="873"/>
      <c r="AN576" s="873"/>
      <c r="AO576" s="873"/>
      <c r="AP576" s="873"/>
      <c r="AQ576" s="873"/>
      <c r="AR576" s="873"/>
      <c r="AS576" s="873"/>
      <c r="AT576" s="873"/>
      <c r="AU576" s="873"/>
      <c r="AV576" s="873"/>
    </row>
    <row r="577" spans="1:48" ht="11.25" customHeight="1" x14ac:dyDescent="0.2">
      <c r="A577" s="873"/>
      <c r="B577" s="873"/>
      <c r="C577" s="873"/>
      <c r="D577" s="873"/>
      <c r="E577" s="873"/>
      <c r="F577" s="873"/>
      <c r="G577" s="873"/>
      <c r="H577" s="873"/>
      <c r="I577" s="873"/>
      <c r="J577" s="873"/>
      <c r="K577" s="873"/>
      <c r="L577" s="873"/>
      <c r="M577" s="873"/>
      <c r="N577" s="873"/>
      <c r="O577" s="873"/>
      <c r="P577" s="873"/>
      <c r="Q577" s="873"/>
      <c r="R577" s="873"/>
      <c r="S577" s="873"/>
      <c r="T577" s="873"/>
      <c r="U577" s="873"/>
      <c r="V577" s="873"/>
      <c r="W577" s="873"/>
      <c r="X577" s="873"/>
      <c r="Y577" s="873"/>
      <c r="Z577" s="873"/>
      <c r="AA577" s="873"/>
      <c r="AB577" s="873"/>
      <c r="AC577" s="873"/>
      <c r="AD577" s="873"/>
      <c r="AE577" s="873"/>
      <c r="AF577" s="873"/>
      <c r="AG577" s="873"/>
      <c r="AH577" s="873"/>
      <c r="AI577" s="873"/>
      <c r="AJ577" s="873"/>
      <c r="AK577" s="873"/>
      <c r="AL577" s="873"/>
      <c r="AM577" s="873"/>
      <c r="AN577" s="873"/>
      <c r="AO577" s="873"/>
      <c r="AP577" s="873"/>
      <c r="AQ577" s="873"/>
      <c r="AR577" s="873"/>
      <c r="AS577" s="873"/>
      <c r="AT577" s="873"/>
      <c r="AU577" s="873"/>
      <c r="AV577" s="873"/>
    </row>
    <row r="578" spans="1:48" ht="11.25" customHeight="1" x14ac:dyDescent="0.2">
      <c r="A578" s="873"/>
      <c r="B578" s="873"/>
      <c r="C578" s="873"/>
      <c r="D578" s="873"/>
      <c r="E578" s="873"/>
      <c r="F578" s="873"/>
      <c r="G578" s="873"/>
      <c r="H578" s="873"/>
      <c r="I578" s="873"/>
      <c r="J578" s="873"/>
      <c r="K578" s="873"/>
      <c r="L578" s="873"/>
      <c r="M578" s="873"/>
      <c r="N578" s="873"/>
      <c r="O578" s="873"/>
      <c r="P578" s="873"/>
      <c r="Q578" s="873"/>
      <c r="R578" s="873"/>
      <c r="S578" s="873"/>
      <c r="T578" s="873"/>
      <c r="U578" s="873"/>
      <c r="V578" s="873"/>
      <c r="W578" s="873"/>
      <c r="X578" s="873"/>
      <c r="Y578" s="873"/>
      <c r="Z578" s="873"/>
      <c r="AA578" s="873"/>
      <c r="AB578" s="873"/>
      <c r="AC578" s="873"/>
      <c r="AD578" s="873"/>
      <c r="AE578" s="873"/>
      <c r="AF578" s="873"/>
      <c r="AG578" s="873"/>
      <c r="AH578" s="873"/>
      <c r="AI578" s="873"/>
      <c r="AJ578" s="873"/>
      <c r="AK578" s="873"/>
      <c r="AL578" s="873"/>
      <c r="AM578" s="873"/>
      <c r="AN578" s="873"/>
      <c r="AO578" s="873"/>
      <c r="AP578" s="873"/>
      <c r="AQ578" s="873"/>
      <c r="AR578" s="873"/>
      <c r="AS578" s="873"/>
      <c r="AT578" s="873"/>
      <c r="AU578" s="873"/>
      <c r="AV578" s="873"/>
    </row>
    <row r="579" spans="1:48" ht="11.25" customHeight="1" x14ac:dyDescent="0.2">
      <c r="A579" s="873"/>
      <c r="B579" s="873"/>
      <c r="C579" s="873"/>
      <c r="D579" s="873"/>
      <c r="E579" s="873"/>
      <c r="F579" s="873"/>
      <c r="G579" s="873"/>
      <c r="H579" s="873"/>
      <c r="I579" s="873"/>
      <c r="J579" s="873"/>
      <c r="K579" s="873"/>
      <c r="L579" s="873"/>
      <c r="M579" s="873"/>
      <c r="N579" s="873"/>
      <c r="O579" s="873"/>
      <c r="P579" s="873"/>
      <c r="Q579" s="873"/>
      <c r="R579" s="873"/>
      <c r="S579" s="873"/>
      <c r="T579" s="873"/>
      <c r="U579" s="873"/>
      <c r="V579" s="873"/>
      <c r="W579" s="873"/>
      <c r="X579" s="873"/>
      <c r="Y579" s="873"/>
      <c r="Z579" s="873"/>
      <c r="AA579" s="873"/>
      <c r="AB579" s="873"/>
      <c r="AC579" s="873"/>
      <c r="AD579" s="873"/>
      <c r="AE579" s="873"/>
      <c r="AF579" s="873"/>
      <c r="AG579" s="873"/>
      <c r="AH579" s="873"/>
      <c r="AI579" s="873"/>
      <c r="AJ579" s="873"/>
      <c r="AK579" s="873"/>
      <c r="AL579" s="873"/>
      <c r="AM579" s="873"/>
      <c r="AN579" s="873"/>
      <c r="AO579" s="873"/>
      <c r="AP579" s="873"/>
      <c r="AQ579" s="873"/>
      <c r="AR579" s="873"/>
      <c r="AS579" s="873"/>
      <c r="AT579" s="873"/>
      <c r="AU579" s="873"/>
      <c r="AV579" s="873"/>
    </row>
    <row r="580" spans="1:48" ht="11.25" customHeight="1" x14ac:dyDescent="0.2">
      <c r="A580" s="873"/>
      <c r="B580" s="873"/>
      <c r="C580" s="873"/>
      <c r="D580" s="873"/>
      <c r="E580" s="873"/>
      <c r="F580" s="873"/>
      <c r="G580" s="873"/>
      <c r="H580" s="873"/>
      <c r="I580" s="873"/>
      <c r="J580" s="873"/>
      <c r="K580" s="873"/>
      <c r="L580" s="873"/>
      <c r="M580" s="873"/>
      <c r="N580" s="873"/>
      <c r="O580" s="873"/>
      <c r="P580" s="873"/>
      <c r="Q580" s="873"/>
      <c r="R580" s="873"/>
      <c r="S580" s="873"/>
      <c r="T580" s="873"/>
      <c r="U580" s="873"/>
      <c r="V580" s="873"/>
      <c r="W580" s="873"/>
      <c r="X580" s="873"/>
      <c r="Y580" s="873"/>
      <c r="Z580" s="873"/>
      <c r="AA580" s="873"/>
      <c r="AB580" s="873"/>
      <c r="AC580" s="873"/>
      <c r="AD580" s="873"/>
      <c r="AE580" s="873"/>
      <c r="AF580" s="873"/>
      <c r="AG580" s="873"/>
      <c r="AH580" s="873"/>
      <c r="AI580" s="873"/>
      <c r="AJ580" s="873"/>
      <c r="AK580" s="873"/>
      <c r="AL580" s="873"/>
      <c r="AM580" s="873"/>
      <c r="AN580" s="873"/>
      <c r="AO580" s="873"/>
      <c r="AP580" s="873"/>
      <c r="AQ580" s="873"/>
      <c r="AR580" s="873"/>
      <c r="AS580" s="873"/>
      <c r="AT580" s="873"/>
      <c r="AU580" s="873"/>
      <c r="AV580" s="873"/>
    </row>
    <row r="581" spans="1:48" ht="11.25" customHeight="1" x14ac:dyDescent="0.2">
      <c r="A581" s="873"/>
      <c r="B581" s="873"/>
      <c r="C581" s="873"/>
      <c r="D581" s="873"/>
      <c r="E581" s="873"/>
      <c r="F581" s="873"/>
      <c r="G581" s="873"/>
      <c r="H581" s="873"/>
      <c r="I581" s="873"/>
      <c r="J581" s="873"/>
      <c r="K581" s="873"/>
      <c r="L581" s="873"/>
      <c r="M581" s="873"/>
      <c r="N581" s="873"/>
      <c r="O581" s="873"/>
      <c r="P581" s="873"/>
      <c r="Q581" s="873"/>
      <c r="R581" s="873"/>
      <c r="S581" s="873"/>
      <c r="T581" s="873"/>
      <c r="U581" s="873"/>
      <c r="V581" s="873"/>
      <c r="W581" s="873"/>
      <c r="X581" s="873"/>
      <c r="Y581" s="873"/>
      <c r="Z581" s="873"/>
      <c r="AA581" s="873"/>
      <c r="AB581" s="873"/>
      <c r="AC581" s="873"/>
      <c r="AD581" s="873"/>
      <c r="AE581" s="873"/>
      <c r="AF581" s="873"/>
      <c r="AG581" s="873"/>
      <c r="AH581" s="873"/>
      <c r="AI581" s="873"/>
      <c r="AJ581" s="873"/>
      <c r="AK581" s="873"/>
      <c r="AL581" s="873"/>
      <c r="AM581" s="873"/>
      <c r="AN581" s="873"/>
      <c r="AO581" s="873"/>
      <c r="AP581" s="873"/>
      <c r="AQ581" s="873"/>
      <c r="AR581" s="873"/>
      <c r="AS581" s="873"/>
      <c r="AT581" s="873"/>
      <c r="AU581" s="873"/>
      <c r="AV581" s="873"/>
    </row>
    <row r="582" spans="1:48" ht="11.25" customHeight="1" x14ac:dyDescent="0.2">
      <c r="A582" s="873"/>
      <c r="B582" s="873"/>
      <c r="C582" s="873"/>
      <c r="D582" s="873"/>
      <c r="E582" s="873"/>
      <c r="F582" s="873"/>
      <c r="G582" s="873"/>
      <c r="H582" s="873"/>
      <c r="I582" s="873"/>
      <c r="J582" s="873"/>
      <c r="K582" s="873"/>
      <c r="L582" s="873"/>
      <c r="M582" s="873"/>
      <c r="N582" s="873"/>
      <c r="O582" s="873"/>
      <c r="P582" s="873"/>
      <c r="Q582" s="873"/>
      <c r="R582" s="873"/>
      <c r="S582" s="873"/>
      <c r="T582" s="873"/>
      <c r="U582" s="873"/>
      <c r="V582" s="873"/>
      <c r="W582" s="873"/>
      <c r="X582" s="873"/>
      <c r="Y582" s="873"/>
      <c r="Z582" s="873"/>
      <c r="AA582" s="873"/>
      <c r="AB582" s="873"/>
      <c r="AC582" s="873"/>
      <c r="AD582" s="873"/>
      <c r="AE582" s="873"/>
      <c r="AF582" s="873"/>
      <c r="AG582" s="873"/>
      <c r="AH582" s="873"/>
      <c r="AI582" s="873"/>
      <c r="AJ582" s="873"/>
      <c r="AK582" s="873"/>
      <c r="AL582" s="873"/>
      <c r="AM582" s="873"/>
      <c r="AN582" s="873"/>
      <c r="AO582" s="873"/>
      <c r="AP582" s="873"/>
      <c r="AQ582" s="873"/>
      <c r="AR582" s="873"/>
      <c r="AS582" s="873"/>
      <c r="AT582" s="873"/>
      <c r="AU582" s="873"/>
      <c r="AV582" s="873"/>
    </row>
    <row r="583" spans="1:48" ht="11.25" customHeight="1" x14ac:dyDescent="0.2">
      <c r="A583" s="873"/>
      <c r="B583" s="873"/>
      <c r="C583" s="873"/>
      <c r="D583" s="873"/>
      <c r="E583" s="873"/>
      <c r="F583" s="873"/>
      <c r="G583" s="873"/>
      <c r="H583" s="873"/>
      <c r="I583" s="873"/>
      <c r="J583" s="873"/>
      <c r="K583" s="873"/>
      <c r="L583" s="873"/>
      <c r="M583" s="873"/>
      <c r="N583" s="873"/>
      <c r="O583" s="873"/>
      <c r="P583" s="873"/>
      <c r="Q583" s="873"/>
      <c r="R583" s="873"/>
      <c r="S583" s="873"/>
      <c r="T583" s="873"/>
      <c r="U583" s="873"/>
      <c r="V583" s="873"/>
      <c r="W583" s="873"/>
      <c r="X583" s="873"/>
      <c r="Y583" s="873"/>
      <c r="Z583" s="873"/>
      <c r="AA583" s="873"/>
      <c r="AB583" s="873"/>
      <c r="AC583" s="873"/>
      <c r="AD583" s="873"/>
      <c r="AE583" s="873"/>
      <c r="AF583" s="873"/>
      <c r="AG583" s="873"/>
      <c r="AH583" s="873"/>
      <c r="AI583" s="873"/>
      <c r="AJ583" s="873"/>
      <c r="AK583" s="873"/>
      <c r="AL583" s="873"/>
      <c r="AM583" s="873"/>
      <c r="AN583" s="873"/>
      <c r="AO583" s="873"/>
      <c r="AP583" s="873"/>
      <c r="AQ583" s="873"/>
      <c r="AR583" s="873"/>
      <c r="AS583" s="873"/>
      <c r="AT583" s="873"/>
      <c r="AU583" s="873"/>
      <c r="AV583" s="873"/>
    </row>
    <row r="584" spans="1:48" ht="11.25" customHeight="1" x14ac:dyDescent="0.2">
      <c r="A584" s="873"/>
      <c r="B584" s="873"/>
      <c r="C584" s="873"/>
      <c r="D584" s="873"/>
      <c r="E584" s="873"/>
      <c r="F584" s="873"/>
      <c r="G584" s="873"/>
      <c r="H584" s="873"/>
      <c r="I584" s="873"/>
      <c r="J584" s="873"/>
      <c r="K584" s="873"/>
      <c r="L584" s="873"/>
      <c r="M584" s="873"/>
      <c r="N584" s="873"/>
      <c r="O584" s="873"/>
      <c r="P584" s="873"/>
      <c r="Q584" s="873"/>
      <c r="R584" s="873"/>
      <c r="S584" s="873"/>
      <c r="T584" s="873"/>
      <c r="U584" s="873"/>
      <c r="V584" s="873"/>
      <c r="W584" s="873"/>
      <c r="X584" s="873"/>
      <c r="Y584" s="873"/>
      <c r="Z584" s="873"/>
      <c r="AA584" s="873"/>
      <c r="AB584" s="873"/>
      <c r="AC584" s="873"/>
      <c r="AD584" s="873"/>
      <c r="AE584" s="873"/>
      <c r="AF584" s="873"/>
      <c r="AG584" s="873"/>
      <c r="AH584" s="873"/>
      <c r="AI584" s="873"/>
      <c r="AJ584" s="873"/>
      <c r="AK584" s="873"/>
      <c r="AL584" s="873"/>
      <c r="AM584" s="873"/>
      <c r="AN584" s="873"/>
      <c r="AO584" s="873"/>
      <c r="AP584" s="873"/>
      <c r="AQ584" s="873"/>
      <c r="AR584" s="873"/>
      <c r="AS584" s="873"/>
      <c r="AT584" s="873"/>
      <c r="AU584" s="873"/>
      <c r="AV584" s="873"/>
    </row>
    <row r="585" spans="1:48" ht="11.25" customHeight="1" x14ac:dyDescent="0.2">
      <c r="A585" s="873"/>
      <c r="B585" s="873"/>
      <c r="C585" s="873"/>
      <c r="D585" s="873"/>
      <c r="E585" s="873"/>
      <c r="F585" s="873"/>
      <c r="G585" s="873"/>
      <c r="H585" s="873"/>
      <c r="I585" s="873"/>
      <c r="J585" s="873"/>
      <c r="K585" s="873"/>
      <c r="L585" s="873"/>
      <c r="M585" s="873"/>
      <c r="N585" s="873"/>
      <c r="O585" s="873"/>
      <c r="P585" s="873"/>
      <c r="Q585" s="873"/>
      <c r="R585" s="873"/>
      <c r="S585" s="873"/>
      <c r="T585" s="873"/>
      <c r="U585" s="873"/>
      <c r="V585" s="873"/>
      <c r="W585" s="873"/>
      <c r="X585" s="873"/>
      <c r="Y585" s="873"/>
      <c r="Z585" s="873"/>
      <c r="AA585" s="873"/>
      <c r="AB585" s="873"/>
      <c r="AC585" s="873"/>
      <c r="AD585" s="873"/>
      <c r="AE585" s="873"/>
      <c r="AF585" s="873"/>
      <c r="AG585" s="873"/>
      <c r="AH585" s="873"/>
      <c r="AI585" s="873"/>
      <c r="AJ585" s="873"/>
      <c r="AK585" s="873"/>
      <c r="AL585" s="873"/>
      <c r="AM585" s="873"/>
      <c r="AN585" s="873"/>
      <c r="AO585" s="873"/>
      <c r="AP585" s="873"/>
      <c r="AQ585" s="873"/>
      <c r="AR585" s="873"/>
      <c r="AS585" s="873"/>
      <c r="AT585" s="873"/>
      <c r="AU585" s="873"/>
      <c r="AV585" s="873"/>
    </row>
    <row r="586" spans="1:48" ht="11.25" customHeight="1" x14ac:dyDescent="0.2">
      <c r="A586" s="873"/>
      <c r="B586" s="873"/>
      <c r="C586" s="873"/>
      <c r="D586" s="873"/>
      <c r="E586" s="873"/>
      <c r="F586" s="873"/>
      <c r="G586" s="873"/>
      <c r="H586" s="873"/>
      <c r="I586" s="873"/>
      <c r="J586" s="873"/>
      <c r="K586" s="873"/>
      <c r="L586" s="873"/>
      <c r="M586" s="873"/>
      <c r="N586" s="873"/>
      <c r="O586" s="873"/>
      <c r="P586" s="873"/>
      <c r="Q586" s="873"/>
      <c r="R586" s="873"/>
      <c r="S586" s="873"/>
      <c r="T586" s="873"/>
      <c r="U586" s="873"/>
      <c r="V586" s="873"/>
      <c r="W586" s="873"/>
      <c r="X586" s="873"/>
      <c r="Y586" s="873"/>
      <c r="Z586" s="873"/>
      <c r="AA586" s="873"/>
      <c r="AB586" s="873"/>
      <c r="AC586" s="873"/>
      <c r="AD586" s="873"/>
      <c r="AE586" s="873"/>
      <c r="AF586" s="873"/>
      <c r="AG586" s="873"/>
      <c r="AH586" s="873"/>
      <c r="AI586" s="873"/>
      <c r="AJ586" s="873"/>
      <c r="AK586" s="873"/>
      <c r="AL586" s="873"/>
      <c r="AM586" s="873"/>
      <c r="AN586" s="873"/>
      <c r="AO586" s="873"/>
      <c r="AP586" s="873"/>
      <c r="AQ586" s="873"/>
      <c r="AR586" s="873"/>
      <c r="AS586" s="873"/>
      <c r="AT586" s="873"/>
      <c r="AU586" s="873"/>
      <c r="AV586" s="873"/>
    </row>
    <row r="587" spans="1:48" ht="11.25" customHeight="1" x14ac:dyDescent="0.2">
      <c r="A587" s="873"/>
      <c r="B587" s="873"/>
      <c r="C587" s="873"/>
      <c r="D587" s="873"/>
      <c r="E587" s="873"/>
      <c r="F587" s="873"/>
      <c r="G587" s="873"/>
      <c r="H587" s="873"/>
      <c r="I587" s="873"/>
      <c r="J587" s="873"/>
      <c r="K587" s="873"/>
      <c r="L587" s="873"/>
      <c r="M587" s="873"/>
      <c r="N587" s="873"/>
      <c r="O587" s="873"/>
      <c r="P587" s="873"/>
      <c r="Q587" s="873"/>
      <c r="R587" s="873"/>
      <c r="S587" s="873"/>
      <c r="T587" s="873"/>
      <c r="U587" s="873"/>
      <c r="V587" s="873"/>
      <c r="W587" s="873"/>
      <c r="X587" s="873"/>
      <c r="Y587" s="873"/>
      <c r="Z587" s="873"/>
      <c r="AA587" s="873"/>
      <c r="AB587" s="873"/>
      <c r="AC587" s="873"/>
      <c r="AD587" s="873"/>
      <c r="AE587" s="873"/>
      <c r="AF587" s="873"/>
      <c r="AG587" s="873"/>
      <c r="AH587" s="873"/>
      <c r="AI587" s="873"/>
      <c r="AJ587" s="873"/>
      <c r="AK587" s="873"/>
      <c r="AL587" s="873"/>
      <c r="AM587" s="873"/>
      <c r="AN587" s="873"/>
      <c r="AO587" s="873"/>
      <c r="AP587" s="873"/>
      <c r="AQ587" s="873"/>
      <c r="AR587" s="873"/>
      <c r="AS587" s="873"/>
      <c r="AT587" s="873"/>
      <c r="AU587" s="873"/>
      <c r="AV587" s="873"/>
    </row>
    <row r="588" spans="1:48" ht="11.25" customHeight="1" x14ac:dyDescent="0.2">
      <c r="A588" s="873"/>
      <c r="B588" s="873"/>
      <c r="C588" s="873"/>
      <c r="D588" s="873"/>
      <c r="E588" s="873"/>
      <c r="F588" s="873"/>
      <c r="G588" s="873"/>
      <c r="H588" s="873"/>
      <c r="I588" s="873"/>
      <c r="J588" s="873"/>
      <c r="K588" s="873"/>
      <c r="L588" s="873"/>
      <c r="M588" s="873"/>
      <c r="N588" s="873"/>
      <c r="O588" s="873"/>
      <c r="P588" s="873"/>
      <c r="Q588" s="873"/>
      <c r="R588" s="873"/>
      <c r="S588" s="873"/>
      <c r="T588" s="873"/>
      <c r="U588" s="873"/>
      <c r="V588" s="873"/>
      <c r="W588" s="873"/>
      <c r="X588" s="873"/>
      <c r="Y588" s="873"/>
      <c r="Z588" s="873"/>
      <c r="AA588" s="873"/>
      <c r="AB588" s="873"/>
      <c r="AC588" s="873"/>
      <c r="AD588" s="873"/>
      <c r="AE588" s="873"/>
      <c r="AF588" s="873"/>
      <c r="AG588" s="873"/>
      <c r="AH588" s="873"/>
      <c r="AI588" s="873"/>
      <c r="AJ588" s="873"/>
      <c r="AK588" s="873"/>
      <c r="AL588" s="873"/>
      <c r="AM588" s="873"/>
      <c r="AN588" s="873"/>
      <c r="AO588" s="873"/>
      <c r="AP588" s="873"/>
      <c r="AQ588" s="873"/>
      <c r="AR588" s="873"/>
      <c r="AS588" s="873"/>
      <c r="AT588" s="873"/>
      <c r="AU588" s="873"/>
      <c r="AV588" s="873"/>
    </row>
    <row r="589" spans="1:48" ht="11.25" customHeight="1" x14ac:dyDescent="0.2">
      <c r="A589" s="873"/>
      <c r="B589" s="873"/>
      <c r="C589" s="873"/>
      <c r="D589" s="873"/>
      <c r="E589" s="873"/>
      <c r="F589" s="873"/>
      <c r="G589" s="873"/>
      <c r="H589" s="873"/>
      <c r="I589" s="873"/>
      <c r="J589" s="873"/>
      <c r="K589" s="873"/>
      <c r="L589" s="873"/>
      <c r="M589" s="873"/>
      <c r="N589" s="873"/>
      <c r="O589" s="873"/>
      <c r="P589" s="873"/>
      <c r="Q589" s="873"/>
      <c r="R589" s="873"/>
      <c r="S589" s="873"/>
      <c r="T589" s="873"/>
      <c r="U589" s="873"/>
      <c r="V589" s="873"/>
      <c r="W589" s="873"/>
      <c r="X589" s="873"/>
      <c r="Y589" s="873"/>
      <c r="Z589" s="873"/>
      <c r="AA589" s="873"/>
      <c r="AB589" s="873"/>
      <c r="AC589" s="873"/>
      <c r="AD589" s="873"/>
      <c r="AE589" s="873"/>
      <c r="AF589" s="873"/>
      <c r="AG589" s="873"/>
      <c r="AH589" s="873"/>
      <c r="AI589" s="873"/>
      <c r="AJ589" s="873"/>
      <c r="AK589" s="873"/>
      <c r="AL589" s="873"/>
      <c r="AM589" s="873"/>
      <c r="AN589" s="873"/>
      <c r="AO589" s="873"/>
      <c r="AP589" s="873"/>
      <c r="AQ589" s="873"/>
      <c r="AR589" s="873"/>
      <c r="AS589" s="873"/>
      <c r="AT589" s="873"/>
      <c r="AU589" s="873"/>
      <c r="AV589" s="873"/>
    </row>
    <row r="590" spans="1:48" ht="11.25" customHeight="1" x14ac:dyDescent="0.2">
      <c r="A590" s="873"/>
      <c r="B590" s="873"/>
      <c r="C590" s="873"/>
      <c r="D590" s="873"/>
      <c r="E590" s="873"/>
      <c r="F590" s="873"/>
      <c r="G590" s="873"/>
      <c r="H590" s="873"/>
      <c r="I590" s="873"/>
      <c r="J590" s="873"/>
      <c r="K590" s="873"/>
      <c r="L590" s="873"/>
      <c r="M590" s="873"/>
      <c r="N590" s="873"/>
      <c r="O590" s="873"/>
      <c r="P590" s="873"/>
      <c r="Q590" s="873"/>
      <c r="R590" s="873"/>
      <c r="S590" s="873"/>
      <c r="T590" s="873"/>
      <c r="U590" s="873"/>
      <c r="V590" s="873"/>
      <c r="W590" s="873"/>
      <c r="X590" s="873"/>
      <c r="Y590" s="873"/>
      <c r="Z590" s="873"/>
      <c r="AA590" s="873"/>
      <c r="AB590" s="873"/>
      <c r="AC590" s="873"/>
      <c r="AD590" s="873"/>
      <c r="AE590" s="873"/>
      <c r="AF590" s="873"/>
      <c r="AG590" s="873"/>
      <c r="AH590" s="873"/>
      <c r="AI590" s="873"/>
      <c r="AJ590" s="873"/>
      <c r="AK590" s="873"/>
      <c r="AL590" s="873"/>
      <c r="AM590" s="873"/>
      <c r="AN590" s="873"/>
      <c r="AO590" s="873"/>
      <c r="AP590" s="873"/>
      <c r="AQ590" s="873"/>
      <c r="AR590" s="873"/>
      <c r="AS590" s="873"/>
      <c r="AT590" s="873"/>
      <c r="AU590" s="873"/>
      <c r="AV590" s="873"/>
    </row>
    <row r="591" spans="1:48" ht="11.25" customHeight="1" x14ac:dyDescent="0.2">
      <c r="A591" s="873"/>
      <c r="B591" s="873"/>
      <c r="C591" s="873"/>
      <c r="D591" s="873"/>
      <c r="E591" s="873"/>
      <c r="F591" s="873"/>
      <c r="G591" s="873"/>
      <c r="H591" s="873"/>
      <c r="I591" s="873"/>
      <c r="J591" s="873"/>
      <c r="K591" s="873"/>
      <c r="L591" s="873"/>
      <c r="M591" s="873"/>
      <c r="N591" s="873"/>
      <c r="O591" s="873"/>
      <c r="P591" s="873"/>
      <c r="Q591" s="873"/>
      <c r="R591" s="873"/>
      <c r="S591" s="873"/>
      <c r="T591" s="873"/>
      <c r="U591" s="873"/>
      <c r="V591" s="873"/>
      <c r="W591" s="873"/>
      <c r="X591" s="873"/>
      <c r="Y591" s="873"/>
      <c r="Z591" s="873"/>
      <c r="AA591" s="873"/>
      <c r="AB591" s="873"/>
      <c r="AC591" s="873"/>
      <c r="AD591" s="873"/>
      <c r="AE591" s="873"/>
      <c r="AF591" s="873"/>
      <c r="AG591" s="873"/>
      <c r="AH591" s="873"/>
      <c r="AI591" s="873"/>
      <c r="AJ591" s="873"/>
      <c r="AK591" s="873"/>
      <c r="AL591" s="873"/>
      <c r="AM591" s="873"/>
      <c r="AN591" s="873"/>
      <c r="AO591" s="873"/>
      <c r="AP591" s="873"/>
      <c r="AQ591" s="873"/>
      <c r="AR591" s="873"/>
      <c r="AS591" s="873"/>
      <c r="AT591" s="873"/>
      <c r="AU591" s="873"/>
      <c r="AV591" s="873"/>
    </row>
    <row r="592" spans="1:48" ht="11.25" customHeight="1" x14ac:dyDescent="0.2">
      <c r="A592" s="873"/>
      <c r="B592" s="873"/>
      <c r="C592" s="873"/>
      <c r="D592" s="873"/>
      <c r="E592" s="873"/>
      <c r="F592" s="873"/>
      <c r="G592" s="873"/>
      <c r="H592" s="873"/>
      <c r="I592" s="873"/>
      <c r="J592" s="873"/>
      <c r="K592" s="873"/>
      <c r="L592" s="873"/>
      <c r="M592" s="873"/>
      <c r="N592" s="873"/>
      <c r="O592" s="873"/>
      <c r="P592" s="873"/>
      <c r="Q592" s="873"/>
      <c r="R592" s="873"/>
      <c r="S592" s="873"/>
      <c r="T592" s="873"/>
      <c r="U592" s="873"/>
      <c r="V592" s="873"/>
      <c r="W592" s="873"/>
      <c r="X592" s="873"/>
      <c r="Y592" s="873"/>
      <c r="Z592" s="873"/>
      <c r="AA592" s="873"/>
      <c r="AB592" s="873"/>
      <c r="AC592" s="873"/>
      <c r="AD592" s="873"/>
      <c r="AE592" s="873"/>
      <c r="AF592" s="873"/>
      <c r="AG592" s="873"/>
      <c r="AH592" s="873"/>
      <c r="AI592" s="873"/>
      <c r="AJ592" s="873"/>
      <c r="AK592" s="873"/>
      <c r="AL592" s="873"/>
      <c r="AM592" s="873"/>
      <c r="AN592" s="873"/>
      <c r="AO592" s="873"/>
      <c r="AP592" s="873"/>
      <c r="AQ592" s="873"/>
      <c r="AR592" s="873"/>
      <c r="AS592" s="873"/>
      <c r="AT592" s="873"/>
      <c r="AU592" s="873"/>
      <c r="AV592" s="873"/>
    </row>
    <row r="593" spans="1:48" ht="11.25" customHeight="1" x14ac:dyDescent="0.2">
      <c r="A593" s="873"/>
      <c r="B593" s="873"/>
      <c r="C593" s="873"/>
      <c r="D593" s="873"/>
      <c r="E593" s="873"/>
      <c r="F593" s="873"/>
      <c r="G593" s="873"/>
      <c r="H593" s="873"/>
      <c r="I593" s="873"/>
      <c r="J593" s="873"/>
      <c r="K593" s="873"/>
      <c r="L593" s="873"/>
      <c r="M593" s="873"/>
      <c r="N593" s="873"/>
      <c r="O593" s="873"/>
      <c r="P593" s="873"/>
      <c r="Q593" s="873"/>
      <c r="R593" s="873"/>
      <c r="S593" s="873"/>
      <c r="T593" s="873"/>
      <c r="U593" s="873"/>
      <c r="V593" s="873"/>
      <c r="W593" s="873"/>
      <c r="X593" s="873"/>
      <c r="Y593" s="873"/>
      <c r="Z593" s="873"/>
      <c r="AA593" s="873"/>
      <c r="AB593" s="873"/>
      <c r="AC593" s="873"/>
      <c r="AD593" s="873"/>
      <c r="AE593" s="873"/>
      <c r="AF593" s="873"/>
      <c r="AG593" s="873"/>
      <c r="AH593" s="873"/>
      <c r="AI593" s="873"/>
      <c r="AJ593" s="873"/>
      <c r="AK593" s="873"/>
      <c r="AL593" s="873"/>
      <c r="AM593" s="873"/>
      <c r="AN593" s="873"/>
      <c r="AO593" s="873"/>
      <c r="AP593" s="873"/>
      <c r="AQ593" s="873"/>
      <c r="AR593" s="873"/>
      <c r="AS593" s="873"/>
      <c r="AT593" s="873"/>
      <c r="AU593" s="873"/>
      <c r="AV593" s="873"/>
    </row>
    <row r="594" spans="1:48" ht="11.25" customHeight="1" x14ac:dyDescent="0.2">
      <c r="A594" s="873"/>
      <c r="B594" s="873"/>
      <c r="C594" s="873"/>
      <c r="D594" s="873"/>
      <c r="E594" s="873"/>
      <c r="F594" s="873"/>
      <c r="G594" s="873"/>
      <c r="H594" s="873"/>
      <c r="I594" s="873"/>
      <c r="J594" s="873"/>
      <c r="K594" s="873"/>
      <c r="L594" s="873"/>
      <c r="M594" s="873"/>
      <c r="N594" s="873"/>
      <c r="O594" s="873"/>
      <c r="P594" s="873"/>
      <c r="Q594" s="873"/>
      <c r="R594" s="873"/>
      <c r="S594" s="873"/>
      <c r="T594" s="873"/>
      <c r="U594" s="873"/>
      <c r="V594" s="873"/>
      <c r="W594" s="873"/>
      <c r="X594" s="873"/>
      <c r="Y594" s="873"/>
      <c r="Z594" s="873"/>
      <c r="AA594" s="873"/>
      <c r="AB594" s="873"/>
      <c r="AC594" s="873"/>
      <c r="AD594" s="873"/>
      <c r="AE594" s="873"/>
      <c r="AF594" s="873"/>
      <c r="AG594" s="873"/>
      <c r="AH594" s="873"/>
      <c r="AI594" s="873"/>
      <c r="AJ594" s="873"/>
      <c r="AK594" s="873"/>
      <c r="AL594" s="873"/>
      <c r="AM594" s="873"/>
      <c r="AN594" s="873"/>
      <c r="AO594" s="873"/>
      <c r="AP594" s="873"/>
      <c r="AQ594" s="873"/>
      <c r="AR594" s="873"/>
      <c r="AS594" s="873"/>
      <c r="AT594" s="873"/>
      <c r="AU594" s="873"/>
      <c r="AV594" s="873"/>
    </row>
    <row r="595" spans="1:48" ht="11.25" customHeight="1" x14ac:dyDescent="0.2">
      <c r="A595" s="873"/>
      <c r="B595" s="873"/>
      <c r="C595" s="873"/>
      <c r="D595" s="873"/>
      <c r="E595" s="873"/>
      <c r="F595" s="873"/>
      <c r="G595" s="873"/>
      <c r="H595" s="873"/>
      <c r="I595" s="873"/>
      <c r="J595" s="873"/>
      <c r="K595" s="873"/>
      <c r="L595" s="873"/>
      <c r="M595" s="873"/>
      <c r="N595" s="873"/>
      <c r="O595" s="873"/>
      <c r="P595" s="873"/>
      <c r="Q595" s="873"/>
      <c r="R595" s="873"/>
      <c r="S595" s="873"/>
      <c r="T595" s="873"/>
      <c r="U595" s="873"/>
      <c r="V595" s="873"/>
      <c r="W595" s="873"/>
      <c r="X595" s="873"/>
      <c r="Y595" s="873"/>
      <c r="Z595" s="873"/>
      <c r="AA595" s="873"/>
      <c r="AB595" s="873"/>
      <c r="AC595" s="873"/>
      <c r="AD595" s="873"/>
      <c r="AE595" s="873"/>
      <c r="AF595" s="873"/>
      <c r="AG595" s="873"/>
      <c r="AH595" s="873"/>
      <c r="AI595" s="873"/>
      <c r="AJ595" s="873"/>
      <c r="AK595" s="873"/>
      <c r="AL595" s="873"/>
      <c r="AM595" s="873"/>
      <c r="AN595" s="873"/>
      <c r="AO595" s="873"/>
      <c r="AP595" s="873"/>
      <c r="AQ595" s="873"/>
      <c r="AR595" s="873"/>
      <c r="AS595" s="873"/>
      <c r="AT595" s="873"/>
      <c r="AU595" s="873"/>
      <c r="AV595" s="873"/>
    </row>
    <row r="596" spans="1:48" ht="11.25" customHeight="1" x14ac:dyDescent="0.2">
      <c r="A596" s="873"/>
      <c r="B596" s="873"/>
      <c r="C596" s="873"/>
      <c r="D596" s="873"/>
      <c r="E596" s="873"/>
      <c r="F596" s="873"/>
      <c r="G596" s="873"/>
      <c r="H596" s="873"/>
      <c r="I596" s="873"/>
      <c r="J596" s="873"/>
      <c r="K596" s="873"/>
      <c r="L596" s="873"/>
      <c r="M596" s="873"/>
      <c r="N596" s="873"/>
      <c r="O596" s="873"/>
      <c r="P596" s="873"/>
      <c r="Q596" s="873"/>
      <c r="R596" s="873"/>
      <c r="S596" s="873"/>
      <c r="T596" s="873"/>
      <c r="U596" s="873"/>
      <c r="V596" s="873"/>
      <c r="W596" s="873"/>
      <c r="X596" s="873"/>
      <c r="Y596" s="873"/>
      <c r="Z596" s="873"/>
      <c r="AA596" s="873"/>
      <c r="AB596" s="873"/>
      <c r="AC596" s="873"/>
      <c r="AD596" s="873"/>
      <c r="AE596" s="873"/>
      <c r="AF596" s="873"/>
      <c r="AG596" s="873"/>
      <c r="AH596" s="873"/>
      <c r="AI596" s="873"/>
      <c r="AJ596" s="873"/>
      <c r="AK596" s="873"/>
      <c r="AL596" s="873"/>
      <c r="AM596" s="873"/>
      <c r="AN596" s="873"/>
      <c r="AO596" s="873"/>
      <c r="AP596" s="873"/>
      <c r="AQ596" s="873"/>
      <c r="AR596" s="873"/>
      <c r="AS596" s="873"/>
      <c r="AT596" s="873"/>
      <c r="AU596" s="873"/>
      <c r="AV596" s="873"/>
    </row>
    <row r="597" spans="1:48" ht="11.25" customHeight="1" x14ac:dyDescent="0.2">
      <c r="A597" s="873"/>
      <c r="B597" s="873"/>
      <c r="C597" s="873"/>
      <c r="D597" s="873"/>
      <c r="E597" s="873"/>
      <c r="F597" s="873"/>
      <c r="G597" s="873"/>
      <c r="H597" s="873"/>
      <c r="I597" s="873"/>
      <c r="J597" s="873"/>
      <c r="K597" s="873"/>
      <c r="L597" s="873"/>
      <c r="M597" s="873"/>
      <c r="N597" s="873"/>
      <c r="O597" s="873"/>
      <c r="P597" s="873"/>
      <c r="Q597" s="873"/>
      <c r="R597" s="873"/>
      <c r="S597" s="873"/>
      <c r="T597" s="873"/>
      <c r="U597" s="873"/>
      <c r="V597" s="873"/>
      <c r="W597" s="873"/>
      <c r="X597" s="873"/>
      <c r="Y597" s="873"/>
      <c r="Z597" s="873"/>
      <c r="AA597" s="873"/>
      <c r="AB597" s="873"/>
      <c r="AC597" s="873"/>
      <c r="AD597" s="873"/>
      <c r="AE597" s="873"/>
      <c r="AF597" s="873"/>
      <c r="AG597" s="873"/>
      <c r="AH597" s="873"/>
      <c r="AI597" s="873"/>
      <c r="AJ597" s="873"/>
      <c r="AK597" s="873"/>
      <c r="AL597" s="873"/>
      <c r="AM597" s="873"/>
      <c r="AN597" s="873"/>
      <c r="AO597" s="873"/>
      <c r="AP597" s="873"/>
      <c r="AQ597" s="873"/>
      <c r="AR597" s="873"/>
      <c r="AS597" s="873"/>
      <c r="AT597" s="873"/>
      <c r="AU597" s="873"/>
      <c r="AV597" s="873"/>
    </row>
    <row r="598" spans="1:48" ht="11.25" customHeight="1" x14ac:dyDescent="0.2">
      <c r="A598" s="873"/>
      <c r="B598" s="873"/>
      <c r="C598" s="873"/>
      <c r="D598" s="873"/>
      <c r="E598" s="873"/>
      <c r="F598" s="873"/>
      <c r="G598" s="873"/>
      <c r="H598" s="873"/>
      <c r="I598" s="873"/>
      <c r="J598" s="873"/>
      <c r="K598" s="873"/>
      <c r="L598" s="873"/>
      <c r="M598" s="873"/>
      <c r="N598" s="873"/>
      <c r="O598" s="873"/>
      <c r="P598" s="873"/>
      <c r="Q598" s="873"/>
      <c r="R598" s="873"/>
      <c r="S598" s="873"/>
      <c r="T598" s="873"/>
      <c r="U598" s="873"/>
      <c r="V598" s="873"/>
      <c r="W598" s="873"/>
      <c r="X598" s="873"/>
      <c r="Y598" s="873"/>
      <c r="Z598" s="873"/>
      <c r="AA598" s="873"/>
      <c r="AB598" s="873"/>
      <c r="AC598" s="873"/>
      <c r="AD598" s="873"/>
      <c r="AE598" s="873"/>
      <c r="AF598" s="873"/>
      <c r="AG598" s="873"/>
      <c r="AH598" s="873"/>
      <c r="AI598" s="873"/>
      <c r="AJ598" s="873"/>
      <c r="AK598" s="873"/>
      <c r="AL598" s="873"/>
      <c r="AM598" s="873"/>
      <c r="AN598" s="873"/>
      <c r="AO598" s="873"/>
      <c r="AP598" s="873"/>
      <c r="AQ598" s="873"/>
      <c r="AR598" s="873"/>
      <c r="AS598" s="873"/>
      <c r="AT598" s="873"/>
      <c r="AU598" s="873"/>
      <c r="AV598" s="873"/>
    </row>
    <row r="599" spans="1:48" ht="11.25" customHeight="1" x14ac:dyDescent="0.2">
      <c r="A599" s="873"/>
      <c r="B599" s="873"/>
      <c r="C599" s="873"/>
      <c r="D599" s="873"/>
      <c r="E599" s="873"/>
      <c r="F599" s="873"/>
      <c r="G599" s="873"/>
      <c r="H599" s="873"/>
      <c r="I599" s="873"/>
      <c r="J599" s="873"/>
      <c r="K599" s="873"/>
      <c r="L599" s="873"/>
      <c r="M599" s="873"/>
      <c r="N599" s="873"/>
      <c r="O599" s="873"/>
      <c r="P599" s="873"/>
      <c r="Q599" s="873"/>
      <c r="R599" s="873"/>
      <c r="S599" s="873"/>
      <c r="T599" s="873"/>
      <c r="U599" s="873"/>
      <c r="V599" s="873"/>
      <c r="W599" s="873"/>
      <c r="X599" s="873"/>
      <c r="Y599" s="873"/>
      <c r="Z599" s="873"/>
      <c r="AA599" s="873"/>
      <c r="AB599" s="873"/>
      <c r="AC599" s="873"/>
      <c r="AD599" s="873"/>
      <c r="AE599" s="873"/>
      <c r="AF599" s="873"/>
      <c r="AG599" s="873"/>
      <c r="AH599" s="873"/>
      <c r="AI599" s="873"/>
      <c r="AJ599" s="873"/>
      <c r="AK599" s="873"/>
      <c r="AL599" s="873"/>
      <c r="AM599" s="873"/>
      <c r="AN599" s="873"/>
      <c r="AO599" s="873"/>
      <c r="AP599" s="873"/>
      <c r="AQ599" s="873"/>
      <c r="AR599" s="873"/>
      <c r="AS599" s="873"/>
      <c r="AT599" s="873"/>
      <c r="AU599" s="873"/>
      <c r="AV599" s="873"/>
    </row>
    <row r="600" spans="1:48" ht="11.25" customHeight="1" x14ac:dyDescent="0.2">
      <c r="A600" s="873"/>
      <c r="B600" s="873"/>
      <c r="C600" s="873"/>
      <c r="D600" s="873"/>
      <c r="E600" s="873"/>
      <c r="F600" s="873"/>
      <c r="G600" s="873"/>
      <c r="H600" s="873"/>
      <c r="I600" s="873"/>
      <c r="J600" s="873"/>
      <c r="K600" s="873"/>
      <c r="L600" s="873"/>
      <c r="M600" s="873"/>
      <c r="N600" s="873"/>
      <c r="O600" s="873"/>
      <c r="P600" s="873"/>
      <c r="Q600" s="873"/>
      <c r="R600" s="873"/>
      <c r="S600" s="873"/>
      <c r="T600" s="873"/>
      <c r="U600" s="873"/>
      <c r="V600" s="873"/>
      <c r="W600" s="873"/>
      <c r="X600" s="873"/>
      <c r="Y600" s="873"/>
      <c r="Z600" s="873"/>
      <c r="AA600" s="873"/>
      <c r="AB600" s="873"/>
      <c r="AC600" s="873"/>
      <c r="AD600" s="873"/>
      <c r="AE600" s="873"/>
      <c r="AF600" s="873"/>
      <c r="AG600" s="873"/>
      <c r="AH600" s="873"/>
      <c r="AI600" s="873"/>
      <c r="AJ600" s="873"/>
      <c r="AK600" s="873"/>
      <c r="AL600" s="873"/>
      <c r="AM600" s="873"/>
      <c r="AN600" s="873"/>
      <c r="AO600" s="873"/>
      <c r="AP600" s="873"/>
      <c r="AQ600" s="873"/>
      <c r="AR600" s="873"/>
      <c r="AS600" s="873"/>
      <c r="AT600" s="873"/>
      <c r="AU600" s="873"/>
      <c r="AV600" s="873"/>
    </row>
    <row r="601" spans="1:48" ht="11.25" customHeight="1" x14ac:dyDescent="0.2">
      <c r="A601" s="873"/>
      <c r="B601" s="873"/>
      <c r="C601" s="873"/>
      <c r="D601" s="873"/>
      <c r="E601" s="873"/>
      <c r="F601" s="873"/>
      <c r="G601" s="873"/>
      <c r="H601" s="873"/>
      <c r="I601" s="873"/>
      <c r="J601" s="873"/>
      <c r="K601" s="873"/>
      <c r="L601" s="873"/>
      <c r="M601" s="873"/>
      <c r="N601" s="873"/>
      <c r="O601" s="873"/>
      <c r="P601" s="873"/>
      <c r="Q601" s="873"/>
      <c r="R601" s="873"/>
      <c r="S601" s="873"/>
      <c r="T601" s="873"/>
      <c r="U601" s="873"/>
      <c r="V601" s="873"/>
      <c r="W601" s="873"/>
      <c r="X601" s="873"/>
      <c r="Y601" s="873"/>
      <c r="Z601" s="873"/>
      <c r="AA601" s="873"/>
      <c r="AB601" s="873"/>
      <c r="AC601" s="873"/>
      <c r="AD601" s="873"/>
      <c r="AE601" s="873"/>
      <c r="AF601" s="873"/>
      <c r="AG601" s="873"/>
      <c r="AH601" s="873"/>
      <c r="AI601" s="873"/>
      <c r="AJ601" s="873"/>
      <c r="AK601" s="873"/>
      <c r="AL601" s="873"/>
      <c r="AM601" s="873"/>
      <c r="AN601" s="873"/>
      <c r="AO601" s="873"/>
      <c r="AP601" s="873"/>
      <c r="AQ601" s="873"/>
      <c r="AR601" s="873"/>
      <c r="AS601" s="873"/>
      <c r="AT601" s="873"/>
      <c r="AU601" s="873"/>
      <c r="AV601" s="873"/>
    </row>
    <row r="602" spans="1:48" ht="11.25" customHeight="1" x14ac:dyDescent="0.2">
      <c r="A602" s="873"/>
      <c r="B602" s="873"/>
      <c r="C602" s="873"/>
      <c r="D602" s="873"/>
      <c r="E602" s="873"/>
      <c r="F602" s="873"/>
      <c r="G602" s="873"/>
      <c r="H602" s="873"/>
      <c r="I602" s="873"/>
      <c r="J602" s="873"/>
      <c r="K602" s="873"/>
      <c r="L602" s="873"/>
      <c r="M602" s="873"/>
      <c r="N602" s="873"/>
      <c r="O602" s="873"/>
      <c r="P602" s="873"/>
      <c r="Q602" s="873"/>
      <c r="R602" s="873"/>
      <c r="S602" s="873"/>
      <c r="T602" s="873"/>
      <c r="U602" s="873"/>
      <c r="V602" s="873"/>
      <c r="W602" s="873"/>
      <c r="X602" s="873"/>
      <c r="Y602" s="873"/>
      <c r="Z602" s="873"/>
      <c r="AA602" s="873"/>
      <c r="AB602" s="873"/>
      <c r="AC602" s="873"/>
      <c r="AD602" s="873"/>
      <c r="AE602" s="873"/>
      <c r="AF602" s="873"/>
      <c r="AG602" s="873"/>
      <c r="AH602" s="873"/>
      <c r="AI602" s="873"/>
      <c r="AJ602" s="873"/>
      <c r="AK602" s="873"/>
      <c r="AL602" s="873"/>
      <c r="AM602" s="873"/>
      <c r="AN602" s="873"/>
      <c r="AO602" s="873"/>
      <c r="AP602" s="873"/>
      <c r="AQ602" s="873"/>
      <c r="AR602" s="873"/>
      <c r="AS602" s="873"/>
      <c r="AT602" s="873"/>
      <c r="AU602" s="873"/>
      <c r="AV602" s="873"/>
    </row>
    <row r="603" spans="1:48" ht="11.25" customHeight="1" x14ac:dyDescent="0.2">
      <c r="A603" s="873"/>
      <c r="B603" s="873"/>
      <c r="C603" s="873"/>
      <c r="D603" s="873"/>
      <c r="E603" s="873"/>
      <c r="F603" s="873"/>
      <c r="G603" s="873"/>
      <c r="H603" s="873"/>
      <c r="I603" s="873"/>
      <c r="J603" s="873"/>
      <c r="K603" s="873"/>
      <c r="L603" s="873"/>
      <c r="M603" s="873"/>
      <c r="N603" s="873"/>
      <c r="O603" s="873"/>
      <c r="P603" s="873"/>
      <c r="Q603" s="873"/>
      <c r="R603" s="873"/>
      <c r="S603" s="873"/>
      <c r="T603" s="873"/>
      <c r="U603" s="873"/>
      <c r="V603" s="873"/>
      <c r="W603" s="873"/>
      <c r="X603" s="873"/>
      <c r="Y603" s="873"/>
      <c r="Z603" s="873"/>
      <c r="AA603" s="873"/>
      <c r="AB603" s="873"/>
      <c r="AC603" s="873"/>
      <c r="AD603" s="873"/>
      <c r="AE603" s="873"/>
      <c r="AF603" s="873"/>
      <c r="AG603" s="873"/>
      <c r="AH603" s="873"/>
      <c r="AI603" s="873"/>
      <c r="AJ603" s="873"/>
      <c r="AK603" s="873"/>
      <c r="AL603" s="873"/>
      <c r="AM603" s="873"/>
      <c r="AN603" s="873"/>
      <c r="AO603" s="873"/>
      <c r="AP603" s="873"/>
      <c r="AQ603" s="873"/>
      <c r="AR603" s="873"/>
      <c r="AS603" s="873"/>
      <c r="AT603" s="873"/>
      <c r="AU603" s="873"/>
      <c r="AV603" s="873"/>
    </row>
    <row r="604" spans="1:48" ht="11.25" customHeight="1" x14ac:dyDescent="0.2">
      <c r="A604" s="873"/>
      <c r="B604" s="873"/>
      <c r="C604" s="873"/>
      <c r="D604" s="873"/>
      <c r="E604" s="873"/>
      <c r="F604" s="873"/>
      <c r="G604" s="873"/>
      <c r="H604" s="873"/>
      <c r="I604" s="873"/>
      <c r="J604" s="873"/>
      <c r="K604" s="873"/>
      <c r="L604" s="873"/>
      <c r="M604" s="873"/>
      <c r="N604" s="873"/>
      <c r="O604" s="873"/>
      <c r="P604" s="873"/>
      <c r="Q604" s="873"/>
      <c r="R604" s="873"/>
      <c r="S604" s="873"/>
      <c r="T604" s="873"/>
      <c r="U604" s="873"/>
      <c r="V604" s="873"/>
      <c r="W604" s="873"/>
      <c r="X604" s="873"/>
      <c r="Y604" s="873"/>
      <c r="Z604" s="873"/>
      <c r="AA604" s="873"/>
      <c r="AB604" s="873"/>
      <c r="AC604" s="873"/>
      <c r="AD604" s="873"/>
      <c r="AE604" s="873"/>
      <c r="AF604" s="873"/>
      <c r="AG604" s="873"/>
      <c r="AH604" s="873"/>
      <c r="AI604" s="873"/>
      <c r="AJ604" s="873"/>
      <c r="AK604" s="873"/>
      <c r="AL604" s="873"/>
      <c r="AM604" s="873"/>
      <c r="AN604" s="873"/>
      <c r="AO604" s="873"/>
      <c r="AP604" s="873"/>
      <c r="AQ604" s="873"/>
      <c r="AR604" s="873"/>
      <c r="AS604" s="873"/>
      <c r="AT604" s="873"/>
      <c r="AU604" s="873"/>
      <c r="AV604" s="873"/>
    </row>
    <row r="605" spans="1:48" ht="11.25" customHeight="1" x14ac:dyDescent="0.2">
      <c r="A605" s="873"/>
      <c r="B605" s="873"/>
      <c r="C605" s="873"/>
      <c r="D605" s="873"/>
      <c r="E605" s="873"/>
      <c r="F605" s="873"/>
      <c r="G605" s="873"/>
      <c r="H605" s="873"/>
      <c r="I605" s="873"/>
      <c r="J605" s="873"/>
      <c r="K605" s="873"/>
      <c r="L605" s="873"/>
      <c r="M605" s="873"/>
      <c r="N605" s="873"/>
      <c r="O605" s="873"/>
      <c r="P605" s="873"/>
      <c r="Q605" s="873"/>
      <c r="R605" s="873"/>
      <c r="S605" s="873"/>
      <c r="T605" s="873"/>
      <c r="U605" s="873"/>
      <c r="V605" s="873"/>
      <c r="W605" s="873"/>
      <c r="X605" s="873"/>
      <c r="Y605" s="873"/>
      <c r="Z605" s="873"/>
      <c r="AA605" s="873"/>
      <c r="AB605" s="873"/>
      <c r="AC605" s="873"/>
      <c r="AD605" s="873"/>
      <c r="AE605" s="873"/>
      <c r="AF605" s="873"/>
      <c r="AG605" s="873"/>
      <c r="AH605" s="873"/>
      <c r="AI605" s="873"/>
      <c r="AJ605" s="873"/>
      <c r="AK605" s="873"/>
      <c r="AL605" s="873"/>
      <c r="AM605" s="873"/>
      <c r="AN605" s="873"/>
      <c r="AO605" s="873"/>
      <c r="AP605" s="873"/>
      <c r="AQ605" s="873"/>
      <c r="AR605" s="873"/>
      <c r="AS605" s="873"/>
      <c r="AT605" s="873"/>
      <c r="AU605" s="873"/>
      <c r="AV605" s="873"/>
    </row>
    <row r="606" spans="1:48" ht="11.25" customHeight="1" x14ac:dyDescent="0.2">
      <c r="A606" s="873"/>
      <c r="B606" s="873"/>
      <c r="C606" s="873"/>
      <c r="D606" s="873"/>
      <c r="E606" s="873"/>
      <c r="F606" s="873"/>
      <c r="G606" s="873"/>
      <c r="H606" s="873"/>
      <c r="I606" s="873"/>
      <c r="J606" s="873"/>
      <c r="K606" s="873"/>
      <c r="L606" s="873"/>
      <c r="M606" s="873"/>
      <c r="N606" s="873"/>
      <c r="O606" s="873"/>
      <c r="P606" s="873"/>
      <c r="Q606" s="873"/>
      <c r="R606" s="873"/>
      <c r="S606" s="873"/>
      <c r="T606" s="873"/>
      <c r="U606" s="873"/>
      <c r="V606" s="873"/>
      <c r="W606" s="873"/>
      <c r="X606" s="873"/>
      <c r="Y606" s="873"/>
      <c r="Z606" s="873"/>
      <c r="AA606" s="873"/>
      <c r="AB606" s="873"/>
      <c r="AC606" s="873"/>
      <c r="AD606" s="873"/>
      <c r="AE606" s="873"/>
      <c r="AF606" s="873"/>
      <c r="AG606" s="873"/>
      <c r="AH606" s="873"/>
      <c r="AI606" s="873"/>
      <c r="AJ606" s="873"/>
      <c r="AK606" s="873"/>
      <c r="AL606" s="873"/>
      <c r="AM606" s="873"/>
      <c r="AN606" s="873"/>
      <c r="AO606" s="873"/>
      <c r="AP606" s="873"/>
      <c r="AQ606" s="873"/>
      <c r="AR606" s="873"/>
      <c r="AS606" s="873"/>
      <c r="AT606" s="873"/>
      <c r="AU606" s="873"/>
      <c r="AV606" s="873"/>
    </row>
    <row r="607" spans="1:48" ht="11.25" customHeight="1" x14ac:dyDescent="0.2">
      <c r="A607" s="873"/>
      <c r="B607" s="873"/>
      <c r="C607" s="873"/>
      <c r="D607" s="873"/>
      <c r="E607" s="873"/>
      <c r="F607" s="873"/>
      <c r="G607" s="873"/>
      <c r="H607" s="873"/>
      <c r="I607" s="873"/>
      <c r="J607" s="873"/>
      <c r="K607" s="873"/>
      <c r="L607" s="873"/>
      <c r="M607" s="873"/>
      <c r="N607" s="873"/>
      <c r="O607" s="873"/>
      <c r="P607" s="873"/>
      <c r="Q607" s="873"/>
      <c r="R607" s="873"/>
      <c r="S607" s="873"/>
      <c r="T607" s="873"/>
      <c r="U607" s="873"/>
      <c r="V607" s="873"/>
      <c r="W607" s="873"/>
      <c r="X607" s="873"/>
      <c r="Y607" s="873"/>
      <c r="Z607" s="873"/>
      <c r="AA607" s="873"/>
      <c r="AB607" s="873"/>
      <c r="AC607" s="873"/>
      <c r="AD607" s="873"/>
      <c r="AE607" s="873"/>
      <c r="AF607" s="873"/>
      <c r="AG607" s="873"/>
      <c r="AH607" s="873"/>
      <c r="AI607" s="873"/>
      <c r="AJ607" s="873"/>
      <c r="AK607" s="873"/>
      <c r="AL607" s="873"/>
      <c r="AM607" s="873"/>
      <c r="AN607" s="873"/>
      <c r="AO607" s="873"/>
      <c r="AP607" s="873"/>
      <c r="AQ607" s="873"/>
      <c r="AR607" s="873"/>
      <c r="AS607" s="873"/>
      <c r="AT607" s="873"/>
      <c r="AU607" s="873"/>
      <c r="AV607" s="873"/>
    </row>
    <row r="608" spans="1:48" ht="11.25" customHeight="1" x14ac:dyDescent="0.2">
      <c r="A608" s="873"/>
      <c r="B608" s="873"/>
      <c r="C608" s="873"/>
      <c r="D608" s="873"/>
      <c r="E608" s="873"/>
      <c r="F608" s="873"/>
      <c r="G608" s="873"/>
      <c r="H608" s="873"/>
      <c r="I608" s="873"/>
      <c r="J608" s="873"/>
      <c r="K608" s="873"/>
      <c r="L608" s="873"/>
      <c r="M608" s="873"/>
      <c r="N608" s="873"/>
      <c r="O608" s="873"/>
      <c r="P608" s="873"/>
      <c r="Q608" s="873"/>
      <c r="R608" s="873"/>
      <c r="S608" s="873"/>
      <c r="T608" s="873"/>
      <c r="U608" s="873"/>
      <c r="V608" s="873"/>
      <c r="W608" s="873"/>
      <c r="X608" s="873"/>
      <c r="Y608" s="873"/>
      <c r="Z608" s="873"/>
      <c r="AA608" s="873"/>
      <c r="AB608" s="873"/>
      <c r="AC608" s="873"/>
      <c r="AD608" s="873"/>
      <c r="AE608" s="873"/>
      <c r="AF608" s="873"/>
      <c r="AG608" s="873"/>
      <c r="AH608" s="873"/>
      <c r="AI608" s="873"/>
      <c r="AJ608" s="873"/>
      <c r="AK608" s="873"/>
      <c r="AL608" s="873"/>
      <c r="AM608" s="873"/>
      <c r="AN608" s="873"/>
      <c r="AO608" s="873"/>
      <c r="AP608" s="873"/>
      <c r="AQ608" s="873"/>
      <c r="AR608" s="873"/>
      <c r="AS608" s="873"/>
      <c r="AT608" s="873"/>
      <c r="AU608" s="873"/>
      <c r="AV608" s="873"/>
    </row>
    <row r="609" spans="1:48" ht="11.25" customHeight="1" x14ac:dyDescent="0.2">
      <c r="A609" s="873"/>
      <c r="B609" s="873"/>
      <c r="C609" s="873"/>
      <c r="D609" s="873"/>
      <c r="E609" s="873"/>
      <c r="F609" s="873"/>
      <c r="G609" s="873"/>
      <c r="H609" s="873"/>
      <c r="I609" s="873"/>
      <c r="J609" s="873"/>
      <c r="K609" s="873"/>
      <c r="L609" s="873"/>
      <c r="M609" s="873"/>
      <c r="N609" s="873"/>
      <c r="O609" s="873"/>
      <c r="P609" s="873"/>
      <c r="Q609" s="873"/>
      <c r="R609" s="873"/>
      <c r="S609" s="873"/>
      <c r="T609" s="873"/>
      <c r="U609" s="873"/>
      <c r="V609" s="873"/>
      <c r="W609" s="873"/>
      <c r="X609" s="873"/>
      <c r="Y609" s="873"/>
      <c r="Z609" s="873"/>
      <c r="AA609" s="873"/>
      <c r="AB609" s="873"/>
      <c r="AC609" s="873"/>
      <c r="AD609" s="873"/>
      <c r="AE609" s="873"/>
      <c r="AF609" s="873"/>
      <c r="AG609" s="873"/>
      <c r="AH609" s="873"/>
      <c r="AI609" s="873"/>
      <c r="AJ609" s="873"/>
      <c r="AK609" s="873"/>
      <c r="AL609" s="873"/>
      <c r="AM609" s="873"/>
      <c r="AN609" s="873"/>
      <c r="AO609" s="873"/>
      <c r="AP609" s="873"/>
      <c r="AQ609" s="873"/>
      <c r="AR609" s="873"/>
      <c r="AS609" s="873"/>
      <c r="AT609" s="873"/>
      <c r="AU609" s="873"/>
      <c r="AV609" s="873"/>
    </row>
    <row r="610" spans="1:48" ht="11.25" customHeight="1" x14ac:dyDescent="0.2">
      <c r="A610" s="873"/>
      <c r="B610" s="873"/>
      <c r="C610" s="873"/>
      <c r="D610" s="873"/>
      <c r="E610" s="873"/>
      <c r="F610" s="873"/>
      <c r="G610" s="873"/>
      <c r="H610" s="873"/>
      <c r="I610" s="873"/>
      <c r="J610" s="873"/>
      <c r="K610" s="873"/>
      <c r="L610" s="873"/>
      <c r="M610" s="873"/>
      <c r="N610" s="873"/>
      <c r="O610" s="873"/>
      <c r="P610" s="873"/>
      <c r="Q610" s="873"/>
      <c r="R610" s="873"/>
      <c r="S610" s="873"/>
      <c r="T610" s="873"/>
      <c r="U610" s="873"/>
      <c r="V610" s="873"/>
      <c r="W610" s="873"/>
      <c r="X610" s="873"/>
      <c r="Y610" s="873"/>
      <c r="Z610" s="873"/>
      <c r="AA610" s="873"/>
      <c r="AB610" s="873"/>
      <c r="AC610" s="873"/>
      <c r="AD610" s="873"/>
      <c r="AE610" s="873"/>
      <c r="AF610" s="873"/>
      <c r="AG610" s="873"/>
      <c r="AH610" s="873"/>
      <c r="AI610" s="873"/>
      <c r="AJ610" s="873"/>
      <c r="AK610" s="873"/>
      <c r="AL610" s="873"/>
      <c r="AM610" s="873"/>
      <c r="AN610" s="873"/>
      <c r="AO610" s="873"/>
      <c r="AP610" s="873"/>
      <c r="AQ610" s="873"/>
      <c r="AR610" s="873"/>
      <c r="AS610" s="873"/>
      <c r="AT610" s="873"/>
      <c r="AU610" s="873"/>
      <c r="AV610" s="873"/>
    </row>
    <row r="611" spans="1:48" ht="11.25" customHeight="1" x14ac:dyDescent="0.2">
      <c r="A611" s="873"/>
      <c r="B611" s="873"/>
      <c r="C611" s="873"/>
      <c r="D611" s="873"/>
      <c r="E611" s="873"/>
      <c r="F611" s="873"/>
      <c r="G611" s="873"/>
      <c r="H611" s="873"/>
      <c r="I611" s="873"/>
      <c r="J611" s="873"/>
      <c r="K611" s="873"/>
      <c r="L611" s="873"/>
      <c r="M611" s="873"/>
      <c r="N611" s="873"/>
      <c r="O611" s="873"/>
      <c r="P611" s="873"/>
      <c r="Q611" s="873"/>
      <c r="R611" s="873"/>
      <c r="S611" s="873"/>
      <c r="T611" s="873"/>
      <c r="U611" s="873"/>
      <c r="V611" s="873"/>
      <c r="W611" s="873"/>
      <c r="X611" s="873"/>
      <c r="Y611" s="873"/>
      <c r="Z611" s="873"/>
      <c r="AA611" s="873"/>
      <c r="AB611" s="873"/>
      <c r="AC611" s="873"/>
      <c r="AD611" s="873"/>
      <c r="AE611" s="873"/>
      <c r="AF611" s="873"/>
      <c r="AG611" s="873"/>
      <c r="AH611" s="873"/>
      <c r="AI611" s="873"/>
      <c r="AJ611" s="873"/>
      <c r="AK611" s="873"/>
      <c r="AL611" s="873"/>
      <c r="AM611" s="873"/>
      <c r="AN611" s="873"/>
      <c r="AO611" s="873"/>
      <c r="AP611" s="873"/>
      <c r="AQ611" s="873"/>
      <c r="AR611" s="873"/>
      <c r="AS611" s="873"/>
      <c r="AT611" s="873"/>
      <c r="AU611" s="873"/>
      <c r="AV611" s="873"/>
    </row>
    <row r="612" spans="1:48" ht="11.25" customHeight="1" x14ac:dyDescent="0.2">
      <c r="A612" s="873"/>
      <c r="B612" s="873"/>
      <c r="C612" s="873"/>
      <c r="D612" s="873"/>
      <c r="E612" s="873"/>
      <c r="F612" s="873"/>
      <c r="G612" s="873"/>
      <c r="H612" s="873"/>
      <c r="I612" s="873"/>
      <c r="J612" s="873"/>
      <c r="K612" s="873"/>
      <c r="L612" s="873"/>
      <c r="M612" s="873"/>
      <c r="N612" s="873"/>
      <c r="O612" s="873"/>
      <c r="P612" s="873"/>
      <c r="Q612" s="873"/>
      <c r="R612" s="873"/>
      <c r="S612" s="873"/>
      <c r="T612" s="873"/>
      <c r="U612" s="873"/>
      <c r="V612" s="873"/>
      <c r="W612" s="873"/>
      <c r="X612" s="873"/>
      <c r="Y612" s="873"/>
      <c r="Z612" s="873"/>
      <c r="AA612" s="873"/>
      <c r="AB612" s="873"/>
      <c r="AC612" s="873"/>
      <c r="AD612" s="873"/>
      <c r="AE612" s="873"/>
      <c r="AF612" s="873"/>
      <c r="AG612" s="873"/>
      <c r="AH612" s="873"/>
      <c r="AI612" s="873"/>
      <c r="AJ612" s="873"/>
      <c r="AK612" s="873"/>
      <c r="AL612" s="873"/>
      <c r="AM612" s="873"/>
      <c r="AN612" s="873"/>
      <c r="AO612" s="873"/>
      <c r="AP612" s="873"/>
      <c r="AQ612" s="873"/>
      <c r="AR612" s="873"/>
      <c r="AS612" s="873"/>
      <c r="AT612" s="873"/>
      <c r="AU612" s="873"/>
      <c r="AV612" s="873"/>
    </row>
    <row r="613" spans="1:48" ht="11.25" customHeight="1" x14ac:dyDescent="0.2">
      <c r="A613" s="873"/>
      <c r="B613" s="873"/>
      <c r="C613" s="873"/>
      <c r="D613" s="873"/>
      <c r="E613" s="873"/>
      <c r="F613" s="873"/>
      <c r="G613" s="873"/>
      <c r="H613" s="873"/>
      <c r="I613" s="873"/>
      <c r="J613" s="873"/>
      <c r="K613" s="873"/>
      <c r="L613" s="873"/>
      <c r="M613" s="873"/>
      <c r="N613" s="873"/>
      <c r="O613" s="873"/>
      <c r="P613" s="873"/>
      <c r="Q613" s="873"/>
      <c r="R613" s="873"/>
      <c r="S613" s="873"/>
      <c r="T613" s="873"/>
      <c r="U613" s="873"/>
      <c r="V613" s="873"/>
      <c r="W613" s="873"/>
      <c r="X613" s="873"/>
      <c r="Y613" s="873"/>
      <c r="Z613" s="873"/>
      <c r="AA613" s="873"/>
      <c r="AB613" s="873"/>
      <c r="AC613" s="873"/>
      <c r="AD613" s="873"/>
      <c r="AE613" s="873"/>
      <c r="AF613" s="873"/>
      <c r="AG613" s="873"/>
      <c r="AH613" s="873"/>
      <c r="AI613" s="873"/>
      <c r="AJ613" s="873"/>
      <c r="AK613" s="873"/>
      <c r="AL613" s="873"/>
      <c r="AM613" s="873"/>
      <c r="AN613" s="873"/>
      <c r="AO613" s="873"/>
      <c r="AP613" s="873"/>
      <c r="AQ613" s="873"/>
      <c r="AR613" s="873"/>
      <c r="AS613" s="873"/>
      <c r="AT613" s="873"/>
      <c r="AU613" s="873"/>
      <c r="AV613" s="873"/>
    </row>
    <row r="614" spans="1:48" ht="11.25" customHeight="1" x14ac:dyDescent="0.2">
      <c r="A614" s="873"/>
      <c r="B614" s="873"/>
      <c r="C614" s="873"/>
      <c r="D614" s="873"/>
      <c r="E614" s="873"/>
      <c r="F614" s="873"/>
      <c r="G614" s="873"/>
      <c r="H614" s="873"/>
      <c r="I614" s="873"/>
      <c r="J614" s="873"/>
      <c r="K614" s="873"/>
      <c r="L614" s="873"/>
      <c r="M614" s="873"/>
      <c r="N614" s="873"/>
      <c r="O614" s="873"/>
      <c r="P614" s="873"/>
      <c r="Q614" s="873"/>
      <c r="R614" s="873"/>
      <c r="S614" s="873"/>
      <c r="T614" s="873"/>
      <c r="U614" s="873"/>
      <c r="V614" s="873"/>
      <c r="W614" s="873"/>
      <c r="X614" s="873"/>
      <c r="Y614" s="873"/>
      <c r="Z614" s="873"/>
      <c r="AA614" s="873"/>
      <c r="AB614" s="873"/>
      <c r="AC614" s="873"/>
      <c r="AD614" s="873"/>
      <c r="AE614" s="873"/>
      <c r="AF614" s="873"/>
      <c r="AG614" s="873"/>
      <c r="AH614" s="873"/>
      <c r="AI614" s="873"/>
      <c r="AJ614" s="873"/>
      <c r="AK614" s="873"/>
      <c r="AL614" s="873"/>
      <c r="AM614" s="873"/>
      <c r="AN614" s="873"/>
      <c r="AO614" s="873"/>
      <c r="AP614" s="873"/>
      <c r="AQ614" s="873"/>
      <c r="AR614" s="873"/>
      <c r="AS614" s="873"/>
      <c r="AT614" s="873"/>
      <c r="AU614" s="873"/>
      <c r="AV614" s="873"/>
    </row>
    <row r="615" spans="1:48" ht="11.25" customHeight="1" x14ac:dyDescent="0.2">
      <c r="A615" s="873"/>
      <c r="B615" s="873"/>
      <c r="C615" s="873"/>
      <c r="D615" s="873"/>
      <c r="E615" s="873"/>
      <c r="F615" s="873"/>
      <c r="G615" s="873"/>
      <c r="H615" s="873"/>
      <c r="I615" s="873"/>
      <c r="J615" s="873"/>
      <c r="K615" s="873"/>
      <c r="L615" s="873"/>
      <c r="M615" s="873"/>
      <c r="N615" s="873"/>
      <c r="O615" s="873"/>
      <c r="P615" s="873"/>
      <c r="Q615" s="873"/>
      <c r="R615" s="873"/>
      <c r="S615" s="873"/>
      <c r="T615" s="873"/>
      <c r="U615" s="873"/>
      <c r="V615" s="873"/>
      <c r="W615" s="873"/>
      <c r="X615" s="873"/>
      <c r="Y615" s="873"/>
      <c r="Z615" s="873"/>
      <c r="AA615" s="873"/>
      <c r="AB615" s="873"/>
      <c r="AC615" s="873"/>
      <c r="AD615" s="873"/>
      <c r="AE615" s="873"/>
      <c r="AF615" s="873"/>
      <c r="AG615" s="873"/>
      <c r="AH615" s="873"/>
      <c r="AI615" s="873"/>
      <c r="AJ615" s="873"/>
      <c r="AK615" s="873"/>
      <c r="AL615" s="873"/>
      <c r="AM615" s="873"/>
      <c r="AN615" s="873"/>
      <c r="AO615" s="873"/>
      <c r="AP615" s="873"/>
      <c r="AQ615" s="873"/>
      <c r="AR615" s="873"/>
      <c r="AS615" s="873"/>
      <c r="AT615" s="873"/>
      <c r="AU615" s="873"/>
      <c r="AV615" s="873"/>
    </row>
    <row r="616" spans="1:48" ht="11.25" customHeight="1" x14ac:dyDescent="0.2">
      <c r="A616" s="873"/>
      <c r="B616" s="873"/>
      <c r="C616" s="873"/>
      <c r="D616" s="873"/>
      <c r="E616" s="873"/>
      <c r="F616" s="873"/>
      <c r="G616" s="873"/>
      <c r="H616" s="873"/>
      <c r="I616" s="873"/>
      <c r="J616" s="873"/>
      <c r="K616" s="873"/>
      <c r="L616" s="873"/>
      <c r="M616" s="873"/>
      <c r="N616" s="873"/>
      <c r="O616" s="873"/>
      <c r="P616" s="873"/>
      <c r="Q616" s="873"/>
      <c r="R616" s="873"/>
      <c r="S616" s="873"/>
      <c r="T616" s="873"/>
      <c r="U616" s="873"/>
      <c r="V616" s="873"/>
      <c r="W616" s="873"/>
      <c r="X616" s="873"/>
      <c r="Y616" s="873"/>
      <c r="Z616" s="873"/>
      <c r="AA616" s="873"/>
      <c r="AB616" s="873"/>
      <c r="AC616" s="873"/>
      <c r="AD616" s="873"/>
      <c r="AE616" s="873"/>
      <c r="AF616" s="873"/>
      <c r="AG616" s="873"/>
      <c r="AH616" s="873"/>
      <c r="AI616" s="873"/>
      <c r="AJ616" s="873"/>
      <c r="AK616" s="873"/>
      <c r="AL616" s="873"/>
      <c r="AM616" s="873"/>
      <c r="AN616" s="873"/>
      <c r="AO616" s="873"/>
      <c r="AP616" s="873"/>
      <c r="AQ616" s="873"/>
      <c r="AR616" s="873"/>
      <c r="AS616" s="873"/>
      <c r="AT616" s="873"/>
      <c r="AU616" s="873"/>
      <c r="AV616" s="873"/>
    </row>
    <row r="617" spans="1:48" ht="11.25" customHeight="1" x14ac:dyDescent="0.2">
      <c r="A617" s="873"/>
      <c r="B617" s="873"/>
      <c r="C617" s="873"/>
      <c r="D617" s="873"/>
      <c r="E617" s="873"/>
      <c r="F617" s="873"/>
      <c r="G617" s="873"/>
      <c r="H617" s="873"/>
      <c r="I617" s="873"/>
      <c r="J617" s="873"/>
      <c r="K617" s="873"/>
      <c r="L617" s="873"/>
      <c r="M617" s="873"/>
      <c r="N617" s="873"/>
      <c r="O617" s="873"/>
      <c r="P617" s="873"/>
      <c r="Q617" s="873"/>
      <c r="R617" s="873"/>
      <c r="S617" s="873"/>
      <c r="T617" s="873"/>
      <c r="U617" s="873"/>
      <c r="V617" s="873"/>
      <c r="W617" s="873"/>
      <c r="X617" s="873"/>
      <c r="Y617" s="873"/>
      <c r="Z617" s="873"/>
      <c r="AA617" s="873"/>
      <c r="AB617" s="873"/>
      <c r="AC617" s="873"/>
      <c r="AD617" s="873"/>
      <c r="AE617" s="873"/>
      <c r="AF617" s="873"/>
      <c r="AG617" s="873"/>
      <c r="AH617" s="873"/>
      <c r="AI617" s="873"/>
      <c r="AJ617" s="873"/>
      <c r="AK617" s="873"/>
      <c r="AL617" s="873"/>
      <c r="AM617" s="873"/>
      <c r="AN617" s="873"/>
      <c r="AO617" s="873"/>
      <c r="AP617" s="873"/>
      <c r="AQ617" s="873"/>
      <c r="AR617" s="873"/>
      <c r="AS617" s="873"/>
      <c r="AT617" s="873"/>
      <c r="AU617" s="873"/>
      <c r="AV617" s="873"/>
    </row>
    <row r="618" spans="1:48" ht="11.25" customHeight="1" x14ac:dyDescent="0.2">
      <c r="A618" s="873"/>
      <c r="B618" s="873"/>
      <c r="C618" s="873"/>
      <c r="D618" s="873"/>
      <c r="E618" s="873"/>
      <c r="F618" s="873"/>
      <c r="G618" s="873"/>
      <c r="H618" s="873"/>
      <c r="I618" s="873"/>
      <c r="J618" s="873"/>
      <c r="K618" s="873"/>
      <c r="L618" s="873"/>
      <c r="M618" s="873"/>
      <c r="N618" s="873"/>
      <c r="O618" s="873"/>
      <c r="P618" s="873"/>
      <c r="Q618" s="873"/>
      <c r="R618" s="873"/>
      <c r="S618" s="873"/>
      <c r="T618" s="873"/>
      <c r="U618" s="873"/>
      <c r="V618" s="873"/>
      <c r="W618" s="873"/>
      <c r="X618" s="873"/>
      <c r="Y618" s="873"/>
      <c r="Z618" s="873"/>
      <c r="AA618" s="873"/>
      <c r="AB618" s="873"/>
      <c r="AC618" s="873"/>
      <c r="AD618" s="873"/>
      <c r="AE618" s="873"/>
      <c r="AF618" s="873"/>
      <c r="AG618" s="873"/>
      <c r="AH618" s="873"/>
      <c r="AI618" s="873"/>
      <c r="AJ618" s="873"/>
      <c r="AK618" s="873"/>
      <c r="AL618" s="873"/>
      <c r="AM618" s="873"/>
      <c r="AN618" s="873"/>
      <c r="AO618" s="873"/>
      <c r="AP618" s="873"/>
      <c r="AQ618" s="873"/>
      <c r="AR618" s="873"/>
      <c r="AS618" s="873"/>
      <c r="AT618" s="873"/>
      <c r="AU618" s="873"/>
      <c r="AV618" s="873"/>
    </row>
    <row r="619" spans="1:48" ht="11.25" customHeight="1" x14ac:dyDescent="0.2">
      <c r="A619" s="873"/>
      <c r="B619" s="873"/>
      <c r="C619" s="873"/>
      <c r="D619" s="873"/>
      <c r="E619" s="873"/>
      <c r="F619" s="873"/>
      <c r="G619" s="873"/>
      <c r="H619" s="873"/>
      <c r="I619" s="873"/>
      <c r="J619" s="873"/>
      <c r="K619" s="873"/>
      <c r="L619" s="873"/>
      <c r="M619" s="873"/>
      <c r="N619" s="873"/>
      <c r="O619" s="873"/>
      <c r="P619" s="873"/>
      <c r="Q619" s="873"/>
      <c r="R619" s="873"/>
      <c r="S619" s="873"/>
      <c r="T619" s="873"/>
      <c r="U619" s="873"/>
      <c r="V619" s="873"/>
      <c r="W619" s="873"/>
      <c r="X619" s="873"/>
      <c r="Y619" s="873"/>
      <c r="Z619" s="873"/>
      <c r="AA619" s="873"/>
      <c r="AB619" s="873"/>
      <c r="AC619" s="873"/>
      <c r="AD619" s="873"/>
      <c r="AE619" s="873"/>
      <c r="AF619" s="873"/>
      <c r="AG619" s="873"/>
      <c r="AH619" s="873"/>
      <c r="AI619" s="873"/>
      <c r="AJ619" s="873"/>
      <c r="AK619" s="873"/>
      <c r="AL619" s="873"/>
      <c r="AM619" s="873"/>
      <c r="AN619" s="873"/>
      <c r="AO619" s="873"/>
      <c r="AP619" s="873"/>
      <c r="AQ619" s="873"/>
      <c r="AR619" s="873"/>
      <c r="AS619" s="873"/>
      <c r="AT619" s="873"/>
      <c r="AU619" s="873"/>
      <c r="AV619" s="873"/>
    </row>
    <row r="620" spans="1:48" ht="11.25" customHeight="1" x14ac:dyDescent="0.2">
      <c r="A620" s="873"/>
      <c r="B620" s="873"/>
      <c r="C620" s="873"/>
      <c r="D620" s="873"/>
      <c r="E620" s="873"/>
      <c r="F620" s="873"/>
      <c r="G620" s="873"/>
      <c r="H620" s="873"/>
      <c r="I620" s="873"/>
      <c r="J620" s="873"/>
      <c r="K620" s="873"/>
      <c r="L620" s="873"/>
      <c r="M620" s="873"/>
      <c r="N620" s="873"/>
      <c r="O620" s="873"/>
      <c r="P620" s="873"/>
      <c r="Q620" s="873"/>
      <c r="R620" s="873"/>
      <c r="S620" s="873"/>
      <c r="T620" s="873"/>
      <c r="U620" s="873"/>
      <c r="V620" s="873"/>
      <c r="W620" s="873"/>
      <c r="X620" s="873"/>
      <c r="Y620" s="873"/>
      <c r="Z620" s="873"/>
      <c r="AA620" s="873"/>
      <c r="AB620" s="873"/>
      <c r="AC620" s="873"/>
      <c r="AD620" s="873"/>
      <c r="AE620" s="873"/>
      <c r="AF620" s="873"/>
      <c r="AG620" s="873"/>
      <c r="AH620" s="873"/>
      <c r="AI620" s="873"/>
      <c r="AJ620" s="873"/>
      <c r="AK620" s="873"/>
      <c r="AL620" s="873"/>
      <c r="AM620" s="873"/>
      <c r="AN620" s="873"/>
      <c r="AO620" s="873"/>
      <c r="AP620" s="873"/>
      <c r="AQ620" s="873"/>
      <c r="AR620" s="873"/>
      <c r="AS620" s="873"/>
      <c r="AT620" s="873"/>
      <c r="AU620" s="873"/>
      <c r="AV620" s="873"/>
    </row>
    <row r="621" spans="1:48" ht="11.25" customHeight="1" x14ac:dyDescent="0.2">
      <c r="A621" s="873"/>
      <c r="B621" s="873"/>
      <c r="C621" s="873"/>
      <c r="D621" s="873"/>
      <c r="E621" s="873"/>
      <c r="F621" s="873"/>
      <c r="G621" s="873"/>
      <c r="H621" s="873"/>
      <c r="I621" s="873"/>
      <c r="J621" s="873"/>
      <c r="K621" s="873"/>
      <c r="L621" s="873"/>
      <c r="M621" s="873"/>
      <c r="N621" s="873"/>
      <c r="O621" s="873"/>
      <c r="P621" s="873"/>
      <c r="Q621" s="873"/>
      <c r="R621" s="873"/>
      <c r="S621" s="873"/>
      <c r="T621" s="873"/>
      <c r="U621" s="873"/>
      <c r="V621" s="873"/>
      <c r="W621" s="873"/>
      <c r="X621" s="873"/>
      <c r="Y621" s="873"/>
      <c r="Z621" s="873"/>
      <c r="AA621" s="873"/>
      <c r="AB621" s="873"/>
      <c r="AC621" s="873"/>
      <c r="AD621" s="873"/>
      <c r="AE621" s="873"/>
      <c r="AF621" s="873"/>
      <c r="AG621" s="873"/>
      <c r="AH621" s="873"/>
      <c r="AI621" s="873"/>
      <c r="AJ621" s="873"/>
      <c r="AK621" s="873"/>
      <c r="AL621" s="873"/>
      <c r="AM621" s="873"/>
      <c r="AN621" s="873"/>
      <c r="AO621" s="873"/>
      <c r="AP621" s="873"/>
      <c r="AQ621" s="873"/>
      <c r="AR621" s="873"/>
      <c r="AS621" s="873"/>
      <c r="AT621" s="873"/>
      <c r="AU621" s="873"/>
      <c r="AV621" s="873"/>
    </row>
    <row r="622" spans="1:48" ht="11.25" customHeight="1" x14ac:dyDescent="0.2">
      <c r="A622" s="873"/>
      <c r="B622" s="873"/>
      <c r="C622" s="873"/>
      <c r="D622" s="873"/>
      <c r="E622" s="873"/>
      <c r="F622" s="873"/>
      <c r="G622" s="873"/>
      <c r="H622" s="873"/>
      <c r="I622" s="873"/>
      <c r="J622" s="873"/>
      <c r="K622" s="873"/>
      <c r="L622" s="873"/>
      <c r="M622" s="873"/>
      <c r="N622" s="873"/>
      <c r="O622" s="873"/>
      <c r="P622" s="873"/>
      <c r="Q622" s="873"/>
      <c r="R622" s="873"/>
      <c r="S622" s="873"/>
      <c r="T622" s="873"/>
      <c r="U622" s="873"/>
      <c r="V622" s="873"/>
      <c r="W622" s="873"/>
      <c r="X622" s="873"/>
      <c r="Y622" s="873"/>
      <c r="Z622" s="873"/>
      <c r="AA622" s="873"/>
      <c r="AB622" s="873"/>
      <c r="AC622" s="873"/>
      <c r="AD622" s="873"/>
      <c r="AE622" s="873"/>
      <c r="AF622" s="873"/>
      <c r="AG622" s="873"/>
      <c r="AH622" s="873"/>
      <c r="AI622" s="873"/>
      <c r="AJ622" s="873"/>
      <c r="AK622" s="873"/>
      <c r="AL622" s="873"/>
      <c r="AM622" s="873"/>
      <c r="AN622" s="873"/>
      <c r="AO622" s="873"/>
      <c r="AP622" s="873"/>
      <c r="AQ622" s="873"/>
      <c r="AR622" s="873"/>
      <c r="AS622" s="873"/>
      <c r="AT622" s="873"/>
      <c r="AU622" s="873"/>
      <c r="AV622" s="873"/>
    </row>
    <row r="623" spans="1:48" ht="11.25" customHeight="1" x14ac:dyDescent="0.2">
      <c r="A623" s="873"/>
      <c r="B623" s="873"/>
      <c r="C623" s="873"/>
      <c r="D623" s="873"/>
      <c r="E623" s="873"/>
      <c r="F623" s="873"/>
      <c r="G623" s="873"/>
      <c r="H623" s="873"/>
      <c r="I623" s="873"/>
      <c r="J623" s="873"/>
      <c r="K623" s="873"/>
      <c r="L623" s="873"/>
      <c r="M623" s="873"/>
      <c r="N623" s="873"/>
      <c r="O623" s="873"/>
      <c r="P623" s="873"/>
      <c r="Q623" s="873"/>
      <c r="R623" s="873"/>
      <c r="S623" s="873"/>
      <c r="T623" s="873"/>
      <c r="U623" s="873"/>
      <c r="V623" s="873"/>
      <c r="W623" s="873"/>
      <c r="X623" s="873"/>
      <c r="Y623" s="873"/>
      <c r="Z623" s="873"/>
      <c r="AA623" s="873"/>
      <c r="AB623" s="873"/>
      <c r="AC623" s="873"/>
      <c r="AD623" s="873"/>
      <c r="AE623" s="873"/>
      <c r="AF623" s="873"/>
      <c r="AG623" s="873"/>
      <c r="AH623" s="873"/>
      <c r="AI623" s="873"/>
      <c r="AJ623" s="873"/>
      <c r="AK623" s="873"/>
      <c r="AL623" s="873"/>
      <c r="AM623" s="873"/>
      <c r="AN623" s="873"/>
      <c r="AO623" s="873"/>
      <c r="AP623" s="873"/>
      <c r="AQ623" s="873"/>
      <c r="AR623" s="873"/>
      <c r="AS623" s="873"/>
      <c r="AT623" s="873"/>
      <c r="AU623" s="873"/>
      <c r="AV623" s="873"/>
    </row>
    <row r="624" spans="1:48" ht="11.25" customHeight="1" x14ac:dyDescent="0.2">
      <c r="A624" s="873"/>
      <c r="B624" s="873"/>
      <c r="C624" s="873"/>
      <c r="D624" s="873"/>
      <c r="E624" s="873"/>
      <c r="F624" s="873"/>
      <c r="G624" s="873"/>
      <c r="H624" s="873"/>
      <c r="I624" s="873"/>
      <c r="J624" s="873"/>
      <c r="K624" s="873"/>
      <c r="L624" s="873"/>
      <c r="M624" s="873"/>
      <c r="N624" s="873"/>
      <c r="O624" s="873"/>
      <c r="P624" s="873"/>
      <c r="Q624" s="873"/>
      <c r="R624" s="873"/>
      <c r="S624" s="873"/>
      <c r="T624" s="873"/>
      <c r="U624" s="873"/>
      <c r="V624" s="873"/>
      <c r="W624" s="873"/>
      <c r="X624" s="873"/>
      <c r="Y624" s="873"/>
      <c r="Z624" s="873"/>
      <c r="AA624" s="873"/>
      <c r="AB624" s="873"/>
      <c r="AC624" s="873"/>
      <c r="AD624" s="873"/>
      <c r="AE624" s="873"/>
      <c r="AF624" s="873"/>
      <c r="AG624" s="873"/>
      <c r="AH624" s="873"/>
      <c r="AI624" s="873"/>
      <c r="AJ624" s="873"/>
      <c r="AK624" s="873"/>
      <c r="AL624" s="873"/>
      <c r="AM624" s="873"/>
      <c r="AN624" s="873"/>
      <c r="AO624" s="873"/>
      <c r="AP624" s="873"/>
      <c r="AQ624" s="873"/>
      <c r="AR624" s="873"/>
      <c r="AS624" s="873"/>
      <c r="AT624" s="873"/>
      <c r="AU624" s="873"/>
      <c r="AV624" s="873"/>
    </row>
    <row r="625" spans="1:48" ht="11.25" customHeight="1" x14ac:dyDescent="0.2">
      <c r="A625" s="873"/>
      <c r="B625" s="873"/>
      <c r="C625" s="873"/>
      <c r="D625" s="873"/>
      <c r="E625" s="873"/>
      <c r="F625" s="873"/>
      <c r="G625" s="873"/>
      <c r="H625" s="873"/>
      <c r="I625" s="873"/>
      <c r="J625" s="873"/>
      <c r="K625" s="873"/>
      <c r="L625" s="873"/>
      <c r="M625" s="873"/>
      <c r="N625" s="873"/>
      <c r="O625" s="873"/>
      <c r="P625" s="873"/>
      <c r="Q625" s="873"/>
      <c r="R625" s="873"/>
      <c r="S625" s="873"/>
      <c r="T625" s="873"/>
      <c r="U625" s="873"/>
      <c r="V625" s="873"/>
      <c r="W625" s="873"/>
      <c r="X625" s="873"/>
      <c r="Y625" s="873"/>
      <c r="Z625" s="873"/>
      <c r="AA625" s="873"/>
      <c r="AB625" s="873"/>
      <c r="AC625" s="873"/>
      <c r="AD625" s="873"/>
      <c r="AE625" s="873"/>
      <c r="AF625" s="873"/>
      <c r="AG625" s="873"/>
      <c r="AH625" s="873"/>
      <c r="AI625" s="873"/>
      <c r="AJ625" s="873"/>
      <c r="AK625" s="873"/>
      <c r="AL625" s="873"/>
      <c r="AM625" s="873"/>
      <c r="AN625" s="873"/>
      <c r="AO625" s="873"/>
      <c r="AP625" s="873"/>
      <c r="AQ625" s="873"/>
      <c r="AR625" s="873"/>
      <c r="AS625" s="873"/>
      <c r="AT625" s="873"/>
      <c r="AU625" s="873"/>
      <c r="AV625" s="873"/>
    </row>
    <row r="626" spans="1:48" ht="11.25" customHeight="1" x14ac:dyDescent="0.2">
      <c r="A626" s="873"/>
      <c r="B626" s="873"/>
      <c r="C626" s="873"/>
      <c r="D626" s="873"/>
      <c r="E626" s="873"/>
      <c r="F626" s="873"/>
      <c r="G626" s="873"/>
      <c r="H626" s="873"/>
      <c r="I626" s="873"/>
      <c r="J626" s="873"/>
      <c r="K626" s="873"/>
      <c r="L626" s="873"/>
      <c r="M626" s="873"/>
      <c r="N626" s="873"/>
      <c r="O626" s="873"/>
      <c r="P626" s="873"/>
      <c r="Q626" s="873"/>
      <c r="R626" s="873"/>
      <c r="S626" s="873"/>
      <c r="T626" s="873"/>
      <c r="U626" s="873"/>
      <c r="V626" s="873"/>
      <c r="W626" s="873"/>
      <c r="X626" s="873"/>
      <c r="Y626" s="873"/>
      <c r="Z626" s="873"/>
      <c r="AA626" s="873"/>
      <c r="AB626" s="873"/>
      <c r="AC626" s="873"/>
      <c r="AD626" s="873"/>
      <c r="AE626" s="873"/>
      <c r="AF626" s="873"/>
      <c r="AG626" s="873"/>
      <c r="AH626" s="873"/>
      <c r="AI626" s="873"/>
      <c r="AJ626" s="873"/>
      <c r="AK626" s="873"/>
      <c r="AL626" s="873"/>
      <c r="AM626" s="873"/>
      <c r="AN626" s="873"/>
      <c r="AO626" s="873"/>
      <c r="AP626" s="873"/>
      <c r="AQ626" s="873"/>
      <c r="AR626" s="873"/>
      <c r="AS626" s="873"/>
      <c r="AT626" s="873"/>
      <c r="AU626" s="873"/>
      <c r="AV626" s="873"/>
    </row>
    <row r="627" spans="1:48" ht="11.25" customHeight="1" x14ac:dyDescent="0.2">
      <c r="A627" s="873"/>
      <c r="B627" s="873"/>
      <c r="C627" s="873"/>
      <c r="D627" s="873"/>
      <c r="E627" s="873"/>
      <c r="F627" s="873"/>
      <c r="G627" s="873"/>
      <c r="H627" s="873"/>
      <c r="I627" s="873"/>
      <c r="J627" s="873"/>
      <c r="K627" s="873"/>
      <c r="L627" s="873"/>
      <c r="M627" s="873"/>
      <c r="N627" s="873"/>
      <c r="O627" s="873"/>
      <c r="P627" s="873"/>
      <c r="Q627" s="873"/>
      <c r="R627" s="873"/>
      <c r="S627" s="873"/>
      <c r="T627" s="873"/>
      <c r="U627" s="873"/>
      <c r="V627" s="873"/>
      <c r="W627" s="873"/>
      <c r="X627" s="873"/>
      <c r="Y627" s="873"/>
      <c r="Z627" s="873"/>
      <c r="AA627" s="873"/>
      <c r="AB627" s="873"/>
      <c r="AC627" s="873"/>
      <c r="AD627" s="873"/>
      <c r="AE627" s="873"/>
      <c r="AF627" s="873"/>
      <c r="AG627" s="873"/>
      <c r="AH627" s="873"/>
      <c r="AI627" s="873"/>
      <c r="AJ627" s="873"/>
      <c r="AK627" s="873"/>
      <c r="AL627" s="873"/>
      <c r="AM627" s="873"/>
      <c r="AN627" s="873"/>
      <c r="AO627" s="873"/>
      <c r="AP627" s="873"/>
      <c r="AQ627" s="873"/>
      <c r="AR627" s="873"/>
      <c r="AS627" s="873"/>
      <c r="AT627" s="873"/>
      <c r="AU627" s="873"/>
      <c r="AV627" s="873"/>
    </row>
    <row r="628" spans="1:48" ht="11.25" customHeight="1" x14ac:dyDescent="0.2">
      <c r="A628" s="873"/>
      <c r="B628" s="873"/>
      <c r="C628" s="873"/>
      <c r="D628" s="873"/>
      <c r="E628" s="873"/>
      <c r="F628" s="873"/>
      <c r="G628" s="873"/>
      <c r="H628" s="873"/>
      <c r="I628" s="873"/>
      <c r="J628" s="873"/>
      <c r="K628" s="873"/>
      <c r="L628" s="873"/>
      <c r="M628" s="873"/>
      <c r="N628" s="873"/>
      <c r="O628" s="873"/>
      <c r="P628" s="873"/>
      <c r="Q628" s="873"/>
      <c r="R628" s="873"/>
      <c r="S628" s="873"/>
      <c r="T628" s="873"/>
      <c r="U628" s="873"/>
      <c r="V628" s="873"/>
      <c r="W628" s="873"/>
      <c r="X628" s="873"/>
      <c r="Y628" s="873"/>
      <c r="Z628" s="873"/>
      <c r="AA628" s="873"/>
      <c r="AB628" s="873"/>
      <c r="AC628" s="873"/>
      <c r="AD628" s="873"/>
      <c r="AE628" s="873"/>
      <c r="AF628" s="873"/>
      <c r="AG628" s="873"/>
      <c r="AH628" s="873"/>
      <c r="AI628" s="873"/>
      <c r="AJ628" s="873"/>
      <c r="AK628" s="873"/>
      <c r="AL628" s="873"/>
      <c r="AM628" s="873"/>
      <c r="AN628" s="873"/>
      <c r="AO628" s="873"/>
      <c r="AP628" s="873"/>
      <c r="AQ628" s="873"/>
      <c r="AR628" s="873"/>
      <c r="AS628" s="873"/>
      <c r="AT628" s="873"/>
      <c r="AU628" s="873"/>
      <c r="AV628" s="873"/>
    </row>
    <row r="629" spans="1:48" ht="11.25" customHeight="1" x14ac:dyDescent="0.2">
      <c r="A629" s="873"/>
      <c r="B629" s="873"/>
      <c r="C629" s="873"/>
      <c r="D629" s="873"/>
      <c r="E629" s="873"/>
      <c r="F629" s="873"/>
      <c r="G629" s="873"/>
      <c r="H629" s="873"/>
      <c r="I629" s="873"/>
      <c r="J629" s="873"/>
      <c r="K629" s="873"/>
      <c r="L629" s="873"/>
      <c r="M629" s="873"/>
      <c r="N629" s="873"/>
      <c r="O629" s="873"/>
      <c r="P629" s="873"/>
      <c r="Q629" s="873"/>
      <c r="R629" s="873"/>
      <c r="S629" s="873"/>
      <c r="T629" s="873"/>
      <c r="U629" s="873"/>
      <c r="V629" s="873"/>
      <c r="W629" s="873"/>
      <c r="X629" s="873"/>
      <c r="Y629" s="873"/>
      <c r="Z629" s="873"/>
      <c r="AA629" s="873"/>
      <c r="AB629" s="873"/>
      <c r="AC629" s="873"/>
      <c r="AD629" s="873"/>
      <c r="AE629" s="873"/>
      <c r="AF629" s="873"/>
      <c r="AG629" s="873"/>
      <c r="AH629" s="873"/>
      <c r="AI629" s="873"/>
      <c r="AJ629" s="873"/>
      <c r="AK629" s="873"/>
      <c r="AL629" s="873"/>
      <c r="AM629" s="873"/>
      <c r="AN629" s="873"/>
      <c r="AO629" s="873"/>
      <c r="AP629" s="873"/>
      <c r="AQ629" s="873"/>
      <c r="AR629" s="873"/>
      <c r="AS629" s="873"/>
      <c r="AT629" s="873"/>
      <c r="AU629" s="873"/>
      <c r="AV629" s="873"/>
    </row>
    <row r="630" spans="1:48" ht="11.25" customHeight="1" x14ac:dyDescent="0.2">
      <c r="A630" s="873"/>
      <c r="B630" s="873"/>
      <c r="C630" s="873"/>
      <c r="D630" s="873"/>
      <c r="E630" s="873"/>
      <c r="F630" s="873"/>
      <c r="G630" s="873"/>
      <c r="H630" s="873"/>
      <c r="I630" s="873"/>
      <c r="J630" s="873"/>
      <c r="K630" s="873"/>
      <c r="L630" s="873"/>
      <c r="M630" s="873"/>
      <c r="N630" s="873"/>
      <c r="O630" s="873"/>
      <c r="P630" s="873"/>
      <c r="Q630" s="873"/>
      <c r="R630" s="873"/>
      <c r="S630" s="873"/>
      <c r="T630" s="873"/>
      <c r="U630" s="873"/>
      <c r="V630" s="873"/>
      <c r="W630" s="873"/>
      <c r="X630" s="873"/>
      <c r="Y630" s="873"/>
      <c r="Z630" s="873"/>
      <c r="AA630" s="873"/>
      <c r="AB630" s="873"/>
      <c r="AC630" s="873"/>
      <c r="AD630" s="873"/>
      <c r="AE630" s="873"/>
      <c r="AF630" s="873"/>
      <c r="AG630" s="873"/>
      <c r="AH630" s="873"/>
      <c r="AI630" s="873"/>
      <c r="AJ630" s="873"/>
      <c r="AK630" s="873"/>
      <c r="AL630" s="873"/>
      <c r="AM630" s="873"/>
      <c r="AN630" s="873"/>
      <c r="AO630" s="873"/>
      <c r="AP630" s="873"/>
      <c r="AQ630" s="873"/>
      <c r="AR630" s="873"/>
      <c r="AS630" s="873"/>
      <c r="AT630" s="873"/>
      <c r="AU630" s="873"/>
      <c r="AV630" s="873"/>
    </row>
    <row r="631" spans="1:48" ht="11.25" customHeight="1" x14ac:dyDescent="0.2">
      <c r="A631" s="873"/>
      <c r="B631" s="873"/>
      <c r="C631" s="873"/>
      <c r="D631" s="873"/>
      <c r="E631" s="873"/>
      <c r="F631" s="873"/>
      <c r="G631" s="873"/>
      <c r="H631" s="873"/>
      <c r="I631" s="873"/>
      <c r="J631" s="873"/>
      <c r="K631" s="873"/>
      <c r="L631" s="873"/>
      <c r="M631" s="873"/>
      <c r="N631" s="873"/>
      <c r="O631" s="873"/>
      <c r="P631" s="873"/>
      <c r="Q631" s="873"/>
      <c r="R631" s="873"/>
      <c r="S631" s="873"/>
      <c r="T631" s="873"/>
      <c r="U631" s="873"/>
      <c r="V631" s="873"/>
      <c r="W631" s="873"/>
      <c r="X631" s="873"/>
      <c r="Y631" s="873"/>
      <c r="Z631" s="873"/>
      <c r="AA631" s="873"/>
      <c r="AB631" s="873"/>
      <c r="AC631" s="873"/>
      <c r="AD631" s="873"/>
      <c r="AE631" s="873"/>
      <c r="AF631" s="873"/>
      <c r="AG631" s="873"/>
      <c r="AH631" s="873"/>
      <c r="AI631" s="873"/>
      <c r="AJ631" s="873"/>
      <c r="AK631" s="873"/>
      <c r="AL631" s="873"/>
      <c r="AM631" s="873"/>
      <c r="AN631" s="873"/>
      <c r="AO631" s="873"/>
      <c r="AP631" s="873"/>
      <c r="AQ631" s="873"/>
      <c r="AR631" s="873"/>
      <c r="AS631" s="873"/>
      <c r="AT631" s="873"/>
      <c r="AU631" s="873"/>
      <c r="AV631" s="873"/>
    </row>
    <row r="632" spans="1:48" ht="11.25" customHeight="1" x14ac:dyDescent="0.2">
      <c r="A632" s="873"/>
      <c r="B632" s="873"/>
      <c r="C632" s="873"/>
      <c r="D632" s="873"/>
      <c r="E632" s="873"/>
      <c r="F632" s="873"/>
      <c r="G632" s="873"/>
      <c r="H632" s="873"/>
      <c r="I632" s="873"/>
      <c r="J632" s="873"/>
      <c r="K632" s="873"/>
      <c r="L632" s="873"/>
      <c r="M632" s="873"/>
      <c r="N632" s="873"/>
      <c r="O632" s="873"/>
      <c r="P632" s="873"/>
      <c r="Q632" s="873"/>
      <c r="R632" s="873"/>
      <c r="S632" s="873"/>
      <c r="T632" s="873"/>
      <c r="U632" s="873"/>
      <c r="V632" s="873"/>
      <c r="W632" s="873"/>
      <c r="X632" s="873"/>
      <c r="Y632" s="873"/>
      <c r="Z632" s="873"/>
      <c r="AA632" s="873"/>
      <c r="AB632" s="873"/>
      <c r="AC632" s="873"/>
      <c r="AD632" s="873"/>
      <c r="AE632" s="873"/>
      <c r="AF632" s="873"/>
      <c r="AG632" s="873"/>
      <c r="AH632" s="873"/>
      <c r="AI632" s="873"/>
      <c r="AJ632" s="873"/>
      <c r="AK632" s="873"/>
      <c r="AL632" s="873"/>
      <c r="AM632" s="873"/>
      <c r="AN632" s="873"/>
      <c r="AO632" s="873"/>
      <c r="AP632" s="873"/>
      <c r="AQ632" s="873"/>
      <c r="AR632" s="873"/>
      <c r="AS632" s="873"/>
      <c r="AT632" s="873"/>
      <c r="AU632" s="873"/>
      <c r="AV632" s="873"/>
    </row>
    <row r="633" spans="1:48" ht="11.25" customHeight="1" x14ac:dyDescent="0.2">
      <c r="A633" s="873"/>
      <c r="B633" s="873"/>
      <c r="C633" s="873"/>
      <c r="D633" s="873"/>
      <c r="E633" s="873"/>
      <c r="F633" s="873"/>
      <c r="G633" s="873"/>
      <c r="H633" s="873"/>
      <c r="I633" s="873"/>
      <c r="J633" s="873"/>
      <c r="K633" s="873"/>
      <c r="L633" s="873"/>
      <c r="M633" s="873"/>
      <c r="N633" s="873"/>
      <c r="O633" s="873"/>
      <c r="P633" s="873"/>
      <c r="Q633" s="873"/>
      <c r="R633" s="873"/>
      <c r="S633" s="873"/>
      <c r="T633" s="873"/>
      <c r="U633" s="873"/>
      <c r="V633" s="873"/>
      <c r="W633" s="873"/>
      <c r="X633" s="873"/>
      <c r="Y633" s="873"/>
      <c r="Z633" s="873"/>
      <c r="AA633" s="873"/>
      <c r="AB633" s="873"/>
      <c r="AC633" s="873"/>
      <c r="AD633" s="873"/>
      <c r="AE633" s="873"/>
      <c r="AF633" s="873"/>
      <c r="AG633" s="873"/>
      <c r="AH633" s="873"/>
      <c r="AI633" s="873"/>
      <c r="AJ633" s="873"/>
      <c r="AK633" s="873"/>
      <c r="AL633" s="873"/>
      <c r="AM633" s="873"/>
      <c r="AN633" s="873"/>
      <c r="AO633" s="873"/>
      <c r="AP633" s="873"/>
      <c r="AQ633" s="873"/>
      <c r="AR633" s="873"/>
      <c r="AS633" s="873"/>
      <c r="AT633" s="873"/>
      <c r="AU633" s="873"/>
      <c r="AV633" s="873"/>
    </row>
    <row r="634" spans="1:48" ht="11.25" customHeight="1" x14ac:dyDescent="0.2">
      <c r="A634" s="873"/>
      <c r="B634" s="873"/>
      <c r="C634" s="873"/>
      <c r="D634" s="873"/>
      <c r="E634" s="873"/>
      <c r="F634" s="873"/>
      <c r="G634" s="873"/>
      <c r="H634" s="873"/>
      <c r="I634" s="873"/>
      <c r="J634" s="873"/>
      <c r="K634" s="873"/>
      <c r="L634" s="873"/>
      <c r="M634" s="873"/>
      <c r="N634" s="873"/>
      <c r="O634" s="873"/>
      <c r="P634" s="873"/>
      <c r="Q634" s="873"/>
      <c r="R634" s="873"/>
      <c r="S634" s="873"/>
      <c r="T634" s="873"/>
      <c r="U634" s="873"/>
      <c r="V634" s="873"/>
      <c r="W634" s="873"/>
      <c r="X634" s="873"/>
      <c r="Y634" s="873"/>
      <c r="Z634" s="873"/>
      <c r="AA634" s="873"/>
      <c r="AB634" s="873"/>
      <c r="AC634" s="873"/>
      <c r="AD634" s="873"/>
      <c r="AE634" s="873"/>
      <c r="AF634" s="873"/>
      <c r="AG634" s="873"/>
      <c r="AH634" s="873"/>
      <c r="AI634" s="873"/>
      <c r="AJ634" s="873"/>
      <c r="AK634" s="873"/>
      <c r="AL634" s="873"/>
      <c r="AM634" s="873"/>
      <c r="AN634" s="873"/>
      <c r="AO634" s="873"/>
      <c r="AP634" s="873"/>
      <c r="AQ634" s="873"/>
      <c r="AR634" s="873"/>
      <c r="AS634" s="873"/>
      <c r="AT634" s="873"/>
      <c r="AU634" s="873"/>
      <c r="AV634" s="873"/>
    </row>
    <row r="635" spans="1:48" ht="11.25" customHeight="1" x14ac:dyDescent="0.2">
      <c r="A635" s="873"/>
      <c r="B635" s="873"/>
      <c r="C635" s="873"/>
      <c r="D635" s="873"/>
      <c r="E635" s="873"/>
      <c r="F635" s="873"/>
      <c r="G635" s="873"/>
      <c r="H635" s="873"/>
      <c r="I635" s="873"/>
      <c r="J635" s="873"/>
      <c r="K635" s="873"/>
      <c r="L635" s="873"/>
      <c r="M635" s="873"/>
      <c r="N635" s="873"/>
      <c r="O635" s="873"/>
      <c r="P635" s="873"/>
      <c r="Q635" s="873"/>
      <c r="R635" s="873"/>
      <c r="S635" s="873"/>
      <c r="T635" s="873"/>
      <c r="U635" s="873"/>
      <c r="V635" s="873"/>
      <c r="W635" s="873"/>
      <c r="X635" s="873"/>
      <c r="Y635" s="873"/>
      <c r="Z635" s="873"/>
      <c r="AA635" s="873"/>
      <c r="AB635" s="873"/>
      <c r="AC635" s="873"/>
      <c r="AD635" s="873"/>
      <c r="AE635" s="873"/>
      <c r="AF635" s="873"/>
      <c r="AG635" s="873"/>
      <c r="AH635" s="873"/>
      <c r="AI635" s="873"/>
      <c r="AJ635" s="873"/>
      <c r="AK635" s="873"/>
      <c r="AL635" s="873"/>
      <c r="AM635" s="873"/>
      <c r="AN635" s="873"/>
      <c r="AO635" s="873"/>
      <c r="AP635" s="873"/>
      <c r="AQ635" s="873"/>
      <c r="AR635" s="873"/>
      <c r="AS635" s="873"/>
      <c r="AT635" s="873"/>
      <c r="AU635" s="873"/>
      <c r="AV635" s="873"/>
    </row>
    <row r="636" spans="1:48" ht="11.25" customHeight="1" x14ac:dyDescent="0.2">
      <c r="A636" s="873"/>
      <c r="B636" s="873"/>
      <c r="C636" s="873"/>
      <c r="D636" s="873"/>
      <c r="E636" s="873"/>
      <c r="F636" s="873"/>
      <c r="G636" s="873"/>
      <c r="H636" s="873"/>
      <c r="I636" s="873"/>
      <c r="J636" s="873"/>
      <c r="K636" s="873"/>
      <c r="L636" s="873"/>
      <c r="M636" s="873"/>
      <c r="N636" s="873"/>
      <c r="O636" s="873"/>
      <c r="P636" s="873"/>
      <c r="Q636" s="873"/>
      <c r="R636" s="873"/>
      <c r="S636" s="873"/>
      <c r="T636" s="873"/>
      <c r="U636" s="873"/>
      <c r="V636" s="873"/>
      <c r="W636" s="873"/>
      <c r="X636" s="873"/>
      <c r="Y636" s="873"/>
      <c r="Z636" s="873"/>
      <c r="AA636" s="873"/>
      <c r="AB636" s="873"/>
      <c r="AC636" s="873"/>
      <c r="AD636" s="873"/>
      <c r="AE636" s="873"/>
      <c r="AF636" s="873"/>
      <c r="AG636" s="873"/>
      <c r="AH636" s="873"/>
      <c r="AI636" s="873"/>
      <c r="AJ636" s="873"/>
      <c r="AK636" s="873"/>
      <c r="AL636" s="873"/>
      <c r="AM636" s="873"/>
      <c r="AN636" s="873"/>
      <c r="AO636" s="873"/>
      <c r="AP636" s="873"/>
      <c r="AQ636" s="873"/>
      <c r="AR636" s="873"/>
      <c r="AS636" s="873"/>
      <c r="AT636" s="873"/>
      <c r="AU636" s="873"/>
      <c r="AV636" s="873"/>
    </row>
    <row r="637" spans="1:48" ht="11.25" customHeight="1" x14ac:dyDescent="0.2">
      <c r="A637" s="873"/>
      <c r="B637" s="873"/>
      <c r="C637" s="873"/>
      <c r="D637" s="873"/>
      <c r="E637" s="873"/>
      <c r="F637" s="873"/>
      <c r="G637" s="873"/>
      <c r="H637" s="873"/>
      <c r="I637" s="873"/>
      <c r="J637" s="873"/>
      <c r="K637" s="873"/>
      <c r="L637" s="873"/>
      <c r="M637" s="873"/>
      <c r="N637" s="873"/>
      <c r="O637" s="873"/>
      <c r="P637" s="873"/>
      <c r="Q637" s="873"/>
      <c r="R637" s="873"/>
      <c r="S637" s="873"/>
      <c r="T637" s="873"/>
      <c r="U637" s="873"/>
      <c r="V637" s="873"/>
      <c r="W637" s="873"/>
      <c r="X637" s="873"/>
      <c r="Y637" s="873"/>
      <c r="Z637" s="873"/>
      <c r="AA637" s="873"/>
      <c r="AB637" s="873"/>
      <c r="AC637" s="873"/>
      <c r="AD637" s="873"/>
      <c r="AE637" s="873"/>
      <c r="AF637" s="873"/>
      <c r="AG637" s="873"/>
      <c r="AH637" s="873"/>
      <c r="AI637" s="873"/>
      <c r="AJ637" s="873"/>
      <c r="AK637" s="873"/>
      <c r="AL637" s="873"/>
      <c r="AM637" s="873"/>
      <c r="AN637" s="873"/>
      <c r="AO637" s="873"/>
      <c r="AP637" s="873"/>
      <c r="AQ637" s="873"/>
      <c r="AR637" s="873"/>
      <c r="AS637" s="873"/>
      <c r="AT637" s="873"/>
      <c r="AU637" s="873"/>
      <c r="AV637" s="873"/>
    </row>
    <row r="638" spans="1:48" ht="11.25" customHeight="1" x14ac:dyDescent="0.2">
      <c r="A638" s="873"/>
      <c r="B638" s="873"/>
      <c r="C638" s="873"/>
      <c r="D638" s="873"/>
      <c r="E638" s="873"/>
      <c r="F638" s="873"/>
      <c r="G638" s="873"/>
      <c r="H638" s="873"/>
      <c r="I638" s="873"/>
      <c r="J638" s="873"/>
      <c r="K638" s="873"/>
      <c r="L638" s="873"/>
      <c r="M638" s="873"/>
      <c r="N638" s="873"/>
      <c r="O638" s="873"/>
      <c r="P638" s="873"/>
      <c r="Q638" s="873"/>
      <c r="R638" s="873"/>
      <c r="S638" s="873"/>
      <c r="T638" s="873"/>
      <c r="U638" s="873"/>
      <c r="V638" s="873"/>
      <c r="W638" s="873"/>
      <c r="X638" s="873"/>
      <c r="Y638" s="873"/>
      <c r="Z638" s="873"/>
      <c r="AA638" s="873"/>
      <c r="AB638" s="873"/>
      <c r="AC638" s="873"/>
      <c r="AD638" s="873"/>
      <c r="AE638" s="873"/>
      <c r="AF638" s="873"/>
      <c r="AG638" s="873"/>
      <c r="AH638" s="873"/>
      <c r="AI638" s="873"/>
      <c r="AJ638" s="873"/>
      <c r="AK638" s="873"/>
      <c r="AL638" s="873"/>
      <c r="AM638" s="873"/>
      <c r="AN638" s="873"/>
      <c r="AO638" s="873"/>
      <c r="AP638" s="873"/>
      <c r="AQ638" s="873"/>
      <c r="AR638" s="873"/>
      <c r="AS638" s="873"/>
      <c r="AT638" s="873"/>
      <c r="AU638" s="873"/>
      <c r="AV638" s="873"/>
    </row>
    <row r="639" spans="1:48" ht="11.25" customHeight="1" x14ac:dyDescent="0.2">
      <c r="A639" s="873"/>
      <c r="B639" s="873"/>
      <c r="C639" s="873"/>
      <c r="D639" s="873"/>
      <c r="E639" s="873"/>
      <c r="F639" s="873"/>
      <c r="G639" s="873"/>
      <c r="H639" s="873"/>
      <c r="I639" s="873"/>
      <c r="J639" s="873"/>
      <c r="K639" s="873"/>
      <c r="L639" s="873"/>
      <c r="M639" s="873"/>
      <c r="N639" s="873"/>
      <c r="O639" s="873"/>
      <c r="P639" s="873"/>
      <c r="Q639" s="873"/>
      <c r="R639" s="873"/>
      <c r="S639" s="873"/>
      <c r="T639" s="873"/>
      <c r="U639" s="873"/>
      <c r="V639" s="873"/>
      <c r="W639" s="873"/>
      <c r="X639" s="873"/>
      <c r="Y639" s="873"/>
      <c r="Z639" s="873"/>
      <c r="AA639" s="873"/>
      <c r="AB639" s="873"/>
      <c r="AC639" s="873"/>
      <c r="AD639" s="873"/>
      <c r="AE639" s="873"/>
      <c r="AF639" s="873"/>
      <c r="AG639" s="873"/>
      <c r="AH639" s="873"/>
      <c r="AI639" s="873"/>
      <c r="AJ639" s="873"/>
      <c r="AK639" s="873"/>
      <c r="AL639" s="873"/>
      <c r="AM639" s="873"/>
      <c r="AN639" s="873"/>
      <c r="AO639" s="873"/>
      <c r="AP639" s="873"/>
      <c r="AQ639" s="873"/>
      <c r="AR639" s="873"/>
      <c r="AS639" s="873"/>
      <c r="AT639" s="873"/>
      <c r="AU639" s="873"/>
      <c r="AV639" s="873"/>
    </row>
    <row r="640" spans="1:48" ht="11.25" customHeight="1" x14ac:dyDescent="0.2">
      <c r="A640" s="873"/>
      <c r="B640" s="873"/>
      <c r="C640" s="873"/>
      <c r="D640" s="873"/>
      <c r="E640" s="873"/>
      <c r="F640" s="873"/>
      <c r="G640" s="873"/>
      <c r="H640" s="873"/>
      <c r="I640" s="873"/>
      <c r="J640" s="873"/>
      <c r="K640" s="873"/>
      <c r="L640" s="873"/>
      <c r="M640" s="873"/>
      <c r="N640" s="873"/>
      <c r="O640" s="873"/>
      <c r="P640" s="873"/>
      <c r="Q640" s="873"/>
      <c r="R640" s="873"/>
      <c r="S640" s="873"/>
      <c r="T640" s="873"/>
      <c r="U640" s="873"/>
      <c r="V640" s="873"/>
      <c r="W640" s="873"/>
      <c r="X640" s="873"/>
      <c r="Y640" s="873"/>
      <c r="Z640" s="873"/>
      <c r="AA640" s="873"/>
      <c r="AB640" s="873"/>
      <c r="AC640" s="873"/>
      <c r="AD640" s="873"/>
      <c r="AE640" s="873"/>
      <c r="AF640" s="873"/>
      <c r="AG640" s="873"/>
      <c r="AH640" s="873"/>
      <c r="AI640" s="873"/>
      <c r="AJ640" s="873"/>
      <c r="AK640" s="873"/>
      <c r="AL640" s="873"/>
      <c r="AM640" s="873"/>
      <c r="AN640" s="873"/>
      <c r="AO640" s="873"/>
      <c r="AP640" s="873"/>
      <c r="AQ640" s="873"/>
      <c r="AR640" s="873"/>
      <c r="AS640" s="873"/>
      <c r="AT640" s="873"/>
      <c r="AU640" s="873"/>
      <c r="AV640" s="873"/>
    </row>
    <row r="641" spans="1:48" ht="11.25" customHeight="1" x14ac:dyDescent="0.2">
      <c r="A641" s="873"/>
      <c r="B641" s="873"/>
      <c r="C641" s="873"/>
      <c r="D641" s="873"/>
      <c r="E641" s="873"/>
      <c r="F641" s="873"/>
      <c r="G641" s="873"/>
      <c r="H641" s="873"/>
      <c r="I641" s="873"/>
      <c r="J641" s="873"/>
      <c r="K641" s="873"/>
      <c r="L641" s="873"/>
      <c r="M641" s="873"/>
      <c r="N641" s="873"/>
      <c r="O641" s="873"/>
      <c r="P641" s="873"/>
      <c r="Q641" s="873"/>
      <c r="R641" s="873"/>
      <c r="S641" s="873"/>
      <c r="T641" s="873"/>
      <c r="U641" s="873"/>
      <c r="V641" s="873"/>
      <c r="W641" s="873"/>
      <c r="X641" s="873"/>
      <c r="Y641" s="873"/>
      <c r="Z641" s="873"/>
      <c r="AA641" s="873"/>
      <c r="AB641" s="873"/>
      <c r="AC641" s="873"/>
      <c r="AD641" s="873"/>
      <c r="AE641" s="873"/>
      <c r="AF641" s="873"/>
      <c r="AG641" s="873"/>
      <c r="AH641" s="873"/>
      <c r="AI641" s="873"/>
      <c r="AJ641" s="873"/>
      <c r="AK641" s="873"/>
      <c r="AL641" s="873"/>
      <c r="AM641" s="873"/>
      <c r="AN641" s="873"/>
      <c r="AO641" s="873"/>
      <c r="AP641" s="873"/>
      <c r="AQ641" s="873"/>
      <c r="AR641" s="873"/>
      <c r="AS641" s="873"/>
      <c r="AT641" s="873"/>
      <c r="AU641" s="873"/>
      <c r="AV641" s="873"/>
    </row>
    <row r="642" spans="1:48" ht="11.25" customHeight="1" x14ac:dyDescent="0.2">
      <c r="A642" s="873"/>
      <c r="B642" s="873"/>
      <c r="C642" s="873"/>
      <c r="D642" s="873"/>
      <c r="E642" s="873"/>
      <c r="F642" s="873"/>
      <c r="G642" s="873"/>
      <c r="H642" s="873"/>
      <c r="I642" s="873"/>
      <c r="J642" s="873"/>
      <c r="K642" s="873"/>
      <c r="L642" s="873"/>
      <c r="M642" s="873"/>
      <c r="N642" s="873"/>
      <c r="O642" s="873"/>
      <c r="P642" s="873"/>
      <c r="Q642" s="873"/>
      <c r="R642" s="873"/>
      <c r="S642" s="873"/>
      <c r="T642" s="873"/>
      <c r="U642" s="873"/>
      <c r="V642" s="873"/>
      <c r="W642" s="873"/>
      <c r="X642" s="873"/>
      <c r="Y642" s="873"/>
      <c r="Z642" s="873"/>
      <c r="AA642" s="873"/>
      <c r="AB642" s="873"/>
      <c r="AC642" s="873"/>
      <c r="AD642" s="873"/>
      <c r="AE642" s="873"/>
      <c r="AF642" s="873"/>
      <c r="AG642" s="873"/>
      <c r="AH642" s="873"/>
      <c r="AI642" s="873"/>
      <c r="AJ642" s="873"/>
      <c r="AK642" s="873"/>
      <c r="AL642" s="873"/>
      <c r="AM642" s="873"/>
      <c r="AN642" s="873"/>
      <c r="AO642" s="873"/>
      <c r="AP642" s="873"/>
      <c r="AQ642" s="873"/>
      <c r="AR642" s="873"/>
      <c r="AS642" s="873"/>
      <c r="AT642" s="873"/>
      <c r="AU642" s="873"/>
      <c r="AV642" s="873"/>
    </row>
    <row r="643" spans="1:48" ht="11.25" customHeight="1" x14ac:dyDescent="0.2">
      <c r="A643" s="873"/>
      <c r="B643" s="873"/>
      <c r="C643" s="873"/>
      <c r="D643" s="873"/>
      <c r="E643" s="873"/>
      <c r="F643" s="873"/>
      <c r="G643" s="873"/>
      <c r="H643" s="873"/>
      <c r="I643" s="873"/>
      <c r="J643" s="873"/>
      <c r="K643" s="873"/>
      <c r="L643" s="873"/>
      <c r="M643" s="873"/>
      <c r="N643" s="873"/>
      <c r="O643" s="873"/>
      <c r="P643" s="873"/>
      <c r="Q643" s="873"/>
      <c r="R643" s="873"/>
      <c r="S643" s="873"/>
      <c r="T643" s="873"/>
      <c r="U643" s="873"/>
      <c r="V643" s="873"/>
      <c r="W643" s="873"/>
      <c r="X643" s="873"/>
      <c r="Y643" s="873"/>
      <c r="Z643" s="873"/>
      <c r="AA643" s="873"/>
      <c r="AB643" s="873"/>
      <c r="AC643" s="873"/>
      <c r="AD643" s="873"/>
      <c r="AE643" s="873"/>
      <c r="AF643" s="873"/>
      <c r="AG643" s="873"/>
      <c r="AH643" s="873"/>
      <c r="AI643" s="873"/>
      <c r="AJ643" s="873"/>
      <c r="AK643" s="873"/>
      <c r="AL643" s="873"/>
      <c r="AM643" s="873"/>
      <c r="AN643" s="873"/>
      <c r="AO643" s="873"/>
      <c r="AP643" s="873"/>
      <c r="AQ643" s="873"/>
      <c r="AR643" s="873"/>
      <c r="AS643" s="873"/>
      <c r="AT643" s="873"/>
      <c r="AU643" s="873"/>
      <c r="AV643" s="873"/>
    </row>
    <row r="644" spans="1:48" ht="11.25" customHeight="1" x14ac:dyDescent="0.2">
      <c r="A644" s="873"/>
      <c r="B644" s="873"/>
      <c r="C644" s="873"/>
      <c r="D644" s="873"/>
      <c r="E644" s="873"/>
      <c r="F644" s="873"/>
      <c r="G644" s="873"/>
      <c r="H644" s="873"/>
      <c r="I644" s="873"/>
      <c r="J644" s="873"/>
      <c r="K644" s="873"/>
      <c r="L644" s="873"/>
      <c r="M644" s="873"/>
      <c r="N644" s="873"/>
      <c r="O644" s="873"/>
      <c r="P644" s="873"/>
      <c r="Q644" s="873"/>
      <c r="R644" s="873"/>
      <c r="S644" s="873"/>
      <c r="T644" s="873"/>
      <c r="U644" s="873"/>
      <c r="V644" s="873"/>
      <c r="W644" s="873"/>
      <c r="X644" s="873"/>
      <c r="Y644" s="873"/>
      <c r="Z644" s="873"/>
      <c r="AA644" s="873"/>
      <c r="AB644" s="873"/>
      <c r="AC644" s="873"/>
      <c r="AD644" s="873"/>
      <c r="AE644" s="873"/>
      <c r="AF644" s="873"/>
      <c r="AG644" s="873"/>
      <c r="AH644" s="873"/>
      <c r="AI644" s="873"/>
      <c r="AJ644" s="873"/>
      <c r="AK644" s="873"/>
      <c r="AL644" s="873"/>
      <c r="AM644" s="873"/>
      <c r="AN644" s="873"/>
      <c r="AO644" s="873"/>
      <c r="AP644" s="873"/>
      <c r="AQ644" s="873"/>
      <c r="AR644" s="873"/>
      <c r="AS644" s="873"/>
      <c r="AT644" s="873"/>
      <c r="AU644" s="873"/>
      <c r="AV644" s="873"/>
    </row>
    <row r="645" spans="1:48" ht="11.25" customHeight="1" x14ac:dyDescent="0.2">
      <c r="A645" s="873"/>
      <c r="B645" s="873"/>
      <c r="C645" s="873"/>
      <c r="D645" s="873"/>
      <c r="E645" s="873"/>
      <c r="F645" s="873"/>
      <c r="G645" s="873"/>
      <c r="H645" s="873"/>
      <c r="I645" s="873"/>
      <c r="J645" s="873"/>
      <c r="K645" s="873"/>
      <c r="L645" s="873"/>
      <c r="M645" s="873"/>
      <c r="N645" s="873"/>
      <c r="O645" s="873"/>
      <c r="P645" s="873"/>
      <c r="Q645" s="873"/>
      <c r="R645" s="873"/>
      <c r="S645" s="873"/>
      <c r="T645" s="873"/>
      <c r="U645" s="873"/>
      <c r="V645" s="873"/>
      <c r="W645" s="873"/>
      <c r="X645" s="873"/>
      <c r="Y645" s="873"/>
      <c r="Z645" s="873"/>
      <c r="AA645" s="873"/>
      <c r="AB645" s="873"/>
      <c r="AC645" s="873"/>
      <c r="AD645" s="873"/>
      <c r="AE645" s="873"/>
      <c r="AF645" s="873"/>
      <c r="AG645" s="873"/>
      <c r="AH645" s="873"/>
      <c r="AI645" s="873"/>
      <c r="AJ645" s="873"/>
      <c r="AK645" s="873"/>
      <c r="AL645" s="873"/>
      <c r="AM645" s="873"/>
      <c r="AN645" s="873"/>
      <c r="AO645" s="873"/>
      <c r="AP645" s="873"/>
      <c r="AQ645" s="873"/>
      <c r="AR645" s="873"/>
      <c r="AS645" s="873"/>
      <c r="AT645" s="873"/>
      <c r="AU645" s="873"/>
      <c r="AV645" s="873"/>
    </row>
    <row r="646" spans="1:48" ht="11.25" customHeight="1" x14ac:dyDescent="0.2">
      <c r="A646" s="873"/>
      <c r="B646" s="873"/>
      <c r="C646" s="873"/>
      <c r="D646" s="873"/>
      <c r="E646" s="873"/>
      <c r="F646" s="873"/>
      <c r="G646" s="873"/>
      <c r="H646" s="873"/>
      <c r="I646" s="873"/>
      <c r="J646" s="873"/>
      <c r="K646" s="873"/>
      <c r="L646" s="873"/>
      <c r="M646" s="873"/>
      <c r="N646" s="873"/>
      <c r="O646" s="873"/>
      <c r="P646" s="873"/>
      <c r="Q646" s="873"/>
      <c r="R646" s="873"/>
      <c r="S646" s="873"/>
      <c r="T646" s="873"/>
      <c r="U646" s="873"/>
      <c r="V646" s="873"/>
      <c r="W646" s="873"/>
      <c r="X646" s="873"/>
      <c r="Y646" s="873"/>
      <c r="Z646" s="873"/>
      <c r="AA646" s="873"/>
      <c r="AB646" s="873"/>
      <c r="AC646" s="873"/>
      <c r="AD646" s="873"/>
      <c r="AE646" s="873"/>
      <c r="AF646" s="873"/>
      <c r="AG646" s="873"/>
      <c r="AH646" s="873"/>
      <c r="AI646" s="873"/>
      <c r="AJ646" s="873"/>
      <c r="AK646" s="873"/>
      <c r="AL646" s="873"/>
      <c r="AM646" s="873"/>
      <c r="AN646" s="873"/>
      <c r="AO646" s="873"/>
      <c r="AP646" s="873"/>
      <c r="AQ646" s="873"/>
      <c r="AR646" s="873"/>
      <c r="AS646" s="873"/>
      <c r="AT646" s="873"/>
      <c r="AU646" s="873"/>
      <c r="AV646" s="873"/>
    </row>
    <row r="647" spans="1:48" ht="11.25" customHeight="1" x14ac:dyDescent="0.2">
      <c r="A647" s="873"/>
      <c r="B647" s="873"/>
      <c r="C647" s="873"/>
      <c r="D647" s="873"/>
      <c r="E647" s="873"/>
      <c r="F647" s="873"/>
      <c r="G647" s="873"/>
      <c r="H647" s="873"/>
      <c r="I647" s="873"/>
      <c r="J647" s="873"/>
      <c r="K647" s="873"/>
      <c r="L647" s="873"/>
      <c r="M647" s="873"/>
      <c r="N647" s="873"/>
      <c r="O647" s="873"/>
      <c r="P647" s="873"/>
      <c r="Q647" s="873"/>
      <c r="R647" s="873"/>
      <c r="S647" s="873"/>
      <c r="T647" s="873"/>
      <c r="U647" s="873"/>
      <c r="V647" s="873"/>
      <c r="W647" s="873"/>
      <c r="X647" s="873"/>
      <c r="Y647" s="873"/>
      <c r="Z647" s="873"/>
      <c r="AA647" s="873"/>
      <c r="AB647" s="873"/>
      <c r="AC647" s="873"/>
      <c r="AD647" s="873"/>
      <c r="AE647" s="873"/>
      <c r="AF647" s="873"/>
      <c r="AG647" s="873"/>
      <c r="AH647" s="873"/>
      <c r="AI647" s="873"/>
      <c r="AJ647" s="873"/>
      <c r="AK647" s="873"/>
      <c r="AL647" s="873"/>
      <c r="AM647" s="873"/>
      <c r="AN647" s="873"/>
      <c r="AO647" s="873"/>
      <c r="AP647" s="873"/>
      <c r="AQ647" s="873"/>
      <c r="AR647" s="873"/>
      <c r="AS647" s="873"/>
      <c r="AT647" s="873"/>
      <c r="AU647" s="873"/>
      <c r="AV647" s="873"/>
    </row>
    <row r="648" spans="1:48" ht="11.25" customHeight="1" x14ac:dyDescent="0.2">
      <c r="A648" s="873"/>
      <c r="B648" s="873"/>
      <c r="C648" s="873"/>
      <c r="D648" s="873"/>
      <c r="E648" s="873"/>
      <c r="F648" s="873"/>
      <c r="G648" s="873"/>
      <c r="H648" s="873"/>
      <c r="I648" s="873"/>
      <c r="J648" s="873"/>
      <c r="K648" s="873"/>
      <c r="L648" s="873"/>
      <c r="M648" s="873"/>
      <c r="N648" s="873"/>
      <c r="O648" s="873"/>
      <c r="P648" s="873"/>
      <c r="Q648" s="873"/>
      <c r="R648" s="873"/>
      <c r="S648" s="873"/>
      <c r="T648" s="873"/>
      <c r="U648" s="873"/>
      <c r="V648" s="873"/>
      <c r="W648" s="873"/>
      <c r="X648" s="873"/>
      <c r="Y648" s="873"/>
      <c r="Z648" s="873"/>
      <c r="AA648" s="873"/>
      <c r="AB648" s="873"/>
      <c r="AC648" s="873"/>
      <c r="AD648" s="873"/>
      <c r="AE648" s="873"/>
      <c r="AF648" s="873"/>
      <c r="AG648" s="873"/>
      <c r="AH648" s="873"/>
      <c r="AI648" s="873"/>
      <c r="AJ648" s="873"/>
      <c r="AK648" s="873"/>
      <c r="AL648" s="873"/>
      <c r="AM648" s="873"/>
      <c r="AN648" s="873"/>
      <c r="AO648" s="873"/>
      <c r="AP648" s="873"/>
      <c r="AQ648" s="873"/>
      <c r="AR648" s="873"/>
      <c r="AS648" s="873"/>
      <c r="AT648" s="873"/>
      <c r="AU648" s="873"/>
      <c r="AV648" s="873"/>
    </row>
    <row r="649" spans="1:48" ht="11.25" customHeight="1" x14ac:dyDescent="0.2">
      <c r="A649" s="873"/>
      <c r="B649" s="873"/>
      <c r="C649" s="873"/>
      <c r="D649" s="873"/>
      <c r="E649" s="873"/>
      <c r="F649" s="873"/>
      <c r="G649" s="873"/>
      <c r="H649" s="873"/>
      <c r="I649" s="873"/>
      <c r="J649" s="873"/>
      <c r="K649" s="873"/>
      <c r="L649" s="873"/>
      <c r="M649" s="873"/>
      <c r="N649" s="873"/>
      <c r="O649" s="873"/>
      <c r="P649" s="873"/>
      <c r="Q649" s="873"/>
      <c r="R649" s="873"/>
      <c r="S649" s="873"/>
      <c r="T649" s="873"/>
      <c r="U649" s="873"/>
      <c r="V649" s="873"/>
      <c r="W649" s="873"/>
      <c r="X649" s="873"/>
      <c r="Y649" s="873"/>
      <c r="Z649" s="873"/>
      <c r="AA649" s="873"/>
      <c r="AB649" s="873"/>
      <c r="AC649" s="873"/>
      <c r="AD649" s="873"/>
      <c r="AE649" s="873"/>
      <c r="AF649" s="873"/>
      <c r="AG649" s="873"/>
      <c r="AH649" s="873"/>
      <c r="AI649" s="873"/>
      <c r="AJ649" s="873"/>
      <c r="AK649" s="873"/>
      <c r="AL649" s="873"/>
      <c r="AM649" s="873"/>
      <c r="AN649" s="873"/>
      <c r="AO649" s="873"/>
      <c r="AP649" s="873"/>
      <c r="AQ649" s="873"/>
      <c r="AR649" s="873"/>
      <c r="AS649" s="873"/>
      <c r="AT649" s="873"/>
      <c r="AU649" s="873"/>
      <c r="AV649" s="873"/>
    </row>
    <row r="650" spans="1:48" ht="11.25" customHeight="1" x14ac:dyDescent="0.2">
      <c r="A650" s="873"/>
      <c r="B650" s="873"/>
      <c r="C650" s="873"/>
      <c r="D650" s="873"/>
      <c r="E650" s="873"/>
      <c r="F650" s="873"/>
      <c r="G650" s="873"/>
      <c r="H650" s="873"/>
      <c r="I650" s="873"/>
      <c r="J650" s="873"/>
      <c r="K650" s="873"/>
      <c r="L650" s="873"/>
      <c r="M650" s="873"/>
      <c r="N650" s="873"/>
      <c r="O650" s="873"/>
      <c r="P650" s="873"/>
      <c r="Q650" s="873"/>
      <c r="R650" s="873"/>
      <c r="S650" s="873"/>
      <c r="T650" s="873"/>
      <c r="U650" s="873"/>
      <c r="V650" s="873"/>
      <c r="W650" s="873"/>
      <c r="X650" s="873"/>
      <c r="Y650" s="873"/>
      <c r="Z650" s="873"/>
      <c r="AA650" s="873"/>
      <c r="AB650" s="873"/>
      <c r="AC650" s="873"/>
      <c r="AD650" s="873"/>
      <c r="AE650" s="873"/>
      <c r="AF650" s="873"/>
      <c r="AG650" s="873"/>
      <c r="AH650" s="873"/>
      <c r="AI650" s="873"/>
      <c r="AJ650" s="873"/>
      <c r="AK650" s="873"/>
      <c r="AL650" s="873"/>
      <c r="AM650" s="873"/>
      <c r="AN650" s="873"/>
      <c r="AO650" s="873"/>
      <c r="AP650" s="873"/>
      <c r="AQ650" s="873"/>
      <c r="AR650" s="873"/>
      <c r="AS650" s="873"/>
      <c r="AT650" s="873"/>
      <c r="AU650" s="873"/>
      <c r="AV650" s="873"/>
    </row>
    <row r="651" spans="1:48" ht="11.25" customHeight="1" x14ac:dyDescent="0.2">
      <c r="A651" s="873"/>
      <c r="B651" s="873"/>
      <c r="C651" s="873"/>
      <c r="D651" s="873"/>
      <c r="E651" s="873"/>
      <c r="F651" s="873"/>
      <c r="G651" s="873"/>
      <c r="H651" s="873"/>
      <c r="I651" s="873"/>
      <c r="J651" s="873"/>
      <c r="K651" s="873"/>
      <c r="L651" s="873"/>
      <c r="M651" s="873"/>
      <c r="N651" s="873"/>
      <c r="O651" s="873"/>
      <c r="P651" s="873"/>
      <c r="Q651" s="873"/>
      <c r="R651" s="873"/>
      <c r="S651" s="873"/>
      <c r="T651" s="873"/>
      <c r="U651" s="873"/>
      <c r="V651" s="873"/>
      <c r="W651" s="873"/>
      <c r="X651" s="873"/>
      <c r="Y651" s="873"/>
      <c r="Z651" s="873"/>
      <c r="AA651" s="873"/>
      <c r="AB651" s="873"/>
      <c r="AC651" s="873"/>
      <c r="AD651" s="873"/>
      <c r="AE651" s="873"/>
      <c r="AF651" s="873"/>
      <c r="AG651" s="873"/>
      <c r="AH651" s="873"/>
      <c r="AI651" s="873"/>
      <c r="AJ651" s="873"/>
      <c r="AK651" s="873"/>
      <c r="AL651" s="873"/>
      <c r="AM651" s="873"/>
      <c r="AN651" s="873"/>
      <c r="AO651" s="873"/>
      <c r="AP651" s="873"/>
      <c r="AQ651" s="873"/>
      <c r="AR651" s="873"/>
      <c r="AS651" s="873"/>
      <c r="AT651" s="873"/>
      <c r="AU651" s="873"/>
      <c r="AV651" s="873"/>
    </row>
    <row r="652" spans="1:48" ht="11.25" customHeight="1" x14ac:dyDescent="0.2">
      <c r="A652" s="873"/>
      <c r="B652" s="873"/>
      <c r="C652" s="873"/>
      <c r="D652" s="873"/>
      <c r="E652" s="873"/>
      <c r="F652" s="873"/>
      <c r="G652" s="873"/>
      <c r="H652" s="873"/>
      <c r="I652" s="873"/>
      <c r="J652" s="873"/>
      <c r="K652" s="873"/>
      <c r="L652" s="873"/>
      <c r="M652" s="873"/>
      <c r="N652" s="873"/>
      <c r="O652" s="873"/>
      <c r="P652" s="873"/>
      <c r="Q652" s="873"/>
      <c r="R652" s="873"/>
      <c r="S652" s="873"/>
      <c r="T652" s="873"/>
      <c r="U652" s="873"/>
      <c r="V652" s="873"/>
      <c r="W652" s="873"/>
      <c r="X652" s="873"/>
      <c r="Y652" s="873"/>
      <c r="Z652" s="873"/>
      <c r="AA652" s="873"/>
      <c r="AB652" s="873"/>
      <c r="AC652" s="873"/>
      <c r="AD652" s="873"/>
      <c r="AE652" s="873"/>
      <c r="AF652" s="873"/>
      <c r="AG652" s="873"/>
      <c r="AH652" s="873"/>
      <c r="AI652" s="873"/>
      <c r="AJ652" s="873"/>
      <c r="AK652" s="873"/>
      <c r="AL652" s="873"/>
      <c r="AM652" s="873"/>
      <c r="AN652" s="873"/>
      <c r="AO652" s="873"/>
      <c r="AP652" s="873"/>
      <c r="AQ652" s="873"/>
      <c r="AR652" s="873"/>
      <c r="AS652" s="873"/>
      <c r="AT652" s="873"/>
      <c r="AU652" s="873"/>
      <c r="AV652" s="873"/>
    </row>
    <row r="653" spans="1:48" ht="11.25" customHeight="1" x14ac:dyDescent="0.2">
      <c r="A653" s="873"/>
      <c r="B653" s="873"/>
      <c r="C653" s="873"/>
      <c r="D653" s="873"/>
      <c r="E653" s="873"/>
      <c r="F653" s="873"/>
      <c r="G653" s="873"/>
      <c r="H653" s="873"/>
      <c r="I653" s="873"/>
      <c r="J653" s="873"/>
      <c r="K653" s="873"/>
      <c r="L653" s="873"/>
      <c r="M653" s="873"/>
      <c r="N653" s="873"/>
      <c r="O653" s="873"/>
      <c r="P653" s="873"/>
      <c r="Q653" s="873"/>
      <c r="R653" s="873"/>
      <c r="S653" s="873"/>
      <c r="T653" s="873"/>
      <c r="U653" s="873"/>
      <c r="V653" s="873"/>
      <c r="W653" s="873"/>
      <c r="X653" s="873"/>
      <c r="Y653" s="873"/>
      <c r="Z653" s="873"/>
      <c r="AA653" s="873"/>
      <c r="AB653" s="873"/>
      <c r="AC653" s="873"/>
      <c r="AD653" s="873"/>
      <c r="AE653" s="873"/>
      <c r="AF653" s="873"/>
      <c r="AG653" s="873"/>
      <c r="AH653" s="873"/>
      <c r="AI653" s="873"/>
      <c r="AJ653" s="873"/>
      <c r="AK653" s="873"/>
      <c r="AL653" s="873"/>
      <c r="AM653" s="873"/>
      <c r="AN653" s="873"/>
      <c r="AO653" s="873"/>
      <c r="AP653" s="873"/>
      <c r="AQ653" s="873"/>
      <c r="AR653" s="873"/>
      <c r="AS653" s="873"/>
      <c r="AT653" s="873"/>
      <c r="AU653" s="873"/>
      <c r="AV653" s="873"/>
    </row>
    <row r="654" spans="1:48" ht="11.25" customHeight="1" x14ac:dyDescent="0.2">
      <c r="A654" s="873"/>
      <c r="B654" s="873"/>
      <c r="C654" s="873"/>
      <c r="D654" s="873"/>
      <c r="E654" s="873"/>
      <c r="F654" s="873"/>
      <c r="G654" s="873"/>
      <c r="H654" s="873"/>
      <c r="I654" s="873"/>
      <c r="J654" s="873"/>
      <c r="K654" s="873"/>
      <c r="L654" s="873"/>
      <c r="M654" s="873"/>
      <c r="N654" s="873"/>
      <c r="O654" s="873"/>
      <c r="P654" s="873"/>
      <c r="Q654" s="873"/>
      <c r="R654" s="873"/>
      <c r="S654" s="873"/>
      <c r="T654" s="873"/>
      <c r="U654" s="873"/>
      <c r="V654" s="873"/>
      <c r="W654" s="873"/>
      <c r="X654" s="873"/>
      <c r="Y654" s="873"/>
      <c r="Z654" s="873"/>
      <c r="AA654" s="873"/>
      <c r="AB654" s="873"/>
      <c r="AC654" s="873"/>
      <c r="AD654" s="873"/>
      <c r="AE654" s="873"/>
      <c r="AF654" s="873"/>
      <c r="AG654" s="873"/>
      <c r="AH654" s="873"/>
      <c r="AI654" s="873"/>
      <c r="AJ654" s="873"/>
      <c r="AK654" s="873"/>
      <c r="AL654" s="873"/>
      <c r="AM654" s="873"/>
      <c r="AN654" s="873"/>
      <c r="AO654" s="873"/>
      <c r="AP654" s="873"/>
      <c r="AQ654" s="873"/>
      <c r="AR654" s="873"/>
      <c r="AS654" s="873"/>
      <c r="AT654" s="873"/>
      <c r="AU654" s="873"/>
      <c r="AV654" s="873"/>
    </row>
    <row r="655" spans="1:48" ht="11.25" customHeight="1" x14ac:dyDescent="0.2">
      <c r="A655" s="873"/>
      <c r="B655" s="873"/>
      <c r="C655" s="873"/>
      <c r="D655" s="873"/>
      <c r="E655" s="873"/>
      <c r="F655" s="873"/>
      <c r="G655" s="873"/>
      <c r="H655" s="873"/>
      <c r="I655" s="873"/>
      <c r="J655" s="873"/>
      <c r="K655" s="873"/>
      <c r="L655" s="873"/>
      <c r="M655" s="873"/>
      <c r="N655" s="873"/>
      <c r="O655" s="873"/>
      <c r="P655" s="873"/>
      <c r="Q655" s="873"/>
      <c r="R655" s="873"/>
      <c r="S655" s="873"/>
      <c r="T655" s="873"/>
      <c r="U655" s="873"/>
      <c r="V655" s="873"/>
      <c r="W655" s="873"/>
      <c r="X655" s="873"/>
      <c r="Y655" s="873"/>
      <c r="Z655" s="873"/>
      <c r="AA655" s="873"/>
      <c r="AB655" s="873"/>
      <c r="AC655" s="873"/>
      <c r="AD655" s="873"/>
      <c r="AE655" s="873"/>
      <c r="AF655" s="873"/>
      <c r="AG655" s="873"/>
      <c r="AH655" s="873"/>
      <c r="AI655" s="873"/>
      <c r="AJ655" s="873"/>
      <c r="AK655" s="873"/>
      <c r="AL655" s="873"/>
      <c r="AM655" s="873"/>
      <c r="AN655" s="873"/>
      <c r="AO655" s="873"/>
      <c r="AP655" s="873"/>
      <c r="AQ655" s="873"/>
      <c r="AR655" s="873"/>
      <c r="AS655" s="873"/>
      <c r="AT655" s="873"/>
      <c r="AU655" s="873"/>
      <c r="AV655" s="873"/>
    </row>
    <row r="656" spans="1:48" ht="11.25" customHeight="1" x14ac:dyDescent="0.2">
      <c r="A656" s="873"/>
      <c r="B656" s="873"/>
      <c r="C656" s="873"/>
      <c r="D656" s="873"/>
      <c r="E656" s="873"/>
      <c r="F656" s="873"/>
      <c r="G656" s="873"/>
      <c r="H656" s="873"/>
      <c r="I656" s="873"/>
      <c r="J656" s="873"/>
      <c r="K656" s="873"/>
      <c r="L656" s="873"/>
      <c r="M656" s="873"/>
      <c r="N656" s="873"/>
      <c r="O656" s="873"/>
      <c r="P656" s="873"/>
      <c r="Q656" s="873"/>
      <c r="R656" s="873"/>
      <c r="S656" s="873"/>
      <c r="T656" s="873"/>
      <c r="U656" s="873"/>
      <c r="V656" s="873"/>
      <c r="W656" s="873"/>
      <c r="X656" s="873"/>
      <c r="Y656" s="873"/>
      <c r="Z656" s="873"/>
      <c r="AA656" s="873"/>
      <c r="AB656" s="873"/>
      <c r="AC656" s="873"/>
      <c r="AD656" s="873"/>
      <c r="AE656" s="873"/>
      <c r="AF656" s="873"/>
      <c r="AG656" s="873"/>
      <c r="AH656" s="873"/>
      <c r="AI656" s="873"/>
      <c r="AJ656" s="873"/>
      <c r="AK656" s="873"/>
      <c r="AL656" s="873"/>
      <c r="AM656" s="873"/>
      <c r="AN656" s="873"/>
      <c r="AO656" s="873"/>
      <c r="AP656" s="873"/>
      <c r="AQ656" s="873"/>
      <c r="AR656" s="873"/>
      <c r="AS656" s="873"/>
      <c r="AT656" s="873"/>
      <c r="AU656" s="873"/>
      <c r="AV656" s="873"/>
    </row>
    <row r="657" spans="1:48" ht="11.25" customHeight="1" x14ac:dyDescent="0.2">
      <c r="A657" s="873"/>
      <c r="B657" s="873"/>
      <c r="C657" s="873"/>
      <c r="D657" s="873"/>
      <c r="E657" s="873"/>
      <c r="F657" s="873"/>
      <c r="G657" s="873"/>
      <c r="H657" s="873"/>
      <c r="I657" s="873"/>
      <c r="J657" s="873"/>
      <c r="K657" s="873"/>
      <c r="L657" s="873"/>
      <c r="M657" s="873"/>
      <c r="N657" s="873"/>
      <c r="O657" s="873"/>
      <c r="P657" s="873"/>
      <c r="Q657" s="873"/>
      <c r="R657" s="873"/>
      <c r="S657" s="873"/>
      <c r="T657" s="873"/>
      <c r="U657" s="873"/>
      <c r="V657" s="873"/>
      <c r="W657" s="873"/>
      <c r="X657" s="873"/>
      <c r="Y657" s="873"/>
      <c r="Z657" s="873"/>
      <c r="AA657" s="873"/>
      <c r="AB657" s="873"/>
      <c r="AC657" s="873"/>
      <c r="AD657" s="873"/>
      <c r="AE657" s="873"/>
      <c r="AF657" s="873"/>
      <c r="AG657" s="873"/>
      <c r="AH657" s="873"/>
      <c r="AI657" s="873"/>
      <c r="AJ657" s="873"/>
      <c r="AK657" s="873"/>
      <c r="AL657" s="873"/>
      <c r="AM657" s="873"/>
      <c r="AN657" s="873"/>
      <c r="AO657" s="873"/>
      <c r="AP657" s="873"/>
      <c r="AQ657" s="873"/>
      <c r="AR657" s="873"/>
      <c r="AS657" s="873"/>
      <c r="AT657" s="873"/>
      <c r="AU657" s="873"/>
      <c r="AV657" s="873"/>
    </row>
    <row r="658" spans="1:48" ht="11.25" customHeight="1" x14ac:dyDescent="0.2">
      <c r="A658" s="873"/>
      <c r="B658" s="873"/>
      <c r="C658" s="873"/>
      <c r="D658" s="873"/>
      <c r="E658" s="873"/>
      <c r="F658" s="873"/>
      <c r="G658" s="873"/>
      <c r="H658" s="873"/>
      <c r="I658" s="873"/>
      <c r="J658" s="873"/>
      <c r="K658" s="873"/>
      <c r="L658" s="873"/>
      <c r="M658" s="873"/>
      <c r="N658" s="873"/>
      <c r="O658" s="873"/>
      <c r="P658" s="873"/>
      <c r="Q658" s="873"/>
      <c r="R658" s="873"/>
      <c r="S658" s="873"/>
      <c r="T658" s="873"/>
      <c r="U658" s="873"/>
      <c r="V658" s="873"/>
      <c r="W658" s="873"/>
      <c r="X658" s="873"/>
      <c r="Y658" s="873"/>
      <c r="Z658" s="873"/>
      <c r="AA658" s="873"/>
      <c r="AB658" s="873"/>
      <c r="AC658" s="873"/>
      <c r="AD658" s="873"/>
      <c r="AE658" s="873"/>
      <c r="AF658" s="873"/>
      <c r="AG658" s="873"/>
      <c r="AH658" s="873"/>
      <c r="AI658" s="873"/>
      <c r="AJ658" s="873"/>
      <c r="AK658" s="873"/>
      <c r="AL658" s="873"/>
      <c r="AM658" s="873"/>
      <c r="AN658" s="873"/>
      <c r="AO658" s="873"/>
      <c r="AP658" s="873"/>
      <c r="AQ658" s="873"/>
      <c r="AR658" s="873"/>
      <c r="AS658" s="873"/>
      <c r="AT658" s="873"/>
      <c r="AU658" s="873"/>
      <c r="AV658" s="873"/>
    </row>
    <row r="659" spans="1:48" ht="11.25" customHeight="1" x14ac:dyDescent="0.2">
      <c r="A659" s="873"/>
      <c r="B659" s="873"/>
      <c r="C659" s="873"/>
      <c r="D659" s="873"/>
      <c r="E659" s="873"/>
      <c r="F659" s="873"/>
      <c r="G659" s="873"/>
      <c r="H659" s="873"/>
      <c r="I659" s="873"/>
      <c r="J659" s="873"/>
      <c r="K659" s="873"/>
      <c r="L659" s="873"/>
      <c r="M659" s="873"/>
      <c r="N659" s="873"/>
      <c r="O659" s="873"/>
      <c r="P659" s="873"/>
      <c r="Q659" s="873"/>
      <c r="R659" s="873"/>
      <c r="S659" s="873"/>
      <c r="T659" s="873"/>
      <c r="U659" s="873"/>
      <c r="V659" s="873"/>
      <c r="W659" s="873"/>
      <c r="X659" s="873"/>
      <c r="Y659" s="873"/>
      <c r="Z659" s="873"/>
      <c r="AA659" s="873"/>
      <c r="AB659" s="873"/>
      <c r="AC659" s="873"/>
      <c r="AD659" s="873"/>
      <c r="AE659" s="873"/>
      <c r="AF659" s="873"/>
      <c r="AG659" s="873"/>
      <c r="AH659" s="873"/>
      <c r="AI659" s="873"/>
      <c r="AJ659" s="873"/>
      <c r="AK659" s="873"/>
      <c r="AL659" s="873"/>
      <c r="AM659" s="873"/>
      <c r="AN659" s="873"/>
      <c r="AO659" s="873"/>
      <c r="AP659" s="873"/>
      <c r="AQ659" s="873"/>
      <c r="AR659" s="873"/>
      <c r="AS659" s="873"/>
      <c r="AT659" s="873"/>
      <c r="AU659" s="873"/>
      <c r="AV659" s="873"/>
    </row>
    <row r="660" spans="1:48" ht="11.25" customHeight="1" x14ac:dyDescent="0.2">
      <c r="A660" s="873"/>
      <c r="B660" s="873"/>
      <c r="C660" s="873"/>
      <c r="D660" s="873"/>
      <c r="E660" s="873"/>
      <c r="F660" s="873"/>
      <c r="G660" s="873"/>
      <c r="H660" s="873"/>
      <c r="I660" s="873"/>
      <c r="J660" s="873"/>
      <c r="K660" s="873"/>
      <c r="L660" s="873"/>
      <c r="M660" s="873"/>
      <c r="N660" s="873"/>
      <c r="O660" s="873"/>
      <c r="P660" s="873"/>
      <c r="Q660" s="873"/>
      <c r="R660" s="873"/>
      <c r="S660" s="873"/>
      <c r="T660" s="873"/>
      <c r="U660" s="873"/>
      <c r="V660" s="873"/>
      <c r="W660" s="873"/>
      <c r="X660" s="873"/>
      <c r="Y660" s="873"/>
      <c r="Z660" s="873"/>
      <c r="AA660" s="873"/>
      <c r="AB660" s="873"/>
      <c r="AC660" s="873"/>
      <c r="AD660" s="873"/>
      <c r="AE660" s="873"/>
      <c r="AF660" s="873"/>
      <c r="AG660" s="873"/>
      <c r="AH660" s="873"/>
      <c r="AI660" s="873"/>
      <c r="AJ660" s="873"/>
      <c r="AK660" s="873"/>
      <c r="AL660" s="873"/>
      <c r="AM660" s="873"/>
      <c r="AN660" s="873"/>
      <c r="AO660" s="873"/>
      <c r="AP660" s="873"/>
      <c r="AQ660" s="873"/>
      <c r="AR660" s="873"/>
      <c r="AS660" s="873"/>
      <c r="AT660" s="873"/>
      <c r="AU660" s="873"/>
      <c r="AV660" s="873"/>
    </row>
    <row r="661" spans="1:48" ht="11.25" customHeight="1" x14ac:dyDescent="0.2">
      <c r="A661" s="873"/>
      <c r="B661" s="873"/>
      <c r="C661" s="873"/>
      <c r="D661" s="873"/>
      <c r="E661" s="873"/>
      <c r="F661" s="873"/>
      <c r="G661" s="873"/>
      <c r="H661" s="873"/>
      <c r="I661" s="873"/>
      <c r="J661" s="873"/>
      <c r="K661" s="873"/>
      <c r="L661" s="873"/>
      <c r="M661" s="873"/>
      <c r="N661" s="873"/>
      <c r="O661" s="873"/>
      <c r="P661" s="873"/>
      <c r="Q661" s="873"/>
      <c r="R661" s="873"/>
      <c r="S661" s="873"/>
      <c r="T661" s="873"/>
      <c r="U661" s="873"/>
      <c r="V661" s="873"/>
      <c r="W661" s="873"/>
      <c r="X661" s="873"/>
      <c r="Y661" s="873"/>
      <c r="Z661" s="873"/>
      <c r="AA661" s="873"/>
      <c r="AB661" s="873"/>
      <c r="AC661" s="873"/>
      <c r="AD661" s="873"/>
      <c r="AE661" s="873"/>
      <c r="AF661" s="873"/>
      <c r="AG661" s="873"/>
      <c r="AH661" s="873"/>
      <c r="AI661" s="873"/>
      <c r="AJ661" s="873"/>
      <c r="AK661" s="873"/>
      <c r="AL661" s="873"/>
      <c r="AM661" s="873"/>
      <c r="AN661" s="873"/>
      <c r="AO661" s="873"/>
      <c r="AP661" s="873"/>
      <c r="AQ661" s="873"/>
      <c r="AR661" s="873"/>
      <c r="AS661" s="873"/>
      <c r="AT661" s="873"/>
      <c r="AU661" s="873"/>
      <c r="AV661" s="873"/>
    </row>
    <row r="662" spans="1:48" ht="11.25" customHeight="1" x14ac:dyDescent="0.2">
      <c r="A662" s="873"/>
      <c r="B662" s="873"/>
      <c r="C662" s="873"/>
      <c r="D662" s="873"/>
      <c r="E662" s="873"/>
      <c r="F662" s="873"/>
      <c r="G662" s="873"/>
      <c r="H662" s="873"/>
      <c r="I662" s="873"/>
      <c r="J662" s="873"/>
      <c r="K662" s="873"/>
      <c r="L662" s="873"/>
      <c r="M662" s="873"/>
      <c r="N662" s="873"/>
      <c r="O662" s="873"/>
      <c r="P662" s="873"/>
      <c r="Q662" s="873"/>
      <c r="R662" s="873"/>
      <c r="S662" s="873"/>
      <c r="T662" s="873"/>
      <c r="U662" s="873"/>
      <c r="V662" s="873"/>
      <c r="W662" s="873"/>
      <c r="X662" s="873"/>
      <c r="Y662" s="873"/>
      <c r="Z662" s="873"/>
      <c r="AA662" s="873"/>
      <c r="AB662" s="873"/>
      <c r="AC662" s="873"/>
      <c r="AD662" s="873"/>
      <c r="AE662" s="873"/>
      <c r="AF662" s="873"/>
      <c r="AG662" s="873"/>
      <c r="AH662" s="873"/>
      <c r="AI662" s="873"/>
      <c r="AJ662" s="873"/>
      <c r="AK662" s="873"/>
      <c r="AL662" s="873"/>
      <c r="AM662" s="873"/>
      <c r="AN662" s="873"/>
      <c r="AO662" s="873"/>
      <c r="AP662" s="873"/>
      <c r="AQ662" s="873"/>
      <c r="AR662" s="873"/>
      <c r="AS662" s="873"/>
      <c r="AT662" s="873"/>
      <c r="AU662" s="873"/>
      <c r="AV662" s="873"/>
    </row>
    <row r="663" spans="1:48" ht="11.25" customHeight="1" x14ac:dyDescent="0.2">
      <c r="A663" s="873"/>
      <c r="B663" s="873"/>
      <c r="C663" s="873"/>
      <c r="D663" s="873"/>
      <c r="E663" s="873"/>
      <c r="F663" s="873"/>
      <c r="G663" s="873"/>
      <c r="H663" s="873"/>
      <c r="I663" s="873"/>
      <c r="J663" s="873"/>
      <c r="K663" s="873"/>
      <c r="L663" s="873"/>
      <c r="M663" s="873"/>
      <c r="N663" s="873"/>
      <c r="O663" s="873"/>
      <c r="P663" s="873"/>
      <c r="Q663" s="873"/>
      <c r="R663" s="873"/>
      <c r="S663" s="873"/>
      <c r="T663" s="873"/>
      <c r="U663" s="873"/>
      <c r="V663" s="873"/>
      <c r="W663" s="873"/>
      <c r="X663" s="873"/>
      <c r="Y663" s="873"/>
      <c r="Z663" s="873"/>
      <c r="AA663" s="873"/>
      <c r="AB663" s="873"/>
      <c r="AC663" s="873"/>
      <c r="AD663" s="873"/>
      <c r="AE663" s="873"/>
      <c r="AF663" s="873"/>
      <c r="AG663" s="873"/>
      <c r="AH663" s="873"/>
      <c r="AI663" s="873"/>
      <c r="AJ663" s="873"/>
      <c r="AK663" s="873"/>
      <c r="AL663" s="873"/>
      <c r="AM663" s="873"/>
      <c r="AN663" s="873"/>
      <c r="AO663" s="873"/>
      <c r="AP663" s="873"/>
      <c r="AQ663" s="873"/>
      <c r="AR663" s="873"/>
      <c r="AS663" s="873"/>
      <c r="AT663" s="873"/>
      <c r="AU663" s="873"/>
      <c r="AV663" s="873"/>
    </row>
    <row r="664" spans="1:48" ht="11.25" customHeight="1" x14ac:dyDescent="0.2">
      <c r="A664" s="873"/>
      <c r="B664" s="873"/>
      <c r="C664" s="873"/>
      <c r="D664" s="873"/>
      <c r="E664" s="873"/>
      <c r="F664" s="873"/>
      <c r="G664" s="873"/>
      <c r="H664" s="873"/>
      <c r="I664" s="873"/>
      <c r="J664" s="873"/>
      <c r="K664" s="873"/>
      <c r="L664" s="873"/>
      <c r="M664" s="873"/>
      <c r="N664" s="873"/>
      <c r="O664" s="873"/>
      <c r="P664" s="873"/>
      <c r="Q664" s="873"/>
      <c r="R664" s="873"/>
      <c r="S664" s="873"/>
      <c r="T664" s="873"/>
      <c r="U664" s="873"/>
      <c r="V664" s="873"/>
      <c r="W664" s="873"/>
      <c r="X664" s="873"/>
      <c r="Y664" s="873"/>
      <c r="Z664" s="873"/>
      <c r="AA664" s="873"/>
      <c r="AB664" s="873"/>
      <c r="AC664" s="873"/>
      <c r="AD664" s="873"/>
      <c r="AE664" s="873"/>
      <c r="AF664" s="873"/>
      <c r="AG664" s="873"/>
      <c r="AH664" s="873"/>
      <c r="AI664" s="873"/>
      <c r="AJ664" s="873"/>
      <c r="AK664" s="873"/>
      <c r="AL664" s="873"/>
      <c r="AM664" s="873"/>
      <c r="AN664" s="873"/>
      <c r="AO664" s="873"/>
      <c r="AP664" s="873"/>
      <c r="AQ664" s="873"/>
      <c r="AR664" s="873"/>
      <c r="AS664" s="873"/>
      <c r="AT664" s="873"/>
      <c r="AU664" s="873"/>
      <c r="AV664" s="873"/>
    </row>
    <row r="665" spans="1:48" ht="11.25" customHeight="1" x14ac:dyDescent="0.2">
      <c r="A665" s="873"/>
      <c r="B665" s="873"/>
      <c r="C665" s="873"/>
      <c r="D665" s="873"/>
      <c r="E665" s="873"/>
      <c r="F665" s="873"/>
      <c r="G665" s="873"/>
      <c r="H665" s="873"/>
      <c r="I665" s="873"/>
      <c r="J665" s="873"/>
      <c r="K665" s="873"/>
      <c r="L665" s="873"/>
      <c r="M665" s="873"/>
      <c r="N665" s="873"/>
      <c r="O665" s="873"/>
      <c r="P665" s="873"/>
      <c r="Q665" s="873"/>
      <c r="R665" s="873"/>
      <c r="S665" s="873"/>
      <c r="T665" s="873"/>
      <c r="U665" s="873"/>
      <c r="V665" s="873"/>
      <c r="W665" s="873"/>
      <c r="X665" s="873"/>
      <c r="Y665" s="873"/>
      <c r="Z665" s="873"/>
      <c r="AA665" s="873"/>
      <c r="AB665" s="873"/>
      <c r="AC665" s="873"/>
      <c r="AD665" s="873"/>
      <c r="AE665" s="873"/>
      <c r="AF665" s="873"/>
      <c r="AG665" s="873"/>
      <c r="AH665" s="873"/>
      <c r="AI665" s="873"/>
      <c r="AJ665" s="873"/>
      <c r="AK665" s="873"/>
      <c r="AL665" s="873"/>
      <c r="AM665" s="873"/>
      <c r="AN665" s="873"/>
      <c r="AO665" s="873"/>
      <c r="AP665" s="873"/>
      <c r="AQ665" s="873"/>
      <c r="AR665" s="873"/>
      <c r="AS665" s="873"/>
      <c r="AT665" s="873"/>
      <c r="AU665" s="873"/>
      <c r="AV665" s="873"/>
    </row>
    <row r="666" spans="1:48" ht="11.25" customHeight="1" x14ac:dyDescent="0.2">
      <c r="A666" s="873"/>
      <c r="B666" s="873"/>
      <c r="C666" s="873"/>
      <c r="D666" s="873"/>
      <c r="E666" s="873"/>
      <c r="F666" s="873"/>
      <c r="G666" s="873"/>
      <c r="H666" s="873"/>
      <c r="I666" s="873"/>
      <c r="J666" s="873"/>
      <c r="K666" s="873"/>
      <c r="L666" s="873"/>
      <c r="M666" s="873"/>
      <c r="N666" s="873"/>
      <c r="O666" s="873"/>
      <c r="P666" s="873"/>
      <c r="Q666" s="873"/>
      <c r="R666" s="873"/>
      <c r="S666" s="873"/>
      <c r="T666" s="873"/>
      <c r="U666" s="873"/>
      <c r="V666" s="873"/>
      <c r="W666" s="873"/>
      <c r="X666" s="873"/>
      <c r="Y666" s="873"/>
      <c r="Z666" s="873"/>
      <c r="AA666" s="873"/>
      <c r="AB666" s="873"/>
      <c r="AC666" s="873"/>
      <c r="AD666" s="873"/>
      <c r="AE666" s="873"/>
      <c r="AF666" s="873"/>
      <c r="AG666" s="873"/>
      <c r="AH666" s="873"/>
      <c r="AI666" s="873"/>
      <c r="AJ666" s="873"/>
      <c r="AK666" s="873"/>
      <c r="AL666" s="873"/>
      <c r="AM666" s="873"/>
      <c r="AN666" s="873"/>
      <c r="AO666" s="873"/>
      <c r="AP666" s="873"/>
      <c r="AQ666" s="873"/>
      <c r="AR666" s="873"/>
      <c r="AS666" s="873"/>
      <c r="AT666" s="873"/>
      <c r="AU666" s="873"/>
      <c r="AV666" s="873"/>
    </row>
    <row r="667" spans="1:48" ht="11.25" customHeight="1" x14ac:dyDescent="0.2">
      <c r="A667" s="873"/>
      <c r="B667" s="873"/>
      <c r="C667" s="873"/>
      <c r="D667" s="873"/>
      <c r="E667" s="873"/>
      <c r="F667" s="873"/>
      <c r="G667" s="873"/>
      <c r="H667" s="873"/>
      <c r="I667" s="873"/>
      <c r="J667" s="873"/>
      <c r="K667" s="873"/>
      <c r="L667" s="873"/>
      <c r="M667" s="873"/>
      <c r="N667" s="873"/>
      <c r="O667" s="873"/>
      <c r="P667" s="873"/>
      <c r="Q667" s="873"/>
      <c r="R667" s="873"/>
      <c r="S667" s="873"/>
      <c r="T667" s="873"/>
      <c r="U667" s="873"/>
      <c r="V667" s="873"/>
      <c r="W667" s="873"/>
      <c r="X667" s="873"/>
      <c r="Y667" s="873"/>
      <c r="Z667" s="873"/>
      <c r="AA667" s="873"/>
      <c r="AB667" s="873"/>
      <c r="AC667" s="873"/>
      <c r="AD667" s="873"/>
      <c r="AE667" s="873"/>
      <c r="AF667" s="873"/>
      <c r="AG667" s="873"/>
      <c r="AH667" s="873"/>
      <c r="AI667" s="873"/>
      <c r="AJ667" s="873"/>
      <c r="AK667" s="873"/>
      <c r="AL667" s="873"/>
      <c r="AM667" s="873"/>
      <c r="AN667" s="873"/>
      <c r="AO667" s="873"/>
      <c r="AP667" s="873"/>
      <c r="AQ667" s="873"/>
      <c r="AR667" s="873"/>
      <c r="AS667" s="873"/>
      <c r="AT667" s="873"/>
      <c r="AU667" s="873"/>
      <c r="AV667" s="873"/>
    </row>
    <row r="668" spans="1:48" ht="11.25" customHeight="1" x14ac:dyDescent="0.2">
      <c r="A668" s="873"/>
      <c r="B668" s="873"/>
      <c r="C668" s="873"/>
      <c r="D668" s="873"/>
      <c r="E668" s="873"/>
      <c r="F668" s="873"/>
      <c r="G668" s="873"/>
      <c r="H668" s="873"/>
      <c r="I668" s="873"/>
      <c r="J668" s="873"/>
      <c r="K668" s="873"/>
      <c r="L668" s="873"/>
      <c r="M668" s="873"/>
      <c r="N668" s="873"/>
      <c r="O668" s="873"/>
      <c r="P668" s="873"/>
      <c r="Q668" s="873"/>
      <c r="R668" s="873"/>
      <c r="S668" s="873"/>
      <c r="T668" s="873"/>
      <c r="U668" s="873"/>
      <c r="V668" s="873"/>
      <c r="W668" s="873"/>
      <c r="X668" s="873"/>
      <c r="Y668" s="873"/>
      <c r="Z668" s="873"/>
      <c r="AA668" s="873"/>
      <c r="AB668" s="873"/>
      <c r="AC668" s="873"/>
      <c r="AD668" s="873"/>
      <c r="AE668" s="873"/>
      <c r="AF668" s="873"/>
      <c r="AG668" s="873"/>
      <c r="AH668" s="873"/>
      <c r="AI668" s="873"/>
      <c r="AJ668" s="873"/>
      <c r="AK668" s="873"/>
      <c r="AL668" s="873"/>
      <c r="AM668" s="873"/>
      <c r="AN668" s="873"/>
      <c r="AO668" s="873"/>
      <c r="AP668" s="873"/>
      <c r="AQ668" s="873"/>
      <c r="AR668" s="873"/>
      <c r="AS668" s="873"/>
      <c r="AT668" s="873"/>
      <c r="AU668" s="873"/>
      <c r="AV668" s="873"/>
    </row>
    <row r="669" spans="1:48" ht="11.25" customHeight="1" x14ac:dyDescent="0.2">
      <c r="A669" s="873"/>
      <c r="B669" s="873"/>
      <c r="C669" s="873"/>
      <c r="D669" s="873"/>
      <c r="E669" s="873"/>
      <c r="F669" s="873"/>
      <c r="G669" s="873"/>
      <c r="H669" s="873"/>
      <c r="I669" s="873"/>
      <c r="J669" s="873"/>
      <c r="K669" s="873"/>
      <c r="L669" s="873"/>
      <c r="M669" s="873"/>
      <c r="N669" s="873"/>
      <c r="O669" s="873"/>
      <c r="P669" s="873"/>
      <c r="Q669" s="873"/>
      <c r="R669" s="873"/>
      <c r="S669" s="873"/>
      <c r="T669" s="873"/>
      <c r="U669" s="873"/>
      <c r="V669" s="873"/>
      <c r="W669" s="873"/>
      <c r="X669" s="873"/>
      <c r="Y669" s="873"/>
      <c r="Z669" s="873"/>
      <c r="AA669" s="873"/>
      <c r="AB669" s="873"/>
      <c r="AC669" s="873"/>
      <c r="AD669" s="873"/>
      <c r="AE669" s="873"/>
      <c r="AF669" s="873"/>
      <c r="AG669" s="873"/>
      <c r="AH669" s="873"/>
      <c r="AI669" s="873"/>
      <c r="AJ669" s="873"/>
      <c r="AK669" s="873"/>
      <c r="AL669" s="873"/>
      <c r="AM669" s="873"/>
      <c r="AN669" s="873"/>
      <c r="AO669" s="873"/>
      <c r="AP669" s="873"/>
      <c r="AQ669" s="873"/>
      <c r="AR669" s="873"/>
      <c r="AS669" s="873"/>
      <c r="AT669" s="873"/>
      <c r="AU669" s="873"/>
      <c r="AV669" s="873"/>
    </row>
    <row r="670" spans="1:48" ht="11.25" customHeight="1" x14ac:dyDescent="0.2">
      <c r="A670" s="873"/>
      <c r="B670" s="873"/>
      <c r="C670" s="873"/>
      <c r="D670" s="873"/>
      <c r="E670" s="873"/>
      <c r="F670" s="873"/>
      <c r="G670" s="873"/>
      <c r="H670" s="873"/>
      <c r="I670" s="873"/>
      <c r="J670" s="873"/>
      <c r="K670" s="873"/>
      <c r="L670" s="873"/>
      <c r="M670" s="873"/>
      <c r="N670" s="873"/>
      <c r="O670" s="873"/>
      <c r="P670" s="873"/>
      <c r="Q670" s="873"/>
      <c r="R670" s="873"/>
      <c r="S670" s="873"/>
      <c r="T670" s="873"/>
      <c r="U670" s="873"/>
      <c r="V670" s="873"/>
      <c r="W670" s="873"/>
      <c r="X670" s="873"/>
      <c r="Y670" s="873"/>
      <c r="Z670" s="873"/>
      <c r="AA670" s="873"/>
      <c r="AB670" s="873"/>
      <c r="AC670" s="873"/>
      <c r="AD670" s="873"/>
      <c r="AE670" s="873"/>
      <c r="AF670" s="873"/>
      <c r="AG670" s="873"/>
      <c r="AH670" s="873"/>
      <c r="AI670" s="873"/>
      <c r="AJ670" s="873"/>
      <c r="AK670" s="873"/>
      <c r="AL670" s="873"/>
      <c r="AM670" s="873"/>
      <c r="AN670" s="873"/>
      <c r="AO670" s="873"/>
      <c r="AP670" s="873"/>
      <c r="AQ670" s="873"/>
      <c r="AR670" s="873"/>
      <c r="AS670" s="873"/>
      <c r="AT670" s="873"/>
      <c r="AU670" s="873"/>
      <c r="AV670" s="873"/>
    </row>
    <row r="671" spans="1:48" ht="11.25" customHeight="1" x14ac:dyDescent="0.2">
      <c r="A671" s="873"/>
      <c r="B671" s="873"/>
      <c r="C671" s="873"/>
      <c r="D671" s="873"/>
      <c r="E671" s="873"/>
      <c r="F671" s="873"/>
      <c r="G671" s="873"/>
      <c r="H671" s="873"/>
      <c r="I671" s="873"/>
      <c r="J671" s="873"/>
      <c r="K671" s="873"/>
      <c r="L671" s="873"/>
      <c r="M671" s="873"/>
      <c r="N671" s="873"/>
      <c r="O671" s="873"/>
      <c r="P671" s="873"/>
      <c r="Q671" s="873"/>
      <c r="R671" s="873"/>
      <c r="S671" s="873"/>
      <c r="T671" s="873"/>
      <c r="U671" s="873"/>
      <c r="V671" s="873"/>
      <c r="W671" s="873"/>
      <c r="X671" s="873"/>
      <c r="Y671" s="873"/>
      <c r="Z671" s="873"/>
      <c r="AA671" s="873"/>
      <c r="AB671" s="873"/>
      <c r="AC671" s="873"/>
      <c r="AD671" s="873"/>
      <c r="AE671" s="873"/>
      <c r="AF671" s="873"/>
      <c r="AG671" s="873"/>
      <c r="AH671" s="873"/>
      <c r="AI671" s="873"/>
      <c r="AJ671" s="873"/>
      <c r="AK671" s="873"/>
      <c r="AL671" s="873"/>
      <c r="AM671" s="873"/>
      <c r="AN671" s="873"/>
      <c r="AO671" s="873"/>
      <c r="AP671" s="873"/>
      <c r="AQ671" s="873"/>
      <c r="AR671" s="873"/>
      <c r="AS671" s="873"/>
      <c r="AT671" s="873"/>
      <c r="AU671" s="873"/>
      <c r="AV671" s="873"/>
    </row>
    <row r="672" spans="1:48" ht="11.25" customHeight="1" x14ac:dyDescent="0.2">
      <c r="A672" s="873"/>
      <c r="B672" s="873"/>
      <c r="C672" s="873"/>
      <c r="D672" s="873"/>
      <c r="E672" s="873"/>
      <c r="F672" s="873"/>
      <c r="G672" s="873"/>
      <c r="H672" s="873"/>
      <c r="I672" s="873"/>
      <c r="J672" s="873"/>
      <c r="K672" s="873"/>
      <c r="L672" s="873"/>
      <c r="M672" s="873"/>
      <c r="N672" s="873"/>
      <c r="O672" s="873"/>
      <c r="P672" s="873"/>
      <c r="Q672" s="873"/>
      <c r="R672" s="873"/>
      <c r="S672" s="873"/>
      <c r="T672" s="873"/>
      <c r="U672" s="873"/>
      <c r="V672" s="873"/>
      <c r="W672" s="873"/>
      <c r="X672" s="873"/>
      <c r="Y672" s="873"/>
      <c r="Z672" s="873"/>
      <c r="AA672" s="873"/>
      <c r="AB672" s="873"/>
      <c r="AC672" s="873"/>
      <c r="AD672" s="873"/>
      <c r="AE672" s="873"/>
      <c r="AF672" s="873"/>
      <c r="AG672" s="873"/>
      <c r="AH672" s="873"/>
      <c r="AI672" s="873"/>
      <c r="AJ672" s="873"/>
      <c r="AK672" s="873"/>
      <c r="AL672" s="873"/>
      <c r="AM672" s="873"/>
      <c r="AN672" s="873"/>
      <c r="AO672" s="873"/>
      <c r="AP672" s="873"/>
      <c r="AQ672" s="873"/>
      <c r="AR672" s="873"/>
      <c r="AS672" s="873"/>
      <c r="AT672" s="873"/>
      <c r="AU672" s="873"/>
      <c r="AV672" s="873"/>
    </row>
    <row r="673" spans="1:48" ht="11.25" customHeight="1" x14ac:dyDescent="0.2">
      <c r="A673" s="873"/>
      <c r="B673" s="873"/>
      <c r="C673" s="873"/>
      <c r="D673" s="873"/>
      <c r="E673" s="873"/>
      <c r="F673" s="873"/>
      <c r="G673" s="873"/>
      <c r="H673" s="873"/>
      <c r="I673" s="873"/>
      <c r="J673" s="873"/>
      <c r="K673" s="873"/>
      <c r="L673" s="873"/>
      <c r="M673" s="873"/>
      <c r="N673" s="873"/>
      <c r="O673" s="873"/>
      <c r="P673" s="873"/>
      <c r="Q673" s="873"/>
      <c r="R673" s="873"/>
      <c r="S673" s="873"/>
      <c r="T673" s="873"/>
      <c r="U673" s="873"/>
      <c r="V673" s="873"/>
      <c r="W673" s="873"/>
      <c r="X673" s="873"/>
      <c r="Y673" s="873"/>
      <c r="Z673" s="873"/>
      <c r="AA673" s="873"/>
      <c r="AB673" s="873"/>
      <c r="AC673" s="873"/>
      <c r="AD673" s="873"/>
      <c r="AE673" s="873"/>
      <c r="AF673" s="873"/>
      <c r="AG673" s="873"/>
      <c r="AH673" s="873"/>
      <c r="AI673" s="873"/>
      <c r="AJ673" s="873"/>
      <c r="AK673" s="873"/>
      <c r="AL673" s="873"/>
      <c r="AM673" s="873"/>
      <c r="AN673" s="873"/>
      <c r="AO673" s="873"/>
      <c r="AP673" s="873"/>
      <c r="AQ673" s="873"/>
      <c r="AR673" s="873"/>
      <c r="AS673" s="873"/>
      <c r="AT673" s="873"/>
      <c r="AU673" s="873"/>
      <c r="AV673" s="873"/>
    </row>
    <row r="674" spans="1:48" ht="11.25" customHeight="1" x14ac:dyDescent="0.2">
      <c r="A674" s="873"/>
      <c r="B674" s="873"/>
      <c r="C674" s="873"/>
      <c r="D674" s="873"/>
      <c r="E674" s="873"/>
      <c r="F674" s="873"/>
      <c r="G674" s="873"/>
      <c r="H674" s="873"/>
      <c r="I674" s="873"/>
      <c r="J674" s="873"/>
      <c r="K674" s="873"/>
      <c r="L674" s="873"/>
      <c r="M674" s="873"/>
      <c r="N674" s="873"/>
      <c r="O674" s="873"/>
      <c r="P674" s="873"/>
      <c r="Q674" s="873"/>
      <c r="R674" s="873"/>
      <c r="S674" s="873"/>
      <c r="T674" s="873"/>
      <c r="U674" s="873"/>
      <c r="V674" s="873"/>
      <c r="W674" s="873"/>
      <c r="X674" s="873"/>
      <c r="Y674" s="873"/>
      <c r="Z674" s="873"/>
      <c r="AA674" s="873"/>
      <c r="AB674" s="873"/>
      <c r="AC674" s="873"/>
      <c r="AD674" s="873"/>
      <c r="AE674" s="873"/>
      <c r="AF674" s="873"/>
      <c r="AG674" s="873"/>
      <c r="AH674" s="873"/>
      <c r="AI674" s="873"/>
      <c r="AJ674" s="873"/>
      <c r="AK674" s="873"/>
      <c r="AL674" s="873"/>
      <c r="AM674" s="873"/>
      <c r="AN674" s="873"/>
      <c r="AO674" s="873"/>
      <c r="AP674" s="873"/>
      <c r="AQ674" s="873"/>
      <c r="AR674" s="873"/>
      <c r="AS674" s="873"/>
      <c r="AT674" s="873"/>
      <c r="AU674" s="873"/>
      <c r="AV674" s="873"/>
    </row>
    <row r="675" spans="1:48" ht="11.25" customHeight="1" x14ac:dyDescent="0.2">
      <c r="A675" s="873"/>
      <c r="B675" s="873"/>
      <c r="C675" s="873"/>
      <c r="D675" s="873"/>
      <c r="E675" s="873"/>
      <c r="F675" s="873"/>
      <c r="G675" s="873"/>
      <c r="H675" s="873"/>
      <c r="I675" s="873"/>
      <c r="J675" s="873"/>
      <c r="K675" s="873"/>
      <c r="L675" s="873"/>
      <c r="M675" s="873"/>
      <c r="N675" s="873"/>
      <c r="O675" s="873"/>
      <c r="P675" s="873"/>
      <c r="Q675" s="873"/>
      <c r="R675" s="873"/>
      <c r="S675" s="873"/>
      <c r="T675" s="873"/>
      <c r="U675" s="873"/>
      <c r="V675" s="873"/>
      <c r="W675" s="873"/>
      <c r="X675" s="873"/>
      <c r="Y675" s="873"/>
      <c r="Z675" s="873"/>
      <c r="AA675" s="873"/>
      <c r="AB675" s="873"/>
      <c r="AC675" s="873"/>
      <c r="AD675" s="873"/>
      <c r="AE675" s="873"/>
      <c r="AF675" s="873"/>
      <c r="AG675" s="873"/>
      <c r="AH675" s="873"/>
      <c r="AI675" s="873"/>
      <c r="AJ675" s="873"/>
      <c r="AK675" s="873"/>
      <c r="AL675" s="873"/>
      <c r="AM675" s="873"/>
      <c r="AN675" s="873"/>
      <c r="AO675" s="873"/>
      <c r="AP675" s="873"/>
      <c r="AQ675" s="873"/>
      <c r="AR675" s="873"/>
      <c r="AS675" s="873"/>
      <c r="AT675" s="873"/>
      <c r="AU675" s="873"/>
      <c r="AV675" s="873"/>
    </row>
    <row r="676" spans="1:48" ht="11.25" customHeight="1" x14ac:dyDescent="0.2">
      <c r="A676" s="873"/>
      <c r="B676" s="873"/>
      <c r="C676" s="873"/>
      <c r="D676" s="873"/>
      <c r="E676" s="873"/>
      <c r="F676" s="873"/>
      <c r="G676" s="873"/>
      <c r="H676" s="873"/>
      <c r="I676" s="873"/>
      <c r="J676" s="873"/>
      <c r="K676" s="873"/>
      <c r="L676" s="873"/>
      <c r="M676" s="873"/>
      <c r="N676" s="873"/>
      <c r="O676" s="873"/>
      <c r="P676" s="873"/>
      <c r="Q676" s="873"/>
      <c r="R676" s="873"/>
      <c r="S676" s="873"/>
      <c r="T676" s="873"/>
      <c r="U676" s="873"/>
      <c r="V676" s="873"/>
      <c r="W676" s="873"/>
      <c r="X676" s="873"/>
      <c r="Y676" s="873"/>
      <c r="Z676" s="873"/>
      <c r="AA676" s="873"/>
      <c r="AB676" s="873"/>
      <c r="AC676" s="873"/>
      <c r="AD676" s="873"/>
      <c r="AE676" s="873"/>
      <c r="AF676" s="873"/>
      <c r="AG676" s="873"/>
      <c r="AH676" s="873"/>
      <c r="AI676" s="873"/>
      <c r="AJ676" s="873"/>
      <c r="AK676" s="873"/>
      <c r="AL676" s="873"/>
      <c r="AM676" s="873"/>
      <c r="AN676" s="873"/>
      <c r="AO676" s="873"/>
      <c r="AP676" s="873"/>
      <c r="AQ676" s="873"/>
      <c r="AR676" s="873"/>
      <c r="AS676" s="873"/>
      <c r="AT676" s="873"/>
      <c r="AU676" s="873"/>
      <c r="AV676" s="873"/>
    </row>
    <row r="677" spans="1:48" ht="11.25" customHeight="1" x14ac:dyDescent="0.2">
      <c r="A677" s="873"/>
      <c r="B677" s="873"/>
      <c r="C677" s="873"/>
      <c r="D677" s="873"/>
      <c r="E677" s="873"/>
      <c r="F677" s="873"/>
      <c r="G677" s="873"/>
      <c r="H677" s="873"/>
      <c r="I677" s="873"/>
      <c r="J677" s="873"/>
      <c r="K677" s="873"/>
      <c r="L677" s="873"/>
      <c r="M677" s="873"/>
      <c r="N677" s="873"/>
      <c r="O677" s="873"/>
      <c r="P677" s="873"/>
      <c r="Q677" s="873"/>
      <c r="R677" s="873"/>
      <c r="S677" s="873"/>
      <c r="T677" s="873"/>
      <c r="U677" s="873"/>
      <c r="V677" s="873"/>
      <c r="W677" s="873"/>
      <c r="X677" s="873"/>
      <c r="Y677" s="873"/>
      <c r="Z677" s="873"/>
      <c r="AA677" s="873"/>
      <c r="AB677" s="873"/>
      <c r="AC677" s="873"/>
      <c r="AD677" s="873"/>
      <c r="AE677" s="873"/>
      <c r="AF677" s="873"/>
      <c r="AG677" s="873"/>
      <c r="AH677" s="873"/>
      <c r="AI677" s="873"/>
      <c r="AJ677" s="873"/>
      <c r="AK677" s="873"/>
      <c r="AL677" s="873"/>
      <c r="AM677" s="873"/>
      <c r="AN677" s="873"/>
      <c r="AO677" s="873"/>
      <c r="AP677" s="873"/>
      <c r="AQ677" s="873"/>
      <c r="AR677" s="873"/>
      <c r="AS677" s="873"/>
      <c r="AT677" s="873"/>
      <c r="AU677" s="873"/>
      <c r="AV677" s="873"/>
    </row>
    <row r="678" spans="1:48" ht="11.25" customHeight="1" x14ac:dyDescent="0.2">
      <c r="A678" s="873"/>
      <c r="B678" s="873"/>
      <c r="C678" s="873"/>
      <c r="D678" s="873"/>
      <c r="E678" s="873"/>
      <c r="F678" s="873"/>
      <c r="G678" s="873"/>
      <c r="H678" s="873"/>
      <c r="I678" s="873"/>
      <c r="J678" s="873"/>
      <c r="K678" s="873"/>
      <c r="L678" s="873"/>
      <c r="M678" s="873"/>
      <c r="N678" s="873"/>
      <c r="O678" s="873"/>
      <c r="P678" s="873"/>
      <c r="Q678" s="873"/>
      <c r="R678" s="873"/>
      <c r="S678" s="873"/>
      <c r="T678" s="873"/>
      <c r="U678" s="873"/>
      <c r="V678" s="873"/>
      <c r="W678" s="873"/>
      <c r="X678" s="873"/>
      <c r="Y678" s="873"/>
      <c r="Z678" s="873"/>
      <c r="AA678" s="873"/>
      <c r="AB678" s="873"/>
      <c r="AC678" s="873"/>
      <c r="AD678" s="873"/>
      <c r="AE678" s="873"/>
      <c r="AF678" s="873"/>
      <c r="AG678" s="873"/>
      <c r="AH678" s="873"/>
      <c r="AI678" s="873"/>
      <c r="AJ678" s="873"/>
      <c r="AK678" s="873"/>
      <c r="AL678" s="873"/>
      <c r="AM678" s="873"/>
      <c r="AN678" s="873"/>
      <c r="AO678" s="873"/>
      <c r="AP678" s="873"/>
      <c r="AQ678" s="873"/>
      <c r="AR678" s="873"/>
      <c r="AS678" s="873"/>
      <c r="AT678" s="873"/>
      <c r="AU678" s="873"/>
      <c r="AV678" s="873"/>
    </row>
    <row r="679" spans="1:48" ht="11.25" customHeight="1" x14ac:dyDescent="0.2">
      <c r="A679" s="873"/>
      <c r="B679" s="873"/>
      <c r="C679" s="873"/>
      <c r="D679" s="873"/>
      <c r="E679" s="873"/>
      <c r="F679" s="873"/>
      <c r="G679" s="873"/>
      <c r="H679" s="873"/>
      <c r="I679" s="873"/>
      <c r="J679" s="873"/>
      <c r="K679" s="873"/>
      <c r="L679" s="873"/>
      <c r="M679" s="873"/>
      <c r="N679" s="873"/>
      <c r="O679" s="873"/>
      <c r="P679" s="873"/>
      <c r="Q679" s="873"/>
      <c r="R679" s="873"/>
      <c r="S679" s="873"/>
      <c r="T679" s="873"/>
      <c r="U679" s="873"/>
      <c r="V679" s="873"/>
      <c r="W679" s="873"/>
      <c r="X679" s="873"/>
      <c r="Y679" s="873"/>
      <c r="Z679" s="873"/>
      <c r="AA679" s="873"/>
      <c r="AB679" s="873"/>
      <c r="AC679" s="873"/>
      <c r="AD679" s="873"/>
      <c r="AE679" s="873"/>
      <c r="AF679" s="873"/>
      <c r="AG679" s="873"/>
      <c r="AH679" s="873"/>
      <c r="AI679" s="873"/>
      <c r="AJ679" s="873"/>
      <c r="AK679" s="873"/>
      <c r="AL679" s="873"/>
      <c r="AM679" s="873"/>
      <c r="AN679" s="873"/>
      <c r="AO679" s="873"/>
      <c r="AP679" s="873"/>
      <c r="AQ679" s="873"/>
      <c r="AR679" s="873"/>
      <c r="AS679" s="873"/>
      <c r="AT679" s="873"/>
      <c r="AU679" s="873"/>
      <c r="AV679" s="873"/>
    </row>
    <row r="680" spans="1:48" ht="11.25" customHeight="1" x14ac:dyDescent="0.2">
      <c r="A680" s="873"/>
      <c r="B680" s="873"/>
      <c r="C680" s="873"/>
      <c r="D680" s="873"/>
      <c r="E680" s="873"/>
      <c r="F680" s="873"/>
      <c r="G680" s="873"/>
      <c r="H680" s="873"/>
      <c r="I680" s="873"/>
      <c r="J680" s="873"/>
      <c r="K680" s="873"/>
      <c r="L680" s="873"/>
      <c r="M680" s="873"/>
      <c r="N680" s="873"/>
      <c r="O680" s="873"/>
      <c r="P680" s="873"/>
      <c r="Q680" s="873"/>
      <c r="R680" s="873"/>
      <c r="S680" s="873"/>
      <c r="T680" s="873"/>
      <c r="U680" s="873"/>
      <c r="V680" s="873"/>
      <c r="W680" s="873"/>
      <c r="X680" s="873"/>
      <c r="Y680" s="873"/>
      <c r="Z680" s="873"/>
      <c r="AA680" s="873"/>
      <c r="AB680" s="873"/>
      <c r="AC680" s="873"/>
      <c r="AD680" s="873"/>
      <c r="AE680" s="873"/>
      <c r="AF680" s="873"/>
      <c r="AG680" s="873"/>
      <c r="AH680" s="873"/>
      <c r="AI680" s="873"/>
      <c r="AJ680" s="873"/>
      <c r="AK680" s="873"/>
      <c r="AL680" s="873"/>
      <c r="AM680" s="873"/>
      <c r="AN680" s="873"/>
      <c r="AO680" s="873"/>
      <c r="AP680" s="873"/>
      <c r="AQ680" s="873"/>
      <c r="AR680" s="873"/>
      <c r="AS680" s="873"/>
      <c r="AT680" s="873"/>
      <c r="AU680" s="873"/>
      <c r="AV680" s="873"/>
    </row>
    <row r="681" spans="1:48" ht="11.25" customHeight="1" x14ac:dyDescent="0.2">
      <c r="A681" s="873"/>
      <c r="B681" s="873"/>
      <c r="C681" s="873"/>
      <c r="D681" s="873"/>
      <c r="E681" s="873"/>
      <c r="F681" s="873"/>
      <c r="G681" s="873"/>
      <c r="H681" s="873"/>
      <c r="I681" s="873"/>
      <c r="J681" s="873"/>
      <c r="K681" s="873"/>
      <c r="L681" s="873"/>
      <c r="M681" s="873"/>
      <c r="N681" s="873"/>
      <c r="O681" s="873"/>
      <c r="P681" s="873"/>
      <c r="Q681" s="873"/>
      <c r="R681" s="873"/>
      <c r="S681" s="873"/>
      <c r="T681" s="873"/>
      <c r="U681" s="873"/>
      <c r="V681" s="873"/>
      <c r="W681" s="873"/>
      <c r="X681" s="873"/>
      <c r="Y681" s="873"/>
      <c r="Z681" s="873"/>
      <c r="AA681" s="873"/>
      <c r="AB681" s="873"/>
      <c r="AC681" s="873"/>
      <c r="AD681" s="873"/>
      <c r="AE681" s="873"/>
      <c r="AF681" s="873"/>
      <c r="AG681" s="873"/>
      <c r="AH681" s="873"/>
      <c r="AI681" s="873"/>
      <c r="AJ681" s="873"/>
      <c r="AK681" s="873"/>
      <c r="AL681" s="873"/>
      <c r="AM681" s="873"/>
      <c r="AN681" s="873"/>
      <c r="AO681" s="873"/>
      <c r="AP681" s="873"/>
      <c r="AQ681" s="873"/>
      <c r="AR681" s="873"/>
      <c r="AS681" s="873"/>
      <c r="AT681" s="873"/>
      <c r="AU681" s="873"/>
      <c r="AV681" s="873"/>
    </row>
    <row r="682" spans="1:48" ht="11.25" customHeight="1" x14ac:dyDescent="0.2">
      <c r="A682" s="873"/>
      <c r="B682" s="873"/>
      <c r="C682" s="873"/>
      <c r="D682" s="873"/>
      <c r="E682" s="873"/>
      <c r="F682" s="873"/>
      <c r="G682" s="873"/>
      <c r="H682" s="873"/>
      <c r="I682" s="873"/>
      <c r="J682" s="873"/>
      <c r="K682" s="873"/>
      <c r="L682" s="873"/>
      <c r="M682" s="873"/>
      <c r="N682" s="873"/>
      <c r="O682" s="873"/>
      <c r="P682" s="873"/>
      <c r="Q682" s="873"/>
      <c r="R682" s="873"/>
      <c r="S682" s="873"/>
      <c r="T682" s="873"/>
      <c r="U682" s="873"/>
      <c r="V682" s="873"/>
      <c r="W682" s="873"/>
      <c r="X682" s="873"/>
      <c r="Y682" s="873"/>
      <c r="Z682" s="873"/>
      <c r="AA682" s="873"/>
      <c r="AB682" s="873"/>
      <c r="AC682" s="873"/>
      <c r="AD682" s="873"/>
      <c r="AE682" s="873"/>
      <c r="AF682" s="873"/>
      <c r="AG682" s="873"/>
      <c r="AH682" s="873"/>
      <c r="AI682" s="873"/>
      <c r="AJ682" s="873"/>
      <c r="AK682" s="873"/>
      <c r="AL682" s="873"/>
      <c r="AM682" s="873"/>
      <c r="AN682" s="873"/>
      <c r="AO682" s="873"/>
      <c r="AP682" s="873"/>
      <c r="AQ682" s="873"/>
      <c r="AR682" s="873"/>
      <c r="AS682" s="873"/>
      <c r="AT682" s="873"/>
      <c r="AU682" s="873"/>
      <c r="AV682" s="873"/>
    </row>
    <row r="683" spans="1:48" ht="11.25" customHeight="1" x14ac:dyDescent="0.2">
      <c r="A683" s="873"/>
      <c r="B683" s="873"/>
      <c r="C683" s="873"/>
      <c r="D683" s="873"/>
      <c r="E683" s="873"/>
      <c r="F683" s="873"/>
      <c r="G683" s="873"/>
      <c r="H683" s="873"/>
      <c r="I683" s="873"/>
      <c r="J683" s="873"/>
      <c r="K683" s="873"/>
      <c r="L683" s="873"/>
      <c r="M683" s="873"/>
      <c r="N683" s="873"/>
      <c r="O683" s="873"/>
      <c r="P683" s="873"/>
      <c r="Q683" s="873"/>
      <c r="R683" s="873"/>
      <c r="S683" s="873"/>
      <c r="T683" s="873"/>
      <c r="U683" s="873"/>
      <c r="V683" s="873"/>
      <c r="W683" s="873"/>
      <c r="X683" s="873"/>
      <c r="Y683" s="873"/>
      <c r="Z683" s="873"/>
      <c r="AA683" s="873"/>
      <c r="AB683" s="873"/>
      <c r="AC683" s="873"/>
      <c r="AD683" s="873"/>
      <c r="AE683" s="873"/>
      <c r="AF683" s="873"/>
      <c r="AG683" s="873"/>
      <c r="AH683" s="873"/>
      <c r="AI683" s="873"/>
      <c r="AJ683" s="873"/>
      <c r="AK683" s="873"/>
      <c r="AL683" s="873"/>
      <c r="AM683" s="873"/>
      <c r="AN683" s="873"/>
      <c r="AO683" s="873"/>
      <c r="AP683" s="873"/>
      <c r="AQ683" s="873"/>
      <c r="AR683" s="873"/>
      <c r="AS683" s="873"/>
      <c r="AT683" s="873"/>
      <c r="AU683" s="873"/>
      <c r="AV683" s="873"/>
    </row>
    <row r="684" spans="1:48" ht="11.25" customHeight="1" x14ac:dyDescent="0.2">
      <c r="A684" s="873"/>
      <c r="B684" s="873"/>
      <c r="C684" s="873"/>
      <c r="D684" s="873"/>
      <c r="E684" s="873"/>
      <c r="F684" s="873"/>
      <c r="G684" s="873"/>
      <c r="H684" s="873"/>
      <c r="I684" s="873"/>
      <c r="J684" s="873"/>
      <c r="K684" s="873"/>
      <c r="L684" s="873"/>
      <c r="M684" s="873"/>
      <c r="N684" s="873"/>
      <c r="O684" s="873"/>
      <c r="P684" s="873"/>
      <c r="Q684" s="873"/>
      <c r="R684" s="873"/>
      <c r="S684" s="873"/>
      <c r="T684" s="873"/>
      <c r="U684" s="873"/>
      <c r="V684" s="873"/>
      <c r="W684" s="873"/>
      <c r="X684" s="873"/>
      <c r="Y684" s="873"/>
      <c r="Z684" s="873"/>
      <c r="AA684" s="873"/>
      <c r="AB684" s="873"/>
      <c r="AC684" s="873"/>
      <c r="AD684" s="873"/>
      <c r="AE684" s="873"/>
      <c r="AF684" s="873"/>
      <c r="AG684" s="873"/>
      <c r="AH684" s="873"/>
      <c r="AI684" s="873"/>
      <c r="AJ684" s="873"/>
      <c r="AK684" s="873"/>
      <c r="AL684" s="873"/>
      <c r="AM684" s="873"/>
      <c r="AN684" s="873"/>
      <c r="AO684" s="873"/>
      <c r="AP684" s="873"/>
      <c r="AQ684" s="873"/>
      <c r="AR684" s="873"/>
      <c r="AS684" s="873"/>
      <c r="AT684" s="873"/>
      <c r="AU684" s="873"/>
      <c r="AV684" s="873"/>
    </row>
    <row r="685" spans="1:48" ht="11.25" customHeight="1" x14ac:dyDescent="0.2">
      <c r="A685" s="873"/>
      <c r="B685" s="873"/>
      <c r="C685" s="873"/>
      <c r="D685" s="873"/>
      <c r="E685" s="873"/>
      <c r="F685" s="873"/>
      <c r="G685" s="873"/>
      <c r="H685" s="873"/>
      <c r="I685" s="873"/>
      <c r="J685" s="873"/>
      <c r="K685" s="873"/>
      <c r="L685" s="873"/>
      <c r="M685" s="873"/>
      <c r="N685" s="873"/>
      <c r="O685" s="873"/>
      <c r="P685" s="873"/>
      <c r="Q685" s="873"/>
      <c r="R685" s="873"/>
      <c r="S685" s="873"/>
      <c r="T685" s="873"/>
      <c r="U685" s="873"/>
      <c r="V685" s="873"/>
      <c r="W685" s="873"/>
      <c r="X685" s="873"/>
      <c r="Y685" s="873"/>
      <c r="Z685" s="873"/>
      <c r="AA685" s="873"/>
      <c r="AB685" s="873"/>
      <c r="AC685" s="873"/>
      <c r="AD685" s="873"/>
      <c r="AE685" s="873"/>
      <c r="AF685" s="873"/>
      <c r="AG685" s="873"/>
      <c r="AH685" s="873"/>
      <c r="AI685" s="873"/>
      <c r="AJ685" s="873"/>
      <c r="AK685" s="873"/>
      <c r="AL685" s="873"/>
      <c r="AM685" s="873"/>
      <c r="AN685" s="873"/>
      <c r="AO685" s="873"/>
      <c r="AP685" s="873"/>
      <c r="AQ685" s="873"/>
      <c r="AR685" s="873"/>
      <c r="AS685" s="873"/>
      <c r="AT685" s="873"/>
      <c r="AU685" s="873"/>
      <c r="AV685" s="873"/>
    </row>
    <row r="686" spans="1:48" ht="11.25" customHeight="1" x14ac:dyDescent="0.2">
      <c r="A686" s="873"/>
      <c r="B686" s="873"/>
      <c r="C686" s="873"/>
      <c r="D686" s="873"/>
      <c r="E686" s="873"/>
      <c r="F686" s="873"/>
      <c r="G686" s="873"/>
      <c r="H686" s="873"/>
      <c r="I686" s="873"/>
      <c r="J686" s="873"/>
      <c r="K686" s="873"/>
      <c r="L686" s="873"/>
      <c r="M686" s="873"/>
      <c r="N686" s="873"/>
      <c r="O686" s="873"/>
      <c r="P686" s="873"/>
      <c r="Q686" s="873"/>
      <c r="R686" s="873"/>
      <c r="S686" s="873"/>
      <c r="T686" s="873"/>
      <c r="U686" s="873"/>
      <c r="V686" s="873"/>
      <c r="W686" s="873"/>
      <c r="X686" s="873"/>
      <c r="Y686" s="873"/>
      <c r="Z686" s="873"/>
      <c r="AA686" s="873"/>
      <c r="AB686" s="873"/>
      <c r="AC686" s="873"/>
      <c r="AD686" s="873"/>
      <c r="AE686" s="873"/>
      <c r="AF686" s="873"/>
      <c r="AG686" s="873"/>
      <c r="AH686" s="873"/>
      <c r="AI686" s="873"/>
      <c r="AJ686" s="873"/>
      <c r="AK686" s="873"/>
      <c r="AL686" s="873"/>
      <c r="AM686" s="873"/>
      <c r="AN686" s="873"/>
      <c r="AO686" s="873"/>
      <c r="AP686" s="873"/>
      <c r="AQ686" s="873"/>
      <c r="AR686" s="873"/>
      <c r="AS686" s="873"/>
      <c r="AT686" s="873"/>
      <c r="AU686" s="873"/>
      <c r="AV686" s="873"/>
    </row>
    <row r="687" spans="1:48" ht="11.25" customHeight="1" x14ac:dyDescent="0.2">
      <c r="A687" s="873"/>
      <c r="B687" s="873"/>
      <c r="C687" s="873"/>
      <c r="D687" s="873"/>
      <c r="E687" s="873"/>
      <c r="F687" s="873"/>
      <c r="G687" s="873"/>
      <c r="H687" s="873"/>
      <c r="I687" s="873"/>
      <c r="J687" s="873"/>
      <c r="K687" s="873"/>
      <c r="L687" s="873"/>
      <c r="M687" s="873"/>
      <c r="N687" s="873"/>
      <c r="O687" s="873"/>
      <c r="P687" s="873"/>
      <c r="Q687" s="873"/>
      <c r="R687" s="873"/>
      <c r="S687" s="873"/>
      <c r="T687" s="873"/>
      <c r="U687" s="873"/>
      <c r="V687" s="873"/>
      <c r="W687" s="873"/>
      <c r="X687" s="873"/>
      <c r="Y687" s="873"/>
      <c r="Z687" s="873"/>
      <c r="AA687" s="873"/>
      <c r="AB687" s="873"/>
      <c r="AC687" s="873"/>
      <c r="AD687" s="873"/>
      <c r="AE687" s="873"/>
      <c r="AF687" s="873"/>
      <c r="AG687" s="873"/>
      <c r="AH687" s="873"/>
      <c r="AI687" s="873"/>
      <c r="AJ687" s="873"/>
      <c r="AK687" s="873"/>
      <c r="AL687" s="873"/>
      <c r="AM687" s="873"/>
      <c r="AN687" s="873"/>
      <c r="AO687" s="873"/>
      <c r="AP687" s="873"/>
      <c r="AQ687" s="873"/>
      <c r="AR687" s="873"/>
      <c r="AS687" s="873"/>
      <c r="AT687" s="873"/>
      <c r="AU687" s="873"/>
      <c r="AV687" s="873"/>
    </row>
    <row r="688" spans="1:48" ht="11.25" customHeight="1" x14ac:dyDescent="0.2">
      <c r="A688" s="873"/>
      <c r="B688" s="873"/>
      <c r="C688" s="873"/>
      <c r="D688" s="873"/>
      <c r="E688" s="873"/>
      <c r="F688" s="873"/>
      <c r="G688" s="873"/>
      <c r="H688" s="873"/>
      <c r="I688" s="873"/>
      <c r="J688" s="873"/>
      <c r="K688" s="873"/>
      <c r="L688" s="873"/>
      <c r="M688" s="873"/>
      <c r="N688" s="873"/>
      <c r="O688" s="873"/>
      <c r="P688" s="873"/>
      <c r="Q688" s="873"/>
      <c r="R688" s="873"/>
      <c r="S688" s="873"/>
      <c r="T688" s="873"/>
      <c r="U688" s="873"/>
      <c r="V688" s="873"/>
      <c r="W688" s="873"/>
      <c r="X688" s="873"/>
      <c r="Y688" s="873"/>
      <c r="Z688" s="873"/>
      <c r="AA688" s="873"/>
      <c r="AB688" s="873"/>
      <c r="AC688" s="873"/>
      <c r="AD688" s="873"/>
      <c r="AE688" s="873"/>
      <c r="AF688" s="873"/>
      <c r="AG688" s="873"/>
      <c r="AH688" s="873"/>
      <c r="AI688" s="873"/>
      <c r="AJ688" s="873"/>
      <c r="AK688" s="873"/>
      <c r="AL688" s="873"/>
      <c r="AM688" s="873"/>
      <c r="AN688" s="873"/>
      <c r="AO688" s="873"/>
      <c r="AP688" s="873"/>
      <c r="AQ688" s="873"/>
      <c r="AR688" s="873"/>
      <c r="AS688" s="873"/>
      <c r="AT688" s="873"/>
      <c r="AU688" s="873"/>
      <c r="AV688" s="873"/>
    </row>
    <row r="689" spans="1:48" ht="11.25" customHeight="1" x14ac:dyDescent="0.2">
      <c r="A689" s="873"/>
      <c r="B689" s="873"/>
      <c r="C689" s="873"/>
      <c r="D689" s="873"/>
      <c r="E689" s="873"/>
      <c r="F689" s="873"/>
      <c r="G689" s="873"/>
      <c r="H689" s="873"/>
      <c r="I689" s="873"/>
      <c r="J689" s="873"/>
      <c r="K689" s="873"/>
      <c r="L689" s="873"/>
      <c r="M689" s="873"/>
      <c r="N689" s="873"/>
      <c r="O689" s="873"/>
      <c r="P689" s="873"/>
      <c r="Q689" s="873"/>
      <c r="R689" s="873"/>
      <c r="S689" s="873"/>
      <c r="T689" s="873"/>
      <c r="U689" s="873"/>
      <c r="V689" s="873"/>
      <c r="W689" s="873"/>
      <c r="X689" s="873"/>
      <c r="Y689" s="873"/>
      <c r="Z689" s="873"/>
      <c r="AA689" s="873"/>
      <c r="AB689" s="873"/>
      <c r="AC689" s="873"/>
      <c r="AD689" s="873"/>
      <c r="AE689" s="873"/>
      <c r="AF689" s="873"/>
      <c r="AG689" s="873"/>
      <c r="AH689" s="873"/>
      <c r="AI689" s="873"/>
      <c r="AJ689" s="873"/>
      <c r="AK689" s="873"/>
      <c r="AL689" s="873"/>
      <c r="AM689" s="873"/>
      <c r="AN689" s="873"/>
      <c r="AO689" s="873"/>
      <c r="AP689" s="873"/>
      <c r="AQ689" s="873"/>
      <c r="AR689" s="873"/>
      <c r="AS689" s="873"/>
      <c r="AT689" s="873"/>
      <c r="AU689" s="873"/>
      <c r="AV689" s="873"/>
    </row>
    <row r="690" spans="1:48" ht="11.25" customHeight="1" x14ac:dyDescent="0.2">
      <c r="A690" s="873"/>
      <c r="B690" s="873"/>
      <c r="C690" s="873"/>
      <c r="D690" s="873"/>
      <c r="E690" s="873"/>
      <c r="F690" s="873"/>
      <c r="G690" s="873"/>
      <c r="H690" s="873"/>
      <c r="I690" s="873"/>
      <c r="J690" s="873"/>
      <c r="K690" s="873"/>
      <c r="L690" s="873"/>
      <c r="M690" s="873"/>
      <c r="N690" s="873"/>
      <c r="O690" s="873"/>
      <c r="P690" s="873"/>
      <c r="Q690" s="873"/>
      <c r="R690" s="873"/>
      <c r="S690" s="873"/>
      <c r="T690" s="873"/>
      <c r="U690" s="873"/>
      <c r="V690" s="873"/>
      <c r="W690" s="873"/>
      <c r="X690" s="873"/>
      <c r="Y690" s="873"/>
      <c r="Z690" s="873"/>
      <c r="AA690" s="873"/>
      <c r="AB690" s="873"/>
      <c r="AC690" s="873"/>
      <c r="AD690" s="873"/>
      <c r="AE690" s="873"/>
      <c r="AF690" s="873"/>
      <c r="AG690" s="873"/>
      <c r="AH690" s="873"/>
      <c r="AI690" s="873"/>
      <c r="AJ690" s="873"/>
      <c r="AK690" s="873"/>
      <c r="AL690" s="873"/>
      <c r="AM690" s="873"/>
      <c r="AN690" s="873"/>
      <c r="AO690" s="873"/>
      <c r="AP690" s="873"/>
      <c r="AQ690" s="873"/>
      <c r="AR690" s="873"/>
      <c r="AS690" s="873"/>
      <c r="AT690" s="873"/>
      <c r="AU690" s="873"/>
      <c r="AV690" s="873"/>
    </row>
    <row r="691" spans="1:48" ht="11.25" customHeight="1" x14ac:dyDescent="0.2">
      <c r="A691" s="873"/>
      <c r="B691" s="873"/>
      <c r="C691" s="873"/>
      <c r="D691" s="873"/>
      <c r="E691" s="873"/>
      <c r="F691" s="873"/>
      <c r="G691" s="873"/>
      <c r="H691" s="873"/>
      <c r="I691" s="873"/>
      <c r="J691" s="873"/>
      <c r="K691" s="873"/>
      <c r="L691" s="873"/>
      <c r="M691" s="873"/>
      <c r="N691" s="873"/>
      <c r="O691" s="873"/>
      <c r="P691" s="873"/>
      <c r="Q691" s="873"/>
      <c r="R691" s="873"/>
      <c r="S691" s="873"/>
      <c r="T691" s="873"/>
      <c r="U691" s="873"/>
      <c r="V691" s="873"/>
      <c r="W691" s="873"/>
      <c r="X691" s="873"/>
      <c r="Y691" s="873"/>
      <c r="Z691" s="873"/>
      <c r="AA691" s="873"/>
      <c r="AB691" s="873"/>
      <c r="AC691" s="873"/>
      <c r="AD691" s="873"/>
      <c r="AE691" s="873"/>
      <c r="AF691" s="873"/>
      <c r="AG691" s="873"/>
      <c r="AH691" s="873"/>
      <c r="AI691" s="873"/>
      <c r="AJ691" s="873"/>
      <c r="AK691" s="873"/>
      <c r="AL691" s="873"/>
      <c r="AM691" s="873"/>
      <c r="AN691" s="873"/>
      <c r="AO691" s="873"/>
      <c r="AP691" s="873"/>
      <c r="AQ691" s="873"/>
      <c r="AR691" s="873"/>
      <c r="AS691" s="873"/>
      <c r="AT691" s="873"/>
      <c r="AU691" s="873"/>
      <c r="AV691" s="873"/>
    </row>
    <row r="692" spans="1:48" ht="11.25" customHeight="1" x14ac:dyDescent="0.2">
      <c r="A692" s="873"/>
      <c r="B692" s="873"/>
      <c r="C692" s="873"/>
      <c r="D692" s="873"/>
      <c r="E692" s="873"/>
      <c r="F692" s="873"/>
      <c r="G692" s="873"/>
      <c r="H692" s="873"/>
      <c r="I692" s="873"/>
      <c r="J692" s="873"/>
      <c r="K692" s="873"/>
      <c r="L692" s="873"/>
      <c r="M692" s="873"/>
      <c r="N692" s="873"/>
      <c r="O692" s="873"/>
      <c r="P692" s="873"/>
      <c r="Q692" s="873"/>
      <c r="R692" s="873"/>
      <c r="S692" s="873"/>
      <c r="T692" s="873"/>
      <c r="U692" s="873"/>
      <c r="V692" s="873"/>
      <c r="W692" s="873"/>
      <c r="X692" s="873"/>
      <c r="Y692" s="873"/>
      <c r="Z692" s="873"/>
      <c r="AA692" s="873"/>
      <c r="AB692" s="873"/>
      <c r="AC692" s="873"/>
      <c r="AD692" s="873"/>
      <c r="AE692" s="873"/>
      <c r="AF692" s="873"/>
      <c r="AG692" s="873"/>
      <c r="AH692" s="873"/>
      <c r="AI692" s="873"/>
      <c r="AJ692" s="873"/>
      <c r="AK692" s="873"/>
      <c r="AL692" s="873"/>
      <c r="AM692" s="873"/>
      <c r="AN692" s="873"/>
      <c r="AO692" s="873"/>
      <c r="AP692" s="873"/>
      <c r="AQ692" s="873"/>
      <c r="AR692" s="873"/>
      <c r="AS692" s="873"/>
      <c r="AT692" s="873"/>
      <c r="AU692" s="873"/>
      <c r="AV692" s="873"/>
    </row>
    <row r="693" spans="1:48" ht="11.25" customHeight="1" x14ac:dyDescent="0.2">
      <c r="A693" s="873"/>
      <c r="B693" s="873"/>
      <c r="C693" s="873"/>
      <c r="D693" s="873"/>
      <c r="E693" s="873"/>
      <c r="F693" s="873"/>
      <c r="G693" s="873"/>
      <c r="H693" s="873"/>
      <c r="I693" s="873"/>
      <c r="J693" s="873"/>
      <c r="K693" s="873"/>
      <c r="L693" s="873"/>
      <c r="M693" s="873"/>
      <c r="N693" s="873"/>
      <c r="O693" s="873"/>
      <c r="P693" s="873"/>
      <c r="Q693" s="873"/>
      <c r="R693" s="873"/>
      <c r="S693" s="873"/>
      <c r="T693" s="873"/>
      <c r="U693" s="873"/>
      <c r="V693" s="873"/>
      <c r="W693" s="873"/>
      <c r="X693" s="873"/>
      <c r="Y693" s="873"/>
      <c r="Z693" s="873"/>
      <c r="AA693" s="873"/>
      <c r="AB693" s="873"/>
      <c r="AC693" s="873"/>
      <c r="AD693" s="873"/>
      <c r="AE693" s="873"/>
      <c r="AF693" s="873"/>
      <c r="AG693" s="873"/>
      <c r="AH693" s="873"/>
      <c r="AI693" s="873"/>
      <c r="AJ693" s="873"/>
      <c r="AK693" s="873"/>
      <c r="AL693" s="873"/>
      <c r="AM693" s="873"/>
      <c r="AN693" s="873"/>
      <c r="AO693" s="873"/>
      <c r="AP693" s="873"/>
      <c r="AQ693" s="873"/>
      <c r="AR693" s="873"/>
      <c r="AS693" s="873"/>
      <c r="AT693" s="873"/>
      <c r="AU693" s="873"/>
      <c r="AV693" s="873"/>
    </row>
    <row r="694" spans="1:48" ht="11.25" customHeight="1" x14ac:dyDescent="0.2">
      <c r="A694" s="873"/>
      <c r="B694" s="873"/>
      <c r="C694" s="873"/>
      <c r="D694" s="873"/>
      <c r="E694" s="873"/>
      <c r="F694" s="873"/>
      <c r="G694" s="873"/>
      <c r="H694" s="873"/>
      <c r="I694" s="873"/>
      <c r="J694" s="873"/>
      <c r="K694" s="873"/>
      <c r="L694" s="873"/>
      <c r="M694" s="873"/>
      <c r="N694" s="873"/>
      <c r="O694" s="873"/>
      <c r="P694" s="873"/>
      <c r="Q694" s="873"/>
      <c r="R694" s="873"/>
      <c r="S694" s="873"/>
      <c r="T694" s="873"/>
      <c r="U694" s="873"/>
      <c r="V694" s="873"/>
      <c r="W694" s="873"/>
      <c r="X694" s="873"/>
      <c r="Y694" s="873"/>
      <c r="Z694" s="873"/>
      <c r="AA694" s="873"/>
      <c r="AB694" s="873"/>
      <c r="AC694" s="873"/>
      <c r="AD694" s="873"/>
      <c r="AE694" s="873"/>
      <c r="AF694" s="873"/>
      <c r="AG694" s="873"/>
      <c r="AH694" s="873"/>
      <c r="AI694" s="873"/>
      <c r="AJ694" s="873"/>
      <c r="AK694" s="873"/>
      <c r="AL694" s="873"/>
      <c r="AM694" s="873"/>
      <c r="AN694" s="873"/>
      <c r="AO694" s="873"/>
      <c r="AP694" s="873"/>
      <c r="AQ694" s="873"/>
      <c r="AR694" s="873"/>
      <c r="AS694" s="873"/>
      <c r="AT694" s="873"/>
      <c r="AU694" s="873"/>
      <c r="AV694" s="873"/>
    </row>
    <row r="695" spans="1:48" ht="11.25" customHeight="1" x14ac:dyDescent="0.2">
      <c r="A695" s="873"/>
      <c r="B695" s="873"/>
      <c r="C695" s="873"/>
      <c r="D695" s="873"/>
      <c r="E695" s="873"/>
      <c r="F695" s="873"/>
      <c r="G695" s="873"/>
      <c r="H695" s="873"/>
      <c r="I695" s="873"/>
      <c r="J695" s="873"/>
      <c r="K695" s="873"/>
      <c r="L695" s="873"/>
      <c r="M695" s="873"/>
      <c r="N695" s="873"/>
      <c r="O695" s="873"/>
      <c r="P695" s="873"/>
      <c r="Q695" s="873"/>
      <c r="R695" s="873"/>
      <c r="S695" s="873"/>
      <c r="T695" s="873"/>
      <c r="U695" s="873"/>
      <c r="V695" s="873"/>
      <c r="W695" s="873"/>
      <c r="X695" s="873"/>
      <c r="Y695" s="873"/>
      <c r="Z695" s="873"/>
      <c r="AA695" s="873"/>
      <c r="AB695" s="873"/>
      <c r="AC695" s="873"/>
      <c r="AD695" s="873"/>
      <c r="AE695" s="873"/>
      <c r="AF695" s="873"/>
      <c r="AG695" s="873"/>
      <c r="AH695" s="873"/>
      <c r="AI695" s="873"/>
      <c r="AJ695" s="873"/>
      <c r="AK695" s="873"/>
      <c r="AL695" s="873"/>
      <c r="AM695" s="873"/>
      <c r="AN695" s="873"/>
      <c r="AO695" s="873"/>
      <c r="AP695" s="873"/>
      <c r="AQ695" s="873"/>
      <c r="AR695" s="873"/>
      <c r="AS695" s="873"/>
      <c r="AT695" s="873"/>
      <c r="AU695" s="873"/>
      <c r="AV695" s="873"/>
    </row>
    <row r="696" spans="1:48" ht="11.25" customHeight="1" x14ac:dyDescent="0.2">
      <c r="A696" s="873"/>
      <c r="B696" s="873"/>
      <c r="C696" s="873"/>
      <c r="D696" s="873"/>
      <c r="E696" s="873"/>
      <c r="F696" s="873"/>
      <c r="G696" s="873"/>
      <c r="H696" s="873"/>
      <c r="I696" s="873"/>
      <c r="J696" s="873"/>
      <c r="K696" s="873"/>
      <c r="L696" s="873"/>
      <c r="M696" s="873"/>
      <c r="N696" s="873"/>
      <c r="O696" s="873"/>
      <c r="P696" s="873"/>
      <c r="Q696" s="873"/>
      <c r="R696" s="873"/>
      <c r="S696" s="873"/>
      <c r="T696" s="873"/>
      <c r="U696" s="873"/>
      <c r="V696" s="873"/>
      <c r="W696" s="873"/>
      <c r="X696" s="873"/>
      <c r="Y696" s="873"/>
      <c r="Z696" s="873"/>
      <c r="AA696" s="873"/>
      <c r="AB696" s="873"/>
      <c r="AC696" s="873"/>
      <c r="AD696" s="873"/>
      <c r="AE696" s="873"/>
      <c r="AF696" s="873"/>
      <c r="AG696" s="873"/>
      <c r="AH696" s="873"/>
      <c r="AI696" s="873"/>
      <c r="AJ696" s="873"/>
      <c r="AK696" s="873"/>
      <c r="AL696" s="873"/>
      <c r="AM696" s="873"/>
      <c r="AN696" s="873"/>
      <c r="AO696" s="873"/>
      <c r="AP696" s="873"/>
      <c r="AQ696" s="873"/>
      <c r="AR696" s="873"/>
      <c r="AS696" s="873"/>
      <c r="AT696" s="873"/>
      <c r="AU696" s="873"/>
      <c r="AV696" s="873"/>
    </row>
    <row r="697" spans="1:48" ht="11.25" customHeight="1" x14ac:dyDescent="0.2">
      <c r="A697" s="873"/>
      <c r="B697" s="873"/>
      <c r="C697" s="873"/>
      <c r="D697" s="873"/>
      <c r="E697" s="873"/>
      <c r="F697" s="873"/>
      <c r="G697" s="873"/>
      <c r="H697" s="873"/>
      <c r="I697" s="873"/>
      <c r="J697" s="873"/>
      <c r="K697" s="873"/>
      <c r="L697" s="873"/>
      <c r="M697" s="873"/>
      <c r="N697" s="873"/>
      <c r="O697" s="873"/>
      <c r="P697" s="873"/>
      <c r="Q697" s="873"/>
      <c r="R697" s="873"/>
      <c r="S697" s="873"/>
      <c r="T697" s="873"/>
      <c r="U697" s="873"/>
      <c r="V697" s="873"/>
      <c r="W697" s="873"/>
      <c r="X697" s="873"/>
      <c r="Y697" s="873"/>
      <c r="Z697" s="873"/>
      <c r="AA697" s="873"/>
      <c r="AB697" s="873"/>
      <c r="AC697" s="873"/>
      <c r="AD697" s="873"/>
      <c r="AE697" s="873"/>
      <c r="AF697" s="873"/>
      <c r="AG697" s="873"/>
      <c r="AH697" s="873"/>
      <c r="AI697" s="873"/>
      <c r="AJ697" s="873"/>
      <c r="AK697" s="873"/>
      <c r="AL697" s="873"/>
      <c r="AM697" s="873"/>
      <c r="AN697" s="873"/>
      <c r="AO697" s="873"/>
      <c r="AP697" s="873"/>
      <c r="AQ697" s="873"/>
      <c r="AR697" s="873"/>
      <c r="AS697" s="873"/>
      <c r="AT697" s="873"/>
      <c r="AU697" s="873"/>
      <c r="AV697" s="873"/>
    </row>
    <row r="698" spans="1:48" ht="11.25" customHeight="1" x14ac:dyDescent="0.2">
      <c r="A698" s="873"/>
      <c r="B698" s="873"/>
      <c r="C698" s="873"/>
      <c r="D698" s="873"/>
      <c r="E698" s="873"/>
      <c r="F698" s="873"/>
      <c r="G698" s="873"/>
      <c r="H698" s="873"/>
      <c r="I698" s="873"/>
      <c r="J698" s="873"/>
      <c r="K698" s="873"/>
      <c r="L698" s="873"/>
      <c r="M698" s="873"/>
      <c r="N698" s="873"/>
      <c r="O698" s="873"/>
      <c r="P698" s="873"/>
      <c r="Q698" s="873"/>
      <c r="R698" s="873"/>
      <c r="S698" s="873"/>
      <c r="T698" s="873"/>
      <c r="U698" s="873"/>
      <c r="V698" s="873"/>
      <c r="W698" s="873"/>
      <c r="X698" s="873"/>
      <c r="Y698" s="873"/>
      <c r="Z698" s="873"/>
      <c r="AA698" s="873"/>
      <c r="AB698" s="873"/>
      <c r="AC698" s="873"/>
      <c r="AD698" s="873"/>
      <c r="AE698" s="873"/>
      <c r="AF698" s="873"/>
      <c r="AG698" s="873"/>
      <c r="AH698" s="873"/>
      <c r="AI698" s="873"/>
      <c r="AJ698" s="873"/>
      <c r="AK698" s="873"/>
      <c r="AL698" s="873"/>
      <c r="AM698" s="873"/>
      <c r="AN698" s="873"/>
      <c r="AO698" s="873"/>
      <c r="AP698" s="873"/>
      <c r="AQ698" s="873"/>
      <c r="AR698" s="873"/>
      <c r="AS698" s="873"/>
      <c r="AT698" s="873"/>
      <c r="AU698" s="873"/>
      <c r="AV698" s="873"/>
    </row>
    <row r="699" spans="1:48" ht="11.25" customHeight="1" x14ac:dyDescent="0.2">
      <c r="A699" s="873"/>
      <c r="B699" s="873"/>
      <c r="C699" s="873"/>
      <c r="D699" s="873"/>
      <c r="E699" s="873"/>
      <c r="F699" s="873"/>
      <c r="G699" s="873"/>
      <c r="H699" s="873"/>
      <c r="I699" s="873"/>
      <c r="J699" s="873"/>
      <c r="K699" s="873"/>
      <c r="L699" s="873"/>
      <c r="M699" s="873"/>
      <c r="N699" s="873"/>
      <c r="O699" s="873"/>
      <c r="P699" s="873"/>
      <c r="Q699" s="873"/>
      <c r="R699" s="873"/>
      <c r="S699" s="873"/>
      <c r="T699" s="873"/>
      <c r="U699" s="873"/>
      <c r="V699" s="873"/>
      <c r="W699" s="873"/>
      <c r="X699" s="873"/>
      <c r="Y699" s="873"/>
      <c r="Z699" s="873"/>
      <c r="AA699" s="873"/>
      <c r="AB699" s="873"/>
      <c r="AC699" s="873"/>
      <c r="AD699" s="873"/>
      <c r="AE699" s="873"/>
      <c r="AF699" s="873"/>
      <c r="AG699" s="873"/>
      <c r="AH699" s="873"/>
      <c r="AI699" s="873"/>
      <c r="AJ699" s="873"/>
      <c r="AK699" s="873"/>
      <c r="AL699" s="873"/>
      <c r="AM699" s="873"/>
      <c r="AN699" s="873"/>
      <c r="AO699" s="873"/>
      <c r="AP699" s="873"/>
      <c r="AQ699" s="873"/>
      <c r="AR699" s="873"/>
      <c r="AS699" s="873"/>
      <c r="AT699" s="873"/>
      <c r="AU699" s="873"/>
      <c r="AV699" s="873"/>
    </row>
    <row r="700" spans="1:48" ht="11.25" customHeight="1" x14ac:dyDescent="0.2">
      <c r="A700" s="873"/>
      <c r="B700" s="873"/>
      <c r="C700" s="873"/>
      <c r="D700" s="873"/>
      <c r="E700" s="873"/>
      <c r="F700" s="873"/>
      <c r="G700" s="873"/>
      <c r="H700" s="873"/>
      <c r="I700" s="873"/>
      <c r="J700" s="873"/>
      <c r="K700" s="873"/>
      <c r="L700" s="873"/>
      <c r="M700" s="873"/>
      <c r="N700" s="873"/>
      <c r="O700" s="873"/>
      <c r="P700" s="873"/>
      <c r="Q700" s="873"/>
      <c r="R700" s="873"/>
      <c r="S700" s="873"/>
      <c r="T700" s="873"/>
      <c r="U700" s="873"/>
      <c r="V700" s="873"/>
      <c r="W700" s="873"/>
      <c r="X700" s="873"/>
      <c r="Y700" s="873"/>
      <c r="Z700" s="873"/>
      <c r="AA700" s="873"/>
      <c r="AB700" s="873"/>
      <c r="AC700" s="873"/>
      <c r="AD700" s="873"/>
      <c r="AE700" s="873"/>
      <c r="AF700" s="873"/>
      <c r="AG700" s="873"/>
      <c r="AH700" s="873"/>
      <c r="AI700" s="873"/>
      <c r="AJ700" s="873"/>
      <c r="AK700" s="873"/>
      <c r="AL700" s="873"/>
      <c r="AM700" s="873"/>
      <c r="AN700" s="873"/>
      <c r="AO700" s="873"/>
      <c r="AP700" s="873"/>
      <c r="AQ700" s="873"/>
      <c r="AR700" s="873"/>
      <c r="AS700" s="873"/>
      <c r="AT700" s="873"/>
      <c r="AU700" s="873"/>
      <c r="AV700" s="873"/>
    </row>
    <row r="701" spans="1:48" ht="11.25" customHeight="1" x14ac:dyDescent="0.2">
      <c r="A701" s="873"/>
      <c r="B701" s="873"/>
      <c r="C701" s="873"/>
      <c r="D701" s="873"/>
      <c r="E701" s="873"/>
      <c r="F701" s="873"/>
      <c r="G701" s="873"/>
      <c r="H701" s="873"/>
      <c r="I701" s="873"/>
      <c r="J701" s="873"/>
      <c r="K701" s="873"/>
      <c r="L701" s="873"/>
      <c r="M701" s="873"/>
      <c r="N701" s="873"/>
      <c r="O701" s="873"/>
      <c r="P701" s="873"/>
      <c r="Q701" s="873"/>
      <c r="R701" s="873"/>
      <c r="S701" s="873"/>
      <c r="T701" s="873"/>
      <c r="U701" s="873"/>
      <c r="V701" s="873"/>
      <c r="W701" s="873"/>
      <c r="X701" s="873"/>
      <c r="Y701" s="873"/>
      <c r="Z701" s="873"/>
      <c r="AA701" s="873"/>
      <c r="AB701" s="873"/>
      <c r="AC701" s="873"/>
      <c r="AD701" s="873"/>
      <c r="AE701" s="873"/>
      <c r="AF701" s="873"/>
      <c r="AG701" s="873"/>
      <c r="AH701" s="873"/>
      <c r="AI701" s="873"/>
      <c r="AJ701" s="873"/>
      <c r="AK701" s="873"/>
      <c r="AL701" s="873"/>
      <c r="AM701" s="873"/>
      <c r="AN701" s="873"/>
      <c r="AO701" s="873"/>
      <c r="AP701" s="873"/>
      <c r="AQ701" s="873"/>
      <c r="AR701" s="873"/>
      <c r="AS701" s="873"/>
      <c r="AT701" s="873"/>
      <c r="AU701" s="873"/>
      <c r="AV701" s="873"/>
    </row>
    <row r="702" spans="1:48" ht="11.25" customHeight="1" x14ac:dyDescent="0.2">
      <c r="A702" s="873"/>
      <c r="B702" s="873"/>
      <c r="C702" s="873"/>
      <c r="D702" s="873"/>
      <c r="E702" s="873"/>
      <c r="F702" s="873"/>
      <c r="G702" s="873"/>
      <c r="H702" s="873"/>
      <c r="I702" s="873"/>
      <c r="J702" s="873"/>
      <c r="K702" s="873"/>
      <c r="L702" s="873"/>
      <c r="M702" s="873"/>
      <c r="N702" s="873"/>
      <c r="O702" s="873"/>
      <c r="P702" s="873"/>
      <c r="Q702" s="873"/>
      <c r="R702" s="873"/>
      <c r="S702" s="873"/>
      <c r="T702" s="873"/>
      <c r="U702" s="873"/>
      <c r="V702" s="873"/>
      <c r="W702" s="873"/>
      <c r="X702" s="873"/>
      <c r="Y702" s="873"/>
      <c r="Z702" s="873"/>
      <c r="AA702" s="873"/>
      <c r="AB702" s="873"/>
      <c r="AC702" s="873"/>
      <c r="AD702" s="873"/>
      <c r="AE702" s="873"/>
      <c r="AF702" s="873"/>
      <c r="AG702" s="873"/>
      <c r="AH702" s="873"/>
      <c r="AI702" s="873"/>
      <c r="AJ702" s="873"/>
      <c r="AK702" s="873"/>
      <c r="AL702" s="873"/>
      <c r="AM702" s="873"/>
      <c r="AN702" s="873"/>
      <c r="AO702" s="873"/>
      <c r="AP702" s="873"/>
      <c r="AQ702" s="873"/>
      <c r="AR702" s="873"/>
      <c r="AS702" s="873"/>
      <c r="AT702" s="873"/>
      <c r="AU702" s="873"/>
      <c r="AV702" s="873"/>
    </row>
    <row r="703" spans="1:48" ht="11.25" customHeight="1" x14ac:dyDescent="0.2">
      <c r="A703" s="873"/>
      <c r="B703" s="873"/>
      <c r="C703" s="873"/>
      <c r="D703" s="873"/>
      <c r="E703" s="873"/>
      <c r="F703" s="873"/>
      <c r="G703" s="873"/>
      <c r="H703" s="873"/>
      <c r="I703" s="873"/>
      <c r="J703" s="873"/>
      <c r="K703" s="873"/>
      <c r="L703" s="873"/>
      <c r="M703" s="873"/>
      <c r="N703" s="873"/>
      <c r="O703" s="873"/>
      <c r="P703" s="873"/>
      <c r="Q703" s="873"/>
      <c r="R703" s="873"/>
      <c r="S703" s="873"/>
      <c r="T703" s="873"/>
      <c r="U703" s="873"/>
      <c r="V703" s="873"/>
      <c r="W703" s="873"/>
      <c r="X703" s="873"/>
      <c r="Y703" s="873"/>
      <c r="Z703" s="873"/>
      <c r="AA703" s="873"/>
      <c r="AB703" s="873"/>
      <c r="AC703" s="873"/>
      <c r="AD703" s="873"/>
      <c r="AE703" s="873"/>
      <c r="AF703" s="873"/>
      <c r="AG703" s="873"/>
      <c r="AH703" s="873"/>
      <c r="AI703" s="873"/>
      <c r="AJ703" s="873"/>
      <c r="AK703" s="873"/>
      <c r="AL703" s="873"/>
      <c r="AM703" s="873"/>
      <c r="AN703" s="873"/>
      <c r="AO703" s="873"/>
      <c r="AP703" s="873"/>
      <c r="AQ703" s="873"/>
      <c r="AR703" s="873"/>
      <c r="AS703" s="873"/>
      <c r="AT703" s="873"/>
      <c r="AU703" s="873"/>
      <c r="AV703" s="873"/>
    </row>
    <row r="704" spans="1:48" ht="11.25" customHeight="1" x14ac:dyDescent="0.2">
      <c r="A704" s="873"/>
      <c r="B704" s="873"/>
      <c r="C704" s="873"/>
      <c r="D704" s="873"/>
      <c r="E704" s="873"/>
      <c r="F704" s="873"/>
      <c r="G704" s="873"/>
      <c r="H704" s="873"/>
      <c r="I704" s="873"/>
      <c r="J704" s="873"/>
      <c r="K704" s="873"/>
      <c r="L704" s="873"/>
      <c r="M704" s="873"/>
      <c r="N704" s="873"/>
      <c r="O704" s="873"/>
      <c r="P704" s="873"/>
      <c r="Q704" s="873"/>
      <c r="R704" s="873"/>
      <c r="S704" s="873"/>
      <c r="T704" s="873"/>
      <c r="U704" s="873"/>
      <c r="V704" s="873"/>
      <c r="W704" s="873"/>
      <c r="X704" s="873"/>
      <c r="Y704" s="873"/>
      <c r="Z704" s="873"/>
      <c r="AA704" s="873"/>
      <c r="AB704" s="873"/>
      <c r="AC704" s="873"/>
      <c r="AD704" s="873"/>
      <c r="AE704" s="873"/>
      <c r="AF704" s="873"/>
      <c r="AG704" s="873"/>
      <c r="AH704" s="873"/>
      <c r="AI704" s="873"/>
      <c r="AJ704" s="873"/>
      <c r="AK704" s="873"/>
      <c r="AL704" s="873"/>
      <c r="AM704" s="873"/>
      <c r="AN704" s="873"/>
      <c r="AO704" s="873"/>
      <c r="AP704" s="873"/>
      <c r="AQ704" s="873"/>
      <c r="AR704" s="873"/>
      <c r="AS704" s="873"/>
      <c r="AT704" s="873"/>
      <c r="AU704" s="873"/>
      <c r="AV704" s="873"/>
    </row>
    <row r="705" spans="1:48" ht="11.25" customHeight="1" x14ac:dyDescent="0.2">
      <c r="A705" s="873"/>
      <c r="B705" s="873"/>
      <c r="C705" s="873"/>
      <c r="D705" s="873"/>
      <c r="E705" s="873"/>
      <c r="F705" s="873"/>
      <c r="G705" s="873"/>
      <c r="H705" s="873"/>
      <c r="I705" s="873"/>
      <c r="J705" s="873"/>
      <c r="K705" s="873"/>
      <c r="L705" s="873"/>
      <c r="M705" s="873"/>
      <c r="N705" s="873"/>
      <c r="O705" s="873"/>
      <c r="P705" s="873"/>
      <c r="Q705" s="873"/>
      <c r="R705" s="873"/>
      <c r="S705" s="873"/>
      <c r="T705" s="873"/>
      <c r="U705" s="873"/>
      <c r="V705" s="873"/>
      <c r="W705" s="873"/>
      <c r="X705" s="873"/>
      <c r="Y705" s="873"/>
      <c r="Z705" s="873"/>
      <c r="AA705" s="873"/>
      <c r="AB705" s="873"/>
      <c r="AC705" s="873"/>
      <c r="AD705" s="873"/>
      <c r="AE705" s="873"/>
      <c r="AF705" s="873"/>
      <c r="AG705" s="873"/>
      <c r="AH705" s="873"/>
      <c r="AI705" s="873"/>
      <c r="AJ705" s="873"/>
      <c r="AK705" s="873"/>
      <c r="AL705" s="873"/>
      <c r="AM705" s="873"/>
      <c r="AN705" s="873"/>
      <c r="AO705" s="873"/>
      <c r="AP705" s="873"/>
      <c r="AQ705" s="873"/>
      <c r="AR705" s="873"/>
      <c r="AS705" s="873"/>
      <c r="AT705" s="873"/>
      <c r="AU705" s="873"/>
      <c r="AV705" s="873"/>
    </row>
    <row r="706" spans="1:48" ht="11.25" customHeight="1" x14ac:dyDescent="0.2">
      <c r="A706" s="873"/>
      <c r="B706" s="873"/>
      <c r="C706" s="873"/>
      <c r="D706" s="873"/>
      <c r="E706" s="873"/>
      <c r="F706" s="873"/>
      <c r="G706" s="873"/>
      <c r="H706" s="873"/>
      <c r="I706" s="873"/>
      <c r="J706" s="873"/>
      <c r="K706" s="873"/>
      <c r="L706" s="873"/>
      <c r="M706" s="873"/>
      <c r="N706" s="873"/>
      <c r="O706" s="873"/>
      <c r="P706" s="873"/>
      <c r="Q706" s="873"/>
      <c r="R706" s="873"/>
      <c r="S706" s="873"/>
      <c r="T706" s="873"/>
      <c r="U706" s="873"/>
      <c r="V706" s="873"/>
      <c r="W706" s="873"/>
      <c r="X706" s="873"/>
      <c r="Y706" s="873"/>
      <c r="Z706" s="873"/>
      <c r="AA706" s="873"/>
      <c r="AB706" s="873"/>
      <c r="AC706" s="873"/>
      <c r="AD706" s="873"/>
      <c r="AE706" s="873"/>
      <c r="AF706" s="873"/>
      <c r="AG706" s="873"/>
      <c r="AH706" s="873"/>
      <c r="AI706" s="873"/>
      <c r="AJ706" s="873"/>
      <c r="AK706" s="873"/>
      <c r="AL706" s="873"/>
      <c r="AM706" s="873"/>
      <c r="AN706" s="873"/>
      <c r="AO706" s="873"/>
      <c r="AP706" s="873"/>
      <c r="AQ706" s="873"/>
      <c r="AR706" s="873"/>
      <c r="AS706" s="873"/>
      <c r="AT706" s="873"/>
      <c r="AU706" s="873"/>
      <c r="AV706" s="873"/>
    </row>
    <row r="707" spans="1:48" ht="11.25" customHeight="1" x14ac:dyDescent="0.2">
      <c r="A707" s="873"/>
      <c r="B707" s="873"/>
      <c r="C707" s="873"/>
      <c r="D707" s="873"/>
      <c r="E707" s="873"/>
      <c r="F707" s="873"/>
      <c r="G707" s="873"/>
      <c r="H707" s="873"/>
      <c r="I707" s="873"/>
      <c r="J707" s="873"/>
      <c r="K707" s="873"/>
      <c r="L707" s="873"/>
      <c r="M707" s="873"/>
      <c r="N707" s="873"/>
      <c r="O707" s="873"/>
      <c r="P707" s="873"/>
      <c r="Q707" s="873"/>
      <c r="R707" s="873"/>
      <c r="S707" s="873"/>
      <c r="T707" s="873"/>
      <c r="U707" s="873"/>
      <c r="V707" s="873"/>
      <c r="W707" s="873"/>
      <c r="X707" s="873"/>
      <c r="Y707" s="873"/>
      <c r="Z707" s="873"/>
      <c r="AA707" s="873"/>
      <c r="AB707" s="873"/>
      <c r="AC707" s="873"/>
      <c r="AD707" s="873"/>
      <c r="AE707" s="873"/>
      <c r="AF707" s="873"/>
      <c r="AG707" s="873"/>
      <c r="AH707" s="873"/>
      <c r="AI707" s="873"/>
      <c r="AJ707" s="873"/>
      <c r="AK707" s="873"/>
      <c r="AL707" s="873"/>
      <c r="AM707" s="873"/>
      <c r="AN707" s="873"/>
      <c r="AO707" s="873"/>
      <c r="AP707" s="873"/>
      <c r="AQ707" s="873"/>
      <c r="AR707" s="873"/>
      <c r="AS707" s="873"/>
      <c r="AT707" s="873"/>
      <c r="AU707" s="873"/>
      <c r="AV707" s="873"/>
    </row>
    <row r="708" spans="1:48" ht="11.25" customHeight="1" x14ac:dyDescent="0.2">
      <c r="A708" s="873"/>
      <c r="B708" s="873"/>
      <c r="C708" s="873"/>
      <c r="D708" s="873"/>
      <c r="E708" s="873"/>
      <c r="F708" s="873"/>
      <c r="G708" s="873"/>
      <c r="H708" s="873"/>
      <c r="I708" s="873"/>
      <c r="J708" s="873"/>
      <c r="K708" s="873"/>
      <c r="L708" s="873"/>
      <c r="M708" s="873"/>
      <c r="N708" s="873"/>
      <c r="O708" s="873"/>
      <c r="P708" s="873"/>
      <c r="Q708" s="873"/>
      <c r="R708" s="873"/>
      <c r="S708" s="873"/>
      <c r="T708" s="873"/>
      <c r="U708" s="873"/>
      <c r="V708" s="873"/>
      <c r="W708" s="873"/>
      <c r="X708" s="873"/>
      <c r="Y708" s="873"/>
      <c r="Z708" s="873"/>
      <c r="AA708" s="873"/>
      <c r="AB708" s="873"/>
      <c r="AC708" s="873"/>
      <c r="AD708" s="873"/>
      <c r="AE708" s="873"/>
      <c r="AF708" s="873"/>
      <c r="AG708" s="873"/>
      <c r="AH708" s="873"/>
      <c r="AI708" s="873"/>
      <c r="AJ708" s="873"/>
      <c r="AK708" s="873"/>
      <c r="AL708" s="873"/>
      <c r="AM708" s="873"/>
      <c r="AN708" s="873"/>
      <c r="AO708" s="873"/>
      <c r="AP708" s="873"/>
      <c r="AQ708" s="873"/>
      <c r="AR708" s="873"/>
      <c r="AS708" s="873"/>
      <c r="AT708" s="873"/>
      <c r="AU708" s="873"/>
      <c r="AV708" s="873"/>
    </row>
    <row r="709" spans="1:48" ht="11.25" customHeight="1" x14ac:dyDescent="0.2">
      <c r="A709" s="873"/>
      <c r="B709" s="873"/>
      <c r="C709" s="873"/>
      <c r="D709" s="873"/>
      <c r="E709" s="873"/>
      <c r="F709" s="873"/>
      <c r="G709" s="873"/>
      <c r="H709" s="873"/>
      <c r="I709" s="873"/>
      <c r="J709" s="873"/>
      <c r="K709" s="873"/>
      <c r="L709" s="873"/>
      <c r="M709" s="873"/>
      <c r="N709" s="873"/>
      <c r="O709" s="873"/>
      <c r="P709" s="873"/>
      <c r="Q709" s="873"/>
      <c r="R709" s="873"/>
      <c r="S709" s="873"/>
      <c r="T709" s="873"/>
      <c r="U709" s="873"/>
      <c r="V709" s="873"/>
      <c r="W709" s="873"/>
      <c r="X709" s="873"/>
      <c r="Y709" s="873"/>
      <c r="Z709" s="873"/>
      <c r="AA709" s="873"/>
      <c r="AB709" s="873"/>
      <c r="AC709" s="873"/>
      <c r="AD709" s="873"/>
      <c r="AE709" s="873"/>
      <c r="AF709" s="873"/>
      <c r="AG709" s="873"/>
      <c r="AH709" s="873"/>
      <c r="AI709" s="873"/>
      <c r="AJ709" s="873"/>
      <c r="AK709" s="873"/>
      <c r="AL709" s="873"/>
      <c r="AM709" s="873"/>
      <c r="AN709" s="873"/>
      <c r="AO709" s="873"/>
      <c r="AP709" s="873"/>
      <c r="AQ709" s="873"/>
      <c r="AR709" s="873"/>
      <c r="AS709" s="873"/>
      <c r="AT709" s="873"/>
      <c r="AU709" s="873"/>
      <c r="AV709" s="873"/>
    </row>
    <row r="710" spans="1:48" ht="11.25" customHeight="1" x14ac:dyDescent="0.2">
      <c r="A710" s="873"/>
      <c r="B710" s="873"/>
      <c r="C710" s="873"/>
      <c r="D710" s="873"/>
      <c r="E710" s="873"/>
      <c r="F710" s="873"/>
      <c r="G710" s="873"/>
      <c r="H710" s="873"/>
      <c r="I710" s="873"/>
      <c r="J710" s="873"/>
      <c r="K710" s="873"/>
      <c r="L710" s="873"/>
      <c r="M710" s="873"/>
      <c r="N710" s="873"/>
      <c r="O710" s="873"/>
      <c r="P710" s="873"/>
      <c r="Q710" s="873"/>
      <c r="R710" s="873"/>
      <c r="S710" s="873"/>
      <c r="T710" s="873"/>
      <c r="U710" s="873"/>
      <c r="V710" s="873"/>
      <c r="W710" s="873"/>
      <c r="X710" s="873"/>
      <c r="Y710" s="873"/>
      <c r="Z710" s="873"/>
      <c r="AA710" s="873"/>
      <c r="AB710" s="873"/>
      <c r="AC710" s="873"/>
      <c r="AD710" s="873"/>
      <c r="AE710" s="873"/>
      <c r="AF710" s="873"/>
      <c r="AG710" s="873"/>
      <c r="AH710" s="873"/>
      <c r="AI710" s="873"/>
      <c r="AJ710" s="873"/>
      <c r="AK710" s="873"/>
      <c r="AL710" s="873"/>
      <c r="AM710" s="873"/>
      <c r="AN710" s="873"/>
      <c r="AO710" s="873"/>
      <c r="AP710" s="873"/>
      <c r="AQ710" s="873"/>
      <c r="AR710" s="873"/>
      <c r="AS710" s="873"/>
      <c r="AT710" s="873"/>
      <c r="AU710" s="873"/>
      <c r="AV710" s="873"/>
    </row>
    <row r="711" spans="1:48" ht="11.25" customHeight="1" x14ac:dyDescent="0.2">
      <c r="A711" s="873"/>
      <c r="B711" s="873"/>
      <c r="C711" s="873"/>
      <c r="D711" s="873"/>
      <c r="E711" s="873"/>
      <c r="F711" s="873"/>
      <c r="G711" s="873"/>
      <c r="H711" s="873"/>
      <c r="I711" s="873"/>
      <c r="J711" s="873"/>
      <c r="K711" s="873"/>
      <c r="L711" s="873"/>
      <c r="M711" s="873"/>
      <c r="N711" s="873"/>
      <c r="O711" s="873"/>
      <c r="P711" s="873"/>
      <c r="Q711" s="873"/>
      <c r="R711" s="873"/>
      <c r="S711" s="873"/>
      <c r="T711" s="873"/>
      <c r="U711" s="873"/>
      <c r="V711" s="873"/>
      <c r="W711" s="873"/>
      <c r="X711" s="873"/>
      <c r="Y711" s="873"/>
      <c r="Z711" s="873"/>
      <c r="AA711" s="873"/>
      <c r="AB711" s="873"/>
      <c r="AC711" s="873"/>
      <c r="AD711" s="873"/>
      <c r="AE711" s="873"/>
      <c r="AF711" s="873"/>
      <c r="AG711" s="873"/>
      <c r="AH711" s="873"/>
      <c r="AI711" s="873"/>
      <c r="AJ711" s="873"/>
      <c r="AK711" s="873"/>
      <c r="AL711" s="873"/>
      <c r="AM711" s="873"/>
      <c r="AN711" s="873"/>
      <c r="AO711" s="873"/>
      <c r="AP711" s="873"/>
      <c r="AQ711" s="873"/>
      <c r="AR711" s="873"/>
      <c r="AS711" s="873"/>
      <c r="AT711" s="873"/>
      <c r="AU711" s="873"/>
      <c r="AV711" s="873"/>
    </row>
    <row r="712" spans="1:48" ht="11.25" customHeight="1" x14ac:dyDescent="0.2">
      <c r="A712" s="873"/>
      <c r="B712" s="873"/>
      <c r="C712" s="873"/>
      <c r="D712" s="873"/>
      <c r="E712" s="873"/>
      <c r="F712" s="873"/>
      <c r="G712" s="873"/>
      <c r="H712" s="873"/>
      <c r="I712" s="873"/>
      <c r="J712" s="873"/>
      <c r="K712" s="873"/>
      <c r="L712" s="873"/>
      <c r="M712" s="873"/>
      <c r="N712" s="873"/>
      <c r="O712" s="873"/>
      <c r="P712" s="873"/>
      <c r="Q712" s="873"/>
      <c r="R712" s="873"/>
      <c r="S712" s="873"/>
      <c r="T712" s="873"/>
      <c r="U712" s="873"/>
      <c r="V712" s="873"/>
      <c r="W712" s="873"/>
      <c r="X712" s="873"/>
      <c r="Y712" s="873"/>
      <c r="Z712" s="873"/>
      <c r="AA712" s="873"/>
      <c r="AB712" s="873"/>
      <c r="AC712" s="873"/>
      <c r="AD712" s="873"/>
      <c r="AE712" s="873"/>
      <c r="AF712" s="873"/>
      <c r="AG712" s="873"/>
      <c r="AH712" s="873"/>
      <c r="AI712" s="873"/>
      <c r="AJ712" s="873"/>
      <c r="AK712" s="873"/>
      <c r="AL712" s="873"/>
      <c r="AM712" s="873"/>
      <c r="AN712" s="873"/>
      <c r="AO712" s="873"/>
      <c r="AP712" s="873"/>
      <c r="AQ712" s="873"/>
      <c r="AR712" s="873"/>
      <c r="AS712" s="873"/>
      <c r="AT712" s="873"/>
      <c r="AU712" s="873"/>
      <c r="AV712" s="873"/>
    </row>
    <row r="713" spans="1:48" ht="11.25" customHeight="1" x14ac:dyDescent="0.2">
      <c r="A713" s="873"/>
      <c r="B713" s="873"/>
      <c r="C713" s="873"/>
      <c r="D713" s="873"/>
      <c r="E713" s="873"/>
      <c r="F713" s="873"/>
      <c r="G713" s="873"/>
      <c r="H713" s="873"/>
      <c r="I713" s="873"/>
      <c r="J713" s="873"/>
      <c r="K713" s="873"/>
      <c r="L713" s="873"/>
      <c r="M713" s="873"/>
      <c r="N713" s="873"/>
      <c r="O713" s="873"/>
      <c r="P713" s="873"/>
      <c r="Q713" s="873"/>
      <c r="R713" s="873"/>
      <c r="S713" s="873"/>
      <c r="T713" s="873"/>
      <c r="U713" s="873"/>
      <c r="V713" s="873"/>
      <c r="W713" s="873"/>
      <c r="X713" s="873"/>
      <c r="Y713" s="873"/>
      <c r="Z713" s="873"/>
      <c r="AA713" s="873"/>
      <c r="AB713" s="873"/>
      <c r="AC713" s="873"/>
      <c r="AD713" s="873"/>
      <c r="AE713" s="873"/>
      <c r="AF713" s="873"/>
      <c r="AG713" s="873"/>
      <c r="AH713" s="873"/>
      <c r="AI713" s="873"/>
      <c r="AJ713" s="873"/>
      <c r="AK713" s="873"/>
      <c r="AL713" s="873"/>
      <c r="AM713" s="873"/>
      <c r="AN713" s="873"/>
      <c r="AO713" s="873"/>
      <c r="AP713" s="873"/>
      <c r="AQ713" s="873"/>
      <c r="AR713" s="873"/>
      <c r="AS713" s="873"/>
      <c r="AT713" s="873"/>
      <c r="AU713" s="873"/>
      <c r="AV713" s="873"/>
    </row>
    <row r="714" spans="1:48" ht="11.25" customHeight="1" x14ac:dyDescent="0.2">
      <c r="A714" s="873"/>
      <c r="B714" s="873"/>
      <c r="C714" s="873"/>
      <c r="D714" s="873"/>
      <c r="E714" s="873"/>
      <c r="F714" s="873"/>
      <c r="G714" s="873"/>
      <c r="H714" s="873"/>
      <c r="I714" s="873"/>
      <c r="J714" s="873"/>
      <c r="K714" s="873"/>
      <c r="L714" s="873"/>
      <c r="M714" s="873"/>
      <c r="N714" s="873"/>
      <c r="O714" s="873"/>
      <c r="P714" s="873"/>
      <c r="Q714" s="873"/>
      <c r="R714" s="873"/>
      <c r="S714" s="873"/>
      <c r="T714" s="873"/>
      <c r="U714" s="873"/>
      <c r="V714" s="873"/>
      <c r="W714" s="873"/>
      <c r="X714" s="873"/>
      <c r="Y714" s="873"/>
      <c r="Z714" s="873"/>
      <c r="AA714" s="873"/>
      <c r="AB714" s="873"/>
      <c r="AC714" s="873"/>
      <c r="AD714" s="873"/>
      <c r="AE714" s="873"/>
      <c r="AF714" s="873"/>
      <c r="AG714" s="873"/>
      <c r="AH714" s="873"/>
      <c r="AI714" s="873"/>
      <c r="AJ714" s="873"/>
      <c r="AK714" s="873"/>
      <c r="AL714" s="873"/>
      <c r="AM714" s="873"/>
      <c r="AN714" s="873"/>
      <c r="AO714" s="873"/>
      <c r="AP714" s="873"/>
      <c r="AQ714" s="873"/>
      <c r="AR714" s="873"/>
      <c r="AS714" s="873"/>
      <c r="AT714" s="873"/>
      <c r="AU714" s="873"/>
      <c r="AV714" s="873"/>
    </row>
    <row r="715" spans="1:48" ht="11.25" customHeight="1" x14ac:dyDescent="0.2">
      <c r="A715" s="873"/>
      <c r="B715" s="873"/>
      <c r="C715" s="873"/>
      <c r="D715" s="873"/>
      <c r="E715" s="873"/>
      <c r="F715" s="873"/>
      <c r="G715" s="873"/>
      <c r="H715" s="873"/>
      <c r="I715" s="873"/>
      <c r="J715" s="873"/>
      <c r="K715" s="873"/>
      <c r="L715" s="873"/>
      <c r="M715" s="873"/>
      <c r="N715" s="873"/>
      <c r="O715" s="873"/>
      <c r="P715" s="873"/>
      <c r="Q715" s="873"/>
      <c r="R715" s="873"/>
      <c r="S715" s="873"/>
      <c r="T715" s="873"/>
      <c r="U715" s="873"/>
      <c r="V715" s="873"/>
      <c r="W715" s="873"/>
      <c r="X715" s="873"/>
      <c r="Y715" s="873"/>
      <c r="Z715" s="873"/>
      <c r="AA715" s="873"/>
      <c r="AB715" s="873"/>
      <c r="AC715" s="873"/>
      <c r="AD715" s="873"/>
      <c r="AE715" s="873"/>
      <c r="AF715" s="873"/>
      <c r="AG715" s="873"/>
      <c r="AH715" s="873"/>
      <c r="AI715" s="873"/>
      <c r="AJ715" s="873"/>
      <c r="AK715" s="873"/>
      <c r="AL715" s="873"/>
      <c r="AM715" s="873"/>
      <c r="AN715" s="873"/>
      <c r="AO715" s="873"/>
      <c r="AP715" s="873"/>
      <c r="AQ715" s="873"/>
      <c r="AR715" s="873"/>
      <c r="AS715" s="873"/>
      <c r="AT715" s="873"/>
      <c r="AU715" s="873"/>
      <c r="AV715" s="873"/>
    </row>
    <row r="716" spans="1:48" ht="11.25" customHeight="1" x14ac:dyDescent="0.2">
      <c r="A716" s="873"/>
      <c r="B716" s="873"/>
      <c r="C716" s="873"/>
      <c r="D716" s="873"/>
      <c r="E716" s="873"/>
      <c r="F716" s="873"/>
      <c r="G716" s="873"/>
      <c r="H716" s="873"/>
      <c r="I716" s="873"/>
      <c r="J716" s="873"/>
      <c r="K716" s="873"/>
      <c r="L716" s="873"/>
      <c r="M716" s="873"/>
      <c r="N716" s="873"/>
      <c r="O716" s="873"/>
      <c r="P716" s="873"/>
      <c r="Q716" s="873"/>
      <c r="R716" s="873"/>
      <c r="S716" s="873"/>
      <c r="T716" s="873"/>
      <c r="U716" s="873"/>
      <c r="V716" s="873"/>
      <c r="W716" s="873"/>
      <c r="X716" s="873"/>
      <c r="Y716" s="873"/>
      <c r="Z716" s="873"/>
      <c r="AA716" s="873"/>
      <c r="AB716" s="873"/>
      <c r="AC716" s="873"/>
      <c r="AD716" s="873"/>
      <c r="AE716" s="873"/>
      <c r="AF716" s="873"/>
      <c r="AG716" s="873"/>
      <c r="AH716" s="873"/>
      <c r="AI716" s="873"/>
      <c r="AJ716" s="873"/>
      <c r="AK716" s="873"/>
      <c r="AL716" s="873"/>
      <c r="AM716" s="873"/>
      <c r="AN716" s="873"/>
      <c r="AO716" s="873"/>
      <c r="AP716" s="873"/>
      <c r="AQ716" s="873"/>
      <c r="AR716" s="873"/>
      <c r="AS716" s="873"/>
      <c r="AT716" s="873"/>
      <c r="AU716" s="873"/>
      <c r="AV716" s="873"/>
    </row>
    <row r="717" spans="1:48" ht="11.25" customHeight="1" x14ac:dyDescent="0.2">
      <c r="A717" s="873"/>
      <c r="B717" s="873"/>
      <c r="C717" s="873"/>
      <c r="D717" s="873"/>
      <c r="E717" s="873"/>
      <c r="F717" s="873"/>
      <c r="G717" s="873"/>
      <c r="H717" s="873"/>
      <c r="I717" s="873"/>
      <c r="J717" s="873"/>
      <c r="K717" s="873"/>
      <c r="L717" s="873"/>
      <c r="M717" s="873"/>
      <c r="N717" s="873"/>
      <c r="O717" s="873"/>
      <c r="P717" s="873"/>
      <c r="Q717" s="873"/>
      <c r="R717" s="873"/>
      <c r="S717" s="873"/>
      <c r="T717" s="873"/>
      <c r="U717" s="873"/>
      <c r="V717" s="873"/>
      <c r="W717" s="873"/>
      <c r="X717" s="873"/>
      <c r="Y717" s="873"/>
      <c r="Z717" s="873"/>
      <c r="AA717" s="873"/>
      <c r="AB717" s="873"/>
      <c r="AC717" s="873"/>
      <c r="AD717" s="873"/>
      <c r="AE717" s="873"/>
      <c r="AF717" s="873"/>
      <c r="AG717" s="873"/>
      <c r="AH717" s="873"/>
      <c r="AI717" s="873"/>
      <c r="AJ717" s="873"/>
      <c r="AK717" s="873"/>
      <c r="AL717" s="873"/>
      <c r="AM717" s="873"/>
      <c r="AN717" s="873"/>
      <c r="AO717" s="873"/>
      <c r="AP717" s="873"/>
      <c r="AQ717" s="873"/>
      <c r="AR717" s="873"/>
      <c r="AS717" s="873"/>
      <c r="AT717" s="873"/>
      <c r="AU717" s="873"/>
      <c r="AV717" s="873"/>
    </row>
    <row r="718" spans="1:48" ht="11.25" customHeight="1" x14ac:dyDescent="0.2">
      <c r="A718" s="873"/>
      <c r="B718" s="873"/>
      <c r="C718" s="873"/>
      <c r="D718" s="873"/>
      <c r="E718" s="873"/>
      <c r="F718" s="873"/>
      <c r="G718" s="873"/>
      <c r="H718" s="873"/>
      <c r="I718" s="873"/>
      <c r="J718" s="873"/>
      <c r="K718" s="873"/>
      <c r="L718" s="873"/>
      <c r="M718" s="873"/>
      <c r="N718" s="873"/>
      <c r="O718" s="873"/>
      <c r="P718" s="873"/>
      <c r="Q718" s="873"/>
      <c r="R718" s="873"/>
      <c r="S718" s="873"/>
      <c r="T718" s="873"/>
      <c r="U718" s="873"/>
      <c r="V718" s="873"/>
      <c r="W718" s="873"/>
      <c r="X718" s="873"/>
      <c r="Y718" s="873"/>
      <c r="Z718" s="873"/>
      <c r="AA718" s="873"/>
      <c r="AB718" s="873"/>
      <c r="AC718" s="873"/>
      <c r="AD718" s="873"/>
      <c r="AE718" s="873"/>
      <c r="AF718" s="873"/>
      <c r="AG718" s="873"/>
      <c r="AH718" s="873"/>
      <c r="AI718" s="873"/>
      <c r="AJ718" s="873"/>
      <c r="AK718" s="873"/>
      <c r="AL718" s="873"/>
      <c r="AM718" s="873"/>
      <c r="AN718" s="873"/>
      <c r="AO718" s="873"/>
      <c r="AP718" s="873"/>
      <c r="AQ718" s="873"/>
      <c r="AR718" s="873"/>
      <c r="AS718" s="873"/>
      <c r="AT718" s="873"/>
      <c r="AU718" s="873"/>
      <c r="AV718" s="873"/>
    </row>
    <row r="719" spans="1:48" ht="11.25" customHeight="1" x14ac:dyDescent="0.2">
      <c r="A719" s="873"/>
      <c r="B719" s="873"/>
      <c r="C719" s="873"/>
      <c r="D719" s="873"/>
      <c r="E719" s="873"/>
      <c r="F719" s="873"/>
      <c r="G719" s="873"/>
      <c r="H719" s="873"/>
      <c r="I719" s="873"/>
      <c r="J719" s="873"/>
      <c r="K719" s="873"/>
      <c r="L719" s="873"/>
      <c r="M719" s="873"/>
      <c r="N719" s="873"/>
      <c r="O719" s="873"/>
      <c r="P719" s="873"/>
      <c r="Q719" s="873"/>
      <c r="R719" s="873"/>
      <c r="S719" s="873"/>
      <c r="T719" s="873"/>
      <c r="U719" s="873"/>
      <c r="V719" s="873"/>
      <c r="W719" s="873"/>
      <c r="X719" s="873"/>
      <c r="Y719" s="873"/>
      <c r="Z719" s="873"/>
      <c r="AA719" s="873"/>
      <c r="AB719" s="873"/>
      <c r="AC719" s="873"/>
      <c r="AD719" s="873"/>
      <c r="AE719" s="873"/>
      <c r="AF719" s="873"/>
      <c r="AG719" s="873"/>
      <c r="AH719" s="873"/>
      <c r="AI719" s="873"/>
      <c r="AJ719" s="873"/>
      <c r="AK719" s="873"/>
      <c r="AL719" s="873"/>
      <c r="AM719" s="873"/>
      <c r="AN719" s="873"/>
      <c r="AO719" s="873"/>
      <c r="AP719" s="873"/>
      <c r="AQ719" s="873"/>
      <c r="AR719" s="873"/>
      <c r="AS719" s="873"/>
      <c r="AT719" s="873"/>
      <c r="AU719" s="873"/>
      <c r="AV719" s="873"/>
    </row>
    <row r="720" spans="1:48" ht="11.25" customHeight="1" x14ac:dyDescent="0.2">
      <c r="A720" s="873"/>
      <c r="B720" s="873"/>
      <c r="C720" s="873"/>
      <c r="D720" s="873"/>
      <c r="E720" s="873"/>
      <c r="F720" s="873"/>
      <c r="G720" s="873"/>
      <c r="H720" s="873"/>
      <c r="I720" s="873"/>
      <c r="J720" s="873"/>
      <c r="K720" s="873"/>
      <c r="L720" s="873"/>
      <c r="M720" s="873"/>
      <c r="N720" s="873"/>
      <c r="O720" s="873"/>
      <c r="P720" s="873"/>
      <c r="Q720" s="873"/>
      <c r="R720" s="873"/>
      <c r="S720" s="873"/>
      <c r="T720" s="873"/>
      <c r="U720" s="873"/>
      <c r="V720" s="873"/>
      <c r="W720" s="873"/>
      <c r="X720" s="873"/>
      <c r="Y720" s="873"/>
      <c r="Z720" s="873"/>
      <c r="AA720" s="873"/>
      <c r="AB720" s="873"/>
      <c r="AC720" s="873"/>
      <c r="AD720" s="873"/>
      <c r="AE720" s="873"/>
      <c r="AF720" s="873"/>
      <c r="AG720" s="873"/>
      <c r="AH720" s="873"/>
      <c r="AI720" s="873"/>
      <c r="AJ720" s="873"/>
      <c r="AK720" s="873"/>
      <c r="AL720" s="873"/>
      <c r="AM720" s="873"/>
      <c r="AN720" s="873"/>
      <c r="AO720" s="873"/>
      <c r="AP720" s="873"/>
      <c r="AQ720" s="873"/>
      <c r="AR720" s="873"/>
      <c r="AS720" s="873"/>
      <c r="AT720" s="873"/>
      <c r="AU720" s="873"/>
      <c r="AV720" s="873"/>
    </row>
    <row r="721" spans="1:48" ht="11.25" customHeight="1" x14ac:dyDescent="0.2">
      <c r="A721" s="873"/>
      <c r="B721" s="873"/>
      <c r="C721" s="873"/>
      <c r="D721" s="873"/>
      <c r="E721" s="873"/>
      <c r="F721" s="873"/>
      <c r="G721" s="873"/>
      <c r="H721" s="873"/>
      <c r="I721" s="873"/>
      <c r="J721" s="873"/>
      <c r="K721" s="873"/>
      <c r="L721" s="873"/>
      <c r="M721" s="873"/>
      <c r="N721" s="873"/>
      <c r="O721" s="873"/>
      <c r="P721" s="873"/>
      <c r="Q721" s="873"/>
      <c r="R721" s="873"/>
      <c r="S721" s="873"/>
      <c r="T721" s="873"/>
      <c r="U721" s="873"/>
      <c r="V721" s="873"/>
      <c r="W721" s="873"/>
      <c r="X721" s="873"/>
      <c r="Y721" s="873"/>
      <c r="Z721" s="873"/>
      <c r="AA721" s="873"/>
      <c r="AB721" s="873"/>
      <c r="AC721" s="873"/>
      <c r="AD721" s="873"/>
      <c r="AE721" s="873"/>
      <c r="AF721" s="873"/>
      <c r="AG721" s="873"/>
      <c r="AH721" s="873"/>
      <c r="AI721" s="873"/>
      <c r="AJ721" s="873"/>
      <c r="AK721" s="873"/>
      <c r="AL721" s="873"/>
      <c r="AM721" s="873"/>
      <c r="AN721" s="873"/>
      <c r="AO721" s="873"/>
      <c r="AP721" s="873"/>
      <c r="AQ721" s="873"/>
      <c r="AR721" s="873"/>
      <c r="AS721" s="873"/>
      <c r="AT721" s="873"/>
      <c r="AU721" s="873"/>
      <c r="AV721" s="873"/>
    </row>
    <row r="722" spans="1:48" ht="11.25" customHeight="1" x14ac:dyDescent="0.2">
      <c r="A722" s="873"/>
      <c r="B722" s="873"/>
      <c r="C722" s="873"/>
      <c r="D722" s="873"/>
      <c r="E722" s="873"/>
      <c r="F722" s="873"/>
      <c r="G722" s="873"/>
      <c r="H722" s="873"/>
      <c r="I722" s="873"/>
      <c r="J722" s="873"/>
      <c r="K722" s="873"/>
      <c r="L722" s="873"/>
      <c r="M722" s="873"/>
      <c r="N722" s="873"/>
      <c r="O722" s="873"/>
      <c r="P722" s="873"/>
      <c r="Q722" s="873"/>
      <c r="R722" s="873"/>
      <c r="S722" s="873"/>
      <c r="T722" s="873"/>
      <c r="U722" s="873"/>
      <c r="V722" s="873"/>
      <c r="W722" s="873"/>
      <c r="X722" s="873"/>
      <c r="Y722" s="873"/>
      <c r="Z722" s="873"/>
      <c r="AA722" s="873"/>
      <c r="AB722" s="873"/>
      <c r="AC722" s="873"/>
      <c r="AD722" s="873"/>
      <c r="AE722" s="873"/>
      <c r="AF722" s="873"/>
      <c r="AG722" s="873"/>
      <c r="AH722" s="873"/>
      <c r="AI722" s="873"/>
      <c r="AJ722" s="873"/>
      <c r="AK722" s="873"/>
      <c r="AL722" s="873"/>
      <c r="AM722" s="873"/>
      <c r="AN722" s="873"/>
      <c r="AO722" s="873"/>
      <c r="AP722" s="873"/>
      <c r="AQ722" s="873"/>
      <c r="AR722" s="873"/>
      <c r="AS722" s="873"/>
      <c r="AT722" s="873"/>
      <c r="AU722" s="873"/>
      <c r="AV722" s="873"/>
    </row>
    <row r="723" spans="1:48" ht="11.25" customHeight="1" x14ac:dyDescent="0.2">
      <c r="A723" s="873"/>
      <c r="B723" s="873"/>
      <c r="C723" s="873"/>
      <c r="D723" s="873"/>
      <c r="E723" s="873"/>
      <c r="F723" s="873"/>
      <c r="G723" s="873"/>
      <c r="H723" s="873"/>
      <c r="I723" s="873"/>
      <c r="J723" s="873"/>
      <c r="K723" s="873"/>
      <c r="L723" s="873"/>
      <c r="M723" s="873"/>
      <c r="N723" s="873"/>
      <c r="O723" s="873"/>
      <c r="P723" s="873"/>
      <c r="Q723" s="873"/>
      <c r="R723" s="873"/>
      <c r="S723" s="873"/>
      <c r="T723" s="873"/>
      <c r="U723" s="873"/>
      <c r="V723" s="873"/>
      <c r="W723" s="873"/>
      <c r="X723" s="873"/>
      <c r="Y723" s="873"/>
      <c r="Z723" s="873"/>
      <c r="AA723" s="873"/>
      <c r="AB723" s="873"/>
      <c r="AC723" s="873"/>
      <c r="AD723" s="873"/>
      <c r="AE723" s="873"/>
      <c r="AF723" s="873"/>
      <c r="AG723" s="873"/>
      <c r="AH723" s="873"/>
      <c r="AI723" s="873"/>
      <c r="AJ723" s="873"/>
      <c r="AK723" s="873"/>
      <c r="AL723" s="873"/>
      <c r="AM723" s="873"/>
      <c r="AN723" s="873"/>
      <c r="AO723" s="873"/>
      <c r="AP723" s="873"/>
      <c r="AQ723" s="873"/>
      <c r="AR723" s="873"/>
      <c r="AS723" s="873"/>
      <c r="AT723" s="873"/>
      <c r="AU723" s="873"/>
      <c r="AV723" s="873"/>
    </row>
    <row r="724" spans="1:48" ht="11.25" customHeight="1" x14ac:dyDescent="0.2">
      <c r="A724" s="873"/>
      <c r="B724" s="873"/>
      <c r="C724" s="873"/>
      <c r="D724" s="873"/>
      <c r="E724" s="873"/>
      <c r="F724" s="873"/>
      <c r="G724" s="873"/>
      <c r="H724" s="873"/>
      <c r="I724" s="873"/>
      <c r="J724" s="873"/>
      <c r="K724" s="873"/>
      <c r="L724" s="873"/>
      <c r="M724" s="873"/>
      <c r="N724" s="873"/>
      <c r="O724" s="873"/>
      <c r="P724" s="873"/>
      <c r="Q724" s="873"/>
      <c r="R724" s="873"/>
      <c r="S724" s="873"/>
      <c r="T724" s="873"/>
      <c r="U724" s="873"/>
      <c r="V724" s="873"/>
      <c r="W724" s="873"/>
      <c r="X724" s="873"/>
      <c r="Y724" s="873"/>
      <c r="Z724" s="873"/>
      <c r="AA724" s="873"/>
      <c r="AB724" s="873"/>
      <c r="AC724" s="873"/>
      <c r="AD724" s="873"/>
      <c r="AE724" s="873"/>
      <c r="AF724" s="873"/>
      <c r="AG724" s="873"/>
      <c r="AH724" s="873"/>
      <c r="AI724" s="873"/>
      <c r="AJ724" s="873"/>
      <c r="AK724" s="873"/>
      <c r="AL724" s="873"/>
      <c r="AM724" s="873"/>
      <c r="AN724" s="873"/>
      <c r="AO724" s="873"/>
      <c r="AP724" s="873"/>
      <c r="AQ724" s="873"/>
      <c r="AR724" s="873"/>
      <c r="AS724" s="873"/>
      <c r="AT724" s="873"/>
      <c r="AU724" s="873"/>
      <c r="AV724" s="873"/>
    </row>
    <row r="725" spans="1:48" ht="11.25" customHeight="1" x14ac:dyDescent="0.2">
      <c r="A725" s="873"/>
      <c r="B725" s="873"/>
      <c r="C725" s="873"/>
      <c r="D725" s="873"/>
      <c r="E725" s="873"/>
      <c r="F725" s="873"/>
      <c r="G725" s="873"/>
      <c r="H725" s="873"/>
      <c r="I725" s="873"/>
      <c r="J725" s="873"/>
      <c r="K725" s="873"/>
      <c r="L725" s="873"/>
      <c r="M725" s="873"/>
      <c r="N725" s="873"/>
      <c r="O725" s="873"/>
      <c r="P725" s="873"/>
      <c r="Q725" s="873"/>
      <c r="R725" s="873"/>
      <c r="S725" s="873"/>
      <c r="T725" s="873"/>
      <c r="U725" s="873"/>
      <c r="V725" s="873"/>
      <c r="W725" s="873"/>
      <c r="X725" s="873"/>
      <c r="Y725" s="873"/>
      <c r="Z725" s="873"/>
      <c r="AA725" s="873"/>
      <c r="AB725" s="873"/>
      <c r="AC725" s="873"/>
      <c r="AD725" s="873"/>
      <c r="AE725" s="873"/>
      <c r="AF725" s="873"/>
      <c r="AG725" s="873"/>
      <c r="AH725" s="873"/>
      <c r="AI725" s="873"/>
      <c r="AJ725" s="873"/>
      <c r="AK725" s="873"/>
      <c r="AL725" s="873"/>
      <c r="AM725" s="873"/>
      <c r="AN725" s="873"/>
      <c r="AO725" s="873"/>
      <c r="AP725" s="873"/>
      <c r="AQ725" s="873"/>
      <c r="AR725" s="873"/>
      <c r="AS725" s="873"/>
      <c r="AT725" s="873"/>
      <c r="AU725" s="873"/>
      <c r="AV725" s="873"/>
    </row>
    <row r="726" spans="1:48" ht="11.25" customHeight="1" x14ac:dyDescent="0.2">
      <c r="A726" s="873"/>
      <c r="B726" s="873"/>
      <c r="C726" s="873"/>
      <c r="D726" s="873"/>
      <c r="E726" s="873"/>
      <c r="F726" s="873"/>
      <c r="G726" s="873"/>
      <c r="H726" s="873"/>
      <c r="I726" s="873"/>
      <c r="J726" s="873"/>
      <c r="K726" s="873"/>
      <c r="L726" s="873"/>
      <c r="M726" s="873"/>
      <c r="N726" s="873"/>
      <c r="O726" s="873"/>
      <c r="P726" s="873"/>
      <c r="Q726" s="873"/>
      <c r="R726" s="873"/>
      <c r="S726" s="873"/>
      <c r="T726" s="873"/>
      <c r="U726" s="873"/>
      <c r="V726" s="873"/>
      <c r="W726" s="873"/>
      <c r="X726" s="873"/>
      <c r="Y726" s="873"/>
      <c r="Z726" s="873"/>
      <c r="AA726" s="873"/>
      <c r="AB726" s="873"/>
      <c r="AC726" s="873"/>
      <c r="AD726" s="873"/>
      <c r="AE726" s="873"/>
      <c r="AF726" s="873"/>
      <c r="AG726" s="873"/>
      <c r="AH726" s="873"/>
      <c r="AI726" s="873"/>
      <c r="AJ726" s="873"/>
      <c r="AK726" s="873"/>
      <c r="AL726" s="873"/>
      <c r="AM726" s="873"/>
      <c r="AN726" s="873"/>
      <c r="AO726" s="873"/>
      <c r="AP726" s="873"/>
      <c r="AQ726" s="873"/>
      <c r="AR726" s="873"/>
      <c r="AS726" s="873"/>
      <c r="AT726" s="873"/>
      <c r="AU726" s="873"/>
      <c r="AV726" s="873"/>
    </row>
    <row r="727" spans="1:48" ht="11.25" customHeight="1" x14ac:dyDescent="0.2">
      <c r="A727" s="873"/>
      <c r="B727" s="873"/>
      <c r="C727" s="873"/>
      <c r="D727" s="873"/>
      <c r="E727" s="873"/>
      <c r="F727" s="873"/>
      <c r="G727" s="873"/>
      <c r="H727" s="873"/>
      <c r="I727" s="873"/>
      <c r="J727" s="873"/>
      <c r="K727" s="873"/>
      <c r="L727" s="873"/>
      <c r="M727" s="873"/>
      <c r="N727" s="873"/>
      <c r="O727" s="873"/>
      <c r="P727" s="873"/>
      <c r="Q727" s="873"/>
      <c r="R727" s="873"/>
      <c r="S727" s="873"/>
      <c r="T727" s="873"/>
      <c r="U727" s="873"/>
      <c r="V727" s="873"/>
      <c r="W727" s="873"/>
      <c r="X727" s="873"/>
      <c r="Y727" s="873"/>
      <c r="Z727" s="873"/>
      <c r="AA727" s="873"/>
      <c r="AB727" s="873"/>
      <c r="AC727" s="873"/>
      <c r="AD727" s="873"/>
      <c r="AE727" s="873"/>
      <c r="AF727" s="873"/>
      <c r="AG727" s="873"/>
      <c r="AH727" s="873"/>
      <c r="AI727" s="873"/>
      <c r="AJ727" s="873"/>
      <c r="AK727" s="873"/>
      <c r="AL727" s="873"/>
      <c r="AM727" s="873"/>
      <c r="AN727" s="873"/>
      <c r="AO727" s="873"/>
      <c r="AP727" s="873"/>
      <c r="AQ727" s="873"/>
      <c r="AR727" s="873"/>
      <c r="AS727" s="873"/>
      <c r="AT727" s="873"/>
      <c r="AU727" s="873"/>
      <c r="AV727" s="873"/>
    </row>
    <row r="728" spans="1:48" ht="11.25" customHeight="1" x14ac:dyDescent="0.2">
      <c r="A728" s="873"/>
      <c r="B728" s="873"/>
      <c r="C728" s="873"/>
      <c r="D728" s="873"/>
      <c r="E728" s="873"/>
      <c r="F728" s="873"/>
      <c r="G728" s="873"/>
      <c r="H728" s="873"/>
      <c r="I728" s="873"/>
      <c r="J728" s="873"/>
      <c r="K728" s="873"/>
      <c r="L728" s="873"/>
      <c r="M728" s="873"/>
      <c r="N728" s="873"/>
      <c r="O728" s="873"/>
      <c r="P728" s="873"/>
      <c r="Q728" s="873"/>
      <c r="R728" s="873"/>
      <c r="S728" s="873"/>
      <c r="T728" s="873"/>
      <c r="U728" s="873"/>
      <c r="V728" s="873"/>
      <c r="W728" s="873"/>
      <c r="X728" s="873"/>
      <c r="Y728" s="873"/>
      <c r="Z728" s="873"/>
      <c r="AA728" s="873"/>
      <c r="AB728" s="873"/>
      <c r="AC728" s="873"/>
      <c r="AD728" s="873"/>
      <c r="AE728" s="873"/>
      <c r="AF728" s="873"/>
      <c r="AG728" s="873"/>
      <c r="AH728" s="873"/>
      <c r="AI728" s="873"/>
      <c r="AJ728" s="873"/>
      <c r="AK728" s="873"/>
      <c r="AL728" s="873"/>
      <c r="AM728" s="873"/>
      <c r="AN728" s="873"/>
      <c r="AO728" s="873"/>
      <c r="AP728" s="873"/>
      <c r="AQ728" s="873"/>
      <c r="AR728" s="873"/>
      <c r="AS728" s="873"/>
      <c r="AT728" s="873"/>
      <c r="AU728" s="873"/>
      <c r="AV728" s="873"/>
    </row>
    <row r="729" spans="1:48" ht="11.25" customHeight="1" x14ac:dyDescent="0.2">
      <c r="A729" s="873"/>
      <c r="B729" s="873"/>
      <c r="C729" s="873"/>
      <c r="D729" s="873"/>
      <c r="E729" s="873"/>
      <c r="F729" s="873"/>
      <c r="G729" s="873"/>
      <c r="H729" s="873"/>
      <c r="I729" s="873"/>
      <c r="J729" s="873"/>
      <c r="K729" s="873"/>
      <c r="L729" s="873"/>
      <c r="M729" s="873"/>
      <c r="N729" s="873"/>
      <c r="O729" s="873"/>
      <c r="P729" s="873"/>
      <c r="Q729" s="873"/>
      <c r="R729" s="873"/>
      <c r="S729" s="873"/>
      <c r="T729" s="873"/>
      <c r="U729" s="873"/>
      <c r="V729" s="873"/>
      <c r="W729" s="873"/>
      <c r="X729" s="873"/>
      <c r="Y729" s="873"/>
      <c r="Z729" s="873"/>
      <c r="AA729" s="873"/>
      <c r="AB729" s="873"/>
      <c r="AC729" s="873"/>
      <c r="AD729" s="873"/>
      <c r="AE729" s="873"/>
      <c r="AF729" s="873"/>
      <c r="AG729" s="873"/>
      <c r="AH729" s="873"/>
      <c r="AI729" s="873"/>
      <c r="AJ729" s="873"/>
      <c r="AK729" s="873"/>
      <c r="AL729" s="873"/>
      <c r="AM729" s="873"/>
      <c r="AN729" s="873"/>
      <c r="AO729" s="873"/>
      <c r="AP729" s="873"/>
      <c r="AQ729" s="873"/>
      <c r="AR729" s="873"/>
      <c r="AS729" s="873"/>
      <c r="AT729" s="873"/>
      <c r="AU729" s="873"/>
      <c r="AV729" s="873"/>
    </row>
    <row r="730" spans="1:48" ht="11.25" customHeight="1" x14ac:dyDescent="0.2">
      <c r="A730" s="873"/>
      <c r="B730" s="873"/>
      <c r="C730" s="873"/>
      <c r="D730" s="873"/>
      <c r="E730" s="873"/>
      <c r="F730" s="873"/>
      <c r="G730" s="873"/>
      <c r="H730" s="873"/>
      <c r="I730" s="873"/>
      <c r="J730" s="873"/>
      <c r="K730" s="873"/>
      <c r="L730" s="873"/>
      <c r="M730" s="873"/>
      <c r="N730" s="873"/>
      <c r="O730" s="873"/>
      <c r="P730" s="873"/>
      <c r="Q730" s="873"/>
      <c r="R730" s="873"/>
      <c r="S730" s="873"/>
      <c r="T730" s="873"/>
      <c r="U730" s="873"/>
      <c r="V730" s="873"/>
      <c r="W730" s="873"/>
      <c r="X730" s="873"/>
      <c r="Y730" s="873"/>
      <c r="Z730" s="873"/>
      <c r="AA730" s="873"/>
      <c r="AB730" s="873"/>
      <c r="AC730" s="873"/>
      <c r="AD730" s="873"/>
      <c r="AE730" s="873"/>
      <c r="AF730" s="873"/>
      <c r="AG730" s="873"/>
      <c r="AH730" s="873"/>
      <c r="AI730" s="873"/>
      <c r="AJ730" s="873"/>
      <c r="AK730" s="873"/>
      <c r="AL730" s="873"/>
      <c r="AM730" s="873"/>
      <c r="AN730" s="873"/>
      <c r="AO730" s="873"/>
      <c r="AP730" s="873"/>
      <c r="AQ730" s="873"/>
      <c r="AR730" s="873"/>
      <c r="AS730" s="873"/>
      <c r="AT730" s="873"/>
      <c r="AU730" s="873"/>
      <c r="AV730" s="873"/>
    </row>
    <row r="731" spans="1:48" ht="11.25" customHeight="1" x14ac:dyDescent="0.2">
      <c r="A731" s="873"/>
      <c r="B731" s="873"/>
      <c r="C731" s="873"/>
      <c r="D731" s="873"/>
      <c r="E731" s="873"/>
      <c r="F731" s="873"/>
      <c r="G731" s="873"/>
      <c r="H731" s="873"/>
      <c r="I731" s="873"/>
      <c r="J731" s="873"/>
      <c r="K731" s="873"/>
      <c r="L731" s="873"/>
      <c r="M731" s="873"/>
      <c r="N731" s="873"/>
      <c r="O731" s="873"/>
      <c r="P731" s="873"/>
      <c r="Q731" s="873"/>
      <c r="R731" s="873"/>
      <c r="S731" s="873"/>
      <c r="T731" s="873"/>
      <c r="U731" s="873"/>
      <c r="V731" s="873"/>
      <c r="W731" s="873"/>
      <c r="X731" s="873"/>
      <c r="Y731" s="873"/>
      <c r="Z731" s="873"/>
      <c r="AA731" s="873"/>
      <c r="AB731" s="873"/>
      <c r="AC731" s="873"/>
      <c r="AD731" s="873"/>
      <c r="AE731" s="873"/>
      <c r="AF731" s="873"/>
      <c r="AG731" s="873"/>
      <c r="AH731" s="873"/>
      <c r="AI731" s="873"/>
      <c r="AJ731" s="873"/>
      <c r="AK731" s="873"/>
      <c r="AL731" s="873"/>
      <c r="AM731" s="873"/>
      <c r="AN731" s="873"/>
      <c r="AO731" s="873"/>
      <c r="AP731" s="873"/>
      <c r="AQ731" s="873"/>
      <c r="AR731" s="873"/>
      <c r="AS731" s="873"/>
      <c r="AT731" s="873"/>
      <c r="AU731" s="873"/>
      <c r="AV731" s="873"/>
    </row>
    <row r="732" spans="1:48" ht="11.25" customHeight="1" x14ac:dyDescent="0.2">
      <c r="A732" s="873"/>
      <c r="B732" s="873"/>
      <c r="C732" s="873"/>
      <c r="D732" s="873"/>
      <c r="E732" s="873"/>
      <c r="F732" s="873"/>
      <c r="G732" s="873"/>
      <c r="H732" s="873"/>
      <c r="I732" s="873"/>
      <c r="J732" s="873"/>
      <c r="K732" s="873"/>
      <c r="L732" s="873"/>
      <c r="M732" s="873"/>
      <c r="N732" s="873"/>
      <c r="O732" s="873"/>
      <c r="P732" s="873"/>
      <c r="Q732" s="873"/>
      <c r="R732" s="873"/>
      <c r="S732" s="873"/>
      <c r="T732" s="873"/>
      <c r="U732" s="873"/>
      <c r="V732" s="873"/>
      <c r="W732" s="873"/>
      <c r="X732" s="873"/>
      <c r="Y732" s="873"/>
      <c r="Z732" s="873"/>
      <c r="AA732" s="873"/>
      <c r="AB732" s="873"/>
      <c r="AC732" s="873"/>
      <c r="AD732" s="873"/>
      <c r="AE732" s="873"/>
      <c r="AF732" s="873"/>
      <c r="AG732" s="873"/>
      <c r="AH732" s="873"/>
      <c r="AI732" s="873"/>
      <c r="AJ732" s="873"/>
      <c r="AK732" s="873"/>
      <c r="AL732" s="873"/>
      <c r="AM732" s="873"/>
      <c r="AN732" s="873"/>
      <c r="AO732" s="873"/>
      <c r="AP732" s="873"/>
      <c r="AQ732" s="873"/>
      <c r="AR732" s="873"/>
      <c r="AS732" s="873"/>
      <c r="AT732" s="873"/>
      <c r="AU732" s="873"/>
      <c r="AV732" s="873"/>
    </row>
    <row r="733" spans="1:48" ht="11.25" customHeight="1" x14ac:dyDescent="0.2">
      <c r="A733" s="873"/>
      <c r="B733" s="873"/>
      <c r="C733" s="873"/>
      <c r="D733" s="873"/>
      <c r="E733" s="873"/>
      <c r="F733" s="873"/>
      <c r="G733" s="873"/>
      <c r="H733" s="873"/>
      <c r="I733" s="873"/>
      <c r="J733" s="873"/>
      <c r="K733" s="873"/>
      <c r="L733" s="873"/>
      <c r="M733" s="873"/>
      <c r="N733" s="873"/>
      <c r="O733" s="873"/>
      <c r="P733" s="873"/>
      <c r="Q733" s="873"/>
      <c r="R733" s="873"/>
      <c r="S733" s="873"/>
      <c r="T733" s="873"/>
      <c r="U733" s="873"/>
      <c r="V733" s="873"/>
      <c r="W733" s="873"/>
      <c r="X733" s="873"/>
      <c r="Y733" s="873"/>
      <c r="Z733" s="873"/>
      <c r="AA733" s="873"/>
      <c r="AB733" s="873"/>
      <c r="AC733" s="873"/>
      <c r="AD733" s="873"/>
      <c r="AE733" s="873"/>
      <c r="AF733" s="873"/>
      <c r="AG733" s="873"/>
      <c r="AH733" s="873"/>
      <c r="AI733" s="873"/>
      <c r="AJ733" s="873"/>
      <c r="AK733" s="873"/>
      <c r="AL733" s="873"/>
      <c r="AM733" s="873"/>
      <c r="AN733" s="873"/>
      <c r="AO733" s="873"/>
      <c r="AP733" s="873"/>
      <c r="AQ733" s="873"/>
      <c r="AR733" s="873"/>
      <c r="AS733" s="873"/>
      <c r="AT733" s="873"/>
      <c r="AU733" s="873"/>
      <c r="AV733" s="873"/>
    </row>
    <row r="734" spans="1:48" ht="11.25" customHeight="1" x14ac:dyDescent="0.2">
      <c r="A734" s="873"/>
      <c r="B734" s="873"/>
      <c r="C734" s="873"/>
      <c r="D734" s="873"/>
      <c r="E734" s="873"/>
      <c r="F734" s="873"/>
      <c r="G734" s="873"/>
      <c r="H734" s="873"/>
      <c r="I734" s="873"/>
      <c r="J734" s="873"/>
      <c r="K734" s="873"/>
      <c r="L734" s="873"/>
      <c r="M734" s="873"/>
      <c r="N734" s="873"/>
      <c r="O734" s="873"/>
      <c r="P734" s="873"/>
      <c r="Q734" s="873"/>
      <c r="R734" s="873"/>
      <c r="S734" s="873"/>
      <c r="T734" s="873"/>
      <c r="U734" s="873"/>
      <c r="V734" s="873"/>
      <c r="W734" s="873"/>
      <c r="X734" s="873"/>
      <c r="Y734" s="873"/>
      <c r="Z734" s="873"/>
      <c r="AA734" s="873"/>
      <c r="AB734" s="873"/>
      <c r="AC734" s="873"/>
      <c r="AD734" s="873"/>
      <c r="AE734" s="873"/>
      <c r="AF734" s="873"/>
      <c r="AG734" s="873"/>
      <c r="AH734" s="873"/>
      <c r="AI734" s="873"/>
      <c r="AJ734" s="873"/>
      <c r="AK734" s="873"/>
      <c r="AL734" s="873"/>
      <c r="AM734" s="873"/>
      <c r="AN734" s="873"/>
      <c r="AO734" s="873"/>
      <c r="AP734" s="873"/>
      <c r="AQ734" s="873"/>
      <c r="AR734" s="873"/>
      <c r="AS734" s="873"/>
      <c r="AT734" s="873"/>
      <c r="AU734" s="873"/>
      <c r="AV734" s="873"/>
    </row>
    <row r="735" spans="1:48" ht="11.25" customHeight="1" x14ac:dyDescent="0.2">
      <c r="A735" s="873"/>
      <c r="B735" s="873"/>
      <c r="C735" s="873"/>
      <c r="D735" s="873"/>
      <c r="E735" s="873"/>
      <c r="F735" s="873"/>
      <c r="G735" s="873"/>
      <c r="H735" s="873"/>
      <c r="I735" s="873"/>
      <c r="J735" s="873"/>
      <c r="K735" s="873"/>
      <c r="L735" s="873"/>
      <c r="M735" s="873"/>
      <c r="N735" s="873"/>
      <c r="O735" s="873"/>
      <c r="P735" s="873"/>
      <c r="Q735" s="873"/>
      <c r="R735" s="873"/>
      <c r="S735" s="873"/>
      <c r="T735" s="873"/>
      <c r="U735" s="873"/>
      <c r="V735" s="873"/>
      <c r="W735" s="873"/>
      <c r="X735" s="873"/>
      <c r="Y735" s="873"/>
      <c r="Z735" s="873"/>
      <c r="AA735" s="873"/>
      <c r="AB735" s="873"/>
      <c r="AC735" s="873"/>
      <c r="AD735" s="873"/>
      <c r="AE735" s="873"/>
      <c r="AF735" s="873"/>
      <c r="AG735" s="873"/>
      <c r="AH735" s="873"/>
      <c r="AI735" s="873"/>
      <c r="AJ735" s="873"/>
      <c r="AK735" s="873"/>
      <c r="AL735" s="873"/>
      <c r="AM735" s="873"/>
      <c r="AN735" s="873"/>
      <c r="AO735" s="873"/>
      <c r="AP735" s="873"/>
      <c r="AQ735" s="873"/>
      <c r="AR735" s="873"/>
      <c r="AS735" s="873"/>
      <c r="AT735" s="873"/>
      <c r="AU735" s="873"/>
      <c r="AV735" s="873"/>
    </row>
    <row r="736" spans="1:48" ht="11.25" customHeight="1" x14ac:dyDescent="0.2">
      <c r="A736" s="873"/>
      <c r="B736" s="873"/>
      <c r="C736" s="873"/>
      <c r="D736" s="873"/>
      <c r="E736" s="873"/>
      <c r="F736" s="873"/>
      <c r="G736" s="873"/>
      <c r="H736" s="873"/>
      <c r="I736" s="873"/>
      <c r="J736" s="873"/>
      <c r="K736" s="873"/>
      <c r="L736" s="873"/>
      <c r="M736" s="873"/>
      <c r="N736" s="873"/>
      <c r="O736" s="873"/>
      <c r="P736" s="873"/>
      <c r="Q736" s="873"/>
      <c r="R736" s="873"/>
      <c r="S736" s="873"/>
      <c r="T736" s="873"/>
      <c r="U736" s="873"/>
      <c r="V736" s="873"/>
      <c r="W736" s="873"/>
      <c r="X736" s="873"/>
      <c r="Y736" s="873"/>
      <c r="Z736" s="873"/>
      <c r="AA736" s="873"/>
      <c r="AB736" s="873"/>
      <c r="AC736" s="873"/>
      <c r="AD736" s="873"/>
      <c r="AE736" s="873"/>
      <c r="AF736" s="873"/>
      <c r="AG736" s="873"/>
      <c r="AH736" s="873"/>
      <c r="AI736" s="873"/>
      <c r="AJ736" s="873"/>
      <c r="AK736" s="873"/>
      <c r="AL736" s="873"/>
      <c r="AM736" s="873"/>
      <c r="AN736" s="873"/>
      <c r="AO736" s="873"/>
      <c r="AP736" s="873"/>
      <c r="AQ736" s="873"/>
      <c r="AR736" s="873"/>
      <c r="AS736" s="873"/>
      <c r="AT736" s="873"/>
      <c r="AU736" s="873"/>
      <c r="AV736" s="873"/>
    </row>
    <row r="737" spans="1:48" ht="11.25" customHeight="1" x14ac:dyDescent="0.2">
      <c r="A737" s="873"/>
      <c r="B737" s="873"/>
      <c r="C737" s="873"/>
      <c r="D737" s="873"/>
      <c r="E737" s="873"/>
      <c r="F737" s="873"/>
      <c r="G737" s="873"/>
      <c r="H737" s="873"/>
      <c r="I737" s="873"/>
      <c r="J737" s="873"/>
      <c r="K737" s="873"/>
      <c r="L737" s="873"/>
      <c r="M737" s="873"/>
      <c r="N737" s="873"/>
      <c r="O737" s="873"/>
      <c r="P737" s="873"/>
      <c r="Q737" s="873"/>
      <c r="R737" s="873"/>
      <c r="S737" s="873"/>
      <c r="T737" s="873"/>
      <c r="U737" s="873"/>
      <c r="V737" s="873"/>
      <c r="W737" s="873"/>
      <c r="X737" s="873"/>
      <c r="Y737" s="873"/>
      <c r="Z737" s="873"/>
      <c r="AA737" s="873"/>
      <c r="AB737" s="873"/>
      <c r="AC737" s="873"/>
      <c r="AD737" s="873"/>
      <c r="AE737" s="873"/>
      <c r="AF737" s="873"/>
      <c r="AG737" s="873"/>
      <c r="AH737" s="873"/>
      <c r="AI737" s="873"/>
      <c r="AJ737" s="873"/>
      <c r="AK737" s="873"/>
      <c r="AL737" s="873"/>
      <c r="AM737" s="873"/>
      <c r="AN737" s="873"/>
      <c r="AO737" s="873"/>
      <c r="AP737" s="873"/>
      <c r="AQ737" s="873"/>
      <c r="AR737" s="873"/>
      <c r="AS737" s="873"/>
      <c r="AT737" s="873"/>
      <c r="AU737" s="873"/>
      <c r="AV737" s="873"/>
    </row>
    <row r="738" spans="1:48" ht="11.25" customHeight="1" x14ac:dyDescent="0.2">
      <c r="A738" s="873"/>
      <c r="B738" s="873"/>
      <c r="C738" s="873"/>
      <c r="D738" s="873"/>
      <c r="E738" s="873"/>
      <c r="F738" s="873"/>
      <c r="G738" s="873"/>
      <c r="H738" s="873"/>
      <c r="I738" s="873"/>
      <c r="J738" s="873"/>
      <c r="K738" s="873"/>
      <c r="L738" s="873"/>
      <c r="M738" s="873"/>
      <c r="N738" s="873"/>
      <c r="O738" s="873"/>
      <c r="P738" s="873"/>
      <c r="Q738" s="873"/>
      <c r="R738" s="873"/>
      <c r="S738" s="873"/>
      <c r="T738" s="873"/>
      <c r="U738" s="873"/>
      <c r="V738" s="873"/>
      <c r="W738" s="873"/>
      <c r="X738" s="873"/>
      <c r="Y738" s="873"/>
      <c r="Z738" s="873"/>
      <c r="AA738" s="873"/>
      <c r="AB738" s="873"/>
      <c r="AC738" s="873"/>
      <c r="AD738" s="873"/>
      <c r="AE738" s="873"/>
      <c r="AF738" s="873"/>
      <c r="AG738" s="873"/>
      <c r="AH738" s="873"/>
      <c r="AI738" s="873"/>
      <c r="AJ738" s="873"/>
      <c r="AK738" s="873"/>
      <c r="AL738" s="873"/>
      <c r="AM738" s="873"/>
      <c r="AN738" s="873"/>
      <c r="AO738" s="873"/>
      <c r="AP738" s="873"/>
      <c r="AQ738" s="873"/>
      <c r="AR738" s="873"/>
      <c r="AS738" s="873"/>
      <c r="AT738" s="873"/>
      <c r="AU738" s="873"/>
      <c r="AV738" s="873"/>
    </row>
    <row r="739" spans="1:48" ht="11.25" customHeight="1" x14ac:dyDescent="0.2">
      <c r="A739" s="873"/>
      <c r="B739" s="873"/>
      <c r="C739" s="873"/>
      <c r="D739" s="873"/>
      <c r="E739" s="873"/>
      <c r="F739" s="873"/>
      <c r="G739" s="873"/>
      <c r="H739" s="873"/>
      <c r="I739" s="873"/>
      <c r="J739" s="873"/>
      <c r="K739" s="873"/>
      <c r="L739" s="873"/>
      <c r="M739" s="873"/>
      <c r="N739" s="873"/>
      <c r="O739" s="873"/>
      <c r="P739" s="873"/>
      <c r="Q739" s="873"/>
      <c r="R739" s="873"/>
      <c r="S739" s="873"/>
      <c r="T739" s="873"/>
      <c r="U739" s="873"/>
      <c r="V739" s="873"/>
      <c r="W739" s="873"/>
      <c r="X739" s="873"/>
      <c r="Y739" s="873"/>
      <c r="Z739" s="873"/>
      <c r="AA739" s="873"/>
      <c r="AB739" s="873"/>
      <c r="AC739" s="873"/>
      <c r="AD739" s="873"/>
      <c r="AE739" s="873"/>
      <c r="AF739" s="873"/>
      <c r="AG739" s="873"/>
      <c r="AH739" s="873"/>
      <c r="AI739" s="873"/>
      <c r="AJ739" s="873"/>
      <c r="AK739" s="873"/>
      <c r="AL739" s="873"/>
      <c r="AM739" s="873"/>
      <c r="AN739" s="873"/>
      <c r="AO739" s="873"/>
      <c r="AP739" s="873"/>
      <c r="AQ739" s="873"/>
      <c r="AR739" s="873"/>
      <c r="AS739" s="873"/>
      <c r="AT739" s="873"/>
      <c r="AU739" s="873"/>
      <c r="AV739" s="873"/>
    </row>
    <row r="740" spans="1:48" ht="11.25" customHeight="1" x14ac:dyDescent="0.2">
      <c r="A740" s="873"/>
      <c r="B740" s="873"/>
      <c r="C740" s="873"/>
      <c r="D740" s="873"/>
      <c r="E740" s="873"/>
      <c r="F740" s="873"/>
      <c r="G740" s="873"/>
      <c r="H740" s="873"/>
      <c r="I740" s="873"/>
      <c r="J740" s="873"/>
      <c r="K740" s="873"/>
      <c r="L740" s="873"/>
      <c r="M740" s="873"/>
      <c r="N740" s="873"/>
      <c r="O740" s="873"/>
      <c r="P740" s="873"/>
      <c r="Q740" s="873"/>
      <c r="R740" s="873"/>
      <c r="S740" s="873"/>
      <c r="T740" s="873"/>
      <c r="U740" s="873"/>
      <c r="V740" s="873"/>
      <c r="W740" s="873"/>
      <c r="X740" s="873"/>
      <c r="Y740" s="873"/>
      <c r="Z740" s="873"/>
      <c r="AA740" s="873"/>
      <c r="AB740" s="873"/>
      <c r="AC740" s="873"/>
      <c r="AD740" s="873"/>
      <c r="AE740" s="873"/>
      <c r="AF740" s="873"/>
      <c r="AG740" s="873"/>
      <c r="AH740" s="873"/>
      <c r="AI740" s="873"/>
      <c r="AJ740" s="873"/>
      <c r="AK740" s="873"/>
      <c r="AL740" s="873"/>
      <c r="AM740" s="873"/>
      <c r="AN740" s="873"/>
      <c r="AO740" s="873"/>
      <c r="AP740" s="873"/>
      <c r="AQ740" s="873"/>
      <c r="AR740" s="873"/>
      <c r="AS740" s="873"/>
      <c r="AT740" s="873"/>
      <c r="AU740" s="873"/>
      <c r="AV740" s="873"/>
    </row>
    <row r="741" spans="1:48" ht="11.25" customHeight="1" x14ac:dyDescent="0.2">
      <c r="A741" s="873"/>
      <c r="B741" s="873"/>
      <c r="C741" s="873"/>
      <c r="D741" s="873"/>
      <c r="E741" s="873"/>
      <c r="F741" s="873"/>
      <c r="G741" s="873"/>
      <c r="H741" s="873"/>
      <c r="I741" s="873"/>
      <c r="J741" s="873"/>
      <c r="K741" s="873"/>
      <c r="L741" s="873"/>
      <c r="M741" s="873"/>
      <c r="N741" s="873"/>
      <c r="O741" s="873"/>
      <c r="P741" s="873"/>
      <c r="Q741" s="873"/>
      <c r="R741" s="873"/>
      <c r="S741" s="873"/>
      <c r="T741" s="873"/>
      <c r="U741" s="873"/>
      <c r="V741" s="873"/>
      <c r="W741" s="873"/>
      <c r="X741" s="873"/>
      <c r="Y741" s="873"/>
      <c r="Z741" s="873"/>
      <c r="AA741" s="873"/>
      <c r="AB741" s="873"/>
      <c r="AC741" s="873"/>
      <c r="AD741" s="873"/>
      <c r="AE741" s="873"/>
      <c r="AF741" s="873"/>
      <c r="AG741" s="873"/>
      <c r="AH741" s="873"/>
      <c r="AI741" s="873"/>
      <c r="AJ741" s="873"/>
      <c r="AK741" s="873"/>
      <c r="AL741" s="873"/>
      <c r="AM741" s="873"/>
      <c r="AN741" s="873"/>
      <c r="AO741" s="873"/>
      <c r="AP741" s="873"/>
      <c r="AQ741" s="873"/>
      <c r="AR741" s="873"/>
      <c r="AS741" s="873"/>
      <c r="AT741" s="873"/>
      <c r="AU741" s="873"/>
      <c r="AV741" s="873"/>
    </row>
    <row r="742" spans="1:48" ht="11.25" customHeight="1" x14ac:dyDescent="0.2">
      <c r="A742" s="873"/>
      <c r="B742" s="873"/>
      <c r="C742" s="873"/>
      <c r="D742" s="873"/>
      <c r="E742" s="873"/>
      <c r="F742" s="873"/>
      <c r="G742" s="873"/>
      <c r="H742" s="873"/>
      <c r="I742" s="873"/>
      <c r="J742" s="873"/>
      <c r="K742" s="873"/>
      <c r="L742" s="873"/>
      <c r="M742" s="873"/>
      <c r="N742" s="873"/>
      <c r="O742" s="873"/>
      <c r="P742" s="873"/>
      <c r="Q742" s="873"/>
      <c r="R742" s="873"/>
      <c r="S742" s="873"/>
      <c r="T742" s="873"/>
      <c r="U742" s="873"/>
      <c r="V742" s="873"/>
      <c r="W742" s="873"/>
      <c r="X742" s="873"/>
      <c r="Y742" s="873"/>
      <c r="Z742" s="873"/>
      <c r="AA742" s="873"/>
      <c r="AB742" s="873"/>
      <c r="AC742" s="873"/>
      <c r="AD742" s="873"/>
      <c r="AE742" s="873"/>
      <c r="AF742" s="873"/>
      <c r="AG742" s="873"/>
      <c r="AH742" s="873"/>
      <c r="AI742" s="873"/>
      <c r="AJ742" s="873"/>
      <c r="AK742" s="873"/>
      <c r="AL742" s="873"/>
      <c r="AM742" s="873"/>
      <c r="AN742" s="873"/>
      <c r="AO742" s="873"/>
      <c r="AP742" s="873"/>
      <c r="AQ742" s="873"/>
      <c r="AR742" s="873"/>
      <c r="AS742" s="873"/>
      <c r="AT742" s="873"/>
      <c r="AU742" s="873"/>
      <c r="AV742" s="873"/>
    </row>
    <row r="743" spans="1:48" ht="11.25" customHeight="1" x14ac:dyDescent="0.2">
      <c r="A743" s="873"/>
      <c r="B743" s="873"/>
      <c r="C743" s="873"/>
      <c r="D743" s="873"/>
      <c r="E743" s="873"/>
      <c r="F743" s="873"/>
      <c r="G743" s="873"/>
      <c r="H743" s="873"/>
      <c r="I743" s="873"/>
      <c r="J743" s="873"/>
      <c r="K743" s="873"/>
      <c r="L743" s="873"/>
      <c r="M743" s="873"/>
      <c r="N743" s="873"/>
      <c r="O743" s="873"/>
      <c r="P743" s="873"/>
      <c r="Q743" s="873"/>
      <c r="R743" s="873"/>
      <c r="S743" s="873"/>
      <c r="T743" s="873"/>
      <c r="U743" s="873"/>
      <c r="V743" s="873"/>
      <c r="W743" s="873"/>
      <c r="X743" s="873"/>
      <c r="Y743" s="873"/>
      <c r="Z743" s="873"/>
      <c r="AA743" s="873"/>
      <c r="AB743" s="873"/>
      <c r="AC743" s="873"/>
      <c r="AD743" s="873"/>
      <c r="AE743" s="873"/>
      <c r="AF743" s="873"/>
      <c r="AG743" s="873"/>
      <c r="AH743" s="873"/>
      <c r="AI743" s="873"/>
      <c r="AJ743" s="873"/>
      <c r="AK743" s="873"/>
      <c r="AL743" s="873"/>
      <c r="AM743" s="873"/>
      <c r="AN743" s="873"/>
      <c r="AO743" s="873"/>
      <c r="AP743" s="873"/>
      <c r="AQ743" s="873"/>
      <c r="AR743" s="873"/>
      <c r="AS743" s="873"/>
      <c r="AT743" s="873"/>
      <c r="AU743" s="873"/>
      <c r="AV743" s="873"/>
    </row>
    <row r="744" spans="1:48" ht="11.25" customHeight="1" x14ac:dyDescent="0.2">
      <c r="A744" s="873"/>
      <c r="B744" s="873"/>
      <c r="C744" s="873"/>
      <c r="D744" s="873"/>
      <c r="E744" s="873"/>
      <c r="F744" s="873"/>
      <c r="G744" s="873"/>
      <c r="H744" s="873"/>
      <c r="I744" s="873"/>
      <c r="J744" s="873"/>
      <c r="K744" s="873"/>
      <c r="L744" s="873"/>
      <c r="M744" s="873"/>
      <c r="N744" s="873"/>
      <c r="O744" s="873"/>
      <c r="P744" s="873"/>
      <c r="Q744" s="873"/>
      <c r="R744" s="873"/>
      <c r="S744" s="873"/>
      <c r="T744" s="873"/>
      <c r="U744" s="873"/>
      <c r="V744" s="873"/>
      <c r="W744" s="873"/>
      <c r="X744" s="873"/>
      <c r="Y744" s="873"/>
      <c r="Z744" s="873"/>
      <c r="AA744" s="873"/>
      <c r="AB744" s="873"/>
      <c r="AC744" s="873"/>
      <c r="AD744" s="873"/>
      <c r="AE744" s="873"/>
      <c r="AF744" s="873"/>
      <c r="AG744" s="873"/>
      <c r="AH744" s="873"/>
      <c r="AI744" s="873"/>
      <c r="AJ744" s="873"/>
      <c r="AK744" s="873"/>
      <c r="AL744" s="873"/>
      <c r="AM744" s="873"/>
      <c r="AN744" s="873"/>
      <c r="AO744" s="873"/>
      <c r="AP744" s="873"/>
      <c r="AQ744" s="873"/>
      <c r="AR744" s="873"/>
      <c r="AS744" s="873"/>
      <c r="AT744" s="873"/>
      <c r="AU744" s="873"/>
      <c r="AV744" s="873"/>
    </row>
    <row r="745" spans="1:48" ht="11.25" customHeight="1" x14ac:dyDescent="0.2">
      <c r="A745" s="873"/>
      <c r="B745" s="873"/>
      <c r="C745" s="873"/>
      <c r="D745" s="873"/>
      <c r="E745" s="873"/>
      <c r="F745" s="873"/>
      <c r="G745" s="873"/>
      <c r="H745" s="873"/>
      <c r="I745" s="873"/>
      <c r="J745" s="873"/>
      <c r="K745" s="873"/>
      <c r="L745" s="873"/>
      <c r="M745" s="873"/>
      <c r="N745" s="873"/>
      <c r="O745" s="873"/>
      <c r="P745" s="873"/>
      <c r="Q745" s="873"/>
      <c r="R745" s="873"/>
      <c r="S745" s="873"/>
      <c r="T745" s="873"/>
      <c r="U745" s="873"/>
      <c r="V745" s="873"/>
      <c r="W745" s="873"/>
      <c r="X745" s="873"/>
      <c r="Y745" s="873"/>
      <c r="Z745" s="873"/>
      <c r="AA745" s="873"/>
      <c r="AB745" s="873"/>
      <c r="AC745" s="873"/>
      <c r="AD745" s="873"/>
      <c r="AE745" s="873"/>
      <c r="AF745" s="873"/>
      <c r="AG745" s="873"/>
      <c r="AH745" s="873"/>
      <c r="AI745" s="873"/>
      <c r="AJ745" s="873"/>
      <c r="AK745" s="873"/>
      <c r="AL745" s="873"/>
      <c r="AM745" s="873"/>
      <c r="AN745" s="873"/>
      <c r="AO745" s="873"/>
      <c r="AP745" s="873"/>
      <c r="AQ745" s="873"/>
      <c r="AR745" s="873"/>
      <c r="AS745" s="873"/>
      <c r="AT745" s="873"/>
      <c r="AU745" s="873"/>
      <c r="AV745" s="873"/>
    </row>
    <row r="746" spans="1:48" ht="11.25" customHeight="1" x14ac:dyDescent="0.2">
      <c r="A746" s="873"/>
      <c r="B746" s="873"/>
      <c r="C746" s="873"/>
      <c r="D746" s="873"/>
      <c r="E746" s="873"/>
      <c r="F746" s="873"/>
      <c r="G746" s="873"/>
      <c r="H746" s="873"/>
      <c r="I746" s="873"/>
      <c r="J746" s="873"/>
      <c r="K746" s="873"/>
      <c r="L746" s="873"/>
      <c r="M746" s="873"/>
      <c r="N746" s="873"/>
      <c r="O746" s="873"/>
      <c r="P746" s="873"/>
      <c r="Q746" s="873"/>
      <c r="R746" s="873"/>
      <c r="S746" s="873"/>
      <c r="T746" s="873"/>
      <c r="U746" s="873"/>
      <c r="V746" s="873"/>
      <c r="W746" s="873"/>
      <c r="X746" s="873"/>
      <c r="Y746" s="873"/>
      <c r="Z746" s="873"/>
      <c r="AA746" s="873"/>
      <c r="AB746" s="873"/>
      <c r="AC746" s="873"/>
      <c r="AD746" s="873"/>
      <c r="AE746" s="873"/>
      <c r="AF746" s="873"/>
      <c r="AG746" s="873"/>
      <c r="AH746" s="873"/>
      <c r="AI746" s="873"/>
      <c r="AJ746" s="873"/>
      <c r="AK746" s="873"/>
      <c r="AL746" s="873"/>
      <c r="AM746" s="873"/>
      <c r="AN746" s="873"/>
      <c r="AO746" s="873"/>
      <c r="AP746" s="873"/>
      <c r="AQ746" s="873"/>
      <c r="AR746" s="873"/>
      <c r="AS746" s="873"/>
      <c r="AT746" s="873"/>
      <c r="AU746" s="873"/>
      <c r="AV746" s="873"/>
    </row>
    <row r="747" spans="1:48" ht="11.25" customHeight="1" x14ac:dyDescent="0.2">
      <c r="A747" s="873"/>
      <c r="B747" s="873"/>
      <c r="C747" s="873"/>
      <c r="D747" s="873"/>
      <c r="E747" s="873"/>
      <c r="F747" s="873"/>
      <c r="G747" s="873"/>
      <c r="H747" s="873"/>
      <c r="I747" s="873"/>
      <c r="J747" s="873"/>
      <c r="K747" s="873"/>
      <c r="L747" s="873"/>
      <c r="M747" s="873"/>
      <c r="N747" s="873"/>
      <c r="O747" s="873"/>
      <c r="P747" s="873"/>
      <c r="Q747" s="873"/>
      <c r="R747" s="873"/>
      <c r="S747" s="873"/>
      <c r="T747" s="873"/>
      <c r="U747" s="873"/>
      <c r="V747" s="873"/>
      <c r="W747" s="873"/>
      <c r="X747" s="873"/>
      <c r="Y747" s="873"/>
      <c r="Z747" s="873"/>
      <c r="AA747" s="873"/>
      <c r="AB747" s="873"/>
      <c r="AC747" s="873"/>
      <c r="AD747" s="873"/>
      <c r="AE747" s="873"/>
      <c r="AF747" s="873"/>
      <c r="AG747" s="873"/>
      <c r="AH747" s="873"/>
      <c r="AI747" s="873"/>
      <c r="AJ747" s="873"/>
      <c r="AK747" s="873"/>
      <c r="AL747" s="873"/>
      <c r="AM747" s="873"/>
      <c r="AN747" s="873"/>
      <c r="AO747" s="873"/>
      <c r="AP747" s="873"/>
      <c r="AQ747" s="873"/>
      <c r="AR747" s="873"/>
      <c r="AS747" s="873"/>
      <c r="AT747" s="873"/>
      <c r="AU747" s="873"/>
      <c r="AV747" s="873"/>
    </row>
    <row r="748" spans="1:48" ht="11.25" customHeight="1" x14ac:dyDescent="0.2">
      <c r="A748" s="873"/>
      <c r="B748" s="873"/>
      <c r="C748" s="873"/>
      <c r="D748" s="873"/>
      <c r="E748" s="873"/>
      <c r="F748" s="873"/>
      <c r="G748" s="873"/>
      <c r="H748" s="873"/>
      <c r="I748" s="873"/>
      <c r="J748" s="873"/>
      <c r="K748" s="873"/>
      <c r="L748" s="873"/>
      <c r="M748" s="873"/>
      <c r="N748" s="873"/>
      <c r="O748" s="873"/>
      <c r="P748" s="873"/>
      <c r="Q748" s="873"/>
      <c r="R748" s="873"/>
      <c r="S748" s="873"/>
      <c r="T748" s="873"/>
      <c r="U748" s="873"/>
      <c r="V748" s="873"/>
      <c r="W748" s="873"/>
      <c r="X748" s="873"/>
      <c r="Y748" s="873"/>
      <c r="Z748" s="873"/>
      <c r="AA748" s="873"/>
      <c r="AB748" s="873"/>
      <c r="AC748" s="873"/>
      <c r="AD748" s="873"/>
      <c r="AE748" s="873"/>
      <c r="AF748" s="873"/>
      <c r="AG748" s="873"/>
      <c r="AH748" s="873"/>
      <c r="AI748" s="873"/>
      <c r="AJ748" s="873"/>
      <c r="AK748" s="873"/>
      <c r="AL748" s="873"/>
      <c r="AM748" s="873"/>
      <c r="AN748" s="873"/>
      <c r="AO748" s="873"/>
      <c r="AP748" s="873"/>
      <c r="AQ748" s="873"/>
      <c r="AR748" s="873"/>
      <c r="AS748" s="873"/>
      <c r="AT748" s="873"/>
      <c r="AU748" s="873"/>
      <c r="AV748" s="873"/>
    </row>
    <row r="749" spans="1:48" ht="11.25" customHeight="1" x14ac:dyDescent="0.2">
      <c r="A749" s="873"/>
      <c r="B749" s="873"/>
      <c r="C749" s="873"/>
      <c r="D749" s="873"/>
      <c r="E749" s="873"/>
      <c r="F749" s="873"/>
      <c r="G749" s="873"/>
      <c r="H749" s="873"/>
      <c r="I749" s="873"/>
      <c r="J749" s="873"/>
      <c r="K749" s="873"/>
      <c r="L749" s="873"/>
      <c r="M749" s="873"/>
      <c r="N749" s="873"/>
      <c r="O749" s="873"/>
      <c r="P749" s="873"/>
      <c r="Q749" s="873"/>
      <c r="R749" s="873"/>
      <c r="S749" s="873"/>
      <c r="T749" s="873"/>
      <c r="U749" s="873"/>
      <c r="V749" s="873"/>
      <c r="W749" s="873"/>
      <c r="X749" s="873"/>
      <c r="Y749" s="873"/>
      <c r="Z749" s="873"/>
      <c r="AA749" s="873"/>
      <c r="AB749" s="873"/>
      <c r="AC749" s="873"/>
      <c r="AD749" s="873"/>
      <c r="AE749" s="873"/>
      <c r="AF749" s="873"/>
      <c r="AG749" s="873"/>
      <c r="AH749" s="873"/>
      <c r="AI749" s="873"/>
      <c r="AJ749" s="873"/>
      <c r="AK749" s="873"/>
      <c r="AL749" s="873"/>
      <c r="AM749" s="873"/>
      <c r="AN749" s="873"/>
      <c r="AO749" s="873"/>
      <c r="AP749" s="873"/>
      <c r="AQ749" s="873"/>
      <c r="AR749" s="873"/>
      <c r="AS749" s="873"/>
      <c r="AT749" s="873"/>
      <c r="AU749" s="873"/>
      <c r="AV749" s="873"/>
    </row>
    <row r="750" spans="1:48" ht="11.25" customHeight="1" x14ac:dyDescent="0.2">
      <c r="A750" s="873"/>
      <c r="B750" s="873"/>
      <c r="C750" s="873"/>
      <c r="D750" s="873"/>
      <c r="E750" s="873"/>
      <c r="F750" s="873"/>
      <c r="G750" s="873"/>
      <c r="H750" s="873"/>
      <c r="I750" s="873"/>
      <c r="J750" s="873"/>
      <c r="K750" s="873"/>
      <c r="L750" s="873"/>
      <c r="M750" s="873"/>
      <c r="N750" s="873"/>
      <c r="O750" s="873"/>
      <c r="P750" s="873"/>
      <c r="Q750" s="873"/>
      <c r="R750" s="873"/>
      <c r="S750" s="873"/>
      <c r="T750" s="873"/>
      <c r="U750" s="873"/>
      <c r="V750" s="873"/>
      <c r="W750" s="873"/>
      <c r="X750" s="873"/>
      <c r="Y750" s="873"/>
      <c r="Z750" s="873"/>
      <c r="AA750" s="873"/>
      <c r="AB750" s="873"/>
      <c r="AC750" s="873"/>
      <c r="AD750" s="873"/>
      <c r="AE750" s="873"/>
      <c r="AF750" s="873"/>
      <c r="AG750" s="873"/>
      <c r="AH750" s="873"/>
      <c r="AI750" s="873"/>
      <c r="AJ750" s="873"/>
      <c r="AK750" s="873"/>
      <c r="AL750" s="873"/>
      <c r="AM750" s="873"/>
      <c r="AN750" s="873"/>
      <c r="AO750" s="873"/>
      <c r="AP750" s="873"/>
      <c r="AQ750" s="873"/>
      <c r="AR750" s="873"/>
      <c r="AS750" s="873"/>
      <c r="AT750" s="873"/>
      <c r="AU750" s="873"/>
      <c r="AV750" s="873"/>
    </row>
    <row r="751" spans="1:48" ht="11.25" customHeight="1" x14ac:dyDescent="0.2">
      <c r="A751" s="873"/>
      <c r="B751" s="873"/>
      <c r="C751" s="873"/>
      <c r="D751" s="873"/>
      <c r="E751" s="873"/>
      <c r="F751" s="873"/>
      <c r="G751" s="873"/>
      <c r="H751" s="873"/>
      <c r="I751" s="873"/>
      <c r="J751" s="873"/>
      <c r="K751" s="873"/>
      <c r="L751" s="873"/>
      <c r="M751" s="873"/>
      <c r="N751" s="873"/>
      <c r="O751" s="873"/>
      <c r="P751" s="873"/>
      <c r="Q751" s="873"/>
      <c r="R751" s="873"/>
      <c r="S751" s="873"/>
      <c r="T751" s="873"/>
      <c r="U751" s="873"/>
      <c r="V751" s="873"/>
      <c r="W751" s="873"/>
      <c r="X751" s="873"/>
      <c r="Y751" s="873"/>
      <c r="Z751" s="873"/>
      <c r="AA751" s="873"/>
      <c r="AB751" s="873"/>
      <c r="AC751" s="873"/>
      <c r="AD751" s="873"/>
      <c r="AE751" s="873"/>
      <c r="AF751" s="873"/>
      <c r="AG751" s="873"/>
      <c r="AH751" s="873"/>
      <c r="AI751" s="873"/>
      <c r="AJ751" s="873"/>
      <c r="AK751" s="873"/>
      <c r="AL751" s="873"/>
      <c r="AM751" s="873"/>
      <c r="AN751" s="873"/>
      <c r="AO751" s="873"/>
      <c r="AP751" s="873"/>
      <c r="AQ751" s="873"/>
      <c r="AR751" s="873"/>
      <c r="AS751" s="873"/>
      <c r="AT751" s="873"/>
      <c r="AU751" s="873"/>
      <c r="AV751" s="873"/>
    </row>
    <row r="752" spans="1:48" ht="11.25" customHeight="1" x14ac:dyDescent="0.2">
      <c r="A752" s="873"/>
      <c r="B752" s="873"/>
      <c r="C752" s="873"/>
      <c r="D752" s="873"/>
      <c r="E752" s="873"/>
      <c r="F752" s="873"/>
      <c r="G752" s="873"/>
      <c r="H752" s="873"/>
      <c r="I752" s="873"/>
      <c r="J752" s="873"/>
      <c r="K752" s="873"/>
      <c r="L752" s="873"/>
      <c r="M752" s="873"/>
      <c r="N752" s="873"/>
      <c r="O752" s="873"/>
      <c r="P752" s="873"/>
      <c r="Q752" s="873"/>
      <c r="R752" s="873"/>
      <c r="S752" s="873"/>
      <c r="T752" s="873"/>
      <c r="U752" s="873"/>
      <c r="V752" s="873"/>
      <c r="W752" s="873"/>
      <c r="X752" s="873"/>
      <c r="Y752" s="873"/>
      <c r="Z752" s="873"/>
      <c r="AA752" s="873"/>
      <c r="AB752" s="873"/>
      <c r="AC752" s="873"/>
      <c r="AD752" s="873"/>
      <c r="AE752" s="873"/>
      <c r="AF752" s="873"/>
      <c r="AG752" s="873"/>
      <c r="AH752" s="873"/>
      <c r="AI752" s="873"/>
      <c r="AJ752" s="873"/>
      <c r="AK752" s="873"/>
      <c r="AL752" s="873"/>
      <c r="AM752" s="873"/>
      <c r="AN752" s="873"/>
      <c r="AO752" s="873"/>
      <c r="AP752" s="873"/>
      <c r="AQ752" s="873"/>
      <c r="AR752" s="873"/>
      <c r="AS752" s="873"/>
      <c r="AT752" s="873"/>
      <c r="AU752" s="873"/>
      <c r="AV752" s="873"/>
    </row>
    <row r="753" spans="1:48" ht="11.25" customHeight="1" x14ac:dyDescent="0.2">
      <c r="A753" s="873"/>
      <c r="B753" s="873"/>
      <c r="C753" s="873"/>
      <c r="D753" s="873"/>
      <c r="E753" s="873"/>
      <c r="F753" s="873"/>
      <c r="G753" s="873"/>
      <c r="H753" s="873"/>
      <c r="I753" s="873"/>
      <c r="J753" s="873"/>
      <c r="K753" s="873"/>
      <c r="L753" s="873"/>
      <c r="M753" s="873"/>
      <c r="N753" s="873"/>
      <c r="O753" s="873"/>
      <c r="P753" s="873"/>
      <c r="Q753" s="873"/>
      <c r="R753" s="873"/>
      <c r="S753" s="873"/>
      <c r="T753" s="873"/>
      <c r="U753" s="873"/>
      <c r="V753" s="873"/>
      <c r="W753" s="873"/>
      <c r="X753" s="873"/>
      <c r="Y753" s="873"/>
      <c r="Z753" s="873"/>
      <c r="AA753" s="873"/>
      <c r="AB753" s="873"/>
      <c r="AC753" s="873"/>
      <c r="AD753" s="873"/>
      <c r="AE753" s="873"/>
      <c r="AF753" s="873"/>
      <c r="AG753" s="873"/>
      <c r="AH753" s="873"/>
      <c r="AI753" s="873"/>
      <c r="AJ753" s="873"/>
      <c r="AK753" s="873"/>
      <c r="AL753" s="873"/>
      <c r="AM753" s="873"/>
      <c r="AN753" s="873"/>
      <c r="AO753" s="873"/>
      <c r="AP753" s="873"/>
      <c r="AQ753" s="873"/>
      <c r="AR753" s="873"/>
      <c r="AS753" s="873"/>
      <c r="AT753" s="873"/>
      <c r="AU753" s="873"/>
      <c r="AV753" s="873"/>
    </row>
    <row r="754" spans="1:48" ht="11.25" customHeight="1" x14ac:dyDescent="0.2">
      <c r="A754" s="873"/>
      <c r="B754" s="873"/>
      <c r="C754" s="873"/>
      <c r="D754" s="873"/>
      <c r="E754" s="873"/>
      <c r="F754" s="873"/>
      <c r="G754" s="873"/>
      <c r="H754" s="873"/>
      <c r="I754" s="873"/>
      <c r="J754" s="873"/>
      <c r="K754" s="873"/>
      <c r="L754" s="873"/>
      <c r="M754" s="873"/>
      <c r="N754" s="873"/>
      <c r="O754" s="873"/>
      <c r="P754" s="873"/>
      <c r="Q754" s="873"/>
      <c r="R754" s="873"/>
      <c r="S754" s="873"/>
      <c r="T754" s="873"/>
      <c r="U754" s="873"/>
      <c r="V754" s="873"/>
      <c r="W754" s="873"/>
      <c r="X754" s="873"/>
      <c r="Y754" s="873"/>
      <c r="Z754" s="873"/>
      <c r="AA754" s="873"/>
      <c r="AB754" s="873"/>
      <c r="AC754" s="873"/>
      <c r="AD754" s="873"/>
      <c r="AE754" s="873"/>
      <c r="AF754" s="873"/>
      <c r="AG754" s="873"/>
      <c r="AH754" s="873"/>
      <c r="AI754" s="873"/>
      <c r="AJ754" s="873"/>
      <c r="AK754" s="873"/>
      <c r="AL754" s="873"/>
      <c r="AM754" s="873"/>
      <c r="AN754" s="873"/>
      <c r="AO754" s="873"/>
      <c r="AP754" s="873"/>
      <c r="AQ754" s="873"/>
      <c r="AR754" s="873"/>
      <c r="AS754" s="873"/>
      <c r="AT754" s="873"/>
      <c r="AU754" s="873"/>
      <c r="AV754" s="873"/>
    </row>
    <row r="755" spans="1:48" ht="11.25" customHeight="1" x14ac:dyDescent="0.2">
      <c r="A755" s="873"/>
      <c r="B755" s="873"/>
      <c r="C755" s="873"/>
      <c r="D755" s="873"/>
      <c r="E755" s="873"/>
      <c r="F755" s="873"/>
      <c r="G755" s="873"/>
      <c r="H755" s="873"/>
      <c r="I755" s="873"/>
      <c r="J755" s="873"/>
      <c r="K755" s="873"/>
      <c r="L755" s="873"/>
      <c r="M755" s="873"/>
      <c r="N755" s="873"/>
      <c r="O755" s="873"/>
      <c r="P755" s="873"/>
      <c r="Q755" s="873"/>
      <c r="R755" s="873"/>
      <c r="S755" s="873"/>
      <c r="T755" s="873"/>
      <c r="U755" s="873"/>
      <c r="V755" s="873"/>
      <c r="W755" s="873"/>
      <c r="X755" s="873"/>
      <c r="Y755" s="873"/>
      <c r="Z755" s="873"/>
      <c r="AA755" s="873"/>
      <c r="AB755" s="873"/>
      <c r="AC755" s="873"/>
      <c r="AD755" s="873"/>
      <c r="AE755" s="873"/>
      <c r="AF755" s="873"/>
      <c r="AG755" s="873"/>
      <c r="AH755" s="873"/>
      <c r="AI755" s="873"/>
      <c r="AJ755" s="873"/>
      <c r="AK755" s="873"/>
      <c r="AL755" s="873"/>
      <c r="AM755" s="873"/>
      <c r="AN755" s="873"/>
      <c r="AO755" s="873"/>
      <c r="AP755" s="873"/>
      <c r="AQ755" s="873"/>
      <c r="AR755" s="873"/>
      <c r="AS755" s="873"/>
      <c r="AT755" s="873"/>
      <c r="AU755" s="873"/>
      <c r="AV755" s="873"/>
    </row>
    <row r="756" spans="1:48" ht="11.25" customHeight="1" x14ac:dyDescent="0.2">
      <c r="A756" s="873"/>
      <c r="B756" s="873"/>
      <c r="C756" s="873"/>
      <c r="D756" s="873"/>
      <c r="E756" s="873"/>
      <c r="F756" s="873"/>
      <c r="G756" s="873"/>
      <c r="H756" s="873"/>
      <c r="I756" s="873"/>
      <c r="J756" s="873"/>
      <c r="K756" s="873"/>
      <c r="L756" s="873"/>
      <c r="M756" s="873"/>
      <c r="N756" s="873"/>
      <c r="O756" s="873"/>
      <c r="P756" s="873"/>
      <c r="Q756" s="873"/>
      <c r="R756" s="873"/>
      <c r="S756" s="873"/>
      <c r="T756" s="873"/>
      <c r="U756" s="873"/>
      <c r="V756" s="873"/>
      <c r="W756" s="873"/>
      <c r="X756" s="873"/>
      <c r="Y756" s="873"/>
      <c r="Z756" s="873"/>
      <c r="AA756" s="873"/>
      <c r="AB756" s="873"/>
      <c r="AC756" s="873"/>
      <c r="AD756" s="873"/>
      <c r="AE756" s="873"/>
      <c r="AF756" s="873"/>
      <c r="AG756" s="873"/>
      <c r="AH756" s="873"/>
      <c r="AI756" s="873"/>
      <c r="AJ756" s="873"/>
      <c r="AK756" s="873"/>
      <c r="AL756" s="873"/>
      <c r="AM756" s="873"/>
      <c r="AN756" s="873"/>
      <c r="AO756" s="873"/>
      <c r="AP756" s="873"/>
      <c r="AQ756" s="873"/>
      <c r="AR756" s="873"/>
      <c r="AS756" s="873"/>
      <c r="AT756" s="873"/>
      <c r="AU756" s="873"/>
      <c r="AV756" s="873"/>
    </row>
    <row r="757" spans="1:48" ht="11.25" customHeight="1" x14ac:dyDescent="0.2">
      <c r="A757" s="873"/>
      <c r="B757" s="873"/>
      <c r="C757" s="873"/>
      <c r="D757" s="873"/>
      <c r="E757" s="873"/>
      <c r="F757" s="873"/>
      <c r="G757" s="873"/>
      <c r="H757" s="873"/>
      <c r="I757" s="873"/>
      <c r="J757" s="873"/>
      <c r="K757" s="873"/>
      <c r="L757" s="873"/>
      <c r="M757" s="873"/>
      <c r="N757" s="873"/>
      <c r="O757" s="873"/>
      <c r="P757" s="873"/>
      <c r="Q757" s="873"/>
      <c r="R757" s="873"/>
      <c r="S757" s="873"/>
      <c r="T757" s="873"/>
      <c r="U757" s="873"/>
      <c r="V757" s="873"/>
      <c r="W757" s="873"/>
      <c r="X757" s="873"/>
      <c r="Y757" s="873"/>
      <c r="Z757" s="873"/>
      <c r="AA757" s="873"/>
      <c r="AB757" s="873"/>
      <c r="AC757" s="873"/>
      <c r="AD757" s="873"/>
      <c r="AE757" s="873"/>
      <c r="AF757" s="873"/>
      <c r="AG757" s="873"/>
      <c r="AH757" s="873"/>
      <c r="AI757" s="873"/>
      <c r="AJ757" s="873"/>
      <c r="AK757" s="873"/>
      <c r="AL757" s="873"/>
      <c r="AM757" s="873"/>
      <c r="AN757" s="873"/>
      <c r="AO757" s="873"/>
      <c r="AP757" s="873"/>
      <c r="AQ757" s="873"/>
      <c r="AR757" s="873"/>
      <c r="AS757" s="873"/>
      <c r="AT757" s="873"/>
      <c r="AU757" s="873"/>
      <c r="AV757" s="873"/>
    </row>
    <row r="758" spans="1:48" ht="11.25" customHeight="1" x14ac:dyDescent="0.2">
      <c r="A758" s="873"/>
      <c r="B758" s="873"/>
      <c r="C758" s="873"/>
      <c r="D758" s="873"/>
      <c r="E758" s="873"/>
      <c r="F758" s="873"/>
      <c r="G758" s="873"/>
      <c r="H758" s="873"/>
      <c r="I758" s="873"/>
      <c r="J758" s="873"/>
      <c r="K758" s="873"/>
      <c r="L758" s="873"/>
      <c r="M758" s="873"/>
      <c r="N758" s="873"/>
      <c r="O758" s="873"/>
      <c r="P758" s="873"/>
      <c r="Q758" s="873"/>
      <c r="R758" s="873"/>
      <c r="S758" s="873"/>
      <c r="T758" s="873"/>
      <c r="U758" s="873"/>
      <c r="V758" s="873"/>
      <c r="W758" s="873"/>
      <c r="X758" s="873"/>
      <c r="Y758" s="873"/>
      <c r="Z758" s="873"/>
      <c r="AA758" s="873"/>
      <c r="AB758" s="873"/>
      <c r="AC758" s="873"/>
      <c r="AD758" s="873"/>
      <c r="AE758" s="873"/>
      <c r="AF758" s="873"/>
      <c r="AG758" s="873"/>
      <c r="AH758" s="873"/>
      <c r="AI758" s="873"/>
      <c r="AJ758" s="873"/>
      <c r="AK758" s="873"/>
      <c r="AL758" s="873"/>
      <c r="AM758" s="873"/>
      <c r="AN758" s="873"/>
      <c r="AO758" s="873"/>
      <c r="AP758" s="873"/>
      <c r="AQ758" s="873"/>
      <c r="AR758" s="873"/>
      <c r="AS758" s="873"/>
      <c r="AT758" s="873"/>
      <c r="AU758" s="873"/>
      <c r="AV758" s="873"/>
    </row>
    <row r="759" spans="1:48" ht="11.25" customHeight="1" x14ac:dyDescent="0.2">
      <c r="A759" s="873"/>
      <c r="B759" s="873"/>
      <c r="C759" s="873"/>
      <c r="D759" s="873"/>
      <c r="E759" s="873"/>
      <c r="F759" s="873"/>
      <c r="G759" s="873"/>
      <c r="H759" s="873"/>
      <c r="I759" s="873"/>
      <c r="J759" s="873"/>
      <c r="K759" s="873"/>
      <c r="L759" s="873"/>
      <c r="M759" s="873"/>
      <c r="N759" s="873"/>
      <c r="O759" s="873"/>
      <c r="P759" s="873"/>
      <c r="Q759" s="873"/>
      <c r="R759" s="873"/>
      <c r="S759" s="873"/>
      <c r="T759" s="873"/>
      <c r="U759" s="873"/>
      <c r="V759" s="873"/>
      <c r="W759" s="873"/>
      <c r="X759" s="873"/>
      <c r="Y759" s="873"/>
      <c r="Z759" s="873"/>
      <c r="AA759" s="873"/>
      <c r="AB759" s="873"/>
      <c r="AC759" s="873"/>
      <c r="AD759" s="873"/>
      <c r="AE759" s="873"/>
      <c r="AF759" s="873"/>
      <c r="AG759" s="873"/>
      <c r="AH759" s="873"/>
      <c r="AI759" s="873"/>
      <c r="AJ759" s="873"/>
      <c r="AK759" s="873"/>
      <c r="AL759" s="873"/>
      <c r="AM759" s="873"/>
      <c r="AN759" s="873"/>
      <c r="AO759" s="873"/>
      <c r="AP759" s="873"/>
      <c r="AQ759" s="873"/>
      <c r="AR759" s="873"/>
      <c r="AS759" s="873"/>
      <c r="AT759" s="873"/>
      <c r="AU759" s="873"/>
      <c r="AV759" s="873"/>
    </row>
    <row r="760" spans="1:48" ht="11.25" customHeight="1" x14ac:dyDescent="0.2">
      <c r="A760" s="873"/>
      <c r="B760" s="873"/>
      <c r="C760" s="873"/>
      <c r="D760" s="873"/>
      <c r="E760" s="873"/>
      <c r="F760" s="873"/>
      <c r="G760" s="873"/>
      <c r="H760" s="873"/>
      <c r="I760" s="873"/>
      <c r="J760" s="873"/>
      <c r="K760" s="873"/>
      <c r="L760" s="873"/>
      <c r="M760" s="873"/>
      <c r="N760" s="873"/>
      <c r="O760" s="873"/>
      <c r="P760" s="873"/>
      <c r="Q760" s="873"/>
      <c r="R760" s="873"/>
      <c r="S760" s="873"/>
      <c r="T760" s="873"/>
      <c r="U760" s="873"/>
      <c r="V760" s="873"/>
      <c r="W760" s="873"/>
      <c r="X760" s="873"/>
      <c r="Y760" s="873"/>
      <c r="Z760" s="873"/>
      <c r="AA760" s="873"/>
      <c r="AB760" s="873"/>
      <c r="AC760" s="873"/>
      <c r="AD760" s="873"/>
      <c r="AE760" s="873"/>
      <c r="AF760" s="873"/>
      <c r="AG760" s="873"/>
      <c r="AH760" s="873"/>
      <c r="AI760" s="873"/>
      <c r="AJ760" s="873"/>
      <c r="AK760" s="873"/>
      <c r="AL760" s="873"/>
      <c r="AM760" s="873"/>
      <c r="AN760" s="873"/>
      <c r="AO760" s="873"/>
      <c r="AP760" s="873"/>
      <c r="AQ760" s="873"/>
      <c r="AR760" s="873"/>
      <c r="AS760" s="873"/>
      <c r="AT760" s="873"/>
      <c r="AU760" s="873"/>
      <c r="AV760" s="873"/>
    </row>
    <row r="761" spans="1:48" ht="11.25" customHeight="1" x14ac:dyDescent="0.2">
      <c r="A761" s="873"/>
      <c r="B761" s="873"/>
      <c r="C761" s="873"/>
      <c r="D761" s="873"/>
      <c r="E761" s="873"/>
      <c r="F761" s="873"/>
      <c r="G761" s="873"/>
      <c r="H761" s="873"/>
      <c r="I761" s="873"/>
      <c r="J761" s="873"/>
      <c r="K761" s="873"/>
      <c r="L761" s="873"/>
      <c r="M761" s="873"/>
      <c r="N761" s="873"/>
      <c r="O761" s="873"/>
      <c r="P761" s="873"/>
      <c r="Q761" s="873"/>
      <c r="R761" s="873"/>
      <c r="S761" s="873"/>
      <c r="T761" s="873"/>
      <c r="U761" s="873"/>
      <c r="V761" s="873"/>
      <c r="W761" s="873"/>
      <c r="X761" s="873"/>
      <c r="Y761" s="873"/>
      <c r="Z761" s="873"/>
      <c r="AA761" s="873"/>
      <c r="AB761" s="873"/>
      <c r="AC761" s="873"/>
      <c r="AD761" s="873"/>
      <c r="AE761" s="873"/>
      <c r="AF761" s="873"/>
      <c r="AG761" s="873"/>
      <c r="AH761" s="873"/>
      <c r="AI761" s="873"/>
      <c r="AJ761" s="873"/>
      <c r="AK761" s="873"/>
      <c r="AL761" s="873"/>
      <c r="AM761" s="873"/>
      <c r="AN761" s="873"/>
      <c r="AO761" s="873"/>
      <c r="AP761" s="873"/>
      <c r="AQ761" s="873"/>
      <c r="AR761" s="873"/>
      <c r="AS761" s="873"/>
      <c r="AT761" s="873"/>
      <c r="AU761" s="873"/>
      <c r="AV761" s="873"/>
    </row>
    <row r="762" spans="1:48" ht="11.25" customHeight="1" x14ac:dyDescent="0.2">
      <c r="A762" s="873"/>
      <c r="B762" s="873"/>
      <c r="C762" s="873"/>
      <c r="D762" s="873"/>
      <c r="E762" s="873"/>
      <c r="F762" s="873"/>
      <c r="G762" s="873"/>
      <c r="H762" s="873"/>
      <c r="I762" s="873"/>
      <c r="J762" s="873"/>
      <c r="K762" s="873"/>
      <c r="L762" s="873"/>
      <c r="M762" s="873"/>
      <c r="N762" s="873"/>
      <c r="O762" s="873"/>
      <c r="P762" s="873"/>
      <c r="Q762" s="873"/>
      <c r="R762" s="873"/>
      <c r="S762" s="873"/>
      <c r="T762" s="873"/>
      <c r="U762" s="873"/>
      <c r="V762" s="873"/>
      <c r="W762" s="873"/>
      <c r="X762" s="873"/>
      <c r="Y762" s="873"/>
      <c r="Z762" s="873"/>
      <c r="AA762" s="873"/>
      <c r="AB762" s="873"/>
      <c r="AC762" s="873"/>
      <c r="AD762" s="873"/>
      <c r="AE762" s="873"/>
      <c r="AF762" s="873"/>
      <c r="AG762" s="873"/>
      <c r="AH762" s="873"/>
      <c r="AI762" s="873"/>
      <c r="AJ762" s="873"/>
      <c r="AK762" s="873"/>
      <c r="AL762" s="873"/>
      <c r="AM762" s="873"/>
      <c r="AN762" s="873"/>
      <c r="AO762" s="873"/>
      <c r="AP762" s="873"/>
      <c r="AQ762" s="873"/>
      <c r="AR762" s="873"/>
      <c r="AS762" s="873"/>
      <c r="AT762" s="873"/>
      <c r="AU762" s="873"/>
      <c r="AV762" s="873"/>
    </row>
    <row r="763" spans="1:48" ht="11.25" customHeight="1" x14ac:dyDescent="0.2">
      <c r="A763" s="873"/>
      <c r="B763" s="873"/>
      <c r="C763" s="873"/>
      <c r="D763" s="873"/>
      <c r="E763" s="873"/>
      <c r="F763" s="873"/>
      <c r="G763" s="873"/>
      <c r="H763" s="873"/>
      <c r="I763" s="873"/>
      <c r="J763" s="873"/>
      <c r="K763" s="873"/>
      <c r="L763" s="873"/>
      <c r="M763" s="873"/>
      <c r="N763" s="873"/>
      <c r="O763" s="873"/>
      <c r="P763" s="873"/>
      <c r="Q763" s="873"/>
      <c r="R763" s="873"/>
      <c r="S763" s="873"/>
      <c r="T763" s="873"/>
      <c r="U763" s="873"/>
      <c r="V763" s="873"/>
      <c r="W763" s="873"/>
      <c r="X763" s="873"/>
      <c r="Y763" s="873"/>
      <c r="Z763" s="873"/>
      <c r="AA763" s="873"/>
      <c r="AB763" s="873"/>
      <c r="AC763" s="873"/>
      <c r="AD763" s="873"/>
      <c r="AE763" s="873"/>
      <c r="AF763" s="873"/>
      <c r="AG763" s="873"/>
      <c r="AH763" s="873"/>
      <c r="AI763" s="873"/>
      <c r="AJ763" s="873"/>
      <c r="AK763" s="873"/>
      <c r="AL763" s="873"/>
      <c r="AM763" s="873"/>
      <c r="AN763" s="873"/>
      <c r="AO763" s="873"/>
      <c r="AP763" s="873"/>
      <c r="AQ763" s="873"/>
      <c r="AR763" s="873"/>
      <c r="AS763" s="873"/>
      <c r="AT763" s="873"/>
      <c r="AU763" s="873"/>
      <c r="AV763" s="873"/>
    </row>
    <row r="764" spans="1:48" ht="11.25" customHeight="1" x14ac:dyDescent="0.2">
      <c r="A764" s="873"/>
      <c r="B764" s="873"/>
      <c r="C764" s="873"/>
      <c r="D764" s="873"/>
      <c r="E764" s="873"/>
      <c r="F764" s="873"/>
      <c r="G764" s="873"/>
      <c r="H764" s="873"/>
      <c r="I764" s="873"/>
      <c r="J764" s="873"/>
      <c r="K764" s="873"/>
      <c r="L764" s="873"/>
      <c r="M764" s="873"/>
      <c r="N764" s="873"/>
      <c r="O764" s="873"/>
      <c r="P764" s="873"/>
      <c r="Q764" s="873"/>
      <c r="R764" s="873"/>
      <c r="S764" s="873"/>
      <c r="T764" s="873"/>
      <c r="U764" s="873"/>
      <c r="V764" s="873"/>
      <c r="W764" s="873"/>
      <c r="X764" s="873"/>
      <c r="Y764" s="873"/>
      <c r="Z764" s="873"/>
      <c r="AA764" s="873"/>
      <c r="AB764" s="873"/>
      <c r="AC764" s="873"/>
      <c r="AD764" s="873"/>
      <c r="AE764" s="873"/>
      <c r="AF764" s="873"/>
      <c r="AG764" s="873"/>
      <c r="AH764" s="873"/>
      <c r="AI764" s="873"/>
      <c r="AJ764" s="873"/>
      <c r="AK764" s="873"/>
      <c r="AL764" s="873"/>
      <c r="AM764" s="873"/>
      <c r="AN764" s="873"/>
      <c r="AO764" s="873"/>
      <c r="AP764" s="873"/>
      <c r="AQ764" s="873"/>
      <c r="AR764" s="873"/>
      <c r="AS764" s="873"/>
      <c r="AT764" s="873"/>
      <c r="AU764" s="873"/>
      <c r="AV764" s="873"/>
    </row>
    <row r="765" spans="1:48" ht="11.25" customHeight="1" x14ac:dyDescent="0.2">
      <c r="A765" s="873"/>
      <c r="B765" s="873"/>
      <c r="C765" s="873"/>
      <c r="D765" s="873"/>
      <c r="E765" s="873"/>
      <c r="F765" s="873"/>
      <c r="G765" s="873"/>
      <c r="H765" s="873"/>
      <c r="I765" s="873"/>
      <c r="J765" s="873"/>
      <c r="K765" s="873"/>
      <c r="L765" s="873"/>
      <c r="M765" s="873"/>
      <c r="N765" s="873"/>
      <c r="O765" s="873"/>
      <c r="P765" s="873"/>
      <c r="Q765" s="873"/>
      <c r="R765" s="873"/>
      <c r="S765" s="873"/>
      <c r="T765" s="873"/>
      <c r="U765" s="873"/>
      <c r="V765" s="873"/>
      <c r="W765" s="873"/>
      <c r="X765" s="873"/>
      <c r="Y765" s="873"/>
      <c r="Z765" s="873"/>
      <c r="AA765" s="873"/>
      <c r="AB765" s="873"/>
      <c r="AC765" s="873"/>
      <c r="AD765" s="873"/>
      <c r="AE765" s="873"/>
      <c r="AF765" s="873"/>
      <c r="AG765" s="873"/>
      <c r="AH765" s="873"/>
      <c r="AI765" s="873"/>
      <c r="AJ765" s="873"/>
      <c r="AK765" s="873"/>
      <c r="AL765" s="873"/>
      <c r="AM765" s="873"/>
      <c r="AN765" s="873"/>
      <c r="AO765" s="873"/>
      <c r="AP765" s="873"/>
      <c r="AQ765" s="873"/>
      <c r="AR765" s="873"/>
      <c r="AS765" s="873"/>
      <c r="AT765" s="873"/>
      <c r="AU765" s="873"/>
      <c r="AV765" s="873"/>
    </row>
    <row r="766" spans="1:48" ht="11.25" customHeight="1" x14ac:dyDescent="0.2">
      <c r="A766" s="873"/>
      <c r="B766" s="873"/>
      <c r="C766" s="873"/>
      <c r="D766" s="873"/>
      <c r="E766" s="873"/>
      <c r="F766" s="873"/>
      <c r="G766" s="873"/>
      <c r="H766" s="873"/>
      <c r="I766" s="873"/>
      <c r="J766" s="873"/>
      <c r="K766" s="873"/>
      <c r="L766" s="873"/>
      <c r="M766" s="873"/>
      <c r="N766" s="873"/>
      <c r="O766" s="873"/>
      <c r="P766" s="873"/>
      <c r="Q766" s="873"/>
      <c r="R766" s="873"/>
      <c r="S766" s="873"/>
      <c r="T766" s="873"/>
      <c r="U766" s="873"/>
      <c r="V766" s="873"/>
      <c r="W766" s="873"/>
      <c r="X766" s="873"/>
      <c r="Y766" s="873"/>
      <c r="Z766" s="873"/>
      <c r="AA766" s="873"/>
      <c r="AB766" s="873"/>
      <c r="AC766" s="873"/>
      <c r="AD766" s="873"/>
      <c r="AE766" s="873"/>
      <c r="AF766" s="873"/>
      <c r="AG766" s="873"/>
      <c r="AH766" s="873"/>
      <c r="AI766" s="873"/>
      <c r="AJ766" s="873"/>
      <c r="AK766" s="873"/>
      <c r="AL766" s="873"/>
      <c r="AM766" s="873"/>
      <c r="AN766" s="873"/>
      <c r="AO766" s="873"/>
      <c r="AP766" s="873"/>
      <c r="AQ766" s="873"/>
      <c r="AR766" s="873"/>
      <c r="AS766" s="873"/>
      <c r="AT766" s="873"/>
      <c r="AU766" s="873"/>
      <c r="AV766" s="873"/>
    </row>
    <row r="767" spans="1:48" ht="11.25" customHeight="1" x14ac:dyDescent="0.2">
      <c r="A767" s="873"/>
      <c r="B767" s="873"/>
      <c r="C767" s="873"/>
      <c r="D767" s="873"/>
      <c r="E767" s="873"/>
      <c r="F767" s="873"/>
      <c r="G767" s="873"/>
      <c r="H767" s="873"/>
      <c r="I767" s="873"/>
      <c r="J767" s="873"/>
      <c r="K767" s="873"/>
      <c r="L767" s="873"/>
      <c r="M767" s="873"/>
      <c r="N767" s="873"/>
      <c r="O767" s="873"/>
      <c r="P767" s="873"/>
      <c r="Q767" s="873"/>
      <c r="R767" s="873"/>
      <c r="S767" s="873"/>
      <c r="T767" s="873"/>
      <c r="U767" s="873"/>
      <c r="V767" s="873"/>
      <c r="W767" s="873"/>
      <c r="X767" s="873"/>
      <c r="Y767" s="873"/>
      <c r="Z767" s="873"/>
      <c r="AA767" s="873"/>
      <c r="AB767" s="873"/>
      <c r="AC767" s="873"/>
      <c r="AD767" s="873"/>
      <c r="AE767" s="873"/>
      <c r="AF767" s="873"/>
      <c r="AG767" s="873"/>
      <c r="AH767" s="873"/>
      <c r="AI767" s="873"/>
      <c r="AJ767" s="873"/>
      <c r="AK767" s="873"/>
      <c r="AL767" s="873"/>
      <c r="AM767" s="873"/>
      <c r="AN767" s="873"/>
      <c r="AO767" s="873"/>
      <c r="AP767" s="873"/>
      <c r="AQ767" s="873"/>
      <c r="AR767" s="873"/>
      <c r="AS767" s="873"/>
      <c r="AT767" s="873"/>
      <c r="AU767" s="873"/>
      <c r="AV767" s="873"/>
    </row>
    <row r="768" spans="1:48" ht="11.25" customHeight="1" x14ac:dyDescent="0.2">
      <c r="A768" s="873"/>
      <c r="B768" s="873"/>
      <c r="C768" s="873"/>
      <c r="D768" s="873"/>
      <c r="E768" s="873"/>
      <c r="F768" s="873"/>
      <c r="G768" s="873"/>
      <c r="H768" s="873"/>
      <c r="I768" s="873"/>
      <c r="J768" s="873"/>
      <c r="K768" s="873"/>
      <c r="L768" s="873"/>
      <c r="M768" s="873"/>
      <c r="N768" s="873"/>
      <c r="O768" s="873"/>
      <c r="P768" s="873"/>
      <c r="Q768" s="873"/>
      <c r="R768" s="873"/>
      <c r="S768" s="873"/>
      <c r="T768" s="873"/>
      <c r="U768" s="873"/>
      <c r="V768" s="873"/>
      <c r="W768" s="873"/>
      <c r="X768" s="873"/>
      <c r="Y768" s="873"/>
      <c r="Z768" s="873"/>
      <c r="AA768" s="873"/>
      <c r="AB768" s="873"/>
      <c r="AC768" s="873"/>
      <c r="AD768" s="873"/>
      <c r="AE768" s="873"/>
      <c r="AF768" s="873"/>
      <c r="AG768" s="873"/>
      <c r="AH768" s="873"/>
      <c r="AI768" s="873"/>
      <c r="AJ768" s="873"/>
      <c r="AK768" s="873"/>
      <c r="AL768" s="873"/>
      <c r="AM768" s="873"/>
      <c r="AN768" s="873"/>
      <c r="AO768" s="873"/>
      <c r="AP768" s="873"/>
      <c r="AQ768" s="873"/>
      <c r="AR768" s="873"/>
      <c r="AS768" s="873"/>
      <c r="AT768" s="873"/>
      <c r="AU768" s="873"/>
      <c r="AV768" s="873"/>
    </row>
    <row r="769" spans="1:48" ht="11.25" customHeight="1" x14ac:dyDescent="0.2">
      <c r="A769" s="873"/>
      <c r="B769" s="873"/>
      <c r="C769" s="873"/>
      <c r="D769" s="873"/>
      <c r="E769" s="873"/>
      <c r="F769" s="873"/>
      <c r="G769" s="873"/>
      <c r="H769" s="873"/>
      <c r="I769" s="873"/>
      <c r="J769" s="873"/>
      <c r="K769" s="873"/>
      <c r="L769" s="873"/>
      <c r="M769" s="873"/>
      <c r="N769" s="873"/>
      <c r="O769" s="873"/>
      <c r="P769" s="873"/>
      <c r="Q769" s="873"/>
      <c r="R769" s="873"/>
      <c r="S769" s="873"/>
      <c r="T769" s="873"/>
      <c r="U769" s="873"/>
      <c r="V769" s="873"/>
      <c r="W769" s="873"/>
      <c r="X769" s="873"/>
      <c r="Y769" s="873"/>
      <c r="Z769" s="873"/>
      <c r="AA769" s="873"/>
      <c r="AB769" s="873"/>
      <c r="AC769" s="873"/>
      <c r="AD769" s="873"/>
      <c r="AE769" s="873"/>
      <c r="AF769" s="873"/>
      <c r="AG769" s="873"/>
      <c r="AH769" s="873"/>
      <c r="AI769" s="873"/>
      <c r="AJ769" s="873"/>
      <c r="AK769" s="873"/>
      <c r="AL769" s="873"/>
      <c r="AM769" s="873"/>
      <c r="AN769" s="873"/>
      <c r="AO769" s="873"/>
      <c r="AP769" s="873"/>
      <c r="AQ769" s="873"/>
      <c r="AR769" s="873"/>
      <c r="AS769" s="873"/>
      <c r="AT769" s="873"/>
      <c r="AU769" s="873"/>
      <c r="AV769" s="873"/>
    </row>
    <row r="770" spans="1:48" ht="11.25" customHeight="1" x14ac:dyDescent="0.2">
      <c r="A770" s="873"/>
      <c r="B770" s="873"/>
      <c r="C770" s="873"/>
      <c r="D770" s="873"/>
      <c r="E770" s="873"/>
      <c r="F770" s="873"/>
      <c r="G770" s="873"/>
      <c r="H770" s="873"/>
      <c r="I770" s="873"/>
      <c r="J770" s="873"/>
      <c r="K770" s="873"/>
      <c r="L770" s="873"/>
      <c r="M770" s="873"/>
      <c r="N770" s="873"/>
      <c r="O770" s="873"/>
      <c r="P770" s="873"/>
      <c r="Q770" s="873"/>
      <c r="R770" s="873"/>
      <c r="S770" s="873"/>
      <c r="T770" s="873"/>
      <c r="U770" s="873"/>
      <c r="V770" s="873"/>
      <c r="W770" s="873"/>
      <c r="X770" s="873"/>
      <c r="Y770" s="873"/>
      <c r="Z770" s="873"/>
      <c r="AA770" s="873"/>
      <c r="AB770" s="873"/>
      <c r="AC770" s="873"/>
      <c r="AD770" s="873"/>
      <c r="AE770" s="873"/>
      <c r="AF770" s="873"/>
      <c r="AG770" s="873"/>
      <c r="AH770" s="873"/>
      <c r="AI770" s="873"/>
      <c r="AJ770" s="873"/>
      <c r="AK770" s="873"/>
      <c r="AL770" s="873"/>
      <c r="AM770" s="873"/>
      <c r="AN770" s="873"/>
      <c r="AO770" s="873"/>
      <c r="AP770" s="873"/>
      <c r="AQ770" s="873"/>
      <c r="AR770" s="873"/>
      <c r="AS770" s="873"/>
      <c r="AT770" s="873"/>
      <c r="AU770" s="873"/>
      <c r="AV770" s="873"/>
    </row>
    <row r="771" spans="1:48" ht="11.25" customHeight="1" x14ac:dyDescent="0.2">
      <c r="A771" s="873"/>
      <c r="B771" s="873"/>
      <c r="C771" s="873"/>
      <c r="D771" s="873"/>
      <c r="E771" s="873"/>
      <c r="F771" s="873"/>
      <c r="G771" s="873"/>
      <c r="H771" s="873"/>
      <c r="I771" s="873"/>
      <c r="J771" s="873"/>
      <c r="K771" s="873"/>
      <c r="L771" s="873"/>
      <c r="M771" s="873"/>
      <c r="N771" s="873"/>
      <c r="O771" s="873"/>
      <c r="P771" s="873"/>
      <c r="Q771" s="873"/>
      <c r="R771" s="873"/>
      <c r="S771" s="873"/>
      <c r="T771" s="873"/>
      <c r="U771" s="873"/>
      <c r="V771" s="873"/>
      <c r="W771" s="873"/>
      <c r="X771" s="873"/>
      <c r="Y771" s="873"/>
      <c r="Z771" s="873"/>
      <c r="AA771" s="873"/>
      <c r="AB771" s="873"/>
      <c r="AC771" s="873"/>
      <c r="AD771" s="873"/>
      <c r="AE771" s="873"/>
      <c r="AF771" s="873"/>
      <c r="AG771" s="873"/>
      <c r="AH771" s="873"/>
      <c r="AI771" s="873"/>
      <c r="AJ771" s="873"/>
      <c r="AK771" s="873"/>
      <c r="AL771" s="873"/>
      <c r="AM771" s="873"/>
      <c r="AN771" s="873"/>
      <c r="AO771" s="873"/>
      <c r="AP771" s="873"/>
      <c r="AQ771" s="873"/>
      <c r="AR771" s="873"/>
      <c r="AS771" s="873"/>
      <c r="AT771" s="873"/>
      <c r="AU771" s="873"/>
      <c r="AV771" s="873"/>
    </row>
    <row r="772" spans="1:48" ht="11.25" customHeight="1" x14ac:dyDescent="0.2">
      <c r="A772" s="873"/>
      <c r="B772" s="873"/>
      <c r="C772" s="873"/>
      <c r="D772" s="873"/>
      <c r="E772" s="873"/>
      <c r="F772" s="873"/>
      <c r="G772" s="873"/>
      <c r="H772" s="873"/>
      <c r="I772" s="873"/>
      <c r="J772" s="873"/>
      <c r="K772" s="873"/>
      <c r="L772" s="873"/>
      <c r="M772" s="873"/>
      <c r="N772" s="873"/>
      <c r="O772" s="873"/>
      <c r="P772" s="873"/>
      <c r="Q772" s="873"/>
      <c r="R772" s="873"/>
      <c r="S772" s="873"/>
      <c r="T772" s="873"/>
      <c r="U772" s="873"/>
      <c r="V772" s="873"/>
      <c r="W772" s="873"/>
      <c r="X772" s="873"/>
      <c r="Y772" s="873"/>
      <c r="Z772" s="873"/>
      <c r="AA772" s="873"/>
      <c r="AB772" s="873"/>
      <c r="AC772" s="873"/>
      <c r="AD772" s="873"/>
      <c r="AE772" s="873"/>
      <c r="AF772" s="873"/>
      <c r="AG772" s="873"/>
      <c r="AH772" s="873"/>
      <c r="AI772" s="873"/>
      <c r="AJ772" s="873"/>
      <c r="AK772" s="873"/>
      <c r="AL772" s="873"/>
      <c r="AM772" s="873"/>
      <c r="AN772" s="873"/>
      <c r="AO772" s="873"/>
      <c r="AP772" s="873"/>
      <c r="AQ772" s="873"/>
      <c r="AR772" s="873"/>
      <c r="AS772" s="873"/>
      <c r="AT772" s="873"/>
      <c r="AU772" s="873"/>
      <c r="AV772" s="873"/>
    </row>
    <row r="773" spans="1:48" ht="11.25" customHeight="1" x14ac:dyDescent="0.2">
      <c r="A773" s="873"/>
      <c r="B773" s="873"/>
      <c r="C773" s="873"/>
      <c r="D773" s="873"/>
      <c r="E773" s="873"/>
      <c r="F773" s="873"/>
      <c r="G773" s="873"/>
      <c r="H773" s="873"/>
      <c r="I773" s="873"/>
      <c r="J773" s="873"/>
      <c r="K773" s="873"/>
      <c r="L773" s="873"/>
      <c r="M773" s="873"/>
      <c r="N773" s="873"/>
      <c r="O773" s="873"/>
      <c r="P773" s="873"/>
      <c r="Q773" s="873"/>
      <c r="R773" s="873"/>
      <c r="S773" s="873"/>
      <c r="T773" s="873"/>
      <c r="U773" s="873"/>
      <c r="V773" s="873"/>
      <c r="W773" s="873"/>
      <c r="X773" s="873"/>
      <c r="Y773" s="873"/>
      <c r="Z773" s="873"/>
      <c r="AA773" s="873"/>
      <c r="AB773" s="873"/>
      <c r="AC773" s="873"/>
      <c r="AD773" s="873"/>
      <c r="AE773" s="873"/>
      <c r="AF773" s="873"/>
      <c r="AG773" s="873"/>
      <c r="AH773" s="873"/>
      <c r="AI773" s="873"/>
      <c r="AJ773" s="873"/>
      <c r="AK773" s="873"/>
      <c r="AL773" s="873"/>
      <c r="AM773" s="873"/>
      <c r="AN773" s="873"/>
      <c r="AO773" s="873"/>
      <c r="AP773" s="873"/>
      <c r="AQ773" s="873"/>
      <c r="AR773" s="873"/>
      <c r="AS773" s="873"/>
      <c r="AT773" s="873"/>
      <c r="AU773" s="873"/>
      <c r="AV773" s="873"/>
    </row>
    <row r="774" spans="1:48" ht="11.25" customHeight="1" x14ac:dyDescent="0.2">
      <c r="A774" s="873"/>
      <c r="B774" s="873"/>
      <c r="C774" s="873"/>
      <c r="D774" s="873"/>
      <c r="E774" s="873"/>
      <c r="F774" s="873"/>
      <c r="G774" s="873"/>
      <c r="H774" s="873"/>
      <c r="I774" s="873"/>
      <c r="J774" s="873"/>
      <c r="K774" s="873"/>
      <c r="L774" s="873"/>
      <c r="M774" s="873"/>
      <c r="N774" s="873"/>
      <c r="O774" s="873"/>
      <c r="P774" s="873"/>
      <c r="Q774" s="873"/>
      <c r="R774" s="873"/>
      <c r="S774" s="873"/>
      <c r="T774" s="873"/>
      <c r="U774" s="873"/>
      <c r="V774" s="873"/>
      <c r="W774" s="873"/>
      <c r="X774" s="873"/>
      <c r="Y774" s="873"/>
      <c r="Z774" s="873"/>
      <c r="AA774" s="873"/>
      <c r="AB774" s="873"/>
      <c r="AC774" s="873"/>
      <c r="AD774" s="873"/>
      <c r="AE774" s="873"/>
      <c r="AF774" s="873"/>
      <c r="AG774" s="873"/>
      <c r="AH774" s="873"/>
      <c r="AI774" s="873"/>
      <c r="AJ774" s="873"/>
      <c r="AK774" s="873"/>
      <c r="AL774" s="873"/>
      <c r="AM774" s="873"/>
      <c r="AN774" s="873"/>
      <c r="AO774" s="873"/>
      <c r="AP774" s="873"/>
      <c r="AQ774" s="873"/>
      <c r="AR774" s="873"/>
      <c r="AS774" s="873"/>
      <c r="AT774" s="873"/>
      <c r="AU774" s="873"/>
      <c r="AV774" s="873"/>
    </row>
    <row r="775" spans="1:48" ht="11.25" customHeight="1" x14ac:dyDescent="0.2">
      <c r="A775" s="873"/>
      <c r="B775" s="873"/>
      <c r="C775" s="873"/>
      <c r="D775" s="873"/>
      <c r="E775" s="873"/>
      <c r="F775" s="873"/>
      <c r="G775" s="873"/>
      <c r="H775" s="873"/>
      <c r="I775" s="873"/>
      <c r="J775" s="873"/>
      <c r="K775" s="873"/>
      <c r="L775" s="873"/>
      <c r="M775" s="873"/>
      <c r="N775" s="873"/>
      <c r="O775" s="873"/>
      <c r="P775" s="873"/>
      <c r="Q775" s="873"/>
      <c r="R775" s="873"/>
      <c r="S775" s="873"/>
      <c r="T775" s="873"/>
      <c r="U775" s="873"/>
      <c r="V775" s="873"/>
      <c r="W775" s="873"/>
      <c r="X775" s="873"/>
      <c r="Y775" s="873"/>
      <c r="Z775" s="873"/>
      <c r="AA775" s="873"/>
      <c r="AB775" s="873"/>
      <c r="AC775" s="873"/>
      <c r="AD775" s="873"/>
      <c r="AE775" s="873"/>
      <c r="AF775" s="873"/>
      <c r="AG775" s="873"/>
      <c r="AH775" s="873"/>
      <c r="AI775" s="873"/>
      <c r="AJ775" s="873"/>
      <c r="AK775" s="873"/>
      <c r="AL775" s="873"/>
      <c r="AM775" s="873"/>
      <c r="AN775" s="873"/>
      <c r="AO775" s="873"/>
      <c r="AP775" s="873"/>
      <c r="AQ775" s="873"/>
      <c r="AR775" s="873"/>
      <c r="AS775" s="873"/>
      <c r="AT775" s="873"/>
      <c r="AU775" s="873"/>
      <c r="AV775" s="873"/>
    </row>
    <row r="776" spans="1:48" ht="11.25" customHeight="1" x14ac:dyDescent="0.2">
      <c r="A776" s="873"/>
      <c r="B776" s="873"/>
      <c r="C776" s="873"/>
      <c r="D776" s="873"/>
      <c r="E776" s="873"/>
      <c r="F776" s="873"/>
      <c r="G776" s="873"/>
      <c r="H776" s="873"/>
      <c r="I776" s="873"/>
      <c r="J776" s="873"/>
      <c r="K776" s="873"/>
      <c r="L776" s="873"/>
      <c r="M776" s="873"/>
      <c r="N776" s="873"/>
      <c r="O776" s="873"/>
      <c r="P776" s="873"/>
      <c r="Q776" s="873"/>
      <c r="R776" s="873"/>
      <c r="S776" s="873"/>
      <c r="T776" s="873"/>
      <c r="U776" s="873"/>
      <c r="V776" s="873"/>
      <c r="W776" s="873"/>
      <c r="X776" s="873"/>
      <c r="Y776" s="873"/>
      <c r="Z776" s="873"/>
      <c r="AA776" s="873"/>
      <c r="AB776" s="873"/>
      <c r="AC776" s="873"/>
      <c r="AD776" s="873"/>
      <c r="AE776" s="873"/>
      <c r="AF776" s="873"/>
      <c r="AG776" s="873"/>
      <c r="AH776" s="873"/>
      <c r="AI776" s="873"/>
      <c r="AJ776" s="873"/>
      <c r="AK776" s="873"/>
      <c r="AL776" s="873"/>
      <c r="AM776" s="873"/>
      <c r="AN776" s="873"/>
      <c r="AO776" s="873"/>
      <c r="AP776" s="873"/>
      <c r="AQ776" s="873"/>
      <c r="AR776" s="873"/>
      <c r="AS776" s="873"/>
      <c r="AT776" s="873"/>
      <c r="AU776" s="873"/>
      <c r="AV776" s="873"/>
    </row>
    <row r="777" spans="1:48" ht="11.25" customHeight="1" x14ac:dyDescent="0.2">
      <c r="A777" s="873"/>
      <c r="B777" s="873"/>
      <c r="C777" s="873"/>
      <c r="D777" s="873"/>
      <c r="E777" s="873"/>
      <c r="F777" s="873"/>
      <c r="G777" s="873"/>
      <c r="H777" s="873"/>
      <c r="I777" s="873"/>
      <c r="J777" s="873"/>
      <c r="K777" s="873"/>
      <c r="L777" s="873"/>
      <c r="M777" s="873"/>
      <c r="N777" s="873"/>
      <c r="O777" s="873"/>
      <c r="P777" s="873"/>
      <c r="Q777" s="873"/>
      <c r="R777" s="873"/>
      <c r="S777" s="873"/>
      <c r="T777" s="873"/>
      <c r="U777" s="873"/>
      <c r="V777" s="873"/>
      <c r="W777" s="873"/>
      <c r="X777" s="873"/>
      <c r="Y777" s="873"/>
      <c r="Z777" s="873"/>
      <c r="AA777" s="873"/>
      <c r="AB777" s="873"/>
      <c r="AC777" s="873"/>
      <c r="AD777" s="873"/>
      <c r="AE777" s="873"/>
      <c r="AF777" s="873"/>
      <c r="AG777" s="873"/>
      <c r="AH777" s="873"/>
      <c r="AI777" s="873"/>
      <c r="AJ777" s="873"/>
      <c r="AK777" s="873"/>
      <c r="AL777" s="873"/>
      <c r="AM777" s="873"/>
      <c r="AN777" s="873"/>
      <c r="AO777" s="873"/>
      <c r="AP777" s="873"/>
      <c r="AQ777" s="873"/>
      <c r="AR777" s="873"/>
      <c r="AS777" s="873"/>
      <c r="AT777" s="873"/>
      <c r="AU777" s="873"/>
      <c r="AV777" s="873"/>
    </row>
    <row r="778" spans="1:48" ht="11.25" customHeight="1" x14ac:dyDescent="0.2">
      <c r="A778" s="873"/>
      <c r="B778" s="873"/>
      <c r="C778" s="873"/>
      <c r="D778" s="873"/>
      <c r="E778" s="873"/>
      <c r="F778" s="873"/>
      <c r="G778" s="873"/>
      <c r="H778" s="873"/>
      <c r="I778" s="873"/>
      <c r="J778" s="873"/>
      <c r="K778" s="873"/>
      <c r="L778" s="873"/>
      <c r="M778" s="873"/>
      <c r="N778" s="873"/>
      <c r="O778" s="873"/>
      <c r="P778" s="873"/>
      <c r="Q778" s="873"/>
      <c r="R778" s="873"/>
      <c r="S778" s="873"/>
      <c r="T778" s="873"/>
      <c r="U778" s="873"/>
      <c r="V778" s="873"/>
      <c r="W778" s="873"/>
      <c r="X778" s="873"/>
      <c r="Y778" s="873"/>
      <c r="Z778" s="873"/>
      <c r="AA778" s="873"/>
      <c r="AB778" s="873"/>
      <c r="AC778" s="873"/>
      <c r="AD778" s="873"/>
      <c r="AE778" s="873"/>
      <c r="AF778" s="873"/>
      <c r="AG778" s="873"/>
      <c r="AH778" s="873"/>
      <c r="AI778" s="873"/>
      <c r="AJ778" s="873"/>
      <c r="AK778" s="873"/>
      <c r="AL778" s="873"/>
      <c r="AM778" s="873"/>
      <c r="AN778" s="873"/>
      <c r="AO778" s="873"/>
      <c r="AP778" s="873"/>
      <c r="AQ778" s="873"/>
      <c r="AR778" s="873"/>
      <c r="AS778" s="873"/>
      <c r="AT778" s="873"/>
      <c r="AU778" s="873"/>
      <c r="AV778" s="873"/>
    </row>
    <row r="779" spans="1:48" ht="11.25" customHeight="1" x14ac:dyDescent="0.2">
      <c r="A779" s="873"/>
      <c r="B779" s="873"/>
      <c r="C779" s="873"/>
      <c r="D779" s="873"/>
      <c r="E779" s="873"/>
      <c r="F779" s="873"/>
      <c r="G779" s="873"/>
      <c r="H779" s="873"/>
      <c r="I779" s="873"/>
      <c r="J779" s="873"/>
      <c r="K779" s="873"/>
      <c r="L779" s="873"/>
      <c r="M779" s="873"/>
      <c r="N779" s="873"/>
      <c r="O779" s="873"/>
      <c r="P779" s="873"/>
      <c r="Q779" s="873"/>
      <c r="R779" s="873"/>
      <c r="S779" s="873"/>
      <c r="T779" s="873"/>
      <c r="U779" s="873"/>
      <c r="V779" s="873"/>
      <c r="W779" s="873"/>
      <c r="X779" s="873"/>
      <c r="Y779" s="873"/>
      <c r="Z779" s="873"/>
      <c r="AA779" s="873"/>
      <c r="AB779" s="873"/>
      <c r="AC779" s="873"/>
      <c r="AD779" s="873"/>
      <c r="AE779" s="873"/>
      <c r="AF779" s="873"/>
      <c r="AG779" s="873"/>
      <c r="AH779" s="873"/>
      <c r="AI779" s="873"/>
      <c r="AJ779" s="873"/>
      <c r="AK779" s="873"/>
      <c r="AL779" s="873"/>
      <c r="AM779" s="873"/>
      <c r="AN779" s="873"/>
      <c r="AO779" s="873"/>
      <c r="AP779" s="873"/>
      <c r="AQ779" s="873"/>
      <c r="AR779" s="873"/>
      <c r="AS779" s="873"/>
      <c r="AT779" s="873"/>
      <c r="AU779" s="873"/>
      <c r="AV779" s="873"/>
    </row>
    <row r="780" spans="1:48" ht="11.25" customHeight="1" x14ac:dyDescent="0.2">
      <c r="A780" s="873"/>
      <c r="B780" s="873"/>
      <c r="C780" s="873"/>
      <c r="D780" s="873"/>
      <c r="E780" s="873"/>
      <c r="F780" s="873"/>
      <c r="G780" s="873"/>
      <c r="H780" s="873"/>
      <c r="I780" s="873"/>
      <c r="J780" s="873"/>
      <c r="K780" s="873"/>
      <c r="L780" s="873"/>
      <c r="M780" s="873"/>
      <c r="N780" s="873"/>
      <c r="O780" s="873"/>
      <c r="P780" s="873"/>
      <c r="Q780" s="873"/>
      <c r="R780" s="873"/>
      <c r="S780" s="873"/>
      <c r="T780" s="873"/>
      <c r="U780" s="873"/>
      <c r="V780" s="873"/>
      <c r="W780" s="873"/>
      <c r="X780" s="873"/>
      <c r="Y780" s="873"/>
      <c r="Z780" s="873"/>
      <c r="AA780" s="873"/>
      <c r="AB780" s="873"/>
      <c r="AC780" s="873"/>
      <c r="AD780" s="873"/>
      <c r="AE780" s="873"/>
      <c r="AF780" s="873"/>
      <c r="AG780" s="873"/>
      <c r="AH780" s="873"/>
      <c r="AI780" s="873"/>
      <c r="AJ780" s="873"/>
      <c r="AK780" s="873"/>
      <c r="AL780" s="873"/>
      <c r="AM780" s="873"/>
      <c r="AN780" s="873"/>
      <c r="AO780" s="873"/>
      <c r="AP780" s="873"/>
      <c r="AQ780" s="873"/>
      <c r="AR780" s="873"/>
      <c r="AS780" s="873"/>
      <c r="AT780" s="873"/>
      <c r="AU780" s="873"/>
      <c r="AV780" s="873"/>
    </row>
    <row r="781" spans="1:48" ht="11.25" customHeight="1" x14ac:dyDescent="0.2">
      <c r="A781" s="873"/>
      <c r="B781" s="873"/>
      <c r="C781" s="873"/>
      <c r="D781" s="873"/>
      <c r="E781" s="873"/>
      <c r="F781" s="873"/>
      <c r="G781" s="873"/>
      <c r="H781" s="873"/>
      <c r="I781" s="873"/>
      <c r="J781" s="873"/>
      <c r="K781" s="873"/>
      <c r="L781" s="873"/>
      <c r="M781" s="873"/>
      <c r="N781" s="873"/>
      <c r="O781" s="873"/>
      <c r="P781" s="873"/>
      <c r="Q781" s="873"/>
      <c r="R781" s="873"/>
      <c r="S781" s="873"/>
      <c r="T781" s="873"/>
      <c r="U781" s="873"/>
      <c r="V781" s="873"/>
      <c r="W781" s="873"/>
      <c r="X781" s="873"/>
      <c r="Y781" s="873"/>
      <c r="Z781" s="873"/>
      <c r="AA781" s="873"/>
      <c r="AB781" s="873"/>
      <c r="AC781" s="873"/>
      <c r="AD781" s="873"/>
      <c r="AE781" s="873"/>
      <c r="AF781" s="873"/>
      <c r="AG781" s="873"/>
      <c r="AH781" s="873"/>
      <c r="AI781" s="873"/>
      <c r="AJ781" s="873"/>
      <c r="AK781" s="873"/>
      <c r="AL781" s="873"/>
      <c r="AM781" s="873"/>
      <c r="AN781" s="873"/>
      <c r="AO781" s="873"/>
      <c r="AP781" s="873"/>
      <c r="AQ781" s="873"/>
      <c r="AR781" s="873"/>
      <c r="AS781" s="873"/>
      <c r="AT781" s="873"/>
      <c r="AU781" s="873"/>
      <c r="AV781" s="873"/>
    </row>
    <row r="782" spans="1:48" ht="11.25" customHeight="1" x14ac:dyDescent="0.2">
      <c r="A782" s="873"/>
      <c r="B782" s="873"/>
      <c r="C782" s="873"/>
      <c r="D782" s="873"/>
      <c r="E782" s="873"/>
      <c r="F782" s="873"/>
      <c r="G782" s="873"/>
      <c r="H782" s="873"/>
      <c r="I782" s="873"/>
      <c r="J782" s="873"/>
      <c r="K782" s="873"/>
      <c r="L782" s="873"/>
      <c r="M782" s="873"/>
      <c r="N782" s="873"/>
      <c r="O782" s="873"/>
      <c r="P782" s="873"/>
      <c r="Q782" s="873"/>
      <c r="R782" s="873"/>
      <c r="S782" s="873"/>
      <c r="T782" s="873"/>
      <c r="U782" s="873"/>
      <c r="V782" s="873"/>
      <c r="W782" s="873"/>
      <c r="X782" s="873"/>
      <c r="Y782" s="873"/>
      <c r="Z782" s="873"/>
      <c r="AA782" s="873"/>
      <c r="AB782" s="873"/>
      <c r="AC782" s="873"/>
      <c r="AD782" s="873"/>
      <c r="AE782" s="873"/>
      <c r="AF782" s="873"/>
      <c r="AG782" s="873"/>
      <c r="AH782" s="873"/>
      <c r="AI782" s="873"/>
      <c r="AJ782" s="873"/>
      <c r="AK782" s="873"/>
      <c r="AL782" s="873"/>
      <c r="AM782" s="873"/>
      <c r="AN782" s="873"/>
      <c r="AO782" s="873"/>
      <c r="AP782" s="873"/>
      <c r="AQ782" s="873"/>
      <c r="AR782" s="873"/>
      <c r="AS782" s="873"/>
      <c r="AT782" s="873"/>
      <c r="AU782" s="873"/>
      <c r="AV782" s="873"/>
    </row>
    <row r="783" spans="1:48" ht="11.25" customHeight="1" x14ac:dyDescent="0.2">
      <c r="A783" s="873"/>
      <c r="B783" s="873"/>
      <c r="C783" s="873"/>
      <c r="D783" s="873"/>
      <c r="E783" s="873"/>
      <c r="F783" s="873"/>
      <c r="G783" s="873"/>
      <c r="H783" s="873"/>
      <c r="I783" s="873"/>
      <c r="J783" s="873"/>
      <c r="K783" s="873"/>
      <c r="L783" s="873"/>
      <c r="M783" s="873"/>
      <c r="N783" s="873"/>
      <c r="O783" s="873"/>
      <c r="P783" s="873"/>
      <c r="Q783" s="873"/>
      <c r="R783" s="873"/>
      <c r="S783" s="873"/>
      <c r="T783" s="873"/>
      <c r="U783" s="873"/>
      <c r="V783" s="873"/>
      <c r="W783" s="873"/>
      <c r="X783" s="873"/>
      <c r="Y783" s="873"/>
      <c r="Z783" s="873"/>
      <c r="AA783" s="873"/>
      <c r="AB783" s="873"/>
      <c r="AC783" s="873"/>
      <c r="AD783" s="873"/>
      <c r="AE783" s="873"/>
      <c r="AF783" s="873"/>
      <c r="AG783" s="873"/>
      <c r="AH783" s="873"/>
      <c r="AI783" s="873"/>
      <c r="AJ783" s="873"/>
      <c r="AK783" s="873"/>
      <c r="AL783" s="873"/>
      <c r="AM783" s="873"/>
      <c r="AN783" s="873"/>
      <c r="AO783" s="873"/>
      <c r="AP783" s="873"/>
      <c r="AQ783" s="873"/>
      <c r="AR783" s="873"/>
      <c r="AS783" s="873"/>
      <c r="AT783" s="873"/>
      <c r="AU783" s="873"/>
      <c r="AV783" s="873"/>
    </row>
    <row r="784" spans="1:48" ht="11.25" customHeight="1" x14ac:dyDescent="0.2">
      <c r="A784" s="873"/>
      <c r="B784" s="873"/>
      <c r="C784" s="873"/>
      <c r="D784" s="873"/>
      <c r="E784" s="873"/>
      <c r="F784" s="873"/>
      <c r="G784" s="873"/>
      <c r="H784" s="873"/>
      <c r="I784" s="873"/>
      <c r="J784" s="873"/>
      <c r="K784" s="873"/>
      <c r="L784" s="873"/>
      <c r="M784" s="873"/>
      <c r="N784" s="873"/>
      <c r="O784" s="873"/>
      <c r="P784" s="873"/>
      <c r="Q784" s="873"/>
      <c r="R784" s="873"/>
      <c r="S784" s="873"/>
      <c r="T784" s="873"/>
      <c r="U784" s="873"/>
      <c r="V784" s="873"/>
      <c r="W784" s="873"/>
      <c r="X784" s="873"/>
      <c r="Y784" s="873"/>
      <c r="Z784" s="873"/>
      <c r="AA784" s="873"/>
      <c r="AB784" s="873"/>
      <c r="AC784" s="873"/>
      <c r="AD784" s="873"/>
      <c r="AE784" s="873"/>
      <c r="AF784" s="873"/>
      <c r="AG784" s="873"/>
      <c r="AH784" s="873"/>
      <c r="AI784" s="873"/>
      <c r="AJ784" s="873"/>
      <c r="AK784" s="873"/>
      <c r="AL784" s="873"/>
      <c r="AM784" s="873"/>
      <c r="AN784" s="873"/>
      <c r="AO784" s="873"/>
      <c r="AP784" s="873"/>
      <c r="AQ784" s="873"/>
      <c r="AR784" s="873"/>
      <c r="AS784" s="873"/>
      <c r="AT784" s="873"/>
      <c r="AU784" s="873"/>
      <c r="AV784" s="873"/>
    </row>
    <row r="785" spans="1:48" ht="11.25" customHeight="1" x14ac:dyDescent="0.2">
      <c r="A785" s="873"/>
      <c r="B785" s="873"/>
      <c r="C785" s="873"/>
      <c r="D785" s="873"/>
      <c r="E785" s="873"/>
      <c r="F785" s="873"/>
      <c r="G785" s="873"/>
      <c r="H785" s="873"/>
      <c r="I785" s="873"/>
      <c r="J785" s="873"/>
      <c r="K785" s="873"/>
      <c r="L785" s="873"/>
      <c r="M785" s="873"/>
      <c r="N785" s="873"/>
      <c r="O785" s="873"/>
      <c r="P785" s="873"/>
      <c r="Q785" s="873"/>
      <c r="R785" s="873"/>
      <c r="S785" s="873"/>
      <c r="T785" s="873"/>
      <c r="U785" s="873"/>
      <c r="V785" s="873"/>
      <c r="W785" s="873"/>
      <c r="X785" s="873"/>
      <c r="Y785" s="873"/>
      <c r="Z785" s="873"/>
      <c r="AA785" s="873"/>
      <c r="AB785" s="873"/>
      <c r="AC785" s="873"/>
      <c r="AD785" s="873"/>
      <c r="AE785" s="873"/>
      <c r="AF785" s="873"/>
      <c r="AG785" s="873"/>
      <c r="AH785" s="873"/>
      <c r="AI785" s="873"/>
      <c r="AJ785" s="873"/>
      <c r="AK785" s="873"/>
      <c r="AL785" s="873"/>
      <c r="AM785" s="873"/>
      <c r="AN785" s="873"/>
      <c r="AO785" s="873"/>
      <c r="AP785" s="873"/>
      <c r="AQ785" s="873"/>
      <c r="AR785" s="873"/>
      <c r="AS785" s="873"/>
      <c r="AT785" s="873"/>
      <c r="AU785" s="873"/>
      <c r="AV785" s="873"/>
    </row>
    <row r="786" spans="1:48" ht="11.25" customHeight="1" x14ac:dyDescent="0.2">
      <c r="A786" s="873"/>
      <c r="B786" s="873"/>
      <c r="C786" s="873"/>
      <c r="D786" s="873"/>
      <c r="E786" s="873"/>
      <c r="F786" s="873"/>
      <c r="G786" s="873"/>
      <c r="H786" s="873"/>
      <c r="I786" s="873"/>
      <c r="J786" s="873"/>
      <c r="K786" s="873"/>
      <c r="L786" s="873"/>
      <c r="M786" s="873"/>
      <c r="N786" s="873"/>
      <c r="O786" s="873"/>
      <c r="P786" s="873"/>
      <c r="Q786" s="873"/>
      <c r="R786" s="873"/>
      <c r="S786" s="873"/>
      <c r="T786" s="873"/>
      <c r="U786" s="873"/>
      <c r="V786" s="873"/>
      <c r="W786" s="873"/>
      <c r="X786" s="873"/>
      <c r="Y786" s="873"/>
      <c r="Z786" s="873"/>
      <c r="AA786" s="873"/>
      <c r="AB786" s="873"/>
      <c r="AC786" s="873"/>
      <c r="AD786" s="873"/>
      <c r="AE786" s="873"/>
      <c r="AF786" s="873"/>
      <c r="AG786" s="873"/>
      <c r="AH786" s="873"/>
      <c r="AI786" s="873"/>
      <c r="AJ786" s="873"/>
      <c r="AK786" s="873"/>
      <c r="AL786" s="873"/>
      <c r="AM786" s="873"/>
      <c r="AN786" s="873"/>
      <c r="AO786" s="873"/>
      <c r="AP786" s="873"/>
      <c r="AQ786" s="873"/>
      <c r="AR786" s="873"/>
      <c r="AS786" s="873"/>
      <c r="AT786" s="873"/>
      <c r="AU786" s="873"/>
      <c r="AV786" s="873"/>
    </row>
    <row r="787" spans="1:48" ht="11.25" customHeight="1" x14ac:dyDescent="0.2">
      <c r="A787" s="873"/>
      <c r="B787" s="873"/>
      <c r="C787" s="873"/>
      <c r="D787" s="873"/>
      <c r="E787" s="873"/>
      <c r="F787" s="873"/>
      <c r="G787" s="873"/>
      <c r="H787" s="873"/>
      <c r="I787" s="873"/>
      <c r="J787" s="873"/>
      <c r="K787" s="873"/>
      <c r="L787" s="873"/>
      <c r="M787" s="873"/>
      <c r="N787" s="873"/>
      <c r="O787" s="873"/>
      <c r="P787" s="873"/>
      <c r="Q787" s="873"/>
      <c r="R787" s="873"/>
      <c r="S787" s="873"/>
      <c r="T787" s="873"/>
      <c r="U787" s="873"/>
      <c r="V787" s="873"/>
      <c r="W787" s="873"/>
      <c r="X787" s="873"/>
      <c r="Y787" s="873"/>
      <c r="Z787" s="873"/>
      <c r="AA787" s="873"/>
      <c r="AB787" s="873"/>
      <c r="AC787" s="873"/>
      <c r="AD787" s="873"/>
      <c r="AE787" s="873"/>
      <c r="AF787" s="873"/>
      <c r="AG787" s="873"/>
      <c r="AH787" s="873"/>
      <c r="AI787" s="873"/>
      <c r="AJ787" s="873"/>
      <c r="AK787" s="873"/>
      <c r="AL787" s="873"/>
      <c r="AM787" s="873"/>
      <c r="AN787" s="873"/>
      <c r="AO787" s="873"/>
      <c r="AP787" s="873"/>
      <c r="AQ787" s="873"/>
      <c r="AR787" s="873"/>
      <c r="AS787" s="873"/>
      <c r="AT787" s="873"/>
      <c r="AU787" s="873"/>
      <c r="AV787" s="873"/>
    </row>
    <row r="788" spans="1:48" ht="11.25" customHeight="1" x14ac:dyDescent="0.2">
      <c r="A788" s="873"/>
      <c r="B788" s="873"/>
      <c r="C788" s="873"/>
      <c r="D788" s="873"/>
      <c r="E788" s="873"/>
      <c r="F788" s="873"/>
      <c r="G788" s="873"/>
      <c r="H788" s="873"/>
      <c r="I788" s="873"/>
      <c r="J788" s="873"/>
      <c r="K788" s="873"/>
      <c r="L788" s="873"/>
      <c r="M788" s="873"/>
      <c r="N788" s="873"/>
      <c r="O788" s="873"/>
      <c r="P788" s="873"/>
      <c r="Q788" s="873"/>
      <c r="R788" s="873"/>
      <c r="S788" s="873"/>
      <c r="T788" s="873"/>
      <c r="U788" s="873"/>
      <c r="V788" s="873"/>
      <c r="W788" s="873"/>
      <c r="X788" s="873"/>
      <c r="Y788" s="873"/>
      <c r="Z788" s="873"/>
      <c r="AA788" s="873"/>
      <c r="AB788" s="873"/>
      <c r="AC788" s="873"/>
      <c r="AD788" s="873"/>
      <c r="AE788" s="873"/>
      <c r="AF788" s="873"/>
      <c r="AG788" s="873"/>
      <c r="AH788" s="873"/>
      <c r="AI788" s="873"/>
      <c r="AJ788" s="873"/>
      <c r="AK788" s="873"/>
      <c r="AL788" s="873"/>
      <c r="AM788" s="873"/>
      <c r="AN788" s="873"/>
      <c r="AO788" s="873"/>
      <c r="AP788" s="873"/>
      <c r="AQ788" s="873"/>
      <c r="AR788" s="873"/>
      <c r="AS788" s="873"/>
      <c r="AT788" s="873"/>
      <c r="AU788" s="873"/>
      <c r="AV788" s="873"/>
    </row>
    <row r="789" spans="1:48" ht="11.25" customHeight="1" x14ac:dyDescent="0.2">
      <c r="A789" s="873"/>
      <c r="B789" s="873"/>
      <c r="C789" s="873"/>
      <c r="D789" s="873"/>
      <c r="E789" s="873"/>
      <c r="F789" s="873"/>
      <c r="G789" s="873"/>
      <c r="H789" s="873"/>
      <c r="I789" s="873"/>
      <c r="J789" s="873"/>
      <c r="K789" s="873"/>
      <c r="L789" s="873"/>
      <c r="M789" s="873"/>
      <c r="N789" s="873"/>
      <c r="O789" s="873"/>
      <c r="P789" s="873"/>
      <c r="Q789" s="873"/>
      <c r="R789" s="873"/>
      <c r="S789" s="873"/>
      <c r="T789" s="873"/>
      <c r="U789" s="873"/>
      <c r="V789" s="873"/>
      <c r="W789" s="873"/>
      <c r="X789" s="873"/>
      <c r="Y789" s="873"/>
      <c r="Z789" s="873"/>
      <c r="AA789" s="873"/>
      <c r="AB789" s="873"/>
      <c r="AC789" s="873"/>
      <c r="AD789" s="873"/>
      <c r="AE789" s="873"/>
      <c r="AF789" s="873"/>
      <c r="AG789" s="873"/>
      <c r="AH789" s="873"/>
      <c r="AI789" s="873"/>
      <c r="AJ789" s="873"/>
      <c r="AK789" s="873"/>
      <c r="AL789" s="873"/>
      <c r="AM789" s="873"/>
      <c r="AN789" s="873"/>
      <c r="AO789" s="873"/>
      <c r="AP789" s="873"/>
      <c r="AQ789" s="873"/>
      <c r="AR789" s="873"/>
      <c r="AS789" s="873"/>
      <c r="AT789" s="873"/>
      <c r="AU789" s="873"/>
      <c r="AV789" s="873"/>
    </row>
    <row r="790" spans="1:48" ht="11.25" customHeight="1" x14ac:dyDescent="0.2">
      <c r="A790" s="873"/>
      <c r="B790" s="873"/>
      <c r="C790" s="873"/>
      <c r="D790" s="873"/>
      <c r="E790" s="873"/>
      <c r="F790" s="873"/>
      <c r="G790" s="873"/>
      <c r="H790" s="873"/>
      <c r="I790" s="873"/>
      <c r="J790" s="873"/>
      <c r="K790" s="873"/>
      <c r="L790" s="873"/>
      <c r="M790" s="873"/>
      <c r="N790" s="873"/>
      <c r="O790" s="873"/>
      <c r="P790" s="873"/>
      <c r="Q790" s="873"/>
      <c r="R790" s="873"/>
      <c r="S790" s="873"/>
      <c r="T790" s="873"/>
      <c r="U790" s="873"/>
      <c r="V790" s="873"/>
      <c r="W790" s="873"/>
      <c r="X790" s="873"/>
      <c r="Y790" s="873"/>
      <c r="Z790" s="873"/>
      <c r="AA790" s="873"/>
      <c r="AB790" s="873"/>
      <c r="AC790" s="873"/>
      <c r="AD790" s="873"/>
      <c r="AE790" s="873"/>
      <c r="AF790" s="873"/>
      <c r="AG790" s="873"/>
      <c r="AH790" s="873"/>
      <c r="AI790" s="873"/>
      <c r="AJ790" s="873"/>
      <c r="AK790" s="873"/>
      <c r="AL790" s="873"/>
      <c r="AM790" s="873"/>
      <c r="AN790" s="873"/>
      <c r="AO790" s="873"/>
      <c r="AP790" s="873"/>
      <c r="AQ790" s="873"/>
      <c r="AR790" s="873"/>
      <c r="AS790" s="873"/>
      <c r="AT790" s="873"/>
      <c r="AU790" s="873"/>
      <c r="AV790" s="873"/>
    </row>
    <row r="791" spans="1:48" ht="11.25" customHeight="1" x14ac:dyDescent="0.2">
      <c r="A791" s="873"/>
      <c r="B791" s="873"/>
      <c r="C791" s="873"/>
      <c r="D791" s="873"/>
      <c r="E791" s="873"/>
      <c r="F791" s="873"/>
      <c r="G791" s="873"/>
      <c r="H791" s="873"/>
      <c r="I791" s="873"/>
      <c r="J791" s="873"/>
      <c r="K791" s="873"/>
      <c r="L791" s="873"/>
      <c r="M791" s="873"/>
      <c r="N791" s="873"/>
      <c r="O791" s="873"/>
      <c r="P791" s="873"/>
      <c r="Q791" s="873"/>
      <c r="R791" s="873"/>
      <c r="S791" s="873"/>
      <c r="T791" s="873"/>
      <c r="U791" s="873"/>
      <c r="V791" s="873"/>
      <c r="W791" s="873"/>
      <c r="X791" s="873"/>
      <c r="Y791" s="873"/>
      <c r="Z791" s="873"/>
      <c r="AA791" s="873"/>
      <c r="AB791" s="873"/>
      <c r="AC791" s="873"/>
      <c r="AD791" s="873"/>
      <c r="AE791" s="873"/>
      <c r="AF791" s="873"/>
      <c r="AG791" s="873"/>
      <c r="AH791" s="873"/>
      <c r="AI791" s="873"/>
      <c r="AJ791" s="873"/>
      <c r="AK791" s="873"/>
      <c r="AL791" s="873"/>
      <c r="AM791" s="873"/>
      <c r="AN791" s="873"/>
      <c r="AO791" s="873"/>
      <c r="AP791" s="873"/>
      <c r="AQ791" s="873"/>
      <c r="AR791" s="873"/>
      <c r="AS791" s="873"/>
      <c r="AT791" s="873"/>
      <c r="AU791" s="873"/>
      <c r="AV791" s="873"/>
    </row>
    <row r="792" spans="1:48" ht="11.25" customHeight="1" x14ac:dyDescent="0.2">
      <c r="A792" s="873"/>
      <c r="B792" s="873"/>
      <c r="C792" s="873"/>
      <c r="D792" s="873"/>
      <c r="E792" s="873"/>
      <c r="F792" s="873"/>
      <c r="G792" s="873"/>
      <c r="H792" s="873"/>
      <c r="I792" s="873"/>
      <c r="J792" s="873"/>
      <c r="K792" s="873"/>
      <c r="L792" s="873"/>
      <c r="M792" s="873"/>
      <c r="N792" s="873"/>
      <c r="O792" s="873"/>
      <c r="P792" s="873"/>
      <c r="Q792" s="873"/>
      <c r="R792" s="873"/>
      <c r="S792" s="873"/>
      <c r="T792" s="873"/>
      <c r="U792" s="873"/>
      <c r="V792" s="873"/>
      <c r="W792" s="873"/>
      <c r="X792" s="873"/>
      <c r="Y792" s="873"/>
      <c r="Z792" s="873"/>
      <c r="AA792" s="873"/>
      <c r="AB792" s="873"/>
      <c r="AC792" s="873"/>
      <c r="AD792" s="873"/>
      <c r="AE792" s="873"/>
      <c r="AF792" s="873"/>
      <c r="AG792" s="873"/>
      <c r="AH792" s="873"/>
      <c r="AI792" s="873"/>
      <c r="AJ792" s="873"/>
      <c r="AK792" s="873"/>
      <c r="AL792" s="873"/>
      <c r="AM792" s="873"/>
      <c r="AN792" s="873"/>
      <c r="AO792" s="873"/>
      <c r="AP792" s="873"/>
      <c r="AQ792" s="873"/>
      <c r="AR792" s="873"/>
      <c r="AS792" s="873"/>
      <c r="AT792" s="873"/>
      <c r="AU792" s="873"/>
      <c r="AV792" s="873"/>
    </row>
    <row r="793" spans="1:48" ht="11.25" customHeight="1" x14ac:dyDescent="0.2">
      <c r="A793" s="873"/>
      <c r="B793" s="873"/>
      <c r="C793" s="873"/>
      <c r="D793" s="873"/>
      <c r="E793" s="873"/>
      <c r="F793" s="873"/>
      <c r="G793" s="873"/>
      <c r="H793" s="873"/>
      <c r="I793" s="873"/>
      <c r="J793" s="873"/>
      <c r="K793" s="873"/>
      <c r="L793" s="873"/>
      <c r="M793" s="873"/>
      <c r="N793" s="873"/>
      <c r="O793" s="873"/>
      <c r="P793" s="873"/>
      <c r="Q793" s="873"/>
      <c r="R793" s="873"/>
      <c r="S793" s="873"/>
      <c r="T793" s="873"/>
      <c r="U793" s="873"/>
      <c r="V793" s="873"/>
      <c r="W793" s="873"/>
      <c r="X793" s="873"/>
      <c r="Y793" s="873"/>
      <c r="Z793" s="873"/>
      <c r="AA793" s="873"/>
      <c r="AB793" s="873"/>
      <c r="AC793" s="873"/>
      <c r="AD793" s="873"/>
      <c r="AE793" s="873"/>
      <c r="AF793" s="873"/>
      <c r="AG793" s="873"/>
      <c r="AH793" s="873"/>
      <c r="AI793" s="873"/>
      <c r="AJ793" s="873"/>
      <c r="AK793" s="873"/>
      <c r="AL793" s="873"/>
      <c r="AM793" s="873"/>
      <c r="AN793" s="873"/>
      <c r="AO793" s="873"/>
      <c r="AP793" s="873"/>
      <c r="AQ793" s="873"/>
      <c r="AR793" s="873"/>
      <c r="AS793" s="873"/>
      <c r="AT793" s="873"/>
      <c r="AU793" s="873"/>
      <c r="AV793" s="873"/>
    </row>
    <row r="794" spans="1:48" ht="11.25" customHeight="1" x14ac:dyDescent="0.2">
      <c r="A794" s="873"/>
      <c r="B794" s="873"/>
      <c r="C794" s="873"/>
      <c r="D794" s="873"/>
      <c r="E794" s="873"/>
      <c r="F794" s="873"/>
      <c r="G794" s="873"/>
      <c r="H794" s="873"/>
      <c r="I794" s="873"/>
      <c r="J794" s="873"/>
      <c r="K794" s="873"/>
      <c r="L794" s="873"/>
      <c r="M794" s="873"/>
      <c r="N794" s="873"/>
      <c r="O794" s="873"/>
      <c r="P794" s="873"/>
      <c r="Q794" s="873"/>
      <c r="R794" s="873"/>
      <c r="S794" s="873"/>
      <c r="T794" s="873"/>
      <c r="U794" s="873"/>
      <c r="V794" s="873"/>
      <c r="W794" s="873"/>
      <c r="X794" s="873"/>
      <c r="Y794" s="873"/>
      <c r="Z794" s="873"/>
      <c r="AA794" s="873"/>
      <c r="AB794" s="873"/>
      <c r="AC794" s="873"/>
      <c r="AD794" s="873"/>
      <c r="AE794" s="873"/>
      <c r="AF794" s="873"/>
      <c r="AG794" s="873"/>
      <c r="AH794" s="873"/>
      <c r="AI794" s="873"/>
      <c r="AJ794" s="873"/>
      <c r="AK794" s="873"/>
      <c r="AL794" s="873"/>
      <c r="AM794" s="873"/>
      <c r="AN794" s="873"/>
      <c r="AO794" s="873"/>
      <c r="AP794" s="873"/>
      <c r="AQ794" s="873"/>
      <c r="AR794" s="873"/>
      <c r="AS794" s="873"/>
      <c r="AT794" s="873"/>
      <c r="AU794" s="873"/>
      <c r="AV794" s="873"/>
    </row>
    <row r="795" spans="1:48" ht="11.25" customHeight="1" x14ac:dyDescent="0.2">
      <c r="A795" s="873"/>
      <c r="B795" s="873"/>
      <c r="C795" s="873"/>
      <c r="D795" s="873"/>
      <c r="E795" s="873"/>
      <c r="F795" s="873"/>
      <c r="G795" s="873"/>
      <c r="H795" s="873"/>
      <c r="I795" s="873"/>
      <c r="J795" s="873"/>
      <c r="K795" s="873"/>
      <c r="L795" s="873"/>
      <c r="M795" s="873"/>
      <c r="N795" s="873"/>
      <c r="O795" s="873"/>
      <c r="P795" s="873"/>
      <c r="Q795" s="873"/>
      <c r="R795" s="873"/>
      <c r="S795" s="873"/>
      <c r="T795" s="873"/>
      <c r="U795" s="873"/>
      <c r="V795" s="873"/>
      <c r="W795" s="873"/>
      <c r="X795" s="873"/>
      <c r="Y795" s="873"/>
      <c r="Z795" s="873"/>
      <c r="AA795" s="873"/>
      <c r="AB795" s="873"/>
      <c r="AC795" s="873"/>
      <c r="AD795" s="873"/>
      <c r="AE795" s="873"/>
      <c r="AF795" s="873"/>
      <c r="AG795" s="873"/>
      <c r="AH795" s="873"/>
      <c r="AI795" s="873"/>
      <c r="AJ795" s="873"/>
      <c r="AK795" s="873"/>
      <c r="AL795" s="873"/>
      <c r="AM795" s="873"/>
      <c r="AN795" s="873"/>
      <c r="AO795" s="873"/>
      <c r="AP795" s="873"/>
      <c r="AQ795" s="873"/>
      <c r="AR795" s="873"/>
      <c r="AS795" s="873"/>
      <c r="AT795" s="873"/>
      <c r="AU795" s="873"/>
      <c r="AV795" s="873"/>
    </row>
    <row r="796" spans="1:48" ht="11.25" customHeight="1" x14ac:dyDescent="0.2">
      <c r="A796" s="873"/>
      <c r="B796" s="873"/>
      <c r="C796" s="873"/>
      <c r="D796" s="873"/>
      <c r="E796" s="873"/>
      <c r="F796" s="873"/>
      <c r="G796" s="873"/>
      <c r="H796" s="873"/>
      <c r="I796" s="873"/>
      <c r="J796" s="873"/>
      <c r="K796" s="873"/>
      <c r="L796" s="873"/>
      <c r="M796" s="873"/>
      <c r="N796" s="873"/>
      <c r="O796" s="873"/>
      <c r="P796" s="873"/>
      <c r="Q796" s="873"/>
      <c r="R796" s="873"/>
      <c r="S796" s="873"/>
      <c r="T796" s="873"/>
      <c r="U796" s="873"/>
      <c r="V796" s="873"/>
      <c r="W796" s="873"/>
      <c r="X796" s="873"/>
      <c r="Y796" s="873"/>
      <c r="Z796" s="873"/>
      <c r="AA796" s="873"/>
      <c r="AB796" s="873"/>
      <c r="AC796" s="873"/>
      <c r="AD796" s="873"/>
      <c r="AE796" s="873"/>
      <c r="AF796" s="873"/>
      <c r="AG796" s="873"/>
      <c r="AH796" s="873"/>
      <c r="AI796" s="873"/>
      <c r="AJ796" s="873"/>
      <c r="AK796" s="873"/>
      <c r="AL796" s="873"/>
      <c r="AM796" s="873"/>
      <c r="AN796" s="873"/>
      <c r="AO796" s="873"/>
      <c r="AP796" s="873"/>
      <c r="AQ796" s="873"/>
      <c r="AR796" s="873"/>
      <c r="AS796" s="873"/>
      <c r="AT796" s="873"/>
      <c r="AU796" s="873"/>
      <c r="AV796" s="873"/>
    </row>
    <row r="797" spans="1:48" ht="11.25" customHeight="1" x14ac:dyDescent="0.2">
      <c r="A797" s="873"/>
      <c r="B797" s="873"/>
      <c r="C797" s="873"/>
      <c r="D797" s="873"/>
      <c r="E797" s="873"/>
      <c r="F797" s="873"/>
      <c r="G797" s="873"/>
      <c r="H797" s="873"/>
      <c r="I797" s="873"/>
      <c r="J797" s="873"/>
      <c r="K797" s="873"/>
      <c r="L797" s="873"/>
      <c r="M797" s="873"/>
      <c r="N797" s="873"/>
      <c r="O797" s="873"/>
      <c r="P797" s="873"/>
      <c r="Q797" s="873"/>
      <c r="R797" s="873"/>
      <c r="S797" s="873"/>
      <c r="T797" s="873"/>
      <c r="U797" s="873"/>
      <c r="V797" s="873"/>
      <c r="W797" s="873"/>
      <c r="X797" s="873"/>
      <c r="Y797" s="873"/>
      <c r="Z797" s="873"/>
      <c r="AA797" s="873"/>
      <c r="AB797" s="873"/>
      <c r="AC797" s="873"/>
      <c r="AD797" s="873"/>
      <c r="AE797" s="873"/>
      <c r="AF797" s="873"/>
      <c r="AG797" s="873"/>
      <c r="AH797" s="873"/>
      <c r="AI797" s="873"/>
      <c r="AJ797" s="873"/>
      <c r="AK797" s="873"/>
      <c r="AL797" s="873"/>
      <c r="AM797" s="873"/>
      <c r="AN797" s="873"/>
      <c r="AO797" s="873"/>
      <c r="AP797" s="873"/>
      <c r="AQ797" s="873"/>
      <c r="AR797" s="873"/>
      <c r="AS797" s="873"/>
      <c r="AT797" s="873"/>
      <c r="AU797" s="873"/>
      <c r="AV797" s="873"/>
    </row>
    <row r="798" spans="1:48" ht="11.25" customHeight="1" x14ac:dyDescent="0.2">
      <c r="A798" s="873"/>
      <c r="B798" s="873"/>
      <c r="C798" s="873"/>
      <c r="D798" s="873"/>
      <c r="E798" s="873"/>
      <c r="F798" s="873"/>
      <c r="G798" s="873"/>
      <c r="H798" s="873"/>
      <c r="I798" s="873"/>
      <c r="J798" s="873"/>
      <c r="K798" s="873"/>
      <c r="L798" s="873"/>
      <c r="M798" s="873"/>
      <c r="N798" s="873"/>
      <c r="O798" s="873"/>
      <c r="P798" s="873"/>
      <c r="Q798" s="873"/>
      <c r="R798" s="873"/>
      <c r="S798" s="873"/>
      <c r="T798" s="873"/>
      <c r="U798" s="873"/>
      <c r="V798" s="873"/>
      <c r="W798" s="873"/>
      <c r="X798" s="873"/>
      <c r="Y798" s="873"/>
      <c r="Z798" s="873"/>
      <c r="AA798" s="873"/>
      <c r="AB798" s="873"/>
      <c r="AC798" s="873"/>
      <c r="AD798" s="873"/>
      <c r="AE798" s="873"/>
      <c r="AF798" s="873"/>
      <c r="AG798" s="873"/>
      <c r="AH798" s="873"/>
      <c r="AI798" s="873"/>
      <c r="AJ798" s="873"/>
      <c r="AK798" s="873"/>
      <c r="AL798" s="873"/>
      <c r="AM798" s="873"/>
      <c r="AN798" s="873"/>
      <c r="AO798" s="873"/>
      <c r="AP798" s="873"/>
      <c r="AQ798" s="873"/>
      <c r="AR798" s="873"/>
      <c r="AS798" s="873"/>
      <c r="AT798" s="873"/>
      <c r="AU798" s="873"/>
      <c r="AV798" s="873"/>
    </row>
    <row r="799" spans="1:48" ht="11.25" customHeight="1" x14ac:dyDescent="0.2">
      <c r="A799" s="873"/>
      <c r="B799" s="873"/>
      <c r="C799" s="873"/>
      <c r="D799" s="873"/>
      <c r="E799" s="873"/>
      <c r="F799" s="873"/>
      <c r="G799" s="873"/>
      <c r="H799" s="873"/>
      <c r="I799" s="873"/>
      <c r="J799" s="873"/>
      <c r="K799" s="873"/>
      <c r="L799" s="873"/>
      <c r="M799" s="873"/>
      <c r="N799" s="873"/>
      <c r="O799" s="873"/>
      <c r="P799" s="873"/>
      <c r="Q799" s="873"/>
      <c r="R799" s="873"/>
      <c r="S799" s="873"/>
      <c r="T799" s="873"/>
      <c r="U799" s="873"/>
      <c r="V799" s="873"/>
      <c r="W799" s="873"/>
      <c r="X799" s="873"/>
      <c r="Y799" s="873"/>
      <c r="Z799" s="873"/>
      <c r="AA799" s="873"/>
      <c r="AB799" s="873"/>
      <c r="AC799" s="873"/>
      <c r="AD799" s="873"/>
      <c r="AE799" s="873"/>
      <c r="AF799" s="873"/>
      <c r="AG799" s="873"/>
      <c r="AH799" s="873"/>
      <c r="AI799" s="873"/>
      <c r="AJ799" s="873"/>
      <c r="AK799" s="873"/>
      <c r="AL799" s="873"/>
      <c r="AM799" s="873"/>
      <c r="AN799" s="873"/>
      <c r="AO799" s="873"/>
      <c r="AP799" s="873"/>
      <c r="AQ799" s="873"/>
      <c r="AR799" s="873"/>
      <c r="AS799" s="873"/>
      <c r="AT799" s="873"/>
      <c r="AU799" s="873"/>
      <c r="AV799" s="873"/>
    </row>
    <row r="800" spans="1:48" ht="11.25" customHeight="1" x14ac:dyDescent="0.2">
      <c r="A800" s="873"/>
      <c r="B800" s="873"/>
      <c r="C800" s="873"/>
      <c r="D800" s="873"/>
      <c r="E800" s="873"/>
      <c r="F800" s="873"/>
      <c r="G800" s="873"/>
      <c r="H800" s="873"/>
      <c r="I800" s="873"/>
      <c r="J800" s="873"/>
      <c r="K800" s="873"/>
      <c r="L800" s="873"/>
      <c r="M800" s="873"/>
      <c r="N800" s="873"/>
      <c r="O800" s="873"/>
      <c r="P800" s="873"/>
      <c r="Q800" s="873"/>
      <c r="R800" s="873"/>
      <c r="S800" s="873"/>
      <c r="T800" s="873"/>
      <c r="U800" s="873"/>
      <c r="V800" s="873"/>
      <c r="W800" s="873"/>
      <c r="X800" s="873"/>
      <c r="Y800" s="873"/>
      <c r="Z800" s="873"/>
      <c r="AA800" s="873"/>
      <c r="AB800" s="873"/>
      <c r="AC800" s="873"/>
      <c r="AD800" s="873"/>
      <c r="AE800" s="873"/>
      <c r="AF800" s="873"/>
      <c r="AG800" s="873"/>
      <c r="AH800" s="873"/>
      <c r="AI800" s="873"/>
      <c r="AJ800" s="873"/>
      <c r="AK800" s="873"/>
      <c r="AL800" s="873"/>
      <c r="AM800" s="873"/>
      <c r="AN800" s="873"/>
      <c r="AO800" s="873"/>
      <c r="AP800" s="873"/>
      <c r="AQ800" s="873"/>
      <c r="AR800" s="873"/>
      <c r="AS800" s="873"/>
      <c r="AT800" s="873"/>
      <c r="AU800" s="873"/>
      <c r="AV800" s="873"/>
    </row>
    <row r="801" spans="1:48" ht="11.25" customHeight="1" x14ac:dyDescent="0.2">
      <c r="A801" s="873"/>
      <c r="B801" s="873"/>
      <c r="C801" s="873"/>
      <c r="D801" s="873"/>
      <c r="E801" s="873"/>
      <c r="F801" s="873"/>
      <c r="G801" s="873"/>
      <c r="H801" s="873"/>
      <c r="I801" s="873"/>
      <c r="J801" s="873"/>
      <c r="K801" s="873"/>
      <c r="L801" s="873"/>
      <c r="M801" s="873"/>
      <c r="N801" s="873"/>
      <c r="O801" s="873"/>
      <c r="P801" s="873"/>
      <c r="Q801" s="873"/>
      <c r="R801" s="873"/>
      <c r="S801" s="873"/>
      <c r="T801" s="873"/>
      <c r="U801" s="873"/>
      <c r="V801" s="873"/>
      <c r="W801" s="873"/>
      <c r="X801" s="873"/>
      <c r="Y801" s="873"/>
      <c r="Z801" s="873"/>
      <c r="AA801" s="873"/>
      <c r="AB801" s="873"/>
      <c r="AC801" s="873"/>
      <c r="AD801" s="873"/>
      <c r="AE801" s="873"/>
      <c r="AF801" s="873"/>
      <c r="AG801" s="873"/>
      <c r="AH801" s="873"/>
      <c r="AI801" s="873"/>
      <c r="AJ801" s="873"/>
      <c r="AK801" s="873"/>
      <c r="AL801" s="873"/>
      <c r="AM801" s="873"/>
      <c r="AN801" s="873"/>
      <c r="AO801" s="873"/>
      <c r="AP801" s="873"/>
      <c r="AQ801" s="873"/>
      <c r="AR801" s="873"/>
      <c r="AS801" s="873"/>
      <c r="AT801" s="873"/>
      <c r="AU801" s="873"/>
      <c r="AV801" s="873"/>
    </row>
    <row r="802" spans="1:48" ht="11.25" customHeight="1" x14ac:dyDescent="0.2">
      <c r="A802" s="873"/>
      <c r="B802" s="873"/>
      <c r="C802" s="873"/>
      <c r="D802" s="873"/>
      <c r="E802" s="873"/>
      <c r="F802" s="873"/>
      <c r="G802" s="873"/>
      <c r="H802" s="873"/>
      <c r="I802" s="873"/>
      <c r="J802" s="873"/>
      <c r="K802" s="873"/>
      <c r="L802" s="873"/>
      <c r="M802" s="873"/>
      <c r="N802" s="873"/>
      <c r="O802" s="873"/>
      <c r="P802" s="873"/>
      <c r="Q802" s="873"/>
      <c r="R802" s="873"/>
      <c r="S802" s="873"/>
      <c r="T802" s="873"/>
      <c r="U802" s="873"/>
      <c r="V802" s="873"/>
      <c r="W802" s="873"/>
      <c r="X802" s="873"/>
      <c r="Y802" s="873"/>
      <c r="Z802" s="873"/>
      <c r="AA802" s="873"/>
      <c r="AB802" s="873"/>
      <c r="AC802" s="873"/>
      <c r="AD802" s="873"/>
      <c r="AE802" s="873"/>
      <c r="AF802" s="873"/>
      <c r="AG802" s="873"/>
      <c r="AH802" s="873"/>
      <c r="AI802" s="873"/>
      <c r="AJ802" s="873"/>
      <c r="AK802" s="873"/>
      <c r="AL802" s="873"/>
      <c r="AM802" s="873"/>
      <c r="AN802" s="873"/>
      <c r="AO802" s="873"/>
      <c r="AP802" s="873"/>
      <c r="AQ802" s="873"/>
      <c r="AR802" s="873"/>
      <c r="AS802" s="873"/>
      <c r="AT802" s="873"/>
      <c r="AU802" s="873"/>
      <c r="AV802" s="873"/>
    </row>
    <row r="803" spans="1:48" ht="11.25" customHeight="1" x14ac:dyDescent="0.2">
      <c r="A803" s="873"/>
      <c r="B803" s="873"/>
      <c r="C803" s="873"/>
      <c r="D803" s="873"/>
      <c r="E803" s="873"/>
      <c r="F803" s="873"/>
      <c r="G803" s="873"/>
      <c r="H803" s="873"/>
      <c r="I803" s="873"/>
      <c r="J803" s="873"/>
      <c r="K803" s="873"/>
      <c r="L803" s="873"/>
      <c r="M803" s="873"/>
      <c r="N803" s="873"/>
      <c r="O803" s="873"/>
      <c r="P803" s="873"/>
      <c r="Q803" s="873"/>
      <c r="R803" s="873"/>
      <c r="S803" s="873"/>
      <c r="T803" s="873"/>
      <c r="U803" s="873"/>
      <c r="V803" s="873"/>
      <c r="W803" s="873"/>
      <c r="X803" s="873"/>
      <c r="Y803" s="873"/>
      <c r="Z803" s="873"/>
      <c r="AA803" s="873"/>
      <c r="AB803" s="873"/>
      <c r="AC803" s="873"/>
      <c r="AD803" s="873"/>
      <c r="AE803" s="873"/>
      <c r="AF803" s="873"/>
      <c r="AG803" s="873"/>
      <c r="AH803" s="873"/>
      <c r="AI803" s="873"/>
      <c r="AJ803" s="873"/>
      <c r="AK803" s="873"/>
      <c r="AL803" s="873"/>
      <c r="AM803" s="873"/>
      <c r="AN803" s="873"/>
      <c r="AO803" s="873"/>
      <c r="AP803" s="873"/>
      <c r="AQ803" s="873"/>
      <c r="AR803" s="873"/>
      <c r="AS803" s="873"/>
      <c r="AT803" s="873"/>
      <c r="AU803" s="873"/>
      <c r="AV803" s="873"/>
    </row>
    <row r="804" spans="1:48" ht="11.25" customHeight="1" x14ac:dyDescent="0.2">
      <c r="A804" s="873"/>
      <c r="B804" s="873"/>
      <c r="C804" s="873"/>
      <c r="D804" s="873"/>
      <c r="E804" s="873"/>
      <c r="F804" s="873"/>
      <c r="G804" s="873"/>
      <c r="H804" s="873"/>
      <c r="I804" s="873"/>
      <c r="J804" s="873"/>
      <c r="K804" s="873"/>
      <c r="L804" s="873"/>
      <c r="M804" s="873"/>
      <c r="N804" s="873"/>
      <c r="O804" s="873"/>
      <c r="P804" s="873"/>
      <c r="Q804" s="873"/>
      <c r="R804" s="873"/>
      <c r="S804" s="873"/>
      <c r="T804" s="873"/>
      <c r="U804" s="873"/>
      <c r="V804" s="873"/>
      <c r="W804" s="873"/>
      <c r="X804" s="873"/>
      <c r="Y804" s="873"/>
      <c r="Z804" s="873"/>
      <c r="AA804" s="873"/>
      <c r="AB804" s="873"/>
      <c r="AC804" s="873"/>
      <c r="AD804" s="873"/>
      <c r="AE804" s="873"/>
      <c r="AF804" s="873"/>
      <c r="AG804" s="873"/>
      <c r="AH804" s="873"/>
      <c r="AI804" s="873"/>
      <c r="AJ804" s="873"/>
      <c r="AK804" s="873"/>
      <c r="AL804" s="873"/>
      <c r="AM804" s="873"/>
      <c r="AN804" s="873"/>
      <c r="AO804" s="873"/>
      <c r="AP804" s="873"/>
      <c r="AQ804" s="873"/>
      <c r="AR804" s="873"/>
      <c r="AS804" s="873"/>
      <c r="AT804" s="873"/>
      <c r="AU804" s="873"/>
      <c r="AV804" s="873"/>
    </row>
    <row r="805" spans="1:48" ht="11.25" customHeight="1" x14ac:dyDescent="0.2">
      <c r="A805" s="873"/>
      <c r="B805" s="873"/>
      <c r="C805" s="873"/>
      <c r="D805" s="873"/>
      <c r="E805" s="873"/>
      <c r="F805" s="873"/>
      <c r="G805" s="873"/>
      <c r="H805" s="873"/>
      <c r="I805" s="873"/>
      <c r="J805" s="873"/>
      <c r="K805" s="873"/>
      <c r="L805" s="873"/>
      <c r="M805" s="873"/>
      <c r="N805" s="873"/>
      <c r="O805" s="873"/>
      <c r="P805" s="873"/>
      <c r="Q805" s="873"/>
      <c r="R805" s="873"/>
      <c r="S805" s="873"/>
      <c r="T805" s="873"/>
      <c r="U805" s="873"/>
      <c r="V805" s="873"/>
      <c r="W805" s="873"/>
      <c r="X805" s="873"/>
      <c r="Y805" s="873"/>
      <c r="Z805" s="873"/>
      <c r="AA805" s="873"/>
      <c r="AB805" s="873"/>
      <c r="AC805" s="873"/>
      <c r="AD805" s="873"/>
      <c r="AE805" s="873"/>
      <c r="AF805" s="873"/>
      <c r="AG805" s="873"/>
      <c r="AH805" s="873"/>
      <c r="AI805" s="873"/>
      <c r="AJ805" s="873"/>
      <c r="AK805" s="873"/>
      <c r="AL805" s="873"/>
      <c r="AM805" s="873"/>
      <c r="AN805" s="873"/>
      <c r="AO805" s="873"/>
      <c r="AP805" s="873"/>
      <c r="AQ805" s="873"/>
      <c r="AR805" s="873"/>
      <c r="AS805" s="873"/>
      <c r="AT805" s="873"/>
      <c r="AU805" s="873"/>
      <c r="AV805" s="873"/>
    </row>
    <row r="806" spans="1:48" ht="11.25" customHeight="1" x14ac:dyDescent="0.2">
      <c r="A806" s="873"/>
      <c r="B806" s="873"/>
      <c r="C806" s="873"/>
      <c r="D806" s="873"/>
      <c r="E806" s="873"/>
      <c r="F806" s="873"/>
      <c r="G806" s="873"/>
      <c r="H806" s="873"/>
      <c r="I806" s="873"/>
      <c r="J806" s="873"/>
      <c r="K806" s="873"/>
      <c r="L806" s="873"/>
      <c r="M806" s="873"/>
      <c r="N806" s="873"/>
      <c r="O806" s="873"/>
      <c r="P806" s="873"/>
      <c r="Q806" s="873"/>
      <c r="R806" s="873"/>
      <c r="S806" s="873"/>
      <c r="T806" s="873"/>
      <c r="U806" s="873"/>
      <c r="V806" s="873"/>
      <c r="W806" s="873"/>
      <c r="X806" s="873"/>
      <c r="Y806" s="873"/>
      <c r="Z806" s="873"/>
      <c r="AA806" s="873"/>
      <c r="AB806" s="873"/>
      <c r="AC806" s="873"/>
      <c r="AD806" s="873"/>
      <c r="AE806" s="873"/>
      <c r="AF806" s="873"/>
      <c r="AG806" s="873"/>
      <c r="AH806" s="873"/>
      <c r="AI806" s="873"/>
      <c r="AJ806" s="873"/>
      <c r="AK806" s="873"/>
      <c r="AL806" s="873"/>
      <c r="AM806" s="873"/>
      <c r="AN806" s="873"/>
      <c r="AO806" s="873"/>
      <c r="AP806" s="873"/>
      <c r="AQ806" s="873"/>
      <c r="AR806" s="873"/>
      <c r="AS806" s="873"/>
      <c r="AT806" s="873"/>
      <c r="AU806" s="873"/>
      <c r="AV806" s="873"/>
    </row>
    <row r="807" spans="1:48" ht="11.25" customHeight="1" x14ac:dyDescent="0.2">
      <c r="A807" s="873"/>
      <c r="B807" s="873"/>
      <c r="C807" s="873"/>
      <c r="D807" s="873"/>
      <c r="E807" s="873"/>
      <c r="F807" s="873"/>
      <c r="G807" s="873"/>
      <c r="H807" s="873"/>
      <c r="I807" s="873"/>
      <c r="J807" s="873"/>
      <c r="K807" s="873"/>
      <c r="L807" s="873"/>
      <c r="M807" s="873"/>
      <c r="N807" s="873"/>
      <c r="O807" s="873"/>
      <c r="P807" s="873"/>
      <c r="Q807" s="873"/>
      <c r="R807" s="873"/>
      <c r="S807" s="873"/>
      <c r="T807" s="873"/>
      <c r="U807" s="873"/>
      <c r="V807" s="873"/>
      <c r="W807" s="873"/>
      <c r="X807" s="873"/>
      <c r="Y807" s="873"/>
      <c r="Z807" s="873"/>
      <c r="AA807" s="873"/>
      <c r="AB807" s="873"/>
      <c r="AC807" s="873"/>
      <c r="AD807" s="873"/>
      <c r="AE807" s="873"/>
      <c r="AF807" s="873"/>
      <c r="AG807" s="873"/>
      <c r="AH807" s="873"/>
      <c r="AI807" s="873"/>
      <c r="AJ807" s="873"/>
      <c r="AK807" s="873"/>
      <c r="AL807" s="873"/>
      <c r="AM807" s="873"/>
      <c r="AN807" s="873"/>
      <c r="AO807" s="873"/>
      <c r="AP807" s="873"/>
      <c r="AQ807" s="873"/>
      <c r="AR807" s="873"/>
      <c r="AS807" s="873"/>
      <c r="AT807" s="873"/>
      <c r="AU807" s="873"/>
      <c r="AV807" s="873"/>
    </row>
    <row r="808" spans="1:48" ht="11.25" customHeight="1" x14ac:dyDescent="0.2">
      <c r="A808" s="873"/>
      <c r="B808" s="873"/>
      <c r="C808" s="873"/>
      <c r="D808" s="873"/>
      <c r="E808" s="873"/>
      <c r="F808" s="873"/>
      <c r="G808" s="873"/>
      <c r="H808" s="873"/>
      <c r="I808" s="873"/>
      <c r="J808" s="873"/>
      <c r="K808" s="873"/>
      <c r="L808" s="873"/>
      <c r="M808" s="873"/>
      <c r="N808" s="873"/>
      <c r="O808" s="873"/>
      <c r="P808" s="873"/>
      <c r="Q808" s="873"/>
      <c r="R808" s="873"/>
      <c r="S808" s="873"/>
      <c r="T808" s="873"/>
      <c r="U808" s="873"/>
      <c r="V808" s="873"/>
      <c r="W808" s="873"/>
      <c r="X808" s="873"/>
      <c r="Y808" s="873"/>
      <c r="Z808" s="873"/>
      <c r="AA808" s="873"/>
      <c r="AB808" s="873"/>
      <c r="AC808" s="873"/>
      <c r="AD808" s="873"/>
      <c r="AE808" s="873"/>
      <c r="AF808" s="873"/>
      <c r="AG808" s="873"/>
      <c r="AH808" s="873"/>
      <c r="AI808" s="873"/>
      <c r="AJ808" s="873"/>
      <c r="AK808" s="873"/>
      <c r="AL808" s="873"/>
      <c r="AM808" s="873"/>
      <c r="AN808" s="873"/>
      <c r="AO808" s="873"/>
      <c r="AP808" s="873"/>
      <c r="AQ808" s="873"/>
      <c r="AR808" s="873"/>
      <c r="AS808" s="873"/>
      <c r="AT808" s="873"/>
      <c r="AU808" s="873"/>
      <c r="AV808" s="873"/>
    </row>
    <row r="809" spans="1:48" ht="11.25" customHeight="1" x14ac:dyDescent="0.2">
      <c r="A809" s="873"/>
      <c r="B809" s="873"/>
      <c r="C809" s="873"/>
      <c r="D809" s="873"/>
      <c r="E809" s="873"/>
      <c r="F809" s="873"/>
      <c r="G809" s="873"/>
      <c r="H809" s="873"/>
      <c r="I809" s="873"/>
      <c r="J809" s="873"/>
      <c r="K809" s="873"/>
      <c r="L809" s="873"/>
      <c r="M809" s="873"/>
      <c r="N809" s="873"/>
      <c r="O809" s="873"/>
      <c r="P809" s="873"/>
      <c r="Q809" s="873"/>
      <c r="R809" s="873"/>
      <c r="S809" s="873"/>
      <c r="T809" s="873"/>
      <c r="U809" s="873"/>
      <c r="V809" s="873"/>
      <c r="W809" s="873"/>
      <c r="X809" s="873"/>
      <c r="Y809" s="873"/>
      <c r="Z809" s="873"/>
      <c r="AA809" s="873"/>
      <c r="AB809" s="873"/>
      <c r="AC809" s="873"/>
      <c r="AD809" s="873"/>
      <c r="AE809" s="873"/>
      <c r="AF809" s="873"/>
      <c r="AG809" s="873"/>
      <c r="AH809" s="873"/>
      <c r="AI809" s="873"/>
      <c r="AJ809" s="873"/>
      <c r="AK809" s="873"/>
      <c r="AL809" s="873"/>
      <c r="AM809" s="873"/>
      <c r="AN809" s="873"/>
      <c r="AO809" s="873"/>
      <c r="AP809" s="873"/>
      <c r="AQ809" s="873"/>
      <c r="AR809" s="873"/>
      <c r="AS809" s="873"/>
      <c r="AT809" s="873"/>
      <c r="AU809" s="873"/>
      <c r="AV809" s="873"/>
    </row>
    <row r="810" spans="1:48" ht="11.25" customHeight="1" x14ac:dyDescent="0.2">
      <c r="A810" s="873"/>
      <c r="B810" s="873"/>
      <c r="C810" s="873"/>
      <c r="D810" s="873"/>
      <c r="E810" s="873"/>
      <c r="F810" s="873"/>
      <c r="G810" s="873"/>
      <c r="H810" s="873"/>
      <c r="I810" s="873"/>
      <c r="J810" s="873"/>
      <c r="K810" s="873"/>
      <c r="L810" s="873"/>
      <c r="M810" s="873"/>
      <c r="N810" s="873"/>
      <c r="O810" s="873"/>
      <c r="P810" s="873"/>
      <c r="Q810" s="873"/>
      <c r="R810" s="873"/>
      <c r="S810" s="873"/>
      <c r="T810" s="873"/>
      <c r="U810" s="873"/>
      <c r="V810" s="873"/>
      <c r="W810" s="873"/>
      <c r="X810" s="873"/>
      <c r="Y810" s="873"/>
      <c r="Z810" s="873"/>
      <c r="AA810" s="873"/>
      <c r="AB810" s="873"/>
      <c r="AC810" s="873"/>
      <c r="AD810" s="873"/>
      <c r="AE810" s="873"/>
      <c r="AF810" s="873"/>
      <c r="AG810" s="873"/>
      <c r="AH810" s="873"/>
      <c r="AI810" s="873"/>
      <c r="AJ810" s="873"/>
      <c r="AK810" s="873"/>
      <c r="AL810" s="873"/>
      <c r="AM810" s="873"/>
      <c r="AN810" s="873"/>
      <c r="AO810" s="873"/>
      <c r="AP810" s="873"/>
      <c r="AQ810" s="873"/>
      <c r="AR810" s="873"/>
      <c r="AS810" s="873"/>
      <c r="AT810" s="873"/>
      <c r="AU810" s="873"/>
      <c r="AV810" s="873"/>
    </row>
    <row r="811" spans="1:48" ht="11.25" customHeight="1" x14ac:dyDescent="0.2">
      <c r="A811" s="873"/>
      <c r="B811" s="873"/>
      <c r="C811" s="873"/>
      <c r="D811" s="873"/>
      <c r="E811" s="873"/>
      <c r="F811" s="873"/>
      <c r="G811" s="873"/>
      <c r="H811" s="873"/>
      <c r="I811" s="873"/>
      <c r="J811" s="873"/>
      <c r="K811" s="873"/>
      <c r="L811" s="873"/>
      <c r="M811" s="873"/>
      <c r="N811" s="873"/>
      <c r="O811" s="873"/>
      <c r="P811" s="873"/>
      <c r="Q811" s="873"/>
      <c r="R811" s="873"/>
      <c r="S811" s="873"/>
      <c r="T811" s="873"/>
      <c r="U811" s="873"/>
      <c r="V811" s="873"/>
      <c r="W811" s="873"/>
      <c r="X811" s="873"/>
      <c r="Y811" s="873"/>
      <c r="Z811" s="873"/>
      <c r="AA811" s="873"/>
      <c r="AB811" s="873"/>
      <c r="AC811" s="873"/>
      <c r="AD811" s="873"/>
      <c r="AE811" s="873"/>
      <c r="AF811" s="873"/>
      <c r="AG811" s="873"/>
      <c r="AH811" s="873"/>
      <c r="AI811" s="873"/>
      <c r="AJ811" s="873"/>
      <c r="AK811" s="873"/>
      <c r="AL811" s="873"/>
      <c r="AM811" s="873"/>
      <c r="AN811" s="873"/>
      <c r="AO811" s="873"/>
      <c r="AP811" s="873"/>
      <c r="AQ811" s="873"/>
      <c r="AR811" s="873"/>
      <c r="AS811" s="873"/>
      <c r="AT811" s="873"/>
      <c r="AU811" s="873"/>
      <c r="AV811" s="873"/>
    </row>
    <row r="812" spans="1:48" ht="11.25" customHeight="1" x14ac:dyDescent="0.2">
      <c r="A812" s="873"/>
      <c r="B812" s="873"/>
      <c r="C812" s="873"/>
      <c r="D812" s="873"/>
      <c r="E812" s="873"/>
      <c r="F812" s="873"/>
      <c r="G812" s="873"/>
      <c r="H812" s="873"/>
      <c r="I812" s="873"/>
      <c r="J812" s="873"/>
      <c r="K812" s="873"/>
      <c r="L812" s="873"/>
      <c r="M812" s="873"/>
      <c r="N812" s="873"/>
      <c r="O812" s="873"/>
      <c r="P812" s="873"/>
      <c r="Q812" s="873"/>
      <c r="R812" s="873"/>
      <c r="S812" s="873"/>
      <c r="T812" s="873"/>
      <c r="U812" s="873"/>
      <c r="V812" s="873"/>
      <c r="W812" s="873"/>
      <c r="X812" s="873"/>
      <c r="Y812" s="873"/>
      <c r="Z812" s="873"/>
      <c r="AA812" s="873"/>
      <c r="AB812" s="873"/>
      <c r="AC812" s="873"/>
      <c r="AD812" s="873"/>
      <c r="AE812" s="873"/>
      <c r="AF812" s="873"/>
      <c r="AG812" s="873"/>
      <c r="AH812" s="873"/>
      <c r="AI812" s="873"/>
      <c r="AJ812" s="873"/>
      <c r="AK812" s="873"/>
      <c r="AL812" s="873"/>
      <c r="AM812" s="873"/>
      <c r="AN812" s="873"/>
      <c r="AO812" s="873"/>
      <c r="AP812" s="873"/>
      <c r="AQ812" s="873"/>
      <c r="AR812" s="873"/>
      <c r="AS812" s="873"/>
      <c r="AT812" s="873"/>
      <c r="AU812" s="873"/>
      <c r="AV812" s="873"/>
    </row>
    <row r="813" spans="1:48" ht="11.25" customHeight="1" x14ac:dyDescent="0.2">
      <c r="A813" s="873"/>
      <c r="B813" s="873"/>
      <c r="C813" s="873"/>
      <c r="D813" s="873"/>
      <c r="E813" s="873"/>
      <c r="F813" s="873"/>
      <c r="G813" s="873"/>
      <c r="H813" s="873"/>
      <c r="I813" s="873"/>
      <c r="J813" s="873"/>
      <c r="K813" s="873"/>
      <c r="L813" s="873"/>
      <c r="M813" s="873"/>
      <c r="N813" s="873"/>
      <c r="O813" s="873"/>
      <c r="P813" s="873"/>
      <c r="Q813" s="873"/>
      <c r="R813" s="873"/>
      <c r="S813" s="873"/>
      <c r="T813" s="873"/>
      <c r="U813" s="873"/>
      <c r="V813" s="873"/>
      <c r="W813" s="873"/>
      <c r="X813" s="873"/>
      <c r="Y813" s="873"/>
      <c r="Z813" s="873"/>
      <c r="AA813" s="873"/>
      <c r="AB813" s="873"/>
      <c r="AC813" s="873"/>
      <c r="AD813" s="873"/>
      <c r="AE813" s="873"/>
      <c r="AF813" s="873"/>
      <c r="AG813" s="873"/>
      <c r="AH813" s="873"/>
      <c r="AI813" s="873"/>
      <c r="AJ813" s="873"/>
      <c r="AK813" s="873"/>
      <c r="AL813" s="873"/>
      <c r="AM813" s="873"/>
      <c r="AN813" s="873"/>
      <c r="AO813" s="873"/>
      <c r="AP813" s="873"/>
      <c r="AQ813" s="873"/>
      <c r="AR813" s="873"/>
      <c r="AS813" s="873"/>
      <c r="AT813" s="873"/>
      <c r="AU813" s="873"/>
      <c r="AV813" s="873"/>
    </row>
    <row r="814" spans="1:48" ht="11.25" customHeight="1" x14ac:dyDescent="0.2">
      <c r="A814" s="873"/>
      <c r="B814" s="873"/>
      <c r="C814" s="873"/>
      <c r="D814" s="873"/>
      <c r="E814" s="873"/>
      <c r="F814" s="873"/>
      <c r="G814" s="873"/>
      <c r="H814" s="873"/>
      <c r="I814" s="873"/>
      <c r="J814" s="873"/>
      <c r="K814" s="873"/>
      <c r="L814" s="873"/>
      <c r="M814" s="873"/>
      <c r="N814" s="873"/>
      <c r="O814" s="873"/>
      <c r="P814" s="873"/>
      <c r="Q814" s="873"/>
      <c r="R814" s="873"/>
      <c r="S814" s="873"/>
      <c r="T814" s="873"/>
      <c r="U814" s="873"/>
      <c r="V814" s="873"/>
      <c r="W814" s="873"/>
      <c r="X814" s="873"/>
      <c r="Y814" s="873"/>
      <c r="Z814" s="873"/>
      <c r="AA814" s="873"/>
      <c r="AB814" s="873"/>
      <c r="AC814" s="873"/>
      <c r="AD814" s="873"/>
      <c r="AE814" s="873"/>
      <c r="AF814" s="873"/>
      <c r="AG814" s="873"/>
      <c r="AH814" s="873"/>
      <c r="AI814" s="873"/>
      <c r="AJ814" s="873"/>
      <c r="AK814" s="873"/>
      <c r="AL814" s="873"/>
      <c r="AM814" s="873"/>
      <c r="AN814" s="873"/>
      <c r="AO814" s="873"/>
      <c r="AP814" s="873"/>
      <c r="AQ814" s="873"/>
      <c r="AR814" s="873"/>
      <c r="AS814" s="873"/>
      <c r="AT814" s="873"/>
      <c r="AU814" s="873"/>
      <c r="AV814" s="873"/>
    </row>
    <row r="815" spans="1:48" ht="11.25" customHeight="1" x14ac:dyDescent="0.2">
      <c r="A815" s="873"/>
      <c r="B815" s="873"/>
      <c r="C815" s="873"/>
      <c r="D815" s="873"/>
      <c r="E815" s="873"/>
      <c r="F815" s="873"/>
      <c r="G815" s="873"/>
      <c r="H815" s="873"/>
      <c r="I815" s="873"/>
      <c r="J815" s="873"/>
      <c r="K815" s="873"/>
      <c r="L815" s="873"/>
      <c r="M815" s="873"/>
      <c r="N815" s="873"/>
      <c r="O815" s="873"/>
      <c r="P815" s="873"/>
      <c r="Q815" s="873"/>
      <c r="R815" s="873"/>
      <c r="S815" s="873"/>
      <c r="T815" s="873"/>
      <c r="U815" s="873"/>
      <c r="V815" s="873"/>
      <c r="W815" s="873"/>
      <c r="X815" s="873"/>
      <c r="Y815" s="873"/>
      <c r="Z815" s="873"/>
      <c r="AA815" s="873"/>
      <c r="AB815" s="873"/>
      <c r="AC815" s="873"/>
      <c r="AD815" s="873"/>
      <c r="AE815" s="873"/>
      <c r="AF815" s="873"/>
      <c r="AG815" s="873"/>
      <c r="AH815" s="873"/>
      <c r="AI815" s="873"/>
      <c r="AJ815" s="873"/>
      <c r="AK815" s="873"/>
      <c r="AL815" s="873"/>
      <c r="AM815" s="873"/>
      <c r="AN815" s="873"/>
      <c r="AO815" s="873"/>
      <c r="AP815" s="873"/>
      <c r="AQ815" s="873"/>
      <c r="AR815" s="873"/>
      <c r="AS815" s="873"/>
      <c r="AT815" s="873"/>
      <c r="AU815" s="873"/>
      <c r="AV815" s="873"/>
    </row>
    <row r="816" spans="1:48" ht="11.25" customHeight="1" x14ac:dyDescent="0.2">
      <c r="A816" s="873"/>
      <c r="B816" s="873"/>
      <c r="C816" s="873"/>
      <c r="D816" s="873"/>
      <c r="E816" s="873"/>
      <c r="F816" s="873"/>
      <c r="G816" s="873"/>
      <c r="H816" s="873"/>
      <c r="I816" s="873"/>
      <c r="J816" s="873"/>
      <c r="K816" s="873"/>
      <c r="L816" s="873"/>
      <c r="M816" s="873"/>
      <c r="N816" s="873"/>
      <c r="O816" s="873"/>
      <c r="P816" s="873"/>
      <c r="Q816" s="873"/>
      <c r="R816" s="873"/>
      <c r="S816" s="873"/>
      <c r="T816" s="873"/>
      <c r="U816" s="873"/>
      <c r="V816" s="873"/>
      <c r="W816" s="873"/>
      <c r="X816" s="873"/>
      <c r="Y816" s="873"/>
      <c r="Z816" s="873"/>
      <c r="AA816" s="873"/>
      <c r="AB816" s="873"/>
      <c r="AC816" s="873"/>
      <c r="AD816" s="873"/>
      <c r="AE816" s="873"/>
      <c r="AF816" s="873"/>
      <c r="AG816" s="873"/>
      <c r="AH816" s="873"/>
      <c r="AI816" s="873"/>
      <c r="AJ816" s="873"/>
      <c r="AK816" s="873"/>
      <c r="AL816" s="873"/>
      <c r="AM816" s="873"/>
      <c r="AN816" s="873"/>
      <c r="AO816" s="873"/>
      <c r="AP816" s="873"/>
      <c r="AQ816" s="873"/>
      <c r="AR816" s="873"/>
      <c r="AS816" s="873"/>
      <c r="AT816" s="873"/>
      <c r="AU816" s="873"/>
      <c r="AV816" s="873"/>
    </row>
    <row r="817" spans="1:48" ht="11.25" customHeight="1" x14ac:dyDescent="0.2">
      <c r="A817" s="873"/>
      <c r="B817" s="873"/>
      <c r="C817" s="873"/>
      <c r="D817" s="873"/>
      <c r="E817" s="873"/>
      <c r="F817" s="873"/>
      <c r="G817" s="873"/>
      <c r="H817" s="873"/>
      <c r="I817" s="873"/>
      <c r="J817" s="873"/>
      <c r="K817" s="873"/>
      <c r="L817" s="873"/>
      <c r="M817" s="873"/>
      <c r="N817" s="873"/>
      <c r="O817" s="873"/>
      <c r="P817" s="873"/>
      <c r="Q817" s="873"/>
      <c r="R817" s="873"/>
      <c r="S817" s="873"/>
      <c r="T817" s="873"/>
      <c r="U817" s="873"/>
      <c r="V817" s="873"/>
      <c r="W817" s="873"/>
      <c r="X817" s="873"/>
      <c r="Y817" s="873"/>
      <c r="Z817" s="873"/>
      <c r="AA817" s="873"/>
      <c r="AB817" s="873"/>
      <c r="AC817" s="873"/>
      <c r="AD817" s="873"/>
      <c r="AE817" s="873"/>
      <c r="AF817" s="873"/>
      <c r="AG817" s="873"/>
      <c r="AH817" s="873"/>
      <c r="AI817" s="873"/>
      <c r="AJ817" s="873"/>
      <c r="AK817" s="873"/>
      <c r="AL817" s="873"/>
      <c r="AM817" s="873"/>
      <c r="AN817" s="873"/>
      <c r="AO817" s="873"/>
      <c r="AP817" s="873"/>
      <c r="AQ817" s="873"/>
      <c r="AR817" s="873"/>
      <c r="AS817" s="873"/>
      <c r="AT817" s="873"/>
      <c r="AU817" s="873"/>
      <c r="AV817" s="873"/>
    </row>
    <row r="818" spans="1:48" ht="11.25" customHeight="1" x14ac:dyDescent="0.2">
      <c r="A818" s="873"/>
      <c r="B818" s="873"/>
      <c r="C818" s="873"/>
      <c r="D818" s="873"/>
      <c r="E818" s="873"/>
      <c r="F818" s="873"/>
      <c r="G818" s="873"/>
      <c r="H818" s="873"/>
      <c r="I818" s="873"/>
      <c r="J818" s="873"/>
      <c r="K818" s="873"/>
      <c r="L818" s="873"/>
      <c r="M818" s="873"/>
      <c r="N818" s="873"/>
      <c r="O818" s="873"/>
      <c r="P818" s="873"/>
      <c r="Q818" s="873"/>
      <c r="R818" s="873"/>
      <c r="S818" s="873"/>
      <c r="T818" s="873"/>
      <c r="U818" s="873"/>
      <c r="V818" s="873"/>
      <c r="W818" s="873"/>
      <c r="X818" s="873"/>
      <c r="Y818" s="873"/>
      <c r="Z818" s="873"/>
      <c r="AA818" s="873"/>
      <c r="AB818" s="873"/>
      <c r="AC818" s="873"/>
      <c r="AD818" s="873"/>
      <c r="AE818" s="873"/>
      <c r="AF818" s="873"/>
      <c r="AG818" s="873"/>
      <c r="AH818" s="873"/>
      <c r="AI818" s="873"/>
      <c r="AJ818" s="873"/>
      <c r="AK818" s="873"/>
      <c r="AL818" s="873"/>
      <c r="AM818" s="873"/>
      <c r="AN818" s="873"/>
      <c r="AO818" s="873"/>
      <c r="AP818" s="873"/>
      <c r="AQ818" s="873"/>
      <c r="AR818" s="873"/>
      <c r="AS818" s="873"/>
      <c r="AT818" s="873"/>
      <c r="AU818" s="873"/>
      <c r="AV818" s="873"/>
    </row>
    <row r="819" spans="1:48" ht="11.25" customHeight="1" x14ac:dyDescent="0.2">
      <c r="A819" s="873"/>
      <c r="B819" s="873"/>
      <c r="C819" s="873"/>
      <c r="D819" s="873"/>
      <c r="E819" s="873"/>
      <c r="F819" s="873"/>
      <c r="G819" s="873"/>
      <c r="H819" s="873"/>
      <c r="I819" s="873"/>
      <c r="J819" s="873"/>
      <c r="K819" s="873"/>
      <c r="L819" s="873"/>
      <c r="M819" s="873"/>
      <c r="N819" s="873"/>
      <c r="O819" s="873"/>
      <c r="P819" s="873"/>
      <c r="Q819" s="873"/>
      <c r="R819" s="873"/>
      <c r="S819" s="873"/>
      <c r="T819" s="873"/>
      <c r="U819" s="873"/>
      <c r="V819" s="873"/>
      <c r="W819" s="873"/>
      <c r="X819" s="873"/>
      <c r="Y819" s="873"/>
      <c r="Z819" s="873"/>
      <c r="AA819" s="873"/>
      <c r="AB819" s="873"/>
      <c r="AC819" s="873"/>
      <c r="AD819" s="873"/>
      <c r="AE819" s="873"/>
      <c r="AF819" s="873"/>
      <c r="AG819" s="873"/>
      <c r="AH819" s="873"/>
      <c r="AI819" s="873"/>
      <c r="AJ819" s="873"/>
      <c r="AK819" s="873"/>
      <c r="AL819" s="873"/>
      <c r="AM819" s="873"/>
      <c r="AN819" s="873"/>
      <c r="AO819" s="873"/>
      <c r="AP819" s="873"/>
      <c r="AQ819" s="873"/>
      <c r="AR819" s="873"/>
      <c r="AS819" s="873"/>
      <c r="AT819" s="873"/>
      <c r="AU819" s="873"/>
      <c r="AV819" s="873"/>
    </row>
    <row r="820" spans="1:48" ht="11.25" customHeight="1" x14ac:dyDescent="0.2">
      <c r="A820" s="873"/>
      <c r="B820" s="873"/>
      <c r="C820" s="873"/>
      <c r="D820" s="873"/>
      <c r="E820" s="873"/>
      <c r="F820" s="873"/>
      <c r="G820" s="873"/>
      <c r="H820" s="873"/>
      <c r="I820" s="873"/>
      <c r="J820" s="873"/>
      <c r="K820" s="873"/>
      <c r="L820" s="873"/>
      <c r="M820" s="873"/>
      <c r="N820" s="873"/>
      <c r="O820" s="873"/>
      <c r="P820" s="873"/>
      <c r="Q820" s="873"/>
      <c r="R820" s="873"/>
      <c r="S820" s="873"/>
      <c r="T820" s="873"/>
      <c r="U820" s="873"/>
      <c r="V820" s="873"/>
      <c r="W820" s="873"/>
      <c r="X820" s="873"/>
      <c r="Y820" s="873"/>
      <c r="Z820" s="873"/>
      <c r="AA820" s="873"/>
      <c r="AB820" s="873"/>
      <c r="AC820" s="873"/>
      <c r="AD820" s="873"/>
      <c r="AE820" s="873"/>
      <c r="AF820" s="873"/>
      <c r="AG820" s="873"/>
      <c r="AH820" s="873"/>
      <c r="AI820" s="873"/>
      <c r="AJ820" s="873"/>
      <c r="AK820" s="873"/>
      <c r="AL820" s="873"/>
      <c r="AM820" s="873"/>
      <c r="AN820" s="873"/>
      <c r="AO820" s="873"/>
      <c r="AP820" s="873"/>
      <c r="AQ820" s="873"/>
      <c r="AR820" s="873"/>
      <c r="AS820" s="873"/>
      <c r="AT820" s="873"/>
      <c r="AU820" s="873"/>
      <c r="AV820" s="873"/>
    </row>
    <row r="821" spans="1:48" ht="11.25" customHeight="1" x14ac:dyDescent="0.2">
      <c r="A821" s="873"/>
      <c r="B821" s="873"/>
      <c r="C821" s="873"/>
      <c r="D821" s="873"/>
      <c r="E821" s="873"/>
      <c r="F821" s="873"/>
      <c r="G821" s="873"/>
      <c r="H821" s="873"/>
      <c r="I821" s="873"/>
      <c r="J821" s="873"/>
      <c r="K821" s="873"/>
      <c r="L821" s="873"/>
      <c r="M821" s="873"/>
      <c r="N821" s="873"/>
      <c r="O821" s="873"/>
      <c r="P821" s="873"/>
      <c r="Q821" s="873"/>
      <c r="R821" s="873"/>
      <c r="S821" s="873"/>
      <c r="T821" s="873"/>
      <c r="U821" s="873"/>
      <c r="V821" s="873"/>
      <c r="W821" s="873"/>
      <c r="X821" s="873"/>
      <c r="Y821" s="873"/>
      <c r="Z821" s="873"/>
      <c r="AA821" s="873"/>
      <c r="AB821" s="873"/>
      <c r="AC821" s="873"/>
      <c r="AD821" s="873"/>
      <c r="AE821" s="873"/>
      <c r="AF821" s="873"/>
      <c r="AG821" s="873"/>
      <c r="AH821" s="873"/>
      <c r="AI821" s="873"/>
      <c r="AJ821" s="873"/>
      <c r="AK821" s="873"/>
      <c r="AL821" s="873"/>
      <c r="AM821" s="873"/>
      <c r="AN821" s="873"/>
      <c r="AO821" s="873"/>
      <c r="AP821" s="873"/>
      <c r="AQ821" s="873"/>
      <c r="AR821" s="873"/>
      <c r="AS821" s="873"/>
      <c r="AT821" s="873"/>
      <c r="AU821" s="873"/>
      <c r="AV821" s="873"/>
    </row>
    <row r="822" spans="1:48" ht="11.25" customHeight="1" x14ac:dyDescent="0.2">
      <c r="A822" s="873"/>
      <c r="B822" s="873"/>
      <c r="C822" s="873"/>
      <c r="D822" s="873"/>
      <c r="E822" s="873"/>
      <c r="F822" s="873"/>
      <c r="G822" s="873"/>
      <c r="H822" s="873"/>
      <c r="I822" s="873"/>
      <c r="J822" s="873"/>
      <c r="K822" s="873"/>
      <c r="L822" s="873"/>
      <c r="M822" s="873"/>
      <c r="N822" s="873"/>
      <c r="O822" s="873"/>
      <c r="P822" s="873"/>
      <c r="Q822" s="873"/>
      <c r="R822" s="873"/>
      <c r="S822" s="873"/>
      <c r="T822" s="873"/>
      <c r="U822" s="873"/>
      <c r="V822" s="873"/>
      <c r="W822" s="873"/>
      <c r="X822" s="873"/>
      <c r="Y822" s="873"/>
      <c r="Z822" s="873"/>
      <c r="AA822" s="873"/>
      <c r="AB822" s="873"/>
      <c r="AC822" s="873"/>
      <c r="AD822" s="873"/>
      <c r="AE822" s="873"/>
      <c r="AF822" s="873"/>
      <c r="AG822" s="873"/>
      <c r="AH822" s="873"/>
      <c r="AI822" s="873"/>
      <c r="AJ822" s="873"/>
      <c r="AK822" s="873"/>
      <c r="AL822" s="873"/>
      <c r="AM822" s="873"/>
      <c r="AN822" s="873"/>
      <c r="AO822" s="873"/>
      <c r="AP822" s="873"/>
      <c r="AQ822" s="873"/>
      <c r="AR822" s="873"/>
      <c r="AS822" s="873"/>
      <c r="AT822" s="873"/>
      <c r="AU822" s="873"/>
      <c r="AV822" s="873"/>
    </row>
    <row r="823" spans="1:48" ht="11.25" customHeight="1" x14ac:dyDescent="0.2">
      <c r="A823" s="873"/>
      <c r="B823" s="873"/>
      <c r="C823" s="873"/>
      <c r="D823" s="873"/>
      <c r="E823" s="873"/>
      <c r="F823" s="873"/>
      <c r="G823" s="873"/>
      <c r="H823" s="873"/>
      <c r="I823" s="873"/>
      <c r="J823" s="873"/>
      <c r="K823" s="873"/>
      <c r="L823" s="873"/>
      <c r="M823" s="873"/>
      <c r="N823" s="873"/>
      <c r="O823" s="873"/>
      <c r="P823" s="873"/>
      <c r="Q823" s="873"/>
      <c r="R823" s="873"/>
      <c r="S823" s="873"/>
      <c r="T823" s="873"/>
      <c r="U823" s="873"/>
      <c r="V823" s="873"/>
      <c r="W823" s="873"/>
      <c r="X823" s="873"/>
      <c r="Y823" s="873"/>
      <c r="Z823" s="873"/>
      <c r="AA823" s="873"/>
      <c r="AB823" s="873"/>
      <c r="AC823" s="873"/>
      <c r="AD823" s="873"/>
      <c r="AE823" s="873"/>
      <c r="AF823" s="873"/>
      <c r="AG823" s="873"/>
      <c r="AH823" s="873"/>
      <c r="AI823" s="873"/>
      <c r="AJ823" s="873"/>
      <c r="AK823" s="873"/>
      <c r="AL823" s="873"/>
      <c r="AM823" s="873"/>
      <c r="AN823" s="873"/>
      <c r="AO823" s="873"/>
      <c r="AP823" s="873"/>
      <c r="AQ823" s="873"/>
      <c r="AR823" s="873"/>
      <c r="AS823" s="873"/>
      <c r="AT823" s="873"/>
      <c r="AU823" s="873"/>
      <c r="AV823" s="873"/>
    </row>
    <row r="824" spans="1:48" ht="11.25" customHeight="1" x14ac:dyDescent="0.2">
      <c r="A824" s="873"/>
      <c r="B824" s="873"/>
      <c r="C824" s="873"/>
      <c r="D824" s="873"/>
      <c r="E824" s="873"/>
      <c r="F824" s="873"/>
      <c r="G824" s="873"/>
      <c r="H824" s="873"/>
      <c r="I824" s="873"/>
      <c r="J824" s="873"/>
      <c r="K824" s="873"/>
      <c r="L824" s="873"/>
      <c r="M824" s="873"/>
      <c r="N824" s="873"/>
      <c r="O824" s="873"/>
      <c r="P824" s="873"/>
      <c r="Q824" s="873"/>
      <c r="R824" s="873"/>
      <c r="S824" s="873"/>
      <c r="T824" s="873"/>
      <c r="U824" s="873"/>
      <c r="V824" s="873"/>
      <c r="W824" s="873"/>
      <c r="X824" s="873"/>
      <c r="Y824" s="873"/>
      <c r="Z824" s="873"/>
      <c r="AA824" s="873"/>
      <c r="AB824" s="873"/>
      <c r="AC824" s="873"/>
      <c r="AD824" s="873"/>
      <c r="AE824" s="873"/>
      <c r="AF824" s="873"/>
      <c r="AG824" s="873"/>
      <c r="AH824" s="873"/>
      <c r="AI824" s="873"/>
      <c r="AJ824" s="873"/>
      <c r="AK824" s="873"/>
      <c r="AL824" s="873"/>
      <c r="AM824" s="873"/>
      <c r="AN824" s="873"/>
      <c r="AO824" s="873"/>
      <c r="AP824" s="873"/>
      <c r="AQ824" s="873"/>
      <c r="AR824" s="873"/>
      <c r="AS824" s="873"/>
      <c r="AT824" s="873"/>
      <c r="AU824" s="873"/>
      <c r="AV824" s="873"/>
    </row>
    <row r="825" spans="1:48" ht="11.25" customHeight="1" x14ac:dyDescent="0.2">
      <c r="A825" s="873"/>
      <c r="B825" s="873"/>
      <c r="C825" s="873"/>
      <c r="D825" s="873"/>
      <c r="E825" s="873"/>
      <c r="F825" s="873"/>
      <c r="G825" s="873"/>
      <c r="H825" s="873"/>
      <c r="I825" s="873"/>
      <c r="J825" s="873"/>
      <c r="K825" s="873"/>
      <c r="L825" s="873"/>
      <c r="M825" s="873"/>
      <c r="N825" s="873"/>
      <c r="O825" s="873"/>
      <c r="P825" s="873"/>
      <c r="Q825" s="873"/>
      <c r="R825" s="873"/>
      <c r="S825" s="873"/>
      <c r="T825" s="873"/>
      <c r="U825" s="873"/>
      <c r="V825" s="873"/>
      <c r="W825" s="873"/>
      <c r="X825" s="873"/>
      <c r="Y825" s="873"/>
      <c r="Z825" s="873"/>
      <c r="AA825" s="873"/>
      <c r="AB825" s="873"/>
      <c r="AC825" s="873"/>
      <c r="AD825" s="873"/>
      <c r="AE825" s="873"/>
      <c r="AF825" s="873"/>
      <c r="AG825" s="873"/>
      <c r="AH825" s="873"/>
      <c r="AI825" s="873"/>
      <c r="AJ825" s="873"/>
      <c r="AK825" s="873"/>
      <c r="AL825" s="873"/>
      <c r="AM825" s="873"/>
      <c r="AN825" s="873"/>
      <c r="AO825" s="873"/>
      <c r="AP825" s="873"/>
      <c r="AQ825" s="873"/>
      <c r="AR825" s="873"/>
      <c r="AS825" s="873"/>
      <c r="AT825" s="873"/>
      <c r="AU825" s="873"/>
      <c r="AV825" s="873"/>
    </row>
    <row r="826" spans="1:48" ht="11.25" customHeight="1" x14ac:dyDescent="0.2">
      <c r="A826" s="873"/>
      <c r="B826" s="873"/>
      <c r="C826" s="873"/>
      <c r="D826" s="873"/>
      <c r="E826" s="873"/>
      <c r="F826" s="873"/>
      <c r="G826" s="873"/>
      <c r="H826" s="873"/>
      <c r="I826" s="873"/>
      <c r="J826" s="873"/>
      <c r="K826" s="873"/>
      <c r="L826" s="873"/>
      <c r="M826" s="873"/>
      <c r="N826" s="873"/>
      <c r="O826" s="873"/>
      <c r="P826" s="873"/>
      <c r="Q826" s="873"/>
      <c r="R826" s="873"/>
      <c r="S826" s="873"/>
      <c r="T826" s="873"/>
      <c r="U826" s="873"/>
      <c r="V826" s="873"/>
      <c r="W826" s="873"/>
      <c r="X826" s="873"/>
      <c r="Y826" s="873"/>
      <c r="Z826" s="873"/>
      <c r="AA826" s="873"/>
      <c r="AB826" s="873"/>
      <c r="AC826" s="873"/>
      <c r="AD826" s="873"/>
      <c r="AE826" s="873"/>
      <c r="AF826" s="873"/>
      <c r="AG826" s="873"/>
      <c r="AH826" s="873"/>
      <c r="AI826" s="873"/>
      <c r="AJ826" s="873"/>
      <c r="AK826" s="873"/>
      <c r="AL826" s="873"/>
      <c r="AM826" s="873"/>
      <c r="AN826" s="873"/>
      <c r="AO826" s="873"/>
      <c r="AP826" s="873"/>
      <c r="AQ826" s="873"/>
      <c r="AR826" s="873"/>
      <c r="AS826" s="873"/>
      <c r="AT826" s="873"/>
      <c r="AU826" s="873"/>
      <c r="AV826" s="873"/>
    </row>
    <row r="827" spans="1:48" ht="11.25" customHeight="1" x14ac:dyDescent="0.2">
      <c r="A827" s="873"/>
      <c r="B827" s="873"/>
      <c r="C827" s="873"/>
      <c r="D827" s="873"/>
      <c r="E827" s="873"/>
      <c r="F827" s="873"/>
      <c r="G827" s="873"/>
      <c r="H827" s="873"/>
      <c r="I827" s="873"/>
      <c r="J827" s="873"/>
      <c r="K827" s="873"/>
      <c r="L827" s="873"/>
      <c r="M827" s="873"/>
      <c r="N827" s="873"/>
      <c r="O827" s="873"/>
      <c r="P827" s="873"/>
      <c r="Q827" s="873"/>
      <c r="R827" s="873"/>
      <c r="S827" s="873"/>
      <c r="T827" s="873"/>
      <c r="U827" s="873"/>
      <c r="V827" s="873"/>
      <c r="W827" s="873"/>
      <c r="X827" s="873"/>
      <c r="Y827" s="873"/>
      <c r="Z827" s="873"/>
      <c r="AA827" s="873"/>
      <c r="AB827" s="873"/>
      <c r="AC827" s="873"/>
      <c r="AD827" s="873"/>
      <c r="AE827" s="873"/>
      <c r="AF827" s="873"/>
      <c r="AG827" s="873"/>
      <c r="AH827" s="873"/>
      <c r="AI827" s="873"/>
      <c r="AJ827" s="873"/>
      <c r="AK827" s="873"/>
      <c r="AL827" s="873"/>
      <c r="AM827" s="873"/>
      <c r="AN827" s="873"/>
      <c r="AO827" s="873"/>
      <c r="AP827" s="873"/>
      <c r="AQ827" s="873"/>
      <c r="AR827" s="873"/>
      <c r="AS827" s="873"/>
      <c r="AT827" s="873"/>
      <c r="AU827" s="873"/>
      <c r="AV827" s="873"/>
    </row>
    <row r="828" spans="1:48" ht="11.25" customHeight="1" x14ac:dyDescent="0.2">
      <c r="A828" s="873"/>
      <c r="B828" s="873"/>
      <c r="C828" s="873"/>
      <c r="D828" s="873"/>
      <c r="E828" s="873"/>
      <c r="F828" s="873"/>
      <c r="G828" s="873"/>
      <c r="H828" s="873"/>
      <c r="I828" s="873"/>
      <c r="J828" s="873"/>
      <c r="K828" s="873"/>
      <c r="L828" s="873"/>
      <c r="M828" s="873"/>
      <c r="N828" s="873"/>
      <c r="O828" s="873"/>
      <c r="P828" s="873"/>
      <c r="Q828" s="873"/>
      <c r="R828" s="873"/>
      <c r="S828" s="873"/>
      <c r="T828" s="873"/>
      <c r="U828" s="873"/>
      <c r="V828" s="873"/>
      <c r="W828" s="873"/>
      <c r="X828" s="873"/>
      <c r="Y828" s="873"/>
      <c r="Z828" s="873"/>
      <c r="AA828" s="873"/>
      <c r="AB828" s="873"/>
      <c r="AC828" s="873"/>
      <c r="AD828" s="873"/>
      <c r="AE828" s="873"/>
      <c r="AF828" s="873"/>
      <c r="AG828" s="873"/>
      <c r="AH828" s="873"/>
      <c r="AI828" s="873"/>
      <c r="AJ828" s="873"/>
      <c r="AK828" s="873"/>
      <c r="AL828" s="873"/>
      <c r="AM828" s="873"/>
      <c r="AN828" s="873"/>
      <c r="AO828" s="873"/>
      <c r="AP828" s="873"/>
      <c r="AQ828" s="873"/>
      <c r="AR828" s="873"/>
      <c r="AS828" s="873"/>
      <c r="AT828" s="873"/>
      <c r="AU828" s="873"/>
      <c r="AV828" s="873"/>
    </row>
    <row r="829" spans="1:48" ht="11.25" customHeight="1" x14ac:dyDescent="0.2">
      <c r="A829" s="873"/>
      <c r="B829" s="873"/>
      <c r="C829" s="873"/>
      <c r="D829" s="873"/>
      <c r="E829" s="873"/>
      <c r="F829" s="873"/>
      <c r="G829" s="873"/>
      <c r="H829" s="873"/>
      <c r="I829" s="873"/>
      <c r="J829" s="873"/>
      <c r="K829" s="873"/>
      <c r="L829" s="873"/>
      <c r="M829" s="873"/>
      <c r="N829" s="873"/>
      <c r="O829" s="873"/>
      <c r="P829" s="873"/>
      <c r="Q829" s="873"/>
      <c r="R829" s="873"/>
      <c r="S829" s="873"/>
      <c r="T829" s="873"/>
      <c r="U829" s="873"/>
      <c r="V829" s="873"/>
      <c r="W829" s="873"/>
      <c r="X829" s="873"/>
      <c r="Y829" s="873"/>
      <c r="Z829" s="873"/>
      <c r="AA829" s="873"/>
      <c r="AB829" s="873"/>
      <c r="AC829" s="873"/>
      <c r="AD829" s="873"/>
      <c r="AE829" s="873"/>
      <c r="AF829" s="873"/>
      <c r="AG829" s="873"/>
      <c r="AH829" s="873"/>
      <c r="AI829" s="873"/>
      <c r="AJ829" s="873"/>
      <c r="AK829" s="873"/>
      <c r="AL829" s="873"/>
      <c r="AM829" s="873"/>
      <c r="AN829" s="873"/>
      <c r="AO829" s="873"/>
      <c r="AP829" s="873"/>
      <c r="AQ829" s="873"/>
      <c r="AR829" s="873"/>
      <c r="AS829" s="873"/>
      <c r="AT829" s="873"/>
      <c r="AU829" s="873"/>
      <c r="AV829" s="873"/>
    </row>
    <row r="830" spans="1:48" ht="11.25" customHeight="1" x14ac:dyDescent="0.2">
      <c r="A830" s="873"/>
      <c r="B830" s="873"/>
      <c r="C830" s="873"/>
      <c r="D830" s="873"/>
      <c r="E830" s="873"/>
      <c r="F830" s="873"/>
      <c r="G830" s="873"/>
      <c r="H830" s="873"/>
      <c r="I830" s="873"/>
      <c r="J830" s="873"/>
      <c r="K830" s="873"/>
      <c r="L830" s="873"/>
      <c r="M830" s="873"/>
      <c r="N830" s="873"/>
      <c r="O830" s="873"/>
      <c r="P830" s="873"/>
      <c r="Q830" s="873"/>
      <c r="R830" s="873"/>
      <c r="S830" s="873"/>
      <c r="T830" s="873"/>
      <c r="U830" s="873"/>
      <c r="V830" s="873"/>
      <c r="W830" s="873"/>
      <c r="X830" s="873"/>
      <c r="Y830" s="873"/>
      <c r="Z830" s="873"/>
      <c r="AA830" s="873"/>
      <c r="AB830" s="873"/>
      <c r="AC830" s="873"/>
      <c r="AD830" s="873"/>
      <c r="AE830" s="873"/>
      <c r="AF830" s="873"/>
      <c r="AG830" s="873"/>
      <c r="AH830" s="873"/>
      <c r="AI830" s="873"/>
      <c r="AJ830" s="873"/>
      <c r="AK830" s="873"/>
      <c r="AL830" s="873"/>
      <c r="AM830" s="873"/>
      <c r="AN830" s="873"/>
      <c r="AO830" s="873"/>
      <c r="AP830" s="873"/>
      <c r="AQ830" s="873"/>
      <c r="AR830" s="873"/>
      <c r="AS830" s="873"/>
      <c r="AT830" s="873"/>
      <c r="AU830" s="873"/>
      <c r="AV830" s="873"/>
    </row>
    <row r="831" spans="1:48" ht="11.25" customHeight="1" x14ac:dyDescent="0.2">
      <c r="A831" s="873"/>
      <c r="B831" s="873"/>
      <c r="C831" s="873"/>
      <c r="D831" s="873"/>
      <c r="E831" s="873"/>
      <c r="F831" s="873"/>
      <c r="G831" s="873"/>
      <c r="H831" s="873"/>
      <c r="I831" s="873"/>
      <c r="J831" s="873"/>
      <c r="K831" s="873"/>
      <c r="L831" s="873"/>
      <c r="M831" s="873"/>
      <c r="N831" s="873"/>
      <c r="O831" s="873"/>
      <c r="P831" s="873"/>
      <c r="Q831" s="873"/>
      <c r="R831" s="873"/>
      <c r="S831" s="873"/>
      <c r="T831" s="873"/>
      <c r="U831" s="873"/>
      <c r="V831" s="873"/>
      <c r="W831" s="873"/>
      <c r="X831" s="873"/>
      <c r="Y831" s="873"/>
      <c r="Z831" s="873"/>
      <c r="AA831" s="873"/>
      <c r="AB831" s="873"/>
      <c r="AC831" s="873"/>
      <c r="AD831" s="873"/>
      <c r="AE831" s="873"/>
      <c r="AF831" s="873"/>
      <c r="AG831" s="873"/>
      <c r="AH831" s="873"/>
      <c r="AI831" s="873"/>
      <c r="AJ831" s="873"/>
      <c r="AK831" s="873"/>
      <c r="AL831" s="873"/>
      <c r="AM831" s="873"/>
      <c r="AN831" s="873"/>
      <c r="AO831" s="873"/>
      <c r="AP831" s="873"/>
      <c r="AQ831" s="873"/>
      <c r="AR831" s="873"/>
      <c r="AS831" s="873"/>
      <c r="AT831" s="873"/>
      <c r="AU831" s="873"/>
      <c r="AV831" s="873"/>
    </row>
    <row r="832" spans="1:48" ht="11.25" customHeight="1" x14ac:dyDescent="0.2">
      <c r="A832" s="873"/>
      <c r="B832" s="873"/>
      <c r="C832" s="873"/>
      <c r="D832" s="873"/>
      <c r="E832" s="873"/>
      <c r="F832" s="873"/>
      <c r="G832" s="873"/>
      <c r="H832" s="873"/>
      <c r="I832" s="873"/>
      <c r="J832" s="873"/>
      <c r="K832" s="873"/>
      <c r="L832" s="873"/>
      <c r="M832" s="873"/>
      <c r="N832" s="873"/>
      <c r="O832" s="873"/>
      <c r="P832" s="873"/>
      <c r="Q832" s="873"/>
      <c r="R832" s="873"/>
      <c r="S832" s="873"/>
      <c r="T832" s="873"/>
      <c r="U832" s="873"/>
      <c r="V832" s="873"/>
      <c r="W832" s="873"/>
      <c r="X832" s="873"/>
      <c r="Y832" s="873"/>
      <c r="Z832" s="873"/>
      <c r="AA832" s="873"/>
      <c r="AB832" s="873"/>
      <c r="AC832" s="873"/>
      <c r="AD832" s="873"/>
      <c r="AE832" s="873"/>
      <c r="AF832" s="873"/>
      <c r="AG832" s="873"/>
      <c r="AH832" s="873"/>
      <c r="AI832" s="873"/>
      <c r="AJ832" s="873"/>
      <c r="AK832" s="873"/>
      <c r="AL832" s="873"/>
      <c r="AM832" s="873"/>
      <c r="AN832" s="873"/>
      <c r="AO832" s="873"/>
      <c r="AP832" s="873"/>
      <c r="AQ832" s="873"/>
      <c r="AR832" s="873"/>
      <c r="AS832" s="873"/>
      <c r="AT832" s="873"/>
      <c r="AU832" s="873"/>
      <c r="AV832" s="873"/>
    </row>
    <row r="833" spans="1:48" ht="11.25" customHeight="1" x14ac:dyDescent="0.2">
      <c r="A833" s="873"/>
      <c r="B833" s="873"/>
      <c r="C833" s="873"/>
      <c r="D833" s="873"/>
      <c r="E833" s="873"/>
      <c r="F833" s="873"/>
      <c r="G833" s="873"/>
      <c r="H833" s="873"/>
      <c r="I833" s="873"/>
      <c r="J833" s="873"/>
      <c r="K833" s="873"/>
      <c r="L833" s="873"/>
      <c r="M833" s="873"/>
      <c r="N833" s="873"/>
      <c r="O833" s="873"/>
      <c r="P833" s="873"/>
      <c r="Q833" s="873"/>
      <c r="R833" s="873"/>
      <c r="S833" s="873"/>
      <c r="T833" s="873"/>
      <c r="U833" s="873"/>
      <c r="V833" s="873"/>
      <c r="W833" s="873"/>
      <c r="X833" s="873"/>
      <c r="Y833" s="873"/>
      <c r="Z833" s="873"/>
      <c r="AA833" s="873"/>
      <c r="AB833" s="873"/>
      <c r="AC833" s="873"/>
      <c r="AD833" s="873"/>
      <c r="AE833" s="873"/>
      <c r="AF833" s="873"/>
      <c r="AG833" s="873"/>
      <c r="AH833" s="873"/>
      <c r="AI833" s="873"/>
      <c r="AJ833" s="873"/>
      <c r="AK833" s="873"/>
      <c r="AL833" s="873"/>
      <c r="AM833" s="873"/>
      <c r="AN833" s="873"/>
      <c r="AO833" s="873"/>
      <c r="AP833" s="873"/>
      <c r="AQ833" s="873"/>
      <c r="AR833" s="873"/>
      <c r="AS833" s="873"/>
      <c r="AT833" s="873"/>
      <c r="AU833" s="873"/>
      <c r="AV833" s="873"/>
    </row>
    <row r="834" spans="1:48" ht="11.25" customHeight="1" x14ac:dyDescent="0.2">
      <c r="A834" s="873"/>
      <c r="B834" s="873"/>
      <c r="C834" s="873"/>
      <c r="D834" s="873"/>
      <c r="E834" s="873"/>
      <c r="F834" s="873"/>
      <c r="G834" s="873"/>
      <c r="H834" s="873"/>
      <c r="I834" s="873"/>
      <c r="J834" s="873"/>
      <c r="K834" s="873"/>
      <c r="L834" s="873"/>
      <c r="M834" s="873"/>
      <c r="N834" s="873"/>
      <c r="O834" s="873"/>
      <c r="P834" s="873"/>
      <c r="Q834" s="873"/>
      <c r="R834" s="873"/>
      <c r="S834" s="873"/>
      <c r="T834" s="873"/>
      <c r="U834" s="873"/>
      <c r="V834" s="873"/>
      <c r="W834" s="873"/>
      <c r="X834" s="873"/>
      <c r="Y834" s="873"/>
      <c r="Z834" s="873"/>
      <c r="AA834" s="873"/>
      <c r="AB834" s="873"/>
      <c r="AC834" s="873"/>
      <c r="AD834" s="873"/>
      <c r="AE834" s="873"/>
      <c r="AF834" s="873"/>
      <c r="AG834" s="873"/>
      <c r="AH834" s="873"/>
      <c r="AI834" s="873"/>
      <c r="AJ834" s="873"/>
      <c r="AK834" s="873"/>
      <c r="AL834" s="873"/>
      <c r="AM834" s="873"/>
      <c r="AN834" s="873"/>
      <c r="AO834" s="873"/>
      <c r="AP834" s="873"/>
      <c r="AQ834" s="873"/>
      <c r="AR834" s="873"/>
      <c r="AS834" s="873"/>
      <c r="AT834" s="873"/>
      <c r="AU834" s="873"/>
      <c r="AV834" s="873"/>
    </row>
    <row r="835" spans="1:48" ht="11.25" customHeight="1" x14ac:dyDescent="0.2">
      <c r="A835" s="873"/>
      <c r="B835" s="873"/>
      <c r="C835" s="873"/>
      <c r="D835" s="873"/>
      <c r="E835" s="873"/>
      <c r="F835" s="873"/>
      <c r="G835" s="873"/>
      <c r="H835" s="873"/>
      <c r="I835" s="873"/>
      <c r="J835" s="873"/>
      <c r="K835" s="873"/>
      <c r="L835" s="873"/>
      <c r="M835" s="873"/>
      <c r="N835" s="873"/>
      <c r="O835" s="873"/>
      <c r="P835" s="873"/>
      <c r="Q835" s="873"/>
      <c r="R835" s="873"/>
      <c r="S835" s="873"/>
      <c r="T835" s="873"/>
      <c r="U835" s="873"/>
      <c r="V835" s="873"/>
      <c r="W835" s="873"/>
      <c r="X835" s="873"/>
      <c r="Y835" s="873"/>
      <c r="Z835" s="873"/>
      <c r="AA835" s="873"/>
      <c r="AB835" s="873"/>
      <c r="AC835" s="873"/>
      <c r="AD835" s="873"/>
      <c r="AE835" s="873"/>
      <c r="AF835" s="873"/>
      <c r="AG835" s="873"/>
      <c r="AH835" s="873"/>
      <c r="AI835" s="873"/>
      <c r="AJ835" s="873"/>
      <c r="AK835" s="873"/>
      <c r="AL835" s="873"/>
      <c r="AM835" s="873"/>
      <c r="AN835" s="873"/>
      <c r="AO835" s="873"/>
      <c r="AP835" s="873"/>
      <c r="AQ835" s="873"/>
      <c r="AR835" s="873"/>
      <c r="AS835" s="873"/>
      <c r="AT835" s="873"/>
      <c r="AU835" s="873"/>
      <c r="AV835" s="873"/>
    </row>
    <row r="836" spans="1:48" ht="11.25" customHeight="1" x14ac:dyDescent="0.2">
      <c r="A836" s="873"/>
      <c r="B836" s="873"/>
      <c r="C836" s="873"/>
      <c r="D836" s="873"/>
      <c r="E836" s="873"/>
      <c r="F836" s="873"/>
      <c r="G836" s="873"/>
      <c r="H836" s="873"/>
      <c r="I836" s="873"/>
      <c r="J836" s="873"/>
      <c r="K836" s="873"/>
      <c r="L836" s="873"/>
      <c r="M836" s="873"/>
      <c r="N836" s="873"/>
      <c r="O836" s="873"/>
      <c r="P836" s="873"/>
      <c r="Q836" s="873"/>
      <c r="R836" s="873"/>
      <c r="S836" s="873"/>
      <c r="T836" s="873"/>
      <c r="U836" s="873"/>
      <c r="V836" s="873"/>
      <c r="W836" s="873"/>
      <c r="X836" s="873"/>
      <c r="Y836" s="873"/>
      <c r="Z836" s="873"/>
      <c r="AA836" s="873"/>
      <c r="AB836" s="873"/>
      <c r="AC836" s="873"/>
      <c r="AD836" s="873"/>
      <c r="AE836" s="873"/>
      <c r="AF836" s="873"/>
      <c r="AG836" s="873"/>
      <c r="AH836" s="873"/>
      <c r="AI836" s="873"/>
      <c r="AJ836" s="873"/>
      <c r="AK836" s="873"/>
      <c r="AL836" s="873"/>
      <c r="AM836" s="873"/>
      <c r="AN836" s="873"/>
      <c r="AO836" s="873"/>
      <c r="AP836" s="873"/>
      <c r="AQ836" s="873"/>
      <c r="AR836" s="873"/>
      <c r="AS836" s="873"/>
      <c r="AT836" s="873"/>
      <c r="AU836" s="873"/>
      <c r="AV836" s="873"/>
    </row>
    <row r="837" spans="1:48" ht="11.25" customHeight="1" x14ac:dyDescent="0.2">
      <c r="A837" s="873"/>
      <c r="B837" s="873"/>
      <c r="C837" s="873"/>
      <c r="D837" s="873"/>
      <c r="E837" s="873"/>
      <c r="F837" s="873"/>
      <c r="G837" s="873"/>
      <c r="H837" s="873"/>
      <c r="I837" s="873"/>
      <c r="J837" s="873"/>
      <c r="K837" s="873"/>
      <c r="L837" s="873"/>
      <c r="M837" s="873"/>
      <c r="N837" s="873"/>
      <c r="O837" s="873"/>
      <c r="P837" s="873"/>
      <c r="Q837" s="873"/>
      <c r="R837" s="873"/>
      <c r="S837" s="873"/>
      <c r="T837" s="873"/>
      <c r="U837" s="873"/>
      <c r="V837" s="873"/>
      <c r="W837" s="873"/>
      <c r="X837" s="873"/>
      <c r="Y837" s="873"/>
      <c r="Z837" s="873"/>
      <c r="AA837" s="873"/>
      <c r="AB837" s="873"/>
      <c r="AC837" s="873"/>
      <c r="AD837" s="873"/>
      <c r="AE837" s="873"/>
      <c r="AF837" s="873"/>
      <c r="AG837" s="873"/>
      <c r="AH837" s="873"/>
      <c r="AI837" s="873"/>
      <c r="AJ837" s="873"/>
      <c r="AK837" s="873"/>
      <c r="AL837" s="873"/>
      <c r="AM837" s="873"/>
      <c r="AN837" s="873"/>
      <c r="AO837" s="873"/>
      <c r="AP837" s="873"/>
      <c r="AQ837" s="873"/>
      <c r="AR837" s="873"/>
      <c r="AS837" s="873"/>
      <c r="AT837" s="873"/>
      <c r="AU837" s="873"/>
      <c r="AV837" s="873"/>
    </row>
    <row r="838" spans="1:48" ht="11.25" customHeight="1" x14ac:dyDescent="0.2">
      <c r="A838" s="873"/>
      <c r="B838" s="873"/>
      <c r="C838" s="873"/>
      <c r="D838" s="873"/>
      <c r="E838" s="873"/>
      <c r="F838" s="873"/>
      <c r="G838" s="873"/>
      <c r="H838" s="873"/>
      <c r="I838" s="873"/>
      <c r="J838" s="873"/>
      <c r="K838" s="873"/>
      <c r="L838" s="873"/>
      <c r="M838" s="873"/>
      <c r="N838" s="873"/>
      <c r="O838" s="873"/>
      <c r="P838" s="873"/>
      <c r="Q838" s="873"/>
      <c r="R838" s="873"/>
      <c r="S838" s="873"/>
      <c r="T838" s="873"/>
      <c r="U838" s="873"/>
      <c r="V838" s="873"/>
      <c r="W838" s="873"/>
      <c r="X838" s="873"/>
      <c r="Y838" s="873"/>
      <c r="Z838" s="873"/>
      <c r="AA838" s="873"/>
      <c r="AB838" s="873"/>
      <c r="AC838" s="873"/>
      <c r="AD838" s="873"/>
      <c r="AE838" s="873"/>
      <c r="AF838" s="873"/>
      <c r="AG838" s="873"/>
      <c r="AH838" s="873"/>
      <c r="AI838" s="873"/>
      <c r="AJ838" s="873"/>
      <c r="AK838" s="873"/>
      <c r="AL838" s="873"/>
      <c r="AM838" s="873"/>
      <c r="AN838" s="873"/>
      <c r="AO838" s="873"/>
      <c r="AP838" s="873"/>
      <c r="AQ838" s="873"/>
      <c r="AR838" s="873"/>
      <c r="AS838" s="873"/>
      <c r="AT838" s="873"/>
      <c r="AU838" s="873"/>
      <c r="AV838" s="873"/>
    </row>
    <row r="839" spans="1:48" ht="11.25" customHeight="1" x14ac:dyDescent="0.2">
      <c r="A839" s="873"/>
      <c r="B839" s="873"/>
      <c r="C839" s="873"/>
      <c r="D839" s="873"/>
      <c r="E839" s="873"/>
      <c r="F839" s="873"/>
      <c r="G839" s="873"/>
      <c r="H839" s="873"/>
      <c r="I839" s="873"/>
      <c r="J839" s="873"/>
      <c r="K839" s="873"/>
      <c r="L839" s="873"/>
      <c r="M839" s="873"/>
      <c r="N839" s="873"/>
      <c r="O839" s="873"/>
      <c r="P839" s="873"/>
      <c r="Q839" s="873"/>
      <c r="R839" s="873"/>
      <c r="S839" s="873"/>
      <c r="T839" s="873"/>
      <c r="U839" s="873"/>
      <c r="V839" s="873"/>
      <c r="W839" s="873"/>
      <c r="X839" s="873"/>
      <c r="Y839" s="873"/>
      <c r="Z839" s="873"/>
      <c r="AA839" s="873"/>
      <c r="AB839" s="873"/>
      <c r="AC839" s="873"/>
      <c r="AD839" s="873"/>
      <c r="AE839" s="873"/>
      <c r="AF839" s="873"/>
      <c r="AG839" s="873"/>
      <c r="AH839" s="873"/>
      <c r="AI839" s="873"/>
      <c r="AJ839" s="873"/>
      <c r="AK839" s="873"/>
      <c r="AL839" s="873"/>
      <c r="AM839" s="873"/>
      <c r="AN839" s="873"/>
      <c r="AO839" s="873"/>
      <c r="AP839" s="873"/>
      <c r="AQ839" s="873"/>
      <c r="AR839" s="873"/>
      <c r="AS839" s="873"/>
      <c r="AT839" s="873"/>
      <c r="AU839" s="873"/>
      <c r="AV839" s="873"/>
    </row>
    <row r="840" spans="1:48" ht="11.25" customHeight="1" x14ac:dyDescent="0.2">
      <c r="A840" s="873"/>
      <c r="B840" s="873"/>
      <c r="C840" s="873"/>
      <c r="D840" s="873"/>
      <c r="E840" s="873"/>
      <c r="F840" s="873"/>
      <c r="G840" s="873"/>
      <c r="H840" s="873"/>
      <c r="I840" s="873"/>
      <c r="J840" s="873"/>
      <c r="K840" s="873"/>
      <c r="L840" s="873"/>
      <c r="M840" s="873"/>
      <c r="N840" s="873"/>
      <c r="O840" s="873"/>
      <c r="P840" s="873"/>
      <c r="Q840" s="873"/>
      <c r="R840" s="873"/>
      <c r="S840" s="873"/>
      <c r="T840" s="873"/>
      <c r="U840" s="873"/>
      <c r="V840" s="873"/>
      <c r="W840" s="873"/>
      <c r="X840" s="873"/>
      <c r="Y840" s="873"/>
      <c r="Z840" s="873"/>
      <c r="AA840" s="873"/>
      <c r="AB840" s="873"/>
      <c r="AC840" s="873"/>
      <c r="AD840" s="873"/>
      <c r="AE840" s="873"/>
      <c r="AF840" s="873"/>
      <c r="AG840" s="873"/>
      <c r="AH840" s="873"/>
      <c r="AI840" s="873"/>
      <c r="AJ840" s="873"/>
      <c r="AK840" s="873"/>
      <c r="AL840" s="873"/>
      <c r="AM840" s="873"/>
      <c r="AN840" s="873"/>
      <c r="AO840" s="873"/>
      <c r="AP840" s="873"/>
      <c r="AQ840" s="873"/>
      <c r="AR840" s="873"/>
      <c r="AS840" s="873"/>
      <c r="AT840" s="873"/>
      <c r="AU840" s="873"/>
      <c r="AV840" s="873"/>
    </row>
    <row r="841" spans="1:48" ht="11.25" customHeight="1" x14ac:dyDescent="0.2">
      <c r="A841" s="873"/>
      <c r="B841" s="873"/>
      <c r="C841" s="873"/>
      <c r="D841" s="873"/>
      <c r="E841" s="873"/>
      <c r="F841" s="873"/>
      <c r="G841" s="873"/>
      <c r="H841" s="873"/>
      <c r="I841" s="873"/>
      <c r="J841" s="873"/>
      <c r="K841" s="873"/>
      <c r="L841" s="873"/>
      <c r="M841" s="873"/>
      <c r="N841" s="873"/>
      <c r="O841" s="873"/>
      <c r="P841" s="873"/>
      <c r="Q841" s="873"/>
      <c r="R841" s="873"/>
      <c r="S841" s="873"/>
      <c r="T841" s="873"/>
      <c r="U841" s="873"/>
      <c r="V841" s="873"/>
      <c r="W841" s="873"/>
      <c r="X841" s="873"/>
      <c r="Y841" s="873"/>
      <c r="Z841" s="873"/>
      <c r="AA841" s="873"/>
      <c r="AB841" s="873"/>
      <c r="AC841" s="873"/>
      <c r="AD841" s="873"/>
      <c r="AE841" s="873"/>
      <c r="AF841" s="873"/>
      <c r="AG841" s="873"/>
      <c r="AH841" s="873"/>
      <c r="AI841" s="873"/>
      <c r="AJ841" s="873"/>
      <c r="AK841" s="873"/>
      <c r="AL841" s="873"/>
      <c r="AM841" s="873"/>
      <c r="AN841" s="873"/>
      <c r="AO841" s="873"/>
      <c r="AP841" s="873"/>
      <c r="AQ841" s="873"/>
      <c r="AR841" s="873"/>
      <c r="AS841" s="873"/>
      <c r="AT841" s="873"/>
      <c r="AU841" s="873"/>
      <c r="AV841" s="873"/>
    </row>
    <row r="842" spans="1:48" ht="11.25" customHeight="1" x14ac:dyDescent="0.2">
      <c r="A842" s="873"/>
      <c r="B842" s="873"/>
      <c r="C842" s="873"/>
      <c r="D842" s="873"/>
      <c r="E842" s="873"/>
      <c r="F842" s="873"/>
      <c r="G842" s="873"/>
      <c r="H842" s="873"/>
      <c r="I842" s="873"/>
      <c r="J842" s="873"/>
      <c r="K842" s="873"/>
      <c r="L842" s="873"/>
      <c r="M842" s="873"/>
      <c r="N842" s="873"/>
      <c r="O842" s="873"/>
      <c r="P842" s="873"/>
      <c r="Q842" s="873"/>
      <c r="R842" s="873"/>
      <c r="S842" s="873"/>
      <c r="T842" s="873"/>
      <c r="U842" s="873"/>
      <c r="V842" s="873"/>
      <c r="W842" s="873"/>
      <c r="X842" s="873"/>
      <c r="Y842" s="873"/>
      <c r="Z842" s="873"/>
      <c r="AA842" s="873"/>
      <c r="AB842" s="873"/>
      <c r="AC842" s="873"/>
      <c r="AD842" s="873"/>
      <c r="AE842" s="873"/>
      <c r="AF842" s="873"/>
      <c r="AG842" s="873"/>
      <c r="AH842" s="873"/>
      <c r="AI842" s="873"/>
      <c r="AJ842" s="873"/>
      <c r="AK842" s="873"/>
      <c r="AL842" s="873"/>
      <c r="AM842" s="873"/>
      <c r="AN842" s="873"/>
      <c r="AO842" s="873"/>
      <c r="AP842" s="873"/>
      <c r="AQ842" s="873"/>
      <c r="AR842" s="873"/>
      <c r="AS842" s="873"/>
      <c r="AT842" s="873"/>
      <c r="AU842" s="873"/>
      <c r="AV842" s="873"/>
    </row>
    <row r="843" spans="1:48" ht="11.25" customHeight="1" x14ac:dyDescent="0.2">
      <c r="A843" s="873"/>
      <c r="B843" s="873"/>
      <c r="C843" s="873"/>
      <c r="D843" s="873"/>
      <c r="E843" s="873"/>
      <c r="F843" s="873"/>
      <c r="G843" s="873"/>
      <c r="H843" s="873"/>
      <c r="I843" s="873"/>
      <c r="J843" s="873"/>
      <c r="K843" s="873"/>
      <c r="L843" s="873"/>
      <c r="M843" s="873"/>
      <c r="N843" s="873"/>
      <c r="O843" s="873"/>
      <c r="P843" s="873"/>
      <c r="Q843" s="873"/>
      <c r="R843" s="873"/>
      <c r="S843" s="873"/>
      <c r="T843" s="873"/>
      <c r="U843" s="873"/>
      <c r="V843" s="873"/>
      <c r="W843" s="873"/>
      <c r="X843" s="873"/>
      <c r="Y843" s="873"/>
      <c r="Z843" s="873"/>
      <c r="AA843" s="873"/>
      <c r="AB843" s="873"/>
      <c r="AC843" s="873"/>
      <c r="AD843" s="873"/>
      <c r="AE843" s="873"/>
      <c r="AF843" s="873"/>
      <c r="AG843" s="873"/>
      <c r="AH843" s="873"/>
      <c r="AI843" s="873"/>
      <c r="AJ843" s="873"/>
      <c r="AK843" s="873"/>
      <c r="AL843" s="873"/>
      <c r="AM843" s="873"/>
      <c r="AN843" s="873"/>
      <c r="AO843" s="873"/>
      <c r="AP843" s="873"/>
      <c r="AQ843" s="873"/>
      <c r="AR843" s="873"/>
      <c r="AS843" s="873"/>
      <c r="AT843" s="873"/>
      <c r="AU843" s="873"/>
      <c r="AV843" s="873"/>
    </row>
    <row r="844" spans="1:48" ht="11.25" customHeight="1" x14ac:dyDescent="0.2">
      <c r="A844" s="873"/>
      <c r="B844" s="873"/>
      <c r="C844" s="873"/>
      <c r="D844" s="873"/>
      <c r="E844" s="873"/>
      <c r="F844" s="873"/>
      <c r="G844" s="873"/>
      <c r="H844" s="873"/>
      <c r="I844" s="873"/>
      <c r="J844" s="873"/>
      <c r="K844" s="873"/>
      <c r="L844" s="873"/>
      <c r="M844" s="873"/>
      <c r="N844" s="873"/>
      <c r="O844" s="873"/>
      <c r="P844" s="873"/>
      <c r="Q844" s="873"/>
      <c r="R844" s="873"/>
      <c r="S844" s="873"/>
      <c r="T844" s="873"/>
      <c r="U844" s="873"/>
      <c r="V844" s="873"/>
      <c r="W844" s="873"/>
      <c r="X844" s="873"/>
      <c r="Y844" s="873"/>
      <c r="Z844" s="873"/>
      <c r="AA844" s="873"/>
      <c r="AB844" s="873"/>
      <c r="AC844" s="873"/>
      <c r="AD844" s="873"/>
      <c r="AE844" s="873"/>
      <c r="AF844" s="873"/>
      <c r="AG844" s="873"/>
      <c r="AH844" s="873"/>
      <c r="AI844" s="873"/>
      <c r="AJ844" s="873"/>
      <c r="AK844" s="873"/>
      <c r="AL844" s="873"/>
      <c r="AM844" s="873"/>
      <c r="AN844" s="873"/>
      <c r="AO844" s="873"/>
      <c r="AP844" s="873"/>
      <c r="AQ844" s="873"/>
      <c r="AR844" s="873"/>
      <c r="AS844" s="873"/>
      <c r="AT844" s="873"/>
      <c r="AU844" s="873"/>
      <c r="AV844" s="873"/>
    </row>
    <row r="845" spans="1:48" ht="11.25" customHeight="1" x14ac:dyDescent="0.2">
      <c r="A845" s="873"/>
      <c r="B845" s="873"/>
      <c r="C845" s="873"/>
      <c r="D845" s="873"/>
      <c r="E845" s="873"/>
      <c r="F845" s="873"/>
      <c r="G845" s="873"/>
      <c r="H845" s="873"/>
      <c r="I845" s="873"/>
      <c r="J845" s="873"/>
      <c r="K845" s="873"/>
      <c r="L845" s="873"/>
      <c r="M845" s="873"/>
      <c r="N845" s="873"/>
      <c r="O845" s="873"/>
      <c r="P845" s="873"/>
      <c r="Q845" s="873"/>
      <c r="R845" s="873"/>
      <c r="S845" s="873"/>
      <c r="T845" s="873"/>
      <c r="U845" s="873"/>
      <c r="V845" s="873"/>
      <c r="W845" s="873"/>
      <c r="X845" s="873"/>
      <c r="Y845" s="873"/>
      <c r="Z845" s="873"/>
      <c r="AA845" s="873"/>
      <c r="AB845" s="873"/>
      <c r="AC845" s="873"/>
      <c r="AD845" s="873"/>
      <c r="AE845" s="873"/>
      <c r="AF845" s="873"/>
      <c r="AG845" s="873"/>
      <c r="AH845" s="873"/>
      <c r="AI845" s="873"/>
      <c r="AJ845" s="873"/>
      <c r="AK845" s="873"/>
      <c r="AL845" s="873"/>
      <c r="AM845" s="873"/>
      <c r="AN845" s="873"/>
      <c r="AO845" s="873"/>
      <c r="AP845" s="873"/>
      <c r="AQ845" s="873"/>
      <c r="AR845" s="873"/>
      <c r="AS845" s="873"/>
      <c r="AT845" s="873"/>
      <c r="AU845" s="873"/>
      <c r="AV845" s="873"/>
    </row>
    <row r="846" spans="1:48" ht="11.25" customHeight="1" x14ac:dyDescent="0.2">
      <c r="A846" s="873"/>
      <c r="B846" s="873"/>
      <c r="C846" s="873"/>
      <c r="D846" s="873"/>
      <c r="E846" s="873"/>
      <c r="F846" s="873"/>
      <c r="G846" s="873"/>
      <c r="H846" s="873"/>
      <c r="I846" s="873"/>
      <c r="J846" s="873"/>
      <c r="K846" s="873"/>
      <c r="L846" s="873"/>
      <c r="M846" s="873"/>
      <c r="N846" s="873"/>
      <c r="O846" s="873"/>
      <c r="P846" s="873"/>
      <c r="Q846" s="873"/>
      <c r="R846" s="873"/>
      <c r="S846" s="873"/>
      <c r="T846" s="873"/>
      <c r="U846" s="873"/>
      <c r="V846" s="873"/>
      <c r="W846" s="873"/>
      <c r="X846" s="873"/>
      <c r="Y846" s="873"/>
      <c r="Z846" s="873"/>
      <c r="AA846" s="873"/>
      <c r="AB846" s="873"/>
      <c r="AC846" s="873"/>
      <c r="AD846" s="873"/>
      <c r="AE846" s="873"/>
      <c r="AF846" s="873"/>
      <c r="AG846" s="873"/>
      <c r="AH846" s="873"/>
      <c r="AI846" s="873"/>
      <c r="AJ846" s="873"/>
      <c r="AK846" s="873"/>
      <c r="AL846" s="873"/>
      <c r="AM846" s="873"/>
      <c r="AN846" s="873"/>
      <c r="AO846" s="873"/>
      <c r="AP846" s="873"/>
      <c r="AQ846" s="873"/>
      <c r="AR846" s="873"/>
      <c r="AS846" s="873"/>
      <c r="AT846" s="873"/>
      <c r="AU846" s="873"/>
      <c r="AV846" s="873"/>
    </row>
    <row r="847" spans="1:48" ht="11.25" customHeight="1" x14ac:dyDescent="0.2">
      <c r="A847" s="873"/>
      <c r="B847" s="873"/>
      <c r="C847" s="873"/>
      <c r="D847" s="873"/>
      <c r="E847" s="873"/>
      <c r="F847" s="873"/>
      <c r="G847" s="873"/>
      <c r="H847" s="873"/>
      <c r="I847" s="873"/>
      <c r="J847" s="873"/>
      <c r="K847" s="873"/>
      <c r="L847" s="873"/>
      <c r="M847" s="873"/>
      <c r="N847" s="873"/>
      <c r="O847" s="873"/>
      <c r="P847" s="873"/>
      <c r="Q847" s="873"/>
      <c r="R847" s="873"/>
      <c r="S847" s="873"/>
      <c r="T847" s="873"/>
      <c r="U847" s="873"/>
      <c r="V847" s="873"/>
      <c r="W847" s="873"/>
      <c r="X847" s="873"/>
      <c r="Y847" s="873"/>
      <c r="Z847" s="873"/>
      <c r="AA847" s="873"/>
      <c r="AB847" s="873"/>
      <c r="AC847" s="873"/>
      <c r="AD847" s="873"/>
      <c r="AE847" s="873"/>
      <c r="AF847" s="873"/>
      <c r="AG847" s="873"/>
      <c r="AH847" s="873"/>
      <c r="AI847" s="873"/>
      <c r="AJ847" s="873"/>
      <c r="AK847" s="873"/>
      <c r="AL847" s="873"/>
      <c r="AM847" s="873"/>
      <c r="AN847" s="873"/>
      <c r="AO847" s="873"/>
      <c r="AP847" s="873"/>
      <c r="AQ847" s="873"/>
      <c r="AR847" s="873"/>
      <c r="AS847" s="873"/>
      <c r="AT847" s="873"/>
      <c r="AU847" s="873"/>
      <c r="AV847" s="873"/>
    </row>
    <row r="848" spans="1:48" ht="11.25" customHeight="1" x14ac:dyDescent="0.2">
      <c r="A848" s="873"/>
      <c r="B848" s="873"/>
      <c r="C848" s="873"/>
      <c r="D848" s="873"/>
      <c r="E848" s="873"/>
      <c r="F848" s="873"/>
      <c r="G848" s="873"/>
      <c r="H848" s="873"/>
      <c r="I848" s="873"/>
      <c r="J848" s="873"/>
      <c r="K848" s="873"/>
      <c r="L848" s="873"/>
      <c r="M848" s="873"/>
      <c r="N848" s="873"/>
      <c r="O848" s="873"/>
      <c r="P848" s="873"/>
      <c r="Q848" s="873"/>
      <c r="R848" s="873"/>
      <c r="S848" s="873"/>
      <c r="T848" s="873"/>
      <c r="U848" s="873"/>
      <c r="V848" s="873"/>
      <c r="W848" s="873"/>
      <c r="X848" s="873"/>
      <c r="Y848" s="873"/>
      <c r="Z848" s="873"/>
      <c r="AA848" s="873"/>
      <c r="AB848" s="873"/>
      <c r="AC848" s="873"/>
      <c r="AD848" s="873"/>
      <c r="AE848" s="873"/>
      <c r="AF848" s="873"/>
      <c r="AG848" s="873"/>
      <c r="AH848" s="873"/>
      <c r="AI848" s="873"/>
      <c r="AJ848" s="873"/>
      <c r="AK848" s="873"/>
      <c r="AL848" s="873"/>
      <c r="AM848" s="873"/>
      <c r="AN848" s="873"/>
      <c r="AO848" s="873"/>
      <c r="AP848" s="873"/>
      <c r="AQ848" s="873"/>
      <c r="AR848" s="873"/>
      <c r="AS848" s="873"/>
      <c r="AT848" s="873"/>
      <c r="AU848" s="873"/>
      <c r="AV848" s="873"/>
    </row>
    <row r="849" spans="1:48" ht="11.25" customHeight="1" x14ac:dyDescent="0.2">
      <c r="A849" s="873"/>
      <c r="B849" s="873"/>
      <c r="C849" s="873"/>
      <c r="D849" s="873"/>
      <c r="E849" s="873"/>
      <c r="F849" s="873"/>
      <c r="G849" s="873"/>
      <c r="H849" s="873"/>
      <c r="I849" s="873"/>
      <c r="J849" s="873"/>
      <c r="K849" s="873"/>
      <c r="L849" s="873"/>
      <c r="M849" s="873"/>
      <c r="N849" s="873"/>
      <c r="O849" s="873"/>
      <c r="P849" s="873"/>
      <c r="Q849" s="873"/>
      <c r="R849" s="873"/>
      <c r="S849" s="873"/>
      <c r="T849" s="873"/>
      <c r="U849" s="873"/>
      <c r="V849" s="873"/>
      <c r="W849" s="873"/>
      <c r="X849" s="873"/>
      <c r="Y849" s="873"/>
      <c r="Z849" s="873"/>
      <c r="AA849" s="873"/>
      <c r="AB849" s="873"/>
      <c r="AC849" s="873"/>
      <c r="AD849" s="873"/>
      <c r="AE849" s="873"/>
      <c r="AF849" s="873"/>
      <c r="AG849" s="873"/>
      <c r="AH849" s="873"/>
      <c r="AI849" s="873"/>
      <c r="AJ849" s="873"/>
      <c r="AK849" s="873"/>
      <c r="AL849" s="873"/>
      <c r="AM849" s="873"/>
      <c r="AN849" s="873"/>
      <c r="AO849" s="873"/>
      <c r="AP849" s="873"/>
      <c r="AQ849" s="873"/>
      <c r="AR849" s="873"/>
      <c r="AS849" s="873"/>
      <c r="AT849" s="873"/>
      <c r="AU849" s="873"/>
      <c r="AV849" s="873"/>
    </row>
    <row r="850" spans="1:48" ht="11.25" customHeight="1" x14ac:dyDescent="0.2">
      <c r="A850" s="873"/>
      <c r="B850" s="873"/>
      <c r="C850" s="873"/>
      <c r="D850" s="873"/>
      <c r="E850" s="873"/>
      <c r="F850" s="873"/>
      <c r="G850" s="873"/>
      <c r="H850" s="873"/>
      <c r="I850" s="873"/>
      <c r="J850" s="873"/>
      <c r="K850" s="873"/>
      <c r="L850" s="873"/>
      <c r="M850" s="873"/>
      <c r="N850" s="873"/>
      <c r="O850" s="873"/>
      <c r="P850" s="873"/>
      <c r="Q850" s="873"/>
      <c r="R850" s="873"/>
      <c r="S850" s="873"/>
      <c r="T850" s="873"/>
      <c r="U850" s="873"/>
      <c r="V850" s="873"/>
      <c r="W850" s="873"/>
      <c r="X850" s="873"/>
      <c r="Y850" s="873"/>
      <c r="Z850" s="873"/>
      <c r="AA850" s="873"/>
      <c r="AB850" s="873"/>
      <c r="AC850" s="873"/>
      <c r="AD850" s="873"/>
      <c r="AE850" s="873"/>
      <c r="AF850" s="873"/>
      <c r="AG850" s="873"/>
      <c r="AH850" s="873"/>
      <c r="AI850" s="873"/>
      <c r="AJ850" s="873"/>
      <c r="AK850" s="873"/>
      <c r="AL850" s="873"/>
      <c r="AM850" s="873"/>
      <c r="AN850" s="873"/>
      <c r="AO850" s="873"/>
      <c r="AP850" s="873"/>
      <c r="AQ850" s="873"/>
      <c r="AR850" s="873"/>
      <c r="AS850" s="873"/>
      <c r="AT850" s="873"/>
      <c r="AU850" s="873"/>
      <c r="AV850" s="873"/>
    </row>
    <row r="851" spans="1:48" ht="11.25" customHeight="1" x14ac:dyDescent="0.2">
      <c r="A851" s="873"/>
      <c r="B851" s="873"/>
      <c r="C851" s="873"/>
      <c r="D851" s="873"/>
      <c r="E851" s="873"/>
      <c r="F851" s="873"/>
      <c r="G851" s="873"/>
      <c r="H851" s="873"/>
      <c r="I851" s="873"/>
      <c r="J851" s="873"/>
      <c r="K851" s="873"/>
      <c r="L851" s="873"/>
      <c r="M851" s="873"/>
      <c r="N851" s="873"/>
      <c r="O851" s="873"/>
      <c r="P851" s="873"/>
      <c r="Q851" s="873"/>
      <c r="R851" s="873"/>
      <c r="S851" s="873"/>
      <c r="T851" s="873"/>
      <c r="U851" s="873"/>
      <c r="V851" s="873"/>
      <c r="W851" s="873"/>
      <c r="X851" s="873"/>
      <c r="Y851" s="873"/>
      <c r="Z851" s="873"/>
      <c r="AA851" s="873"/>
      <c r="AB851" s="873"/>
      <c r="AC851" s="873"/>
      <c r="AD851" s="873"/>
      <c r="AE851" s="873"/>
      <c r="AF851" s="873"/>
      <c r="AG851" s="873"/>
      <c r="AH851" s="873"/>
      <c r="AI851" s="873"/>
      <c r="AJ851" s="873"/>
      <c r="AK851" s="873"/>
      <c r="AL851" s="873"/>
      <c r="AM851" s="873"/>
      <c r="AN851" s="873"/>
      <c r="AO851" s="873"/>
      <c r="AP851" s="873"/>
      <c r="AQ851" s="873"/>
      <c r="AR851" s="873"/>
      <c r="AS851" s="873"/>
      <c r="AT851" s="873"/>
      <c r="AU851" s="873"/>
      <c r="AV851" s="873"/>
    </row>
    <row r="852" spans="1:48" ht="11.25" customHeight="1" x14ac:dyDescent="0.2">
      <c r="A852" s="873"/>
      <c r="B852" s="873"/>
      <c r="C852" s="873"/>
      <c r="D852" s="873"/>
      <c r="E852" s="873"/>
      <c r="F852" s="873"/>
      <c r="G852" s="873"/>
      <c r="H852" s="873"/>
      <c r="I852" s="873"/>
      <c r="J852" s="873"/>
      <c r="K852" s="873"/>
      <c r="L852" s="873"/>
      <c r="M852" s="873"/>
      <c r="N852" s="873"/>
      <c r="O852" s="873"/>
      <c r="P852" s="873"/>
      <c r="Q852" s="873"/>
      <c r="R852" s="873"/>
      <c r="S852" s="873"/>
      <c r="T852" s="873"/>
      <c r="U852" s="873"/>
      <c r="V852" s="873"/>
      <c r="W852" s="873"/>
      <c r="X852" s="873"/>
      <c r="Y852" s="873"/>
      <c r="Z852" s="873"/>
      <c r="AA852" s="873"/>
      <c r="AB852" s="873"/>
      <c r="AC852" s="873"/>
      <c r="AD852" s="873"/>
      <c r="AE852" s="873"/>
      <c r="AF852" s="873"/>
      <c r="AG852" s="873"/>
      <c r="AH852" s="873"/>
      <c r="AI852" s="873"/>
      <c r="AJ852" s="873"/>
      <c r="AK852" s="873"/>
      <c r="AL852" s="873"/>
      <c r="AM852" s="873"/>
      <c r="AN852" s="873"/>
      <c r="AO852" s="873"/>
      <c r="AP852" s="873"/>
      <c r="AQ852" s="873"/>
      <c r="AR852" s="873"/>
      <c r="AS852" s="873"/>
      <c r="AT852" s="873"/>
      <c r="AU852" s="873"/>
      <c r="AV852" s="873"/>
    </row>
    <row r="853" spans="1:48" ht="11.25" customHeight="1" x14ac:dyDescent="0.2">
      <c r="A853" s="873"/>
      <c r="B853" s="873"/>
      <c r="C853" s="873"/>
      <c r="D853" s="873"/>
      <c r="E853" s="873"/>
      <c r="F853" s="873"/>
      <c r="G853" s="873"/>
      <c r="H853" s="873"/>
      <c r="I853" s="873"/>
      <c r="J853" s="873"/>
      <c r="K853" s="873"/>
      <c r="L853" s="873"/>
      <c r="M853" s="873"/>
      <c r="N853" s="873"/>
      <c r="O853" s="873"/>
      <c r="P853" s="873"/>
      <c r="Q853" s="873"/>
      <c r="R853" s="873"/>
      <c r="S853" s="873"/>
      <c r="T853" s="873"/>
      <c r="U853" s="873"/>
      <c r="V853" s="873"/>
      <c r="W853" s="873"/>
      <c r="X853" s="873"/>
      <c r="Y853" s="873"/>
      <c r="Z853" s="873"/>
      <c r="AA853" s="873"/>
      <c r="AB853" s="873"/>
      <c r="AC853" s="873"/>
      <c r="AD853" s="873"/>
      <c r="AE853" s="873"/>
      <c r="AF853" s="873"/>
      <c r="AG853" s="873"/>
      <c r="AH853" s="873"/>
      <c r="AI853" s="873"/>
      <c r="AJ853" s="873"/>
      <c r="AK853" s="873"/>
      <c r="AL853" s="873"/>
      <c r="AM853" s="873"/>
      <c r="AN853" s="873"/>
      <c r="AO853" s="873"/>
      <c r="AP853" s="873"/>
      <c r="AQ853" s="873"/>
      <c r="AR853" s="873"/>
      <c r="AS853" s="873"/>
      <c r="AT853" s="873"/>
      <c r="AU853" s="873"/>
      <c r="AV853" s="873"/>
    </row>
    <row r="854" spans="1:48" ht="11.25" customHeight="1" x14ac:dyDescent="0.2">
      <c r="A854" s="873"/>
      <c r="B854" s="873"/>
      <c r="C854" s="873"/>
      <c r="D854" s="873"/>
      <c r="E854" s="873"/>
      <c r="F854" s="873"/>
      <c r="G854" s="873"/>
      <c r="H854" s="873"/>
      <c r="I854" s="873"/>
      <c r="J854" s="873"/>
      <c r="K854" s="873"/>
      <c r="L854" s="873"/>
      <c r="M854" s="873"/>
      <c r="N854" s="873"/>
      <c r="O854" s="873"/>
      <c r="P854" s="873"/>
      <c r="Q854" s="873"/>
      <c r="R854" s="873"/>
      <c r="S854" s="873"/>
      <c r="T854" s="873"/>
      <c r="U854" s="873"/>
      <c r="V854" s="873"/>
      <c r="W854" s="873"/>
      <c r="X854" s="873"/>
      <c r="Y854" s="873"/>
      <c r="Z854" s="873"/>
      <c r="AA854" s="873"/>
      <c r="AB854" s="873"/>
      <c r="AC854" s="873"/>
      <c r="AD854" s="873"/>
      <c r="AE854" s="873"/>
      <c r="AF854" s="873"/>
      <c r="AG854" s="873"/>
      <c r="AH854" s="873"/>
      <c r="AI854" s="873"/>
      <c r="AJ854" s="873"/>
      <c r="AK854" s="873"/>
      <c r="AL854" s="873"/>
      <c r="AM854" s="873"/>
      <c r="AN854" s="873"/>
      <c r="AO854" s="873"/>
      <c r="AP854" s="873"/>
      <c r="AQ854" s="873"/>
      <c r="AR854" s="873"/>
      <c r="AS854" s="873"/>
      <c r="AT854" s="873"/>
      <c r="AU854" s="873"/>
      <c r="AV854" s="873"/>
    </row>
    <row r="855" spans="1:48" ht="11.25" customHeight="1" x14ac:dyDescent="0.2">
      <c r="A855" s="873"/>
      <c r="B855" s="873"/>
      <c r="C855" s="873"/>
      <c r="D855" s="873"/>
      <c r="E855" s="873"/>
      <c r="F855" s="873"/>
      <c r="G855" s="873"/>
      <c r="H855" s="873"/>
      <c r="I855" s="873"/>
      <c r="J855" s="873"/>
      <c r="K855" s="873"/>
      <c r="L855" s="873"/>
      <c r="M855" s="873"/>
      <c r="N855" s="873"/>
      <c r="O855" s="873"/>
      <c r="P855" s="873"/>
      <c r="Q855" s="873"/>
      <c r="R855" s="873"/>
      <c r="S855" s="873"/>
      <c r="T855" s="873"/>
      <c r="U855" s="873"/>
      <c r="V855" s="873"/>
      <c r="W855" s="873"/>
      <c r="X855" s="873"/>
      <c r="Y855" s="873"/>
      <c r="Z855" s="873"/>
      <c r="AA855" s="873"/>
      <c r="AB855" s="873"/>
      <c r="AC855" s="873"/>
      <c r="AD855" s="873"/>
      <c r="AE855" s="873"/>
      <c r="AF855" s="873"/>
      <c r="AG855" s="873"/>
      <c r="AH855" s="873"/>
      <c r="AI855" s="873"/>
      <c r="AJ855" s="873"/>
      <c r="AK855" s="873"/>
      <c r="AL855" s="873"/>
      <c r="AM855" s="873"/>
      <c r="AN855" s="873"/>
      <c r="AO855" s="873"/>
      <c r="AP855" s="873"/>
      <c r="AQ855" s="873"/>
      <c r="AR855" s="873"/>
      <c r="AS855" s="873"/>
      <c r="AT855" s="873"/>
      <c r="AU855" s="873"/>
      <c r="AV855" s="873"/>
    </row>
    <row r="856" spans="1:48" ht="11.25" customHeight="1" x14ac:dyDescent="0.2">
      <c r="A856" s="873"/>
      <c r="B856" s="873"/>
      <c r="C856" s="873"/>
      <c r="D856" s="873"/>
      <c r="E856" s="873"/>
      <c r="F856" s="873"/>
      <c r="G856" s="873"/>
      <c r="H856" s="873"/>
      <c r="I856" s="873"/>
      <c r="J856" s="873"/>
      <c r="K856" s="873"/>
      <c r="L856" s="873"/>
      <c r="M856" s="873"/>
      <c r="N856" s="873"/>
      <c r="O856" s="873"/>
      <c r="P856" s="873"/>
      <c r="Q856" s="873"/>
      <c r="R856" s="873"/>
      <c r="S856" s="873"/>
      <c r="T856" s="873"/>
      <c r="U856" s="873"/>
      <c r="V856" s="873"/>
      <c r="W856" s="873"/>
      <c r="X856" s="873"/>
      <c r="Y856" s="873"/>
      <c r="Z856" s="873"/>
      <c r="AA856" s="873"/>
      <c r="AB856" s="873"/>
      <c r="AC856" s="873"/>
      <c r="AD856" s="873"/>
      <c r="AE856" s="873"/>
      <c r="AF856" s="873"/>
      <c r="AG856" s="873"/>
      <c r="AH856" s="873"/>
      <c r="AI856" s="873"/>
      <c r="AJ856" s="873"/>
      <c r="AK856" s="873"/>
      <c r="AL856" s="873"/>
      <c r="AM856" s="873"/>
      <c r="AN856" s="873"/>
      <c r="AO856" s="873"/>
      <c r="AP856" s="873"/>
      <c r="AQ856" s="873"/>
      <c r="AR856" s="873"/>
      <c r="AS856" s="873"/>
      <c r="AT856" s="873"/>
      <c r="AU856" s="873"/>
      <c r="AV856" s="873"/>
    </row>
    <row r="857" spans="1:48" ht="11.25" customHeight="1" x14ac:dyDescent="0.2">
      <c r="A857" s="873"/>
      <c r="B857" s="873"/>
      <c r="C857" s="873"/>
      <c r="D857" s="873"/>
      <c r="E857" s="873"/>
      <c r="F857" s="873"/>
      <c r="G857" s="873"/>
      <c r="H857" s="873"/>
      <c r="I857" s="873"/>
      <c r="J857" s="873"/>
      <c r="K857" s="873"/>
      <c r="L857" s="873"/>
      <c r="M857" s="873"/>
      <c r="N857" s="873"/>
      <c r="O857" s="873"/>
      <c r="P857" s="873"/>
      <c r="Q857" s="873"/>
      <c r="R857" s="873"/>
      <c r="S857" s="873"/>
      <c r="T857" s="873"/>
      <c r="U857" s="873"/>
      <c r="V857" s="873"/>
      <c r="W857" s="873"/>
      <c r="X857" s="873"/>
      <c r="Y857" s="873"/>
      <c r="Z857" s="873"/>
      <c r="AA857" s="873"/>
      <c r="AB857" s="873"/>
      <c r="AC857" s="873"/>
      <c r="AD857" s="873"/>
      <c r="AE857" s="873"/>
      <c r="AF857" s="873"/>
      <c r="AG857" s="873"/>
      <c r="AH857" s="873"/>
      <c r="AI857" s="873"/>
      <c r="AJ857" s="873"/>
      <c r="AK857" s="873"/>
      <c r="AL857" s="873"/>
      <c r="AM857" s="873"/>
      <c r="AN857" s="873"/>
      <c r="AO857" s="873"/>
      <c r="AP857" s="873"/>
      <c r="AQ857" s="873"/>
      <c r="AR857" s="873"/>
      <c r="AS857" s="873"/>
      <c r="AT857" s="873"/>
      <c r="AU857" s="873"/>
      <c r="AV857" s="873"/>
    </row>
    <row r="858" spans="1:48" ht="11.25" customHeight="1" x14ac:dyDescent="0.2">
      <c r="A858" s="873"/>
      <c r="B858" s="873"/>
      <c r="C858" s="873"/>
      <c r="D858" s="873"/>
      <c r="E858" s="873"/>
      <c r="F858" s="873"/>
      <c r="G858" s="873"/>
      <c r="H858" s="873"/>
      <c r="I858" s="873"/>
      <c r="J858" s="873"/>
      <c r="K858" s="873"/>
      <c r="L858" s="873"/>
      <c r="M858" s="873"/>
      <c r="N858" s="873"/>
      <c r="O858" s="873"/>
      <c r="P858" s="873"/>
      <c r="Q858" s="873"/>
      <c r="R858" s="873"/>
      <c r="S858" s="873"/>
      <c r="T858" s="873"/>
      <c r="U858" s="873"/>
      <c r="V858" s="873"/>
      <c r="W858" s="873"/>
      <c r="X858" s="873"/>
      <c r="Y858" s="873"/>
      <c r="Z858" s="873"/>
      <c r="AA858" s="873"/>
      <c r="AB858" s="873"/>
      <c r="AC858" s="873"/>
      <c r="AD858" s="873"/>
      <c r="AE858" s="873"/>
      <c r="AF858" s="873"/>
      <c r="AG858" s="873"/>
      <c r="AH858" s="873"/>
      <c r="AI858" s="873"/>
      <c r="AJ858" s="873"/>
      <c r="AK858" s="873"/>
      <c r="AL858" s="873"/>
      <c r="AM858" s="873"/>
      <c r="AN858" s="873"/>
      <c r="AO858" s="873"/>
      <c r="AP858" s="873"/>
      <c r="AQ858" s="873"/>
      <c r="AR858" s="873"/>
      <c r="AS858" s="873"/>
      <c r="AT858" s="873"/>
      <c r="AU858" s="873"/>
      <c r="AV858" s="873"/>
    </row>
    <row r="859" spans="1:48" ht="11.25" customHeight="1" x14ac:dyDescent="0.2">
      <c r="A859" s="873"/>
      <c r="B859" s="873"/>
      <c r="C859" s="873"/>
      <c r="D859" s="873"/>
      <c r="E859" s="873"/>
      <c r="F859" s="873"/>
      <c r="G859" s="873"/>
      <c r="H859" s="873"/>
      <c r="I859" s="873"/>
      <c r="J859" s="873"/>
      <c r="K859" s="873"/>
      <c r="L859" s="873"/>
      <c r="M859" s="873"/>
      <c r="N859" s="873"/>
      <c r="O859" s="873"/>
      <c r="P859" s="873"/>
      <c r="Q859" s="873"/>
      <c r="R859" s="873"/>
      <c r="S859" s="873"/>
      <c r="T859" s="873"/>
      <c r="U859" s="873"/>
      <c r="V859" s="873"/>
      <c r="W859" s="873"/>
      <c r="X859" s="873"/>
      <c r="Y859" s="873"/>
      <c r="Z859" s="873"/>
      <c r="AA859" s="873"/>
      <c r="AB859" s="873"/>
      <c r="AC859" s="873"/>
      <c r="AD859" s="873"/>
      <c r="AE859" s="873"/>
      <c r="AF859" s="873"/>
      <c r="AG859" s="873"/>
      <c r="AH859" s="873"/>
      <c r="AI859" s="873"/>
      <c r="AJ859" s="873"/>
      <c r="AK859" s="873"/>
      <c r="AL859" s="873"/>
      <c r="AM859" s="873"/>
      <c r="AN859" s="873"/>
      <c r="AO859" s="873"/>
      <c r="AP859" s="873"/>
      <c r="AQ859" s="873"/>
      <c r="AR859" s="873"/>
      <c r="AS859" s="873"/>
      <c r="AT859" s="873"/>
      <c r="AU859" s="873"/>
      <c r="AV859" s="873"/>
    </row>
    <row r="860" spans="1:48" ht="11.25" customHeight="1" x14ac:dyDescent="0.2">
      <c r="A860" s="873"/>
      <c r="B860" s="873"/>
      <c r="C860" s="873"/>
      <c r="D860" s="873"/>
      <c r="E860" s="873"/>
      <c r="F860" s="873"/>
      <c r="G860" s="873"/>
      <c r="H860" s="873"/>
      <c r="I860" s="873"/>
      <c r="J860" s="873"/>
      <c r="K860" s="873"/>
      <c r="L860" s="873"/>
      <c r="M860" s="873"/>
      <c r="N860" s="873"/>
      <c r="O860" s="873"/>
      <c r="P860" s="873"/>
      <c r="Q860" s="873"/>
      <c r="R860" s="873"/>
      <c r="S860" s="873"/>
      <c r="T860" s="873"/>
      <c r="U860" s="873"/>
      <c r="V860" s="873"/>
      <c r="W860" s="873"/>
      <c r="X860" s="873"/>
      <c r="Y860" s="873"/>
      <c r="Z860" s="873"/>
      <c r="AA860" s="873"/>
      <c r="AB860" s="873"/>
      <c r="AC860" s="873"/>
      <c r="AD860" s="873"/>
      <c r="AE860" s="873"/>
      <c r="AF860" s="873"/>
      <c r="AG860" s="873"/>
      <c r="AH860" s="873"/>
      <c r="AI860" s="873"/>
      <c r="AJ860" s="873"/>
      <c r="AK860" s="873"/>
      <c r="AL860" s="873"/>
      <c r="AM860" s="873"/>
      <c r="AN860" s="873"/>
      <c r="AO860" s="873"/>
      <c r="AP860" s="873"/>
      <c r="AQ860" s="873"/>
      <c r="AR860" s="873"/>
      <c r="AS860" s="873"/>
      <c r="AT860" s="873"/>
      <c r="AU860" s="873"/>
      <c r="AV860" s="873"/>
    </row>
    <row r="861" spans="1:48" ht="11.25" customHeight="1" x14ac:dyDescent="0.2">
      <c r="A861" s="873"/>
      <c r="B861" s="873"/>
      <c r="C861" s="873"/>
      <c r="D861" s="873"/>
      <c r="E861" s="873"/>
      <c r="F861" s="873"/>
      <c r="G861" s="873"/>
      <c r="H861" s="873"/>
      <c r="I861" s="873"/>
      <c r="J861" s="873"/>
      <c r="K861" s="873"/>
      <c r="L861" s="873"/>
      <c r="M861" s="873"/>
      <c r="N861" s="873"/>
      <c r="O861" s="873"/>
      <c r="P861" s="873"/>
      <c r="Q861" s="873"/>
      <c r="R861" s="873"/>
      <c r="S861" s="873"/>
      <c r="T861" s="873"/>
      <c r="U861" s="873"/>
      <c r="V861" s="873"/>
      <c r="W861" s="873"/>
      <c r="X861" s="873"/>
      <c r="Y861" s="873"/>
      <c r="Z861" s="873"/>
      <c r="AA861" s="873"/>
      <c r="AB861" s="873"/>
      <c r="AC861" s="873"/>
      <c r="AD861" s="873"/>
      <c r="AE861" s="873"/>
      <c r="AF861" s="873"/>
      <c r="AG861" s="873"/>
      <c r="AH861" s="873"/>
      <c r="AI861" s="873"/>
      <c r="AJ861" s="873"/>
      <c r="AK861" s="873"/>
      <c r="AL861" s="873"/>
      <c r="AM861" s="873"/>
      <c r="AN861" s="873"/>
      <c r="AO861" s="873"/>
      <c r="AP861" s="873"/>
      <c r="AQ861" s="873"/>
      <c r="AR861" s="873"/>
      <c r="AS861" s="873"/>
      <c r="AT861" s="873"/>
      <c r="AU861" s="873"/>
      <c r="AV861" s="873"/>
    </row>
    <row r="862" spans="1:48" ht="11.25" customHeight="1" x14ac:dyDescent="0.2">
      <c r="A862" s="873"/>
      <c r="B862" s="873"/>
      <c r="C862" s="873"/>
      <c r="D862" s="873"/>
      <c r="E862" s="873"/>
      <c r="F862" s="873"/>
      <c r="G862" s="873"/>
      <c r="H862" s="873"/>
      <c r="I862" s="873"/>
      <c r="J862" s="873"/>
      <c r="K862" s="873"/>
      <c r="L862" s="873"/>
      <c r="M862" s="873"/>
      <c r="N862" s="873"/>
      <c r="O862" s="873"/>
      <c r="P862" s="873"/>
      <c r="Q862" s="873"/>
      <c r="R862" s="873"/>
      <c r="S862" s="873"/>
      <c r="T862" s="873"/>
      <c r="U862" s="873"/>
      <c r="V862" s="873"/>
      <c r="W862" s="873"/>
      <c r="X862" s="873"/>
      <c r="Y862" s="873"/>
      <c r="Z862" s="873"/>
      <c r="AA862" s="873"/>
      <c r="AB862" s="873"/>
      <c r="AC862" s="873"/>
      <c r="AD862" s="873"/>
      <c r="AE862" s="873"/>
      <c r="AF862" s="873"/>
      <c r="AG862" s="873"/>
      <c r="AH862" s="873"/>
      <c r="AI862" s="873"/>
      <c r="AJ862" s="873"/>
      <c r="AK862" s="873"/>
      <c r="AL862" s="873"/>
      <c r="AM862" s="873"/>
      <c r="AN862" s="873"/>
      <c r="AO862" s="873"/>
      <c r="AP862" s="873"/>
      <c r="AQ862" s="873"/>
      <c r="AR862" s="873"/>
      <c r="AS862" s="873"/>
      <c r="AT862" s="873"/>
      <c r="AU862" s="873"/>
      <c r="AV862" s="873"/>
    </row>
    <row r="863" spans="1:48" ht="11.25" customHeight="1" x14ac:dyDescent="0.2">
      <c r="A863" s="873"/>
      <c r="B863" s="873"/>
      <c r="C863" s="873"/>
      <c r="D863" s="873"/>
      <c r="E863" s="873"/>
      <c r="F863" s="873"/>
      <c r="G863" s="873"/>
      <c r="H863" s="873"/>
      <c r="I863" s="873"/>
      <c r="J863" s="873"/>
      <c r="K863" s="873"/>
      <c r="L863" s="873"/>
      <c r="M863" s="873"/>
      <c r="N863" s="873"/>
      <c r="O863" s="873"/>
      <c r="P863" s="873"/>
      <c r="Q863" s="873"/>
      <c r="R863" s="873"/>
      <c r="S863" s="873"/>
      <c r="T863" s="873"/>
      <c r="U863" s="873"/>
      <c r="V863" s="873"/>
      <c r="W863" s="873"/>
      <c r="X863" s="873"/>
      <c r="Y863" s="873"/>
      <c r="Z863" s="873"/>
      <c r="AA863" s="873"/>
      <c r="AB863" s="873"/>
      <c r="AC863" s="873"/>
      <c r="AD863" s="873"/>
      <c r="AE863" s="873"/>
      <c r="AF863" s="873"/>
      <c r="AG863" s="873"/>
      <c r="AH863" s="873"/>
      <c r="AI863" s="873"/>
      <c r="AJ863" s="873"/>
      <c r="AK863" s="873"/>
      <c r="AL863" s="873"/>
      <c r="AM863" s="873"/>
      <c r="AN863" s="873"/>
      <c r="AO863" s="873"/>
      <c r="AP863" s="873"/>
      <c r="AQ863" s="873"/>
      <c r="AR863" s="873"/>
      <c r="AS863" s="873"/>
      <c r="AT863" s="873"/>
      <c r="AU863" s="873"/>
      <c r="AV863" s="873"/>
    </row>
    <row r="864" spans="1:48" ht="11.25" customHeight="1" x14ac:dyDescent="0.2">
      <c r="A864" s="873"/>
      <c r="B864" s="873"/>
      <c r="C864" s="873"/>
      <c r="D864" s="873"/>
      <c r="E864" s="873"/>
      <c r="F864" s="873"/>
      <c r="G864" s="873"/>
      <c r="H864" s="873"/>
      <c r="I864" s="873"/>
      <c r="J864" s="873"/>
      <c r="K864" s="873"/>
      <c r="L864" s="873"/>
      <c r="M864" s="873"/>
      <c r="N864" s="873"/>
      <c r="O864" s="873"/>
      <c r="P864" s="873"/>
      <c r="Q864" s="873"/>
      <c r="R864" s="873"/>
      <c r="S864" s="873"/>
      <c r="T864" s="873"/>
      <c r="U864" s="873"/>
      <c r="V864" s="873"/>
      <c r="W864" s="873"/>
      <c r="X864" s="873"/>
      <c r="Y864" s="873"/>
      <c r="Z864" s="873"/>
      <c r="AA864" s="873"/>
      <c r="AB864" s="873"/>
      <c r="AC864" s="873"/>
      <c r="AD864" s="873"/>
      <c r="AE864" s="873"/>
      <c r="AF864" s="873"/>
      <c r="AG864" s="873"/>
      <c r="AH864" s="873"/>
      <c r="AI864" s="873"/>
      <c r="AJ864" s="873"/>
      <c r="AK864" s="873"/>
      <c r="AL864" s="873"/>
      <c r="AM864" s="873"/>
      <c r="AN864" s="873"/>
      <c r="AO864" s="873"/>
      <c r="AP864" s="873"/>
      <c r="AQ864" s="873"/>
      <c r="AR864" s="873"/>
      <c r="AS864" s="873"/>
      <c r="AT864" s="873"/>
      <c r="AU864" s="873"/>
      <c r="AV864" s="873"/>
    </row>
    <row r="865" spans="1:48" ht="11.25" customHeight="1" x14ac:dyDescent="0.2">
      <c r="A865" s="873"/>
      <c r="B865" s="873"/>
      <c r="C865" s="873"/>
      <c r="D865" s="873"/>
      <c r="E865" s="873"/>
      <c r="F865" s="873"/>
      <c r="G865" s="873"/>
      <c r="H865" s="873"/>
      <c r="I865" s="873"/>
      <c r="J865" s="873"/>
      <c r="K865" s="873"/>
      <c r="L865" s="873"/>
      <c r="M865" s="873"/>
      <c r="N865" s="873"/>
      <c r="O865" s="873"/>
      <c r="P865" s="873"/>
      <c r="Q865" s="873"/>
      <c r="R865" s="873"/>
      <c r="S865" s="873"/>
      <c r="T865" s="873"/>
      <c r="U865" s="873"/>
      <c r="V865" s="873"/>
      <c r="W865" s="873"/>
      <c r="X865" s="873"/>
      <c r="Y865" s="873"/>
      <c r="Z865" s="873"/>
      <c r="AA865" s="873"/>
      <c r="AB865" s="873"/>
      <c r="AC865" s="873"/>
      <c r="AD865" s="873"/>
      <c r="AE865" s="873"/>
      <c r="AF865" s="873"/>
      <c r="AG865" s="873"/>
      <c r="AH865" s="873"/>
      <c r="AI865" s="873"/>
      <c r="AJ865" s="873"/>
      <c r="AK865" s="873"/>
      <c r="AL865" s="873"/>
      <c r="AM865" s="873"/>
      <c r="AN865" s="873"/>
      <c r="AO865" s="873"/>
      <c r="AP865" s="873"/>
      <c r="AQ865" s="873"/>
      <c r="AR865" s="873"/>
      <c r="AS865" s="873"/>
      <c r="AT865" s="873"/>
      <c r="AU865" s="873"/>
      <c r="AV865" s="873"/>
    </row>
    <row r="866" spans="1:48" ht="11.25" customHeight="1" x14ac:dyDescent="0.2">
      <c r="A866" s="873"/>
      <c r="B866" s="873"/>
      <c r="C866" s="873"/>
      <c r="D866" s="873"/>
      <c r="E866" s="873"/>
      <c r="F866" s="873"/>
      <c r="G866" s="873"/>
      <c r="H866" s="873"/>
      <c r="I866" s="873"/>
      <c r="J866" s="873"/>
      <c r="K866" s="873"/>
      <c r="L866" s="873"/>
      <c r="M866" s="873"/>
      <c r="N866" s="873"/>
      <c r="O866" s="873"/>
      <c r="P866" s="873"/>
      <c r="Q866" s="873"/>
      <c r="R866" s="873"/>
      <c r="S866" s="873"/>
      <c r="T866" s="873"/>
      <c r="U866" s="873"/>
      <c r="V866" s="873"/>
      <c r="W866" s="873"/>
      <c r="X866" s="873"/>
      <c r="Y866" s="873"/>
      <c r="Z866" s="873"/>
      <c r="AA866" s="873"/>
      <c r="AB866" s="873"/>
      <c r="AC866" s="873"/>
      <c r="AD866" s="873"/>
      <c r="AE866" s="873"/>
      <c r="AF866" s="873"/>
      <c r="AG866" s="873"/>
      <c r="AH866" s="873"/>
      <c r="AI866" s="873"/>
      <c r="AJ866" s="873"/>
      <c r="AK866" s="873"/>
      <c r="AL866" s="873"/>
      <c r="AM866" s="873"/>
      <c r="AN866" s="873"/>
      <c r="AO866" s="873"/>
      <c r="AP866" s="873"/>
      <c r="AQ866" s="873"/>
      <c r="AR866" s="873"/>
      <c r="AS866" s="873"/>
      <c r="AT866" s="873"/>
      <c r="AU866" s="873"/>
      <c r="AV866" s="873"/>
    </row>
    <row r="867" spans="1:48" ht="11.25" customHeight="1" x14ac:dyDescent="0.2">
      <c r="A867" s="873"/>
      <c r="B867" s="873"/>
      <c r="C867" s="873"/>
      <c r="D867" s="873"/>
      <c r="E867" s="873"/>
      <c r="F867" s="873"/>
      <c r="G867" s="873"/>
      <c r="H867" s="873"/>
      <c r="I867" s="873"/>
      <c r="J867" s="873"/>
      <c r="K867" s="873"/>
      <c r="L867" s="873"/>
      <c r="M867" s="873"/>
      <c r="N867" s="873"/>
      <c r="O867" s="873"/>
      <c r="P867" s="873"/>
      <c r="Q867" s="873"/>
      <c r="R867" s="873"/>
      <c r="S867" s="873"/>
      <c r="T867" s="873"/>
      <c r="U867" s="873"/>
      <c r="V867" s="873"/>
      <c r="W867" s="873"/>
      <c r="X867" s="873"/>
      <c r="Y867" s="873"/>
      <c r="Z867" s="873"/>
      <c r="AA867" s="873"/>
      <c r="AB867" s="873"/>
      <c r="AC867" s="873"/>
      <c r="AD867" s="873"/>
      <c r="AE867" s="873"/>
      <c r="AF867" s="873"/>
      <c r="AG867" s="873"/>
      <c r="AH867" s="873"/>
      <c r="AI867" s="873"/>
      <c r="AJ867" s="873"/>
      <c r="AK867" s="873"/>
      <c r="AL867" s="873"/>
      <c r="AM867" s="873"/>
      <c r="AN867" s="873"/>
      <c r="AO867" s="873"/>
      <c r="AP867" s="873"/>
      <c r="AQ867" s="873"/>
      <c r="AR867" s="873"/>
      <c r="AS867" s="873"/>
      <c r="AT867" s="873"/>
      <c r="AU867" s="873"/>
      <c r="AV867" s="873"/>
    </row>
    <row r="868" spans="1:48" ht="11.25" customHeight="1" x14ac:dyDescent="0.2">
      <c r="A868" s="873"/>
      <c r="B868" s="873"/>
      <c r="C868" s="873"/>
      <c r="D868" s="873"/>
      <c r="E868" s="873"/>
      <c r="F868" s="873"/>
      <c r="G868" s="873"/>
      <c r="H868" s="873"/>
      <c r="I868" s="873"/>
      <c r="J868" s="873"/>
      <c r="K868" s="873"/>
      <c r="L868" s="873"/>
      <c r="M868" s="873"/>
      <c r="N868" s="873"/>
      <c r="O868" s="873"/>
      <c r="P868" s="873"/>
      <c r="Q868" s="873"/>
      <c r="R868" s="873"/>
      <c r="S868" s="873"/>
      <c r="T868" s="873"/>
      <c r="U868" s="873"/>
      <c r="V868" s="873"/>
      <c r="W868" s="873"/>
      <c r="X868" s="873"/>
      <c r="Y868" s="873"/>
      <c r="Z868" s="873"/>
      <c r="AA868" s="873"/>
      <c r="AB868" s="873"/>
      <c r="AC868" s="873"/>
      <c r="AD868" s="873"/>
      <c r="AE868" s="873"/>
      <c r="AF868" s="873"/>
      <c r="AG868" s="873"/>
      <c r="AH868" s="873"/>
      <c r="AI868" s="873"/>
      <c r="AJ868" s="873"/>
      <c r="AK868" s="873"/>
      <c r="AL868" s="873"/>
      <c r="AM868" s="873"/>
      <c r="AN868" s="873"/>
      <c r="AO868" s="873"/>
      <c r="AP868" s="873"/>
      <c r="AQ868" s="873"/>
      <c r="AR868" s="873"/>
      <c r="AS868" s="873"/>
      <c r="AT868" s="873"/>
      <c r="AU868" s="873"/>
      <c r="AV868" s="873"/>
    </row>
    <row r="869" spans="1:48" ht="11.25" customHeight="1" x14ac:dyDescent="0.2">
      <c r="A869" s="873"/>
      <c r="B869" s="873"/>
      <c r="C869" s="873"/>
      <c r="D869" s="873"/>
      <c r="E869" s="873"/>
      <c r="F869" s="873"/>
      <c r="G869" s="873"/>
      <c r="H869" s="873"/>
      <c r="I869" s="873"/>
      <c r="J869" s="873"/>
      <c r="K869" s="873"/>
      <c r="L869" s="873"/>
      <c r="M869" s="873"/>
      <c r="N869" s="873"/>
      <c r="O869" s="873"/>
      <c r="P869" s="873"/>
      <c r="Q869" s="873"/>
      <c r="R869" s="873"/>
      <c r="S869" s="873"/>
      <c r="T869" s="873"/>
      <c r="U869" s="873"/>
      <c r="V869" s="873"/>
      <c r="W869" s="873"/>
      <c r="X869" s="873"/>
      <c r="Y869" s="873"/>
      <c r="Z869" s="873"/>
      <c r="AA869" s="873"/>
      <c r="AB869" s="873"/>
      <c r="AC869" s="873"/>
      <c r="AD869" s="873"/>
      <c r="AE869" s="873"/>
      <c r="AF869" s="873"/>
      <c r="AG869" s="873"/>
      <c r="AH869" s="873"/>
      <c r="AI869" s="873"/>
      <c r="AJ869" s="873"/>
      <c r="AK869" s="873"/>
      <c r="AL869" s="873"/>
      <c r="AM869" s="873"/>
      <c r="AN869" s="873"/>
      <c r="AO869" s="873"/>
      <c r="AP869" s="873"/>
      <c r="AQ869" s="873"/>
      <c r="AR869" s="873"/>
      <c r="AS869" s="873"/>
      <c r="AT869" s="873"/>
      <c r="AU869" s="873"/>
      <c r="AV869" s="873"/>
    </row>
    <row r="870" spans="1:48" ht="11.25" customHeight="1" x14ac:dyDescent="0.2">
      <c r="A870" s="873"/>
      <c r="B870" s="873"/>
      <c r="C870" s="873"/>
      <c r="D870" s="873"/>
      <c r="E870" s="873"/>
      <c r="F870" s="873"/>
      <c r="G870" s="873"/>
      <c r="H870" s="873"/>
      <c r="I870" s="873"/>
      <c r="J870" s="873"/>
      <c r="K870" s="873"/>
      <c r="L870" s="873"/>
      <c r="M870" s="873"/>
      <c r="N870" s="873"/>
      <c r="O870" s="873"/>
      <c r="P870" s="873"/>
      <c r="Q870" s="873"/>
      <c r="R870" s="873"/>
      <c r="S870" s="873"/>
      <c r="T870" s="873"/>
      <c r="U870" s="873"/>
      <c r="V870" s="873"/>
      <c r="W870" s="873"/>
      <c r="X870" s="873"/>
      <c r="Y870" s="873"/>
      <c r="Z870" s="873"/>
      <c r="AA870" s="873"/>
      <c r="AB870" s="873"/>
      <c r="AC870" s="873"/>
      <c r="AD870" s="873"/>
      <c r="AE870" s="873"/>
      <c r="AF870" s="873"/>
      <c r="AG870" s="873"/>
      <c r="AH870" s="873"/>
      <c r="AI870" s="873"/>
      <c r="AJ870" s="873"/>
      <c r="AK870" s="873"/>
      <c r="AL870" s="873"/>
      <c r="AM870" s="873"/>
      <c r="AN870" s="873"/>
      <c r="AO870" s="873"/>
      <c r="AP870" s="873"/>
      <c r="AQ870" s="873"/>
      <c r="AR870" s="873"/>
      <c r="AS870" s="873"/>
      <c r="AT870" s="873"/>
      <c r="AU870" s="873"/>
      <c r="AV870" s="873"/>
    </row>
    <row r="871" spans="1:48" ht="11.25" customHeight="1" x14ac:dyDescent="0.2">
      <c r="A871" s="873"/>
      <c r="B871" s="873"/>
      <c r="C871" s="873"/>
      <c r="D871" s="873"/>
      <c r="E871" s="873"/>
      <c r="F871" s="873"/>
      <c r="G871" s="873"/>
      <c r="H871" s="873"/>
      <c r="I871" s="873"/>
      <c r="J871" s="873"/>
      <c r="K871" s="873"/>
      <c r="L871" s="873"/>
      <c r="M871" s="873"/>
      <c r="N871" s="873"/>
      <c r="O871" s="873"/>
      <c r="P871" s="873"/>
      <c r="Q871" s="873"/>
      <c r="R871" s="873"/>
      <c r="S871" s="873"/>
      <c r="T871" s="873"/>
      <c r="U871" s="873"/>
      <c r="V871" s="873"/>
      <c r="W871" s="873"/>
      <c r="X871" s="873"/>
      <c r="Y871" s="873"/>
      <c r="Z871" s="873"/>
      <c r="AA871" s="873"/>
      <c r="AB871" s="873"/>
      <c r="AC871" s="873"/>
      <c r="AD871" s="873"/>
      <c r="AE871" s="873"/>
      <c r="AF871" s="873"/>
      <c r="AG871" s="873"/>
      <c r="AH871" s="873"/>
      <c r="AI871" s="873"/>
      <c r="AJ871" s="873"/>
      <c r="AK871" s="873"/>
      <c r="AL871" s="873"/>
      <c r="AM871" s="873"/>
      <c r="AN871" s="873"/>
      <c r="AO871" s="873"/>
      <c r="AP871" s="873"/>
      <c r="AQ871" s="873"/>
      <c r="AR871" s="873"/>
      <c r="AS871" s="873"/>
      <c r="AT871" s="873"/>
      <c r="AU871" s="873"/>
      <c r="AV871" s="873"/>
    </row>
    <row r="872" spans="1:48" ht="11.25" customHeight="1" x14ac:dyDescent="0.2">
      <c r="A872" s="873"/>
      <c r="B872" s="873"/>
      <c r="C872" s="873"/>
      <c r="D872" s="873"/>
      <c r="E872" s="873"/>
      <c r="F872" s="873"/>
      <c r="G872" s="873"/>
      <c r="H872" s="873"/>
      <c r="I872" s="873"/>
      <c r="J872" s="873"/>
      <c r="K872" s="873"/>
      <c r="L872" s="873"/>
      <c r="M872" s="873"/>
      <c r="N872" s="873"/>
      <c r="O872" s="873"/>
      <c r="P872" s="873"/>
      <c r="Q872" s="873"/>
      <c r="R872" s="873"/>
      <c r="S872" s="873"/>
      <c r="T872" s="873"/>
      <c r="U872" s="873"/>
      <c r="V872" s="873"/>
      <c r="W872" s="873"/>
      <c r="X872" s="873"/>
      <c r="Y872" s="873"/>
      <c r="Z872" s="873"/>
      <c r="AA872" s="873"/>
      <c r="AB872" s="873"/>
      <c r="AC872" s="873"/>
      <c r="AD872" s="873"/>
      <c r="AE872" s="873"/>
      <c r="AF872" s="873"/>
      <c r="AG872" s="873"/>
      <c r="AH872" s="873"/>
      <c r="AI872" s="873"/>
      <c r="AJ872" s="873"/>
      <c r="AK872" s="873"/>
      <c r="AL872" s="873"/>
      <c r="AM872" s="873"/>
      <c r="AN872" s="873"/>
      <c r="AO872" s="873"/>
      <c r="AP872" s="873"/>
      <c r="AQ872" s="873"/>
      <c r="AR872" s="873"/>
      <c r="AS872" s="873"/>
      <c r="AT872" s="873"/>
      <c r="AU872" s="873"/>
      <c r="AV872" s="873"/>
    </row>
    <row r="873" spans="1:48" ht="11.25" customHeight="1" x14ac:dyDescent="0.2">
      <c r="A873" s="873"/>
      <c r="B873" s="873"/>
      <c r="C873" s="873"/>
      <c r="D873" s="873"/>
      <c r="E873" s="873"/>
      <c r="F873" s="873"/>
      <c r="G873" s="873"/>
      <c r="H873" s="873"/>
      <c r="I873" s="873"/>
      <c r="J873" s="873"/>
      <c r="K873" s="873"/>
      <c r="L873" s="873"/>
      <c r="M873" s="873"/>
      <c r="N873" s="873"/>
      <c r="O873" s="873"/>
      <c r="P873" s="873"/>
      <c r="Q873" s="873"/>
      <c r="R873" s="873"/>
      <c r="S873" s="873"/>
      <c r="T873" s="873"/>
      <c r="U873" s="873"/>
      <c r="V873" s="873"/>
      <c r="W873" s="873"/>
      <c r="X873" s="873"/>
      <c r="Y873" s="873"/>
      <c r="Z873" s="873"/>
      <c r="AA873" s="873"/>
      <c r="AB873" s="873"/>
      <c r="AC873" s="873"/>
      <c r="AD873" s="873"/>
      <c r="AE873" s="873"/>
      <c r="AF873" s="873"/>
      <c r="AG873" s="873"/>
      <c r="AH873" s="873"/>
      <c r="AI873" s="873"/>
      <c r="AJ873" s="873"/>
      <c r="AK873" s="873"/>
      <c r="AL873" s="873"/>
      <c r="AM873" s="873"/>
      <c r="AN873" s="873"/>
      <c r="AO873" s="873"/>
      <c r="AP873" s="873"/>
      <c r="AQ873" s="873"/>
      <c r="AR873" s="873"/>
      <c r="AS873" s="873"/>
      <c r="AT873" s="873"/>
      <c r="AU873" s="873"/>
      <c r="AV873" s="873"/>
    </row>
    <row r="874" spans="1:48" ht="11.25" customHeight="1" x14ac:dyDescent="0.2">
      <c r="A874" s="873"/>
      <c r="B874" s="873"/>
      <c r="C874" s="873"/>
      <c r="D874" s="873"/>
      <c r="E874" s="873"/>
      <c r="F874" s="873"/>
      <c r="G874" s="873"/>
      <c r="H874" s="873"/>
      <c r="I874" s="873"/>
      <c r="J874" s="873"/>
      <c r="K874" s="873"/>
      <c r="L874" s="873"/>
      <c r="M874" s="873"/>
      <c r="N874" s="873"/>
      <c r="O874" s="873"/>
      <c r="P874" s="873"/>
      <c r="Q874" s="873"/>
      <c r="R874" s="873"/>
      <c r="S874" s="873"/>
      <c r="T874" s="873"/>
      <c r="U874" s="873"/>
      <c r="V874" s="873"/>
      <c r="W874" s="873"/>
      <c r="X874" s="873"/>
      <c r="Y874" s="873"/>
      <c r="Z874" s="873"/>
      <c r="AA874" s="873"/>
      <c r="AB874" s="873"/>
      <c r="AC874" s="873"/>
      <c r="AD874" s="873"/>
      <c r="AE874" s="873"/>
      <c r="AF874" s="873"/>
      <c r="AG874" s="873"/>
      <c r="AH874" s="873"/>
      <c r="AI874" s="873"/>
      <c r="AJ874" s="873"/>
      <c r="AK874" s="873"/>
      <c r="AL874" s="873"/>
      <c r="AM874" s="873"/>
      <c r="AN874" s="873"/>
      <c r="AO874" s="873"/>
      <c r="AP874" s="873"/>
      <c r="AQ874" s="873"/>
      <c r="AR874" s="873"/>
      <c r="AS874" s="873"/>
      <c r="AT874" s="873"/>
      <c r="AU874" s="873"/>
      <c r="AV874" s="873"/>
    </row>
    <row r="875" spans="1:48" ht="11.25" customHeight="1" x14ac:dyDescent="0.2">
      <c r="A875" s="873"/>
      <c r="B875" s="873"/>
      <c r="C875" s="873"/>
      <c r="D875" s="873"/>
      <c r="E875" s="873"/>
      <c r="F875" s="873"/>
      <c r="G875" s="873"/>
      <c r="H875" s="873"/>
      <c r="I875" s="873"/>
      <c r="J875" s="873"/>
      <c r="K875" s="873"/>
      <c r="L875" s="873"/>
      <c r="M875" s="873"/>
      <c r="N875" s="873"/>
      <c r="O875" s="873"/>
      <c r="P875" s="873"/>
      <c r="Q875" s="873"/>
      <c r="R875" s="873"/>
      <c r="S875" s="873"/>
      <c r="T875" s="873"/>
      <c r="U875" s="873"/>
      <c r="V875" s="873"/>
      <c r="W875" s="873"/>
      <c r="X875" s="873"/>
      <c r="Y875" s="873"/>
      <c r="Z875" s="873"/>
      <c r="AA875" s="873"/>
      <c r="AB875" s="873"/>
      <c r="AC875" s="873"/>
      <c r="AD875" s="873"/>
      <c r="AE875" s="873"/>
      <c r="AF875" s="873"/>
      <c r="AG875" s="873"/>
      <c r="AH875" s="873"/>
      <c r="AI875" s="873"/>
      <c r="AJ875" s="873"/>
      <c r="AK875" s="873"/>
      <c r="AL875" s="873"/>
      <c r="AM875" s="873"/>
      <c r="AN875" s="873"/>
      <c r="AO875" s="873"/>
      <c r="AP875" s="873"/>
      <c r="AQ875" s="873"/>
      <c r="AR875" s="873"/>
      <c r="AS875" s="873"/>
      <c r="AT875" s="873"/>
      <c r="AU875" s="873"/>
      <c r="AV875" s="873"/>
    </row>
    <row r="876" spans="1:48" ht="11.25" customHeight="1" x14ac:dyDescent="0.2">
      <c r="A876" s="873"/>
      <c r="B876" s="873"/>
      <c r="C876" s="873"/>
      <c r="D876" s="873"/>
      <c r="E876" s="873"/>
      <c r="F876" s="873"/>
      <c r="G876" s="873"/>
      <c r="H876" s="873"/>
      <c r="I876" s="873"/>
      <c r="J876" s="873"/>
      <c r="K876" s="873"/>
      <c r="L876" s="873"/>
      <c r="M876" s="873"/>
      <c r="N876" s="873"/>
      <c r="O876" s="873"/>
      <c r="P876" s="873"/>
      <c r="Q876" s="873"/>
      <c r="R876" s="873"/>
      <c r="S876" s="873"/>
      <c r="T876" s="873"/>
      <c r="U876" s="873"/>
      <c r="V876" s="873"/>
      <c r="W876" s="873"/>
      <c r="X876" s="873"/>
      <c r="Y876" s="873"/>
      <c r="Z876" s="873"/>
      <c r="AA876" s="873"/>
      <c r="AB876" s="873"/>
      <c r="AC876" s="873"/>
      <c r="AD876" s="873"/>
      <c r="AE876" s="873"/>
      <c r="AF876" s="873"/>
      <c r="AG876" s="873"/>
      <c r="AH876" s="873"/>
      <c r="AI876" s="873"/>
      <c r="AJ876" s="873"/>
      <c r="AK876" s="873"/>
      <c r="AL876" s="873"/>
      <c r="AM876" s="873"/>
      <c r="AN876" s="873"/>
      <c r="AO876" s="873"/>
      <c r="AP876" s="873"/>
      <c r="AQ876" s="873"/>
      <c r="AR876" s="873"/>
      <c r="AS876" s="873"/>
      <c r="AT876" s="873"/>
      <c r="AU876" s="873"/>
      <c r="AV876" s="873"/>
    </row>
    <row r="877" spans="1:48" ht="11.25" customHeight="1" x14ac:dyDescent="0.2">
      <c r="A877" s="873"/>
      <c r="B877" s="873"/>
      <c r="C877" s="873"/>
      <c r="D877" s="873"/>
      <c r="E877" s="873"/>
      <c r="F877" s="873"/>
      <c r="G877" s="873"/>
      <c r="H877" s="873"/>
      <c r="I877" s="873"/>
      <c r="J877" s="873"/>
      <c r="K877" s="873"/>
      <c r="L877" s="873"/>
      <c r="M877" s="873"/>
      <c r="N877" s="873"/>
      <c r="O877" s="873"/>
      <c r="P877" s="873"/>
      <c r="Q877" s="873"/>
      <c r="R877" s="873"/>
      <c r="S877" s="873"/>
      <c r="T877" s="873"/>
      <c r="U877" s="873"/>
      <c r="V877" s="873"/>
      <c r="W877" s="873"/>
      <c r="X877" s="873"/>
      <c r="Y877" s="873"/>
      <c r="Z877" s="873"/>
      <c r="AA877" s="873"/>
      <c r="AB877" s="873"/>
      <c r="AC877" s="873"/>
      <c r="AD877" s="873"/>
      <c r="AE877" s="873"/>
      <c r="AF877" s="873"/>
      <c r="AG877" s="873"/>
      <c r="AH877" s="873"/>
      <c r="AI877" s="873"/>
      <c r="AJ877" s="873"/>
      <c r="AK877" s="873"/>
      <c r="AL877" s="873"/>
      <c r="AM877" s="873"/>
      <c r="AN877" s="873"/>
      <c r="AO877" s="873"/>
      <c r="AP877" s="873"/>
      <c r="AQ877" s="873"/>
      <c r="AR877" s="873"/>
      <c r="AS877" s="873"/>
      <c r="AT877" s="873"/>
      <c r="AU877" s="873"/>
      <c r="AV877" s="873"/>
    </row>
    <row r="878" spans="1:48" ht="11.25" customHeight="1" x14ac:dyDescent="0.2">
      <c r="A878" s="873"/>
      <c r="B878" s="873"/>
      <c r="C878" s="873"/>
      <c r="D878" s="873"/>
      <c r="E878" s="873"/>
      <c r="F878" s="873"/>
      <c r="G878" s="873"/>
      <c r="H878" s="873"/>
      <c r="I878" s="873"/>
      <c r="J878" s="873"/>
      <c r="K878" s="873"/>
      <c r="L878" s="873"/>
      <c r="M878" s="873"/>
      <c r="N878" s="873"/>
      <c r="O878" s="873"/>
      <c r="P878" s="873"/>
      <c r="Q878" s="873"/>
      <c r="R878" s="873"/>
      <c r="S878" s="873"/>
      <c r="T878" s="873"/>
      <c r="U878" s="873"/>
      <c r="V878" s="873"/>
      <c r="W878" s="873"/>
      <c r="X878" s="873"/>
      <c r="Y878" s="873"/>
      <c r="Z878" s="873"/>
      <c r="AA878" s="873"/>
      <c r="AB878" s="873"/>
      <c r="AC878" s="873"/>
      <c r="AD878" s="873"/>
      <c r="AE878" s="873"/>
      <c r="AF878" s="873"/>
      <c r="AG878" s="873"/>
      <c r="AH878" s="873"/>
      <c r="AI878" s="873"/>
      <c r="AJ878" s="873"/>
      <c r="AK878" s="873"/>
      <c r="AL878" s="873"/>
      <c r="AM878" s="873"/>
      <c r="AN878" s="873"/>
      <c r="AO878" s="873"/>
      <c r="AP878" s="873"/>
      <c r="AQ878" s="873"/>
      <c r="AR878" s="873"/>
      <c r="AS878" s="873"/>
      <c r="AT878" s="873"/>
      <c r="AU878" s="873"/>
      <c r="AV878" s="873"/>
    </row>
    <row r="879" spans="1:48" ht="11.25" customHeight="1" x14ac:dyDescent="0.2">
      <c r="A879" s="873"/>
      <c r="B879" s="873"/>
      <c r="C879" s="873"/>
      <c r="D879" s="873"/>
      <c r="E879" s="873"/>
      <c r="F879" s="873"/>
      <c r="G879" s="873"/>
      <c r="H879" s="873"/>
      <c r="I879" s="873"/>
      <c r="J879" s="873"/>
      <c r="K879" s="873"/>
      <c r="L879" s="873"/>
      <c r="M879" s="873"/>
      <c r="N879" s="873"/>
      <c r="O879" s="873"/>
      <c r="P879" s="873"/>
      <c r="Q879" s="873"/>
      <c r="R879" s="873"/>
      <c r="S879" s="873"/>
      <c r="T879" s="873"/>
      <c r="U879" s="873"/>
      <c r="V879" s="873"/>
      <c r="W879" s="873"/>
      <c r="X879" s="873"/>
      <c r="Y879" s="873"/>
      <c r="Z879" s="873"/>
      <c r="AA879" s="873"/>
      <c r="AB879" s="873"/>
      <c r="AC879" s="873"/>
      <c r="AD879" s="873"/>
      <c r="AE879" s="873"/>
      <c r="AF879" s="873"/>
      <c r="AG879" s="873"/>
      <c r="AH879" s="873"/>
      <c r="AI879" s="873"/>
      <c r="AJ879" s="873"/>
      <c r="AK879" s="873"/>
      <c r="AL879" s="873"/>
      <c r="AM879" s="873"/>
      <c r="AN879" s="873"/>
      <c r="AO879" s="873"/>
      <c r="AP879" s="873"/>
      <c r="AQ879" s="873"/>
      <c r="AR879" s="873"/>
      <c r="AS879" s="873"/>
      <c r="AT879" s="873"/>
      <c r="AU879" s="873"/>
      <c r="AV879" s="873"/>
    </row>
    <row r="880" spans="1:48" ht="11.25" customHeight="1" x14ac:dyDescent="0.2">
      <c r="A880" s="873"/>
      <c r="B880" s="873"/>
      <c r="C880" s="873"/>
      <c r="D880" s="873"/>
      <c r="E880" s="873"/>
      <c r="F880" s="873"/>
      <c r="G880" s="873"/>
      <c r="H880" s="873"/>
      <c r="I880" s="873"/>
      <c r="J880" s="873"/>
      <c r="K880" s="873"/>
      <c r="L880" s="873"/>
      <c r="M880" s="873"/>
      <c r="N880" s="873"/>
      <c r="O880" s="873"/>
      <c r="P880" s="873"/>
      <c r="Q880" s="873"/>
      <c r="R880" s="873"/>
      <c r="S880" s="873"/>
      <c r="T880" s="873"/>
      <c r="U880" s="873"/>
      <c r="V880" s="873"/>
      <c r="W880" s="873"/>
      <c r="X880" s="873"/>
      <c r="Y880" s="873"/>
      <c r="Z880" s="873"/>
      <c r="AA880" s="873"/>
      <c r="AB880" s="873"/>
      <c r="AC880" s="873"/>
      <c r="AD880" s="873"/>
      <c r="AE880" s="873"/>
      <c r="AF880" s="873"/>
      <c r="AG880" s="873"/>
      <c r="AH880" s="873"/>
      <c r="AI880" s="873"/>
      <c r="AJ880" s="873"/>
      <c r="AK880" s="873"/>
      <c r="AL880" s="873"/>
      <c r="AM880" s="873"/>
      <c r="AN880" s="873"/>
      <c r="AO880" s="873"/>
      <c r="AP880" s="873"/>
      <c r="AQ880" s="873"/>
      <c r="AR880" s="873"/>
      <c r="AS880" s="873"/>
      <c r="AT880" s="873"/>
      <c r="AU880" s="873"/>
      <c r="AV880" s="873"/>
    </row>
    <row r="881" spans="1:48" ht="11.25" customHeight="1" x14ac:dyDescent="0.2">
      <c r="A881" s="873"/>
      <c r="B881" s="873"/>
      <c r="C881" s="873"/>
      <c r="D881" s="873"/>
      <c r="E881" s="873"/>
      <c r="F881" s="873"/>
      <c r="G881" s="873"/>
      <c r="H881" s="873"/>
      <c r="I881" s="873"/>
      <c r="J881" s="873"/>
      <c r="K881" s="873"/>
      <c r="L881" s="873"/>
      <c r="M881" s="873"/>
      <c r="N881" s="873"/>
      <c r="O881" s="873"/>
      <c r="P881" s="873"/>
      <c r="Q881" s="873"/>
      <c r="R881" s="873"/>
      <c r="S881" s="873"/>
      <c r="T881" s="873"/>
      <c r="U881" s="873"/>
      <c r="V881" s="873"/>
      <c r="W881" s="873"/>
      <c r="X881" s="873"/>
      <c r="Y881" s="873"/>
      <c r="Z881" s="873"/>
      <c r="AA881" s="873"/>
      <c r="AB881" s="873"/>
      <c r="AC881" s="873"/>
      <c r="AD881" s="873"/>
      <c r="AE881" s="873"/>
      <c r="AF881" s="873"/>
      <c r="AG881" s="873"/>
      <c r="AH881" s="873"/>
      <c r="AI881" s="873"/>
      <c r="AJ881" s="873"/>
      <c r="AK881" s="873"/>
      <c r="AL881" s="873"/>
      <c r="AM881" s="873"/>
      <c r="AN881" s="873"/>
      <c r="AO881" s="873"/>
      <c r="AP881" s="873"/>
      <c r="AQ881" s="873"/>
      <c r="AR881" s="873"/>
      <c r="AS881" s="873"/>
      <c r="AT881" s="873"/>
      <c r="AU881" s="873"/>
      <c r="AV881" s="873"/>
    </row>
    <row r="882" spans="1:48" ht="11.25" customHeight="1" x14ac:dyDescent="0.2">
      <c r="A882" s="873"/>
      <c r="B882" s="873"/>
      <c r="C882" s="873"/>
      <c r="D882" s="873"/>
      <c r="E882" s="873"/>
      <c r="F882" s="873"/>
      <c r="G882" s="873"/>
      <c r="H882" s="873"/>
      <c r="I882" s="873"/>
      <c r="J882" s="873"/>
      <c r="K882" s="873"/>
      <c r="L882" s="873"/>
      <c r="M882" s="873"/>
      <c r="N882" s="873"/>
      <c r="O882" s="873"/>
      <c r="P882" s="873"/>
      <c r="Q882" s="873"/>
      <c r="R882" s="873"/>
      <c r="S882" s="873"/>
      <c r="T882" s="873"/>
      <c r="U882" s="873"/>
      <c r="V882" s="873"/>
      <c r="W882" s="873"/>
      <c r="X882" s="873"/>
      <c r="Y882" s="873"/>
      <c r="Z882" s="873"/>
      <c r="AA882" s="873"/>
      <c r="AB882" s="873"/>
      <c r="AC882" s="873"/>
      <c r="AD882" s="873"/>
      <c r="AE882" s="873"/>
      <c r="AF882" s="873"/>
      <c r="AG882" s="873"/>
      <c r="AH882" s="873"/>
      <c r="AI882" s="873"/>
      <c r="AJ882" s="873"/>
      <c r="AK882" s="873"/>
      <c r="AL882" s="873"/>
      <c r="AM882" s="873"/>
      <c r="AN882" s="873"/>
      <c r="AO882" s="873"/>
      <c r="AP882" s="873"/>
      <c r="AQ882" s="873"/>
      <c r="AR882" s="873"/>
      <c r="AS882" s="873"/>
      <c r="AT882" s="873"/>
      <c r="AU882" s="873"/>
      <c r="AV882" s="873"/>
    </row>
    <row r="883" spans="1:48" ht="11.25" customHeight="1" x14ac:dyDescent="0.2">
      <c r="A883" s="873"/>
      <c r="B883" s="873"/>
      <c r="C883" s="873"/>
      <c r="D883" s="873"/>
      <c r="E883" s="873"/>
      <c r="F883" s="873"/>
      <c r="G883" s="873"/>
      <c r="H883" s="873"/>
      <c r="I883" s="873"/>
      <c r="J883" s="873"/>
      <c r="K883" s="873"/>
      <c r="L883" s="873"/>
      <c r="M883" s="873"/>
      <c r="N883" s="873"/>
      <c r="O883" s="873"/>
      <c r="P883" s="873"/>
      <c r="Q883" s="873"/>
      <c r="R883" s="873"/>
      <c r="S883" s="873"/>
      <c r="T883" s="873"/>
      <c r="U883" s="873"/>
      <c r="V883" s="873"/>
      <c r="W883" s="873"/>
      <c r="X883" s="873"/>
      <c r="Y883" s="873"/>
      <c r="Z883" s="873"/>
      <c r="AA883" s="873"/>
      <c r="AB883" s="873"/>
      <c r="AC883" s="873"/>
      <c r="AD883" s="873"/>
      <c r="AE883" s="873"/>
      <c r="AF883" s="873"/>
      <c r="AG883" s="873"/>
      <c r="AH883" s="873"/>
      <c r="AI883" s="873"/>
      <c r="AJ883" s="873"/>
      <c r="AK883" s="873"/>
      <c r="AL883" s="873"/>
      <c r="AM883" s="873"/>
      <c r="AN883" s="873"/>
      <c r="AO883" s="873"/>
      <c r="AP883" s="873"/>
      <c r="AQ883" s="873"/>
      <c r="AR883" s="873"/>
      <c r="AS883" s="873"/>
      <c r="AT883" s="873"/>
      <c r="AU883" s="873"/>
      <c r="AV883" s="873"/>
    </row>
    <row r="884" spans="1:48" ht="11.25" customHeight="1" x14ac:dyDescent="0.2">
      <c r="A884" s="873"/>
      <c r="B884" s="873"/>
      <c r="C884" s="873"/>
      <c r="D884" s="873"/>
      <c r="E884" s="873"/>
      <c r="F884" s="873"/>
      <c r="G884" s="873"/>
      <c r="H884" s="873"/>
      <c r="I884" s="873"/>
      <c r="J884" s="873"/>
      <c r="K884" s="873"/>
      <c r="L884" s="873"/>
      <c r="M884" s="873"/>
      <c r="N884" s="873"/>
      <c r="O884" s="873"/>
      <c r="P884" s="873"/>
      <c r="Q884" s="873"/>
      <c r="R884" s="873"/>
      <c r="S884" s="873"/>
      <c r="T884" s="873"/>
      <c r="U884" s="873"/>
      <c r="V884" s="873"/>
      <c r="W884" s="873"/>
      <c r="X884" s="873"/>
      <c r="Y884" s="873"/>
      <c r="Z884" s="873"/>
      <c r="AA884" s="873"/>
      <c r="AB884" s="873"/>
      <c r="AC884" s="873"/>
      <c r="AD884" s="873"/>
      <c r="AE884" s="873"/>
      <c r="AF884" s="873"/>
      <c r="AG884" s="873"/>
      <c r="AH884" s="873"/>
      <c r="AI884" s="873"/>
      <c r="AJ884" s="873"/>
      <c r="AK884" s="873"/>
      <c r="AL884" s="873"/>
      <c r="AM884" s="873"/>
      <c r="AN884" s="873"/>
      <c r="AO884" s="873"/>
      <c r="AP884" s="873"/>
      <c r="AQ884" s="873"/>
      <c r="AR884" s="873"/>
      <c r="AS884" s="873"/>
      <c r="AT884" s="873"/>
      <c r="AU884" s="873"/>
      <c r="AV884" s="873"/>
    </row>
    <row r="885" spans="1:48" ht="11.25" customHeight="1" x14ac:dyDescent="0.2">
      <c r="A885" s="873"/>
      <c r="B885" s="873"/>
      <c r="C885" s="873"/>
      <c r="D885" s="873"/>
      <c r="E885" s="873"/>
      <c r="F885" s="873"/>
      <c r="G885" s="873"/>
      <c r="H885" s="873"/>
      <c r="I885" s="873"/>
      <c r="J885" s="873"/>
      <c r="K885" s="873"/>
      <c r="L885" s="873"/>
      <c r="M885" s="873"/>
      <c r="N885" s="873"/>
      <c r="O885" s="873"/>
      <c r="P885" s="873"/>
      <c r="Q885" s="873"/>
      <c r="R885" s="873"/>
      <c r="S885" s="873"/>
      <c r="T885" s="873"/>
      <c r="U885" s="873"/>
      <c r="V885" s="873"/>
      <c r="W885" s="873"/>
      <c r="X885" s="873"/>
      <c r="Y885" s="873"/>
      <c r="Z885" s="873"/>
      <c r="AA885" s="873"/>
      <c r="AB885" s="873"/>
      <c r="AC885" s="873"/>
      <c r="AD885" s="873"/>
      <c r="AE885" s="873"/>
      <c r="AF885" s="873"/>
      <c r="AG885" s="873"/>
      <c r="AH885" s="873"/>
      <c r="AI885" s="873"/>
      <c r="AJ885" s="873"/>
      <c r="AK885" s="873"/>
      <c r="AL885" s="873"/>
      <c r="AM885" s="873"/>
      <c r="AN885" s="873"/>
      <c r="AO885" s="873"/>
      <c r="AP885" s="873"/>
      <c r="AQ885" s="873"/>
      <c r="AR885" s="873"/>
      <c r="AS885" s="873"/>
      <c r="AT885" s="873"/>
      <c r="AU885" s="873"/>
      <c r="AV885" s="873"/>
    </row>
    <row r="886" spans="1:48" ht="11.25" customHeight="1" x14ac:dyDescent="0.2">
      <c r="A886" s="873"/>
      <c r="B886" s="873"/>
      <c r="C886" s="873"/>
      <c r="D886" s="873"/>
      <c r="E886" s="873"/>
      <c r="F886" s="873"/>
      <c r="G886" s="873"/>
      <c r="H886" s="873"/>
      <c r="I886" s="873"/>
      <c r="J886" s="873"/>
      <c r="K886" s="873"/>
      <c r="L886" s="873"/>
      <c r="M886" s="873"/>
      <c r="N886" s="873"/>
      <c r="O886" s="873"/>
      <c r="P886" s="873"/>
      <c r="Q886" s="873"/>
      <c r="R886" s="873"/>
      <c r="S886" s="873"/>
      <c r="T886" s="873"/>
      <c r="U886" s="873"/>
      <c r="V886" s="873"/>
      <c r="W886" s="873"/>
      <c r="X886" s="873"/>
      <c r="Y886" s="873"/>
      <c r="Z886" s="873"/>
      <c r="AA886" s="873"/>
      <c r="AB886" s="873"/>
      <c r="AC886" s="873"/>
      <c r="AD886" s="873"/>
      <c r="AE886" s="873"/>
      <c r="AF886" s="873"/>
      <c r="AG886" s="873"/>
      <c r="AH886" s="873"/>
      <c r="AI886" s="873"/>
      <c r="AJ886" s="873"/>
      <c r="AK886" s="873"/>
      <c r="AL886" s="873"/>
      <c r="AM886" s="873"/>
      <c r="AN886" s="873"/>
      <c r="AO886" s="873"/>
      <c r="AP886" s="873"/>
      <c r="AQ886" s="873"/>
      <c r="AR886" s="873"/>
      <c r="AS886" s="873"/>
      <c r="AT886" s="873"/>
      <c r="AU886" s="873"/>
      <c r="AV886" s="873"/>
    </row>
    <row r="887" spans="1:48" ht="11.25" customHeight="1" x14ac:dyDescent="0.2">
      <c r="A887" s="873"/>
      <c r="B887" s="873"/>
      <c r="C887" s="873"/>
      <c r="D887" s="873"/>
      <c r="E887" s="873"/>
      <c r="F887" s="873"/>
      <c r="G887" s="873"/>
      <c r="H887" s="873"/>
      <c r="I887" s="873"/>
      <c r="J887" s="873"/>
      <c r="K887" s="873"/>
      <c r="L887" s="873"/>
      <c r="M887" s="873"/>
      <c r="N887" s="873"/>
      <c r="O887" s="873"/>
      <c r="P887" s="873"/>
      <c r="Q887" s="873"/>
      <c r="R887" s="873"/>
      <c r="S887" s="873"/>
      <c r="T887" s="873"/>
      <c r="U887" s="873"/>
      <c r="V887" s="873"/>
      <c r="W887" s="873"/>
      <c r="X887" s="873"/>
      <c r="Y887" s="873"/>
      <c r="Z887" s="873"/>
      <c r="AA887" s="873"/>
      <c r="AB887" s="873"/>
      <c r="AC887" s="873"/>
      <c r="AD887" s="873"/>
      <c r="AE887" s="873"/>
      <c r="AF887" s="873"/>
      <c r="AG887" s="873"/>
      <c r="AH887" s="873"/>
      <c r="AI887" s="873"/>
      <c r="AJ887" s="873"/>
      <c r="AK887" s="873"/>
      <c r="AL887" s="873"/>
      <c r="AM887" s="873"/>
      <c r="AN887" s="873"/>
      <c r="AO887" s="873"/>
      <c r="AP887" s="873"/>
      <c r="AQ887" s="873"/>
      <c r="AR887" s="873"/>
      <c r="AS887" s="873"/>
      <c r="AT887" s="873"/>
      <c r="AU887" s="873"/>
      <c r="AV887" s="873"/>
    </row>
    <row r="888" spans="1:48" ht="11.25" customHeight="1" x14ac:dyDescent="0.2">
      <c r="A888" s="873"/>
      <c r="B888" s="873"/>
      <c r="C888" s="873"/>
      <c r="D888" s="873"/>
      <c r="E888" s="873"/>
      <c r="F888" s="873"/>
      <c r="G888" s="873"/>
      <c r="H888" s="873"/>
      <c r="I888" s="873"/>
      <c r="J888" s="873"/>
      <c r="K888" s="873"/>
      <c r="L888" s="873"/>
      <c r="M888" s="873"/>
      <c r="N888" s="873"/>
      <c r="O888" s="873"/>
      <c r="P888" s="873"/>
      <c r="Q888" s="873"/>
      <c r="R888" s="873"/>
      <c r="S888" s="873"/>
      <c r="T888" s="873"/>
      <c r="U888" s="873"/>
      <c r="V888" s="873"/>
      <c r="W888" s="873"/>
      <c r="X888" s="873"/>
      <c r="Y888" s="873"/>
      <c r="Z888" s="873"/>
      <c r="AA888" s="873"/>
      <c r="AB888" s="873"/>
      <c r="AC888" s="873"/>
      <c r="AD888" s="873"/>
      <c r="AE888" s="873"/>
      <c r="AF888" s="873"/>
      <c r="AG888" s="873"/>
      <c r="AH888" s="873"/>
      <c r="AI888" s="873"/>
      <c r="AJ888" s="873"/>
      <c r="AK888" s="873"/>
      <c r="AL888" s="873"/>
      <c r="AM888" s="873"/>
      <c r="AN888" s="873"/>
      <c r="AO888" s="873"/>
      <c r="AP888" s="873"/>
      <c r="AQ888" s="873"/>
      <c r="AR888" s="873"/>
      <c r="AS888" s="873"/>
      <c r="AT888" s="873"/>
      <c r="AU888" s="873"/>
      <c r="AV888" s="873"/>
    </row>
    <row r="889" spans="1:48" ht="11.25" customHeight="1" x14ac:dyDescent="0.2">
      <c r="A889" s="873"/>
      <c r="B889" s="873"/>
      <c r="C889" s="873"/>
      <c r="D889" s="873"/>
      <c r="E889" s="873"/>
      <c r="F889" s="873"/>
      <c r="G889" s="873"/>
      <c r="H889" s="873"/>
      <c r="I889" s="873"/>
      <c r="J889" s="873"/>
      <c r="K889" s="873"/>
      <c r="L889" s="873"/>
      <c r="M889" s="873"/>
      <c r="N889" s="873"/>
      <c r="O889" s="873"/>
      <c r="P889" s="873"/>
      <c r="Q889" s="873"/>
      <c r="R889" s="873"/>
      <c r="S889" s="873"/>
      <c r="T889" s="873"/>
      <c r="U889" s="873"/>
      <c r="V889" s="873"/>
      <c r="W889" s="873"/>
      <c r="X889" s="873"/>
      <c r="Y889" s="873"/>
      <c r="Z889" s="873"/>
      <c r="AA889" s="873"/>
      <c r="AB889" s="873"/>
      <c r="AC889" s="873"/>
      <c r="AD889" s="873"/>
      <c r="AE889" s="873"/>
      <c r="AF889" s="873"/>
      <c r="AG889" s="873"/>
      <c r="AH889" s="873"/>
      <c r="AI889" s="873"/>
      <c r="AJ889" s="873"/>
      <c r="AK889" s="873"/>
      <c r="AL889" s="873"/>
      <c r="AM889" s="873"/>
      <c r="AN889" s="873"/>
      <c r="AO889" s="873"/>
      <c r="AP889" s="873"/>
      <c r="AQ889" s="873"/>
      <c r="AR889" s="873"/>
      <c r="AS889" s="873"/>
      <c r="AT889" s="873"/>
      <c r="AU889" s="873"/>
      <c r="AV889" s="873"/>
    </row>
    <row r="890" spans="1:48" ht="11.25" customHeight="1" x14ac:dyDescent="0.2">
      <c r="A890" s="873"/>
      <c r="B890" s="873"/>
      <c r="C890" s="873"/>
      <c r="D890" s="873"/>
      <c r="E890" s="873"/>
      <c r="F890" s="873"/>
      <c r="G890" s="873"/>
      <c r="H890" s="873"/>
      <c r="I890" s="873"/>
      <c r="J890" s="873"/>
      <c r="K890" s="873"/>
      <c r="L890" s="873"/>
      <c r="M890" s="873"/>
      <c r="N890" s="873"/>
      <c r="O890" s="873"/>
      <c r="P890" s="873"/>
      <c r="Q890" s="873"/>
      <c r="R890" s="873"/>
      <c r="S890" s="873"/>
      <c r="T890" s="873"/>
      <c r="U890" s="873"/>
      <c r="V890" s="873"/>
      <c r="W890" s="873"/>
      <c r="X890" s="873"/>
      <c r="Y890" s="873"/>
      <c r="Z890" s="873"/>
      <c r="AA890" s="873"/>
      <c r="AB890" s="873"/>
      <c r="AC890" s="873"/>
      <c r="AD890" s="873"/>
      <c r="AE890" s="873"/>
      <c r="AF890" s="873"/>
      <c r="AG890" s="873"/>
      <c r="AH890" s="873"/>
      <c r="AI890" s="873"/>
      <c r="AJ890" s="873"/>
      <c r="AK890" s="873"/>
      <c r="AL890" s="873"/>
      <c r="AM890" s="873"/>
      <c r="AN890" s="873"/>
      <c r="AO890" s="873"/>
      <c r="AP890" s="873"/>
      <c r="AQ890" s="873"/>
      <c r="AR890" s="873"/>
      <c r="AS890" s="873"/>
      <c r="AT890" s="873"/>
      <c r="AU890" s="873"/>
      <c r="AV890" s="873"/>
    </row>
    <row r="891" spans="1:48" ht="11.25" customHeight="1" x14ac:dyDescent="0.2">
      <c r="A891" s="873"/>
      <c r="B891" s="873"/>
      <c r="C891" s="873"/>
      <c r="D891" s="873"/>
      <c r="E891" s="873"/>
      <c r="F891" s="873"/>
      <c r="G891" s="873"/>
      <c r="H891" s="873"/>
      <c r="I891" s="873"/>
      <c r="J891" s="873"/>
      <c r="K891" s="873"/>
      <c r="L891" s="873"/>
      <c r="M891" s="873"/>
      <c r="N891" s="873"/>
      <c r="O891" s="873"/>
      <c r="P891" s="873"/>
      <c r="Q891" s="873"/>
      <c r="R891" s="873"/>
      <c r="S891" s="873"/>
      <c r="T891" s="873"/>
      <c r="U891" s="873"/>
      <c r="V891" s="873"/>
      <c r="W891" s="873"/>
      <c r="X891" s="873"/>
      <c r="Y891" s="873"/>
      <c r="Z891" s="873"/>
      <c r="AA891" s="873"/>
      <c r="AB891" s="873"/>
      <c r="AC891" s="873"/>
      <c r="AD891" s="873"/>
      <c r="AE891" s="873"/>
      <c r="AF891" s="873"/>
      <c r="AG891" s="873"/>
      <c r="AH891" s="873"/>
      <c r="AI891" s="873"/>
      <c r="AJ891" s="873"/>
      <c r="AK891" s="873"/>
      <c r="AL891" s="873"/>
      <c r="AM891" s="873"/>
      <c r="AN891" s="873"/>
      <c r="AO891" s="873"/>
      <c r="AP891" s="873"/>
      <c r="AQ891" s="873"/>
      <c r="AR891" s="873"/>
      <c r="AS891" s="873"/>
      <c r="AT891" s="873"/>
      <c r="AU891" s="873"/>
      <c r="AV891" s="873"/>
    </row>
    <row r="892" spans="1:48" ht="11.25" customHeight="1" x14ac:dyDescent="0.2">
      <c r="A892" s="873"/>
      <c r="B892" s="873"/>
      <c r="C892" s="873"/>
      <c r="D892" s="873"/>
      <c r="E892" s="873"/>
      <c r="F892" s="873"/>
      <c r="G892" s="873"/>
      <c r="H892" s="873"/>
      <c r="I892" s="873"/>
      <c r="J892" s="873"/>
      <c r="K892" s="873"/>
      <c r="L892" s="873"/>
      <c r="M892" s="873"/>
      <c r="N892" s="873"/>
      <c r="O892" s="873"/>
      <c r="P892" s="873"/>
      <c r="Q892" s="873"/>
      <c r="R892" s="873"/>
      <c r="S892" s="873"/>
      <c r="T892" s="873"/>
      <c r="U892" s="873"/>
      <c r="V892" s="873"/>
      <c r="W892" s="873"/>
      <c r="X892" s="873"/>
      <c r="Y892" s="873"/>
      <c r="Z892" s="873"/>
      <c r="AA892" s="873"/>
      <c r="AB892" s="873"/>
      <c r="AC892" s="873"/>
      <c r="AD892" s="873"/>
      <c r="AE892" s="873"/>
      <c r="AF892" s="873"/>
      <c r="AG892" s="873"/>
      <c r="AH892" s="873"/>
      <c r="AI892" s="873"/>
      <c r="AJ892" s="873"/>
      <c r="AK892" s="873"/>
      <c r="AL892" s="873"/>
      <c r="AM892" s="873"/>
      <c r="AN892" s="873"/>
      <c r="AO892" s="873"/>
      <c r="AP892" s="873"/>
      <c r="AQ892" s="873"/>
      <c r="AR892" s="873"/>
      <c r="AS892" s="873"/>
      <c r="AT892" s="873"/>
      <c r="AU892" s="873"/>
      <c r="AV892" s="873"/>
    </row>
    <row r="893" spans="1:48" ht="11.25" customHeight="1" x14ac:dyDescent="0.2">
      <c r="A893" s="873"/>
      <c r="B893" s="873"/>
      <c r="C893" s="873"/>
      <c r="D893" s="873"/>
      <c r="E893" s="873"/>
      <c r="F893" s="873"/>
      <c r="G893" s="873"/>
      <c r="H893" s="873"/>
      <c r="I893" s="873"/>
      <c r="J893" s="873"/>
      <c r="K893" s="873"/>
      <c r="L893" s="873"/>
      <c r="M893" s="873"/>
      <c r="N893" s="873"/>
      <c r="O893" s="873"/>
      <c r="P893" s="873"/>
      <c r="Q893" s="873"/>
      <c r="R893" s="873"/>
      <c r="S893" s="873"/>
      <c r="T893" s="873"/>
      <c r="U893" s="873"/>
      <c r="V893" s="873"/>
      <c r="W893" s="873"/>
      <c r="X893" s="873"/>
      <c r="Y893" s="873"/>
      <c r="Z893" s="873"/>
      <c r="AA893" s="873"/>
      <c r="AB893" s="873"/>
      <c r="AC893" s="873"/>
      <c r="AD893" s="873"/>
      <c r="AE893" s="873"/>
      <c r="AF893" s="873"/>
      <c r="AG893" s="873"/>
      <c r="AH893" s="873"/>
      <c r="AI893" s="873"/>
      <c r="AJ893" s="873"/>
      <c r="AK893" s="873"/>
      <c r="AL893" s="873"/>
      <c r="AM893" s="873"/>
      <c r="AN893" s="873"/>
      <c r="AO893" s="873"/>
      <c r="AP893" s="873"/>
      <c r="AQ893" s="873"/>
      <c r="AR893" s="873"/>
      <c r="AS893" s="873"/>
      <c r="AT893" s="873"/>
      <c r="AU893" s="873"/>
      <c r="AV893" s="873"/>
    </row>
    <row r="894" spans="1:48" ht="11.25" customHeight="1" x14ac:dyDescent="0.2">
      <c r="A894" s="873"/>
      <c r="B894" s="873"/>
      <c r="C894" s="873"/>
      <c r="D894" s="873"/>
      <c r="E894" s="873"/>
      <c r="F894" s="873"/>
      <c r="G894" s="873"/>
      <c r="H894" s="873"/>
      <c r="I894" s="873"/>
      <c r="J894" s="873"/>
      <c r="K894" s="873"/>
      <c r="L894" s="873"/>
      <c r="M894" s="873"/>
      <c r="N894" s="873"/>
      <c r="O894" s="873"/>
      <c r="P894" s="873"/>
      <c r="Q894" s="873"/>
      <c r="R894" s="873"/>
      <c r="S894" s="873"/>
      <c r="T894" s="873"/>
      <c r="U894" s="873"/>
      <c r="V894" s="873"/>
      <c r="W894" s="873"/>
      <c r="X894" s="873"/>
      <c r="Y894" s="873"/>
      <c r="Z894" s="873"/>
      <c r="AA894" s="873"/>
      <c r="AB894" s="873"/>
      <c r="AC894" s="873"/>
      <c r="AD894" s="873"/>
      <c r="AE894" s="873"/>
      <c r="AF894" s="873"/>
      <c r="AG894" s="873"/>
      <c r="AH894" s="873"/>
      <c r="AI894" s="873"/>
      <c r="AJ894" s="873"/>
      <c r="AK894" s="873"/>
      <c r="AL894" s="873"/>
      <c r="AM894" s="873"/>
      <c r="AN894" s="873"/>
      <c r="AO894" s="873"/>
      <c r="AP894" s="873"/>
      <c r="AQ894" s="873"/>
      <c r="AR894" s="873"/>
      <c r="AS894" s="873"/>
      <c r="AT894" s="873"/>
      <c r="AU894" s="873"/>
      <c r="AV894" s="873"/>
    </row>
    <row r="895" spans="1:48" ht="11.25" customHeight="1" x14ac:dyDescent="0.2">
      <c r="A895" s="873"/>
      <c r="B895" s="873"/>
      <c r="C895" s="873"/>
      <c r="D895" s="873"/>
      <c r="E895" s="873"/>
      <c r="F895" s="873"/>
      <c r="G895" s="873"/>
      <c r="H895" s="873"/>
      <c r="I895" s="873"/>
      <c r="J895" s="873"/>
      <c r="K895" s="873"/>
      <c r="L895" s="873"/>
      <c r="M895" s="873"/>
      <c r="N895" s="873"/>
      <c r="O895" s="873"/>
      <c r="P895" s="873"/>
      <c r="Q895" s="873"/>
      <c r="R895" s="873"/>
      <c r="S895" s="873"/>
      <c r="T895" s="873"/>
      <c r="U895" s="873"/>
      <c r="V895" s="873"/>
      <c r="W895" s="873"/>
      <c r="X895" s="873"/>
      <c r="Y895" s="873"/>
      <c r="Z895" s="873"/>
      <c r="AA895" s="873"/>
      <c r="AB895" s="873"/>
      <c r="AC895" s="873"/>
      <c r="AD895" s="873"/>
      <c r="AE895" s="873"/>
      <c r="AF895" s="873"/>
      <c r="AG895" s="873"/>
      <c r="AH895" s="873"/>
      <c r="AI895" s="873"/>
      <c r="AJ895" s="873"/>
      <c r="AK895" s="873"/>
      <c r="AL895" s="873"/>
      <c r="AM895" s="873"/>
      <c r="AN895" s="873"/>
      <c r="AO895" s="873"/>
      <c r="AP895" s="873"/>
      <c r="AQ895" s="873"/>
      <c r="AR895" s="873"/>
      <c r="AS895" s="873"/>
      <c r="AT895" s="873"/>
      <c r="AU895" s="873"/>
      <c r="AV895" s="873"/>
    </row>
    <row r="896" spans="1:48" ht="11.25" customHeight="1" x14ac:dyDescent="0.2">
      <c r="A896" s="873"/>
      <c r="B896" s="873"/>
      <c r="C896" s="873"/>
      <c r="D896" s="873"/>
      <c r="E896" s="873"/>
      <c r="F896" s="873"/>
      <c r="G896" s="873"/>
      <c r="H896" s="873"/>
      <c r="I896" s="873"/>
      <c r="J896" s="873"/>
      <c r="K896" s="873"/>
      <c r="L896" s="873"/>
      <c r="M896" s="873"/>
      <c r="N896" s="873"/>
      <c r="O896" s="873"/>
      <c r="P896" s="873"/>
      <c r="Q896" s="873"/>
      <c r="R896" s="873"/>
      <c r="S896" s="873"/>
      <c r="T896" s="873"/>
      <c r="U896" s="873"/>
      <c r="V896" s="873"/>
      <c r="W896" s="873"/>
      <c r="X896" s="873"/>
      <c r="Y896" s="873"/>
      <c r="Z896" s="873"/>
      <c r="AA896" s="873"/>
      <c r="AB896" s="873"/>
      <c r="AC896" s="873"/>
      <c r="AD896" s="873"/>
      <c r="AE896" s="873"/>
      <c r="AF896" s="873"/>
      <c r="AG896" s="873"/>
      <c r="AH896" s="873"/>
      <c r="AI896" s="873"/>
      <c r="AJ896" s="873"/>
      <c r="AK896" s="873"/>
      <c r="AL896" s="873"/>
      <c r="AM896" s="873"/>
      <c r="AN896" s="873"/>
      <c r="AO896" s="873"/>
      <c r="AP896" s="873"/>
      <c r="AQ896" s="873"/>
      <c r="AR896" s="873"/>
      <c r="AS896" s="873"/>
      <c r="AT896" s="873"/>
      <c r="AU896" s="873"/>
      <c r="AV896" s="873"/>
    </row>
    <row r="897" spans="1:48" ht="11.25" customHeight="1" x14ac:dyDescent="0.2">
      <c r="A897" s="873"/>
      <c r="B897" s="873"/>
      <c r="C897" s="873"/>
      <c r="D897" s="873"/>
      <c r="E897" s="873"/>
      <c r="F897" s="873"/>
      <c r="G897" s="873"/>
      <c r="H897" s="873"/>
      <c r="I897" s="873"/>
      <c r="J897" s="873"/>
      <c r="K897" s="873"/>
      <c r="L897" s="873"/>
      <c r="M897" s="873"/>
      <c r="N897" s="873"/>
      <c r="O897" s="873"/>
      <c r="P897" s="873"/>
      <c r="Q897" s="873"/>
      <c r="R897" s="873"/>
      <c r="S897" s="873"/>
      <c r="T897" s="873"/>
      <c r="U897" s="873"/>
      <c r="V897" s="873"/>
      <c r="W897" s="873"/>
      <c r="X897" s="873"/>
      <c r="Y897" s="873"/>
      <c r="Z897" s="873"/>
      <c r="AA897" s="873"/>
      <c r="AB897" s="873"/>
      <c r="AC897" s="873"/>
      <c r="AD897" s="873"/>
      <c r="AE897" s="873"/>
      <c r="AF897" s="873"/>
      <c r="AG897" s="873"/>
      <c r="AH897" s="873"/>
      <c r="AI897" s="873"/>
      <c r="AJ897" s="873"/>
      <c r="AK897" s="873"/>
      <c r="AL897" s="873"/>
      <c r="AM897" s="873"/>
      <c r="AN897" s="873"/>
      <c r="AO897" s="873"/>
      <c r="AP897" s="873"/>
      <c r="AQ897" s="873"/>
      <c r="AR897" s="873"/>
      <c r="AS897" s="873"/>
      <c r="AT897" s="873"/>
      <c r="AU897" s="873"/>
      <c r="AV897" s="873"/>
    </row>
    <row r="898" spans="1:48" ht="11.25" customHeight="1" x14ac:dyDescent="0.2">
      <c r="A898" s="873"/>
      <c r="B898" s="873"/>
      <c r="C898" s="873"/>
      <c r="D898" s="873"/>
      <c r="E898" s="873"/>
      <c r="F898" s="873"/>
      <c r="G898" s="873"/>
      <c r="H898" s="873"/>
      <c r="I898" s="873"/>
      <c r="J898" s="873"/>
      <c r="K898" s="873"/>
      <c r="L898" s="873"/>
      <c r="M898" s="873"/>
      <c r="N898" s="873"/>
      <c r="O898" s="873"/>
      <c r="P898" s="873"/>
      <c r="Q898" s="873"/>
      <c r="R898" s="873"/>
      <c r="S898" s="873"/>
      <c r="T898" s="873"/>
      <c r="U898" s="873"/>
      <c r="V898" s="873"/>
      <c r="W898" s="873"/>
      <c r="X898" s="873"/>
      <c r="Y898" s="873"/>
      <c r="Z898" s="873"/>
      <c r="AA898" s="873"/>
      <c r="AB898" s="873"/>
      <c r="AC898" s="873"/>
      <c r="AD898" s="873"/>
      <c r="AE898" s="873"/>
      <c r="AF898" s="873"/>
      <c r="AG898" s="873"/>
      <c r="AH898" s="873"/>
      <c r="AI898" s="873"/>
      <c r="AJ898" s="873"/>
      <c r="AK898" s="873"/>
      <c r="AL898" s="873"/>
      <c r="AM898" s="873"/>
      <c r="AN898" s="873"/>
      <c r="AO898" s="873"/>
      <c r="AP898" s="873"/>
      <c r="AQ898" s="873"/>
      <c r="AR898" s="873"/>
      <c r="AS898" s="873"/>
      <c r="AT898" s="873"/>
      <c r="AU898" s="873"/>
      <c r="AV898" s="873"/>
    </row>
    <row r="899" spans="1:48" ht="11.25" customHeight="1" x14ac:dyDescent="0.2">
      <c r="A899" s="873"/>
      <c r="B899" s="873"/>
      <c r="C899" s="873"/>
      <c r="D899" s="873"/>
      <c r="E899" s="873"/>
      <c r="F899" s="873"/>
      <c r="G899" s="873"/>
      <c r="H899" s="873"/>
      <c r="I899" s="873"/>
      <c r="J899" s="873"/>
      <c r="K899" s="873"/>
      <c r="L899" s="873"/>
      <c r="M899" s="873"/>
      <c r="N899" s="873"/>
      <c r="O899" s="873"/>
      <c r="P899" s="873"/>
      <c r="Q899" s="873"/>
      <c r="R899" s="873"/>
      <c r="S899" s="873"/>
      <c r="T899" s="873"/>
      <c r="U899" s="873"/>
      <c r="V899" s="873"/>
      <c r="W899" s="873"/>
      <c r="X899" s="873"/>
      <c r="Y899" s="873"/>
      <c r="Z899" s="873"/>
      <c r="AA899" s="873"/>
      <c r="AB899" s="873"/>
      <c r="AC899" s="873"/>
      <c r="AD899" s="873"/>
      <c r="AE899" s="873"/>
      <c r="AF899" s="873"/>
      <c r="AG899" s="873"/>
      <c r="AH899" s="873"/>
      <c r="AI899" s="873"/>
      <c r="AJ899" s="873"/>
      <c r="AK899" s="873"/>
      <c r="AL899" s="873"/>
      <c r="AM899" s="873"/>
      <c r="AN899" s="873"/>
      <c r="AO899" s="873"/>
      <c r="AP899" s="873"/>
      <c r="AQ899" s="873"/>
      <c r="AR899" s="873"/>
      <c r="AS899" s="873"/>
      <c r="AT899" s="873"/>
      <c r="AU899" s="873"/>
      <c r="AV899" s="873"/>
    </row>
    <row r="900" spans="1:48" ht="11.25" customHeight="1" x14ac:dyDescent="0.2">
      <c r="A900" s="873"/>
      <c r="B900" s="873"/>
      <c r="C900" s="873"/>
      <c r="D900" s="873"/>
      <c r="E900" s="873"/>
      <c r="F900" s="873"/>
      <c r="G900" s="873"/>
      <c r="H900" s="873"/>
      <c r="I900" s="873"/>
      <c r="J900" s="873"/>
      <c r="K900" s="873"/>
      <c r="L900" s="873"/>
      <c r="M900" s="873"/>
      <c r="N900" s="873"/>
      <c r="O900" s="873"/>
      <c r="P900" s="873"/>
      <c r="Q900" s="873"/>
      <c r="R900" s="873"/>
      <c r="S900" s="873"/>
      <c r="T900" s="873"/>
      <c r="U900" s="873"/>
      <c r="V900" s="873"/>
      <c r="W900" s="873"/>
      <c r="X900" s="873"/>
      <c r="Y900" s="873"/>
      <c r="Z900" s="873"/>
      <c r="AA900" s="873"/>
      <c r="AB900" s="873"/>
      <c r="AC900" s="873"/>
      <c r="AD900" s="873"/>
      <c r="AE900" s="873"/>
      <c r="AF900" s="873"/>
      <c r="AG900" s="873"/>
      <c r="AH900" s="873"/>
      <c r="AI900" s="873"/>
      <c r="AJ900" s="873"/>
      <c r="AK900" s="873"/>
      <c r="AL900" s="873"/>
      <c r="AM900" s="873"/>
      <c r="AN900" s="873"/>
      <c r="AO900" s="873"/>
      <c r="AP900" s="873"/>
      <c r="AQ900" s="873"/>
      <c r="AR900" s="873"/>
      <c r="AS900" s="873"/>
      <c r="AT900" s="873"/>
      <c r="AU900" s="873"/>
      <c r="AV900" s="873"/>
    </row>
    <row r="901" spans="1:48" ht="11.25" customHeight="1" x14ac:dyDescent="0.2">
      <c r="A901" s="873"/>
      <c r="B901" s="873"/>
      <c r="C901" s="873"/>
      <c r="D901" s="873"/>
      <c r="E901" s="873"/>
      <c r="F901" s="873"/>
      <c r="G901" s="873"/>
      <c r="H901" s="873"/>
      <c r="I901" s="873"/>
      <c r="J901" s="873"/>
      <c r="K901" s="873"/>
      <c r="L901" s="873"/>
      <c r="M901" s="873"/>
      <c r="N901" s="873"/>
      <c r="O901" s="873"/>
      <c r="P901" s="873"/>
      <c r="Q901" s="873"/>
      <c r="R901" s="873"/>
      <c r="S901" s="873"/>
      <c r="T901" s="873"/>
      <c r="U901" s="873"/>
      <c r="V901" s="873"/>
      <c r="W901" s="873"/>
      <c r="X901" s="873"/>
      <c r="Y901" s="873"/>
      <c r="Z901" s="873"/>
      <c r="AA901" s="873"/>
      <c r="AB901" s="873"/>
      <c r="AC901" s="873"/>
      <c r="AD901" s="873"/>
      <c r="AE901" s="873"/>
      <c r="AF901" s="873"/>
      <c r="AG901" s="873"/>
      <c r="AH901" s="873"/>
      <c r="AI901" s="873"/>
      <c r="AJ901" s="873"/>
      <c r="AK901" s="873"/>
      <c r="AL901" s="873"/>
      <c r="AM901" s="873"/>
      <c r="AN901" s="873"/>
      <c r="AO901" s="873"/>
      <c r="AP901" s="873"/>
      <c r="AQ901" s="873"/>
      <c r="AR901" s="873"/>
      <c r="AS901" s="873"/>
      <c r="AT901" s="873"/>
      <c r="AU901" s="873"/>
      <c r="AV901" s="873"/>
    </row>
    <row r="902" spans="1:48" ht="11.25" customHeight="1" x14ac:dyDescent="0.2">
      <c r="A902" s="873"/>
      <c r="B902" s="873"/>
      <c r="C902" s="873"/>
      <c r="D902" s="873"/>
      <c r="E902" s="873"/>
      <c r="F902" s="873"/>
      <c r="G902" s="873"/>
      <c r="H902" s="873"/>
      <c r="I902" s="873"/>
      <c r="J902" s="873"/>
      <c r="K902" s="873"/>
      <c r="L902" s="873"/>
      <c r="M902" s="873"/>
      <c r="N902" s="873"/>
      <c r="O902" s="873"/>
      <c r="P902" s="873"/>
      <c r="Q902" s="873"/>
      <c r="R902" s="873"/>
      <c r="S902" s="873"/>
      <c r="T902" s="873"/>
      <c r="U902" s="873"/>
      <c r="V902" s="873"/>
      <c r="W902" s="873"/>
      <c r="X902" s="873"/>
      <c r="Y902" s="873"/>
      <c r="Z902" s="873"/>
      <c r="AA902" s="873"/>
      <c r="AB902" s="873"/>
      <c r="AC902" s="873"/>
      <c r="AD902" s="873"/>
      <c r="AE902" s="873"/>
      <c r="AF902" s="873"/>
      <c r="AG902" s="873"/>
      <c r="AH902" s="873"/>
      <c r="AI902" s="873"/>
      <c r="AJ902" s="873"/>
      <c r="AK902" s="873"/>
      <c r="AL902" s="873"/>
      <c r="AM902" s="873"/>
      <c r="AN902" s="873"/>
      <c r="AO902" s="873"/>
      <c r="AP902" s="873"/>
      <c r="AQ902" s="873"/>
      <c r="AR902" s="873"/>
      <c r="AS902" s="873"/>
      <c r="AT902" s="873"/>
      <c r="AU902" s="873"/>
      <c r="AV902" s="873"/>
    </row>
    <row r="903" spans="1:48" ht="11.25" customHeight="1" x14ac:dyDescent="0.2">
      <c r="A903" s="873"/>
      <c r="B903" s="873"/>
      <c r="C903" s="873"/>
      <c r="D903" s="873"/>
      <c r="E903" s="873"/>
      <c r="F903" s="873"/>
      <c r="G903" s="873"/>
      <c r="H903" s="873"/>
      <c r="I903" s="873"/>
      <c r="J903" s="873"/>
      <c r="K903" s="873"/>
      <c r="L903" s="873"/>
      <c r="M903" s="873"/>
      <c r="N903" s="873"/>
      <c r="O903" s="873"/>
      <c r="P903" s="873"/>
      <c r="Q903" s="873"/>
      <c r="R903" s="873"/>
      <c r="S903" s="873"/>
      <c r="T903" s="873"/>
      <c r="U903" s="873"/>
      <c r="V903" s="873"/>
      <c r="W903" s="873"/>
      <c r="X903" s="873"/>
      <c r="Y903" s="873"/>
      <c r="Z903" s="873"/>
      <c r="AA903" s="873"/>
      <c r="AB903" s="873"/>
      <c r="AC903" s="873"/>
      <c r="AD903" s="873"/>
      <c r="AE903" s="873"/>
      <c r="AF903" s="873"/>
      <c r="AG903" s="873"/>
      <c r="AH903" s="873"/>
      <c r="AI903" s="873"/>
      <c r="AJ903" s="873"/>
      <c r="AK903" s="873"/>
      <c r="AL903" s="873"/>
      <c r="AM903" s="873"/>
      <c r="AN903" s="873"/>
      <c r="AO903" s="873"/>
      <c r="AP903" s="873"/>
      <c r="AQ903" s="873"/>
      <c r="AR903" s="873"/>
      <c r="AS903" s="873"/>
      <c r="AT903" s="873"/>
      <c r="AU903" s="873"/>
      <c r="AV903" s="873"/>
    </row>
    <row r="904" spans="1:48" ht="11.25" customHeight="1" x14ac:dyDescent="0.2">
      <c r="A904" s="873"/>
      <c r="B904" s="873"/>
      <c r="C904" s="873"/>
      <c r="D904" s="873"/>
      <c r="E904" s="873"/>
      <c r="F904" s="873"/>
      <c r="G904" s="873"/>
      <c r="H904" s="873"/>
      <c r="I904" s="873"/>
      <c r="J904" s="873"/>
      <c r="K904" s="873"/>
      <c r="L904" s="873"/>
      <c r="M904" s="873"/>
      <c r="N904" s="873"/>
      <c r="O904" s="873"/>
      <c r="P904" s="873"/>
      <c r="Q904" s="873"/>
      <c r="R904" s="873"/>
      <c r="S904" s="873"/>
      <c r="T904" s="873"/>
      <c r="U904" s="873"/>
      <c r="V904" s="873"/>
      <c r="W904" s="873"/>
      <c r="X904" s="873"/>
      <c r="Y904" s="873"/>
      <c r="Z904" s="873"/>
      <c r="AA904" s="873"/>
      <c r="AB904" s="873"/>
      <c r="AC904" s="873"/>
      <c r="AD904" s="873"/>
      <c r="AE904" s="873"/>
      <c r="AF904" s="873"/>
      <c r="AG904" s="873"/>
      <c r="AH904" s="873"/>
      <c r="AI904" s="873"/>
      <c r="AJ904" s="873"/>
      <c r="AK904" s="873"/>
      <c r="AL904" s="873"/>
      <c r="AM904" s="873"/>
      <c r="AN904" s="873"/>
      <c r="AO904" s="873"/>
      <c r="AP904" s="873"/>
      <c r="AQ904" s="873"/>
      <c r="AR904" s="873"/>
      <c r="AS904" s="873"/>
      <c r="AT904" s="873"/>
      <c r="AU904" s="873"/>
      <c r="AV904" s="873"/>
    </row>
    <row r="905" spans="1:48" ht="11.25" customHeight="1" x14ac:dyDescent="0.2">
      <c r="A905" s="873"/>
      <c r="B905" s="873"/>
      <c r="C905" s="873"/>
      <c r="D905" s="873"/>
      <c r="E905" s="873"/>
      <c r="F905" s="873"/>
      <c r="G905" s="873"/>
      <c r="H905" s="873"/>
      <c r="I905" s="873"/>
      <c r="J905" s="873"/>
      <c r="K905" s="873"/>
      <c r="L905" s="873"/>
      <c r="M905" s="873"/>
      <c r="N905" s="873"/>
      <c r="O905" s="873"/>
      <c r="P905" s="873"/>
      <c r="Q905" s="873"/>
      <c r="R905" s="873"/>
      <c r="S905" s="873"/>
      <c r="T905" s="873"/>
      <c r="U905" s="873"/>
      <c r="V905" s="873"/>
      <c r="W905" s="873"/>
      <c r="X905" s="873"/>
      <c r="Y905" s="873"/>
      <c r="Z905" s="873"/>
      <c r="AA905" s="873"/>
      <c r="AB905" s="873"/>
      <c r="AC905" s="873"/>
      <c r="AD905" s="873"/>
      <c r="AE905" s="873"/>
      <c r="AF905" s="873"/>
      <c r="AG905" s="873"/>
      <c r="AH905" s="873"/>
      <c r="AI905" s="873"/>
      <c r="AJ905" s="873"/>
      <c r="AK905" s="873"/>
      <c r="AL905" s="873"/>
      <c r="AM905" s="873"/>
      <c r="AN905" s="873"/>
      <c r="AO905" s="873"/>
      <c r="AP905" s="873"/>
      <c r="AQ905" s="873"/>
      <c r="AR905" s="873"/>
      <c r="AS905" s="873"/>
      <c r="AT905" s="873"/>
      <c r="AU905" s="873"/>
      <c r="AV905" s="873"/>
    </row>
    <row r="906" spans="1:48" ht="11.25" customHeight="1" x14ac:dyDescent="0.2">
      <c r="A906" s="873"/>
      <c r="B906" s="873"/>
      <c r="C906" s="873"/>
      <c r="D906" s="873"/>
      <c r="E906" s="873"/>
      <c r="F906" s="873"/>
      <c r="G906" s="873"/>
      <c r="H906" s="873"/>
      <c r="I906" s="873"/>
      <c r="J906" s="873"/>
      <c r="K906" s="873"/>
      <c r="L906" s="873"/>
      <c r="M906" s="873"/>
      <c r="N906" s="873"/>
      <c r="O906" s="873"/>
      <c r="P906" s="873"/>
      <c r="Q906" s="873"/>
      <c r="R906" s="873"/>
      <c r="S906" s="873"/>
      <c r="T906" s="873"/>
      <c r="U906" s="873"/>
      <c r="V906" s="873"/>
      <c r="W906" s="873"/>
      <c r="X906" s="873"/>
      <c r="Y906" s="873"/>
      <c r="Z906" s="873"/>
      <c r="AA906" s="873"/>
      <c r="AB906" s="873"/>
      <c r="AC906" s="873"/>
      <c r="AD906" s="873"/>
      <c r="AE906" s="873"/>
      <c r="AF906" s="873"/>
      <c r="AG906" s="873"/>
      <c r="AH906" s="873"/>
      <c r="AI906" s="873"/>
      <c r="AJ906" s="873"/>
      <c r="AK906" s="873"/>
      <c r="AL906" s="873"/>
      <c r="AM906" s="873"/>
      <c r="AN906" s="873"/>
      <c r="AO906" s="873"/>
      <c r="AP906" s="873"/>
      <c r="AQ906" s="873"/>
      <c r="AR906" s="873"/>
      <c r="AS906" s="873"/>
      <c r="AT906" s="873"/>
      <c r="AU906" s="873"/>
      <c r="AV906" s="873"/>
    </row>
    <row r="907" spans="1:48" ht="11.25" customHeight="1" x14ac:dyDescent="0.2">
      <c r="A907" s="873"/>
      <c r="B907" s="873"/>
      <c r="C907" s="873"/>
      <c r="D907" s="873"/>
      <c r="E907" s="873"/>
      <c r="F907" s="873"/>
      <c r="G907" s="873"/>
      <c r="H907" s="873"/>
      <c r="I907" s="873"/>
      <c r="J907" s="873"/>
      <c r="K907" s="873"/>
      <c r="L907" s="873"/>
      <c r="M907" s="873"/>
      <c r="N907" s="873"/>
      <c r="O907" s="873"/>
      <c r="P907" s="873"/>
      <c r="Q907" s="873"/>
      <c r="R907" s="873"/>
      <c r="S907" s="873"/>
      <c r="T907" s="873"/>
      <c r="U907" s="873"/>
      <c r="V907" s="873"/>
      <c r="W907" s="873"/>
      <c r="X907" s="873"/>
      <c r="Y907" s="873"/>
      <c r="Z907" s="873"/>
      <c r="AA907" s="873"/>
      <c r="AB907" s="873"/>
      <c r="AC907" s="873"/>
      <c r="AD907" s="873"/>
      <c r="AE907" s="873"/>
      <c r="AF907" s="873"/>
      <c r="AG907" s="873"/>
      <c r="AH907" s="873"/>
      <c r="AI907" s="873"/>
      <c r="AJ907" s="873"/>
      <c r="AK907" s="873"/>
      <c r="AL907" s="873"/>
      <c r="AM907" s="873"/>
      <c r="AN907" s="873"/>
      <c r="AO907" s="873"/>
      <c r="AP907" s="873"/>
      <c r="AQ907" s="873"/>
      <c r="AR907" s="873"/>
      <c r="AS907" s="873"/>
      <c r="AT907" s="873"/>
      <c r="AU907" s="873"/>
      <c r="AV907" s="873"/>
    </row>
    <row r="908" spans="1:48" ht="11.25" customHeight="1" x14ac:dyDescent="0.2">
      <c r="A908" s="873"/>
      <c r="B908" s="873"/>
      <c r="C908" s="873"/>
      <c r="D908" s="873"/>
      <c r="E908" s="873"/>
      <c r="F908" s="873"/>
      <c r="G908" s="873"/>
      <c r="H908" s="873"/>
      <c r="I908" s="873"/>
      <c r="J908" s="873"/>
      <c r="K908" s="873"/>
      <c r="L908" s="873"/>
      <c r="M908" s="873"/>
      <c r="N908" s="873"/>
      <c r="O908" s="873"/>
      <c r="P908" s="873"/>
      <c r="Q908" s="873"/>
      <c r="R908" s="873"/>
      <c r="S908" s="873"/>
      <c r="T908" s="873"/>
      <c r="U908" s="873"/>
      <c r="V908" s="873"/>
      <c r="W908" s="873"/>
      <c r="X908" s="873"/>
      <c r="Y908" s="873"/>
      <c r="Z908" s="873"/>
      <c r="AA908" s="873"/>
      <c r="AB908" s="873"/>
      <c r="AC908" s="873"/>
      <c r="AD908" s="873"/>
      <c r="AE908" s="873"/>
      <c r="AF908" s="873"/>
      <c r="AG908" s="873"/>
      <c r="AH908" s="873"/>
      <c r="AI908" s="873"/>
      <c r="AJ908" s="873"/>
      <c r="AK908" s="873"/>
      <c r="AL908" s="873"/>
      <c r="AM908" s="873"/>
      <c r="AN908" s="873"/>
      <c r="AO908" s="873"/>
      <c r="AP908" s="873"/>
      <c r="AQ908" s="873"/>
      <c r="AR908" s="873"/>
      <c r="AS908" s="873"/>
      <c r="AT908" s="873"/>
      <c r="AU908" s="873"/>
      <c r="AV908" s="873"/>
    </row>
    <row r="909" spans="1:48" ht="11.25" customHeight="1" x14ac:dyDescent="0.2">
      <c r="A909" s="873"/>
      <c r="B909" s="873"/>
      <c r="C909" s="873"/>
      <c r="D909" s="873"/>
      <c r="E909" s="873"/>
      <c r="F909" s="873"/>
      <c r="G909" s="873"/>
      <c r="H909" s="873"/>
      <c r="I909" s="873"/>
      <c r="J909" s="873"/>
      <c r="K909" s="873"/>
      <c r="L909" s="873"/>
      <c r="M909" s="873"/>
      <c r="N909" s="873"/>
      <c r="O909" s="873"/>
      <c r="P909" s="873"/>
      <c r="Q909" s="873"/>
      <c r="R909" s="873"/>
      <c r="S909" s="873"/>
      <c r="T909" s="873"/>
      <c r="U909" s="873"/>
      <c r="V909" s="873"/>
      <c r="W909" s="873"/>
      <c r="X909" s="873"/>
      <c r="Y909" s="873"/>
      <c r="Z909" s="873"/>
      <c r="AA909" s="873"/>
      <c r="AB909" s="873"/>
      <c r="AC909" s="873"/>
      <c r="AD909" s="873"/>
      <c r="AE909" s="873"/>
      <c r="AF909" s="873"/>
      <c r="AG909" s="873"/>
      <c r="AH909" s="873"/>
      <c r="AI909" s="873"/>
      <c r="AJ909" s="873"/>
      <c r="AK909" s="873"/>
      <c r="AL909" s="873"/>
      <c r="AM909" s="873"/>
      <c r="AN909" s="873"/>
      <c r="AO909" s="873"/>
      <c r="AP909" s="873"/>
      <c r="AQ909" s="873"/>
      <c r="AR909" s="873"/>
      <c r="AS909" s="873"/>
      <c r="AT909" s="873"/>
      <c r="AU909" s="873"/>
      <c r="AV909" s="873"/>
    </row>
    <row r="910" spans="1:48" ht="11.25" customHeight="1" x14ac:dyDescent="0.2">
      <c r="A910" s="873"/>
      <c r="B910" s="873"/>
      <c r="C910" s="873"/>
      <c r="D910" s="873"/>
      <c r="E910" s="873"/>
      <c r="F910" s="873"/>
      <c r="G910" s="873"/>
      <c r="H910" s="873"/>
      <c r="I910" s="873"/>
      <c r="J910" s="873"/>
      <c r="K910" s="873"/>
      <c r="L910" s="873"/>
      <c r="M910" s="873"/>
      <c r="N910" s="873"/>
      <c r="O910" s="873"/>
      <c r="P910" s="873"/>
      <c r="Q910" s="873"/>
      <c r="R910" s="873"/>
      <c r="S910" s="873"/>
      <c r="T910" s="873"/>
      <c r="U910" s="873"/>
      <c r="V910" s="873"/>
      <c r="W910" s="873"/>
      <c r="X910" s="873"/>
      <c r="Y910" s="873"/>
      <c r="Z910" s="873"/>
      <c r="AA910" s="873"/>
      <c r="AB910" s="873"/>
      <c r="AC910" s="873"/>
      <c r="AD910" s="873"/>
      <c r="AE910" s="873"/>
      <c r="AF910" s="873"/>
      <c r="AG910" s="873"/>
      <c r="AH910" s="873"/>
      <c r="AI910" s="873"/>
      <c r="AJ910" s="873"/>
      <c r="AK910" s="873"/>
      <c r="AL910" s="873"/>
      <c r="AM910" s="873"/>
      <c r="AN910" s="873"/>
      <c r="AO910" s="873"/>
      <c r="AP910" s="873"/>
      <c r="AQ910" s="873"/>
      <c r="AR910" s="873"/>
      <c r="AS910" s="873"/>
      <c r="AT910" s="873"/>
      <c r="AU910" s="873"/>
      <c r="AV910" s="873"/>
    </row>
    <row r="911" spans="1:48" ht="11.25" customHeight="1" x14ac:dyDescent="0.2">
      <c r="A911" s="873"/>
      <c r="B911" s="873"/>
      <c r="C911" s="873"/>
      <c r="D911" s="873"/>
      <c r="E911" s="873"/>
      <c r="F911" s="873"/>
      <c r="G911" s="873"/>
      <c r="H911" s="873"/>
      <c r="I911" s="873"/>
      <c r="J911" s="873"/>
      <c r="K911" s="873"/>
      <c r="L911" s="873"/>
      <c r="M911" s="873"/>
      <c r="N911" s="873"/>
      <c r="O911" s="873"/>
      <c r="P911" s="873"/>
      <c r="Q911" s="873"/>
      <c r="R911" s="873"/>
      <c r="S911" s="873"/>
      <c r="T911" s="873"/>
      <c r="U911" s="873"/>
      <c r="V911" s="873"/>
      <c r="W911" s="873"/>
      <c r="X911" s="873"/>
      <c r="Y911" s="873"/>
      <c r="Z911" s="873"/>
      <c r="AA911" s="873"/>
      <c r="AB911" s="873"/>
      <c r="AC911" s="873"/>
      <c r="AD911" s="873"/>
      <c r="AE911" s="873"/>
      <c r="AF911" s="873"/>
      <c r="AG911" s="873"/>
      <c r="AH911" s="873"/>
      <c r="AI911" s="873"/>
      <c r="AJ911" s="873"/>
      <c r="AK911" s="873"/>
      <c r="AL911" s="873"/>
      <c r="AM911" s="873"/>
      <c r="AN911" s="873"/>
      <c r="AO911" s="873"/>
      <c r="AP911" s="873"/>
      <c r="AQ911" s="873"/>
      <c r="AR911" s="873"/>
      <c r="AS911" s="873"/>
      <c r="AT911" s="873"/>
      <c r="AU911" s="873"/>
      <c r="AV911" s="873"/>
    </row>
    <row r="912" spans="1:48" ht="11.25" customHeight="1" x14ac:dyDescent="0.2">
      <c r="A912" s="873"/>
      <c r="B912" s="873"/>
      <c r="C912" s="873"/>
      <c r="D912" s="873"/>
      <c r="E912" s="873"/>
      <c r="F912" s="873"/>
      <c r="G912" s="873"/>
      <c r="H912" s="873"/>
      <c r="I912" s="873"/>
      <c r="J912" s="873"/>
      <c r="K912" s="873"/>
      <c r="L912" s="873"/>
      <c r="M912" s="873"/>
      <c r="N912" s="873"/>
      <c r="O912" s="873"/>
      <c r="P912" s="873"/>
      <c r="Q912" s="873"/>
      <c r="R912" s="873"/>
      <c r="S912" s="873"/>
      <c r="T912" s="873"/>
      <c r="U912" s="873"/>
      <c r="V912" s="873"/>
      <c r="W912" s="873"/>
      <c r="X912" s="873"/>
      <c r="Y912" s="873"/>
      <c r="Z912" s="873"/>
      <c r="AA912" s="873"/>
      <c r="AB912" s="873"/>
      <c r="AC912" s="873"/>
      <c r="AD912" s="873"/>
      <c r="AE912" s="873"/>
      <c r="AF912" s="873"/>
      <c r="AG912" s="873"/>
      <c r="AH912" s="873"/>
      <c r="AI912" s="873"/>
      <c r="AJ912" s="873"/>
      <c r="AK912" s="873"/>
      <c r="AL912" s="873"/>
      <c r="AM912" s="873"/>
      <c r="AN912" s="873"/>
      <c r="AO912" s="873"/>
      <c r="AP912" s="873"/>
      <c r="AQ912" s="873"/>
      <c r="AR912" s="873"/>
      <c r="AS912" s="873"/>
      <c r="AT912" s="873"/>
      <c r="AU912" s="873"/>
      <c r="AV912" s="873"/>
    </row>
    <row r="913" spans="1:48" ht="11.25" customHeight="1" x14ac:dyDescent="0.2">
      <c r="A913" s="873"/>
      <c r="B913" s="873"/>
      <c r="C913" s="873"/>
      <c r="D913" s="873"/>
      <c r="E913" s="873"/>
      <c r="F913" s="873"/>
      <c r="G913" s="873"/>
      <c r="H913" s="873"/>
      <c r="I913" s="873"/>
      <c r="J913" s="873"/>
      <c r="K913" s="873"/>
      <c r="L913" s="873"/>
      <c r="M913" s="873"/>
      <c r="N913" s="873"/>
      <c r="O913" s="873"/>
      <c r="P913" s="873"/>
      <c r="Q913" s="873"/>
      <c r="R913" s="873"/>
      <c r="S913" s="873"/>
      <c r="T913" s="873"/>
      <c r="U913" s="873"/>
      <c r="V913" s="873"/>
      <c r="W913" s="873"/>
      <c r="X913" s="873"/>
      <c r="Y913" s="873"/>
      <c r="Z913" s="873"/>
      <c r="AA913" s="873"/>
      <c r="AB913" s="873"/>
      <c r="AC913" s="873"/>
      <c r="AD913" s="873"/>
      <c r="AE913" s="873"/>
      <c r="AF913" s="873"/>
      <c r="AG913" s="873"/>
      <c r="AH913" s="873"/>
      <c r="AI913" s="873"/>
      <c r="AJ913" s="873"/>
      <c r="AK913" s="873"/>
      <c r="AL913" s="873"/>
      <c r="AM913" s="873"/>
      <c r="AN913" s="873"/>
      <c r="AO913" s="873"/>
      <c r="AP913" s="873"/>
      <c r="AQ913" s="873"/>
      <c r="AR913" s="873"/>
      <c r="AS913" s="873"/>
      <c r="AT913" s="873"/>
      <c r="AU913" s="873"/>
      <c r="AV913" s="873"/>
    </row>
    <row r="914" spans="1:48" ht="11.25" customHeight="1" x14ac:dyDescent="0.2">
      <c r="A914" s="873"/>
      <c r="B914" s="873"/>
      <c r="C914" s="873"/>
      <c r="D914" s="873"/>
      <c r="E914" s="873"/>
      <c r="F914" s="873"/>
      <c r="G914" s="873"/>
      <c r="H914" s="873"/>
      <c r="I914" s="873"/>
      <c r="J914" s="873"/>
      <c r="K914" s="873"/>
      <c r="L914" s="873"/>
      <c r="M914" s="873"/>
      <c r="N914" s="873"/>
      <c r="O914" s="873"/>
      <c r="P914" s="873"/>
      <c r="Q914" s="873"/>
      <c r="R914" s="873"/>
      <c r="S914" s="873"/>
      <c r="T914" s="873"/>
      <c r="U914" s="873"/>
      <c r="V914" s="873"/>
      <c r="W914" s="873"/>
      <c r="X914" s="873"/>
      <c r="Y914" s="873"/>
      <c r="Z914" s="873"/>
      <c r="AA914" s="873"/>
      <c r="AB914" s="873"/>
      <c r="AC914" s="873"/>
      <c r="AD914" s="873"/>
      <c r="AE914" s="873"/>
      <c r="AF914" s="873"/>
      <c r="AG914" s="873"/>
      <c r="AH914" s="873"/>
      <c r="AI914" s="873"/>
      <c r="AJ914" s="873"/>
      <c r="AK914" s="873"/>
      <c r="AL914" s="873"/>
      <c r="AM914" s="873"/>
      <c r="AN914" s="873"/>
      <c r="AO914" s="873"/>
      <c r="AP914" s="873"/>
      <c r="AQ914" s="873"/>
      <c r="AR914" s="873"/>
      <c r="AS914" s="873"/>
      <c r="AT914" s="873"/>
      <c r="AU914" s="873"/>
      <c r="AV914" s="873"/>
    </row>
    <row r="915" spans="1:48" ht="11.25" customHeight="1" x14ac:dyDescent="0.2">
      <c r="A915" s="873"/>
      <c r="B915" s="873"/>
      <c r="C915" s="873"/>
      <c r="D915" s="873"/>
      <c r="E915" s="873"/>
      <c r="F915" s="873"/>
      <c r="G915" s="873"/>
      <c r="H915" s="873"/>
      <c r="I915" s="873"/>
      <c r="J915" s="873"/>
      <c r="K915" s="873"/>
      <c r="L915" s="873"/>
      <c r="M915" s="873"/>
      <c r="N915" s="873"/>
      <c r="O915" s="873"/>
      <c r="P915" s="873"/>
      <c r="Q915" s="873"/>
      <c r="R915" s="873"/>
      <c r="S915" s="873"/>
      <c r="T915" s="873"/>
      <c r="U915" s="873"/>
      <c r="V915" s="873"/>
      <c r="W915" s="873"/>
      <c r="X915" s="873"/>
      <c r="Y915" s="873"/>
      <c r="Z915" s="873"/>
      <c r="AA915" s="873"/>
      <c r="AB915" s="873"/>
      <c r="AC915" s="873"/>
      <c r="AD915" s="873"/>
      <c r="AE915" s="873"/>
      <c r="AF915" s="873"/>
      <c r="AG915" s="873"/>
      <c r="AH915" s="873"/>
      <c r="AI915" s="873"/>
      <c r="AJ915" s="873"/>
      <c r="AK915" s="873"/>
      <c r="AL915" s="873"/>
      <c r="AM915" s="873"/>
      <c r="AN915" s="873"/>
      <c r="AO915" s="873"/>
      <c r="AP915" s="873"/>
      <c r="AQ915" s="873"/>
      <c r="AR915" s="873"/>
      <c r="AS915" s="873"/>
      <c r="AT915" s="873"/>
      <c r="AU915" s="873"/>
      <c r="AV915" s="873"/>
    </row>
    <row r="916" spans="1:48" ht="11.25" customHeight="1" x14ac:dyDescent="0.2">
      <c r="A916" s="873"/>
      <c r="B916" s="873"/>
      <c r="C916" s="873"/>
      <c r="D916" s="873"/>
      <c r="E916" s="873"/>
      <c r="F916" s="873"/>
      <c r="G916" s="873"/>
      <c r="H916" s="873"/>
      <c r="I916" s="873"/>
      <c r="J916" s="873"/>
      <c r="K916" s="873"/>
      <c r="L916" s="873"/>
      <c r="M916" s="873"/>
      <c r="N916" s="873"/>
      <c r="O916" s="873"/>
      <c r="P916" s="873"/>
      <c r="Q916" s="873"/>
      <c r="R916" s="873"/>
      <c r="S916" s="873"/>
      <c r="T916" s="873"/>
      <c r="U916" s="873"/>
      <c r="V916" s="873"/>
      <c r="W916" s="873"/>
      <c r="X916" s="873"/>
      <c r="Y916" s="873"/>
      <c r="Z916" s="873"/>
      <c r="AA916" s="873"/>
      <c r="AB916" s="873"/>
      <c r="AC916" s="873"/>
      <c r="AD916" s="873"/>
      <c r="AE916" s="873"/>
      <c r="AF916" s="873"/>
      <c r="AG916" s="873"/>
      <c r="AH916" s="873"/>
      <c r="AI916" s="873"/>
      <c r="AJ916" s="873"/>
      <c r="AK916" s="873"/>
      <c r="AL916" s="873"/>
      <c r="AM916" s="873"/>
      <c r="AN916" s="873"/>
      <c r="AO916" s="873"/>
      <c r="AP916" s="873"/>
      <c r="AQ916" s="873"/>
      <c r="AR916" s="873"/>
      <c r="AS916" s="873"/>
      <c r="AT916" s="873"/>
      <c r="AU916" s="873"/>
      <c r="AV916" s="873"/>
    </row>
    <row r="917" spans="1:48" ht="11.25" customHeight="1" x14ac:dyDescent="0.2">
      <c r="A917" s="873"/>
      <c r="B917" s="873"/>
      <c r="C917" s="873"/>
      <c r="D917" s="873"/>
      <c r="E917" s="873"/>
      <c r="F917" s="873"/>
      <c r="G917" s="873"/>
      <c r="H917" s="873"/>
      <c r="I917" s="873"/>
      <c r="J917" s="873"/>
      <c r="K917" s="873"/>
      <c r="L917" s="873"/>
      <c r="M917" s="873"/>
      <c r="N917" s="873"/>
      <c r="O917" s="873"/>
      <c r="P917" s="873"/>
      <c r="Q917" s="873"/>
      <c r="R917" s="873"/>
      <c r="S917" s="873"/>
      <c r="T917" s="873"/>
      <c r="U917" s="873"/>
      <c r="V917" s="873"/>
      <c r="W917" s="873"/>
      <c r="X917" s="873"/>
      <c r="Y917" s="873"/>
      <c r="Z917" s="873"/>
      <c r="AA917" s="873"/>
      <c r="AB917" s="873"/>
      <c r="AC917" s="873"/>
      <c r="AD917" s="873"/>
      <c r="AE917" s="873"/>
      <c r="AF917" s="873"/>
      <c r="AG917" s="873"/>
      <c r="AH917" s="873"/>
      <c r="AI917" s="873"/>
      <c r="AJ917" s="873"/>
      <c r="AK917" s="873"/>
      <c r="AL917" s="873"/>
      <c r="AM917" s="873"/>
      <c r="AN917" s="873"/>
      <c r="AO917" s="873"/>
      <c r="AP917" s="873"/>
      <c r="AQ917" s="873"/>
      <c r="AR917" s="873"/>
      <c r="AS917" s="873"/>
      <c r="AT917" s="873"/>
      <c r="AU917" s="873"/>
      <c r="AV917" s="873"/>
    </row>
    <row r="918" spans="1:48" ht="11.25" customHeight="1" x14ac:dyDescent="0.2">
      <c r="A918" s="873"/>
      <c r="B918" s="873"/>
      <c r="C918" s="873"/>
      <c r="D918" s="873"/>
      <c r="E918" s="873"/>
      <c r="F918" s="873"/>
      <c r="G918" s="873"/>
      <c r="H918" s="873"/>
      <c r="I918" s="873"/>
      <c r="J918" s="873"/>
      <c r="K918" s="873"/>
      <c r="L918" s="873"/>
      <c r="M918" s="873"/>
      <c r="N918" s="873"/>
      <c r="O918" s="873"/>
      <c r="P918" s="873"/>
      <c r="Q918" s="873"/>
      <c r="R918" s="873"/>
      <c r="S918" s="873"/>
      <c r="T918" s="873"/>
      <c r="U918" s="873"/>
      <c r="V918" s="873"/>
      <c r="W918" s="873"/>
      <c r="X918" s="873"/>
      <c r="Y918" s="873"/>
      <c r="Z918" s="873"/>
      <c r="AA918" s="873"/>
      <c r="AB918" s="873"/>
      <c r="AC918" s="873"/>
      <c r="AD918" s="873"/>
      <c r="AE918" s="873"/>
      <c r="AF918" s="873"/>
      <c r="AG918" s="873"/>
      <c r="AH918" s="873"/>
      <c r="AI918" s="873"/>
      <c r="AJ918" s="873"/>
      <c r="AK918" s="873"/>
      <c r="AL918" s="873"/>
      <c r="AM918" s="873"/>
      <c r="AN918" s="873"/>
      <c r="AO918" s="873"/>
      <c r="AP918" s="873"/>
      <c r="AQ918" s="873"/>
      <c r="AR918" s="873"/>
      <c r="AS918" s="873"/>
      <c r="AT918" s="873"/>
      <c r="AU918" s="873"/>
      <c r="AV918" s="873"/>
    </row>
    <row r="919" spans="1:48" ht="11.25" customHeight="1" x14ac:dyDescent="0.2">
      <c r="A919" s="873"/>
      <c r="B919" s="873"/>
      <c r="C919" s="873"/>
      <c r="D919" s="873"/>
      <c r="E919" s="873"/>
      <c r="F919" s="873"/>
      <c r="G919" s="873"/>
      <c r="H919" s="873"/>
      <c r="I919" s="873"/>
      <c r="J919" s="873"/>
      <c r="K919" s="873"/>
      <c r="L919" s="873"/>
      <c r="M919" s="873"/>
      <c r="N919" s="873"/>
      <c r="O919" s="873"/>
      <c r="P919" s="873"/>
      <c r="Q919" s="873"/>
      <c r="R919" s="873"/>
      <c r="S919" s="873"/>
      <c r="T919" s="873"/>
      <c r="U919" s="873"/>
      <c r="V919" s="873"/>
      <c r="W919" s="873"/>
      <c r="X919" s="873"/>
      <c r="Y919" s="873"/>
      <c r="Z919" s="873"/>
      <c r="AA919" s="873"/>
      <c r="AB919" s="873"/>
      <c r="AC919" s="873"/>
      <c r="AD919" s="873"/>
      <c r="AE919" s="873"/>
      <c r="AF919" s="873"/>
      <c r="AG919" s="873"/>
      <c r="AH919" s="873"/>
      <c r="AI919" s="873"/>
      <c r="AJ919" s="873"/>
      <c r="AK919" s="873"/>
      <c r="AL919" s="873"/>
      <c r="AM919" s="873"/>
      <c r="AN919" s="873"/>
      <c r="AO919" s="873"/>
      <c r="AP919" s="873"/>
      <c r="AQ919" s="873"/>
      <c r="AR919" s="873"/>
      <c r="AS919" s="873"/>
      <c r="AT919" s="873"/>
      <c r="AU919" s="873"/>
      <c r="AV919" s="873"/>
    </row>
    <row r="920" spans="1:48" ht="11.25" customHeight="1" x14ac:dyDescent="0.2">
      <c r="A920" s="873"/>
      <c r="B920" s="873"/>
      <c r="C920" s="873"/>
      <c r="D920" s="873"/>
      <c r="E920" s="873"/>
      <c r="F920" s="873"/>
      <c r="G920" s="873"/>
      <c r="H920" s="873"/>
      <c r="I920" s="873"/>
      <c r="J920" s="873"/>
      <c r="K920" s="873"/>
      <c r="L920" s="873"/>
      <c r="M920" s="873"/>
      <c r="N920" s="873"/>
      <c r="O920" s="873"/>
      <c r="P920" s="873"/>
      <c r="Q920" s="873"/>
      <c r="R920" s="873"/>
      <c r="S920" s="873"/>
      <c r="T920" s="873"/>
      <c r="U920" s="873"/>
      <c r="V920" s="873"/>
      <c r="W920" s="873"/>
      <c r="X920" s="873"/>
      <c r="Y920" s="873"/>
      <c r="Z920" s="873"/>
      <c r="AA920" s="873"/>
      <c r="AB920" s="873"/>
      <c r="AC920" s="873"/>
      <c r="AD920" s="873"/>
      <c r="AE920" s="873"/>
      <c r="AF920" s="873"/>
      <c r="AG920" s="873"/>
      <c r="AH920" s="873"/>
      <c r="AI920" s="873"/>
      <c r="AJ920" s="873"/>
      <c r="AK920" s="873"/>
      <c r="AL920" s="873"/>
      <c r="AM920" s="873"/>
      <c r="AN920" s="873"/>
      <c r="AO920" s="873"/>
      <c r="AP920" s="873"/>
      <c r="AQ920" s="873"/>
      <c r="AR920" s="873"/>
      <c r="AS920" s="873"/>
      <c r="AT920" s="873"/>
      <c r="AU920" s="873"/>
      <c r="AV920" s="873"/>
    </row>
    <row r="921" spans="1:48" ht="11.25" customHeight="1" x14ac:dyDescent="0.2">
      <c r="A921" s="873"/>
      <c r="B921" s="873"/>
      <c r="C921" s="873"/>
      <c r="D921" s="873"/>
      <c r="E921" s="873"/>
      <c r="F921" s="873"/>
      <c r="G921" s="873"/>
      <c r="H921" s="873"/>
      <c r="I921" s="873"/>
      <c r="J921" s="873"/>
      <c r="K921" s="873"/>
      <c r="L921" s="873"/>
      <c r="M921" s="873"/>
      <c r="N921" s="873"/>
      <c r="O921" s="873"/>
      <c r="P921" s="873"/>
      <c r="Q921" s="873"/>
      <c r="R921" s="873"/>
      <c r="S921" s="873"/>
      <c r="T921" s="873"/>
      <c r="U921" s="873"/>
      <c r="V921" s="873"/>
      <c r="W921" s="873"/>
      <c r="X921" s="873"/>
      <c r="Y921" s="873"/>
      <c r="Z921" s="873"/>
      <c r="AA921" s="873"/>
      <c r="AB921" s="873"/>
      <c r="AC921" s="873"/>
      <c r="AD921" s="873"/>
      <c r="AE921" s="873"/>
      <c r="AF921" s="873"/>
      <c r="AG921" s="873"/>
      <c r="AH921" s="873"/>
      <c r="AI921" s="873"/>
      <c r="AJ921" s="873"/>
      <c r="AK921" s="873"/>
      <c r="AL921" s="873"/>
      <c r="AM921" s="873"/>
      <c r="AN921" s="873"/>
      <c r="AO921" s="873"/>
      <c r="AP921" s="873"/>
      <c r="AQ921" s="873"/>
      <c r="AR921" s="873"/>
      <c r="AS921" s="873"/>
      <c r="AT921" s="873"/>
      <c r="AU921" s="873"/>
      <c r="AV921" s="873"/>
    </row>
    <row r="922" spans="1:48" ht="11.25" customHeight="1" x14ac:dyDescent="0.2">
      <c r="A922" s="873"/>
      <c r="B922" s="873"/>
      <c r="C922" s="873"/>
      <c r="D922" s="873"/>
      <c r="E922" s="873"/>
      <c r="F922" s="873"/>
      <c r="G922" s="873"/>
      <c r="H922" s="873"/>
      <c r="I922" s="873"/>
      <c r="J922" s="873"/>
      <c r="K922" s="873"/>
      <c r="L922" s="873"/>
      <c r="M922" s="873"/>
      <c r="N922" s="873"/>
      <c r="O922" s="873"/>
      <c r="P922" s="873"/>
      <c r="Q922" s="873"/>
      <c r="R922" s="873"/>
      <c r="S922" s="873"/>
      <c r="T922" s="873"/>
      <c r="U922" s="873"/>
      <c r="V922" s="873"/>
      <c r="W922" s="873"/>
      <c r="X922" s="873"/>
      <c r="Y922" s="873"/>
      <c r="Z922" s="873"/>
      <c r="AA922" s="873"/>
      <c r="AB922" s="873"/>
      <c r="AC922" s="873"/>
      <c r="AD922" s="873"/>
      <c r="AE922" s="873"/>
      <c r="AF922" s="873"/>
      <c r="AG922" s="873"/>
      <c r="AH922" s="873"/>
      <c r="AI922" s="873"/>
      <c r="AJ922" s="873"/>
      <c r="AK922" s="873"/>
      <c r="AL922" s="873"/>
      <c r="AM922" s="873"/>
      <c r="AN922" s="873"/>
      <c r="AO922" s="873"/>
      <c r="AP922" s="873"/>
      <c r="AQ922" s="873"/>
      <c r="AR922" s="873"/>
      <c r="AS922" s="873"/>
      <c r="AT922" s="873"/>
      <c r="AU922" s="873"/>
      <c r="AV922" s="873"/>
    </row>
    <row r="923" spans="1:48" ht="11.25" customHeight="1" x14ac:dyDescent="0.2">
      <c r="A923" s="873"/>
      <c r="B923" s="873"/>
      <c r="C923" s="873"/>
      <c r="D923" s="873"/>
      <c r="E923" s="873"/>
      <c r="F923" s="873"/>
      <c r="G923" s="873"/>
      <c r="H923" s="873"/>
      <c r="I923" s="873"/>
      <c r="J923" s="873"/>
      <c r="K923" s="873"/>
      <c r="L923" s="873"/>
      <c r="M923" s="873"/>
      <c r="N923" s="873"/>
      <c r="O923" s="873"/>
      <c r="P923" s="873"/>
      <c r="Q923" s="873"/>
      <c r="R923" s="873"/>
      <c r="S923" s="873"/>
      <c r="T923" s="873"/>
      <c r="U923" s="873"/>
      <c r="V923" s="873"/>
      <c r="W923" s="873"/>
      <c r="X923" s="873"/>
      <c r="Y923" s="873"/>
      <c r="Z923" s="873"/>
      <c r="AA923" s="873"/>
      <c r="AB923" s="873"/>
      <c r="AC923" s="873"/>
      <c r="AD923" s="873"/>
      <c r="AE923" s="873"/>
      <c r="AF923" s="873"/>
      <c r="AG923" s="873"/>
      <c r="AH923" s="873"/>
      <c r="AI923" s="873"/>
      <c r="AJ923" s="873"/>
      <c r="AK923" s="873"/>
      <c r="AL923" s="873"/>
      <c r="AM923" s="873"/>
      <c r="AN923" s="873"/>
      <c r="AO923" s="873"/>
      <c r="AP923" s="873"/>
      <c r="AQ923" s="873"/>
      <c r="AR923" s="873"/>
      <c r="AS923" s="873"/>
      <c r="AT923" s="873"/>
      <c r="AU923" s="873"/>
      <c r="AV923" s="873"/>
    </row>
    <row r="924" spans="1:48" ht="11.25" customHeight="1" x14ac:dyDescent="0.2">
      <c r="A924" s="873"/>
      <c r="B924" s="873"/>
      <c r="C924" s="873"/>
      <c r="D924" s="873"/>
      <c r="E924" s="873"/>
      <c r="F924" s="873"/>
      <c r="G924" s="873"/>
      <c r="H924" s="873"/>
      <c r="I924" s="873"/>
      <c r="J924" s="873"/>
      <c r="K924" s="873"/>
      <c r="L924" s="873"/>
      <c r="M924" s="873"/>
      <c r="N924" s="873"/>
      <c r="O924" s="873"/>
      <c r="P924" s="873"/>
      <c r="Q924" s="873"/>
      <c r="R924" s="873"/>
      <c r="S924" s="873"/>
      <c r="T924" s="873"/>
      <c r="U924" s="873"/>
      <c r="V924" s="873"/>
      <c r="W924" s="873"/>
      <c r="X924" s="873"/>
      <c r="Y924" s="873"/>
      <c r="Z924" s="873"/>
      <c r="AA924" s="873"/>
      <c r="AB924" s="873"/>
      <c r="AC924" s="873"/>
      <c r="AD924" s="873"/>
      <c r="AE924" s="873"/>
      <c r="AF924" s="873"/>
      <c r="AG924" s="873"/>
      <c r="AH924" s="873"/>
      <c r="AI924" s="873"/>
      <c r="AJ924" s="873"/>
      <c r="AK924" s="873"/>
      <c r="AL924" s="873"/>
      <c r="AM924" s="873"/>
      <c r="AN924" s="873"/>
      <c r="AO924" s="873"/>
      <c r="AP924" s="873"/>
      <c r="AQ924" s="873"/>
      <c r="AR924" s="873"/>
      <c r="AS924" s="873"/>
      <c r="AT924" s="873"/>
      <c r="AU924" s="873"/>
      <c r="AV924" s="873"/>
    </row>
    <row r="925" spans="1:48" ht="11.25" customHeight="1" x14ac:dyDescent="0.2">
      <c r="A925" s="873"/>
      <c r="B925" s="873"/>
      <c r="C925" s="873"/>
      <c r="D925" s="873"/>
      <c r="E925" s="873"/>
      <c r="F925" s="873"/>
      <c r="G925" s="873"/>
      <c r="H925" s="873"/>
      <c r="I925" s="873"/>
      <c r="J925" s="873"/>
      <c r="K925" s="873"/>
      <c r="L925" s="873"/>
      <c r="M925" s="873"/>
      <c r="N925" s="873"/>
      <c r="O925" s="873"/>
      <c r="P925" s="873"/>
      <c r="Q925" s="873"/>
      <c r="R925" s="873"/>
      <c r="S925" s="873"/>
      <c r="T925" s="873"/>
      <c r="U925" s="873"/>
      <c r="V925" s="873"/>
      <c r="W925" s="873"/>
      <c r="X925" s="873"/>
      <c r="Y925" s="873"/>
      <c r="Z925" s="873"/>
      <c r="AA925" s="873"/>
      <c r="AB925" s="873"/>
      <c r="AC925" s="873"/>
      <c r="AD925" s="873"/>
      <c r="AE925" s="873"/>
      <c r="AF925" s="873"/>
      <c r="AG925" s="873"/>
      <c r="AH925" s="873"/>
      <c r="AI925" s="873"/>
      <c r="AJ925" s="873"/>
      <c r="AK925" s="873"/>
      <c r="AL925" s="873"/>
      <c r="AM925" s="873"/>
      <c r="AN925" s="873"/>
      <c r="AO925" s="873"/>
      <c r="AP925" s="873"/>
      <c r="AQ925" s="873"/>
      <c r="AR925" s="873"/>
      <c r="AS925" s="873"/>
      <c r="AT925" s="873"/>
      <c r="AU925" s="873"/>
      <c r="AV925" s="873"/>
    </row>
    <row r="926" spans="1:48" ht="11.25" customHeight="1" x14ac:dyDescent="0.2">
      <c r="A926" s="873"/>
      <c r="B926" s="873"/>
      <c r="C926" s="873"/>
      <c r="D926" s="873"/>
      <c r="E926" s="873"/>
      <c r="F926" s="873"/>
      <c r="G926" s="873"/>
      <c r="H926" s="873"/>
      <c r="I926" s="873"/>
      <c r="J926" s="873"/>
      <c r="K926" s="873"/>
      <c r="L926" s="873"/>
      <c r="M926" s="873"/>
      <c r="N926" s="873"/>
      <c r="O926" s="873"/>
      <c r="P926" s="873"/>
      <c r="Q926" s="873"/>
      <c r="R926" s="873"/>
      <c r="S926" s="873"/>
      <c r="T926" s="873"/>
      <c r="U926" s="873"/>
      <c r="V926" s="873"/>
      <c r="W926" s="873"/>
      <c r="X926" s="873"/>
      <c r="Y926" s="873"/>
      <c r="Z926" s="873"/>
      <c r="AA926" s="873"/>
      <c r="AB926" s="873"/>
      <c r="AC926" s="873"/>
      <c r="AD926" s="873"/>
      <c r="AE926" s="873"/>
      <c r="AF926" s="873"/>
      <c r="AG926" s="873"/>
      <c r="AH926" s="873"/>
      <c r="AI926" s="873"/>
      <c r="AJ926" s="873"/>
      <c r="AK926" s="873"/>
      <c r="AL926" s="873"/>
      <c r="AM926" s="873"/>
      <c r="AN926" s="873"/>
      <c r="AO926" s="873"/>
      <c r="AP926" s="873"/>
      <c r="AQ926" s="873"/>
      <c r="AR926" s="873"/>
      <c r="AS926" s="873"/>
      <c r="AT926" s="873"/>
      <c r="AU926" s="873"/>
      <c r="AV926" s="873"/>
    </row>
    <row r="927" spans="1:48" ht="11.25" customHeight="1" x14ac:dyDescent="0.2">
      <c r="A927" s="873"/>
      <c r="B927" s="873"/>
      <c r="C927" s="873"/>
      <c r="D927" s="873"/>
      <c r="E927" s="873"/>
      <c r="F927" s="873"/>
      <c r="G927" s="873"/>
      <c r="H927" s="873"/>
      <c r="I927" s="873"/>
      <c r="J927" s="873"/>
      <c r="K927" s="873"/>
      <c r="L927" s="873"/>
      <c r="M927" s="873"/>
      <c r="N927" s="873"/>
      <c r="O927" s="873"/>
      <c r="P927" s="873"/>
      <c r="Q927" s="873"/>
      <c r="R927" s="873"/>
      <c r="S927" s="873"/>
      <c r="T927" s="873"/>
      <c r="U927" s="873"/>
      <c r="V927" s="873"/>
      <c r="W927" s="873"/>
      <c r="X927" s="873"/>
      <c r="Y927" s="873"/>
      <c r="Z927" s="873"/>
      <c r="AA927" s="873"/>
      <c r="AB927" s="873"/>
      <c r="AC927" s="873"/>
      <c r="AD927" s="873"/>
      <c r="AE927" s="873"/>
      <c r="AF927" s="873"/>
      <c r="AG927" s="873"/>
      <c r="AH927" s="873"/>
      <c r="AI927" s="873"/>
      <c r="AJ927" s="873"/>
      <c r="AK927" s="873"/>
      <c r="AL927" s="873"/>
      <c r="AM927" s="873"/>
      <c r="AN927" s="873"/>
      <c r="AO927" s="873"/>
      <c r="AP927" s="873"/>
      <c r="AQ927" s="873"/>
      <c r="AR927" s="873"/>
      <c r="AS927" s="873"/>
      <c r="AT927" s="873"/>
      <c r="AU927" s="873"/>
      <c r="AV927" s="873"/>
    </row>
    <row r="928" spans="1:48" ht="11.25" customHeight="1" x14ac:dyDescent="0.2">
      <c r="A928" s="873"/>
      <c r="B928" s="873"/>
      <c r="C928" s="873"/>
      <c r="D928" s="873"/>
      <c r="E928" s="873"/>
      <c r="F928" s="873"/>
      <c r="G928" s="873"/>
      <c r="H928" s="873"/>
      <c r="I928" s="873"/>
      <c r="J928" s="873"/>
      <c r="K928" s="873"/>
      <c r="L928" s="873"/>
      <c r="M928" s="873"/>
      <c r="N928" s="873"/>
      <c r="O928" s="873"/>
      <c r="P928" s="873"/>
      <c r="Q928" s="873"/>
      <c r="R928" s="873"/>
      <c r="S928" s="873"/>
      <c r="T928" s="873"/>
      <c r="U928" s="873"/>
      <c r="V928" s="873"/>
      <c r="W928" s="873"/>
      <c r="X928" s="873"/>
      <c r="Y928" s="873"/>
      <c r="Z928" s="873"/>
      <c r="AA928" s="873"/>
      <c r="AB928" s="873"/>
      <c r="AC928" s="873"/>
      <c r="AD928" s="873"/>
      <c r="AE928" s="873"/>
      <c r="AF928" s="873"/>
      <c r="AG928" s="873"/>
      <c r="AH928" s="873"/>
      <c r="AI928" s="873"/>
      <c r="AJ928" s="873"/>
      <c r="AK928" s="873"/>
      <c r="AL928" s="873"/>
      <c r="AM928" s="873"/>
      <c r="AN928" s="873"/>
      <c r="AO928" s="873"/>
      <c r="AP928" s="873"/>
      <c r="AQ928" s="873"/>
      <c r="AR928" s="873"/>
      <c r="AS928" s="873"/>
      <c r="AT928" s="873"/>
      <c r="AU928" s="873"/>
      <c r="AV928" s="873"/>
    </row>
    <row r="929" spans="1:48" ht="11.25" customHeight="1" x14ac:dyDescent="0.2">
      <c r="A929" s="873"/>
      <c r="B929" s="873"/>
      <c r="C929" s="873"/>
      <c r="D929" s="873"/>
      <c r="E929" s="873"/>
      <c r="F929" s="873"/>
      <c r="G929" s="873"/>
      <c r="H929" s="873"/>
      <c r="I929" s="873"/>
      <c r="J929" s="873"/>
      <c r="K929" s="873"/>
      <c r="L929" s="873"/>
      <c r="M929" s="873"/>
      <c r="N929" s="873"/>
      <c r="O929" s="873"/>
      <c r="P929" s="873"/>
      <c r="Q929" s="873"/>
      <c r="R929" s="873"/>
      <c r="S929" s="873"/>
      <c r="T929" s="873"/>
      <c r="U929" s="873"/>
      <c r="V929" s="873"/>
      <c r="W929" s="873"/>
      <c r="X929" s="873"/>
      <c r="Y929" s="873"/>
      <c r="Z929" s="873"/>
      <c r="AA929" s="873"/>
      <c r="AB929" s="873"/>
      <c r="AC929" s="873"/>
      <c r="AD929" s="873"/>
      <c r="AE929" s="873"/>
      <c r="AF929" s="873"/>
      <c r="AG929" s="873"/>
      <c r="AH929" s="873"/>
      <c r="AI929" s="873"/>
      <c r="AJ929" s="873"/>
      <c r="AK929" s="873"/>
      <c r="AL929" s="873"/>
      <c r="AM929" s="873"/>
      <c r="AN929" s="873"/>
      <c r="AO929" s="873"/>
      <c r="AP929" s="873"/>
      <c r="AQ929" s="873"/>
      <c r="AR929" s="873"/>
      <c r="AS929" s="873"/>
      <c r="AT929" s="873"/>
      <c r="AU929" s="873"/>
      <c r="AV929" s="873"/>
    </row>
    <row r="930" spans="1:48" ht="11.25" customHeight="1" x14ac:dyDescent="0.2">
      <c r="A930" s="873"/>
      <c r="B930" s="873"/>
      <c r="C930" s="873"/>
      <c r="D930" s="873"/>
      <c r="E930" s="873"/>
      <c r="F930" s="873"/>
      <c r="G930" s="873"/>
      <c r="H930" s="873"/>
      <c r="I930" s="873"/>
      <c r="J930" s="873"/>
      <c r="K930" s="873"/>
      <c r="L930" s="873"/>
      <c r="M930" s="873"/>
      <c r="N930" s="873"/>
      <c r="O930" s="873"/>
      <c r="P930" s="873"/>
      <c r="Q930" s="873"/>
      <c r="R930" s="873"/>
      <c r="S930" s="873"/>
      <c r="T930" s="873"/>
      <c r="U930" s="873"/>
      <c r="V930" s="873"/>
      <c r="W930" s="873"/>
      <c r="X930" s="873"/>
      <c r="Y930" s="873"/>
      <c r="Z930" s="873"/>
      <c r="AA930" s="873"/>
      <c r="AB930" s="873"/>
      <c r="AC930" s="873"/>
      <c r="AD930" s="873"/>
      <c r="AE930" s="873"/>
      <c r="AF930" s="873"/>
      <c r="AG930" s="873"/>
      <c r="AH930" s="873"/>
      <c r="AI930" s="873"/>
      <c r="AJ930" s="873"/>
      <c r="AK930" s="873"/>
      <c r="AL930" s="873"/>
      <c r="AM930" s="873"/>
      <c r="AN930" s="873"/>
      <c r="AO930" s="873"/>
      <c r="AP930" s="873"/>
      <c r="AQ930" s="873"/>
      <c r="AR930" s="873"/>
      <c r="AS930" s="873"/>
      <c r="AT930" s="873"/>
      <c r="AU930" s="873"/>
      <c r="AV930" s="873"/>
    </row>
    <row r="931" spans="1:48" ht="11.25" customHeight="1" x14ac:dyDescent="0.2">
      <c r="A931" s="873"/>
      <c r="B931" s="873"/>
      <c r="C931" s="873"/>
      <c r="D931" s="873"/>
      <c r="E931" s="873"/>
      <c r="F931" s="873"/>
      <c r="G931" s="873"/>
      <c r="H931" s="873"/>
      <c r="I931" s="873"/>
      <c r="J931" s="873"/>
      <c r="K931" s="873"/>
      <c r="L931" s="873"/>
      <c r="M931" s="873"/>
      <c r="N931" s="873"/>
      <c r="O931" s="873"/>
      <c r="P931" s="873"/>
      <c r="Q931" s="873"/>
      <c r="R931" s="873"/>
      <c r="S931" s="873"/>
      <c r="T931" s="873"/>
      <c r="U931" s="873"/>
      <c r="V931" s="873"/>
      <c r="W931" s="873"/>
      <c r="X931" s="873"/>
      <c r="Y931" s="873"/>
      <c r="Z931" s="873"/>
      <c r="AA931" s="873"/>
      <c r="AB931" s="873"/>
      <c r="AC931" s="873"/>
      <c r="AD931" s="873"/>
      <c r="AE931" s="873"/>
      <c r="AF931" s="873"/>
      <c r="AG931" s="873"/>
      <c r="AH931" s="873"/>
      <c r="AI931" s="873"/>
      <c r="AJ931" s="873"/>
      <c r="AK931" s="873"/>
      <c r="AL931" s="873"/>
      <c r="AM931" s="873"/>
      <c r="AN931" s="873"/>
      <c r="AO931" s="873"/>
      <c r="AP931" s="873"/>
      <c r="AQ931" s="873"/>
      <c r="AR931" s="873"/>
      <c r="AS931" s="873"/>
      <c r="AT931" s="873"/>
      <c r="AU931" s="873"/>
      <c r="AV931" s="873"/>
    </row>
    <row r="932" spans="1:48" ht="11.25" customHeight="1" x14ac:dyDescent="0.2">
      <c r="A932" s="873"/>
      <c r="B932" s="873"/>
      <c r="C932" s="873"/>
      <c r="D932" s="873"/>
      <c r="E932" s="873"/>
      <c r="F932" s="873"/>
      <c r="G932" s="873"/>
      <c r="H932" s="873"/>
      <c r="I932" s="873"/>
      <c r="J932" s="873"/>
      <c r="K932" s="873"/>
      <c r="L932" s="873"/>
      <c r="M932" s="873"/>
      <c r="N932" s="873"/>
      <c r="O932" s="873"/>
      <c r="P932" s="873"/>
      <c r="Q932" s="873"/>
      <c r="R932" s="873"/>
      <c r="S932" s="873"/>
      <c r="T932" s="873"/>
      <c r="U932" s="873"/>
      <c r="V932" s="873"/>
      <c r="W932" s="873"/>
      <c r="X932" s="873"/>
      <c r="Y932" s="873"/>
      <c r="Z932" s="873"/>
      <c r="AA932" s="873"/>
      <c r="AB932" s="873"/>
      <c r="AC932" s="873"/>
      <c r="AD932" s="873"/>
      <c r="AE932" s="873"/>
      <c r="AF932" s="873"/>
      <c r="AG932" s="873"/>
      <c r="AH932" s="873"/>
      <c r="AI932" s="873"/>
      <c r="AJ932" s="873"/>
      <c r="AK932" s="873"/>
      <c r="AL932" s="873"/>
      <c r="AM932" s="873"/>
      <c r="AN932" s="873"/>
      <c r="AO932" s="873"/>
      <c r="AP932" s="873"/>
      <c r="AQ932" s="873"/>
      <c r="AR932" s="873"/>
      <c r="AS932" s="873"/>
      <c r="AT932" s="873"/>
      <c r="AU932" s="873"/>
      <c r="AV932" s="873"/>
    </row>
    <row r="933" spans="1:48" ht="11.25" customHeight="1" x14ac:dyDescent="0.2">
      <c r="A933" s="873"/>
      <c r="B933" s="873"/>
      <c r="C933" s="873"/>
      <c r="D933" s="873"/>
      <c r="E933" s="873"/>
      <c r="F933" s="873"/>
      <c r="G933" s="873"/>
      <c r="H933" s="873"/>
      <c r="I933" s="873"/>
      <c r="J933" s="873"/>
      <c r="K933" s="873"/>
      <c r="L933" s="873"/>
      <c r="M933" s="873"/>
      <c r="N933" s="873"/>
      <c r="O933" s="873"/>
      <c r="P933" s="873"/>
      <c r="Q933" s="873"/>
      <c r="R933" s="873"/>
      <c r="S933" s="873"/>
      <c r="T933" s="873"/>
      <c r="U933" s="873"/>
      <c r="V933" s="873"/>
      <c r="W933" s="873"/>
      <c r="X933" s="873"/>
      <c r="Y933" s="873"/>
      <c r="Z933" s="873"/>
      <c r="AA933" s="873"/>
      <c r="AB933" s="873"/>
      <c r="AC933" s="873"/>
      <c r="AD933" s="873"/>
      <c r="AE933" s="873"/>
      <c r="AF933" s="873"/>
      <c r="AG933" s="873"/>
      <c r="AH933" s="873"/>
      <c r="AI933" s="873"/>
      <c r="AJ933" s="873"/>
      <c r="AK933" s="873"/>
      <c r="AL933" s="873"/>
      <c r="AM933" s="873"/>
      <c r="AN933" s="873"/>
      <c r="AO933" s="873"/>
      <c r="AP933" s="873"/>
      <c r="AQ933" s="873"/>
      <c r="AR933" s="873"/>
      <c r="AS933" s="873"/>
      <c r="AT933" s="873"/>
      <c r="AU933" s="873"/>
      <c r="AV933" s="873"/>
    </row>
    <row r="934" spans="1:48" ht="11.25" customHeight="1" x14ac:dyDescent="0.2">
      <c r="A934" s="873"/>
      <c r="B934" s="873"/>
      <c r="C934" s="873"/>
      <c r="D934" s="873"/>
      <c r="E934" s="873"/>
      <c r="F934" s="873"/>
      <c r="G934" s="873"/>
      <c r="H934" s="873"/>
      <c r="I934" s="873"/>
      <c r="J934" s="873"/>
      <c r="K934" s="873"/>
      <c r="L934" s="873"/>
      <c r="M934" s="873"/>
      <c r="N934" s="873"/>
      <c r="O934" s="873"/>
      <c r="P934" s="873"/>
      <c r="Q934" s="873"/>
      <c r="R934" s="873"/>
      <c r="S934" s="873"/>
      <c r="T934" s="873"/>
      <c r="U934" s="873"/>
      <c r="V934" s="873"/>
      <c r="W934" s="873"/>
      <c r="X934" s="873"/>
      <c r="Y934" s="873"/>
      <c r="Z934" s="873"/>
      <c r="AA934" s="873"/>
      <c r="AB934" s="873"/>
      <c r="AC934" s="873"/>
      <c r="AD934" s="873"/>
      <c r="AE934" s="873"/>
      <c r="AF934" s="873"/>
      <c r="AG934" s="873"/>
      <c r="AH934" s="873"/>
      <c r="AI934" s="873"/>
      <c r="AJ934" s="873"/>
      <c r="AK934" s="873"/>
      <c r="AL934" s="873"/>
      <c r="AM934" s="873"/>
      <c r="AN934" s="873"/>
      <c r="AO934" s="873"/>
      <c r="AP934" s="873"/>
      <c r="AQ934" s="873"/>
      <c r="AR934" s="873"/>
      <c r="AS934" s="873"/>
      <c r="AT934" s="873"/>
      <c r="AU934" s="873"/>
      <c r="AV934" s="873"/>
    </row>
    <row r="935" spans="1:48" ht="11.25" customHeight="1" x14ac:dyDescent="0.2">
      <c r="A935" s="873"/>
      <c r="B935" s="873"/>
      <c r="C935" s="873"/>
      <c r="D935" s="873"/>
      <c r="E935" s="873"/>
      <c r="F935" s="873"/>
      <c r="G935" s="873"/>
      <c r="H935" s="873"/>
      <c r="I935" s="873"/>
      <c r="J935" s="873"/>
      <c r="K935" s="873"/>
      <c r="L935" s="873"/>
      <c r="M935" s="873"/>
      <c r="N935" s="873"/>
      <c r="O935" s="873"/>
      <c r="P935" s="873"/>
      <c r="Q935" s="873"/>
      <c r="R935" s="873"/>
      <c r="S935" s="873"/>
      <c r="T935" s="873"/>
      <c r="U935" s="873"/>
      <c r="V935" s="873"/>
      <c r="W935" s="873"/>
      <c r="X935" s="873"/>
      <c r="Y935" s="873"/>
      <c r="Z935" s="873"/>
      <c r="AA935" s="873"/>
      <c r="AB935" s="873"/>
      <c r="AC935" s="873"/>
      <c r="AD935" s="873"/>
      <c r="AE935" s="873"/>
      <c r="AF935" s="873"/>
      <c r="AG935" s="873"/>
      <c r="AH935" s="873"/>
      <c r="AI935" s="873"/>
      <c r="AJ935" s="873"/>
      <c r="AK935" s="873"/>
      <c r="AL935" s="873"/>
      <c r="AM935" s="873"/>
      <c r="AN935" s="873"/>
      <c r="AO935" s="873"/>
      <c r="AP935" s="873"/>
      <c r="AQ935" s="873"/>
      <c r="AR935" s="873"/>
      <c r="AS935" s="873"/>
      <c r="AT935" s="873"/>
      <c r="AU935" s="873"/>
      <c r="AV935" s="873"/>
    </row>
    <row r="936" spans="1:48" ht="11.25" customHeight="1" x14ac:dyDescent="0.2">
      <c r="A936" s="873"/>
      <c r="B936" s="873"/>
      <c r="C936" s="873"/>
      <c r="D936" s="873"/>
      <c r="E936" s="873"/>
      <c r="F936" s="873"/>
      <c r="G936" s="873"/>
      <c r="H936" s="873"/>
      <c r="I936" s="873"/>
      <c r="J936" s="873"/>
      <c r="K936" s="873"/>
      <c r="L936" s="873"/>
      <c r="M936" s="873"/>
      <c r="N936" s="873"/>
      <c r="O936" s="873"/>
      <c r="P936" s="873"/>
      <c r="Q936" s="873"/>
      <c r="R936" s="873"/>
      <c r="S936" s="873"/>
      <c r="T936" s="873"/>
      <c r="U936" s="873"/>
      <c r="V936" s="873"/>
      <c r="W936" s="873"/>
      <c r="X936" s="873"/>
      <c r="Y936" s="873"/>
      <c r="Z936" s="873"/>
      <c r="AA936" s="873"/>
      <c r="AB936" s="873"/>
      <c r="AC936" s="873"/>
      <c r="AD936" s="873"/>
      <c r="AE936" s="873"/>
      <c r="AF936" s="873"/>
      <c r="AG936" s="873"/>
      <c r="AH936" s="873"/>
      <c r="AI936" s="873"/>
      <c r="AJ936" s="873"/>
      <c r="AK936" s="873"/>
      <c r="AL936" s="873"/>
      <c r="AM936" s="873"/>
      <c r="AN936" s="873"/>
      <c r="AO936" s="873"/>
      <c r="AP936" s="873"/>
      <c r="AQ936" s="873"/>
      <c r="AR936" s="873"/>
      <c r="AS936" s="873"/>
      <c r="AT936" s="873"/>
      <c r="AU936" s="873"/>
      <c r="AV936" s="873"/>
    </row>
    <row r="937" spans="1:48" ht="11.25" customHeight="1" x14ac:dyDescent="0.2">
      <c r="A937" s="873"/>
      <c r="B937" s="873"/>
      <c r="C937" s="873"/>
      <c r="D937" s="873"/>
      <c r="E937" s="873"/>
      <c r="F937" s="873"/>
      <c r="G937" s="873"/>
      <c r="H937" s="873"/>
      <c r="I937" s="873"/>
      <c r="J937" s="873"/>
      <c r="K937" s="873"/>
      <c r="L937" s="873"/>
      <c r="M937" s="873"/>
      <c r="N937" s="873"/>
      <c r="O937" s="873"/>
      <c r="P937" s="873"/>
      <c r="Q937" s="873"/>
      <c r="R937" s="873"/>
      <c r="S937" s="873"/>
      <c r="T937" s="873"/>
      <c r="U937" s="873"/>
      <c r="V937" s="873"/>
      <c r="W937" s="873"/>
      <c r="X937" s="873"/>
      <c r="Y937" s="873"/>
      <c r="Z937" s="873"/>
      <c r="AA937" s="873"/>
      <c r="AB937" s="873"/>
      <c r="AC937" s="873"/>
      <c r="AD937" s="873"/>
      <c r="AE937" s="873"/>
      <c r="AF937" s="873"/>
      <c r="AG937" s="873"/>
      <c r="AH937" s="873"/>
      <c r="AI937" s="873"/>
      <c r="AJ937" s="873"/>
      <c r="AK937" s="873"/>
      <c r="AL937" s="873"/>
      <c r="AM937" s="873"/>
      <c r="AN937" s="873"/>
      <c r="AO937" s="873"/>
      <c r="AP937" s="873"/>
      <c r="AQ937" s="873"/>
      <c r="AR937" s="873"/>
      <c r="AS937" s="873"/>
      <c r="AT937" s="873"/>
      <c r="AU937" s="873"/>
      <c r="AV937" s="873"/>
    </row>
    <row r="938" spans="1:48" ht="11.25" customHeight="1" x14ac:dyDescent="0.2">
      <c r="A938" s="873"/>
      <c r="B938" s="873"/>
      <c r="C938" s="873"/>
      <c r="D938" s="873"/>
      <c r="E938" s="873"/>
      <c r="F938" s="873"/>
      <c r="G938" s="873"/>
      <c r="H938" s="873"/>
      <c r="I938" s="873"/>
      <c r="J938" s="873"/>
      <c r="K938" s="873"/>
      <c r="L938" s="873"/>
      <c r="M938" s="873"/>
      <c r="N938" s="873"/>
      <c r="O938" s="873"/>
      <c r="P938" s="873"/>
      <c r="Q938" s="873"/>
      <c r="R938" s="873"/>
      <c r="S938" s="873"/>
      <c r="T938" s="873"/>
      <c r="U938" s="873"/>
      <c r="V938" s="873"/>
      <c r="W938" s="873"/>
      <c r="X938" s="873"/>
      <c r="Y938" s="873"/>
      <c r="Z938" s="873"/>
      <c r="AA938" s="873"/>
      <c r="AB938" s="873"/>
      <c r="AC938" s="873"/>
      <c r="AD938" s="873"/>
      <c r="AE938" s="873"/>
      <c r="AF938" s="873"/>
      <c r="AG938" s="873"/>
      <c r="AH938" s="873"/>
      <c r="AI938" s="873"/>
      <c r="AJ938" s="873"/>
      <c r="AK938" s="873"/>
      <c r="AL938" s="873"/>
      <c r="AM938" s="873"/>
      <c r="AN938" s="873"/>
      <c r="AO938" s="873"/>
      <c r="AP938" s="873"/>
      <c r="AQ938" s="873"/>
      <c r="AR938" s="873"/>
      <c r="AS938" s="873"/>
      <c r="AT938" s="873"/>
      <c r="AU938" s="873"/>
      <c r="AV938" s="873"/>
    </row>
    <row r="939" spans="1:48" ht="11.25" customHeight="1" x14ac:dyDescent="0.2">
      <c r="A939" s="873"/>
      <c r="B939" s="873"/>
      <c r="C939" s="873"/>
      <c r="D939" s="873"/>
      <c r="E939" s="873"/>
      <c r="F939" s="873"/>
      <c r="G939" s="873"/>
      <c r="H939" s="873"/>
      <c r="I939" s="873"/>
      <c r="J939" s="873"/>
      <c r="K939" s="873"/>
      <c r="L939" s="873"/>
      <c r="M939" s="873"/>
      <c r="N939" s="873"/>
      <c r="O939" s="873"/>
      <c r="P939" s="873"/>
      <c r="Q939" s="873"/>
      <c r="R939" s="873"/>
      <c r="S939" s="873"/>
      <c r="T939" s="873"/>
      <c r="U939" s="873"/>
      <c r="V939" s="873"/>
      <c r="W939" s="873"/>
      <c r="X939" s="873"/>
      <c r="Y939" s="873"/>
      <c r="Z939" s="873"/>
      <c r="AA939" s="873"/>
      <c r="AB939" s="873"/>
      <c r="AC939" s="873"/>
      <c r="AD939" s="873"/>
      <c r="AE939" s="873"/>
      <c r="AF939" s="873"/>
      <c r="AG939" s="873"/>
      <c r="AH939" s="873"/>
      <c r="AI939" s="873"/>
      <c r="AJ939" s="873"/>
      <c r="AK939" s="873"/>
      <c r="AL939" s="873"/>
      <c r="AM939" s="873"/>
      <c r="AN939" s="873"/>
      <c r="AO939" s="873"/>
      <c r="AP939" s="873"/>
      <c r="AQ939" s="873"/>
      <c r="AR939" s="873"/>
      <c r="AS939" s="873"/>
      <c r="AT939" s="873"/>
      <c r="AU939" s="873"/>
      <c r="AV939" s="873"/>
    </row>
    <row r="940" spans="1:48" ht="11.25" customHeight="1" x14ac:dyDescent="0.2">
      <c r="A940" s="873"/>
      <c r="B940" s="873"/>
      <c r="C940" s="873"/>
      <c r="D940" s="873"/>
      <c r="E940" s="873"/>
      <c r="F940" s="873"/>
      <c r="G940" s="873"/>
      <c r="H940" s="873"/>
      <c r="I940" s="873"/>
      <c r="J940" s="873"/>
      <c r="K940" s="873"/>
      <c r="L940" s="873"/>
      <c r="M940" s="873"/>
      <c r="N940" s="873"/>
      <c r="O940" s="873"/>
      <c r="P940" s="873"/>
      <c r="Q940" s="873"/>
      <c r="R940" s="873"/>
      <c r="S940" s="873"/>
      <c r="T940" s="873"/>
      <c r="U940" s="873"/>
      <c r="V940" s="873"/>
      <c r="W940" s="873"/>
      <c r="X940" s="873"/>
      <c r="Y940" s="873"/>
      <c r="Z940" s="873"/>
      <c r="AA940" s="873"/>
      <c r="AB940" s="873"/>
      <c r="AC940" s="873"/>
      <c r="AD940" s="873"/>
      <c r="AE940" s="873"/>
      <c r="AF940" s="873"/>
      <c r="AG940" s="873"/>
      <c r="AH940" s="873"/>
      <c r="AI940" s="873"/>
      <c r="AJ940" s="873"/>
      <c r="AK940" s="873"/>
      <c r="AL940" s="873"/>
      <c r="AM940" s="873"/>
      <c r="AN940" s="873"/>
      <c r="AO940" s="873"/>
      <c r="AP940" s="873"/>
      <c r="AQ940" s="873"/>
      <c r="AR940" s="873"/>
      <c r="AS940" s="873"/>
      <c r="AT940" s="873"/>
      <c r="AU940" s="873"/>
      <c r="AV940" s="873"/>
    </row>
    <row r="941" spans="1:48" ht="11.25" customHeight="1" x14ac:dyDescent="0.2">
      <c r="A941" s="873"/>
      <c r="B941" s="873"/>
      <c r="C941" s="873"/>
      <c r="D941" s="873"/>
      <c r="E941" s="873"/>
      <c r="F941" s="873"/>
      <c r="G941" s="873"/>
      <c r="H941" s="873"/>
      <c r="I941" s="873"/>
      <c r="J941" s="873"/>
      <c r="K941" s="873"/>
      <c r="L941" s="873"/>
      <c r="M941" s="873"/>
      <c r="N941" s="873"/>
      <c r="O941" s="873"/>
      <c r="P941" s="873"/>
      <c r="Q941" s="873"/>
      <c r="R941" s="873"/>
      <c r="S941" s="873"/>
      <c r="T941" s="873"/>
      <c r="U941" s="873"/>
      <c r="V941" s="873"/>
      <c r="W941" s="873"/>
      <c r="X941" s="873"/>
      <c r="Y941" s="873"/>
      <c r="Z941" s="873"/>
      <c r="AA941" s="873"/>
      <c r="AB941" s="873"/>
      <c r="AC941" s="873"/>
      <c r="AD941" s="873"/>
      <c r="AE941" s="873"/>
      <c r="AF941" s="873"/>
      <c r="AG941" s="873"/>
      <c r="AH941" s="873"/>
      <c r="AI941" s="873"/>
      <c r="AJ941" s="873"/>
      <c r="AK941" s="873"/>
      <c r="AL941" s="873"/>
      <c r="AM941" s="873"/>
      <c r="AN941" s="873"/>
      <c r="AO941" s="873"/>
      <c r="AP941" s="873"/>
      <c r="AQ941" s="873"/>
      <c r="AR941" s="873"/>
      <c r="AS941" s="873"/>
      <c r="AT941" s="873"/>
      <c r="AU941" s="873"/>
      <c r="AV941" s="873"/>
    </row>
    <row r="942" spans="1:48" ht="11.25" customHeight="1" x14ac:dyDescent="0.2">
      <c r="A942" s="873"/>
      <c r="B942" s="873"/>
      <c r="C942" s="873"/>
      <c r="D942" s="873"/>
      <c r="E942" s="873"/>
      <c r="F942" s="873"/>
      <c r="G942" s="873"/>
      <c r="H942" s="873"/>
      <c r="I942" s="873"/>
      <c r="J942" s="873"/>
      <c r="K942" s="873"/>
      <c r="L942" s="873"/>
      <c r="M942" s="873"/>
      <c r="N942" s="873"/>
      <c r="O942" s="873"/>
      <c r="P942" s="873"/>
      <c r="Q942" s="873"/>
      <c r="R942" s="873"/>
      <c r="S942" s="873"/>
      <c r="T942" s="873"/>
      <c r="U942" s="873"/>
      <c r="V942" s="873"/>
      <c r="W942" s="873"/>
      <c r="X942" s="873"/>
      <c r="Y942" s="873"/>
      <c r="Z942" s="873"/>
      <c r="AA942" s="873"/>
      <c r="AB942" s="873"/>
      <c r="AC942" s="873"/>
      <c r="AD942" s="873"/>
      <c r="AE942" s="873"/>
      <c r="AF942" s="873"/>
      <c r="AG942" s="873"/>
      <c r="AH942" s="873"/>
      <c r="AI942" s="873"/>
      <c r="AJ942" s="873"/>
      <c r="AK942" s="873"/>
      <c r="AL942" s="873"/>
      <c r="AM942" s="873"/>
      <c r="AN942" s="873"/>
      <c r="AO942" s="873"/>
      <c r="AP942" s="873"/>
      <c r="AQ942" s="873"/>
      <c r="AR942" s="873"/>
      <c r="AS942" s="873"/>
      <c r="AT942" s="873"/>
      <c r="AU942" s="873"/>
      <c r="AV942" s="873"/>
    </row>
    <row r="943" spans="1:48" ht="11.25" customHeight="1" x14ac:dyDescent="0.2">
      <c r="A943" s="873"/>
      <c r="B943" s="873"/>
      <c r="C943" s="873"/>
      <c r="D943" s="873"/>
      <c r="E943" s="873"/>
      <c r="F943" s="873"/>
      <c r="G943" s="873"/>
      <c r="H943" s="873"/>
      <c r="I943" s="873"/>
      <c r="J943" s="873"/>
      <c r="K943" s="873"/>
      <c r="L943" s="873"/>
      <c r="M943" s="873"/>
      <c r="N943" s="873"/>
      <c r="O943" s="873"/>
      <c r="P943" s="873"/>
      <c r="Q943" s="873"/>
      <c r="R943" s="873"/>
      <c r="S943" s="873"/>
      <c r="T943" s="873"/>
      <c r="U943" s="873"/>
      <c r="V943" s="873"/>
      <c r="W943" s="873"/>
      <c r="X943" s="873"/>
      <c r="Y943" s="873"/>
      <c r="Z943" s="873"/>
      <c r="AA943" s="873"/>
      <c r="AB943" s="873"/>
      <c r="AC943" s="873"/>
      <c r="AD943" s="873"/>
      <c r="AE943" s="873"/>
      <c r="AF943" s="873"/>
      <c r="AG943" s="873"/>
      <c r="AH943" s="873"/>
      <c r="AI943" s="873"/>
      <c r="AJ943" s="873"/>
      <c r="AK943" s="873"/>
      <c r="AL943" s="873"/>
      <c r="AM943" s="873"/>
      <c r="AN943" s="873"/>
      <c r="AO943" s="873"/>
      <c r="AP943" s="873"/>
      <c r="AQ943" s="873"/>
      <c r="AR943" s="873"/>
      <c r="AS943" s="873"/>
      <c r="AT943" s="873"/>
      <c r="AU943" s="873"/>
      <c r="AV943" s="873"/>
    </row>
    <row r="944" spans="1:48" ht="11.25" customHeight="1" x14ac:dyDescent="0.2">
      <c r="A944" s="873"/>
      <c r="B944" s="873"/>
      <c r="C944" s="873"/>
      <c r="D944" s="873"/>
      <c r="E944" s="873"/>
      <c r="F944" s="873"/>
      <c r="G944" s="873"/>
      <c r="H944" s="873"/>
      <c r="I944" s="873"/>
      <c r="J944" s="873"/>
      <c r="K944" s="873"/>
      <c r="L944" s="873"/>
      <c r="M944" s="873"/>
      <c r="N944" s="873"/>
      <c r="O944" s="873"/>
      <c r="P944" s="873"/>
      <c r="Q944" s="873"/>
      <c r="R944" s="873"/>
      <c r="S944" s="873"/>
      <c r="T944" s="873"/>
      <c r="U944" s="873"/>
      <c r="V944" s="873"/>
      <c r="W944" s="873"/>
      <c r="X944" s="873"/>
      <c r="Y944" s="873"/>
      <c r="Z944" s="873"/>
      <c r="AA944" s="873"/>
      <c r="AB944" s="873"/>
      <c r="AC944" s="873"/>
      <c r="AD944" s="873"/>
      <c r="AE944" s="873"/>
      <c r="AF944" s="873"/>
      <c r="AG944" s="873"/>
      <c r="AH944" s="873"/>
      <c r="AI944" s="873"/>
      <c r="AJ944" s="873"/>
      <c r="AK944" s="873"/>
      <c r="AL944" s="873"/>
      <c r="AM944" s="873"/>
      <c r="AN944" s="873"/>
      <c r="AO944" s="873"/>
      <c r="AP944" s="873"/>
      <c r="AQ944" s="873"/>
      <c r="AR944" s="873"/>
      <c r="AS944" s="873"/>
      <c r="AT944" s="873"/>
      <c r="AU944" s="873"/>
      <c r="AV944" s="873"/>
    </row>
    <row r="945" spans="1:48" ht="11.25" customHeight="1" x14ac:dyDescent="0.2">
      <c r="A945" s="873"/>
      <c r="B945" s="873"/>
      <c r="C945" s="873"/>
      <c r="D945" s="873"/>
      <c r="E945" s="873"/>
      <c r="F945" s="873"/>
      <c r="G945" s="873"/>
      <c r="H945" s="873"/>
      <c r="I945" s="873"/>
      <c r="J945" s="873"/>
      <c r="K945" s="873"/>
      <c r="L945" s="873"/>
      <c r="M945" s="873"/>
      <c r="N945" s="873"/>
      <c r="O945" s="873"/>
      <c r="P945" s="873"/>
      <c r="Q945" s="873"/>
      <c r="R945" s="873"/>
      <c r="S945" s="873"/>
      <c r="T945" s="873"/>
      <c r="U945" s="873"/>
      <c r="V945" s="873"/>
      <c r="W945" s="873"/>
      <c r="X945" s="873"/>
      <c r="Y945" s="873"/>
      <c r="Z945" s="873"/>
      <c r="AA945" s="873"/>
      <c r="AB945" s="873"/>
      <c r="AC945" s="873"/>
      <c r="AD945" s="873"/>
      <c r="AE945" s="873"/>
      <c r="AF945" s="873"/>
      <c r="AG945" s="873"/>
      <c r="AH945" s="873"/>
      <c r="AI945" s="873"/>
      <c r="AJ945" s="873"/>
      <c r="AK945" s="873"/>
      <c r="AL945" s="873"/>
      <c r="AM945" s="873"/>
      <c r="AN945" s="873"/>
      <c r="AO945" s="873"/>
      <c r="AP945" s="873"/>
      <c r="AQ945" s="873"/>
      <c r="AR945" s="873"/>
      <c r="AS945" s="873"/>
      <c r="AT945" s="873"/>
      <c r="AU945" s="873"/>
      <c r="AV945" s="873"/>
    </row>
    <row r="946" spans="1:48" ht="12.75" x14ac:dyDescent="0.2">
      <c r="A946" s="873"/>
      <c r="B946" s="873"/>
      <c r="C946" s="873"/>
      <c r="D946" s="873"/>
      <c r="E946" s="873"/>
      <c r="F946" s="873"/>
      <c r="G946" s="873"/>
      <c r="H946" s="873"/>
      <c r="I946" s="873"/>
      <c r="J946" s="873"/>
      <c r="K946" s="873"/>
      <c r="L946" s="873"/>
      <c r="M946" s="873"/>
      <c r="N946" s="873"/>
      <c r="O946" s="873"/>
      <c r="P946" s="873"/>
      <c r="Q946" s="873"/>
      <c r="R946" s="873"/>
      <c r="S946" s="873"/>
      <c r="T946" s="873"/>
      <c r="U946" s="873"/>
      <c r="V946" s="873"/>
      <c r="W946" s="873"/>
      <c r="X946" s="873"/>
      <c r="Y946" s="873"/>
      <c r="Z946" s="873"/>
      <c r="AA946" s="873"/>
      <c r="AB946" s="873"/>
      <c r="AC946" s="873"/>
      <c r="AD946" s="873"/>
      <c r="AE946" s="873"/>
      <c r="AF946" s="873"/>
      <c r="AG946" s="873"/>
      <c r="AH946" s="873"/>
      <c r="AI946" s="873"/>
      <c r="AJ946" s="873"/>
      <c r="AK946" s="873"/>
      <c r="AL946" s="873"/>
      <c r="AM946" s="873"/>
      <c r="AN946" s="873"/>
      <c r="AO946" s="873"/>
      <c r="AP946" s="873"/>
      <c r="AQ946" s="873"/>
      <c r="AR946" s="873"/>
      <c r="AS946" s="873"/>
      <c r="AT946" s="873"/>
      <c r="AU946" s="873"/>
      <c r="AV946" s="873"/>
    </row>
    <row r="947" spans="1:48" ht="12.75" x14ac:dyDescent="0.2">
      <c r="A947" s="873"/>
      <c r="B947" s="873"/>
      <c r="C947" s="873"/>
      <c r="D947" s="873"/>
      <c r="E947" s="873"/>
      <c r="F947" s="873"/>
      <c r="G947" s="873"/>
      <c r="H947" s="873"/>
      <c r="I947" s="873"/>
      <c r="J947" s="873"/>
      <c r="K947" s="873"/>
      <c r="L947" s="873"/>
      <c r="M947" s="873"/>
      <c r="N947" s="873"/>
      <c r="O947" s="873"/>
      <c r="P947" s="873"/>
      <c r="Q947" s="873"/>
      <c r="R947" s="873"/>
      <c r="S947" s="873"/>
      <c r="T947" s="873"/>
      <c r="U947" s="873"/>
      <c r="V947" s="873"/>
      <c r="W947" s="873"/>
      <c r="X947" s="873"/>
      <c r="Y947" s="873"/>
      <c r="Z947" s="873"/>
      <c r="AA947" s="873"/>
      <c r="AB947" s="873"/>
      <c r="AC947" s="873"/>
      <c r="AD947" s="873"/>
      <c r="AE947" s="873"/>
      <c r="AF947" s="873"/>
      <c r="AG947" s="873"/>
      <c r="AH947" s="873"/>
      <c r="AI947" s="873"/>
      <c r="AJ947" s="873"/>
      <c r="AK947" s="873"/>
      <c r="AL947" s="873"/>
      <c r="AM947" s="873"/>
      <c r="AN947" s="873"/>
      <c r="AO947" s="873"/>
      <c r="AP947" s="873"/>
      <c r="AQ947" s="873"/>
      <c r="AR947" s="873"/>
      <c r="AS947" s="873"/>
      <c r="AT947" s="873"/>
      <c r="AU947" s="873"/>
      <c r="AV947" s="873"/>
    </row>
    <row r="948" spans="1:48" ht="12.75" x14ac:dyDescent="0.2">
      <c r="A948" s="873"/>
      <c r="B948" s="873"/>
      <c r="C948" s="873"/>
      <c r="D948" s="873"/>
      <c r="E948" s="873"/>
      <c r="F948" s="873"/>
      <c r="G948" s="873"/>
      <c r="H948" s="873"/>
      <c r="I948" s="873"/>
      <c r="J948" s="873"/>
      <c r="K948" s="873"/>
      <c r="L948" s="873"/>
      <c r="M948" s="873"/>
      <c r="N948" s="873"/>
      <c r="O948" s="873"/>
      <c r="P948" s="873"/>
      <c r="Q948" s="873"/>
      <c r="R948" s="873"/>
      <c r="S948" s="873"/>
      <c r="T948" s="873"/>
      <c r="U948" s="873"/>
      <c r="V948" s="873"/>
      <c r="W948" s="873"/>
      <c r="X948" s="873"/>
      <c r="Y948" s="873"/>
      <c r="Z948" s="873"/>
      <c r="AA948" s="873"/>
      <c r="AB948" s="873"/>
      <c r="AC948" s="873"/>
      <c r="AD948" s="873"/>
      <c r="AE948" s="873"/>
      <c r="AF948" s="873"/>
      <c r="AG948" s="873"/>
      <c r="AH948" s="873"/>
      <c r="AI948" s="873"/>
      <c r="AJ948" s="873"/>
      <c r="AK948" s="873"/>
      <c r="AL948" s="873"/>
      <c r="AM948" s="873"/>
      <c r="AN948" s="873"/>
      <c r="AO948" s="873"/>
      <c r="AP948" s="873"/>
      <c r="AQ948" s="873"/>
      <c r="AR948" s="873"/>
      <c r="AS948" s="873"/>
      <c r="AT948" s="873"/>
      <c r="AU948" s="873"/>
      <c r="AV948" s="873"/>
    </row>
    <row r="949" spans="1:48" ht="12.75" x14ac:dyDescent="0.2">
      <c r="A949" s="873"/>
      <c r="B949" s="873"/>
      <c r="C949" s="873"/>
      <c r="D949" s="873"/>
      <c r="E949" s="873"/>
      <c r="F949" s="873"/>
      <c r="G949" s="873"/>
      <c r="H949" s="873"/>
      <c r="I949" s="873"/>
      <c r="J949" s="873"/>
      <c r="K949" s="873"/>
      <c r="L949" s="873"/>
      <c r="M949" s="873"/>
      <c r="N949" s="873"/>
      <c r="O949" s="873"/>
      <c r="P949" s="873"/>
      <c r="Q949" s="873"/>
      <c r="R949" s="873"/>
      <c r="S949" s="873"/>
      <c r="T949" s="873"/>
      <c r="U949" s="873"/>
      <c r="V949" s="873"/>
      <c r="W949" s="873"/>
      <c r="X949" s="873"/>
      <c r="Y949" s="873"/>
      <c r="Z949" s="873"/>
      <c r="AA949" s="873"/>
      <c r="AB949" s="873"/>
      <c r="AC949" s="873"/>
      <c r="AD949" s="873"/>
      <c r="AE949" s="873"/>
      <c r="AF949" s="873"/>
      <c r="AG949" s="873"/>
      <c r="AH949" s="873"/>
      <c r="AI949" s="873"/>
      <c r="AJ949" s="873"/>
      <c r="AK949" s="873"/>
      <c r="AL949" s="873"/>
      <c r="AM949" s="873"/>
      <c r="AN949" s="873"/>
      <c r="AO949" s="873"/>
      <c r="AP949" s="873"/>
      <c r="AQ949" s="873"/>
      <c r="AR949" s="873"/>
      <c r="AS949" s="873"/>
      <c r="AT949" s="873"/>
      <c r="AU949" s="873"/>
      <c r="AV949" s="873"/>
    </row>
    <row r="950" spans="1:48" ht="12.75" x14ac:dyDescent="0.2">
      <c r="A950" s="873"/>
      <c r="B950" s="873"/>
      <c r="C950" s="873"/>
      <c r="D950" s="873"/>
      <c r="E950" s="873"/>
      <c r="F950" s="873"/>
      <c r="G950" s="873"/>
      <c r="H950" s="873"/>
      <c r="I950" s="873"/>
      <c r="J950" s="873"/>
      <c r="K950" s="873"/>
      <c r="L950" s="873"/>
      <c r="M950" s="873"/>
      <c r="N950" s="873"/>
      <c r="O950" s="873"/>
      <c r="P950" s="873"/>
      <c r="Q950" s="873"/>
      <c r="R950" s="873"/>
      <c r="S950" s="873"/>
      <c r="T950" s="873"/>
      <c r="U950" s="873"/>
      <c r="V950" s="873"/>
      <c r="W950" s="873"/>
      <c r="X950" s="873"/>
      <c r="Y950" s="873"/>
      <c r="Z950" s="873"/>
      <c r="AA950" s="873"/>
      <c r="AB950" s="873"/>
      <c r="AC950" s="873"/>
      <c r="AD950" s="873"/>
      <c r="AE950" s="873"/>
      <c r="AF950" s="873"/>
      <c r="AG950" s="873"/>
      <c r="AH950" s="873"/>
      <c r="AI950" s="873"/>
      <c r="AJ950" s="873"/>
      <c r="AK950" s="873"/>
      <c r="AL950" s="873"/>
      <c r="AM950" s="873"/>
      <c r="AN950" s="873"/>
      <c r="AO950" s="873"/>
      <c r="AP950" s="873"/>
      <c r="AQ950" s="873"/>
      <c r="AR950" s="873"/>
      <c r="AS950" s="873"/>
      <c r="AT950" s="873"/>
      <c r="AU950" s="873"/>
      <c r="AV950" s="873"/>
    </row>
    <row r="951" spans="1:48" ht="12.75" x14ac:dyDescent="0.2">
      <c r="A951" s="873"/>
      <c r="B951" s="873"/>
      <c r="C951" s="873"/>
      <c r="D951" s="873"/>
      <c r="E951" s="873"/>
      <c r="F951" s="873"/>
      <c r="G951" s="873"/>
      <c r="H951" s="873"/>
      <c r="I951" s="873"/>
      <c r="J951" s="873"/>
      <c r="K951" s="873"/>
      <c r="L951" s="873"/>
      <c r="M951" s="873"/>
      <c r="N951" s="873"/>
      <c r="O951" s="873"/>
      <c r="P951" s="873"/>
      <c r="Q951" s="873"/>
      <c r="R951" s="873"/>
      <c r="S951" s="873"/>
      <c r="T951" s="873"/>
      <c r="U951" s="873"/>
      <c r="V951" s="873"/>
      <c r="W951" s="873"/>
      <c r="X951" s="873"/>
      <c r="Y951" s="873"/>
      <c r="Z951" s="873"/>
      <c r="AA951" s="873"/>
      <c r="AB951" s="873"/>
      <c r="AC951" s="873"/>
      <c r="AD951" s="873"/>
      <c r="AE951" s="873"/>
      <c r="AF951" s="873"/>
      <c r="AG951" s="873"/>
      <c r="AH951" s="873"/>
      <c r="AI951" s="873"/>
      <c r="AJ951" s="873"/>
      <c r="AK951" s="873"/>
      <c r="AL951" s="873"/>
      <c r="AM951" s="873"/>
      <c r="AN951" s="873"/>
      <c r="AO951" s="873"/>
      <c r="AP951" s="873"/>
      <c r="AQ951" s="873"/>
      <c r="AR951" s="873"/>
      <c r="AS951" s="873"/>
      <c r="AT951" s="873"/>
      <c r="AU951" s="873"/>
      <c r="AV951" s="873"/>
    </row>
    <row r="952" spans="1:48" ht="12.75" x14ac:dyDescent="0.2">
      <c r="A952" s="873"/>
      <c r="B952" s="873"/>
      <c r="C952" s="873"/>
      <c r="D952" s="873"/>
      <c r="E952" s="873"/>
      <c r="F952" s="873"/>
      <c r="G952" s="873"/>
      <c r="H952" s="873"/>
      <c r="I952" s="873"/>
      <c r="J952" s="873"/>
      <c r="K952" s="873"/>
      <c r="L952" s="873"/>
      <c r="M952" s="873"/>
      <c r="N952" s="873"/>
      <c r="O952" s="873"/>
      <c r="P952" s="873"/>
      <c r="Q952" s="873"/>
      <c r="R952" s="873"/>
      <c r="S952" s="873"/>
      <c r="T952" s="873"/>
      <c r="U952" s="873"/>
      <c r="V952" s="873"/>
      <c r="W952" s="873"/>
      <c r="X952" s="873"/>
      <c r="Y952" s="873"/>
      <c r="Z952" s="873"/>
      <c r="AA952" s="873"/>
      <c r="AB952" s="873"/>
      <c r="AC952" s="873"/>
      <c r="AD952" s="873"/>
      <c r="AE952" s="873"/>
      <c r="AF952" s="873"/>
      <c r="AG952" s="873"/>
      <c r="AH952" s="873"/>
      <c r="AI952" s="873"/>
      <c r="AJ952" s="873"/>
      <c r="AK952" s="873"/>
      <c r="AL952" s="873"/>
      <c r="AM952" s="873"/>
      <c r="AN952" s="873"/>
      <c r="AO952" s="873"/>
      <c r="AP952" s="873"/>
      <c r="AQ952" s="873"/>
      <c r="AR952" s="873"/>
      <c r="AS952" s="873"/>
      <c r="AT952" s="873"/>
      <c r="AU952" s="873"/>
      <c r="AV952" s="873"/>
    </row>
    <row r="953" spans="1:48" ht="12.75" x14ac:dyDescent="0.2">
      <c r="A953" s="873"/>
      <c r="B953" s="873"/>
      <c r="C953" s="873"/>
      <c r="D953" s="873"/>
      <c r="E953" s="873"/>
      <c r="F953" s="873"/>
      <c r="G953" s="873"/>
      <c r="H953" s="873"/>
      <c r="I953" s="873"/>
      <c r="J953" s="873"/>
      <c r="K953" s="873"/>
      <c r="L953" s="873"/>
      <c r="M953" s="873"/>
      <c r="N953" s="873"/>
      <c r="O953" s="873"/>
      <c r="P953" s="873"/>
      <c r="Q953" s="873"/>
      <c r="R953" s="873"/>
      <c r="S953" s="873"/>
      <c r="T953" s="873"/>
      <c r="U953" s="873"/>
      <c r="V953" s="873"/>
      <c r="W953" s="873"/>
      <c r="X953" s="873"/>
      <c r="Y953" s="873"/>
      <c r="Z953" s="873"/>
      <c r="AA953" s="873"/>
      <c r="AB953" s="873"/>
      <c r="AC953" s="873"/>
      <c r="AD953" s="873"/>
      <c r="AE953" s="873"/>
      <c r="AF953" s="873"/>
      <c r="AG953" s="873"/>
      <c r="AH953" s="873"/>
      <c r="AI953" s="873"/>
      <c r="AJ953" s="873"/>
      <c r="AK953" s="873"/>
      <c r="AL953" s="873"/>
      <c r="AM953" s="873"/>
      <c r="AN953" s="873"/>
      <c r="AO953" s="873"/>
      <c r="AP953" s="873"/>
      <c r="AQ953" s="873"/>
      <c r="AR953" s="873"/>
      <c r="AS953" s="873"/>
      <c r="AT953" s="873"/>
      <c r="AU953" s="873"/>
      <c r="AV953" s="873"/>
    </row>
    <row r="954" spans="1:48" ht="12.75" x14ac:dyDescent="0.2">
      <c r="A954" s="873"/>
      <c r="B954" s="873"/>
      <c r="C954" s="873"/>
      <c r="D954" s="873"/>
      <c r="E954" s="873"/>
      <c r="F954" s="873"/>
      <c r="G954" s="873"/>
      <c r="H954" s="873"/>
      <c r="I954" s="873"/>
      <c r="J954" s="873"/>
      <c r="K954" s="873"/>
      <c r="L954" s="873"/>
      <c r="M954" s="873"/>
      <c r="N954" s="873"/>
      <c r="O954" s="873"/>
      <c r="P954" s="873"/>
      <c r="Q954" s="873"/>
      <c r="R954" s="873"/>
      <c r="S954" s="873"/>
      <c r="T954" s="873"/>
      <c r="U954" s="873"/>
      <c r="V954" s="873"/>
      <c r="W954" s="873"/>
      <c r="X954" s="873"/>
      <c r="Y954" s="873"/>
      <c r="Z954" s="873"/>
      <c r="AA954" s="873"/>
      <c r="AB954" s="873"/>
      <c r="AC954" s="873"/>
      <c r="AD954" s="873"/>
      <c r="AE954" s="873"/>
      <c r="AF954" s="873"/>
      <c r="AG954" s="873"/>
      <c r="AH954" s="873"/>
      <c r="AI954" s="873"/>
      <c r="AJ954" s="873"/>
      <c r="AK954" s="873"/>
      <c r="AL954" s="873"/>
      <c r="AM954" s="873"/>
      <c r="AN954" s="873"/>
      <c r="AO954" s="873"/>
      <c r="AP954" s="873"/>
      <c r="AQ954" s="873"/>
      <c r="AR954" s="873"/>
      <c r="AS954" s="873"/>
      <c r="AT954" s="873"/>
      <c r="AU954" s="873"/>
      <c r="AV954" s="873"/>
    </row>
    <row r="955" spans="1:48" ht="12.75" x14ac:dyDescent="0.2">
      <c r="A955" s="873"/>
      <c r="B955" s="873"/>
      <c r="C955" s="873"/>
      <c r="D955" s="873"/>
      <c r="E955" s="873"/>
      <c r="F955" s="873"/>
      <c r="G955" s="873"/>
      <c r="H955" s="873"/>
      <c r="I955" s="873"/>
      <c r="J955" s="873"/>
      <c r="K955" s="873"/>
      <c r="L955" s="873"/>
      <c r="M955" s="873"/>
      <c r="N955" s="873"/>
      <c r="O955" s="873"/>
      <c r="P955" s="873"/>
      <c r="Q955" s="873"/>
      <c r="R955" s="873"/>
      <c r="S955" s="873"/>
      <c r="T955" s="873"/>
      <c r="U955" s="873"/>
      <c r="V955" s="873"/>
      <c r="W955" s="873"/>
      <c r="X955" s="873"/>
      <c r="Y955" s="873"/>
      <c r="Z955" s="873"/>
      <c r="AA955" s="873"/>
      <c r="AB955" s="873"/>
      <c r="AC955" s="873"/>
      <c r="AD955" s="873"/>
      <c r="AE955" s="873"/>
      <c r="AF955" s="873"/>
      <c r="AG955" s="873"/>
      <c r="AH955" s="873"/>
      <c r="AI955" s="873"/>
      <c r="AJ955" s="873"/>
      <c r="AK955" s="873"/>
      <c r="AL955" s="873"/>
      <c r="AM955" s="873"/>
      <c r="AN955" s="873"/>
      <c r="AO955" s="873"/>
      <c r="AP955" s="873"/>
      <c r="AQ955" s="873"/>
      <c r="AR955" s="873"/>
      <c r="AS955" s="873"/>
      <c r="AT955" s="873"/>
      <c r="AU955" s="873"/>
      <c r="AV955" s="873"/>
    </row>
    <row r="956" spans="1:48" ht="12.75" x14ac:dyDescent="0.2">
      <c r="A956" s="873"/>
      <c r="B956" s="873"/>
      <c r="C956" s="873"/>
      <c r="D956" s="873"/>
      <c r="E956" s="873"/>
      <c r="F956" s="873"/>
      <c r="G956" s="873"/>
      <c r="H956" s="873"/>
      <c r="I956" s="873"/>
      <c r="J956" s="873"/>
      <c r="K956" s="873"/>
      <c r="L956" s="873"/>
      <c r="M956" s="873"/>
      <c r="N956" s="873"/>
      <c r="O956" s="873"/>
      <c r="P956" s="873"/>
      <c r="Q956" s="873"/>
      <c r="R956" s="873"/>
      <c r="S956" s="873"/>
      <c r="T956" s="873"/>
      <c r="U956" s="873"/>
      <c r="V956" s="873"/>
      <c r="W956" s="873"/>
      <c r="X956" s="873"/>
      <c r="Y956" s="873"/>
      <c r="Z956" s="873"/>
      <c r="AA956" s="873"/>
      <c r="AB956" s="873"/>
      <c r="AC956" s="873"/>
      <c r="AD956" s="873"/>
      <c r="AE956" s="873"/>
      <c r="AF956" s="873"/>
      <c r="AG956" s="873"/>
      <c r="AH956" s="873"/>
      <c r="AI956" s="873"/>
      <c r="AJ956" s="873"/>
      <c r="AK956" s="873"/>
      <c r="AL956" s="873"/>
      <c r="AM956" s="873"/>
      <c r="AN956" s="873"/>
      <c r="AO956" s="873"/>
      <c r="AP956" s="873"/>
      <c r="AQ956" s="873"/>
      <c r="AR956" s="873"/>
      <c r="AS956" s="873"/>
      <c r="AT956" s="873"/>
      <c r="AU956" s="873"/>
      <c r="AV956" s="873"/>
    </row>
    <row r="957" spans="1:48" ht="12.75" x14ac:dyDescent="0.2">
      <c r="A957" s="873"/>
      <c r="B957" s="873"/>
      <c r="C957" s="873"/>
      <c r="D957" s="873"/>
      <c r="E957" s="873"/>
      <c r="F957" s="873"/>
      <c r="G957" s="873"/>
      <c r="H957" s="873"/>
      <c r="I957" s="873"/>
      <c r="J957" s="873"/>
      <c r="K957" s="873"/>
      <c r="L957" s="873"/>
      <c r="M957" s="873"/>
      <c r="N957" s="873"/>
      <c r="O957" s="873"/>
      <c r="P957" s="873"/>
      <c r="Q957" s="873"/>
      <c r="R957" s="873"/>
      <c r="S957" s="873"/>
      <c r="T957" s="873"/>
      <c r="U957" s="873"/>
      <c r="V957" s="873"/>
      <c r="W957" s="873"/>
      <c r="X957" s="873"/>
      <c r="Y957" s="873"/>
      <c r="Z957" s="873"/>
      <c r="AA957" s="873"/>
      <c r="AB957" s="873"/>
      <c r="AC957" s="873"/>
      <c r="AD957" s="873"/>
      <c r="AE957" s="873"/>
      <c r="AF957" s="873"/>
      <c r="AG957" s="873"/>
      <c r="AH957" s="873"/>
      <c r="AI957" s="873"/>
      <c r="AJ957" s="873"/>
      <c r="AK957" s="873"/>
      <c r="AL957" s="873"/>
      <c r="AM957" s="873"/>
      <c r="AN957" s="873"/>
      <c r="AO957" s="873"/>
      <c r="AP957" s="873"/>
      <c r="AQ957" s="873"/>
      <c r="AR957" s="873"/>
      <c r="AS957" s="873"/>
      <c r="AT957" s="873"/>
      <c r="AU957" s="873"/>
      <c r="AV957" s="873"/>
    </row>
    <row r="958" spans="1:48" ht="12.75" x14ac:dyDescent="0.2">
      <c r="A958" s="873"/>
      <c r="B958" s="873"/>
      <c r="C958" s="873"/>
      <c r="D958" s="873"/>
      <c r="E958" s="873"/>
      <c r="F958" s="873"/>
      <c r="G958" s="873"/>
      <c r="H958" s="873"/>
      <c r="I958" s="873"/>
      <c r="J958" s="873"/>
      <c r="K958" s="873"/>
      <c r="L958" s="873"/>
      <c r="M958" s="873"/>
      <c r="N958" s="873"/>
      <c r="O958" s="873"/>
      <c r="P958" s="873"/>
      <c r="Q958" s="873"/>
      <c r="R958" s="873"/>
      <c r="S958" s="873"/>
      <c r="T958" s="873"/>
      <c r="U958" s="873"/>
      <c r="V958" s="873"/>
      <c r="W958" s="873"/>
      <c r="X958" s="873"/>
      <c r="Y958" s="873"/>
      <c r="Z958" s="873"/>
      <c r="AA958" s="873"/>
      <c r="AB958" s="873"/>
      <c r="AC958" s="873"/>
      <c r="AD958" s="873"/>
      <c r="AE958" s="873"/>
      <c r="AF958" s="873"/>
      <c r="AG958" s="873"/>
      <c r="AH958" s="873"/>
      <c r="AI958" s="873"/>
      <c r="AJ958" s="873"/>
      <c r="AK958" s="873"/>
      <c r="AL958" s="873"/>
      <c r="AM958" s="873"/>
      <c r="AN958" s="873"/>
      <c r="AO958" s="873"/>
      <c r="AP958" s="873"/>
      <c r="AQ958" s="873"/>
      <c r="AR958" s="873"/>
      <c r="AS958" s="873"/>
      <c r="AT958" s="873"/>
      <c r="AU958" s="873"/>
      <c r="AV958" s="873"/>
    </row>
  </sheetData>
  <mergeCells count="1">
    <mergeCell ref="K7:L7"/>
  </mergeCells>
  <hyperlinks>
    <hyperlink ref="B20" r:id="rId1" xr:uid="{00000000-0004-0000-0A00-000000000000}"/>
  </hyperlinks>
  <printOptions gridLines="1"/>
  <pageMargins left="0.33" right="0.23" top="0.28999999999999998" bottom="0.48" header="0" footer="0"/>
  <pageSetup scale="95" orientation="landscape"/>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18"/>
  <sheetViews>
    <sheetView showGridLines="0" workbookViewId="0"/>
  </sheetViews>
  <sheetFormatPr defaultColWidth="16.83203125" defaultRowHeight="15" customHeight="1" x14ac:dyDescent="0.2"/>
  <cols>
    <col min="1" max="1" width="3" style="869" customWidth="1"/>
    <col min="2" max="2" width="35.83203125" style="869" customWidth="1"/>
    <col min="3" max="3" width="18" style="869" customWidth="1"/>
    <col min="4" max="4" width="19.5" style="869" customWidth="1"/>
    <col min="5" max="5" width="18.5" style="869" customWidth="1"/>
    <col min="6" max="6" width="17.5" style="869" customWidth="1"/>
    <col min="7" max="7" width="15.33203125" style="869" customWidth="1"/>
    <col min="8" max="8" width="36.33203125" style="869" customWidth="1"/>
    <col min="9" max="9" width="18" style="869" customWidth="1"/>
    <col min="10" max="10" width="20.33203125" style="869" customWidth="1"/>
    <col min="11" max="11" width="20.5" style="869" customWidth="1"/>
    <col min="12" max="12" width="19.5" style="869" customWidth="1"/>
    <col min="13" max="14" width="19.6640625" style="869" customWidth="1"/>
    <col min="15" max="16384" width="16.83203125" style="869"/>
  </cols>
  <sheetData>
    <row r="1" spans="1:26" ht="16.5" customHeight="1" x14ac:dyDescent="0.2">
      <c r="A1" s="885"/>
      <c r="B1" s="885"/>
      <c r="C1" s="885"/>
      <c r="D1" s="885"/>
      <c r="E1" s="885"/>
      <c r="F1" s="885"/>
      <c r="G1" s="885"/>
      <c r="H1" s="885"/>
      <c r="I1" s="885"/>
      <c r="J1" s="885"/>
      <c r="K1" s="885"/>
      <c r="L1" s="885"/>
      <c r="M1" s="885"/>
      <c r="N1" s="885"/>
      <c r="O1" s="885"/>
      <c r="P1" s="885"/>
      <c r="Q1" s="885"/>
      <c r="R1" s="885"/>
      <c r="S1" s="885"/>
      <c r="T1" s="885"/>
      <c r="U1" s="885"/>
      <c r="V1" s="885"/>
      <c r="W1" s="885"/>
      <c r="X1" s="885"/>
      <c r="Y1" s="885"/>
      <c r="Z1" s="885"/>
    </row>
    <row r="2" spans="1:26" ht="16.5" customHeight="1" x14ac:dyDescent="0.25">
      <c r="A2" s="873"/>
      <c r="B2" s="1022" t="s">
        <v>940</v>
      </c>
      <c r="C2" s="1335"/>
      <c r="D2" s="886"/>
      <c r="E2" s="885"/>
      <c r="F2" s="885"/>
      <c r="G2" s="873"/>
      <c r="H2" s="873"/>
      <c r="I2" s="885"/>
      <c r="J2" s="885"/>
      <c r="K2" s="885"/>
      <c r="L2" s="885"/>
      <c r="M2" s="885"/>
      <c r="N2" s="885"/>
      <c r="O2" s="885"/>
      <c r="P2" s="885"/>
      <c r="Q2" s="885"/>
      <c r="R2" s="885"/>
      <c r="S2" s="885"/>
      <c r="T2" s="885"/>
      <c r="U2" s="885"/>
      <c r="V2" s="885"/>
      <c r="W2" s="885"/>
      <c r="X2" s="885"/>
      <c r="Y2" s="885"/>
      <c r="Z2" s="885"/>
    </row>
    <row r="3" spans="1:26" ht="16.5" customHeight="1" x14ac:dyDescent="0.2">
      <c r="A3" s="885"/>
      <c r="B3" s="885"/>
      <c r="C3" s="885"/>
      <c r="D3" s="885"/>
      <c r="E3" s="885"/>
      <c r="F3" s="885"/>
      <c r="G3" s="885"/>
      <c r="H3" s="885"/>
      <c r="I3" s="885"/>
      <c r="J3" s="885"/>
      <c r="K3" s="885"/>
      <c r="L3" s="885"/>
      <c r="M3" s="885"/>
      <c r="N3" s="885"/>
      <c r="O3" s="885"/>
      <c r="P3" s="885"/>
      <c r="Q3" s="885"/>
      <c r="R3" s="885"/>
      <c r="S3" s="885"/>
      <c r="T3" s="885"/>
      <c r="U3" s="885"/>
      <c r="V3" s="885"/>
      <c r="W3" s="885"/>
      <c r="X3" s="885"/>
      <c r="Y3" s="885"/>
      <c r="Z3" s="885"/>
    </row>
    <row r="4" spans="1:26" ht="16.5" customHeight="1" x14ac:dyDescent="0.2">
      <c r="A4" s="885"/>
      <c r="B4" s="885"/>
      <c r="C4" s="885"/>
      <c r="D4" s="873"/>
      <c r="E4" s="885"/>
      <c r="F4" s="885"/>
      <c r="G4" s="885"/>
      <c r="H4" s="885"/>
      <c r="I4" s="885"/>
      <c r="J4" s="885"/>
      <c r="K4" s="885"/>
      <c r="L4" s="885"/>
      <c r="M4" s="885"/>
      <c r="N4" s="885"/>
      <c r="O4" s="885"/>
      <c r="P4" s="885"/>
      <c r="Q4" s="885"/>
      <c r="R4" s="885"/>
      <c r="S4" s="885"/>
      <c r="T4" s="885"/>
      <c r="U4" s="885"/>
      <c r="V4" s="885"/>
      <c r="W4" s="885"/>
      <c r="X4" s="885"/>
      <c r="Y4" s="885"/>
      <c r="Z4" s="885"/>
    </row>
    <row r="5" spans="1:26" ht="16.5" customHeight="1" x14ac:dyDescent="0.2">
      <c r="A5" s="885"/>
      <c r="B5" s="885"/>
      <c r="C5" s="885"/>
      <c r="D5" s="873"/>
      <c r="E5" s="885"/>
      <c r="F5" s="885"/>
      <c r="G5" s="885"/>
      <c r="H5" s="885"/>
      <c r="I5" s="885"/>
      <c r="J5" s="885"/>
      <c r="K5" s="885"/>
      <c r="L5" s="885"/>
      <c r="M5" s="885"/>
      <c r="N5" s="885"/>
      <c r="O5" s="885"/>
      <c r="P5" s="885"/>
      <c r="Q5" s="885"/>
      <c r="R5" s="885"/>
      <c r="S5" s="885"/>
      <c r="T5" s="885"/>
      <c r="U5" s="885"/>
      <c r="V5" s="885"/>
      <c r="W5" s="885"/>
      <c r="X5" s="885"/>
      <c r="Y5" s="885"/>
      <c r="Z5" s="885"/>
    </row>
    <row r="6" spans="1:26" ht="16.5" customHeight="1" x14ac:dyDescent="0.2">
      <c r="A6" s="885"/>
      <c r="B6" s="885"/>
      <c r="C6" s="885"/>
      <c r="D6" s="885"/>
      <c r="E6" s="885"/>
      <c r="F6" s="885"/>
      <c r="G6" s="885"/>
      <c r="H6" s="885"/>
      <c r="I6" s="885"/>
      <c r="J6" s="885"/>
      <c r="K6" s="885"/>
      <c r="L6" s="885"/>
      <c r="M6" s="885"/>
      <c r="N6" s="885"/>
      <c r="O6" s="885"/>
      <c r="P6" s="885"/>
      <c r="Q6" s="885"/>
      <c r="R6" s="885"/>
      <c r="S6" s="885"/>
      <c r="T6" s="885"/>
      <c r="U6" s="885"/>
      <c r="V6" s="885"/>
      <c r="W6" s="885"/>
      <c r="X6" s="885"/>
      <c r="Y6" s="885"/>
      <c r="Z6" s="885"/>
    </row>
    <row r="7" spans="1:26" ht="16.5" customHeight="1" x14ac:dyDescent="0.2">
      <c r="A7" s="885"/>
      <c r="B7" s="885"/>
      <c r="C7" s="885"/>
      <c r="D7" s="885"/>
      <c r="E7" s="885"/>
      <c r="F7" s="885"/>
      <c r="G7" s="885"/>
      <c r="H7" s="885"/>
      <c r="I7" s="885"/>
      <c r="J7" s="885"/>
      <c r="K7" s="885"/>
      <c r="L7" s="885"/>
      <c r="M7" s="885"/>
      <c r="N7" s="885"/>
      <c r="O7" s="885"/>
      <c r="P7" s="885"/>
      <c r="Q7" s="885"/>
      <c r="R7" s="885"/>
      <c r="S7" s="885"/>
      <c r="T7" s="885"/>
      <c r="U7" s="885"/>
      <c r="V7" s="885"/>
      <c r="W7" s="885"/>
      <c r="X7" s="885"/>
      <c r="Y7" s="885"/>
      <c r="Z7" s="885"/>
    </row>
    <row r="8" spans="1:26" ht="16.5" customHeight="1" x14ac:dyDescent="0.2">
      <c r="A8" s="885"/>
      <c r="B8" s="885"/>
      <c r="C8" s="885"/>
      <c r="D8" s="885"/>
      <c r="E8" s="885"/>
      <c r="F8" s="885"/>
      <c r="G8" s="885"/>
      <c r="H8" s="885"/>
      <c r="I8" s="885"/>
      <c r="J8" s="885"/>
      <c r="K8" s="885"/>
      <c r="L8" s="885"/>
      <c r="M8" s="885"/>
      <c r="N8" s="885"/>
      <c r="O8" s="885"/>
      <c r="P8" s="885"/>
      <c r="Q8" s="885"/>
      <c r="R8" s="885"/>
      <c r="S8" s="885"/>
      <c r="T8" s="885"/>
      <c r="U8" s="885"/>
      <c r="V8" s="885"/>
      <c r="W8" s="885"/>
      <c r="X8" s="885"/>
      <c r="Y8" s="885"/>
      <c r="Z8" s="885"/>
    </row>
    <row r="9" spans="1:26" ht="15.75" x14ac:dyDescent="0.25">
      <c r="A9" s="885"/>
      <c r="B9" s="1170" t="s">
        <v>942</v>
      </c>
      <c r="G9" s="885"/>
      <c r="H9" s="1169" t="s">
        <v>943</v>
      </c>
      <c r="M9" s="885"/>
      <c r="N9" s="885"/>
      <c r="O9" s="885"/>
      <c r="P9" s="885"/>
      <c r="Q9" s="885"/>
      <c r="R9" s="885"/>
      <c r="S9" s="885"/>
      <c r="T9" s="885"/>
      <c r="U9" s="885"/>
      <c r="V9" s="885"/>
      <c r="W9" s="885"/>
      <c r="X9" s="885"/>
      <c r="Y9" s="885"/>
      <c r="Z9" s="885"/>
    </row>
    <row r="10" spans="1:26" ht="25.5" x14ac:dyDescent="0.2">
      <c r="A10" s="885"/>
      <c r="E10" s="1336" t="s">
        <v>944</v>
      </c>
      <c r="F10" s="1336" t="s">
        <v>945</v>
      </c>
      <c r="G10" s="1306"/>
      <c r="K10" s="1336" t="s">
        <v>944</v>
      </c>
      <c r="L10" s="1336" t="s">
        <v>945</v>
      </c>
      <c r="M10" s="885"/>
      <c r="N10" s="885"/>
      <c r="O10" s="885"/>
      <c r="P10" s="885"/>
      <c r="Q10" s="885"/>
      <c r="R10" s="885"/>
      <c r="S10" s="885"/>
      <c r="T10" s="885"/>
      <c r="U10" s="885"/>
      <c r="V10" s="885"/>
      <c r="W10" s="885"/>
      <c r="X10" s="885"/>
      <c r="Y10" s="885"/>
      <c r="Z10" s="885"/>
    </row>
    <row r="11" spans="1:26" ht="15" customHeight="1" x14ac:dyDescent="0.2">
      <c r="A11" s="885"/>
      <c r="B11" s="1337" t="s">
        <v>946</v>
      </c>
      <c r="C11" s="1338"/>
      <c r="D11" s="1339"/>
      <c r="E11" s="1340">
        <v>1852019</v>
      </c>
      <c r="F11" s="1340">
        <v>2041480.54</v>
      </c>
      <c r="G11" s="1341"/>
      <c r="H11" s="1337" t="s">
        <v>946</v>
      </c>
      <c r="I11" s="1338"/>
      <c r="J11" s="1339"/>
      <c r="K11" s="1340">
        <f>L11*0.907185</f>
        <v>484658.14314</v>
      </c>
      <c r="L11" s="1340">
        <v>534244</v>
      </c>
      <c r="M11" s="885"/>
      <c r="N11" s="885"/>
      <c r="O11" s="885"/>
      <c r="P11" s="885"/>
      <c r="Q11" s="885"/>
      <c r="R11" s="885"/>
      <c r="S11" s="885"/>
      <c r="T11" s="885"/>
      <c r="U11" s="885"/>
      <c r="V11" s="885"/>
      <c r="W11" s="885"/>
      <c r="X11" s="885"/>
      <c r="Y11" s="885"/>
      <c r="Z11" s="885"/>
    </row>
    <row r="12" spans="1:26" ht="15" customHeight="1" x14ac:dyDescent="0.2">
      <c r="A12" s="885"/>
      <c r="B12" s="1342"/>
      <c r="H12" s="1342"/>
      <c r="M12" s="1343"/>
      <c r="N12" s="1343"/>
      <c r="O12" s="885"/>
      <c r="P12" s="885"/>
      <c r="Q12" s="885"/>
      <c r="R12" s="885"/>
      <c r="S12" s="885"/>
      <c r="T12" s="885"/>
      <c r="U12" s="885"/>
      <c r="V12" s="885"/>
      <c r="W12" s="885"/>
      <c r="X12" s="885"/>
      <c r="Y12" s="885"/>
      <c r="Z12" s="885"/>
    </row>
    <row r="13" spans="1:26" ht="15" customHeight="1" x14ac:dyDescent="0.2">
      <c r="A13" s="885"/>
      <c r="B13" s="1344" t="s">
        <v>947</v>
      </c>
      <c r="C13" s="880"/>
      <c r="D13" s="880"/>
      <c r="E13" s="880"/>
      <c r="F13" s="880"/>
      <c r="H13" s="1344" t="s">
        <v>947</v>
      </c>
      <c r="I13" s="880"/>
      <c r="J13" s="880"/>
      <c r="K13" s="880"/>
      <c r="L13" s="880"/>
      <c r="M13" s="1345"/>
      <c r="N13" s="1346"/>
      <c r="O13" s="885"/>
      <c r="P13" s="885"/>
      <c r="Q13" s="885"/>
      <c r="R13" s="885"/>
      <c r="S13" s="885"/>
      <c r="T13" s="885"/>
      <c r="U13" s="885"/>
      <c r="V13" s="885"/>
      <c r="W13" s="885"/>
      <c r="X13" s="885"/>
      <c r="Y13" s="885"/>
      <c r="Z13" s="885"/>
    </row>
    <row r="14" spans="1:26" ht="25.5" x14ac:dyDescent="0.2">
      <c r="A14" s="885"/>
      <c r="B14" s="1336" t="s">
        <v>50</v>
      </c>
      <c r="C14" s="1336" t="s">
        <v>51</v>
      </c>
      <c r="D14" s="1336" t="s">
        <v>52</v>
      </c>
      <c r="E14" s="1336" t="s">
        <v>944</v>
      </c>
      <c r="F14" s="1336" t="s">
        <v>945</v>
      </c>
      <c r="H14" s="1336" t="s">
        <v>50</v>
      </c>
      <c r="I14" s="1336" t="s">
        <v>51</v>
      </c>
      <c r="J14" s="1336" t="s">
        <v>52</v>
      </c>
      <c r="K14" s="1336" t="s">
        <v>944</v>
      </c>
      <c r="L14" s="1336" t="s">
        <v>945</v>
      </c>
      <c r="M14" s="1347"/>
      <c r="N14" s="1347"/>
      <c r="O14" s="885"/>
      <c r="P14" s="885"/>
      <c r="Q14" s="885"/>
      <c r="R14" s="885"/>
      <c r="S14" s="885"/>
      <c r="T14" s="885"/>
      <c r="U14" s="885"/>
      <c r="V14" s="885"/>
      <c r="W14" s="885"/>
      <c r="X14" s="885"/>
      <c r="Y14" s="885"/>
      <c r="Z14" s="885"/>
    </row>
    <row r="15" spans="1:26" ht="15" customHeight="1" x14ac:dyDescent="0.2">
      <c r="A15" s="885"/>
      <c r="B15" s="1348" t="s">
        <v>72</v>
      </c>
      <c r="C15" s="1340">
        <v>268573</v>
      </c>
      <c r="D15" s="1190" t="s">
        <v>948</v>
      </c>
      <c r="E15" s="1340">
        <v>602707.16</v>
      </c>
      <c r="F15" s="1340">
        <v>664370.13</v>
      </c>
      <c r="H15" s="1348" t="s">
        <v>72</v>
      </c>
      <c r="I15" s="1340">
        <v>66832</v>
      </c>
      <c r="J15" s="1190" t="s">
        <v>949</v>
      </c>
      <c r="K15" s="1340">
        <f>I15*20.49*96.4/1000</f>
        <v>132008.97235200001</v>
      </c>
      <c r="L15" s="1340">
        <f>K15/0.907185</f>
        <v>145514.94166239523</v>
      </c>
      <c r="M15" s="1345"/>
      <c r="N15" s="1345"/>
      <c r="O15" s="885"/>
      <c r="P15" s="885"/>
      <c r="Q15" s="885"/>
      <c r="R15" s="885"/>
      <c r="S15" s="885"/>
      <c r="T15" s="885"/>
      <c r="U15" s="885"/>
      <c r="V15" s="885"/>
      <c r="W15" s="885"/>
      <c r="X15" s="885"/>
      <c r="Y15" s="885"/>
      <c r="Z15" s="885"/>
    </row>
    <row r="16" spans="1:26" ht="15" customHeight="1" x14ac:dyDescent="0.2">
      <c r="A16" s="885"/>
      <c r="B16" s="1348" t="s">
        <v>950</v>
      </c>
      <c r="C16" s="1190">
        <v>0</v>
      </c>
      <c r="D16" s="1190" t="s">
        <v>948</v>
      </c>
      <c r="E16" s="1340">
        <v>0</v>
      </c>
      <c r="F16" s="1340">
        <v>0</v>
      </c>
      <c r="H16" s="1348" t="s">
        <v>25</v>
      </c>
      <c r="I16" s="1190">
        <v>0</v>
      </c>
      <c r="J16" s="1190" t="s">
        <v>81</v>
      </c>
      <c r="K16" s="1340">
        <v>0</v>
      </c>
      <c r="L16" s="1340">
        <v>0</v>
      </c>
      <c r="M16" s="1347"/>
      <c r="N16" s="1347"/>
      <c r="O16" s="885"/>
      <c r="P16" s="885"/>
      <c r="Q16" s="885"/>
      <c r="R16" s="885"/>
      <c r="S16" s="885"/>
      <c r="T16" s="885"/>
      <c r="U16" s="885"/>
      <c r="V16" s="885"/>
      <c r="W16" s="885"/>
      <c r="X16" s="885"/>
      <c r="Y16" s="885"/>
      <c r="Z16" s="885"/>
    </row>
    <row r="17" spans="1:26" ht="15" customHeight="1" x14ac:dyDescent="0.2">
      <c r="A17" s="885"/>
      <c r="B17" s="1348" t="s">
        <v>25</v>
      </c>
      <c r="C17" s="1340">
        <v>795700.92469999997</v>
      </c>
      <c r="D17" s="1190" t="s">
        <v>81</v>
      </c>
      <c r="E17" s="1340">
        <v>8670.2800000000007</v>
      </c>
      <c r="F17" s="1340">
        <v>9557.3407999999999</v>
      </c>
      <c r="H17" s="1348" t="s">
        <v>951</v>
      </c>
      <c r="I17" s="1340">
        <v>913.5</v>
      </c>
      <c r="J17" s="1190" t="s">
        <v>948</v>
      </c>
      <c r="K17" s="1340">
        <f>I17/0.907185*27.71*86/1000</f>
        <v>2399.648704509003</v>
      </c>
      <c r="L17" s="1340">
        <f>K17/0.907185</f>
        <v>2645.1591511202269</v>
      </c>
      <c r="M17" s="1349"/>
      <c r="N17" s="1349"/>
      <c r="O17" s="885"/>
      <c r="P17" s="885"/>
      <c r="Q17" s="885"/>
      <c r="R17" s="885"/>
      <c r="S17" s="885"/>
      <c r="T17" s="885"/>
      <c r="U17" s="885"/>
      <c r="V17" s="885"/>
      <c r="W17" s="885"/>
      <c r="X17" s="885"/>
      <c r="Y17" s="885"/>
      <c r="Z17" s="885"/>
    </row>
    <row r="18" spans="1:26" ht="15" customHeight="1" x14ac:dyDescent="0.2">
      <c r="A18" s="885"/>
      <c r="B18" s="1348" t="s">
        <v>952</v>
      </c>
      <c r="C18" s="1340">
        <v>361485</v>
      </c>
      <c r="D18" s="1190" t="s">
        <v>948</v>
      </c>
      <c r="E18" s="1340">
        <v>66960.47</v>
      </c>
      <c r="F18" s="1340">
        <v>73811</v>
      </c>
      <c r="H18" s="1348"/>
      <c r="I18" s="1340"/>
      <c r="J18" s="1190"/>
      <c r="K18" s="1340"/>
      <c r="L18" s="1340"/>
      <c r="M18" s="1347"/>
      <c r="N18" s="1347"/>
      <c r="O18" s="885"/>
      <c r="P18" s="885"/>
      <c r="Q18" s="885"/>
      <c r="R18" s="885"/>
      <c r="S18" s="885"/>
      <c r="T18" s="885"/>
      <c r="U18" s="885"/>
      <c r="V18" s="885"/>
      <c r="W18" s="885"/>
      <c r="X18" s="885"/>
      <c r="Y18" s="885"/>
      <c r="Z18" s="885"/>
    </row>
    <row r="19" spans="1:26" ht="15" customHeight="1" x14ac:dyDescent="0.2">
      <c r="A19" s="885"/>
      <c r="B19" s="1350" t="s">
        <v>102</v>
      </c>
      <c r="C19" s="1351"/>
      <c r="D19" s="1351"/>
      <c r="E19" s="1352">
        <f t="shared" ref="E19:F19" si="0">SUM(E15:E18)</f>
        <v>678337.91</v>
      </c>
      <c r="F19" s="1352">
        <f t="shared" si="0"/>
        <v>747738.47080000001</v>
      </c>
      <c r="H19" s="1350" t="s">
        <v>102</v>
      </c>
      <c r="I19" s="1351"/>
      <c r="J19" s="1351"/>
      <c r="K19" s="1352">
        <f t="shared" ref="K19:L19" si="1">SUM(K15:K18)</f>
        <v>134408.621056509</v>
      </c>
      <c r="L19" s="1352">
        <f t="shared" si="1"/>
        <v>148160.10081351546</v>
      </c>
      <c r="M19" s="1345"/>
      <c r="N19" s="1345"/>
      <c r="O19" s="885"/>
      <c r="P19" s="885"/>
      <c r="Q19" s="885"/>
      <c r="R19" s="885"/>
      <c r="S19" s="885"/>
      <c r="T19" s="885"/>
      <c r="U19" s="885"/>
      <c r="V19" s="885"/>
      <c r="W19" s="885"/>
      <c r="X19" s="885"/>
      <c r="Y19" s="885"/>
      <c r="Z19" s="885"/>
    </row>
    <row r="20" spans="1:26" ht="12.75" x14ac:dyDescent="0.2">
      <c r="A20" s="885"/>
      <c r="B20" s="1342"/>
      <c r="C20" s="871"/>
      <c r="D20" s="871"/>
      <c r="E20" s="883"/>
      <c r="H20" s="1342"/>
      <c r="I20" s="871"/>
      <c r="J20" s="871"/>
      <c r="K20" s="883"/>
      <c r="M20" s="1347"/>
      <c r="N20" s="1347"/>
      <c r="O20" s="885"/>
      <c r="P20" s="885"/>
      <c r="Q20" s="885"/>
      <c r="R20" s="885"/>
      <c r="S20" s="885"/>
      <c r="T20" s="885"/>
      <c r="U20" s="885"/>
      <c r="V20" s="885"/>
      <c r="W20" s="885"/>
      <c r="X20" s="885"/>
      <c r="Y20" s="885"/>
      <c r="Z20" s="885"/>
    </row>
    <row r="21" spans="1:26" ht="25.5" x14ac:dyDescent="0.2">
      <c r="A21" s="885"/>
      <c r="E21" s="1336" t="s">
        <v>944</v>
      </c>
      <c r="F21" s="1336" t="s">
        <v>945</v>
      </c>
      <c r="K21" s="1336" t="s">
        <v>944</v>
      </c>
      <c r="L21" s="1336" t="s">
        <v>945</v>
      </c>
      <c r="M21" s="1353"/>
      <c r="N21" s="1353"/>
      <c r="O21" s="885"/>
      <c r="P21" s="885"/>
      <c r="Q21" s="885"/>
      <c r="R21" s="885"/>
      <c r="S21" s="885"/>
      <c r="T21" s="885"/>
      <c r="U21" s="885"/>
      <c r="V21" s="885"/>
      <c r="W21" s="885"/>
      <c r="X21" s="885"/>
      <c r="Y21" s="885"/>
      <c r="Z21" s="885"/>
    </row>
    <row r="22" spans="1:26" ht="15" customHeight="1" x14ac:dyDescent="0.2">
      <c r="A22" s="885"/>
      <c r="B22" s="1337" t="s">
        <v>953</v>
      </c>
      <c r="C22" s="1338"/>
      <c r="D22" s="1339"/>
      <c r="E22" s="1340">
        <f t="shared" ref="E22:F22" si="2">E11-E19</f>
        <v>1173681.0899999999</v>
      </c>
      <c r="F22" s="1340">
        <f t="shared" si="2"/>
        <v>1293742.0692</v>
      </c>
      <c r="H22" s="1337" t="s">
        <v>953</v>
      </c>
      <c r="I22" s="1338"/>
      <c r="J22" s="1339"/>
      <c r="K22" s="1340">
        <f t="shared" ref="K22:L22" si="3">K11-K19</f>
        <v>350249.52208349097</v>
      </c>
      <c r="L22" s="1340">
        <f t="shared" si="3"/>
        <v>386083.89918648452</v>
      </c>
      <c r="M22" s="1347"/>
      <c r="N22" s="1347"/>
      <c r="O22" s="885"/>
      <c r="P22" s="885"/>
      <c r="Q22" s="885"/>
      <c r="R22" s="885"/>
      <c r="S22" s="885"/>
      <c r="T22" s="885"/>
      <c r="U22" s="885"/>
      <c r="V22" s="885"/>
      <c r="W22" s="885"/>
      <c r="X22" s="885"/>
      <c r="Y22" s="885"/>
      <c r="Z22" s="885"/>
    </row>
    <row r="23" spans="1:26" ht="12.75" x14ac:dyDescent="0.2">
      <c r="A23" s="885"/>
      <c r="B23" s="1342"/>
      <c r="H23" s="1342"/>
      <c r="M23" s="1354"/>
      <c r="N23" s="1354"/>
      <c r="O23" s="885"/>
      <c r="P23" s="885"/>
      <c r="Q23" s="885"/>
      <c r="R23" s="885"/>
      <c r="S23" s="885"/>
      <c r="T23" s="885"/>
      <c r="U23" s="885"/>
      <c r="V23" s="885"/>
      <c r="W23" s="885"/>
      <c r="X23" s="885"/>
      <c r="Y23" s="885"/>
      <c r="Z23" s="885"/>
    </row>
    <row r="24" spans="1:26" ht="15" customHeight="1" x14ac:dyDescent="0.2">
      <c r="A24" s="885"/>
      <c r="B24" s="1355" t="s">
        <v>954</v>
      </c>
      <c r="C24" s="1356"/>
      <c r="D24" s="1356"/>
      <c r="E24" s="1356"/>
      <c r="F24" s="1356"/>
      <c r="H24" s="1355" t="s">
        <v>954</v>
      </c>
      <c r="I24" s="1356"/>
      <c r="J24" s="1356"/>
      <c r="K24" s="1356"/>
      <c r="L24" s="1356"/>
      <c r="M24" s="1347"/>
      <c r="N24" s="1347"/>
      <c r="O24" s="885"/>
      <c r="P24" s="885"/>
      <c r="Q24" s="885"/>
      <c r="R24" s="885"/>
      <c r="S24" s="885"/>
      <c r="T24" s="885"/>
      <c r="U24" s="885"/>
      <c r="V24" s="885"/>
      <c r="W24" s="885"/>
      <c r="X24" s="885"/>
      <c r="Y24" s="885"/>
      <c r="Z24" s="885"/>
    </row>
    <row r="25" spans="1:26" ht="25.5" x14ac:dyDescent="0.2">
      <c r="A25" s="885"/>
      <c r="B25" s="1336" t="s">
        <v>50</v>
      </c>
      <c r="C25" s="1336" t="s">
        <v>51</v>
      </c>
      <c r="D25" s="1336" t="s">
        <v>52</v>
      </c>
      <c r="E25" s="1336" t="s">
        <v>944</v>
      </c>
      <c r="F25" s="1336" t="s">
        <v>945</v>
      </c>
      <c r="H25" s="1336" t="s">
        <v>50</v>
      </c>
      <c r="I25" s="1336" t="s">
        <v>51</v>
      </c>
      <c r="J25" s="1336" t="s">
        <v>52</v>
      </c>
      <c r="K25" s="1336" t="s">
        <v>944</v>
      </c>
      <c r="L25" s="1336" t="s">
        <v>945</v>
      </c>
      <c r="M25" s="1347"/>
      <c r="N25" s="1347"/>
      <c r="O25" s="885"/>
      <c r="P25" s="885"/>
      <c r="Q25" s="885"/>
      <c r="R25" s="885"/>
      <c r="S25" s="885"/>
      <c r="T25" s="885"/>
      <c r="U25" s="885"/>
      <c r="V25" s="885"/>
      <c r="W25" s="885"/>
      <c r="X25" s="885"/>
      <c r="Y25" s="885"/>
      <c r="Z25" s="885"/>
    </row>
    <row r="26" spans="1:26" ht="15" customHeight="1" x14ac:dyDescent="0.2">
      <c r="A26" s="885"/>
      <c r="B26" s="1348" t="s">
        <v>955</v>
      </c>
      <c r="C26" s="1340">
        <v>49901.3</v>
      </c>
      <c r="D26" s="1190" t="s">
        <v>81</v>
      </c>
      <c r="E26" s="1340">
        <v>509.32</v>
      </c>
      <c r="F26" s="1340">
        <v>561.41999999999996</v>
      </c>
      <c r="H26" s="1348" t="s">
        <v>956</v>
      </c>
      <c r="I26" s="1340">
        <v>162007</v>
      </c>
      <c r="J26" s="1190" t="s">
        <v>81</v>
      </c>
      <c r="K26" s="1340">
        <f t="shared" ref="K26:K27" si="4">L26*0.907185</f>
        <v>1653.51702765</v>
      </c>
      <c r="L26" s="1340">
        <v>1822.69</v>
      </c>
      <c r="M26" s="1347"/>
      <c r="N26" s="1347"/>
      <c r="O26" s="885"/>
      <c r="P26" s="885"/>
      <c r="Q26" s="885"/>
      <c r="R26" s="885"/>
      <c r="S26" s="885"/>
      <c r="T26" s="885"/>
      <c r="U26" s="885"/>
      <c r="V26" s="885"/>
      <c r="W26" s="885"/>
      <c r="X26" s="885"/>
      <c r="Y26" s="885"/>
      <c r="Z26" s="885"/>
    </row>
    <row r="27" spans="1:26" ht="15" customHeight="1" x14ac:dyDescent="0.2">
      <c r="A27" s="885"/>
      <c r="B27" s="1348"/>
      <c r="C27" s="1340"/>
      <c r="D27" s="1190"/>
      <c r="E27" s="1340"/>
      <c r="F27" s="1340"/>
      <c r="H27" s="1348" t="s">
        <v>529</v>
      </c>
      <c r="I27" s="1340"/>
      <c r="J27" s="1190" t="s">
        <v>81</v>
      </c>
      <c r="K27" s="1340">
        <f t="shared" si="4"/>
        <v>25.5463296</v>
      </c>
      <c r="L27" s="1340">
        <v>28.16</v>
      </c>
      <c r="M27" s="1347"/>
      <c r="N27" s="1347"/>
      <c r="O27" s="885"/>
      <c r="P27" s="885"/>
      <c r="Q27" s="885"/>
      <c r="R27" s="885"/>
      <c r="S27" s="885"/>
      <c r="T27" s="885"/>
      <c r="U27" s="885"/>
      <c r="V27" s="885"/>
      <c r="W27" s="885"/>
      <c r="X27" s="885"/>
      <c r="Y27" s="885"/>
      <c r="Z27" s="885"/>
    </row>
    <row r="28" spans="1:26" ht="12.75" x14ac:dyDescent="0.2">
      <c r="A28" s="885"/>
      <c r="H28" s="1342"/>
      <c r="M28" s="1347"/>
      <c r="N28" s="1347"/>
      <c r="O28" s="885"/>
      <c r="P28" s="885"/>
      <c r="Q28" s="885"/>
      <c r="R28" s="885"/>
      <c r="S28" s="885"/>
      <c r="T28" s="885"/>
      <c r="U28" s="885"/>
      <c r="V28" s="885"/>
      <c r="W28" s="885"/>
      <c r="X28" s="885"/>
      <c r="Y28" s="885"/>
      <c r="Z28" s="885"/>
    </row>
    <row r="29" spans="1:26" ht="25.5" x14ac:dyDescent="0.2">
      <c r="A29" s="885"/>
      <c r="E29" s="1336" t="s">
        <v>944</v>
      </c>
      <c r="F29" s="1336" t="s">
        <v>945</v>
      </c>
      <c r="K29" s="1336" t="s">
        <v>944</v>
      </c>
      <c r="L29" s="1336" t="s">
        <v>945</v>
      </c>
      <c r="M29" s="1357"/>
      <c r="N29" s="1357"/>
      <c r="O29" s="885"/>
      <c r="P29" s="885"/>
      <c r="Q29" s="885"/>
      <c r="R29" s="885"/>
      <c r="S29" s="885"/>
      <c r="T29" s="885"/>
      <c r="U29" s="885"/>
      <c r="V29" s="885"/>
      <c r="W29" s="885"/>
      <c r="X29" s="885"/>
      <c r="Y29" s="885"/>
      <c r="Z29" s="885"/>
    </row>
    <row r="30" spans="1:26" ht="15" customHeight="1" x14ac:dyDescent="0.2">
      <c r="A30" s="885"/>
      <c r="B30" s="1358" t="s">
        <v>957</v>
      </c>
      <c r="C30" s="1359"/>
      <c r="D30" s="1360"/>
      <c r="E30" s="1340">
        <f t="shared" ref="E30:F30" si="5">E11+SUM(E26:E27)</f>
        <v>1852528.32</v>
      </c>
      <c r="F30" s="1340">
        <f t="shared" si="5"/>
        <v>2042041.96</v>
      </c>
      <c r="H30" s="1358" t="s">
        <v>957</v>
      </c>
      <c r="I30" s="1359"/>
      <c r="J30" s="1360"/>
      <c r="K30" s="1340">
        <f t="shared" ref="K30:L30" si="6">K11+SUM(K26:K27)</f>
        <v>486337.20649725001</v>
      </c>
      <c r="L30" s="1340">
        <f t="shared" si="6"/>
        <v>536094.85</v>
      </c>
      <c r="M30" s="1347"/>
      <c r="N30" s="1347"/>
      <c r="O30" s="885"/>
      <c r="P30" s="885"/>
      <c r="Q30" s="885"/>
      <c r="R30" s="885"/>
      <c r="S30" s="885"/>
      <c r="T30" s="885"/>
      <c r="U30" s="885"/>
      <c r="V30" s="885"/>
      <c r="W30" s="885"/>
      <c r="X30" s="885"/>
      <c r="Y30" s="885"/>
      <c r="Z30" s="885"/>
    </row>
    <row r="31" spans="1:26" ht="12.75" x14ac:dyDescent="0.2">
      <c r="A31" s="885"/>
      <c r="B31" s="1342"/>
      <c r="I31" s="1361"/>
      <c r="J31" s="1347"/>
      <c r="K31" s="1347"/>
      <c r="L31" s="1362"/>
      <c r="M31" s="1363"/>
      <c r="N31" s="1363"/>
      <c r="O31" s="885"/>
      <c r="P31" s="885"/>
      <c r="Q31" s="885"/>
      <c r="R31" s="885"/>
      <c r="S31" s="885"/>
      <c r="T31" s="885"/>
      <c r="U31" s="885"/>
      <c r="V31" s="885"/>
      <c r="W31" s="885"/>
      <c r="X31" s="885"/>
      <c r="Y31" s="885"/>
      <c r="Z31" s="885"/>
    </row>
    <row r="32" spans="1:26" ht="12.75" x14ac:dyDescent="0.2">
      <c r="A32" s="885"/>
      <c r="I32" s="1361"/>
      <c r="J32" s="1347"/>
      <c r="K32" s="1347"/>
      <c r="L32" s="1347"/>
      <c r="M32" s="1347"/>
      <c r="N32" s="1347"/>
      <c r="O32" s="885"/>
      <c r="P32" s="885"/>
      <c r="Q32" s="885"/>
      <c r="R32" s="885"/>
      <c r="S32" s="885"/>
      <c r="T32" s="885"/>
      <c r="U32" s="885"/>
      <c r="V32" s="885"/>
      <c r="W32" s="885"/>
      <c r="X32" s="885"/>
      <c r="Y32" s="885"/>
      <c r="Z32" s="885"/>
    </row>
    <row r="33" spans="1:26" ht="15.75" x14ac:dyDescent="0.25">
      <c r="A33" s="885"/>
      <c r="B33" s="1221" t="s">
        <v>847</v>
      </c>
      <c r="C33" s="947"/>
      <c r="D33" s="947"/>
      <c r="E33" s="947"/>
      <c r="F33" s="947"/>
      <c r="I33" s="1361"/>
      <c r="J33" s="1364"/>
      <c r="K33" s="1364"/>
      <c r="L33" s="1354"/>
      <c r="M33" s="1347"/>
      <c r="N33" s="1347"/>
      <c r="O33" s="885"/>
      <c r="P33" s="885"/>
      <c r="Q33" s="885"/>
      <c r="R33" s="885"/>
      <c r="S33" s="885"/>
      <c r="T33" s="885"/>
      <c r="U33" s="885"/>
      <c r="V33" s="885"/>
      <c r="W33" s="885"/>
      <c r="X33" s="885"/>
      <c r="Y33" s="885"/>
      <c r="Z33" s="885"/>
    </row>
    <row r="34" spans="1:26" ht="12.75" x14ac:dyDescent="0.2">
      <c r="A34" s="885"/>
      <c r="B34" s="885"/>
      <c r="C34" s="885"/>
      <c r="D34" s="885"/>
      <c r="E34" s="885"/>
      <c r="F34" s="885"/>
      <c r="O34" s="885"/>
      <c r="P34" s="885"/>
      <c r="Q34" s="885"/>
      <c r="R34" s="885"/>
      <c r="S34" s="885"/>
      <c r="T34" s="885"/>
      <c r="U34" s="885"/>
      <c r="V34" s="885"/>
      <c r="W34" s="885"/>
      <c r="X34" s="885"/>
      <c r="Y34" s="885"/>
      <c r="Z34" s="885"/>
    </row>
    <row r="35" spans="1:26" ht="25.5" x14ac:dyDescent="0.2">
      <c r="A35" s="885"/>
      <c r="C35" s="1336" t="s">
        <v>944</v>
      </c>
      <c r="D35" s="1336" t="s">
        <v>960</v>
      </c>
      <c r="I35" s="1365"/>
      <c r="J35" s="1341"/>
      <c r="K35" s="1341"/>
      <c r="L35" s="1341"/>
      <c r="M35" s="1341"/>
      <c r="N35" s="1341"/>
      <c r="O35" s="885"/>
      <c r="P35" s="885"/>
      <c r="Q35" s="885"/>
      <c r="R35" s="885"/>
      <c r="S35" s="885"/>
      <c r="T35" s="885"/>
      <c r="U35" s="885"/>
      <c r="V35" s="885"/>
      <c r="W35" s="885"/>
      <c r="X35" s="885"/>
      <c r="Y35" s="885"/>
      <c r="Z35" s="885"/>
    </row>
    <row r="36" spans="1:26" ht="15" customHeight="1" x14ac:dyDescent="0.2">
      <c r="A36" s="885"/>
      <c r="B36" s="1190" t="s">
        <v>961</v>
      </c>
      <c r="C36" s="1340">
        <f>E22+K22</f>
        <v>1523930.6120834909</v>
      </c>
      <c r="D36" s="906">
        <f>C36/1000000</f>
        <v>1.523930612083491</v>
      </c>
      <c r="I36" s="1366"/>
      <c r="J36" s="1341"/>
      <c r="K36" s="1341"/>
      <c r="L36" s="1343"/>
      <c r="M36" s="1343"/>
      <c r="N36" s="1343"/>
      <c r="O36" s="885"/>
      <c r="P36" s="885"/>
      <c r="Q36" s="885"/>
      <c r="R36" s="885"/>
      <c r="S36" s="885"/>
      <c r="T36" s="885"/>
      <c r="U36" s="885"/>
      <c r="V36" s="885"/>
      <c r="W36" s="885"/>
      <c r="X36" s="885"/>
      <c r="Y36" s="885"/>
      <c r="Z36" s="885"/>
    </row>
    <row r="37" spans="1:26" ht="12.75" x14ac:dyDescent="0.2">
      <c r="A37" s="885"/>
      <c r="I37" s="2044"/>
      <c r="J37" s="2045"/>
      <c r="K37" s="2045"/>
      <c r="L37" s="2045"/>
      <c r="M37" s="2045"/>
      <c r="N37" s="2045"/>
      <c r="O37" s="885"/>
      <c r="P37" s="885"/>
      <c r="Q37" s="885"/>
      <c r="R37" s="885"/>
      <c r="S37" s="885"/>
      <c r="T37" s="885"/>
      <c r="U37" s="885"/>
      <c r="V37" s="885"/>
      <c r="W37" s="885"/>
      <c r="X37" s="885"/>
      <c r="Y37" s="885"/>
      <c r="Z37" s="885"/>
    </row>
    <row r="38" spans="1:26" ht="12.75" x14ac:dyDescent="0.2">
      <c r="A38" s="885"/>
      <c r="I38" s="1365"/>
      <c r="J38" s="1347"/>
      <c r="K38" s="1347"/>
      <c r="L38" s="1347"/>
      <c r="M38" s="1347"/>
      <c r="N38" s="1347"/>
      <c r="O38" s="885"/>
      <c r="P38" s="885"/>
      <c r="Q38" s="885"/>
      <c r="R38" s="885"/>
      <c r="S38" s="885"/>
      <c r="T38" s="885"/>
      <c r="U38" s="885"/>
      <c r="V38" s="885"/>
      <c r="W38" s="885"/>
      <c r="X38" s="885"/>
      <c r="Y38" s="885"/>
      <c r="Z38" s="885"/>
    </row>
    <row r="39" spans="1:26" ht="12.75" x14ac:dyDescent="0.2">
      <c r="A39" s="885"/>
      <c r="I39" s="885"/>
      <c r="J39" s="1367"/>
      <c r="K39" s="1368"/>
      <c r="L39" s="1369"/>
      <c r="M39" s="1370"/>
      <c r="N39" s="1370"/>
      <c r="O39" s="885"/>
      <c r="P39" s="885"/>
      <c r="Q39" s="885"/>
      <c r="R39" s="885"/>
      <c r="S39" s="885"/>
      <c r="T39" s="885"/>
      <c r="U39" s="885"/>
      <c r="V39" s="885"/>
      <c r="W39" s="885"/>
      <c r="X39" s="885"/>
      <c r="Y39" s="885"/>
      <c r="Z39" s="885"/>
    </row>
    <row r="40" spans="1:26" ht="12.75" x14ac:dyDescent="0.2">
      <c r="A40" s="885"/>
      <c r="I40" s="885"/>
      <c r="J40" s="1371"/>
      <c r="K40" s="1368"/>
      <c r="L40" s="1369"/>
      <c r="M40" s="1370"/>
      <c r="N40" s="1370"/>
      <c r="O40" s="885"/>
      <c r="P40" s="885"/>
      <c r="Q40" s="885"/>
      <c r="R40" s="885"/>
      <c r="S40" s="885"/>
      <c r="T40" s="885"/>
      <c r="U40" s="885"/>
      <c r="V40" s="885"/>
      <c r="W40" s="885"/>
      <c r="X40" s="885"/>
      <c r="Y40" s="885"/>
      <c r="Z40" s="885"/>
    </row>
    <row r="41" spans="1:26" ht="12.75" x14ac:dyDescent="0.2">
      <c r="A41" s="885"/>
      <c r="I41" s="885"/>
      <c r="J41" s="1367"/>
      <c r="K41" s="1371"/>
      <c r="L41" s="1369"/>
      <c r="M41" s="1370"/>
      <c r="N41" s="1370"/>
      <c r="O41" s="885"/>
      <c r="P41" s="885"/>
      <c r="Q41" s="885"/>
      <c r="R41" s="885"/>
      <c r="S41" s="885"/>
      <c r="T41" s="885"/>
      <c r="U41" s="885"/>
      <c r="V41" s="885"/>
      <c r="W41" s="885"/>
      <c r="X41" s="885"/>
      <c r="Y41" s="885"/>
      <c r="Z41" s="885"/>
    </row>
    <row r="42" spans="1:26" ht="12.75" x14ac:dyDescent="0.2">
      <c r="A42" s="885"/>
      <c r="I42" s="885"/>
      <c r="J42" s="1371"/>
      <c r="K42" s="1371"/>
      <c r="L42" s="1369"/>
      <c r="M42" s="1370"/>
      <c r="N42" s="1370"/>
      <c r="O42" s="885"/>
      <c r="P42" s="885"/>
      <c r="Q42" s="885"/>
      <c r="R42" s="885"/>
      <c r="S42" s="885"/>
      <c r="T42" s="885"/>
      <c r="U42" s="885"/>
      <c r="V42" s="885"/>
      <c r="W42" s="885"/>
      <c r="X42" s="885"/>
      <c r="Y42" s="885"/>
      <c r="Z42" s="885"/>
    </row>
    <row r="43" spans="1:26" ht="12.75" x14ac:dyDescent="0.2">
      <c r="A43" s="885"/>
      <c r="I43" s="885"/>
      <c r="J43" s="1372"/>
      <c r="K43" s="1368"/>
      <c r="L43" s="1369"/>
      <c r="M43" s="1370"/>
      <c r="N43" s="1370"/>
      <c r="O43" s="885"/>
      <c r="P43" s="885"/>
      <c r="Q43" s="885"/>
      <c r="R43" s="885"/>
      <c r="S43" s="885"/>
      <c r="T43" s="885"/>
      <c r="U43" s="885"/>
      <c r="V43" s="885"/>
      <c r="W43" s="885"/>
      <c r="X43" s="885"/>
      <c r="Y43" s="885"/>
      <c r="Z43" s="885"/>
    </row>
    <row r="44" spans="1:26" ht="12.75" x14ac:dyDescent="0.2">
      <c r="A44" s="885"/>
      <c r="I44" s="885"/>
      <c r="J44" s="1347"/>
      <c r="K44" s="1347"/>
      <c r="L44" s="1373"/>
      <c r="M44" s="1374"/>
      <c r="N44" s="1374"/>
      <c r="O44" s="885"/>
      <c r="P44" s="885"/>
      <c r="Q44" s="885"/>
      <c r="R44" s="885"/>
      <c r="S44" s="885"/>
      <c r="T44" s="885"/>
      <c r="U44" s="885"/>
      <c r="V44" s="885"/>
      <c r="W44" s="885"/>
      <c r="X44" s="885"/>
      <c r="Y44" s="885"/>
      <c r="Z44" s="885"/>
    </row>
    <row r="45" spans="1:26" ht="12.75" x14ac:dyDescent="0.2">
      <c r="A45" s="885"/>
      <c r="I45" s="1361"/>
      <c r="J45" s="1347"/>
      <c r="K45" s="1347"/>
      <c r="L45" s="1375"/>
      <c r="M45" s="1376"/>
      <c r="N45" s="1376"/>
      <c r="O45" s="885"/>
      <c r="P45" s="885"/>
      <c r="Q45" s="885"/>
      <c r="R45" s="885"/>
      <c r="S45" s="885"/>
      <c r="T45" s="885"/>
      <c r="U45" s="885"/>
      <c r="V45" s="885"/>
      <c r="W45" s="885"/>
      <c r="X45" s="885"/>
      <c r="Y45" s="885"/>
      <c r="Z45" s="885"/>
    </row>
    <row r="46" spans="1:26" ht="12.75" x14ac:dyDescent="0.2">
      <c r="A46" s="885"/>
      <c r="I46" s="885"/>
      <c r="J46" s="1347"/>
      <c r="K46" s="1347"/>
      <c r="L46" s="1364"/>
      <c r="M46" s="1364"/>
      <c r="N46" s="1364"/>
      <c r="O46" s="885"/>
      <c r="P46" s="885"/>
      <c r="Q46" s="885"/>
      <c r="R46" s="885"/>
      <c r="S46" s="885"/>
      <c r="T46" s="885"/>
      <c r="U46" s="885"/>
      <c r="V46" s="885"/>
      <c r="W46" s="885"/>
      <c r="X46" s="885"/>
      <c r="Y46" s="885"/>
      <c r="Z46" s="885"/>
    </row>
    <row r="47" spans="1:26" ht="12.75" x14ac:dyDescent="0.2">
      <c r="A47" s="885"/>
      <c r="I47" s="2044"/>
      <c r="J47" s="2045"/>
      <c r="K47" s="2045"/>
      <c r="L47" s="2045"/>
      <c r="M47" s="2045"/>
      <c r="N47" s="2045"/>
      <c r="O47" s="885"/>
      <c r="P47" s="885"/>
      <c r="Q47" s="885"/>
      <c r="R47" s="885"/>
      <c r="S47" s="885"/>
      <c r="T47" s="885"/>
      <c r="U47" s="885"/>
      <c r="V47" s="885"/>
      <c r="W47" s="885"/>
      <c r="X47" s="885"/>
      <c r="Y47" s="885"/>
      <c r="Z47" s="885"/>
    </row>
    <row r="48" spans="1:26" ht="12.75" x14ac:dyDescent="0.2">
      <c r="A48" s="885"/>
      <c r="I48" s="1365"/>
      <c r="J48" s="885"/>
      <c r="K48" s="885"/>
      <c r="L48" s="1365"/>
      <c r="M48" s="1365"/>
      <c r="N48" s="1365"/>
      <c r="O48" s="885"/>
      <c r="P48" s="885"/>
      <c r="Q48" s="885"/>
      <c r="R48" s="885"/>
      <c r="S48" s="885"/>
      <c r="T48" s="885"/>
      <c r="U48" s="885"/>
      <c r="V48" s="885"/>
      <c r="W48" s="885"/>
      <c r="X48" s="885"/>
      <c r="Y48" s="885"/>
      <c r="Z48" s="885"/>
    </row>
    <row r="49" spans="1:26" ht="12.75" x14ac:dyDescent="0.2">
      <c r="A49" s="885"/>
      <c r="I49" s="1377"/>
      <c r="J49" s="1269"/>
      <c r="K49" s="885"/>
      <c r="L49" s="1362"/>
      <c r="M49" s="1364"/>
      <c r="N49" s="1364"/>
      <c r="O49" s="885"/>
      <c r="P49" s="885"/>
      <c r="Q49" s="885"/>
      <c r="R49" s="885"/>
      <c r="S49" s="885"/>
      <c r="T49" s="885"/>
      <c r="U49" s="885"/>
      <c r="V49" s="885"/>
      <c r="W49" s="885"/>
      <c r="X49" s="885"/>
      <c r="Y49" s="885"/>
      <c r="Z49" s="885"/>
    </row>
    <row r="50" spans="1:26" ht="12.75" x14ac:dyDescent="0.2">
      <c r="A50" s="885"/>
      <c r="I50" s="1365"/>
      <c r="J50" s="885"/>
      <c r="K50" s="885"/>
      <c r="L50" s="1365"/>
      <c r="M50" s="1365"/>
      <c r="N50" s="1365"/>
      <c r="O50" s="885"/>
      <c r="P50" s="885"/>
      <c r="Q50" s="885"/>
      <c r="R50" s="885"/>
      <c r="S50" s="885"/>
      <c r="T50" s="885"/>
      <c r="U50" s="885"/>
      <c r="V50" s="885"/>
      <c r="W50" s="885"/>
      <c r="X50" s="885"/>
      <c r="Y50" s="885"/>
      <c r="Z50" s="885"/>
    </row>
    <row r="51" spans="1:26" ht="12.75" x14ac:dyDescent="0.2">
      <c r="A51" s="885"/>
      <c r="I51" s="1361"/>
      <c r="J51" s="885"/>
      <c r="K51" s="885"/>
      <c r="L51" s="1362"/>
      <c r="M51" s="1378"/>
      <c r="N51" s="1378"/>
      <c r="O51" s="885"/>
      <c r="P51" s="885"/>
      <c r="Q51" s="885"/>
      <c r="R51" s="885"/>
      <c r="S51" s="885"/>
      <c r="T51" s="885"/>
      <c r="U51" s="885"/>
      <c r="V51" s="885"/>
      <c r="W51" s="885"/>
      <c r="X51" s="885"/>
      <c r="Y51" s="885"/>
      <c r="Z51" s="885"/>
    </row>
    <row r="52" spans="1:26" ht="12.75" x14ac:dyDescent="0.2">
      <c r="A52" s="885"/>
      <c r="I52" s="1361"/>
      <c r="J52" s="885"/>
      <c r="K52" s="885"/>
      <c r="L52" s="1365"/>
      <c r="M52" s="1365"/>
      <c r="N52" s="1365"/>
      <c r="O52" s="885"/>
      <c r="P52" s="885"/>
      <c r="Q52" s="885"/>
      <c r="R52" s="885"/>
      <c r="S52" s="885"/>
      <c r="T52" s="885"/>
      <c r="U52" s="885"/>
      <c r="V52" s="885"/>
      <c r="W52" s="885"/>
      <c r="X52" s="885"/>
      <c r="Y52" s="885"/>
      <c r="Z52" s="885"/>
    </row>
    <row r="53" spans="1:26" ht="12.75" x14ac:dyDescent="0.2">
      <c r="A53" s="885"/>
      <c r="I53" s="1365"/>
      <c r="J53" s="885"/>
      <c r="K53" s="885"/>
      <c r="L53" s="1362"/>
      <c r="M53" s="1362"/>
      <c r="N53" s="1362"/>
      <c r="O53" s="885"/>
      <c r="P53" s="885"/>
      <c r="Q53" s="885"/>
      <c r="R53" s="885"/>
      <c r="S53" s="885"/>
      <c r="T53" s="885"/>
      <c r="U53" s="885"/>
      <c r="V53" s="885"/>
      <c r="W53" s="885"/>
      <c r="X53" s="885"/>
      <c r="Y53" s="885"/>
      <c r="Z53" s="885"/>
    </row>
    <row r="54" spans="1:26" ht="12.75" x14ac:dyDescent="0.2">
      <c r="A54" s="885"/>
      <c r="B54" s="885"/>
      <c r="C54" s="1347"/>
      <c r="D54" s="1347"/>
      <c r="E54" s="1347"/>
      <c r="F54" s="1347"/>
      <c r="I54" s="1365"/>
      <c r="J54" s="885"/>
      <c r="K54" s="885"/>
      <c r="L54" s="1365"/>
      <c r="M54" s="1365"/>
      <c r="N54" s="1365"/>
      <c r="O54" s="885"/>
      <c r="P54" s="885"/>
      <c r="Q54" s="885"/>
      <c r="R54" s="885"/>
      <c r="S54" s="885"/>
      <c r="T54" s="885"/>
      <c r="U54" s="885"/>
      <c r="V54" s="885"/>
      <c r="W54" s="885"/>
      <c r="X54" s="885"/>
      <c r="Y54" s="885"/>
      <c r="Z54" s="885"/>
    </row>
    <row r="55" spans="1:26" ht="12.75" x14ac:dyDescent="0.2">
      <c r="A55" s="885"/>
      <c r="I55" s="1365"/>
      <c r="J55" s="885"/>
      <c r="K55" s="885"/>
      <c r="L55" s="1363"/>
      <c r="M55" s="1363"/>
      <c r="N55" s="1363"/>
      <c r="O55" s="885"/>
      <c r="P55" s="885"/>
      <c r="Q55" s="885"/>
      <c r="R55" s="885"/>
      <c r="S55" s="885"/>
      <c r="T55" s="885"/>
      <c r="U55" s="885"/>
      <c r="V55" s="885"/>
      <c r="W55" s="885"/>
      <c r="X55" s="885"/>
      <c r="Y55" s="885"/>
      <c r="Z55" s="885"/>
    </row>
    <row r="56" spans="1:26" ht="12.75" x14ac:dyDescent="0.2">
      <c r="A56" s="885"/>
      <c r="I56" s="1365"/>
      <c r="J56" s="885"/>
      <c r="K56" s="885"/>
      <c r="L56" s="1365"/>
      <c r="M56" s="1365"/>
      <c r="N56" s="1365"/>
      <c r="O56" s="885"/>
      <c r="P56" s="885"/>
      <c r="Q56" s="885"/>
      <c r="R56" s="885"/>
      <c r="S56" s="885"/>
      <c r="T56" s="885"/>
      <c r="U56" s="885"/>
      <c r="V56" s="885"/>
      <c r="W56" s="885"/>
      <c r="X56" s="885"/>
      <c r="Y56" s="885"/>
      <c r="Z56" s="885"/>
    </row>
    <row r="57" spans="1:26" ht="12.75" x14ac:dyDescent="0.2">
      <c r="A57" s="885"/>
      <c r="H57" s="1347"/>
      <c r="I57" s="1365"/>
      <c r="J57" s="885"/>
      <c r="K57" s="885"/>
      <c r="L57" s="1365"/>
      <c r="M57" s="1365"/>
      <c r="N57" s="1365"/>
      <c r="O57" s="885"/>
      <c r="P57" s="885"/>
      <c r="Q57" s="885"/>
      <c r="R57" s="885"/>
      <c r="S57" s="885"/>
      <c r="T57" s="885"/>
      <c r="U57" s="885"/>
      <c r="V57" s="885"/>
      <c r="W57" s="885"/>
      <c r="X57" s="885"/>
      <c r="Y57" s="885"/>
      <c r="Z57" s="885"/>
    </row>
    <row r="58" spans="1:26" ht="12.75" x14ac:dyDescent="0.2">
      <c r="A58" s="885"/>
      <c r="H58" s="885"/>
      <c r="I58" s="1365"/>
      <c r="J58" s="885"/>
      <c r="K58" s="885"/>
      <c r="L58" s="1363"/>
      <c r="M58" s="1363"/>
      <c r="N58" s="1363"/>
      <c r="O58" s="885"/>
      <c r="P58" s="885"/>
      <c r="Q58" s="885"/>
      <c r="R58" s="885"/>
      <c r="S58" s="885"/>
      <c r="T58" s="885"/>
      <c r="U58" s="885"/>
      <c r="V58" s="885"/>
      <c r="W58" s="885"/>
      <c r="X58" s="885"/>
      <c r="Y58" s="885"/>
      <c r="Z58" s="885"/>
    </row>
    <row r="59" spans="1:26" ht="12.75" x14ac:dyDescent="0.2">
      <c r="A59" s="885"/>
      <c r="B59" s="885"/>
      <c r="H59" s="885"/>
      <c r="I59" s="1365"/>
      <c r="J59" s="885"/>
      <c r="K59" s="885"/>
      <c r="L59" s="1365"/>
      <c r="M59" s="1365"/>
      <c r="N59" s="1365"/>
      <c r="O59" s="885"/>
      <c r="P59" s="885"/>
      <c r="Q59" s="885"/>
      <c r="R59" s="885"/>
      <c r="S59" s="885"/>
      <c r="T59" s="885"/>
      <c r="U59" s="885"/>
      <c r="V59" s="885"/>
      <c r="W59" s="885"/>
      <c r="X59" s="885"/>
      <c r="Y59" s="885"/>
      <c r="Z59" s="885"/>
    </row>
    <row r="60" spans="1:26" ht="12.75" x14ac:dyDescent="0.2">
      <c r="A60" s="885"/>
      <c r="B60" s="1365"/>
      <c r="I60" s="1365"/>
      <c r="J60" s="885"/>
      <c r="K60" s="885"/>
      <c r="L60" s="1363"/>
      <c r="M60" s="1363"/>
      <c r="N60" s="1363"/>
      <c r="O60" s="885"/>
      <c r="P60" s="885"/>
      <c r="Q60" s="885"/>
      <c r="R60" s="885"/>
      <c r="S60" s="885"/>
      <c r="T60" s="885"/>
      <c r="U60" s="885"/>
      <c r="V60" s="885"/>
      <c r="W60" s="885"/>
      <c r="X60" s="885"/>
      <c r="Y60" s="885"/>
      <c r="Z60" s="885"/>
    </row>
    <row r="61" spans="1:26" ht="12.75" x14ac:dyDescent="0.2">
      <c r="A61" s="885"/>
      <c r="B61" s="885"/>
      <c r="O61" s="885"/>
      <c r="P61" s="885"/>
      <c r="Q61" s="885"/>
      <c r="R61" s="885"/>
      <c r="S61" s="885"/>
      <c r="T61" s="885"/>
      <c r="U61" s="885"/>
      <c r="V61" s="885"/>
      <c r="W61" s="885"/>
      <c r="X61" s="885"/>
      <c r="Y61" s="885"/>
      <c r="Z61" s="885"/>
    </row>
    <row r="62" spans="1:26" ht="12.75" x14ac:dyDescent="0.2">
      <c r="A62" s="885"/>
      <c r="B62" s="885"/>
      <c r="I62" s="885"/>
      <c r="J62" s="885"/>
      <c r="K62" s="885"/>
      <c r="L62" s="885"/>
      <c r="M62" s="885"/>
      <c r="N62" s="885"/>
      <c r="O62" s="885"/>
      <c r="P62" s="885"/>
      <c r="Q62" s="885"/>
      <c r="R62" s="885"/>
      <c r="S62" s="885"/>
      <c r="T62" s="885"/>
      <c r="U62" s="885"/>
      <c r="V62" s="885"/>
      <c r="W62" s="885"/>
      <c r="X62" s="885"/>
      <c r="Y62" s="885"/>
      <c r="Z62" s="885"/>
    </row>
    <row r="63" spans="1:26" ht="12.75" x14ac:dyDescent="0.2">
      <c r="A63" s="885"/>
      <c r="B63" s="885"/>
      <c r="I63" s="1365"/>
      <c r="J63" s="885"/>
      <c r="K63" s="885"/>
      <c r="L63" s="1379"/>
      <c r="M63" s="885"/>
      <c r="N63" s="885"/>
      <c r="O63" s="885"/>
      <c r="P63" s="885"/>
      <c r="Q63" s="885"/>
      <c r="R63" s="885"/>
      <c r="S63" s="885"/>
      <c r="T63" s="885"/>
      <c r="U63" s="885"/>
      <c r="V63" s="885"/>
      <c r="W63" s="885"/>
      <c r="X63" s="885"/>
      <c r="Y63" s="885"/>
      <c r="Z63" s="885"/>
    </row>
    <row r="64" spans="1:26" ht="12.75" x14ac:dyDescent="0.2">
      <c r="A64" s="885"/>
      <c r="B64" s="885"/>
      <c r="I64" s="1365"/>
      <c r="J64" s="885"/>
      <c r="K64" s="885"/>
      <c r="L64" s="1380"/>
      <c r="M64" s="885"/>
      <c r="N64" s="885"/>
      <c r="O64" s="885"/>
      <c r="P64" s="885"/>
      <c r="Q64" s="885"/>
      <c r="R64" s="885"/>
      <c r="S64" s="885"/>
      <c r="T64" s="885"/>
      <c r="U64" s="885"/>
      <c r="V64" s="885"/>
      <c r="W64" s="885"/>
      <c r="X64" s="885"/>
      <c r="Y64" s="885"/>
      <c r="Z64" s="885"/>
    </row>
    <row r="65" spans="1:26" ht="12.75" x14ac:dyDescent="0.2">
      <c r="A65" s="885"/>
      <c r="B65" s="885"/>
      <c r="I65" s="1365"/>
      <c r="J65" s="885"/>
      <c r="K65" s="885"/>
      <c r="L65" s="1379"/>
      <c r="M65" s="885"/>
      <c r="N65" s="885"/>
      <c r="O65" s="885"/>
      <c r="P65" s="885"/>
      <c r="Q65" s="885"/>
      <c r="R65" s="885"/>
      <c r="S65" s="885"/>
      <c r="T65" s="885"/>
      <c r="U65" s="885"/>
      <c r="V65" s="885"/>
      <c r="W65" s="885"/>
      <c r="X65" s="885"/>
      <c r="Y65" s="885"/>
      <c r="Z65" s="885"/>
    </row>
    <row r="66" spans="1:26" ht="12.75" x14ac:dyDescent="0.2">
      <c r="A66" s="885"/>
      <c r="B66" s="885"/>
      <c r="I66" s="1365"/>
      <c r="J66" s="885"/>
      <c r="K66" s="885"/>
      <c r="L66" s="885"/>
      <c r="M66" s="885"/>
      <c r="N66" s="885"/>
      <c r="O66" s="885"/>
      <c r="P66" s="885"/>
      <c r="Q66" s="885"/>
      <c r="R66" s="885"/>
      <c r="S66" s="885"/>
      <c r="T66" s="885"/>
      <c r="U66" s="885"/>
      <c r="V66" s="885"/>
      <c r="W66" s="885"/>
      <c r="X66" s="885"/>
      <c r="Y66" s="885"/>
      <c r="Z66" s="885"/>
    </row>
    <row r="67" spans="1:26" ht="12.75" x14ac:dyDescent="0.2">
      <c r="A67" s="885"/>
      <c r="B67" s="885"/>
      <c r="I67" s="1365"/>
      <c r="J67" s="885"/>
      <c r="K67" s="885"/>
      <c r="L67" s="1381"/>
      <c r="M67" s="885"/>
      <c r="N67" s="885"/>
      <c r="O67" s="885"/>
      <c r="P67" s="885"/>
      <c r="Q67" s="885"/>
      <c r="R67" s="885"/>
      <c r="S67" s="885"/>
      <c r="T67" s="885"/>
      <c r="U67" s="885"/>
      <c r="V67" s="885"/>
      <c r="W67" s="885"/>
      <c r="X67" s="885"/>
      <c r="Y67" s="885"/>
      <c r="Z67" s="885"/>
    </row>
    <row r="68" spans="1:26" ht="12.75" x14ac:dyDescent="0.2">
      <c r="A68" s="885"/>
      <c r="B68" s="885"/>
      <c r="I68" s="1365"/>
      <c r="J68" s="885"/>
      <c r="K68" s="885"/>
      <c r="L68" s="1365"/>
      <c r="M68" s="885"/>
      <c r="N68" s="885"/>
      <c r="O68" s="885"/>
      <c r="P68" s="885"/>
      <c r="Q68" s="885"/>
      <c r="R68" s="885"/>
      <c r="S68" s="885"/>
      <c r="T68" s="885"/>
      <c r="U68" s="885"/>
      <c r="V68" s="885"/>
      <c r="W68" s="885"/>
      <c r="X68" s="885"/>
      <c r="Y68" s="885"/>
      <c r="Z68" s="885"/>
    </row>
    <row r="69" spans="1:26" ht="12.75" x14ac:dyDescent="0.2">
      <c r="A69" s="885"/>
      <c r="B69" s="885"/>
      <c r="I69" s="885"/>
      <c r="J69" s="885"/>
      <c r="K69" s="885"/>
      <c r="L69" s="885"/>
      <c r="M69" s="885"/>
      <c r="N69" s="885"/>
      <c r="O69" s="885"/>
      <c r="P69" s="885"/>
      <c r="Q69" s="885"/>
      <c r="R69" s="885"/>
      <c r="S69" s="885"/>
      <c r="T69" s="885"/>
      <c r="U69" s="885"/>
      <c r="V69" s="885"/>
      <c r="W69" s="885"/>
      <c r="X69" s="885"/>
      <c r="Y69" s="885"/>
      <c r="Z69" s="885"/>
    </row>
    <row r="70" spans="1:26" ht="12.75" x14ac:dyDescent="0.2">
      <c r="A70" s="885"/>
      <c r="B70" s="885"/>
      <c r="I70" s="885"/>
      <c r="J70" s="885"/>
      <c r="K70" s="885"/>
      <c r="L70" s="885"/>
      <c r="M70" s="885"/>
      <c r="N70" s="885"/>
      <c r="O70" s="885"/>
      <c r="P70" s="885"/>
      <c r="Q70" s="885"/>
      <c r="R70" s="885"/>
      <c r="S70" s="885"/>
      <c r="T70" s="885"/>
      <c r="U70" s="885"/>
      <c r="V70" s="885"/>
      <c r="W70" s="885"/>
      <c r="X70" s="885"/>
      <c r="Y70" s="885"/>
      <c r="Z70" s="885"/>
    </row>
    <row r="71" spans="1:26" ht="12.75" x14ac:dyDescent="0.2">
      <c r="A71" s="885"/>
      <c r="B71" s="885"/>
      <c r="I71" s="885"/>
      <c r="J71" s="885"/>
      <c r="K71" s="885"/>
      <c r="L71" s="885"/>
      <c r="M71" s="885"/>
      <c r="N71" s="885"/>
      <c r="O71" s="885"/>
      <c r="P71" s="885"/>
      <c r="Q71" s="885"/>
      <c r="R71" s="885"/>
      <c r="S71" s="885"/>
      <c r="T71" s="885"/>
      <c r="U71" s="885"/>
      <c r="V71" s="885"/>
      <c r="W71" s="885"/>
      <c r="X71" s="885"/>
      <c r="Y71" s="885"/>
      <c r="Z71" s="885"/>
    </row>
    <row r="72" spans="1:26" ht="12.75" x14ac:dyDescent="0.2">
      <c r="A72" s="885"/>
      <c r="B72" s="885"/>
      <c r="I72" s="885"/>
      <c r="J72" s="885"/>
      <c r="K72" s="885"/>
      <c r="L72" s="885"/>
      <c r="M72" s="885"/>
      <c r="N72" s="885"/>
      <c r="O72" s="885"/>
      <c r="P72" s="885"/>
      <c r="Q72" s="885"/>
      <c r="R72" s="885"/>
      <c r="S72" s="885"/>
      <c r="T72" s="885"/>
      <c r="U72" s="885"/>
      <c r="V72" s="885"/>
      <c r="W72" s="885"/>
      <c r="X72" s="885"/>
      <c r="Y72" s="885"/>
      <c r="Z72" s="885"/>
    </row>
    <row r="73" spans="1:26" ht="12.75" x14ac:dyDescent="0.2">
      <c r="A73" s="885"/>
      <c r="B73" s="885"/>
      <c r="I73" s="885"/>
      <c r="J73" s="885"/>
      <c r="K73" s="885"/>
      <c r="L73" s="885"/>
      <c r="M73" s="885"/>
      <c r="N73" s="885"/>
      <c r="O73" s="885"/>
      <c r="P73" s="885"/>
      <c r="Q73" s="885"/>
      <c r="R73" s="885"/>
      <c r="S73" s="885"/>
      <c r="T73" s="885"/>
      <c r="U73" s="885"/>
      <c r="V73" s="885"/>
      <c r="W73" s="885"/>
      <c r="X73" s="885"/>
      <c r="Y73" s="885"/>
      <c r="Z73" s="885"/>
    </row>
    <row r="74" spans="1:26" ht="12.75" x14ac:dyDescent="0.2">
      <c r="A74" s="885"/>
      <c r="B74" s="885"/>
      <c r="I74" s="885"/>
      <c r="J74" s="885"/>
      <c r="K74" s="885"/>
      <c r="L74" s="1382"/>
      <c r="M74" s="885"/>
      <c r="N74" s="885"/>
      <c r="O74" s="885"/>
      <c r="P74" s="885"/>
      <c r="Q74" s="885"/>
      <c r="R74" s="885"/>
      <c r="S74" s="885"/>
      <c r="T74" s="885"/>
      <c r="U74" s="885"/>
      <c r="V74" s="885"/>
      <c r="W74" s="885"/>
      <c r="X74" s="885"/>
      <c r="Y74" s="885"/>
      <c r="Z74" s="885"/>
    </row>
    <row r="75" spans="1:26" ht="12.75" x14ac:dyDescent="0.2">
      <c r="A75" s="885"/>
      <c r="B75" s="885"/>
      <c r="I75" s="885"/>
      <c r="J75" s="885"/>
      <c r="K75" s="885"/>
      <c r="L75" s="885"/>
      <c r="M75" s="885"/>
      <c r="N75" s="885"/>
      <c r="O75" s="885"/>
      <c r="P75" s="885"/>
      <c r="Q75" s="885"/>
      <c r="R75" s="885"/>
      <c r="S75" s="885"/>
      <c r="T75" s="885"/>
      <c r="U75" s="885"/>
      <c r="V75" s="885"/>
      <c r="W75" s="885"/>
      <c r="X75" s="885"/>
      <c r="Y75" s="885"/>
      <c r="Z75" s="885"/>
    </row>
    <row r="76" spans="1:26" ht="12.75" x14ac:dyDescent="0.2">
      <c r="A76" s="885"/>
      <c r="B76" s="885"/>
      <c r="I76" s="885"/>
      <c r="J76" s="885"/>
      <c r="K76" s="885"/>
      <c r="L76" s="1382"/>
      <c r="M76" s="885"/>
      <c r="N76" s="885"/>
      <c r="O76" s="885"/>
      <c r="P76" s="885"/>
      <c r="Q76" s="885"/>
      <c r="R76" s="885"/>
      <c r="S76" s="885"/>
      <c r="T76" s="885"/>
      <c r="U76" s="885"/>
      <c r="V76" s="885"/>
      <c r="W76" s="885"/>
      <c r="X76" s="885"/>
      <c r="Y76" s="885"/>
      <c r="Z76" s="885"/>
    </row>
    <row r="77" spans="1:26" ht="12.75" x14ac:dyDescent="0.2">
      <c r="A77" s="885"/>
      <c r="B77" s="885"/>
      <c r="I77" s="885"/>
      <c r="J77" s="885"/>
      <c r="K77" s="885"/>
      <c r="L77" s="885"/>
      <c r="M77" s="885"/>
      <c r="N77" s="885"/>
      <c r="O77" s="885"/>
      <c r="P77" s="885"/>
      <c r="Q77" s="885"/>
      <c r="R77" s="885"/>
      <c r="S77" s="885"/>
      <c r="T77" s="885"/>
      <c r="U77" s="885"/>
      <c r="V77" s="885"/>
      <c r="W77" s="885"/>
      <c r="X77" s="885"/>
      <c r="Y77" s="885"/>
      <c r="Z77" s="885"/>
    </row>
    <row r="78" spans="1:26" ht="12.75" x14ac:dyDescent="0.2">
      <c r="A78" s="885"/>
      <c r="B78" s="885"/>
      <c r="I78" s="885"/>
      <c r="J78" s="885"/>
      <c r="K78" s="885"/>
      <c r="L78" s="885"/>
      <c r="M78" s="885"/>
      <c r="N78" s="885"/>
      <c r="O78" s="885"/>
      <c r="P78" s="885"/>
      <c r="Q78" s="885"/>
      <c r="R78" s="885"/>
      <c r="S78" s="885"/>
      <c r="T78" s="885"/>
      <c r="U78" s="885"/>
      <c r="V78" s="885"/>
      <c r="W78" s="885"/>
      <c r="X78" s="885"/>
      <c r="Y78" s="885"/>
      <c r="Z78" s="885"/>
    </row>
    <row r="79" spans="1:26" ht="12.75" x14ac:dyDescent="0.2">
      <c r="A79" s="885"/>
      <c r="B79" s="885"/>
      <c r="I79" s="885"/>
      <c r="J79" s="885"/>
      <c r="K79" s="885"/>
      <c r="L79" s="885"/>
      <c r="M79" s="885"/>
      <c r="N79" s="885"/>
      <c r="O79" s="885"/>
      <c r="P79" s="885"/>
      <c r="Q79" s="885"/>
      <c r="R79" s="885"/>
      <c r="S79" s="885"/>
      <c r="T79" s="885"/>
      <c r="U79" s="885"/>
      <c r="V79" s="885"/>
      <c r="W79" s="885"/>
      <c r="X79" s="885"/>
      <c r="Y79" s="885"/>
      <c r="Z79" s="885"/>
    </row>
    <row r="80" spans="1:26" ht="12.75" x14ac:dyDescent="0.2">
      <c r="A80" s="885"/>
      <c r="B80" s="885"/>
      <c r="I80" s="885"/>
      <c r="J80" s="885"/>
      <c r="K80" s="885"/>
      <c r="L80" s="1382"/>
      <c r="M80" s="885"/>
      <c r="N80" s="885"/>
      <c r="O80" s="885"/>
      <c r="P80" s="885"/>
      <c r="Q80" s="885"/>
      <c r="R80" s="885"/>
      <c r="S80" s="885"/>
      <c r="T80" s="885"/>
      <c r="U80" s="885"/>
      <c r="V80" s="885"/>
      <c r="W80" s="885"/>
      <c r="X80" s="885"/>
      <c r="Y80" s="885"/>
      <c r="Z80" s="885"/>
    </row>
    <row r="81" spans="1:26" ht="12.75" x14ac:dyDescent="0.2">
      <c r="A81" s="885"/>
      <c r="B81" s="885"/>
      <c r="I81" s="885"/>
      <c r="J81" s="885"/>
      <c r="K81" s="885"/>
      <c r="L81" s="885"/>
      <c r="M81" s="885"/>
      <c r="N81" s="885"/>
      <c r="O81" s="885"/>
      <c r="P81" s="885"/>
      <c r="Q81" s="885"/>
      <c r="R81" s="885"/>
      <c r="S81" s="885"/>
      <c r="T81" s="885"/>
      <c r="U81" s="885"/>
      <c r="V81" s="885"/>
      <c r="W81" s="885"/>
      <c r="X81" s="885"/>
      <c r="Y81" s="885"/>
      <c r="Z81" s="885"/>
    </row>
    <row r="82" spans="1:26" ht="12.75" x14ac:dyDescent="0.2">
      <c r="A82" s="885"/>
      <c r="B82" s="885"/>
      <c r="I82" s="885"/>
      <c r="J82" s="885"/>
      <c r="K82" s="885"/>
      <c r="L82" s="885"/>
      <c r="M82" s="885"/>
      <c r="N82" s="885"/>
      <c r="O82" s="885"/>
      <c r="P82" s="885"/>
      <c r="Q82" s="885"/>
      <c r="R82" s="885"/>
      <c r="S82" s="885"/>
      <c r="T82" s="885"/>
      <c r="U82" s="885"/>
      <c r="V82" s="885"/>
      <c r="W82" s="885"/>
      <c r="X82" s="885"/>
      <c r="Y82" s="885"/>
      <c r="Z82" s="885"/>
    </row>
    <row r="83" spans="1:26" ht="12.75" x14ac:dyDescent="0.2">
      <c r="A83" s="885"/>
      <c r="B83" s="885"/>
      <c r="I83" s="885"/>
      <c r="J83" s="885"/>
      <c r="K83" s="1383"/>
      <c r="L83" s="885"/>
      <c r="M83" s="885"/>
      <c r="N83" s="885"/>
      <c r="O83" s="885"/>
      <c r="P83" s="885"/>
      <c r="Q83" s="885"/>
      <c r="R83" s="885"/>
      <c r="S83" s="885"/>
      <c r="T83" s="885"/>
      <c r="U83" s="885"/>
      <c r="V83" s="885"/>
      <c r="W83" s="885"/>
      <c r="X83" s="885"/>
      <c r="Y83" s="885"/>
      <c r="Z83" s="885"/>
    </row>
    <row r="84" spans="1:26" ht="12.75" x14ac:dyDescent="0.2">
      <c r="A84" s="885"/>
      <c r="B84" s="885"/>
      <c r="I84" s="885"/>
      <c r="J84" s="885"/>
      <c r="K84" s="885"/>
      <c r="L84" s="885"/>
      <c r="M84" s="885"/>
      <c r="N84" s="885"/>
      <c r="O84" s="885"/>
      <c r="P84" s="885"/>
      <c r="Q84" s="885"/>
      <c r="R84" s="885"/>
      <c r="S84" s="885"/>
      <c r="T84" s="885"/>
      <c r="U84" s="885"/>
      <c r="V84" s="885"/>
      <c r="W84" s="885"/>
      <c r="X84" s="885"/>
      <c r="Y84" s="885"/>
      <c r="Z84" s="885"/>
    </row>
    <row r="85" spans="1:26" ht="12.75" x14ac:dyDescent="0.2">
      <c r="A85" s="885"/>
      <c r="B85" s="885"/>
      <c r="I85" s="885"/>
      <c r="J85" s="885"/>
      <c r="K85" s="885"/>
      <c r="L85" s="885"/>
      <c r="M85" s="885"/>
      <c r="N85" s="885"/>
      <c r="O85" s="885"/>
      <c r="P85" s="885"/>
      <c r="Q85" s="885"/>
      <c r="R85" s="885"/>
      <c r="S85" s="885"/>
      <c r="T85" s="885"/>
      <c r="U85" s="885"/>
      <c r="V85" s="885"/>
      <c r="W85" s="885"/>
      <c r="X85" s="885"/>
      <c r="Y85" s="885"/>
      <c r="Z85" s="885"/>
    </row>
    <row r="86" spans="1:26" ht="12.75" x14ac:dyDescent="0.2">
      <c r="A86" s="885"/>
      <c r="B86" s="885"/>
      <c r="C86" s="885"/>
      <c r="D86" s="885"/>
      <c r="E86" s="885"/>
      <c r="F86" s="885"/>
      <c r="G86" s="885"/>
      <c r="H86" s="885"/>
      <c r="I86" s="885"/>
      <c r="J86" s="885"/>
      <c r="K86" s="885"/>
      <c r="L86" s="885"/>
      <c r="M86" s="885"/>
      <c r="N86" s="885"/>
      <c r="O86" s="885"/>
      <c r="P86" s="885"/>
      <c r="Q86" s="885"/>
      <c r="R86" s="885"/>
      <c r="S86" s="885"/>
      <c r="T86" s="885"/>
      <c r="U86" s="885"/>
      <c r="V86" s="885"/>
      <c r="W86" s="885"/>
      <c r="X86" s="885"/>
      <c r="Y86" s="885"/>
      <c r="Z86" s="885"/>
    </row>
    <row r="87" spans="1:26" ht="12.75" x14ac:dyDescent="0.2">
      <c r="A87" s="885"/>
      <c r="B87" s="885"/>
      <c r="C87" s="885"/>
      <c r="D87" s="885"/>
      <c r="E87" s="885"/>
      <c r="F87" s="885"/>
      <c r="G87" s="885"/>
      <c r="H87" s="885"/>
      <c r="I87" s="885"/>
      <c r="J87" s="885"/>
      <c r="K87" s="885"/>
      <c r="L87" s="885"/>
      <c r="M87" s="885"/>
      <c r="N87" s="885"/>
      <c r="O87" s="885"/>
      <c r="P87" s="885"/>
      <c r="Q87" s="885"/>
      <c r="R87" s="885"/>
      <c r="S87" s="885"/>
      <c r="T87" s="885"/>
      <c r="U87" s="885"/>
      <c r="V87" s="885"/>
      <c r="W87" s="885"/>
      <c r="X87" s="885"/>
      <c r="Y87" s="885"/>
      <c r="Z87" s="885"/>
    </row>
    <row r="88" spans="1:26" ht="12.75" x14ac:dyDescent="0.2">
      <c r="A88" s="885"/>
      <c r="B88" s="885"/>
      <c r="C88" s="885"/>
      <c r="D88" s="885"/>
      <c r="E88" s="885"/>
      <c r="F88" s="885"/>
      <c r="G88" s="885"/>
      <c r="H88" s="885"/>
      <c r="I88" s="885"/>
      <c r="J88" s="885"/>
      <c r="K88" s="885"/>
      <c r="L88" s="885"/>
      <c r="M88" s="885"/>
      <c r="N88" s="885"/>
      <c r="O88" s="885"/>
      <c r="P88" s="885"/>
      <c r="Q88" s="885"/>
      <c r="R88" s="885"/>
      <c r="S88" s="885"/>
      <c r="T88" s="885"/>
      <c r="U88" s="885"/>
      <c r="V88" s="885"/>
      <c r="W88" s="885"/>
      <c r="X88" s="885"/>
      <c r="Y88" s="885"/>
      <c r="Z88" s="885"/>
    </row>
    <row r="89" spans="1:26" ht="12.75" x14ac:dyDescent="0.2">
      <c r="A89" s="885"/>
      <c r="B89" s="1365"/>
      <c r="I89" s="885"/>
      <c r="J89" s="885"/>
      <c r="K89" s="885"/>
      <c r="L89" s="885"/>
      <c r="M89" s="885"/>
      <c r="N89" s="885"/>
      <c r="O89" s="885"/>
      <c r="P89" s="885"/>
      <c r="Q89" s="885"/>
      <c r="R89" s="885"/>
      <c r="S89" s="885"/>
      <c r="T89" s="885"/>
      <c r="U89" s="885"/>
      <c r="V89" s="885"/>
      <c r="W89" s="885"/>
      <c r="X89" s="885"/>
      <c r="Y89" s="885"/>
      <c r="Z89" s="885"/>
    </row>
    <row r="90" spans="1:26" ht="12.75" x14ac:dyDescent="0.2">
      <c r="A90" s="885"/>
      <c r="B90" s="885"/>
      <c r="I90" s="885"/>
      <c r="J90" s="885"/>
      <c r="K90" s="885"/>
      <c r="L90" s="885"/>
      <c r="M90" s="885"/>
      <c r="N90" s="885"/>
      <c r="O90" s="885"/>
      <c r="P90" s="885"/>
      <c r="Q90" s="885"/>
      <c r="R90" s="885"/>
      <c r="S90" s="885"/>
      <c r="T90" s="885"/>
      <c r="U90" s="885"/>
      <c r="V90" s="885"/>
      <c r="W90" s="885"/>
      <c r="X90" s="885"/>
      <c r="Y90" s="885"/>
      <c r="Z90" s="885"/>
    </row>
    <row r="91" spans="1:26" ht="12.75" x14ac:dyDescent="0.2">
      <c r="A91" s="885"/>
      <c r="B91" s="885"/>
      <c r="I91" s="885"/>
      <c r="J91" s="885"/>
      <c r="K91" s="885"/>
      <c r="L91" s="885"/>
      <c r="M91" s="885"/>
      <c r="N91" s="885"/>
      <c r="O91" s="885"/>
      <c r="P91" s="885"/>
      <c r="Q91" s="885"/>
      <c r="R91" s="885"/>
      <c r="S91" s="885"/>
      <c r="T91" s="885"/>
      <c r="U91" s="885"/>
      <c r="V91" s="885"/>
      <c r="W91" s="885"/>
      <c r="X91" s="885"/>
      <c r="Y91" s="885"/>
      <c r="Z91" s="885"/>
    </row>
    <row r="92" spans="1:26" ht="12.75" x14ac:dyDescent="0.2">
      <c r="A92" s="885"/>
      <c r="B92" s="885"/>
      <c r="I92" s="885"/>
      <c r="J92" s="885"/>
      <c r="K92" s="885"/>
      <c r="L92" s="885"/>
      <c r="M92" s="885"/>
      <c r="N92" s="885"/>
      <c r="O92" s="885"/>
      <c r="P92" s="885"/>
      <c r="Q92" s="885"/>
      <c r="R92" s="885"/>
      <c r="S92" s="885"/>
      <c r="T92" s="885"/>
      <c r="U92" s="885"/>
      <c r="V92" s="885"/>
      <c r="W92" s="885"/>
      <c r="X92" s="885"/>
      <c r="Y92" s="885"/>
      <c r="Z92" s="885"/>
    </row>
    <row r="93" spans="1:26" ht="12.75" x14ac:dyDescent="0.2">
      <c r="A93" s="885"/>
      <c r="B93" s="885"/>
      <c r="I93" s="885"/>
      <c r="J93" s="885"/>
      <c r="K93" s="885"/>
      <c r="L93" s="885"/>
      <c r="M93" s="885"/>
      <c r="N93" s="885"/>
      <c r="O93" s="885"/>
      <c r="P93" s="885"/>
      <c r="Q93" s="885"/>
      <c r="R93" s="885"/>
      <c r="S93" s="885"/>
      <c r="T93" s="885"/>
      <c r="U93" s="885"/>
      <c r="V93" s="885"/>
      <c r="W93" s="885"/>
      <c r="X93" s="885"/>
      <c r="Y93" s="885"/>
      <c r="Z93" s="885"/>
    </row>
    <row r="94" spans="1:26" ht="12.75" x14ac:dyDescent="0.2">
      <c r="A94" s="885"/>
      <c r="B94" s="885"/>
      <c r="I94" s="885"/>
      <c r="J94" s="885"/>
      <c r="K94" s="885"/>
      <c r="L94" s="885"/>
      <c r="M94" s="885"/>
      <c r="N94" s="885"/>
      <c r="O94" s="885"/>
      <c r="P94" s="885"/>
      <c r="Q94" s="885"/>
      <c r="R94" s="885"/>
      <c r="S94" s="885"/>
      <c r="T94" s="885"/>
      <c r="U94" s="885"/>
      <c r="V94" s="885"/>
      <c r="W94" s="885"/>
      <c r="X94" s="885"/>
      <c r="Y94" s="885"/>
      <c r="Z94" s="885"/>
    </row>
    <row r="95" spans="1:26" ht="12.75" x14ac:dyDescent="0.2">
      <c r="A95" s="885"/>
      <c r="B95" s="885"/>
      <c r="I95" s="885"/>
      <c r="J95" s="885"/>
      <c r="K95" s="885"/>
      <c r="L95" s="885"/>
      <c r="M95" s="885"/>
      <c r="N95" s="885"/>
      <c r="O95" s="885"/>
      <c r="P95" s="885"/>
      <c r="Q95" s="885"/>
      <c r="R95" s="885"/>
      <c r="S95" s="885"/>
      <c r="T95" s="885"/>
      <c r="U95" s="885"/>
      <c r="V95" s="885"/>
      <c r="W95" s="885"/>
      <c r="X95" s="885"/>
      <c r="Y95" s="885"/>
      <c r="Z95" s="885"/>
    </row>
    <row r="96" spans="1:26" ht="12.75" x14ac:dyDescent="0.2">
      <c r="A96" s="885"/>
      <c r="B96" s="885"/>
      <c r="C96" s="885"/>
      <c r="D96" s="885"/>
      <c r="E96" s="885"/>
      <c r="F96" s="885"/>
      <c r="G96" s="885"/>
      <c r="H96" s="885"/>
      <c r="I96" s="885"/>
      <c r="J96" s="885"/>
      <c r="K96" s="885"/>
      <c r="L96" s="885"/>
      <c r="M96" s="885"/>
      <c r="N96" s="885"/>
      <c r="O96" s="885"/>
      <c r="P96" s="885"/>
      <c r="Q96" s="885"/>
      <c r="R96" s="885"/>
      <c r="S96" s="885"/>
      <c r="T96" s="885"/>
      <c r="U96" s="885"/>
      <c r="V96" s="885"/>
      <c r="W96" s="885"/>
      <c r="X96" s="885"/>
      <c r="Y96" s="885"/>
      <c r="Z96" s="885"/>
    </row>
    <row r="97" spans="1:26" ht="16.5" customHeight="1" x14ac:dyDescent="0.2">
      <c r="A97" s="885"/>
      <c r="B97" s="885"/>
      <c r="C97" s="885"/>
      <c r="D97" s="885"/>
      <c r="E97" s="885"/>
      <c r="F97" s="885"/>
      <c r="G97" s="885"/>
      <c r="H97" s="885"/>
      <c r="I97" s="885"/>
      <c r="J97" s="885"/>
      <c r="K97" s="885"/>
      <c r="L97" s="885"/>
      <c r="M97" s="885"/>
      <c r="N97" s="885"/>
      <c r="O97" s="885"/>
      <c r="P97" s="885"/>
      <c r="Q97" s="885"/>
      <c r="R97" s="885"/>
      <c r="S97" s="885"/>
      <c r="T97" s="885"/>
      <c r="U97" s="885"/>
      <c r="V97" s="885"/>
      <c r="W97" s="885"/>
      <c r="X97" s="885"/>
      <c r="Y97" s="885"/>
      <c r="Z97" s="885"/>
    </row>
    <row r="98" spans="1:26" ht="16.5" customHeight="1" x14ac:dyDescent="0.2">
      <c r="A98" s="885"/>
      <c r="B98" s="885"/>
      <c r="C98" s="885"/>
      <c r="D98" s="885"/>
      <c r="E98" s="885"/>
      <c r="F98" s="885"/>
      <c r="G98" s="885"/>
      <c r="H98" s="885"/>
      <c r="I98" s="885"/>
      <c r="J98" s="885"/>
      <c r="K98" s="885"/>
      <c r="L98" s="885"/>
      <c r="M98" s="885"/>
      <c r="N98" s="885"/>
      <c r="O98" s="885"/>
      <c r="P98" s="885"/>
      <c r="Q98" s="885"/>
      <c r="R98" s="885"/>
      <c r="S98" s="885"/>
      <c r="T98" s="885"/>
      <c r="U98" s="885"/>
      <c r="V98" s="885"/>
      <c r="W98" s="885"/>
      <c r="X98" s="885"/>
      <c r="Y98" s="885"/>
      <c r="Z98" s="885"/>
    </row>
    <row r="99" spans="1:26" ht="16.5" customHeight="1" x14ac:dyDescent="0.2">
      <c r="A99" s="885"/>
      <c r="B99" s="885"/>
      <c r="C99" s="885"/>
      <c r="D99" s="885"/>
      <c r="E99" s="885"/>
      <c r="F99" s="885"/>
      <c r="G99" s="885"/>
      <c r="H99" s="885"/>
      <c r="I99" s="885"/>
      <c r="J99" s="885"/>
      <c r="K99" s="885"/>
      <c r="L99" s="885"/>
      <c r="M99" s="885"/>
      <c r="N99" s="885"/>
      <c r="O99" s="885"/>
      <c r="P99" s="885"/>
      <c r="Q99" s="885"/>
      <c r="R99" s="885"/>
      <c r="S99" s="885"/>
      <c r="T99" s="885"/>
      <c r="U99" s="885"/>
      <c r="V99" s="885"/>
      <c r="W99" s="885"/>
      <c r="X99" s="885"/>
      <c r="Y99" s="885"/>
      <c r="Z99" s="885"/>
    </row>
    <row r="100" spans="1:26" ht="16.5" customHeight="1" x14ac:dyDescent="0.2">
      <c r="A100" s="885"/>
      <c r="B100" s="885"/>
      <c r="C100" s="885"/>
      <c r="D100" s="885"/>
      <c r="E100" s="885"/>
      <c r="F100" s="885"/>
      <c r="G100" s="885"/>
      <c r="H100" s="885"/>
      <c r="I100" s="885"/>
      <c r="J100" s="885"/>
      <c r="K100" s="885"/>
      <c r="L100" s="885"/>
      <c r="M100" s="885"/>
      <c r="N100" s="885"/>
      <c r="O100" s="885"/>
      <c r="P100" s="885"/>
      <c r="Q100" s="885"/>
      <c r="R100" s="885"/>
      <c r="S100" s="885"/>
      <c r="T100" s="885"/>
      <c r="U100" s="885"/>
      <c r="V100" s="885"/>
      <c r="W100" s="885"/>
      <c r="X100" s="885"/>
      <c r="Y100" s="885"/>
      <c r="Z100" s="885"/>
    </row>
    <row r="101" spans="1:26" ht="16.5" customHeight="1" x14ac:dyDescent="0.2">
      <c r="A101" s="885"/>
      <c r="B101" s="885"/>
      <c r="C101" s="885"/>
      <c r="D101" s="885"/>
      <c r="E101" s="885"/>
      <c r="F101" s="885"/>
      <c r="G101" s="885"/>
      <c r="H101" s="885"/>
      <c r="I101" s="885"/>
      <c r="J101" s="885"/>
      <c r="K101" s="885"/>
      <c r="L101" s="885"/>
      <c r="M101" s="885"/>
      <c r="N101" s="885"/>
      <c r="O101" s="885"/>
      <c r="P101" s="885"/>
      <c r="Q101" s="885"/>
      <c r="R101" s="885"/>
      <c r="S101" s="885"/>
      <c r="T101" s="885"/>
      <c r="U101" s="885"/>
      <c r="V101" s="885"/>
      <c r="W101" s="885"/>
      <c r="X101" s="885"/>
      <c r="Y101" s="885"/>
      <c r="Z101" s="885"/>
    </row>
    <row r="102" spans="1:26" ht="16.5" customHeight="1" x14ac:dyDescent="0.2">
      <c r="A102" s="885"/>
      <c r="B102" s="885"/>
      <c r="C102" s="885"/>
      <c r="D102" s="885"/>
      <c r="E102" s="885"/>
      <c r="F102" s="885"/>
      <c r="G102" s="885"/>
      <c r="H102" s="885"/>
      <c r="I102" s="885"/>
      <c r="J102" s="885"/>
      <c r="K102" s="885"/>
      <c r="L102" s="885"/>
      <c r="M102" s="885"/>
      <c r="N102" s="885"/>
      <c r="O102" s="885"/>
      <c r="P102" s="885"/>
      <c r="Q102" s="885"/>
      <c r="R102" s="885"/>
      <c r="S102" s="885"/>
      <c r="T102" s="885"/>
      <c r="U102" s="885"/>
      <c r="V102" s="885"/>
      <c r="W102" s="885"/>
      <c r="X102" s="885"/>
      <c r="Y102" s="885"/>
      <c r="Z102" s="885"/>
    </row>
    <row r="103" spans="1:26" ht="16.5" customHeight="1" x14ac:dyDescent="0.2">
      <c r="A103" s="885"/>
      <c r="B103" s="885"/>
      <c r="C103" s="885"/>
      <c r="D103" s="885"/>
      <c r="E103" s="885"/>
      <c r="F103" s="885"/>
      <c r="G103" s="885"/>
      <c r="H103" s="885"/>
      <c r="I103" s="885"/>
      <c r="J103" s="885"/>
      <c r="K103" s="885"/>
      <c r="L103" s="885"/>
      <c r="M103" s="885"/>
      <c r="N103" s="885"/>
      <c r="O103" s="885"/>
      <c r="P103" s="885"/>
      <c r="Q103" s="885"/>
      <c r="R103" s="885"/>
      <c r="S103" s="885"/>
      <c r="T103" s="885"/>
      <c r="U103" s="885"/>
      <c r="V103" s="885"/>
      <c r="W103" s="885"/>
      <c r="X103" s="885"/>
      <c r="Y103" s="885"/>
      <c r="Z103" s="885"/>
    </row>
    <row r="104" spans="1:26" ht="16.5" customHeight="1" x14ac:dyDescent="0.2">
      <c r="A104" s="885"/>
      <c r="B104" s="885"/>
      <c r="C104" s="885"/>
      <c r="D104" s="885"/>
      <c r="E104" s="885"/>
      <c r="F104" s="885"/>
      <c r="G104" s="885"/>
      <c r="H104" s="885"/>
      <c r="I104" s="885"/>
      <c r="J104" s="885"/>
      <c r="K104" s="885"/>
      <c r="L104" s="885"/>
      <c r="M104" s="885"/>
      <c r="N104" s="885"/>
      <c r="O104" s="885"/>
      <c r="P104" s="885"/>
      <c r="Q104" s="885"/>
      <c r="R104" s="885"/>
      <c r="S104" s="885"/>
      <c r="T104" s="885"/>
      <c r="U104" s="885"/>
      <c r="V104" s="885"/>
      <c r="W104" s="885"/>
      <c r="X104" s="885"/>
      <c r="Y104" s="885"/>
      <c r="Z104" s="885"/>
    </row>
    <row r="105" spans="1:26" ht="16.5" customHeight="1" x14ac:dyDescent="0.2">
      <c r="A105" s="885"/>
      <c r="B105" s="885"/>
      <c r="C105" s="885"/>
      <c r="D105" s="885"/>
      <c r="E105" s="885"/>
      <c r="F105" s="885"/>
      <c r="G105" s="885"/>
      <c r="H105" s="885"/>
      <c r="I105" s="885"/>
      <c r="J105" s="885"/>
      <c r="K105" s="885"/>
      <c r="L105" s="885"/>
      <c r="M105" s="885"/>
      <c r="N105" s="885"/>
      <c r="O105" s="885"/>
      <c r="P105" s="885"/>
      <c r="Q105" s="885"/>
      <c r="R105" s="885"/>
      <c r="S105" s="885"/>
      <c r="T105" s="885"/>
      <c r="U105" s="885"/>
      <c r="V105" s="885"/>
      <c r="W105" s="885"/>
      <c r="X105" s="885"/>
      <c r="Y105" s="885"/>
      <c r="Z105" s="885"/>
    </row>
    <row r="106" spans="1:26" ht="16.5" customHeight="1" x14ac:dyDescent="0.2">
      <c r="A106" s="885"/>
      <c r="B106" s="885"/>
      <c r="C106" s="885"/>
      <c r="D106" s="885"/>
      <c r="E106" s="885"/>
      <c r="F106" s="885"/>
      <c r="G106" s="885"/>
      <c r="H106" s="885"/>
      <c r="I106" s="885"/>
      <c r="J106" s="885"/>
      <c r="K106" s="885"/>
      <c r="L106" s="885"/>
      <c r="M106" s="885"/>
      <c r="N106" s="885"/>
      <c r="O106" s="885"/>
      <c r="P106" s="885"/>
      <c r="Q106" s="885"/>
      <c r="R106" s="885"/>
      <c r="S106" s="885"/>
      <c r="T106" s="885"/>
      <c r="U106" s="885"/>
      <c r="V106" s="885"/>
      <c r="W106" s="885"/>
      <c r="X106" s="885"/>
      <c r="Y106" s="885"/>
      <c r="Z106" s="885"/>
    </row>
    <row r="107" spans="1:26" ht="16.5" customHeight="1" x14ac:dyDescent="0.2">
      <c r="A107" s="885"/>
      <c r="B107" s="885"/>
      <c r="C107" s="885"/>
      <c r="D107" s="885"/>
      <c r="E107" s="885"/>
      <c r="F107" s="885"/>
      <c r="G107" s="885"/>
      <c r="H107" s="885"/>
      <c r="I107" s="885"/>
      <c r="J107" s="885"/>
      <c r="K107" s="885"/>
      <c r="L107" s="885"/>
      <c r="M107" s="885"/>
      <c r="N107" s="885"/>
      <c r="O107" s="885"/>
      <c r="P107" s="885"/>
      <c r="Q107" s="885"/>
      <c r="R107" s="885"/>
      <c r="S107" s="885"/>
      <c r="T107" s="885"/>
      <c r="U107" s="885"/>
      <c r="V107" s="885"/>
      <c r="W107" s="885"/>
      <c r="X107" s="885"/>
      <c r="Y107" s="885"/>
      <c r="Z107" s="885"/>
    </row>
    <row r="108" spans="1:26" ht="16.5" customHeight="1" x14ac:dyDescent="0.2">
      <c r="A108" s="885"/>
      <c r="B108" s="885"/>
      <c r="C108" s="885"/>
      <c r="D108" s="885"/>
      <c r="E108" s="885"/>
      <c r="F108" s="885"/>
      <c r="G108" s="885"/>
      <c r="H108" s="885"/>
      <c r="I108" s="885"/>
      <c r="J108" s="885"/>
      <c r="K108" s="885"/>
      <c r="L108" s="885"/>
      <c r="M108" s="885"/>
      <c r="N108" s="885"/>
      <c r="O108" s="885"/>
      <c r="P108" s="885"/>
      <c r="Q108" s="885"/>
      <c r="R108" s="885"/>
      <c r="S108" s="885"/>
      <c r="T108" s="885"/>
      <c r="U108" s="885"/>
      <c r="V108" s="885"/>
      <c r="W108" s="885"/>
      <c r="X108" s="885"/>
      <c r="Y108" s="885"/>
      <c r="Z108" s="885"/>
    </row>
    <row r="109" spans="1:26" ht="16.5" customHeight="1" x14ac:dyDescent="0.2">
      <c r="A109" s="885"/>
      <c r="B109" s="885"/>
      <c r="C109" s="885"/>
      <c r="D109" s="885"/>
      <c r="E109" s="885"/>
      <c r="F109" s="885"/>
      <c r="G109" s="885"/>
      <c r="H109" s="885"/>
      <c r="I109" s="885"/>
      <c r="J109" s="885"/>
      <c r="K109" s="885"/>
      <c r="L109" s="885"/>
      <c r="M109" s="885"/>
      <c r="N109" s="885"/>
      <c r="O109" s="885"/>
      <c r="P109" s="885"/>
      <c r="Q109" s="885"/>
      <c r="R109" s="885"/>
      <c r="S109" s="885"/>
      <c r="T109" s="885"/>
      <c r="U109" s="885"/>
      <c r="V109" s="885"/>
      <c r="W109" s="885"/>
      <c r="X109" s="885"/>
      <c r="Y109" s="885"/>
      <c r="Z109" s="885"/>
    </row>
    <row r="110" spans="1:26" ht="16.5" customHeight="1" x14ac:dyDescent="0.2">
      <c r="A110" s="885"/>
      <c r="B110" s="885"/>
      <c r="C110" s="885"/>
      <c r="D110" s="885"/>
      <c r="E110" s="885"/>
      <c r="F110" s="885"/>
      <c r="G110" s="885"/>
      <c r="H110" s="885"/>
      <c r="I110" s="885"/>
      <c r="J110" s="885"/>
      <c r="K110" s="885"/>
      <c r="L110" s="885"/>
      <c r="M110" s="885"/>
      <c r="N110" s="885"/>
      <c r="O110" s="885"/>
      <c r="P110" s="885"/>
      <c r="Q110" s="885"/>
      <c r="R110" s="885"/>
      <c r="S110" s="885"/>
      <c r="T110" s="885"/>
      <c r="U110" s="885"/>
      <c r="V110" s="885"/>
      <c r="W110" s="885"/>
      <c r="X110" s="885"/>
      <c r="Y110" s="885"/>
      <c r="Z110" s="885"/>
    </row>
    <row r="111" spans="1:26" ht="16.5" customHeight="1" x14ac:dyDescent="0.2">
      <c r="A111" s="885"/>
      <c r="B111" s="885"/>
      <c r="C111" s="885"/>
      <c r="D111" s="885"/>
      <c r="E111" s="885"/>
      <c r="F111" s="885"/>
      <c r="G111" s="885"/>
      <c r="H111" s="885"/>
      <c r="I111" s="885"/>
      <c r="J111" s="885"/>
      <c r="K111" s="885"/>
      <c r="L111" s="885"/>
      <c r="M111" s="885"/>
      <c r="N111" s="885"/>
      <c r="O111" s="885"/>
      <c r="P111" s="885"/>
      <c r="Q111" s="885"/>
      <c r="R111" s="885"/>
      <c r="S111" s="885"/>
      <c r="T111" s="885"/>
      <c r="U111" s="885"/>
      <c r="V111" s="885"/>
      <c r="W111" s="885"/>
      <c r="X111" s="885"/>
      <c r="Y111" s="885"/>
      <c r="Z111" s="885"/>
    </row>
    <row r="112" spans="1:26" ht="16.5" customHeight="1" x14ac:dyDescent="0.2">
      <c r="A112" s="885"/>
      <c r="B112" s="885"/>
      <c r="C112" s="885"/>
      <c r="D112" s="885"/>
      <c r="E112" s="885"/>
      <c r="F112" s="885"/>
      <c r="G112" s="885"/>
      <c r="H112" s="885"/>
      <c r="I112" s="885"/>
      <c r="J112" s="885"/>
      <c r="K112" s="885"/>
      <c r="L112" s="885"/>
      <c r="M112" s="885"/>
      <c r="N112" s="885"/>
      <c r="O112" s="885"/>
      <c r="P112" s="885"/>
      <c r="Q112" s="885"/>
      <c r="R112" s="885"/>
      <c r="S112" s="885"/>
      <c r="T112" s="885"/>
      <c r="U112" s="885"/>
      <c r="V112" s="885"/>
      <c r="W112" s="885"/>
      <c r="X112" s="885"/>
      <c r="Y112" s="885"/>
      <c r="Z112" s="885"/>
    </row>
    <row r="113" spans="1:26" ht="16.5" customHeight="1" x14ac:dyDescent="0.2">
      <c r="A113" s="885"/>
      <c r="B113" s="885"/>
      <c r="C113" s="885"/>
      <c r="D113" s="885"/>
      <c r="E113" s="885"/>
      <c r="F113" s="885"/>
      <c r="G113" s="885"/>
      <c r="H113" s="885"/>
      <c r="I113" s="885"/>
      <c r="J113" s="885"/>
      <c r="K113" s="885"/>
      <c r="L113" s="885"/>
      <c r="M113" s="885"/>
      <c r="N113" s="885"/>
      <c r="O113" s="885"/>
      <c r="P113" s="885"/>
      <c r="Q113" s="885"/>
      <c r="R113" s="885"/>
      <c r="S113" s="885"/>
      <c r="T113" s="885"/>
      <c r="U113" s="885"/>
      <c r="V113" s="885"/>
      <c r="W113" s="885"/>
      <c r="X113" s="885"/>
      <c r="Y113" s="885"/>
      <c r="Z113" s="885"/>
    </row>
    <row r="114" spans="1:26" ht="16.5" customHeight="1" x14ac:dyDescent="0.2">
      <c r="A114" s="885"/>
      <c r="B114" s="885"/>
      <c r="C114" s="885"/>
      <c r="D114" s="885"/>
      <c r="E114" s="885"/>
      <c r="F114" s="885"/>
      <c r="G114" s="885"/>
      <c r="H114" s="885"/>
      <c r="I114" s="885"/>
      <c r="J114" s="885"/>
      <c r="K114" s="885"/>
      <c r="L114" s="885"/>
      <c r="M114" s="885"/>
      <c r="N114" s="885"/>
      <c r="O114" s="885"/>
      <c r="P114" s="885"/>
      <c r="Q114" s="885"/>
      <c r="R114" s="885"/>
      <c r="S114" s="885"/>
      <c r="T114" s="885"/>
      <c r="U114" s="885"/>
      <c r="V114" s="885"/>
      <c r="W114" s="885"/>
      <c r="X114" s="885"/>
      <c r="Y114" s="885"/>
      <c r="Z114" s="885"/>
    </row>
    <row r="115" spans="1:26" ht="16.5" customHeight="1" x14ac:dyDescent="0.2">
      <c r="A115" s="885"/>
      <c r="B115" s="885"/>
      <c r="C115" s="885"/>
      <c r="D115" s="885"/>
      <c r="E115" s="885"/>
      <c r="F115" s="885"/>
      <c r="G115" s="885"/>
      <c r="H115" s="885"/>
      <c r="I115" s="885"/>
      <c r="J115" s="885"/>
      <c r="K115" s="885"/>
      <c r="L115" s="885"/>
      <c r="M115" s="885"/>
      <c r="N115" s="885"/>
      <c r="O115" s="885"/>
      <c r="P115" s="885"/>
      <c r="Q115" s="885"/>
      <c r="R115" s="885"/>
      <c r="S115" s="885"/>
      <c r="T115" s="885"/>
      <c r="U115" s="885"/>
      <c r="V115" s="885"/>
      <c r="W115" s="885"/>
      <c r="X115" s="885"/>
      <c r="Y115" s="885"/>
      <c r="Z115" s="885"/>
    </row>
    <row r="116" spans="1:26" ht="16.5" customHeight="1" x14ac:dyDescent="0.2">
      <c r="A116" s="885"/>
      <c r="B116" s="885"/>
      <c r="C116" s="885"/>
      <c r="D116" s="885"/>
      <c r="E116" s="885"/>
      <c r="F116" s="885"/>
      <c r="G116" s="885"/>
      <c r="H116" s="885"/>
      <c r="I116" s="885"/>
      <c r="J116" s="885"/>
      <c r="K116" s="885"/>
      <c r="L116" s="885"/>
      <c r="M116" s="885"/>
      <c r="N116" s="885"/>
      <c r="O116" s="885"/>
      <c r="P116" s="885"/>
      <c r="Q116" s="885"/>
      <c r="R116" s="885"/>
      <c r="S116" s="885"/>
      <c r="T116" s="885"/>
      <c r="U116" s="885"/>
      <c r="V116" s="885"/>
      <c r="W116" s="885"/>
      <c r="X116" s="885"/>
      <c r="Y116" s="885"/>
      <c r="Z116" s="885"/>
    </row>
    <row r="117" spans="1:26" ht="16.5" customHeight="1" x14ac:dyDescent="0.2">
      <c r="A117" s="885"/>
      <c r="B117" s="885"/>
      <c r="C117" s="885"/>
      <c r="D117" s="885"/>
      <c r="E117" s="885"/>
      <c r="F117" s="885"/>
      <c r="G117" s="885"/>
      <c r="H117" s="885"/>
      <c r="I117" s="885"/>
      <c r="J117" s="885"/>
      <c r="K117" s="885"/>
      <c r="L117" s="885"/>
      <c r="M117" s="885"/>
      <c r="N117" s="885"/>
      <c r="O117" s="885"/>
      <c r="P117" s="885"/>
      <c r="Q117" s="885"/>
      <c r="R117" s="885"/>
      <c r="S117" s="885"/>
      <c r="T117" s="885"/>
      <c r="U117" s="885"/>
      <c r="V117" s="885"/>
      <c r="W117" s="885"/>
      <c r="X117" s="885"/>
      <c r="Y117" s="885"/>
      <c r="Z117" s="885"/>
    </row>
    <row r="118" spans="1:26" ht="16.5" customHeight="1" x14ac:dyDescent="0.2">
      <c r="A118" s="885"/>
      <c r="B118" s="885"/>
      <c r="C118" s="885"/>
      <c r="D118" s="885"/>
      <c r="E118" s="885"/>
      <c r="F118" s="885"/>
      <c r="G118" s="885"/>
      <c r="H118" s="885"/>
      <c r="I118" s="885"/>
      <c r="J118" s="885"/>
      <c r="K118" s="885"/>
      <c r="L118" s="885"/>
      <c r="M118" s="885"/>
      <c r="N118" s="885"/>
      <c r="O118" s="885"/>
      <c r="P118" s="885"/>
      <c r="Q118" s="885"/>
      <c r="R118" s="885"/>
      <c r="S118" s="885"/>
      <c r="T118" s="885"/>
      <c r="U118" s="885"/>
      <c r="V118" s="885"/>
      <c r="W118" s="885"/>
      <c r="X118" s="885"/>
      <c r="Y118" s="885"/>
      <c r="Z118" s="885"/>
    </row>
    <row r="119" spans="1:26" ht="16.5" customHeight="1" x14ac:dyDescent="0.2">
      <c r="A119" s="885"/>
      <c r="B119" s="885"/>
      <c r="C119" s="885"/>
      <c r="D119" s="885"/>
      <c r="E119" s="885"/>
      <c r="F119" s="885"/>
      <c r="G119" s="885"/>
      <c r="H119" s="885"/>
      <c r="I119" s="885"/>
      <c r="J119" s="885"/>
      <c r="K119" s="885"/>
      <c r="L119" s="885"/>
      <c r="M119" s="885"/>
      <c r="N119" s="885"/>
      <c r="O119" s="885"/>
      <c r="P119" s="885"/>
      <c r="Q119" s="885"/>
      <c r="R119" s="885"/>
      <c r="S119" s="885"/>
      <c r="T119" s="885"/>
      <c r="U119" s="885"/>
      <c r="V119" s="885"/>
      <c r="W119" s="885"/>
      <c r="X119" s="885"/>
      <c r="Y119" s="885"/>
      <c r="Z119" s="885"/>
    </row>
    <row r="120" spans="1:26" ht="16.5" customHeight="1" x14ac:dyDescent="0.2">
      <c r="A120" s="885"/>
      <c r="B120" s="885"/>
      <c r="C120" s="885"/>
      <c r="D120" s="885"/>
      <c r="E120" s="885"/>
      <c r="F120" s="885"/>
      <c r="G120" s="885"/>
      <c r="H120" s="885"/>
      <c r="I120" s="885"/>
      <c r="J120" s="885"/>
      <c r="K120" s="885"/>
      <c r="L120" s="885"/>
      <c r="M120" s="885"/>
      <c r="N120" s="885"/>
      <c r="O120" s="885"/>
      <c r="P120" s="885"/>
      <c r="Q120" s="885"/>
      <c r="R120" s="885"/>
      <c r="S120" s="885"/>
      <c r="T120" s="885"/>
      <c r="U120" s="885"/>
      <c r="V120" s="885"/>
      <c r="W120" s="885"/>
      <c r="X120" s="885"/>
      <c r="Y120" s="885"/>
      <c r="Z120" s="885"/>
    </row>
    <row r="121" spans="1:26" ht="16.5" customHeight="1" x14ac:dyDescent="0.2">
      <c r="A121" s="885"/>
      <c r="B121" s="885"/>
      <c r="C121" s="885"/>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5"/>
    </row>
    <row r="122" spans="1:26" ht="16.5" customHeight="1" x14ac:dyDescent="0.2">
      <c r="A122" s="885"/>
      <c r="B122" s="885"/>
      <c r="C122" s="885"/>
      <c r="D122" s="885"/>
      <c r="E122" s="885"/>
      <c r="F122" s="885"/>
      <c r="G122" s="885"/>
      <c r="H122" s="885"/>
      <c r="I122" s="885"/>
      <c r="J122" s="885"/>
      <c r="K122" s="885"/>
      <c r="L122" s="885"/>
      <c r="M122" s="885"/>
      <c r="N122" s="885"/>
      <c r="O122" s="885"/>
      <c r="P122" s="885"/>
      <c r="Q122" s="885"/>
      <c r="R122" s="885"/>
      <c r="S122" s="885"/>
      <c r="T122" s="885"/>
      <c r="U122" s="885"/>
      <c r="V122" s="885"/>
      <c r="W122" s="885"/>
      <c r="X122" s="885"/>
      <c r="Y122" s="885"/>
      <c r="Z122" s="885"/>
    </row>
    <row r="123" spans="1:26" ht="16.5" customHeight="1" x14ac:dyDescent="0.2">
      <c r="A123" s="885"/>
      <c r="B123" s="885"/>
      <c r="C123" s="885"/>
      <c r="D123" s="885"/>
      <c r="E123" s="885"/>
      <c r="F123" s="885"/>
      <c r="G123" s="885"/>
      <c r="H123" s="885"/>
      <c r="I123" s="885"/>
      <c r="J123" s="885"/>
      <c r="K123" s="885"/>
      <c r="L123" s="885"/>
      <c r="M123" s="885"/>
      <c r="N123" s="885"/>
      <c r="O123" s="885"/>
      <c r="P123" s="885"/>
      <c r="Q123" s="885"/>
      <c r="R123" s="885"/>
      <c r="S123" s="885"/>
      <c r="T123" s="885"/>
      <c r="U123" s="885"/>
      <c r="V123" s="885"/>
      <c r="W123" s="885"/>
      <c r="X123" s="885"/>
      <c r="Y123" s="885"/>
      <c r="Z123" s="885"/>
    </row>
    <row r="124" spans="1:26" ht="16.5" customHeight="1" x14ac:dyDescent="0.2">
      <c r="A124" s="885"/>
      <c r="B124" s="885"/>
      <c r="C124" s="885"/>
      <c r="D124" s="885"/>
      <c r="E124" s="885"/>
      <c r="F124" s="885"/>
      <c r="G124" s="885"/>
      <c r="H124" s="885"/>
      <c r="I124" s="885"/>
      <c r="J124" s="885"/>
      <c r="K124" s="885"/>
      <c r="L124" s="885"/>
      <c r="M124" s="885"/>
      <c r="N124" s="885"/>
      <c r="O124" s="885"/>
      <c r="P124" s="885"/>
      <c r="Q124" s="885"/>
      <c r="R124" s="885"/>
      <c r="S124" s="885"/>
      <c r="T124" s="885"/>
      <c r="U124" s="885"/>
      <c r="V124" s="885"/>
      <c r="W124" s="885"/>
      <c r="X124" s="885"/>
      <c r="Y124" s="885"/>
      <c r="Z124" s="885"/>
    </row>
    <row r="125" spans="1:26" ht="16.5" customHeight="1" x14ac:dyDescent="0.2">
      <c r="A125" s="885"/>
      <c r="B125" s="885"/>
      <c r="C125" s="885"/>
      <c r="D125" s="885"/>
      <c r="E125" s="885"/>
      <c r="F125" s="885"/>
      <c r="G125" s="885"/>
      <c r="H125" s="885"/>
      <c r="I125" s="885"/>
      <c r="J125" s="885"/>
      <c r="K125" s="885"/>
      <c r="L125" s="885"/>
      <c r="M125" s="885"/>
      <c r="N125" s="885"/>
      <c r="O125" s="885"/>
      <c r="P125" s="885"/>
      <c r="Q125" s="885"/>
      <c r="R125" s="885"/>
      <c r="S125" s="885"/>
      <c r="T125" s="885"/>
      <c r="U125" s="885"/>
      <c r="V125" s="885"/>
      <c r="W125" s="885"/>
      <c r="X125" s="885"/>
      <c r="Y125" s="885"/>
      <c r="Z125" s="885"/>
    </row>
    <row r="126" spans="1:26" ht="16.5" customHeight="1" x14ac:dyDescent="0.2">
      <c r="A126" s="885"/>
      <c r="B126" s="885"/>
      <c r="C126" s="885"/>
      <c r="D126" s="885"/>
      <c r="E126" s="885"/>
      <c r="F126" s="885"/>
      <c r="G126" s="885"/>
      <c r="H126" s="885"/>
      <c r="I126" s="885"/>
      <c r="J126" s="885"/>
      <c r="K126" s="885"/>
      <c r="L126" s="885"/>
      <c r="M126" s="885"/>
      <c r="N126" s="885"/>
      <c r="O126" s="885"/>
      <c r="P126" s="885"/>
      <c r="Q126" s="885"/>
      <c r="R126" s="885"/>
      <c r="S126" s="885"/>
      <c r="T126" s="885"/>
      <c r="U126" s="885"/>
      <c r="V126" s="885"/>
      <c r="W126" s="885"/>
      <c r="X126" s="885"/>
      <c r="Y126" s="885"/>
      <c r="Z126" s="885"/>
    </row>
    <row r="127" spans="1:26" ht="16.5" customHeight="1" x14ac:dyDescent="0.2">
      <c r="A127" s="885"/>
      <c r="B127" s="885"/>
      <c r="C127" s="885"/>
      <c r="D127" s="885"/>
      <c r="E127" s="885"/>
      <c r="F127" s="885"/>
      <c r="G127" s="885"/>
      <c r="H127" s="885"/>
      <c r="I127" s="885"/>
      <c r="J127" s="885"/>
      <c r="K127" s="885"/>
      <c r="L127" s="885"/>
      <c r="M127" s="885"/>
      <c r="N127" s="885"/>
      <c r="O127" s="885"/>
      <c r="P127" s="885"/>
      <c r="Q127" s="885"/>
      <c r="R127" s="885"/>
      <c r="S127" s="885"/>
      <c r="T127" s="885"/>
      <c r="U127" s="885"/>
      <c r="V127" s="885"/>
      <c r="W127" s="885"/>
      <c r="X127" s="885"/>
      <c r="Y127" s="885"/>
      <c r="Z127" s="885"/>
    </row>
    <row r="128" spans="1:26" ht="16.5" customHeight="1" x14ac:dyDescent="0.2">
      <c r="A128" s="885"/>
      <c r="B128" s="885"/>
      <c r="C128" s="885"/>
      <c r="D128" s="885"/>
      <c r="E128" s="885"/>
      <c r="F128" s="885"/>
      <c r="G128" s="885"/>
      <c r="H128" s="885"/>
      <c r="I128" s="885"/>
      <c r="J128" s="885"/>
      <c r="K128" s="885"/>
      <c r="L128" s="885"/>
      <c r="M128" s="885"/>
      <c r="N128" s="885"/>
      <c r="O128" s="885"/>
      <c r="P128" s="885"/>
      <c r="Q128" s="885"/>
      <c r="R128" s="885"/>
      <c r="S128" s="885"/>
      <c r="T128" s="885"/>
      <c r="U128" s="885"/>
      <c r="V128" s="885"/>
      <c r="W128" s="885"/>
      <c r="X128" s="885"/>
      <c r="Y128" s="885"/>
      <c r="Z128" s="885"/>
    </row>
    <row r="129" spans="1:26" ht="16.5" customHeight="1" x14ac:dyDescent="0.2">
      <c r="A129" s="885"/>
      <c r="B129" s="885"/>
      <c r="C129" s="885"/>
      <c r="D129" s="885"/>
      <c r="E129" s="885"/>
      <c r="F129" s="885"/>
      <c r="G129" s="885"/>
      <c r="H129" s="885"/>
      <c r="I129" s="885"/>
      <c r="J129" s="885"/>
      <c r="K129" s="885"/>
      <c r="L129" s="885"/>
      <c r="M129" s="885"/>
      <c r="N129" s="885"/>
      <c r="O129" s="885"/>
      <c r="P129" s="885"/>
      <c r="Q129" s="885"/>
      <c r="R129" s="885"/>
      <c r="S129" s="885"/>
      <c r="T129" s="885"/>
      <c r="U129" s="885"/>
      <c r="V129" s="885"/>
      <c r="W129" s="885"/>
      <c r="X129" s="885"/>
      <c r="Y129" s="885"/>
      <c r="Z129" s="885"/>
    </row>
    <row r="130" spans="1:26" ht="16.5" customHeight="1" x14ac:dyDescent="0.2">
      <c r="A130" s="885"/>
      <c r="B130" s="885"/>
      <c r="C130" s="885"/>
      <c r="D130" s="885"/>
      <c r="E130" s="885"/>
      <c r="F130" s="885"/>
      <c r="G130" s="885"/>
      <c r="H130" s="885"/>
      <c r="I130" s="885"/>
      <c r="J130" s="885"/>
      <c r="K130" s="885"/>
      <c r="L130" s="885"/>
      <c r="M130" s="885"/>
      <c r="N130" s="885"/>
      <c r="O130" s="885"/>
      <c r="P130" s="885"/>
      <c r="Q130" s="885"/>
      <c r="R130" s="885"/>
      <c r="S130" s="885"/>
      <c r="T130" s="885"/>
      <c r="U130" s="885"/>
      <c r="V130" s="885"/>
      <c r="W130" s="885"/>
      <c r="X130" s="885"/>
      <c r="Y130" s="885"/>
      <c r="Z130" s="885"/>
    </row>
    <row r="131" spans="1:26" ht="16.5" customHeight="1" x14ac:dyDescent="0.2">
      <c r="A131" s="885"/>
      <c r="B131" s="885"/>
      <c r="C131" s="885"/>
      <c r="D131" s="885"/>
      <c r="E131" s="885"/>
      <c r="F131" s="885"/>
      <c r="G131" s="885"/>
      <c r="H131" s="885"/>
      <c r="I131" s="885"/>
      <c r="J131" s="885"/>
      <c r="K131" s="885"/>
      <c r="L131" s="885"/>
      <c r="M131" s="885"/>
      <c r="N131" s="885"/>
      <c r="O131" s="885"/>
      <c r="P131" s="885"/>
      <c r="Q131" s="885"/>
      <c r="R131" s="885"/>
      <c r="S131" s="885"/>
      <c r="T131" s="885"/>
      <c r="U131" s="885"/>
      <c r="V131" s="885"/>
      <c r="W131" s="885"/>
      <c r="X131" s="885"/>
      <c r="Y131" s="885"/>
      <c r="Z131" s="885"/>
    </row>
    <row r="132" spans="1:26" ht="16.5" customHeight="1" x14ac:dyDescent="0.2">
      <c r="A132" s="885"/>
      <c r="B132" s="885"/>
      <c r="C132" s="885"/>
      <c r="D132" s="885"/>
      <c r="E132" s="885"/>
      <c r="F132" s="885"/>
      <c r="G132" s="885"/>
      <c r="H132" s="885"/>
      <c r="I132" s="885"/>
      <c r="J132" s="885"/>
      <c r="K132" s="885"/>
      <c r="L132" s="885"/>
      <c r="M132" s="885"/>
      <c r="N132" s="885"/>
      <c r="O132" s="885"/>
      <c r="P132" s="885"/>
      <c r="Q132" s="885"/>
      <c r="R132" s="885"/>
      <c r="S132" s="885"/>
      <c r="T132" s="885"/>
      <c r="U132" s="885"/>
      <c r="V132" s="885"/>
      <c r="W132" s="885"/>
      <c r="X132" s="885"/>
      <c r="Y132" s="885"/>
      <c r="Z132" s="885"/>
    </row>
    <row r="133" spans="1:26" ht="16.5" customHeight="1" x14ac:dyDescent="0.2">
      <c r="A133" s="885"/>
      <c r="B133" s="885"/>
      <c r="C133" s="885"/>
      <c r="D133" s="885"/>
      <c r="E133" s="885"/>
      <c r="F133" s="885"/>
      <c r="G133" s="885"/>
      <c r="H133" s="885"/>
      <c r="I133" s="885"/>
      <c r="J133" s="885"/>
      <c r="K133" s="885"/>
      <c r="L133" s="885"/>
      <c r="M133" s="885"/>
      <c r="N133" s="885"/>
      <c r="O133" s="885"/>
      <c r="P133" s="885"/>
      <c r="Q133" s="885"/>
      <c r="R133" s="885"/>
      <c r="S133" s="885"/>
      <c r="T133" s="885"/>
      <c r="U133" s="885"/>
      <c r="V133" s="885"/>
      <c r="W133" s="885"/>
      <c r="X133" s="885"/>
      <c r="Y133" s="885"/>
      <c r="Z133" s="885"/>
    </row>
    <row r="134" spans="1:26" ht="16.5" customHeight="1" x14ac:dyDescent="0.2">
      <c r="A134" s="885"/>
      <c r="B134" s="885"/>
      <c r="C134" s="885"/>
      <c r="D134" s="885"/>
      <c r="E134" s="885"/>
      <c r="F134" s="885"/>
      <c r="G134" s="885"/>
      <c r="H134" s="885"/>
      <c r="I134" s="885"/>
      <c r="J134" s="885"/>
      <c r="K134" s="885"/>
      <c r="L134" s="885"/>
      <c r="M134" s="885"/>
      <c r="N134" s="885"/>
      <c r="O134" s="885"/>
      <c r="P134" s="885"/>
      <c r="Q134" s="885"/>
      <c r="R134" s="885"/>
      <c r="S134" s="885"/>
      <c r="T134" s="885"/>
      <c r="U134" s="885"/>
      <c r="V134" s="885"/>
      <c r="W134" s="885"/>
      <c r="X134" s="885"/>
      <c r="Y134" s="885"/>
      <c r="Z134" s="885"/>
    </row>
    <row r="135" spans="1:26" ht="16.5" customHeight="1" x14ac:dyDescent="0.2">
      <c r="A135" s="885"/>
      <c r="B135" s="885"/>
      <c r="C135" s="885"/>
      <c r="D135" s="885"/>
      <c r="E135" s="885"/>
      <c r="F135" s="885"/>
      <c r="G135" s="885"/>
      <c r="H135" s="885"/>
      <c r="I135" s="885"/>
      <c r="J135" s="885"/>
      <c r="K135" s="885"/>
      <c r="L135" s="885"/>
      <c r="M135" s="885"/>
      <c r="N135" s="885"/>
      <c r="O135" s="885"/>
      <c r="P135" s="885"/>
      <c r="Q135" s="885"/>
      <c r="R135" s="885"/>
      <c r="S135" s="885"/>
      <c r="T135" s="885"/>
      <c r="U135" s="885"/>
      <c r="V135" s="885"/>
      <c r="W135" s="885"/>
      <c r="X135" s="885"/>
      <c r="Y135" s="885"/>
      <c r="Z135" s="885"/>
    </row>
    <row r="136" spans="1:26" ht="16.5" customHeight="1" x14ac:dyDescent="0.2">
      <c r="A136" s="885"/>
      <c r="B136" s="885"/>
      <c r="C136" s="885"/>
      <c r="D136" s="885"/>
      <c r="E136" s="885"/>
      <c r="F136" s="885"/>
      <c r="G136" s="885"/>
      <c r="H136" s="885"/>
      <c r="I136" s="885"/>
      <c r="J136" s="885"/>
      <c r="K136" s="885"/>
      <c r="L136" s="885"/>
      <c r="M136" s="885"/>
      <c r="N136" s="885"/>
      <c r="O136" s="885"/>
      <c r="P136" s="885"/>
      <c r="Q136" s="885"/>
      <c r="R136" s="885"/>
      <c r="S136" s="885"/>
      <c r="T136" s="885"/>
      <c r="U136" s="885"/>
      <c r="V136" s="885"/>
      <c r="W136" s="885"/>
      <c r="X136" s="885"/>
      <c r="Y136" s="885"/>
      <c r="Z136" s="885"/>
    </row>
    <row r="137" spans="1:26" ht="16.5" customHeight="1" x14ac:dyDescent="0.2">
      <c r="A137" s="885"/>
      <c r="B137" s="885"/>
      <c r="C137" s="885"/>
      <c r="D137" s="885"/>
      <c r="E137" s="885"/>
      <c r="F137" s="885"/>
      <c r="G137" s="885"/>
      <c r="H137" s="885"/>
      <c r="I137" s="885"/>
      <c r="J137" s="885"/>
      <c r="K137" s="885"/>
      <c r="L137" s="885"/>
      <c r="M137" s="885"/>
      <c r="N137" s="885"/>
      <c r="O137" s="885"/>
      <c r="P137" s="885"/>
      <c r="Q137" s="885"/>
      <c r="R137" s="885"/>
      <c r="S137" s="885"/>
      <c r="T137" s="885"/>
      <c r="U137" s="885"/>
      <c r="V137" s="885"/>
      <c r="W137" s="885"/>
      <c r="X137" s="885"/>
      <c r="Y137" s="885"/>
      <c r="Z137" s="885"/>
    </row>
    <row r="138" spans="1:26" ht="16.5" customHeight="1" x14ac:dyDescent="0.2">
      <c r="A138" s="885"/>
      <c r="B138" s="885"/>
      <c r="C138" s="885"/>
      <c r="D138" s="885"/>
      <c r="E138" s="885"/>
      <c r="F138" s="885"/>
      <c r="G138" s="885"/>
      <c r="H138" s="885"/>
      <c r="I138" s="885"/>
      <c r="J138" s="885"/>
      <c r="K138" s="885"/>
      <c r="L138" s="885"/>
      <c r="M138" s="885"/>
      <c r="N138" s="885"/>
      <c r="O138" s="885"/>
      <c r="P138" s="885"/>
      <c r="Q138" s="885"/>
      <c r="R138" s="885"/>
      <c r="S138" s="885"/>
      <c r="T138" s="885"/>
      <c r="U138" s="885"/>
      <c r="V138" s="885"/>
      <c r="W138" s="885"/>
      <c r="X138" s="885"/>
      <c r="Y138" s="885"/>
      <c r="Z138" s="885"/>
    </row>
    <row r="139" spans="1:26" ht="16.5" customHeight="1" x14ac:dyDescent="0.2">
      <c r="A139" s="885"/>
      <c r="B139" s="885"/>
      <c r="C139" s="885"/>
      <c r="D139" s="885"/>
      <c r="E139" s="885"/>
      <c r="F139" s="885"/>
      <c r="G139" s="885"/>
      <c r="H139" s="885"/>
      <c r="I139" s="885"/>
      <c r="J139" s="885"/>
      <c r="K139" s="885"/>
      <c r="L139" s="885"/>
      <c r="M139" s="885"/>
      <c r="N139" s="885"/>
      <c r="O139" s="885"/>
      <c r="P139" s="885"/>
      <c r="Q139" s="885"/>
      <c r="R139" s="885"/>
      <c r="S139" s="885"/>
      <c r="T139" s="885"/>
      <c r="U139" s="885"/>
      <c r="V139" s="885"/>
      <c r="W139" s="885"/>
      <c r="X139" s="885"/>
      <c r="Y139" s="885"/>
      <c r="Z139" s="885"/>
    </row>
    <row r="140" spans="1:26" ht="16.5" customHeight="1" x14ac:dyDescent="0.2">
      <c r="A140" s="885"/>
      <c r="B140" s="885"/>
      <c r="C140" s="885"/>
      <c r="D140" s="885"/>
      <c r="E140" s="885"/>
      <c r="F140" s="885"/>
      <c r="G140" s="885"/>
      <c r="H140" s="885"/>
      <c r="I140" s="885"/>
      <c r="J140" s="885"/>
      <c r="K140" s="885"/>
      <c r="L140" s="885"/>
      <c r="M140" s="885"/>
      <c r="N140" s="885"/>
      <c r="O140" s="885"/>
      <c r="P140" s="885"/>
      <c r="Q140" s="885"/>
      <c r="R140" s="885"/>
      <c r="S140" s="885"/>
      <c r="T140" s="885"/>
      <c r="U140" s="885"/>
      <c r="V140" s="885"/>
      <c r="W140" s="885"/>
      <c r="X140" s="885"/>
      <c r="Y140" s="885"/>
      <c r="Z140" s="885"/>
    </row>
    <row r="141" spans="1:26" ht="16.5" customHeight="1" x14ac:dyDescent="0.2">
      <c r="A141" s="885"/>
      <c r="B141" s="885"/>
      <c r="C141" s="885"/>
      <c r="D141" s="885"/>
      <c r="E141" s="885"/>
      <c r="F141" s="885"/>
      <c r="G141" s="885"/>
      <c r="H141" s="885"/>
      <c r="I141" s="885"/>
      <c r="J141" s="885"/>
      <c r="K141" s="885"/>
      <c r="L141" s="885"/>
      <c r="M141" s="885"/>
      <c r="N141" s="885"/>
      <c r="O141" s="885"/>
      <c r="P141" s="885"/>
      <c r="Q141" s="885"/>
      <c r="R141" s="885"/>
      <c r="S141" s="885"/>
      <c r="T141" s="885"/>
      <c r="U141" s="885"/>
      <c r="V141" s="885"/>
      <c r="W141" s="885"/>
      <c r="X141" s="885"/>
      <c r="Y141" s="885"/>
      <c r="Z141" s="885"/>
    </row>
    <row r="142" spans="1:26" ht="16.5" customHeight="1" x14ac:dyDescent="0.2">
      <c r="A142" s="885"/>
      <c r="B142" s="885"/>
      <c r="C142" s="885"/>
      <c r="D142" s="885"/>
      <c r="E142" s="885"/>
      <c r="F142" s="885"/>
      <c r="G142" s="885"/>
      <c r="H142" s="885"/>
      <c r="I142" s="885"/>
      <c r="J142" s="885"/>
      <c r="K142" s="885"/>
      <c r="L142" s="885"/>
      <c r="M142" s="885"/>
      <c r="N142" s="885"/>
      <c r="O142" s="885"/>
      <c r="P142" s="885"/>
      <c r="Q142" s="885"/>
      <c r="R142" s="885"/>
      <c r="S142" s="885"/>
      <c r="T142" s="885"/>
      <c r="U142" s="885"/>
      <c r="V142" s="885"/>
      <c r="W142" s="885"/>
      <c r="X142" s="885"/>
      <c r="Y142" s="885"/>
      <c r="Z142" s="885"/>
    </row>
    <row r="143" spans="1:26" ht="16.5" customHeight="1" x14ac:dyDescent="0.2">
      <c r="A143" s="885"/>
      <c r="B143" s="885"/>
      <c r="C143" s="885"/>
      <c r="D143" s="885"/>
      <c r="E143" s="885"/>
      <c r="F143" s="885"/>
      <c r="G143" s="885"/>
      <c r="H143" s="885"/>
      <c r="I143" s="885"/>
      <c r="J143" s="885"/>
      <c r="K143" s="885"/>
      <c r="L143" s="885"/>
      <c r="M143" s="885"/>
      <c r="N143" s="885"/>
      <c r="O143" s="885"/>
      <c r="P143" s="885"/>
      <c r="Q143" s="885"/>
      <c r="R143" s="885"/>
      <c r="S143" s="885"/>
      <c r="T143" s="885"/>
      <c r="U143" s="885"/>
      <c r="V143" s="885"/>
      <c r="W143" s="885"/>
      <c r="X143" s="885"/>
      <c r="Y143" s="885"/>
      <c r="Z143" s="885"/>
    </row>
    <row r="144" spans="1:26" ht="16.5" customHeight="1" x14ac:dyDescent="0.2">
      <c r="A144" s="885"/>
      <c r="B144" s="885"/>
      <c r="C144" s="885"/>
      <c r="D144" s="885"/>
      <c r="E144" s="885"/>
      <c r="F144" s="885"/>
      <c r="G144" s="885"/>
      <c r="H144" s="885"/>
      <c r="I144" s="885"/>
      <c r="J144" s="885"/>
      <c r="K144" s="885"/>
      <c r="L144" s="885"/>
      <c r="M144" s="885"/>
      <c r="N144" s="885"/>
      <c r="O144" s="885"/>
      <c r="P144" s="885"/>
      <c r="Q144" s="885"/>
      <c r="R144" s="885"/>
      <c r="S144" s="885"/>
      <c r="T144" s="885"/>
      <c r="U144" s="885"/>
      <c r="V144" s="885"/>
      <c r="W144" s="885"/>
      <c r="X144" s="885"/>
      <c r="Y144" s="885"/>
      <c r="Z144" s="885"/>
    </row>
    <row r="145" spans="1:26" ht="16.5" customHeight="1" x14ac:dyDescent="0.2">
      <c r="A145" s="885"/>
      <c r="B145" s="885"/>
      <c r="C145" s="885"/>
      <c r="D145" s="885"/>
      <c r="E145" s="885"/>
      <c r="F145" s="885"/>
      <c r="G145" s="885"/>
      <c r="H145" s="885"/>
      <c r="I145" s="885"/>
      <c r="J145" s="885"/>
      <c r="K145" s="885"/>
      <c r="L145" s="885"/>
      <c r="M145" s="885"/>
      <c r="N145" s="885"/>
      <c r="O145" s="885"/>
      <c r="P145" s="885"/>
      <c r="Q145" s="885"/>
      <c r="R145" s="885"/>
      <c r="S145" s="885"/>
      <c r="T145" s="885"/>
      <c r="U145" s="885"/>
      <c r="V145" s="885"/>
      <c r="W145" s="885"/>
      <c r="X145" s="885"/>
      <c r="Y145" s="885"/>
      <c r="Z145" s="885"/>
    </row>
    <row r="146" spans="1:26" ht="16.5" customHeight="1" x14ac:dyDescent="0.2">
      <c r="A146" s="885"/>
      <c r="B146" s="885"/>
      <c r="C146" s="885"/>
      <c r="D146" s="885"/>
      <c r="E146" s="885"/>
      <c r="F146" s="885"/>
      <c r="G146" s="885"/>
      <c r="H146" s="885"/>
      <c r="I146" s="885"/>
      <c r="J146" s="885"/>
      <c r="K146" s="885"/>
      <c r="L146" s="885"/>
      <c r="M146" s="885"/>
      <c r="N146" s="885"/>
      <c r="O146" s="885"/>
      <c r="P146" s="885"/>
      <c r="Q146" s="885"/>
      <c r="R146" s="885"/>
      <c r="S146" s="885"/>
      <c r="T146" s="885"/>
      <c r="U146" s="885"/>
      <c r="V146" s="885"/>
      <c r="W146" s="885"/>
      <c r="X146" s="885"/>
      <c r="Y146" s="885"/>
      <c r="Z146" s="885"/>
    </row>
    <row r="147" spans="1:26" ht="16.5" customHeight="1" x14ac:dyDescent="0.2">
      <c r="A147" s="885"/>
      <c r="B147" s="885"/>
      <c r="C147" s="885"/>
      <c r="D147" s="885"/>
      <c r="E147" s="885"/>
      <c r="F147" s="885"/>
      <c r="G147" s="885"/>
      <c r="H147" s="885"/>
      <c r="I147" s="885"/>
      <c r="J147" s="885"/>
      <c r="K147" s="885"/>
      <c r="L147" s="885"/>
      <c r="M147" s="885"/>
      <c r="N147" s="885"/>
      <c r="O147" s="885"/>
      <c r="P147" s="885"/>
      <c r="Q147" s="885"/>
      <c r="R147" s="885"/>
      <c r="S147" s="885"/>
      <c r="T147" s="885"/>
      <c r="U147" s="885"/>
      <c r="V147" s="885"/>
      <c r="W147" s="885"/>
      <c r="X147" s="885"/>
      <c r="Y147" s="885"/>
      <c r="Z147" s="885"/>
    </row>
    <row r="148" spans="1:26" ht="16.5" customHeight="1" x14ac:dyDescent="0.2">
      <c r="A148" s="885"/>
      <c r="B148" s="885"/>
      <c r="C148" s="885"/>
      <c r="D148" s="885"/>
      <c r="E148" s="885"/>
      <c r="F148" s="885"/>
      <c r="G148" s="885"/>
      <c r="H148" s="885"/>
      <c r="I148" s="885"/>
      <c r="J148" s="885"/>
      <c r="K148" s="885"/>
      <c r="L148" s="885"/>
      <c r="M148" s="885"/>
      <c r="N148" s="885"/>
      <c r="O148" s="885"/>
      <c r="P148" s="885"/>
      <c r="Q148" s="885"/>
      <c r="R148" s="885"/>
      <c r="S148" s="885"/>
      <c r="T148" s="885"/>
      <c r="U148" s="885"/>
      <c r="V148" s="885"/>
      <c r="W148" s="885"/>
      <c r="X148" s="885"/>
      <c r="Y148" s="885"/>
      <c r="Z148" s="885"/>
    </row>
    <row r="149" spans="1:26" ht="16.5" customHeight="1" x14ac:dyDescent="0.2">
      <c r="A149" s="885"/>
      <c r="B149" s="885"/>
      <c r="C149" s="885"/>
      <c r="D149" s="885"/>
      <c r="E149" s="885"/>
      <c r="F149" s="885"/>
      <c r="G149" s="885"/>
      <c r="H149" s="885"/>
      <c r="I149" s="885"/>
      <c r="J149" s="885"/>
      <c r="K149" s="885"/>
      <c r="L149" s="885"/>
      <c r="M149" s="885"/>
      <c r="N149" s="885"/>
      <c r="O149" s="885"/>
      <c r="P149" s="885"/>
      <c r="Q149" s="885"/>
      <c r="R149" s="885"/>
      <c r="S149" s="885"/>
      <c r="T149" s="885"/>
      <c r="U149" s="885"/>
      <c r="V149" s="885"/>
      <c r="W149" s="885"/>
      <c r="X149" s="885"/>
      <c r="Y149" s="885"/>
      <c r="Z149" s="885"/>
    </row>
    <row r="150" spans="1:26" ht="16.5" customHeight="1" x14ac:dyDescent="0.2">
      <c r="A150" s="885"/>
      <c r="B150" s="885"/>
      <c r="C150" s="885"/>
      <c r="D150" s="885"/>
      <c r="E150" s="885"/>
      <c r="F150" s="885"/>
      <c r="G150" s="885"/>
      <c r="H150" s="885"/>
      <c r="I150" s="885"/>
      <c r="J150" s="885"/>
      <c r="K150" s="885"/>
      <c r="L150" s="885"/>
      <c r="M150" s="885"/>
      <c r="N150" s="885"/>
      <c r="O150" s="885"/>
      <c r="P150" s="885"/>
      <c r="Q150" s="885"/>
      <c r="R150" s="885"/>
      <c r="S150" s="885"/>
      <c r="T150" s="885"/>
      <c r="U150" s="885"/>
      <c r="V150" s="885"/>
      <c r="W150" s="885"/>
      <c r="X150" s="885"/>
      <c r="Y150" s="885"/>
      <c r="Z150" s="885"/>
    </row>
    <row r="151" spans="1:26" ht="16.5" customHeight="1" x14ac:dyDescent="0.2">
      <c r="A151" s="885"/>
      <c r="B151" s="885"/>
      <c r="C151" s="885"/>
      <c r="D151" s="885"/>
      <c r="E151" s="885"/>
      <c r="F151" s="885"/>
      <c r="G151" s="885"/>
      <c r="H151" s="885"/>
      <c r="I151" s="885"/>
      <c r="J151" s="885"/>
      <c r="K151" s="885"/>
      <c r="L151" s="885"/>
      <c r="M151" s="885"/>
      <c r="N151" s="885"/>
      <c r="O151" s="885"/>
      <c r="P151" s="885"/>
      <c r="Q151" s="885"/>
      <c r="R151" s="885"/>
      <c r="S151" s="885"/>
      <c r="T151" s="885"/>
      <c r="U151" s="885"/>
      <c r="V151" s="885"/>
      <c r="W151" s="885"/>
      <c r="X151" s="885"/>
      <c r="Y151" s="885"/>
      <c r="Z151" s="885"/>
    </row>
    <row r="152" spans="1:26" ht="16.5" customHeight="1" x14ac:dyDescent="0.2">
      <c r="A152" s="885"/>
      <c r="B152" s="885"/>
      <c r="C152" s="885"/>
      <c r="D152" s="885"/>
      <c r="E152" s="885"/>
      <c r="F152" s="885"/>
      <c r="G152" s="885"/>
      <c r="H152" s="885"/>
      <c r="I152" s="885"/>
      <c r="J152" s="885"/>
      <c r="K152" s="885"/>
      <c r="L152" s="885"/>
      <c r="M152" s="885"/>
      <c r="N152" s="885"/>
      <c r="O152" s="885"/>
      <c r="P152" s="885"/>
      <c r="Q152" s="885"/>
      <c r="R152" s="885"/>
      <c r="S152" s="885"/>
      <c r="T152" s="885"/>
      <c r="U152" s="885"/>
      <c r="V152" s="885"/>
      <c r="W152" s="885"/>
      <c r="X152" s="885"/>
      <c r="Y152" s="885"/>
      <c r="Z152" s="885"/>
    </row>
    <row r="153" spans="1:26" ht="16.5" customHeight="1" x14ac:dyDescent="0.2">
      <c r="A153" s="885"/>
      <c r="B153" s="885"/>
      <c r="C153" s="885"/>
      <c r="D153" s="885"/>
      <c r="E153" s="885"/>
      <c r="F153" s="885"/>
      <c r="G153" s="885"/>
      <c r="H153" s="885"/>
      <c r="I153" s="885"/>
      <c r="J153" s="885"/>
      <c r="K153" s="885"/>
      <c r="L153" s="885"/>
      <c r="M153" s="885"/>
      <c r="N153" s="885"/>
      <c r="O153" s="885"/>
      <c r="P153" s="885"/>
      <c r="Q153" s="885"/>
      <c r="R153" s="885"/>
      <c r="S153" s="885"/>
      <c r="T153" s="885"/>
      <c r="U153" s="885"/>
      <c r="V153" s="885"/>
      <c r="W153" s="885"/>
      <c r="X153" s="885"/>
      <c r="Y153" s="885"/>
      <c r="Z153" s="885"/>
    </row>
    <row r="154" spans="1:26" ht="16.5" customHeight="1" x14ac:dyDescent="0.2">
      <c r="A154" s="885"/>
      <c r="B154" s="885"/>
      <c r="C154" s="885"/>
      <c r="D154" s="885"/>
      <c r="E154" s="885"/>
      <c r="F154" s="885"/>
      <c r="G154" s="885"/>
      <c r="H154" s="885"/>
      <c r="I154" s="885"/>
      <c r="J154" s="885"/>
      <c r="K154" s="885"/>
      <c r="L154" s="885"/>
      <c r="M154" s="885"/>
      <c r="N154" s="885"/>
      <c r="O154" s="885"/>
      <c r="P154" s="885"/>
      <c r="Q154" s="885"/>
      <c r="R154" s="885"/>
      <c r="S154" s="885"/>
      <c r="T154" s="885"/>
      <c r="U154" s="885"/>
      <c r="V154" s="885"/>
      <c r="W154" s="885"/>
      <c r="X154" s="885"/>
      <c r="Y154" s="885"/>
      <c r="Z154" s="885"/>
    </row>
    <row r="155" spans="1:26" ht="16.5" customHeight="1" x14ac:dyDescent="0.2">
      <c r="A155" s="885"/>
      <c r="B155" s="885"/>
      <c r="C155" s="885"/>
      <c r="D155" s="885"/>
      <c r="E155" s="885"/>
      <c r="F155" s="885"/>
      <c r="G155" s="885"/>
      <c r="H155" s="885"/>
      <c r="I155" s="885"/>
      <c r="J155" s="885"/>
      <c r="K155" s="885"/>
      <c r="L155" s="885"/>
      <c r="M155" s="885"/>
      <c r="N155" s="885"/>
      <c r="O155" s="885"/>
      <c r="P155" s="885"/>
      <c r="Q155" s="885"/>
      <c r="R155" s="885"/>
      <c r="S155" s="885"/>
      <c r="T155" s="885"/>
      <c r="U155" s="885"/>
      <c r="V155" s="885"/>
      <c r="W155" s="885"/>
      <c r="X155" s="885"/>
      <c r="Y155" s="885"/>
      <c r="Z155" s="885"/>
    </row>
    <row r="156" spans="1:26" ht="16.5" customHeight="1" x14ac:dyDescent="0.2">
      <c r="A156" s="885"/>
      <c r="B156" s="885"/>
      <c r="C156" s="885"/>
      <c r="D156" s="885"/>
      <c r="E156" s="885"/>
      <c r="F156" s="885"/>
      <c r="G156" s="885"/>
      <c r="H156" s="885"/>
      <c r="I156" s="885"/>
      <c r="J156" s="885"/>
      <c r="K156" s="885"/>
      <c r="L156" s="885"/>
      <c r="M156" s="885"/>
      <c r="N156" s="885"/>
      <c r="O156" s="885"/>
      <c r="P156" s="885"/>
      <c r="Q156" s="885"/>
      <c r="R156" s="885"/>
      <c r="S156" s="885"/>
      <c r="T156" s="885"/>
      <c r="U156" s="885"/>
      <c r="V156" s="885"/>
      <c r="W156" s="885"/>
      <c r="X156" s="885"/>
      <c r="Y156" s="885"/>
      <c r="Z156" s="885"/>
    </row>
    <row r="157" spans="1:26" ht="16.5" customHeight="1" x14ac:dyDescent="0.2">
      <c r="A157" s="885"/>
      <c r="B157" s="885"/>
      <c r="C157" s="885"/>
      <c r="D157" s="885"/>
      <c r="E157" s="885"/>
      <c r="F157" s="885"/>
      <c r="G157" s="885"/>
      <c r="H157" s="885"/>
      <c r="I157" s="885"/>
      <c r="J157" s="885"/>
      <c r="K157" s="885"/>
      <c r="L157" s="885"/>
      <c r="M157" s="885"/>
      <c r="N157" s="885"/>
      <c r="O157" s="885"/>
      <c r="P157" s="885"/>
      <c r="Q157" s="885"/>
      <c r="R157" s="885"/>
      <c r="S157" s="885"/>
      <c r="T157" s="885"/>
      <c r="U157" s="885"/>
      <c r="V157" s="885"/>
      <c r="W157" s="885"/>
      <c r="X157" s="885"/>
      <c r="Y157" s="885"/>
      <c r="Z157" s="885"/>
    </row>
    <row r="158" spans="1:26" ht="16.5" customHeight="1" x14ac:dyDescent="0.2">
      <c r="A158" s="885"/>
      <c r="B158" s="885"/>
      <c r="C158" s="885"/>
      <c r="D158" s="885"/>
      <c r="E158" s="885"/>
      <c r="F158" s="885"/>
      <c r="G158" s="885"/>
      <c r="H158" s="885"/>
      <c r="I158" s="885"/>
      <c r="J158" s="885"/>
      <c r="K158" s="885"/>
      <c r="L158" s="885"/>
      <c r="M158" s="885"/>
      <c r="N158" s="885"/>
      <c r="O158" s="885"/>
      <c r="P158" s="885"/>
      <c r="Q158" s="885"/>
      <c r="R158" s="885"/>
      <c r="S158" s="885"/>
      <c r="T158" s="885"/>
      <c r="U158" s="885"/>
      <c r="V158" s="885"/>
      <c r="W158" s="885"/>
      <c r="X158" s="885"/>
      <c r="Y158" s="885"/>
      <c r="Z158" s="885"/>
    </row>
    <row r="159" spans="1:26" ht="16.5" customHeight="1" x14ac:dyDescent="0.2">
      <c r="A159" s="885"/>
      <c r="B159" s="885"/>
      <c r="C159" s="885"/>
      <c r="D159" s="885"/>
      <c r="E159" s="885"/>
      <c r="F159" s="885"/>
      <c r="G159" s="885"/>
      <c r="H159" s="885"/>
      <c r="I159" s="885"/>
      <c r="J159" s="885"/>
      <c r="K159" s="885"/>
      <c r="L159" s="885"/>
      <c r="M159" s="885"/>
      <c r="N159" s="885"/>
      <c r="O159" s="885"/>
      <c r="P159" s="885"/>
      <c r="Q159" s="885"/>
      <c r="R159" s="885"/>
      <c r="S159" s="885"/>
      <c r="T159" s="885"/>
      <c r="U159" s="885"/>
      <c r="V159" s="885"/>
      <c r="W159" s="885"/>
      <c r="X159" s="885"/>
      <c r="Y159" s="885"/>
      <c r="Z159" s="885"/>
    </row>
    <row r="160" spans="1:26" ht="16.5" customHeight="1" x14ac:dyDescent="0.2">
      <c r="A160" s="885"/>
      <c r="B160" s="885"/>
      <c r="C160" s="885"/>
      <c r="D160" s="885"/>
      <c r="E160" s="885"/>
      <c r="F160" s="885"/>
      <c r="G160" s="885"/>
      <c r="H160" s="885"/>
      <c r="I160" s="885"/>
      <c r="J160" s="885"/>
      <c r="K160" s="885"/>
      <c r="L160" s="885"/>
      <c r="M160" s="885"/>
      <c r="N160" s="885"/>
      <c r="O160" s="885"/>
      <c r="P160" s="885"/>
      <c r="Q160" s="885"/>
      <c r="R160" s="885"/>
      <c r="S160" s="885"/>
      <c r="T160" s="885"/>
      <c r="U160" s="885"/>
      <c r="V160" s="885"/>
      <c r="W160" s="885"/>
      <c r="X160" s="885"/>
      <c r="Y160" s="885"/>
      <c r="Z160" s="885"/>
    </row>
    <row r="161" spans="1:26" ht="16.5" customHeight="1" x14ac:dyDescent="0.2">
      <c r="A161" s="885"/>
      <c r="B161" s="885"/>
      <c r="C161" s="885"/>
      <c r="D161" s="885"/>
      <c r="E161" s="885"/>
      <c r="F161" s="885"/>
      <c r="G161" s="885"/>
      <c r="H161" s="885"/>
      <c r="I161" s="885"/>
      <c r="J161" s="885"/>
      <c r="K161" s="885"/>
      <c r="L161" s="885"/>
      <c r="M161" s="885"/>
      <c r="N161" s="885"/>
      <c r="O161" s="885"/>
      <c r="P161" s="885"/>
      <c r="Q161" s="885"/>
      <c r="R161" s="885"/>
      <c r="S161" s="885"/>
      <c r="T161" s="885"/>
      <c r="U161" s="885"/>
      <c r="V161" s="885"/>
      <c r="W161" s="885"/>
      <c r="X161" s="885"/>
      <c r="Y161" s="885"/>
      <c r="Z161" s="885"/>
    </row>
    <row r="162" spans="1:26" ht="16.5" customHeight="1" x14ac:dyDescent="0.2">
      <c r="A162" s="885"/>
      <c r="B162" s="885"/>
      <c r="C162" s="885"/>
      <c r="D162" s="885"/>
      <c r="E162" s="885"/>
      <c r="F162" s="885"/>
      <c r="G162" s="885"/>
      <c r="H162" s="885"/>
      <c r="I162" s="885"/>
      <c r="J162" s="885"/>
      <c r="K162" s="885"/>
      <c r="L162" s="885"/>
      <c r="M162" s="885"/>
      <c r="N162" s="885"/>
      <c r="O162" s="885"/>
      <c r="P162" s="885"/>
      <c r="Q162" s="885"/>
      <c r="R162" s="885"/>
      <c r="S162" s="885"/>
      <c r="T162" s="885"/>
      <c r="U162" s="885"/>
      <c r="V162" s="885"/>
      <c r="W162" s="885"/>
      <c r="X162" s="885"/>
      <c r="Y162" s="885"/>
      <c r="Z162" s="885"/>
    </row>
    <row r="163" spans="1:26" ht="16.5" customHeight="1" x14ac:dyDescent="0.2">
      <c r="A163" s="885"/>
      <c r="B163" s="885"/>
      <c r="C163" s="885"/>
      <c r="D163" s="885"/>
      <c r="E163" s="885"/>
      <c r="F163" s="885"/>
      <c r="G163" s="885"/>
      <c r="H163" s="885"/>
      <c r="I163" s="885"/>
      <c r="J163" s="885"/>
      <c r="K163" s="885"/>
      <c r="L163" s="885"/>
      <c r="M163" s="885"/>
      <c r="N163" s="885"/>
      <c r="O163" s="885"/>
      <c r="P163" s="885"/>
      <c r="Q163" s="885"/>
      <c r="R163" s="885"/>
      <c r="S163" s="885"/>
      <c r="T163" s="885"/>
      <c r="U163" s="885"/>
      <c r="V163" s="885"/>
      <c r="W163" s="885"/>
      <c r="X163" s="885"/>
      <c r="Y163" s="885"/>
      <c r="Z163" s="885"/>
    </row>
    <row r="164" spans="1:26" ht="16.5" customHeight="1" x14ac:dyDescent="0.2">
      <c r="A164" s="885"/>
      <c r="B164" s="885"/>
      <c r="C164" s="885"/>
      <c r="D164" s="885"/>
      <c r="E164" s="885"/>
      <c r="F164" s="885"/>
      <c r="G164" s="885"/>
      <c r="H164" s="885"/>
      <c r="I164" s="885"/>
      <c r="J164" s="885"/>
      <c r="K164" s="885"/>
      <c r="L164" s="885"/>
      <c r="M164" s="885"/>
      <c r="N164" s="885"/>
      <c r="O164" s="885"/>
      <c r="P164" s="885"/>
      <c r="Q164" s="885"/>
      <c r="R164" s="885"/>
      <c r="S164" s="885"/>
      <c r="T164" s="885"/>
      <c r="U164" s="885"/>
      <c r="V164" s="885"/>
      <c r="W164" s="885"/>
      <c r="X164" s="885"/>
      <c r="Y164" s="885"/>
      <c r="Z164" s="885"/>
    </row>
    <row r="165" spans="1:26" ht="16.5" customHeight="1" x14ac:dyDescent="0.2">
      <c r="A165" s="885"/>
      <c r="B165" s="885"/>
      <c r="C165" s="885"/>
      <c r="D165" s="885"/>
      <c r="E165" s="885"/>
      <c r="F165" s="885"/>
      <c r="G165" s="885"/>
      <c r="H165" s="885"/>
      <c r="I165" s="885"/>
      <c r="J165" s="885"/>
      <c r="K165" s="885"/>
      <c r="L165" s="885"/>
      <c r="M165" s="885"/>
      <c r="N165" s="885"/>
      <c r="O165" s="885"/>
      <c r="P165" s="885"/>
      <c r="Q165" s="885"/>
      <c r="R165" s="885"/>
      <c r="S165" s="885"/>
      <c r="T165" s="885"/>
      <c r="U165" s="885"/>
      <c r="V165" s="885"/>
      <c r="W165" s="885"/>
      <c r="X165" s="885"/>
      <c r="Y165" s="885"/>
      <c r="Z165" s="885"/>
    </row>
    <row r="166" spans="1:26" ht="16.5" customHeight="1" x14ac:dyDescent="0.2">
      <c r="A166" s="885"/>
      <c r="B166" s="885"/>
      <c r="C166" s="885"/>
      <c r="D166" s="885"/>
      <c r="E166" s="885"/>
      <c r="F166" s="885"/>
      <c r="G166" s="885"/>
      <c r="H166" s="885"/>
      <c r="I166" s="885"/>
      <c r="J166" s="885"/>
      <c r="K166" s="885"/>
      <c r="L166" s="885"/>
      <c r="M166" s="885"/>
      <c r="N166" s="885"/>
      <c r="O166" s="885"/>
      <c r="P166" s="885"/>
      <c r="Q166" s="885"/>
      <c r="R166" s="885"/>
      <c r="S166" s="885"/>
      <c r="T166" s="885"/>
      <c r="U166" s="885"/>
      <c r="V166" s="885"/>
      <c r="W166" s="885"/>
      <c r="X166" s="885"/>
      <c r="Y166" s="885"/>
      <c r="Z166" s="885"/>
    </row>
    <row r="167" spans="1:26" ht="16.5" customHeight="1" x14ac:dyDescent="0.2">
      <c r="A167" s="885"/>
      <c r="B167" s="885"/>
      <c r="C167" s="885"/>
      <c r="D167" s="885"/>
      <c r="E167" s="885"/>
      <c r="F167" s="885"/>
      <c r="G167" s="885"/>
      <c r="H167" s="885"/>
      <c r="I167" s="885"/>
      <c r="J167" s="885"/>
      <c r="K167" s="885"/>
      <c r="L167" s="885"/>
      <c r="M167" s="885"/>
      <c r="N167" s="885"/>
      <c r="O167" s="885"/>
      <c r="P167" s="885"/>
      <c r="Q167" s="885"/>
      <c r="R167" s="885"/>
      <c r="S167" s="885"/>
      <c r="T167" s="885"/>
      <c r="U167" s="885"/>
      <c r="V167" s="885"/>
      <c r="W167" s="885"/>
      <c r="X167" s="885"/>
      <c r="Y167" s="885"/>
      <c r="Z167" s="885"/>
    </row>
    <row r="168" spans="1:26" ht="16.5" customHeight="1" x14ac:dyDescent="0.2">
      <c r="A168" s="885"/>
      <c r="B168" s="885"/>
      <c r="C168" s="885"/>
      <c r="D168" s="885"/>
      <c r="E168" s="885"/>
      <c r="F168" s="885"/>
      <c r="G168" s="885"/>
      <c r="H168" s="885"/>
      <c r="I168" s="885"/>
      <c r="J168" s="885"/>
      <c r="K168" s="885"/>
      <c r="L168" s="885"/>
      <c r="M168" s="885"/>
      <c r="N168" s="885"/>
      <c r="O168" s="885"/>
      <c r="P168" s="885"/>
      <c r="Q168" s="885"/>
      <c r="R168" s="885"/>
      <c r="S168" s="885"/>
      <c r="T168" s="885"/>
      <c r="U168" s="885"/>
      <c r="V168" s="885"/>
      <c r="W168" s="885"/>
      <c r="X168" s="885"/>
      <c r="Y168" s="885"/>
      <c r="Z168" s="885"/>
    </row>
    <row r="169" spans="1:26" ht="16.5" customHeight="1" x14ac:dyDescent="0.2">
      <c r="A169" s="885"/>
      <c r="B169" s="885"/>
      <c r="C169" s="885"/>
      <c r="D169" s="885"/>
      <c r="E169" s="885"/>
      <c r="F169" s="885"/>
      <c r="G169" s="885"/>
      <c r="H169" s="885"/>
      <c r="I169" s="885"/>
      <c r="J169" s="885"/>
      <c r="K169" s="885"/>
      <c r="L169" s="885"/>
      <c r="M169" s="885"/>
      <c r="N169" s="885"/>
      <c r="O169" s="885"/>
      <c r="P169" s="885"/>
      <c r="Q169" s="885"/>
      <c r="R169" s="885"/>
      <c r="S169" s="885"/>
      <c r="T169" s="885"/>
      <c r="U169" s="885"/>
      <c r="V169" s="885"/>
      <c r="W169" s="885"/>
      <c r="X169" s="885"/>
      <c r="Y169" s="885"/>
      <c r="Z169" s="885"/>
    </row>
    <row r="170" spans="1:26" ht="16.5" customHeight="1" x14ac:dyDescent="0.2">
      <c r="A170" s="885"/>
      <c r="B170" s="885"/>
      <c r="C170" s="885"/>
      <c r="D170" s="885"/>
      <c r="E170" s="885"/>
      <c r="F170" s="885"/>
      <c r="G170" s="885"/>
      <c r="H170" s="885"/>
      <c r="I170" s="885"/>
      <c r="J170" s="885"/>
      <c r="K170" s="885"/>
      <c r="L170" s="885"/>
      <c r="M170" s="885"/>
      <c r="N170" s="885"/>
      <c r="O170" s="885"/>
      <c r="P170" s="885"/>
      <c r="Q170" s="885"/>
      <c r="R170" s="885"/>
      <c r="S170" s="885"/>
      <c r="T170" s="885"/>
      <c r="U170" s="885"/>
      <c r="V170" s="885"/>
      <c r="W170" s="885"/>
      <c r="X170" s="885"/>
      <c r="Y170" s="885"/>
      <c r="Z170" s="885"/>
    </row>
    <row r="171" spans="1:26" ht="16.5" customHeight="1" x14ac:dyDescent="0.2">
      <c r="A171" s="885"/>
      <c r="B171" s="885"/>
      <c r="C171" s="885"/>
      <c r="D171" s="885"/>
      <c r="E171" s="885"/>
      <c r="F171" s="885"/>
      <c r="G171" s="885"/>
      <c r="H171" s="885"/>
      <c r="I171" s="885"/>
      <c r="J171" s="885"/>
      <c r="K171" s="885"/>
      <c r="L171" s="885"/>
      <c r="M171" s="885"/>
      <c r="N171" s="885"/>
      <c r="O171" s="885"/>
      <c r="P171" s="885"/>
      <c r="Q171" s="885"/>
      <c r="R171" s="885"/>
      <c r="S171" s="885"/>
      <c r="T171" s="885"/>
      <c r="U171" s="885"/>
      <c r="V171" s="885"/>
      <c r="W171" s="885"/>
      <c r="X171" s="885"/>
      <c r="Y171" s="885"/>
      <c r="Z171" s="885"/>
    </row>
    <row r="172" spans="1:26" ht="16.5" customHeight="1" x14ac:dyDescent="0.2">
      <c r="A172" s="885"/>
      <c r="B172" s="885"/>
      <c r="C172" s="885"/>
      <c r="D172" s="885"/>
      <c r="E172" s="885"/>
      <c r="F172" s="885"/>
      <c r="G172" s="885"/>
      <c r="H172" s="885"/>
      <c r="I172" s="885"/>
      <c r="J172" s="885"/>
      <c r="K172" s="885"/>
      <c r="L172" s="885"/>
      <c r="M172" s="885"/>
      <c r="N172" s="885"/>
      <c r="O172" s="885"/>
      <c r="P172" s="885"/>
      <c r="Q172" s="885"/>
      <c r="R172" s="885"/>
      <c r="S172" s="885"/>
      <c r="T172" s="885"/>
      <c r="U172" s="885"/>
      <c r="V172" s="885"/>
      <c r="W172" s="885"/>
      <c r="X172" s="885"/>
      <c r="Y172" s="885"/>
      <c r="Z172" s="885"/>
    </row>
    <row r="173" spans="1:26" ht="16.5" customHeight="1" x14ac:dyDescent="0.2">
      <c r="A173" s="885"/>
      <c r="B173" s="885"/>
      <c r="C173" s="885"/>
      <c r="D173" s="885"/>
      <c r="E173" s="885"/>
      <c r="F173" s="885"/>
      <c r="G173" s="885"/>
      <c r="H173" s="885"/>
      <c r="I173" s="885"/>
      <c r="J173" s="885"/>
      <c r="K173" s="885"/>
      <c r="L173" s="885"/>
      <c r="M173" s="885"/>
      <c r="N173" s="885"/>
      <c r="O173" s="885"/>
      <c r="P173" s="885"/>
      <c r="Q173" s="885"/>
      <c r="R173" s="885"/>
      <c r="S173" s="885"/>
      <c r="T173" s="885"/>
      <c r="U173" s="885"/>
      <c r="V173" s="885"/>
      <c r="W173" s="885"/>
      <c r="X173" s="885"/>
      <c r="Y173" s="885"/>
      <c r="Z173" s="885"/>
    </row>
    <row r="174" spans="1:26" ht="16.5" customHeight="1" x14ac:dyDescent="0.2">
      <c r="A174" s="885"/>
      <c r="B174" s="885"/>
      <c r="C174" s="885"/>
      <c r="D174" s="885"/>
      <c r="E174" s="885"/>
      <c r="F174" s="885"/>
      <c r="G174" s="885"/>
      <c r="H174" s="885"/>
      <c r="I174" s="885"/>
      <c r="J174" s="885"/>
      <c r="K174" s="885"/>
      <c r="L174" s="885"/>
      <c r="M174" s="885"/>
      <c r="N174" s="885"/>
      <c r="O174" s="885"/>
      <c r="P174" s="885"/>
      <c r="Q174" s="885"/>
      <c r="R174" s="885"/>
      <c r="S174" s="885"/>
      <c r="T174" s="885"/>
      <c r="U174" s="885"/>
      <c r="V174" s="885"/>
      <c r="W174" s="885"/>
      <c r="X174" s="885"/>
      <c r="Y174" s="885"/>
      <c r="Z174" s="885"/>
    </row>
    <row r="175" spans="1:26" ht="16.5" customHeight="1" x14ac:dyDescent="0.2">
      <c r="A175" s="885"/>
      <c r="B175" s="885"/>
      <c r="C175" s="885"/>
      <c r="D175" s="885"/>
      <c r="E175" s="885"/>
      <c r="F175" s="885"/>
      <c r="G175" s="885"/>
      <c r="H175" s="885"/>
      <c r="I175" s="885"/>
      <c r="J175" s="885"/>
      <c r="K175" s="885"/>
      <c r="L175" s="885"/>
      <c r="M175" s="885"/>
      <c r="N175" s="885"/>
      <c r="O175" s="885"/>
      <c r="P175" s="885"/>
      <c r="Q175" s="885"/>
      <c r="R175" s="885"/>
      <c r="S175" s="885"/>
      <c r="T175" s="885"/>
      <c r="U175" s="885"/>
      <c r="V175" s="885"/>
      <c r="W175" s="885"/>
      <c r="X175" s="885"/>
      <c r="Y175" s="885"/>
      <c r="Z175" s="885"/>
    </row>
    <row r="176" spans="1:26" ht="16.5" customHeight="1" x14ac:dyDescent="0.2">
      <c r="A176" s="885"/>
      <c r="B176" s="885"/>
      <c r="C176" s="885"/>
      <c r="D176" s="885"/>
      <c r="E176" s="885"/>
      <c r="F176" s="885"/>
      <c r="G176" s="885"/>
      <c r="H176" s="885"/>
      <c r="I176" s="885"/>
      <c r="J176" s="885"/>
      <c r="K176" s="885"/>
      <c r="L176" s="885"/>
      <c r="M176" s="885"/>
      <c r="N176" s="885"/>
      <c r="O176" s="885"/>
      <c r="P176" s="885"/>
      <c r="Q176" s="885"/>
      <c r="R176" s="885"/>
      <c r="S176" s="885"/>
      <c r="T176" s="885"/>
      <c r="U176" s="885"/>
      <c r="V176" s="885"/>
      <c r="W176" s="885"/>
      <c r="X176" s="885"/>
      <c r="Y176" s="885"/>
      <c r="Z176" s="885"/>
    </row>
    <row r="177" spans="1:26" ht="16.5" customHeight="1" x14ac:dyDescent="0.2">
      <c r="A177" s="885"/>
      <c r="B177" s="885"/>
      <c r="C177" s="885"/>
      <c r="D177" s="885"/>
      <c r="E177" s="885"/>
      <c r="F177" s="885"/>
      <c r="G177" s="885"/>
      <c r="H177" s="885"/>
      <c r="I177" s="885"/>
      <c r="J177" s="885"/>
      <c r="K177" s="885"/>
      <c r="L177" s="885"/>
      <c r="M177" s="885"/>
      <c r="N177" s="885"/>
      <c r="O177" s="885"/>
      <c r="P177" s="885"/>
      <c r="Q177" s="885"/>
      <c r="R177" s="885"/>
      <c r="S177" s="885"/>
      <c r="T177" s="885"/>
      <c r="U177" s="885"/>
      <c r="V177" s="885"/>
      <c r="W177" s="885"/>
      <c r="X177" s="885"/>
      <c r="Y177" s="885"/>
      <c r="Z177" s="885"/>
    </row>
    <row r="178" spans="1:26" ht="16.5" customHeight="1" x14ac:dyDescent="0.2">
      <c r="A178" s="885"/>
      <c r="B178" s="885"/>
      <c r="C178" s="885"/>
      <c r="D178" s="885"/>
      <c r="E178" s="885"/>
      <c r="F178" s="885"/>
      <c r="G178" s="885"/>
      <c r="H178" s="885"/>
      <c r="I178" s="885"/>
      <c r="J178" s="885"/>
      <c r="K178" s="885"/>
      <c r="L178" s="885"/>
      <c r="M178" s="885"/>
      <c r="N178" s="885"/>
      <c r="O178" s="885"/>
      <c r="P178" s="885"/>
      <c r="Q178" s="885"/>
      <c r="R178" s="885"/>
      <c r="S178" s="885"/>
      <c r="T178" s="885"/>
      <c r="U178" s="885"/>
      <c r="V178" s="885"/>
      <c r="W178" s="885"/>
      <c r="X178" s="885"/>
      <c r="Y178" s="885"/>
      <c r="Z178" s="885"/>
    </row>
    <row r="179" spans="1:26" ht="16.5" customHeight="1" x14ac:dyDescent="0.2">
      <c r="A179" s="885"/>
      <c r="B179" s="885"/>
      <c r="C179" s="885"/>
      <c r="D179" s="885"/>
      <c r="E179" s="885"/>
      <c r="F179" s="885"/>
      <c r="G179" s="885"/>
      <c r="H179" s="885"/>
      <c r="I179" s="885"/>
      <c r="J179" s="885"/>
      <c r="K179" s="885"/>
      <c r="L179" s="885"/>
      <c r="M179" s="885"/>
      <c r="N179" s="885"/>
      <c r="O179" s="885"/>
      <c r="P179" s="885"/>
      <c r="Q179" s="885"/>
      <c r="R179" s="885"/>
      <c r="S179" s="885"/>
      <c r="T179" s="885"/>
      <c r="U179" s="885"/>
      <c r="V179" s="885"/>
      <c r="W179" s="885"/>
      <c r="X179" s="885"/>
      <c r="Y179" s="885"/>
      <c r="Z179" s="885"/>
    </row>
    <row r="180" spans="1:26" ht="16.5" customHeight="1" x14ac:dyDescent="0.2">
      <c r="A180" s="885"/>
      <c r="B180" s="885"/>
      <c r="C180" s="885"/>
      <c r="D180" s="885"/>
      <c r="E180" s="885"/>
      <c r="F180" s="885"/>
      <c r="G180" s="885"/>
      <c r="H180" s="885"/>
      <c r="I180" s="885"/>
      <c r="J180" s="885"/>
      <c r="K180" s="885"/>
      <c r="L180" s="885"/>
      <c r="M180" s="885"/>
      <c r="N180" s="885"/>
      <c r="O180" s="885"/>
      <c r="P180" s="885"/>
      <c r="Q180" s="885"/>
      <c r="R180" s="885"/>
      <c r="S180" s="885"/>
      <c r="T180" s="885"/>
      <c r="U180" s="885"/>
      <c r="V180" s="885"/>
      <c r="W180" s="885"/>
      <c r="X180" s="885"/>
      <c r="Y180" s="885"/>
      <c r="Z180" s="885"/>
    </row>
    <row r="181" spans="1:26" ht="16.5" customHeight="1" x14ac:dyDescent="0.2">
      <c r="A181" s="885"/>
      <c r="B181" s="885"/>
      <c r="C181" s="885"/>
      <c r="D181" s="885"/>
      <c r="E181" s="885"/>
      <c r="F181" s="885"/>
      <c r="G181" s="885"/>
      <c r="H181" s="885"/>
      <c r="I181" s="885"/>
      <c r="J181" s="885"/>
      <c r="K181" s="885"/>
      <c r="L181" s="885"/>
      <c r="M181" s="885"/>
      <c r="N181" s="885"/>
      <c r="O181" s="885"/>
      <c r="P181" s="885"/>
      <c r="Q181" s="885"/>
      <c r="R181" s="885"/>
      <c r="S181" s="885"/>
      <c r="T181" s="885"/>
      <c r="U181" s="885"/>
      <c r="V181" s="885"/>
      <c r="W181" s="885"/>
      <c r="X181" s="885"/>
      <c r="Y181" s="885"/>
      <c r="Z181" s="885"/>
    </row>
    <row r="182" spans="1:26" ht="16.5" customHeight="1" x14ac:dyDescent="0.2">
      <c r="A182" s="885"/>
      <c r="B182" s="885"/>
      <c r="C182" s="885"/>
      <c r="D182" s="885"/>
      <c r="E182" s="885"/>
      <c r="F182" s="885"/>
      <c r="G182" s="885"/>
      <c r="H182" s="885"/>
      <c r="I182" s="885"/>
      <c r="J182" s="885"/>
      <c r="K182" s="885"/>
      <c r="L182" s="885"/>
      <c r="M182" s="885"/>
      <c r="N182" s="885"/>
      <c r="O182" s="885"/>
      <c r="P182" s="885"/>
      <c r="Q182" s="885"/>
      <c r="R182" s="885"/>
      <c r="S182" s="885"/>
      <c r="T182" s="885"/>
      <c r="U182" s="885"/>
      <c r="V182" s="885"/>
      <c r="W182" s="885"/>
      <c r="X182" s="885"/>
      <c r="Y182" s="885"/>
      <c r="Z182" s="885"/>
    </row>
    <row r="183" spans="1:26" ht="16.5" customHeight="1" x14ac:dyDescent="0.2">
      <c r="A183" s="885"/>
      <c r="B183" s="885"/>
      <c r="C183" s="885"/>
      <c r="D183" s="885"/>
      <c r="E183" s="885"/>
      <c r="F183" s="885"/>
      <c r="G183" s="885"/>
      <c r="H183" s="885"/>
      <c r="I183" s="885"/>
      <c r="J183" s="885"/>
      <c r="K183" s="885"/>
      <c r="L183" s="885"/>
      <c r="M183" s="885"/>
      <c r="N183" s="885"/>
      <c r="O183" s="885"/>
      <c r="P183" s="885"/>
      <c r="Q183" s="885"/>
      <c r="R183" s="885"/>
      <c r="S183" s="885"/>
      <c r="T183" s="885"/>
      <c r="U183" s="885"/>
      <c r="V183" s="885"/>
      <c r="W183" s="885"/>
      <c r="X183" s="885"/>
      <c r="Y183" s="885"/>
      <c r="Z183" s="885"/>
    </row>
    <row r="184" spans="1:26" ht="16.5" customHeight="1" x14ac:dyDescent="0.2">
      <c r="A184" s="885"/>
      <c r="B184" s="885"/>
      <c r="C184" s="885"/>
      <c r="D184" s="885"/>
      <c r="E184" s="885"/>
      <c r="F184" s="885"/>
      <c r="G184" s="885"/>
      <c r="H184" s="885"/>
      <c r="I184" s="885"/>
      <c r="J184" s="885"/>
      <c r="K184" s="885"/>
      <c r="L184" s="885"/>
      <c r="M184" s="885"/>
      <c r="N184" s="885"/>
      <c r="O184" s="885"/>
      <c r="P184" s="885"/>
      <c r="Q184" s="885"/>
      <c r="R184" s="885"/>
      <c r="S184" s="885"/>
      <c r="T184" s="885"/>
      <c r="U184" s="885"/>
      <c r="V184" s="885"/>
      <c r="W184" s="885"/>
      <c r="X184" s="885"/>
      <c r="Y184" s="885"/>
      <c r="Z184" s="885"/>
    </row>
    <row r="185" spans="1:26" ht="16.5" customHeight="1" x14ac:dyDescent="0.2">
      <c r="A185" s="885"/>
      <c r="B185" s="885"/>
      <c r="C185" s="885"/>
      <c r="D185" s="885"/>
      <c r="E185" s="885"/>
      <c r="F185" s="885"/>
      <c r="G185" s="885"/>
      <c r="H185" s="885"/>
      <c r="I185" s="885"/>
      <c r="J185" s="885"/>
      <c r="K185" s="885"/>
      <c r="L185" s="885"/>
      <c r="M185" s="885"/>
      <c r="N185" s="885"/>
      <c r="O185" s="885"/>
      <c r="P185" s="885"/>
      <c r="Q185" s="885"/>
      <c r="R185" s="885"/>
      <c r="S185" s="885"/>
      <c r="T185" s="885"/>
      <c r="U185" s="885"/>
      <c r="V185" s="885"/>
      <c r="W185" s="885"/>
      <c r="X185" s="885"/>
      <c r="Y185" s="885"/>
      <c r="Z185" s="885"/>
    </row>
    <row r="186" spans="1:26" ht="16.5" customHeight="1" x14ac:dyDescent="0.2">
      <c r="A186" s="885"/>
      <c r="B186" s="885"/>
      <c r="C186" s="885"/>
      <c r="D186" s="885"/>
      <c r="E186" s="885"/>
      <c r="F186" s="885"/>
      <c r="G186" s="885"/>
      <c r="H186" s="885"/>
      <c r="I186" s="885"/>
      <c r="J186" s="885"/>
      <c r="K186" s="885"/>
      <c r="L186" s="885"/>
      <c r="M186" s="885"/>
      <c r="N186" s="885"/>
      <c r="O186" s="885"/>
      <c r="P186" s="885"/>
      <c r="Q186" s="885"/>
      <c r="R186" s="885"/>
      <c r="S186" s="885"/>
      <c r="T186" s="885"/>
      <c r="U186" s="885"/>
      <c r="V186" s="885"/>
      <c r="W186" s="885"/>
      <c r="X186" s="885"/>
      <c r="Y186" s="885"/>
      <c r="Z186" s="885"/>
    </row>
    <row r="187" spans="1:26" ht="16.5" customHeight="1" x14ac:dyDescent="0.2">
      <c r="A187" s="885"/>
      <c r="B187" s="885"/>
      <c r="C187" s="885"/>
      <c r="D187" s="885"/>
      <c r="E187" s="885"/>
      <c r="F187" s="885"/>
      <c r="G187" s="885"/>
      <c r="H187" s="885"/>
      <c r="I187" s="885"/>
      <c r="J187" s="885"/>
      <c r="K187" s="885"/>
      <c r="L187" s="885"/>
      <c r="M187" s="885"/>
      <c r="N187" s="885"/>
      <c r="O187" s="885"/>
      <c r="P187" s="885"/>
      <c r="Q187" s="885"/>
      <c r="R187" s="885"/>
      <c r="S187" s="885"/>
      <c r="T187" s="885"/>
      <c r="U187" s="885"/>
      <c r="V187" s="885"/>
      <c r="W187" s="885"/>
      <c r="X187" s="885"/>
      <c r="Y187" s="885"/>
      <c r="Z187" s="885"/>
    </row>
    <row r="188" spans="1:26" ht="16.5" customHeight="1" x14ac:dyDescent="0.2">
      <c r="A188" s="885"/>
      <c r="B188" s="885"/>
      <c r="C188" s="885"/>
      <c r="D188" s="885"/>
      <c r="E188" s="885"/>
      <c r="F188" s="885"/>
      <c r="G188" s="885"/>
      <c r="H188" s="885"/>
      <c r="I188" s="885"/>
      <c r="J188" s="885"/>
      <c r="K188" s="885"/>
      <c r="L188" s="885"/>
      <c r="M188" s="885"/>
      <c r="N188" s="885"/>
      <c r="O188" s="885"/>
      <c r="P188" s="885"/>
      <c r="Q188" s="885"/>
      <c r="R188" s="885"/>
      <c r="S188" s="885"/>
      <c r="T188" s="885"/>
      <c r="U188" s="885"/>
      <c r="V188" s="885"/>
      <c r="W188" s="885"/>
      <c r="X188" s="885"/>
      <c r="Y188" s="885"/>
      <c r="Z188" s="885"/>
    </row>
    <row r="189" spans="1:26" ht="16.5" customHeight="1" x14ac:dyDescent="0.2">
      <c r="A189" s="885"/>
      <c r="B189" s="885"/>
      <c r="C189" s="885"/>
      <c r="D189" s="885"/>
      <c r="E189" s="885"/>
      <c r="F189" s="885"/>
      <c r="G189" s="885"/>
      <c r="H189" s="885"/>
      <c r="I189" s="885"/>
      <c r="J189" s="885"/>
      <c r="K189" s="885"/>
      <c r="L189" s="885"/>
      <c r="M189" s="885"/>
      <c r="N189" s="885"/>
      <c r="O189" s="885"/>
      <c r="P189" s="885"/>
      <c r="Q189" s="885"/>
      <c r="R189" s="885"/>
      <c r="S189" s="885"/>
      <c r="T189" s="885"/>
      <c r="U189" s="885"/>
      <c r="V189" s="885"/>
      <c r="W189" s="885"/>
      <c r="X189" s="885"/>
      <c r="Y189" s="885"/>
      <c r="Z189" s="885"/>
    </row>
    <row r="190" spans="1:26" ht="16.5" customHeight="1" x14ac:dyDescent="0.2">
      <c r="A190" s="885"/>
      <c r="B190" s="885"/>
      <c r="C190" s="885"/>
      <c r="D190" s="885"/>
      <c r="E190" s="885"/>
      <c r="F190" s="885"/>
      <c r="G190" s="885"/>
      <c r="H190" s="885"/>
      <c r="I190" s="885"/>
      <c r="J190" s="885"/>
      <c r="K190" s="885"/>
      <c r="L190" s="885"/>
      <c r="M190" s="885"/>
      <c r="N190" s="885"/>
      <c r="O190" s="885"/>
      <c r="P190" s="885"/>
      <c r="Q190" s="885"/>
      <c r="R190" s="885"/>
      <c r="S190" s="885"/>
      <c r="T190" s="885"/>
      <c r="U190" s="885"/>
      <c r="V190" s="885"/>
      <c r="W190" s="885"/>
      <c r="X190" s="885"/>
      <c r="Y190" s="885"/>
      <c r="Z190" s="885"/>
    </row>
    <row r="191" spans="1:26" ht="16.5" customHeight="1" x14ac:dyDescent="0.2">
      <c r="A191" s="885"/>
      <c r="B191" s="885"/>
      <c r="C191" s="885"/>
      <c r="D191" s="885"/>
      <c r="E191" s="885"/>
      <c r="F191" s="885"/>
      <c r="G191" s="885"/>
      <c r="H191" s="885"/>
      <c r="I191" s="885"/>
      <c r="J191" s="885"/>
      <c r="K191" s="885"/>
      <c r="L191" s="885"/>
      <c r="M191" s="885"/>
      <c r="N191" s="885"/>
      <c r="O191" s="885"/>
      <c r="P191" s="885"/>
      <c r="Q191" s="885"/>
      <c r="R191" s="885"/>
      <c r="S191" s="885"/>
      <c r="T191" s="885"/>
      <c r="U191" s="885"/>
      <c r="V191" s="885"/>
      <c r="W191" s="885"/>
      <c r="X191" s="885"/>
      <c r="Y191" s="885"/>
      <c r="Z191" s="885"/>
    </row>
    <row r="192" spans="1:26" ht="16.5" customHeight="1" x14ac:dyDescent="0.2">
      <c r="A192" s="885"/>
      <c r="B192" s="885"/>
      <c r="C192" s="885"/>
      <c r="D192" s="885"/>
      <c r="E192" s="885"/>
      <c r="F192" s="885"/>
      <c r="G192" s="885"/>
      <c r="H192" s="885"/>
      <c r="I192" s="885"/>
      <c r="J192" s="885"/>
      <c r="K192" s="885"/>
      <c r="L192" s="885"/>
      <c r="M192" s="885"/>
      <c r="N192" s="885"/>
      <c r="O192" s="885"/>
      <c r="P192" s="885"/>
      <c r="Q192" s="885"/>
      <c r="R192" s="885"/>
      <c r="S192" s="885"/>
      <c r="T192" s="885"/>
      <c r="U192" s="885"/>
      <c r="V192" s="885"/>
      <c r="W192" s="885"/>
      <c r="X192" s="885"/>
      <c r="Y192" s="885"/>
      <c r="Z192" s="885"/>
    </row>
    <row r="193" spans="1:26" ht="16.5" customHeight="1" x14ac:dyDescent="0.2">
      <c r="A193" s="885"/>
      <c r="B193" s="885"/>
      <c r="C193" s="885"/>
      <c r="D193" s="885"/>
      <c r="E193" s="885"/>
      <c r="F193" s="885"/>
      <c r="G193" s="885"/>
      <c r="H193" s="885"/>
      <c r="I193" s="885"/>
      <c r="J193" s="885"/>
      <c r="K193" s="885"/>
      <c r="L193" s="885"/>
      <c r="M193" s="885"/>
      <c r="N193" s="885"/>
      <c r="O193" s="885"/>
      <c r="P193" s="885"/>
      <c r="Q193" s="885"/>
      <c r="R193" s="885"/>
      <c r="S193" s="885"/>
      <c r="T193" s="885"/>
      <c r="U193" s="885"/>
      <c r="V193" s="885"/>
      <c r="W193" s="885"/>
      <c r="X193" s="885"/>
      <c r="Y193" s="885"/>
      <c r="Z193" s="885"/>
    </row>
    <row r="194" spans="1:26" ht="16.5" customHeight="1" x14ac:dyDescent="0.2">
      <c r="A194" s="885"/>
      <c r="B194" s="885"/>
      <c r="C194" s="885"/>
      <c r="D194" s="885"/>
      <c r="E194" s="885"/>
      <c r="F194" s="885"/>
      <c r="G194" s="885"/>
      <c r="H194" s="885"/>
      <c r="I194" s="885"/>
      <c r="J194" s="885"/>
      <c r="K194" s="885"/>
      <c r="L194" s="885"/>
      <c r="M194" s="885"/>
      <c r="N194" s="885"/>
      <c r="O194" s="885"/>
      <c r="P194" s="885"/>
      <c r="Q194" s="885"/>
      <c r="R194" s="885"/>
      <c r="S194" s="885"/>
      <c r="T194" s="885"/>
      <c r="U194" s="885"/>
      <c r="V194" s="885"/>
      <c r="W194" s="885"/>
      <c r="X194" s="885"/>
      <c r="Y194" s="885"/>
      <c r="Z194" s="885"/>
    </row>
    <row r="195" spans="1:26" ht="16.5" customHeight="1" x14ac:dyDescent="0.2">
      <c r="A195" s="885"/>
      <c r="B195" s="885"/>
      <c r="C195" s="885"/>
      <c r="D195" s="885"/>
      <c r="E195" s="885"/>
      <c r="F195" s="885"/>
      <c r="G195" s="885"/>
      <c r="H195" s="885"/>
      <c r="I195" s="885"/>
      <c r="J195" s="885"/>
      <c r="K195" s="885"/>
      <c r="L195" s="885"/>
      <c r="M195" s="885"/>
      <c r="N195" s="885"/>
      <c r="O195" s="885"/>
      <c r="P195" s="885"/>
      <c r="Q195" s="885"/>
      <c r="R195" s="885"/>
      <c r="S195" s="885"/>
      <c r="T195" s="885"/>
      <c r="U195" s="885"/>
      <c r="V195" s="885"/>
      <c r="W195" s="885"/>
      <c r="X195" s="885"/>
      <c r="Y195" s="885"/>
      <c r="Z195" s="885"/>
    </row>
    <row r="196" spans="1:26" ht="16.5" customHeight="1" x14ac:dyDescent="0.2">
      <c r="A196" s="885"/>
      <c r="B196" s="885"/>
      <c r="C196" s="885"/>
      <c r="D196" s="885"/>
      <c r="E196" s="885"/>
      <c r="F196" s="885"/>
      <c r="G196" s="885"/>
      <c r="H196" s="885"/>
      <c r="I196" s="885"/>
      <c r="J196" s="885"/>
      <c r="K196" s="885"/>
      <c r="L196" s="885"/>
      <c r="M196" s="885"/>
      <c r="N196" s="885"/>
      <c r="O196" s="885"/>
      <c r="P196" s="885"/>
      <c r="Q196" s="885"/>
      <c r="R196" s="885"/>
      <c r="S196" s="885"/>
      <c r="T196" s="885"/>
      <c r="U196" s="885"/>
      <c r="V196" s="885"/>
      <c r="W196" s="885"/>
      <c r="X196" s="885"/>
      <c r="Y196" s="885"/>
      <c r="Z196" s="885"/>
    </row>
    <row r="197" spans="1:26" ht="16.5" customHeight="1" x14ac:dyDescent="0.2">
      <c r="A197" s="885"/>
      <c r="B197" s="885"/>
      <c r="C197" s="885"/>
      <c r="D197" s="885"/>
      <c r="E197" s="885"/>
      <c r="F197" s="885"/>
      <c r="G197" s="885"/>
      <c r="H197" s="885"/>
      <c r="I197" s="885"/>
      <c r="J197" s="885"/>
      <c r="K197" s="885"/>
      <c r="L197" s="885"/>
      <c r="M197" s="885"/>
      <c r="N197" s="885"/>
      <c r="O197" s="885"/>
      <c r="P197" s="885"/>
      <c r="Q197" s="885"/>
      <c r="R197" s="885"/>
      <c r="S197" s="885"/>
      <c r="T197" s="885"/>
      <c r="U197" s="885"/>
      <c r="V197" s="885"/>
      <c r="W197" s="885"/>
      <c r="X197" s="885"/>
      <c r="Y197" s="885"/>
      <c r="Z197" s="885"/>
    </row>
    <row r="198" spans="1:26" ht="16.5" customHeight="1" x14ac:dyDescent="0.2">
      <c r="A198" s="885"/>
      <c r="B198" s="885"/>
      <c r="C198" s="885"/>
      <c r="D198" s="885"/>
      <c r="E198" s="885"/>
      <c r="F198" s="885"/>
      <c r="G198" s="885"/>
      <c r="H198" s="885"/>
      <c r="I198" s="885"/>
      <c r="J198" s="885"/>
      <c r="K198" s="885"/>
      <c r="L198" s="885"/>
      <c r="M198" s="885"/>
      <c r="N198" s="885"/>
      <c r="O198" s="885"/>
      <c r="P198" s="885"/>
      <c r="Q198" s="885"/>
      <c r="R198" s="885"/>
      <c r="S198" s="885"/>
      <c r="T198" s="885"/>
      <c r="U198" s="885"/>
      <c r="V198" s="885"/>
      <c r="W198" s="885"/>
      <c r="X198" s="885"/>
      <c r="Y198" s="885"/>
      <c r="Z198" s="885"/>
    </row>
    <row r="199" spans="1:26" ht="16.5" customHeight="1" x14ac:dyDescent="0.2">
      <c r="A199" s="885"/>
      <c r="B199" s="885"/>
      <c r="C199" s="885"/>
      <c r="D199" s="885"/>
      <c r="E199" s="885"/>
      <c r="F199" s="885"/>
      <c r="G199" s="885"/>
      <c r="H199" s="885"/>
      <c r="I199" s="885"/>
      <c r="J199" s="885"/>
      <c r="K199" s="885"/>
      <c r="L199" s="885"/>
      <c r="M199" s="885"/>
      <c r="N199" s="885"/>
      <c r="O199" s="885"/>
      <c r="P199" s="885"/>
      <c r="Q199" s="885"/>
      <c r="R199" s="885"/>
      <c r="S199" s="885"/>
      <c r="T199" s="885"/>
      <c r="U199" s="885"/>
      <c r="V199" s="885"/>
      <c r="W199" s="885"/>
      <c r="X199" s="885"/>
      <c r="Y199" s="885"/>
      <c r="Z199" s="885"/>
    </row>
    <row r="200" spans="1:26" ht="16.5" customHeight="1" x14ac:dyDescent="0.2">
      <c r="A200" s="885"/>
      <c r="B200" s="885"/>
      <c r="C200" s="885"/>
      <c r="D200" s="885"/>
      <c r="E200" s="885"/>
      <c r="F200" s="885"/>
      <c r="G200" s="885"/>
      <c r="H200" s="885"/>
      <c r="I200" s="885"/>
      <c r="J200" s="885"/>
      <c r="K200" s="885"/>
      <c r="L200" s="885"/>
      <c r="M200" s="885"/>
      <c r="N200" s="885"/>
      <c r="O200" s="885"/>
      <c r="P200" s="885"/>
      <c r="Q200" s="885"/>
      <c r="R200" s="885"/>
      <c r="S200" s="885"/>
      <c r="T200" s="885"/>
      <c r="U200" s="885"/>
      <c r="V200" s="885"/>
      <c r="W200" s="885"/>
      <c r="X200" s="885"/>
      <c r="Y200" s="885"/>
      <c r="Z200" s="885"/>
    </row>
    <row r="201" spans="1:26" ht="16.5" customHeight="1" x14ac:dyDescent="0.2">
      <c r="A201" s="885"/>
      <c r="B201" s="885"/>
      <c r="C201" s="885"/>
      <c r="D201" s="885"/>
      <c r="E201" s="885"/>
      <c r="F201" s="885"/>
      <c r="G201" s="885"/>
      <c r="H201" s="885"/>
      <c r="I201" s="885"/>
      <c r="J201" s="885"/>
      <c r="K201" s="885"/>
      <c r="L201" s="885"/>
      <c r="M201" s="885"/>
      <c r="N201" s="885"/>
      <c r="O201" s="885"/>
      <c r="P201" s="885"/>
      <c r="Q201" s="885"/>
      <c r="R201" s="885"/>
      <c r="S201" s="885"/>
      <c r="T201" s="885"/>
      <c r="U201" s="885"/>
      <c r="V201" s="885"/>
      <c r="W201" s="885"/>
      <c r="X201" s="885"/>
      <c r="Y201" s="885"/>
      <c r="Z201" s="885"/>
    </row>
    <row r="202" spans="1:26" ht="16.5" customHeight="1" x14ac:dyDescent="0.2">
      <c r="A202" s="885"/>
      <c r="B202" s="885"/>
      <c r="C202" s="885"/>
      <c r="D202" s="885"/>
      <c r="E202" s="885"/>
      <c r="F202" s="885"/>
      <c r="G202" s="885"/>
      <c r="H202" s="885"/>
      <c r="I202" s="885"/>
      <c r="J202" s="885"/>
      <c r="K202" s="885"/>
      <c r="L202" s="885"/>
      <c r="M202" s="885"/>
      <c r="N202" s="885"/>
      <c r="O202" s="885"/>
      <c r="P202" s="885"/>
      <c r="Q202" s="885"/>
      <c r="R202" s="885"/>
      <c r="S202" s="885"/>
      <c r="T202" s="885"/>
      <c r="U202" s="885"/>
      <c r="V202" s="885"/>
      <c r="W202" s="885"/>
      <c r="X202" s="885"/>
      <c r="Y202" s="885"/>
      <c r="Z202" s="885"/>
    </row>
    <row r="203" spans="1:26" ht="16.5" customHeight="1" x14ac:dyDescent="0.2">
      <c r="A203" s="885"/>
      <c r="B203" s="885"/>
      <c r="C203" s="885"/>
      <c r="D203" s="885"/>
      <c r="E203" s="885"/>
      <c r="F203" s="885"/>
      <c r="G203" s="885"/>
      <c r="H203" s="885"/>
      <c r="I203" s="885"/>
      <c r="J203" s="885"/>
      <c r="K203" s="885"/>
      <c r="L203" s="885"/>
      <c r="M203" s="885"/>
      <c r="N203" s="885"/>
      <c r="O203" s="885"/>
      <c r="P203" s="885"/>
      <c r="Q203" s="885"/>
      <c r="R203" s="885"/>
      <c r="S203" s="885"/>
      <c r="T203" s="885"/>
      <c r="U203" s="885"/>
      <c r="V203" s="885"/>
      <c r="W203" s="885"/>
      <c r="X203" s="885"/>
      <c r="Y203" s="885"/>
      <c r="Z203" s="885"/>
    </row>
    <row r="204" spans="1:26" ht="16.5" customHeight="1" x14ac:dyDescent="0.2">
      <c r="A204" s="885"/>
      <c r="B204" s="885"/>
      <c r="C204" s="885"/>
      <c r="D204" s="885"/>
      <c r="E204" s="885"/>
      <c r="F204" s="885"/>
      <c r="G204" s="885"/>
      <c r="H204" s="885"/>
      <c r="I204" s="885"/>
      <c r="J204" s="885"/>
      <c r="K204" s="885"/>
      <c r="L204" s="885"/>
      <c r="M204" s="885"/>
      <c r="N204" s="885"/>
      <c r="O204" s="885"/>
      <c r="P204" s="885"/>
      <c r="Q204" s="885"/>
      <c r="R204" s="885"/>
      <c r="S204" s="885"/>
      <c r="T204" s="885"/>
      <c r="U204" s="885"/>
      <c r="V204" s="885"/>
      <c r="W204" s="885"/>
      <c r="X204" s="885"/>
      <c r="Y204" s="885"/>
      <c r="Z204" s="885"/>
    </row>
    <row r="205" spans="1:26" ht="16.5" customHeight="1" x14ac:dyDescent="0.2">
      <c r="A205" s="885"/>
      <c r="B205" s="885"/>
      <c r="C205" s="885"/>
      <c r="D205" s="885"/>
      <c r="E205" s="885"/>
      <c r="F205" s="885"/>
      <c r="G205" s="885"/>
      <c r="H205" s="885"/>
      <c r="I205" s="885"/>
      <c r="J205" s="885"/>
      <c r="K205" s="885"/>
      <c r="L205" s="885"/>
      <c r="M205" s="885"/>
      <c r="N205" s="885"/>
      <c r="O205" s="885"/>
      <c r="P205" s="885"/>
      <c r="Q205" s="885"/>
      <c r="R205" s="885"/>
      <c r="S205" s="885"/>
      <c r="T205" s="885"/>
      <c r="U205" s="885"/>
      <c r="V205" s="885"/>
      <c r="W205" s="885"/>
      <c r="X205" s="885"/>
      <c r="Y205" s="885"/>
      <c r="Z205" s="885"/>
    </row>
    <row r="206" spans="1:26" ht="16.5" customHeight="1" x14ac:dyDescent="0.2">
      <c r="A206" s="885"/>
      <c r="B206" s="885"/>
      <c r="C206" s="885"/>
      <c r="D206" s="885"/>
      <c r="E206" s="885"/>
      <c r="F206" s="885"/>
      <c r="G206" s="885"/>
      <c r="H206" s="885"/>
      <c r="I206" s="885"/>
      <c r="J206" s="885"/>
      <c r="K206" s="885"/>
      <c r="L206" s="885"/>
      <c r="M206" s="885"/>
      <c r="N206" s="885"/>
      <c r="O206" s="885"/>
      <c r="P206" s="885"/>
      <c r="Q206" s="885"/>
      <c r="R206" s="885"/>
      <c r="S206" s="885"/>
      <c r="T206" s="885"/>
      <c r="U206" s="885"/>
      <c r="V206" s="885"/>
      <c r="W206" s="885"/>
      <c r="X206" s="885"/>
      <c r="Y206" s="885"/>
      <c r="Z206" s="885"/>
    </row>
    <row r="207" spans="1:26" ht="16.5" customHeight="1" x14ac:dyDescent="0.2">
      <c r="A207" s="885"/>
      <c r="B207" s="885"/>
      <c r="C207" s="885"/>
      <c r="D207" s="885"/>
      <c r="E207" s="885"/>
      <c r="F207" s="885"/>
      <c r="G207" s="885"/>
      <c r="H207" s="885"/>
      <c r="I207" s="885"/>
      <c r="J207" s="885"/>
      <c r="K207" s="885"/>
      <c r="L207" s="885"/>
      <c r="M207" s="885"/>
      <c r="N207" s="885"/>
      <c r="O207" s="885"/>
      <c r="P207" s="885"/>
      <c r="Q207" s="885"/>
      <c r="R207" s="885"/>
      <c r="S207" s="885"/>
      <c r="T207" s="885"/>
      <c r="U207" s="885"/>
      <c r="V207" s="885"/>
      <c r="W207" s="885"/>
      <c r="X207" s="885"/>
      <c r="Y207" s="885"/>
      <c r="Z207" s="885"/>
    </row>
    <row r="208" spans="1:26" ht="16.5" customHeight="1" x14ac:dyDescent="0.2">
      <c r="A208" s="885"/>
      <c r="B208" s="885"/>
      <c r="C208" s="885"/>
      <c r="D208" s="885"/>
      <c r="E208" s="885"/>
      <c r="F208" s="885"/>
      <c r="G208" s="885"/>
      <c r="H208" s="885"/>
      <c r="I208" s="885"/>
      <c r="J208" s="885"/>
      <c r="K208" s="885"/>
      <c r="L208" s="885"/>
      <c r="M208" s="885"/>
      <c r="N208" s="885"/>
      <c r="O208" s="885"/>
      <c r="P208" s="885"/>
      <c r="Q208" s="885"/>
      <c r="R208" s="885"/>
      <c r="S208" s="885"/>
      <c r="T208" s="885"/>
      <c r="U208" s="885"/>
      <c r="V208" s="885"/>
      <c r="W208" s="885"/>
      <c r="X208" s="885"/>
      <c r="Y208" s="885"/>
      <c r="Z208" s="885"/>
    </row>
    <row r="209" spans="1:26" ht="16.5" customHeight="1" x14ac:dyDescent="0.2">
      <c r="A209" s="885"/>
      <c r="B209" s="885"/>
      <c r="C209" s="885"/>
      <c r="D209" s="885"/>
      <c r="E209" s="885"/>
      <c r="F209" s="885"/>
      <c r="G209" s="885"/>
      <c r="H209" s="885"/>
      <c r="I209" s="885"/>
      <c r="J209" s="885"/>
      <c r="K209" s="885"/>
      <c r="L209" s="885"/>
      <c r="M209" s="885"/>
      <c r="N209" s="885"/>
      <c r="O209" s="885"/>
      <c r="P209" s="885"/>
      <c r="Q209" s="885"/>
      <c r="R209" s="885"/>
      <c r="S209" s="885"/>
      <c r="T209" s="885"/>
      <c r="U209" s="885"/>
      <c r="V209" s="885"/>
      <c r="W209" s="885"/>
      <c r="X209" s="885"/>
      <c r="Y209" s="885"/>
      <c r="Z209" s="885"/>
    </row>
    <row r="210" spans="1:26" ht="16.5" customHeight="1" x14ac:dyDescent="0.2">
      <c r="A210" s="885"/>
      <c r="B210" s="885"/>
      <c r="C210" s="885"/>
      <c r="D210" s="885"/>
      <c r="E210" s="885"/>
      <c r="F210" s="885"/>
      <c r="G210" s="885"/>
      <c r="H210" s="885"/>
      <c r="I210" s="885"/>
      <c r="J210" s="885"/>
      <c r="K210" s="885"/>
      <c r="L210" s="885"/>
      <c r="M210" s="885"/>
      <c r="N210" s="885"/>
      <c r="O210" s="885"/>
      <c r="P210" s="885"/>
      <c r="Q210" s="885"/>
      <c r="R210" s="885"/>
      <c r="S210" s="885"/>
      <c r="T210" s="885"/>
      <c r="U210" s="885"/>
      <c r="V210" s="885"/>
      <c r="W210" s="885"/>
      <c r="X210" s="885"/>
      <c r="Y210" s="885"/>
      <c r="Z210" s="885"/>
    </row>
    <row r="211" spans="1:26" ht="16.5" customHeight="1" x14ac:dyDescent="0.2">
      <c r="A211" s="885"/>
      <c r="B211" s="885"/>
      <c r="C211" s="885"/>
      <c r="D211" s="885"/>
      <c r="E211" s="885"/>
      <c r="F211" s="885"/>
      <c r="G211" s="885"/>
      <c r="H211" s="885"/>
      <c r="I211" s="885"/>
      <c r="J211" s="885"/>
      <c r="K211" s="885"/>
      <c r="L211" s="885"/>
      <c r="M211" s="885"/>
      <c r="N211" s="885"/>
      <c r="O211" s="885"/>
      <c r="P211" s="885"/>
      <c r="Q211" s="885"/>
      <c r="R211" s="885"/>
      <c r="S211" s="885"/>
      <c r="T211" s="885"/>
      <c r="U211" s="885"/>
      <c r="V211" s="885"/>
      <c r="W211" s="885"/>
      <c r="X211" s="885"/>
      <c r="Y211" s="885"/>
      <c r="Z211" s="885"/>
    </row>
    <row r="212" spans="1:26" ht="16.5" customHeight="1" x14ac:dyDescent="0.2">
      <c r="A212" s="885"/>
      <c r="B212" s="885"/>
      <c r="C212" s="885"/>
      <c r="D212" s="885"/>
      <c r="E212" s="885"/>
      <c r="F212" s="885"/>
      <c r="G212" s="885"/>
      <c r="H212" s="885"/>
      <c r="I212" s="885"/>
      <c r="J212" s="885"/>
      <c r="K212" s="885"/>
      <c r="L212" s="885"/>
      <c r="M212" s="885"/>
      <c r="N212" s="885"/>
      <c r="O212" s="885"/>
      <c r="P212" s="885"/>
      <c r="Q212" s="885"/>
      <c r="R212" s="885"/>
      <c r="S212" s="885"/>
      <c r="T212" s="885"/>
      <c r="U212" s="885"/>
      <c r="V212" s="885"/>
      <c r="W212" s="885"/>
      <c r="X212" s="885"/>
      <c r="Y212" s="885"/>
      <c r="Z212" s="885"/>
    </row>
    <row r="213" spans="1:26" ht="16.5" customHeight="1" x14ac:dyDescent="0.2">
      <c r="A213" s="885"/>
      <c r="B213" s="885"/>
      <c r="C213" s="885"/>
      <c r="D213" s="885"/>
      <c r="E213" s="885"/>
      <c r="F213" s="885"/>
      <c r="G213" s="885"/>
      <c r="H213" s="885"/>
      <c r="I213" s="885"/>
      <c r="J213" s="885"/>
      <c r="K213" s="885"/>
      <c r="L213" s="885"/>
      <c r="M213" s="885"/>
      <c r="N213" s="885"/>
      <c r="O213" s="885"/>
      <c r="P213" s="885"/>
      <c r="Q213" s="885"/>
      <c r="R213" s="885"/>
      <c r="S213" s="885"/>
      <c r="T213" s="885"/>
      <c r="U213" s="885"/>
      <c r="V213" s="885"/>
      <c r="W213" s="885"/>
      <c r="X213" s="885"/>
      <c r="Y213" s="885"/>
      <c r="Z213" s="885"/>
    </row>
    <row r="214" spans="1:26" ht="16.5" customHeight="1" x14ac:dyDescent="0.2">
      <c r="A214" s="885"/>
      <c r="B214" s="885"/>
      <c r="C214" s="885"/>
      <c r="D214" s="885"/>
      <c r="E214" s="885"/>
      <c r="F214" s="885"/>
      <c r="G214" s="885"/>
      <c r="H214" s="885"/>
      <c r="I214" s="885"/>
      <c r="J214" s="885"/>
      <c r="K214" s="885"/>
      <c r="L214" s="885"/>
      <c r="M214" s="885"/>
      <c r="N214" s="885"/>
      <c r="O214" s="885"/>
      <c r="P214" s="885"/>
      <c r="Q214" s="885"/>
      <c r="R214" s="885"/>
      <c r="S214" s="885"/>
      <c r="T214" s="885"/>
      <c r="U214" s="885"/>
      <c r="V214" s="885"/>
      <c r="W214" s="885"/>
      <c r="X214" s="885"/>
      <c r="Y214" s="885"/>
      <c r="Z214" s="885"/>
    </row>
    <row r="215" spans="1:26" ht="16.5" customHeight="1" x14ac:dyDescent="0.2">
      <c r="A215" s="885"/>
      <c r="B215" s="885"/>
      <c r="C215" s="885"/>
      <c r="D215" s="885"/>
      <c r="E215" s="885"/>
      <c r="F215" s="885"/>
      <c r="G215" s="885"/>
      <c r="H215" s="885"/>
      <c r="I215" s="885"/>
      <c r="J215" s="885"/>
      <c r="K215" s="885"/>
      <c r="L215" s="885"/>
      <c r="M215" s="885"/>
      <c r="N215" s="885"/>
      <c r="O215" s="885"/>
      <c r="P215" s="885"/>
      <c r="Q215" s="885"/>
      <c r="R215" s="885"/>
      <c r="S215" s="885"/>
      <c r="T215" s="885"/>
      <c r="U215" s="885"/>
      <c r="V215" s="885"/>
      <c r="W215" s="885"/>
      <c r="X215" s="885"/>
      <c r="Y215" s="885"/>
      <c r="Z215" s="885"/>
    </row>
    <row r="216" spans="1:26" ht="16.5" customHeight="1" x14ac:dyDescent="0.2">
      <c r="A216" s="885"/>
      <c r="B216" s="885"/>
      <c r="C216" s="885"/>
      <c r="D216" s="885"/>
      <c r="E216" s="885"/>
      <c r="F216" s="885"/>
      <c r="G216" s="885"/>
      <c r="H216" s="885"/>
      <c r="I216" s="885"/>
      <c r="J216" s="885"/>
      <c r="K216" s="885"/>
      <c r="L216" s="885"/>
      <c r="M216" s="885"/>
      <c r="N216" s="885"/>
      <c r="O216" s="885"/>
      <c r="P216" s="885"/>
      <c r="Q216" s="885"/>
      <c r="R216" s="885"/>
      <c r="S216" s="885"/>
      <c r="T216" s="885"/>
      <c r="U216" s="885"/>
      <c r="V216" s="885"/>
      <c r="W216" s="885"/>
      <c r="X216" s="885"/>
      <c r="Y216" s="885"/>
      <c r="Z216" s="885"/>
    </row>
    <row r="217" spans="1:26" ht="16.5" customHeight="1" x14ac:dyDescent="0.2">
      <c r="A217" s="885"/>
      <c r="B217" s="885"/>
      <c r="C217" s="885"/>
      <c r="D217" s="885"/>
      <c r="E217" s="885"/>
      <c r="F217" s="885"/>
      <c r="G217" s="885"/>
      <c r="H217" s="885"/>
      <c r="I217" s="885"/>
      <c r="J217" s="885"/>
      <c r="K217" s="885"/>
      <c r="L217" s="885"/>
      <c r="M217" s="885"/>
      <c r="N217" s="885"/>
      <c r="O217" s="885"/>
      <c r="P217" s="885"/>
      <c r="Q217" s="885"/>
      <c r="R217" s="885"/>
      <c r="S217" s="885"/>
      <c r="T217" s="885"/>
      <c r="U217" s="885"/>
      <c r="V217" s="885"/>
      <c r="W217" s="885"/>
      <c r="X217" s="885"/>
      <c r="Y217" s="885"/>
      <c r="Z217" s="885"/>
    </row>
    <row r="218" spans="1:26" ht="16.5" customHeight="1" x14ac:dyDescent="0.2">
      <c r="A218" s="885"/>
      <c r="B218" s="885"/>
      <c r="C218" s="885"/>
      <c r="D218" s="885"/>
      <c r="E218" s="885"/>
      <c r="F218" s="885"/>
      <c r="G218" s="885"/>
      <c r="H218" s="885"/>
      <c r="I218" s="885"/>
      <c r="J218" s="885"/>
      <c r="K218" s="885"/>
      <c r="L218" s="885"/>
      <c r="M218" s="885"/>
      <c r="N218" s="885"/>
      <c r="O218" s="885"/>
      <c r="P218" s="885"/>
      <c r="Q218" s="885"/>
      <c r="R218" s="885"/>
      <c r="S218" s="885"/>
      <c r="T218" s="885"/>
      <c r="U218" s="885"/>
      <c r="V218" s="885"/>
      <c r="W218" s="885"/>
      <c r="X218" s="885"/>
      <c r="Y218" s="885"/>
      <c r="Z218" s="885"/>
    </row>
    <row r="219" spans="1:26" ht="16.5" customHeight="1" x14ac:dyDescent="0.2">
      <c r="A219" s="885"/>
      <c r="B219" s="885"/>
      <c r="C219" s="885"/>
      <c r="D219" s="885"/>
      <c r="E219" s="885"/>
      <c r="F219" s="885"/>
      <c r="G219" s="885"/>
      <c r="H219" s="885"/>
      <c r="I219" s="885"/>
      <c r="J219" s="885"/>
      <c r="K219" s="885"/>
      <c r="L219" s="885"/>
      <c r="M219" s="885"/>
      <c r="N219" s="885"/>
      <c r="O219" s="885"/>
      <c r="P219" s="885"/>
      <c r="Q219" s="885"/>
      <c r="R219" s="885"/>
      <c r="S219" s="885"/>
      <c r="T219" s="885"/>
      <c r="U219" s="885"/>
      <c r="V219" s="885"/>
      <c r="W219" s="885"/>
      <c r="X219" s="885"/>
      <c r="Y219" s="885"/>
      <c r="Z219" s="885"/>
    </row>
    <row r="220" spans="1:26" ht="16.5" customHeight="1" x14ac:dyDescent="0.2">
      <c r="A220" s="885"/>
      <c r="B220" s="885"/>
      <c r="C220" s="885"/>
      <c r="D220" s="885"/>
      <c r="E220" s="885"/>
      <c r="F220" s="885"/>
      <c r="G220" s="885"/>
      <c r="H220" s="885"/>
      <c r="I220" s="885"/>
      <c r="J220" s="885"/>
      <c r="K220" s="885"/>
      <c r="L220" s="885"/>
      <c r="M220" s="885"/>
      <c r="N220" s="885"/>
      <c r="O220" s="885"/>
      <c r="P220" s="885"/>
      <c r="Q220" s="885"/>
      <c r="R220" s="885"/>
      <c r="S220" s="885"/>
      <c r="T220" s="885"/>
      <c r="U220" s="885"/>
      <c r="V220" s="885"/>
      <c r="W220" s="885"/>
      <c r="X220" s="885"/>
      <c r="Y220" s="885"/>
      <c r="Z220" s="885"/>
    </row>
    <row r="221" spans="1:26" ht="16.5" customHeight="1" x14ac:dyDescent="0.2">
      <c r="A221" s="885"/>
      <c r="B221" s="885"/>
      <c r="C221" s="885"/>
      <c r="D221" s="885"/>
      <c r="E221" s="885"/>
      <c r="F221" s="885"/>
      <c r="G221" s="885"/>
      <c r="H221" s="885"/>
      <c r="I221" s="885"/>
      <c r="J221" s="885"/>
      <c r="K221" s="885"/>
      <c r="L221" s="885"/>
      <c r="M221" s="885"/>
      <c r="N221" s="885"/>
      <c r="O221" s="885"/>
      <c r="P221" s="885"/>
      <c r="Q221" s="885"/>
      <c r="R221" s="885"/>
      <c r="S221" s="885"/>
      <c r="T221" s="885"/>
      <c r="U221" s="885"/>
      <c r="V221" s="885"/>
      <c r="W221" s="885"/>
      <c r="X221" s="885"/>
      <c r="Y221" s="885"/>
      <c r="Z221" s="885"/>
    </row>
    <row r="222" spans="1:26" ht="16.5" customHeight="1" x14ac:dyDescent="0.2">
      <c r="A222" s="885"/>
      <c r="B222" s="885"/>
      <c r="C222" s="885"/>
      <c r="D222" s="885"/>
      <c r="E222" s="885"/>
      <c r="F222" s="885"/>
      <c r="G222" s="885"/>
      <c r="H222" s="885"/>
      <c r="I222" s="885"/>
      <c r="J222" s="885"/>
      <c r="K222" s="885"/>
      <c r="L222" s="885"/>
      <c r="M222" s="885"/>
      <c r="N222" s="885"/>
      <c r="O222" s="885"/>
      <c r="P222" s="885"/>
      <c r="Q222" s="885"/>
      <c r="R222" s="885"/>
      <c r="S222" s="885"/>
      <c r="T222" s="885"/>
      <c r="U222" s="885"/>
      <c r="V222" s="885"/>
      <c r="W222" s="885"/>
      <c r="X222" s="885"/>
      <c r="Y222" s="885"/>
      <c r="Z222" s="885"/>
    </row>
    <row r="223" spans="1:26" ht="16.5" customHeight="1" x14ac:dyDescent="0.2">
      <c r="A223" s="885"/>
      <c r="B223" s="885"/>
      <c r="C223" s="885"/>
      <c r="D223" s="885"/>
      <c r="E223" s="885"/>
      <c r="F223" s="885"/>
      <c r="G223" s="885"/>
      <c r="H223" s="885"/>
      <c r="I223" s="885"/>
      <c r="J223" s="885"/>
      <c r="K223" s="885"/>
      <c r="L223" s="885"/>
      <c r="M223" s="885"/>
      <c r="N223" s="885"/>
      <c r="O223" s="885"/>
      <c r="P223" s="885"/>
      <c r="Q223" s="885"/>
      <c r="R223" s="885"/>
      <c r="S223" s="885"/>
      <c r="T223" s="885"/>
      <c r="U223" s="885"/>
      <c r="V223" s="885"/>
      <c r="W223" s="885"/>
      <c r="X223" s="885"/>
      <c r="Y223" s="885"/>
      <c r="Z223" s="885"/>
    </row>
    <row r="224" spans="1:26" ht="16.5" customHeight="1" x14ac:dyDescent="0.2">
      <c r="A224" s="885"/>
      <c r="B224" s="885"/>
      <c r="C224" s="885"/>
      <c r="D224" s="885"/>
      <c r="E224" s="885"/>
      <c r="F224" s="885"/>
      <c r="G224" s="885"/>
      <c r="H224" s="885"/>
      <c r="I224" s="885"/>
      <c r="J224" s="885"/>
      <c r="K224" s="885"/>
      <c r="L224" s="885"/>
      <c r="M224" s="885"/>
      <c r="N224" s="885"/>
      <c r="O224" s="885"/>
      <c r="P224" s="885"/>
      <c r="Q224" s="885"/>
      <c r="R224" s="885"/>
      <c r="S224" s="885"/>
      <c r="T224" s="885"/>
      <c r="U224" s="885"/>
      <c r="V224" s="885"/>
      <c r="W224" s="885"/>
      <c r="X224" s="885"/>
      <c r="Y224" s="885"/>
      <c r="Z224" s="885"/>
    </row>
    <row r="225" spans="1:26" ht="16.5" customHeight="1" x14ac:dyDescent="0.2">
      <c r="A225" s="885"/>
      <c r="B225" s="885"/>
      <c r="C225" s="885"/>
      <c r="D225" s="885"/>
      <c r="E225" s="885"/>
      <c r="F225" s="885"/>
      <c r="G225" s="885"/>
      <c r="H225" s="885"/>
      <c r="I225" s="885"/>
      <c r="J225" s="885"/>
      <c r="K225" s="885"/>
      <c r="L225" s="885"/>
      <c r="M225" s="885"/>
      <c r="N225" s="885"/>
      <c r="O225" s="885"/>
      <c r="P225" s="885"/>
      <c r="Q225" s="885"/>
      <c r="R225" s="885"/>
      <c r="S225" s="885"/>
      <c r="T225" s="885"/>
      <c r="U225" s="885"/>
      <c r="V225" s="885"/>
      <c r="W225" s="885"/>
      <c r="X225" s="885"/>
      <c r="Y225" s="885"/>
      <c r="Z225" s="885"/>
    </row>
    <row r="226" spans="1:26" ht="16.5" customHeight="1" x14ac:dyDescent="0.2">
      <c r="A226" s="885"/>
      <c r="B226" s="885"/>
      <c r="C226" s="885"/>
      <c r="D226" s="885"/>
      <c r="E226" s="885"/>
      <c r="F226" s="885"/>
      <c r="G226" s="885"/>
      <c r="H226" s="885"/>
      <c r="I226" s="885"/>
      <c r="J226" s="885"/>
      <c r="K226" s="885"/>
      <c r="L226" s="885"/>
      <c r="M226" s="885"/>
      <c r="N226" s="885"/>
      <c r="O226" s="885"/>
      <c r="P226" s="885"/>
      <c r="Q226" s="885"/>
      <c r="R226" s="885"/>
      <c r="S226" s="885"/>
      <c r="T226" s="885"/>
      <c r="U226" s="885"/>
      <c r="V226" s="885"/>
      <c r="W226" s="885"/>
      <c r="X226" s="885"/>
      <c r="Y226" s="885"/>
      <c r="Z226" s="885"/>
    </row>
    <row r="227" spans="1:26" ht="16.5" customHeight="1" x14ac:dyDescent="0.2">
      <c r="A227" s="885"/>
      <c r="B227" s="885"/>
      <c r="C227" s="885"/>
      <c r="D227" s="885"/>
      <c r="E227" s="885"/>
      <c r="F227" s="885"/>
      <c r="G227" s="885"/>
      <c r="H227" s="885"/>
      <c r="I227" s="885"/>
      <c r="J227" s="885"/>
      <c r="K227" s="885"/>
      <c r="L227" s="885"/>
      <c r="M227" s="885"/>
      <c r="N227" s="885"/>
      <c r="O227" s="885"/>
      <c r="P227" s="885"/>
      <c r="Q227" s="885"/>
      <c r="R227" s="885"/>
      <c r="S227" s="885"/>
      <c r="T227" s="885"/>
      <c r="U227" s="885"/>
      <c r="V227" s="885"/>
      <c r="W227" s="885"/>
      <c r="X227" s="885"/>
      <c r="Y227" s="885"/>
      <c r="Z227" s="885"/>
    </row>
    <row r="228" spans="1:26" ht="16.5" customHeight="1" x14ac:dyDescent="0.2">
      <c r="A228" s="885"/>
      <c r="B228" s="885"/>
      <c r="C228" s="885"/>
      <c r="D228" s="885"/>
      <c r="E228" s="885"/>
      <c r="F228" s="885"/>
      <c r="G228" s="885"/>
      <c r="H228" s="885"/>
      <c r="I228" s="885"/>
      <c r="J228" s="885"/>
      <c r="K228" s="885"/>
      <c r="L228" s="885"/>
      <c r="M228" s="885"/>
      <c r="N228" s="885"/>
      <c r="O228" s="885"/>
      <c r="P228" s="885"/>
      <c r="Q228" s="885"/>
      <c r="R228" s="885"/>
      <c r="S228" s="885"/>
      <c r="T228" s="885"/>
      <c r="U228" s="885"/>
      <c r="V228" s="885"/>
      <c r="W228" s="885"/>
      <c r="X228" s="885"/>
      <c r="Y228" s="885"/>
      <c r="Z228" s="885"/>
    </row>
    <row r="229" spans="1:26" ht="16.5" customHeight="1" x14ac:dyDescent="0.2">
      <c r="A229" s="885"/>
      <c r="B229" s="885"/>
      <c r="C229" s="885"/>
      <c r="D229" s="885"/>
      <c r="E229" s="885"/>
      <c r="F229" s="885"/>
      <c r="G229" s="885"/>
      <c r="H229" s="885"/>
      <c r="I229" s="885"/>
      <c r="J229" s="885"/>
      <c r="K229" s="885"/>
      <c r="L229" s="885"/>
      <c r="M229" s="885"/>
      <c r="N229" s="885"/>
      <c r="O229" s="885"/>
      <c r="P229" s="885"/>
      <c r="Q229" s="885"/>
      <c r="R229" s="885"/>
      <c r="S229" s="885"/>
      <c r="T229" s="885"/>
      <c r="U229" s="885"/>
      <c r="V229" s="885"/>
      <c r="W229" s="885"/>
      <c r="X229" s="885"/>
      <c r="Y229" s="885"/>
      <c r="Z229" s="885"/>
    </row>
    <row r="230" spans="1:26" ht="16.5" customHeight="1" x14ac:dyDescent="0.2">
      <c r="A230" s="885"/>
      <c r="B230" s="885"/>
      <c r="C230" s="885"/>
      <c r="D230" s="885"/>
      <c r="E230" s="885"/>
      <c r="F230" s="885"/>
      <c r="G230" s="885"/>
      <c r="H230" s="885"/>
      <c r="I230" s="885"/>
      <c r="J230" s="885"/>
      <c r="K230" s="885"/>
      <c r="L230" s="885"/>
      <c r="M230" s="885"/>
      <c r="N230" s="885"/>
      <c r="O230" s="885"/>
      <c r="P230" s="885"/>
      <c r="Q230" s="885"/>
      <c r="R230" s="885"/>
      <c r="S230" s="885"/>
      <c r="T230" s="885"/>
      <c r="U230" s="885"/>
      <c r="V230" s="885"/>
      <c r="W230" s="885"/>
      <c r="X230" s="885"/>
      <c r="Y230" s="885"/>
      <c r="Z230" s="885"/>
    </row>
    <row r="231" spans="1:26" ht="16.5" customHeight="1" x14ac:dyDescent="0.2">
      <c r="A231" s="885"/>
      <c r="B231" s="885"/>
      <c r="C231" s="885"/>
      <c r="D231" s="885"/>
      <c r="E231" s="885"/>
      <c r="F231" s="885"/>
      <c r="G231" s="885"/>
      <c r="H231" s="885"/>
      <c r="I231" s="885"/>
      <c r="J231" s="885"/>
      <c r="K231" s="885"/>
      <c r="L231" s="885"/>
      <c r="M231" s="885"/>
      <c r="N231" s="885"/>
      <c r="O231" s="885"/>
      <c r="P231" s="885"/>
      <c r="Q231" s="885"/>
      <c r="R231" s="885"/>
      <c r="S231" s="885"/>
      <c r="T231" s="885"/>
      <c r="U231" s="885"/>
      <c r="V231" s="885"/>
      <c r="W231" s="885"/>
      <c r="X231" s="885"/>
      <c r="Y231" s="885"/>
      <c r="Z231" s="885"/>
    </row>
    <row r="232" spans="1:26" ht="16.5" customHeight="1" x14ac:dyDescent="0.2">
      <c r="A232" s="885"/>
      <c r="B232" s="885"/>
      <c r="C232" s="885"/>
      <c r="D232" s="885"/>
      <c r="E232" s="885"/>
      <c r="F232" s="885"/>
      <c r="G232" s="885"/>
      <c r="H232" s="885"/>
      <c r="I232" s="885"/>
      <c r="J232" s="885"/>
      <c r="K232" s="885"/>
      <c r="L232" s="885"/>
      <c r="M232" s="885"/>
      <c r="N232" s="885"/>
      <c r="O232" s="885"/>
      <c r="P232" s="885"/>
      <c r="Q232" s="885"/>
      <c r="R232" s="885"/>
      <c r="S232" s="885"/>
      <c r="T232" s="885"/>
      <c r="U232" s="885"/>
      <c r="V232" s="885"/>
      <c r="W232" s="885"/>
      <c r="X232" s="885"/>
      <c r="Y232" s="885"/>
      <c r="Z232" s="885"/>
    </row>
    <row r="233" spans="1:26" ht="16.5" customHeight="1" x14ac:dyDescent="0.2">
      <c r="A233" s="885"/>
      <c r="B233" s="885"/>
      <c r="C233" s="885"/>
      <c r="D233" s="885"/>
      <c r="E233" s="885"/>
      <c r="F233" s="885"/>
      <c r="G233" s="885"/>
      <c r="H233" s="885"/>
      <c r="I233" s="885"/>
      <c r="J233" s="885"/>
      <c r="K233" s="885"/>
      <c r="L233" s="885"/>
      <c r="M233" s="885"/>
      <c r="N233" s="885"/>
      <c r="O233" s="885"/>
      <c r="P233" s="885"/>
      <c r="Q233" s="885"/>
      <c r="R233" s="885"/>
      <c r="S233" s="885"/>
      <c r="T233" s="885"/>
      <c r="U233" s="885"/>
      <c r="V233" s="885"/>
      <c r="W233" s="885"/>
      <c r="X233" s="885"/>
      <c r="Y233" s="885"/>
      <c r="Z233" s="885"/>
    </row>
    <row r="234" spans="1:26" ht="16.5" customHeight="1" x14ac:dyDescent="0.2">
      <c r="A234" s="885"/>
      <c r="B234" s="885"/>
      <c r="C234" s="885"/>
      <c r="D234" s="885"/>
      <c r="E234" s="885"/>
      <c r="F234" s="885"/>
      <c r="G234" s="885"/>
      <c r="H234" s="885"/>
      <c r="I234" s="885"/>
      <c r="J234" s="885"/>
      <c r="K234" s="885"/>
      <c r="L234" s="885"/>
      <c r="M234" s="885"/>
      <c r="N234" s="885"/>
      <c r="O234" s="885"/>
      <c r="P234" s="885"/>
      <c r="Q234" s="885"/>
      <c r="R234" s="885"/>
      <c r="S234" s="885"/>
      <c r="T234" s="885"/>
      <c r="U234" s="885"/>
      <c r="V234" s="885"/>
      <c r="W234" s="885"/>
      <c r="X234" s="885"/>
      <c r="Y234" s="885"/>
      <c r="Z234" s="885"/>
    </row>
    <row r="235" spans="1:26" ht="16.5" customHeight="1" x14ac:dyDescent="0.2">
      <c r="A235" s="885"/>
      <c r="B235" s="885"/>
      <c r="C235" s="885"/>
      <c r="D235" s="885"/>
      <c r="E235" s="885"/>
      <c r="F235" s="885"/>
      <c r="G235" s="885"/>
      <c r="H235" s="885"/>
      <c r="I235" s="885"/>
      <c r="J235" s="885"/>
      <c r="K235" s="885"/>
      <c r="L235" s="885"/>
      <c r="M235" s="885"/>
      <c r="N235" s="885"/>
      <c r="O235" s="885"/>
      <c r="P235" s="885"/>
      <c r="Q235" s="885"/>
      <c r="R235" s="885"/>
      <c r="S235" s="885"/>
      <c r="T235" s="885"/>
      <c r="U235" s="885"/>
      <c r="V235" s="885"/>
      <c r="W235" s="885"/>
      <c r="X235" s="885"/>
      <c r="Y235" s="885"/>
      <c r="Z235" s="885"/>
    </row>
    <row r="236" spans="1:26" ht="16.5" customHeight="1" x14ac:dyDescent="0.2">
      <c r="A236" s="885"/>
      <c r="B236" s="885"/>
      <c r="C236" s="885"/>
      <c r="D236" s="885"/>
      <c r="E236" s="885"/>
      <c r="F236" s="885"/>
      <c r="G236" s="885"/>
      <c r="H236" s="885"/>
      <c r="I236" s="885"/>
      <c r="J236" s="885"/>
      <c r="K236" s="885"/>
      <c r="L236" s="885"/>
      <c r="M236" s="885"/>
      <c r="N236" s="885"/>
      <c r="O236" s="885"/>
      <c r="P236" s="885"/>
      <c r="Q236" s="885"/>
      <c r="R236" s="885"/>
      <c r="S236" s="885"/>
      <c r="T236" s="885"/>
      <c r="U236" s="885"/>
      <c r="V236" s="885"/>
      <c r="W236" s="885"/>
      <c r="X236" s="885"/>
      <c r="Y236" s="885"/>
      <c r="Z236" s="885"/>
    </row>
    <row r="237" spans="1:26" ht="16.5" customHeight="1" x14ac:dyDescent="0.2">
      <c r="A237" s="885"/>
      <c r="B237" s="885"/>
      <c r="C237" s="885"/>
      <c r="D237" s="885"/>
      <c r="E237" s="885"/>
      <c r="F237" s="885"/>
      <c r="G237" s="885"/>
      <c r="H237" s="885"/>
      <c r="I237" s="885"/>
      <c r="J237" s="885"/>
      <c r="K237" s="885"/>
      <c r="L237" s="885"/>
      <c r="M237" s="885"/>
      <c r="N237" s="885"/>
      <c r="O237" s="885"/>
      <c r="P237" s="885"/>
      <c r="Q237" s="885"/>
      <c r="R237" s="885"/>
      <c r="S237" s="885"/>
      <c r="T237" s="885"/>
      <c r="U237" s="885"/>
      <c r="V237" s="885"/>
      <c r="W237" s="885"/>
      <c r="X237" s="885"/>
      <c r="Y237" s="885"/>
      <c r="Z237" s="885"/>
    </row>
    <row r="238" spans="1:26" ht="16.5" customHeight="1" x14ac:dyDescent="0.2">
      <c r="A238" s="885"/>
      <c r="B238" s="885"/>
      <c r="C238" s="885"/>
      <c r="D238" s="885"/>
      <c r="E238" s="885"/>
      <c r="F238" s="885"/>
      <c r="G238" s="885"/>
      <c r="H238" s="885"/>
      <c r="I238" s="885"/>
      <c r="J238" s="885"/>
      <c r="K238" s="885"/>
      <c r="L238" s="885"/>
      <c r="M238" s="885"/>
      <c r="N238" s="885"/>
      <c r="O238" s="885"/>
      <c r="P238" s="885"/>
      <c r="Q238" s="885"/>
      <c r="R238" s="885"/>
      <c r="S238" s="885"/>
      <c r="T238" s="885"/>
      <c r="U238" s="885"/>
      <c r="V238" s="885"/>
      <c r="W238" s="885"/>
      <c r="X238" s="885"/>
      <c r="Y238" s="885"/>
      <c r="Z238" s="885"/>
    </row>
    <row r="239" spans="1:26" ht="16.5" customHeight="1" x14ac:dyDescent="0.2">
      <c r="A239" s="885"/>
      <c r="B239" s="885"/>
      <c r="C239" s="885"/>
      <c r="D239" s="885"/>
      <c r="E239" s="885"/>
      <c r="F239" s="885"/>
      <c r="G239" s="885"/>
      <c r="H239" s="885"/>
      <c r="I239" s="885"/>
      <c r="J239" s="885"/>
      <c r="K239" s="885"/>
      <c r="L239" s="885"/>
      <c r="M239" s="885"/>
      <c r="N239" s="885"/>
      <c r="O239" s="885"/>
      <c r="P239" s="885"/>
      <c r="Q239" s="885"/>
      <c r="R239" s="885"/>
      <c r="S239" s="885"/>
      <c r="T239" s="885"/>
      <c r="U239" s="885"/>
      <c r="V239" s="885"/>
      <c r="W239" s="885"/>
      <c r="X239" s="885"/>
      <c r="Y239" s="885"/>
      <c r="Z239" s="885"/>
    </row>
    <row r="240" spans="1:26" ht="16.5" customHeight="1" x14ac:dyDescent="0.2">
      <c r="A240" s="885"/>
      <c r="B240" s="885"/>
      <c r="C240" s="885"/>
      <c r="D240" s="885"/>
      <c r="E240" s="885"/>
      <c r="F240" s="885"/>
      <c r="G240" s="885"/>
      <c r="H240" s="885"/>
      <c r="I240" s="885"/>
      <c r="J240" s="885"/>
      <c r="K240" s="885"/>
      <c r="L240" s="885"/>
      <c r="M240" s="885"/>
      <c r="N240" s="885"/>
      <c r="O240" s="885"/>
      <c r="P240" s="885"/>
      <c r="Q240" s="885"/>
      <c r="R240" s="885"/>
      <c r="S240" s="885"/>
      <c r="T240" s="885"/>
      <c r="U240" s="885"/>
      <c r="V240" s="885"/>
      <c r="W240" s="885"/>
      <c r="X240" s="885"/>
      <c r="Y240" s="885"/>
      <c r="Z240" s="885"/>
    </row>
    <row r="241" spans="1:26" ht="16.5" customHeight="1" x14ac:dyDescent="0.2">
      <c r="A241" s="885"/>
      <c r="B241" s="885"/>
      <c r="C241" s="885"/>
      <c r="D241" s="885"/>
      <c r="E241" s="885"/>
      <c r="F241" s="885"/>
      <c r="G241" s="885"/>
      <c r="H241" s="885"/>
      <c r="I241" s="885"/>
      <c r="J241" s="885"/>
      <c r="K241" s="885"/>
      <c r="L241" s="885"/>
      <c r="M241" s="885"/>
      <c r="N241" s="885"/>
      <c r="O241" s="885"/>
      <c r="P241" s="885"/>
      <c r="Q241" s="885"/>
      <c r="R241" s="885"/>
      <c r="S241" s="885"/>
      <c r="T241" s="885"/>
      <c r="U241" s="885"/>
      <c r="V241" s="885"/>
      <c r="W241" s="885"/>
      <c r="X241" s="885"/>
      <c r="Y241" s="885"/>
      <c r="Z241" s="885"/>
    </row>
    <row r="242" spans="1:26" ht="16.5" customHeight="1" x14ac:dyDescent="0.2">
      <c r="A242" s="885"/>
      <c r="B242" s="885"/>
      <c r="C242" s="885"/>
      <c r="D242" s="885"/>
      <c r="E242" s="885"/>
      <c r="F242" s="885"/>
      <c r="G242" s="885"/>
      <c r="H242" s="885"/>
      <c r="I242" s="885"/>
      <c r="J242" s="885"/>
      <c r="K242" s="885"/>
      <c r="L242" s="885"/>
      <c r="M242" s="885"/>
      <c r="N242" s="885"/>
      <c r="O242" s="885"/>
      <c r="P242" s="885"/>
      <c r="Q242" s="885"/>
      <c r="R242" s="885"/>
      <c r="S242" s="885"/>
      <c r="T242" s="885"/>
      <c r="U242" s="885"/>
      <c r="V242" s="885"/>
      <c r="W242" s="885"/>
      <c r="X242" s="885"/>
      <c r="Y242" s="885"/>
      <c r="Z242" s="885"/>
    </row>
    <row r="243" spans="1:26" ht="16.5" customHeight="1" x14ac:dyDescent="0.2">
      <c r="A243" s="885"/>
      <c r="B243" s="885"/>
      <c r="C243" s="885"/>
      <c r="D243" s="885"/>
      <c r="E243" s="885"/>
      <c r="F243" s="885"/>
      <c r="G243" s="885"/>
      <c r="H243" s="885"/>
      <c r="I243" s="885"/>
      <c r="J243" s="885"/>
      <c r="K243" s="885"/>
      <c r="L243" s="885"/>
      <c r="M243" s="885"/>
      <c r="N243" s="885"/>
      <c r="O243" s="885"/>
      <c r="P243" s="885"/>
      <c r="Q243" s="885"/>
      <c r="R243" s="885"/>
      <c r="S243" s="885"/>
      <c r="T243" s="885"/>
      <c r="U243" s="885"/>
      <c r="V243" s="885"/>
      <c r="W243" s="885"/>
      <c r="X243" s="885"/>
      <c r="Y243" s="885"/>
      <c r="Z243" s="885"/>
    </row>
    <row r="244" spans="1:26" ht="16.5" customHeight="1" x14ac:dyDescent="0.2">
      <c r="A244" s="885"/>
      <c r="B244" s="885"/>
      <c r="C244" s="885"/>
      <c r="D244" s="885"/>
      <c r="E244" s="885"/>
      <c r="F244" s="885"/>
      <c r="G244" s="885"/>
      <c r="H244" s="885"/>
      <c r="I244" s="885"/>
      <c r="J244" s="885"/>
      <c r="K244" s="885"/>
      <c r="L244" s="885"/>
      <c r="M244" s="885"/>
      <c r="N244" s="885"/>
      <c r="O244" s="885"/>
      <c r="P244" s="885"/>
      <c r="Q244" s="885"/>
      <c r="R244" s="885"/>
      <c r="S244" s="885"/>
      <c r="T244" s="885"/>
      <c r="U244" s="885"/>
      <c r="V244" s="885"/>
      <c r="W244" s="885"/>
      <c r="X244" s="885"/>
      <c r="Y244" s="885"/>
      <c r="Z244" s="885"/>
    </row>
    <row r="245" spans="1:26" ht="16.5" customHeight="1" x14ac:dyDescent="0.2">
      <c r="A245" s="885"/>
      <c r="B245" s="885"/>
      <c r="C245" s="885"/>
      <c r="D245" s="885"/>
      <c r="E245" s="885"/>
      <c r="F245" s="885"/>
      <c r="G245" s="885"/>
      <c r="H245" s="885"/>
      <c r="I245" s="885"/>
      <c r="J245" s="885"/>
      <c r="K245" s="885"/>
      <c r="L245" s="885"/>
      <c r="M245" s="885"/>
      <c r="N245" s="885"/>
      <c r="O245" s="885"/>
      <c r="P245" s="885"/>
      <c r="Q245" s="885"/>
      <c r="R245" s="885"/>
      <c r="S245" s="885"/>
      <c r="T245" s="885"/>
      <c r="U245" s="885"/>
      <c r="V245" s="885"/>
      <c r="W245" s="885"/>
      <c r="X245" s="885"/>
      <c r="Y245" s="885"/>
      <c r="Z245" s="885"/>
    </row>
    <row r="246" spans="1:26" ht="16.5" customHeight="1" x14ac:dyDescent="0.2">
      <c r="A246" s="885"/>
      <c r="B246" s="885"/>
      <c r="C246" s="885"/>
      <c r="D246" s="885"/>
      <c r="E246" s="885"/>
      <c r="F246" s="885"/>
      <c r="G246" s="885"/>
      <c r="H246" s="885"/>
      <c r="I246" s="885"/>
      <c r="J246" s="885"/>
      <c r="K246" s="885"/>
      <c r="L246" s="885"/>
      <c r="M246" s="885"/>
      <c r="N246" s="885"/>
      <c r="O246" s="885"/>
      <c r="P246" s="885"/>
      <c r="Q246" s="885"/>
      <c r="R246" s="885"/>
      <c r="S246" s="885"/>
      <c r="T246" s="885"/>
      <c r="U246" s="885"/>
      <c r="V246" s="885"/>
      <c r="W246" s="885"/>
      <c r="X246" s="885"/>
      <c r="Y246" s="885"/>
      <c r="Z246" s="885"/>
    </row>
    <row r="247" spans="1:26" ht="16.5" customHeight="1" x14ac:dyDescent="0.2">
      <c r="A247" s="885"/>
      <c r="B247" s="885"/>
      <c r="C247" s="885"/>
      <c r="D247" s="885"/>
      <c r="E247" s="885"/>
      <c r="F247" s="885"/>
      <c r="G247" s="885"/>
      <c r="H247" s="885"/>
      <c r="I247" s="885"/>
      <c r="J247" s="885"/>
      <c r="K247" s="885"/>
      <c r="L247" s="885"/>
      <c r="M247" s="885"/>
      <c r="N247" s="885"/>
      <c r="O247" s="885"/>
      <c r="P247" s="885"/>
      <c r="Q247" s="885"/>
      <c r="R247" s="885"/>
      <c r="S247" s="885"/>
      <c r="T247" s="885"/>
      <c r="U247" s="885"/>
      <c r="V247" s="885"/>
      <c r="W247" s="885"/>
      <c r="X247" s="885"/>
      <c r="Y247" s="885"/>
      <c r="Z247" s="885"/>
    </row>
    <row r="248" spans="1:26" ht="16.5" customHeight="1" x14ac:dyDescent="0.2">
      <c r="A248" s="885"/>
      <c r="B248" s="885"/>
      <c r="C248" s="885"/>
      <c r="D248" s="885"/>
      <c r="E248" s="885"/>
      <c r="F248" s="885"/>
      <c r="G248" s="885"/>
      <c r="H248" s="885"/>
      <c r="I248" s="885"/>
      <c r="J248" s="885"/>
      <c r="K248" s="885"/>
      <c r="L248" s="885"/>
      <c r="M248" s="885"/>
      <c r="N248" s="885"/>
      <c r="O248" s="885"/>
      <c r="P248" s="885"/>
      <c r="Q248" s="885"/>
      <c r="R248" s="885"/>
      <c r="S248" s="885"/>
      <c r="T248" s="885"/>
      <c r="U248" s="885"/>
      <c r="V248" s="885"/>
      <c r="W248" s="885"/>
      <c r="X248" s="885"/>
      <c r="Y248" s="885"/>
      <c r="Z248" s="885"/>
    </row>
    <row r="249" spans="1:26" ht="16.5" customHeight="1" x14ac:dyDescent="0.2">
      <c r="A249" s="885"/>
      <c r="B249" s="885"/>
      <c r="C249" s="885"/>
      <c r="D249" s="885"/>
      <c r="E249" s="885"/>
      <c r="F249" s="885"/>
      <c r="G249" s="885"/>
      <c r="H249" s="885"/>
      <c r="I249" s="885"/>
      <c r="J249" s="885"/>
      <c r="K249" s="885"/>
      <c r="L249" s="885"/>
      <c r="M249" s="885"/>
      <c r="N249" s="885"/>
      <c r="O249" s="885"/>
      <c r="P249" s="885"/>
      <c r="Q249" s="885"/>
      <c r="R249" s="885"/>
      <c r="S249" s="885"/>
      <c r="T249" s="885"/>
      <c r="U249" s="885"/>
      <c r="V249" s="885"/>
      <c r="W249" s="885"/>
      <c r="X249" s="885"/>
      <c r="Y249" s="885"/>
      <c r="Z249" s="885"/>
    </row>
    <row r="250" spans="1:26" ht="16.5" customHeight="1" x14ac:dyDescent="0.2">
      <c r="A250" s="885"/>
      <c r="B250" s="885"/>
      <c r="C250" s="885"/>
      <c r="D250" s="885"/>
      <c r="E250" s="885"/>
      <c r="F250" s="885"/>
      <c r="G250" s="885"/>
      <c r="H250" s="885"/>
      <c r="I250" s="885"/>
      <c r="J250" s="885"/>
      <c r="K250" s="885"/>
      <c r="L250" s="885"/>
      <c r="M250" s="885"/>
      <c r="N250" s="885"/>
      <c r="O250" s="885"/>
      <c r="P250" s="885"/>
      <c r="Q250" s="885"/>
      <c r="R250" s="885"/>
      <c r="S250" s="885"/>
      <c r="T250" s="885"/>
      <c r="U250" s="885"/>
      <c r="V250" s="885"/>
      <c r="W250" s="885"/>
      <c r="X250" s="885"/>
      <c r="Y250" s="885"/>
      <c r="Z250" s="885"/>
    </row>
    <row r="251" spans="1:26" ht="16.5" customHeight="1" x14ac:dyDescent="0.2">
      <c r="A251" s="885"/>
      <c r="B251" s="885"/>
      <c r="C251" s="885"/>
      <c r="D251" s="885"/>
      <c r="E251" s="885"/>
      <c r="F251" s="885"/>
      <c r="G251" s="885"/>
      <c r="H251" s="885"/>
      <c r="I251" s="885"/>
      <c r="J251" s="885"/>
      <c r="K251" s="885"/>
      <c r="L251" s="885"/>
      <c r="M251" s="885"/>
      <c r="N251" s="885"/>
      <c r="O251" s="885"/>
      <c r="P251" s="885"/>
      <c r="Q251" s="885"/>
      <c r="R251" s="885"/>
      <c r="S251" s="885"/>
      <c r="T251" s="885"/>
      <c r="U251" s="885"/>
      <c r="V251" s="885"/>
      <c r="W251" s="885"/>
      <c r="X251" s="885"/>
      <c r="Y251" s="885"/>
      <c r="Z251" s="885"/>
    </row>
    <row r="252" spans="1:26" ht="16.5" customHeight="1" x14ac:dyDescent="0.2">
      <c r="A252" s="885"/>
      <c r="B252" s="885"/>
      <c r="C252" s="885"/>
      <c r="D252" s="885"/>
      <c r="E252" s="885"/>
      <c r="F252" s="885"/>
      <c r="G252" s="885"/>
      <c r="H252" s="885"/>
      <c r="I252" s="885"/>
      <c r="J252" s="885"/>
      <c r="K252" s="885"/>
      <c r="L252" s="885"/>
      <c r="M252" s="885"/>
      <c r="N252" s="885"/>
      <c r="O252" s="885"/>
      <c r="P252" s="885"/>
      <c r="Q252" s="885"/>
      <c r="R252" s="885"/>
      <c r="S252" s="885"/>
      <c r="T252" s="885"/>
      <c r="U252" s="885"/>
      <c r="V252" s="885"/>
      <c r="W252" s="885"/>
      <c r="X252" s="885"/>
      <c r="Y252" s="885"/>
      <c r="Z252" s="885"/>
    </row>
    <row r="253" spans="1:26" ht="16.5" customHeight="1" x14ac:dyDescent="0.2">
      <c r="A253" s="885"/>
      <c r="B253" s="885"/>
      <c r="C253" s="885"/>
      <c r="D253" s="885"/>
      <c r="E253" s="885"/>
      <c r="F253" s="885"/>
      <c r="G253" s="885"/>
      <c r="H253" s="885"/>
      <c r="I253" s="885"/>
      <c r="J253" s="885"/>
      <c r="K253" s="885"/>
      <c r="L253" s="885"/>
      <c r="M253" s="885"/>
      <c r="N253" s="885"/>
      <c r="O253" s="885"/>
      <c r="P253" s="885"/>
      <c r="Q253" s="885"/>
      <c r="R253" s="885"/>
      <c r="S253" s="885"/>
      <c r="T253" s="885"/>
      <c r="U253" s="885"/>
      <c r="V253" s="885"/>
      <c r="W253" s="885"/>
      <c r="X253" s="885"/>
      <c r="Y253" s="885"/>
      <c r="Z253" s="885"/>
    </row>
    <row r="254" spans="1:26" ht="16.5" customHeight="1" x14ac:dyDescent="0.2">
      <c r="A254" s="885"/>
      <c r="B254" s="885"/>
      <c r="C254" s="885"/>
      <c r="D254" s="885"/>
      <c r="E254" s="885"/>
      <c r="F254" s="885"/>
      <c r="G254" s="885"/>
      <c r="H254" s="885"/>
      <c r="I254" s="885"/>
      <c r="J254" s="885"/>
      <c r="K254" s="885"/>
      <c r="L254" s="885"/>
      <c r="M254" s="885"/>
      <c r="N254" s="885"/>
      <c r="O254" s="885"/>
      <c r="P254" s="885"/>
      <c r="Q254" s="885"/>
      <c r="R254" s="885"/>
      <c r="S254" s="885"/>
      <c r="T254" s="885"/>
      <c r="U254" s="885"/>
      <c r="V254" s="885"/>
      <c r="W254" s="885"/>
      <c r="X254" s="885"/>
      <c r="Y254" s="885"/>
      <c r="Z254" s="885"/>
    </row>
    <row r="255" spans="1:26" ht="16.5" customHeight="1" x14ac:dyDescent="0.2">
      <c r="A255" s="885"/>
      <c r="B255" s="885"/>
      <c r="C255" s="885"/>
      <c r="D255" s="885"/>
      <c r="E255" s="885"/>
      <c r="F255" s="885"/>
      <c r="G255" s="885"/>
      <c r="H255" s="885"/>
      <c r="I255" s="885"/>
      <c r="J255" s="885"/>
      <c r="K255" s="885"/>
      <c r="L255" s="885"/>
      <c r="M255" s="885"/>
      <c r="N255" s="885"/>
      <c r="O255" s="885"/>
      <c r="P255" s="885"/>
      <c r="Q255" s="885"/>
      <c r="R255" s="885"/>
      <c r="S255" s="885"/>
      <c r="T255" s="885"/>
      <c r="U255" s="885"/>
      <c r="V255" s="885"/>
      <c r="W255" s="885"/>
      <c r="X255" s="885"/>
      <c r="Y255" s="885"/>
      <c r="Z255" s="885"/>
    </row>
    <row r="256" spans="1:26" ht="16.5" customHeight="1" x14ac:dyDescent="0.2">
      <c r="A256" s="885"/>
      <c r="B256" s="885"/>
      <c r="C256" s="885"/>
      <c r="D256" s="885"/>
      <c r="E256" s="885"/>
      <c r="F256" s="885"/>
      <c r="G256" s="885"/>
      <c r="H256" s="885"/>
      <c r="I256" s="885"/>
      <c r="J256" s="885"/>
      <c r="K256" s="885"/>
      <c r="L256" s="885"/>
      <c r="M256" s="885"/>
      <c r="N256" s="885"/>
      <c r="O256" s="885"/>
      <c r="P256" s="885"/>
      <c r="Q256" s="885"/>
      <c r="R256" s="885"/>
      <c r="S256" s="885"/>
      <c r="T256" s="885"/>
      <c r="U256" s="885"/>
      <c r="V256" s="885"/>
      <c r="W256" s="885"/>
      <c r="X256" s="885"/>
      <c r="Y256" s="885"/>
      <c r="Z256" s="885"/>
    </row>
    <row r="257" spans="1:26" ht="16.5" customHeight="1" x14ac:dyDescent="0.2">
      <c r="A257" s="885"/>
      <c r="B257" s="885"/>
      <c r="C257" s="885"/>
      <c r="D257" s="885"/>
      <c r="E257" s="885"/>
      <c r="F257" s="885"/>
      <c r="G257" s="885"/>
      <c r="H257" s="885"/>
      <c r="I257" s="885"/>
      <c r="J257" s="885"/>
      <c r="K257" s="885"/>
      <c r="L257" s="885"/>
      <c r="M257" s="885"/>
      <c r="N257" s="885"/>
      <c r="O257" s="885"/>
      <c r="P257" s="885"/>
      <c r="Q257" s="885"/>
      <c r="R257" s="885"/>
      <c r="S257" s="885"/>
      <c r="T257" s="885"/>
      <c r="U257" s="885"/>
      <c r="V257" s="885"/>
      <c r="W257" s="885"/>
      <c r="X257" s="885"/>
      <c r="Y257" s="885"/>
      <c r="Z257" s="885"/>
    </row>
    <row r="258" spans="1:26" ht="16.5" customHeight="1" x14ac:dyDescent="0.2">
      <c r="A258" s="885"/>
      <c r="B258" s="885"/>
      <c r="C258" s="885"/>
      <c r="D258" s="885"/>
      <c r="E258" s="885"/>
      <c r="F258" s="885"/>
      <c r="G258" s="885"/>
      <c r="H258" s="885"/>
      <c r="I258" s="885"/>
      <c r="J258" s="885"/>
      <c r="K258" s="885"/>
      <c r="L258" s="885"/>
      <c r="M258" s="885"/>
      <c r="N258" s="885"/>
      <c r="O258" s="885"/>
      <c r="P258" s="885"/>
      <c r="Q258" s="885"/>
      <c r="R258" s="885"/>
      <c r="S258" s="885"/>
      <c r="T258" s="885"/>
      <c r="U258" s="885"/>
      <c r="V258" s="885"/>
      <c r="W258" s="885"/>
      <c r="X258" s="885"/>
      <c r="Y258" s="885"/>
      <c r="Z258" s="885"/>
    </row>
    <row r="259" spans="1:26" ht="16.5" customHeight="1" x14ac:dyDescent="0.2">
      <c r="A259" s="885"/>
      <c r="B259" s="885"/>
      <c r="C259" s="885"/>
      <c r="D259" s="885"/>
      <c r="E259" s="885"/>
      <c r="F259" s="885"/>
      <c r="G259" s="885"/>
      <c r="H259" s="885"/>
      <c r="I259" s="885"/>
      <c r="J259" s="885"/>
      <c r="K259" s="885"/>
      <c r="L259" s="885"/>
      <c r="M259" s="885"/>
      <c r="N259" s="885"/>
      <c r="O259" s="885"/>
      <c r="P259" s="885"/>
      <c r="Q259" s="885"/>
      <c r="R259" s="885"/>
      <c r="S259" s="885"/>
      <c r="T259" s="885"/>
      <c r="U259" s="885"/>
      <c r="V259" s="885"/>
      <c r="W259" s="885"/>
      <c r="X259" s="885"/>
      <c r="Y259" s="885"/>
      <c r="Z259" s="885"/>
    </row>
    <row r="260" spans="1:26" ht="16.5" customHeight="1" x14ac:dyDescent="0.2">
      <c r="A260" s="885"/>
      <c r="B260" s="885"/>
      <c r="C260" s="885"/>
      <c r="D260" s="885"/>
      <c r="E260" s="885"/>
      <c r="F260" s="885"/>
      <c r="G260" s="885"/>
      <c r="H260" s="885"/>
      <c r="I260" s="885"/>
      <c r="J260" s="885"/>
      <c r="K260" s="885"/>
      <c r="L260" s="885"/>
      <c r="M260" s="885"/>
      <c r="N260" s="885"/>
      <c r="O260" s="885"/>
      <c r="P260" s="885"/>
      <c r="Q260" s="885"/>
      <c r="R260" s="885"/>
      <c r="S260" s="885"/>
      <c r="T260" s="885"/>
      <c r="U260" s="885"/>
      <c r="V260" s="885"/>
      <c r="W260" s="885"/>
      <c r="X260" s="885"/>
      <c r="Y260" s="885"/>
      <c r="Z260" s="885"/>
    </row>
    <row r="261" spans="1:26" ht="16.5" customHeight="1" x14ac:dyDescent="0.2">
      <c r="A261" s="885"/>
      <c r="B261" s="885"/>
      <c r="C261" s="885"/>
      <c r="D261" s="885"/>
      <c r="E261" s="885"/>
      <c r="F261" s="885"/>
      <c r="G261" s="885"/>
      <c r="H261" s="885"/>
      <c r="I261" s="885"/>
      <c r="J261" s="885"/>
      <c r="K261" s="885"/>
      <c r="L261" s="885"/>
      <c r="M261" s="885"/>
      <c r="N261" s="885"/>
      <c r="O261" s="885"/>
      <c r="P261" s="885"/>
      <c r="Q261" s="885"/>
      <c r="R261" s="885"/>
      <c r="S261" s="885"/>
      <c r="T261" s="885"/>
      <c r="U261" s="885"/>
      <c r="V261" s="885"/>
      <c r="W261" s="885"/>
      <c r="X261" s="885"/>
      <c r="Y261" s="885"/>
      <c r="Z261" s="885"/>
    </row>
    <row r="262" spans="1:26" ht="16.5" customHeight="1" x14ac:dyDescent="0.2">
      <c r="A262" s="885"/>
      <c r="B262" s="885"/>
      <c r="C262" s="885"/>
      <c r="D262" s="885"/>
      <c r="E262" s="885"/>
      <c r="F262" s="885"/>
      <c r="G262" s="885"/>
      <c r="H262" s="885"/>
      <c r="I262" s="885"/>
      <c r="J262" s="885"/>
      <c r="K262" s="885"/>
      <c r="L262" s="885"/>
      <c r="M262" s="885"/>
      <c r="N262" s="885"/>
      <c r="O262" s="885"/>
      <c r="P262" s="885"/>
      <c r="Q262" s="885"/>
      <c r="R262" s="885"/>
      <c r="S262" s="885"/>
      <c r="T262" s="885"/>
      <c r="U262" s="885"/>
      <c r="V262" s="885"/>
      <c r="W262" s="885"/>
      <c r="X262" s="885"/>
      <c r="Y262" s="885"/>
      <c r="Z262" s="885"/>
    </row>
    <row r="263" spans="1:26" ht="16.5" customHeight="1" x14ac:dyDescent="0.2">
      <c r="A263" s="885"/>
      <c r="B263" s="885"/>
      <c r="C263" s="885"/>
      <c r="D263" s="885"/>
      <c r="E263" s="885"/>
      <c r="F263" s="885"/>
      <c r="G263" s="885"/>
      <c r="H263" s="885"/>
      <c r="I263" s="885"/>
      <c r="J263" s="885"/>
      <c r="K263" s="885"/>
      <c r="L263" s="885"/>
      <c r="M263" s="885"/>
      <c r="N263" s="885"/>
      <c r="O263" s="885"/>
      <c r="P263" s="885"/>
      <c r="Q263" s="885"/>
      <c r="R263" s="885"/>
      <c r="S263" s="885"/>
      <c r="T263" s="885"/>
      <c r="U263" s="885"/>
      <c r="V263" s="885"/>
      <c r="W263" s="885"/>
      <c r="X263" s="885"/>
      <c r="Y263" s="885"/>
      <c r="Z263" s="885"/>
    </row>
    <row r="264" spans="1:26" ht="16.5" customHeight="1" x14ac:dyDescent="0.2">
      <c r="A264" s="885"/>
      <c r="B264" s="885"/>
      <c r="C264" s="885"/>
      <c r="D264" s="885"/>
      <c r="E264" s="885"/>
      <c r="F264" s="885"/>
      <c r="G264" s="885"/>
      <c r="H264" s="885"/>
      <c r="I264" s="885"/>
      <c r="J264" s="885"/>
      <c r="K264" s="885"/>
      <c r="L264" s="885"/>
      <c r="M264" s="885"/>
      <c r="N264" s="885"/>
      <c r="O264" s="885"/>
      <c r="P264" s="885"/>
      <c r="Q264" s="885"/>
      <c r="R264" s="885"/>
      <c r="S264" s="885"/>
      <c r="T264" s="885"/>
      <c r="U264" s="885"/>
      <c r="V264" s="885"/>
      <c r="W264" s="885"/>
      <c r="X264" s="885"/>
      <c r="Y264" s="885"/>
      <c r="Z264" s="885"/>
    </row>
    <row r="265" spans="1:26" ht="16.5" customHeight="1" x14ac:dyDescent="0.2">
      <c r="A265" s="885"/>
      <c r="B265" s="885"/>
      <c r="C265" s="885"/>
      <c r="D265" s="885"/>
      <c r="E265" s="885"/>
      <c r="F265" s="885"/>
      <c r="G265" s="885"/>
      <c r="H265" s="885"/>
      <c r="I265" s="885"/>
      <c r="J265" s="885"/>
      <c r="K265" s="885"/>
      <c r="L265" s="885"/>
      <c r="M265" s="885"/>
      <c r="N265" s="885"/>
      <c r="O265" s="885"/>
      <c r="P265" s="885"/>
      <c r="Q265" s="885"/>
      <c r="R265" s="885"/>
      <c r="S265" s="885"/>
      <c r="T265" s="885"/>
      <c r="U265" s="885"/>
      <c r="V265" s="885"/>
      <c r="W265" s="885"/>
      <c r="X265" s="885"/>
      <c r="Y265" s="885"/>
      <c r="Z265" s="885"/>
    </row>
    <row r="266" spans="1:26" ht="16.5" customHeight="1" x14ac:dyDescent="0.2">
      <c r="A266" s="885"/>
      <c r="B266" s="885"/>
      <c r="C266" s="885"/>
      <c r="D266" s="885"/>
      <c r="E266" s="885"/>
      <c r="F266" s="885"/>
      <c r="G266" s="885"/>
      <c r="H266" s="885"/>
      <c r="I266" s="885"/>
      <c r="J266" s="885"/>
      <c r="K266" s="885"/>
      <c r="L266" s="885"/>
      <c r="M266" s="885"/>
      <c r="N266" s="885"/>
      <c r="O266" s="885"/>
      <c r="P266" s="885"/>
      <c r="Q266" s="885"/>
      <c r="R266" s="885"/>
      <c r="S266" s="885"/>
      <c r="T266" s="885"/>
      <c r="U266" s="885"/>
      <c r="V266" s="885"/>
      <c r="W266" s="885"/>
      <c r="X266" s="885"/>
      <c r="Y266" s="885"/>
      <c r="Z266" s="885"/>
    </row>
    <row r="267" spans="1:26" ht="16.5" customHeight="1" x14ac:dyDescent="0.2">
      <c r="A267" s="885"/>
      <c r="B267" s="885"/>
      <c r="C267" s="885"/>
      <c r="D267" s="885"/>
      <c r="E267" s="885"/>
      <c r="F267" s="885"/>
      <c r="G267" s="885"/>
      <c r="H267" s="885"/>
      <c r="I267" s="885"/>
      <c r="J267" s="885"/>
      <c r="K267" s="885"/>
      <c r="L267" s="885"/>
      <c r="M267" s="885"/>
      <c r="N267" s="885"/>
      <c r="O267" s="885"/>
      <c r="P267" s="885"/>
      <c r="Q267" s="885"/>
      <c r="R267" s="885"/>
      <c r="S267" s="885"/>
      <c r="T267" s="885"/>
      <c r="U267" s="885"/>
      <c r="V267" s="885"/>
      <c r="W267" s="885"/>
      <c r="X267" s="885"/>
      <c r="Y267" s="885"/>
      <c r="Z267" s="885"/>
    </row>
    <row r="268" spans="1:26" ht="16.5" customHeight="1" x14ac:dyDescent="0.2">
      <c r="A268" s="885"/>
      <c r="B268" s="885"/>
      <c r="C268" s="885"/>
      <c r="D268" s="885"/>
      <c r="E268" s="885"/>
      <c r="F268" s="885"/>
      <c r="G268" s="885"/>
      <c r="H268" s="885"/>
      <c r="I268" s="885"/>
      <c r="J268" s="885"/>
      <c r="K268" s="885"/>
      <c r="L268" s="885"/>
      <c r="M268" s="885"/>
      <c r="N268" s="885"/>
      <c r="O268" s="885"/>
      <c r="P268" s="885"/>
      <c r="Q268" s="885"/>
      <c r="R268" s="885"/>
      <c r="S268" s="885"/>
      <c r="T268" s="885"/>
      <c r="U268" s="885"/>
      <c r="V268" s="885"/>
      <c r="W268" s="885"/>
      <c r="X268" s="885"/>
      <c r="Y268" s="885"/>
      <c r="Z268" s="885"/>
    </row>
    <row r="269" spans="1:26" ht="16.5" customHeight="1" x14ac:dyDescent="0.2">
      <c r="A269" s="885"/>
      <c r="B269" s="885"/>
      <c r="C269" s="885"/>
      <c r="D269" s="885"/>
      <c r="E269" s="885"/>
      <c r="F269" s="885"/>
      <c r="G269" s="885"/>
      <c r="H269" s="885"/>
      <c r="I269" s="885"/>
      <c r="J269" s="885"/>
      <c r="K269" s="885"/>
      <c r="L269" s="885"/>
      <c r="M269" s="885"/>
      <c r="N269" s="885"/>
      <c r="O269" s="885"/>
      <c r="P269" s="885"/>
      <c r="Q269" s="885"/>
      <c r="R269" s="885"/>
      <c r="S269" s="885"/>
      <c r="T269" s="885"/>
      <c r="U269" s="885"/>
      <c r="V269" s="885"/>
      <c r="W269" s="885"/>
      <c r="X269" s="885"/>
      <c r="Y269" s="885"/>
      <c r="Z269" s="885"/>
    </row>
    <row r="270" spans="1:26" ht="16.5" customHeight="1" x14ac:dyDescent="0.2">
      <c r="A270" s="885"/>
      <c r="B270" s="885"/>
      <c r="C270" s="885"/>
      <c r="D270" s="885"/>
      <c r="E270" s="885"/>
      <c r="F270" s="885"/>
      <c r="G270" s="885"/>
      <c r="H270" s="885"/>
      <c r="I270" s="885"/>
      <c r="J270" s="885"/>
      <c r="K270" s="885"/>
      <c r="L270" s="885"/>
      <c r="M270" s="885"/>
      <c r="N270" s="885"/>
      <c r="O270" s="885"/>
      <c r="P270" s="885"/>
      <c r="Q270" s="885"/>
      <c r="R270" s="885"/>
      <c r="S270" s="885"/>
      <c r="T270" s="885"/>
      <c r="U270" s="885"/>
      <c r="V270" s="885"/>
      <c r="W270" s="885"/>
      <c r="X270" s="885"/>
      <c r="Y270" s="885"/>
      <c r="Z270" s="885"/>
    </row>
    <row r="271" spans="1:26" ht="16.5" customHeight="1" x14ac:dyDescent="0.2">
      <c r="A271" s="885"/>
      <c r="B271" s="885"/>
      <c r="C271" s="885"/>
      <c r="D271" s="885"/>
      <c r="E271" s="885"/>
      <c r="F271" s="885"/>
      <c r="G271" s="885"/>
      <c r="H271" s="885"/>
      <c r="I271" s="885"/>
      <c r="J271" s="885"/>
      <c r="K271" s="885"/>
      <c r="L271" s="885"/>
      <c r="M271" s="885"/>
      <c r="N271" s="885"/>
      <c r="O271" s="885"/>
      <c r="P271" s="885"/>
      <c r="Q271" s="885"/>
      <c r="R271" s="885"/>
      <c r="S271" s="885"/>
      <c r="T271" s="885"/>
      <c r="U271" s="885"/>
      <c r="V271" s="885"/>
      <c r="W271" s="885"/>
      <c r="X271" s="885"/>
      <c r="Y271" s="885"/>
      <c r="Z271" s="885"/>
    </row>
    <row r="272" spans="1:26" ht="16.5" customHeight="1" x14ac:dyDescent="0.2">
      <c r="A272" s="885"/>
      <c r="B272" s="885"/>
      <c r="C272" s="885"/>
      <c r="D272" s="885"/>
      <c r="E272" s="885"/>
      <c r="F272" s="885"/>
      <c r="G272" s="885"/>
      <c r="H272" s="885"/>
      <c r="I272" s="885"/>
      <c r="J272" s="885"/>
      <c r="K272" s="885"/>
      <c r="L272" s="885"/>
      <c r="M272" s="885"/>
      <c r="N272" s="885"/>
      <c r="O272" s="885"/>
      <c r="P272" s="885"/>
      <c r="Q272" s="885"/>
      <c r="R272" s="885"/>
      <c r="S272" s="885"/>
      <c r="T272" s="885"/>
      <c r="U272" s="885"/>
      <c r="V272" s="885"/>
      <c r="W272" s="885"/>
      <c r="X272" s="885"/>
      <c r="Y272" s="885"/>
      <c r="Z272" s="885"/>
    </row>
    <row r="273" spans="1:26" ht="16.5" customHeight="1" x14ac:dyDescent="0.2">
      <c r="A273" s="885"/>
      <c r="B273" s="885"/>
      <c r="C273" s="885"/>
      <c r="D273" s="885"/>
      <c r="E273" s="885"/>
      <c r="F273" s="885"/>
      <c r="G273" s="885"/>
      <c r="H273" s="885"/>
      <c r="I273" s="885"/>
      <c r="J273" s="885"/>
      <c r="K273" s="885"/>
      <c r="L273" s="885"/>
      <c r="M273" s="885"/>
      <c r="N273" s="885"/>
      <c r="O273" s="885"/>
      <c r="P273" s="885"/>
      <c r="Q273" s="885"/>
      <c r="R273" s="885"/>
      <c r="S273" s="885"/>
      <c r="T273" s="885"/>
      <c r="U273" s="885"/>
      <c r="V273" s="885"/>
      <c r="W273" s="885"/>
      <c r="X273" s="885"/>
      <c r="Y273" s="885"/>
      <c r="Z273" s="885"/>
    </row>
    <row r="274" spans="1:26" ht="16.5" customHeight="1" x14ac:dyDescent="0.2">
      <c r="A274" s="885"/>
      <c r="B274" s="885"/>
      <c r="C274" s="885"/>
      <c r="D274" s="885"/>
      <c r="E274" s="885"/>
      <c r="F274" s="885"/>
      <c r="G274" s="885"/>
      <c r="H274" s="885"/>
      <c r="I274" s="885"/>
      <c r="J274" s="885"/>
      <c r="K274" s="885"/>
      <c r="L274" s="885"/>
      <c r="M274" s="885"/>
      <c r="N274" s="885"/>
      <c r="O274" s="885"/>
      <c r="P274" s="885"/>
      <c r="Q274" s="885"/>
      <c r="R274" s="885"/>
      <c r="S274" s="885"/>
      <c r="T274" s="885"/>
      <c r="U274" s="885"/>
      <c r="V274" s="885"/>
      <c r="W274" s="885"/>
      <c r="X274" s="885"/>
      <c r="Y274" s="885"/>
      <c r="Z274" s="885"/>
    </row>
    <row r="275" spans="1:26" ht="16.5" customHeight="1" x14ac:dyDescent="0.2">
      <c r="A275" s="885"/>
      <c r="B275" s="885"/>
      <c r="C275" s="885"/>
      <c r="D275" s="885"/>
      <c r="E275" s="885"/>
      <c r="F275" s="885"/>
      <c r="G275" s="885"/>
      <c r="H275" s="885"/>
      <c r="I275" s="885"/>
      <c r="J275" s="885"/>
      <c r="K275" s="885"/>
      <c r="L275" s="885"/>
      <c r="M275" s="885"/>
      <c r="N275" s="885"/>
      <c r="O275" s="885"/>
      <c r="P275" s="885"/>
      <c r="Q275" s="885"/>
      <c r="R275" s="885"/>
      <c r="S275" s="885"/>
      <c r="T275" s="885"/>
      <c r="U275" s="885"/>
      <c r="V275" s="885"/>
      <c r="W275" s="885"/>
      <c r="X275" s="885"/>
      <c r="Y275" s="885"/>
      <c r="Z275" s="885"/>
    </row>
    <row r="276" spans="1:26" ht="16.5" customHeight="1" x14ac:dyDescent="0.2">
      <c r="A276" s="885"/>
      <c r="B276" s="885"/>
      <c r="C276" s="885"/>
      <c r="D276" s="885"/>
      <c r="E276" s="885"/>
      <c r="F276" s="885"/>
      <c r="G276" s="885"/>
      <c r="H276" s="885"/>
      <c r="I276" s="885"/>
      <c r="J276" s="885"/>
      <c r="K276" s="885"/>
      <c r="L276" s="885"/>
      <c r="M276" s="885"/>
      <c r="N276" s="885"/>
      <c r="O276" s="885"/>
      <c r="P276" s="885"/>
      <c r="Q276" s="885"/>
      <c r="R276" s="885"/>
      <c r="S276" s="885"/>
      <c r="T276" s="885"/>
      <c r="U276" s="885"/>
      <c r="V276" s="885"/>
      <c r="W276" s="885"/>
      <c r="X276" s="885"/>
      <c r="Y276" s="885"/>
      <c r="Z276" s="885"/>
    </row>
    <row r="277" spans="1:26" ht="16.5" customHeight="1" x14ac:dyDescent="0.2">
      <c r="A277" s="885"/>
      <c r="B277" s="885"/>
      <c r="C277" s="885"/>
      <c r="D277" s="885"/>
      <c r="E277" s="885"/>
      <c r="F277" s="885"/>
      <c r="G277" s="885"/>
      <c r="H277" s="885"/>
      <c r="I277" s="885"/>
      <c r="J277" s="885"/>
      <c r="K277" s="885"/>
      <c r="L277" s="885"/>
      <c r="M277" s="885"/>
      <c r="N277" s="885"/>
      <c r="O277" s="885"/>
      <c r="P277" s="885"/>
      <c r="Q277" s="885"/>
      <c r="R277" s="885"/>
      <c r="S277" s="885"/>
      <c r="T277" s="885"/>
      <c r="U277" s="885"/>
      <c r="V277" s="885"/>
      <c r="W277" s="885"/>
      <c r="X277" s="885"/>
      <c r="Y277" s="885"/>
      <c r="Z277" s="885"/>
    </row>
    <row r="278" spans="1:26" ht="16.5" customHeight="1" x14ac:dyDescent="0.2">
      <c r="A278" s="885"/>
      <c r="B278" s="885"/>
      <c r="C278" s="885"/>
      <c r="D278" s="885"/>
      <c r="E278" s="885"/>
      <c r="F278" s="885"/>
      <c r="G278" s="885"/>
      <c r="H278" s="885"/>
      <c r="I278" s="885"/>
      <c r="J278" s="885"/>
      <c r="K278" s="885"/>
      <c r="L278" s="885"/>
      <c r="M278" s="885"/>
      <c r="N278" s="885"/>
      <c r="O278" s="885"/>
      <c r="P278" s="885"/>
      <c r="Q278" s="885"/>
      <c r="R278" s="885"/>
      <c r="S278" s="885"/>
      <c r="T278" s="885"/>
      <c r="U278" s="885"/>
      <c r="V278" s="885"/>
      <c r="W278" s="885"/>
      <c r="X278" s="885"/>
      <c r="Y278" s="885"/>
      <c r="Z278" s="885"/>
    </row>
    <row r="279" spans="1:26" ht="16.5" customHeight="1" x14ac:dyDescent="0.2">
      <c r="A279" s="885"/>
      <c r="B279" s="885"/>
      <c r="C279" s="885"/>
      <c r="D279" s="885"/>
      <c r="E279" s="885"/>
      <c r="F279" s="885"/>
      <c r="G279" s="885"/>
      <c r="H279" s="885"/>
      <c r="I279" s="885"/>
      <c r="J279" s="885"/>
      <c r="K279" s="885"/>
      <c r="L279" s="885"/>
      <c r="M279" s="885"/>
      <c r="N279" s="885"/>
      <c r="O279" s="885"/>
      <c r="P279" s="885"/>
      <c r="Q279" s="885"/>
      <c r="R279" s="885"/>
      <c r="S279" s="885"/>
      <c r="T279" s="885"/>
      <c r="U279" s="885"/>
      <c r="V279" s="885"/>
      <c r="W279" s="885"/>
      <c r="X279" s="885"/>
      <c r="Y279" s="885"/>
      <c r="Z279" s="885"/>
    </row>
    <row r="280" spans="1:26" ht="16.5" customHeight="1" x14ac:dyDescent="0.2">
      <c r="A280" s="885"/>
      <c r="B280" s="885"/>
      <c r="C280" s="885"/>
      <c r="D280" s="885"/>
      <c r="E280" s="885"/>
      <c r="F280" s="885"/>
      <c r="G280" s="885"/>
      <c r="H280" s="885"/>
      <c r="I280" s="885"/>
      <c r="J280" s="885"/>
      <c r="K280" s="885"/>
      <c r="L280" s="885"/>
      <c r="M280" s="885"/>
      <c r="N280" s="885"/>
      <c r="O280" s="885"/>
      <c r="P280" s="885"/>
      <c r="Q280" s="885"/>
      <c r="R280" s="885"/>
      <c r="S280" s="885"/>
      <c r="T280" s="885"/>
      <c r="U280" s="885"/>
      <c r="V280" s="885"/>
      <c r="W280" s="885"/>
      <c r="X280" s="885"/>
      <c r="Y280" s="885"/>
      <c r="Z280" s="885"/>
    </row>
    <row r="281" spans="1:26" ht="16.5" customHeight="1" x14ac:dyDescent="0.2">
      <c r="A281" s="885"/>
      <c r="B281" s="885"/>
      <c r="C281" s="885"/>
      <c r="D281" s="885"/>
      <c r="E281" s="885"/>
      <c r="F281" s="885"/>
      <c r="G281" s="885"/>
      <c r="H281" s="885"/>
      <c r="I281" s="885"/>
      <c r="J281" s="885"/>
      <c r="K281" s="885"/>
      <c r="L281" s="885"/>
      <c r="M281" s="885"/>
      <c r="N281" s="885"/>
      <c r="O281" s="885"/>
      <c r="P281" s="885"/>
      <c r="Q281" s="885"/>
      <c r="R281" s="885"/>
      <c r="S281" s="885"/>
      <c r="T281" s="885"/>
      <c r="U281" s="885"/>
      <c r="V281" s="885"/>
      <c r="W281" s="885"/>
      <c r="X281" s="885"/>
      <c r="Y281" s="885"/>
      <c r="Z281" s="885"/>
    </row>
    <row r="282" spans="1:26" ht="16.5" customHeight="1" x14ac:dyDescent="0.2">
      <c r="A282" s="885"/>
      <c r="B282" s="885"/>
      <c r="C282" s="885"/>
      <c r="D282" s="885"/>
      <c r="E282" s="885"/>
      <c r="F282" s="885"/>
      <c r="G282" s="885"/>
      <c r="H282" s="885"/>
      <c r="I282" s="885"/>
      <c r="J282" s="885"/>
      <c r="K282" s="885"/>
      <c r="L282" s="885"/>
      <c r="M282" s="885"/>
      <c r="N282" s="885"/>
      <c r="O282" s="885"/>
      <c r="P282" s="885"/>
      <c r="Q282" s="885"/>
      <c r="R282" s="885"/>
      <c r="S282" s="885"/>
      <c r="T282" s="885"/>
      <c r="U282" s="885"/>
      <c r="V282" s="885"/>
      <c r="W282" s="885"/>
      <c r="X282" s="885"/>
      <c r="Y282" s="885"/>
      <c r="Z282" s="885"/>
    </row>
    <row r="283" spans="1:26" ht="16.5" customHeight="1" x14ac:dyDescent="0.2">
      <c r="A283" s="885"/>
      <c r="B283" s="885"/>
      <c r="C283" s="885"/>
      <c r="D283" s="885"/>
      <c r="E283" s="885"/>
      <c r="F283" s="885"/>
      <c r="G283" s="885"/>
      <c r="H283" s="885"/>
      <c r="I283" s="885"/>
      <c r="J283" s="885"/>
      <c r="K283" s="885"/>
      <c r="L283" s="885"/>
      <c r="M283" s="885"/>
      <c r="N283" s="885"/>
      <c r="O283" s="885"/>
      <c r="P283" s="885"/>
      <c r="Q283" s="885"/>
      <c r="R283" s="885"/>
      <c r="S283" s="885"/>
      <c r="T283" s="885"/>
      <c r="U283" s="885"/>
      <c r="V283" s="885"/>
      <c r="W283" s="885"/>
      <c r="X283" s="885"/>
      <c r="Y283" s="885"/>
      <c r="Z283" s="885"/>
    </row>
    <row r="284" spans="1:26" ht="16.5" customHeight="1" x14ac:dyDescent="0.2">
      <c r="A284" s="885"/>
      <c r="B284" s="885"/>
      <c r="C284" s="885"/>
      <c r="D284" s="885"/>
      <c r="E284" s="885"/>
      <c r="F284" s="885"/>
      <c r="G284" s="885"/>
      <c r="H284" s="885"/>
      <c r="I284" s="885"/>
      <c r="J284" s="885"/>
      <c r="K284" s="885"/>
      <c r="L284" s="885"/>
      <c r="M284" s="885"/>
      <c r="N284" s="885"/>
      <c r="O284" s="885"/>
      <c r="P284" s="885"/>
      <c r="Q284" s="885"/>
      <c r="R284" s="885"/>
      <c r="S284" s="885"/>
      <c r="T284" s="885"/>
      <c r="U284" s="885"/>
      <c r="V284" s="885"/>
      <c r="W284" s="885"/>
      <c r="X284" s="885"/>
      <c r="Y284" s="885"/>
      <c r="Z284" s="885"/>
    </row>
    <row r="285" spans="1:26" ht="16.5" customHeight="1" x14ac:dyDescent="0.2">
      <c r="A285" s="885"/>
      <c r="B285" s="885"/>
      <c r="C285" s="885"/>
      <c r="D285" s="885"/>
      <c r="E285" s="885"/>
      <c r="F285" s="885"/>
      <c r="G285" s="885"/>
      <c r="H285" s="885"/>
      <c r="I285" s="885"/>
      <c r="J285" s="885"/>
      <c r="K285" s="885"/>
      <c r="L285" s="885"/>
      <c r="M285" s="885"/>
      <c r="N285" s="885"/>
      <c r="O285" s="885"/>
      <c r="P285" s="885"/>
      <c r="Q285" s="885"/>
      <c r="R285" s="885"/>
      <c r="S285" s="885"/>
      <c r="T285" s="885"/>
      <c r="U285" s="885"/>
      <c r="V285" s="885"/>
      <c r="W285" s="885"/>
      <c r="X285" s="885"/>
      <c r="Y285" s="885"/>
      <c r="Z285" s="885"/>
    </row>
    <row r="286" spans="1:26" ht="16.5" customHeight="1" x14ac:dyDescent="0.2">
      <c r="A286" s="885"/>
      <c r="B286" s="885"/>
      <c r="C286" s="885"/>
      <c r="D286" s="885"/>
      <c r="E286" s="885"/>
      <c r="F286" s="885"/>
      <c r="G286" s="885"/>
      <c r="H286" s="885"/>
      <c r="I286" s="885"/>
      <c r="J286" s="885"/>
      <c r="K286" s="885"/>
      <c r="L286" s="885"/>
      <c r="M286" s="885"/>
      <c r="N286" s="885"/>
      <c r="O286" s="885"/>
      <c r="P286" s="885"/>
      <c r="Q286" s="885"/>
      <c r="R286" s="885"/>
      <c r="S286" s="885"/>
      <c r="T286" s="885"/>
      <c r="U286" s="885"/>
      <c r="V286" s="885"/>
      <c r="W286" s="885"/>
      <c r="X286" s="885"/>
      <c r="Y286" s="885"/>
      <c r="Z286" s="885"/>
    </row>
    <row r="287" spans="1:26" ht="16.5" customHeight="1" x14ac:dyDescent="0.2">
      <c r="A287" s="885"/>
      <c r="B287" s="885"/>
      <c r="C287" s="885"/>
      <c r="D287" s="885"/>
      <c r="E287" s="885"/>
      <c r="F287" s="885"/>
      <c r="G287" s="885"/>
      <c r="H287" s="885"/>
      <c r="I287" s="885"/>
      <c r="J287" s="885"/>
      <c r="K287" s="885"/>
      <c r="L287" s="885"/>
      <c r="M287" s="885"/>
      <c r="N287" s="885"/>
      <c r="O287" s="885"/>
      <c r="P287" s="885"/>
      <c r="Q287" s="885"/>
      <c r="R287" s="885"/>
      <c r="S287" s="885"/>
      <c r="T287" s="885"/>
      <c r="U287" s="885"/>
      <c r="V287" s="885"/>
      <c r="W287" s="885"/>
      <c r="X287" s="885"/>
      <c r="Y287" s="885"/>
      <c r="Z287" s="885"/>
    </row>
    <row r="288" spans="1:26" ht="16.5" customHeight="1" x14ac:dyDescent="0.2">
      <c r="A288" s="885"/>
      <c r="B288" s="885"/>
      <c r="C288" s="885"/>
      <c r="D288" s="885"/>
      <c r="E288" s="885"/>
      <c r="F288" s="885"/>
      <c r="G288" s="885"/>
      <c r="H288" s="885"/>
      <c r="I288" s="885"/>
      <c r="J288" s="885"/>
      <c r="K288" s="885"/>
      <c r="L288" s="885"/>
      <c r="M288" s="885"/>
      <c r="N288" s="885"/>
      <c r="O288" s="885"/>
      <c r="P288" s="885"/>
      <c r="Q288" s="885"/>
      <c r="R288" s="885"/>
      <c r="S288" s="885"/>
      <c r="T288" s="885"/>
      <c r="U288" s="885"/>
      <c r="V288" s="885"/>
      <c r="W288" s="885"/>
      <c r="X288" s="885"/>
      <c r="Y288" s="885"/>
      <c r="Z288" s="885"/>
    </row>
    <row r="289" spans="1:26" ht="16.5" customHeight="1" x14ac:dyDescent="0.2">
      <c r="A289" s="885"/>
      <c r="B289" s="885"/>
      <c r="C289" s="885"/>
      <c r="D289" s="885"/>
      <c r="E289" s="885"/>
      <c r="F289" s="885"/>
      <c r="G289" s="885"/>
      <c r="H289" s="885"/>
      <c r="I289" s="885"/>
      <c r="J289" s="885"/>
      <c r="K289" s="885"/>
      <c r="L289" s="885"/>
      <c r="M289" s="885"/>
      <c r="N289" s="885"/>
      <c r="O289" s="885"/>
      <c r="P289" s="885"/>
      <c r="Q289" s="885"/>
      <c r="R289" s="885"/>
      <c r="S289" s="885"/>
      <c r="T289" s="885"/>
      <c r="U289" s="885"/>
      <c r="V289" s="885"/>
      <c r="W289" s="885"/>
      <c r="X289" s="885"/>
      <c r="Y289" s="885"/>
      <c r="Z289" s="885"/>
    </row>
    <row r="290" spans="1:26" ht="16.5" customHeight="1" x14ac:dyDescent="0.2">
      <c r="A290" s="885"/>
      <c r="B290" s="885"/>
      <c r="C290" s="885"/>
      <c r="D290" s="885"/>
      <c r="E290" s="885"/>
      <c r="F290" s="885"/>
      <c r="G290" s="885"/>
      <c r="H290" s="885"/>
      <c r="I290" s="885"/>
      <c r="J290" s="885"/>
      <c r="K290" s="885"/>
      <c r="L290" s="885"/>
      <c r="M290" s="885"/>
      <c r="N290" s="885"/>
      <c r="O290" s="885"/>
      <c r="P290" s="885"/>
      <c r="Q290" s="885"/>
      <c r="R290" s="885"/>
      <c r="S290" s="885"/>
      <c r="T290" s="885"/>
      <c r="U290" s="885"/>
      <c r="V290" s="885"/>
      <c r="W290" s="885"/>
      <c r="X290" s="885"/>
      <c r="Y290" s="885"/>
      <c r="Z290" s="885"/>
    </row>
    <row r="291" spans="1:26" ht="16.5" customHeight="1" x14ac:dyDescent="0.2">
      <c r="A291" s="885"/>
      <c r="B291" s="885"/>
      <c r="C291" s="885"/>
      <c r="D291" s="885"/>
      <c r="E291" s="885"/>
      <c r="F291" s="885"/>
      <c r="G291" s="885"/>
      <c r="H291" s="885"/>
      <c r="I291" s="885"/>
      <c r="J291" s="885"/>
      <c r="K291" s="885"/>
      <c r="L291" s="885"/>
      <c r="M291" s="885"/>
      <c r="N291" s="885"/>
      <c r="O291" s="885"/>
      <c r="P291" s="885"/>
      <c r="Q291" s="885"/>
      <c r="R291" s="885"/>
      <c r="S291" s="885"/>
      <c r="T291" s="885"/>
      <c r="U291" s="885"/>
      <c r="V291" s="885"/>
      <c r="W291" s="885"/>
      <c r="X291" s="885"/>
      <c r="Y291" s="885"/>
      <c r="Z291" s="885"/>
    </row>
    <row r="292" spans="1:26" ht="16.5" customHeight="1" x14ac:dyDescent="0.2">
      <c r="A292" s="885"/>
      <c r="B292" s="885"/>
      <c r="C292" s="885"/>
      <c r="D292" s="885"/>
      <c r="E292" s="885"/>
      <c r="F292" s="885"/>
      <c r="G292" s="885"/>
      <c r="H292" s="885"/>
      <c r="I292" s="885"/>
      <c r="J292" s="885"/>
      <c r="K292" s="885"/>
      <c r="L292" s="885"/>
      <c r="M292" s="885"/>
      <c r="N292" s="885"/>
      <c r="O292" s="885"/>
      <c r="P292" s="885"/>
      <c r="Q292" s="885"/>
      <c r="R292" s="885"/>
      <c r="S292" s="885"/>
      <c r="T292" s="885"/>
      <c r="U292" s="885"/>
      <c r="V292" s="885"/>
      <c r="W292" s="885"/>
      <c r="X292" s="885"/>
      <c r="Y292" s="885"/>
      <c r="Z292" s="885"/>
    </row>
    <row r="293" spans="1:26" ht="16.5" customHeight="1" x14ac:dyDescent="0.2">
      <c r="A293" s="885"/>
      <c r="B293" s="885"/>
      <c r="C293" s="885"/>
      <c r="D293" s="885"/>
      <c r="E293" s="885"/>
      <c r="F293" s="885"/>
      <c r="G293" s="885"/>
      <c r="H293" s="885"/>
      <c r="I293" s="885"/>
      <c r="J293" s="885"/>
      <c r="K293" s="885"/>
      <c r="L293" s="885"/>
      <c r="M293" s="885"/>
      <c r="N293" s="885"/>
      <c r="O293" s="885"/>
      <c r="P293" s="885"/>
      <c r="Q293" s="885"/>
      <c r="R293" s="885"/>
      <c r="S293" s="885"/>
      <c r="T293" s="885"/>
      <c r="U293" s="885"/>
      <c r="V293" s="885"/>
      <c r="W293" s="885"/>
      <c r="X293" s="885"/>
      <c r="Y293" s="885"/>
      <c r="Z293" s="885"/>
    </row>
    <row r="294" spans="1:26" ht="16.5" customHeight="1" x14ac:dyDescent="0.2">
      <c r="A294" s="885"/>
      <c r="B294" s="885"/>
      <c r="C294" s="885"/>
      <c r="D294" s="885"/>
      <c r="E294" s="885"/>
      <c r="F294" s="885"/>
      <c r="G294" s="885"/>
      <c r="H294" s="885"/>
      <c r="I294" s="885"/>
      <c r="J294" s="885"/>
      <c r="K294" s="885"/>
      <c r="L294" s="885"/>
      <c r="M294" s="885"/>
      <c r="N294" s="885"/>
      <c r="O294" s="885"/>
      <c r="P294" s="885"/>
      <c r="Q294" s="885"/>
      <c r="R294" s="885"/>
      <c r="S294" s="885"/>
      <c r="T294" s="885"/>
      <c r="U294" s="885"/>
      <c r="V294" s="885"/>
      <c r="W294" s="885"/>
      <c r="X294" s="885"/>
      <c r="Y294" s="885"/>
      <c r="Z294" s="885"/>
    </row>
    <row r="295" spans="1:26" ht="16.5" customHeight="1" x14ac:dyDescent="0.2">
      <c r="A295" s="885"/>
      <c r="B295" s="885"/>
      <c r="C295" s="885"/>
      <c r="D295" s="885"/>
      <c r="E295" s="885"/>
      <c r="F295" s="885"/>
      <c r="G295" s="885"/>
      <c r="H295" s="885"/>
      <c r="I295" s="885"/>
      <c r="J295" s="885"/>
      <c r="K295" s="885"/>
      <c r="L295" s="885"/>
      <c r="M295" s="885"/>
      <c r="N295" s="885"/>
      <c r="O295" s="885"/>
      <c r="P295" s="885"/>
      <c r="Q295" s="885"/>
      <c r="R295" s="885"/>
      <c r="S295" s="885"/>
      <c r="T295" s="885"/>
      <c r="U295" s="885"/>
      <c r="V295" s="885"/>
      <c r="W295" s="885"/>
      <c r="X295" s="885"/>
      <c r="Y295" s="885"/>
      <c r="Z295" s="885"/>
    </row>
    <row r="296" spans="1:26" ht="16.5" customHeight="1" x14ac:dyDescent="0.2">
      <c r="A296" s="885"/>
      <c r="B296" s="885"/>
      <c r="C296" s="885"/>
      <c r="D296" s="885"/>
      <c r="E296" s="885"/>
      <c r="F296" s="885"/>
      <c r="G296" s="885"/>
      <c r="H296" s="885"/>
      <c r="I296" s="885"/>
      <c r="J296" s="885"/>
      <c r="K296" s="885"/>
      <c r="L296" s="885"/>
      <c r="M296" s="885"/>
      <c r="N296" s="885"/>
      <c r="O296" s="885"/>
      <c r="P296" s="885"/>
      <c r="Q296" s="885"/>
      <c r="R296" s="885"/>
      <c r="S296" s="885"/>
      <c r="T296" s="885"/>
      <c r="U296" s="885"/>
      <c r="V296" s="885"/>
      <c r="W296" s="885"/>
      <c r="X296" s="885"/>
      <c r="Y296" s="885"/>
      <c r="Z296" s="885"/>
    </row>
    <row r="297" spans="1:26" ht="16.5" customHeight="1" x14ac:dyDescent="0.2">
      <c r="A297" s="885"/>
      <c r="B297" s="885"/>
      <c r="C297" s="885"/>
      <c r="D297" s="885"/>
      <c r="E297" s="885"/>
      <c r="F297" s="885"/>
      <c r="G297" s="885"/>
      <c r="H297" s="885"/>
      <c r="I297" s="885"/>
      <c r="J297" s="885"/>
      <c r="K297" s="885"/>
      <c r="L297" s="885"/>
      <c r="M297" s="885"/>
      <c r="N297" s="885"/>
      <c r="O297" s="885"/>
      <c r="P297" s="885"/>
      <c r="Q297" s="885"/>
      <c r="R297" s="885"/>
      <c r="S297" s="885"/>
      <c r="T297" s="885"/>
      <c r="U297" s="885"/>
      <c r="V297" s="885"/>
      <c r="W297" s="885"/>
      <c r="X297" s="885"/>
      <c r="Y297" s="885"/>
      <c r="Z297" s="885"/>
    </row>
    <row r="298" spans="1:26" ht="16.5" customHeight="1" x14ac:dyDescent="0.2">
      <c r="A298" s="885"/>
      <c r="B298" s="885"/>
      <c r="C298" s="885"/>
      <c r="D298" s="885"/>
      <c r="E298" s="885"/>
      <c r="F298" s="885"/>
      <c r="G298" s="885"/>
      <c r="H298" s="885"/>
      <c r="I298" s="885"/>
      <c r="J298" s="885"/>
      <c r="K298" s="885"/>
      <c r="L298" s="885"/>
      <c r="M298" s="885"/>
      <c r="N298" s="885"/>
      <c r="O298" s="885"/>
      <c r="P298" s="885"/>
      <c r="Q298" s="885"/>
      <c r="R298" s="885"/>
      <c r="S298" s="885"/>
      <c r="T298" s="885"/>
      <c r="U298" s="885"/>
      <c r="V298" s="885"/>
      <c r="W298" s="885"/>
      <c r="X298" s="885"/>
      <c r="Y298" s="885"/>
      <c r="Z298" s="885"/>
    </row>
    <row r="299" spans="1:26" ht="16.5" customHeight="1" x14ac:dyDescent="0.2">
      <c r="A299" s="885"/>
      <c r="B299" s="885"/>
      <c r="C299" s="885"/>
      <c r="D299" s="885"/>
      <c r="E299" s="885"/>
      <c r="F299" s="885"/>
      <c r="G299" s="885"/>
      <c r="H299" s="885"/>
      <c r="I299" s="885"/>
      <c r="J299" s="885"/>
      <c r="K299" s="885"/>
      <c r="L299" s="885"/>
      <c r="M299" s="885"/>
      <c r="N299" s="885"/>
      <c r="O299" s="885"/>
      <c r="P299" s="885"/>
      <c r="Q299" s="885"/>
      <c r="R299" s="885"/>
      <c r="S299" s="885"/>
      <c r="T299" s="885"/>
      <c r="U299" s="885"/>
      <c r="V299" s="885"/>
      <c r="W299" s="885"/>
      <c r="X299" s="885"/>
      <c r="Y299" s="885"/>
      <c r="Z299" s="885"/>
    </row>
    <row r="300" spans="1:26" ht="16.5" customHeight="1" x14ac:dyDescent="0.2">
      <c r="A300" s="885"/>
      <c r="B300" s="885"/>
      <c r="C300" s="885"/>
      <c r="D300" s="885"/>
      <c r="E300" s="885"/>
      <c r="F300" s="885"/>
      <c r="G300" s="885"/>
      <c r="H300" s="885"/>
      <c r="I300" s="885"/>
      <c r="J300" s="885"/>
      <c r="K300" s="885"/>
      <c r="L300" s="885"/>
      <c r="M300" s="885"/>
      <c r="N300" s="885"/>
      <c r="O300" s="885"/>
      <c r="P300" s="885"/>
      <c r="Q300" s="885"/>
      <c r="R300" s="885"/>
      <c r="S300" s="885"/>
      <c r="T300" s="885"/>
      <c r="U300" s="885"/>
      <c r="V300" s="885"/>
      <c r="W300" s="885"/>
      <c r="X300" s="885"/>
      <c r="Y300" s="885"/>
      <c r="Z300" s="885"/>
    </row>
    <row r="301" spans="1:26" ht="16.5" customHeight="1" x14ac:dyDescent="0.2">
      <c r="A301" s="885"/>
      <c r="B301" s="885"/>
      <c r="C301" s="885"/>
      <c r="D301" s="885"/>
      <c r="E301" s="885"/>
      <c r="F301" s="885"/>
      <c r="G301" s="885"/>
      <c r="H301" s="885"/>
      <c r="I301" s="885"/>
      <c r="J301" s="885"/>
      <c r="K301" s="885"/>
      <c r="L301" s="885"/>
      <c r="M301" s="885"/>
      <c r="N301" s="885"/>
      <c r="O301" s="885"/>
      <c r="P301" s="885"/>
      <c r="Q301" s="885"/>
      <c r="R301" s="885"/>
      <c r="S301" s="885"/>
      <c r="T301" s="885"/>
      <c r="U301" s="885"/>
      <c r="V301" s="885"/>
      <c r="W301" s="885"/>
      <c r="X301" s="885"/>
      <c r="Y301" s="885"/>
      <c r="Z301" s="885"/>
    </row>
    <row r="302" spans="1:26" ht="16.5" customHeight="1" x14ac:dyDescent="0.2">
      <c r="A302" s="885"/>
      <c r="B302" s="885"/>
      <c r="C302" s="885"/>
      <c r="D302" s="885"/>
      <c r="E302" s="885"/>
      <c r="F302" s="885"/>
      <c r="G302" s="885"/>
      <c r="H302" s="885"/>
      <c r="I302" s="885"/>
      <c r="J302" s="885"/>
      <c r="K302" s="885"/>
      <c r="L302" s="885"/>
      <c r="M302" s="885"/>
      <c r="N302" s="885"/>
      <c r="O302" s="885"/>
      <c r="P302" s="885"/>
      <c r="Q302" s="885"/>
      <c r="R302" s="885"/>
      <c r="S302" s="885"/>
      <c r="T302" s="885"/>
      <c r="U302" s="885"/>
      <c r="V302" s="885"/>
      <c r="W302" s="885"/>
      <c r="X302" s="885"/>
      <c r="Y302" s="885"/>
      <c r="Z302" s="885"/>
    </row>
    <row r="303" spans="1:26" ht="16.5" customHeight="1" x14ac:dyDescent="0.2">
      <c r="A303" s="885"/>
      <c r="B303" s="885"/>
      <c r="C303" s="885"/>
      <c r="D303" s="885"/>
      <c r="E303" s="885"/>
      <c r="F303" s="885"/>
      <c r="G303" s="885"/>
      <c r="H303" s="885"/>
      <c r="I303" s="885"/>
      <c r="J303" s="885"/>
      <c r="K303" s="885"/>
      <c r="L303" s="885"/>
      <c r="M303" s="885"/>
      <c r="N303" s="885"/>
      <c r="O303" s="885"/>
      <c r="P303" s="885"/>
      <c r="Q303" s="885"/>
      <c r="R303" s="885"/>
      <c r="S303" s="885"/>
      <c r="T303" s="885"/>
      <c r="U303" s="885"/>
      <c r="V303" s="885"/>
      <c r="W303" s="885"/>
      <c r="X303" s="885"/>
      <c r="Y303" s="885"/>
      <c r="Z303" s="885"/>
    </row>
    <row r="304" spans="1:26" ht="16.5" customHeight="1" x14ac:dyDescent="0.2">
      <c r="A304" s="885"/>
      <c r="B304" s="885"/>
      <c r="C304" s="885"/>
      <c r="D304" s="885"/>
      <c r="E304" s="885"/>
      <c r="F304" s="885"/>
      <c r="G304" s="885"/>
      <c r="H304" s="885"/>
      <c r="I304" s="885"/>
      <c r="J304" s="885"/>
      <c r="K304" s="885"/>
      <c r="L304" s="885"/>
      <c r="M304" s="885"/>
      <c r="N304" s="885"/>
      <c r="O304" s="885"/>
      <c r="P304" s="885"/>
      <c r="Q304" s="885"/>
      <c r="R304" s="885"/>
      <c r="S304" s="885"/>
      <c r="T304" s="885"/>
      <c r="U304" s="885"/>
      <c r="V304" s="885"/>
      <c r="W304" s="885"/>
      <c r="X304" s="885"/>
      <c r="Y304" s="885"/>
      <c r="Z304" s="885"/>
    </row>
    <row r="305" spans="1:26" ht="16.5" customHeight="1" x14ac:dyDescent="0.2">
      <c r="A305" s="885"/>
      <c r="B305" s="885"/>
      <c r="C305" s="885"/>
      <c r="D305" s="885"/>
      <c r="E305" s="885"/>
      <c r="F305" s="885"/>
      <c r="G305" s="885"/>
      <c r="H305" s="885"/>
      <c r="I305" s="885"/>
      <c r="J305" s="885"/>
      <c r="K305" s="885"/>
      <c r="L305" s="885"/>
      <c r="M305" s="885"/>
      <c r="N305" s="885"/>
      <c r="O305" s="885"/>
      <c r="P305" s="885"/>
      <c r="Q305" s="885"/>
      <c r="R305" s="885"/>
      <c r="S305" s="885"/>
      <c r="T305" s="885"/>
      <c r="U305" s="885"/>
      <c r="V305" s="885"/>
      <c r="W305" s="885"/>
      <c r="X305" s="885"/>
      <c r="Y305" s="885"/>
      <c r="Z305" s="885"/>
    </row>
    <row r="306" spans="1:26" ht="16.5" customHeight="1" x14ac:dyDescent="0.2">
      <c r="A306" s="885"/>
      <c r="B306" s="885"/>
      <c r="C306" s="885"/>
      <c r="D306" s="885"/>
      <c r="E306" s="885"/>
      <c r="F306" s="885"/>
      <c r="G306" s="885"/>
      <c r="H306" s="885"/>
      <c r="I306" s="885"/>
      <c r="J306" s="885"/>
      <c r="K306" s="885"/>
      <c r="L306" s="885"/>
      <c r="M306" s="885"/>
      <c r="N306" s="885"/>
      <c r="O306" s="885"/>
      <c r="P306" s="885"/>
      <c r="Q306" s="885"/>
      <c r="R306" s="885"/>
      <c r="S306" s="885"/>
      <c r="T306" s="885"/>
      <c r="U306" s="885"/>
      <c r="V306" s="885"/>
      <c r="W306" s="885"/>
      <c r="X306" s="885"/>
      <c r="Y306" s="885"/>
      <c r="Z306" s="885"/>
    </row>
    <row r="307" spans="1:26" ht="16.5" customHeight="1" x14ac:dyDescent="0.2">
      <c r="A307" s="885"/>
      <c r="B307" s="885"/>
      <c r="C307" s="885"/>
      <c r="D307" s="885"/>
      <c r="E307" s="885"/>
      <c r="F307" s="885"/>
      <c r="G307" s="885"/>
      <c r="H307" s="885"/>
      <c r="I307" s="885"/>
      <c r="J307" s="885"/>
      <c r="K307" s="885"/>
      <c r="L307" s="885"/>
      <c r="M307" s="885"/>
      <c r="N307" s="885"/>
      <c r="O307" s="885"/>
      <c r="P307" s="885"/>
      <c r="Q307" s="885"/>
      <c r="R307" s="885"/>
      <c r="S307" s="885"/>
      <c r="T307" s="885"/>
      <c r="U307" s="885"/>
      <c r="V307" s="885"/>
      <c r="W307" s="885"/>
      <c r="X307" s="885"/>
      <c r="Y307" s="885"/>
      <c r="Z307" s="885"/>
    </row>
    <row r="308" spans="1:26" ht="16.5" customHeight="1" x14ac:dyDescent="0.2">
      <c r="A308" s="885"/>
      <c r="B308" s="885"/>
      <c r="C308" s="885"/>
      <c r="D308" s="885"/>
      <c r="E308" s="885"/>
      <c r="F308" s="885"/>
      <c r="G308" s="885"/>
      <c r="H308" s="885"/>
      <c r="I308" s="885"/>
      <c r="J308" s="885"/>
      <c r="K308" s="885"/>
      <c r="L308" s="885"/>
      <c r="M308" s="885"/>
      <c r="N308" s="885"/>
      <c r="O308" s="885"/>
      <c r="P308" s="885"/>
      <c r="Q308" s="885"/>
      <c r="R308" s="885"/>
      <c r="S308" s="885"/>
      <c r="T308" s="885"/>
      <c r="U308" s="885"/>
      <c r="V308" s="885"/>
      <c r="W308" s="885"/>
      <c r="X308" s="885"/>
      <c r="Y308" s="885"/>
      <c r="Z308" s="885"/>
    </row>
    <row r="309" spans="1:26" ht="16.5" customHeight="1" x14ac:dyDescent="0.2">
      <c r="A309" s="885"/>
      <c r="B309" s="885"/>
      <c r="C309" s="885"/>
      <c r="D309" s="885"/>
      <c r="E309" s="885"/>
      <c r="F309" s="885"/>
      <c r="G309" s="885"/>
      <c r="H309" s="885"/>
      <c r="I309" s="885"/>
      <c r="J309" s="885"/>
      <c r="K309" s="885"/>
      <c r="L309" s="885"/>
      <c r="M309" s="885"/>
      <c r="N309" s="885"/>
      <c r="O309" s="885"/>
      <c r="P309" s="885"/>
      <c r="Q309" s="885"/>
      <c r="R309" s="885"/>
      <c r="S309" s="885"/>
      <c r="T309" s="885"/>
      <c r="U309" s="885"/>
      <c r="V309" s="885"/>
      <c r="W309" s="885"/>
      <c r="X309" s="885"/>
      <c r="Y309" s="885"/>
      <c r="Z309" s="885"/>
    </row>
    <row r="310" spans="1:26" ht="16.5" customHeight="1" x14ac:dyDescent="0.2">
      <c r="A310" s="885"/>
      <c r="B310" s="885"/>
      <c r="C310" s="885"/>
      <c r="D310" s="885"/>
      <c r="E310" s="885"/>
      <c r="F310" s="885"/>
      <c r="G310" s="885"/>
      <c r="H310" s="885"/>
      <c r="I310" s="885"/>
      <c r="J310" s="885"/>
      <c r="K310" s="885"/>
      <c r="L310" s="885"/>
      <c r="M310" s="885"/>
      <c r="N310" s="885"/>
      <c r="O310" s="885"/>
      <c r="P310" s="885"/>
      <c r="Q310" s="885"/>
      <c r="R310" s="885"/>
      <c r="S310" s="885"/>
      <c r="T310" s="885"/>
      <c r="U310" s="885"/>
      <c r="V310" s="885"/>
      <c r="W310" s="885"/>
      <c r="X310" s="885"/>
      <c r="Y310" s="885"/>
      <c r="Z310" s="885"/>
    </row>
    <row r="311" spans="1:26" ht="16.5" customHeight="1" x14ac:dyDescent="0.2">
      <c r="A311" s="885"/>
      <c r="B311" s="885"/>
      <c r="C311" s="885"/>
      <c r="D311" s="885"/>
      <c r="E311" s="885"/>
      <c r="F311" s="885"/>
      <c r="G311" s="885"/>
      <c r="H311" s="885"/>
      <c r="I311" s="885"/>
      <c r="J311" s="885"/>
      <c r="K311" s="885"/>
      <c r="L311" s="885"/>
      <c r="M311" s="885"/>
      <c r="N311" s="885"/>
      <c r="O311" s="885"/>
      <c r="P311" s="885"/>
      <c r="Q311" s="885"/>
      <c r="R311" s="885"/>
      <c r="S311" s="885"/>
      <c r="T311" s="885"/>
      <c r="U311" s="885"/>
      <c r="V311" s="885"/>
      <c r="W311" s="885"/>
      <c r="X311" s="885"/>
      <c r="Y311" s="885"/>
      <c r="Z311" s="885"/>
    </row>
    <row r="312" spans="1:26" ht="16.5" customHeight="1" x14ac:dyDescent="0.2">
      <c r="A312" s="885"/>
      <c r="B312" s="885"/>
      <c r="C312" s="885"/>
      <c r="D312" s="885"/>
      <c r="E312" s="885"/>
      <c r="F312" s="885"/>
      <c r="G312" s="885"/>
      <c r="H312" s="885"/>
      <c r="I312" s="885"/>
      <c r="J312" s="885"/>
      <c r="K312" s="885"/>
      <c r="L312" s="885"/>
      <c r="M312" s="885"/>
      <c r="N312" s="885"/>
      <c r="O312" s="885"/>
      <c r="P312" s="885"/>
      <c r="Q312" s="885"/>
      <c r="R312" s="885"/>
      <c r="S312" s="885"/>
      <c r="T312" s="885"/>
      <c r="U312" s="885"/>
      <c r="V312" s="885"/>
      <c r="W312" s="885"/>
      <c r="X312" s="885"/>
      <c r="Y312" s="885"/>
      <c r="Z312" s="885"/>
    </row>
    <row r="313" spans="1:26" ht="16.5" customHeight="1" x14ac:dyDescent="0.2">
      <c r="A313" s="885"/>
      <c r="B313" s="885"/>
      <c r="C313" s="885"/>
      <c r="D313" s="885"/>
      <c r="E313" s="885"/>
      <c r="F313" s="885"/>
      <c r="G313" s="885"/>
      <c r="H313" s="885"/>
      <c r="I313" s="885"/>
      <c r="J313" s="885"/>
      <c r="K313" s="885"/>
      <c r="L313" s="885"/>
      <c r="M313" s="885"/>
      <c r="N313" s="885"/>
      <c r="O313" s="885"/>
      <c r="P313" s="885"/>
      <c r="Q313" s="885"/>
      <c r="R313" s="885"/>
      <c r="S313" s="885"/>
      <c r="T313" s="885"/>
      <c r="U313" s="885"/>
      <c r="V313" s="885"/>
      <c r="W313" s="885"/>
      <c r="X313" s="885"/>
      <c r="Y313" s="885"/>
      <c r="Z313" s="885"/>
    </row>
    <row r="314" spans="1:26" ht="16.5" customHeight="1" x14ac:dyDescent="0.2">
      <c r="A314" s="885"/>
      <c r="B314" s="885"/>
      <c r="C314" s="885"/>
      <c r="D314" s="885"/>
      <c r="E314" s="885"/>
      <c r="F314" s="885"/>
      <c r="G314" s="885"/>
      <c r="H314" s="885"/>
      <c r="I314" s="885"/>
      <c r="J314" s="885"/>
      <c r="K314" s="885"/>
      <c r="L314" s="885"/>
      <c r="M314" s="885"/>
      <c r="N314" s="885"/>
      <c r="O314" s="885"/>
      <c r="P314" s="885"/>
      <c r="Q314" s="885"/>
      <c r="R314" s="885"/>
      <c r="S314" s="885"/>
      <c r="T314" s="885"/>
      <c r="U314" s="885"/>
      <c r="V314" s="885"/>
      <c r="W314" s="885"/>
      <c r="X314" s="885"/>
      <c r="Y314" s="885"/>
      <c r="Z314" s="885"/>
    </row>
    <row r="315" spans="1:26" ht="16.5" customHeight="1" x14ac:dyDescent="0.2">
      <c r="A315" s="885"/>
      <c r="B315" s="885"/>
      <c r="C315" s="885"/>
      <c r="D315" s="885"/>
      <c r="E315" s="885"/>
      <c r="F315" s="885"/>
      <c r="G315" s="885"/>
      <c r="H315" s="885"/>
      <c r="I315" s="885"/>
      <c r="J315" s="885"/>
      <c r="K315" s="885"/>
      <c r="L315" s="885"/>
      <c r="M315" s="885"/>
      <c r="N315" s="885"/>
      <c r="O315" s="885"/>
      <c r="P315" s="885"/>
      <c r="Q315" s="885"/>
      <c r="R315" s="885"/>
      <c r="S315" s="885"/>
      <c r="T315" s="885"/>
      <c r="U315" s="885"/>
      <c r="V315" s="885"/>
      <c r="W315" s="885"/>
      <c r="X315" s="885"/>
      <c r="Y315" s="885"/>
      <c r="Z315" s="885"/>
    </row>
    <row r="316" spans="1:26" ht="16.5" customHeight="1" x14ac:dyDescent="0.2">
      <c r="A316" s="885"/>
      <c r="B316" s="885"/>
      <c r="C316" s="885"/>
      <c r="D316" s="885"/>
      <c r="E316" s="885"/>
      <c r="F316" s="885"/>
      <c r="G316" s="885"/>
      <c r="H316" s="885"/>
      <c r="I316" s="885"/>
      <c r="J316" s="885"/>
      <c r="K316" s="885"/>
      <c r="L316" s="885"/>
      <c r="M316" s="885"/>
      <c r="N316" s="885"/>
      <c r="O316" s="885"/>
      <c r="P316" s="885"/>
      <c r="Q316" s="885"/>
      <c r="R316" s="885"/>
      <c r="S316" s="885"/>
      <c r="T316" s="885"/>
      <c r="U316" s="885"/>
      <c r="V316" s="885"/>
      <c r="W316" s="885"/>
      <c r="X316" s="885"/>
      <c r="Y316" s="885"/>
      <c r="Z316" s="885"/>
    </row>
    <row r="317" spans="1:26" ht="16.5" customHeight="1" x14ac:dyDescent="0.2">
      <c r="A317" s="885"/>
      <c r="B317" s="885"/>
      <c r="C317" s="885"/>
      <c r="D317" s="885"/>
      <c r="E317" s="885"/>
      <c r="F317" s="885"/>
      <c r="G317" s="885"/>
      <c r="H317" s="885"/>
      <c r="I317" s="885"/>
      <c r="J317" s="885"/>
      <c r="K317" s="885"/>
      <c r="L317" s="885"/>
      <c r="M317" s="885"/>
      <c r="N317" s="885"/>
      <c r="O317" s="885"/>
      <c r="P317" s="885"/>
      <c r="Q317" s="885"/>
      <c r="R317" s="885"/>
      <c r="S317" s="885"/>
      <c r="T317" s="885"/>
      <c r="U317" s="885"/>
      <c r="V317" s="885"/>
      <c r="W317" s="885"/>
      <c r="X317" s="885"/>
      <c r="Y317" s="885"/>
      <c r="Z317" s="885"/>
    </row>
    <row r="318" spans="1:26" ht="16.5" customHeight="1" x14ac:dyDescent="0.2">
      <c r="A318" s="885"/>
      <c r="B318" s="885"/>
      <c r="C318" s="885"/>
      <c r="D318" s="885"/>
      <c r="E318" s="885"/>
      <c r="F318" s="885"/>
      <c r="G318" s="885"/>
      <c r="H318" s="885"/>
      <c r="I318" s="885"/>
      <c r="J318" s="885"/>
      <c r="K318" s="885"/>
      <c r="L318" s="885"/>
      <c r="M318" s="885"/>
      <c r="N318" s="885"/>
      <c r="O318" s="885"/>
      <c r="P318" s="885"/>
      <c r="Q318" s="885"/>
      <c r="R318" s="885"/>
      <c r="S318" s="885"/>
      <c r="T318" s="885"/>
      <c r="U318" s="885"/>
      <c r="V318" s="885"/>
      <c r="W318" s="885"/>
      <c r="X318" s="885"/>
      <c r="Y318" s="885"/>
      <c r="Z318" s="885"/>
    </row>
    <row r="319" spans="1:26" ht="16.5" customHeight="1" x14ac:dyDescent="0.2">
      <c r="A319" s="885"/>
      <c r="B319" s="885"/>
      <c r="C319" s="885"/>
      <c r="D319" s="885"/>
      <c r="E319" s="885"/>
      <c r="F319" s="885"/>
      <c r="G319" s="885"/>
      <c r="H319" s="885"/>
      <c r="I319" s="885"/>
      <c r="J319" s="885"/>
      <c r="K319" s="885"/>
      <c r="L319" s="885"/>
      <c r="M319" s="885"/>
      <c r="N319" s="885"/>
      <c r="O319" s="885"/>
      <c r="P319" s="885"/>
      <c r="Q319" s="885"/>
      <c r="R319" s="885"/>
      <c r="S319" s="885"/>
      <c r="T319" s="885"/>
      <c r="U319" s="885"/>
      <c r="V319" s="885"/>
      <c r="W319" s="885"/>
      <c r="X319" s="885"/>
      <c r="Y319" s="885"/>
      <c r="Z319" s="885"/>
    </row>
    <row r="320" spans="1:26" ht="16.5" customHeight="1" x14ac:dyDescent="0.2">
      <c r="A320" s="885"/>
      <c r="B320" s="885"/>
      <c r="C320" s="885"/>
      <c r="D320" s="885"/>
      <c r="E320" s="885"/>
      <c r="F320" s="885"/>
      <c r="G320" s="885"/>
      <c r="H320" s="885"/>
      <c r="I320" s="885"/>
      <c r="J320" s="885"/>
      <c r="K320" s="885"/>
      <c r="L320" s="885"/>
      <c r="M320" s="885"/>
      <c r="N320" s="885"/>
      <c r="O320" s="885"/>
      <c r="P320" s="885"/>
      <c r="Q320" s="885"/>
      <c r="R320" s="885"/>
      <c r="S320" s="885"/>
      <c r="T320" s="885"/>
      <c r="U320" s="885"/>
      <c r="V320" s="885"/>
      <c r="W320" s="885"/>
      <c r="X320" s="885"/>
      <c r="Y320" s="885"/>
      <c r="Z320" s="885"/>
    </row>
    <row r="321" spans="1:26" ht="16.5" customHeight="1" x14ac:dyDescent="0.2">
      <c r="A321" s="885"/>
      <c r="B321" s="885"/>
      <c r="C321" s="885"/>
      <c r="D321" s="885"/>
      <c r="E321" s="885"/>
      <c r="F321" s="885"/>
      <c r="G321" s="885"/>
      <c r="H321" s="885"/>
      <c r="I321" s="885"/>
      <c r="J321" s="885"/>
      <c r="K321" s="885"/>
      <c r="L321" s="885"/>
      <c r="M321" s="885"/>
      <c r="N321" s="885"/>
      <c r="O321" s="885"/>
      <c r="P321" s="885"/>
      <c r="Q321" s="885"/>
      <c r="R321" s="885"/>
      <c r="S321" s="885"/>
      <c r="T321" s="885"/>
      <c r="U321" s="885"/>
      <c r="V321" s="885"/>
      <c r="W321" s="885"/>
      <c r="X321" s="885"/>
      <c r="Y321" s="885"/>
      <c r="Z321" s="885"/>
    </row>
    <row r="322" spans="1:26" ht="16.5" customHeight="1" x14ac:dyDescent="0.2">
      <c r="A322" s="885"/>
      <c r="B322" s="885"/>
      <c r="C322" s="885"/>
      <c r="D322" s="885"/>
      <c r="E322" s="885"/>
      <c r="F322" s="885"/>
      <c r="G322" s="885"/>
      <c r="H322" s="885"/>
      <c r="I322" s="885"/>
      <c r="J322" s="885"/>
      <c r="K322" s="885"/>
      <c r="L322" s="885"/>
      <c r="M322" s="885"/>
      <c r="N322" s="885"/>
      <c r="O322" s="885"/>
      <c r="P322" s="885"/>
      <c r="Q322" s="885"/>
      <c r="R322" s="885"/>
      <c r="S322" s="885"/>
      <c r="T322" s="885"/>
      <c r="U322" s="885"/>
      <c r="V322" s="885"/>
      <c r="W322" s="885"/>
      <c r="X322" s="885"/>
      <c r="Y322" s="885"/>
      <c r="Z322" s="885"/>
    </row>
    <row r="323" spans="1:26" ht="16.5" customHeight="1" x14ac:dyDescent="0.2">
      <c r="A323" s="885"/>
      <c r="B323" s="885"/>
      <c r="C323" s="885"/>
      <c r="D323" s="885"/>
      <c r="E323" s="885"/>
      <c r="F323" s="885"/>
      <c r="G323" s="885"/>
      <c r="H323" s="885"/>
      <c r="I323" s="885"/>
      <c r="J323" s="885"/>
      <c r="K323" s="885"/>
      <c r="L323" s="885"/>
      <c r="M323" s="885"/>
      <c r="N323" s="885"/>
      <c r="O323" s="885"/>
      <c r="P323" s="885"/>
      <c r="Q323" s="885"/>
      <c r="R323" s="885"/>
      <c r="S323" s="885"/>
      <c r="T323" s="885"/>
      <c r="U323" s="885"/>
      <c r="V323" s="885"/>
      <c r="W323" s="885"/>
      <c r="X323" s="885"/>
      <c r="Y323" s="885"/>
      <c r="Z323" s="885"/>
    </row>
    <row r="324" spans="1:26" ht="16.5" customHeight="1" x14ac:dyDescent="0.2">
      <c r="A324" s="885"/>
      <c r="B324" s="885"/>
      <c r="C324" s="885"/>
      <c r="D324" s="885"/>
      <c r="E324" s="885"/>
      <c r="F324" s="885"/>
      <c r="G324" s="885"/>
      <c r="H324" s="885"/>
      <c r="I324" s="885"/>
      <c r="J324" s="885"/>
      <c r="K324" s="885"/>
      <c r="L324" s="885"/>
      <c r="M324" s="885"/>
      <c r="N324" s="885"/>
      <c r="O324" s="885"/>
      <c r="P324" s="885"/>
      <c r="Q324" s="885"/>
      <c r="R324" s="885"/>
      <c r="S324" s="885"/>
      <c r="T324" s="885"/>
      <c r="U324" s="885"/>
      <c r="V324" s="885"/>
      <c r="W324" s="885"/>
      <c r="X324" s="885"/>
      <c r="Y324" s="885"/>
      <c r="Z324" s="885"/>
    </row>
    <row r="325" spans="1:26" ht="16.5" customHeight="1" x14ac:dyDescent="0.2">
      <c r="A325" s="885"/>
      <c r="B325" s="885"/>
      <c r="C325" s="885"/>
      <c r="D325" s="885"/>
      <c r="E325" s="885"/>
      <c r="F325" s="885"/>
      <c r="G325" s="885"/>
      <c r="H325" s="885"/>
      <c r="I325" s="885"/>
      <c r="J325" s="885"/>
      <c r="K325" s="885"/>
      <c r="L325" s="885"/>
      <c r="M325" s="885"/>
      <c r="N325" s="885"/>
      <c r="O325" s="885"/>
      <c r="P325" s="885"/>
      <c r="Q325" s="885"/>
      <c r="R325" s="885"/>
      <c r="S325" s="885"/>
      <c r="T325" s="885"/>
      <c r="U325" s="885"/>
      <c r="V325" s="885"/>
      <c r="W325" s="885"/>
      <c r="X325" s="885"/>
      <c r="Y325" s="885"/>
      <c r="Z325" s="885"/>
    </row>
    <row r="326" spans="1:26" ht="16.5" customHeight="1" x14ac:dyDescent="0.2">
      <c r="A326" s="885"/>
      <c r="B326" s="885"/>
      <c r="C326" s="885"/>
      <c r="D326" s="885"/>
      <c r="E326" s="885"/>
      <c r="F326" s="885"/>
      <c r="G326" s="885"/>
      <c r="H326" s="885"/>
      <c r="I326" s="885"/>
      <c r="J326" s="885"/>
      <c r="K326" s="885"/>
      <c r="L326" s="885"/>
      <c r="M326" s="885"/>
      <c r="N326" s="885"/>
      <c r="O326" s="885"/>
      <c r="P326" s="885"/>
      <c r="Q326" s="885"/>
      <c r="R326" s="885"/>
      <c r="S326" s="885"/>
      <c r="T326" s="885"/>
      <c r="U326" s="885"/>
      <c r="V326" s="885"/>
      <c r="W326" s="885"/>
      <c r="X326" s="885"/>
      <c r="Y326" s="885"/>
      <c r="Z326" s="885"/>
    </row>
    <row r="327" spans="1:26" ht="16.5" customHeight="1" x14ac:dyDescent="0.2">
      <c r="A327" s="885"/>
      <c r="B327" s="885"/>
      <c r="C327" s="885"/>
      <c r="D327" s="885"/>
      <c r="E327" s="885"/>
      <c r="F327" s="885"/>
      <c r="G327" s="885"/>
      <c r="H327" s="885"/>
      <c r="I327" s="885"/>
      <c r="J327" s="885"/>
      <c r="K327" s="885"/>
      <c r="L327" s="885"/>
      <c r="M327" s="885"/>
      <c r="N327" s="885"/>
      <c r="O327" s="885"/>
      <c r="P327" s="885"/>
      <c r="Q327" s="885"/>
      <c r="R327" s="885"/>
      <c r="S327" s="885"/>
      <c r="T327" s="885"/>
      <c r="U327" s="885"/>
      <c r="V327" s="885"/>
      <c r="W327" s="885"/>
      <c r="X327" s="885"/>
      <c r="Y327" s="885"/>
      <c r="Z327" s="885"/>
    </row>
    <row r="328" spans="1:26" ht="16.5" customHeight="1" x14ac:dyDescent="0.2">
      <c r="A328" s="885"/>
      <c r="B328" s="885"/>
      <c r="C328" s="885"/>
      <c r="D328" s="885"/>
      <c r="E328" s="885"/>
      <c r="F328" s="885"/>
      <c r="G328" s="885"/>
      <c r="H328" s="885"/>
      <c r="I328" s="885"/>
      <c r="J328" s="885"/>
      <c r="K328" s="885"/>
      <c r="L328" s="885"/>
      <c r="M328" s="885"/>
      <c r="N328" s="885"/>
      <c r="O328" s="885"/>
      <c r="P328" s="885"/>
      <c r="Q328" s="885"/>
      <c r="R328" s="885"/>
      <c r="S328" s="885"/>
      <c r="T328" s="885"/>
      <c r="U328" s="885"/>
      <c r="V328" s="885"/>
      <c r="W328" s="885"/>
      <c r="X328" s="885"/>
      <c r="Y328" s="885"/>
      <c r="Z328" s="885"/>
    </row>
    <row r="329" spans="1:26" ht="16.5" customHeight="1" x14ac:dyDescent="0.2">
      <c r="A329" s="885"/>
      <c r="B329" s="885"/>
      <c r="C329" s="885"/>
      <c r="D329" s="885"/>
      <c r="E329" s="885"/>
      <c r="F329" s="885"/>
      <c r="G329" s="885"/>
      <c r="H329" s="885"/>
      <c r="I329" s="885"/>
      <c r="J329" s="885"/>
      <c r="K329" s="885"/>
      <c r="L329" s="885"/>
      <c r="M329" s="885"/>
      <c r="N329" s="885"/>
      <c r="O329" s="885"/>
      <c r="P329" s="885"/>
      <c r="Q329" s="885"/>
      <c r="R329" s="885"/>
      <c r="S329" s="885"/>
      <c r="T329" s="885"/>
      <c r="U329" s="885"/>
      <c r="V329" s="885"/>
      <c r="W329" s="885"/>
      <c r="X329" s="885"/>
      <c r="Y329" s="885"/>
      <c r="Z329" s="885"/>
    </row>
    <row r="330" spans="1:26" ht="16.5" customHeight="1" x14ac:dyDescent="0.2">
      <c r="A330" s="885"/>
      <c r="B330" s="885"/>
      <c r="C330" s="885"/>
      <c r="D330" s="885"/>
      <c r="E330" s="885"/>
      <c r="F330" s="885"/>
      <c r="G330" s="885"/>
      <c r="H330" s="885"/>
      <c r="I330" s="885"/>
      <c r="J330" s="885"/>
      <c r="K330" s="885"/>
      <c r="L330" s="885"/>
      <c r="M330" s="885"/>
      <c r="N330" s="885"/>
      <c r="O330" s="885"/>
      <c r="P330" s="885"/>
      <c r="Q330" s="885"/>
      <c r="R330" s="885"/>
      <c r="S330" s="885"/>
      <c r="T330" s="885"/>
      <c r="U330" s="885"/>
      <c r="V330" s="885"/>
      <c r="W330" s="885"/>
      <c r="X330" s="885"/>
      <c r="Y330" s="885"/>
      <c r="Z330" s="885"/>
    </row>
    <row r="331" spans="1:26" ht="16.5" customHeight="1" x14ac:dyDescent="0.2">
      <c r="A331" s="885"/>
      <c r="B331" s="885"/>
      <c r="C331" s="885"/>
      <c r="D331" s="885"/>
      <c r="E331" s="885"/>
      <c r="F331" s="885"/>
      <c r="G331" s="885"/>
      <c r="H331" s="885"/>
      <c r="I331" s="885"/>
      <c r="J331" s="885"/>
      <c r="K331" s="885"/>
      <c r="L331" s="885"/>
      <c r="M331" s="885"/>
      <c r="N331" s="885"/>
      <c r="O331" s="885"/>
      <c r="P331" s="885"/>
      <c r="Q331" s="885"/>
      <c r="R331" s="885"/>
      <c r="S331" s="885"/>
      <c r="T331" s="885"/>
      <c r="U331" s="885"/>
      <c r="V331" s="885"/>
      <c r="W331" s="885"/>
      <c r="X331" s="885"/>
      <c r="Y331" s="885"/>
      <c r="Z331" s="885"/>
    </row>
    <row r="332" spans="1:26" ht="16.5" customHeight="1" x14ac:dyDescent="0.2">
      <c r="A332" s="885"/>
      <c r="B332" s="885"/>
      <c r="C332" s="885"/>
      <c r="D332" s="885"/>
      <c r="E332" s="885"/>
      <c r="F332" s="885"/>
      <c r="G332" s="885"/>
      <c r="H332" s="885"/>
      <c r="I332" s="885"/>
      <c r="J332" s="885"/>
      <c r="K332" s="885"/>
      <c r="L332" s="885"/>
      <c r="M332" s="885"/>
      <c r="N332" s="885"/>
      <c r="O332" s="885"/>
      <c r="P332" s="885"/>
      <c r="Q332" s="885"/>
      <c r="R332" s="885"/>
      <c r="S332" s="885"/>
      <c r="T332" s="885"/>
      <c r="U332" s="885"/>
      <c r="V332" s="885"/>
      <c r="W332" s="885"/>
      <c r="X332" s="885"/>
      <c r="Y332" s="885"/>
      <c r="Z332" s="885"/>
    </row>
    <row r="333" spans="1:26" ht="16.5" customHeight="1" x14ac:dyDescent="0.2">
      <c r="A333" s="885"/>
      <c r="B333" s="885"/>
      <c r="C333" s="885"/>
      <c r="D333" s="885"/>
      <c r="E333" s="885"/>
      <c r="F333" s="885"/>
      <c r="G333" s="885"/>
      <c r="H333" s="885"/>
      <c r="I333" s="885"/>
      <c r="J333" s="885"/>
      <c r="K333" s="885"/>
      <c r="L333" s="885"/>
      <c r="M333" s="885"/>
      <c r="N333" s="885"/>
      <c r="O333" s="885"/>
      <c r="P333" s="885"/>
      <c r="Q333" s="885"/>
      <c r="R333" s="885"/>
      <c r="S333" s="885"/>
      <c r="T333" s="885"/>
      <c r="U333" s="885"/>
      <c r="V333" s="885"/>
      <c r="W333" s="885"/>
      <c r="X333" s="885"/>
      <c r="Y333" s="885"/>
      <c r="Z333" s="885"/>
    </row>
    <row r="334" spans="1:26" ht="16.5" customHeight="1" x14ac:dyDescent="0.2">
      <c r="A334" s="885"/>
      <c r="B334" s="885"/>
      <c r="C334" s="885"/>
      <c r="D334" s="885"/>
      <c r="E334" s="885"/>
      <c r="F334" s="885"/>
      <c r="G334" s="885"/>
      <c r="H334" s="885"/>
      <c r="I334" s="885"/>
      <c r="J334" s="885"/>
      <c r="K334" s="885"/>
      <c r="L334" s="885"/>
      <c r="M334" s="885"/>
      <c r="N334" s="885"/>
      <c r="O334" s="885"/>
      <c r="P334" s="885"/>
      <c r="Q334" s="885"/>
      <c r="R334" s="885"/>
      <c r="S334" s="885"/>
      <c r="T334" s="885"/>
      <c r="U334" s="885"/>
      <c r="V334" s="885"/>
      <c r="W334" s="885"/>
      <c r="X334" s="885"/>
      <c r="Y334" s="885"/>
      <c r="Z334" s="885"/>
    </row>
    <row r="335" spans="1:26" ht="16.5" customHeight="1" x14ac:dyDescent="0.2">
      <c r="A335" s="885"/>
      <c r="B335" s="885"/>
      <c r="C335" s="885"/>
      <c r="D335" s="885"/>
      <c r="E335" s="885"/>
      <c r="F335" s="885"/>
      <c r="G335" s="885"/>
      <c r="H335" s="885"/>
      <c r="I335" s="885"/>
      <c r="J335" s="885"/>
      <c r="K335" s="885"/>
      <c r="L335" s="885"/>
      <c r="M335" s="885"/>
      <c r="N335" s="885"/>
      <c r="O335" s="885"/>
      <c r="P335" s="885"/>
      <c r="Q335" s="885"/>
      <c r="R335" s="885"/>
      <c r="S335" s="885"/>
      <c r="T335" s="885"/>
      <c r="U335" s="885"/>
      <c r="V335" s="885"/>
      <c r="W335" s="885"/>
      <c r="X335" s="885"/>
      <c r="Y335" s="885"/>
      <c r="Z335" s="885"/>
    </row>
    <row r="336" spans="1:26" ht="16.5" customHeight="1" x14ac:dyDescent="0.2">
      <c r="A336" s="885"/>
      <c r="B336" s="885"/>
      <c r="C336" s="885"/>
      <c r="D336" s="885"/>
      <c r="E336" s="885"/>
      <c r="F336" s="885"/>
      <c r="G336" s="885"/>
      <c r="H336" s="885"/>
      <c r="I336" s="885"/>
      <c r="J336" s="885"/>
      <c r="K336" s="885"/>
      <c r="L336" s="885"/>
      <c r="M336" s="885"/>
      <c r="N336" s="885"/>
      <c r="O336" s="885"/>
      <c r="P336" s="885"/>
      <c r="Q336" s="885"/>
      <c r="R336" s="885"/>
      <c r="S336" s="885"/>
      <c r="T336" s="885"/>
      <c r="U336" s="885"/>
      <c r="V336" s="885"/>
      <c r="W336" s="885"/>
      <c r="X336" s="885"/>
      <c r="Y336" s="885"/>
      <c r="Z336" s="885"/>
    </row>
    <row r="337" spans="1:26" ht="16.5" customHeight="1" x14ac:dyDescent="0.2">
      <c r="A337" s="885"/>
      <c r="B337" s="885"/>
      <c r="C337" s="885"/>
      <c r="D337" s="885"/>
      <c r="E337" s="885"/>
      <c r="F337" s="885"/>
      <c r="G337" s="885"/>
      <c r="H337" s="885"/>
      <c r="I337" s="885"/>
      <c r="J337" s="885"/>
      <c r="K337" s="885"/>
      <c r="L337" s="885"/>
      <c r="M337" s="885"/>
      <c r="N337" s="885"/>
      <c r="O337" s="885"/>
      <c r="P337" s="885"/>
      <c r="Q337" s="885"/>
      <c r="R337" s="885"/>
      <c r="S337" s="885"/>
      <c r="T337" s="885"/>
      <c r="U337" s="885"/>
      <c r="V337" s="885"/>
      <c r="W337" s="885"/>
      <c r="X337" s="885"/>
      <c r="Y337" s="885"/>
      <c r="Z337" s="885"/>
    </row>
    <row r="338" spans="1:26" ht="16.5" customHeight="1" x14ac:dyDescent="0.2">
      <c r="A338" s="885"/>
      <c r="B338" s="885"/>
      <c r="C338" s="885"/>
      <c r="D338" s="885"/>
      <c r="E338" s="885"/>
      <c r="F338" s="885"/>
      <c r="G338" s="885"/>
      <c r="H338" s="885"/>
      <c r="I338" s="885"/>
      <c r="J338" s="885"/>
      <c r="K338" s="885"/>
      <c r="L338" s="885"/>
      <c r="M338" s="885"/>
      <c r="N338" s="885"/>
      <c r="O338" s="885"/>
      <c r="P338" s="885"/>
      <c r="Q338" s="885"/>
      <c r="R338" s="885"/>
      <c r="S338" s="885"/>
      <c r="T338" s="885"/>
      <c r="U338" s="885"/>
      <c r="V338" s="885"/>
      <c r="W338" s="885"/>
      <c r="X338" s="885"/>
      <c r="Y338" s="885"/>
      <c r="Z338" s="885"/>
    </row>
    <row r="339" spans="1:26" ht="16.5" customHeight="1" x14ac:dyDescent="0.2">
      <c r="A339" s="885"/>
      <c r="B339" s="885"/>
      <c r="C339" s="885"/>
      <c r="D339" s="885"/>
      <c r="E339" s="885"/>
      <c r="F339" s="885"/>
      <c r="G339" s="885"/>
      <c r="H339" s="885"/>
      <c r="I339" s="885"/>
      <c r="J339" s="885"/>
      <c r="K339" s="885"/>
      <c r="L339" s="885"/>
      <c r="M339" s="885"/>
      <c r="N339" s="885"/>
      <c r="O339" s="885"/>
      <c r="P339" s="885"/>
      <c r="Q339" s="885"/>
      <c r="R339" s="885"/>
      <c r="S339" s="885"/>
      <c r="T339" s="885"/>
      <c r="U339" s="885"/>
      <c r="V339" s="885"/>
      <c r="W339" s="885"/>
      <c r="X339" s="885"/>
      <c r="Y339" s="885"/>
      <c r="Z339" s="885"/>
    </row>
    <row r="340" spans="1:26" ht="16.5" customHeight="1" x14ac:dyDescent="0.2">
      <c r="A340" s="885"/>
      <c r="B340" s="885"/>
      <c r="C340" s="885"/>
      <c r="D340" s="885"/>
      <c r="E340" s="885"/>
      <c r="F340" s="885"/>
      <c r="G340" s="885"/>
      <c r="H340" s="885"/>
      <c r="I340" s="885"/>
      <c r="J340" s="885"/>
      <c r="K340" s="885"/>
      <c r="L340" s="885"/>
      <c r="M340" s="885"/>
      <c r="N340" s="885"/>
      <c r="O340" s="885"/>
      <c r="P340" s="885"/>
      <c r="Q340" s="885"/>
      <c r="R340" s="885"/>
      <c r="S340" s="885"/>
      <c r="T340" s="885"/>
      <c r="U340" s="885"/>
      <c r="V340" s="885"/>
      <c r="W340" s="885"/>
      <c r="X340" s="885"/>
      <c r="Y340" s="885"/>
      <c r="Z340" s="885"/>
    </row>
    <row r="341" spans="1:26" ht="16.5" customHeight="1" x14ac:dyDescent="0.2">
      <c r="A341" s="885"/>
      <c r="B341" s="885"/>
      <c r="C341" s="885"/>
      <c r="D341" s="885"/>
      <c r="E341" s="885"/>
      <c r="F341" s="885"/>
      <c r="G341" s="885"/>
      <c r="H341" s="885"/>
      <c r="I341" s="885"/>
      <c r="J341" s="885"/>
      <c r="K341" s="885"/>
      <c r="L341" s="885"/>
      <c r="M341" s="885"/>
      <c r="N341" s="885"/>
      <c r="O341" s="885"/>
      <c r="P341" s="885"/>
      <c r="Q341" s="885"/>
      <c r="R341" s="885"/>
      <c r="S341" s="885"/>
      <c r="T341" s="885"/>
      <c r="U341" s="885"/>
      <c r="V341" s="885"/>
      <c r="W341" s="885"/>
      <c r="X341" s="885"/>
      <c r="Y341" s="885"/>
      <c r="Z341" s="885"/>
    </row>
    <row r="342" spans="1:26" ht="16.5" customHeight="1" x14ac:dyDescent="0.2">
      <c r="A342" s="885"/>
      <c r="B342" s="885"/>
      <c r="C342" s="885"/>
      <c r="D342" s="885"/>
      <c r="E342" s="885"/>
      <c r="F342" s="885"/>
      <c r="G342" s="885"/>
      <c r="H342" s="885"/>
      <c r="I342" s="885"/>
      <c r="J342" s="885"/>
      <c r="K342" s="885"/>
      <c r="L342" s="885"/>
      <c r="M342" s="885"/>
      <c r="N342" s="885"/>
      <c r="O342" s="885"/>
      <c r="P342" s="885"/>
      <c r="Q342" s="885"/>
      <c r="R342" s="885"/>
      <c r="S342" s="885"/>
      <c r="T342" s="885"/>
      <c r="U342" s="885"/>
      <c r="V342" s="885"/>
      <c r="W342" s="885"/>
      <c r="X342" s="885"/>
      <c r="Y342" s="885"/>
      <c r="Z342" s="885"/>
    </row>
    <row r="343" spans="1:26" ht="16.5" customHeight="1" x14ac:dyDescent="0.2">
      <c r="A343" s="885"/>
      <c r="B343" s="885"/>
      <c r="C343" s="885"/>
      <c r="D343" s="885"/>
      <c r="E343" s="885"/>
      <c r="F343" s="885"/>
      <c r="G343" s="885"/>
      <c r="H343" s="885"/>
      <c r="I343" s="885"/>
      <c r="J343" s="885"/>
      <c r="K343" s="885"/>
      <c r="L343" s="885"/>
      <c r="M343" s="885"/>
      <c r="N343" s="885"/>
      <c r="O343" s="885"/>
      <c r="P343" s="885"/>
      <c r="Q343" s="885"/>
      <c r="R343" s="885"/>
      <c r="S343" s="885"/>
      <c r="T343" s="885"/>
      <c r="U343" s="885"/>
      <c r="V343" s="885"/>
      <c r="W343" s="885"/>
      <c r="X343" s="885"/>
      <c r="Y343" s="885"/>
      <c r="Z343" s="885"/>
    </row>
    <row r="344" spans="1:26" ht="16.5" customHeight="1" x14ac:dyDescent="0.2">
      <c r="A344" s="885"/>
      <c r="B344" s="885"/>
      <c r="C344" s="885"/>
      <c r="D344" s="885"/>
      <c r="E344" s="885"/>
      <c r="F344" s="885"/>
      <c r="G344" s="885"/>
      <c r="H344" s="885"/>
      <c r="I344" s="885"/>
      <c r="J344" s="885"/>
      <c r="K344" s="885"/>
      <c r="L344" s="885"/>
      <c r="M344" s="885"/>
      <c r="N344" s="885"/>
      <c r="O344" s="885"/>
      <c r="P344" s="885"/>
      <c r="Q344" s="885"/>
      <c r="R344" s="885"/>
      <c r="S344" s="885"/>
      <c r="T344" s="885"/>
      <c r="U344" s="885"/>
      <c r="V344" s="885"/>
      <c r="W344" s="885"/>
      <c r="X344" s="885"/>
      <c r="Y344" s="885"/>
      <c r="Z344" s="885"/>
    </row>
    <row r="345" spans="1:26" ht="16.5" customHeight="1" x14ac:dyDescent="0.2">
      <c r="A345" s="885"/>
      <c r="B345" s="885"/>
      <c r="C345" s="885"/>
      <c r="D345" s="885"/>
      <c r="E345" s="885"/>
      <c r="F345" s="885"/>
      <c r="G345" s="885"/>
      <c r="H345" s="885"/>
      <c r="I345" s="885"/>
      <c r="J345" s="885"/>
      <c r="K345" s="885"/>
      <c r="L345" s="885"/>
      <c r="M345" s="885"/>
      <c r="N345" s="885"/>
      <c r="O345" s="885"/>
      <c r="P345" s="885"/>
      <c r="Q345" s="885"/>
      <c r="R345" s="885"/>
      <c r="S345" s="885"/>
      <c r="T345" s="885"/>
      <c r="U345" s="885"/>
      <c r="V345" s="885"/>
      <c r="W345" s="885"/>
      <c r="X345" s="885"/>
      <c r="Y345" s="885"/>
      <c r="Z345" s="885"/>
    </row>
    <row r="346" spans="1:26" ht="16.5" customHeight="1" x14ac:dyDescent="0.2">
      <c r="A346" s="885"/>
      <c r="B346" s="885"/>
      <c r="C346" s="885"/>
      <c r="D346" s="885"/>
      <c r="E346" s="885"/>
      <c r="F346" s="885"/>
      <c r="G346" s="885"/>
      <c r="H346" s="885"/>
      <c r="I346" s="885"/>
      <c r="J346" s="885"/>
      <c r="K346" s="885"/>
      <c r="L346" s="885"/>
      <c r="M346" s="885"/>
      <c r="N346" s="885"/>
      <c r="O346" s="885"/>
      <c r="P346" s="885"/>
      <c r="Q346" s="885"/>
      <c r="R346" s="885"/>
      <c r="S346" s="885"/>
      <c r="T346" s="885"/>
      <c r="U346" s="885"/>
      <c r="V346" s="885"/>
      <c r="W346" s="885"/>
      <c r="X346" s="885"/>
      <c r="Y346" s="885"/>
      <c r="Z346" s="885"/>
    </row>
    <row r="347" spans="1:26" ht="16.5" customHeight="1" x14ac:dyDescent="0.2">
      <c r="A347" s="885"/>
      <c r="B347" s="885"/>
      <c r="C347" s="885"/>
      <c r="D347" s="885"/>
      <c r="E347" s="885"/>
      <c r="F347" s="885"/>
      <c r="G347" s="885"/>
      <c r="H347" s="885"/>
      <c r="I347" s="885"/>
      <c r="J347" s="885"/>
      <c r="K347" s="885"/>
      <c r="L347" s="885"/>
      <c r="M347" s="885"/>
      <c r="N347" s="885"/>
      <c r="O347" s="885"/>
      <c r="P347" s="885"/>
      <c r="Q347" s="885"/>
      <c r="R347" s="885"/>
      <c r="S347" s="885"/>
      <c r="T347" s="885"/>
      <c r="U347" s="885"/>
      <c r="V347" s="885"/>
      <c r="W347" s="885"/>
      <c r="X347" s="885"/>
      <c r="Y347" s="885"/>
      <c r="Z347" s="885"/>
    </row>
    <row r="348" spans="1:26" ht="16.5" customHeight="1" x14ac:dyDescent="0.2">
      <c r="A348" s="885"/>
      <c r="B348" s="885"/>
      <c r="C348" s="885"/>
      <c r="D348" s="885"/>
      <c r="E348" s="885"/>
      <c r="F348" s="885"/>
      <c r="G348" s="885"/>
      <c r="H348" s="885"/>
      <c r="I348" s="885"/>
      <c r="J348" s="885"/>
      <c r="K348" s="885"/>
      <c r="L348" s="885"/>
      <c r="M348" s="885"/>
      <c r="N348" s="885"/>
      <c r="O348" s="885"/>
      <c r="P348" s="885"/>
      <c r="Q348" s="885"/>
      <c r="R348" s="885"/>
      <c r="S348" s="885"/>
      <c r="T348" s="885"/>
      <c r="U348" s="885"/>
      <c r="V348" s="885"/>
      <c r="W348" s="885"/>
      <c r="X348" s="885"/>
      <c r="Y348" s="885"/>
      <c r="Z348" s="885"/>
    </row>
    <row r="349" spans="1:26" ht="16.5" customHeight="1" x14ac:dyDescent="0.2">
      <c r="A349" s="885"/>
      <c r="B349" s="885"/>
      <c r="C349" s="885"/>
      <c r="D349" s="885"/>
      <c r="E349" s="885"/>
      <c r="F349" s="885"/>
      <c r="G349" s="885"/>
      <c r="H349" s="885"/>
      <c r="I349" s="885"/>
      <c r="J349" s="885"/>
      <c r="K349" s="885"/>
      <c r="L349" s="885"/>
      <c r="M349" s="885"/>
      <c r="N349" s="885"/>
      <c r="O349" s="885"/>
      <c r="P349" s="885"/>
      <c r="Q349" s="885"/>
      <c r="R349" s="885"/>
      <c r="S349" s="885"/>
      <c r="T349" s="885"/>
      <c r="U349" s="885"/>
      <c r="V349" s="885"/>
      <c r="W349" s="885"/>
      <c r="X349" s="885"/>
      <c r="Y349" s="885"/>
      <c r="Z349" s="885"/>
    </row>
    <row r="350" spans="1:26" ht="16.5" customHeight="1" x14ac:dyDescent="0.2">
      <c r="A350" s="885"/>
      <c r="B350" s="885"/>
      <c r="C350" s="885"/>
      <c r="D350" s="885"/>
      <c r="E350" s="885"/>
      <c r="F350" s="885"/>
      <c r="G350" s="885"/>
      <c r="H350" s="885"/>
      <c r="I350" s="885"/>
      <c r="J350" s="885"/>
      <c r="K350" s="885"/>
      <c r="L350" s="885"/>
      <c r="M350" s="885"/>
      <c r="N350" s="885"/>
      <c r="O350" s="885"/>
      <c r="P350" s="885"/>
      <c r="Q350" s="885"/>
      <c r="R350" s="885"/>
      <c r="S350" s="885"/>
      <c r="T350" s="885"/>
      <c r="U350" s="885"/>
      <c r="V350" s="885"/>
      <c r="W350" s="885"/>
      <c r="X350" s="885"/>
      <c r="Y350" s="885"/>
      <c r="Z350" s="885"/>
    </row>
    <row r="351" spans="1:26" ht="16.5" customHeight="1" x14ac:dyDescent="0.2">
      <c r="A351" s="885"/>
      <c r="B351" s="885"/>
      <c r="C351" s="885"/>
      <c r="D351" s="885"/>
      <c r="E351" s="885"/>
      <c r="F351" s="885"/>
      <c r="G351" s="885"/>
      <c r="H351" s="885"/>
      <c r="I351" s="885"/>
      <c r="J351" s="885"/>
      <c r="K351" s="885"/>
      <c r="L351" s="885"/>
      <c r="M351" s="885"/>
      <c r="N351" s="885"/>
      <c r="O351" s="885"/>
      <c r="P351" s="885"/>
      <c r="Q351" s="885"/>
      <c r="R351" s="885"/>
      <c r="S351" s="885"/>
      <c r="T351" s="885"/>
      <c r="U351" s="885"/>
      <c r="V351" s="885"/>
      <c r="W351" s="885"/>
      <c r="X351" s="885"/>
      <c r="Y351" s="885"/>
      <c r="Z351" s="885"/>
    </row>
    <row r="352" spans="1:26" ht="16.5" customHeight="1" x14ac:dyDescent="0.2">
      <c r="A352" s="885"/>
      <c r="B352" s="885"/>
      <c r="C352" s="885"/>
      <c r="D352" s="885"/>
      <c r="E352" s="885"/>
      <c r="F352" s="885"/>
      <c r="G352" s="885"/>
      <c r="H352" s="885"/>
      <c r="I352" s="885"/>
      <c r="J352" s="885"/>
      <c r="K352" s="885"/>
      <c r="L352" s="885"/>
      <c r="M352" s="885"/>
      <c r="N352" s="885"/>
      <c r="O352" s="885"/>
      <c r="P352" s="885"/>
      <c r="Q352" s="885"/>
      <c r="R352" s="885"/>
      <c r="S352" s="885"/>
      <c r="T352" s="885"/>
      <c r="U352" s="885"/>
      <c r="V352" s="885"/>
      <c r="W352" s="885"/>
      <c r="X352" s="885"/>
      <c r="Y352" s="885"/>
      <c r="Z352" s="885"/>
    </row>
    <row r="353" spans="1:26" ht="16.5" customHeight="1" x14ac:dyDescent="0.2">
      <c r="A353" s="885"/>
      <c r="B353" s="885"/>
      <c r="C353" s="885"/>
      <c r="D353" s="885"/>
      <c r="E353" s="885"/>
      <c r="F353" s="885"/>
      <c r="G353" s="885"/>
      <c r="H353" s="885"/>
      <c r="I353" s="885"/>
      <c r="J353" s="885"/>
      <c r="K353" s="885"/>
      <c r="L353" s="885"/>
      <c r="M353" s="885"/>
      <c r="N353" s="885"/>
      <c r="O353" s="885"/>
      <c r="P353" s="885"/>
      <c r="Q353" s="885"/>
      <c r="R353" s="885"/>
      <c r="S353" s="885"/>
      <c r="T353" s="885"/>
      <c r="U353" s="885"/>
      <c r="V353" s="885"/>
      <c r="W353" s="885"/>
      <c r="X353" s="885"/>
      <c r="Y353" s="885"/>
      <c r="Z353" s="885"/>
    </row>
    <row r="354" spans="1:26" ht="16.5" customHeight="1" x14ac:dyDescent="0.2">
      <c r="A354" s="885"/>
      <c r="B354" s="885"/>
      <c r="C354" s="885"/>
      <c r="D354" s="885"/>
      <c r="E354" s="885"/>
      <c r="F354" s="885"/>
      <c r="G354" s="885"/>
      <c r="H354" s="885"/>
      <c r="I354" s="885"/>
      <c r="J354" s="885"/>
      <c r="K354" s="885"/>
      <c r="L354" s="885"/>
      <c r="M354" s="885"/>
      <c r="N354" s="885"/>
      <c r="O354" s="885"/>
      <c r="P354" s="885"/>
      <c r="Q354" s="885"/>
      <c r="R354" s="885"/>
      <c r="S354" s="885"/>
      <c r="T354" s="885"/>
      <c r="U354" s="885"/>
      <c r="V354" s="885"/>
      <c r="W354" s="885"/>
      <c r="X354" s="885"/>
      <c r="Y354" s="885"/>
      <c r="Z354" s="885"/>
    </row>
    <row r="355" spans="1:26" ht="16.5" customHeight="1" x14ac:dyDescent="0.2">
      <c r="A355" s="885"/>
      <c r="B355" s="885"/>
      <c r="C355" s="885"/>
      <c r="D355" s="885"/>
      <c r="E355" s="885"/>
      <c r="F355" s="885"/>
      <c r="G355" s="885"/>
      <c r="H355" s="885"/>
      <c r="I355" s="885"/>
      <c r="J355" s="885"/>
      <c r="K355" s="885"/>
      <c r="L355" s="885"/>
      <c r="M355" s="885"/>
      <c r="N355" s="885"/>
      <c r="O355" s="885"/>
      <c r="P355" s="885"/>
      <c r="Q355" s="885"/>
      <c r="R355" s="885"/>
      <c r="S355" s="885"/>
      <c r="T355" s="885"/>
      <c r="U355" s="885"/>
      <c r="V355" s="885"/>
      <c r="W355" s="885"/>
      <c r="X355" s="885"/>
      <c r="Y355" s="885"/>
      <c r="Z355" s="885"/>
    </row>
    <row r="356" spans="1:26" ht="16.5" customHeight="1" x14ac:dyDescent="0.2">
      <c r="A356" s="885"/>
      <c r="B356" s="885"/>
      <c r="C356" s="885"/>
      <c r="D356" s="885"/>
      <c r="E356" s="885"/>
      <c r="F356" s="885"/>
      <c r="G356" s="885"/>
      <c r="H356" s="885"/>
      <c r="I356" s="885"/>
      <c r="J356" s="885"/>
      <c r="K356" s="885"/>
      <c r="L356" s="885"/>
      <c r="M356" s="885"/>
      <c r="N356" s="885"/>
      <c r="O356" s="885"/>
      <c r="P356" s="885"/>
      <c r="Q356" s="885"/>
      <c r="R356" s="885"/>
      <c r="S356" s="885"/>
      <c r="T356" s="885"/>
      <c r="U356" s="885"/>
      <c r="V356" s="885"/>
      <c r="W356" s="885"/>
      <c r="X356" s="885"/>
      <c r="Y356" s="885"/>
      <c r="Z356" s="885"/>
    </row>
    <row r="357" spans="1:26" ht="16.5" customHeight="1" x14ac:dyDescent="0.2">
      <c r="A357" s="885"/>
      <c r="B357" s="885"/>
      <c r="C357" s="885"/>
      <c r="D357" s="885"/>
      <c r="E357" s="885"/>
      <c r="F357" s="885"/>
      <c r="G357" s="885"/>
      <c r="H357" s="885"/>
      <c r="I357" s="885"/>
      <c r="J357" s="885"/>
      <c r="K357" s="885"/>
      <c r="L357" s="885"/>
      <c r="M357" s="885"/>
      <c r="N357" s="885"/>
      <c r="O357" s="885"/>
      <c r="P357" s="885"/>
      <c r="Q357" s="885"/>
      <c r="R357" s="885"/>
      <c r="S357" s="885"/>
      <c r="T357" s="885"/>
      <c r="U357" s="885"/>
      <c r="V357" s="885"/>
      <c r="W357" s="885"/>
      <c r="X357" s="885"/>
      <c r="Y357" s="885"/>
      <c r="Z357" s="885"/>
    </row>
    <row r="358" spans="1:26" ht="16.5" customHeight="1" x14ac:dyDescent="0.2">
      <c r="A358" s="885"/>
      <c r="B358" s="885"/>
      <c r="C358" s="885"/>
      <c r="D358" s="885"/>
      <c r="E358" s="885"/>
      <c r="F358" s="885"/>
      <c r="G358" s="885"/>
      <c r="H358" s="885"/>
      <c r="I358" s="885"/>
      <c r="J358" s="885"/>
      <c r="K358" s="885"/>
      <c r="L358" s="885"/>
      <c r="M358" s="885"/>
      <c r="N358" s="885"/>
      <c r="O358" s="885"/>
      <c r="P358" s="885"/>
      <c r="Q358" s="885"/>
      <c r="R358" s="885"/>
      <c r="S358" s="885"/>
      <c r="T358" s="885"/>
      <c r="U358" s="885"/>
      <c r="V358" s="885"/>
      <c r="W358" s="885"/>
      <c r="X358" s="885"/>
      <c r="Y358" s="885"/>
      <c r="Z358" s="885"/>
    </row>
    <row r="359" spans="1:26" ht="16.5" customHeight="1" x14ac:dyDescent="0.2">
      <c r="A359" s="885"/>
      <c r="B359" s="885"/>
      <c r="C359" s="885"/>
      <c r="D359" s="885"/>
      <c r="E359" s="885"/>
      <c r="F359" s="885"/>
      <c r="G359" s="885"/>
      <c r="H359" s="885"/>
      <c r="I359" s="885"/>
      <c r="J359" s="885"/>
      <c r="K359" s="885"/>
      <c r="L359" s="885"/>
      <c r="M359" s="885"/>
      <c r="N359" s="885"/>
      <c r="O359" s="885"/>
      <c r="P359" s="885"/>
      <c r="Q359" s="885"/>
      <c r="R359" s="885"/>
      <c r="S359" s="885"/>
      <c r="T359" s="885"/>
      <c r="U359" s="885"/>
      <c r="V359" s="885"/>
      <c r="W359" s="885"/>
      <c r="X359" s="885"/>
      <c r="Y359" s="885"/>
      <c r="Z359" s="885"/>
    </row>
    <row r="360" spans="1:26" ht="16.5" customHeight="1" x14ac:dyDescent="0.2">
      <c r="A360" s="885"/>
      <c r="B360" s="885"/>
      <c r="C360" s="885"/>
      <c r="D360" s="885"/>
      <c r="E360" s="885"/>
      <c r="F360" s="885"/>
      <c r="G360" s="885"/>
      <c r="H360" s="885"/>
      <c r="I360" s="885"/>
      <c r="J360" s="885"/>
      <c r="K360" s="885"/>
      <c r="L360" s="885"/>
      <c r="M360" s="885"/>
      <c r="N360" s="885"/>
      <c r="O360" s="885"/>
      <c r="P360" s="885"/>
      <c r="Q360" s="885"/>
      <c r="R360" s="885"/>
      <c r="S360" s="885"/>
      <c r="T360" s="885"/>
      <c r="U360" s="885"/>
      <c r="V360" s="885"/>
      <c r="W360" s="885"/>
      <c r="X360" s="885"/>
      <c r="Y360" s="885"/>
      <c r="Z360" s="885"/>
    </row>
    <row r="361" spans="1:26" ht="16.5" customHeight="1" x14ac:dyDescent="0.2">
      <c r="A361" s="885"/>
      <c r="B361" s="885"/>
      <c r="C361" s="885"/>
      <c r="D361" s="885"/>
      <c r="E361" s="885"/>
      <c r="F361" s="885"/>
      <c r="G361" s="885"/>
      <c r="H361" s="885"/>
      <c r="I361" s="885"/>
      <c r="J361" s="885"/>
      <c r="K361" s="885"/>
      <c r="L361" s="885"/>
      <c r="M361" s="885"/>
      <c r="N361" s="885"/>
      <c r="O361" s="885"/>
      <c r="P361" s="885"/>
      <c r="Q361" s="885"/>
      <c r="R361" s="885"/>
      <c r="S361" s="885"/>
      <c r="T361" s="885"/>
      <c r="U361" s="885"/>
      <c r="V361" s="885"/>
      <c r="W361" s="885"/>
      <c r="X361" s="885"/>
      <c r="Y361" s="885"/>
      <c r="Z361" s="885"/>
    </row>
    <row r="362" spans="1:26" ht="16.5" customHeight="1" x14ac:dyDescent="0.2">
      <c r="A362" s="885"/>
      <c r="B362" s="885"/>
      <c r="C362" s="885"/>
      <c r="D362" s="885"/>
      <c r="E362" s="885"/>
      <c r="F362" s="885"/>
      <c r="G362" s="885"/>
      <c r="H362" s="885"/>
      <c r="I362" s="885"/>
      <c r="J362" s="885"/>
      <c r="K362" s="885"/>
      <c r="L362" s="885"/>
      <c r="M362" s="885"/>
      <c r="N362" s="885"/>
      <c r="O362" s="885"/>
      <c r="P362" s="885"/>
      <c r="Q362" s="885"/>
      <c r="R362" s="885"/>
      <c r="S362" s="885"/>
      <c r="T362" s="885"/>
      <c r="U362" s="885"/>
      <c r="V362" s="885"/>
      <c r="W362" s="885"/>
      <c r="X362" s="885"/>
      <c r="Y362" s="885"/>
      <c r="Z362" s="885"/>
    </row>
    <row r="363" spans="1:26" ht="16.5" customHeight="1" x14ac:dyDescent="0.2">
      <c r="A363" s="885"/>
      <c r="B363" s="885"/>
      <c r="C363" s="885"/>
      <c r="D363" s="885"/>
      <c r="E363" s="885"/>
      <c r="F363" s="885"/>
      <c r="G363" s="885"/>
      <c r="H363" s="885"/>
      <c r="I363" s="885"/>
      <c r="J363" s="885"/>
      <c r="K363" s="885"/>
      <c r="L363" s="885"/>
      <c r="M363" s="885"/>
      <c r="N363" s="885"/>
      <c r="O363" s="885"/>
      <c r="P363" s="885"/>
      <c r="Q363" s="885"/>
      <c r="R363" s="885"/>
      <c r="S363" s="885"/>
      <c r="T363" s="885"/>
      <c r="U363" s="885"/>
      <c r="V363" s="885"/>
      <c r="W363" s="885"/>
      <c r="X363" s="885"/>
      <c r="Y363" s="885"/>
      <c r="Z363" s="885"/>
    </row>
    <row r="364" spans="1:26" ht="16.5" customHeight="1" x14ac:dyDescent="0.2">
      <c r="A364" s="885"/>
      <c r="B364" s="885"/>
      <c r="C364" s="885"/>
      <c r="D364" s="885"/>
      <c r="E364" s="885"/>
      <c r="F364" s="885"/>
      <c r="G364" s="885"/>
      <c r="H364" s="885"/>
      <c r="I364" s="885"/>
      <c r="J364" s="885"/>
      <c r="K364" s="885"/>
      <c r="L364" s="885"/>
      <c r="M364" s="885"/>
      <c r="N364" s="885"/>
      <c r="O364" s="885"/>
      <c r="P364" s="885"/>
      <c r="Q364" s="885"/>
      <c r="R364" s="885"/>
      <c r="S364" s="885"/>
      <c r="T364" s="885"/>
      <c r="U364" s="885"/>
      <c r="V364" s="885"/>
      <c r="W364" s="885"/>
      <c r="X364" s="885"/>
      <c r="Y364" s="885"/>
      <c r="Z364" s="885"/>
    </row>
    <row r="365" spans="1:26" ht="16.5" customHeight="1" x14ac:dyDescent="0.2">
      <c r="A365" s="885"/>
      <c r="B365" s="885"/>
      <c r="C365" s="885"/>
      <c r="D365" s="885"/>
      <c r="E365" s="885"/>
      <c r="F365" s="885"/>
      <c r="G365" s="885"/>
      <c r="H365" s="885"/>
      <c r="I365" s="885"/>
      <c r="J365" s="885"/>
      <c r="K365" s="885"/>
      <c r="L365" s="885"/>
      <c r="M365" s="885"/>
      <c r="N365" s="885"/>
      <c r="O365" s="885"/>
      <c r="P365" s="885"/>
      <c r="Q365" s="885"/>
      <c r="R365" s="885"/>
      <c r="S365" s="885"/>
      <c r="T365" s="885"/>
      <c r="U365" s="885"/>
      <c r="V365" s="885"/>
      <c r="W365" s="885"/>
      <c r="X365" s="885"/>
      <c r="Y365" s="885"/>
      <c r="Z365" s="885"/>
    </row>
    <row r="366" spans="1:26" ht="16.5" customHeight="1" x14ac:dyDescent="0.2">
      <c r="A366" s="885"/>
      <c r="B366" s="885"/>
      <c r="C366" s="885"/>
      <c r="D366" s="885"/>
      <c r="E366" s="885"/>
      <c r="F366" s="885"/>
      <c r="G366" s="885"/>
      <c r="H366" s="885"/>
      <c r="I366" s="885"/>
      <c r="J366" s="885"/>
      <c r="K366" s="885"/>
      <c r="L366" s="885"/>
      <c r="M366" s="885"/>
      <c r="N366" s="885"/>
      <c r="O366" s="885"/>
      <c r="P366" s="885"/>
      <c r="Q366" s="885"/>
      <c r="R366" s="885"/>
      <c r="S366" s="885"/>
      <c r="T366" s="885"/>
      <c r="U366" s="885"/>
      <c r="V366" s="885"/>
      <c r="W366" s="885"/>
      <c r="X366" s="885"/>
      <c r="Y366" s="885"/>
      <c r="Z366" s="885"/>
    </row>
    <row r="367" spans="1:26" ht="16.5" customHeight="1" x14ac:dyDescent="0.2">
      <c r="A367" s="885"/>
      <c r="B367" s="885"/>
      <c r="C367" s="885"/>
      <c r="D367" s="885"/>
      <c r="E367" s="885"/>
      <c r="F367" s="885"/>
      <c r="G367" s="885"/>
      <c r="H367" s="885"/>
      <c r="I367" s="885"/>
      <c r="J367" s="885"/>
      <c r="K367" s="885"/>
      <c r="L367" s="885"/>
      <c r="M367" s="885"/>
      <c r="N367" s="885"/>
      <c r="O367" s="885"/>
      <c r="P367" s="885"/>
      <c r="Q367" s="885"/>
      <c r="R367" s="885"/>
      <c r="S367" s="885"/>
      <c r="T367" s="885"/>
      <c r="U367" s="885"/>
      <c r="V367" s="885"/>
      <c r="W367" s="885"/>
      <c r="X367" s="885"/>
      <c r="Y367" s="885"/>
      <c r="Z367" s="885"/>
    </row>
    <row r="368" spans="1:26" ht="16.5" customHeight="1" x14ac:dyDescent="0.2">
      <c r="A368" s="885"/>
      <c r="B368" s="885"/>
      <c r="C368" s="885"/>
      <c r="D368" s="885"/>
      <c r="E368" s="885"/>
      <c r="F368" s="885"/>
      <c r="G368" s="885"/>
      <c r="H368" s="885"/>
      <c r="I368" s="885"/>
      <c r="J368" s="885"/>
      <c r="K368" s="885"/>
      <c r="L368" s="885"/>
      <c r="M368" s="885"/>
      <c r="N368" s="885"/>
      <c r="O368" s="885"/>
      <c r="P368" s="885"/>
      <c r="Q368" s="885"/>
      <c r="R368" s="885"/>
      <c r="S368" s="885"/>
      <c r="T368" s="885"/>
      <c r="U368" s="885"/>
      <c r="V368" s="885"/>
      <c r="W368" s="885"/>
      <c r="X368" s="885"/>
      <c r="Y368" s="885"/>
      <c r="Z368" s="885"/>
    </row>
    <row r="369" spans="1:26" ht="16.5" customHeight="1" x14ac:dyDescent="0.2">
      <c r="A369" s="885"/>
      <c r="B369" s="885"/>
      <c r="C369" s="885"/>
      <c r="D369" s="885"/>
      <c r="E369" s="885"/>
      <c r="F369" s="885"/>
      <c r="G369" s="885"/>
      <c r="H369" s="885"/>
      <c r="I369" s="885"/>
      <c r="J369" s="885"/>
      <c r="K369" s="885"/>
      <c r="L369" s="885"/>
      <c r="M369" s="885"/>
      <c r="N369" s="885"/>
      <c r="O369" s="885"/>
      <c r="P369" s="885"/>
      <c r="Q369" s="885"/>
      <c r="R369" s="885"/>
      <c r="S369" s="885"/>
      <c r="T369" s="885"/>
      <c r="U369" s="885"/>
      <c r="V369" s="885"/>
      <c r="W369" s="885"/>
      <c r="X369" s="885"/>
      <c r="Y369" s="885"/>
      <c r="Z369" s="885"/>
    </row>
    <row r="370" spans="1:26" ht="16.5" customHeight="1" x14ac:dyDescent="0.2">
      <c r="A370" s="885"/>
      <c r="B370" s="885"/>
      <c r="C370" s="885"/>
      <c r="D370" s="885"/>
      <c r="E370" s="885"/>
      <c r="F370" s="885"/>
      <c r="G370" s="885"/>
      <c r="H370" s="885"/>
      <c r="I370" s="885"/>
      <c r="J370" s="885"/>
      <c r="K370" s="885"/>
      <c r="L370" s="885"/>
      <c r="M370" s="885"/>
      <c r="N370" s="885"/>
      <c r="O370" s="885"/>
      <c r="P370" s="885"/>
      <c r="Q370" s="885"/>
      <c r="R370" s="885"/>
      <c r="S370" s="885"/>
      <c r="T370" s="885"/>
      <c r="U370" s="885"/>
      <c r="V370" s="885"/>
      <c r="W370" s="885"/>
      <c r="X370" s="885"/>
      <c r="Y370" s="885"/>
      <c r="Z370" s="885"/>
    </row>
    <row r="371" spans="1:26" ht="16.5" customHeight="1" x14ac:dyDescent="0.2">
      <c r="A371" s="885"/>
      <c r="B371" s="885"/>
      <c r="C371" s="885"/>
      <c r="D371" s="885"/>
      <c r="E371" s="885"/>
      <c r="F371" s="885"/>
      <c r="G371" s="885"/>
      <c r="H371" s="885"/>
      <c r="I371" s="885"/>
      <c r="J371" s="885"/>
      <c r="K371" s="885"/>
      <c r="L371" s="885"/>
      <c r="M371" s="885"/>
      <c r="N371" s="885"/>
      <c r="O371" s="885"/>
      <c r="P371" s="885"/>
      <c r="Q371" s="885"/>
      <c r="R371" s="885"/>
      <c r="S371" s="885"/>
      <c r="T371" s="885"/>
      <c r="U371" s="885"/>
      <c r="V371" s="885"/>
      <c r="W371" s="885"/>
      <c r="X371" s="885"/>
      <c r="Y371" s="885"/>
      <c r="Z371" s="885"/>
    </row>
    <row r="372" spans="1:26" ht="16.5" customHeight="1" x14ac:dyDescent="0.2">
      <c r="A372" s="885"/>
      <c r="B372" s="885"/>
      <c r="C372" s="885"/>
      <c r="D372" s="885"/>
      <c r="E372" s="885"/>
      <c r="F372" s="885"/>
      <c r="G372" s="885"/>
      <c r="H372" s="885"/>
      <c r="I372" s="885"/>
      <c r="J372" s="885"/>
      <c r="K372" s="885"/>
      <c r="L372" s="885"/>
      <c r="M372" s="885"/>
      <c r="N372" s="885"/>
      <c r="O372" s="885"/>
      <c r="P372" s="885"/>
      <c r="Q372" s="885"/>
      <c r="R372" s="885"/>
      <c r="S372" s="885"/>
      <c r="T372" s="885"/>
      <c r="U372" s="885"/>
      <c r="V372" s="885"/>
      <c r="W372" s="885"/>
      <c r="X372" s="885"/>
      <c r="Y372" s="885"/>
      <c r="Z372" s="885"/>
    </row>
    <row r="373" spans="1:26" ht="16.5" customHeight="1" x14ac:dyDescent="0.2">
      <c r="A373" s="885"/>
      <c r="B373" s="885"/>
      <c r="C373" s="885"/>
      <c r="D373" s="885"/>
      <c r="E373" s="885"/>
      <c r="F373" s="885"/>
      <c r="G373" s="885"/>
      <c r="H373" s="885"/>
      <c r="I373" s="885"/>
      <c r="J373" s="885"/>
      <c r="K373" s="885"/>
      <c r="L373" s="885"/>
      <c r="M373" s="885"/>
      <c r="N373" s="885"/>
      <c r="O373" s="885"/>
      <c r="P373" s="885"/>
      <c r="Q373" s="885"/>
      <c r="R373" s="885"/>
      <c r="S373" s="885"/>
      <c r="T373" s="885"/>
      <c r="U373" s="885"/>
      <c r="V373" s="885"/>
      <c r="W373" s="885"/>
      <c r="X373" s="885"/>
      <c r="Y373" s="885"/>
      <c r="Z373" s="885"/>
    </row>
    <row r="374" spans="1:26" ht="16.5" customHeight="1" x14ac:dyDescent="0.2">
      <c r="A374" s="885"/>
      <c r="B374" s="885"/>
      <c r="C374" s="885"/>
      <c r="D374" s="885"/>
      <c r="E374" s="885"/>
      <c r="F374" s="885"/>
      <c r="G374" s="885"/>
      <c r="H374" s="885"/>
      <c r="I374" s="885"/>
      <c r="J374" s="885"/>
      <c r="K374" s="885"/>
      <c r="L374" s="885"/>
      <c r="M374" s="885"/>
      <c r="N374" s="885"/>
      <c r="O374" s="885"/>
      <c r="P374" s="885"/>
      <c r="Q374" s="885"/>
      <c r="R374" s="885"/>
      <c r="S374" s="885"/>
      <c r="T374" s="885"/>
      <c r="U374" s="885"/>
      <c r="V374" s="885"/>
      <c r="W374" s="885"/>
      <c r="X374" s="885"/>
      <c r="Y374" s="885"/>
      <c r="Z374" s="885"/>
    </row>
    <row r="375" spans="1:26" ht="16.5" customHeight="1" x14ac:dyDescent="0.2">
      <c r="A375" s="885"/>
      <c r="B375" s="885"/>
      <c r="C375" s="885"/>
      <c r="D375" s="885"/>
      <c r="E375" s="885"/>
      <c r="F375" s="885"/>
      <c r="G375" s="885"/>
      <c r="H375" s="885"/>
      <c r="I375" s="885"/>
      <c r="J375" s="885"/>
      <c r="K375" s="885"/>
      <c r="L375" s="885"/>
      <c r="M375" s="885"/>
      <c r="N375" s="885"/>
      <c r="O375" s="885"/>
      <c r="P375" s="885"/>
      <c r="Q375" s="885"/>
      <c r="R375" s="885"/>
      <c r="S375" s="885"/>
      <c r="T375" s="885"/>
      <c r="U375" s="885"/>
      <c r="V375" s="885"/>
      <c r="W375" s="885"/>
      <c r="X375" s="885"/>
      <c r="Y375" s="885"/>
      <c r="Z375" s="885"/>
    </row>
    <row r="376" spans="1:26" ht="16.5" customHeight="1" x14ac:dyDescent="0.2">
      <c r="A376" s="885"/>
      <c r="B376" s="885"/>
      <c r="C376" s="885"/>
      <c r="D376" s="885"/>
      <c r="E376" s="885"/>
      <c r="F376" s="885"/>
      <c r="G376" s="885"/>
      <c r="H376" s="885"/>
      <c r="I376" s="885"/>
      <c r="J376" s="885"/>
      <c r="K376" s="885"/>
      <c r="L376" s="885"/>
      <c r="M376" s="885"/>
      <c r="N376" s="885"/>
      <c r="O376" s="885"/>
      <c r="P376" s="885"/>
      <c r="Q376" s="885"/>
      <c r="R376" s="885"/>
      <c r="S376" s="885"/>
      <c r="T376" s="885"/>
      <c r="U376" s="885"/>
      <c r="V376" s="885"/>
      <c r="W376" s="885"/>
      <c r="X376" s="885"/>
      <c r="Y376" s="885"/>
      <c r="Z376" s="885"/>
    </row>
    <row r="377" spans="1:26" ht="16.5" customHeight="1" x14ac:dyDescent="0.2">
      <c r="A377" s="885"/>
      <c r="B377" s="885"/>
      <c r="C377" s="885"/>
      <c r="D377" s="885"/>
      <c r="E377" s="885"/>
      <c r="F377" s="885"/>
      <c r="G377" s="885"/>
      <c r="H377" s="885"/>
      <c r="I377" s="885"/>
      <c r="J377" s="885"/>
      <c r="K377" s="885"/>
      <c r="L377" s="885"/>
      <c r="M377" s="885"/>
      <c r="N377" s="885"/>
      <c r="O377" s="885"/>
      <c r="P377" s="885"/>
      <c r="Q377" s="885"/>
      <c r="R377" s="885"/>
      <c r="S377" s="885"/>
      <c r="T377" s="885"/>
      <c r="U377" s="885"/>
      <c r="V377" s="885"/>
      <c r="W377" s="885"/>
      <c r="X377" s="885"/>
      <c r="Y377" s="885"/>
      <c r="Z377" s="885"/>
    </row>
    <row r="378" spans="1:26" ht="16.5" customHeight="1" x14ac:dyDescent="0.2">
      <c r="A378" s="885"/>
      <c r="B378" s="885"/>
      <c r="C378" s="885"/>
      <c r="D378" s="885"/>
      <c r="E378" s="885"/>
      <c r="F378" s="885"/>
      <c r="G378" s="885"/>
      <c r="H378" s="885"/>
      <c r="I378" s="885"/>
      <c r="J378" s="885"/>
      <c r="K378" s="885"/>
      <c r="L378" s="885"/>
      <c r="M378" s="885"/>
      <c r="N378" s="885"/>
      <c r="O378" s="885"/>
      <c r="P378" s="885"/>
      <c r="Q378" s="885"/>
      <c r="R378" s="885"/>
      <c r="S378" s="885"/>
      <c r="T378" s="885"/>
      <c r="U378" s="885"/>
      <c r="V378" s="885"/>
      <c r="W378" s="885"/>
      <c r="X378" s="885"/>
      <c r="Y378" s="885"/>
      <c r="Z378" s="885"/>
    </row>
    <row r="379" spans="1:26" ht="16.5" customHeight="1" x14ac:dyDescent="0.2">
      <c r="A379" s="885"/>
      <c r="B379" s="885"/>
      <c r="C379" s="885"/>
      <c r="D379" s="885"/>
      <c r="E379" s="885"/>
      <c r="F379" s="885"/>
      <c r="G379" s="885"/>
      <c r="H379" s="885"/>
      <c r="I379" s="885"/>
      <c r="J379" s="885"/>
      <c r="K379" s="885"/>
      <c r="L379" s="885"/>
      <c r="M379" s="885"/>
      <c r="N379" s="885"/>
      <c r="O379" s="885"/>
      <c r="P379" s="885"/>
      <c r="Q379" s="885"/>
      <c r="R379" s="885"/>
      <c r="S379" s="885"/>
      <c r="T379" s="885"/>
      <c r="U379" s="885"/>
      <c r="V379" s="885"/>
      <c r="W379" s="885"/>
      <c r="X379" s="885"/>
      <c r="Y379" s="885"/>
      <c r="Z379" s="885"/>
    </row>
    <row r="380" spans="1:26" ht="16.5" customHeight="1" x14ac:dyDescent="0.2">
      <c r="A380" s="885"/>
      <c r="B380" s="885"/>
      <c r="C380" s="885"/>
      <c r="D380" s="885"/>
      <c r="E380" s="885"/>
      <c r="F380" s="885"/>
      <c r="G380" s="885"/>
      <c r="H380" s="885"/>
      <c r="I380" s="885"/>
      <c r="J380" s="885"/>
      <c r="K380" s="885"/>
      <c r="L380" s="885"/>
      <c r="M380" s="885"/>
      <c r="N380" s="885"/>
      <c r="O380" s="885"/>
      <c r="P380" s="885"/>
      <c r="Q380" s="885"/>
      <c r="R380" s="885"/>
      <c r="S380" s="885"/>
      <c r="T380" s="885"/>
      <c r="U380" s="885"/>
      <c r="V380" s="885"/>
      <c r="W380" s="885"/>
      <c r="X380" s="885"/>
      <c r="Y380" s="885"/>
      <c r="Z380" s="885"/>
    </row>
    <row r="381" spans="1:26" ht="16.5" customHeight="1" x14ac:dyDescent="0.2">
      <c r="A381" s="885"/>
      <c r="B381" s="885"/>
      <c r="C381" s="885"/>
      <c r="D381" s="885"/>
      <c r="E381" s="885"/>
      <c r="F381" s="885"/>
      <c r="G381" s="885"/>
      <c r="H381" s="885"/>
      <c r="I381" s="885"/>
      <c r="J381" s="885"/>
      <c r="K381" s="885"/>
      <c r="L381" s="885"/>
      <c r="M381" s="885"/>
      <c r="N381" s="885"/>
      <c r="O381" s="885"/>
      <c r="P381" s="885"/>
      <c r="Q381" s="885"/>
      <c r="R381" s="885"/>
      <c r="S381" s="885"/>
      <c r="T381" s="885"/>
      <c r="U381" s="885"/>
      <c r="V381" s="885"/>
      <c r="W381" s="885"/>
      <c r="X381" s="885"/>
      <c r="Y381" s="885"/>
      <c r="Z381" s="885"/>
    </row>
    <row r="382" spans="1:26" ht="16.5" customHeight="1" x14ac:dyDescent="0.2">
      <c r="A382" s="885"/>
      <c r="B382" s="885"/>
      <c r="C382" s="885"/>
      <c r="D382" s="885"/>
      <c r="E382" s="885"/>
      <c r="F382" s="885"/>
      <c r="G382" s="885"/>
      <c r="H382" s="885"/>
      <c r="I382" s="885"/>
      <c r="J382" s="885"/>
      <c r="K382" s="885"/>
      <c r="L382" s="885"/>
      <c r="M382" s="885"/>
      <c r="N382" s="885"/>
      <c r="O382" s="885"/>
      <c r="P382" s="885"/>
      <c r="Q382" s="885"/>
      <c r="R382" s="885"/>
      <c r="S382" s="885"/>
      <c r="T382" s="885"/>
      <c r="U382" s="885"/>
      <c r="V382" s="885"/>
      <c r="W382" s="885"/>
      <c r="X382" s="885"/>
      <c r="Y382" s="885"/>
      <c r="Z382" s="885"/>
    </row>
    <row r="383" spans="1:26" ht="16.5" customHeight="1" x14ac:dyDescent="0.2">
      <c r="A383" s="885"/>
      <c r="B383" s="885"/>
      <c r="C383" s="885"/>
      <c r="D383" s="885"/>
      <c r="E383" s="885"/>
      <c r="F383" s="885"/>
      <c r="G383" s="885"/>
      <c r="H383" s="885"/>
      <c r="I383" s="885"/>
      <c r="J383" s="885"/>
      <c r="K383" s="885"/>
      <c r="L383" s="885"/>
      <c r="M383" s="885"/>
      <c r="N383" s="885"/>
      <c r="O383" s="885"/>
      <c r="P383" s="885"/>
      <c r="Q383" s="885"/>
      <c r="R383" s="885"/>
      <c r="S383" s="885"/>
      <c r="T383" s="885"/>
      <c r="U383" s="885"/>
      <c r="V383" s="885"/>
      <c r="W383" s="885"/>
      <c r="X383" s="885"/>
      <c r="Y383" s="885"/>
      <c r="Z383" s="885"/>
    </row>
    <row r="384" spans="1:26" ht="16.5" customHeight="1" x14ac:dyDescent="0.2">
      <c r="A384" s="885"/>
      <c r="B384" s="885"/>
      <c r="C384" s="885"/>
      <c r="D384" s="885"/>
      <c r="E384" s="885"/>
      <c r="F384" s="885"/>
      <c r="G384" s="885"/>
      <c r="H384" s="885"/>
      <c r="I384" s="885"/>
      <c r="J384" s="885"/>
      <c r="K384" s="885"/>
      <c r="L384" s="885"/>
      <c r="M384" s="885"/>
      <c r="N384" s="885"/>
      <c r="O384" s="885"/>
      <c r="P384" s="885"/>
      <c r="Q384" s="885"/>
      <c r="R384" s="885"/>
      <c r="S384" s="885"/>
      <c r="T384" s="885"/>
      <c r="U384" s="885"/>
      <c r="V384" s="885"/>
      <c r="W384" s="885"/>
      <c r="X384" s="885"/>
      <c r="Y384" s="885"/>
      <c r="Z384" s="885"/>
    </row>
    <row r="385" spans="1:26" ht="16.5" customHeight="1" x14ac:dyDescent="0.2">
      <c r="A385" s="885"/>
      <c r="B385" s="885"/>
      <c r="C385" s="885"/>
      <c r="D385" s="885"/>
      <c r="E385" s="885"/>
      <c r="F385" s="885"/>
      <c r="G385" s="885"/>
      <c r="H385" s="885"/>
      <c r="I385" s="885"/>
      <c r="J385" s="885"/>
      <c r="K385" s="885"/>
      <c r="L385" s="885"/>
      <c r="M385" s="885"/>
      <c r="N385" s="885"/>
      <c r="O385" s="885"/>
      <c r="P385" s="885"/>
      <c r="Q385" s="885"/>
      <c r="R385" s="885"/>
      <c r="S385" s="885"/>
      <c r="T385" s="885"/>
      <c r="U385" s="885"/>
      <c r="V385" s="885"/>
      <c r="W385" s="885"/>
      <c r="X385" s="885"/>
      <c r="Y385" s="885"/>
      <c r="Z385" s="885"/>
    </row>
    <row r="386" spans="1:26" ht="16.5" customHeight="1" x14ac:dyDescent="0.2">
      <c r="A386" s="885"/>
      <c r="B386" s="885"/>
      <c r="C386" s="885"/>
      <c r="D386" s="885"/>
      <c r="E386" s="885"/>
      <c r="F386" s="885"/>
      <c r="G386" s="885"/>
      <c r="H386" s="885"/>
      <c r="I386" s="885"/>
      <c r="J386" s="885"/>
      <c r="K386" s="885"/>
      <c r="L386" s="885"/>
      <c r="M386" s="885"/>
      <c r="N386" s="885"/>
      <c r="O386" s="885"/>
      <c r="P386" s="885"/>
      <c r="Q386" s="885"/>
      <c r="R386" s="885"/>
      <c r="S386" s="885"/>
      <c r="T386" s="885"/>
      <c r="U386" s="885"/>
      <c r="V386" s="885"/>
      <c r="W386" s="885"/>
      <c r="X386" s="885"/>
      <c r="Y386" s="885"/>
      <c r="Z386" s="885"/>
    </row>
    <row r="387" spans="1:26" ht="16.5" customHeight="1" x14ac:dyDescent="0.2">
      <c r="A387" s="885"/>
      <c r="B387" s="885"/>
      <c r="C387" s="885"/>
      <c r="D387" s="885"/>
      <c r="E387" s="885"/>
      <c r="F387" s="885"/>
      <c r="G387" s="885"/>
      <c r="H387" s="885"/>
      <c r="I387" s="885"/>
      <c r="J387" s="885"/>
      <c r="K387" s="885"/>
      <c r="L387" s="885"/>
      <c r="M387" s="885"/>
      <c r="N387" s="885"/>
      <c r="O387" s="885"/>
      <c r="P387" s="885"/>
      <c r="Q387" s="885"/>
      <c r="R387" s="885"/>
      <c r="S387" s="885"/>
      <c r="T387" s="885"/>
      <c r="U387" s="885"/>
      <c r="V387" s="885"/>
      <c r="W387" s="885"/>
      <c r="X387" s="885"/>
      <c r="Y387" s="885"/>
      <c r="Z387" s="885"/>
    </row>
    <row r="388" spans="1:26" ht="16.5" customHeight="1" x14ac:dyDescent="0.2">
      <c r="A388" s="885"/>
      <c r="B388" s="885"/>
      <c r="C388" s="885"/>
      <c r="D388" s="885"/>
      <c r="E388" s="885"/>
      <c r="F388" s="885"/>
      <c r="G388" s="885"/>
      <c r="H388" s="885"/>
      <c r="I388" s="885"/>
      <c r="J388" s="885"/>
      <c r="K388" s="885"/>
      <c r="L388" s="885"/>
      <c r="M388" s="885"/>
      <c r="N388" s="885"/>
      <c r="O388" s="885"/>
      <c r="P388" s="885"/>
      <c r="Q388" s="885"/>
      <c r="R388" s="885"/>
      <c r="S388" s="885"/>
      <c r="T388" s="885"/>
      <c r="U388" s="885"/>
      <c r="V388" s="885"/>
      <c r="W388" s="885"/>
      <c r="X388" s="885"/>
      <c r="Y388" s="885"/>
      <c r="Z388" s="885"/>
    </row>
    <row r="389" spans="1:26" ht="16.5" customHeight="1" x14ac:dyDescent="0.2">
      <c r="A389" s="885"/>
      <c r="B389" s="885"/>
      <c r="C389" s="885"/>
      <c r="D389" s="885"/>
      <c r="E389" s="885"/>
      <c r="F389" s="885"/>
      <c r="G389" s="885"/>
      <c r="H389" s="885"/>
      <c r="I389" s="885"/>
      <c r="J389" s="885"/>
      <c r="K389" s="885"/>
      <c r="L389" s="885"/>
      <c r="M389" s="885"/>
      <c r="N389" s="885"/>
      <c r="O389" s="885"/>
      <c r="P389" s="885"/>
      <c r="Q389" s="885"/>
      <c r="R389" s="885"/>
      <c r="S389" s="885"/>
      <c r="T389" s="885"/>
      <c r="U389" s="885"/>
      <c r="V389" s="885"/>
      <c r="W389" s="885"/>
      <c r="X389" s="885"/>
      <c r="Y389" s="885"/>
      <c r="Z389" s="885"/>
    </row>
    <row r="390" spans="1:26" ht="16.5" customHeight="1" x14ac:dyDescent="0.2">
      <c r="A390" s="885"/>
      <c r="B390" s="885"/>
      <c r="C390" s="885"/>
      <c r="D390" s="885"/>
      <c r="E390" s="885"/>
      <c r="F390" s="885"/>
      <c r="G390" s="885"/>
      <c r="H390" s="885"/>
      <c r="I390" s="885"/>
      <c r="J390" s="885"/>
      <c r="K390" s="885"/>
      <c r="L390" s="885"/>
      <c r="M390" s="885"/>
      <c r="N390" s="885"/>
      <c r="O390" s="885"/>
      <c r="P390" s="885"/>
      <c r="Q390" s="885"/>
      <c r="R390" s="885"/>
      <c r="S390" s="885"/>
      <c r="T390" s="885"/>
      <c r="U390" s="885"/>
      <c r="V390" s="885"/>
      <c r="W390" s="885"/>
      <c r="X390" s="885"/>
      <c r="Y390" s="885"/>
      <c r="Z390" s="885"/>
    </row>
    <row r="391" spans="1:26" ht="16.5" customHeight="1" x14ac:dyDescent="0.2">
      <c r="A391" s="885"/>
      <c r="B391" s="885"/>
      <c r="C391" s="885"/>
      <c r="D391" s="885"/>
      <c r="E391" s="885"/>
      <c r="F391" s="885"/>
      <c r="G391" s="885"/>
      <c r="H391" s="885"/>
      <c r="I391" s="885"/>
      <c r="J391" s="885"/>
      <c r="K391" s="885"/>
      <c r="L391" s="885"/>
      <c r="M391" s="885"/>
      <c r="N391" s="885"/>
      <c r="O391" s="885"/>
      <c r="P391" s="885"/>
      <c r="Q391" s="885"/>
      <c r="R391" s="885"/>
      <c r="S391" s="885"/>
      <c r="T391" s="885"/>
      <c r="U391" s="885"/>
      <c r="V391" s="885"/>
      <c r="W391" s="885"/>
      <c r="X391" s="885"/>
      <c r="Y391" s="885"/>
      <c r="Z391" s="885"/>
    </row>
    <row r="392" spans="1:26" ht="16.5" customHeight="1" x14ac:dyDescent="0.2">
      <c r="A392" s="885"/>
      <c r="B392" s="885"/>
      <c r="C392" s="885"/>
      <c r="D392" s="885"/>
      <c r="E392" s="885"/>
      <c r="F392" s="885"/>
      <c r="G392" s="885"/>
      <c r="H392" s="885"/>
      <c r="I392" s="885"/>
      <c r="J392" s="885"/>
      <c r="K392" s="885"/>
      <c r="L392" s="885"/>
      <c r="M392" s="885"/>
      <c r="N392" s="885"/>
      <c r="O392" s="885"/>
      <c r="P392" s="885"/>
      <c r="Q392" s="885"/>
      <c r="R392" s="885"/>
      <c r="S392" s="885"/>
      <c r="T392" s="885"/>
      <c r="U392" s="885"/>
      <c r="V392" s="885"/>
      <c r="W392" s="885"/>
      <c r="X392" s="885"/>
      <c r="Y392" s="885"/>
      <c r="Z392" s="885"/>
    </row>
    <row r="393" spans="1:26" ht="16.5" customHeight="1" x14ac:dyDescent="0.2">
      <c r="A393" s="885"/>
      <c r="B393" s="885"/>
      <c r="C393" s="885"/>
      <c r="D393" s="885"/>
      <c r="E393" s="885"/>
      <c r="F393" s="885"/>
      <c r="G393" s="885"/>
      <c r="H393" s="885"/>
      <c r="I393" s="885"/>
      <c r="J393" s="885"/>
      <c r="K393" s="885"/>
      <c r="L393" s="885"/>
      <c r="M393" s="885"/>
      <c r="N393" s="885"/>
      <c r="O393" s="885"/>
      <c r="P393" s="885"/>
      <c r="Q393" s="885"/>
      <c r="R393" s="885"/>
      <c r="S393" s="885"/>
      <c r="T393" s="885"/>
      <c r="U393" s="885"/>
      <c r="V393" s="885"/>
      <c r="W393" s="885"/>
      <c r="X393" s="885"/>
      <c r="Y393" s="885"/>
      <c r="Z393" s="885"/>
    </row>
    <row r="394" spans="1:26" ht="16.5" customHeight="1" x14ac:dyDescent="0.2">
      <c r="A394" s="885"/>
      <c r="B394" s="885"/>
      <c r="C394" s="885"/>
      <c r="D394" s="885"/>
      <c r="E394" s="885"/>
      <c r="F394" s="885"/>
      <c r="G394" s="885"/>
      <c r="H394" s="885"/>
      <c r="I394" s="885"/>
      <c r="J394" s="885"/>
      <c r="K394" s="885"/>
      <c r="L394" s="885"/>
      <c r="M394" s="885"/>
      <c r="N394" s="885"/>
      <c r="O394" s="885"/>
      <c r="P394" s="885"/>
      <c r="Q394" s="885"/>
      <c r="R394" s="885"/>
      <c r="S394" s="885"/>
      <c r="T394" s="885"/>
      <c r="U394" s="885"/>
      <c r="V394" s="885"/>
      <c r="W394" s="885"/>
      <c r="X394" s="885"/>
      <c r="Y394" s="885"/>
      <c r="Z394" s="885"/>
    </row>
    <row r="395" spans="1:26" ht="16.5" customHeight="1" x14ac:dyDescent="0.2">
      <c r="A395" s="885"/>
      <c r="B395" s="885"/>
      <c r="C395" s="885"/>
      <c r="D395" s="885"/>
      <c r="E395" s="885"/>
      <c r="F395" s="885"/>
      <c r="G395" s="885"/>
      <c r="H395" s="885"/>
      <c r="I395" s="885"/>
      <c r="J395" s="885"/>
      <c r="K395" s="885"/>
      <c r="L395" s="885"/>
      <c r="M395" s="885"/>
      <c r="N395" s="885"/>
      <c r="O395" s="885"/>
      <c r="P395" s="885"/>
      <c r="Q395" s="885"/>
      <c r="R395" s="885"/>
      <c r="S395" s="885"/>
      <c r="T395" s="885"/>
      <c r="U395" s="885"/>
      <c r="V395" s="885"/>
      <c r="W395" s="885"/>
      <c r="X395" s="885"/>
      <c r="Y395" s="885"/>
      <c r="Z395" s="885"/>
    </row>
    <row r="396" spans="1:26" ht="16.5" customHeight="1" x14ac:dyDescent="0.2">
      <c r="A396" s="885"/>
      <c r="B396" s="885"/>
      <c r="C396" s="885"/>
      <c r="D396" s="885"/>
      <c r="E396" s="885"/>
      <c r="F396" s="885"/>
      <c r="G396" s="885"/>
      <c r="H396" s="885"/>
      <c r="I396" s="885"/>
      <c r="J396" s="885"/>
      <c r="K396" s="885"/>
      <c r="L396" s="885"/>
      <c r="M396" s="885"/>
      <c r="N396" s="885"/>
      <c r="O396" s="885"/>
      <c r="P396" s="885"/>
      <c r="Q396" s="885"/>
      <c r="R396" s="885"/>
      <c r="S396" s="885"/>
      <c r="T396" s="885"/>
      <c r="U396" s="885"/>
      <c r="V396" s="885"/>
      <c r="W396" s="885"/>
      <c r="X396" s="885"/>
      <c r="Y396" s="885"/>
      <c r="Z396" s="885"/>
    </row>
    <row r="397" spans="1:26" ht="16.5" customHeight="1" x14ac:dyDescent="0.2">
      <c r="A397" s="885"/>
      <c r="B397" s="885"/>
      <c r="C397" s="885"/>
      <c r="D397" s="885"/>
      <c r="E397" s="885"/>
      <c r="F397" s="885"/>
      <c r="G397" s="885"/>
      <c r="H397" s="885"/>
      <c r="I397" s="885"/>
      <c r="J397" s="885"/>
      <c r="K397" s="885"/>
      <c r="L397" s="885"/>
      <c r="M397" s="885"/>
      <c r="N397" s="885"/>
      <c r="O397" s="885"/>
      <c r="P397" s="885"/>
      <c r="Q397" s="885"/>
      <c r="R397" s="885"/>
      <c r="S397" s="885"/>
      <c r="T397" s="885"/>
      <c r="U397" s="885"/>
      <c r="V397" s="885"/>
      <c r="W397" s="885"/>
      <c r="X397" s="885"/>
      <c r="Y397" s="885"/>
      <c r="Z397" s="885"/>
    </row>
    <row r="398" spans="1:26" ht="16.5" customHeight="1" x14ac:dyDescent="0.2">
      <c r="A398" s="885"/>
      <c r="B398" s="885"/>
      <c r="C398" s="885"/>
      <c r="D398" s="885"/>
      <c r="E398" s="885"/>
      <c r="F398" s="885"/>
      <c r="G398" s="885"/>
      <c r="H398" s="885"/>
      <c r="I398" s="885"/>
      <c r="J398" s="885"/>
      <c r="K398" s="885"/>
      <c r="L398" s="885"/>
      <c r="M398" s="885"/>
      <c r="N398" s="885"/>
      <c r="O398" s="885"/>
      <c r="P398" s="885"/>
      <c r="Q398" s="885"/>
      <c r="R398" s="885"/>
      <c r="S398" s="885"/>
      <c r="T398" s="885"/>
      <c r="U398" s="885"/>
      <c r="V398" s="885"/>
      <c r="W398" s="885"/>
      <c r="X398" s="885"/>
      <c r="Y398" s="885"/>
      <c r="Z398" s="885"/>
    </row>
    <row r="399" spans="1:26" ht="16.5" customHeight="1" x14ac:dyDescent="0.2">
      <c r="A399" s="885"/>
      <c r="B399" s="885"/>
      <c r="C399" s="885"/>
      <c r="D399" s="885"/>
      <c r="E399" s="885"/>
      <c r="F399" s="885"/>
      <c r="G399" s="885"/>
      <c r="H399" s="885"/>
      <c r="I399" s="885"/>
      <c r="J399" s="885"/>
      <c r="K399" s="885"/>
      <c r="L399" s="885"/>
      <c r="M399" s="885"/>
      <c r="N399" s="885"/>
      <c r="O399" s="885"/>
      <c r="P399" s="885"/>
      <c r="Q399" s="885"/>
      <c r="R399" s="885"/>
      <c r="S399" s="885"/>
      <c r="T399" s="885"/>
      <c r="U399" s="885"/>
      <c r="V399" s="885"/>
      <c r="W399" s="885"/>
      <c r="X399" s="885"/>
      <c r="Y399" s="885"/>
      <c r="Z399" s="885"/>
    </row>
    <row r="400" spans="1:26" ht="16.5" customHeight="1" x14ac:dyDescent="0.2">
      <c r="A400" s="885"/>
      <c r="B400" s="885"/>
      <c r="C400" s="885"/>
      <c r="D400" s="885"/>
      <c r="E400" s="885"/>
      <c r="F400" s="885"/>
      <c r="G400" s="885"/>
      <c r="H400" s="885"/>
      <c r="I400" s="885"/>
      <c r="J400" s="885"/>
      <c r="K400" s="885"/>
      <c r="L400" s="885"/>
      <c r="M400" s="885"/>
      <c r="N400" s="885"/>
      <c r="O400" s="885"/>
      <c r="P400" s="885"/>
      <c r="Q400" s="885"/>
      <c r="R400" s="885"/>
      <c r="S400" s="885"/>
      <c r="T400" s="885"/>
      <c r="U400" s="885"/>
      <c r="V400" s="885"/>
      <c r="W400" s="885"/>
      <c r="X400" s="885"/>
      <c r="Y400" s="885"/>
      <c r="Z400" s="885"/>
    </row>
    <row r="401" spans="1:26" ht="16.5" customHeight="1" x14ac:dyDescent="0.2">
      <c r="A401" s="885"/>
      <c r="B401" s="885"/>
      <c r="C401" s="885"/>
      <c r="D401" s="885"/>
      <c r="E401" s="885"/>
      <c r="F401" s="885"/>
      <c r="G401" s="885"/>
      <c r="H401" s="885"/>
      <c r="I401" s="885"/>
      <c r="J401" s="885"/>
      <c r="K401" s="885"/>
      <c r="L401" s="885"/>
      <c r="M401" s="885"/>
      <c r="N401" s="885"/>
      <c r="O401" s="885"/>
      <c r="P401" s="885"/>
      <c r="Q401" s="885"/>
      <c r="R401" s="885"/>
      <c r="S401" s="885"/>
      <c r="T401" s="885"/>
      <c r="U401" s="885"/>
      <c r="V401" s="885"/>
      <c r="W401" s="885"/>
      <c r="X401" s="885"/>
      <c r="Y401" s="885"/>
      <c r="Z401" s="885"/>
    </row>
    <row r="402" spans="1:26" ht="16.5" customHeight="1" x14ac:dyDescent="0.2">
      <c r="A402" s="885"/>
      <c r="B402" s="885"/>
      <c r="C402" s="885"/>
      <c r="D402" s="885"/>
      <c r="E402" s="885"/>
      <c r="F402" s="885"/>
      <c r="G402" s="885"/>
      <c r="H402" s="885"/>
      <c r="I402" s="885"/>
      <c r="J402" s="885"/>
      <c r="K402" s="885"/>
      <c r="L402" s="885"/>
      <c r="M402" s="885"/>
      <c r="N402" s="885"/>
      <c r="O402" s="885"/>
      <c r="P402" s="885"/>
      <c r="Q402" s="885"/>
      <c r="R402" s="885"/>
      <c r="S402" s="885"/>
      <c r="T402" s="885"/>
      <c r="U402" s="885"/>
      <c r="V402" s="885"/>
      <c r="W402" s="885"/>
      <c r="X402" s="885"/>
      <c r="Y402" s="885"/>
      <c r="Z402" s="885"/>
    </row>
    <row r="403" spans="1:26" ht="16.5" customHeight="1" x14ac:dyDescent="0.2">
      <c r="A403" s="885"/>
      <c r="B403" s="885"/>
      <c r="C403" s="885"/>
      <c r="D403" s="885"/>
      <c r="E403" s="885"/>
      <c r="F403" s="885"/>
      <c r="G403" s="885"/>
      <c r="H403" s="885"/>
      <c r="I403" s="885"/>
      <c r="J403" s="885"/>
      <c r="K403" s="885"/>
      <c r="L403" s="885"/>
      <c r="M403" s="885"/>
      <c r="N403" s="885"/>
      <c r="O403" s="885"/>
      <c r="P403" s="885"/>
      <c r="Q403" s="885"/>
      <c r="R403" s="885"/>
      <c r="S403" s="885"/>
      <c r="T403" s="885"/>
      <c r="U403" s="885"/>
      <c r="V403" s="885"/>
      <c r="W403" s="885"/>
      <c r="X403" s="885"/>
      <c r="Y403" s="885"/>
      <c r="Z403" s="885"/>
    </row>
    <row r="404" spans="1:26" ht="16.5" customHeight="1" x14ac:dyDescent="0.2">
      <c r="A404" s="885"/>
      <c r="B404" s="885"/>
      <c r="C404" s="885"/>
      <c r="D404" s="885"/>
      <c r="E404" s="885"/>
      <c r="F404" s="885"/>
      <c r="G404" s="885"/>
      <c r="H404" s="885"/>
      <c r="I404" s="885"/>
      <c r="J404" s="885"/>
      <c r="K404" s="885"/>
      <c r="L404" s="885"/>
      <c r="M404" s="885"/>
      <c r="N404" s="885"/>
      <c r="O404" s="885"/>
      <c r="P404" s="885"/>
      <c r="Q404" s="885"/>
      <c r="R404" s="885"/>
      <c r="S404" s="885"/>
      <c r="T404" s="885"/>
      <c r="U404" s="885"/>
      <c r="V404" s="885"/>
      <c r="W404" s="885"/>
      <c r="X404" s="885"/>
      <c r="Y404" s="885"/>
      <c r="Z404" s="885"/>
    </row>
    <row r="405" spans="1:26" ht="16.5" customHeight="1" x14ac:dyDescent="0.2">
      <c r="A405" s="885"/>
      <c r="B405" s="885"/>
      <c r="C405" s="885"/>
      <c r="D405" s="885"/>
      <c r="E405" s="885"/>
      <c r="F405" s="885"/>
      <c r="G405" s="885"/>
      <c r="H405" s="885"/>
      <c r="I405" s="885"/>
      <c r="J405" s="885"/>
      <c r="K405" s="885"/>
      <c r="L405" s="885"/>
      <c r="M405" s="885"/>
      <c r="N405" s="885"/>
      <c r="O405" s="885"/>
      <c r="P405" s="885"/>
      <c r="Q405" s="885"/>
      <c r="R405" s="885"/>
      <c r="S405" s="885"/>
      <c r="T405" s="885"/>
      <c r="U405" s="885"/>
      <c r="V405" s="885"/>
      <c r="W405" s="885"/>
      <c r="X405" s="885"/>
      <c r="Y405" s="885"/>
      <c r="Z405" s="885"/>
    </row>
    <row r="406" spans="1:26" ht="16.5" customHeight="1" x14ac:dyDescent="0.2">
      <c r="A406" s="885"/>
      <c r="B406" s="885"/>
      <c r="C406" s="885"/>
      <c r="D406" s="885"/>
      <c r="E406" s="885"/>
      <c r="F406" s="885"/>
      <c r="G406" s="885"/>
      <c r="H406" s="885"/>
      <c r="I406" s="885"/>
      <c r="J406" s="885"/>
      <c r="K406" s="885"/>
      <c r="L406" s="885"/>
      <c r="M406" s="885"/>
      <c r="N406" s="885"/>
      <c r="O406" s="885"/>
      <c r="P406" s="885"/>
      <c r="Q406" s="885"/>
      <c r="R406" s="885"/>
      <c r="S406" s="885"/>
      <c r="T406" s="885"/>
      <c r="U406" s="885"/>
      <c r="V406" s="885"/>
      <c r="W406" s="885"/>
      <c r="X406" s="885"/>
      <c r="Y406" s="885"/>
      <c r="Z406" s="885"/>
    </row>
    <row r="407" spans="1:26" ht="16.5" customHeight="1" x14ac:dyDescent="0.2">
      <c r="A407" s="885"/>
      <c r="B407" s="885"/>
      <c r="C407" s="885"/>
      <c r="D407" s="885"/>
      <c r="E407" s="885"/>
      <c r="F407" s="885"/>
      <c r="G407" s="885"/>
      <c r="H407" s="885"/>
      <c r="I407" s="885"/>
      <c r="J407" s="885"/>
      <c r="K407" s="885"/>
      <c r="L407" s="885"/>
      <c r="M407" s="885"/>
      <c r="N407" s="885"/>
      <c r="O407" s="885"/>
      <c r="P407" s="885"/>
      <c r="Q407" s="885"/>
      <c r="R407" s="885"/>
      <c r="S407" s="885"/>
      <c r="T407" s="885"/>
      <c r="U407" s="885"/>
      <c r="V407" s="885"/>
      <c r="W407" s="885"/>
      <c r="X407" s="885"/>
      <c r="Y407" s="885"/>
      <c r="Z407" s="885"/>
    </row>
    <row r="408" spans="1:26" ht="16.5" customHeight="1" x14ac:dyDescent="0.2">
      <c r="A408" s="885"/>
      <c r="B408" s="885"/>
      <c r="C408" s="885"/>
      <c r="D408" s="885"/>
      <c r="E408" s="885"/>
      <c r="F408" s="885"/>
      <c r="G408" s="885"/>
      <c r="H408" s="885"/>
      <c r="I408" s="885"/>
      <c r="J408" s="885"/>
      <c r="K408" s="885"/>
      <c r="L408" s="885"/>
      <c r="M408" s="885"/>
      <c r="N408" s="885"/>
      <c r="O408" s="885"/>
      <c r="P408" s="885"/>
      <c r="Q408" s="885"/>
      <c r="R408" s="885"/>
      <c r="S408" s="885"/>
      <c r="T408" s="885"/>
      <c r="U408" s="885"/>
      <c r="V408" s="885"/>
      <c r="W408" s="885"/>
      <c r="X408" s="885"/>
      <c r="Y408" s="885"/>
      <c r="Z408" s="885"/>
    </row>
    <row r="409" spans="1:26" ht="16.5" customHeight="1" x14ac:dyDescent="0.2">
      <c r="A409" s="885"/>
      <c r="B409" s="885"/>
      <c r="C409" s="885"/>
      <c r="D409" s="885"/>
      <c r="E409" s="885"/>
      <c r="F409" s="885"/>
      <c r="G409" s="885"/>
      <c r="H409" s="885"/>
      <c r="I409" s="885"/>
      <c r="J409" s="885"/>
      <c r="K409" s="885"/>
      <c r="L409" s="885"/>
      <c r="M409" s="885"/>
      <c r="N409" s="885"/>
      <c r="O409" s="885"/>
      <c r="P409" s="885"/>
      <c r="Q409" s="885"/>
      <c r="R409" s="885"/>
      <c r="S409" s="885"/>
      <c r="T409" s="885"/>
      <c r="U409" s="885"/>
      <c r="V409" s="885"/>
      <c r="W409" s="885"/>
      <c r="X409" s="885"/>
      <c r="Y409" s="885"/>
      <c r="Z409" s="885"/>
    </row>
    <row r="410" spans="1:26" ht="16.5" customHeight="1" x14ac:dyDescent="0.2">
      <c r="A410" s="885"/>
      <c r="B410" s="885"/>
      <c r="C410" s="885"/>
      <c r="D410" s="885"/>
      <c r="E410" s="885"/>
      <c r="F410" s="885"/>
      <c r="G410" s="885"/>
      <c r="H410" s="885"/>
      <c r="I410" s="885"/>
      <c r="J410" s="885"/>
      <c r="K410" s="885"/>
      <c r="L410" s="885"/>
      <c r="M410" s="885"/>
      <c r="N410" s="885"/>
      <c r="O410" s="885"/>
      <c r="P410" s="885"/>
      <c r="Q410" s="885"/>
      <c r="R410" s="885"/>
      <c r="S410" s="885"/>
      <c r="T410" s="885"/>
      <c r="U410" s="885"/>
      <c r="V410" s="885"/>
      <c r="W410" s="885"/>
      <c r="X410" s="885"/>
      <c r="Y410" s="885"/>
      <c r="Z410" s="885"/>
    </row>
    <row r="411" spans="1:26" ht="16.5" customHeight="1" x14ac:dyDescent="0.2">
      <c r="A411" s="885"/>
      <c r="B411" s="885"/>
      <c r="C411" s="885"/>
      <c r="D411" s="885"/>
      <c r="E411" s="885"/>
      <c r="F411" s="885"/>
      <c r="G411" s="885"/>
      <c r="H411" s="885"/>
      <c r="I411" s="885"/>
      <c r="J411" s="885"/>
      <c r="K411" s="885"/>
      <c r="L411" s="885"/>
      <c r="M411" s="885"/>
      <c r="N411" s="885"/>
      <c r="O411" s="885"/>
      <c r="P411" s="885"/>
      <c r="Q411" s="885"/>
      <c r="R411" s="885"/>
      <c r="S411" s="885"/>
      <c r="T411" s="885"/>
      <c r="U411" s="885"/>
      <c r="V411" s="885"/>
      <c r="W411" s="885"/>
      <c r="X411" s="885"/>
      <c r="Y411" s="885"/>
      <c r="Z411" s="885"/>
    </row>
    <row r="412" spans="1:26" ht="16.5" customHeight="1" x14ac:dyDescent="0.2">
      <c r="A412" s="885"/>
      <c r="B412" s="885"/>
      <c r="C412" s="885"/>
      <c r="D412" s="885"/>
      <c r="E412" s="885"/>
      <c r="F412" s="885"/>
      <c r="G412" s="885"/>
      <c r="H412" s="885"/>
      <c r="I412" s="885"/>
      <c r="J412" s="885"/>
      <c r="K412" s="885"/>
      <c r="L412" s="885"/>
      <c r="M412" s="885"/>
      <c r="N412" s="885"/>
      <c r="O412" s="885"/>
      <c r="P412" s="885"/>
      <c r="Q412" s="885"/>
      <c r="R412" s="885"/>
      <c r="S412" s="885"/>
      <c r="T412" s="885"/>
      <c r="U412" s="885"/>
      <c r="V412" s="885"/>
      <c r="W412" s="885"/>
      <c r="X412" s="885"/>
      <c r="Y412" s="885"/>
      <c r="Z412" s="885"/>
    </row>
    <row r="413" spans="1:26" ht="16.5" customHeight="1" x14ac:dyDescent="0.2">
      <c r="A413" s="885"/>
      <c r="B413" s="885"/>
      <c r="C413" s="885"/>
      <c r="D413" s="885"/>
      <c r="E413" s="885"/>
      <c r="F413" s="885"/>
      <c r="G413" s="885"/>
      <c r="H413" s="885"/>
      <c r="I413" s="885"/>
      <c r="J413" s="885"/>
      <c r="K413" s="885"/>
      <c r="L413" s="885"/>
      <c r="M413" s="885"/>
      <c r="N413" s="885"/>
      <c r="O413" s="885"/>
      <c r="P413" s="885"/>
      <c r="Q413" s="885"/>
      <c r="R413" s="885"/>
      <c r="S413" s="885"/>
      <c r="T413" s="885"/>
      <c r="U413" s="885"/>
      <c r="V413" s="885"/>
      <c r="W413" s="885"/>
      <c r="X413" s="885"/>
      <c r="Y413" s="885"/>
      <c r="Z413" s="885"/>
    </row>
    <row r="414" spans="1:26" ht="16.5" customHeight="1" x14ac:dyDescent="0.2">
      <c r="A414" s="885"/>
      <c r="B414" s="885"/>
      <c r="C414" s="885"/>
      <c r="D414" s="885"/>
      <c r="E414" s="885"/>
      <c r="F414" s="885"/>
      <c r="G414" s="885"/>
      <c r="H414" s="885"/>
      <c r="I414" s="885"/>
      <c r="J414" s="885"/>
      <c r="K414" s="885"/>
      <c r="L414" s="885"/>
      <c r="M414" s="885"/>
      <c r="N414" s="885"/>
      <c r="O414" s="885"/>
      <c r="P414" s="885"/>
      <c r="Q414" s="885"/>
      <c r="R414" s="885"/>
      <c r="S414" s="885"/>
      <c r="T414" s="885"/>
      <c r="U414" s="885"/>
      <c r="V414" s="885"/>
      <c r="W414" s="885"/>
      <c r="X414" s="885"/>
      <c r="Y414" s="885"/>
      <c r="Z414" s="885"/>
    </row>
    <row r="415" spans="1:26" ht="16.5" customHeight="1" x14ac:dyDescent="0.2">
      <c r="A415" s="885"/>
      <c r="B415" s="885"/>
      <c r="C415" s="885"/>
      <c r="D415" s="885"/>
      <c r="E415" s="885"/>
      <c r="F415" s="885"/>
      <c r="G415" s="885"/>
      <c r="H415" s="885"/>
      <c r="I415" s="885"/>
      <c r="J415" s="885"/>
      <c r="K415" s="885"/>
      <c r="L415" s="885"/>
      <c r="M415" s="885"/>
      <c r="N415" s="885"/>
      <c r="O415" s="885"/>
      <c r="P415" s="885"/>
      <c r="Q415" s="885"/>
      <c r="R415" s="885"/>
      <c r="S415" s="885"/>
      <c r="T415" s="885"/>
      <c r="U415" s="885"/>
      <c r="V415" s="885"/>
      <c r="W415" s="885"/>
      <c r="X415" s="885"/>
      <c r="Y415" s="885"/>
      <c r="Z415" s="885"/>
    </row>
    <row r="416" spans="1:26" ht="16.5" customHeight="1" x14ac:dyDescent="0.2">
      <c r="A416" s="885"/>
      <c r="B416" s="885"/>
      <c r="C416" s="885"/>
      <c r="D416" s="885"/>
      <c r="E416" s="885"/>
      <c r="F416" s="885"/>
      <c r="G416" s="885"/>
      <c r="H416" s="885"/>
      <c r="I416" s="885"/>
      <c r="J416" s="885"/>
      <c r="K416" s="885"/>
      <c r="L416" s="885"/>
      <c r="M416" s="885"/>
      <c r="N416" s="885"/>
      <c r="O416" s="885"/>
      <c r="P416" s="885"/>
      <c r="Q416" s="885"/>
      <c r="R416" s="885"/>
      <c r="S416" s="885"/>
      <c r="T416" s="885"/>
      <c r="U416" s="885"/>
      <c r="V416" s="885"/>
      <c r="W416" s="885"/>
      <c r="X416" s="885"/>
      <c r="Y416" s="885"/>
      <c r="Z416" s="885"/>
    </row>
    <row r="417" spans="1:26" ht="16.5" customHeight="1" x14ac:dyDescent="0.2">
      <c r="A417" s="885"/>
      <c r="B417" s="885"/>
      <c r="C417" s="885"/>
      <c r="D417" s="885"/>
      <c r="E417" s="885"/>
      <c r="F417" s="885"/>
      <c r="G417" s="885"/>
      <c r="H417" s="885"/>
      <c r="I417" s="885"/>
      <c r="J417" s="885"/>
      <c r="K417" s="885"/>
      <c r="L417" s="885"/>
      <c r="M417" s="885"/>
      <c r="N417" s="885"/>
      <c r="O417" s="885"/>
      <c r="P417" s="885"/>
      <c r="Q417" s="885"/>
      <c r="R417" s="885"/>
      <c r="S417" s="885"/>
      <c r="T417" s="885"/>
      <c r="U417" s="885"/>
      <c r="V417" s="885"/>
      <c r="W417" s="885"/>
      <c r="X417" s="885"/>
      <c r="Y417" s="885"/>
      <c r="Z417" s="885"/>
    </row>
    <row r="418" spans="1:26" ht="16.5" customHeight="1" x14ac:dyDescent="0.2">
      <c r="A418" s="885"/>
      <c r="B418" s="885"/>
      <c r="C418" s="885"/>
      <c r="D418" s="885"/>
      <c r="E418" s="885"/>
      <c r="F418" s="885"/>
      <c r="G418" s="885"/>
      <c r="H418" s="885"/>
      <c r="I418" s="885"/>
      <c r="J418" s="885"/>
      <c r="K418" s="885"/>
      <c r="L418" s="885"/>
      <c r="M418" s="885"/>
      <c r="N418" s="885"/>
      <c r="O418" s="885"/>
      <c r="P418" s="885"/>
      <c r="Q418" s="885"/>
      <c r="R418" s="885"/>
      <c r="S418" s="885"/>
      <c r="T418" s="885"/>
      <c r="U418" s="885"/>
      <c r="V418" s="885"/>
      <c r="W418" s="885"/>
      <c r="X418" s="885"/>
      <c r="Y418" s="885"/>
      <c r="Z418" s="885"/>
    </row>
    <row r="419" spans="1:26" ht="16.5" customHeight="1" x14ac:dyDescent="0.2">
      <c r="A419" s="885"/>
      <c r="B419" s="885"/>
      <c r="C419" s="885"/>
      <c r="D419" s="885"/>
      <c r="E419" s="885"/>
      <c r="F419" s="885"/>
      <c r="G419" s="885"/>
      <c r="H419" s="885"/>
      <c r="I419" s="885"/>
      <c r="J419" s="885"/>
      <c r="K419" s="885"/>
      <c r="L419" s="885"/>
      <c r="M419" s="885"/>
      <c r="N419" s="885"/>
      <c r="O419" s="885"/>
      <c r="P419" s="885"/>
      <c r="Q419" s="885"/>
      <c r="R419" s="885"/>
      <c r="S419" s="885"/>
      <c r="T419" s="885"/>
      <c r="U419" s="885"/>
      <c r="V419" s="885"/>
      <c r="W419" s="885"/>
      <c r="X419" s="885"/>
      <c r="Y419" s="885"/>
      <c r="Z419" s="885"/>
    </row>
    <row r="420" spans="1:26" ht="16.5" customHeight="1" x14ac:dyDescent="0.2">
      <c r="A420" s="885"/>
      <c r="B420" s="885"/>
      <c r="C420" s="885"/>
      <c r="D420" s="885"/>
      <c r="E420" s="885"/>
      <c r="F420" s="885"/>
      <c r="G420" s="885"/>
      <c r="H420" s="885"/>
      <c r="I420" s="885"/>
      <c r="J420" s="885"/>
      <c r="K420" s="885"/>
      <c r="L420" s="885"/>
      <c r="M420" s="885"/>
      <c r="N420" s="885"/>
      <c r="O420" s="885"/>
      <c r="P420" s="885"/>
      <c r="Q420" s="885"/>
      <c r="R420" s="885"/>
      <c r="S420" s="885"/>
      <c r="T420" s="885"/>
      <c r="U420" s="885"/>
      <c r="V420" s="885"/>
      <c r="W420" s="885"/>
      <c r="X420" s="885"/>
      <c r="Y420" s="885"/>
      <c r="Z420" s="885"/>
    </row>
    <row r="421" spans="1:26" ht="16.5" customHeight="1" x14ac:dyDescent="0.2">
      <c r="A421" s="885"/>
      <c r="B421" s="885"/>
      <c r="C421" s="885"/>
      <c r="D421" s="885"/>
      <c r="E421" s="885"/>
      <c r="F421" s="885"/>
      <c r="G421" s="885"/>
      <c r="H421" s="885"/>
      <c r="I421" s="885"/>
      <c r="J421" s="885"/>
      <c r="K421" s="885"/>
      <c r="L421" s="885"/>
      <c r="M421" s="885"/>
      <c r="N421" s="885"/>
      <c r="O421" s="885"/>
      <c r="P421" s="885"/>
      <c r="Q421" s="885"/>
      <c r="R421" s="885"/>
      <c r="S421" s="885"/>
      <c r="T421" s="885"/>
      <c r="U421" s="885"/>
      <c r="V421" s="885"/>
      <c r="W421" s="885"/>
      <c r="X421" s="885"/>
      <c r="Y421" s="885"/>
      <c r="Z421" s="885"/>
    </row>
    <row r="422" spans="1:26" ht="16.5" customHeight="1" x14ac:dyDescent="0.2">
      <c r="A422" s="885"/>
      <c r="B422" s="885"/>
      <c r="C422" s="885"/>
      <c r="D422" s="885"/>
      <c r="E422" s="885"/>
      <c r="F422" s="885"/>
      <c r="G422" s="885"/>
      <c r="H422" s="885"/>
      <c r="I422" s="885"/>
      <c r="J422" s="885"/>
      <c r="K422" s="885"/>
      <c r="L422" s="885"/>
      <c r="M422" s="885"/>
      <c r="N422" s="885"/>
      <c r="O422" s="885"/>
      <c r="P422" s="885"/>
      <c r="Q422" s="885"/>
      <c r="R422" s="885"/>
      <c r="S422" s="885"/>
      <c r="T422" s="885"/>
      <c r="U422" s="885"/>
      <c r="V422" s="885"/>
      <c r="W422" s="885"/>
      <c r="X422" s="885"/>
      <c r="Y422" s="885"/>
      <c r="Z422" s="885"/>
    </row>
    <row r="423" spans="1:26" ht="16.5" customHeight="1" x14ac:dyDescent="0.2">
      <c r="A423" s="885"/>
      <c r="B423" s="885"/>
      <c r="C423" s="885"/>
      <c r="D423" s="885"/>
      <c r="E423" s="885"/>
      <c r="F423" s="885"/>
      <c r="G423" s="885"/>
      <c r="H423" s="885"/>
      <c r="I423" s="885"/>
      <c r="J423" s="885"/>
      <c r="K423" s="885"/>
      <c r="L423" s="885"/>
      <c r="M423" s="885"/>
      <c r="N423" s="885"/>
      <c r="O423" s="885"/>
      <c r="P423" s="885"/>
      <c r="Q423" s="885"/>
      <c r="R423" s="885"/>
      <c r="S423" s="885"/>
      <c r="T423" s="885"/>
      <c r="U423" s="885"/>
      <c r="V423" s="885"/>
      <c r="W423" s="885"/>
      <c r="X423" s="885"/>
      <c r="Y423" s="885"/>
      <c r="Z423" s="885"/>
    </row>
    <row r="424" spans="1:26" ht="16.5" customHeight="1" x14ac:dyDescent="0.2">
      <c r="A424" s="885"/>
      <c r="B424" s="885"/>
      <c r="C424" s="885"/>
      <c r="D424" s="885"/>
      <c r="E424" s="885"/>
      <c r="F424" s="885"/>
      <c r="G424" s="885"/>
      <c r="H424" s="885"/>
      <c r="I424" s="885"/>
      <c r="J424" s="885"/>
      <c r="K424" s="885"/>
      <c r="L424" s="885"/>
      <c r="M424" s="885"/>
      <c r="N424" s="885"/>
      <c r="O424" s="885"/>
      <c r="P424" s="885"/>
      <c r="Q424" s="885"/>
      <c r="R424" s="885"/>
      <c r="S424" s="885"/>
      <c r="T424" s="885"/>
      <c r="U424" s="885"/>
      <c r="V424" s="885"/>
      <c r="W424" s="885"/>
      <c r="X424" s="885"/>
      <c r="Y424" s="885"/>
      <c r="Z424" s="885"/>
    </row>
    <row r="425" spans="1:26" ht="16.5" customHeight="1" x14ac:dyDescent="0.2">
      <c r="A425" s="885"/>
      <c r="B425" s="885"/>
      <c r="C425" s="885"/>
      <c r="D425" s="885"/>
      <c r="E425" s="885"/>
      <c r="F425" s="885"/>
      <c r="G425" s="885"/>
      <c r="H425" s="885"/>
      <c r="I425" s="885"/>
      <c r="J425" s="885"/>
      <c r="K425" s="885"/>
      <c r="L425" s="885"/>
      <c r="M425" s="885"/>
      <c r="N425" s="885"/>
      <c r="O425" s="885"/>
      <c r="P425" s="885"/>
      <c r="Q425" s="885"/>
      <c r="R425" s="885"/>
      <c r="S425" s="885"/>
      <c r="T425" s="885"/>
      <c r="U425" s="885"/>
      <c r="V425" s="885"/>
      <c r="W425" s="885"/>
      <c r="X425" s="885"/>
      <c r="Y425" s="885"/>
      <c r="Z425" s="885"/>
    </row>
    <row r="426" spans="1:26" ht="16.5" customHeight="1" x14ac:dyDescent="0.2">
      <c r="A426" s="885"/>
      <c r="B426" s="885"/>
      <c r="C426" s="885"/>
      <c r="D426" s="885"/>
      <c r="E426" s="885"/>
      <c r="F426" s="885"/>
      <c r="G426" s="885"/>
      <c r="H426" s="885"/>
      <c r="I426" s="885"/>
      <c r="J426" s="885"/>
      <c r="K426" s="885"/>
      <c r="L426" s="885"/>
      <c r="M426" s="885"/>
      <c r="N426" s="885"/>
      <c r="O426" s="885"/>
      <c r="P426" s="885"/>
      <c r="Q426" s="885"/>
      <c r="R426" s="885"/>
      <c r="S426" s="885"/>
      <c r="T426" s="885"/>
      <c r="U426" s="885"/>
      <c r="V426" s="885"/>
      <c r="W426" s="885"/>
      <c r="X426" s="885"/>
      <c r="Y426" s="885"/>
      <c r="Z426" s="885"/>
    </row>
    <row r="427" spans="1:26" ht="16.5" customHeight="1" x14ac:dyDescent="0.2">
      <c r="A427" s="885"/>
      <c r="B427" s="885"/>
      <c r="C427" s="885"/>
      <c r="D427" s="885"/>
      <c r="E427" s="885"/>
      <c r="F427" s="885"/>
      <c r="G427" s="885"/>
      <c r="H427" s="885"/>
      <c r="I427" s="885"/>
      <c r="J427" s="885"/>
      <c r="K427" s="885"/>
      <c r="L427" s="885"/>
      <c r="M427" s="885"/>
      <c r="N427" s="885"/>
      <c r="O427" s="885"/>
      <c r="P427" s="885"/>
      <c r="Q427" s="885"/>
      <c r="R427" s="885"/>
      <c r="S427" s="885"/>
      <c r="T427" s="885"/>
      <c r="U427" s="885"/>
      <c r="V427" s="885"/>
      <c r="W427" s="885"/>
      <c r="X427" s="885"/>
      <c r="Y427" s="885"/>
      <c r="Z427" s="885"/>
    </row>
    <row r="428" spans="1:26" ht="16.5" customHeight="1" x14ac:dyDescent="0.2">
      <c r="A428" s="885"/>
      <c r="B428" s="885"/>
      <c r="C428" s="885"/>
      <c r="D428" s="885"/>
      <c r="E428" s="885"/>
      <c r="F428" s="885"/>
      <c r="G428" s="885"/>
      <c r="H428" s="885"/>
      <c r="I428" s="885"/>
      <c r="J428" s="885"/>
      <c r="K428" s="885"/>
      <c r="L428" s="885"/>
      <c r="M428" s="885"/>
      <c r="N428" s="885"/>
      <c r="O428" s="885"/>
      <c r="P428" s="885"/>
      <c r="Q428" s="885"/>
      <c r="R428" s="885"/>
      <c r="S428" s="885"/>
      <c r="T428" s="885"/>
      <c r="U428" s="885"/>
      <c r="V428" s="885"/>
      <c r="W428" s="885"/>
      <c r="X428" s="885"/>
      <c r="Y428" s="885"/>
      <c r="Z428" s="885"/>
    </row>
    <row r="429" spans="1:26" ht="16.5" customHeight="1" x14ac:dyDescent="0.2">
      <c r="A429" s="885"/>
      <c r="B429" s="885"/>
      <c r="C429" s="885"/>
      <c r="D429" s="885"/>
      <c r="E429" s="885"/>
      <c r="F429" s="885"/>
      <c r="G429" s="885"/>
      <c r="H429" s="885"/>
      <c r="I429" s="885"/>
      <c r="J429" s="885"/>
      <c r="K429" s="885"/>
      <c r="L429" s="885"/>
      <c r="M429" s="885"/>
      <c r="N429" s="885"/>
      <c r="O429" s="885"/>
      <c r="P429" s="885"/>
      <c r="Q429" s="885"/>
      <c r="R429" s="885"/>
      <c r="S429" s="885"/>
      <c r="T429" s="885"/>
      <c r="U429" s="885"/>
      <c r="V429" s="885"/>
      <c r="W429" s="885"/>
      <c r="X429" s="885"/>
      <c r="Y429" s="885"/>
      <c r="Z429" s="885"/>
    </row>
    <row r="430" spans="1:26" ht="16.5" customHeight="1" x14ac:dyDescent="0.2">
      <c r="A430" s="885"/>
      <c r="B430" s="885"/>
      <c r="C430" s="885"/>
      <c r="D430" s="885"/>
      <c r="E430" s="885"/>
      <c r="F430" s="885"/>
      <c r="G430" s="885"/>
      <c r="H430" s="885"/>
      <c r="I430" s="885"/>
      <c r="J430" s="885"/>
      <c r="K430" s="885"/>
      <c r="L430" s="885"/>
      <c r="M430" s="885"/>
      <c r="N430" s="885"/>
      <c r="O430" s="885"/>
      <c r="P430" s="885"/>
      <c r="Q430" s="885"/>
      <c r="R430" s="885"/>
      <c r="S430" s="885"/>
      <c r="T430" s="885"/>
      <c r="U430" s="885"/>
      <c r="V430" s="885"/>
      <c r="W430" s="885"/>
      <c r="X430" s="885"/>
      <c r="Y430" s="885"/>
      <c r="Z430" s="885"/>
    </row>
    <row r="431" spans="1:26" ht="16.5" customHeight="1" x14ac:dyDescent="0.2">
      <c r="A431" s="885"/>
      <c r="B431" s="885"/>
      <c r="C431" s="885"/>
      <c r="D431" s="885"/>
      <c r="E431" s="885"/>
      <c r="F431" s="885"/>
      <c r="G431" s="885"/>
      <c r="H431" s="885"/>
      <c r="I431" s="885"/>
      <c r="J431" s="885"/>
      <c r="K431" s="885"/>
      <c r="L431" s="885"/>
      <c r="M431" s="885"/>
      <c r="N431" s="885"/>
      <c r="O431" s="885"/>
      <c r="P431" s="885"/>
      <c r="Q431" s="885"/>
      <c r="R431" s="885"/>
      <c r="S431" s="885"/>
      <c r="T431" s="885"/>
      <c r="U431" s="885"/>
      <c r="V431" s="885"/>
      <c r="W431" s="885"/>
      <c r="X431" s="885"/>
      <c r="Y431" s="885"/>
      <c r="Z431" s="885"/>
    </row>
    <row r="432" spans="1:26" ht="16.5" customHeight="1" x14ac:dyDescent="0.2">
      <c r="A432" s="885"/>
      <c r="B432" s="885"/>
      <c r="C432" s="885"/>
      <c r="D432" s="885"/>
      <c r="E432" s="885"/>
      <c r="F432" s="885"/>
      <c r="G432" s="885"/>
      <c r="H432" s="885"/>
      <c r="I432" s="885"/>
      <c r="J432" s="885"/>
      <c r="K432" s="885"/>
      <c r="L432" s="885"/>
      <c r="M432" s="885"/>
      <c r="N432" s="885"/>
      <c r="O432" s="885"/>
      <c r="P432" s="885"/>
      <c r="Q432" s="885"/>
      <c r="R432" s="885"/>
      <c r="S432" s="885"/>
      <c r="T432" s="885"/>
      <c r="U432" s="885"/>
      <c r="V432" s="885"/>
      <c r="W432" s="885"/>
      <c r="X432" s="885"/>
      <c r="Y432" s="885"/>
      <c r="Z432" s="885"/>
    </row>
    <row r="433" spans="1:26" ht="16.5" customHeight="1" x14ac:dyDescent="0.2">
      <c r="A433" s="885"/>
      <c r="B433" s="885"/>
      <c r="C433" s="885"/>
      <c r="D433" s="885"/>
      <c r="E433" s="885"/>
      <c r="F433" s="885"/>
      <c r="G433" s="885"/>
      <c r="H433" s="885"/>
      <c r="I433" s="885"/>
      <c r="J433" s="885"/>
      <c r="K433" s="885"/>
      <c r="L433" s="885"/>
      <c r="M433" s="885"/>
      <c r="N433" s="885"/>
      <c r="O433" s="885"/>
      <c r="P433" s="885"/>
      <c r="Q433" s="885"/>
      <c r="R433" s="885"/>
      <c r="S433" s="885"/>
      <c r="T433" s="885"/>
      <c r="U433" s="885"/>
      <c r="V433" s="885"/>
      <c r="W433" s="885"/>
      <c r="X433" s="885"/>
      <c r="Y433" s="885"/>
      <c r="Z433" s="885"/>
    </row>
    <row r="434" spans="1:26" ht="16.5" customHeight="1" x14ac:dyDescent="0.2">
      <c r="A434" s="885"/>
      <c r="B434" s="885"/>
      <c r="C434" s="885"/>
      <c r="D434" s="885"/>
      <c r="E434" s="885"/>
      <c r="F434" s="885"/>
      <c r="G434" s="885"/>
      <c r="H434" s="885"/>
      <c r="I434" s="885"/>
      <c r="J434" s="885"/>
      <c r="K434" s="885"/>
      <c r="L434" s="885"/>
      <c r="M434" s="885"/>
      <c r="N434" s="885"/>
      <c r="O434" s="885"/>
      <c r="P434" s="885"/>
      <c r="Q434" s="885"/>
      <c r="R434" s="885"/>
      <c r="S434" s="885"/>
      <c r="T434" s="885"/>
      <c r="U434" s="885"/>
      <c r="V434" s="885"/>
      <c r="W434" s="885"/>
      <c r="X434" s="885"/>
      <c r="Y434" s="885"/>
      <c r="Z434" s="885"/>
    </row>
    <row r="435" spans="1:26" ht="16.5" customHeight="1" x14ac:dyDescent="0.2">
      <c r="A435" s="885"/>
      <c r="B435" s="885"/>
      <c r="C435" s="885"/>
      <c r="D435" s="885"/>
      <c r="E435" s="885"/>
      <c r="F435" s="885"/>
      <c r="G435" s="885"/>
      <c r="H435" s="885"/>
      <c r="I435" s="885"/>
      <c r="J435" s="885"/>
      <c r="K435" s="885"/>
      <c r="L435" s="885"/>
      <c r="M435" s="885"/>
      <c r="N435" s="885"/>
      <c r="O435" s="885"/>
      <c r="P435" s="885"/>
      <c r="Q435" s="885"/>
      <c r="R435" s="885"/>
      <c r="S435" s="885"/>
      <c r="T435" s="885"/>
      <c r="U435" s="885"/>
      <c r="V435" s="885"/>
      <c r="W435" s="885"/>
      <c r="X435" s="885"/>
      <c r="Y435" s="885"/>
      <c r="Z435" s="885"/>
    </row>
    <row r="436" spans="1:26" ht="16.5" customHeight="1" x14ac:dyDescent="0.2">
      <c r="A436" s="885"/>
      <c r="B436" s="885"/>
      <c r="C436" s="885"/>
      <c r="D436" s="885"/>
      <c r="E436" s="885"/>
      <c r="F436" s="885"/>
      <c r="G436" s="885"/>
      <c r="H436" s="885"/>
      <c r="I436" s="885"/>
      <c r="J436" s="885"/>
      <c r="K436" s="885"/>
      <c r="L436" s="885"/>
      <c r="M436" s="885"/>
      <c r="N436" s="885"/>
      <c r="O436" s="885"/>
      <c r="P436" s="885"/>
      <c r="Q436" s="885"/>
      <c r="R436" s="885"/>
      <c r="S436" s="885"/>
      <c r="T436" s="885"/>
      <c r="U436" s="885"/>
      <c r="V436" s="885"/>
      <c r="W436" s="885"/>
      <c r="X436" s="885"/>
      <c r="Y436" s="885"/>
      <c r="Z436" s="885"/>
    </row>
    <row r="437" spans="1:26" ht="16.5" customHeight="1" x14ac:dyDescent="0.2">
      <c r="A437" s="885"/>
      <c r="B437" s="885"/>
      <c r="C437" s="885"/>
      <c r="D437" s="885"/>
      <c r="E437" s="885"/>
      <c r="F437" s="885"/>
      <c r="G437" s="885"/>
      <c r="H437" s="885"/>
      <c r="I437" s="885"/>
      <c r="J437" s="885"/>
      <c r="K437" s="885"/>
      <c r="L437" s="885"/>
      <c r="M437" s="885"/>
      <c r="N437" s="885"/>
      <c r="O437" s="885"/>
      <c r="P437" s="885"/>
      <c r="Q437" s="885"/>
      <c r="R437" s="885"/>
      <c r="S437" s="885"/>
      <c r="T437" s="885"/>
      <c r="U437" s="885"/>
      <c r="V437" s="885"/>
      <c r="W437" s="885"/>
      <c r="X437" s="885"/>
      <c r="Y437" s="885"/>
      <c r="Z437" s="885"/>
    </row>
    <row r="438" spans="1:26" ht="16.5" customHeight="1" x14ac:dyDescent="0.2">
      <c r="A438" s="885"/>
      <c r="B438" s="885"/>
      <c r="C438" s="885"/>
      <c r="D438" s="885"/>
      <c r="E438" s="885"/>
      <c r="F438" s="885"/>
      <c r="G438" s="885"/>
      <c r="H438" s="885"/>
      <c r="I438" s="885"/>
      <c r="J438" s="885"/>
      <c r="K438" s="885"/>
      <c r="L438" s="885"/>
      <c r="M438" s="885"/>
      <c r="N438" s="885"/>
      <c r="O438" s="885"/>
      <c r="P438" s="885"/>
      <c r="Q438" s="885"/>
      <c r="R438" s="885"/>
      <c r="S438" s="885"/>
      <c r="T438" s="885"/>
      <c r="U438" s="885"/>
      <c r="V438" s="885"/>
      <c r="W438" s="885"/>
      <c r="X438" s="885"/>
      <c r="Y438" s="885"/>
      <c r="Z438" s="885"/>
    </row>
    <row r="439" spans="1:26" ht="16.5" customHeight="1" x14ac:dyDescent="0.2">
      <c r="A439" s="885"/>
      <c r="B439" s="885"/>
      <c r="C439" s="885"/>
      <c r="D439" s="885"/>
      <c r="E439" s="885"/>
      <c r="F439" s="885"/>
      <c r="G439" s="885"/>
      <c r="H439" s="885"/>
      <c r="I439" s="885"/>
      <c r="J439" s="885"/>
      <c r="K439" s="885"/>
      <c r="L439" s="885"/>
      <c r="M439" s="885"/>
      <c r="N439" s="885"/>
      <c r="O439" s="885"/>
      <c r="P439" s="885"/>
      <c r="Q439" s="885"/>
      <c r="R439" s="885"/>
      <c r="S439" s="885"/>
      <c r="T439" s="885"/>
      <c r="U439" s="885"/>
      <c r="V439" s="885"/>
      <c r="W439" s="885"/>
      <c r="X439" s="885"/>
      <c r="Y439" s="885"/>
      <c r="Z439" s="885"/>
    </row>
    <row r="440" spans="1:26" ht="16.5" customHeight="1" x14ac:dyDescent="0.2">
      <c r="A440" s="885"/>
      <c r="B440" s="885"/>
      <c r="C440" s="885"/>
      <c r="D440" s="885"/>
      <c r="E440" s="885"/>
      <c r="F440" s="885"/>
      <c r="G440" s="885"/>
      <c r="H440" s="885"/>
      <c r="I440" s="885"/>
      <c r="J440" s="885"/>
      <c r="K440" s="885"/>
      <c r="L440" s="885"/>
      <c r="M440" s="885"/>
      <c r="N440" s="885"/>
      <c r="O440" s="885"/>
      <c r="P440" s="885"/>
      <c r="Q440" s="885"/>
      <c r="R440" s="885"/>
      <c r="S440" s="885"/>
      <c r="T440" s="885"/>
      <c r="U440" s="885"/>
      <c r="V440" s="885"/>
      <c r="W440" s="885"/>
      <c r="X440" s="885"/>
      <c r="Y440" s="885"/>
      <c r="Z440" s="885"/>
    </row>
    <row r="441" spans="1:26" ht="16.5" customHeight="1" x14ac:dyDescent="0.2">
      <c r="A441" s="885"/>
      <c r="B441" s="885"/>
      <c r="C441" s="885"/>
      <c r="D441" s="885"/>
      <c r="E441" s="885"/>
      <c r="F441" s="885"/>
      <c r="G441" s="885"/>
      <c r="H441" s="885"/>
      <c r="I441" s="885"/>
      <c r="J441" s="885"/>
      <c r="K441" s="885"/>
      <c r="L441" s="885"/>
      <c r="M441" s="885"/>
      <c r="N441" s="885"/>
      <c r="O441" s="885"/>
      <c r="P441" s="885"/>
      <c r="Q441" s="885"/>
      <c r="R441" s="885"/>
      <c r="S441" s="885"/>
      <c r="T441" s="885"/>
      <c r="U441" s="885"/>
      <c r="V441" s="885"/>
      <c r="W441" s="885"/>
      <c r="X441" s="885"/>
      <c r="Y441" s="885"/>
      <c r="Z441" s="885"/>
    </row>
    <row r="442" spans="1:26" ht="16.5" customHeight="1" x14ac:dyDescent="0.2">
      <c r="A442" s="885"/>
      <c r="B442" s="885"/>
      <c r="C442" s="885"/>
      <c r="D442" s="885"/>
      <c r="E442" s="885"/>
      <c r="F442" s="885"/>
      <c r="G442" s="885"/>
      <c r="H442" s="885"/>
      <c r="I442" s="885"/>
      <c r="J442" s="885"/>
      <c r="K442" s="885"/>
      <c r="L442" s="885"/>
      <c r="M442" s="885"/>
      <c r="N442" s="885"/>
      <c r="O442" s="885"/>
      <c r="P442" s="885"/>
      <c r="Q442" s="885"/>
      <c r="R442" s="885"/>
      <c r="S442" s="885"/>
      <c r="T442" s="885"/>
      <c r="U442" s="885"/>
      <c r="V442" s="885"/>
      <c r="W442" s="885"/>
      <c r="X442" s="885"/>
      <c r="Y442" s="885"/>
      <c r="Z442" s="885"/>
    </row>
    <row r="443" spans="1:26" ht="16.5" customHeight="1" x14ac:dyDescent="0.2">
      <c r="A443" s="885"/>
      <c r="B443" s="885"/>
      <c r="C443" s="885"/>
      <c r="D443" s="885"/>
      <c r="E443" s="885"/>
      <c r="F443" s="885"/>
      <c r="G443" s="885"/>
      <c r="H443" s="885"/>
      <c r="I443" s="885"/>
      <c r="J443" s="885"/>
      <c r="K443" s="885"/>
      <c r="L443" s="885"/>
      <c r="M443" s="885"/>
      <c r="N443" s="885"/>
      <c r="O443" s="885"/>
      <c r="P443" s="885"/>
      <c r="Q443" s="885"/>
      <c r="R443" s="885"/>
      <c r="S443" s="885"/>
      <c r="T443" s="885"/>
      <c r="U443" s="885"/>
      <c r="V443" s="885"/>
      <c r="W443" s="885"/>
      <c r="X443" s="885"/>
      <c r="Y443" s="885"/>
      <c r="Z443" s="885"/>
    </row>
    <row r="444" spans="1:26" ht="16.5" customHeight="1" x14ac:dyDescent="0.2">
      <c r="A444" s="885"/>
      <c r="B444" s="885"/>
      <c r="C444" s="885"/>
      <c r="D444" s="885"/>
      <c r="E444" s="885"/>
      <c r="F444" s="885"/>
      <c r="G444" s="885"/>
      <c r="H444" s="885"/>
      <c r="I444" s="885"/>
      <c r="J444" s="885"/>
      <c r="K444" s="885"/>
      <c r="L444" s="885"/>
      <c r="M444" s="885"/>
      <c r="N444" s="885"/>
      <c r="O444" s="885"/>
      <c r="P444" s="885"/>
      <c r="Q444" s="885"/>
      <c r="R444" s="885"/>
      <c r="S444" s="885"/>
      <c r="T444" s="885"/>
      <c r="U444" s="885"/>
      <c r="V444" s="885"/>
      <c r="W444" s="885"/>
      <c r="X444" s="885"/>
      <c r="Y444" s="885"/>
      <c r="Z444" s="885"/>
    </row>
    <row r="445" spans="1:26" ht="16.5" customHeight="1" x14ac:dyDescent="0.2">
      <c r="A445" s="885"/>
      <c r="B445" s="885"/>
      <c r="C445" s="885"/>
      <c r="D445" s="885"/>
      <c r="E445" s="885"/>
      <c r="F445" s="885"/>
      <c r="G445" s="885"/>
      <c r="H445" s="885"/>
      <c r="I445" s="885"/>
      <c r="J445" s="885"/>
      <c r="K445" s="885"/>
      <c r="L445" s="885"/>
      <c r="M445" s="885"/>
      <c r="N445" s="885"/>
      <c r="O445" s="885"/>
      <c r="P445" s="885"/>
      <c r="Q445" s="885"/>
      <c r="R445" s="885"/>
      <c r="S445" s="885"/>
      <c r="T445" s="885"/>
      <c r="U445" s="885"/>
      <c r="V445" s="885"/>
      <c r="W445" s="885"/>
      <c r="X445" s="885"/>
      <c r="Y445" s="885"/>
      <c r="Z445" s="885"/>
    </row>
    <row r="446" spans="1:26" ht="16.5" customHeight="1" x14ac:dyDescent="0.2">
      <c r="A446" s="885"/>
      <c r="B446" s="885"/>
      <c r="C446" s="885"/>
      <c r="D446" s="885"/>
      <c r="E446" s="885"/>
      <c r="F446" s="885"/>
      <c r="G446" s="885"/>
      <c r="H446" s="885"/>
      <c r="I446" s="885"/>
      <c r="J446" s="885"/>
      <c r="K446" s="885"/>
      <c r="L446" s="885"/>
      <c r="M446" s="885"/>
      <c r="N446" s="885"/>
      <c r="O446" s="885"/>
      <c r="P446" s="885"/>
      <c r="Q446" s="885"/>
      <c r="R446" s="885"/>
      <c r="S446" s="885"/>
      <c r="T446" s="885"/>
      <c r="U446" s="885"/>
      <c r="V446" s="885"/>
      <c r="W446" s="885"/>
      <c r="X446" s="885"/>
      <c r="Y446" s="885"/>
      <c r="Z446" s="885"/>
    </row>
    <row r="447" spans="1:26" ht="16.5" customHeight="1" x14ac:dyDescent="0.2">
      <c r="A447" s="885"/>
      <c r="B447" s="885"/>
      <c r="C447" s="885"/>
      <c r="D447" s="885"/>
      <c r="E447" s="885"/>
      <c r="F447" s="885"/>
      <c r="G447" s="885"/>
      <c r="H447" s="885"/>
      <c r="I447" s="885"/>
      <c r="J447" s="885"/>
      <c r="K447" s="885"/>
      <c r="L447" s="885"/>
      <c r="M447" s="885"/>
      <c r="N447" s="885"/>
      <c r="O447" s="885"/>
      <c r="P447" s="885"/>
      <c r="Q447" s="885"/>
      <c r="R447" s="885"/>
      <c r="S447" s="885"/>
      <c r="T447" s="885"/>
      <c r="U447" s="885"/>
      <c r="V447" s="885"/>
      <c r="W447" s="885"/>
      <c r="X447" s="885"/>
      <c r="Y447" s="885"/>
      <c r="Z447" s="885"/>
    </row>
    <row r="448" spans="1:26" ht="16.5" customHeight="1" x14ac:dyDescent="0.2">
      <c r="A448" s="885"/>
      <c r="B448" s="885"/>
      <c r="C448" s="885"/>
      <c r="D448" s="885"/>
      <c r="E448" s="885"/>
      <c r="F448" s="885"/>
      <c r="G448" s="885"/>
      <c r="H448" s="885"/>
      <c r="I448" s="885"/>
      <c r="J448" s="885"/>
      <c r="K448" s="885"/>
      <c r="L448" s="885"/>
      <c r="M448" s="885"/>
      <c r="N448" s="885"/>
      <c r="O448" s="885"/>
      <c r="P448" s="885"/>
      <c r="Q448" s="885"/>
      <c r="R448" s="885"/>
      <c r="S448" s="885"/>
      <c r="T448" s="885"/>
      <c r="U448" s="885"/>
      <c r="V448" s="885"/>
      <c r="W448" s="885"/>
      <c r="X448" s="885"/>
      <c r="Y448" s="885"/>
      <c r="Z448" s="885"/>
    </row>
    <row r="449" spans="1:26" ht="16.5" customHeight="1" x14ac:dyDescent="0.2">
      <c r="A449" s="885"/>
      <c r="B449" s="885"/>
      <c r="C449" s="885"/>
      <c r="D449" s="885"/>
      <c r="E449" s="885"/>
      <c r="F449" s="885"/>
      <c r="G449" s="885"/>
      <c r="H449" s="885"/>
      <c r="I449" s="885"/>
      <c r="J449" s="885"/>
      <c r="K449" s="885"/>
      <c r="L449" s="885"/>
      <c r="M449" s="885"/>
      <c r="N449" s="885"/>
      <c r="O449" s="885"/>
      <c r="P449" s="885"/>
      <c r="Q449" s="885"/>
      <c r="R449" s="885"/>
      <c r="S449" s="885"/>
      <c r="T449" s="885"/>
      <c r="U449" s="885"/>
      <c r="V449" s="885"/>
      <c r="W449" s="885"/>
      <c r="X449" s="885"/>
      <c r="Y449" s="885"/>
      <c r="Z449" s="885"/>
    </row>
    <row r="450" spans="1:26" ht="16.5" customHeight="1" x14ac:dyDescent="0.2">
      <c r="A450" s="885"/>
      <c r="B450" s="885"/>
      <c r="C450" s="885"/>
      <c r="D450" s="885"/>
      <c r="E450" s="885"/>
      <c r="F450" s="885"/>
      <c r="G450" s="885"/>
      <c r="H450" s="885"/>
      <c r="I450" s="885"/>
      <c r="J450" s="885"/>
      <c r="K450" s="885"/>
      <c r="L450" s="885"/>
      <c r="M450" s="885"/>
      <c r="N450" s="885"/>
      <c r="O450" s="885"/>
      <c r="P450" s="885"/>
      <c r="Q450" s="885"/>
      <c r="R450" s="885"/>
      <c r="S450" s="885"/>
      <c r="T450" s="885"/>
      <c r="U450" s="885"/>
      <c r="V450" s="885"/>
      <c r="W450" s="885"/>
      <c r="X450" s="885"/>
      <c r="Y450" s="885"/>
      <c r="Z450" s="885"/>
    </row>
    <row r="451" spans="1:26" ht="16.5" customHeight="1" x14ac:dyDescent="0.2">
      <c r="A451" s="885"/>
      <c r="B451" s="885"/>
      <c r="C451" s="885"/>
      <c r="D451" s="885"/>
      <c r="E451" s="885"/>
      <c r="F451" s="885"/>
      <c r="G451" s="885"/>
      <c r="H451" s="885"/>
      <c r="I451" s="885"/>
      <c r="J451" s="885"/>
      <c r="K451" s="885"/>
      <c r="L451" s="885"/>
      <c r="M451" s="885"/>
      <c r="N451" s="885"/>
      <c r="O451" s="885"/>
      <c r="P451" s="885"/>
      <c r="Q451" s="885"/>
      <c r="R451" s="885"/>
      <c r="S451" s="885"/>
      <c r="T451" s="885"/>
      <c r="U451" s="885"/>
      <c r="V451" s="885"/>
      <c r="W451" s="885"/>
      <c r="X451" s="885"/>
      <c r="Y451" s="885"/>
      <c r="Z451" s="885"/>
    </row>
    <row r="452" spans="1:26" ht="16.5" customHeight="1" x14ac:dyDescent="0.2">
      <c r="A452" s="885"/>
      <c r="B452" s="885"/>
      <c r="C452" s="885"/>
      <c r="D452" s="885"/>
      <c r="E452" s="885"/>
      <c r="F452" s="885"/>
      <c r="G452" s="885"/>
      <c r="H452" s="885"/>
      <c r="I452" s="885"/>
      <c r="J452" s="885"/>
      <c r="K452" s="885"/>
      <c r="L452" s="885"/>
      <c r="M452" s="885"/>
      <c r="N452" s="885"/>
      <c r="O452" s="885"/>
      <c r="P452" s="885"/>
      <c r="Q452" s="885"/>
      <c r="R452" s="885"/>
      <c r="S452" s="885"/>
      <c r="T452" s="885"/>
      <c r="U452" s="885"/>
      <c r="V452" s="885"/>
      <c r="W452" s="885"/>
      <c r="X452" s="885"/>
      <c r="Y452" s="885"/>
      <c r="Z452" s="885"/>
    </row>
    <row r="453" spans="1:26" ht="16.5" customHeight="1" x14ac:dyDescent="0.2">
      <c r="A453" s="885"/>
      <c r="B453" s="885"/>
      <c r="C453" s="885"/>
      <c r="D453" s="885"/>
      <c r="E453" s="885"/>
      <c r="F453" s="885"/>
      <c r="G453" s="885"/>
      <c r="H453" s="885"/>
      <c r="I453" s="885"/>
      <c r="J453" s="885"/>
      <c r="K453" s="885"/>
      <c r="L453" s="885"/>
      <c r="M453" s="885"/>
      <c r="N453" s="885"/>
      <c r="O453" s="885"/>
      <c r="P453" s="885"/>
      <c r="Q453" s="885"/>
      <c r="R453" s="885"/>
      <c r="S453" s="885"/>
      <c r="T453" s="885"/>
      <c r="U453" s="885"/>
      <c r="V453" s="885"/>
      <c r="W453" s="885"/>
      <c r="X453" s="885"/>
      <c r="Y453" s="885"/>
      <c r="Z453" s="885"/>
    </row>
    <row r="454" spans="1:26" ht="16.5" customHeight="1" x14ac:dyDescent="0.2">
      <c r="A454" s="885"/>
      <c r="B454" s="885"/>
      <c r="C454" s="885"/>
      <c r="D454" s="885"/>
      <c r="E454" s="885"/>
      <c r="F454" s="885"/>
      <c r="G454" s="885"/>
      <c r="H454" s="885"/>
      <c r="I454" s="885"/>
      <c r="J454" s="885"/>
      <c r="K454" s="885"/>
      <c r="L454" s="885"/>
      <c r="M454" s="885"/>
      <c r="N454" s="885"/>
      <c r="O454" s="885"/>
      <c r="P454" s="885"/>
      <c r="Q454" s="885"/>
      <c r="R454" s="885"/>
      <c r="S454" s="885"/>
      <c r="T454" s="885"/>
      <c r="U454" s="885"/>
      <c r="V454" s="885"/>
      <c r="W454" s="885"/>
      <c r="X454" s="885"/>
      <c r="Y454" s="885"/>
      <c r="Z454" s="885"/>
    </row>
    <row r="455" spans="1:26" ht="16.5" customHeight="1" x14ac:dyDescent="0.2">
      <c r="A455" s="885"/>
      <c r="B455" s="885"/>
      <c r="C455" s="885"/>
      <c r="D455" s="885"/>
      <c r="E455" s="885"/>
      <c r="F455" s="885"/>
      <c r="G455" s="885"/>
      <c r="H455" s="885"/>
      <c r="I455" s="885"/>
      <c r="J455" s="885"/>
      <c r="K455" s="885"/>
      <c r="L455" s="885"/>
      <c r="M455" s="885"/>
      <c r="N455" s="885"/>
      <c r="O455" s="885"/>
      <c r="P455" s="885"/>
      <c r="Q455" s="885"/>
      <c r="R455" s="885"/>
      <c r="S455" s="885"/>
      <c r="T455" s="885"/>
      <c r="U455" s="885"/>
      <c r="V455" s="885"/>
      <c r="W455" s="885"/>
      <c r="X455" s="885"/>
      <c r="Y455" s="885"/>
      <c r="Z455" s="885"/>
    </row>
    <row r="456" spans="1:26" ht="16.5" customHeight="1" x14ac:dyDescent="0.2">
      <c r="A456" s="885"/>
      <c r="B456" s="885"/>
      <c r="C456" s="885"/>
      <c r="D456" s="885"/>
      <c r="E456" s="885"/>
      <c r="F456" s="885"/>
      <c r="G456" s="885"/>
      <c r="H456" s="885"/>
      <c r="I456" s="885"/>
      <c r="J456" s="885"/>
      <c r="K456" s="885"/>
      <c r="L456" s="885"/>
      <c r="M456" s="885"/>
      <c r="N456" s="885"/>
      <c r="O456" s="885"/>
      <c r="P456" s="885"/>
      <c r="Q456" s="885"/>
      <c r="R456" s="885"/>
      <c r="S456" s="885"/>
      <c r="T456" s="885"/>
      <c r="U456" s="885"/>
      <c r="V456" s="885"/>
      <c r="W456" s="885"/>
      <c r="X456" s="885"/>
      <c r="Y456" s="885"/>
      <c r="Z456" s="885"/>
    </row>
    <row r="457" spans="1:26" ht="16.5" customHeight="1" x14ac:dyDescent="0.2">
      <c r="A457" s="885"/>
      <c r="B457" s="885"/>
      <c r="C457" s="885"/>
      <c r="D457" s="885"/>
      <c r="E457" s="885"/>
      <c r="F457" s="885"/>
      <c r="G457" s="885"/>
      <c r="H457" s="885"/>
      <c r="I457" s="885"/>
      <c r="J457" s="885"/>
      <c r="K457" s="885"/>
      <c r="L457" s="885"/>
      <c r="M457" s="885"/>
      <c r="N457" s="885"/>
      <c r="O457" s="885"/>
      <c r="P457" s="885"/>
      <c r="Q457" s="885"/>
      <c r="R457" s="885"/>
      <c r="S457" s="885"/>
      <c r="T457" s="885"/>
      <c r="U457" s="885"/>
      <c r="V457" s="885"/>
      <c r="W457" s="885"/>
      <c r="X457" s="885"/>
      <c r="Y457" s="885"/>
      <c r="Z457" s="885"/>
    </row>
    <row r="458" spans="1:26" ht="16.5" customHeight="1" x14ac:dyDescent="0.2">
      <c r="A458" s="885"/>
      <c r="B458" s="885"/>
      <c r="C458" s="885"/>
      <c r="D458" s="885"/>
      <c r="E458" s="885"/>
      <c r="F458" s="885"/>
      <c r="G458" s="885"/>
      <c r="H458" s="885"/>
      <c r="I458" s="885"/>
      <c r="J458" s="885"/>
      <c r="K458" s="885"/>
      <c r="L458" s="885"/>
      <c r="M458" s="885"/>
      <c r="N458" s="885"/>
      <c r="O458" s="885"/>
      <c r="P458" s="885"/>
      <c r="Q458" s="885"/>
      <c r="R458" s="885"/>
      <c r="S458" s="885"/>
      <c r="T458" s="885"/>
      <c r="U458" s="885"/>
      <c r="V458" s="885"/>
      <c r="W458" s="885"/>
      <c r="X458" s="885"/>
      <c r="Y458" s="885"/>
      <c r="Z458" s="885"/>
    </row>
    <row r="459" spans="1:26" ht="16.5" customHeight="1" x14ac:dyDescent="0.2">
      <c r="A459" s="885"/>
      <c r="B459" s="885"/>
      <c r="C459" s="885"/>
      <c r="D459" s="885"/>
      <c r="E459" s="885"/>
      <c r="F459" s="885"/>
      <c r="G459" s="885"/>
      <c r="H459" s="885"/>
      <c r="I459" s="885"/>
      <c r="J459" s="885"/>
      <c r="K459" s="885"/>
      <c r="L459" s="885"/>
      <c r="M459" s="885"/>
      <c r="N459" s="885"/>
      <c r="O459" s="885"/>
      <c r="P459" s="885"/>
      <c r="Q459" s="885"/>
      <c r="R459" s="885"/>
      <c r="S459" s="885"/>
      <c r="T459" s="885"/>
      <c r="U459" s="885"/>
      <c r="V459" s="885"/>
      <c r="W459" s="885"/>
      <c r="X459" s="885"/>
      <c r="Y459" s="885"/>
      <c r="Z459" s="885"/>
    </row>
    <row r="460" spans="1:26" ht="16.5" customHeight="1" x14ac:dyDescent="0.2">
      <c r="A460" s="885"/>
      <c r="B460" s="885"/>
      <c r="C460" s="885"/>
      <c r="D460" s="885"/>
      <c r="E460" s="885"/>
      <c r="F460" s="885"/>
      <c r="G460" s="885"/>
      <c r="H460" s="885"/>
      <c r="I460" s="885"/>
      <c r="J460" s="885"/>
      <c r="K460" s="885"/>
      <c r="L460" s="885"/>
      <c r="M460" s="885"/>
      <c r="N460" s="885"/>
      <c r="O460" s="885"/>
      <c r="P460" s="885"/>
      <c r="Q460" s="885"/>
      <c r="R460" s="885"/>
      <c r="S460" s="885"/>
      <c r="T460" s="885"/>
      <c r="U460" s="885"/>
      <c r="V460" s="885"/>
      <c r="W460" s="885"/>
      <c r="X460" s="885"/>
      <c r="Y460" s="885"/>
      <c r="Z460" s="885"/>
    </row>
    <row r="461" spans="1:26" ht="16.5" customHeight="1" x14ac:dyDescent="0.2">
      <c r="A461" s="885"/>
      <c r="B461" s="885"/>
      <c r="C461" s="885"/>
      <c r="D461" s="885"/>
      <c r="E461" s="885"/>
      <c r="F461" s="885"/>
      <c r="G461" s="885"/>
      <c r="H461" s="885"/>
      <c r="I461" s="885"/>
      <c r="J461" s="885"/>
      <c r="K461" s="885"/>
      <c r="L461" s="885"/>
      <c r="M461" s="885"/>
      <c r="N461" s="885"/>
      <c r="O461" s="885"/>
      <c r="P461" s="885"/>
      <c r="Q461" s="885"/>
      <c r="R461" s="885"/>
      <c r="S461" s="885"/>
      <c r="T461" s="885"/>
      <c r="U461" s="885"/>
      <c r="V461" s="885"/>
      <c r="W461" s="885"/>
      <c r="X461" s="885"/>
      <c r="Y461" s="885"/>
      <c r="Z461" s="885"/>
    </row>
    <row r="462" spans="1:26" ht="16.5" customHeight="1" x14ac:dyDescent="0.2">
      <c r="A462" s="885"/>
      <c r="B462" s="885"/>
      <c r="C462" s="885"/>
      <c r="D462" s="885"/>
      <c r="E462" s="885"/>
      <c r="F462" s="885"/>
      <c r="G462" s="885"/>
      <c r="H462" s="885"/>
      <c r="I462" s="885"/>
      <c r="J462" s="885"/>
      <c r="K462" s="885"/>
      <c r="L462" s="885"/>
      <c r="M462" s="885"/>
      <c r="N462" s="885"/>
      <c r="O462" s="885"/>
      <c r="P462" s="885"/>
      <c r="Q462" s="885"/>
      <c r="R462" s="885"/>
      <c r="S462" s="885"/>
      <c r="T462" s="885"/>
      <c r="U462" s="885"/>
      <c r="V462" s="885"/>
      <c r="W462" s="885"/>
      <c r="X462" s="885"/>
      <c r="Y462" s="885"/>
      <c r="Z462" s="885"/>
    </row>
    <row r="463" spans="1:26" ht="16.5" customHeight="1" x14ac:dyDescent="0.2">
      <c r="A463" s="885"/>
      <c r="B463" s="885"/>
      <c r="C463" s="885"/>
      <c r="D463" s="885"/>
      <c r="E463" s="885"/>
      <c r="F463" s="885"/>
      <c r="G463" s="885"/>
      <c r="H463" s="885"/>
      <c r="I463" s="885"/>
      <c r="J463" s="885"/>
      <c r="K463" s="885"/>
      <c r="L463" s="885"/>
      <c r="M463" s="885"/>
      <c r="N463" s="885"/>
      <c r="O463" s="885"/>
      <c r="P463" s="885"/>
      <c r="Q463" s="885"/>
      <c r="R463" s="885"/>
      <c r="S463" s="885"/>
      <c r="T463" s="885"/>
      <c r="U463" s="885"/>
      <c r="V463" s="885"/>
      <c r="W463" s="885"/>
      <c r="X463" s="885"/>
      <c r="Y463" s="885"/>
      <c r="Z463" s="885"/>
    </row>
    <row r="464" spans="1:26" ht="16.5" customHeight="1" x14ac:dyDescent="0.2">
      <c r="A464" s="885"/>
      <c r="B464" s="885"/>
      <c r="C464" s="885"/>
      <c r="D464" s="885"/>
      <c r="E464" s="885"/>
      <c r="F464" s="885"/>
      <c r="G464" s="885"/>
      <c r="H464" s="885"/>
      <c r="I464" s="885"/>
      <c r="J464" s="885"/>
      <c r="K464" s="885"/>
      <c r="L464" s="885"/>
      <c r="M464" s="885"/>
      <c r="N464" s="885"/>
      <c r="O464" s="885"/>
      <c r="P464" s="885"/>
      <c r="Q464" s="885"/>
      <c r="R464" s="885"/>
      <c r="S464" s="885"/>
      <c r="T464" s="885"/>
      <c r="U464" s="885"/>
      <c r="V464" s="885"/>
      <c r="W464" s="885"/>
      <c r="X464" s="885"/>
      <c r="Y464" s="885"/>
      <c r="Z464" s="885"/>
    </row>
    <row r="465" spans="1:26" ht="16.5" customHeight="1" x14ac:dyDescent="0.2">
      <c r="A465" s="885"/>
      <c r="B465" s="885"/>
      <c r="C465" s="885"/>
      <c r="D465" s="885"/>
      <c r="E465" s="885"/>
      <c r="F465" s="885"/>
      <c r="G465" s="885"/>
      <c r="H465" s="885"/>
      <c r="I465" s="885"/>
      <c r="J465" s="885"/>
      <c r="K465" s="885"/>
      <c r="L465" s="885"/>
      <c r="M465" s="885"/>
      <c r="N465" s="885"/>
      <c r="O465" s="885"/>
      <c r="P465" s="885"/>
      <c r="Q465" s="885"/>
      <c r="R465" s="885"/>
      <c r="S465" s="885"/>
      <c r="T465" s="885"/>
      <c r="U465" s="885"/>
      <c r="V465" s="885"/>
      <c r="W465" s="885"/>
      <c r="X465" s="885"/>
      <c r="Y465" s="885"/>
      <c r="Z465" s="885"/>
    </row>
    <row r="466" spans="1:26" ht="16.5" customHeight="1" x14ac:dyDescent="0.2">
      <c r="A466" s="885"/>
      <c r="B466" s="885"/>
      <c r="C466" s="885"/>
      <c r="D466" s="885"/>
      <c r="E466" s="885"/>
      <c r="F466" s="885"/>
      <c r="G466" s="885"/>
      <c r="H466" s="885"/>
      <c r="I466" s="885"/>
      <c r="J466" s="885"/>
      <c r="K466" s="885"/>
      <c r="L466" s="885"/>
      <c r="M466" s="885"/>
      <c r="N466" s="885"/>
      <c r="O466" s="885"/>
      <c r="P466" s="885"/>
      <c r="Q466" s="885"/>
      <c r="R466" s="885"/>
      <c r="S466" s="885"/>
      <c r="T466" s="885"/>
      <c r="U466" s="885"/>
      <c r="V466" s="885"/>
      <c r="W466" s="885"/>
      <c r="X466" s="885"/>
      <c r="Y466" s="885"/>
      <c r="Z466" s="885"/>
    </row>
    <row r="467" spans="1:26" ht="16.5" customHeight="1" x14ac:dyDescent="0.2">
      <c r="A467" s="885"/>
      <c r="B467" s="885"/>
      <c r="C467" s="885"/>
      <c r="D467" s="885"/>
      <c r="E467" s="885"/>
      <c r="F467" s="885"/>
      <c r="G467" s="885"/>
      <c r="H467" s="885"/>
      <c r="I467" s="885"/>
      <c r="J467" s="885"/>
      <c r="K467" s="885"/>
      <c r="L467" s="885"/>
      <c r="M467" s="885"/>
      <c r="N467" s="885"/>
      <c r="O467" s="885"/>
      <c r="P467" s="885"/>
      <c r="Q467" s="885"/>
      <c r="R467" s="885"/>
      <c r="S467" s="885"/>
      <c r="T467" s="885"/>
      <c r="U467" s="885"/>
      <c r="V467" s="885"/>
      <c r="W467" s="885"/>
      <c r="X467" s="885"/>
      <c r="Y467" s="885"/>
      <c r="Z467" s="885"/>
    </row>
    <row r="468" spans="1:26" ht="16.5" customHeight="1" x14ac:dyDescent="0.2">
      <c r="A468" s="885"/>
      <c r="B468" s="885"/>
      <c r="C468" s="885"/>
      <c r="D468" s="885"/>
      <c r="E468" s="885"/>
      <c r="F468" s="885"/>
      <c r="G468" s="885"/>
      <c r="H468" s="885"/>
      <c r="I468" s="885"/>
      <c r="J468" s="885"/>
      <c r="K468" s="885"/>
      <c r="L468" s="885"/>
      <c r="M468" s="885"/>
      <c r="N468" s="885"/>
      <c r="O468" s="885"/>
      <c r="P468" s="885"/>
      <c r="Q468" s="885"/>
      <c r="R468" s="885"/>
      <c r="S468" s="885"/>
      <c r="T468" s="885"/>
      <c r="U468" s="885"/>
      <c r="V468" s="885"/>
      <c r="W468" s="885"/>
      <c r="X468" s="885"/>
      <c r="Y468" s="885"/>
      <c r="Z468" s="885"/>
    </row>
    <row r="469" spans="1:26" ht="16.5" customHeight="1" x14ac:dyDescent="0.2">
      <c r="A469" s="885"/>
      <c r="B469" s="885"/>
      <c r="C469" s="885"/>
      <c r="D469" s="885"/>
      <c r="E469" s="885"/>
      <c r="F469" s="885"/>
      <c r="G469" s="885"/>
      <c r="H469" s="885"/>
      <c r="I469" s="885"/>
      <c r="J469" s="885"/>
      <c r="K469" s="885"/>
      <c r="L469" s="885"/>
      <c r="M469" s="885"/>
      <c r="N469" s="885"/>
      <c r="O469" s="885"/>
      <c r="P469" s="885"/>
      <c r="Q469" s="885"/>
      <c r="R469" s="885"/>
      <c r="S469" s="885"/>
      <c r="T469" s="885"/>
      <c r="U469" s="885"/>
      <c r="V469" s="885"/>
      <c r="W469" s="885"/>
      <c r="X469" s="885"/>
      <c r="Y469" s="885"/>
      <c r="Z469" s="885"/>
    </row>
    <row r="470" spans="1:26" ht="16.5" customHeight="1" x14ac:dyDescent="0.2">
      <c r="A470" s="885"/>
      <c r="B470" s="885"/>
      <c r="C470" s="885"/>
      <c r="D470" s="885"/>
      <c r="E470" s="885"/>
      <c r="F470" s="885"/>
      <c r="G470" s="885"/>
      <c r="H470" s="885"/>
      <c r="I470" s="885"/>
      <c r="J470" s="885"/>
      <c r="K470" s="885"/>
      <c r="L470" s="885"/>
      <c r="M470" s="885"/>
      <c r="N470" s="885"/>
      <c r="O470" s="885"/>
      <c r="P470" s="885"/>
      <c r="Q470" s="885"/>
      <c r="R470" s="885"/>
      <c r="S470" s="885"/>
      <c r="T470" s="885"/>
      <c r="U470" s="885"/>
      <c r="V470" s="885"/>
      <c r="W470" s="885"/>
      <c r="X470" s="885"/>
      <c r="Y470" s="885"/>
      <c r="Z470" s="885"/>
    </row>
    <row r="471" spans="1:26" ht="16.5" customHeight="1" x14ac:dyDescent="0.2">
      <c r="A471" s="885"/>
      <c r="B471" s="885"/>
      <c r="C471" s="885"/>
      <c r="D471" s="885"/>
      <c r="E471" s="885"/>
      <c r="F471" s="885"/>
      <c r="G471" s="885"/>
      <c r="H471" s="885"/>
      <c r="I471" s="885"/>
      <c r="J471" s="885"/>
      <c r="K471" s="885"/>
      <c r="L471" s="885"/>
      <c r="M471" s="885"/>
      <c r="N471" s="885"/>
      <c r="O471" s="885"/>
      <c r="P471" s="885"/>
      <c r="Q471" s="885"/>
      <c r="R471" s="885"/>
      <c r="S471" s="885"/>
      <c r="T471" s="885"/>
      <c r="U471" s="885"/>
      <c r="V471" s="885"/>
      <c r="W471" s="885"/>
      <c r="X471" s="885"/>
      <c r="Y471" s="885"/>
      <c r="Z471" s="885"/>
    </row>
    <row r="472" spans="1:26" ht="16.5" customHeight="1" x14ac:dyDescent="0.2">
      <c r="A472" s="885"/>
      <c r="B472" s="885"/>
      <c r="C472" s="885"/>
      <c r="D472" s="885"/>
      <c r="E472" s="885"/>
      <c r="F472" s="885"/>
      <c r="G472" s="885"/>
      <c r="H472" s="885"/>
      <c r="I472" s="885"/>
      <c r="J472" s="885"/>
      <c r="K472" s="885"/>
      <c r="L472" s="885"/>
      <c r="M472" s="885"/>
      <c r="N472" s="885"/>
      <c r="O472" s="885"/>
      <c r="P472" s="885"/>
      <c r="Q472" s="885"/>
      <c r="R472" s="885"/>
      <c r="S472" s="885"/>
      <c r="T472" s="885"/>
      <c r="U472" s="885"/>
      <c r="V472" s="885"/>
      <c r="W472" s="885"/>
      <c r="X472" s="885"/>
      <c r="Y472" s="885"/>
      <c r="Z472" s="885"/>
    </row>
    <row r="473" spans="1:26" ht="16.5" customHeight="1" x14ac:dyDescent="0.2">
      <c r="A473" s="885"/>
      <c r="B473" s="885"/>
      <c r="C473" s="885"/>
      <c r="D473" s="885"/>
      <c r="E473" s="885"/>
      <c r="F473" s="885"/>
      <c r="G473" s="885"/>
      <c r="H473" s="885"/>
      <c r="I473" s="885"/>
      <c r="J473" s="885"/>
      <c r="K473" s="885"/>
      <c r="L473" s="885"/>
      <c r="M473" s="885"/>
      <c r="N473" s="885"/>
      <c r="O473" s="885"/>
      <c r="P473" s="885"/>
      <c r="Q473" s="885"/>
      <c r="R473" s="885"/>
      <c r="S473" s="885"/>
      <c r="T473" s="885"/>
      <c r="U473" s="885"/>
      <c r="V473" s="885"/>
      <c r="W473" s="885"/>
      <c r="X473" s="885"/>
      <c r="Y473" s="885"/>
      <c r="Z473" s="885"/>
    </row>
    <row r="474" spans="1:26" ht="16.5" customHeight="1" x14ac:dyDescent="0.2">
      <c r="A474" s="885"/>
      <c r="B474" s="885"/>
      <c r="C474" s="885"/>
      <c r="D474" s="885"/>
      <c r="E474" s="885"/>
      <c r="F474" s="885"/>
      <c r="G474" s="885"/>
      <c r="H474" s="885"/>
      <c r="I474" s="885"/>
      <c r="J474" s="885"/>
      <c r="K474" s="885"/>
      <c r="L474" s="885"/>
      <c r="M474" s="885"/>
      <c r="N474" s="885"/>
      <c r="O474" s="885"/>
      <c r="P474" s="885"/>
      <c r="Q474" s="885"/>
      <c r="R474" s="885"/>
      <c r="S474" s="885"/>
      <c r="T474" s="885"/>
      <c r="U474" s="885"/>
      <c r="V474" s="885"/>
      <c r="W474" s="885"/>
      <c r="X474" s="885"/>
      <c r="Y474" s="885"/>
      <c r="Z474" s="885"/>
    </row>
    <row r="475" spans="1:26" ht="16.5" customHeight="1" x14ac:dyDescent="0.2">
      <c r="A475" s="885"/>
      <c r="B475" s="885"/>
      <c r="C475" s="885"/>
      <c r="D475" s="885"/>
      <c r="E475" s="885"/>
      <c r="F475" s="885"/>
      <c r="G475" s="885"/>
      <c r="H475" s="885"/>
      <c r="I475" s="885"/>
      <c r="J475" s="885"/>
      <c r="K475" s="885"/>
      <c r="L475" s="885"/>
      <c r="M475" s="885"/>
      <c r="N475" s="885"/>
      <c r="O475" s="885"/>
      <c r="P475" s="885"/>
      <c r="Q475" s="885"/>
      <c r="R475" s="885"/>
      <c r="S475" s="885"/>
      <c r="T475" s="885"/>
      <c r="U475" s="885"/>
      <c r="V475" s="885"/>
      <c r="W475" s="885"/>
      <c r="X475" s="885"/>
      <c r="Y475" s="885"/>
      <c r="Z475" s="885"/>
    </row>
    <row r="476" spans="1:26" ht="16.5" customHeight="1" x14ac:dyDescent="0.2">
      <c r="A476" s="885"/>
      <c r="B476" s="885"/>
      <c r="C476" s="885"/>
      <c r="D476" s="885"/>
      <c r="E476" s="885"/>
      <c r="F476" s="885"/>
      <c r="G476" s="885"/>
      <c r="H476" s="885"/>
      <c r="I476" s="885"/>
      <c r="J476" s="885"/>
      <c r="K476" s="885"/>
      <c r="L476" s="885"/>
      <c r="M476" s="885"/>
      <c r="N476" s="885"/>
      <c r="O476" s="885"/>
      <c r="P476" s="885"/>
      <c r="Q476" s="885"/>
      <c r="R476" s="885"/>
      <c r="S476" s="885"/>
      <c r="T476" s="885"/>
      <c r="U476" s="885"/>
      <c r="V476" s="885"/>
      <c r="W476" s="885"/>
      <c r="X476" s="885"/>
      <c r="Y476" s="885"/>
      <c r="Z476" s="885"/>
    </row>
    <row r="477" spans="1:26" ht="16.5" customHeight="1" x14ac:dyDescent="0.2">
      <c r="A477" s="885"/>
      <c r="B477" s="885"/>
      <c r="C477" s="885"/>
      <c r="D477" s="885"/>
      <c r="E477" s="885"/>
      <c r="F477" s="885"/>
      <c r="G477" s="885"/>
      <c r="H477" s="885"/>
      <c r="I477" s="885"/>
      <c r="J477" s="885"/>
      <c r="K477" s="885"/>
      <c r="L477" s="885"/>
      <c r="M477" s="885"/>
      <c r="N477" s="885"/>
      <c r="O477" s="885"/>
      <c r="P477" s="885"/>
      <c r="Q477" s="885"/>
      <c r="R477" s="885"/>
      <c r="S477" s="885"/>
      <c r="T477" s="885"/>
      <c r="U477" s="885"/>
      <c r="V477" s="885"/>
      <c r="W477" s="885"/>
      <c r="X477" s="885"/>
      <c r="Y477" s="885"/>
      <c r="Z477" s="885"/>
    </row>
    <row r="478" spans="1:26" ht="16.5" customHeight="1" x14ac:dyDescent="0.2">
      <c r="A478" s="885"/>
      <c r="B478" s="885"/>
      <c r="C478" s="885"/>
      <c r="D478" s="885"/>
      <c r="E478" s="885"/>
      <c r="F478" s="885"/>
      <c r="G478" s="885"/>
      <c r="H478" s="885"/>
      <c r="I478" s="885"/>
      <c r="J478" s="885"/>
      <c r="K478" s="885"/>
      <c r="L478" s="885"/>
      <c r="M478" s="885"/>
      <c r="N478" s="885"/>
      <c r="O478" s="885"/>
      <c r="P478" s="885"/>
      <c r="Q478" s="885"/>
      <c r="R478" s="885"/>
      <c r="S478" s="885"/>
      <c r="T478" s="885"/>
      <c r="U478" s="885"/>
      <c r="V478" s="885"/>
      <c r="W478" s="885"/>
      <c r="X478" s="885"/>
      <c r="Y478" s="885"/>
      <c r="Z478" s="885"/>
    </row>
    <row r="479" spans="1:26" ht="16.5" customHeight="1" x14ac:dyDescent="0.2">
      <c r="A479" s="885"/>
      <c r="B479" s="885"/>
      <c r="C479" s="885"/>
      <c r="D479" s="885"/>
      <c r="E479" s="885"/>
      <c r="F479" s="885"/>
      <c r="G479" s="885"/>
      <c r="H479" s="885"/>
      <c r="I479" s="885"/>
      <c r="J479" s="885"/>
      <c r="K479" s="885"/>
      <c r="L479" s="885"/>
      <c r="M479" s="885"/>
      <c r="N479" s="885"/>
      <c r="O479" s="885"/>
      <c r="P479" s="885"/>
      <c r="Q479" s="885"/>
      <c r="R479" s="885"/>
      <c r="S479" s="885"/>
      <c r="T479" s="885"/>
      <c r="U479" s="885"/>
      <c r="V479" s="885"/>
      <c r="W479" s="885"/>
      <c r="X479" s="885"/>
      <c r="Y479" s="885"/>
      <c r="Z479" s="885"/>
    </row>
    <row r="480" spans="1:26" ht="16.5" customHeight="1" x14ac:dyDescent="0.2">
      <c r="A480" s="885"/>
      <c r="B480" s="885"/>
      <c r="C480" s="885"/>
      <c r="D480" s="885"/>
      <c r="E480" s="885"/>
      <c r="F480" s="885"/>
      <c r="G480" s="885"/>
      <c r="H480" s="885"/>
      <c r="I480" s="885"/>
      <c r="J480" s="885"/>
      <c r="K480" s="885"/>
      <c r="L480" s="885"/>
      <c r="M480" s="885"/>
      <c r="N480" s="885"/>
      <c r="O480" s="885"/>
      <c r="P480" s="885"/>
      <c r="Q480" s="885"/>
      <c r="R480" s="885"/>
      <c r="S480" s="885"/>
      <c r="T480" s="885"/>
      <c r="U480" s="885"/>
      <c r="V480" s="885"/>
      <c r="W480" s="885"/>
      <c r="X480" s="885"/>
      <c r="Y480" s="885"/>
      <c r="Z480" s="885"/>
    </row>
    <row r="481" spans="1:26" ht="16.5" customHeight="1" x14ac:dyDescent="0.2">
      <c r="A481" s="885"/>
      <c r="B481" s="885"/>
      <c r="C481" s="885"/>
      <c r="D481" s="885"/>
      <c r="E481" s="885"/>
      <c r="F481" s="885"/>
      <c r="G481" s="885"/>
      <c r="H481" s="885"/>
      <c r="I481" s="885"/>
      <c r="J481" s="885"/>
      <c r="K481" s="885"/>
      <c r="L481" s="885"/>
      <c r="M481" s="885"/>
      <c r="N481" s="885"/>
      <c r="O481" s="885"/>
      <c r="P481" s="885"/>
      <c r="Q481" s="885"/>
      <c r="R481" s="885"/>
      <c r="S481" s="885"/>
      <c r="T481" s="885"/>
      <c r="U481" s="885"/>
      <c r="V481" s="885"/>
      <c r="W481" s="885"/>
      <c r="X481" s="885"/>
      <c r="Y481" s="885"/>
      <c r="Z481" s="885"/>
    </row>
    <row r="482" spans="1:26" ht="16.5" customHeight="1" x14ac:dyDescent="0.2">
      <c r="A482" s="885"/>
      <c r="B482" s="885"/>
      <c r="C482" s="885"/>
      <c r="D482" s="885"/>
      <c r="E482" s="885"/>
      <c r="F482" s="885"/>
      <c r="G482" s="885"/>
      <c r="H482" s="885"/>
      <c r="I482" s="885"/>
      <c r="J482" s="885"/>
      <c r="K482" s="885"/>
      <c r="L482" s="885"/>
      <c r="M482" s="885"/>
      <c r="N482" s="885"/>
      <c r="O482" s="885"/>
      <c r="P482" s="885"/>
      <c r="Q482" s="885"/>
      <c r="R482" s="885"/>
      <c r="S482" s="885"/>
      <c r="T482" s="885"/>
      <c r="U482" s="885"/>
      <c r="V482" s="885"/>
      <c r="W482" s="885"/>
      <c r="X482" s="885"/>
      <c r="Y482" s="885"/>
      <c r="Z482" s="885"/>
    </row>
    <row r="483" spans="1:26" ht="16.5" customHeight="1" x14ac:dyDescent="0.2">
      <c r="A483" s="885"/>
      <c r="B483" s="885"/>
      <c r="C483" s="885"/>
      <c r="D483" s="885"/>
      <c r="E483" s="885"/>
      <c r="F483" s="885"/>
      <c r="G483" s="885"/>
      <c r="H483" s="885"/>
      <c r="I483" s="885"/>
      <c r="J483" s="885"/>
      <c r="K483" s="885"/>
      <c r="L483" s="885"/>
      <c r="M483" s="885"/>
      <c r="N483" s="885"/>
      <c r="O483" s="885"/>
      <c r="P483" s="885"/>
      <c r="Q483" s="885"/>
      <c r="R483" s="885"/>
      <c r="S483" s="885"/>
      <c r="T483" s="885"/>
      <c r="U483" s="885"/>
      <c r="V483" s="885"/>
      <c r="W483" s="885"/>
      <c r="X483" s="885"/>
      <c r="Y483" s="885"/>
      <c r="Z483" s="885"/>
    </row>
    <row r="484" spans="1:26" ht="16.5" customHeight="1" x14ac:dyDescent="0.2">
      <c r="A484" s="885"/>
      <c r="B484" s="885"/>
      <c r="C484" s="885"/>
      <c r="D484" s="885"/>
      <c r="E484" s="885"/>
      <c r="F484" s="885"/>
      <c r="G484" s="885"/>
      <c r="H484" s="885"/>
      <c r="I484" s="885"/>
      <c r="J484" s="885"/>
      <c r="K484" s="885"/>
      <c r="L484" s="885"/>
      <c r="M484" s="885"/>
      <c r="N484" s="885"/>
      <c r="O484" s="885"/>
      <c r="P484" s="885"/>
      <c r="Q484" s="885"/>
      <c r="R484" s="885"/>
      <c r="S484" s="885"/>
      <c r="T484" s="885"/>
      <c r="U484" s="885"/>
      <c r="V484" s="885"/>
      <c r="W484" s="885"/>
      <c r="X484" s="885"/>
      <c r="Y484" s="885"/>
      <c r="Z484" s="885"/>
    </row>
    <row r="485" spans="1:26" ht="16.5" customHeight="1" x14ac:dyDescent="0.2">
      <c r="A485" s="885"/>
      <c r="B485" s="885"/>
      <c r="C485" s="885"/>
      <c r="D485" s="885"/>
      <c r="E485" s="885"/>
      <c r="F485" s="885"/>
      <c r="G485" s="885"/>
      <c r="H485" s="885"/>
      <c r="I485" s="885"/>
      <c r="J485" s="885"/>
      <c r="K485" s="885"/>
      <c r="L485" s="885"/>
      <c r="M485" s="885"/>
      <c r="N485" s="885"/>
      <c r="O485" s="885"/>
      <c r="P485" s="885"/>
      <c r="Q485" s="885"/>
      <c r="R485" s="885"/>
      <c r="S485" s="885"/>
      <c r="T485" s="885"/>
      <c r="U485" s="885"/>
      <c r="V485" s="885"/>
      <c r="W485" s="885"/>
      <c r="X485" s="885"/>
      <c r="Y485" s="885"/>
      <c r="Z485" s="885"/>
    </row>
    <row r="486" spans="1:26" ht="16.5" customHeight="1" x14ac:dyDescent="0.2">
      <c r="A486" s="885"/>
      <c r="B486" s="885"/>
      <c r="C486" s="885"/>
      <c r="D486" s="885"/>
      <c r="E486" s="885"/>
      <c r="F486" s="885"/>
      <c r="G486" s="885"/>
      <c r="H486" s="885"/>
      <c r="I486" s="885"/>
      <c r="J486" s="885"/>
      <c r="K486" s="885"/>
      <c r="L486" s="885"/>
      <c r="M486" s="885"/>
      <c r="N486" s="885"/>
      <c r="O486" s="885"/>
      <c r="P486" s="885"/>
      <c r="Q486" s="885"/>
      <c r="R486" s="885"/>
      <c r="S486" s="885"/>
      <c r="T486" s="885"/>
      <c r="U486" s="885"/>
      <c r="V486" s="885"/>
      <c r="W486" s="885"/>
      <c r="X486" s="885"/>
      <c r="Y486" s="885"/>
      <c r="Z486" s="885"/>
    </row>
    <row r="487" spans="1:26" ht="16.5" customHeight="1" x14ac:dyDescent="0.2">
      <c r="A487" s="885"/>
      <c r="B487" s="885"/>
      <c r="C487" s="885"/>
      <c r="D487" s="885"/>
      <c r="E487" s="885"/>
      <c r="F487" s="885"/>
      <c r="G487" s="885"/>
      <c r="H487" s="885"/>
      <c r="I487" s="885"/>
      <c r="J487" s="885"/>
      <c r="K487" s="885"/>
      <c r="L487" s="885"/>
      <c r="M487" s="885"/>
      <c r="N487" s="885"/>
      <c r="O487" s="885"/>
      <c r="P487" s="885"/>
      <c r="Q487" s="885"/>
      <c r="R487" s="885"/>
      <c r="S487" s="885"/>
      <c r="T487" s="885"/>
      <c r="U487" s="885"/>
      <c r="V487" s="885"/>
      <c r="W487" s="885"/>
      <c r="X487" s="885"/>
      <c r="Y487" s="885"/>
      <c r="Z487" s="885"/>
    </row>
    <row r="488" spans="1:26" ht="16.5" customHeight="1" x14ac:dyDescent="0.2">
      <c r="A488" s="885"/>
      <c r="B488" s="885"/>
      <c r="C488" s="885"/>
      <c r="D488" s="885"/>
      <c r="E488" s="885"/>
      <c r="F488" s="885"/>
      <c r="G488" s="885"/>
      <c r="H488" s="885"/>
      <c r="I488" s="885"/>
      <c r="J488" s="885"/>
      <c r="K488" s="885"/>
      <c r="L488" s="885"/>
      <c r="M488" s="885"/>
      <c r="N488" s="885"/>
      <c r="O488" s="885"/>
      <c r="P488" s="885"/>
      <c r="Q488" s="885"/>
      <c r="R488" s="885"/>
      <c r="S488" s="885"/>
      <c r="T488" s="885"/>
      <c r="U488" s="885"/>
      <c r="V488" s="885"/>
      <c r="W488" s="885"/>
      <c r="X488" s="885"/>
      <c r="Y488" s="885"/>
      <c r="Z488" s="885"/>
    </row>
    <row r="489" spans="1:26" ht="16.5" customHeight="1" x14ac:dyDescent="0.2">
      <c r="A489" s="885"/>
      <c r="B489" s="885"/>
      <c r="C489" s="885"/>
      <c r="D489" s="885"/>
      <c r="E489" s="885"/>
      <c r="F489" s="885"/>
      <c r="G489" s="885"/>
      <c r="H489" s="885"/>
      <c r="I489" s="885"/>
      <c r="J489" s="885"/>
      <c r="K489" s="885"/>
      <c r="L489" s="885"/>
      <c r="M489" s="885"/>
      <c r="N489" s="885"/>
      <c r="O489" s="885"/>
      <c r="P489" s="885"/>
      <c r="Q489" s="885"/>
      <c r="R489" s="885"/>
      <c r="S489" s="885"/>
      <c r="T489" s="885"/>
      <c r="U489" s="885"/>
      <c r="V489" s="885"/>
      <c r="W489" s="885"/>
      <c r="X489" s="885"/>
      <c r="Y489" s="885"/>
      <c r="Z489" s="885"/>
    </row>
    <row r="490" spans="1:26" ht="16.5" customHeight="1" x14ac:dyDescent="0.2">
      <c r="A490" s="885"/>
      <c r="B490" s="885"/>
      <c r="C490" s="885"/>
      <c r="D490" s="885"/>
      <c r="E490" s="885"/>
      <c r="F490" s="885"/>
      <c r="G490" s="885"/>
      <c r="H490" s="885"/>
      <c r="I490" s="885"/>
      <c r="J490" s="885"/>
      <c r="K490" s="885"/>
      <c r="L490" s="885"/>
      <c r="M490" s="885"/>
      <c r="N490" s="885"/>
      <c r="O490" s="885"/>
      <c r="P490" s="885"/>
      <c r="Q490" s="885"/>
      <c r="R490" s="885"/>
      <c r="S490" s="885"/>
      <c r="T490" s="885"/>
      <c r="U490" s="885"/>
      <c r="V490" s="885"/>
      <c r="W490" s="885"/>
      <c r="X490" s="885"/>
      <c r="Y490" s="885"/>
      <c r="Z490" s="885"/>
    </row>
    <row r="491" spans="1:26" ht="16.5" customHeight="1" x14ac:dyDescent="0.2">
      <c r="A491" s="885"/>
      <c r="B491" s="885"/>
      <c r="C491" s="885"/>
      <c r="D491" s="885"/>
      <c r="E491" s="885"/>
      <c r="F491" s="885"/>
      <c r="G491" s="885"/>
      <c r="H491" s="885"/>
      <c r="I491" s="885"/>
      <c r="J491" s="885"/>
      <c r="K491" s="885"/>
      <c r="L491" s="885"/>
      <c r="M491" s="885"/>
      <c r="N491" s="885"/>
      <c r="O491" s="885"/>
      <c r="P491" s="885"/>
      <c r="Q491" s="885"/>
      <c r="R491" s="885"/>
      <c r="S491" s="885"/>
      <c r="T491" s="885"/>
      <c r="U491" s="885"/>
      <c r="V491" s="885"/>
      <c r="W491" s="885"/>
      <c r="X491" s="885"/>
      <c r="Y491" s="885"/>
      <c r="Z491" s="885"/>
    </row>
    <row r="492" spans="1:26" ht="16.5" customHeight="1" x14ac:dyDescent="0.2">
      <c r="A492" s="885"/>
      <c r="B492" s="885"/>
      <c r="C492" s="885"/>
      <c r="D492" s="885"/>
      <c r="E492" s="885"/>
      <c r="F492" s="885"/>
      <c r="G492" s="885"/>
      <c r="H492" s="885"/>
      <c r="I492" s="885"/>
      <c r="J492" s="885"/>
      <c r="K492" s="885"/>
      <c r="L492" s="885"/>
      <c r="M492" s="885"/>
      <c r="N492" s="885"/>
      <c r="O492" s="885"/>
      <c r="P492" s="885"/>
      <c r="Q492" s="885"/>
      <c r="R492" s="885"/>
      <c r="S492" s="885"/>
      <c r="T492" s="885"/>
      <c r="U492" s="885"/>
      <c r="V492" s="885"/>
      <c r="W492" s="885"/>
      <c r="X492" s="885"/>
      <c r="Y492" s="885"/>
      <c r="Z492" s="885"/>
    </row>
    <row r="493" spans="1:26" ht="16.5" customHeight="1" x14ac:dyDescent="0.2">
      <c r="A493" s="885"/>
      <c r="B493" s="885"/>
      <c r="C493" s="885"/>
      <c r="D493" s="885"/>
      <c r="E493" s="885"/>
      <c r="F493" s="885"/>
      <c r="G493" s="885"/>
      <c r="H493" s="885"/>
      <c r="I493" s="885"/>
      <c r="J493" s="885"/>
      <c r="K493" s="885"/>
      <c r="L493" s="885"/>
      <c r="M493" s="885"/>
      <c r="N493" s="885"/>
      <c r="O493" s="885"/>
      <c r="P493" s="885"/>
      <c r="Q493" s="885"/>
      <c r="R493" s="885"/>
      <c r="S493" s="885"/>
      <c r="T493" s="885"/>
      <c r="U493" s="885"/>
      <c r="V493" s="885"/>
      <c r="W493" s="885"/>
      <c r="X493" s="885"/>
      <c r="Y493" s="885"/>
      <c r="Z493" s="885"/>
    </row>
    <row r="494" spans="1:26" ht="16.5" customHeight="1" x14ac:dyDescent="0.2">
      <c r="A494" s="885"/>
      <c r="B494" s="885"/>
      <c r="C494" s="885"/>
      <c r="D494" s="885"/>
      <c r="E494" s="885"/>
      <c r="F494" s="885"/>
      <c r="G494" s="885"/>
      <c r="H494" s="885"/>
      <c r="I494" s="885"/>
      <c r="J494" s="885"/>
      <c r="K494" s="885"/>
      <c r="L494" s="885"/>
      <c r="M494" s="885"/>
      <c r="N494" s="885"/>
      <c r="O494" s="885"/>
      <c r="P494" s="885"/>
      <c r="Q494" s="885"/>
      <c r="R494" s="885"/>
      <c r="S494" s="885"/>
      <c r="T494" s="885"/>
      <c r="U494" s="885"/>
      <c r="V494" s="885"/>
      <c r="W494" s="885"/>
      <c r="X494" s="885"/>
      <c r="Y494" s="885"/>
      <c r="Z494" s="885"/>
    </row>
    <row r="495" spans="1:26" ht="16.5" customHeight="1" x14ac:dyDescent="0.2">
      <c r="A495" s="885"/>
      <c r="B495" s="885"/>
      <c r="C495" s="885"/>
      <c r="D495" s="885"/>
      <c r="E495" s="885"/>
      <c r="F495" s="885"/>
      <c r="G495" s="885"/>
      <c r="H495" s="885"/>
      <c r="I495" s="885"/>
      <c r="J495" s="885"/>
      <c r="K495" s="885"/>
      <c r="L495" s="885"/>
      <c r="M495" s="885"/>
      <c r="N495" s="885"/>
      <c r="O495" s="885"/>
      <c r="P495" s="885"/>
      <c r="Q495" s="885"/>
      <c r="R495" s="885"/>
      <c r="S495" s="885"/>
      <c r="T495" s="885"/>
      <c r="U495" s="885"/>
      <c r="V495" s="885"/>
      <c r="W495" s="885"/>
      <c r="X495" s="885"/>
      <c r="Y495" s="885"/>
      <c r="Z495" s="885"/>
    </row>
    <row r="496" spans="1:26" ht="16.5" customHeight="1" x14ac:dyDescent="0.2">
      <c r="A496" s="885"/>
      <c r="B496" s="885"/>
      <c r="C496" s="885"/>
      <c r="D496" s="885"/>
      <c r="E496" s="885"/>
      <c r="F496" s="885"/>
      <c r="G496" s="885"/>
      <c r="H496" s="885"/>
      <c r="I496" s="885"/>
      <c r="J496" s="885"/>
      <c r="K496" s="885"/>
      <c r="L496" s="885"/>
      <c r="M496" s="885"/>
      <c r="N496" s="885"/>
      <c r="O496" s="885"/>
      <c r="P496" s="885"/>
      <c r="Q496" s="885"/>
      <c r="R496" s="885"/>
      <c r="S496" s="885"/>
      <c r="T496" s="885"/>
      <c r="U496" s="885"/>
      <c r="V496" s="885"/>
      <c r="W496" s="885"/>
      <c r="X496" s="885"/>
      <c r="Y496" s="885"/>
      <c r="Z496" s="885"/>
    </row>
    <row r="497" spans="1:26" ht="16.5" customHeight="1" x14ac:dyDescent="0.2">
      <c r="A497" s="885"/>
      <c r="B497" s="885"/>
      <c r="C497" s="885"/>
      <c r="D497" s="885"/>
      <c r="E497" s="885"/>
      <c r="F497" s="885"/>
      <c r="G497" s="885"/>
      <c r="H497" s="885"/>
      <c r="I497" s="885"/>
      <c r="J497" s="885"/>
      <c r="K497" s="885"/>
      <c r="L497" s="885"/>
      <c r="M497" s="885"/>
      <c r="N497" s="885"/>
      <c r="O497" s="885"/>
      <c r="P497" s="885"/>
      <c r="Q497" s="885"/>
      <c r="R497" s="885"/>
      <c r="S497" s="885"/>
      <c r="T497" s="885"/>
      <c r="U497" s="885"/>
      <c r="V497" s="885"/>
      <c r="W497" s="885"/>
      <c r="X497" s="885"/>
      <c r="Y497" s="885"/>
      <c r="Z497" s="885"/>
    </row>
    <row r="498" spans="1:26" ht="16.5" customHeight="1" x14ac:dyDescent="0.2">
      <c r="A498" s="885"/>
      <c r="B498" s="885"/>
      <c r="C498" s="885"/>
      <c r="D498" s="885"/>
      <c r="E498" s="885"/>
      <c r="F498" s="885"/>
      <c r="G498" s="885"/>
      <c r="H498" s="885"/>
      <c r="I498" s="885"/>
      <c r="J498" s="885"/>
      <c r="K498" s="885"/>
      <c r="L498" s="885"/>
      <c r="M498" s="885"/>
      <c r="N498" s="885"/>
      <c r="O498" s="885"/>
      <c r="P498" s="885"/>
      <c r="Q498" s="885"/>
      <c r="R498" s="885"/>
      <c r="S498" s="885"/>
      <c r="T498" s="885"/>
      <c r="U498" s="885"/>
      <c r="V498" s="885"/>
      <c r="W498" s="885"/>
      <c r="X498" s="885"/>
      <c r="Y498" s="885"/>
      <c r="Z498" s="885"/>
    </row>
    <row r="499" spans="1:26" ht="16.5" customHeight="1" x14ac:dyDescent="0.2">
      <c r="A499" s="885"/>
      <c r="B499" s="885"/>
      <c r="C499" s="885"/>
      <c r="D499" s="885"/>
      <c r="E499" s="885"/>
      <c r="F499" s="885"/>
      <c r="G499" s="885"/>
      <c r="H499" s="885"/>
      <c r="I499" s="885"/>
      <c r="J499" s="885"/>
      <c r="K499" s="885"/>
      <c r="L499" s="885"/>
      <c r="M499" s="885"/>
      <c r="N499" s="885"/>
      <c r="O499" s="885"/>
      <c r="P499" s="885"/>
      <c r="Q499" s="885"/>
      <c r="R499" s="885"/>
      <c r="S499" s="885"/>
      <c r="T499" s="885"/>
      <c r="U499" s="885"/>
      <c r="V499" s="885"/>
      <c r="W499" s="885"/>
      <c r="X499" s="885"/>
      <c r="Y499" s="885"/>
      <c r="Z499" s="885"/>
    </row>
    <row r="500" spans="1:26" ht="16.5" customHeight="1" x14ac:dyDescent="0.2">
      <c r="A500" s="885"/>
      <c r="B500" s="885"/>
      <c r="C500" s="885"/>
      <c r="D500" s="885"/>
      <c r="E500" s="885"/>
      <c r="F500" s="885"/>
      <c r="G500" s="885"/>
      <c r="H500" s="885"/>
      <c r="I500" s="885"/>
      <c r="J500" s="885"/>
      <c r="K500" s="885"/>
      <c r="L500" s="885"/>
      <c r="M500" s="885"/>
      <c r="N500" s="885"/>
      <c r="O500" s="885"/>
      <c r="P500" s="885"/>
      <c r="Q500" s="885"/>
      <c r="R500" s="885"/>
      <c r="S500" s="885"/>
      <c r="T500" s="885"/>
      <c r="U500" s="885"/>
      <c r="V500" s="885"/>
      <c r="W500" s="885"/>
      <c r="X500" s="885"/>
      <c r="Y500" s="885"/>
      <c r="Z500" s="885"/>
    </row>
    <row r="501" spans="1:26" ht="16.5" customHeight="1" x14ac:dyDescent="0.2">
      <c r="A501" s="885"/>
      <c r="B501" s="885"/>
      <c r="C501" s="885"/>
      <c r="D501" s="885"/>
      <c r="E501" s="885"/>
      <c r="F501" s="885"/>
      <c r="G501" s="885"/>
      <c r="H501" s="885"/>
      <c r="I501" s="885"/>
      <c r="J501" s="885"/>
      <c r="K501" s="885"/>
      <c r="L501" s="885"/>
      <c r="M501" s="885"/>
      <c r="N501" s="885"/>
      <c r="O501" s="885"/>
      <c r="P501" s="885"/>
      <c r="Q501" s="885"/>
      <c r="R501" s="885"/>
      <c r="S501" s="885"/>
      <c r="T501" s="885"/>
      <c r="U501" s="885"/>
      <c r="V501" s="885"/>
      <c r="W501" s="885"/>
      <c r="X501" s="885"/>
      <c r="Y501" s="885"/>
      <c r="Z501" s="885"/>
    </row>
    <row r="502" spans="1:26" ht="16.5" customHeight="1" x14ac:dyDescent="0.2">
      <c r="A502" s="885"/>
      <c r="B502" s="885"/>
      <c r="C502" s="885"/>
      <c r="D502" s="885"/>
      <c r="E502" s="885"/>
      <c r="F502" s="885"/>
      <c r="G502" s="885"/>
      <c r="H502" s="885"/>
      <c r="I502" s="885"/>
      <c r="J502" s="885"/>
      <c r="K502" s="885"/>
      <c r="L502" s="885"/>
      <c r="M502" s="885"/>
      <c r="N502" s="885"/>
      <c r="O502" s="885"/>
      <c r="P502" s="885"/>
      <c r="Q502" s="885"/>
      <c r="R502" s="885"/>
      <c r="S502" s="885"/>
      <c r="T502" s="885"/>
      <c r="U502" s="885"/>
      <c r="V502" s="885"/>
      <c r="W502" s="885"/>
      <c r="X502" s="885"/>
      <c r="Y502" s="885"/>
      <c r="Z502" s="885"/>
    </row>
    <row r="503" spans="1:26" ht="16.5" customHeight="1" x14ac:dyDescent="0.2">
      <c r="A503" s="885"/>
      <c r="B503" s="885"/>
      <c r="C503" s="885"/>
      <c r="D503" s="885"/>
      <c r="E503" s="885"/>
      <c r="F503" s="885"/>
      <c r="G503" s="885"/>
      <c r="H503" s="885"/>
      <c r="I503" s="885"/>
      <c r="J503" s="885"/>
      <c r="K503" s="885"/>
      <c r="L503" s="885"/>
      <c r="M503" s="885"/>
      <c r="N503" s="885"/>
      <c r="O503" s="885"/>
      <c r="P503" s="885"/>
      <c r="Q503" s="885"/>
      <c r="R503" s="885"/>
      <c r="S503" s="885"/>
      <c r="T503" s="885"/>
      <c r="U503" s="885"/>
      <c r="V503" s="885"/>
      <c r="W503" s="885"/>
      <c r="X503" s="885"/>
      <c r="Y503" s="885"/>
      <c r="Z503" s="885"/>
    </row>
    <row r="504" spans="1:26" ht="16.5" customHeight="1" x14ac:dyDescent="0.2">
      <c r="A504" s="885"/>
      <c r="B504" s="885"/>
      <c r="C504" s="885"/>
      <c r="D504" s="885"/>
      <c r="E504" s="885"/>
      <c r="F504" s="885"/>
      <c r="G504" s="885"/>
      <c r="H504" s="885"/>
      <c r="I504" s="885"/>
      <c r="J504" s="885"/>
      <c r="K504" s="885"/>
      <c r="L504" s="885"/>
      <c r="M504" s="885"/>
      <c r="N504" s="885"/>
      <c r="O504" s="885"/>
      <c r="P504" s="885"/>
      <c r="Q504" s="885"/>
      <c r="R504" s="885"/>
      <c r="S504" s="885"/>
      <c r="T504" s="885"/>
      <c r="U504" s="885"/>
      <c r="V504" s="885"/>
      <c r="W504" s="885"/>
      <c r="X504" s="885"/>
      <c r="Y504" s="885"/>
      <c r="Z504" s="885"/>
    </row>
    <row r="505" spans="1:26" ht="16.5" customHeight="1" x14ac:dyDescent="0.2">
      <c r="A505" s="885"/>
      <c r="B505" s="885"/>
      <c r="C505" s="885"/>
      <c r="D505" s="885"/>
      <c r="E505" s="885"/>
      <c r="F505" s="885"/>
      <c r="G505" s="885"/>
      <c r="H505" s="885"/>
      <c r="I505" s="885"/>
      <c r="J505" s="885"/>
      <c r="K505" s="885"/>
      <c r="L505" s="885"/>
      <c r="M505" s="885"/>
      <c r="N505" s="885"/>
      <c r="O505" s="885"/>
      <c r="P505" s="885"/>
      <c r="Q505" s="885"/>
      <c r="R505" s="885"/>
      <c r="S505" s="885"/>
      <c r="T505" s="885"/>
      <c r="U505" s="885"/>
      <c r="V505" s="885"/>
      <c r="W505" s="885"/>
      <c r="X505" s="885"/>
      <c r="Y505" s="885"/>
      <c r="Z505" s="885"/>
    </row>
    <row r="506" spans="1:26" ht="16.5" customHeight="1" x14ac:dyDescent="0.2">
      <c r="A506" s="885"/>
      <c r="B506" s="885"/>
      <c r="C506" s="885"/>
      <c r="D506" s="885"/>
      <c r="E506" s="885"/>
      <c r="F506" s="885"/>
      <c r="G506" s="885"/>
      <c r="H506" s="885"/>
      <c r="I506" s="885"/>
      <c r="J506" s="885"/>
      <c r="K506" s="885"/>
      <c r="L506" s="885"/>
      <c r="M506" s="885"/>
      <c r="N506" s="885"/>
      <c r="O506" s="885"/>
      <c r="P506" s="885"/>
      <c r="Q506" s="885"/>
      <c r="R506" s="885"/>
      <c r="S506" s="885"/>
      <c r="T506" s="885"/>
      <c r="U506" s="885"/>
      <c r="V506" s="885"/>
      <c r="W506" s="885"/>
      <c r="X506" s="885"/>
      <c r="Y506" s="885"/>
      <c r="Z506" s="885"/>
    </row>
    <row r="507" spans="1:26" ht="16.5" customHeight="1" x14ac:dyDescent="0.2">
      <c r="A507" s="885"/>
      <c r="B507" s="885"/>
      <c r="C507" s="885"/>
      <c r="D507" s="885"/>
      <c r="E507" s="885"/>
      <c r="F507" s="885"/>
      <c r="G507" s="885"/>
      <c r="H507" s="885"/>
      <c r="I507" s="885"/>
      <c r="J507" s="885"/>
      <c r="K507" s="885"/>
      <c r="L507" s="885"/>
      <c r="M507" s="885"/>
      <c r="N507" s="885"/>
      <c r="O507" s="885"/>
      <c r="P507" s="885"/>
      <c r="Q507" s="885"/>
      <c r="R507" s="885"/>
      <c r="S507" s="885"/>
      <c r="T507" s="885"/>
      <c r="U507" s="885"/>
      <c r="V507" s="885"/>
      <c r="W507" s="885"/>
      <c r="X507" s="885"/>
      <c r="Y507" s="885"/>
      <c r="Z507" s="885"/>
    </row>
    <row r="508" spans="1:26" ht="16.5" customHeight="1" x14ac:dyDescent="0.2">
      <c r="A508" s="885"/>
      <c r="B508" s="885"/>
      <c r="C508" s="885"/>
      <c r="D508" s="885"/>
      <c r="E508" s="885"/>
      <c r="F508" s="885"/>
      <c r="G508" s="885"/>
      <c r="H508" s="885"/>
      <c r="I508" s="885"/>
      <c r="J508" s="885"/>
      <c r="K508" s="885"/>
      <c r="L508" s="885"/>
      <c r="M508" s="885"/>
      <c r="N508" s="885"/>
      <c r="O508" s="885"/>
      <c r="P508" s="885"/>
      <c r="Q508" s="885"/>
      <c r="R508" s="885"/>
      <c r="S508" s="885"/>
      <c r="T508" s="885"/>
      <c r="U508" s="885"/>
      <c r="V508" s="885"/>
      <c r="W508" s="885"/>
      <c r="X508" s="885"/>
      <c r="Y508" s="885"/>
      <c r="Z508" s="885"/>
    </row>
    <row r="509" spans="1:26" ht="16.5" customHeight="1" x14ac:dyDescent="0.2">
      <c r="A509" s="885"/>
      <c r="B509" s="885"/>
      <c r="C509" s="885"/>
      <c r="D509" s="885"/>
      <c r="E509" s="885"/>
      <c r="F509" s="885"/>
      <c r="G509" s="885"/>
      <c r="H509" s="885"/>
      <c r="I509" s="885"/>
      <c r="J509" s="885"/>
      <c r="K509" s="885"/>
      <c r="L509" s="885"/>
      <c r="M509" s="885"/>
      <c r="N509" s="885"/>
      <c r="O509" s="885"/>
      <c r="P509" s="885"/>
      <c r="Q509" s="885"/>
      <c r="R509" s="885"/>
      <c r="S509" s="885"/>
      <c r="T509" s="885"/>
      <c r="U509" s="885"/>
      <c r="V509" s="885"/>
      <c r="W509" s="885"/>
      <c r="X509" s="885"/>
      <c r="Y509" s="885"/>
      <c r="Z509" s="885"/>
    </row>
    <row r="510" spans="1:26" ht="16.5" customHeight="1" x14ac:dyDescent="0.2">
      <c r="A510" s="885"/>
      <c r="B510" s="885"/>
      <c r="C510" s="885"/>
      <c r="D510" s="885"/>
      <c r="E510" s="885"/>
      <c r="F510" s="885"/>
      <c r="G510" s="885"/>
      <c r="H510" s="885"/>
      <c r="I510" s="885"/>
      <c r="J510" s="885"/>
      <c r="K510" s="885"/>
      <c r="L510" s="885"/>
      <c r="M510" s="885"/>
      <c r="N510" s="885"/>
      <c r="O510" s="885"/>
      <c r="P510" s="885"/>
      <c r="Q510" s="885"/>
      <c r="R510" s="885"/>
      <c r="S510" s="885"/>
      <c r="T510" s="885"/>
      <c r="U510" s="885"/>
      <c r="V510" s="885"/>
      <c r="W510" s="885"/>
      <c r="X510" s="885"/>
      <c r="Y510" s="885"/>
      <c r="Z510" s="885"/>
    </row>
    <row r="511" spans="1:26" ht="16.5" customHeight="1" x14ac:dyDescent="0.2">
      <c r="A511" s="885"/>
      <c r="B511" s="885"/>
      <c r="C511" s="885"/>
      <c r="D511" s="885"/>
      <c r="E511" s="885"/>
      <c r="F511" s="885"/>
      <c r="G511" s="885"/>
      <c r="H511" s="885"/>
      <c r="I511" s="885"/>
      <c r="J511" s="885"/>
      <c r="K511" s="885"/>
      <c r="L511" s="885"/>
      <c r="M511" s="885"/>
      <c r="N511" s="885"/>
      <c r="O511" s="885"/>
      <c r="P511" s="885"/>
      <c r="Q511" s="885"/>
      <c r="R511" s="885"/>
      <c r="S511" s="885"/>
      <c r="T511" s="885"/>
      <c r="U511" s="885"/>
      <c r="V511" s="885"/>
      <c r="W511" s="885"/>
      <c r="X511" s="885"/>
      <c r="Y511" s="885"/>
      <c r="Z511" s="885"/>
    </row>
    <row r="512" spans="1:26" ht="16.5" customHeight="1" x14ac:dyDescent="0.2">
      <c r="A512" s="885"/>
      <c r="B512" s="885"/>
      <c r="C512" s="885"/>
      <c r="D512" s="885"/>
      <c r="E512" s="885"/>
      <c r="F512" s="885"/>
      <c r="G512" s="885"/>
      <c r="H512" s="885"/>
      <c r="I512" s="885"/>
      <c r="J512" s="885"/>
      <c r="K512" s="885"/>
      <c r="L512" s="885"/>
      <c r="M512" s="885"/>
      <c r="N512" s="885"/>
      <c r="O512" s="885"/>
      <c r="P512" s="885"/>
      <c r="Q512" s="885"/>
      <c r="R512" s="885"/>
      <c r="S512" s="885"/>
      <c r="T512" s="885"/>
      <c r="U512" s="885"/>
      <c r="V512" s="885"/>
      <c r="W512" s="885"/>
      <c r="X512" s="885"/>
      <c r="Y512" s="885"/>
      <c r="Z512" s="885"/>
    </row>
    <row r="513" spans="1:26" ht="16.5" customHeight="1" x14ac:dyDescent="0.2">
      <c r="A513" s="885"/>
      <c r="B513" s="885"/>
      <c r="C513" s="885"/>
      <c r="D513" s="885"/>
      <c r="E513" s="885"/>
      <c r="F513" s="885"/>
      <c r="G513" s="885"/>
      <c r="H513" s="885"/>
      <c r="I513" s="885"/>
      <c r="J513" s="885"/>
      <c r="K513" s="885"/>
      <c r="L513" s="885"/>
      <c r="M513" s="885"/>
      <c r="N513" s="885"/>
      <c r="O513" s="885"/>
      <c r="P513" s="885"/>
      <c r="Q513" s="885"/>
      <c r="R513" s="885"/>
      <c r="S513" s="885"/>
      <c r="T513" s="885"/>
      <c r="U513" s="885"/>
      <c r="V513" s="885"/>
      <c r="W513" s="885"/>
      <c r="X513" s="885"/>
      <c r="Y513" s="885"/>
      <c r="Z513" s="885"/>
    </row>
    <row r="514" spans="1:26" ht="16.5" customHeight="1" x14ac:dyDescent="0.2">
      <c r="A514" s="885"/>
      <c r="B514" s="885"/>
      <c r="C514" s="885"/>
      <c r="D514" s="885"/>
      <c r="E514" s="885"/>
      <c r="F514" s="885"/>
      <c r="G514" s="885"/>
      <c r="H514" s="885"/>
      <c r="I514" s="885"/>
      <c r="J514" s="885"/>
      <c r="K514" s="885"/>
      <c r="L514" s="885"/>
      <c r="M514" s="885"/>
      <c r="N514" s="885"/>
      <c r="O514" s="885"/>
      <c r="P514" s="885"/>
      <c r="Q514" s="885"/>
      <c r="R514" s="885"/>
      <c r="S514" s="885"/>
      <c r="T514" s="885"/>
      <c r="U514" s="885"/>
      <c r="V514" s="885"/>
      <c r="W514" s="885"/>
      <c r="X514" s="885"/>
      <c r="Y514" s="885"/>
      <c r="Z514" s="885"/>
    </row>
    <row r="515" spans="1:26" ht="16.5" customHeight="1" x14ac:dyDescent="0.2">
      <c r="A515" s="885"/>
      <c r="B515" s="885"/>
      <c r="C515" s="885"/>
      <c r="D515" s="885"/>
      <c r="E515" s="885"/>
      <c r="F515" s="885"/>
      <c r="G515" s="885"/>
      <c r="H515" s="885"/>
      <c r="I515" s="885"/>
      <c r="J515" s="885"/>
      <c r="K515" s="885"/>
      <c r="L515" s="885"/>
      <c r="M515" s="885"/>
      <c r="N515" s="885"/>
      <c r="O515" s="885"/>
      <c r="P515" s="885"/>
      <c r="Q515" s="885"/>
      <c r="R515" s="885"/>
      <c r="S515" s="885"/>
      <c r="T515" s="885"/>
      <c r="U515" s="885"/>
      <c r="V515" s="885"/>
      <c r="W515" s="885"/>
      <c r="X515" s="885"/>
      <c r="Y515" s="885"/>
      <c r="Z515" s="885"/>
    </row>
    <row r="516" spans="1:26" ht="16.5" customHeight="1" x14ac:dyDescent="0.2">
      <c r="A516" s="885"/>
      <c r="B516" s="885"/>
      <c r="C516" s="885"/>
      <c r="D516" s="885"/>
      <c r="E516" s="885"/>
      <c r="F516" s="885"/>
      <c r="G516" s="885"/>
      <c r="H516" s="885"/>
      <c r="I516" s="885"/>
      <c r="J516" s="885"/>
      <c r="K516" s="885"/>
      <c r="L516" s="885"/>
      <c r="M516" s="885"/>
      <c r="N516" s="885"/>
      <c r="O516" s="885"/>
      <c r="P516" s="885"/>
      <c r="Q516" s="885"/>
      <c r="R516" s="885"/>
      <c r="S516" s="885"/>
      <c r="T516" s="885"/>
      <c r="U516" s="885"/>
      <c r="V516" s="885"/>
      <c r="W516" s="885"/>
      <c r="X516" s="885"/>
      <c r="Y516" s="885"/>
      <c r="Z516" s="885"/>
    </row>
    <row r="517" spans="1:26" ht="16.5" customHeight="1" x14ac:dyDescent="0.2">
      <c r="A517" s="885"/>
      <c r="B517" s="885"/>
      <c r="C517" s="885"/>
      <c r="D517" s="885"/>
      <c r="E517" s="885"/>
      <c r="F517" s="885"/>
      <c r="G517" s="885"/>
      <c r="H517" s="885"/>
      <c r="I517" s="885"/>
      <c r="J517" s="885"/>
      <c r="K517" s="885"/>
      <c r="L517" s="885"/>
      <c r="M517" s="885"/>
      <c r="N517" s="885"/>
      <c r="O517" s="885"/>
      <c r="P517" s="885"/>
      <c r="Q517" s="885"/>
      <c r="R517" s="885"/>
      <c r="S517" s="885"/>
      <c r="T517" s="885"/>
      <c r="U517" s="885"/>
      <c r="V517" s="885"/>
      <c r="W517" s="885"/>
      <c r="X517" s="885"/>
      <c r="Y517" s="885"/>
      <c r="Z517" s="885"/>
    </row>
    <row r="518" spans="1:26" ht="16.5" customHeight="1" x14ac:dyDescent="0.2">
      <c r="A518" s="885"/>
      <c r="B518" s="885"/>
      <c r="C518" s="885"/>
      <c r="D518" s="885"/>
      <c r="E518" s="885"/>
      <c r="F518" s="885"/>
      <c r="G518" s="885"/>
      <c r="H518" s="885"/>
      <c r="I518" s="885"/>
      <c r="J518" s="885"/>
      <c r="K518" s="885"/>
      <c r="L518" s="885"/>
      <c r="M518" s="885"/>
      <c r="N518" s="885"/>
      <c r="O518" s="885"/>
      <c r="P518" s="885"/>
      <c r="Q518" s="885"/>
      <c r="R518" s="885"/>
      <c r="S518" s="885"/>
      <c r="T518" s="885"/>
      <c r="U518" s="885"/>
      <c r="V518" s="885"/>
      <c r="W518" s="885"/>
      <c r="X518" s="885"/>
      <c r="Y518" s="885"/>
      <c r="Z518" s="885"/>
    </row>
    <row r="519" spans="1:26" ht="16.5" customHeight="1" x14ac:dyDescent="0.2">
      <c r="A519" s="885"/>
      <c r="B519" s="885"/>
      <c r="C519" s="885"/>
      <c r="D519" s="885"/>
      <c r="E519" s="885"/>
      <c r="F519" s="885"/>
      <c r="G519" s="885"/>
      <c r="H519" s="885"/>
      <c r="I519" s="885"/>
      <c r="J519" s="885"/>
      <c r="K519" s="885"/>
      <c r="L519" s="885"/>
      <c r="M519" s="885"/>
      <c r="N519" s="885"/>
      <c r="O519" s="885"/>
      <c r="P519" s="885"/>
      <c r="Q519" s="885"/>
      <c r="R519" s="885"/>
      <c r="S519" s="885"/>
      <c r="T519" s="885"/>
      <c r="U519" s="885"/>
      <c r="V519" s="885"/>
      <c r="W519" s="885"/>
      <c r="X519" s="885"/>
      <c r="Y519" s="885"/>
      <c r="Z519" s="885"/>
    </row>
    <row r="520" spans="1:26" ht="16.5" customHeight="1" x14ac:dyDescent="0.2">
      <c r="A520" s="885"/>
      <c r="B520" s="885"/>
      <c r="C520" s="885"/>
      <c r="D520" s="885"/>
      <c r="E520" s="885"/>
      <c r="F520" s="885"/>
      <c r="G520" s="885"/>
      <c r="H520" s="885"/>
      <c r="I520" s="885"/>
      <c r="J520" s="885"/>
      <c r="K520" s="885"/>
      <c r="L520" s="885"/>
      <c r="M520" s="885"/>
      <c r="N520" s="885"/>
      <c r="O520" s="885"/>
      <c r="P520" s="885"/>
      <c r="Q520" s="885"/>
      <c r="R520" s="885"/>
      <c r="S520" s="885"/>
      <c r="T520" s="885"/>
      <c r="U520" s="885"/>
      <c r="V520" s="885"/>
      <c r="W520" s="885"/>
      <c r="X520" s="885"/>
      <c r="Y520" s="885"/>
      <c r="Z520" s="885"/>
    </row>
    <row r="521" spans="1:26" ht="16.5" customHeight="1" x14ac:dyDescent="0.2">
      <c r="A521" s="885"/>
      <c r="B521" s="885"/>
      <c r="C521" s="885"/>
      <c r="D521" s="885"/>
      <c r="E521" s="885"/>
      <c r="F521" s="885"/>
      <c r="G521" s="885"/>
      <c r="H521" s="885"/>
      <c r="I521" s="885"/>
      <c r="J521" s="885"/>
      <c r="K521" s="885"/>
      <c r="L521" s="885"/>
      <c r="M521" s="885"/>
      <c r="N521" s="885"/>
      <c r="O521" s="885"/>
      <c r="P521" s="885"/>
      <c r="Q521" s="885"/>
      <c r="R521" s="885"/>
      <c r="S521" s="885"/>
      <c r="T521" s="885"/>
      <c r="U521" s="885"/>
      <c r="V521" s="885"/>
      <c r="W521" s="885"/>
      <c r="X521" s="885"/>
      <c r="Y521" s="885"/>
      <c r="Z521" s="885"/>
    </row>
    <row r="522" spans="1:26" ht="16.5" customHeight="1" x14ac:dyDescent="0.2">
      <c r="A522" s="885"/>
      <c r="B522" s="885"/>
      <c r="C522" s="885"/>
      <c r="D522" s="885"/>
      <c r="E522" s="885"/>
      <c r="F522" s="885"/>
      <c r="G522" s="885"/>
      <c r="H522" s="885"/>
      <c r="I522" s="885"/>
      <c r="J522" s="885"/>
      <c r="K522" s="885"/>
      <c r="L522" s="885"/>
      <c r="M522" s="885"/>
      <c r="N522" s="885"/>
      <c r="O522" s="885"/>
      <c r="P522" s="885"/>
      <c r="Q522" s="885"/>
      <c r="R522" s="885"/>
      <c r="S522" s="885"/>
      <c r="T522" s="885"/>
      <c r="U522" s="885"/>
      <c r="V522" s="885"/>
      <c r="W522" s="885"/>
      <c r="X522" s="885"/>
      <c r="Y522" s="885"/>
      <c r="Z522" s="885"/>
    </row>
    <row r="523" spans="1:26" ht="16.5" customHeight="1" x14ac:dyDescent="0.2">
      <c r="A523" s="885"/>
      <c r="B523" s="885"/>
      <c r="C523" s="885"/>
      <c r="D523" s="885"/>
      <c r="E523" s="885"/>
      <c r="F523" s="885"/>
      <c r="G523" s="885"/>
      <c r="H523" s="885"/>
      <c r="I523" s="885"/>
      <c r="J523" s="885"/>
      <c r="K523" s="885"/>
      <c r="L523" s="885"/>
      <c r="M523" s="885"/>
      <c r="N523" s="885"/>
      <c r="O523" s="885"/>
      <c r="P523" s="885"/>
      <c r="Q523" s="885"/>
      <c r="R523" s="885"/>
      <c r="S523" s="885"/>
      <c r="T523" s="885"/>
      <c r="U523" s="885"/>
      <c r="V523" s="885"/>
      <c r="W523" s="885"/>
      <c r="X523" s="885"/>
      <c r="Y523" s="885"/>
      <c r="Z523" s="885"/>
    </row>
    <row r="524" spans="1:26" ht="16.5" customHeight="1" x14ac:dyDescent="0.2">
      <c r="A524" s="885"/>
      <c r="B524" s="885"/>
      <c r="C524" s="885"/>
      <c r="D524" s="885"/>
      <c r="E524" s="885"/>
      <c r="F524" s="885"/>
      <c r="G524" s="885"/>
      <c r="H524" s="885"/>
      <c r="I524" s="885"/>
      <c r="J524" s="885"/>
      <c r="K524" s="885"/>
      <c r="L524" s="885"/>
      <c r="M524" s="885"/>
      <c r="N524" s="885"/>
      <c r="O524" s="885"/>
      <c r="P524" s="885"/>
      <c r="Q524" s="885"/>
      <c r="R524" s="885"/>
      <c r="S524" s="885"/>
      <c r="T524" s="885"/>
      <c r="U524" s="885"/>
      <c r="V524" s="885"/>
      <c r="W524" s="885"/>
      <c r="X524" s="885"/>
      <c r="Y524" s="885"/>
      <c r="Z524" s="885"/>
    </row>
    <row r="525" spans="1:26" ht="16.5" customHeight="1" x14ac:dyDescent="0.2">
      <c r="A525" s="885"/>
      <c r="B525" s="885"/>
      <c r="C525" s="885"/>
      <c r="D525" s="885"/>
      <c r="E525" s="885"/>
      <c r="F525" s="885"/>
      <c r="G525" s="885"/>
      <c r="H525" s="885"/>
      <c r="I525" s="885"/>
      <c r="J525" s="885"/>
      <c r="K525" s="885"/>
      <c r="L525" s="885"/>
      <c r="M525" s="885"/>
      <c r="N525" s="885"/>
      <c r="O525" s="885"/>
      <c r="P525" s="885"/>
      <c r="Q525" s="885"/>
      <c r="R525" s="885"/>
      <c r="S525" s="885"/>
      <c r="T525" s="885"/>
      <c r="U525" s="885"/>
      <c r="V525" s="885"/>
      <c r="W525" s="885"/>
      <c r="X525" s="885"/>
      <c r="Y525" s="885"/>
      <c r="Z525" s="885"/>
    </row>
    <row r="526" spans="1:26" ht="16.5" customHeight="1" x14ac:dyDescent="0.2">
      <c r="A526" s="885"/>
      <c r="B526" s="885"/>
      <c r="C526" s="885"/>
      <c r="D526" s="885"/>
      <c r="E526" s="885"/>
      <c r="F526" s="885"/>
      <c r="G526" s="885"/>
      <c r="H526" s="885"/>
      <c r="I526" s="885"/>
      <c r="J526" s="885"/>
      <c r="K526" s="885"/>
      <c r="L526" s="885"/>
      <c r="M526" s="885"/>
      <c r="N526" s="885"/>
      <c r="O526" s="885"/>
      <c r="P526" s="885"/>
      <c r="Q526" s="885"/>
      <c r="R526" s="885"/>
      <c r="S526" s="885"/>
      <c r="T526" s="885"/>
      <c r="U526" s="885"/>
      <c r="V526" s="885"/>
      <c r="W526" s="885"/>
      <c r="X526" s="885"/>
      <c r="Y526" s="885"/>
      <c r="Z526" s="885"/>
    </row>
    <row r="527" spans="1:26" ht="16.5" customHeight="1" x14ac:dyDescent="0.2">
      <c r="A527" s="885"/>
      <c r="B527" s="885"/>
      <c r="C527" s="885"/>
      <c r="D527" s="885"/>
      <c r="E527" s="885"/>
      <c r="F527" s="885"/>
      <c r="G527" s="885"/>
      <c r="H527" s="885"/>
      <c r="I527" s="885"/>
      <c r="J527" s="885"/>
      <c r="K527" s="885"/>
      <c r="L527" s="885"/>
      <c r="M527" s="885"/>
      <c r="N527" s="885"/>
      <c r="O527" s="885"/>
      <c r="P527" s="885"/>
      <c r="Q527" s="885"/>
      <c r="R527" s="885"/>
      <c r="S527" s="885"/>
      <c r="T527" s="885"/>
      <c r="U527" s="885"/>
      <c r="V527" s="885"/>
      <c r="W527" s="885"/>
      <c r="X527" s="885"/>
      <c r="Y527" s="885"/>
      <c r="Z527" s="885"/>
    </row>
    <row r="528" spans="1:26" ht="16.5" customHeight="1" x14ac:dyDescent="0.2">
      <c r="A528" s="885"/>
      <c r="B528" s="885"/>
      <c r="C528" s="885"/>
      <c r="D528" s="885"/>
      <c r="E528" s="885"/>
      <c r="F528" s="885"/>
      <c r="G528" s="885"/>
      <c r="H528" s="885"/>
      <c r="I528" s="885"/>
      <c r="J528" s="885"/>
      <c r="K528" s="885"/>
      <c r="L528" s="885"/>
      <c r="M528" s="885"/>
      <c r="N528" s="885"/>
      <c r="O528" s="885"/>
      <c r="P528" s="885"/>
      <c r="Q528" s="885"/>
      <c r="R528" s="885"/>
      <c r="S528" s="885"/>
      <c r="T528" s="885"/>
      <c r="U528" s="885"/>
      <c r="V528" s="885"/>
      <c r="W528" s="885"/>
      <c r="X528" s="885"/>
      <c r="Y528" s="885"/>
      <c r="Z528" s="885"/>
    </row>
    <row r="529" spans="1:26" ht="16.5" customHeight="1" x14ac:dyDescent="0.2">
      <c r="A529" s="885"/>
      <c r="B529" s="885"/>
      <c r="C529" s="885"/>
      <c r="D529" s="885"/>
      <c r="E529" s="885"/>
      <c r="F529" s="885"/>
      <c r="G529" s="885"/>
      <c r="H529" s="885"/>
      <c r="I529" s="885"/>
      <c r="J529" s="885"/>
      <c r="K529" s="885"/>
      <c r="L529" s="885"/>
      <c r="M529" s="885"/>
      <c r="N529" s="885"/>
      <c r="O529" s="885"/>
      <c r="P529" s="885"/>
      <c r="Q529" s="885"/>
      <c r="R529" s="885"/>
      <c r="S529" s="885"/>
      <c r="T529" s="885"/>
      <c r="U529" s="885"/>
      <c r="V529" s="885"/>
      <c r="W529" s="885"/>
      <c r="X529" s="885"/>
      <c r="Y529" s="885"/>
      <c r="Z529" s="885"/>
    </row>
    <row r="530" spans="1:26" ht="16.5" customHeight="1" x14ac:dyDescent="0.2">
      <c r="A530" s="885"/>
      <c r="B530" s="885"/>
      <c r="C530" s="885"/>
      <c r="D530" s="885"/>
      <c r="E530" s="885"/>
      <c r="F530" s="885"/>
      <c r="G530" s="885"/>
      <c r="H530" s="885"/>
      <c r="I530" s="885"/>
      <c r="J530" s="885"/>
      <c r="K530" s="885"/>
      <c r="L530" s="885"/>
      <c r="M530" s="885"/>
      <c r="N530" s="885"/>
      <c r="O530" s="885"/>
      <c r="P530" s="885"/>
      <c r="Q530" s="885"/>
      <c r="R530" s="885"/>
      <c r="S530" s="885"/>
      <c r="T530" s="885"/>
      <c r="U530" s="885"/>
      <c r="V530" s="885"/>
      <c r="W530" s="885"/>
      <c r="X530" s="885"/>
      <c r="Y530" s="885"/>
      <c r="Z530" s="885"/>
    </row>
    <row r="531" spans="1:26" ht="16.5" customHeight="1" x14ac:dyDescent="0.2">
      <c r="A531" s="885"/>
      <c r="B531" s="885"/>
      <c r="C531" s="885"/>
      <c r="D531" s="885"/>
      <c r="E531" s="885"/>
      <c r="F531" s="885"/>
      <c r="G531" s="885"/>
      <c r="H531" s="885"/>
      <c r="I531" s="885"/>
      <c r="J531" s="885"/>
      <c r="K531" s="885"/>
      <c r="L531" s="885"/>
      <c r="M531" s="885"/>
      <c r="N531" s="885"/>
      <c r="O531" s="885"/>
      <c r="P531" s="885"/>
      <c r="Q531" s="885"/>
      <c r="R531" s="885"/>
      <c r="S531" s="885"/>
      <c r="T531" s="885"/>
      <c r="U531" s="885"/>
      <c r="V531" s="885"/>
      <c r="W531" s="885"/>
      <c r="X531" s="885"/>
      <c r="Y531" s="885"/>
      <c r="Z531" s="885"/>
    </row>
    <row r="532" spans="1:26" ht="16.5" customHeight="1" x14ac:dyDescent="0.2">
      <c r="A532" s="885"/>
      <c r="B532" s="885"/>
      <c r="C532" s="885"/>
      <c r="D532" s="885"/>
      <c r="E532" s="885"/>
      <c r="F532" s="885"/>
      <c r="G532" s="885"/>
      <c r="H532" s="885"/>
      <c r="I532" s="885"/>
      <c r="J532" s="885"/>
      <c r="K532" s="885"/>
      <c r="L532" s="885"/>
      <c r="M532" s="885"/>
      <c r="N532" s="885"/>
      <c r="O532" s="885"/>
      <c r="P532" s="885"/>
      <c r="Q532" s="885"/>
      <c r="R532" s="885"/>
      <c r="S532" s="885"/>
      <c r="T532" s="885"/>
      <c r="U532" s="885"/>
      <c r="V532" s="885"/>
      <c r="W532" s="885"/>
      <c r="X532" s="885"/>
      <c r="Y532" s="885"/>
      <c r="Z532" s="885"/>
    </row>
    <row r="533" spans="1:26" ht="16.5" customHeight="1" x14ac:dyDescent="0.2">
      <c r="A533" s="885"/>
      <c r="B533" s="885"/>
      <c r="C533" s="885"/>
      <c r="D533" s="885"/>
      <c r="E533" s="885"/>
      <c r="F533" s="885"/>
      <c r="G533" s="885"/>
      <c r="H533" s="885"/>
      <c r="I533" s="885"/>
      <c r="J533" s="885"/>
      <c r="K533" s="885"/>
      <c r="L533" s="885"/>
      <c r="M533" s="885"/>
      <c r="N533" s="885"/>
      <c r="O533" s="885"/>
      <c r="P533" s="885"/>
      <c r="Q533" s="885"/>
      <c r="R533" s="885"/>
      <c r="S533" s="885"/>
      <c r="T533" s="885"/>
      <c r="U533" s="885"/>
      <c r="V533" s="885"/>
      <c r="W533" s="885"/>
      <c r="X533" s="885"/>
      <c r="Y533" s="885"/>
      <c r="Z533" s="885"/>
    </row>
    <row r="534" spans="1:26" ht="16.5" customHeight="1" x14ac:dyDescent="0.2">
      <c r="A534" s="885"/>
      <c r="B534" s="885"/>
      <c r="C534" s="885"/>
      <c r="D534" s="885"/>
      <c r="E534" s="885"/>
      <c r="F534" s="885"/>
      <c r="G534" s="885"/>
      <c r="H534" s="885"/>
      <c r="I534" s="885"/>
      <c r="J534" s="885"/>
      <c r="K534" s="885"/>
      <c r="L534" s="885"/>
      <c r="M534" s="885"/>
      <c r="N534" s="885"/>
      <c r="O534" s="885"/>
      <c r="P534" s="885"/>
      <c r="Q534" s="885"/>
      <c r="R534" s="885"/>
      <c r="S534" s="885"/>
      <c r="T534" s="885"/>
      <c r="U534" s="885"/>
      <c r="V534" s="885"/>
      <c r="W534" s="885"/>
      <c r="X534" s="885"/>
      <c r="Y534" s="885"/>
      <c r="Z534" s="885"/>
    </row>
    <row r="535" spans="1:26" ht="16.5" customHeight="1" x14ac:dyDescent="0.2">
      <c r="A535" s="885"/>
      <c r="B535" s="885"/>
      <c r="C535" s="885"/>
      <c r="D535" s="885"/>
      <c r="E535" s="885"/>
      <c r="F535" s="885"/>
      <c r="G535" s="885"/>
      <c r="H535" s="885"/>
      <c r="I535" s="885"/>
      <c r="J535" s="885"/>
      <c r="K535" s="885"/>
      <c r="L535" s="885"/>
      <c r="M535" s="885"/>
      <c r="N535" s="885"/>
      <c r="O535" s="885"/>
      <c r="P535" s="885"/>
      <c r="Q535" s="885"/>
      <c r="R535" s="885"/>
      <c r="S535" s="885"/>
      <c r="T535" s="885"/>
      <c r="U535" s="885"/>
      <c r="V535" s="885"/>
      <c r="W535" s="885"/>
      <c r="X535" s="885"/>
      <c r="Y535" s="885"/>
      <c r="Z535" s="885"/>
    </row>
    <row r="536" spans="1:26" ht="16.5" customHeight="1" x14ac:dyDescent="0.2">
      <c r="A536" s="885"/>
      <c r="B536" s="885"/>
      <c r="C536" s="885"/>
      <c r="D536" s="885"/>
      <c r="E536" s="885"/>
      <c r="F536" s="885"/>
      <c r="G536" s="885"/>
      <c r="H536" s="885"/>
      <c r="I536" s="885"/>
      <c r="J536" s="885"/>
      <c r="K536" s="885"/>
      <c r="L536" s="885"/>
      <c r="M536" s="885"/>
      <c r="N536" s="885"/>
      <c r="O536" s="885"/>
      <c r="P536" s="885"/>
      <c r="Q536" s="885"/>
      <c r="R536" s="885"/>
      <c r="S536" s="885"/>
      <c r="T536" s="885"/>
      <c r="U536" s="885"/>
      <c r="V536" s="885"/>
      <c r="W536" s="885"/>
      <c r="X536" s="885"/>
      <c r="Y536" s="885"/>
      <c r="Z536" s="885"/>
    </row>
    <row r="537" spans="1:26" ht="16.5" customHeight="1" x14ac:dyDescent="0.2">
      <c r="A537" s="885"/>
      <c r="B537" s="885"/>
      <c r="C537" s="885"/>
      <c r="D537" s="885"/>
      <c r="E537" s="885"/>
      <c r="F537" s="885"/>
      <c r="G537" s="885"/>
      <c r="H537" s="885"/>
      <c r="I537" s="885"/>
      <c r="J537" s="885"/>
      <c r="K537" s="885"/>
      <c r="L537" s="885"/>
      <c r="M537" s="885"/>
      <c r="N537" s="885"/>
      <c r="O537" s="885"/>
      <c r="P537" s="885"/>
      <c r="Q537" s="885"/>
      <c r="R537" s="885"/>
      <c r="S537" s="885"/>
      <c r="T537" s="885"/>
      <c r="U537" s="885"/>
      <c r="V537" s="885"/>
      <c r="W537" s="885"/>
      <c r="X537" s="885"/>
      <c r="Y537" s="885"/>
      <c r="Z537" s="885"/>
    </row>
    <row r="538" spans="1:26" ht="16.5" customHeight="1" x14ac:dyDescent="0.2">
      <c r="A538" s="885"/>
      <c r="B538" s="885"/>
      <c r="C538" s="885"/>
      <c r="D538" s="885"/>
      <c r="E538" s="885"/>
      <c r="F538" s="885"/>
      <c r="G538" s="885"/>
      <c r="H538" s="885"/>
      <c r="I538" s="885"/>
      <c r="J538" s="885"/>
      <c r="K538" s="885"/>
      <c r="L538" s="885"/>
      <c r="M538" s="885"/>
      <c r="N538" s="885"/>
      <c r="O538" s="885"/>
      <c r="P538" s="885"/>
      <c r="Q538" s="885"/>
      <c r="R538" s="885"/>
      <c r="S538" s="885"/>
      <c r="T538" s="885"/>
      <c r="U538" s="885"/>
      <c r="V538" s="885"/>
      <c r="W538" s="885"/>
      <c r="X538" s="885"/>
      <c r="Y538" s="885"/>
      <c r="Z538" s="885"/>
    </row>
    <row r="539" spans="1:26" ht="16.5" customHeight="1" x14ac:dyDescent="0.2">
      <c r="A539" s="885"/>
      <c r="B539" s="885"/>
      <c r="C539" s="885"/>
      <c r="D539" s="885"/>
      <c r="E539" s="885"/>
      <c r="F539" s="885"/>
      <c r="G539" s="885"/>
      <c r="H539" s="885"/>
      <c r="I539" s="885"/>
      <c r="J539" s="885"/>
      <c r="K539" s="885"/>
      <c r="L539" s="885"/>
      <c r="M539" s="885"/>
      <c r="N539" s="885"/>
      <c r="O539" s="885"/>
      <c r="P539" s="885"/>
      <c r="Q539" s="885"/>
      <c r="R539" s="885"/>
      <c r="S539" s="885"/>
      <c r="T539" s="885"/>
      <c r="U539" s="885"/>
      <c r="V539" s="885"/>
      <c r="W539" s="885"/>
      <c r="X539" s="885"/>
      <c r="Y539" s="885"/>
      <c r="Z539" s="885"/>
    </row>
    <row r="540" spans="1:26" ht="16.5" customHeight="1" x14ac:dyDescent="0.2">
      <c r="A540" s="885"/>
      <c r="B540" s="885"/>
      <c r="C540" s="885"/>
      <c r="D540" s="885"/>
      <c r="E540" s="885"/>
      <c r="F540" s="885"/>
      <c r="G540" s="885"/>
      <c r="H540" s="885"/>
      <c r="I540" s="885"/>
      <c r="J540" s="885"/>
      <c r="K540" s="885"/>
      <c r="L540" s="885"/>
      <c r="M540" s="885"/>
      <c r="N540" s="885"/>
      <c r="O540" s="885"/>
      <c r="P540" s="885"/>
      <c r="Q540" s="885"/>
      <c r="R540" s="885"/>
      <c r="S540" s="885"/>
      <c r="T540" s="885"/>
      <c r="U540" s="885"/>
      <c r="V540" s="885"/>
      <c r="W540" s="885"/>
      <c r="X540" s="885"/>
      <c r="Y540" s="885"/>
      <c r="Z540" s="885"/>
    </row>
    <row r="541" spans="1:26" ht="16.5" customHeight="1" x14ac:dyDescent="0.2">
      <c r="A541" s="885"/>
      <c r="B541" s="885"/>
      <c r="C541" s="885"/>
      <c r="D541" s="885"/>
      <c r="E541" s="885"/>
      <c r="F541" s="885"/>
      <c r="G541" s="885"/>
      <c r="H541" s="885"/>
      <c r="I541" s="885"/>
      <c r="J541" s="885"/>
      <c r="K541" s="885"/>
      <c r="L541" s="885"/>
      <c r="M541" s="885"/>
      <c r="N541" s="885"/>
      <c r="O541" s="885"/>
      <c r="P541" s="885"/>
      <c r="Q541" s="885"/>
      <c r="R541" s="885"/>
      <c r="S541" s="885"/>
      <c r="T541" s="885"/>
      <c r="U541" s="885"/>
      <c r="V541" s="885"/>
      <c r="W541" s="885"/>
      <c r="X541" s="885"/>
      <c r="Y541" s="885"/>
      <c r="Z541" s="885"/>
    </row>
    <row r="542" spans="1:26" ht="16.5" customHeight="1" x14ac:dyDescent="0.2">
      <c r="A542" s="885"/>
      <c r="B542" s="885"/>
      <c r="C542" s="885"/>
      <c r="D542" s="885"/>
      <c r="E542" s="885"/>
      <c r="F542" s="885"/>
      <c r="G542" s="885"/>
      <c r="H542" s="885"/>
      <c r="I542" s="885"/>
      <c r="J542" s="885"/>
      <c r="K542" s="885"/>
      <c r="L542" s="885"/>
      <c r="M542" s="885"/>
      <c r="N542" s="885"/>
      <c r="O542" s="885"/>
      <c r="P542" s="885"/>
      <c r="Q542" s="885"/>
      <c r="R542" s="885"/>
      <c r="S542" s="885"/>
      <c r="T542" s="885"/>
      <c r="U542" s="885"/>
      <c r="V542" s="885"/>
      <c r="W542" s="885"/>
      <c r="X542" s="885"/>
      <c r="Y542" s="885"/>
      <c r="Z542" s="885"/>
    </row>
    <row r="543" spans="1:26" ht="16.5" customHeight="1" x14ac:dyDescent="0.2">
      <c r="A543" s="885"/>
      <c r="B543" s="885"/>
      <c r="C543" s="885"/>
      <c r="D543" s="885"/>
      <c r="E543" s="885"/>
      <c r="F543" s="885"/>
      <c r="G543" s="885"/>
      <c r="H543" s="885"/>
      <c r="I543" s="885"/>
      <c r="J543" s="885"/>
      <c r="K543" s="885"/>
      <c r="L543" s="885"/>
      <c r="M543" s="885"/>
      <c r="N543" s="885"/>
      <c r="O543" s="885"/>
      <c r="P543" s="885"/>
      <c r="Q543" s="885"/>
      <c r="R543" s="885"/>
      <c r="S543" s="885"/>
      <c r="T543" s="885"/>
      <c r="U543" s="885"/>
      <c r="V543" s="885"/>
      <c r="W543" s="885"/>
      <c r="X543" s="885"/>
      <c r="Y543" s="885"/>
      <c r="Z543" s="885"/>
    </row>
    <row r="544" spans="1:26" ht="16.5" customHeight="1" x14ac:dyDescent="0.2">
      <c r="A544" s="885"/>
      <c r="B544" s="885"/>
      <c r="C544" s="885"/>
      <c r="D544" s="885"/>
      <c r="E544" s="885"/>
      <c r="F544" s="885"/>
      <c r="G544" s="885"/>
      <c r="H544" s="885"/>
      <c r="I544" s="885"/>
      <c r="J544" s="885"/>
      <c r="K544" s="885"/>
      <c r="L544" s="885"/>
      <c r="M544" s="885"/>
      <c r="N544" s="885"/>
      <c r="O544" s="885"/>
      <c r="P544" s="885"/>
      <c r="Q544" s="885"/>
      <c r="R544" s="885"/>
      <c r="S544" s="885"/>
      <c r="T544" s="885"/>
      <c r="U544" s="885"/>
      <c r="V544" s="885"/>
      <c r="W544" s="885"/>
      <c r="X544" s="885"/>
      <c r="Y544" s="885"/>
      <c r="Z544" s="885"/>
    </row>
    <row r="545" spans="1:26" ht="16.5" customHeight="1" x14ac:dyDescent="0.2">
      <c r="A545" s="885"/>
      <c r="B545" s="885"/>
      <c r="C545" s="885"/>
      <c r="D545" s="885"/>
      <c r="E545" s="885"/>
      <c r="F545" s="885"/>
      <c r="G545" s="885"/>
      <c r="H545" s="885"/>
      <c r="I545" s="885"/>
      <c r="J545" s="885"/>
      <c r="K545" s="885"/>
      <c r="L545" s="885"/>
      <c r="M545" s="885"/>
      <c r="N545" s="885"/>
      <c r="O545" s="885"/>
      <c r="P545" s="885"/>
      <c r="Q545" s="885"/>
      <c r="R545" s="885"/>
      <c r="S545" s="885"/>
      <c r="T545" s="885"/>
      <c r="U545" s="885"/>
      <c r="V545" s="885"/>
      <c r="W545" s="885"/>
      <c r="X545" s="885"/>
      <c r="Y545" s="885"/>
      <c r="Z545" s="885"/>
    </row>
    <row r="546" spans="1:26" ht="16.5" customHeight="1" x14ac:dyDescent="0.2">
      <c r="A546" s="885"/>
      <c r="B546" s="885"/>
      <c r="C546" s="885"/>
      <c r="D546" s="885"/>
      <c r="E546" s="885"/>
      <c r="F546" s="885"/>
      <c r="G546" s="885"/>
      <c r="H546" s="885"/>
      <c r="I546" s="885"/>
      <c r="J546" s="885"/>
      <c r="K546" s="885"/>
      <c r="L546" s="885"/>
      <c r="M546" s="885"/>
      <c r="N546" s="885"/>
      <c r="O546" s="885"/>
      <c r="P546" s="885"/>
      <c r="Q546" s="885"/>
      <c r="R546" s="885"/>
      <c r="S546" s="885"/>
      <c r="T546" s="885"/>
      <c r="U546" s="885"/>
      <c r="V546" s="885"/>
      <c r="W546" s="885"/>
      <c r="X546" s="885"/>
      <c r="Y546" s="885"/>
      <c r="Z546" s="885"/>
    </row>
    <row r="547" spans="1:26" ht="16.5" customHeight="1" x14ac:dyDescent="0.2">
      <c r="A547" s="885"/>
      <c r="B547" s="885"/>
      <c r="C547" s="885"/>
      <c r="D547" s="885"/>
      <c r="E547" s="885"/>
      <c r="F547" s="885"/>
      <c r="G547" s="885"/>
      <c r="H547" s="885"/>
      <c r="I547" s="885"/>
      <c r="J547" s="885"/>
      <c r="K547" s="885"/>
      <c r="L547" s="885"/>
      <c r="M547" s="885"/>
      <c r="N547" s="885"/>
      <c r="O547" s="885"/>
      <c r="P547" s="885"/>
      <c r="Q547" s="885"/>
      <c r="R547" s="885"/>
      <c r="S547" s="885"/>
      <c r="T547" s="885"/>
      <c r="U547" s="885"/>
      <c r="V547" s="885"/>
      <c r="W547" s="885"/>
      <c r="X547" s="885"/>
      <c r="Y547" s="885"/>
      <c r="Z547" s="885"/>
    </row>
    <row r="548" spans="1:26" ht="16.5" customHeight="1" x14ac:dyDescent="0.2">
      <c r="A548" s="885"/>
      <c r="B548" s="885"/>
      <c r="C548" s="885"/>
      <c r="D548" s="885"/>
      <c r="E548" s="885"/>
      <c r="F548" s="885"/>
      <c r="G548" s="885"/>
      <c r="H548" s="885"/>
      <c r="I548" s="885"/>
      <c r="J548" s="885"/>
      <c r="K548" s="885"/>
      <c r="L548" s="885"/>
      <c r="M548" s="885"/>
      <c r="N548" s="885"/>
      <c r="O548" s="885"/>
      <c r="P548" s="885"/>
      <c r="Q548" s="885"/>
      <c r="R548" s="885"/>
      <c r="S548" s="885"/>
      <c r="T548" s="885"/>
      <c r="U548" s="885"/>
      <c r="V548" s="885"/>
      <c r="W548" s="885"/>
      <c r="X548" s="885"/>
      <c r="Y548" s="885"/>
      <c r="Z548" s="885"/>
    </row>
    <row r="549" spans="1:26" ht="16.5" customHeight="1" x14ac:dyDescent="0.2">
      <c r="A549" s="885"/>
      <c r="B549" s="885"/>
      <c r="C549" s="885"/>
      <c r="D549" s="885"/>
      <c r="E549" s="885"/>
      <c r="F549" s="885"/>
      <c r="G549" s="885"/>
      <c r="H549" s="885"/>
      <c r="I549" s="885"/>
      <c r="J549" s="885"/>
      <c r="K549" s="885"/>
      <c r="L549" s="885"/>
      <c r="M549" s="885"/>
      <c r="N549" s="885"/>
      <c r="O549" s="885"/>
      <c r="P549" s="885"/>
      <c r="Q549" s="885"/>
      <c r="R549" s="885"/>
      <c r="S549" s="885"/>
      <c r="T549" s="885"/>
      <c r="U549" s="885"/>
      <c r="V549" s="885"/>
      <c r="W549" s="885"/>
      <c r="X549" s="885"/>
      <c r="Y549" s="885"/>
      <c r="Z549" s="885"/>
    </row>
    <row r="550" spans="1:26" ht="16.5" customHeight="1" x14ac:dyDescent="0.2">
      <c r="A550" s="885"/>
      <c r="B550" s="885"/>
      <c r="C550" s="885"/>
      <c r="D550" s="885"/>
      <c r="E550" s="885"/>
      <c r="F550" s="885"/>
      <c r="G550" s="885"/>
      <c r="H550" s="885"/>
      <c r="I550" s="885"/>
      <c r="J550" s="885"/>
      <c r="K550" s="885"/>
      <c r="L550" s="885"/>
      <c r="M550" s="885"/>
      <c r="N550" s="885"/>
      <c r="O550" s="885"/>
      <c r="P550" s="885"/>
      <c r="Q550" s="885"/>
      <c r="R550" s="885"/>
      <c r="S550" s="885"/>
      <c r="T550" s="885"/>
      <c r="U550" s="885"/>
      <c r="V550" s="885"/>
      <c r="W550" s="885"/>
      <c r="X550" s="885"/>
      <c r="Y550" s="885"/>
      <c r="Z550" s="885"/>
    </row>
    <row r="551" spans="1:26" ht="16.5" customHeight="1" x14ac:dyDescent="0.2">
      <c r="A551" s="885"/>
      <c r="B551" s="885"/>
      <c r="C551" s="885"/>
      <c r="D551" s="885"/>
      <c r="E551" s="885"/>
      <c r="F551" s="885"/>
      <c r="G551" s="885"/>
      <c r="H551" s="885"/>
      <c r="I551" s="885"/>
      <c r="J551" s="885"/>
      <c r="K551" s="885"/>
      <c r="L551" s="885"/>
      <c r="M551" s="885"/>
      <c r="N551" s="885"/>
      <c r="O551" s="885"/>
      <c r="P551" s="885"/>
      <c r="Q551" s="885"/>
      <c r="R551" s="885"/>
      <c r="S551" s="885"/>
      <c r="T551" s="885"/>
      <c r="U551" s="885"/>
      <c r="V551" s="885"/>
      <c r="W551" s="885"/>
      <c r="X551" s="885"/>
      <c r="Y551" s="885"/>
      <c r="Z551" s="885"/>
    </row>
    <row r="552" spans="1:26" ht="16.5" customHeight="1" x14ac:dyDescent="0.2">
      <c r="A552" s="885"/>
      <c r="B552" s="885"/>
      <c r="C552" s="885"/>
      <c r="D552" s="885"/>
      <c r="E552" s="885"/>
      <c r="F552" s="885"/>
      <c r="G552" s="885"/>
      <c r="H552" s="885"/>
      <c r="I552" s="885"/>
      <c r="J552" s="885"/>
      <c r="K552" s="885"/>
      <c r="L552" s="885"/>
      <c r="M552" s="885"/>
      <c r="N552" s="885"/>
      <c r="O552" s="885"/>
      <c r="P552" s="885"/>
      <c r="Q552" s="885"/>
      <c r="R552" s="885"/>
      <c r="S552" s="885"/>
      <c r="T552" s="885"/>
      <c r="U552" s="885"/>
      <c r="V552" s="885"/>
      <c r="W552" s="885"/>
      <c r="X552" s="885"/>
      <c r="Y552" s="885"/>
      <c r="Z552" s="885"/>
    </row>
    <row r="553" spans="1:26" ht="16.5" customHeight="1" x14ac:dyDescent="0.2">
      <c r="A553" s="885"/>
      <c r="B553" s="885"/>
      <c r="C553" s="885"/>
      <c r="D553" s="885"/>
      <c r="E553" s="885"/>
      <c r="F553" s="885"/>
      <c r="G553" s="885"/>
      <c r="H553" s="885"/>
      <c r="I553" s="885"/>
      <c r="J553" s="885"/>
      <c r="K553" s="885"/>
      <c r="L553" s="885"/>
      <c r="M553" s="885"/>
      <c r="N553" s="885"/>
      <c r="O553" s="885"/>
      <c r="P553" s="885"/>
      <c r="Q553" s="885"/>
      <c r="R553" s="885"/>
      <c r="S553" s="885"/>
      <c r="T553" s="885"/>
      <c r="U553" s="885"/>
      <c r="V553" s="885"/>
      <c r="W553" s="885"/>
      <c r="X553" s="885"/>
      <c r="Y553" s="885"/>
      <c r="Z553" s="885"/>
    </row>
    <row r="554" spans="1:26" ht="16.5" customHeight="1" x14ac:dyDescent="0.2">
      <c r="A554" s="885"/>
      <c r="B554" s="885"/>
      <c r="C554" s="885"/>
      <c r="D554" s="885"/>
      <c r="E554" s="885"/>
      <c r="F554" s="885"/>
      <c r="G554" s="885"/>
      <c r="H554" s="885"/>
      <c r="I554" s="885"/>
      <c r="J554" s="885"/>
      <c r="K554" s="885"/>
      <c r="L554" s="885"/>
      <c r="M554" s="885"/>
      <c r="N554" s="885"/>
      <c r="O554" s="885"/>
      <c r="P554" s="885"/>
      <c r="Q554" s="885"/>
      <c r="R554" s="885"/>
      <c r="S554" s="885"/>
      <c r="T554" s="885"/>
      <c r="U554" s="885"/>
      <c r="V554" s="885"/>
      <c r="W554" s="885"/>
      <c r="X554" s="885"/>
      <c r="Y554" s="885"/>
      <c r="Z554" s="885"/>
    </row>
    <row r="555" spans="1:26" ht="16.5" customHeight="1" x14ac:dyDescent="0.2">
      <c r="A555" s="885"/>
      <c r="B555" s="885"/>
      <c r="C555" s="885"/>
      <c r="D555" s="885"/>
      <c r="E555" s="885"/>
      <c r="F555" s="885"/>
      <c r="G555" s="885"/>
      <c r="H555" s="885"/>
      <c r="I555" s="885"/>
      <c r="J555" s="885"/>
      <c r="K555" s="885"/>
      <c r="L555" s="885"/>
      <c r="M555" s="885"/>
      <c r="N555" s="885"/>
      <c r="O555" s="885"/>
      <c r="P555" s="885"/>
      <c r="Q555" s="885"/>
      <c r="R555" s="885"/>
      <c r="S555" s="885"/>
      <c r="T555" s="885"/>
      <c r="U555" s="885"/>
      <c r="V555" s="885"/>
      <c r="W555" s="885"/>
      <c r="X555" s="885"/>
      <c r="Y555" s="885"/>
      <c r="Z555" s="885"/>
    </row>
    <row r="556" spans="1:26" ht="16.5" customHeight="1" x14ac:dyDescent="0.2">
      <c r="A556" s="885"/>
      <c r="B556" s="885"/>
      <c r="C556" s="885"/>
      <c r="D556" s="885"/>
      <c r="E556" s="885"/>
      <c r="F556" s="885"/>
      <c r="G556" s="885"/>
      <c r="H556" s="885"/>
      <c r="I556" s="885"/>
      <c r="J556" s="885"/>
      <c r="K556" s="885"/>
      <c r="L556" s="885"/>
      <c r="M556" s="885"/>
      <c r="N556" s="885"/>
      <c r="O556" s="885"/>
      <c r="P556" s="885"/>
      <c r="Q556" s="885"/>
      <c r="R556" s="885"/>
      <c r="S556" s="885"/>
      <c r="T556" s="885"/>
      <c r="U556" s="885"/>
      <c r="V556" s="885"/>
      <c r="W556" s="885"/>
      <c r="X556" s="885"/>
      <c r="Y556" s="885"/>
      <c r="Z556" s="885"/>
    </row>
    <row r="557" spans="1:26" ht="16.5" customHeight="1" x14ac:dyDescent="0.2">
      <c r="A557" s="885"/>
      <c r="B557" s="885"/>
      <c r="C557" s="885"/>
      <c r="D557" s="885"/>
      <c r="E557" s="885"/>
      <c r="F557" s="885"/>
      <c r="G557" s="885"/>
      <c r="H557" s="885"/>
      <c r="I557" s="885"/>
      <c r="J557" s="885"/>
      <c r="K557" s="885"/>
      <c r="L557" s="885"/>
      <c r="M557" s="885"/>
      <c r="N557" s="885"/>
      <c r="O557" s="885"/>
      <c r="P557" s="885"/>
      <c r="Q557" s="885"/>
      <c r="R557" s="885"/>
      <c r="S557" s="885"/>
      <c r="T557" s="885"/>
      <c r="U557" s="885"/>
      <c r="V557" s="885"/>
      <c r="W557" s="885"/>
      <c r="X557" s="885"/>
      <c r="Y557" s="885"/>
      <c r="Z557" s="885"/>
    </row>
    <row r="558" spans="1:26" ht="16.5" customHeight="1" x14ac:dyDescent="0.2">
      <c r="A558" s="885"/>
      <c r="B558" s="885"/>
      <c r="C558" s="885"/>
      <c r="D558" s="885"/>
      <c r="E558" s="885"/>
      <c r="F558" s="885"/>
      <c r="G558" s="885"/>
      <c r="H558" s="885"/>
      <c r="I558" s="885"/>
      <c r="J558" s="885"/>
      <c r="K558" s="885"/>
      <c r="L558" s="885"/>
      <c r="M558" s="885"/>
      <c r="N558" s="885"/>
      <c r="O558" s="885"/>
      <c r="P558" s="885"/>
      <c r="Q558" s="885"/>
      <c r="R558" s="885"/>
      <c r="S558" s="885"/>
      <c r="T558" s="885"/>
      <c r="U558" s="885"/>
      <c r="V558" s="885"/>
      <c r="W558" s="885"/>
      <c r="X558" s="885"/>
      <c r="Y558" s="885"/>
      <c r="Z558" s="885"/>
    </row>
    <row r="559" spans="1:26" ht="16.5" customHeight="1" x14ac:dyDescent="0.2">
      <c r="A559" s="885"/>
      <c r="B559" s="885"/>
      <c r="C559" s="885"/>
      <c r="D559" s="885"/>
      <c r="E559" s="885"/>
      <c r="F559" s="885"/>
      <c r="G559" s="885"/>
      <c r="H559" s="885"/>
      <c r="I559" s="885"/>
      <c r="J559" s="885"/>
      <c r="K559" s="885"/>
      <c r="L559" s="885"/>
      <c r="M559" s="885"/>
      <c r="N559" s="885"/>
      <c r="O559" s="885"/>
      <c r="P559" s="885"/>
      <c r="Q559" s="885"/>
      <c r="R559" s="885"/>
      <c r="S559" s="885"/>
      <c r="T559" s="885"/>
      <c r="U559" s="885"/>
      <c r="V559" s="885"/>
      <c r="W559" s="885"/>
      <c r="X559" s="885"/>
      <c r="Y559" s="885"/>
      <c r="Z559" s="885"/>
    </row>
    <row r="560" spans="1:26" ht="16.5" customHeight="1" x14ac:dyDescent="0.2">
      <c r="A560" s="885"/>
      <c r="B560" s="885"/>
      <c r="C560" s="885"/>
      <c r="D560" s="885"/>
      <c r="E560" s="885"/>
      <c r="F560" s="885"/>
      <c r="G560" s="885"/>
      <c r="H560" s="885"/>
      <c r="I560" s="885"/>
      <c r="J560" s="885"/>
      <c r="K560" s="885"/>
      <c r="L560" s="885"/>
      <c r="M560" s="885"/>
      <c r="N560" s="885"/>
      <c r="O560" s="885"/>
      <c r="P560" s="885"/>
      <c r="Q560" s="885"/>
      <c r="R560" s="885"/>
      <c r="S560" s="885"/>
      <c r="T560" s="885"/>
      <c r="U560" s="885"/>
      <c r="V560" s="885"/>
      <c r="W560" s="885"/>
      <c r="X560" s="885"/>
      <c r="Y560" s="885"/>
      <c r="Z560" s="885"/>
    </row>
    <row r="561" spans="1:26" ht="16.5" customHeight="1" x14ac:dyDescent="0.2">
      <c r="A561" s="885"/>
      <c r="B561" s="885"/>
      <c r="C561" s="885"/>
      <c r="D561" s="885"/>
      <c r="E561" s="885"/>
      <c r="F561" s="885"/>
      <c r="G561" s="885"/>
      <c r="H561" s="885"/>
      <c r="I561" s="885"/>
      <c r="J561" s="885"/>
      <c r="K561" s="885"/>
      <c r="L561" s="885"/>
      <c r="M561" s="885"/>
      <c r="N561" s="885"/>
      <c r="O561" s="885"/>
      <c r="P561" s="885"/>
      <c r="Q561" s="885"/>
      <c r="R561" s="885"/>
      <c r="S561" s="885"/>
      <c r="T561" s="885"/>
      <c r="U561" s="885"/>
      <c r="V561" s="885"/>
      <c r="W561" s="885"/>
      <c r="X561" s="885"/>
      <c r="Y561" s="885"/>
      <c r="Z561" s="885"/>
    </row>
    <row r="562" spans="1:26" ht="16.5" customHeight="1" x14ac:dyDescent="0.2">
      <c r="A562" s="885"/>
      <c r="B562" s="885"/>
      <c r="C562" s="885"/>
      <c r="D562" s="885"/>
      <c r="E562" s="885"/>
      <c r="F562" s="885"/>
      <c r="G562" s="885"/>
      <c r="H562" s="885"/>
      <c r="I562" s="885"/>
      <c r="J562" s="885"/>
      <c r="K562" s="885"/>
      <c r="L562" s="885"/>
      <c r="M562" s="885"/>
      <c r="N562" s="885"/>
      <c r="O562" s="885"/>
      <c r="P562" s="885"/>
      <c r="Q562" s="885"/>
      <c r="R562" s="885"/>
      <c r="S562" s="885"/>
      <c r="T562" s="885"/>
      <c r="U562" s="885"/>
      <c r="V562" s="885"/>
      <c r="W562" s="885"/>
      <c r="X562" s="885"/>
      <c r="Y562" s="885"/>
      <c r="Z562" s="885"/>
    </row>
    <row r="563" spans="1:26" ht="16.5" customHeight="1" x14ac:dyDescent="0.2">
      <c r="A563" s="885"/>
      <c r="B563" s="885"/>
      <c r="C563" s="885"/>
      <c r="D563" s="885"/>
      <c r="E563" s="885"/>
      <c r="F563" s="885"/>
      <c r="G563" s="885"/>
      <c r="H563" s="885"/>
      <c r="I563" s="885"/>
      <c r="J563" s="885"/>
      <c r="K563" s="885"/>
      <c r="L563" s="885"/>
      <c r="M563" s="885"/>
      <c r="N563" s="885"/>
      <c r="O563" s="885"/>
      <c r="P563" s="885"/>
      <c r="Q563" s="885"/>
      <c r="R563" s="885"/>
      <c r="S563" s="885"/>
      <c r="T563" s="885"/>
      <c r="U563" s="885"/>
      <c r="V563" s="885"/>
      <c r="W563" s="885"/>
      <c r="X563" s="885"/>
      <c r="Y563" s="885"/>
      <c r="Z563" s="885"/>
    </row>
    <row r="564" spans="1:26" ht="16.5" customHeight="1" x14ac:dyDescent="0.2">
      <c r="A564" s="885"/>
      <c r="B564" s="885"/>
      <c r="C564" s="885"/>
      <c r="D564" s="885"/>
      <c r="E564" s="885"/>
      <c r="F564" s="885"/>
      <c r="G564" s="885"/>
      <c r="H564" s="885"/>
      <c r="I564" s="885"/>
      <c r="J564" s="885"/>
      <c r="K564" s="885"/>
      <c r="L564" s="885"/>
      <c r="M564" s="885"/>
      <c r="N564" s="885"/>
      <c r="O564" s="885"/>
      <c r="P564" s="885"/>
      <c r="Q564" s="885"/>
      <c r="R564" s="885"/>
      <c r="S564" s="885"/>
      <c r="T564" s="885"/>
      <c r="U564" s="885"/>
      <c r="V564" s="885"/>
      <c r="W564" s="885"/>
      <c r="X564" s="885"/>
      <c r="Y564" s="885"/>
      <c r="Z564" s="885"/>
    </row>
    <row r="565" spans="1:26" ht="16.5" customHeight="1" x14ac:dyDescent="0.2">
      <c r="A565" s="885"/>
      <c r="B565" s="885"/>
      <c r="C565" s="885"/>
      <c r="D565" s="885"/>
      <c r="E565" s="885"/>
      <c r="F565" s="885"/>
      <c r="G565" s="885"/>
      <c r="H565" s="885"/>
      <c r="I565" s="885"/>
      <c r="J565" s="885"/>
      <c r="K565" s="885"/>
      <c r="L565" s="885"/>
      <c r="M565" s="885"/>
      <c r="N565" s="885"/>
      <c r="O565" s="885"/>
      <c r="P565" s="885"/>
      <c r="Q565" s="885"/>
      <c r="R565" s="885"/>
      <c r="S565" s="885"/>
      <c r="T565" s="885"/>
      <c r="U565" s="885"/>
      <c r="V565" s="885"/>
      <c r="W565" s="885"/>
      <c r="X565" s="885"/>
      <c r="Y565" s="885"/>
      <c r="Z565" s="885"/>
    </row>
    <row r="566" spans="1:26" ht="16.5" customHeight="1" x14ac:dyDescent="0.2">
      <c r="A566" s="885"/>
      <c r="B566" s="885"/>
      <c r="C566" s="885"/>
      <c r="D566" s="885"/>
      <c r="E566" s="885"/>
      <c r="F566" s="885"/>
      <c r="G566" s="885"/>
      <c r="H566" s="885"/>
      <c r="I566" s="885"/>
      <c r="J566" s="885"/>
      <c r="K566" s="885"/>
      <c r="L566" s="885"/>
      <c r="M566" s="885"/>
      <c r="N566" s="885"/>
      <c r="O566" s="885"/>
      <c r="P566" s="885"/>
      <c r="Q566" s="885"/>
      <c r="R566" s="885"/>
      <c r="S566" s="885"/>
      <c r="T566" s="885"/>
      <c r="U566" s="885"/>
      <c r="V566" s="885"/>
      <c r="W566" s="885"/>
      <c r="X566" s="885"/>
      <c r="Y566" s="885"/>
      <c r="Z566" s="885"/>
    </row>
    <row r="567" spans="1:26" ht="16.5" customHeight="1" x14ac:dyDescent="0.2">
      <c r="A567" s="885"/>
      <c r="B567" s="885"/>
      <c r="C567" s="885"/>
      <c r="D567" s="885"/>
      <c r="E567" s="885"/>
      <c r="F567" s="885"/>
      <c r="G567" s="885"/>
      <c r="H567" s="885"/>
      <c r="I567" s="885"/>
      <c r="J567" s="885"/>
      <c r="K567" s="885"/>
      <c r="L567" s="885"/>
      <c r="M567" s="885"/>
      <c r="N567" s="885"/>
      <c r="O567" s="885"/>
      <c r="P567" s="885"/>
      <c r="Q567" s="885"/>
      <c r="R567" s="885"/>
      <c r="S567" s="885"/>
      <c r="T567" s="885"/>
      <c r="U567" s="885"/>
      <c r="V567" s="885"/>
      <c r="W567" s="885"/>
      <c r="X567" s="885"/>
      <c r="Y567" s="885"/>
      <c r="Z567" s="885"/>
    </row>
    <row r="568" spans="1:26" ht="16.5" customHeight="1" x14ac:dyDescent="0.2">
      <c r="A568" s="885"/>
      <c r="B568" s="885"/>
      <c r="C568" s="885"/>
      <c r="D568" s="885"/>
      <c r="E568" s="885"/>
      <c r="F568" s="885"/>
      <c r="G568" s="885"/>
      <c r="H568" s="885"/>
      <c r="I568" s="885"/>
      <c r="J568" s="885"/>
      <c r="K568" s="885"/>
      <c r="L568" s="885"/>
      <c r="M568" s="885"/>
      <c r="N568" s="885"/>
      <c r="O568" s="885"/>
      <c r="P568" s="885"/>
      <c r="Q568" s="885"/>
      <c r="R568" s="885"/>
      <c r="S568" s="885"/>
      <c r="T568" s="885"/>
      <c r="U568" s="885"/>
      <c r="V568" s="885"/>
      <c r="W568" s="885"/>
      <c r="X568" s="885"/>
      <c r="Y568" s="885"/>
      <c r="Z568" s="885"/>
    </row>
    <row r="569" spans="1:26" ht="16.5" customHeight="1" x14ac:dyDescent="0.2">
      <c r="A569" s="885"/>
      <c r="B569" s="885"/>
      <c r="C569" s="885"/>
      <c r="D569" s="885"/>
      <c r="E569" s="885"/>
      <c r="F569" s="885"/>
      <c r="G569" s="885"/>
      <c r="H569" s="885"/>
      <c r="I569" s="885"/>
      <c r="J569" s="885"/>
      <c r="K569" s="885"/>
      <c r="L569" s="885"/>
      <c r="M569" s="885"/>
      <c r="N569" s="885"/>
      <c r="O569" s="885"/>
      <c r="P569" s="885"/>
      <c r="Q569" s="885"/>
      <c r="R569" s="885"/>
      <c r="S569" s="885"/>
      <c r="T569" s="885"/>
      <c r="U569" s="885"/>
      <c r="V569" s="885"/>
      <c r="W569" s="885"/>
      <c r="X569" s="885"/>
      <c r="Y569" s="885"/>
      <c r="Z569" s="885"/>
    </row>
    <row r="570" spans="1:26" ht="16.5" customHeight="1" x14ac:dyDescent="0.2">
      <c r="A570" s="885"/>
      <c r="B570" s="885"/>
      <c r="C570" s="885"/>
      <c r="D570" s="885"/>
      <c r="E570" s="885"/>
      <c r="F570" s="885"/>
      <c r="G570" s="885"/>
      <c r="H570" s="885"/>
      <c r="I570" s="885"/>
      <c r="J570" s="885"/>
      <c r="K570" s="885"/>
      <c r="L570" s="885"/>
      <c r="M570" s="885"/>
      <c r="N570" s="885"/>
      <c r="O570" s="885"/>
      <c r="P570" s="885"/>
      <c r="Q570" s="885"/>
      <c r="R570" s="885"/>
      <c r="S570" s="885"/>
      <c r="T570" s="885"/>
      <c r="U570" s="885"/>
      <c r="V570" s="885"/>
      <c r="W570" s="885"/>
      <c r="X570" s="885"/>
      <c r="Y570" s="885"/>
      <c r="Z570" s="885"/>
    </row>
    <row r="571" spans="1:26" ht="16.5" customHeight="1" x14ac:dyDescent="0.2">
      <c r="A571" s="885"/>
      <c r="B571" s="885"/>
      <c r="C571" s="885"/>
      <c r="D571" s="885"/>
      <c r="E571" s="885"/>
      <c r="F571" s="885"/>
      <c r="G571" s="885"/>
      <c r="H571" s="885"/>
      <c r="I571" s="885"/>
      <c r="J571" s="885"/>
      <c r="K571" s="885"/>
      <c r="L571" s="885"/>
      <c r="M571" s="885"/>
      <c r="N571" s="885"/>
      <c r="O571" s="885"/>
      <c r="P571" s="885"/>
      <c r="Q571" s="885"/>
      <c r="R571" s="885"/>
      <c r="S571" s="885"/>
      <c r="T571" s="885"/>
      <c r="U571" s="885"/>
      <c r="V571" s="885"/>
      <c r="W571" s="885"/>
      <c r="X571" s="885"/>
      <c r="Y571" s="885"/>
      <c r="Z571" s="885"/>
    </row>
    <row r="572" spans="1:26" ht="16.5" customHeight="1" x14ac:dyDescent="0.2">
      <c r="A572" s="885"/>
      <c r="B572" s="885"/>
      <c r="C572" s="885"/>
      <c r="D572" s="885"/>
      <c r="E572" s="885"/>
      <c r="F572" s="885"/>
      <c r="G572" s="885"/>
      <c r="H572" s="885"/>
      <c r="I572" s="885"/>
      <c r="J572" s="885"/>
      <c r="K572" s="885"/>
      <c r="L572" s="885"/>
      <c r="M572" s="885"/>
      <c r="N572" s="885"/>
      <c r="O572" s="885"/>
      <c r="P572" s="885"/>
      <c r="Q572" s="885"/>
      <c r="R572" s="885"/>
      <c r="S572" s="885"/>
      <c r="T572" s="885"/>
      <c r="U572" s="885"/>
      <c r="V572" s="885"/>
      <c r="W572" s="885"/>
      <c r="X572" s="885"/>
      <c r="Y572" s="885"/>
      <c r="Z572" s="885"/>
    </row>
    <row r="573" spans="1:26" ht="16.5" customHeight="1" x14ac:dyDescent="0.2">
      <c r="A573" s="885"/>
      <c r="B573" s="885"/>
      <c r="C573" s="885"/>
      <c r="D573" s="885"/>
      <c r="E573" s="885"/>
      <c r="F573" s="885"/>
      <c r="G573" s="885"/>
      <c r="H573" s="885"/>
      <c r="I573" s="885"/>
      <c r="J573" s="885"/>
      <c r="K573" s="885"/>
      <c r="L573" s="885"/>
      <c r="M573" s="885"/>
      <c r="N573" s="885"/>
      <c r="O573" s="885"/>
      <c r="P573" s="885"/>
      <c r="Q573" s="885"/>
      <c r="R573" s="885"/>
      <c r="S573" s="885"/>
      <c r="T573" s="885"/>
      <c r="U573" s="885"/>
      <c r="V573" s="885"/>
      <c r="W573" s="885"/>
      <c r="X573" s="885"/>
      <c r="Y573" s="885"/>
      <c r="Z573" s="885"/>
    </row>
    <row r="574" spans="1:26" ht="16.5" customHeight="1" x14ac:dyDescent="0.2">
      <c r="A574" s="885"/>
      <c r="B574" s="885"/>
      <c r="C574" s="885"/>
      <c r="D574" s="885"/>
      <c r="E574" s="885"/>
      <c r="F574" s="885"/>
      <c r="G574" s="885"/>
      <c r="H574" s="885"/>
      <c r="I574" s="885"/>
      <c r="J574" s="885"/>
      <c r="K574" s="885"/>
      <c r="L574" s="885"/>
      <c r="M574" s="885"/>
      <c r="N574" s="885"/>
      <c r="O574" s="885"/>
      <c r="P574" s="885"/>
      <c r="Q574" s="885"/>
      <c r="R574" s="885"/>
      <c r="S574" s="885"/>
      <c r="T574" s="885"/>
      <c r="U574" s="885"/>
      <c r="V574" s="885"/>
      <c r="W574" s="885"/>
      <c r="X574" s="885"/>
      <c r="Y574" s="885"/>
      <c r="Z574" s="885"/>
    </row>
    <row r="575" spans="1:26" ht="16.5" customHeight="1" x14ac:dyDescent="0.2">
      <c r="A575" s="885"/>
      <c r="B575" s="885"/>
      <c r="C575" s="885"/>
      <c r="D575" s="885"/>
      <c r="E575" s="885"/>
      <c r="F575" s="885"/>
      <c r="G575" s="885"/>
      <c r="H575" s="885"/>
      <c r="I575" s="885"/>
      <c r="J575" s="885"/>
      <c r="K575" s="885"/>
      <c r="L575" s="885"/>
      <c r="M575" s="885"/>
      <c r="N575" s="885"/>
      <c r="O575" s="885"/>
      <c r="P575" s="885"/>
      <c r="Q575" s="885"/>
      <c r="R575" s="885"/>
      <c r="S575" s="885"/>
      <c r="T575" s="885"/>
      <c r="U575" s="885"/>
      <c r="V575" s="885"/>
      <c r="W575" s="885"/>
      <c r="X575" s="885"/>
      <c r="Y575" s="885"/>
      <c r="Z575" s="885"/>
    </row>
    <row r="576" spans="1:26" ht="16.5" customHeight="1" x14ac:dyDescent="0.2">
      <c r="A576" s="885"/>
      <c r="B576" s="885"/>
      <c r="C576" s="885"/>
      <c r="D576" s="885"/>
      <c r="E576" s="885"/>
      <c r="F576" s="885"/>
      <c r="G576" s="885"/>
      <c r="H576" s="885"/>
      <c r="I576" s="885"/>
      <c r="J576" s="885"/>
      <c r="K576" s="885"/>
      <c r="L576" s="885"/>
      <c r="M576" s="885"/>
      <c r="N576" s="885"/>
      <c r="O576" s="885"/>
      <c r="P576" s="885"/>
      <c r="Q576" s="885"/>
      <c r="R576" s="885"/>
      <c r="S576" s="885"/>
      <c r="T576" s="885"/>
      <c r="U576" s="885"/>
      <c r="V576" s="885"/>
      <c r="W576" s="885"/>
      <c r="X576" s="885"/>
      <c r="Y576" s="885"/>
      <c r="Z576" s="885"/>
    </row>
    <row r="577" spans="1:26" ht="16.5" customHeight="1" x14ac:dyDescent="0.2">
      <c r="A577" s="885"/>
      <c r="B577" s="885"/>
      <c r="C577" s="885"/>
      <c r="D577" s="885"/>
      <c r="E577" s="885"/>
      <c r="F577" s="885"/>
      <c r="G577" s="885"/>
      <c r="H577" s="885"/>
      <c r="I577" s="885"/>
      <c r="J577" s="885"/>
      <c r="K577" s="885"/>
      <c r="L577" s="885"/>
      <c r="M577" s="885"/>
      <c r="N577" s="885"/>
      <c r="O577" s="885"/>
      <c r="P577" s="885"/>
      <c r="Q577" s="885"/>
      <c r="R577" s="885"/>
      <c r="S577" s="885"/>
      <c r="T577" s="885"/>
      <c r="U577" s="885"/>
      <c r="V577" s="885"/>
      <c r="W577" s="885"/>
      <c r="X577" s="885"/>
      <c r="Y577" s="885"/>
      <c r="Z577" s="885"/>
    </row>
    <row r="578" spans="1:26" ht="16.5" customHeight="1" x14ac:dyDescent="0.2">
      <c r="A578" s="885"/>
      <c r="B578" s="885"/>
      <c r="C578" s="885"/>
      <c r="D578" s="885"/>
      <c r="E578" s="885"/>
      <c r="F578" s="885"/>
      <c r="G578" s="885"/>
      <c r="H578" s="885"/>
      <c r="I578" s="885"/>
      <c r="J578" s="885"/>
      <c r="K578" s="885"/>
      <c r="L578" s="885"/>
      <c r="M578" s="885"/>
      <c r="N578" s="885"/>
      <c r="O578" s="885"/>
      <c r="P578" s="885"/>
      <c r="Q578" s="885"/>
      <c r="R578" s="885"/>
      <c r="S578" s="885"/>
      <c r="T578" s="885"/>
      <c r="U578" s="885"/>
      <c r="V578" s="885"/>
      <c r="W578" s="885"/>
      <c r="X578" s="885"/>
      <c r="Y578" s="885"/>
      <c r="Z578" s="885"/>
    </row>
    <row r="579" spans="1:26" ht="16.5" customHeight="1" x14ac:dyDescent="0.2">
      <c r="A579" s="885"/>
      <c r="B579" s="885"/>
      <c r="C579" s="885"/>
      <c r="D579" s="885"/>
      <c r="E579" s="885"/>
      <c r="F579" s="885"/>
      <c r="G579" s="885"/>
      <c r="H579" s="885"/>
      <c r="I579" s="885"/>
      <c r="J579" s="885"/>
      <c r="K579" s="885"/>
      <c r="L579" s="885"/>
      <c r="M579" s="885"/>
      <c r="N579" s="885"/>
      <c r="O579" s="885"/>
      <c r="P579" s="885"/>
      <c r="Q579" s="885"/>
      <c r="R579" s="885"/>
      <c r="S579" s="885"/>
      <c r="T579" s="885"/>
      <c r="U579" s="885"/>
      <c r="V579" s="885"/>
      <c r="W579" s="885"/>
      <c r="X579" s="885"/>
      <c r="Y579" s="885"/>
      <c r="Z579" s="885"/>
    </row>
    <row r="580" spans="1:26" ht="16.5" customHeight="1" x14ac:dyDescent="0.2">
      <c r="A580" s="885"/>
      <c r="B580" s="885"/>
      <c r="C580" s="885"/>
      <c r="D580" s="885"/>
      <c r="E580" s="885"/>
      <c r="F580" s="885"/>
      <c r="G580" s="885"/>
      <c r="H580" s="885"/>
      <c r="I580" s="885"/>
      <c r="J580" s="885"/>
      <c r="K580" s="885"/>
      <c r="L580" s="885"/>
      <c r="M580" s="885"/>
      <c r="N580" s="885"/>
      <c r="O580" s="885"/>
      <c r="P580" s="885"/>
      <c r="Q580" s="885"/>
      <c r="R580" s="885"/>
      <c r="S580" s="885"/>
      <c r="T580" s="885"/>
      <c r="U580" s="885"/>
      <c r="V580" s="885"/>
      <c r="W580" s="885"/>
      <c r="X580" s="885"/>
      <c r="Y580" s="885"/>
      <c r="Z580" s="885"/>
    </row>
    <row r="581" spans="1:26" ht="16.5" customHeight="1" x14ac:dyDescent="0.2">
      <c r="A581" s="885"/>
      <c r="B581" s="885"/>
      <c r="C581" s="885"/>
      <c r="D581" s="885"/>
      <c r="E581" s="885"/>
      <c r="F581" s="885"/>
      <c r="G581" s="885"/>
      <c r="H581" s="885"/>
      <c r="I581" s="885"/>
      <c r="J581" s="885"/>
      <c r="K581" s="885"/>
      <c r="L581" s="885"/>
      <c r="M581" s="885"/>
      <c r="N581" s="885"/>
      <c r="O581" s="885"/>
      <c r="P581" s="885"/>
      <c r="Q581" s="885"/>
      <c r="R581" s="885"/>
      <c r="S581" s="885"/>
      <c r="T581" s="885"/>
      <c r="U581" s="885"/>
      <c r="V581" s="885"/>
      <c r="W581" s="885"/>
      <c r="X581" s="885"/>
      <c r="Y581" s="885"/>
      <c r="Z581" s="885"/>
    </row>
    <row r="582" spans="1:26" ht="16.5" customHeight="1" x14ac:dyDescent="0.2">
      <c r="A582" s="885"/>
      <c r="B582" s="885"/>
      <c r="C582" s="885"/>
      <c r="D582" s="885"/>
      <c r="E582" s="885"/>
      <c r="F582" s="885"/>
      <c r="G582" s="885"/>
      <c r="H582" s="885"/>
      <c r="I582" s="885"/>
      <c r="J582" s="885"/>
      <c r="K582" s="885"/>
      <c r="L582" s="885"/>
      <c r="M582" s="885"/>
      <c r="N582" s="885"/>
      <c r="O582" s="885"/>
      <c r="P582" s="885"/>
      <c r="Q582" s="885"/>
      <c r="R582" s="885"/>
      <c r="S582" s="885"/>
      <c r="T582" s="885"/>
      <c r="U582" s="885"/>
      <c r="V582" s="885"/>
      <c r="W582" s="885"/>
      <c r="X582" s="885"/>
      <c r="Y582" s="885"/>
      <c r="Z582" s="885"/>
    </row>
    <row r="583" spans="1:26" ht="16.5" customHeight="1" x14ac:dyDescent="0.2">
      <c r="A583" s="885"/>
      <c r="B583" s="885"/>
      <c r="C583" s="885"/>
      <c r="D583" s="885"/>
      <c r="E583" s="885"/>
      <c r="F583" s="885"/>
      <c r="G583" s="885"/>
      <c r="H583" s="885"/>
      <c r="I583" s="885"/>
      <c r="J583" s="885"/>
      <c r="K583" s="885"/>
      <c r="L583" s="885"/>
      <c r="M583" s="885"/>
      <c r="N583" s="885"/>
      <c r="O583" s="885"/>
      <c r="P583" s="885"/>
      <c r="Q583" s="885"/>
      <c r="R583" s="885"/>
      <c r="S583" s="885"/>
      <c r="T583" s="885"/>
      <c r="U583" s="885"/>
      <c r="V583" s="885"/>
      <c r="W583" s="885"/>
      <c r="X583" s="885"/>
      <c r="Y583" s="885"/>
      <c r="Z583" s="885"/>
    </row>
    <row r="584" spans="1:26" ht="16.5" customHeight="1" x14ac:dyDescent="0.2">
      <c r="A584" s="885"/>
      <c r="B584" s="885"/>
      <c r="C584" s="885"/>
      <c r="D584" s="885"/>
      <c r="E584" s="885"/>
      <c r="F584" s="885"/>
      <c r="G584" s="885"/>
      <c r="H584" s="885"/>
      <c r="I584" s="885"/>
      <c r="J584" s="885"/>
      <c r="K584" s="885"/>
      <c r="L584" s="885"/>
      <c r="M584" s="885"/>
      <c r="N584" s="885"/>
      <c r="O584" s="885"/>
      <c r="P584" s="885"/>
      <c r="Q584" s="885"/>
      <c r="R584" s="885"/>
      <c r="S584" s="885"/>
      <c r="T584" s="885"/>
      <c r="U584" s="885"/>
      <c r="V584" s="885"/>
      <c r="W584" s="885"/>
      <c r="X584" s="885"/>
      <c r="Y584" s="885"/>
      <c r="Z584" s="885"/>
    </row>
    <row r="585" spans="1:26" ht="16.5" customHeight="1" x14ac:dyDescent="0.2">
      <c r="A585" s="885"/>
      <c r="B585" s="885"/>
      <c r="C585" s="885"/>
      <c r="D585" s="885"/>
      <c r="E585" s="885"/>
      <c r="F585" s="885"/>
      <c r="G585" s="885"/>
      <c r="H585" s="885"/>
      <c r="I585" s="885"/>
      <c r="J585" s="885"/>
      <c r="K585" s="885"/>
      <c r="L585" s="885"/>
      <c r="M585" s="885"/>
      <c r="N585" s="885"/>
      <c r="O585" s="885"/>
      <c r="P585" s="885"/>
      <c r="Q585" s="885"/>
      <c r="R585" s="885"/>
      <c r="S585" s="885"/>
      <c r="T585" s="885"/>
      <c r="U585" s="885"/>
      <c r="V585" s="885"/>
      <c r="W585" s="885"/>
      <c r="X585" s="885"/>
      <c r="Y585" s="885"/>
      <c r="Z585" s="885"/>
    </row>
    <row r="586" spans="1:26" ht="16.5" customHeight="1" x14ac:dyDescent="0.2">
      <c r="A586" s="885"/>
      <c r="B586" s="885"/>
      <c r="C586" s="885"/>
      <c r="D586" s="885"/>
      <c r="E586" s="885"/>
      <c r="F586" s="885"/>
      <c r="G586" s="885"/>
      <c r="H586" s="885"/>
      <c r="I586" s="885"/>
      <c r="J586" s="885"/>
      <c r="K586" s="885"/>
      <c r="L586" s="885"/>
      <c r="M586" s="885"/>
      <c r="N586" s="885"/>
      <c r="O586" s="885"/>
      <c r="P586" s="885"/>
      <c r="Q586" s="885"/>
      <c r="R586" s="885"/>
      <c r="S586" s="885"/>
      <c r="T586" s="885"/>
      <c r="U586" s="885"/>
      <c r="V586" s="885"/>
      <c r="W586" s="885"/>
      <c r="X586" s="885"/>
      <c r="Y586" s="885"/>
      <c r="Z586" s="885"/>
    </row>
    <row r="587" spans="1:26" ht="16.5" customHeight="1" x14ac:dyDescent="0.2">
      <c r="A587" s="885"/>
      <c r="B587" s="885"/>
      <c r="C587" s="885"/>
      <c r="D587" s="885"/>
      <c r="E587" s="885"/>
      <c r="F587" s="885"/>
      <c r="G587" s="885"/>
      <c r="H587" s="885"/>
      <c r="I587" s="885"/>
      <c r="J587" s="885"/>
      <c r="K587" s="885"/>
      <c r="L587" s="885"/>
      <c r="M587" s="885"/>
      <c r="N587" s="885"/>
      <c r="O587" s="885"/>
      <c r="P587" s="885"/>
      <c r="Q587" s="885"/>
      <c r="R587" s="885"/>
      <c r="S587" s="885"/>
      <c r="T587" s="885"/>
      <c r="U587" s="885"/>
      <c r="V587" s="885"/>
      <c r="W587" s="885"/>
      <c r="X587" s="885"/>
      <c r="Y587" s="885"/>
      <c r="Z587" s="885"/>
    </row>
    <row r="588" spans="1:26" ht="16.5" customHeight="1" x14ac:dyDescent="0.2">
      <c r="A588" s="885"/>
      <c r="B588" s="885"/>
      <c r="C588" s="885"/>
      <c r="D588" s="885"/>
      <c r="E588" s="885"/>
      <c r="F588" s="885"/>
      <c r="G588" s="885"/>
      <c r="H588" s="885"/>
      <c r="I588" s="885"/>
      <c r="J588" s="885"/>
      <c r="K588" s="885"/>
      <c r="L588" s="885"/>
      <c r="M588" s="885"/>
      <c r="N588" s="885"/>
      <c r="O588" s="885"/>
      <c r="P588" s="885"/>
      <c r="Q588" s="885"/>
      <c r="R588" s="885"/>
      <c r="S588" s="885"/>
      <c r="T588" s="885"/>
      <c r="U588" s="885"/>
      <c r="V588" s="885"/>
      <c r="W588" s="885"/>
      <c r="X588" s="885"/>
      <c r="Y588" s="885"/>
      <c r="Z588" s="885"/>
    </row>
    <row r="589" spans="1:26" ht="16.5" customHeight="1" x14ac:dyDescent="0.2">
      <c r="A589" s="885"/>
      <c r="B589" s="885"/>
      <c r="C589" s="885"/>
      <c r="D589" s="885"/>
      <c r="E589" s="885"/>
      <c r="F589" s="885"/>
      <c r="G589" s="885"/>
      <c r="H589" s="885"/>
      <c r="I589" s="885"/>
      <c r="J589" s="885"/>
      <c r="K589" s="885"/>
      <c r="L589" s="885"/>
      <c r="M589" s="885"/>
      <c r="N589" s="885"/>
      <c r="O589" s="885"/>
      <c r="P589" s="885"/>
      <c r="Q589" s="885"/>
      <c r="R589" s="885"/>
      <c r="S589" s="885"/>
      <c r="T589" s="885"/>
      <c r="U589" s="885"/>
      <c r="V589" s="885"/>
      <c r="W589" s="885"/>
      <c r="X589" s="885"/>
      <c r="Y589" s="885"/>
      <c r="Z589" s="885"/>
    </row>
    <row r="590" spans="1:26" ht="16.5" customHeight="1" x14ac:dyDescent="0.2">
      <c r="A590" s="885"/>
      <c r="B590" s="885"/>
      <c r="C590" s="885"/>
      <c r="D590" s="885"/>
      <c r="E590" s="885"/>
      <c r="F590" s="885"/>
      <c r="G590" s="885"/>
      <c r="H590" s="885"/>
      <c r="I590" s="885"/>
      <c r="J590" s="885"/>
      <c r="K590" s="885"/>
      <c r="L590" s="885"/>
      <c r="M590" s="885"/>
      <c r="N590" s="885"/>
      <c r="O590" s="885"/>
      <c r="P590" s="885"/>
      <c r="Q590" s="885"/>
      <c r="R590" s="885"/>
      <c r="S590" s="885"/>
      <c r="T590" s="885"/>
      <c r="U590" s="885"/>
      <c r="V590" s="885"/>
      <c r="W590" s="885"/>
      <c r="X590" s="885"/>
      <c r="Y590" s="885"/>
      <c r="Z590" s="885"/>
    </row>
    <row r="591" spans="1:26" ht="16.5" customHeight="1" x14ac:dyDescent="0.2">
      <c r="A591" s="885"/>
      <c r="B591" s="885"/>
      <c r="C591" s="885"/>
      <c r="D591" s="885"/>
      <c r="E591" s="885"/>
      <c r="F591" s="885"/>
      <c r="G591" s="885"/>
      <c r="H591" s="885"/>
      <c r="I591" s="885"/>
      <c r="J591" s="885"/>
      <c r="K591" s="885"/>
      <c r="L591" s="885"/>
      <c r="M591" s="885"/>
      <c r="N591" s="885"/>
      <c r="O591" s="885"/>
      <c r="P591" s="885"/>
      <c r="Q591" s="885"/>
      <c r="R591" s="885"/>
      <c r="S591" s="885"/>
      <c r="T591" s="885"/>
      <c r="U591" s="885"/>
      <c r="V591" s="885"/>
      <c r="W591" s="885"/>
      <c r="X591" s="885"/>
      <c r="Y591" s="885"/>
      <c r="Z591" s="885"/>
    </row>
    <row r="592" spans="1:26" ht="16.5" customHeight="1" x14ac:dyDescent="0.2">
      <c r="A592" s="885"/>
      <c r="B592" s="885"/>
      <c r="C592" s="885"/>
      <c r="D592" s="885"/>
      <c r="E592" s="885"/>
      <c r="F592" s="885"/>
      <c r="G592" s="885"/>
      <c r="H592" s="885"/>
      <c r="I592" s="885"/>
      <c r="J592" s="885"/>
      <c r="K592" s="885"/>
      <c r="L592" s="885"/>
      <c r="M592" s="885"/>
      <c r="N592" s="885"/>
      <c r="O592" s="885"/>
      <c r="P592" s="885"/>
      <c r="Q592" s="885"/>
      <c r="R592" s="885"/>
      <c r="S592" s="885"/>
      <c r="T592" s="885"/>
      <c r="U592" s="885"/>
      <c r="V592" s="885"/>
      <c r="W592" s="885"/>
      <c r="X592" s="885"/>
      <c r="Y592" s="885"/>
      <c r="Z592" s="885"/>
    </row>
    <row r="593" spans="1:26" ht="16.5" customHeight="1" x14ac:dyDescent="0.2">
      <c r="A593" s="885"/>
      <c r="B593" s="885"/>
      <c r="C593" s="885"/>
      <c r="D593" s="885"/>
      <c r="E593" s="885"/>
      <c r="F593" s="885"/>
      <c r="G593" s="885"/>
      <c r="H593" s="885"/>
      <c r="I593" s="885"/>
      <c r="J593" s="885"/>
      <c r="K593" s="885"/>
      <c r="L593" s="885"/>
      <c r="M593" s="885"/>
      <c r="N593" s="885"/>
      <c r="O593" s="885"/>
      <c r="P593" s="885"/>
      <c r="Q593" s="885"/>
      <c r="R593" s="885"/>
      <c r="S593" s="885"/>
      <c r="T593" s="885"/>
      <c r="U593" s="885"/>
      <c r="V593" s="885"/>
      <c r="W593" s="885"/>
      <c r="X593" s="885"/>
      <c r="Y593" s="885"/>
      <c r="Z593" s="885"/>
    </row>
    <row r="594" spans="1:26" ht="16.5" customHeight="1" x14ac:dyDescent="0.2">
      <c r="A594" s="885"/>
      <c r="B594" s="885"/>
      <c r="C594" s="885"/>
      <c r="D594" s="885"/>
      <c r="E594" s="885"/>
      <c r="F594" s="885"/>
      <c r="G594" s="885"/>
      <c r="H594" s="885"/>
      <c r="I594" s="885"/>
      <c r="J594" s="885"/>
      <c r="K594" s="885"/>
      <c r="L594" s="885"/>
      <c r="M594" s="885"/>
      <c r="N594" s="885"/>
      <c r="O594" s="885"/>
      <c r="P594" s="885"/>
      <c r="Q594" s="885"/>
      <c r="R594" s="885"/>
      <c r="S594" s="885"/>
      <c r="T594" s="885"/>
      <c r="U594" s="885"/>
      <c r="V594" s="885"/>
      <c r="W594" s="885"/>
      <c r="X594" s="885"/>
      <c r="Y594" s="885"/>
      <c r="Z594" s="885"/>
    </row>
    <row r="595" spans="1:26" ht="16.5" customHeight="1" x14ac:dyDescent="0.2">
      <c r="A595" s="885"/>
      <c r="B595" s="885"/>
      <c r="C595" s="885"/>
      <c r="D595" s="885"/>
      <c r="E595" s="885"/>
      <c r="F595" s="885"/>
      <c r="G595" s="885"/>
      <c r="H595" s="885"/>
      <c r="I595" s="885"/>
      <c r="J595" s="885"/>
      <c r="K595" s="885"/>
      <c r="L595" s="885"/>
      <c r="M595" s="885"/>
      <c r="N595" s="885"/>
      <c r="O595" s="885"/>
      <c r="P595" s="885"/>
      <c r="Q595" s="885"/>
      <c r="R595" s="885"/>
      <c r="S595" s="885"/>
      <c r="T595" s="885"/>
      <c r="U595" s="885"/>
      <c r="V595" s="885"/>
      <c r="W595" s="885"/>
      <c r="X595" s="885"/>
      <c r="Y595" s="885"/>
      <c r="Z595" s="885"/>
    </row>
    <row r="596" spans="1:26" ht="16.5" customHeight="1" x14ac:dyDescent="0.2">
      <c r="A596" s="885"/>
      <c r="B596" s="885"/>
      <c r="C596" s="885"/>
      <c r="D596" s="885"/>
      <c r="E596" s="885"/>
      <c r="F596" s="885"/>
      <c r="G596" s="885"/>
      <c r="H596" s="885"/>
      <c r="I596" s="885"/>
      <c r="J596" s="885"/>
      <c r="K596" s="885"/>
      <c r="L596" s="885"/>
      <c r="M596" s="885"/>
      <c r="N596" s="885"/>
      <c r="O596" s="885"/>
      <c r="P596" s="885"/>
      <c r="Q596" s="885"/>
      <c r="R596" s="885"/>
      <c r="S596" s="885"/>
      <c r="T596" s="885"/>
      <c r="U596" s="885"/>
      <c r="V596" s="885"/>
      <c r="W596" s="885"/>
      <c r="X596" s="885"/>
      <c r="Y596" s="885"/>
      <c r="Z596" s="885"/>
    </row>
    <row r="597" spans="1:26" ht="16.5" customHeight="1" x14ac:dyDescent="0.2">
      <c r="A597" s="885"/>
      <c r="B597" s="885"/>
      <c r="C597" s="885"/>
      <c r="D597" s="885"/>
      <c r="E597" s="885"/>
      <c r="F597" s="885"/>
      <c r="G597" s="885"/>
      <c r="H597" s="885"/>
      <c r="I597" s="885"/>
      <c r="J597" s="885"/>
      <c r="K597" s="885"/>
      <c r="L597" s="885"/>
      <c r="M597" s="885"/>
      <c r="N597" s="885"/>
      <c r="O597" s="885"/>
      <c r="P597" s="885"/>
      <c r="Q597" s="885"/>
      <c r="R597" s="885"/>
      <c r="S597" s="885"/>
      <c r="T597" s="885"/>
      <c r="U597" s="885"/>
      <c r="V597" s="885"/>
      <c r="W597" s="885"/>
      <c r="X597" s="885"/>
      <c r="Y597" s="885"/>
      <c r="Z597" s="885"/>
    </row>
    <row r="598" spans="1:26" ht="16.5" customHeight="1" x14ac:dyDescent="0.2">
      <c r="A598" s="885"/>
      <c r="B598" s="885"/>
      <c r="C598" s="885"/>
      <c r="D598" s="885"/>
      <c r="E598" s="885"/>
      <c r="F598" s="885"/>
      <c r="G598" s="885"/>
      <c r="H598" s="885"/>
      <c r="I598" s="885"/>
      <c r="J598" s="885"/>
      <c r="K598" s="885"/>
      <c r="L598" s="885"/>
      <c r="M598" s="885"/>
      <c r="N598" s="885"/>
      <c r="O598" s="885"/>
      <c r="P598" s="885"/>
      <c r="Q598" s="885"/>
      <c r="R598" s="885"/>
      <c r="S598" s="885"/>
      <c r="T598" s="885"/>
      <c r="U598" s="885"/>
      <c r="V598" s="885"/>
      <c r="W598" s="885"/>
      <c r="X598" s="885"/>
      <c r="Y598" s="885"/>
      <c r="Z598" s="885"/>
    </row>
    <row r="599" spans="1:26" ht="16.5" customHeight="1" x14ac:dyDescent="0.2">
      <c r="A599" s="885"/>
      <c r="B599" s="885"/>
      <c r="C599" s="885"/>
      <c r="D599" s="885"/>
      <c r="E599" s="885"/>
      <c r="F599" s="885"/>
      <c r="G599" s="885"/>
      <c r="H599" s="885"/>
      <c r="I599" s="885"/>
      <c r="J599" s="885"/>
      <c r="K599" s="885"/>
      <c r="L599" s="885"/>
      <c r="M599" s="885"/>
      <c r="N599" s="885"/>
      <c r="O599" s="885"/>
      <c r="P599" s="885"/>
      <c r="Q599" s="885"/>
      <c r="R599" s="885"/>
      <c r="S599" s="885"/>
      <c r="T599" s="885"/>
      <c r="U599" s="885"/>
      <c r="V599" s="885"/>
      <c r="W599" s="885"/>
      <c r="X599" s="885"/>
      <c r="Y599" s="885"/>
      <c r="Z599" s="885"/>
    </row>
    <row r="600" spans="1:26" ht="16.5" customHeight="1" x14ac:dyDescent="0.2">
      <c r="A600" s="885"/>
      <c r="B600" s="885"/>
      <c r="C600" s="885"/>
      <c r="D600" s="885"/>
      <c r="E600" s="885"/>
      <c r="F600" s="885"/>
      <c r="G600" s="885"/>
      <c r="H600" s="885"/>
      <c r="I600" s="885"/>
      <c r="J600" s="885"/>
      <c r="K600" s="885"/>
      <c r="L600" s="885"/>
      <c r="M600" s="885"/>
      <c r="N600" s="885"/>
      <c r="O600" s="885"/>
      <c r="P600" s="885"/>
      <c r="Q600" s="885"/>
      <c r="R600" s="885"/>
      <c r="S600" s="885"/>
      <c r="T600" s="885"/>
      <c r="U600" s="885"/>
      <c r="V600" s="885"/>
      <c r="W600" s="885"/>
      <c r="X600" s="885"/>
      <c r="Y600" s="885"/>
      <c r="Z600" s="885"/>
    </row>
    <row r="601" spans="1:26" ht="16.5" customHeight="1" x14ac:dyDescent="0.2">
      <c r="A601" s="885"/>
      <c r="B601" s="885"/>
      <c r="C601" s="885"/>
      <c r="D601" s="885"/>
      <c r="E601" s="885"/>
      <c r="F601" s="885"/>
      <c r="G601" s="885"/>
      <c r="H601" s="885"/>
      <c r="I601" s="885"/>
      <c r="J601" s="885"/>
      <c r="K601" s="885"/>
      <c r="L601" s="885"/>
      <c r="M601" s="885"/>
      <c r="N601" s="885"/>
      <c r="O601" s="885"/>
      <c r="P601" s="885"/>
      <c r="Q601" s="885"/>
      <c r="R601" s="885"/>
      <c r="S601" s="885"/>
      <c r="T601" s="885"/>
      <c r="U601" s="885"/>
      <c r="V601" s="885"/>
      <c r="W601" s="885"/>
      <c r="X601" s="885"/>
      <c r="Y601" s="885"/>
      <c r="Z601" s="885"/>
    </row>
    <row r="602" spans="1:26" ht="16.5" customHeight="1" x14ac:dyDescent="0.2">
      <c r="A602" s="885"/>
      <c r="B602" s="885"/>
      <c r="C602" s="885"/>
      <c r="D602" s="885"/>
      <c r="E602" s="885"/>
      <c r="F602" s="885"/>
      <c r="G602" s="885"/>
      <c r="H602" s="885"/>
      <c r="I602" s="885"/>
      <c r="J602" s="885"/>
      <c r="K602" s="885"/>
      <c r="L602" s="885"/>
      <c r="M602" s="885"/>
      <c r="N602" s="885"/>
      <c r="O602" s="885"/>
      <c r="P602" s="885"/>
      <c r="Q602" s="885"/>
      <c r="R602" s="885"/>
      <c r="S602" s="885"/>
      <c r="T602" s="885"/>
      <c r="U602" s="885"/>
      <c r="V602" s="885"/>
      <c r="W602" s="885"/>
      <c r="X602" s="885"/>
      <c r="Y602" s="885"/>
      <c r="Z602" s="885"/>
    </row>
    <row r="603" spans="1:26" ht="16.5" customHeight="1" x14ac:dyDescent="0.2">
      <c r="A603" s="885"/>
      <c r="B603" s="885"/>
      <c r="C603" s="885"/>
      <c r="D603" s="885"/>
      <c r="E603" s="885"/>
      <c r="F603" s="885"/>
      <c r="G603" s="885"/>
      <c r="H603" s="885"/>
      <c r="I603" s="885"/>
      <c r="J603" s="885"/>
      <c r="K603" s="885"/>
      <c r="L603" s="885"/>
      <c r="M603" s="885"/>
      <c r="N603" s="885"/>
      <c r="O603" s="885"/>
      <c r="P603" s="885"/>
      <c r="Q603" s="885"/>
      <c r="R603" s="885"/>
      <c r="S603" s="885"/>
      <c r="T603" s="885"/>
      <c r="U603" s="885"/>
      <c r="V603" s="885"/>
      <c r="W603" s="885"/>
      <c r="X603" s="885"/>
      <c r="Y603" s="885"/>
      <c r="Z603" s="885"/>
    </row>
    <row r="604" spans="1:26" ht="16.5" customHeight="1" x14ac:dyDescent="0.2">
      <c r="A604" s="885"/>
      <c r="B604" s="885"/>
      <c r="C604" s="885"/>
      <c r="D604" s="885"/>
      <c r="E604" s="885"/>
      <c r="F604" s="885"/>
      <c r="G604" s="885"/>
      <c r="H604" s="885"/>
      <c r="I604" s="885"/>
      <c r="J604" s="885"/>
      <c r="K604" s="885"/>
      <c r="L604" s="885"/>
      <c r="M604" s="885"/>
      <c r="N604" s="885"/>
      <c r="O604" s="885"/>
      <c r="P604" s="885"/>
      <c r="Q604" s="885"/>
      <c r="R604" s="885"/>
      <c r="S604" s="885"/>
      <c r="T604" s="885"/>
      <c r="U604" s="885"/>
      <c r="V604" s="885"/>
      <c r="W604" s="885"/>
      <c r="X604" s="885"/>
      <c r="Y604" s="885"/>
      <c r="Z604" s="885"/>
    </row>
    <row r="605" spans="1:26" ht="16.5" customHeight="1" x14ac:dyDescent="0.2">
      <c r="A605" s="885"/>
      <c r="B605" s="885"/>
      <c r="C605" s="885"/>
      <c r="D605" s="885"/>
      <c r="E605" s="885"/>
      <c r="F605" s="885"/>
      <c r="G605" s="885"/>
      <c r="H605" s="885"/>
      <c r="I605" s="885"/>
      <c r="J605" s="885"/>
      <c r="K605" s="885"/>
      <c r="L605" s="885"/>
      <c r="M605" s="885"/>
      <c r="N605" s="885"/>
      <c r="O605" s="885"/>
      <c r="P605" s="885"/>
      <c r="Q605" s="885"/>
      <c r="R605" s="885"/>
      <c r="S605" s="885"/>
      <c r="T605" s="885"/>
      <c r="U605" s="885"/>
      <c r="V605" s="885"/>
      <c r="W605" s="885"/>
      <c r="X605" s="885"/>
      <c r="Y605" s="885"/>
      <c r="Z605" s="885"/>
    </row>
    <row r="606" spans="1:26" ht="16.5" customHeight="1" x14ac:dyDescent="0.2">
      <c r="A606" s="885"/>
      <c r="B606" s="885"/>
      <c r="C606" s="885"/>
      <c r="D606" s="885"/>
      <c r="E606" s="885"/>
      <c r="F606" s="885"/>
      <c r="G606" s="885"/>
      <c r="H606" s="885"/>
      <c r="I606" s="885"/>
      <c r="J606" s="885"/>
      <c r="K606" s="885"/>
      <c r="L606" s="885"/>
      <c r="M606" s="885"/>
      <c r="N606" s="885"/>
      <c r="O606" s="885"/>
      <c r="P606" s="885"/>
      <c r="Q606" s="885"/>
      <c r="R606" s="885"/>
      <c r="S606" s="885"/>
      <c r="T606" s="885"/>
      <c r="U606" s="885"/>
      <c r="V606" s="885"/>
      <c r="W606" s="885"/>
      <c r="X606" s="885"/>
      <c r="Y606" s="885"/>
      <c r="Z606" s="885"/>
    </row>
    <row r="607" spans="1:26" ht="16.5" customHeight="1" x14ac:dyDescent="0.2">
      <c r="A607" s="885"/>
      <c r="B607" s="885"/>
      <c r="C607" s="885"/>
      <c r="D607" s="885"/>
      <c r="E607" s="885"/>
      <c r="F607" s="885"/>
      <c r="G607" s="885"/>
      <c r="H607" s="885"/>
      <c r="I607" s="885"/>
      <c r="J607" s="885"/>
      <c r="K607" s="885"/>
      <c r="L607" s="885"/>
      <c r="M607" s="885"/>
      <c r="N607" s="885"/>
      <c r="O607" s="885"/>
      <c r="P607" s="885"/>
      <c r="Q607" s="885"/>
      <c r="R607" s="885"/>
      <c r="S607" s="885"/>
      <c r="T607" s="885"/>
      <c r="U607" s="885"/>
      <c r="V607" s="885"/>
      <c r="W607" s="885"/>
      <c r="X607" s="885"/>
      <c r="Y607" s="885"/>
      <c r="Z607" s="885"/>
    </row>
    <row r="608" spans="1:26" ht="16.5" customHeight="1" x14ac:dyDescent="0.2">
      <c r="A608" s="885"/>
      <c r="B608" s="885"/>
      <c r="C608" s="885"/>
      <c r="D608" s="885"/>
      <c r="E608" s="885"/>
      <c r="F608" s="885"/>
      <c r="G608" s="885"/>
      <c r="H608" s="885"/>
      <c r="I608" s="885"/>
      <c r="J608" s="885"/>
      <c r="K608" s="885"/>
      <c r="L608" s="885"/>
      <c r="M608" s="885"/>
      <c r="N608" s="885"/>
      <c r="O608" s="885"/>
      <c r="P608" s="885"/>
      <c r="Q608" s="885"/>
      <c r="R608" s="885"/>
      <c r="S608" s="885"/>
      <c r="T608" s="885"/>
      <c r="U608" s="885"/>
      <c r="V608" s="885"/>
      <c r="W608" s="885"/>
      <c r="X608" s="885"/>
      <c r="Y608" s="885"/>
      <c r="Z608" s="885"/>
    </row>
    <row r="609" spans="1:26" ht="16.5" customHeight="1" x14ac:dyDescent="0.2">
      <c r="A609" s="885"/>
      <c r="B609" s="885"/>
      <c r="C609" s="885"/>
      <c r="D609" s="885"/>
      <c r="E609" s="885"/>
      <c r="F609" s="885"/>
      <c r="G609" s="885"/>
      <c r="H609" s="885"/>
      <c r="I609" s="885"/>
      <c r="J609" s="885"/>
      <c r="K609" s="885"/>
      <c r="L609" s="885"/>
      <c r="M609" s="885"/>
      <c r="N609" s="885"/>
      <c r="O609" s="885"/>
      <c r="P609" s="885"/>
      <c r="Q609" s="885"/>
      <c r="R609" s="885"/>
      <c r="S609" s="885"/>
      <c r="T609" s="885"/>
      <c r="U609" s="885"/>
      <c r="V609" s="885"/>
      <c r="W609" s="885"/>
      <c r="X609" s="885"/>
      <c r="Y609" s="885"/>
      <c r="Z609" s="885"/>
    </row>
    <row r="610" spans="1:26" ht="16.5" customHeight="1" x14ac:dyDescent="0.2">
      <c r="A610" s="885"/>
      <c r="B610" s="885"/>
      <c r="C610" s="885"/>
      <c r="D610" s="885"/>
      <c r="E610" s="885"/>
      <c r="F610" s="885"/>
      <c r="G610" s="885"/>
      <c r="H610" s="885"/>
      <c r="I610" s="885"/>
      <c r="J610" s="885"/>
      <c r="K610" s="885"/>
      <c r="L610" s="885"/>
      <c r="M610" s="885"/>
      <c r="N610" s="885"/>
      <c r="O610" s="885"/>
      <c r="P610" s="885"/>
      <c r="Q610" s="885"/>
      <c r="R610" s="885"/>
      <c r="S610" s="885"/>
      <c r="T610" s="885"/>
      <c r="U610" s="885"/>
      <c r="V610" s="885"/>
      <c r="W610" s="885"/>
      <c r="X610" s="885"/>
      <c r="Y610" s="885"/>
      <c r="Z610" s="885"/>
    </row>
    <row r="611" spans="1:26" ht="16.5" customHeight="1" x14ac:dyDescent="0.2">
      <c r="A611" s="885"/>
      <c r="B611" s="885"/>
      <c r="C611" s="885"/>
      <c r="D611" s="885"/>
      <c r="E611" s="885"/>
      <c r="F611" s="885"/>
      <c r="G611" s="885"/>
      <c r="H611" s="885"/>
      <c r="I611" s="885"/>
      <c r="J611" s="885"/>
      <c r="K611" s="885"/>
      <c r="L611" s="885"/>
      <c r="M611" s="885"/>
      <c r="N611" s="885"/>
      <c r="O611" s="885"/>
      <c r="P611" s="885"/>
      <c r="Q611" s="885"/>
      <c r="R611" s="885"/>
      <c r="S611" s="885"/>
      <c r="T611" s="885"/>
      <c r="U611" s="885"/>
      <c r="V611" s="885"/>
      <c r="W611" s="885"/>
      <c r="X611" s="885"/>
      <c r="Y611" s="885"/>
      <c r="Z611" s="885"/>
    </row>
    <row r="612" spans="1:26" ht="16.5" customHeight="1" x14ac:dyDescent="0.2">
      <c r="A612" s="885"/>
      <c r="B612" s="885"/>
      <c r="C612" s="885"/>
      <c r="D612" s="885"/>
      <c r="E612" s="885"/>
      <c r="F612" s="885"/>
      <c r="G612" s="885"/>
      <c r="H612" s="885"/>
      <c r="I612" s="885"/>
      <c r="J612" s="885"/>
      <c r="K612" s="885"/>
      <c r="L612" s="885"/>
      <c r="M612" s="885"/>
      <c r="N612" s="885"/>
      <c r="O612" s="885"/>
      <c r="P612" s="885"/>
      <c r="Q612" s="885"/>
      <c r="R612" s="885"/>
      <c r="S612" s="885"/>
      <c r="T612" s="885"/>
      <c r="U612" s="885"/>
      <c r="V612" s="885"/>
      <c r="W612" s="885"/>
      <c r="X612" s="885"/>
      <c r="Y612" s="885"/>
      <c r="Z612" s="885"/>
    </row>
    <row r="613" spans="1:26" ht="16.5" customHeight="1" x14ac:dyDescent="0.2">
      <c r="A613" s="885"/>
      <c r="B613" s="885"/>
      <c r="C613" s="885"/>
      <c r="D613" s="885"/>
      <c r="E613" s="885"/>
      <c r="F613" s="885"/>
      <c r="G613" s="885"/>
      <c r="H613" s="885"/>
      <c r="I613" s="885"/>
      <c r="J613" s="885"/>
      <c r="K613" s="885"/>
      <c r="L613" s="885"/>
      <c r="M613" s="885"/>
      <c r="N613" s="885"/>
      <c r="O613" s="885"/>
      <c r="P613" s="885"/>
      <c r="Q613" s="885"/>
      <c r="R613" s="885"/>
      <c r="S613" s="885"/>
      <c r="T613" s="885"/>
      <c r="U613" s="885"/>
      <c r="V613" s="885"/>
      <c r="W613" s="885"/>
      <c r="X613" s="885"/>
      <c r="Y613" s="885"/>
      <c r="Z613" s="885"/>
    </row>
    <row r="614" spans="1:26" ht="16.5" customHeight="1" x14ac:dyDescent="0.2">
      <c r="A614" s="885"/>
      <c r="B614" s="885"/>
      <c r="C614" s="885"/>
      <c r="D614" s="885"/>
      <c r="E614" s="885"/>
      <c r="F614" s="885"/>
      <c r="G614" s="885"/>
      <c r="H614" s="885"/>
      <c r="I614" s="885"/>
      <c r="J614" s="885"/>
      <c r="K614" s="885"/>
      <c r="L614" s="885"/>
      <c r="M614" s="885"/>
      <c r="N614" s="885"/>
      <c r="O614" s="885"/>
      <c r="P614" s="885"/>
      <c r="Q614" s="885"/>
      <c r="R614" s="885"/>
      <c r="S614" s="885"/>
      <c r="T614" s="885"/>
      <c r="U614" s="885"/>
      <c r="V614" s="885"/>
      <c r="W614" s="885"/>
      <c r="X614" s="885"/>
      <c r="Y614" s="885"/>
      <c r="Z614" s="885"/>
    </row>
    <row r="615" spans="1:26" ht="16.5" customHeight="1" x14ac:dyDescent="0.2">
      <c r="A615" s="885"/>
      <c r="B615" s="885"/>
      <c r="C615" s="885"/>
      <c r="D615" s="885"/>
      <c r="E615" s="885"/>
      <c r="F615" s="885"/>
      <c r="G615" s="885"/>
      <c r="H615" s="885"/>
      <c r="I615" s="885"/>
      <c r="J615" s="885"/>
      <c r="K615" s="885"/>
      <c r="L615" s="885"/>
      <c r="M615" s="885"/>
      <c r="N615" s="885"/>
      <c r="O615" s="885"/>
      <c r="P615" s="885"/>
      <c r="Q615" s="885"/>
      <c r="R615" s="885"/>
      <c r="S615" s="885"/>
      <c r="T615" s="885"/>
      <c r="U615" s="885"/>
      <c r="V615" s="885"/>
      <c r="W615" s="885"/>
      <c r="X615" s="885"/>
      <c r="Y615" s="885"/>
      <c r="Z615" s="885"/>
    </row>
    <row r="616" spans="1:26" ht="16.5" customHeight="1" x14ac:dyDescent="0.2">
      <c r="A616" s="885"/>
      <c r="B616" s="885"/>
      <c r="C616" s="885"/>
      <c r="D616" s="885"/>
      <c r="E616" s="885"/>
      <c r="F616" s="885"/>
      <c r="G616" s="885"/>
      <c r="H616" s="885"/>
      <c r="I616" s="885"/>
      <c r="J616" s="885"/>
      <c r="K616" s="885"/>
      <c r="L616" s="885"/>
      <c r="M616" s="885"/>
      <c r="N616" s="885"/>
      <c r="O616" s="885"/>
      <c r="P616" s="885"/>
      <c r="Q616" s="885"/>
      <c r="R616" s="885"/>
      <c r="S616" s="885"/>
      <c r="T616" s="885"/>
      <c r="U616" s="885"/>
      <c r="V616" s="885"/>
      <c r="W616" s="885"/>
      <c r="X616" s="885"/>
      <c r="Y616" s="885"/>
      <c r="Z616" s="885"/>
    </row>
    <row r="617" spans="1:26" ht="16.5" customHeight="1" x14ac:dyDescent="0.2">
      <c r="A617" s="885"/>
      <c r="B617" s="885"/>
      <c r="C617" s="885"/>
      <c r="D617" s="885"/>
      <c r="E617" s="885"/>
      <c r="F617" s="885"/>
      <c r="G617" s="885"/>
      <c r="H617" s="885"/>
      <c r="I617" s="885"/>
      <c r="J617" s="885"/>
      <c r="K617" s="885"/>
      <c r="L617" s="885"/>
      <c r="M617" s="885"/>
      <c r="N617" s="885"/>
      <c r="O617" s="885"/>
      <c r="P617" s="885"/>
      <c r="Q617" s="885"/>
      <c r="R617" s="885"/>
      <c r="S617" s="885"/>
      <c r="T617" s="885"/>
      <c r="U617" s="885"/>
      <c r="V617" s="885"/>
      <c r="W617" s="885"/>
      <c r="X617" s="885"/>
      <c r="Y617" s="885"/>
      <c r="Z617" s="885"/>
    </row>
    <row r="618" spans="1:26" ht="16.5" customHeight="1" x14ac:dyDescent="0.2">
      <c r="A618" s="885"/>
      <c r="B618" s="885"/>
      <c r="C618" s="885"/>
      <c r="D618" s="885"/>
      <c r="E618" s="885"/>
      <c r="F618" s="885"/>
      <c r="G618" s="885"/>
      <c r="H618" s="885"/>
      <c r="I618" s="885"/>
      <c r="J618" s="885"/>
      <c r="K618" s="885"/>
      <c r="L618" s="885"/>
      <c r="M618" s="885"/>
      <c r="N618" s="885"/>
      <c r="O618" s="885"/>
      <c r="P618" s="885"/>
      <c r="Q618" s="885"/>
      <c r="R618" s="885"/>
      <c r="S618" s="885"/>
      <c r="T618" s="885"/>
      <c r="U618" s="885"/>
      <c r="V618" s="885"/>
      <c r="W618" s="885"/>
      <c r="X618" s="885"/>
      <c r="Y618" s="885"/>
      <c r="Z618" s="885"/>
    </row>
    <row r="619" spans="1:26" ht="16.5" customHeight="1" x14ac:dyDescent="0.2">
      <c r="A619" s="885"/>
      <c r="B619" s="885"/>
      <c r="C619" s="885"/>
      <c r="D619" s="885"/>
      <c r="E619" s="885"/>
      <c r="F619" s="885"/>
      <c r="G619" s="885"/>
      <c r="H619" s="885"/>
      <c r="I619" s="885"/>
      <c r="J619" s="885"/>
      <c r="K619" s="885"/>
      <c r="L619" s="885"/>
      <c r="M619" s="885"/>
      <c r="N619" s="885"/>
      <c r="O619" s="885"/>
      <c r="P619" s="885"/>
      <c r="Q619" s="885"/>
      <c r="R619" s="885"/>
      <c r="S619" s="885"/>
      <c r="T619" s="885"/>
      <c r="U619" s="885"/>
      <c r="V619" s="885"/>
      <c r="W619" s="885"/>
      <c r="X619" s="885"/>
      <c r="Y619" s="885"/>
      <c r="Z619" s="885"/>
    </row>
    <row r="620" spans="1:26" ht="16.5" customHeight="1" x14ac:dyDescent="0.2">
      <c r="A620" s="885"/>
      <c r="B620" s="885"/>
      <c r="C620" s="885"/>
      <c r="D620" s="885"/>
      <c r="E620" s="885"/>
      <c r="F620" s="885"/>
      <c r="G620" s="885"/>
      <c r="H620" s="885"/>
      <c r="I620" s="885"/>
      <c r="J620" s="885"/>
      <c r="K620" s="885"/>
      <c r="L620" s="885"/>
      <c r="M620" s="885"/>
      <c r="N620" s="885"/>
      <c r="O620" s="885"/>
      <c r="P620" s="885"/>
      <c r="Q620" s="885"/>
      <c r="R620" s="885"/>
      <c r="S620" s="885"/>
      <c r="T620" s="885"/>
      <c r="U620" s="885"/>
      <c r="V620" s="885"/>
      <c r="W620" s="885"/>
      <c r="X620" s="885"/>
      <c r="Y620" s="885"/>
      <c r="Z620" s="885"/>
    </row>
    <row r="621" spans="1:26" ht="16.5" customHeight="1" x14ac:dyDescent="0.2">
      <c r="A621" s="885"/>
      <c r="B621" s="885"/>
      <c r="C621" s="885"/>
      <c r="D621" s="885"/>
      <c r="E621" s="885"/>
      <c r="F621" s="885"/>
      <c r="G621" s="885"/>
      <c r="H621" s="885"/>
      <c r="I621" s="885"/>
      <c r="J621" s="885"/>
      <c r="K621" s="885"/>
      <c r="L621" s="885"/>
      <c r="M621" s="885"/>
      <c r="N621" s="885"/>
      <c r="O621" s="885"/>
      <c r="P621" s="885"/>
      <c r="Q621" s="885"/>
      <c r="R621" s="885"/>
      <c r="S621" s="885"/>
      <c r="T621" s="885"/>
      <c r="U621" s="885"/>
      <c r="V621" s="885"/>
      <c r="W621" s="885"/>
      <c r="X621" s="885"/>
      <c r="Y621" s="885"/>
      <c r="Z621" s="885"/>
    </row>
    <row r="622" spans="1:26" ht="16.5" customHeight="1" x14ac:dyDescent="0.2">
      <c r="A622" s="885"/>
      <c r="B622" s="885"/>
      <c r="C622" s="885"/>
      <c r="D622" s="885"/>
      <c r="E622" s="885"/>
      <c r="F622" s="885"/>
      <c r="G622" s="885"/>
      <c r="H622" s="885"/>
      <c r="I622" s="885"/>
      <c r="J622" s="885"/>
      <c r="K622" s="885"/>
      <c r="L622" s="885"/>
      <c r="M622" s="885"/>
      <c r="N622" s="885"/>
      <c r="O622" s="885"/>
      <c r="P622" s="885"/>
      <c r="Q622" s="885"/>
      <c r="R622" s="885"/>
      <c r="S622" s="885"/>
      <c r="T622" s="885"/>
      <c r="U622" s="885"/>
      <c r="V622" s="885"/>
      <c r="W622" s="885"/>
      <c r="X622" s="885"/>
      <c r="Y622" s="885"/>
      <c r="Z622" s="885"/>
    </row>
    <row r="623" spans="1:26" ht="16.5" customHeight="1" x14ac:dyDescent="0.2">
      <c r="A623" s="885"/>
      <c r="B623" s="885"/>
      <c r="C623" s="885"/>
      <c r="D623" s="885"/>
      <c r="E623" s="885"/>
      <c r="F623" s="885"/>
      <c r="G623" s="885"/>
      <c r="H623" s="885"/>
      <c r="I623" s="885"/>
      <c r="J623" s="885"/>
      <c r="K623" s="885"/>
      <c r="L623" s="885"/>
      <c r="M623" s="885"/>
      <c r="N623" s="885"/>
      <c r="O623" s="885"/>
      <c r="P623" s="885"/>
      <c r="Q623" s="885"/>
      <c r="R623" s="885"/>
      <c r="S623" s="885"/>
      <c r="T623" s="885"/>
      <c r="U623" s="885"/>
      <c r="V623" s="885"/>
      <c r="W623" s="885"/>
      <c r="X623" s="885"/>
      <c r="Y623" s="885"/>
      <c r="Z623" s="885"/>
    </row>
    <row r="624" spans="1:26" ht="16.5" customHeight="1" x14ac:dyDescent="0.2">
      <c r="A624" s="885"/>
      <c r="B624" s="885"/>
      <c r="C624" s="885"/>
      <c r="D624" s="885"/>
      <c r="E624" s="885"/>
      <c r="F624" s="885"/>
      <c r="G624" s="885"/>
      <c r="H624" s="885"/>
      <c r="I624" s="885"/>
      <c r="J624" s="885"/>
      <c r="K624" s="885"/>
      <c r="L624" s="885"/>
      <c r="M624" s="885"/>
      <c r="N624" s="885"/>
      <c r="O624" s="885"/>
      <c r="P624" s="885"/>
      <c r="Q624" s="885"/>
      <c r="R624" s="885"/>
      <c r="S624" s="885"/>
      <c r="T624" s="885"/>
      <c r="U624" s="885"/>
      <c r="V624" s="885"/>
      <c r="W624" s="885"/>
      <c r="X624" s="885"/>
      <c r="Y624" s="885"/>
      <c r="Z624" s="885"/>
    </row>
    <row r="625" spans="1:26" ht="16.5" customHeight="1" x14ac:dyDescent="0.2">
      <c r="A625" s="885"/>
      <c r="B625" s="885"/>
      <c r="C625" s="885"/>
      <c r="D625" s="885"/>
      <c r="E625" s="885"/>
      <c r="F625" s="885"/>
      <c r="G625" s="885"/>
      <c r="H625" s="885"/>
      <c r="I625" s="885"/>
      <c r="J625" s="885"/>
      <c r="K625" s="885"/>
      <c r="L625" s="885"/>
      <c r="M625" s="885"/>
      <c r="N625" s="885"/>
      <c r="O625" s="885"/>
      <c r="P625" s="885"/>
      <c r="Q625" s="885"/>
      <c r="R625" s="885"/>
      <c r="S625" s="885"/>
      <c r="T625" s="885"/>
      <c r="U625" s="885"/>
      <c r="V625" s="885"/>
      <c r="W625" s="885"/>
      <c r="X625" s="885"/>
      <c r="Y625" s="885"/>
      <c r="Z625" s="885"/>
    </row>
    <row r="626" spans="1:26" ht="16.5" customHeight="1" x14ac:dyDescent="0.2">
      <c r="A626" s="885"/>
      <c r="B626" s="885"/>
      <c r="C626" s="885"/>
      <c r="D626" s="885"/>
      <c r="E626" s="885"/>
      <c r="F626" s="885"/>
      <c r="G626" s="885"/>
      <c r="H626" s="885"/>
      <c r="I626" s="885"/>
      <c r="J626" s="885"/>
      <c r="K626" s="885"/>
      <c r="L626" s="885"/>
      <c r="M626" s="885"/>
      <c r="N626" s="885"/>
      <c r="O626" s="885"/>
      <c r="P626" s="885"/>
      <c r="Q626" s="885"/>
      <c r="R626" s="885"/>
      <c r="S626" s="885"/>
      <c r="T626" s="885"/>
      <c r="U626" s="885"/>
      <c r="V626" s="885"/>
      <c r="W626" s="885"/>
      <c r="X626" s="885"/>
      <c r="Y626" s="885"/>
      <c r="Z626" s="885"/>
    </row>
    <row r="627" spans="1:26" ht="16.5" customHeight="1" x14ac:dyDescent="0.2">
      <c r="A627" s="885"/>
      <c r="B627" s="885"/>
      <c r="C627" s="885"/>
      <c r="D627" s="885"/>
      <c r="E627" s="885"/>
      <c r="F627" s="885"/>
      <c r="G627" s="885"/>
      <c r="H627" s="885"/>
      <c r="I627" s="885"/>
      <c r="J627" s="885"/>
      <c r="K627" s="885"/>
      <c r="L627" s="885"/>
      <c r="M627" s="885"/>
      <c r="N627" s="885"/>
      <c r="O627" s="885"/>
      <c r="P627" s="885"/>
      <c r="Q627" s="885"/>
      <c r="R627" s="885"/>
      <c r="S627" s="885"/>
      <c r="T627" s="885"/>
      <c r="U627" s="885"/>
      <c r="V627" s="885"/>
      <c r="W627" s="885"/>
      <c r="X627" s="885"/>
      <c r="Y627" s="885"/>
      <c r="Z627" s="885"/>
    </row>
    <row r="628" spans="1:26" ht="16.5" customHeight="1" x14ac:dyDescent="0.2">
      <c r="A628" s="885"/>
      <c r="B628" s="885"/>
      <c r="C628" s="885"/>
      <c r="D628" s="885"/>
      <c r="E628" s="885"/>
      <c r="F628" s="885"/>
      <c r="G628" s="885"/>
      <c r="H628" s="885"/>
      <c r="I628" s="885"/>
      <c r="J628" s="885"/>
      <c r="K628" s="885"/>
      <c r="L628" s="885"/>
      <c r="M628" s="885"/>
      <c r="N628" s="885"/>
      <c r="O628" s="885"/>
      <c r="P628" s="885"/>
      <c r="Q628" s="885"/>
      <c r="R628" s="885"/>
      <c r="S628" s="885"/>
      <c r="T628" s="885"/>
      <c r="U628" s="885"/>
      <c r="V628" s="885"/>
      <c r="W628" s="885"/>
      <c r="X628" s="885"/>
      <c r="Y628" s="885"/>
      <c r="Z628" s="885"/>
    </row>
    <row r="629" spans="1:26" ht="16.5" customHeight="1" x14ac:dyDescent="0.2">
      <c r="A629" s="885"/>
      <c r="B629" s="885"/>
      <c r="C629" s="885"/>
      <c r="D629" s="885"/>
      <c r="E629" s="885"/>
      <c r="F629" s="885"/>
      <c r="G629" s="885"/>
      <c r="H629" s="885"/>
      <c r="I629" s="885"/>
      <c r="J629" s="885"/>
      <c r="K629" s="885"/>
      <c r="L629" s="885"/>
      <c r="M629" s="885"/>
      <c r="N629" s="885"/>
      <c r="O629" s="885"/>
      <c r="P629" s="885"/>
      <c r="Q629" s="885"/>
      <c r="R629" s="885"/>
      <c r="S629" s="885"/>
      <c r="T629" s="885"/>
      <c r="U629" s="885"/>
      <c r="V629" s="885"/>
      <c r="W629" s="885"/>
      <c r="X629" s="885"/>
      <c r="Y629" s="885"/>
      <c r="Z629" s="885"/>
    </row>
    <row r="630" spans="1:26" ht="16.5" customHeight="1" x14ac:dyDescent="0.2">
      <c r="A630" s="885"/>
      <c r="B630" s="885"/>
      <c r="C630" s="885"/>
      <c r="D630" s="885"/>
      <c r="E630" s="885"/>
      <c r="F630" s="885"/>
      <c r="G630" s="885"/>
      <c r="H630" s="885"/>
      <c r="I630" s="885"/>
      <c r="J630" s="885"/>
      <c r="K630" s="885"/>
      <c r="L630" s="885"/>
      <c r="M630" s="885"/>
      <c r="N630" s="885"/>
      <c r="O630" s="885"/>
      <c r="P630" s="885"/>
      <c r="Q630" s="885"/>
      <c r="R630" s="885"/>
      <c r="S630" s="885"/>
      <c r="T630" s="885"/>
      <c r="U630" s="885"/>
      <c r="V630" s="885"/>
      <c r="W630" s="885"/>
      <c r="X630" s="885"/>
      <c r="Y630" s="885"/>
      <c r="Z630" s="885"/>
    </row>
    <row r="631" spans="1:26" ht="16.5" customHeight="1" x14ac:dyDescent="0.2">
      <c r="A631" s="885"/>
      <c r="B631" s="885"/>
      <c r="C631" s="885"/>
      <c r="D631" s="885"/>
      <c r="E631" s="885"/>
      <c r="F631" s="885"/>
      <c r="G631" s="885"/>
      <c r="H631" s="885"/>
      <c r="I631" s="885"/>
      <c r="J631" s="885"/>
      <c r="K631" s="885"/>
      <c r="L631" s="885"/>
      <c r="M631" s="885"/>
      <c r="N631" s="885"/>
      <c r="O631" s="885"/>
      <c r="P631" s="885"/>
      <c r="Q631" s="885"/>
      <c r="R631" s="885"/>
      <c r="S631" s="885"/>
      <c r="T631" s="885"/>
      <c r="U631" s="885"/>
      <c r="V631" s="885"/>
      <c r="W631" s="885"/>
      <c r="X631" s="885"/>
      <c r="Y631" s="885"/>
      <c r="Z631" s="885"/>
    </row>
    <row r="632" spans="1:26" ht="16.5" customHeight="1" x14ac:dyDescent="0.2">
      <c r="A632" s="885"/>
      <c r="B632" s="885"/>
      <c r="C632" s="885"/>
      <c r="D632" s="885"/>
      <c r="E632" s="885"/>
      <c r="F632" s="885"/>
      <c r="G632" s="885"/>
      <c r="H632" s="885"/>
      <c r="I632" s="885"/>
      <c r="J632" s="885"/>
      <c r="K632" s="885"/>
      <c r="L632" s="885"/>
      <c r="M632" s="885"/>
      <c r="N632" s="885"/>
      <c r="O632" s="885"/>
      <c r="P632" s="885"/>
      <c r="Q632" s="885"/>
      <c r="R632" s="885"/>
      <c r="S632" s="885"/>
      <c r="T632" s="885"/>
      <c r="U632" s="885"/>
      <c r="V632" s="885"/>
      <c r="W632" s="885"/>
      <c r="X632" s="885"/>
      <c r="Y632" s="885"/>
      <c r="Z632" s="885"/>
    </row>
    <row r="633" spans="1:26" ht="16.5" customHeight="1" x14ac:dyDescent="0.2">
      <c r="A633" s="885"/>
      <c r="B633" s="885"/>
      <c r="C633" s="885"/>
      <c r="D633" s="885"/>
      <c r="E633" s="885"/>
      <c r="F633" s="885"/>
      <c r="G633" s="885"/>
      <c r="H633" s="885"/>
      <c r="I633" s="885"/>
      <c r="J633" s="885"/>
      <c r="K633" s="885"/>
      <c r="L633" s="885"/>
      <c r="M633" s="885"/>
      <c r="N633" s="885"/>
      <c r="O633" s="885"/>
      <c r="P633" s="885"/>
      <c r="Q633" s="885"/>
      <c r="R633" s="885"/>
      <c r="S633" s="885"/>
      <c r="T633" s="885"/>
      <c r="U633" s="885"/>
      <c r="V633" s="885"/>
      <c r="W633" s="885"/>
      <c r="X633" s="885"/>
      <c r="Y633" s="885"/>
      <c r="Z633" s="885"/>
    </row>
    <row r="634" spans="1:26" ht="16.5" customHeight="1" x14ac:dyDescent="0.2">
      <c r="A634" s="885"/>
      <c r="B634" s="885"/>
      <c r="C634" s="885"/>
      <c r="D634" s="885"/>
      <c r="E634" s="885"/>
      <c r="F634" s="885"/>
      <c r="G634" s="885"/>
      <c r="H634" s="885"/>
      <c r="I634" s="885"/>
      <c r="J634" s="885"/>
      <c r="K634" s="885"/>
      <c r="L634" s="885"/>
      <c r="M634" s="885"/>
      <c r="N634" s="885"/>
      <c r="O634" s="885"/>
      <c r="P634" s="885"/>
      <c r="Q634" s="885"/>
      <c r="R634" s="885"/>
      <c r="S634" s="885"/>
      <c r="T634" s="885"/>
      <c r="U634" s="885"/>
      <c r="V634" s="885"/>
      <c r="W634" s="885"/>
      <c r="X634" s="885"/>
      <c r="Y634" s="885"/>
      <c r="Z634" s="885"/>
    </row>
    <row r="635" spans="1:26" ht="16.5" customHeight="1" x14ac:dyDescent="0.2">
      <c r="A635" s="885"/>
      <c r="B635" s="885"/>
      <c r="C635" s="885"/>
      <c r="D635" s="885"/>
      <c r="E635" s="885"/>
      <c r="F635" s="885"/>
      <c r="G635" s="885"/>
      <c r="H635" s="885"/>
      <c r="I635" s="885"/>
      <c r="J635" s="885"/>
      <c r="K635" s="885"/>
      <c r="L635" s="885"/>
      <c r="M635" s="885"/>
      <c r="N635" s="885"/>
      <c r="O635" s="885"/>
      <c r="P635" s="885"/>
      <c r="Q635" s="885"/>
      <c r="R635" s="885"/>
      <c r="S635" s="885"/>
      <c r="T635" s="885"/>
      <c r="U635" s="885"/>
      <c r="V635" s="885"/>
      <c r="W635" s="885"/>
      <c r="X635" s="885"/>
      <c r="Y635" s="885"/>
      <c r="Z635" s="885"/>
    </row>
    <row r="636" spans="1:26" ht="16.5" customHeight="1" x14ac:dyDescent="0.2">
      <c r="A636" s="885"/>
      <c r="B636" s="885"/>
      <c r="C636" s="885"/>
      <c r="D636" s="885"/>
      <c r="E636" s="885"/>
      <c r="F636" s="885"/>
      <c r="G636" s="885"/>
      <c r="H636" s="885"/>
      <c r="I636" s="885"/>
      <c r="J636" s="885"/>
      <c r="K636" s="885"/>
      <c r="L636" s="885"/>
      <c r="M636" s="885"/>
      <c r="N636" s="885"/>
      <c r="O636" s="885"/>
      <c r="P636" s="885"/>
      <c r="Q636" s="885"/>
      <c r="R636" s="885"/>
      <c r="S636" s="885"/>
      <c r="T636" s="885"/>
      <c r="U636" s="885"/>
      <c r="V636" s="885"/>
      <c r="W636" s="885"/>
      <c r="X636" s="885"/>
      <c r="Y636" s="885"/>
      <c r="Z636" s="885"/>
    </row>
    <row r="637" spans="1:26" ht="16.5" customHeight="1" x14ac:dyDescent="0.2">
      <c r="A637" s="885"/>
      <c r="B637" s="885"/>
      <c r="C637" s="885"/>
      <c r="D637" s="885"/>
      <c r="E637" s="885"/>
      <c r="F637" s="885"/>
      <c r="G637" s="885"/>
      <c r="H637" s="885"/>
      <c r="I637" s="885"/>
      <c r="J637" s="885"/>
      <c r="K637" s="885"/>
      <c r="L637" s="885"/>
      <c r="M637" s="885"/>
      <c r="N637" s="885"/>
      <c r="O637" s="885"/>
      <c r="P637" s="885"/>
      <c r="Q637" s="885"/>
      <c r="R637" s="885"/>
      <c r="S637" s="885"/>
      <c r="T637" s="885"/>
      <c r="U637" s="885"/>
      <c r="V637" s="885"/>
      <c r="W637" s="885"/>
      <c r="X637" s="885"/>
      <c r="Y637" s="885"/>
      <c r="Z637" s="885"/>
    </row>
    <row r="638" spans="1:26" ht="16.5" customHeight="1" x14ac:dyDescent="0.2">
      <c r="A638" s="885"/>
      <c r="B638" s="885"/>
      <c r="C638" s="885"/>
      <c r="D638" s="885"/>
      <c r="E638" s="885"/>
      <c r="F638" s="885"/>
      <c r="G638" s="885"/>
      <c r="H638" s="885"/>
      <c r="I638" s="885"/>
      <c r="J638" s="885"/>
      <c r="K638" s="885"/>
      <c r="L638" s="885"/>
      <c r="M638" s="885"/>
      <c r="N638" s="885"/>
      <c r="O638" s="885"/>
      <c r="P638" s="885"/>
      <c r="Q638" s="885"/>
      <c r="R638" s="885"/>
      <c r="S638" s="885"/>
      <c r="T638" s="885"/>
      <c r="U638" s="885"/>
      <c r="V638" s="885"/>
      <c r="W638" s="885"/>
      <c r="X638" s="885"/>
      <c r="Y638" s="885"/>
      <c r="Z638" s="885"/>
    </row>
    <row r="639" spans="1:26" ht="16.5" customHeight="1" x14ac:dyDescent="0.2">
      <c r="A639" s="885"/>
      <c r="B639" s="885"/>
      <c r="C639" s="885"/>
      <c r="D639" s="885"/>
      <c r="E639" s="885"/>
      <c r="F639" s="885"/>
      <c r="G639" s="885"/>
      <c r="H639" s="885"/>
      <c r="I639" s="885"/>
      <c r="J639" s="885"/>
      <c r="K639" s="885"/>
      <c r="L639" s="885"/>
      <c r="M639" s="885"/>
      <c r="N639" s="885"/>
      <c r="O639" s="885"/>
      <c r="P639" s="885"/>
      <c r="Q639" s="885"/>
      <c r="R639" s="885"/>
      <c r="S639" s="885"/>
      <c r="T639" s="885"/>
      <c r="U639" s="885"/>
      <c r="V639" s="885"/>
      <c r="W639" s="885"/>
      <c r="X639" s="885"/>
      <c r="Y639" s="885"/>
      <c r="Z639" s="885"/>
    </row>
    <row r="640" spans="1:26" ht="16.5" customHeight="1" x14ac:dyDescent="0.2">
      <c r="A640" s="885"/>
      <c r="B640" s="885"/>
      <c r="C640" s="885"/>
      <c r="D640" s="885"/>
      <c r="E640" s="885"/>
      <c r="F640" s="885"/>
      <c r="G640" s="885"/>
      <c r="H640" s="885"/>
      <c r="I640" s="885"/>
      <c r="J640" s="885"/>
      <c r="K640" s="885"/>
      <c r="L640" s="885"/>
      <c r="M640" s="885"/>
      <c r="N640" s="885"/>
      <c r="O640" s="885"/>
      <c r="P640" s="885"/>
      <c r="Q640" s="885"/>
      <c r="R640" s="885"/>
      <c r="S640" s="885"/>
      <c r="T640" s="885"/>
      <c r="U640" s="885"/>
      <c r="V640" s="885"/>
      <c r="W640" s="885"/>
      <c r="X640" s="885"/>
      <c r="Y640" s="885"/>
      <c r="Z640" s="885"/>
    </row>
    <row r="641" spans="1:26" ht="16.5" customHeight="1" x14ac:dyDescent="0.2">
      <c r="A641" s="885"/>
      <c r="B641" s="885"/>
      <c r="C641" s="885"/>
      <c r="D641" s="885"/>
      <c r="E641" s="885"/>
      <c r="F641" s="885"/>
      <c r="G641" s="885"/>
      <c r="H641" s="885"/>
      <c r="I641" s="885"/>
      <c r="J641" s="885"/>
      <c r="K641" s="885"/>
      <c r="L641" s="885"/>
      <c r="M641" s="885"/>
      <c r="N641" s="885"/>
      <c r="O641" s="885"/>
      <c r="P641" s="885"/>
      <c r="Q641" s="885"/>
      <c r="R641" s="885"/>
      <c r="S641" s="885"/>
      <c r="T641" s="885"/>
      <c r="U641" s="885"/>
      <c r="V641" s="885"/>
      <c r="W641" s="885"/>
      <c r="X641" s="885"/>
      <c r="Y641" s="885"/>
      <c r="Z641" s="885"/>
    </row>
    <row r="642" spans="1:26" ht="16.5" customHeight="1" x14ac:dyDescent="0.2">
      <c r="A642" s="885"/>
      <c r="B642" s="885"/>
      <c r="C642" s="885"/>
      <c r="D642" s="885"/>
      <c r="E642" s="885"/>
      <c r="F642" s="885"/>
      <c r="G642" s="885"/>
      <c r="H642" s="885"/>
      <c r="I642" s="885"/>
      <c r="J642" s="885"/>
      <c r="K642" s="885"/>
      <c r="L642" s="885"/>
      <c r="M642" s="885"/>
      <c r="N642" s="885"/>
      <c r="O642" s="885"/>
      <c r="P642" s="885"/>
      <c r="Q642" s="885"/>
      <c r="R642" s="885"/>
      <c r="S642" s="885"/>
      <c r="T642" s="885"/>
      <c r="U642" s="885"/>
      <c r="V642" s="885"/>
      <c r="W642" s="885"/>
      <c r="X642" s="885"/>
      <c r="Y642" s="885"/>
      <c r="Z642" s="885"/>
    </row>
    <row r="643" spans="1:26" ht="16.5" customHeight="1" x14ac:dyDescent="0.2">
      <c r="A643" s="885"/>
      <c r="B643" s="885"/>
      <c r="C643" s="885"/>
      <c r="D643" s="885"/>
      <c r="E643" s="885"/>
      <c r="F643" s="885"/>
      <c r="G643" s="885"/>
      <c r="H643" s="885"/>
      <c r="I643" s="885"/>
      <c r="J643" s="885"/>
      <c r="K643" s="885"/>
      <c r="L643" s="885"/>
      <c r="M643" s="885"/>
      <c r="N643" s="885"/>
      <c r="O643" s="885"/>
      <c r="P643" s="885"/>
      <c r="Q643" s="885"/>
      <c r="R643" s="885"/>
      <c r="S643" s="885"/>
      <c r="T643" s="885"/>
      <c r="U643" s="885"/>
      <c r="V643" s="885"/>
      <c r="W643" s="885"/>
      <c r="X643" s="885"/>
      <c r="Y643" s="885"/>
      <c r="Z643" s="885"/>
    </row>
    <row r="644" spans="1:26" ht="16.5" customHeight="1" x14ac:dyDescent="0.2">
      <c r="A644" s="885"/>
      <c r="B644" s="885"/>
      <c r="C644" s="885"/>
      <c r="D644" s="885"/>
      <c r="E644" s="885"/>
      <c r="F644" s="885"/>
      <c r="G644" s="885"/>
      <c r="H644" s="885"/>
      <c r="I644" s="885"/>
      <c r="J644" s="885"/>
      <c r="K644" s="885"/>
      <c r="L644" s="885"/>
      <c r="M644" s="885"/>
      <c r="N644" s="885"/>
      <c r="O644" s="885"/>
      <c r="P644" s="885"/>
      <c r="Q644" s="885"/>
      <c r="R644" s="885"/>
      <c r="S644" s="885"/>
      <c r="T644" s="885"/>
      <c r="U644" s="885"/>
      <c r="V644" s="885"/>
      <c r="W644" s="885"/>
      <c r="X644" s="885"/>
      <c r="Y644" s="885"/>
      <c r="Z644" s="885"/>
    </row>
    <row r="645" spans="1:26" ht="16.5" customHeight="1" x14ac:dyDescent="0.2">
      <c r="A645" s="885"/>
      <c r="B645" s="885"/>
      <c r="C645" s="885"/>
      <c r="D645" s="885"/>
      <c r="E645" s="885"/>
      <c r="F645" s="885"/>
      <c r="G645" s="885"/>
      <c r="H645" s="885"/>
      <c r="I645" s="885"/>
      <c r="J645" s="885"/>
      <c r="K645" s="885"/>
      <c r="L645" s="885"/>
      <c r="M645" s="885"/>
      <c r="N645" s="885"/>
      <c r="O645" s="885"/>
      <c r="P645" s="885"/>
      <c r="Q645" s="885"/>
      <c r="R645" s="885"/>
      <c r="S645" s="885"/>
      <c r="T645" s="885"/>
      <c r="U645" s="885"/>
      <c r="V645" s="885"/>
      <c r="W645" s="885"/>
      <c r="X645" s="885"/>
      <c r="Y645" s="885"/>
      <c r="Z645" s="885"/>
    </row>
    <row r="646" spans="1:26" ht="16.5" customHeight="1" x14ac:dyDescent="0.2">
      <c r="A646" s="885"/>
      <c r="B646" s="885"/>
      <c r="C646" s="885"/>
      <c r="D646" s="885"/>
      <c r="E646" s="885"/>
      <c r="F646" s="885"/>
      <c r="G646" s="885"/>
      <c r="H646" s="885"/>
      <c r="I646" s="885"/>
      <c r="J646" s="885"/>
      <c r="K646" s="885"/>
      <c r="L646" s="885"/>
      <c r="M646" s="885"/>
      <c r="N646" s="885"/>
      <c r="O646" s="885"/>
      <c r="P646" s="885"/>
      <c r="Q646" s="885"/>
      <c r="R646" s="885"/>
      <c r="S646" s="885"/>
      <c r="T646" s="885"/>
      <c r="U646" s="885"/>
      <c r="V646" s="885"/>
      <c r="W646" s="885"/>
      <c r="X646" s="885"/>
      <c r="Y646" s="885"/>
      <c r="Z646" s="885"/>
    </row>
    <row r="647" spans="1:26" ht="16.5" customHeight="1" x14ac:dyDescent="0.2">
      <c r="A647" s="885"/>
      <c r="B647" s="885"/>
      <c r="C647" s="885"/>
      <c r="D647" s="885"/>
      <c r="E647" s="885"/>
      <c r="F647" s="885"/>
      <c r="G647" s="885"/>
      <c r="H647" s="885"/>
      <c r="I647" s="885"/>
      <c r="J647" s="885"/>
      <c r="K647" s="885"/>
      <c r="L647" s="885"/>
      <c r="M647" s="885"/>
      <c r="N647" s="885"/>
      <c r="O647" s="885"/>
      <c r="P647" s="885"/>
      <c r="Q647" s="885"/>
      <c r="R647" s="885"/>
      <c r="S647" s="885"/>
      <c r="T647" s="885"/>
      <c r="U647" s="885"/>
      <c r="V647" s="885"/>
      <c r="W647" s="885"/>
      <c r="X647" s="885"/>
      <c r="Y647" s="885"/>
      <c r="Z647" s="885"/>
    </row>
    <row r="648" spans="1:26" ht="16.5" customHeight="1" x14ac:dyDescent="0.2">
      <c r="A648" s="885"/>
      <c r="B648" s="885"/>
      <c r="C648" s="885"/>
      <c r="D648" s="885"/>
      <c r="E648" s="885"/>
      <c r="F648" s="885"/>
      <c r="G648" s="885"/>
      <c r="H648" s="885"/>
      <c r="I648" s="885"/>
      <c r="J648" s="885"/>
      <c r="K648" s="885"/>
      <c r="L648" s="885"/>
      <c r="M648" s="885"/>
      <c r="N648" s="885"/>
      <c r="O648" s="885"/>
      <c r="P648" s="885"/>
      <c r="Q648" s="885"/>
      <c r="R648" s="885"/>
      <c r="S648" s="885"/>
      <c r="T648" s="885"/>
      <c r="U648" s="885"/>
      <c r="V648" s="885"/>
      <c r="W648" s="885"/>
      <c r="X648" s="885"/>
      <c r="Y648" s="885"/>
      <c r="Z648" s="885"/>
    </row>
    <row r="649" spans="1:26" ht="16.5" customHeight="1" x14ac:dyDescent="0.2">
      <c r="A649" s="885"/>
      <c r="B649" s="885"/>
      <c r="C649" s="885"/>
      <c r="D649" s="885"/>
      <c r="E649" s="885"/>
      <c r="F649" s="885"/>
      <c r="G649" s="885"/>
      <c r="H649" s="885"/>
      <c r="I649" s="885"/>
      <c r="J649" s="885"/>
      <c r="K649" s="885"/>
      <c r="L649" s="885"/>
      <c r="M649" s="885"/>
      <c r="N649" s="885"/>
      <c r="O649" s="885"/>
      <c r="P649" s="885"/>
      <c r="Q649" s="885"/>
      <c r="R649" s="885"/>
      <c r="S649" s="885"/>
      <c r="T649" s="885"/>
      <c r="U649" s="885"/>
      <c r="V649" s="885"/>
      <c r="W649" s="885"/>
      <c r="X649" s="885"/>
      <c r="Y649" s="885"/>
      <c r="Z649" s="885"/>
    </row>
    <row r="650" spans="1:26" ht="16.5" customHeight="1" x14ac:dyDescent="0.2">
      <c r="A650" s="885"/>
      <c r="B650" s="885"/>
      <c r="C650" s="885"/>
      <c r="D650" s="885"/>
      <c r="E650" s="885"/>
      <c r="F650" s="885"/>
      <c r="G650" s="885"/>
      <c r="H650" s="885"/>
      <c r="I650" s="885"/>
      <c r="J650" s="885"/>
      <c r="K650" s="885"/>
      <c r="L650" s="885"/>
      <c r="M650" s="885"/>
      <c r="N650" s="885"/>
      <c r="O650" s="885"/>
      <c r="P650" s="885"/>
      <c r="Q650" s="885"/>
      <c r="R650" s="885"/>
      <c r="S650" s="885"/>
      <c r="T650" s="885"/>
      <c r="U650" s="885"/>
      <c r="V650" s="885"/>
      <c r="W650" s="885"/>
      <c r="X650" s="885"/>
      <c r="Y650" s="885"/>
      <c r="Z650" s="885"/>
    </row>
    <row r="651" spans="1:26" ht="16.5" customHeight="1" x14ac:dyDescent="0.2">
      <c r="A651" s="885"/>
      <c r="B651" s="885"/>
      <c r="C651" s="885"/>
      <c r="D651" s="885"/>
      <c r="E651" s="885"/>
      <c r="F651" s="885"/>
      <c r="G651" s="885"/>
      <c r="H651" s="885"/>
      <c r="I651" s="885"/>
      <c r="J651" s="885"/>
      <c r="K651" s="885"/>
      <c r="L651" s="885"/>
      <c r="M651" s="885"/>
      <c r="N651" s="885"/>
      <c r="O651" s="885"/>
      <c r="P651" s="885"/>
      <c r="Q651" s="885"/>
      <c r="R651" s="885"/>
      <c r="S651" s="885"/>
      <c r="T651" s="885"/>
      <c r="U651" s="885"/>
      <c r="V651" s="885"/>
      <c r="W651" s="885"/>
      <c r="X651" s="885"/>
      <c r="Y651" s="885"/>
      <c r="Z651" s="885"/>
    </row>
    <row r="652" spans="1:26" ht="16.5" customHeight="1" x14ac:dyDescent="0.2">
      <c r="A652" s="885"/>
      <c r="B652" s="885"/>
      <c r="C652" s="885"/>
      <c r="D652" s="885"/>
      <c r="E652" s="885"/>
      <c r="F652" s="885"/>
      <c r="G652" s="885"/>
      <c r="H652" s="885"/>
      <c r="I652" s="885"/>
      <c r="J652" s="885"/>
      <c r="K652" s="885"/>
      <c r="L652" s="885"/>
      <c r="M652" s="885"/>
      <c r="N652" s="885"/>
      <c r="O652" s="885"/>
      <c r="P652" s="885"/>
      <c r="Q652" s="885"/>
      <c r="R652" s="885"/>
      <c r="S652" s="885"/>
      <c r="T652" s="885"/>
      <c r="U652" s="885"/>
      <c r="V652" s="885"/>
      <c r="W652" s="885"/>
      <c r="X652" s="885"/>
      <c r="Y652" s="885"/>
      <c r="Z652" s="885"/>
    </row>
    <row r="653" spans="1:26" ht="16.5" customHeight="1" x14ac:dyDescent="0.2">
      <c r="A653" s="885"/>
      <c r="B653" s="885"/>
      <c r="C653" s="885"/>
      <c r="D653" s="885"/>
      <c r="E653" s="885"/>
      <c r="F653" s="885"/>
      <c r="G653" s="885"/>
      <c r="H653" s="885"/>
      <c r="I653" s="885"/>
      <c r="J653" s="885"/>
      <c r="K653" s="885"/>
      <c r="L653" s="885"/>
      <c r="M653" s="885"/>
      <c r="N653" s="885"/>
      <c r="O653" s="885"/>
      <c r="P653" s="885"/>
      <c r="Q653" s="885"/>
      <c r="R653" s="885"/>
      <c r="S653" s="885"/>
      <c r="T653" s="885"/>
      <c r="U653" s="885"/>
      <c r="V653" s="885"/>
      <c r="W653" s="885"/>
      <c r="X653" s="885"/>
      <c r="Y653" s="885"/>
      <c r="Z653" s="885"/>
    </row>
    <row r="654" spans="1:26" ht="16.5" customHeight="1" x14ac:dyDescent="0.2">
      <c r="A654" s="885"/>
      <c r="B654" s="885"/>
      <c r="C654" s="885"/>
      <c r="D654" s="885"/>
      <c r="E654" s="885"/>
      <c r="F654" s="885"/>
      <c r="G654" s="885"/>
      <c r="H654" s="885"/>
      <c r="I654" s="885"/>
      <c r="J654" s="885"/>
      <c r="K654" s="885"/>
      <c r="L654" s="885"/>
      <c r="M654" s="885"/>
      <c r="N654" s="885"/>
      <c r="O654" s="885"/>
      <c r="P654" s="885"/>
      <c r="Q654" s="885"/>
      <c r="R654" s="885"/>
      <c r="S654" s="885"/>
      <c r="T654" s="885"/>
      <c r="U654" s="885"/>
      <c r="V654" s="885"/>
      <c r="W654" s="885"/>
      <c r="X654" s="885"/>
      <c r="Y654" s="885"/>
      <c r="Z654" s="885"/>
    </row>
    <row r="655" spans="1:26" ht="16.5" customHeight="1" x14ac:dyDescent="0.2">
      <c r="A655" s="885"/>
      <c r="B655" s="885"/>
      <c r="C655" s="885"/>
      <c r="D655" s="885"/>
      <c r="E655" s="885"/>
      <c r="F655" s="885"/>
      <c r="G655" s="885"/>
      <c r="H655" s="885"/>
      <c r="I655" s="885"/>
      <c r="J655" s="885"/>
      <c r="K655" s="885"/>
      <c r="L655" s="885"/>
      <c r="M655" s="885"/>
      <c r="N655" s="885"/>
      <c r="O655" s="885"/>
      <c r="P655" s="885"/>
      <c r="Q655" s="885"/>
      <c r="R655" s="885"/>
      <c r="S655" s="885"/>
      <c r="T655" s="885"/>
      <c r="U655" s="885"/>
      <c r="V655" s="885"/>
      <c r="W655" s="885"/>
      <c r="X655" s="885"/>
      <c r="Y655" s="885"/>
      <c r="Z655" s="885"/>
    </row>
    <row r="656" spans="1:26" ht="16.5" customHeight="1" x14ac:dyDescent="0.2">
      <c r="A656" s="885"/>
      <c r="B656" s="885"/>
      <c r="C656" s="885"/>
      <c r="D656" s="885"/>
      <c r="E656" s="885"/>
      <c r="F656" s="885"/>
      <c r="G656" s="885"/>
      <c r="H656" s="885"/>
      <c r="I656" s="885"/>
      <c r="J656" s="885"/>
      <c r="K656" s="885"/>
      <c r="L656" s="885"/>
      <c r="M656" s="885"/>
      <c r="N656" s="885"/>
      <c r="O656" s="885"/>
      <c r="P656" s="885"/>
      <c r="Q656" s="885"/>
      <c r="R656" s="885"/>
      <c r="S656" s="885"/>
      <c r="T656" s="885"/>
      <c r="U656" s="885"/>
      <c r="V656" s="885"/>
      <c r="W656" s="885"/>
      <c r="X656" s="885"/>
      <c r="Y656" s="885"/>
      <c r="Z656" s="885"/>
    </row>
    <row r="657" spans="1:26" ht="16.5" customHeight="1" x14ac:dyDescent="0.2">
      <c r="A657" s="885"/>
      <c r="B657" s="885"/>
      <c r="C657" s="885"/>
      <c r="D657" s="885"/>
      <c r="E657" s="885"/>
      <c r="F657" s="885"/>
      <c r="G657" s="885"/>
      <c r="H657" s="885"/>
      <c r="I657" s="885"/>
      <c r="J657" s="885"/>
      <c r="K657" s="885"/>
      <c r="L657" s="885"/>
      <c r="M657" s="885"/>
      <c r="N657" s="885"/>
      <c r="O657" s="885"/>
      <c r="P657" s="885"/>
      <c r="Q657" s="885"/>
      <c r="R657" s="885"/>
      <c r="S657" s="885"/>
      <c r="T657" s="885"/>
      <c r="U657" s="885"/>
      <c r="V657" s="885"/>
      <c r="W657" s="885"/>
      <c r="X657" s="885"/>
      <c r="Y657" s="885"/>
      <c r="Z657" s="885"/>
    </row>
    <row r="658" spans="1:26" ht="16.5" customHeight="1" x14ac:dyDescent="0.2">
      <c r="A658" s="885"/>
      <c r="B658" s="885"/>
      <c r="C658" s="885"/>
      <c r="D658" s="885"/>
      <c r="E658" s="885"/>
      <c r="F658" s="885"/>
      <c r="G658" s="885"/>
      <c r="H658" s="885"/>
      <c r="I658" s="885"/>
      <c r="J658" s="885"/>
      <c r="K658" s="885"/>
      <c r="L658" s="885"/>
      <c r="M658" s="885"/>
      <c r="N658" s="885"/>
      <c r="O658" s="885"/>
      <c r="P658" s="885"/>
      <c r="Q658" s="885"/>
      <c r="R658" s="885"/>
      <c r="S658" s="885"/>
      <c r="T658" s="885"/>
      <c r="U658" s="885"/>
      <c r="V658" s="885"/>
      <c r="W658" s="885"/>
      <c r="X658" s="885"/>
      <c r="Y658" s="885"/>
      <c r="Z658" s="885"/>
    </row>
    <row r="659" spans="1:26" ht="16.5" customHeight="1" x14ac:dyDescent="0.2">
      <c r="A659" s="885"/>
      <c r="B659" s="885"/>
      <c r="C659" s="885"/>
      <c r="D659" s="885"/>
      <c r="E659" s="885"/>
      <c r="F659" s="885"/>
      <c r="G659" s="885"/>
      <c r="H659" s="885"/>
      <c r="I659" s="885"/>
      <c r="J659" s="885"/>
      <c r="K659" s="885"/>
      <c r="L659" s="885"/>
      <c r="M659" s="885"/>
      <c r="N659" s="885"/>
      <c r="O659" s="885"/>
      <c r="P659" s="885"/>
      <c r="Q659" s="885"/>
      <c r="R659" s="885"/>
      <c r="S659" s="885"/>
      <c r="T659" s="885"/>
      <c r="U659" s="885"/>
      <c r="V659" s="885"/>
      <c r="W659" s="885"/>
      <c r="X659" s="885"/>
      <c r="Y659" s="885"/>
      <c r="Z659" s="885"/>
    </row>
    <row r="660" spans="1:26" ht="16.5" customHeight="1" x14ac:dyDescent="0.2">
      <c r="A660" s="885"/>
      <c r="B660" s="885"/>
      <c r="C660" s="885"/>
      <c r="D660" s="885"/>
      <c r="E660" s="885"/>
      <c r="F660" s="885"/>
      <c r="G660" s="885"/>
      <c r="H660" s="885"/>
      <c r="I660" s="885"/>
      <c r="J660" s="885"/>
      <c r="K660" s="885"/>
      <c r="L660" s="885"/>
      <c r="M660" s="885"/>
      <c r="N660" s="885"/>
      <c r="O660" s="885"/>
      <c r="P660" s="885"/>
      <c r="Q660" s="885"/>
      <c r="R660" s="885"/>
      <c r="S660" s="885"/>
      <c r="T660" s="885"/>
      <c r="U660" s="885"/>
      <c r="V660" s="885"/>
      <c r="W660" s="885"/>
      <c r="X660" s="885"/>
      <c r="Y660" s="885"/>
      <c r="Z660" s="885"/>
    </row>
    <row r="661" spans="1:26" ht="16.5" customHeight="1" x14ac:dyDescent="0.2">
      <c r="A661" s="885"/>
      <c r="B661" s="885"/>
      <c r="C661" s="885"/>
      <c r="D661" s="885"/>
      <c r="E661" s="885"/>
      <c r="F661" s="885"/>
      <c r="G661" s="885"/>
      <c r="H661" s="885"/>
      <c r="I661" s="885"/>
      <c r="J661" s="885"/>
      <c r="K661" s="885"/>
      <c r="L661" s="885"/>
      <c r="M661" s="885"/>
      <c r="N661" s="885"/>
      <c r="O661" s="885"/>
      <c r="P661" s="885"/>
      <c r="Q661" s="885"/>
      <c r="R661" s="885"/>
      <c r="S661" s="885"/>
      <c r="T661" s="885"/>
      <c r="U661" s="885"/>
      <c r="V661" s="885"/>
      <c r="W661" s="885"/>
      <c r="X661" s="885"/>
      <c r="Y661" s="885"/>
      <c r="Z661" s="885"/>
    </row>
    <row r="662" spans="1:26" ht="16.5" customHeight="1" x14ac:dyDescent="0.2">
      <c r="A662" s="885"/>
      <c r="B662" s="885"/>
      <c r="C662" s="885"/>
      <c r="D662" s="885"/>
      <c r="E662" s="885"/>
      <c r="F662" s="885"/>
      <c r="G662" s="885"/>
      <c r="H662" s="885"/>
      <c r="I662" s="885"/>
      <c r="J662" s="885"/>
      <c r="K662" s="885"/>
      <c r="L662" s="885"/>
      <c r="M662" s="885"/>
      <c r="N662" s="885"/>
      <c r="O662" s="885"/>
      <c r="P662" s="885"/>
      <c r="Q662" s="885"/>
      <c r="R662" s="885"/>
      <c r="S662" s="885"/>
      <c r="T662" s="885"/>
      <c r="U662" s="885"/>
      <c r="V662" s="885"/>
      <c r="W662" s="885"/>
      <c r="X662" s="885"/>
      <c r="Y662" s="885"/>
      <c r="Z662" s="885"/>
    </row>
    <row r="663" spans="1:26" ht="16.5" customHeight="1" x14ac:dyDescent="0.2">
      <c r="A663" s="885"/>
      <c r="B663" s="885"/>
      <c r="C663" s="885"/>
      <c r="D663" s="885"/>
      <c r="E663" s="885"/>
      <c r="F663" s="885"/>
      <c r="G663" s="885"/>
      <c r="H663" s="885"/>
      <c r="I663" s="885"/>
      <c r="J663" s="885"/>
      <c r="K663" s="885"/>
      <c r="L663" s="885"/>
      <c r="M663" s="885"/>
      <c r="N663" s="885"/>
      <c r="O663" s="885"/>
      <c r="P663" s="885"/>
      <c r="Q663" s="885"/>
      <c r="R663" s="885"/>
      <c r="S663" s="885"/>
      <c r="T663" s="885"/>
      <c r="U663" s="885"/>
      <c r="V663" s="885"/>
      <c r="W663" s="885"/>
      <c r="X663" s="885"/>
      <c r="Y663" s="885"/>
      <c r="Z663" s="885"/>
    </row>
    <row r="664" spans="1:26" ht="16.5" customHeight="1" x14ac:dyDescent="0.2">
      <c r="A664" s="885"/>
      <c r="B664" s="885"/>
      <c r="C664" s="885"/>
      <c r="D664" s="885"/>
      <c r="E664" s="885"/>
      <c r="F664" s="885"/>
      <c r="G664" s="885"/>
      <c r="H664" s="885"/>
      <c r="I664" s="885"/>
      <c r="J664" s="885"/>
      <c r="K664" s="885"/>
      <c r="L664" s="885"/>
      <c r="M664" s="885"/>
      <c r="N664" s="885"/>
      <c r="O664" s="885"/>
      <c r="P664" s="885"/>
      <c r="Q664" s="885"/>
      <c r="R664" s="885"/>
      <c r="S664" s="885"/>
      <c r="T664" s="885"/>
      <c r="U664" s="885"/>
      <c r="V664" s="885"/>
      <c r="W664" s="885"/>
      <c r="X664" s="885"/>
      <c r="Y664" s="885"/>
      <c r="Z664" s="885"/>
    </row>
    <row r="665" spans="1:26" ht="16.5" customHeight="1" x14ac:dyDescent="0.2">
      <c r="A665" s="885"/>
      <c r="B665" s="885"/>
      <c r="C665" s="885"/>
      <c r="D665" s="885"/>
      <c r="E665" s="885"/>
      <c r="F665" s="885"/>
      <c r="G665" s="885"/>
      <c r="H665" s="885"/>
      <c r="I665" s="885"/>
      <c r="J665" s="885"/>
      <c r="K665" s="885"/>
      <c r="L665" s="885"/>
      <c r="M665" s="885"/>
      <c r="N665" s="885"/>
      <c r="O665" s="885"/>
      <c r="P665" s="885"/>
      <c r="Q665" s="885"/>
      <c r="R665" s="885"/>
      <c r="S665" s="885"/>
      <c r="T665" s="885"/>
      <c r="U665" s="885"/>
      <c r="V665" s="885"/>
      <c r="W665" s="885"/>
      <c r="X665" s="885"/>
      <c r="Y665" s="885"/>
      <c r="Z665" s="885"/>
    </row>
    <row r="666" spans="1:26" ht="16.5" customHeight="1" x14ac:dyDescent="0.2">
      <c r="A666" s="885"/>
      <c r="B666" s="885"/>
      <c r="C666" s="885"/>
      <c r="D666" s="885"/>
      <c r="E666" s="885"/>
      <c r="F666" s="885"/>
      <c r="G666" s="885"/>
      <c r="H666" s="885"/>
      <c r="I666" s="885"/>
      <c r="J666" s="885"/>
      <c r="K666" s="885"/>
      <c r="L666" s="885"/>
      <c r="M666" s="885"/>
      <c r="N666" s="885"/>
      <c r="O666" s="885"/>
      <c r="P666" s="885"/>
      <c r="Q666" s="885"/>
      <c r="R666" s="885"/>
      <c r="S666" s="885"/>
      <c r="T666" s="885"/>
      <c r="U666" s="885"/>
      <c r="V666" s="885"/>
      <c r="W666" s="885"/>
      <c r="X666" s="885"/>
      <c r="Y666" s="885"/>
      <c r="Z666" s="885"/>
    </row>
    <row r="667" spans="1:26" ht="16.5" customHeight="1" x14ac:dyDescent="0.2">
      <c r="A667" s="885"/>
      <c r="B667" s="885"/>
      <c r="C667" s="885"/>
      <c r="D667" s="885"/>
      <c r="E667" s="885"/>
      <c r="F667" s="885"/>
      <c r="G667" s="885"/>
      <c r="H667" s="885"/>
      <c r="I667" s="885"/>
      <c r="J667" s="885"/>
      <c r="K667" s="885"/>
      <c r="L667" s="885"/>
      <c r="M667" s="885"/>
      <c r="N667" s="885"/>
      <c r="O667" s="885"/>
      <c r="P667" s="885"/>
      <c r="Q667" s="885"/>
      <c r="R667" s="885"/>
      <c r="S667" s="885"/>
      <c r="T667" s="885"/>
      <c r="U667" s="885"/>
      <c r="V667" s="885"/>
      <c r="W667" s="885"/>
      <c r="X667" s="885"/>
      <c r="Y667" s="885"/>
      <c r="Z667" s="885"/>
    </row>
    <row r="668" spans="1:26" ht="16.5" customHeight="1" x14ac:dyDescent="0.2">
      <c r="A668" s="885"/>
      <c r="B668" s="885"/>
      <c r="C668" s="885"/>
      <c r="D668" s="885"/>
      <c r="E668" s="885"/>
      <c r="F668" s="885"/>
      <c r="G668" s="885"/>
      <c r="H668" s="885"/>
      <c r="I668" s="885"/>
      <c r="J668" s="885"/>
      <c r="K668" s="885"/>
      <c r="L668" s="885"/>
      <c r="M668" s="885"/>
      <c r="N668" s="885"/>
      <c r="O668" s="885"/>
      <c r="P668" s="885"/>
      <c r="Q668" s="885"/>
      <c r="R668" s="885"/>
      <c r="S668" s="885"/>
      <c r="T668" s="885"/>
      <c r="U668" s="885"/>
      <c r="V668" s="885"/>
      <c r="W668" s="885"/>
      <c r="X668" s="885"/>
      <c r="Y668" s="885"/>
      <c r="Z668" s="885"/>
    </row>
    <row r="669" spans="1:26" ht="16.5" customHeight="1" x14ac:dyDescent="0.2">
      <c r="A669" s="885"/>
      <c r="B669" s="885"/>
      <c r="C669" s="885"/>
      <c r="D669" s="885"/>
      <c r="E669" s="885"/>
      <c r="F669" s="885"/>
      <c r="G669" s="885"/>
      <c r="H669" s="885"/>
      <c r="I669" s="885"/>
      <c r="J669" s="885"/>
      <c r="K669" s="885"/>
      <c r="L669" s="885"/>
      <c r="M669" s="885"/>
      <c r="N669" s="885"/>
      <c r="O669" s="885"/>
      <c r="P669" s="885"/>
      <c r="Q669" s="885"/>
      <c r="R669" s="885"/>
      <c r="S669" s="885"/>
      <c r="T669" s="885"/>
      <c r="U669" s="885"/>
      <c r="V669" s="885"/>
      <c r="W669" s="885"/>
      <c r="X669" s="885"/>
      <c r="Y669" s="885"/>
      <c r="Z669" s="885"/>
    </row>
    <row r="670" spans="1:26" ht="16.5" customHeight="1" x14ac:dyDescent="0.2">
      <c r="A670" s="885"/>
      <c r="B670" s="885"/>
      <c r="C670" s="885"/>
      <c r="D670" s="885"/>
      <c r="E670" s="885"/>
      <c r="F670" s="885"/>
      <c r="G670" s="885"/>
      <c r="H670" s="885"/>
      <c r="I670" s="885"/>
      <c r="J670" s="885"/>
      <c r="K670" s="885"/>
      <c r="L670" s="885"/>
      <c r="M670" s="885"/>
      <c r="N670" s="885"/>
      <c r="O670" s="885"/>
      <c r="P670" s="885"/>
      <c r="Q670" s="885"/>
      <c r="R670" s="885"/>
      <c r="S670" s="885"/>
      <c r="T670" s="885"/>
      <c r="U670" s="885"/>
      <c r="V670" s="885"/>
      <c r="W670" s="885"/>
      <c r="X670" s="885"/>
      <c r="Y670" s="885"/>
      <c r="Z670" s="885"/>
    </row>
    <row r="671" spans="1:26" ht="16.5" customHeight="1" x14ac:dyDescent="0.2">
      <c r="A671" s="885"/>
      <c r="B671" s="885"/>
      <c r="C671" s="885"/>
      <c r="D671" s="885"/>
      <c r="E671" s="885"/>
      <c r="F671" s="885"/>
      <c r="G671" s="885"/>
      <c r="H671" s="885"/>
      <c r="I671" s="885"/>
      <c r="J671" s="885"/>
      <c r="K671" s="885"/>
      <c r="L671" s="885"/>
      <c r="M671" s="885"/>
      <c r="N671" s="885"/>
      <c r="O671" s="885"/>
      <c r="P671" s="885"/>
      <c r="Q671" s="885"/>
      <c r="R671" s="885"/>
      <c r="S671" s="885"/>
      <c r="T671" s="885"/>
      <c r="U671" s="885"/>
      <c r="V671" s="885"/>
      <c r="W671" s="885"/>
      <c r="X671" s="885"/>
      <c r="Y671" s="885"/>
      <c r="Z671" s="885"/>
    </row>
    <row r="672" spans="1:26" ht="16.5" customHeight="1" x14ac:dyDescent="0.2">
      <c r="A672" s="885"/>
      <c r="B672" s="885"/>
      <c r="C672" s="885"/>
      <c r="D672" s="885"/>
      <c r="E672" s="885"/>
      <c r="F672" s="885"/>
      <c r="G672" s="885"/>
      <c r="H672" s="885"/>
      <c r="I672" s="885"/>
      <c r="J672" s="885"/>
      <c r="K672" s="885"/>
      <c r="L672" s="885"/>
      <c r="M672" s="885"/>
      <c r="N672" s="885"/>
      <c r="O672" s="885"/>
      <c r="P672" s="885"/>
      <c r="Q672" s="885"/>
      <c r="R672" s="885"/>
      <c r="S672" s="885"/>
      <c r="T672" s="885"/>
      <c r="U672" s="885"/>
      <c r="V672" s="885"/>
      <c r="W672" s="885"/>
      <c r="X672" s="885"/>
      <c r="Y672" s="885"/>
      <c r="Z672" s="885"/>
    </row>
    <row r="673" spans="1:26" ht="16.5" customHeight="1" x14ac:dyDescent="0.2">
      <c r="A673" s="885"/>
      <c r="B673" s="885"/>
      <c r="C673" s="885"/>
      <c r="D673" s="885"/>
      <c r="E673" s="885"/>
      <c r="F673" s="885"/>
      <c r="G673" s="885"/>
      <c r="H673" s="885"/>
      <c r="I673" s="885"/>
      <c r="J673" s="885"/>
      <c r="K673" s="885"/>
      <c r="L673" s="885"/>
      <c r="M673" s="885"/>
      <c r="N673" s="885"/>
      <c r="O673" s="885"/>
      <c r="P673" s="885"/>
      <c r="Q673" s="885"/>
      <c r="R673" s="885"/>
      <c r="S673" s="885"/>
      <c r="T673" s="885"/>
      <c r="U673" s="885"/>
      <c r="V673" s="885"/>
      <c r="W673" s="885"/>
      <c r="X673" s="885"/>
      <c r="Y673" s="885"/>
      <c r="Z673" s="885"/>
    </row>
    <row r="674" spans="1:26" ht="16.5" customHeight="1" x14ac:dyDescent="0.2">
      <c r="A674" s="885"/>
      <c r="B674" s="885"/>
      <c r="C674" s="885"/>
      <c r="D674" s="885"/>
      <c r="E674" s="885"/>
      <c r="F674" s="885"/>
      <c r="G674" s="885"/>
      <c r="H674" s="885"/>
      <c r="I674" s="885"/>
      <c r="J674" s="885"/>
      <c r="K674" s="885"/>
      <c r="L674" s="885"/>
      <c r="M674" s="885"/>
      <c r="N674" s="885"/>
      <c r="O674" s="885"/>
      <c r="P674" s="885"/>
      <c r="Q674" s="885"/>
      <c r="R674" s="885"/>
      <c r="S674" s="885"/>
      <c r="T674" s="885"/>
      <c r="U674" s="885"/>
      <c r="V674" s="885"/>
      <c r="W674" s="885"/>
      <c r="X674" s="885"/>
      <c r="Y674" s="885"/>
      <c r="Z674" s="885"/>
    </row>
    <row r="675" spans="1:26" ht="16.5" customHeight="1" x14ac:dyDescent="0.2">
      <c r="A675" s="885"/>
      <c r="B675" s="885"/>
      <c r="C675" s="885"/>
      <c r="D675" s="885"/>
      <c r="E675" s="885"/>
      <c r="F675" s="885"/>
      <c r="G675" s="885"/>
      <c r="H675" s="885"/>
      <c r="I675" s="885"/>
      <c r="J675" s="885"/>
      <c r="K675" s="885"/>
      <c r="L675" s="885"/>
      <c r="M675" s="885"/>
      <c r="N675" s="885"/>
      <c r="O675" s="885"/>
      <c r="P675" s="885"/>
      <c r="Q675" s="885"/>
      <c r="R675" s="885"/>
      <c r="S675" s="885"/>
      <c r="T675" s="885"/>
      <c r="U675" s="885"/>
      <c r="V675" s="885"/>
      <c r="W675" s="885"/>
      <c r="X675" s="885"/>
      <c r="Y675" s="885"/>
      <c r="Z675" s="885"/>
    </row>
    <row r="676" spans="1:26" ht="16.5" customHeight="1" x14ac:dyDescent="0.2">
      <c r="A676" s="885"/>
      <c r="B676" s="885"/>
      <c r="C676" s="885"/>
      <c r="D676" s="885"/>
      <c r="E676" s="885"/>
      <c r="F676" s="885"/>
      <c r="G676" s="885"/>
      <c r="H676" s="885"/>
      <c r="I676" s="885"/>
      <c r="J676" s="885"/>
      <c r="K676" s="885"/>
      <c r="L676" s="885"/>
      <c r="M676" s="885"/>
      <c r="N676" s="885"/>
      <c r="O676" s="885"/>
      <c r="P676" s="885"/>
      <c r="Q676" s="885"/>
      <c r="R676" s="885"/>
      <c r="S676" s="885"/>
      <c r="T676" s="885"/>
      <c r="U676" s="885"/>
      <c r="V676" s="885"/>
      <c r="W676" s="885"/>
      <c r="X676" s="885"/>
      <c r="Y676" s="885"/>
      <c r="Z676" s="885"/>
    </row>
    <row r="677" spans="1:26" ht="16.5" customHeight="1" x14ac:dyDescent="0.2">
      <c r="A677" s="885"/>
      <c r="B677" s="885"/>
      <c r="C677" s="885"/>
      <c r="D677" s="885"/>
      <c r="E677" s="885"/>
      <c r="F677" s="885"/>
      <c r="G677" s="885"/>
      <c r="H677" s="885"/>
      <c r="I677" s="885"/>
      <c r="J677" s="885"/>
      <c r="K677" s="885"/>
      <c r="L677" s="885"/>
      <c r="M677" s="885"/>
      <c r="N677" s="885"/>
      <c r="O677" s="885"/>
      <c r="P677" s="885"/>
      <c r="Q677" s="885"/>
      <c r="R677" s="885"/>
      <c r="S677" s="885"/>
      <c r="T677" s="885"/>
      <c r="U677" s="885"/>
      <c r="V677" s="885"/>
      <c r="W677" s="885"/>
      <c r="X677" s="885"/>
      <c r="Y677" s="885"/>
      <c r="Z677" s="885"/>
    </row>
    <row r="678" spans="1:26" ht="16.5" customHeight="1" x14ac:dyDescent="0.2">
      <c r="A678" s="885"/>
      <c r="B678" s="885"/>
      <c r="C678" s="885"/>
      <c r="D678" s="885"/>
      <c r="E678" s="885"/>
      <c r="F678" s="885"/>
      <c r="G678" s="885"/>
      <c r="H678" s="885"/>
      <c r="I678" s="885"/>
      <c r="J678" s="885"/>
      <c r="K678" s="885"/>
      <c r="L678" s="885"/>
      <c r="M678" s="885"/>
      <c r="N678" s="885"/>
      <c r="O678" s="885"/>
      <c r="P678" s="885"/>
      <c r="Q678" s="885"/>
      <c r="R678" s="885"/>
      <c r="S678" s="885"/>
      <c r="T678" s="885"/>
      <c r="U678" s="885"/>
      <c r="V678" s="885"/>
      <c r="W678" s="885"/>
      <c r="X678" s="885"/>
      <c r="Y678" s="885"/>
      <c r="Z678" s="885"/>
    </row>
    <row r="679" spans="1:26" ht="16.5" customHeight="1" x14ac:dyDescent="0.2">
      <c r="A679" s="885"/>
      <c r="B679" s="885"/>
      <c r="C679" s="885"/>
      <c r="D679" s="885"/>
      <c r="E679" s="885"/>
      <c r="F679" s="885"/>
      <c r="G679" s="885"/>
      <c r="H679" s="885"/>
      <c r="I679" s="885"/>
      <c r="J679" s="885"/>
      <c r="K679" s="885"/>
      <c r="L679" s="885"/>
      <c r="M679" s="885"/>
      <c r="N679" s="885"/>
      <c r="O679" s="885"/>
      <c r="P679" s="885"/>
      <c r="Q679" s="885"/>
      <c r="R679" s="885"/>
      <c r="S679" s="885"/>
      <c r="T679" s="885"/>
      <c r="U679" s="885"/>
      <c r="V679" s="885"/>
      <c r="W679" s="885"/>
      <c r="X679" s="885"/>
      <c r="Y679" s="885"/>
      <c r="Z679" s="885"/>
    </row>
    <row r="680" spans="1:26" ht="16.5" customHeight="1" x14ac:dyDescent="0.2">
      <c r="A680" s="885"/>
      <c r="B680" s="885"/>
      <c r="C680" s="885"/>
      <c r="D680" s="885"/>
      <c r="E680" s="885"/>
      <c r="F680" s="885"/>
      <c r="G680" s="885"/>
      <c r="H680" s="885"/>
      <c r="I680" s="885"/>
      <c r="J680" s="885"/>
      <c r="K680" s="885"/>
      <c r="L680" s="885"/>
      <c r="M680" s="885"/>
      <c r="N680" s="885"/>
      <c r="O680" s="885"/>
      <c r="P680" s="885"/>
      <c r="Q680" s="885"/>
      <c r="R680" s="885"/>
      <c r="S680" s="885"/>
      <c r="T680" s="885"/>
      <c r="U680" s="885"/>
      <c r="V680" s="885"/>
      <c r="W680" s="885"/>
      <c r="X680" s="885"/>
      <c r="Y680" s="885"/>
      <c r="Z680" s="885"/>
    </row>
    <row r="681" spans="1:26" ht="16.5" customHeight="1" x14ac:dyDescent="0.2">
      <c r="A681" s="885"/>
      <c r="B681" s="885"/>
      <c r="C681" s="885"/>
      <c r="D681" s="885"/>
      <c r="E681" s="885"/>
      <c r="F681" s="885"/>
      <c r="G681" s="885"/>
      <c r="H681" s="885"/>
      <c r="I681" s="885"/>
      <c r="J681" s="885"/>
      <c r="K681" s="885"/>
      <c r="L681" s="885"/>
      <c r="M681" s="885"/>
      <c r="N681" s="885"/>
      <c r="O681" s="885"/>
      <c r="P681" s="885"/>
      <c r="Q681" s="885"/>
      <c r="R681" s="885"/>
      <c r="S681" s="885"/>
      <c r="T681" s="885"/>
      <c r="U681" s="885"/>
      <c r="V681" s="885"/>
      <c r="W681" s="885"/>
      <c r="X681" s="885"/>
      <c r="Y681" s="885"/>
      <c r="Z681" s="885"/>
    </row>
    <row r="682" spans="1:26" ht="16.5" customHeight="1" x14ac:dyDescent="0.2">
      <c r="A682" s="885"/>
      <c r="B682" s="885"/>
      <c r="C682" s="885"/>
      <c r="D682" s="885"/>
      <c r="E682" s="885"/>
      <c r="F682" s="885"/>
      <c r="G682" s="885"/>
      <c r="H682" s="885"/>
      <c r="I682" s="885"/>
      <c r="J682" s="885"/>
      <c r="K682" s="885"/>
      <c r="L682" s="885"/>
      <c r="M682" s="885"/>
      <c r="N682" s="885"/>
      <c r="O682" s="885"/>
      <c r="P682" s="885"/>
      <c r="Q682" s="885"/>
      <c r="R682" s="885"/>
      <c r="S682" s="885"/>
      <c r="T682" s="885"/>
      <c r="U682" s="885"/>
      <c r="V682" s="885"/>
      <c r="W682" s="885"/>
      <c r="X682" s="885"/>
      <c r="Y682" s="885"/>
      <c r="Z682" s="885"/>
    </row>
    <row r="683" spans="1:26" ht="16.5" customHeight="1" x14ac:dyDescent="0.2">
      <c r="A683" s="885"/>
      <c r="B683" s="885"/>
      <c r="C683" s="885"/>
      <c r="D683" s="885"/>
      <c r="E683" s="885"/>
      <c r="F683" s="885"/>
      <c r="G683" s="885"/>
      <c r="H683" s="885"/>
      <c r="I683" s="885"/>
      <c r="J683" s="885"/>
      <c r="K683" s="885"/>
      <c r="L683" s="885"/>
      <c r="M683" s="885"/>
      <c r="N683" s="885"/>
      <c r="O683" s="885"/>
      <c r="P683" s="885"/>
      <c r="Q683" s="885"/>
      <c r="R683" s="885"/>
      <c r="S683" s="885"/>
      <c r="T683" s="885"/>
      <c r="U683" s="885"/>
      <c r="V683" s="885"/>
      <c r="W683" s="885"/>
      <c r="X683" s="885"/>
      <c r="Y683" s="885"/>
      <c r="Z683" s="885"/>
    </row>
    <row r="684" spans="1:26" ht="16.5" customHeight="1" x14ac:dyDescent="0.2">
      <c r="A684" s="885"/>
      <c r="B684" s="885"/>
      <c r="C684" s="885"/>
      <c r="D684" s="885"/>
      <c r="E684" s="885"/>
      <c r="F684" s="885"/>
      <c r="G684" s="885"/>
      <c r="H684" s="885"/>
      <c r="I684" s="885"/>
      <c r="J684" s="885"/>
      <c r="K684" s="885"/>
      <c r="L684" s="885"/>
      <c r="M684" s="885"/>
      <c r="N684" s="885"/>
      <c r="O684" s="885"/>
      <c r="P684" s="885"/>
      <c r="Q684" s="885"/>
      <c r="R684" s="885"/>
      <c r="S684" s="885"/>
      <c r="T684" s="885"/>
      <c r="U684" s="885"/>
      <c r="V684" s="885"/>
      <c r="W684" s="885"/>
      <c r="X684" s="885"/>
      <c r="Y684" s="885"/>
      <c r="Z684" s="885"/>
    </row>
    <row r="685" spans="1:26" ht="16.5" customHeight="1" x14ac:dyDescent="0.2">
      <c r="A685" s="885"/>
      <c r="B685" s="885"/>
      <c r="C685" s="885"/>
      <c r="D685" s="885"/>
      <c r="E685" s="885"/>
      <c r="F685" s="885"/>
      <c r="G685" s="885"/>
      <c r="H685" s="885"/>
      <c r="I685" s="885"/>
      <c r="J685" s="885"/>
      <c r="K685" s="885"/>
      <c r="L685" s="885"/>
      <c r="M685" s="885"/>
      <c r="N685" s="885"/>
      <c r="O685" s="885"/>
      <c r="P685" s="885"/>
      <c r="Q685" s="885"/>
      <c r="R685" s="885"/>
      <c r="S685" s="885"/>
      <c r="T685" s="885"/>
      <c r="U685" s="885"/>
      <c r="V685" s="885"/>
      <c r="W685" s="885"/>
      <c r="X685" s="885"/>
      <c r="Y685" s="885"/>
      <c r="Z685" s="885"/>
    </row>
    <row r="686" spans="1:26" ht="16.5" customHeight="1" x14ac:dyDescent="0.2">
      <c r="A686" s="885"/>
      <c r="B686" s="885"/>
      <c r="C686" s="885"/>
      <c r="D686" s="885"/>
      <c r="E686" s="885"/>
      <c r="F686" s="885"/>
      <c r="G686" s="885"/>
      <c r="H686" s="885"/>
      <c r="I686" s="885"/>
      <c r="J686" s="885"/>
      <c r="K686" s="885"/>
      <c r="L686" s="885"/>
      <c r="M686" s="885"/>
      <c r="N686" s="885"/>
      <c r="O686" s="885"/>
      <c r="P686" s="885"/>
      <c r="Q686" s="885"/>
      <c r="R686" s="885"/>
      <c r="S686" s="885"/>
      <c r="T686" s="885"/>
      <c r="U686" s="885"/>
      <c r="V686" s="885"/>
      <c r="W686" s="885"/>
      <c r="X686" s="885"/>
      <c r="Y686" s="885"/>
      <c r="Z686" s="885"/>
    </row>
    <row r="687" spans="1:26" ht="16.5" customHeight="1" x14ac:dyDescent="0.2">
      <c r="A687" s="885"/>
      <c r="B687" s="885"/>
      <c r="C687" s="885"/>
      <c r="D687" s="885"/>
      <c r="E687" s="885"/>
      <c r="F687" s="885"/>
      <c r="G687" s="885"/>
      <c r="H687" s="885"/>
      <c r="I687" s="885"/>
      <c r="J687" s="885"/>
      <c r="K687" s="885"/>
      <c r="L687" s="885"/>
      <c r="M687" s="885"/>
      <c r="N687" s="885"/>
      <c r="O687" s="885"/>
      <c r="P687" s="885"/>
      <c r="Q687" s="885"/>
      <c r="R687" s="885"/>
      <c r="S687" s="885"/>
      <c r="T687" s="885"/>
      <c r="U687" s="885"/>
      <c r="V687" s="885"/>
      <c r="W687" s="885"/>
      <c r="X687" s="885"/>
      <c r="Y687" s="885"/>
      <c r="Z687" s="885"/>
    </row>
    <row r="688" spans="1:26" ht="16.5" customHeight="1" x14ac:dyDescent="0.2">
      <c r="A688" s="885"/>
      <c r="B688" s="885"/>
      <c r="C688" s="885"/>
      <c r="D688" s="885"/>
      <c r="E688" s="885"/>
      <c r="F688" s="885"/>
      <c r="G688" s="885"/>
      <c r="H688" s="885"/>
      <c r="I688" s="885"/>
      <c r="J688" s="885"/>
      <c r="K688" s="885"/>
      <c r="L688" s="885"/>
      <c r="M688" s="885"/>
      <c r="N688" s="885"/>
      <c r="O688" s="885"/>
      <c r="P688" s="885"/>
      <c r="Q688" s="885"/>
      <c r="R688" s="885"/>
      <c r="S688" s="885"/>
      <c r="T688" s="885"/>
      <c r="U688" s="885"/>
      <c r="V688" s="885"/>
      <c r="W688" s="885"/>
      <c r="X688" s="885"/>
      <c r="Y688" s="885"/>
      <c r="Z688" s="885"/>
    </row>
    <row r="689" spans="1:26" ht="16.5" customHeight="1" x14ac:dyDescent="0.2">
      <c r="A689" s="885"/>
      <c r="B689" s="885"/>
      <c r="C689" s="885"/>
      <c r="D689" s="885"/>
      <c r="E689" s="885"/>
      <c r="F689" s="885"/>
      <c r="G689" s="885"/>
      <c r="H689" s="885"/>
      <c r="I689" s="885"/>
      <c r="J689" s="885"/>
      <c r="K689" s="885"/>
      <c r="L689" s="885"/>
      <c r="M689" s="885"/>
      <c r="N689" s="885"/>
      <c r="O689" s="885"/>
      <c r="P689" s="885"/>
      <c r="Q689" s="885"/>
      <c r="R689" s="885"/>
      <c r="S689" s="885"/>
      <c r="T689" s="885"/>
      <c r="U689" s="885"/>
      <c r="V689" s="885"/>
      <c r="W689" s="885"/>
      <c r="X689" s="885"/>
      <c r="Y689" s="885"/>
      <c r="Z689" s="885"/>
    </row>
    <row r="690" spans="1:26" ht="16.5" customHeight="1" x14ac:dyDescent="0.2">
      <c r="A690" s="885"/>
      <c r="B690" s="885"/>
      <c r="C690" s="885"/>
      <c r="D690" s="885"/>
      <c r="E690" s="885"/>
      <c r="F690" s="885"/>
      <c r="G690" s="885"/>
      <c r="H690" s="885"/>
      <c r="I690" s="885"/>
      <c r="J690" s="885"/>
      <c r="K690" s="885"/>
      <c r="L690" s="885"/>
      <c r="M690" s="885"/>
      <c r="N690" s="885"/>
      <c r="O690" s="885"/>
      <c r="P690" s="885"/>
      <c r="Q690" s="885"/>
      <c r="R690" s="885"/>
      <c r="S690" s="885"/>
      <c r="T690" s="885"/>
      <c r="U690" s="885"/>
      <c r="V690" s="885"/>
      <c r="W690" s="885"/>
      <c r="X690" s="885"/>
      <c r="Y690" s="885"/>
      <c r="Z690" s="885"/>
    </row>
    <row r="691" spans="1:26" ht="16.5" customHeight="1" x14ac:dyDescent="0.2">
      <c r="A691" s="885"/>
      <c r="B691" s="885"/>
      <c r="C691" s="885"/>
      <c r="D691" s="885"/>
      <c r="E691" s="885"/>
      <c r="F691" s="885"/>
      <c r="G691" s="885"/>
      <c r="H691" s="885"/>
      <c r="I691" s="885"/>
      <c r="J691" s="885"/>
      <c r="K691" s="885"/>
      <c r="L691" s="885"/>
      <c r="M691" s="885"/>
      <c r="N691" s="885"/>
      <c r="O691" s="885"/>
      <c r="P691" s="885"/>
      <c r="Q691" s="885"/>
      <c r="R691" s="885"/>
      <c r="S691" s="885"/>
      <c r="T691" s="885"/>
      <c r="U691" s="885"/>
      <c r="V691" s="885"/>
      <c r="W691" s="885"/>
      <c r="X691" s="885"/>
      <c r="Y691" s="885"/>
      <c r="Z691" s="885"/>
    </row>
    <row r="692" spans="1:26" ht="16.5" customHeight="1" x14ac:dyDescent="0.2">
      <c r="A692" s="885"/>
      <c r="B692" s="885"/>
      <c r="C692" s="885"/>
      <c r="D692" s="885"/>
      <c r="E692" s="885"/>
      <c r="F692" s="885"/>
      <c r="G692" s="885"/>
      <c r="H692" s="885"/>
      <c r="I692" s="885"/>
      <c r="J692" s="885"/>
      <c r="K692" s="885"/>
      <c r="L692" s="885"/>
      <c r="M692" s="885"/>
      <c r="N692" s="885"/>
      <c r="O692" s="885"/>
      <c r="P692" s="885"/>
      <c r="Q692" s="885"/>
      <c r="R692" s="885"/>
      <c r="S692" s="885"/>
      <c r="T692" s="885"/>
      <c r="U692" s="885"/>
      <c r="V692" s="885"/>
      <c r="W692" s="885"/>
      <c r="X692" s="885"/>
      <c r="Y692" s="885"/>
      <c r="Z692" s="885"/>
    </row>
    <row r="693" spans="1:26" ht="16.5" customHeight="1" x14ac:dyDescent="0.2">
      <c r="A693" s="885"/>
      <c r="B693" s="885"/>
      <c r="C693" s="885"/>
      <c r="D693" s="885"/>
      <c r="E693" s="885"/>
      <c r="F693" s="885"/>
      <c r="G693" s="885"/>
      <c r="H693" s="885"/>
      <c r="I693" s="885"/>
      <c r="J693" s="885"/>
      <c r="K693" s="885"/>
      <c r="L693" s="885"/>
      <c r="M693" s="885"/>
      <c r="N693" s="885"/>
      <c r="O693" s="885"/>
      <c r="P693" s="885"/>
      <c r="Q693" s="885"/>
      <c r="R693" s="885"/>
      <c r="S693" s="885"/>
      <c r="T693" s="885"/>
      <c r="U693" s="885"/>
      <c r="V693" s="885"/>
      <c r="W693" s="885"/>
      <c r="X693" s="885"/>
      <c r="Y693" s="885"/>
      <c r="Z693" s="885"/>
    </row>
    <row r="694" spans="1:26" ht="16.5" customHeight="1" x14ac:dyDescent="0.2">
      <c r="A694" s="885"/>
      <c r="B694" s="885"/>
      <c r="C694" s="885"/>
      <c r="D694" s="885"/>
      <c r="E694" s="885"/>
      <c r="F694" s="885"/>
      <c r="G694" s="885"/>
      <c r="H694" s="885"/>
      <c r="I694" s="885"/>
      <c r="J694" s="885"/>
      <c r="K694" s="885"/>
      <c r="L694" s="885"/>
      <c r="M694" s="885"/>
      <c r="N694" s="885"/>
      <c r="O694" s="885"/>
      <c r="P694" s="885"/>
      <c r="Q694" s="885"/>
      <c r="R694" s="885"/>
      <c r="S694" s="885"/>
      <c r="T694" s="885"/>
      <c r="U694" s="885"/>
      <c r="V694" s="885"/>
      <c r="W694" s="885"/>
      <c r="X694" s="885"/>
      <c r="Y694" s="885"/>
      <c r="Z694" s="885"/>
    </row>
    <row r="695" spans="1:26" ht="16.5" customHeight="1" x14ac:dyDescent="0.2">
      <c r="A695" s="885"/>
      <c r="B695" s="885"/>
      <c r="C695" s="885"/>
      <c r="D695" s="885"/>
      <c r="E695" s="885"/>
      <c r="F695" s="885"/>
      <c r="G695" s="885"/>
      <c r="H695" s="885"/>
      <c r="I695" s="885"/>
      <c r="J695" s="885"/>
      <c r="K695" s="885"/>
      <c r="L695" s="885"/>
      <c r="M695" s="885"/>
      <c r="N695" s="885"/>
      <c r="O695" s="885"/>
      <c r="P695" s="885"/>
      <c r="Q695" s="885"/>
      <c r="R695" s="885"/>
      <c r="S695" s="885"/>
      <c r="T695" s="885"/>
      <c r="U695" s="885"/>
      <c r="V695" s="885"/>
      <c r="W695" s="885"/>
      <c r="X695" s="885"/>
      <c r="Y695" s="885"/>
      <c r="Z695" s="885"/>
    </row>
    <row r="696" spans="1:26" ht="16.5" customHeight="1" x14ac:dyDescent="0.2">
      <c r="A696" s="885"/>
      <c r="B696" s="885"/>
      <c r="C696" s="885"/>
      <c r="D696" s="885"/>
      <c r="E696" s="885"/>
      <c r="F696" s="885"/>
      <c r="G696" s="885"/>
      <c r="H696" s="885"/>
      <c r="I696" s="885"/>
      <c r="J696" s="885"/>
      <c r="K696" s="885"/>
      <c r="L696" s="885"/>
      <c r="M696" s="885"/>
      <c r="N696" s="885"/>
      <c r="O696" s="885"/>
      <c r="P696" s="885"/>
      <c r="Q696" s="885"/>
      <c r="R696" s="885"/>
      <c r="S696" s="885"/>
      <c r="T696" s="885"/>
      <c r="U696" s="885"/>
      <c r="V696" s="885"/>
      <c r="W696" s="885"/>
      <c r="X696" s="885"/>
      <c r="Y696" s="885"/>
      <c r="Z696" s="885"/>
    </row>
    <row r="697" spans="1:26" ht="16.5" customHeight="1" x14ac:dyDescent="0.2">
      <c r="A697" s="885"/>
      <c r="B697" s="885"/>
      <c r="C697" s="885"/>
      <c r="D697" s="885"/>
      <c r="E697" s="885"/>
      <c r="F697" s="885"/>
      <c r="G697" s="885"/>
      <c r="H697" s="885"/>
      <c r="I697" s="885"/>
      <c r="J697" s="885"/>
      <c r="K697" s="885"/>
      <c r="L697" s="885"/>
      <c r="M697" s="885"/>
      <c r="N697" s="885"/>
      <c r="O697" s="885"/>
      <c r="P697" s="885"/>
      <c r="Q697" s="885"/>
      <c r="R697" s="885"/>
      <c r="S697" s="885"/>
      <c r="T697" s="885"/>
      <c r="U697" s="885"/>
      <c r="V697" s="885"/>
      <c r="W697" s="885"/>
      <c r="X697" s="885"/>
      <c r="Y697" s="885"/>
      <c r="Z697" s="885"/>
    </row>
    <row r="698" spans="1:26" ht="16.5" customHeight="1" x14ac:dyDescent="0.2">
      <c r="A698" s="885"/>
      <c r="B698" s="885"/>
      <c r="C698" s="885"/>
      <c r="D698" s="885"/>
      <c r="E698" s="885"/>
      <c r="F698" s="885"/>
      <c r="G698" s="885"/>
      <c r="H698" s="885"/>
      <c r="I698" s="885"/>
      <c r="J698" s="885"/>
      <c r="K698" s="885"/>
      <c r="L698" s="885"/>
      <c r="M698" s="885"/>
      <c r="N698" s="885"/>
      <c r="O698" s="885"/>
      <c r="P698" s="885"/>
      <c r="Q698" s="885"/>
      <c r="R698" s="885"/>
      <c r="S698" s="885"/>
      <c r="T698" s="885"/>
      <c r="U698" s="885"/>
      <c r="V698" s="885"/>
      <c r="W698" s="885"/>
      <c r="X698" s="885"/>
      <c r="Y698" s="885"/>
      <c r="Z698" s="885"/>
    </row>
    <row r="699" spans="1:26" ht="16.5" customHeight="1" x14ac:dyDescent="0.2">
      <c r="A699" s="885"/>
      <c r="B699" s="885"/>
      <c r="C699" s="885"/>
      <c r="D699" s="885"/>
      <c r="E699" s="885"/>
      <c r="F699" s="885"/>
      <c r="G699" s="885"/>
      <c r="H699" s="885"/>
      <c r="I699" s="885"/>
      <c r="J699" s="885"/>
      <c r="K699" s="885"/>
      <c r="L699" s="885"/>
      <c r="M699" s="885"/>
      <c r="N699" s="885"/>
      <c r="O699" s="885"/>
      <c r="P699" s="885"/>
      <c r="Q699" s="885"/>
      <c r="R699" s="885"/>
      <c r="S699" s="885"/>
      <c r="T699" s="885"/>
      <c r="U699" s="885"/>
      <c r="V699" s="885"/>
      <c r="W699" s="885"/>
      <c r="X699" s="885"/>
      <c r="Y699" s="885"/>
      <c r="Z699" s="885"/>
    </row>
    <row r="700" spans="1:26" ht="16.5" customHeight="1" x14ac:dyDescent="0.2">
      <c r="A700" s="885"/>
      <c r="B700" s="885"/>
      <c r="C700" s="885"/>
      <c r="D700" s="885"/>
      <c r="E700" s="885"/>
      <c r="F700" s="885"/>
      <c r="G700" s="885"/>
      <c r="H700" s="885"/>
      <c r="I700" s="885"/>
      <c r="J700" s="885"/>
      <c r="K700" s="885"/>
      <c r="L700" s="885"/>
      <c r="M700" s="885"/>
      <c r="N700" s="885"/>
      <c r="O700" s="885"/>
      <c r="P700" s="885"/>
      <c r="Q700" s="885"/>
      <c r="R700" s="885"/>
      <c r="S700" s="885"/>
      <c r="T700" s="885"/>
      <c r="U700" s="885"/>
      <c r="V700" s="885"/>
      <c r="W700" s="885"/>
      <c r="X700" s="885"/>
      <c r="Y700" s="885"/>
      <c r="Z700" s="885"/>
    </row>
    <row r="701" spans="1:26" ht="16.5" customHeight="1" x14ac:dyDescent="0.2">
      <c r="A701" s="885"/>
      <c r="B701" s="885"/>
      <c r="C701" s="885"/>
      <c r="D701" s="885"/>
      <c r="E701" s="885"/>
      <c r="F701" s="885"/>
      <c r="G701" s="885"/>
      <c r="H701" s="885"/>
      <c r="I701" s="885"/>
      <c r="J701" s="885"/>
      <c r="K701" s="885"/>
      <c r="L701" s="885"/>
      <c r="M701" s="885"/>
      <c r="N701" s="885"/>
      <c r="O701" s="885"/>
      <c r="P701" s="885"/>
      <c r="Q701" s="885"/>
      <c r="R701" s="885"/>
      <c r="S701" s="885"/>
      <c r="T701" s="885"/>
      <c r="U701" s="885"/>
      <c r="V701" s="885"/>
      <c r="W701" s="885"/>
      <c r="X701" s="885"/>
      <c r="Y701" s="885"/>
      <c r="Z701" s="885"/>
    </row>
    <row r="702" spans="1:26" ht="16.5" customHeight="1" x14ac:dyDescent="0.2">
      <c r="A702" s="885"/>
      <c r="B702" s="885"/>
      <c r="C702" s="885"/>
      <c r="D702" s="885"/>
      <c r="E702" s="885"/>
      <c r="F702" s="885"/>
      <c r="G702" s="885"/>
      <c r="H702" s="885"/>
      <c r="I702" s="885"/>
      <c r="J702" s="885"/>
      <c r="K702" s="885"/>
      <c r="L702" s="885"/>
      <c r="M702" s="885"/>
      <c r="N702" s="885"/>
      <c r="O702" s="885"/>
      <c r="P702" s="885"/>
      <c r="Q702" s="885"/>
      <c r="R702" s="885"/>
      <c r="S702" s="885"/>
      <c r="T702" s="885"/>
      <c r="U702" s="885"/>
      <c r="V702" s="885"/>
      <c r="W702" s="885"/>
      <c r="X702" s="885"/>
      <c r="Y702" s="885"/>
      <c r="Z702" s="885"/>
    </row>
    <row r="703" spans="1:26" ht="16.5" customHeight="1" x14ac:dyDescent="0.2">
      <c r="A703" s="885"/>
      <c r="B703" s="885"/>
      <c r="C703" s="885"/>
      <c r="D703" s="885"/>
      <c r="E703" s="885"/>
      <c r="F703" s="885"/>
      <c r="G703" s="885"/>
      <c r="H703" s="885"/>
      <c r="I703" s="885"/>
      <c r="J703" s="885"/>
      <c r="K703" s="885"/>
      <c r="L703" s="885"/>
      <c r="M703" s="885"/>
      <c r="N703" s="885"/>
      <c r="O703" s="885"/>
      <c r="P703" s="885"/>
      <c r="Q703" s="885"/>
      <c r="R703" s="885"/>
      <c r="S703" s="885"/>
      <c r="T703" s="885"/>
      <c r="U703" s="885"/>
      <c r="V703" s="885"/>
      <c r="W703" s="885"/>
      <c r="X703" s="885"/>
      <c r="Y703" s="885"/>
      <c r="Z703" s="885"/>
    </row>
    <row r="704" spans="1:26" ht="16.5" customHeight="1" x14ac:dyDescent="0.2">
      <c r="A704" s="885"/>
      <c r="B704" s="885"/>
      <c r="C704" s="885"/>
      <c r="D704" s="885"/>
      <c r="E704" s="885"/>
      <c r="F704" s="885"/>
      <c r="G704" s="885"/>
      <c r="H704" s="885"/>
      <c r="I704" s="885"/>
      <c r="J704" s="885"/>
      <c r="K704" s="885"/>
      <c r="L704" s="885"/>
      <c r="M704" s="885"/>
      <c r="N704" s="885"/>
      <c r="O704" s="885"/>
      <c r="P704" s="885"/>
      <c r="Q704" s="885"/>
      <c r="R704" s="885"/>
      <c r="S704" s="885"/>
      <c r="T704" s="885"/>
      <c r="U704" s="885"/>
      <c r="V704" s="885"/>
      <c r="W704" s="885"/>
      <c r="X704" s="885"/>
      <c r="Y704" s="885"/>
      <c r="Z704" s="885"/>
    </row>
    <row r="705" spans="1:26" ht="16.5" customHeight="1" x14ac:dyDescent="0.2">
      <c r="A705" s="885"/>
      <c r="B705" s="885"/>
      <c r="C705" s="885"/>
      <c r="D705" s="885"/>
      <c r="E705" s="885"/>
      <c r="F705" s="885"/>
      <c r="G705" s="885"/>
      <c r="H705" s="885"/>
      <c r="I705" s="885"/>
      <c r="J705" s="885"/>
      <c r="K705" s="885"/>
      <c r="L705" s="885"/>
      <c r="M705" s="885"/>
      <c r="N705" s="885"/>
      <c r="O705" s="885"/>
      <c r="P705" s="885"/>
      <c r="Q705" s="885"/>
      <c r="R705" s="885"/>
      <c r="S705" s="885"/>
      <c r="T705" s="885"/>
      <c r="U705" s="885"/>
      <c r="V705" s="885"/>
      <c r="W705" s="885"/>
      <c r="X705" s="885"/>
      <c r="Y705" s="885"/>
      <c r="Z705" s="885"/>
    </row>
    <row r="706" spans="1:26" ht="16.5" customHeight="1" x14ac:dyDescent="0.2">
      <c r="A706" s="885"/>
      <c r="B706" s="885"/>
      <c r="C706" s="885"/>
      <c r="D706" s="885"/>
      <c r="E706" s="885"/>
      <c r="F706" s="885"/>
      <c r="G706" s="885"/>
      <c r="H706" s="885"/>
      <c r="I706" s="885"/>
      <c r="J706" s="885"/>
      <c r="K706" s="885"/>
      <c r="L706" s="885"/>
      <c r="M706" s="885"/>
      <c r="N706" s="885"/>
      <c r="O706" s="885"/>
      <c r="P706" s="885"/>
      <c r="Q706" s="885"/>
      <c r="R706" s="885"/>
      <c r="S706" s="885"/>
      <c r="T706" s="885"/>
      <c r="U706" s="885"/>
      <c r="V706" s="885"/>
      <c r="W706" s="885"/>
      <c r="X706" s="885"/>
      <c r="Y706" s="885"/>
      <c r="Z706" s="885"/>
    </row>
    <row r="707" spans="1:26" ht="16.5" customHeight="1" x14ac:dyDescent="0.2">
      <c r="A707" s="885"/>
      <c r="B707" s="885"/>
      <c r="C707" s="885"/>
      <c r="D707" s="885"/>
      <c r="E707" s="885"/>
      <c r="F707" s="885"/>
      <c r="G707" s="885"/>
      <c r="H707" s="885"/>
      <c r="I707" s="885"/>
      <c r="J707" s="885"/>
      <c r="K707" s="885"/>
      <c r="L707" s="885"/>
      <c r="M707" s="885"/>
      <c r="N707" s="885"/>
      <c r="O707" s="885"/>
      <c r="P707" s="885"/>
      <c r="Q707" s="885"/>
      <c r="R707" s="885"/>
      <c r="S707" s="885"/>
      <c r="T707" s="885"/>
      <c r="U707" s="885"/>
      <c r="V707" s="885"/>
      <c r="W707" s="885"/>
      <c r="X707" s="885"/>
      <c r="Y707" s="885"/>
      <c r="Z707" s="885"/>
    </row>
    <row r="708" spans="1:26" ht="16.5" customHeight="1" x14ac:dyDescent="0.2">
      <c r="A708" s="885"/>
      <c r="B708" s="885"/>
      <c r="C708" s="885"/>
      <c r="D708" s="885"/>
      <c r="E708" s="885"/>
      <c r="F708" s="885"/>
      <c r="G708" s="885"/>
      <c r="H708" s="885"/>
      <c r="I708" s="885"/>
      <c r="J708" s="885"/>
      <c r="K708" s="885"/>
      <c r="L708" s="885"/>
      <c r="M708" s="885"/>
      <c r="N708" s="885"/>
      <c r="O708" s="885"/>
      <c r="P708" s="885"/>
      <c r="Q708" s="885"/>
      <c r="R708" s="885"/>
      <c r="S708" s="885"/>
      <c r="T708" s="885"/>
      <c r="U708" s="885"/>
      <c r="V708" s="885"/>
      <c r="W708" s="885"/>
      <c r="X708" s="885"/>
      <c r="Y708" s="885"/>
      <c r="Z708" s="885"/>
    </row>
    <row r="709" spans="1:26" ht="16.5" customHeight="1" x14ac:dyDescent="0.2">
      <c r="A709" s="885"/>
      <c r="B709" s="885"/>
      <c r="C709" s="885"/>
      <c r="D709" s="885"/>
      <c r="E709" s="885"/>
      <c r="F709" s="885"/>
      <c r="G709" s="885"/>
      <c r="H709" s="885"/>
      <c r="I709" s="885"/>
      <c r="J709" s="885"/>
      <c r="K709" s="885"/>
      <c r="L709" s="885"/>
      <c r="M709" s="885"/>
      <c r="N709" s="885"/>
      <c r="O709" s="885"/>
      <c r="P709" s="885"/>
      <c r="Q709" s="885"/>
      <c r="R709" s="885"/>
      <c r="S709" s="885"/>
      <c r="T709" s="885"/>
      <c r="U709" s="885"/>
      <c r="V709" s="885"/>
      <c r="W709" s="885"/>
      <c r="X709" s="885"/>
      <c r="Y709" s="885"/>
      <c r="Z709" s="885"/>
    </row>
    <row r="710" spans="1:26" ht="16.5" customHeight="1" x14ac:dyDescent="0.2">
      <c r="A710" s="885"/>
      <c r="B710" s="885"/>
      <c r="C710" s="885"/>
      <c r="D710" s="885"/>
      <c r="E710" s="885"/>
      <c r="F710" s="885"/>
      <c r="G710" s="885"/>
      <c r="H710" s="885"/>
      <c r="I710" s="885"/>
      <c r="J710" s="885"/>
      <c r="K710" s="885"/>
      <c r="L710" s="885"/>
      <c r="M710" s="885"/>
      <c r="N710" s="885"/>
      <c r="O710" s="885"/>
      <c r="P710" s="885"/>
      <c r="Q710" s="885"/>
      <c r="R710" s="885"/>
      <c r="S710" s="885"/>
      <c r="T710" s="885"/>
      <c r="U710" s="885"/>
      <c r="V710" s="885"/>
      <c r="W710" s="885"/>
      <c r="X710" s="885"/>
      <c r="Y710" s="885"/>
      <c r="Z710" s="885"/>
    </row>
    <row r="711" spans="1:26" ht="16.5" customHeight="1" x14ac:dyDescent="0.2">
      <c r="A711" s="885"/>
      <c r="B711" s="885"/>
      <c r="C711" s="885"/>
      <c r="D711" s="885"/>
      <c r="E711" s="885"/>
      <c r="F711" s="885"/>
      <c r="G711" s="885"/>
      <c r="H711" s="885"/>
      <c r="I711" s="885"/>
      <c r="J711" s="885"/>
      <c r="K711" s="885"/>
      <c r="L711" s="885"/>
      <c r="M711" s="885"/>
      <c r="N711" s="885"/>
      <c r="O711" s="885"/>
      <c r="P711" s="885"/>
      <c r="Q711" s="885"/>
      <c r="R711" s="885"/>
      <c r="S711" s="885"/>
      <c r="T711" s="885"/>
      <c r="U711" s="885"/>
      <c r="V711" s="885"/>
      <c r="W711" s="885"/>
      <c r="X711" s="885"/>
      <c r="Y711" s="885"/>
      <c r="Z711" s="885"/>
    </row>
    <row r="712" spans="1:26" ht="16.5" customHeight="1" x14ac:dyDescent="0.2">
      <c r="A712" s="885"/>
      <c r="B712" s="885"/>
      <c r="C712" s="885"/>
      <c r="D712" s="885"/>
      <c r="E712" s="885"/>
      <c r="F712" s="885"/>
      <c r="G712" s="885"/>
      <c r="H712" s="885"/>
      <c r="I712" s="885"/>
      <c r="J712" s="885"/>
      <c r="K712" s="885"/>
      <c r="L712" s="885"/>
      <c r="M712" s="885"/>
      <c r="N712" s="885"/>
      <c r="O712" s="885"/>
      <c r="P712" s="885"/>
      <c r="Q712" s="885"/>
      <c r="R712" s="885"/>
      <c r="S712" s="885"/>
      <c r="T712" s="885"/>
      <c r="U712" s="885"/>
      <c r="V712" s="885"/>
      <c r="W712" s="885"/>
      <c r="X712" s="885"/>
      <c r="Y712" s="885"/>
      <c r="Z712" s="885"/>
    </row>
    <row r="713" spans="1:26" ht="16.5" customHeight="1" x14ac:dyDescent="0.2">
      <c r="A713" s="885"/>
      <c r="B713" s="885"/>
      <c r="C713" s="885"/>
      <c r="D713" s="885"/>
      <c r="E713" s="885"/>
      <c r="F713" s="885"/>
      <c r="G713" s="885"/>
      <c r="H713" s="885"/>
      <c r="I713" s="885"/>
      <c r="J713" s="885"/>
      <c r="K713" s="885"/>
      <c r="L713" s="885"/>
      <c r="M713" s="885"/>
      <c r="N713" s="885"/>
      <c r="O713" s="885"/>
      <c r="P713" s="885"/>
      <c r="Q713" s="885"/>
      <c r="R713" s="885"/>
      <c r="S713" s="885"/>
      <c r="T713" s="885"/>
      <c r="U713" s="885"/>
      <c r="V713" s="885"/>
      <c r="W713" s="885"/>
      <c r="X713" s="885"/>
      <c r="Y713" s="885"/>
      <c r="Z713" s="885"/>
    </row>
    <row r="714" spans="1:26" ht="16.5" customHeight="1" x14ac:dyDescent="0.2">
      <c r="A714" s="885"/>
      <c r="B714" s="885"/>
      <c r="C714" s="885"/>
      <c r="D714" s="885"/>
      <c r="E714" s="885"/>
      <c r="F714" s="885"/>
      <c r="G714" s="885"/>
      <c r="H714" s="885"/>
      <c r="I714" s="885"/>
      <c r="J714" s="885"/>
      <c r="K714" s="885"/>
      <c r="L714" s="885"/>
      <c r="M714" s="885"/>
      <c r="N714" s="885"/>
      <c r="O714" s="885"/>
      <c r="P714" s="885"/>
      <c r="Q714" s="885"/>
      <c r="R714" s="885"/>
      <c r="S714" s="885"/>
      <c r="T714" s="885"/>
      <c r="U714" s="885"/>
      <c r="V714" s="885"/>
      <c r="W714" s="885"/>
      <c r="X714" s="885"/>
      <c r="Y714" s="885"/>
      <c r="Z714" s="885"/>
    </row>
    <row r="715" spans="1:26" ht="16.5" customHeight="1" x14ac:dyDescent="0.2">
      <c r="A715" s="885"/>
      <c r="B715" s="885"/>
      <c r="C715" s="885"/>
      <c r="D715" s="885"/>
      <c r="E715" s="885"/>
      <c r="F715" s="885"/>
      <c r="G715" s="885"/>
      <c r="H715" s="885"/>
      <c r="I715" s="885"/>
      <c r="J715" s="885"/>
      <c r="K715" s="885"/>
      <c r="L715" s="885"/>
      <c r="M715" s="885"/>
      <c r="N715" s="885"/>
      <c r="O715" s="885"/>
      <c r="P715" s="885"/>
      <c r="Q715" s="885"/>
      <c r="R715" s="885"/>
      <c r="S715" s="885"/>
      <c r="T715" s="885"/>
      <c r="U715" s="885"/>
      <c r="V715" s="885"/>
      <c r="W715" s="885"/>
      <c r="X715" s="885"/>
      <c r="Y715" s="885"/>
      <c r="Z715" s="885"/>
    </row>
    <row r="716" spans="1:26" ht="16.5" customHeight="1" x14ac:dyDescent="0.2">
      <c r="A716" s="885"/>
      <c r="B716" s="885"/>
      <c r="C716" s="885"/>
      <c r="D716" s="885"/>
      <c r="E716" s="885"/>
      <c r="F716" s="885"/>
      <c r="G716" s="885"/>
      <c r="H716" s="885"/>
      <c r="I716" s="885"/>
      <c r="J716" s="885"/>
      <c r="K716" s="885"/>
      <c r="L716" s="885"/>
      <c r="M716" s="885"/>
      <c r="N716" s="885"/>
      <c r="O716" s="885"/>
      <c r="P716" s="885"/>
      <c r="Q716" s="885"/>
      <c r="R716" s="885"/>
      <c r="S716" s="885"/>
      <c r="T716" s="885"/>
      <c r="U716" s="885"/>
      <c r="V716" s="885"/>
      <c r="W716" s="885"/>
      <c r="X716" s="885"/>
      <c r="Y716" s="885"/>
      <c r="Z716" s="885"/>
    </row>
    <row r="717" spans="1:26" ht="16.5" customHeight="1" x14ac:dyDescent="0.2">
      <c r="A717" s="885"/>
      <c r="B717" s="885"/>
      <c r="C717" s="885"/>
      <c r="D717" s="885"/>
      <c r="E717" s="885"/>
      <c r="F717" s="885"/>
      <c r="G717" s="885"/>
      <c r="H717" s="885"/>
      <c r="I717" s="885"/>
      <c r="J717" s="885"/>
      <c r="K717" s="885"/>
      <c r="L717" s="885"/>
      <c r="M717" s="885"/>
      <c r="N717" s="885"/>
      <c r="O717" s="885"/>
      <c r="P717" s="885"/>
      <c r="Q717" s="885"/>
      <c r="R717" s="885"/>
      <c r="S717" s="885"/>
      <c r="T717" s="885"/>
      <c r="U717" s="885"/>
      <c r="V717" s="885"/>
      <c r="W717" s="885"/>
      <c r="X717" s="885"/>
      <c r="Y717" s="885"/>
      <c r="Z717" s="885"/>
    </row>
    <row r="718" spans="1:26" ht="16.5" customHeight="1" x14ac:dyDescent="0.2">
      <c r="A718" s="885"/>
      <c r="B718" s="885"/>
      <c r="C718" s="885"/>
      <c r="D718" s="885"/>
      <c r="E718" s="885"/>
      <c r="F718" s="885"/>
      <c r="G718" s="885"/>
      <c r="H718" s="885"/>
      <c r="I718" s="885"/>
      <c r="J718" s="885"/>
      <c r="K718" s="885"/>
      <c r="L718" s="885"/>
      <c r="M718" s="885"/>
      <c r="N718" s="885"/>
      <c r="O718" s="885"/>
      <c r="P718" s="885"/>
      <c r="Q718" s="885"/>
      <c r="R718" s="885"/>
      <c r="S718" s="885"/>
      <c r="T718" s="885"/>
      <c r="U718" s="885"/>
      <c r="V718" s="885"/>
      <c r="W718" s="885"/>
      <c r="X718" s="885"/>
      <c r="Y718" s="885"/>
      <c r="Z718" s="885"/>
    </row>
    <row r="719" spans="1:26" ht="16.5" customHeight="1" x14ac:dyDescent="0.2">
      <c r="A719" s="885"/>
      <c r="B719" s="885"/>
      <c r="C719" s="885"/>
      <c r="D719" s="885"/>
      <c r="E719" s="885"/>
      <c r="F719" s="885"/>
      <c r="G719" s="885"/>
      <c r="H719" s="885"/>
      <c r="I719" s="885"/>
      <c r="J719" s="885"/>
      <c r="K719" s="885"/>
      <c r="L719" s="885"/>
      <c r="M719" s="885"/>
      <c r="N719" s="885"/>
      <c r="O719" s="885"/>
      <c r="P719" s="885"/>
      <c r="Q719" s="885"/>
      <c r="R719" s="885"/>
      <c r="S719" s="885"/>
      <c r="T719" s="885"/>
      <c r="U719" s="885"/>
      <c r="V719" s="885"/>
      <c r="W719" s="885"/>
      <c r="X719" s="885"/>
      <c r="Y719" s="885"/>
      <c r="Z719" s="885"/>
    </row>
    <row r="720" spans="1:26" ht="16.5" customHeight="1" x14ac:dyDescent="0.2">
      <c r="A720" s="885"/>
      <c r="B720" s="885"/>
      <c r="C720" s="885"/>
      <c r="D720" s="885"/>
      <c r="E720" s="885"/>
      <c r="F720" s="885"/>
      <c r="G720" s="885"/>
      <c r="H720" s="885"/>
      <c r="I720" s="885"/>
      <c r="J720" s="885"/>
      <c r="K720" s="885"/>
      <c r="L720" s="885"/>
      <c r="M720" s="885"/>
      <c r="N720" s="885"/>
      <c r="O720" s="885"/>
      <c r="P720" s="885"/>
      <c r="Q720" s="885"/>
      <c r="R720" s="885"/>
      <c r="S720" s="885"/>
      <c r="T720" s="885"/>
      <c r="U720" s="885"/>
      <c r="V720" s="885"/>
      <c r="W720" s="885"/>
      <c r="X720" s="885"/>
      <c r="Y720" s="885"/>
      <c r="Z720" s="885"/>
    </row>
    <row r="721" spans="1:26" ht="16.5" customHeight="1" x14ac:dyDescent="0.2">
      <c r="A721" s="885"/>
      <c r="B721" s="885"/>
      <c r="C721" s="885"/>
      <c r="D721" s="885"/>
      <c r="E721" s="885"/>
      <c r="F721" s="885"/>
      <c r="G721" s="885"/>
      <c r="H721" s="885"/>
      <c r="I721" s="885"/>
      <c r="J721" s="885"/>
      <c r="K721" s="885"/>
      <c r="L721" s="885"/>
      <c r="M721" s="885"/>
      <c r="N721" s="885"/>
      <c r="O721" s="885"/>
      <c r="P721" s="885"/>
      <c r="Q721" s="885"/>
      <c r="R721" s="885"/>
      <c r="S721" s="885"/>
      <c r="T721" s="885"/>
      <c r="U721" s="885"/>
      <c r="V721" s="885"/>
      <c r="W721" s="885"/>
      <c r="X721" s="885"/>
      <c r="Y721" s="885"/>
      <c r="Z721" s="885"/>
    </row>
    <row r="722" spans="1:26" ht="16.5" customHeight="1" x14ac:dyDescent="0.2">
      <c r="A722" s="885"/>
      <c r="B722" s="885"/>
      <c r="C722" s="885"/>
      <c r="D722" s="885"/>
      <c r="E722" s="885"/>
      <c r="F722" s="885"/>
      <c r="G722" s="885"/>
      <c r="H722" s="885"/>
      <c r="I722" s="885"/>
      <c r="J722" s="885"/>
      <c r="K722" s="885"/>
      <c r="L722" s="885"/>
      <c r="M722" s="885"/>
      <c r="N722" s="885"/>
      <c r="O722" s="885"/>
      <c r="P722" s="885"/>
      <c r="Q722" s="885"/>
      <c r="R722" s="885"/>
      <c r="S722" s="885"/>
      <c r="T722" s="885"/>
      <c r="U722" s="885"/>
      <c r="V722" s="885"/>
      <c r="W722" s="885"/>
      <c r="X722" s="885"/>
      <c r="Y722" s="885"/>
      <c r="Z722" s="885"/>
    </row>
    <row r="723" spans="1:26" ht="16.5" customHeight="1" x14ac:dyDescent="0.2">
      <c r="A723" s="885"/>
      <c r="B723" s="885"/>
      <c r="C723" s="885"/>
      <c r="D723" s="885"/>
      <c r="E723" s="885"/>
      <c r="F723" s="885"/>
      <c r="G723" s="885"/>
      <c r="H723" s="885"/>
      <c r="I723" s="885"/>
      <c r="J723" s="885"/>
      <c r="K723" s="885"/>
      <c r="L723" s="885"/>
      <c r="M723" s="885"/>
      <c r="N723" s="885"/>
      <c r="O723" s="885"/>
      <c r="P723" s="885"/>
      <c r="Q723" s="885"/>
      <c r="R723" s="885"/>
      <c r="S723" s="885"/>
      <c r="T723" s="885"/>
      <c r="U723" s="885"/>
      <c r="V723" s="885"/>
      <c r="W723" s="885"/>
      <c r="X723" s="885"/>
      <c r="Y723" s="885"/>
      <c r="Z723" s="885"/>
    </row>
    <row r="724" spans="1:26" ht="16.5" customHeight="1" x14ac:dyDescent="0.2">
      <c r="A724" s="885"/>
      <c r="B724" s="885"/>
      <c r="C724" s="885"/>
      <c r="D724" s="885"/>
      <c r="E724" s="885"/>
      <c r="F724" s="885"/>
      <c r="G724" s="885"/>
      <c r="H724" s="885"/>
      <c r="I724" s="885"/>
      <c r="J724" s="885"/>
      <c r="K724" s="885"/>
      <c r="L724" s="885"/>
      <c r="M724" s="885"/>
      <c r="N724" s="885"/>
      <c r="O724" s="885"/>
      <c r="P724" s="885"/>
      <c r="Q724" s="885"/>
      <c r="R724" s="885"/>
      <c r="S724" s="885"/>
      <c r="T724" s="885"/>
      <c r="U724" s="885"/>
      <c r="V724" s="885"/>
      <c r="W724" s="885"/>
      <c r="X724" s="885"/>
      <c r="Y724" s="885"/>
      <c r="Z724" s="885"/>
    </row>
    <row r="725" spans="1:26" ht="16.5" customHeight="1" x14ac:dyDescent="0.2">
      <c r="A725" s="885"/>
      <c r="B725" s="885"/>
      <c r="C725" s="885"/>
      <c r="D725" s="885"/>
      <c r="E725" s="885"/>
      <c r="F725" s="885"/>
      <c r="G725" s="885"/>
      <c r="H725" s="885"/>
      <c r="I725" s="885"/>
      <c r="J725" s="885"/>
      <c r="K725" s="885"/>
      <c r="L725" s="885"/>
      <c r="M725" s="885"/>
      <c r="N725" s="885"/>
      <c r="O725" s="885"/>
      <c r="P725" s="885"/>
      <c r="Q725" s="885"/>
      <c r="R725" s="885"/>
      <c r="S725" s="885"/>
      <c r="T725" s="885"/>
      <c r="U725" s="885"/>
      <c r="V725" s="885"/>
      <c r="W725" s="885"/>
      <c r="X725" s="885"/>
      <c r="Y725" s="885"/>
      <c r="Z725" s="885"/>
    </row>
    <row r="726" spans="1:26" ht="16.5" customHeight="1" x14ac:dyDescent="0.2">
      <c r="A726" s="885"/>
      <c r="B726" s="885"/>
      <c r="C726" s="885"/>
      <c r="D726" s="885"/>
      <c r="E726" s="885"/>
      <c r="F726" s="885"/>
      <c r="G726" s="885"/>
      <c r="H726" s="885"/>
      <c r="I726" s="885"/>
      <c r="J726" s="885"/>
      <c r="K726" s="885"/>
      <c r="L726" s="885"/>
      <c r="M726" s="885"/>
      <c r="N726" s="885"/>
      <c r="O726" s="885"/>
      <c r="P726" s="885"/>
      <c r="Q726" s="885"/>
      <c r="R726" s="885"/>
      <c r="S726" s="885"/>
      <c r="T726" s="885"/>
      <c r="U726" s="885"/>
      <c r="V726" s="885"/>
      <c r="W726" s="885"/>
      <c r="X726" s="885"/>
      <c r="Y726" s="885"/>
      <c r="Z726" s="885"/>
    </row>
    <row r="727" spans="1:26" ht="16.5" customHeight="1" x14ac:dyDescent="0.2">
      <c r="A727" s="885"/>
      <c r="B727" s="885"/>
      <c r="C727" s="885"/>
      <c r="D727" s="885"/>
      <c r="E727" s="885"/>
      <c r="F727" s="885"/>
      <c r="G727" s="885"/>
      <c r="H727" s="885"/>
      <c r="I727" s="885"/>
      <c r="J727" s="885"/>
      <c r="K727" s="885"/>
      <c r="L727" s="885"/>
      <c r="M727" s="885"/>
      <c r="N727" s="885"/>
      <c r="O727" s="885"/>
      <c r="P727" s="885"/>
      <c r="Q727" s="885"/>
      <c r="R727" s="885"/>
      <c r="S727" s="885"/>
      <c r="T727" s="885"/>
      <c r="U727" s="885"/>
      <c r="V727" s="885"/>
      <c r="W727" s="885"/>
      <c r="X727" s="885"/>
      <c r="Y727" s="885"/>
      <c r="Z727" s="885"/>
    </row>
    <row r="728" spans="1:26" ht="16.5" customHeight="1" x14ac:dyDescent="0.2">
      <c r="A728" s="885"/>
      <c r="B728" s="885"/>
      <c r="C728" s="885"/>
      <c r="D728" s="885"/>
      <c r="E728" s="885"/>
      <c r="F728" s="885"/>
      <c r="G728" s="885"/>
      <c r="H728" s="885"/>
      <c r="I728" s="885"/>
      <c r="J728" s="885"/>
      <c r="K728" s="885"/>
      <c r="L728" s="885"/>
      <c r="M728" s="885"/>
      <c r="N728" s="885"/>
      <c r="O728" s="885"/>
      <c r="P728" s="885"/>
      <c r="Q728" s="885"/>
      <c r="R728" s="885"/>
      <c r="S728" s="885"/>
      <c r="T728" s="885"/>
      <c r="U728" s="885"/>
      <c r="V728" s="885"/>
      <c r="W728" s="885"/>
      <c r="X728" s="885"/>
      <c r="Y728" s="885"/>
      <c r="Z728" s="885"/>
    </row>
    <row r="729" spans="1:26" ht="16.5" customHeight="1" x14ac:dyDescent="0.2">
      <c r="A729" s="885"/>
      <c r="B729" s="885"/>
      <c r="C729" s="885"/>
      <c r="D729" s="885"/>
      <c r="E729" s="885"/>
      <c r="F729" s="885"/>
      <c r="G729" s="885"/>
      <c r="H729" s="885"/>
      <c r="I729" s="885"/>
      <c r="J729" s="885"/>
      <c r="K729" s="885"/>
      <c r="L729" s="885"/>
      <c r="M729" s="885"/>
      <c r="N729" s="885"/>
      <c r="O729" s="885"/>
      <c r="P729" s="885"/>
      <c r="Q729" s="885"/>
      <c r="R729" s="885"/>
      <c r="S729" s="885"/>
      <c r="T729" s="885"/>
      <c r="U729" s="885"/>
      <c r="V729" s="885"/>
      <c r="W729" s="885"/>
      <c r="X729" s="885"/>
      <c r="Y729" s="885"/>
      <c r="Z729" s="885"/>
    </row>
    <row r="730" spans="1:26" ht="16.5" customHeight="1" x14ac:dyDescent="0.2">
      <c r="A730" s="885"/>
      <c r="B730" s="885"/>
      <c r="C730" s="885"/>
      <c r="D730" s="885"/>
      <c r="E730" s="885"/>
      <c r="F730" s="885"/>
      <c r="G730" s="885"/>
      <c r="H730" s="885"/>
      <c r="I730" s="885"/>
      <c r="J730" s="885"/>
      <c r="K730" s="885"/>
      <c r="L730" s="885"/>
      <c r="M730" s="885"/>
      <c r="N730" s="885"/>
      <c r="O730" s="885"/>
      <c r="P730" s="885"/>
      <c r="Q730" s="885"/>
      <c r="R730" s="885"/>
      <c r="S730" s="885"/>
      <c r="T730" s="885"/>
      <c r="U730" s="885"/>
      <c r="V730" s="885"/>
      <c r="W730" s="885"/>
      <c r="X730" s="885"/>
      <c r="Y730" s="885"/>
      <c r="Z730" s="885"/>
    </row>
    <row r="731" spans="1:26" ht="16.5" customHeight="1" x14ac:dyDescent="0.2">
      <c r="A731" s="885"/>
      <c r="B731" s="885"/>
      <c r="C731" s="885"/>
      <c r="D731" s="885"/>
      <c r="E731" s="885"/>
      <c r="F731" s="885"/>
      <c r="G731" s="885"/>
      <c r="H731" s="885"/>
      <c r="I731" s="885"/>
      <c r="J731" s="885"/>
      <c r="K731" s="885"/>
      <c r="L731" s="885"/>
      <c r="M731" s="885"/>
      <c r="N731" s="885"/>
      <c r="O731" s="885"/>
      <c r="P731" s="885"/>
      <c r="Q731" s="885"/>
      <c r="R731" s="885"/>
      <c r="S731" s="885"/>
      <c r="T731" s="885"/>
      <c r="U731" s="885"/>
      <c r="V731" s="885"/>
      <c r="W731" s="885"/>
      <c r="X731" s="885"/>
      <c r="Y731" s="885"/>
      <c r="Z731" s="885"/>
    </row>
    <row r="732" spans="1:26" ht="16.5" customHeight="1" x14ac:dyDescent="0.2">
      <c r="A732" s="885"/>
      <c r="B732" s="885"/>
      <c r="C732" s="885"/>
      <c r="D732" s="885"/>
      <c r="E732" s="885"/>
      <c r="F732" s="885"/>
      <c r="G732" s="885"/>
      <c r="H732" s="885"/>
      <c r="I732" s="885"/>
      <c r="J732" s="885"/>
      <c r="K732" s="885"/>
      <c r="L732" s="885"/>
      <c r="M732" s="885"/>
      <c r="N732" s="885"/>
      <c r="O732" s="885"/>
      <c r="P732" s="885"/>
      <c r="Q732" s="885"/>
      <c r="R732" s="885"/>
      <c r="S732" s="885"/>
      <c r="T732" s="885"/>
      <c r="U732" s="885"/>
      <c r="V732" s="885"/>
      <c r="W732" s="885"/>
      <c r="X732" s="885"/>
      <c r="Y732" s="885"/>
      <c r="Z732" s="885"/>
    </row>
    <row r="733" spans="1:26" ht="16.5" customHeight="1" x14ac:dyDescent="0.2">
      <c r="A733" s="885"/>
      <c r="B733" s="885"/>
      <c r="C733" s="885"/>
      <c r="D733" s="885"/>
      <c r="E733" s="885"/>
      <c r="F733" s="885"/>
      <c r="G733" s="885"/>
      <c r="H733" s="885"/>
      <c r="I733" s="885"/>
      <c r="J733" s="885"/>
      <c r="K733" s="885"/>
      <c r="L733" s="885"/>
      <c r="M733" s="885"/>
      <c r="N733" s="885"/>
      <c r="O733" s="885"/>
      <c r="P733" s="885"/>
      <c r="Q733" s="885"/>
      <c r="R733" s="885"/>
      <c r="S733" s="885"/>
      <c r="T733" s="885"/>
      <c r="U733" s="885"/>
      <c r="V733" s="885"/>
      <c r="W733" s="885"/>
      <c r="X733" s="885"/>
      <c r="Y733" s="885"/>
      <c r="Z733" s="885"/>
    </row>
    <row r="734" spans="1:26" ht="16.5" customHeight="1" x14ac:dyDescent="0.2">
      <c r="A734" s="885"/>
      <c r="B734" s="885"/>
      <c r="C734" s="885"/>
      <c r="D734" s="885"/>
      <c r="E734" s="885"/>
      <c r="F734" s="885"/>
      <c r="G734" s="885"/>
      <c r="H734" s="885"/>
      <c r="I734" s="885"/>
      <c r="J734" s="885"/>
      <c r="K734" s="885"/>
      <c r="L734" s="885"/>
      <c r="M734" s="885"/>
      <c r="N734" s="885"/>
      <c r="O734" s="885"/>
      <c r="P734" s="885"/>
      <c r="Q734" s="885"/>
      <c r="R734" s="885"/>
      <c r="S734" s="885"/>
      <c r="T734" s="885"/>
      <c r="U734" s="885"/>
      <c r="V734" s="885"/>
      <c r="W734" s="885"/>
      <c r="X734" s="885"/>
      <c r="Y734" s="885"/>
      <c r="Z734" s="885"/>
    </row>
    <row r="735" spans="1:26" ht="16.5" customHeight="1" x14ac:dyDescent="0.2">
      <c r="A735" s="885"/>
      <c r="B735" s="885"/>
      <c r="C735" s="885"/>
      <c r="D735" s="885"/>
      <c r="E735" s="885"/>
      <c r="F735" s="885"/>
      <c r="G735" s="885"/>
      <c r="H735" s="885"/>
      <c r="I735" s="885"/>
      <c r="J735" s="885"/>
      <c r="K735" s="885"/>
      <c r="L735" s="885"/>
      <c r="M735" s="885"/>
      <c r="N735" s="885"/>
      <c r="O735" s="885"/>
      <c r="P735" s="885"/>
      <c r="Q735" s="885"/>
      <c r="R735" s="885"/>
      <c r="S735" s="885"/>
      <c r="T735" s="885"/>
      <c r="U735" s="885"/>
      <c r="V735" s="885"/>
      <c r="W735" s="885"/>
      <c r="X735" s="885"/>
      <c r="Y735" s="885"/>
      <c r="Z735" s="885"/>
    </row>
    <row r="736" spans="1:26" ht="16.5" customHeight="1" x14ac:dyDescent="0.2">
      <c r="A736" s="885"/>
      <c r="B736" s="885"/>
      <c r="C736" s="885"/>
      <c r="D736" s="885"/>
      <c r="E736" s="885"/>
      <c r="F736" s="885"/>
      <c r="G736" s="885"/>
      <c r="H736" s="885"/>
      <c r="I736" s="885"/>
      <c r="J736" s="885"/>
      <c r="K736" s="885"/>
      <c r="L736" s="885"/>
      <c r="M736" s="885"/>
      <c r="N736" s="885"/>
      <c r="O736" s="885"/>
      <c r="P736" s="885"/>
      <c r="Q736" s="885"/>
      <c r="R736" s="885"/>
      <c r="S736" s="885"/>
      <c r="T736" s="885"/>
      <c r="U736" s="885"/>
      <c r="V736" s="885"/>
      <c r="W736" s="885"/>
      <c r="X736" s="885"/>
      <c r="Y736" s="885"/>
      <c r="Z736" s="885"/>
    </row>
    <row r="737" spans="1:26" ht="16.5" customHeight="1" x14ac:dyDescent="0.2">
      <c r="A737" s="885"/>
      <c r="B737" s="885"/>
      <c r="C737" s="885"/>
      <c r="D737" s="885"/>
      <c r="E737" s="885"/>
      <c r="F737" s="885"/>
      <c r="G737" s="885"/>
      <c r="H737" s="885"/>
      <c r="I737" s="885"/>
      <c r="J737" s="885"/>
      <c r="K737" s="885"/>
      <c r="L737" s="885"/>
      <c r="M737" s="885"/>
      <c r="N737" s="885"/>
      <c r="O737" s="885"/>
      <c r="P737" s="885"/>
      <c r="Q737" s="885"/>
      <c r="R737" s="885"/>
      <c r="S737" s="885"/>
      <c r="T737" s="885"/>
      <c r="U737" s="885"/>
      <c r="V737" s="885"/>
      <c r="W737" s="885"/>
      <c r="X737" s="885"/>
      <c r="Y737" s="885"/>
      <c r="Z737" s="885"/>
    </row>
    <row r="738" spans="1:26" ht="16.5" customHeight="1" x14ac:dyDescent="0.2">
      <c r="A738" s="885"/>
      <c r="B738" s="885"/>
      <c r="C738" s="885"/>
      <c r="D738" s="885"/>
      <c r="E738" s="885"/>
      <c r="F738" s="885"/>
      <c r="G738" s="885"/>
      <c r="H738" s="885"/>
      <c r="I738" s="885"/>
      <c r="J738" s="885"/>
      <c r="K738" s="885"/>
      <c r="L738" s="885"/>
      <c r="M738" s="885"/>
      <c r="N738" s="885"/>
      <c r="O738" s="885"/>
      <c r="P738" s="885"/>
      <c r="Q738" s="885"/>
      <c r="R738" s="885"/>
      <c r="S738" s="885"/>
      <c r="T738" s="885"/>
      <c r="U738" s="885"/>
      <c r="V738" s="885"/>
      <c r="W738" s="885"/>
      <c r="X738" s="885"/>
      <c r="Y738" s="885"/>
      <c r="Z738" s="885"/>
    </row>
    <row r="739" spans="1:26" ht="16.5" customHeight="1" x14ac:dyDescent="0.2">
      <c r="A739" s="885"/>
      <c r="B739" s="885"/>
      <c r="C739" s="885"/>
      <c r="D739" s="885"/>
      <c r="E739" s="885"/>
      <c r="F739" s="885"/>
      <c r="G739" s="885"/>
      <c r="H739" s="885"/>
      <c r="I739" s="885"/>
      <c r="J739" s="885"/>
      <c r="K739" s="885"/>
      <c r="L739" s="885"/>
      <c r="M739" s="885"/>
      <c r="N739" s="885"/>
      <c r="O739" s="885"/>
      <c r="P739" s="885"/>
      <c r="Q739" s="885"/>
      <c r="R739" s="885"/>
      <c r="S739" s="885"/>
      <c r="T739" s="885"/>
      <c r="U739" s="885"/>
      <c r="V739" s="885"/>
      <c r="W739" s="885"/>
      <c r="X739" s="885"/>
      <c r="Y739" s="885"/>
      <c r="Z739" s="885"/>
    </row>
    <row r="740" spans="1:26" ht="16.5" customHeight="1" x14ac:dyDescent="0.2">
      <c r="A740" s="885"/>
      <c r="B740" s="885"/>
      <c r="C740" s="885"/>
      <c r="D740" s="885"/>
      <c r="E740" s="885"/>
      <c r="F740" s="885"/>
      <c r="G740" s="885"/>
      <c r="H740" s="885"/>
      <c r="I740" s="885"/>
      <c r="J740" s="885"/>
      <c r="K740" s="885"/>
      <c r="L740" s="885"/>
      <c r="M740" s="885"/>
      <c r="N740" s="885"/>
      <c r="O740" s="885"/>
      <c r="P740" s="885"/>
      <c r="Q740" s="885"/>
      <c r="R740" s="885"/>
      <c r="S740" s="885"/>
      <c r="T740" s="885"/>
      <c r="U740" s="885"/>
      <c r="V740" s="885"/>
      <c r="W740" s="885"/>
      <c r="X740" s="885"/>
      <c r="Y740" s="885"/>
      <c r="Z740" s="885"/>
    </row>
    <row r="741" spans="1:26" ht="16.5" customHeight="1" x14ac:dyDescent="0.2">
      <c r="A741" s="885"/>
      <c r="B741" s="885"/>
      <c r="C741" s="885"/>
      <c r="D741" s="885"/>
      <c r="E741" s="885"/>
      <c r="F741" s="885"/>
      <c r="G741" s="885"/>
      <c r="H741" s="885"/>
      <c r="I741" s="885"/>
      <c r="J741" s="885"/>
      <c r="K741" s="885"/>
      <c r="L741" s="885"/>
      <c r="M741" s="885"/>
      <c r="N741" s="885"/>
      <c r="O741" s="885"/>
      <c r="P741" s="885"/>
      <c r="Q741" s="885"/>
      <c r="R741" s="885"/>
      <c r="S741" s="885"/>
      <c r="T741" s="885"/>
      <c r="U741" s="885"/>
      <c r="V741" s="885"/>
      <c r="W741" s="885"/>
      <c r="X741" s="885"/>
      <c r="Y741" s="885"/>
      <c r="Z741" s="885"/>
    </row>
    <row r="742" spans="1:26" ht="16.5" customHeight="1" x14ac:dyDescent="0.2">
      <c r="A742" s="885"/>
      <c r="B742" s="885"/>
      <c r="C742" s="885"/>
      <c r="D742" s="885"/>
      <c r="E742" s="885"/>
      <c r="F742" s="885"/>
      <c r="G742" s="885"/>
      <c r="H742" s="885"/>
      <c r="I742" s="885"/>
      <c r="J742" s="885"/>
      <c r="K742" s="885"/>
      <c r="L742" s="885"/>
      <c r="M742" s="885"/>
      <c r="N742" s="885"/>
      <c r="O742" s="885"/>
      <c r="P742" s="885"/>
      <c r="Q742" s="885"/>
      <c r="R742" s="885"/>
      <c r="S742" s="885"/>
      <c r="T742" s="885"/>
      <c r="U742" s="885"/>
      <c r="V742" s="885"/>
      <c r="W742" s="885"/>
      <c r="X742" s="885"/>
      <c r="Y742" s="885"/>
      <c r="Z742" s="885"/>
    </row>
    <row r="743" spans="1:26" ht="16.5" customHeight="1" x14ac:dyDescent="0.2">
      <c r="A743" s="885"/>
      <c r="B743" s="885"/>
      <c r="C743" s="885"/>
      <c r="D743" s="885"/>
      <c r="E743" s="885"/>
      <c r="F743" s="885"/>
      <c r="G743" s="885"/>
      <c r="H743" s="885"/>
      <c r="I743" s="885"/>
      <c r="J743" s="885"/>
      <c r="K743" s="885"/>
      <c r="L743" s="885"/>
      <c r="M743" s="885"/>
      <c r="N743" s="885"/>
      <c r="O743" s="885"/>
      <c r="P743" s="885"/>
      <c r="Q743" s="885"/>
      <c r="R743" s="885"/>
      <c r="S743" s="885"/>
      <c r="T743" s="885"/>
      <c r="U743" s="885"/>
      <c r="V743" s="885"/>
      <c r="W743" s="885"/>
      <c r="X743" s="885"/>
      <c r="Y743" s="885"/>
      <c r="Z743" s="885"/>
    </row>
    <row r="744" spans="1:26" ht="16.5" customHeight="1" x14ac:dyDescent="0.2">
      <c r="A744" s="885"/>
      <c r="B744" s="885"/>
      <c r="C744" s="885"/>
      <c r="D744" s="885"/>
      <c r="E744" s="885"/>
      <c r="F744" s="885"/>
      <c r="G744" s="885"/>
      <c r="H744" s="885"/>
      <c r="I744" s="885"/>
      <c r="J744" s="885"/>
      <c r="K744" s="885"/>
      <c r="L744" s="885"/>
      <c r="M744" s="885"/>
      <c r="N744" s="885"/>
      <c r="O744" s="885"/>
      <c r="P744" s="885"/>
      <c r="Q744" s="885"/>
      <c r="R744" s="885"/>
      <c r="S744" s="885"/>
      <c r="T744" s="885"/>
      <c r="U744" s="885"/>
      <c r="V744" s="885"/>
      <c r="W744" s="885"/>
      <c r="X744" s="885"/>
      <c r="Y744" s="885"/>
      <c r="Z744" s="885"/>
    </row>
    <row r="745" spans="1:26" ht="16.5" customHeight="1" x14ac:dyDescent="0.2">
      <c r="A745" s="885"/>
      <c r="B745" s="885"/>
      <c r="C745" s="885"/>
      <c r="D745" s="885"/>
      <c r="E745" s="885"/>
      <c r="F745" s="885"/>
      <c r="G745" s="885"/>
      <c r="H745" s="885"/>
      <c r="I745" s="885"/>
      <c r="J745" s="885"/>
      <c r="K745" s="885"/>
      <c r="L745" s="885"/>
      <c r="M745" s="885"/>
      <c r="N745" s="885"/>
      <c r="O745" s="885"/>
      <c r="P745" s="885"/>
      <c r="Q745" s="885"/>
      <c r="R745" s="885"/>
      <c r="S745" s="885"/>
      <c r="T745" s="885"/>
      <c r="U745" s="885"/>
      <c r="V745" s="885"/>
      <c r="W745" s="885"/>
      <c r="X745" s="885"/>
      <c r="Y745" s="885"/>
      <c r="Z745" s="885"/>
    </row>
    <row r="746" spans="1:26" ht="16.5" customHeight="1" x14ac:dyDescent="0.2">
      <c r="A746" s="885"/>
      <c r="B746" s="885"/>
      <c r="C746" s="885"/>
      <c r="D746" s="885"/>
      <c r="E746" s="885"/>
      <c r="F746" s="885"/>
      <c r="G746" s="885"/>
      <c r="H746" s="885"/>
      <c r="I746" s="885"/>
      <c r="J746" s="885"/>
      <c r="K746" s="885"/>
      <c r="L746" s="885"/>
      <c r="M746" s="885"/>
      <c r="N746" s="885"/>
      <c r="O746" s="885"/>
      <c r="P746" s="885"/>
      <c r="Q746" s="885"/>
      <c r="R746" s="885"/>
      <c r="S746" s="885"/>
      <c r="T746" s="885"/>
      <c r="U746" s="885"/>
      <c r="V746" s="885"/>
      <c r="W746" s="885"/>
      <c r="X746" s="885"/>
      <c r="Y746" s="885"/>
      <c r="Z746" s="885"/>
    </row>
    <row r="747" spans="1:26" ht="16.5" customHeight="1" x14ac:dyDescent="0.2">
      <c r="A747" s="885"/>
      <c r="B747" s="885"/>
      <c r="C747" s="885"/>
      <c r="D747" s="885"/>
      <c r="E747" s="885"/>
      <c r="F747" s="885"/>
      <c r="G747" s="885"/>
      <c r="H747" s="885"/>
      <c r="I747" s="885"/>
      <c r="J747" s="885"/>
      <c r="K747" s="885"/>
      <c r="L747" s="885"/>
      <c r="M747" s="885"/>
      <c r="N747" s="885"/>
      <c r="O747" s="885"/>
      <c r="P747" s="885"/>
      <c r="Q747" s="885"/>
      <c r="R747" s="885"/>
      <c r="S747" s="885"/>
      <c r="T747" s="885"/>
      <c r="U747" s="885"/>
      <c r="V747" s="885"/>
      <c r="W747" s="885"/>
      <c r="X747" s="885"/>
      <c r="Y747" s="885"/>
      <c r="Z747" s="885"/>
    </row>
    <row r="748" spans="1:26" ht="16.5" customHeight="1" x14ac:dyDescent="0.2">
      <c r="A748" s="885"/>
      <c r="B748" s="885"/>
      <c r="C748" s="885"/>
      <c r="D748" s="885"/>
      <c r="E748" s="885"/>
      <c r="F748" s="885"/>
      <c r="G748" s="885"/>
      <c r="H748" s="885"/>
      <c r="I748" s="885"/>
      <c r="J748" s="885"/>
      <c r="K748" s="885"/>
      <c r="L748" s="885"/>
      <c r="M748" s="885"/>
      <c r="N748" s="885"/>
      <c r="O748" s="885"/>
      <c r="P748" s="885"/>
      <c r="Q748" s="885"/>
      <c r="R748" s="885"/>
      <c r="S748" s="885"/>
      <c r="T748" s="885"/>
      <c r="U748" s="885"/>
      <c r="V748" s="885"/>
      <c r="W748" s="885"/>
      <c r="X748" s="885"/>
      <c r="Y748" s="885"/>
      <c r="Z748" s="885"/>
    </row>
    <row r="749" spans="1:26" ht="16.5" customHeight="1" x14ac:dyDescent="0.2">
      <c r="A749" s="885"/>
      <c r="B749" s="885"/>
      <c r="C749" s="885"/>
      <c r="D749" s="885"/>
      <c r="E749" s="885"/>
      <c r="F749" s="885"/>
      <c r="G749" s="885"/>
      <c r="H749" s="885"/>
      <c r="I749" s="885"/>
      <c r="J749" s="885"/>
      <c r="K749" s="885"/>
      <c r="L749" s="885"/>
      <c r="M749" s="885"/>
      <c r="N749" s="885"/>
      <c r="O749" s="885"/>
      <c r="P749" s="885"/>
      <c r="Q749" s="885"/>
      <c r="R749" s="885"/>
      <c r="S749" s="885"/>
      <c r="T749" s="885"/>
      <c r="U749" s="885"/>
      <c r="V749" s="885"/>
      <c r="W749" s="885"/>
      <c r="X749" s="885"/>
      <c r="Y749" s="885"/>
      <c r="Z749" s="885"/>
    </row>
    <row r="750" spans="1:26" ht="16.5" customHeight="1" x14ac:dyDescent="0.2">
      <c r="A750" s="885"/>
      <c r="B750" s="885"/>
      <c r="C750" s="885"/>
      <c r="D750" s="885"/>
      <c r="E750" s="885"/>
      <c r="F750" s="885"/>
      <c r="G750" s="885"/>
      <c r="H750" s="885"/>
      <c r="I750" s="885"/>
      <c r="J750" s="885"/>
      <c r="K750" s="885"/>
      <c r="L750" s="885"/>
      <c r="M750" s="885"/>
      <c r="N750" s="885"/>
      <c r="O750" s="885"/>
      <c r="P750" s="885"/>
      <c r="Q750" s="885"/>
      <c r="R750" s="885"/>
      <c r="S750" s="885"/>
      <c r="T750" s="885"/>
      <c r="U750" s="885"/>
      <c r="V750" s="885"/>
      <c r="W750" s="885"/>
      <c r="X750" s="885"/>
      <c r="Y750" s="885"/>
      <c r="Z750" s="885"/>
    </row>
    <row r="751" spans="1:26" ht="16.5" customHeight="1" x14ac:dyDescent="0.2">
      <c r="A751" s="885"/>
      <c r="B751" s="885"/>
      <c r="C751" s="885"/>
      <c r="D751" s="885"/>
      <c r="E751" s="885"/>
      <c r="F751" s="885"/>
      <c r="G751" s="885"/>
      <c r="H751" s="885"/>
      <c r="I751" s="885"/>
      <c r="J751" s="885"/>
      <c r="K751" s="885"/>
      <c r="L751" s="885"/>
      <c r="M751" s="885"/>
      <c r="N751" s="885"/>
      <c r="O751" s="885"/>
      <c r="P751" s="885"/>
      <c r="Q751" s="885"/>
      <c r="R751" s="885"/>
      <c r="S751" s="885"/>
      <c r="T751" s="885"/>
      <c r="U751" s="885"/>
      <c r="V751" s="885"/>
      <c r="W751" s="885"/>
      <c r="X751" s="885"/>
      <c r="Y751" s="885"/>
      <c r="Z751" s="885"/>
    </row>
    <row r="752" spans="1:26" ht="16.5" customHeight="1" x14ac:dyDescent="0.2">
      <c r="A752" s="885"/>
      <c r="B752" s="885"/>
      <c r="C752" s="885"/>
      <c r="D752" s="885"/>
      <c r="E752" s="885"/>
      <c r="F752" s="885"/>
      <c r="G752" s="885"/>
      <c r="H752" s="885"/>
      <c r="I752" s="885"/>
      <c r="J752" s="885"/>
      <c r="K752" s="885"/>
      <c r="L752" s="885"/>
      <c r="M752" s="885"/>
      <c r="N752" s="885"/>
      <c r="O752" s="885"/>
      <c r="P752" s="885"/>
      <c r="Q752" s="885"/>
      <c r="R752" s="885"/>
      <c r="S752" s="885"/>
      <c r="T752" s="885"/>
      <c r="U752" s="885"/>
      <c r="V752" s="885"/>
      <c r="W752" s="885"/>
      <c r="X752" s="885"/>
      <c r="Y752" s="885"/>
      <c r="Z752" s="885"/>
    </row>
    <row r="753" spans="1:26" ht="16.5" customHeight="1" x14ac:dyDescent="0.2">
      <c r="A753" s="885"/>
      <c r="B753" s="885"/>
      <c r="C753" s="885"/>
      <c r="D753" s="885"/>
      <c r="E753" s="885"/>
      <c r="F753" s="885"/>
      <c r="G753" s="885"/>
      <c r="H753" s="885"/>
      <c r="I753" s="885"/>
      <c r="J753" s="885"/>
      <c r="K753" s="885"/>
      <c r="L753" s="885"/>
      <c r="M753" s="885"/>
      <c r="N753" s="885"/>
      <c r="O753" s="885"/>
      <c r="P753" s="885"/>
      <c r="Q753" s="885"/>
      <c r="R753" s="885"/>
      <c r="S753" s="885"/>
      <c r="T753" s="885"/>
      <c r="U753" s="885"/>
      <c r="V753" s="885"/>
      <c r="W753" s="885"/>
      <c r="X753" s="885"/>
      <c r="Y753" s="885"/>
      <c r="Z753" s="885"/>
    </row>
    <row r="754" spans="1:26" ht="16.5" customHeight="1" x14ac:dyDescent="0.2">
      <c r="A754" s="885"/>
      <c r="B754" s="885"/>
      <c r="C754" s="885"/>
      <c r="D754" s="885"/>
      <c r="E754" s="885"/>
      <c r="F754" s="885"/>
      <c r="G754" s="885"/>
      <c r="H754" s="885"/>
      <c r="I754" s="885"/>
      <c r="J754" s="885"/>
      <c r="K754" s="885"/>
      <c r="L754" s="885"/>
      <c r="M754" s="885"/>
      <c r="N754" s="885"/>
      <c r="O754" s="885"/>
      <c r="P754" s="885"/>
      <c r="Q754" s="885"/>
      <c r="R754" s="885"/>
      <c r="S754" s="885"/>
      <c r="T754" s="885"/>
      <c r="U754" s="885"/>
      <c r="V754" s="885"/>
      <c r="W754" s="885"/>
      <c r="X754" s="885"/>
      <c r="Y754" s="885"/>
      <c r="Z754" s="885"/>
    </row>
    <row r="755" spans="1:26" ht="16.5" customHeight="1" x14ac:dyDescent="0.2">
      <c r="A755" s="885"/>
      <c r="B755" s="885"/>
      <c r="C755" s="885"/>
      <c r="D755" s="885"/>
      <c r="E755" s="885"/>
      <c r="F755" s="885"/>
      <c r="G755" s="885"/>
      <c r="H755" s="885"/>
      <c r="I755" s="885"/>
      <c r="J755" s="885"/>
      <c r="K755" s="885"/>
      <c r="L755" s="885"/>
      <c r="M755" s="885"/>
      <c r="N755" s="885"/>
      <c r="O755" s="885"/>
      <c r="P755" s="885"/>
      <c r="Q755" s="885"/>
      <c r="R755" s="885"/>
      <c r="S755" s="885"/>
      <c r="T755" s="885"/>
      <c r="U755" s="885"/>
      <c r="V755" s="885"/>
      <c r="W755" s="885"/>
      <c r="X755" s="885"/>
      <c r="Y755" s="885"/>
      <c r="Z755" s="885"/>
    </row>
    <row r="756" spans="1:26" ht="16.5" customHeight="1" x14ac:dyDescent="0.2">
      <c r="A756" s="885"/>
      <c r="B756" s="885"/>
      <c r="C756" s="885"/>
      <c r="D756" s="885"/>
      <c r="E756" s="885"/>
      <c r="F756" s="885"/>
      <c r="G756" s="885"/>
      <c r="H756" s="885"/>
      <c r="I756" s="885"/>
      <c r="J756" s="885"/>
      <c r="K756" s="885"/>
      <c r="L756" s="885"/>
      <c r="M756" s="885"/>
      <c r="N756" s="885"/>
      <c r="O756" s="885"/>
      <c r="P756" s="885"/>
      <c r="Q756" s="885"/>
      <c r="R756" s="885"/>
      <c r="S756" s="885"/>
      <c r="T756" s="885"/>
      <c r="U756" s="885"/>
      <c r="V756" s="885"/>
      <c r="W756" s="885"/>
      <c r="X756" s="885"/>
      <c r="Y756" s="885"/>
      <c r="Z756" s="885"/>
    </row>
    <row r="757" spans="1:26" ht="16.5" customHeight="1" x14ac:dyDescent="0.2">
      <c r="A757" s="885"/>
      <c r="B757" s="885"/>
      <c r="C757" s="885"/>
      <c r="D757" s="885"/>
      <c r="E757" s="885"/>
      <c r="F757" s="885"/>
      <c r="G757" s="885"/>
      <c r="H757" s="885"/>
      <c r="I757" s="885"/>
      <c r="J757" s="885"/>
      <c r="K757" s="885"/>
      <c r="L757" s="885"/>
      <c r="M757" s="885"/>
      <c r="N757" s="885"/>
      <c r="O757" s="885"/>
      <c r="P757" s="885"/>
      <c r="Q757" s="885"/>
      <c r="R757" s="885"/>
      <c r="S757" s="885"/>
      <c r="T757" s="885"/>
      <c r="U757" s="885"/>
      <c r="V757" s="885"/>
      <c r="W757" s="885"/>
      <c r="X757" s="885"/>
      <c r="Y757" s="885"/>
      <c r="Z757" s="885"/>
    </row>
    <row r="758" spans="1:26" ht="16.5" customHeight="1" x14ac:dyDescent="0.2">
      <c r="A758" s="885"/>
      <c r="B758" s="885"/>
      <c r="C758" s="885"/>
      <c r="D758" s="885"/>
      <c r="E758" s="885"/>
      <c r="F758" s="885"/>
      <c r="G758" s="885"/>
      <c r="H758" s="885"/>
      <c r="I758" s="885"/>
      <c r="J758" s="885"/>
      <c r="K758" s="885"/>
      <c r="L758" s="885"/>
      <c r="M758" s="885"/>
      <c r="N758" s="885"/>
      <c r="O758" s="885"/>
      <c r="P758" s="885"/>
      <c r="Q758" s="885"/>
      <c r="R758" s="885"/>
      <c r="S758" s="885"/>
      <c r="T758" s="885"/>
      <c r="U758" s="885"/>
      <c r="V758" s="885"/>
      <c r="W758" s="885"/>
      <c r="X758" s="885"/>
      <c r="Y758" s="885"/>
      <c r="Z758" s="885"/>
    </row>
    <row r="759" spans="1:26" ht="16.5" customHeight="1" x14ac:dyDescent="0.2">
      <c r="A759" s="885"/>
      <c r="B759" s="885"/>
      <c r="C759" s="885"/>
      <c r="D759" s="885"/>
      <c r="E759" s="885"/>
      <c r="F759" s="885"/>
      <c r="G759" s="885"/>
      <c r="H759" s="885"/>
      <c r="I759" s="885"/>
      <c r="J759" s="885"/>
      <c r="K759" s="885"/>
      <c r="L759" s="885"/>
      <c r="M759" s="885"/>
      <c r="N759" s="885"/>
      <c r="O759" s="885"/>
      <c r="P759" s="885"/>
      <c r="Q759" s="885"/>
      <c r="R759" s="885"/>
      <c r="S759" s="885"/>
      <c r="T759" s="885"/>
      <c r="U759" s="885"/>
      <c r="V759" s="885"/>
      <c r="W759" s="885"/>
      <c r="X759" s="885"/>
      <c r="Y759" s="885"/>
      <c r="Z759" s="885"/>
    </row>
    <row r="760" spans="1:26" ht="16.5" customHeight="1" x14ac:dyDescent="0.2">
      <c r="A760" s="885"/>
      <c r="B760" s="885"/>
      <c r="C760" s="885"/>
      <c r="D760" s="885"/>
      <c r="E760" s="885"/>
      <c r="F760" s="885"/>
      <c r="G760" s="885"/>
      <c r="H760" s="885"/>
      <c r="I760" s="885"/>
      <c r="J760" s="885"/>
      <c r="K760" s="885"/>
      <c r="L760" s="885"/>
      <c r="M760" s="885"/>
      <c r="N760" s="885"/>
      <c r="O760" s="885"/>
      <c r="P760" s="885"/>
      <c r="Q760" s="885"/>
      <c r="R760" s="885"/>
      <c r="S760" s="885"/>
      <c r="T760" s="885"/>
      <c r="U760" s="885"/>
      <c r="V760" s="885"/>
      <c r="W760" s="885"/>
      <c r="X760" s="885"/>
      <c r="Y760" s="885"/>
      <c r="Z760" s="885"/>
    </row>
    <row r="761" spans="1:26" ht="16.5" customHeight="1" x14ac:dyDescent="0.2">
      <c r="A761" s="885"/>
      <c r="B761" s="885"/>
      <c r="C761" s="885"/>
      <c r="D761" s="885"/>
      <c r="E761" s="885"/>
      <c r="F761" s="885"/>
      <c r="G761" s="885"/>
      <c r="H761" s="885"/>
      <c r="I761" s="885"/>
      <c r="J761" s="885"/>
      <c r="K761" s="885"/>
      <c r="L761" s="885"/>
      <c r="M761" s="885"/>
      <c r="N761" s="885"/>
      <c r="O761" s="885"/>
      <c r="P761" s="885"/>
      <c r="Q761" s="885"/>
      <c r="R761" s="885"/>
      <c r="S761" s="885"/>
      <c r="T761" s="885"/>
      <c r="U761" s="885"/>
      <c r="V761" s="885"/>
      <c r="W761" s="885"/>
      <c r="X761" s="885"/>
      <c r="Y761" s="885"/>
      <c r="Z761" s="885"/>
    </row>
    <row r="762" spans="1:26" ht="16.5" customHeight="1" x14ac:dyDescent="0.2">
      <c r="A762" s="885"/>
      <c r="B762" s="885"/>
      <c r="C762" s="885"/>
      <c r="D762" s="885"/>
      <c r="E762" s="885"/>
      <c r="F762" s="885"/>
      <c r="G762" s="885"/>
      <c r="H762" s="885"/>
      <c r="I762" s="885"/>
      <c r="J762" s="885"/>
      <c r="K762" s="885"/>
      <c r="L762" s="885"/>
      <c r="M762" s="885"/>
      <c r="N762" s="885"/>
      <c r="O762" s="885"/>
      <c r="P762" s="885"/>
      <c r="Q762" s="885"/>
      <c r="R762" s="885"/>
      <c r="S762" s="885"/>
      <c r="T762" s="885"/>
      <c r="U762" s="885"/>
      <c r="V762" s="885"/>
      <c r="W762" s="885"/>
      <c r="X762" s="885"/>
      <c r="Y762" s="885"/>
      <c r="Z762" s="885"/>
    </row>
    <row r="763" spans="1:26" ht="16.5" customHeight="1" x14ac:dyDescent="0.2">
      <c r="A763" s="885"/>
      <c r="B763" s="885"/>
      <c r="C763" s="885"/>
      <c r="D763" s="885"/>
      <c r="E763" s="885"/>
      <c r="F763" s="885"/>
      <c r="G763" s="885"/>
      <c r="H763" s="885"/>
      <c r="I763" s="885"/>
      <c r="J763" s="885"/>
      <c r="K763" s="885"/>
      <c r="L763" s="885"/>
      <c r="M763" s="885"/>
      <c r="N763" s="885"/>
      <c r="O763" s="885"/>
      <c r="P763" s="885"/>
      <c r="Q763" s="885"/>
      <c r="R763" s="885"/>
      <c r="S763" s="885"/>
      <c r="T763" s="885"/>
      <c r="U763" s="885"/>
      <c r="V763" s="885"/>
      <c r="W763" s="885"/>
      <c r="X763" s="885"/>
      <c r="Y763" s="885"/>
      <c r="Z763" s="885"/>
    </row>
    <row r="764" spans="1:26" ht="16.5" customHeight="1" x14ac:dyDescent="0.2">
      <c r="A764" s="885"/>
      <c r="B764" s="885"/>
      <c r="C764" s="885"/>
      <c r="D764" s="885"/>
      <c r="E764" s="885"/>
      <c r="F764" s="885"/>
      <c r="G764" s="885"/>
      <c r="H764" s="885"/>
      <c r="I764" s="885"/>
      <c r="J764" s="885"/>
      <c r="K764" s="885"/>
      <c r="L764" s="885"/>
      <c r="M764" s="885"/>
      <c r="N764" s="885"/>
      <c r="O764" s="885"/>
      <c r="P764" s="885"/>
      <c r="Q764" s="885"/>
      <c r="R764" s="885"/>
      <c r="S764" s="885"/>
      <c r="T764" s="885"/>
      <c r="U764" s="885"/>
      <c r="V764" s="885"/>
      <c r="W764" s="885"/>
      <c r="X764" s="885"/>
      <c r="Y764" s="885"/>
      <c r="Z764" s="885"/>
    </row>
    <row r="765" spans="1:26" ht="16.5" customHeight="1" x14ac:dyDescent="0.2">
      <c r="A765" s="885"/>
      <c r="B765" s="885"/>
      <c r="C765" s="885"/>
      <c r="D765" s="885"/>
      <c r="E765" s="885"/>
      <c r="F765" s="885"/>
      <c r="G765" s="885"/>
      <c r="H765" s="885"/>
      <c r="I765" s="885"/>
      <c r="J765" s="885"/>
      <c r="K765" s="885"/>
      <c r="L765" s="885"/>
      <c r="M765" s="885"/>
      <c r="N765" s="885"/>
      <c r="O765" s="885"/>
      <c r="P765" s="885"/>
      <c r="Q765" s="885"/>
      <c r="R765" s="885"/>
      <c r="S765" s="885"/>
      <c r="T765" s="885"/>
      <c r="U765" s="885"/>
      <c r="V765" s="885"/>
      <c r="W765" s="885"/>
      <c r="X765" s="885"/>
      <c r="Y765" s="885"/>
      <c r="Z765" s="885"/>
    </row>
    <row r="766" spans="1:26" ht="16.5" customHeight="1" x14ac:dyDescent="0.2">
      <c r="A766" s="885"/>
      <c r="B766" s="885"/>
      <c r="C766" s="885"/>
      <c r="D766" s="885"/>
      <c r="E766" s="885"/>
      <c r="F766" s="885"/>
      <c r="G766" s="885"/>
      <c r="H766" s="885"/>
      <c r="I766" s="885"/>
      <c r="J766" s="885"/>
      <c r="K766" s="885"/>
      <c r="L766" s="885"/>
      <c r="M766" s="885"/>
      <c r="N766" s="885"/>
      <c r="O766" s="885"/>
      <c r="P766" s="885"/>
      <c r="Q766" s="885"/>
      <c r="R766" s="885"/>
      <c r="S766" s="885"/>
      <c r="T766" s="885"/>
      <c r="U766" s="885"/>
      <c r="V766" s="885"/>
      <c r="W766" s="885"/>
      <c r="X766" s="885"/>
      <c r="Y766" s="885"/>
      <c r="Z766" s="885"/>
    </row>
    <row r="767" spans="1:26" ht="16.5" customHeight="1" x14ac:dyDescent="0.2">
      <c r="A767" s="885"/>
      <c r="B767" s="885"/>
      <c r="C767" s="885"/>
      <c r="D767" s="885"/>
      <c r="E767" s="885"/>
      <c r="F767" s="885"/>
      <c r="G767" s="885"/>
      <c r="H767" s="885"/>
      <c r="I767" s="885"/>
      <c r="J767" s="885"/>
      <c r="K767" s="885"/>
      <c r="L767" s="885"/>
      <c r="M767" s="885"/>
      <c r="N767" s="885"/>
      <c r="O767" s="885"/>
      <c r="P767" s="885"/>
      <c r="Q767" s="885"/>
      <c r="R767" s="885"/>
      <c r="S767" s="885"/>
      <c r="T767" s="885"/>
      <c r="U767" s="885"/>
      <c r="V767" s="885"/>
      <c r="W767" s="885"/>
      <c r="X767" s="885"/>
      <c r="Y767" s="885"/>
      <c r="Z767" s="885"/>
    </row>
    <row r="768" spans="1:26" ht="16.5" customHeight="1" x14ac:dyDescent="0.2">
      <c r="A768" s="885"/>
      <c r="B768" s="885"/>
      <c r="C768" s="885"/>
      <c r="D768" s="885"/>
      <c r="E768" s="885"/>
      <c r="F768" s="885"/>
      <c r="G768" s="885"/>
      <c r="H768" s="885"/>
      <c r="I768" s="885"/>
      <c r="J768" s="885"/>
      <c r="K768" s="885"/>
      <c r="L768" s="885"/>
      <c r="M768" s="885"/>
      <c r="N768" s="885"/>
      <c r="O768" s="885"/>
      <c r="P768" s="885"/>
      <c r="Q768" s="885"/>
      <c r="R768" s="885"/>
      <c r="S768" s="885"/>
      <c r="T768" s="885"/>
      <c r="U768" s="885"/>
      <c r="V768" s="885"/>
      <c r="W768" s="885"/>
      <c r="X768" s="885"/>
      <c r="Y768" s="885"/>
      <c r="Z768" s="885"/>
    </row>
    <row r="769" spans="1:26" ht="16.5" customHeight="1" x14ac:dyDescent="0.2">
      <c r="A769" s="885"/>
      <c r="B769" s="885"/>
      <c r="C769" s="885"/>
      <c r="D769" s="885"/>
      <c r="E769" s="885"/>
      <c r="F769" s="885"/>
      <c r="G769" s="885"/>
      <c r="H769" s="885"/>
      <c r="I769" s="885"/>
      <c r="J769" s="885"/>
      <c r="K769" s="885"/>
      <c r="L769" s="885"/>
      <c r="M769" s="885"/>
      <c r="N769" s="885"/>
      <c r="O769" s="885"/>
      <c r="P769" s="885"/>
      <c r="Q769" s="885"/>
      <c r="R769" s="885"/>
      <c r="S769" s="885"/>
      <c r="T769" s="885"/>
      <c r="U769" s="885"/>
      <c r="V769" s="885"/>
      <c r="W769" s="885"/>
      <c r="X769" s="885"/>
      <c r="Y769" s="885"/>
      <c r="Z769" s="885"/>
    </row>
    <row r="770" spans="1:26" ht="16.5" customHeight="1" x14ac:dyDescent="0.2">
      <c r="A770" s="885"/>
      <c r="B770" s="885"/>
      <c r="C770" s="885"/>
      <c r="D770" s="885"/>
      <c r="E770" s="885"/>
      <c r="F770" s="885"/>
      <c r="G770" s="885"/>
      <c r="H770" s="885"/>
      <c r="I770" s="885"/>
      <c r="J770" s="885"/>
      <c r="K770" s="885"/>
      <c r="L770" s="885"/>
      <c r="M770" s="885"/>
      <c r="N770" s="885"/>
      <c r="O770" s="885"/>
      <c r="P770" s="885"/>
      <c r="Q770" s="885"/>
      <c r="R770" s="885"/>
      <c r="S770" s="885"/>
      <c r="T770" s="885"/>
      <c r="U770" s="885"/>
      <c r="V770" s="885"/>
      <c r="W770" s="885"/>
      <c r="X770" s="885"/>
      <c r="Y770" s="885"/>
      <c r="Z770" s="885"/>
    </row>
    <row r="771" spans="1:26" ht="16.5" customHeight="1" x14ac:dyDescent="0.2">
      <c r="A771" s="885"/>
      <c r="B771" s="885"/>
      <c r="C771" s="885"/>
      <c r="D771" s="885"/>
      <c r="E771" s="885"/>
      <c r="F771" s="885"/>
      <c r="G771" s="885"/>
      <c r="H771" s="885"/>
      <c r="I771" s="885"/>
      <c r="J771" s="885"/>
      <c r="K771" s="885"/>
      <c r="L771" s="885"/>
      <c r="M771" s="885"/>
      <c r="N771" s="885"/>
      <c r="O771" s="885"/>
      <c r="P771" s="885"/>
      <c r="Q771" s="885"/>
      <c r="R771" s="885"/>
      <c r="S771" s="885"/>
      <c r="T771" s="885"/>
      <c r="U771" s="885"/>
      <c r="V771" s="885"/>
      <c r="W771" s="885"/>
      <c r="X771" s="885"/>
      <c r="Y771" s="885"/>
      <c r="Z771" s="885"/>
    </row>
    <row r="772" spans="1:26" ht="16.5" customHeight="1" x14ac:dyDescent="0.2">
      <c r="A772" s="885"/>
      <c r="B772" s="885"/>
      <c r="C772" s="885"/>
      <c r="D772" s="885"/>
      <c r="E772" s="885"/>
      <c r="F772" s="885"/>
      <c r="G772" s="885"/>
      <c r="H772" s="885"/>
      <c r="I772" s="885"/>
      <c r="J772" s="885"/>
      <c r="K772" s="885"/>
      <c r="L772" s="885"/>
      <c r="M772" s="885"/>
      <c r="N772" s="885"/>
      <c r="O772" s="885"/>
      <c r="P772" s="885"/>
      <c r="Q772" s="885"/>
      <c r="R772" s="885"/>
      <c r="S772" s="885"/>
      <c r="T772" s="885"/>
      <c r="U772" s="885"/>
      <c r="V772" s="885"/>
      <c r="W772" s="885"/>
      <c r="X772" s="885"/>
      <c r="Y772" s="885"/>
      <c r="Z772" s="885"/>
    </row>
    <row r="773" spans="1:26" ht="16.5" customHeight="1" x14ac:dyDescent="0.2">
      <c r="A773" s="885"/>
      <c r="B773" s="885"/>
      <c r="C773" s="885"/>
      <c r="D773" s="885"/>
      <c r="E773" s="885"/>
      <c r="F773" s="885"/>
      <c r="G773" s="885"/>
      <c r="H773" s="885"/>
      <c r="I773" s="885"/>
      <c r="J773" s="885"/>
      <c r="K773" s="885"/>
      <c r="L773" s="885"/>
      <c r="M773" s="885"/>
      <c r="N773" s="885"/>
      <c r="O773" s="885"/>
      <c r="P773" s="885"/>
      <c r="Q773" s="885"/>
      <c r="R773" s="885"/>
      <c r="S773" s="885"/>
      <c r="T773" s="885"/>
      <c r="U773" s="885"/>
      <c r="V773" s="885"/>
      <c r="W773" s="885"/>
      <c r="X773" s="885"/>
      <c r="Y773" s="885"/>
      <c r="Z773" s="885"/>
    </row>
    <row r="774" spans="1:26" ht="16.5" customHeight="1" x14ac:dyDescent="0.2">
      <c r="A774" s="885"/>
      <c r="B774" s="885"/>
      <c r="C774" s="885"/>
      <c r="D774" s="885"/>
      <c r="E774" s="885"/>
      <c r="F774" s="885"/>
      <c r="G774" s="885"/>
      <c r="H774" s="885"/>
      <c r="I774" s="885"/>
      <c r="J774" s="885"/>
      <c r="K774" s="885"/>
      <c r="L774" s="885"/>
      <c r="M774" s="885"/>
      <c r="N774" s="885"/>
      <c r="O774" s="885"/>
      <c r="P774" s="885"/>
      <c r="Q774" s="885"/>
      <c r="R774" s="885"/>
      <c r="S774" s="885"/>
      <c r="T774" s="885"/>
      <c r="U774" s="885"/>
      <c r="V774" s="885"/>
      <c r="W774" s="885"/>
      <c r="X774" s="885"/>
      <c r="Y774" s="885"/>
      <c r="Z774" s="885"/>
    </row>
    <row r="775" spans="1:26" ht="16.5" customHeight="1" x14ac:dyDescent="0.2">
      <c r="A775" s="885"/>
      <c r="B775" s="885"/>
      <c r="C775" s="885"/>
      <c r="D775" s="885"/>
      <c r="E775" s="885"/>
      <c r="F775" s="885"/>
      <c r="G775" s="885"/>
      <c r="H775" s="885"/>
      <c r="I775" s="885"/>
      <c r="J775" s="885"/>
      <c r="K775" s="885"/>
      <c r="L775" s="885"/>
      <c r="M775" s="885"/>
      <c r="N775" s="885"/>
      <c r="O775" s="885"/>
      <c r="P775" s="885"/>
      <c r="Q775" s="885"/>
      <c r="R775" s="885"/>
      <c r="S775" s="885"/>
      <c r="T775" s="885"/>
      <c r="U775" s="885"/>
      <c r="V775" s="885"/>
      <c r="W775" s="885"/>
      <c r="X775" s="885"/>
      <c r="Y775" s="885"/>
      <c r="Z775" s="885"/>
    </row>
    <row r="776" spans="1:26" ht="16.5" customHeight="1" x14ac:dyDescent="0.2">
      <c r="A776" s="885"/>
      <c r="B776" s="885"/>
      <c r="C776" s="885"/>
      <c r="D776" s="885"/>
      <c r="E776" s="885"/>
      <c r="F776" s="885"/>
      <c r="G776" s="885"/>
      <c r="H776" s="885"/>
      <c r="I776" s="885"/>
      <c r="J776" s="885"/>
      <c r="K776" s="885"/>
      <c r="L776" s="885"/>
      <c r="M776" s="885"/>
      <c r="N776" s="885"/>
      <c r="O776" s="885"/>
      <c r="P776" s="885"/>
      <c r="Q776" s="885"/>
      <c r="R776" s="885"/>
      <c r="S776" s="885"/>
      <c r="T776" s="885"/>
      <c r="U776" s="885"/>
      <c r="V776" s="885"/>
      <c r="W776" s="885"/>
      <c r="X776" s="885"/>
      <c r="Y776" s="885"/>
      <c r="Z776" s="885"/>
    </row>
    <row r="777" spans="1:26" ht="16.5" customHeight="1" x14ac:dyDescent="0.2">
      <c r="A777" s="885"/>
      <c r="B777" s="885"/>
      <c r="C777" s="885"/>
      <c r="D777" s="885"/>
      <c r="E777" s="885"/>
      <c r="F777" s="885"/>
      <c r="G777" s="885"/>
      <c r="H777" s="885"/>
      <c r="I777" s="885"/>
      <c r="J777" s="885"/>
      <c r="K777" s="885"/>
      <c r="L777" s="885"/>
      <c r="M777" s="885"/>
      <c r="N777" s="885"/>
      <c r="O777" s="885"/>
      <c r="P777" s="885"/>
      <c r="Q777" s="885"/>
      <c r="R777" s="885"/>
      <c r="S777" s="885"/>
      <c r="T777" s="885"/>
      <c r="U777" s="885"/>
      <c r="V777" s="885"/>
      <c r="W777" s="885"/>
      <c r="X777" s="885"/>
      <c r="Y777" s="885"/>
      <c r="Z777" s="885"/>
    </row>
    <row r="778" spans="1:26" ht="16.5" customHeight="1" x14ac:dyDescent="0.2">
      <c r="A778" s="885"/>
      <c r="B778" s="885"/>
      <c r="C778" s="885"/>
      <c r="D778" s="885"/>
      <c r="E778" s="885"/>
      <c r="F778" s="885"/>
      <c r="G778" s="885"/>
      <c r="H778" s="885"/>
      <c r="I778" s="885"/>
      <c r="J778" s="885"/>
      <c r="K778" s="885"/>
      <c r="L778" s="885"/>
      <c r="M778" s="885"/>
      <c r="N778" s="885"/>
      <c r="O778" s="885"/>
      <c r="P778" s="885"/>
      <c r="Q778" s="885"/>
      <c r="R778" s="885"/>
      <c r="S778" s="885"/>
      <c r="T778" s="885"/>
      <c r="U778" s="885"/>
      <c r="V778" s="885"/>
      <c r="W778" s="885"/>
      <c r="X778" s="885"/>
      <c r="Y778" s="885"/>
      <c r="Z778" s="885"/>
    </row>
    <row r="779" spans="1:26" ht="16.5" customHeight="1" x14ac:dyDescent="0.2">
      <c r="A779" s="885"/>
      <c r="B779" s="885"/>
      <c r="C779" s="885"/>
      <c r="D779" s="885"/>
      <c r="E779" s="885"/>
      <c r="F779" s="885"/>
      <c r="G779" s="885"/>
      <c r="H779" s="885"/>
      <c r="I779" s="885"/>
      <c r="J779" s="885"/>
      <c r="K779" s="885"/>
      <c r="L779" s="885"/>
      <c r="M779" s="885"/>
      <c r="N779" s="885"/>
      <c r="O779" s="885"/>
      <c r="P779" s="885"/>
      <c r="Q779" s="885"/>
      <c r="R779" s="885"/>
      <c r="S779" s="885"/>
      <c r="T779" s="885"/>
      <c r="U779" s="885"/>
      <c r="V779" s="885"/>
      <c r="W779" s="885"/>
      <c r="X779" s="885"/>
      <c r="Y779" s="885"/>
      <c r="Z779" s="885"/>
    </row>
    <row r="780" spans="1:26" ht="16.5" customHeight="1" x14ac:dyDescent="0.2">
      <c r="A780" s="885"/>
      <c r="B780" s="885"/>
      <c r="C780" s="885"/>
      <c r="D780" s="885"/>
      <c r="E780" s="885"/>
      <c r="F780" s="885"/>
      <c r="G780" s="885"/>
      <c r="H780" s="885"/>
      <c r="I780" s="885"/>
      <c r="J780" s="885"/>
      <c r="K780" s="885"/>
      <c r="L780" s="885"/>
      <c r="M780" s="885"/>
      <c r="N780" s="885"/>
      <c r="O780" s="885"/>
      <c r="P780" s="885"/>
      <c r="Q780" s="885"/>
      <c r="R780" s="885"/>
      <c r="S780" s="885"/>
      <c r="T780" s="885"/>
      <c r="U780" s="885"/>
      <c r="V780" s="885"/>
      <c r="W780" s="885"/>
      <c r="X780" s="885"/>
      <c r="Y780" s="885"/>
      <c r="Z780" s="885"/>
    </row>
    <row r="781" spans="1:26" ht="16.5" customHeight="1" x14ac:dyDescent="0.2">
      <c r="A781" s="885"/>
      <c r="B781" s="885"/>
      <c r="C781" s="885"/>
      <c r="D781" s="885"/>
      <c r="E781" s="885"/>
      <c r="F781" s="885"/>
      <c r="G781" s="885"/>
      <c r="H781" s="885"/>
      <c r="I781" s="885"/>
      <c r="J781" s="885"/>
      <c r="K781" s="885"/>
      <c r="L781" s="885"/>
      <c r="M781" s="885"/>
      <c r="N781" s="885"/>
      <c r="O781" s="885"/>
      <c r="P781" s="885"/>
      <c r="Q781" s="885"/>
      <c r="R781" s="885"/>
      <c r="S781" s="885"/>
      <c r="T781" s="885"/>
      <c r="U781" s="885"/>
      <c r="V781" s="885"/>
      <c r="W781" s="885"/>
      <c r="X781" s="885"/>
      <c r="Y781" s="885"/>
      <c r="Z781" s="885"/>
    </row>
    <row r="782" spans="1:26" ht="16.5" customHeight="1" x14ac:dyDescent="0.2">
      <c r="A782" s="885"/>
      <c r="B782" s="885"/>
      <c r="C782" s="885"/>
      <c r="D782" s="885"/>
      <c r="E782" s="885"/>
      <c r="F782" s="885"/>
      <c r="G782" s="885"/>
      <c r="H782" s="885"/>
      <c r="I782" s="885"/>
      <c r="J782" s="885"/>
      <c r="K782" s="885"/>
      <c r="L782" s="885"/>
      <c r="M782" s="885"/>
      <c r="N782" s="885"/>
      <c r="O782" s="885"/>
      <c r="P782" s="885"/>
      <c r="Q782" s="885"/>
      <c r="R782" s="885"/>
      <c r="S782" s="885"/>
      <c r="T782" s="885"/>
      <c r="U782" s="885"/>
      <c r="V782" s="885"/>
      <c r="W782" s="885"/>
      <c r="X782" s="885"/>
      <c r="Y782" s="885"/>
      <c r="Z782" s="885"/>
    </row>
    <row r="783" spans="1:26" ht="16.5" customHeight="1" x14ac:dyDescent="0.2">
      <c r="A783" s="885"/>
      <c r="B783" s="885"/>
      <c r="C783" s="885"/>
      <c r="D783" s="885"/>
      <c r="E783" s="885"/>
      <c r="F783" s="885"/>
      <c r="G783" s="885"/>
      <c r="H783" s="885"/>
      <c r="I783" s="885"/>
      <c r="J783" s="885"/>
      <c r="K783" s="885"/>
      <c r="L783" s="885"/>
      <c r="M783" s="885"/>
      <c r="N783" s="885"/>
      <c r="O783" s="885"/>
      <c r="P783" s="885"/>
      <c r="Q783" s="885"/>
      <c r="R783" s="885"/>
      <c r="S783" s="885"/>
      <c r="T783" s="885"/>
      <c r="U783" s="885"/>
      <c r="V783" s="885"/>
      <c r="W783" s="885"/>
      <c r="X783" s="885"/>
      <c r="Y783" s="885"/>
      <c r="Z783" s="885"/>
    </row>
    <row r="784" spans="1:26" ht="16.5" customHeight="1" x14ac:dyDescent="0.2">
      <c r="A784" s="885"/>
      <c r="B784" s="885"/>
      <c r="C784" s="885"/>
      <c r="D784" s="885"/>
      <c r="E784" s="885"/>
      <c r="F784" s="885"/>
      <c r="G784" s="885"/>
      <c r="H784" s="885"/>
      <c r="I784" s="885"/>
      <c r="J784" s="885"/>
      <c r="K784" s="885"/>
      <c r="L784" s="885"/>
      <c r="M784" s="885"/>
      <c r="N784" s="885"/>
      <c r="O784" s="885"/>
      <c r="P784" s="885"/>
      <c r="Q784" s="885"/>
      <c r="R784" s="885"/>
      <c r="S784" s="885"/>
      <c r="T784" s="885"/>
      <c r="U784" s="885"/>
      <c r="V784" s="885"/>
      <c r="W784" s="885"/>
      <c r="X784" s="885"/>
      <c r="Y784" s="885"/>
      <c r="Z784" s="885"/>
    </row>
    <row r="785" spans="1:26" ht="16.5" customHeight="1" x14ac:dyDescent="0.2">
      <c r="A785" s="885"/>
      <c r="B785" s="885"/>
      <c r="C785" s="885"/>
      <c r="D785" s="885"/>
      <c r="E785" s="885"/>
      <c r="F785" s="885"/>
      <c r="G785" s="885"/>
      <c r="H785" s="885"/>
      <c r="I785" s="885"/>
      <c r="J785" s="885"/>
      <c r="K785" s="885"/>
      <c r="L785" s="885"/>
      <c r="M785" s="885"/>
      <c r="N785" s="885"/>
      <c r="O785" s="885"/>
      <c r="P785" s="885"/>
      <c r="Q785" s="885"/>
      <c r="R785" s="885"/>
      <c r="S785" s="885"/>
      <c r="T785" s="885"/>
      <c r="U785" s="885"/>
      <c r="V785" s="885"/>
      <c r="W785" s="885"/>
      <c r="X785" s="885"/>
      <c r="Y785" s="885"/>
      <c r="Z785" s="885"/>
    </row>
    <row r="786" spans="1:26" ht="16.5" customHeight="1" x14ac:dyDescent="0.2">
      <c r="A786" s="885"/>
      <c r="B786" s="885"/>
      <c r="C786" s="885"/>
      <c r="D786" s="885"/>
      <c r="E786" s="885"/>
      <c r="F786" s="885"/>
      <c r="G786" s="885"/>
      <c r="H786" s="885"/>
      <c r="I786" s="885"/>
      <c r="J786" s="885"/>
      <c r="K786" s="885"/>
      <c r="L786" s="885"/>
      <c r="M786" s="885"/>
      <c r="N786" s="885"/>
      <c r="O786" s="885"/>
      <c r="P786" s="885"/>
      <c r="Q786" s="885"/>
      <c r="R786" s="885"/>
      <c r="S786" s="885"/>
      <c r="T786" s="885"/>
      <c r="U786" s="885"/>
      <c r="V786" s="885"/>
      <c r="W786" s="885"/>
      <c r="X786" s="885"/>
      <c r="Y786" s="885"/>
      <c r="Z786" s="885"/>
    </row>
    <row r="787" spans="1:26" ht="16.5" customHeight="1" x14ac:dyDescent="0.2">
      <c r="A787" s="885"/>
      <c r="B787" s="885"/>
      <c r="C787" s="885"/>
      <c r="D787" s="885"/>
      <c r="E787" s="885"/>
      <c r="F787" s="885"/>
      <c r="G787" s="885"/>
      <c r="H787" s="885"/>
      <c r="I787" s="885"/>
      <c r="J787" s="885"/>
      <c r="K787" s="885"/>
      <c r="L787" s="885"/>
      <c r="M787" s="885"/>
      <c r="N787" s="885"/>
      <c r="O787" s="885"/>
      <c r="P787" s="885"/>
      <c r="Q787" s="885"/>
      <c r="R787" s="885"/>
      <c r="S787" s="885"/>
      <c r="T787" s="885"/>
      <c r="U787" s="885"/>
      <c r="V787" s="885"/>
      <c r="W787" s="885"/>
      <c r="X787" s="885"/>
      <c r="Y787" s="885"/>
      <c r="Z787" s="885"/>
    </row>
    <row r="788" spans="1:26" ht="16.5" customHeight="1" x14ac:dyDescent="0.2">
      <c r="A788" s="885"/>
      <c r="B788" s="885"/>
      <c r="C788" s="885"/>
      <c r="D788" s="885"/>
      <c r="E788" s="885"/>
      <c r="F788" s="885"/>
      <c r="G788" s="885"/>
      <c r="H788" s="885"/>
      <c r="I788" s="885"/>
      <c r="J788" s="885"/>
      <c r="K788" s="885"/>
      <c r="L788" s="885"/>
      <c r="M788" s="885"/>
      <c r="N788" s="885"/>
      <c r="O788" s="885"/>
      <c r="P788" s="885"/>
      <c r="Q788" s="885"/>
      <c r="R788" s="885"/>
      <c r="S788" s="885"/>
      <c r="T788" s="885"/>
      <c r="U788" s="885"/>
      <c r="V788" s="885"/>
      <c r="W788" s="885"/>
      <c r="X788" s="885"/>
      <c r="Y788" s="885"/>
      <c r="Z788" s="885"/>
    </row>
    <row r="789" spans="1:26" ht="16.5" customHeight="1" x14ac:dyDescent="0.2">
      <c r="A789" s="885"/>
      <c r="B789" s="885"/>
      <c r="C789" s="885"/>
      <c r="D789" s="885"/>
      <c r="E789" s="885"/>
      <c r="F789" s="885"/>
      <c r="G789" s="885"/>
      <c r="H789" s="885"/>
      <c r="I789" s="885"/>
      <c r="J789" s="885"/>
      <c r="K789" s="885"/>
      <c r="L789" s="885"/>
      <c r="M789" s="885"/>
      <c r="N789" s="885"/>
      <c r="O789" s="885"/>
      <c r="P789" s="885"/>
      <c r="Q789" s="885"/>
      <c r="R789" s="885"/>
      <c r="S789" s="885"/>
      <c r="T789" s="885"/>
      <c r="U789" s="885"/>
      <c r="V789" s="885"/>
      <c r="W789" s="885"/>
      <c r="X789" s="885"/>
      <c r="Y789" s="885"/>
      <c r="Z789" s="885"/>
    </row>
    <row r="790" spans="1:26" ht="16.5" customHeight="1" x14ac:dyDescent="0.2">
      <c r="A790" s="885"/>
      <c r="B790" s="885"/>
      <c r="C790" s="885"/>
      <c r="D790" s="885"/>
      <c r="E790" s="885"/>
      <c r="F790" s="885"/>
      <c r="G790" s="885"/>
      <c r="H790" s="885"/>
      <c r="I790" s="885"/>
      <c r="J790" s="885"/>
      <c r="K790" s="885"/>
      <c r="L790" s="885"/>
      <c r="M790" s="885"/>
      <c r="N790" s="885"/>
      <c r="O790" s="885"/>
      <c r="P790" s="885"/>
      <c r="Q790" s="885"/>
      <c r="R790" s="885"/>
      <c r="S790" s="885"/>
      <c r="T790" s="885"/>
      <c r="U790" s="885"/>
      <c r="V790" s="885"/>
      <c r="W790" s="885"/>
      <c r="X790" s="885"/>
      <c r="Y790" s="885"/>
      <c r="Z790" s="885"/>
    </row>
    <row r="791" spans="1:26" ht="16.5" customHeight="1" x14ac:dyDescent="0.2">
      <c r="A791" s="885"/>
      <c r="B791" s="885"/>
      <c r="C791" s="885"/>
      <c r="D791" s="885"/>
      <c r="E791" s="885"/>
      <c r="F791" s="885"/>
      <c r="G791" s="885"/>
      <c r="H791" s="885"/>
      <c r="I791" s="885"/>
      <c r="J791" s="885"/>
      <c r="K791" s="885"/>
      <c r="L791" s="885"/>
      <c r="M791" s="885"/>
      <c r="N791" s="885"/>
      <c r="O791" s="885"/>
      <c r="P791" s="885"/>
      <c r="Q791" s="885"/>
      <c r="R791" s="885"/>
      <c r="S791" s="885"/>
      <c r="T791" s="885"/>
      <c r="U791" s="885"/>
      <c r="V791" s="885"/>
      <c r="W791" s="885"/>
      <c r="X791" s="885"/>
      <c r="Y791" s="885"/>
      <c r="Z791" s="885"/>
    </row>
    <row r="792" spans="1:26" ht="16.5" customHeight="1" x14ac:dyDescent="0.2">
      <c r="A792" s="885"/>
      <c r="B792" s="885"/>
      <c r="C792" s="885"/>
      <c r="D792" s="885"/>
      <c r="E792" s="885"/>
      <c r="F792" s="885"/>
      <c r="G792" s="885"/>
      <c r="H792" s="885"/>
      <c r="I792" s="885"/>
      <c r="J792" s="885"/>
      <c r="K792" s="885"/>
      <c r="L792" s="885"/>
      <c r="M792" s="885"/>
      <c r="N792" s="885"/>
      <c r="O792" s="885"/>
      <c r="P792" s="885"/>
      <c r="Q792" s="885"/>
      <c r="R792" s="885"/>
      <c r="S792" s="885"/>
      <c r="T792" s="885"/>
      <c r="U792" s="885"/>
      <c r="V792" s="885"/>
      <c r="W792" s="885"/>
      <c r="X792" s="885"/>
      <c r="Y792" s="885"/>
      <c r="Z792" s="885"/>
    </row>
    <row r="793" spans="1:26" ht="16.5" customHeight="1" x14ac:dyDescent="0.2">
      <c r="A793" s="885"/>
      <c r="B793" s="885"/>
      <c r="C793" s="885"/>
      <c r="D793" s="885"/>
      <c r="E793" s="885"/>
      <c r="F793" s="885"/>
      <c r="G793" s="885"/>
      <c r="H793" s="885"/>
      <c r="I793" s="885"/>
      <c r="J793" s="885"/>
      <c r="K793" s="885"/>
      <c r="L793" s="885"/>
      <c r="M793" s="885"/>
      <c r="N793" s="885"/>
      <c r="O793" s="885"/>
      <c r="P793" s="885"/>
      <c r="Q793" s="885"/>
      <c r="R793" s="885"/>
      <c r="S793" s="885"/>
      <c r="T793" s="885"/>
      <c r="U793" s="885"/>
      <c r="V793" s="885"/>
      <c r="W793" s="885"/>
      <c r="X793" s="885"/>
      <c r="Y793" s="885"/>
      <c r="Z793" s="885"/>
    </row>
    <row r="794" spans="1:26" ht="16.5" customHeight="1" x14ac:dyDescent="0.2">
      <c r="A794" s="885"/>
      <c r="B794" s="885"/>
      <c r="C794" s="885"/>
      <c r="D794" s="885"/>
      <c r="E794" s="885"/>
      <c r="F794" s="885"/>
      <c r="G794" s="885"/>
      <c r="H794" s="885"/>
      <c r="I794" s="885"/>
      <c r="J794" s="885"/>
      <c r="K794" s="885"/>
      <c r="L794" s="885"/>
      <c r="M794" s="885"/>
      <c r="N794" s="885"/>
      <c r="O794" s="885"/>
      <c r="P794" s="885"/>
      <c r="Q794" s="885"/>
      <c r="R794" s="885"/>
      <c r="S794" s="885"/>
      <c r="T794" s="885"/>
      <c r="U794" s="885"/>
      <c r="V794" s="885"/>
      <c r="W794" s="885"/>
      <c r="X794" s="885"/>
      <c r="Y794" s="885"/>
      <c r="Z794" s="885"/>
    </row>
    <row r="795" spans="1:26" ht="16.5" customHeight="1" x14ac:dyDescent="0.2">
      <c r="A795" s="885"/>
      <c r="B795" s="885"/>
      <c r="C795" s="885"/>
      <c r="D795" s="885"/>
      <c r="E795" s="885"/>
      <c r="F795" s="885"/>
      <c r="G795" s="885"/>
      <c r="H795" s="885"/>
      <c r="I795" s="885"/>
      <c r="J795" s="885"/>
      <c r="K795" s="885"/>
      <c r="L795" s="885"/>
      <c r="M795" s="885"/>
      <c r="N795" s="885"/>
      <c r="O795" s="885"/>
      <c r="P795" s="885"/>
      <c r="Q795" s="885"/>
      <c r="R795" s="885"/>
      <c r="S795" s="885"/>
      <c r="T795" s="885"/>
      <c r="U795" s="885"/>
      <c r="V795" s="885"/>
      <c r="W795" s="885"/>
      <c r="X795" s="885"/>
      <c r="Y795" s="885"/>
      <c r="Z795" s="885"/>
    </row>
    <row r="796" spans="1:26" ht="16.5" customHeight="1" x14ac:dyDescent="0.2">
      <c r="A796" s="885"/>
      <c r="B796" s="885"/>
      <c r="C796" s="885"/>
      <c r="D796" s="885"/>
      <c r="E796" s="885"/>
      <c r="F796" s="885"/>
      <c r="G796" s="885"/>
      <c r="H796" s="885"/>
      <c r="I796" s="885"/>
      <c r="J796" s="885"/>
      <c r="K796" s="885"/>
      <c r="L796" s="885"/>
      <c r="M796" s="885"/>
      <c r="N796" s="885"/>
      <c r="O796" s="885"/>
      <c r="P796" s="885"/>
      <c r="Q796" s="885"/>
      <c r="R796" s="885"/>
      <c r="S796" s="885"/>
      <c r="T796" s="885"/>
      <c r="U796" s="885"/>
      <c r="V796" s="885"/>
      <c r="W796" s="885"/>
      <c r="X796" s="885"/>
      <c r="Y796" s="885"/>
      <c r="Z796" s="885"/>
    </row>
    <row r="797" spans="1:26" ht="16.5" customHeight="1" x14ac:dyDescent="0.2">
      <c r="A797" s="885"/>
      <c r="B797" s="885"/>
      <c r="C797" s="885"/>
      <c r="D797" s="885"/>
      <c r="E797" s="885"/>
      <c r="F797" s="885"/>
      <c r="G797" s="885"/>
      <c r="H797" s="885"/>
      <c r="I797" s="885"/>
      <c r="J797" s="885"/>
      <c r="K797" s="885"/>
      <c r="L797" s="885"/>
      <c r="M797" s="885"/>
      <c r="N797" s="885"/>
      <c r="O797" s="885"/>
      <c r="P797" s="885"/>
      <c r="Q797" s="885"/>
      <c r="R797" s="885"/>
      <c r="S797" s="885"/>
      <c r="T797" s="885"/>
      <c r="U797" s="885"/>
      <c r="V797" s="885"/>
      <c r="W797" s="885"/>
      <c r="X797" s="885"/>
      <c r="Y797" s="885"/>
      <c r="Z797" s="885"/>
    </row>
    <row r="798" spans="1:26" ht="16.5" customHeight="1" x14ac:dyDescent="0.2">
      <c r="A798" s="885"/>
      <c r="B798" s="885"/>
      <c r="C798" s="885"/>
      <c r="D798" s="885"/>
      <c r="E798" s="885"/>
      <c r="F798" s="885"/>
      <c r="G798" s="885"/>
      <c r="H798" s="885"/>
      <c r="I798" s="885"/>
      <c r="J798" s="885"/>
      <c r="K798" s="885"/>
      <c r="L798" s="885"/>
      <c r="M798" s="885"/>
      <c r="N798" s="885"/>
      <c r="O798" s="885"/>
      <c r="P798" s="885"/>
      <c r="Q798" s="885"/>
      <c r="R798" s="885"/>
      <c r="S798" s="885"/>
      <c r="T798" s="885"/>
      <c r="U798" s="885"/>
      <c r="V798" s="885"/>
      <c r="W798" s="885"/>
      <c r="X798" s="885"/>
      <c r="Y798" s="885"/>
      <c r="Z798" s="885"/>
    </row>
    <row r="799" spans="1:26" ht="16.5" customHeight="1" x14ac:dyDescent="0.2">
      <c r="A799" s="885"/>
      <c r="B799" s="885"/>
      <c r="C799" s="885"/>
      <c r="D799" s="885"/>
      <c r="E799" s="885"/>
      <c r="F799" s="885"/>
      <c r="G799" s="885"/>
      <c r="H799" s="885"/>
      <c r="I799" s="885"/>
      <c r="J799" s="885"/>
      <c r="K799" s="885"/>
      <c r="L799" s="885"/>
      <c r="M799" s="885"/>
      <c r="N799" s="885"/>
      <c r="O799" s="885"/>
      <c r="P799" s="885"/>
      <c r="Q799" s="885"/>
      <c r="R799" s="885"/>
      <c r="S799" s="885"/>
      <c r="T799" s="885"/>
      <c r="U799" s="885"/>
      <c r="V799" s="885"/>
      <c r="W799" s="885"/>
      <c r="X799" s="885"/>
      <c r="Y799" s="885"/>
      <c r="Z799" s="885"/>
    </row>
    <row r="800" spans="1:26" ht="16.5" customHeight="1" x14ac:dyDescent="0.2">
      <c r="A800" s="885"/>
      <c r="B800" s="885"/>
      <c r="C800" s="885"/>
      <c r="D800" s="885"/>
      <c r="E800" s="885"/>
      <c r="F800" s="885"/>
      <c r="G800" s="885"/>
      <c r="H800" s="885"/>
      <c r="I800" s="885"/>
      <c r="J800" s="885"/>
      <c r="K800" s="885"/>
      <c r="L800" s="885"/>
      <c r="M800" s="885"/>
      <c r="N800" s="885"/>
      <c r="O800" s="885"/>
      <c r="P800" s="885"/>
      <c r="Q800" s="885"/>
      <c r="R800" s="885"/>
      <c r="S800" s="885"/>
      <c r="T800" s="885"/>
      <c r="U800" s="885"/>
      <c r="V800" s="885"/>
      <c r="W800" s="885"/>
      <c r="X800" s="885"/>
      <c r="Y800" s="885"/>
      <c r="Z800" s="885"/>
    </row>
    <row r="801" spans="1:26" ht="16.5" customHeight="1" x14ac:dyDescent="0.2">
      <c r="A801" s="885"/>
      <c r="B801" s="885"/>
      <c r="C801" s="885"/>
      <c r="D801" s="885"/>
      <c r="E801" s="885"/>
      <c r="F801" s="885"/>
      <c r="G801" s="885"/>
      <c r="H801" s="885"/>
      <c r="I801" s="885"/>
      <c r="J801" s="885"/>
      <c r="K801" s="885"/>
      <c r="L801" s="885"/>
      <c r="M801" s="885"/>
      <c r="N801" s="885"/>
      <c r="O801" s="885"/>
      <c r="P801" s="885"/>
      <c r="Q801" s="885"/>
      <c r="R801" s="885"/>
      <c r="S801" s="885"/>
      <c r="T801" s="885"/>
      <c r="U801" s="885"/>
      <c r="V801" s="885"/>
      <c r="W801" s="885"/>
      <c r="X801" s="885"/>
      <c r="Y801" s="885"/>
      <c r="Z801" s="885"/>
    </row>
    <row r="802" spans="1:26" ht="16.5" customHeight="1" x14ac:dyDescent="0.2">
      <c r="A802" s="885"/>
      <c r="B802" s="885"/>
      <c r="C802" s="885"/>
      <c r="D802" s="885"/>
      <c r="E802" s="885"/>
      <c r="F802" s="885"/>
      <c r="G802" s="885"/>
      <c r="H802" s="885"/>
      <c r="I802" s="885"/>
      <c r="J802" s="885"/>
      <c r="K802" s="885"/>
      <c r="L802" s="885"/>
      <c r="M802" s="885"/>
      <c r="N802" s="885"/>
      <c r="O802" s="885"/>
      <c r="P802" s="885"/>
      <c r="Q802" s="885"/>
      <c r="R802" s="885"/>
      <c r="S802" s="885"/>
      <c r="T802" s="885"/>
      <c r="U802" s="885"/>
      <c r="V802" s="885"/>
      <c r="W802" s="885"/>
      <c r="X802" s="885"/>
      <c r="Y802" s="885"/>
      <c r="Z802" s="885"/>
    </row>
    <row r="803" spans="1:26" ht="16.5" customHeight="1" x14ac:dyDescent="0.2">
      <c r="A803" s="885"/>
      <c r="B803" s="885"/>
      <c r="C803" s="885"/>
      <c r="D803" s="885"/>
      <c r="E803" s="885"/>
      <c r="F803" s="885"/>
      <c r="G803" s="885"/>
      <c r="H803" s="885"/>
      <c r="I803" s="885"/>
      <c r="J803" s="885"/>
      <c r="K803" s="885"/>
      <c r="L803" s="885"/>
      <c r="M803" s="885"/>
      <c r="N803" s="885"/>
      <c r="O803" s="885"/>
      <c r="P803" s="885"/>
      <c r="Q803" s="885"/>
      <c r="R803" s="885"/>
      <c r="S803" s="885"/>
      <c r="T803" s="885"/>
      <c r="U803" s="885"/>
      <c r="V803" s="885"/>
      <c r="W803" s="885"/>
      <c r="X803" s="885"/>
      <c r="Y803" s="885"/>
      <c r="Z803" s="885"/>
    </row>
    <row r="804" spans="1:26" ht="16.5" customHeight="1" x14ac:dyDescent="0.2">
      <c r="A804" s="885"/>
      <c r="B804" s="885"/>
      <c r="C804" s="885"/>
      <c r="D804" s="885"/>
      <c r="E804" s="885"/>
      <c r="F804" s="885"/>
      <c r="G804" s="885"/>
      <c r="H804" s="885"/>
      <c r="I804" s="885"/>
      <c r="J804" s="885"/>
      <c r="K804" s="885"/>
      <c r="L804" s="885"/>
      <c r="M804" s="885"/>
      <c r="N804" s="885"/>
      <c r="O804" s="885"/>
      <c r="P804" s="885"/>
      <c r="Q804" s="885"/>
      <c r="R804" s="885"/>
      <c r="S804" s="885"/>
      <c r="T804" s="885"/>
      <c r="U804" s="885"/>
      <c r="V804" s="885"/>
      <c r="W804" s="885"/>
      <c r="X804" s="885"/>
      <c r="Y804" s="885"/>
      <c r="Z804" s="885"/>
    </row>
    <row r="805" spans="1:26" ht="16.5" customHeight="1" x14ac:dyDescent="0.2">
      <c r="A805" s="885"/>
      <c r="B805" s="885"/>
      <c r="C805" s="885"/>
      <c r="D805" s="885"/>
      <c r="E805" s="885"/>
      <c r="F805" s="885"/>
      <c r="G805" s="885"/>
      <c r="H805" s="885"/>
      <c r="I805" s="885"/>
      <c r="J805" s="885"/>
      <c r="K805" s="885"/>
      <c r="L805" s="885"/>
      <c r="M805" s="885"/>
      <c r="N805" s="885"/>
      <c r="O805" s="885"/>
      <c r="P805" s="885"/>
      <c r="Q805" s="885"/>
      <c r="R805" s="885"/>
      <c r="S805" s="885"/>
      <c r="T805" s="885"/>
      <c r="U805" s="885"/>
      <c r="V805" s="885"/>
      <c r="W805" s="885"/>
      <c r="X805" s="885"/>
      <c r="Y805" s="885"/>
      <c r="Z805" s="885"/>
    </row>
    <row r="806" spans="1:26" ht="16.5" customHeight="1" x14ac:dyDescent="0.2">
      <c r="A806" s="885"/>
      <c r="B806" s="885"/>
      <c r="C806" s="885"/>
      <c r="D806" s="885"/>
      <c r="E806" s="885"/>
      <c r="F806" s="885"/>
      <c r="G806" s="885"/>
      <c r="H806" s="885"/>
      <c r="I806" s="885"/>
      <c r="J806" s="885"/>
      <c r="K806" s="885"/>
      <c r="L806" s="885"/>
      <c r="M806" s="885"/>
      <c r="N806" s="885"/>
      <c r="O806" s="885"/>
      <c r="P806" s="885"/>
      <c r="Q806" s="885"/>
      <c r="R806" s="885"/>
      <c r="S806" s="885"/>
      <c r="T806" s="885"/>
      <c r="U806" s="885"/>
      <c r="V806" s="885"/>
      <c r="W806" s="885"/>
      <c r="X806" s="885"/>
      <c r="Y806" s="885"/>
      <c r="Z806" s="885"/>
    </row>
    <row r="807" spans="1:26" ht="16.5" customHeight="1" x14ac:dyDescent="0.2">
      <c r="A807" s="885"/>
      <c r="B807" s="885"/>
      <c r="C807" s="885"/>
      <c r="D807" s="885"/>
      <c r="E807" s="885"/>
      <c r="F807" s="885"/>
      <c r="G807" s="885"/>
      <c r="H807" s="885"/>
      <c r="I807" s="885"/>
      <c r="J807" s="885"/>
      <c r="K807" s="885"/>
      <c r="L807" s="885"/>
      <c r="M807" s="885"/>
      <c r="N807" s="885"/>
      <c r="O807" s="885"/>
      <c r="P807" s="885"/>
      <c r="Q807" s="885"/>
      <c r="R807" s="885"/>
      <c r="S807" s="885"/>
      <c r="T807" s="885"/>
      <c r="U807" s="885"/>
      <c r="V807" s="885"/>
      <c r="W807" s="885"/>
      <c r="X807" s="885"/>
      <c r="Y807" s="885"/>
      <c r="Z807" s="885"/>
    </row>
    <row r="808" spans="1:26" ht="16.5" customHeight="1" x14ac:dyDescent="0.2">
      <c r="A808" s="885"/>
      <c r="B808" s="885"/>
      <c r="C808" s="885"/>
      <c r="D808" s="885"/>
      <c r="E808" s="885"/>
      <c r="F808" s="885"/>
      <c r="G808" s="885"/>
      <c r="H808" s="885"/>
      <c r="I808" s="885"/>
      <c r="J808" s="885"/>
      <c r="K808" s="885"/>
      <c r="L808" s="885"/>
      <c r="M808" s="885"/>
      <c r="N808" s="885"/>
      <c r="O808" s="885"/>
      <c r="P808" s="885"/>
      <c r="Q808" s="885"/>
      <c r="R808" s="885"/>
      <c r="S808" s="885"/>
      <c r="T808" s="885"/>
      <c r="U808" s="885"/>
      <c r="V808" s="885"/>
      <c r="W808" s="885"/>
      <c r="X808" s="885"/>
      <c r="Y808" s="885"/>
      <c r="Z808" s="885"/>
    </row>
    <row r="809" spans="1:26" ht="16.5" customHeight="1" x14ac:dyDescent="0.2">
      <c r="A809" s="885"/>
      <c r="B809" s="885"/>
      <c r="C809" s="885"/>
      <c r="D809" s="885"/>
      <c r="E809" s="885"/>
      <c r="F809" s="885"/>
      <c r="G809" s="885"/>
      <c r="H809" s="885"/>
      <c r="I809" s="885"/>
      <c r="J809" s="885"/>
      <c r="K809" s="885"/>
      <c r="L809" s="885"/>
      <c r="M809" s="885"/>
      <c r="N809" s="885"/>
      <c r="O809" s="885"/>
      <c r="P809" s="885"/>
      <c r="Q809" s="885"/>
      <c r="R809" s="885"/>
      <c r="S809" s="885"/>
      <c r="T809" s="885"/>
      <c r="U809" s="885"/>
      <c r="V809" s="885"/>
      <c r="W809" s="885"/>
      <c r="X809" s="885"/>
      <c r="Y809" s="885"/>
      <c r="Z809" s="885"/>
    </row>
    <row r="810" spans="1:26" ht="16.5" customHeight="1" x14ac:dyDescent="0.2">
      <c r="A810" s="885"/>
      <c r="B810" s="885"/>
      <c r="C810" s="885"/>
      <c r="D810" s="885"/>
      <c r="E810" s="885"/>
      <c r="F810" s="885"/>
      <c r="G810" s="885"/>
      <c r="H810" s="885"/>
      <c r="I810" s="885"/>
      <c r="J810" s="885"/>
      <c r="K810" s="885"/>
      <c r="L810" s="885"/>
      <c r="M810" s="885"/>
      <c r="N810" s="885"/>
      <c r="O810" s="885"/>
      <c r="P810" s="885"/>
      <c r="Q810" s="885"/>
      <c r="R810" s="885"/>
      <c r="S810" s="885"/>
      <c r="T810" s="885"/>
      <c r="U810" s="885"/>
      <c r="V810" s="885"/>
      <c r="W810" s="885"/>
      <c r="X810" s="885"/>
      <c r="Y810" s="885"/>
      <c r="Z810" s="885"/>
    </row>
    <row r="811" spans="1:26" ht="16.5" customHeight="1" x14ac:dyDescent="0.2">
      <c r="A811" s="885"/>
      <c r="B811" s="885"/>
      <c r="C811" s="885"/>
      <c r="D811" s="885"/>
      <c r="E811" s="885"/>
      <c r="F811" s="885"/>
      <c r="G811" s="885"/>
      <c r="H811" s="885"/>
      <c r="I811" s="885"/>
      <c r="J811" s="885"/>
      <c r="K811" s="885"/>
      <c r="L811" s="885"/>
      <c r="M811" s="885"/>
      <c r="N811" s="885"/>
      <c r="O811" s="885"/>
      <c r="P811" s="885"/>
      <c r="Q811" s="885"/>
      <c r="R811" s="885"/>
      <c r="S811" s="885"/>
      <c r="T811" s="885"/>
      <c r="U811" s="885"/>
      <c r="V811" s="885"/>
      <c r="W811" s="885"/>
      <c r="X811" s="885"/>
      <c r="Y811" s="885"/>
      <c r="Z811" s="885"/>
    </row>
    <row r="812" spans="1:26" ht="16.5" customHeight="1" x14ac:dyDescent="0.2">
      <c r="A812" s="885"/>
      <c r="B812" s="885"/>
      <c r="C812" s="885"/>
      <c r="D812" s="885"/>
      <c r="E812" s="885"/>
      <c r="F812" s="885"/>
      <c r="G812" s="885"/>
      <c r="H812" s="885"/>
      <c r="I812" s="885"/>
      <c r="J812" s="885"/>
      <c r="K812" s="885"/>
      <c r="L812" s="885"/>
      <c r="M812" s="885"/>
      <c r="N812" s="885"/>
      <c r="O812" s="885"/>
      <c r="P812" s="885"/>
      <c r="Q812" s="885"/>
      <c r="R812" s="885"/>
      <c r="S812" s="885"/>
      <c r="T812" s="885"/>
      <c r="U812" s="885"/>
      <c r="V812" s="885"/>
      <c r="W812" s="885"/>
      <c r="X812" s="885"/>
      <c r="Y812" s="885"/>
      <c r="Z812" s="885"/>
    </row>
    <row r="813" spans="1:26" ht="16.5" customHeight="1" x14ac:dyDescent="0.2">
      <c r="A813" s="885"/>
      <c r="B813" s="885"/>
      <c r="C813" s="885"/>
      <c r="D813" s="885"/>
      <c r="E813" s="885"/>
      <c r="F813" s="885"/>
      <c r="G813" s="885"/>
      <c r="H813" s="885"/>
      <c r="I813" s="885"/>
      <c r="J813" s="885"/>
      <c r="K813" s="885"/>
      <c r="L813" s="885"/>
      <c r="M813" s="885"/>
      <c r="N813" s="885"/>
      <c r="O813" s="885"/>
      <c r="P813" s="885"/>
      <c r="Q813" s="885"/>
      <c r="R813" s="885"/>
      <c r="S813" s="885"/>
      <c r="T813" s="885"/>
      <c r="U813" s="885"/>
      <c r="V813" s="885"/>
      <c r="W813" s="885"/>
      <c r="X813" s="885"/>
      <c r="Y813" s="885"/>
      <c r="Z813" s="885"/>
    </row>
    <row r="814" spans="1:26" ht="16.5" customHeight="1" x14ac:dyDescent="0.2">
      <c r="A814" s="885"/>
      <c r="B814" s="885"/>
      <c r="C814" s="885"/>
      <c r="D814" s="885"/>
      <c r="E814" s="885"/>
      <c r="F814" s="885"/>
      <c r="G814" s="885"/>
      <c r="H814" s="885"/>
      <c r="I814" s="885"/>
      <c r="J814" s="885"/>
      <c r="K814" s="885"/>
      <c r="L814" s="885"/>
      <c r="M814" s="885"/>
      <c r="N814" s="885"/>
      <c r="O814" s="885"/>
      <c r="P814" s="885"/>
      <c r="Q814" s="885"/>
      <c r="R814" s="885"/>
      <c r="S814" s="885"/>
      <c r="T814" s="885"/>
      <c r="U814" s="885"/>
      <c r="V814" s="885"/>
      <c r="W814" s="885"/>
      <c r="X814" s="885"/>
      <c r="Y814" s="885"/>
      <c r="Z814" s="885"/>
    </row>
    <row r="815" spans="1:26" ht="16.5" customHeight="1" x14ac:dyDescent="0.2">
      <c r="A815" s="885"/>
      <c r="B815" s="885"/>
      <c r="C815" s="885"/>
      <c r="D815" s="885"/>
      <c r="E815" s="885"/>
      <c r="F815" s="885"/>
      <c r="G815" s="885"/>
      <c r="H815" s="885"/>
      <c r="I815" s="885"/>
      <c r="J815" s="885"/>
      <c r="K815" s="885"/>
      <c r="L815" s="885"/>
      <c r="M815" s="885"/>
      <c r="N815" s="885"/>
      <c r="O815" s="885"/>
      <c r="P815" s="885"/>
      <c r="Q815" s="885"/>
      <c r="R815" s="885"/>
      <c r="S815" s="885"/>
      <c r="T815" s="885"/>
      <c r="U815" s="885"/>
      <c r="V815" s="885"/>
      <c r="W815" s="885"/>
      <c r="X815" s="885"/>
      <c r="Y815" s="885"/>
      <c r="Z815" s="885"/>
    </row>
    <row r="816" spans="1:26" ht="16.5" customHeight="1" x14ac:dyDescent="0.2">
      <c r="A816" s="885"/>
      <c r="B816" s="885"/>
      <c r="C816" s="885"/>
      <c r="D816" s="885"/>
      <c r="E816" s="885"/>
      <c r="F816" s="885"/>
      <c r="G816" s="885"/>
      <c r="H816" s="885"/>
      <c r="I816" s="885"/>
      <c r="J816" s="885"/>
      <c r="K816" s="885"/>
      <c r="L816" s="885"/>
      <c r="M816" s="885"/>
      <c r="N816" s="885"/>
      <c r="O816" s="885"/>
      <c r="P816" s="885"/>
      <c r="Q816" s="885"/>
      <c r="R816" s="885"/>
      <c r="S816" s="885"/>
      <c r="T816" s="885"/>
      <c r="U816" s="885"/>
      <c r="V816" s="885"/>
      <c r="W816" s="885"/>
      <c r="X816" s="885"/>
      <c r="Y816" s="885"/>
      <c r="Z816" s="885"/>
    </row>
    <row r="817" spans="1:26" ht="16.5" customHeight="1" x14ac:dyDescent="0.2">
      <c r="A817" s="885"/>
      <c r="B817" s="885"/>
      <c r="C817" s="885"/>
      <c r="D817" s="885"/>
      <c r="E817" s="885"/>
      <c r="F817" s="885"/>
      <c r="G817" s="885"/>
      <c r="H817" s="885"/>
      <c r="I817" s="885"/>
      <c r="J817" s="885"/>
      <c r="K817" s="885"/>
      <c r="L817" s="885"/>
      <c r="M817" s="885"/>
      <c r="N817" s="885"/>
      <c r="O817" s="885"/>
      <c r="P817" s="885"/>
      <c r="Q817" s="885"/>
      <c r="R817" s="885"/>
      <c r="S817" s="885"/>
      <c r="T817" s="885"/>
      <c r="U817" s="885"/>
      <c r="V817" s="885"/>
      <c r="W817" s="885"/>
      <c r="X817" s="885"/>
      <c r="Y817" s="885"/>
      <c r="Z817" s="885"/>
    </row>
    <row r="818" spans="1:26" ht="16.5" customHeight="1" x14ac:dyDescent="0.2">
      <c r="A818" s="885"/>
      <c r="B818" s="885"/>
      <c r="C818" s="885"/>
      <c r="D818" s="885"/>
      <c r="E818" s="885"/>
      <c r="F818" s="885"/>
      <c r="G818" s="885"/>
      <c r="H818" s="885"/>
      <c r="I818" s="885"/>
      <c r="J818" s="885"/>
      <c r="K818" s="885"/>
      <c r="L818" s="885"/>
      <c r="M818" s="885"/>
      <c r="N818" s="885"/>
      <c r="O818" s="885"/>
      <c r="P818" s="885"/>
      <c r="Q818" s="885"/>
      <c r="R818" s="885"/>
      <c r="S818" s="885"/>
      <c r="T818" s="885"/>
      <c r="U818" s="885"/>
      <c r="V818" s="885"/>
      <c r="W818" s="885"/>
      <c r="X818" s="885"/>
      <c r="Y818" s="885"/>
      <c r="Z818" s="885"/>
    </row>
    <row r="819" spans="1:26" ht="16.5" customHeight="1" x14ac:dyDescent="0.2">
      <c r="A819" s="885"/>
      <c r="B819" s="885"/>
      <c r="C819" s="885"/>
      <c r="D819" s="885"/>
      <c r="E819" s="885"/>
      <c r="F819" s="885"/>
      <c r="G819" s="885"/>
      <c r="H819" s="885"/>
      <c r="I819" s="885"/>
      <c r="J819" s="885"/>
      <c r="K819" s="885"/>
      <c r="L819" s="885"/>
      <c r="M819" s="885"/>
      <c r="N819" s="885"/>
      <c r="O819" s="885"/>
      <c r="P819" s="885"/>
      <c r="Q819" s="885"/>
      <c r="R819" s="885"/>
      <c r="S819" s="885"/>
      <c r="T819" s="885"/>
      <c r="U819" s="885"/>
      <c r="V819" s="885"/>
      <c r="W819" s="885"/>
      <c r="X819" s="885"/>
      <c r="Y819" s="885"/>
      <c r="Z819" s="885"/>
    </row>
    <row r="820" spans="1:26" ht="16.5" customHeight="1" x14ac:dyDescent="0.2">
      <c r="A820" s="885"/>
      <c r="B820" s="885"/>
      <c r="C820" s="885"/>
      <c r="D820" s="885"/>
      <c r="E820" s="885"/>
      <c r="F820" s="885"/>
      <c r="G820" s="885"/>
      <c r="H820" s="885"/>
      <c r="I820" s="885"/>
      <c r="J820" s="885"/>
      <c r="K820" s="885"/>
      <c r="L820" s="885"/>
      <c r="M820" s="885"/>
      <c r="N820" s="885"/>
      <c r="O820" s="885"/>
      <c r="P820" s="885"/>
      <c r="Q820" s="885"/>
      <c r="R820" s="885"/>
      <c r="S820" s="885"/>
      <c r="T820" s="885"/>
      <c r="U820" s="885"/>
      <c r="V820" s="885"/>
      <c r="W820" s="885"/>
      <c r="X820" s="885"/>
      <c r="Y820" s="885"/>
      <c r="Z820" s="885"/>
    </row>
    <row r="821" spans="1:26" ht="16.5" customHeight="1" x14ac:dyDescent="0.2">
      <c r="A821" s="885"/>
      <c r="B821" s="885"/>
      <c r="C821" s="885"/>
      <c r="D821" s="885"/>
      <c r="E821" s="885"/>
      <c r="F821" s="885"/>
      <c r="G821" s="885"/>
      <c r="H821" s="885"/>
      <c r="I821" s="885"/>
      <c r="J821" s="885"/>
      <c r="K821" s="885"/>
      <c r="L821" s="885"/>
      <c r="M821" s="885"/>
      <c r="N821" s="885"/>
      <c r="O821" s="885"/>
      <c r="P821" s="885"/>
      <c r="Q821" s="885"/>
      <c r="R821" s="885"/>
      <c r="S821" s="885"/>
      <c r="T821" s="885"/>
      <c r="U821" s="885"/>
      <c r="V821" s="885"/>
      <c r="W821" s="885"/>
      <c r="X821" s="885"/>
      <c r="Y821" s="885"/>
      <c r="Z821" s="885"/>
    </row>
    <row r="822" spans="1:26" ht="16.5" customHeight="1" x14ac:dyDescent="0.2">
      <c r="A822" s="885"/>
      <c r="B822" s="885"/>
      <c r="C822" s="885"/>
      <c r="D822" s="885"/>
      <c r="E822" s="885"/>
      <c r="F822" s="885"/>
      <c r="G822" s="885"/>
      <c r="H822" s="885"/>
      <c r="I822" s="885"/>
      <c r="J822" s="885"/>
      <c r="K822" s="885"/>
      <c r="L822" s="885"/>
      <c r="M822" s="885"/>
      <c r="N822" s="885"/>
      <c r="O822" s="885"/>
      <c r="P822" s="885"/>
      <c r="Q822" s="885"/>
      <c r="R822" s="885"/>
      <c r="S822" s="885"/>
      <c r="T822" s="885"/>
      <c r="U822" s="885"/>
      <c r="V822" s="885"/>
      <c r="W822" s="885"/>
      <c r="X822" s="885"/>
      <c r="Y822" s="885"/>
      <c r="Z822" s="885"/>
    </row>
    <row r="823" spans="1:26" ht="16.5" customHeight="1" x14ac:dyDescent="0.2">
      <c r="A823" s="885"/>
      <c r="B823" s="885"/>
      <c r="C823" s="885"/>
      <c r="D823" s="885"/>
      <c r="E823" s="885"/>
      <c r="F823" s="885"/>
      <c r="G823" s="885"/>
      <c r="H823" s="885"/>
      <c r="I823" s="885"/>
      <c r="J823" s="885"/>
      <c r="K823" s="885"/>
      <c r="L823" s="885"/>
      <c r="M823" s="885"/>
      <c r="N823" s="885"/>
      <c r="O823" s="885"/>
      <c r="P823" s="885"/>
      <c r="Q823" s="885"/>
      <c r="R823" s="885"/>
      <c r="S823" s="885"/>
      <c r="T823" s="885"/>
      <c r="U823" s="885"/>
      <c r="V823" s="885"/>
      <c r="W823" s="885"/>
      <c r="X823" s="885"/>
      <c r="Y823" s="885"/>
      <c r="Z823" s="885"/>
    </row>
    <row r="824" spans="1:26" ht="16.5" customHeight="1" x14ac:dyDescent="0.2">
      <c r="A824" s="885"/>
      <c r="B824" s="885"/>
      <c r="C824" s="885"/>
      <c r="D824" s="885"/>
      <c r="E824" s="885"/>
      <c r="F824" s="885"/>
      <c r="G824" s="885"/>
      <c r="H824" s="885"/>
      <c r="I824" s="885"/>
      <c r="J824" s="885"/>
      <c r="K824" s="885"/>
      <c r="L824" s="885"/>
      <c r="M824" s="885"/>
      <c r="N824" s="885"/>
      <c r="O824" s="885"/>
      <c r="P824" s="885"/>
      <c r="Q824" s="885"/>
      <c r="R824" s="885"/>
      <c r="S824" s="885"/>
      <c r="T824" s="885"/>
      <c r="U824" s="885"/>
      <c r="V824" s="885"/>
      <c r="W824" s="885"/>
      <c r="X824" s="885"/>
      <c r="Y824" s="885"/>
      <c r="Z824" s="885"/>
    </row>
    <row r="825" spans="1:26" ht="16.5" customHeight="1" x14ac:dyDescent="0.2">
      <c r="A825" s="885"/>
      <c r="B825" s="885"/>
      <c r="C825" s="885"/>
      <c r="D825" s="885"/>
      <c r="E825" s="885"/>
      <c r="F825" s="885"/>
      <c r="G825" s="885"/>
      <c r="H825" s="885"/>
      <c r="I825" s="885"/>
      <c r="J825" s="885"/>
      <c r="K825" s="885"/>
      <c r="L825" s="885"/>
      <c r="M825" s="885"/>
      <c r="N825" s="885"/>
      <c r="O825" s="885"/>
      <c r="P825" s="885"/>
      <c r="Q825" s="885"/>
      <c r="R825" s="885"/>
      <c r="S825" s="885"/>
      <c r="T825" s="885"/>
      <c r="U825" s="885"/>
      <c r="V825" s="885"/>
      <c r="W825" s="885"/>
      <c r="X825" s="885"/>
      <c r="Y825" s="885"/>
      <c r="Z825" s="885"/>
    </row>
    <row r="826" spans="1:26" ht="16.5" customHeight="1" x14ac:dyDescent="0.2">
      <c r="A826" s="885"/>
      <c r="B826" s="885"/>
      <c r="C826" s="885"/>
      <c r="D826" s="885"/>
      <c r="E826" s="885"/>
      <c r="F826" s="885"/>
      <c r="G826" s="885"/>
      <c r="H826" s="885"/>
      <c r="I826" s="885"/>
      <c r="J826" s="885"/>
      <c r="K826" s="885"/>
      <c r="L826" s="885"/>
      <c r="M826" s="885"/>
      <c r="N826" s="885"/>
      <c r="O826" s="885"/>
      <c r="P826" s="885"/>
      <c r="Q826" s="885"/>
      <c r="R826" s="885"/>
      <c r="S826" s="885"/>
      <c r="T826" s="885"/>
      <c r="U826" s="885"/>
      <c r="V826" s="885"/>
      <c r="W826" s="885"/>
      <c r="X826" s="885"/>
      <c r="Y826" s="885"/>
      <c r="Z826" s="885"/>
    </row>
    <row r="827" spans="1:26" ht="16.5" customHeight="1" x14ac:dyDescent="0.2">
      <c r="A827" s="885"/>
      <c r="B827" s="885"/>
      <c r="C827" s="885"/>
      <c r="D827" s="885"/>
      <c r="E827" s="885"/>
      <c r="F827" s="885"/>
      <c r="G827" s="885"/>
      <c r="H827" s="885"/>
      <c r="I827" s="885"/>
      <c r="J827" s="885"/>
      <c r="K827" s="885"/>
      <c r="L827" s="885"/>
      <c r="M827" s="885"/>
      <c r="N827" s="885"/>
      <c r="O827" s="885"/>
      <c r="P827" s="885"/>
      <c r="Q827" s="885"/>
      <c r="R827" s="885"/>
      <c r="S827" s="885"/>
      <c r="T827" s="885"/>
      <c r="U827" s="885"/>
      <c r="V827" s="885"/>
      <c r="W827" s="885"/>
      <c r="X827" s="885"/>
      <c r="Y827" s="885"/>
      <c r="Z827" s="885"/>
    </row>
    <row r="828" spans="1:26" ht="16.5" customHeight="1" x14ac:dyDescent="0.2">
      <c r="A828" s="885"/>
      <c r="B828" s="885"/>
      <c r="C828" s="885"/>
      <c r="D828" s="885"/>
      <c r="E828" s="885"/>
      <c r="F828" s="885"/>
      <c r="G828" s="885"/>
      <c r="H828" s="885"/>
      <c r="I828" s="885"/>
      <c r="J828" s="885"/>
      <c r="K828" s="885"/>
      <c r="L828" s="885"/>
      <c r="M828" s="885"/>
      <c r="N828" s="885"/>
      <c r="O828" s="885"/>
      <c r="P828" s="885"/>
      <c r="Q828" s="885"/>
      <c r="R828" s="885"/>
      <c r="S828" s="885"/>
      <c r="T828" s="885"/>
      <c r="U828" s="885"/>
      <c r="V828" s="885"/>
      <c r="W828" s="885"/>
      <c r="X828" s="885"/>
      <c r="Y828" s="885"/>
      <c r="Z828" s="885"/>
    </row>
    <row r="829" spans="1:26" ht="16.5" customHeight="1" x14ac:dyDescent="0.2">
      <c r="A829" s="885"/>
      <c r="B829" s="885"/>
      <c r="C829" s="885"/>
      <c r="D829" s="885"/>
      <c r="E829" s="885"/>
      <c r="F829" s="885"/>
      <c r="G829" s="885"/>
      <c r="H829" s="885"/>
      <c r="I829" s="885"/>
      <c r="J829" s="885"/>
      <c r="K829" s="885"/>
      <c r="L829" s="885"/>
      <c r="M829" s="885"/>
      <c r="N829" s="885"/>
      <c r="O829" s="885"/>
      <c r="P829" s="885"/>
      <c r="Q829" s="885"/>
      <c r="R829" s="885"/>
      <c r="S829" s="885"/>
      <c r="T829" s="885"/>
      <c r="U829" s="885"/>
      <c r="V829" s="885"/>
      <c r="W829" s="885"/>
      <c r="X829" s="885"/>
      <c r="Y829" s="885"/>
      <c r="Z829" s="885"/>
    </row>
    <row r="830" spans="1:26" ht="16.5" customHeight="1" x14ac:dyDescent="0.2">
      <c r="A830" s="885"/>
      <c r="B830" s="885"/>
      <c r="C830" s="885"/>
      <c r="D830" s="885"/>
      <c r="E830" s="885"/>
      <c r="F830" s="885"/>
      <c r="G830" s="885"/>
      <c r="H830" s="885"/>
      <c r="I830" s="885"/>
      <c r="J830" s="885"/>
      <c r="K830" s="885"/>
      <c r="L830" s="885"/>
      <c r="M830" s="885"/>
      <c r="N830" s="885"/>
      <c r="O830" s="885"/>
      <c r="P830" s="885"/>
      <c r="Q830" s="885"/>
      <c r="R830" s="885"/>
      <c r="S830" s="885"/>
      <c r="T830" s="885"/>
      <c r="U830" s="885"/>
      <c r="V830" s="885"/>
      <c r="W830" s="885"/>
      <c r="X830" s="885"/>
      <c r="Y830" s="885"/>
      <c r="Z830" s="885"/>
    </row>
    <row r="831" spans="1:26" ht="16.5" customHeight="1" x14ac:dyDescent="0.2">
      <c r="A831" s="885"/>
      <c r="B831" s="885"/>
      <c r="C831" s="885"/>
      <c r="D831" s="885"/>
      <c r="E831" s="885"/>
      <c r="F831" s="885"/>
      <c r="G831" s="885"/>
      <c r="H831" s="885"/>
      <c r="I831" s="885"/>
      <c r="J831" s="885"/>
      <c r="K831" s="885"/>
      <c r="L831" s="885"/>
      <c r="M831" s="885"/>
      <c r="N831" s="885"/>
      <c r="O831" s="885"/>
      <c r="P831" s="885"/>
      <c r="Q831" s="885"/>
      <c r="R831" s="885"/>
      <c r="S831" s="885"/>
      <c r="T831" s="885"/>
      <c r="U831" s="885"/>
      <c r="V831" s="885"/>
      <c r="W831" s="885"/>
      <c r="X831" s="885"/>
      <c r="Y831" s="885"/>
      <c r="Z831" s="885"/>
    </row>
    <row r="832" spans="1:26" ht="16.5" customHeight="1" x14ac:dyDescent="0.2">
      <c r="A832" s="885"/>
      <c r="B832" s="885"/>
      <c r="C832" s="885"/>
      <c r="D832" s="885"/>
      <c r="E832" s="885"/>
      <c r="F832" s="885"/>
      <c r="G832" s="885"/>
      <c r="H832" s="885"/>
      <c r="I832" s="885"/>
      <c r="J832" s="885"/>
      <c r="K832" s="885"/>
      <c r="L832" s="885"/>
      <c r="M832" s="885"/>
      <c r="N832" s="885"/>
      <c r="O832" s="885"/>
      <c r="P832" s="885"/>
      <c r="Q832" s="885"/>
      <c r="R832" s="885"/>
      <c r="S832" s="885"/>
      <c r="T832" s="885"/>
      <c r="U832" s="885"/>
      <c r="V832" s="885"/>
      <c r="W832" s="885"/>
      <c r="X832" s="885"/>
      <c r="Y832" s="885"/>
      <c r="Z832" s="885"/>
    </row>
    <row r="833" spans="1:26" ht="16.5" customHeight="1" x14ac:dyDescent="0.2">
      <c r="A833" s="885"/>
      <c r="B833" s="885"/>
      <c r="C833" s="885"/>
      <c r="D833" s="885"/>
      <c r="E833" s="885"/>
      <c r="F833" s="885"/>
      <c r="G833" s="885"/>
      <c r="H833" s="885"/>
      <c r="I833" s="885"/>
      <c r="J833" s="885"/>
      <c r="K833" s="885"/>
      <c r="L833" s="885"/>
      <c r="M833" s="885"/>
      <c r="N833" s="885"/>
      <c r="O833" s="885"/>
      <c r="P833" s="885"/>
      <c r="Q833" s="885"/>
      <c r="R833" s="885"/>
      <c r="S833" s="885"/>
      <c r="T833" s="885"/>
      <c r="U833" s="885"/>
      <c r="V833" s="885"/>
      <c r="W833" s="885"/>
      <c r="X833" s="885"/>
      <c r="Y833" s="885"/>
      <c r="Z833" s="885"/>
    </row>
    <row r="834" spans="1:26" ht="16.5" customHeight="1" x14ac:dyDescent="0.2">
      <c r="A834" s="885"/>
      <c r="B834" s="885"/>
      <c r="C834" s="885"/>
      <c r="D834" s="885"/>
      <c r="E834" s="885"/>
      <c r="F834" s="885"/>
      <c r="G834" s="885"/>
      <c r="H834" s="885"/>
      <c r="I834" s="885"/>
      <c r="J834" s="885"/>
      <c r="K834" s="885"/>
      <c r="L834" s="885"/>
      <c r="M834" s="885"/>
      <c r="N834" s="885"/>
      <c r="O834" s="885"/>
      <c r="P834" s="885"/>
      <c r="Q834" s="885"/>
      <c r="R834" s="885"/>
      <c r="S834" s="885"/>
      <c r="T834" s="885"/>
      <c r="U834" s="885"/>
      <c r="V834" s="885"/>
      <c r="W834" s="885"/>
      <c r="X834" s="885"/>
      <c r="Y834" s="885"/>
      <c r="Z834" s="885"/>
    </row>
    <row r="835" spans="1:26" ht="16.5" customHeight="1" x14ac:dyDescent="0.2">
      <c r="A835" s="885"/>
      <c r="B835" s="885"/>
      <c r="C835" s="885"/>
      <c r="D835" s="885"/>
      <c r="E835" s="885"/>
      <c r="F835" s="885"/>
      <c r="G835" s="885"/>
      <c r="H835" s="885"/>
      <c r="I835" s="885"/>
      <c r="J835" s="885"/>
      <c r="K835" s="885"/>
      <c r="L835" s="885"/>
      <c r="M835" s="885"/>
      <c r="N835" s="885"/>
      <c r="O835" s="885"/>
      <c r="P835" s="885"/>
      <c r="Q835" s="885"/>
      <c r="R835" s="885"/>
      <c r="S835" s="885"/>
      <c r="T835" s="885"/>
      <c r="U835" s="885"/>
      <c r="V835" s="885"/>
      <c r="W835" s="885"/>
      <c r="X835" s="885"/>
      <c r="Y835" s="885"/>
      <c r="Z835" s="885"/>
    </row>
    <row r="836" spans="1:26" ht="16.5" customHeight="1" x14ac:dyDescent="0.2">
      <c r="A836" s="885"/>
      <c r="B836" s="885"/>
      <c r="C836" s="885"/>
      <c r="D836" s="885"/>
      <c r="E836" s="885"/>
      <c r="F836" s="885"/>
      <c r="G836" s="885"/>
      <c r="H836" s="885"/>
      <c r="I836" s="885"/>
      <c r="J836" s="885"/>
      <c r="K836" s="885"/>
      <c r="L836" s="885"/>
      <c r="M836" s="885"/>
      <c r="N836" s="885"/>
      <c r="O836" s="885"/>
      <c r="P836" s="885"/>
      <c r="Q836" s="885"/>
      <c r="R836" s="885"/>
      <c r="S836" s="885"/>
      <c r="T836" s="885"/>
      <c r="U836" s="885"/>
      <c r="V836" s="885"/>
      <c r="W836" s="885"/>
      <c r="X836" s="885"/>
      <c r="Y836" s="885"/>
      <c r="Z836" s="885"/>
    </row>
    <row r="837" spans="1:26" ht="16.5" customHeight="1" x14ac:dyDescent="0.2">
      <c r="A837" s="885"/>
      <c r="B837" s="885"/>
      <c r="C837" s="885"/>
      <c r="D837" s="885"/>
      <c r="E837" s="885"/>
      <c r="F837" s="885"/>
      <c r="G837" s="885"/>
      <c r="H837" s="885"/>
      <c r="I837" s="885"/>
      <c r="J837" s="885"/>
      <c r="K837" s="885"/>
      <c r="L837" s="885"/>
      <c r="M837" s="885"/>
      <c r="N837" s="885"/>
      <c r="O837" s="885"/>
      <c r="P837" s="885"/>
      <c r="Q837" s="885"/>
      <c r="R837" s="885"/>
      <c r="S837" s="885"/>
      <c r="T837" s="885"/>
      <c r="U837" s="885"/>
      <c r="V837" s="885"/>
      <c r="W837" s="885"/>
      <c r="X837" s="885"/>
      <c r="Y837" s="885"/>
      <c r="Z837" s="885"/>
    </row>
    <row r="838" spans="1:26" ht="16.5" customHeight="1" x14ac:dyDescent="0.2">
      <c r="A838" s="885"/>
      <c r="B838" s="885"/>
      <c r="C838" s="885"/>
      <c r="D838" s="885"/>
      <c r="E838" s="885"/>
      <c r="F838" s="885"/>
      <c r="G838" s="885"/>
      <c r="H838" s="885"/>
      <c r="I838" s="885"/>
      <c r="J838" s="885"/>
      <c r="K838" s="885"/>
      <c r="L838" s="885"/>
      <c r="M838" s="885"/>
      <c r="N838" s="885"/>
      <c r="O838" s="885"/>
      <c r="P838" s="885"/>
      <c r="Q838" s="885"/>
      <c r="R838" s="885"/>
      <c r="S838" s="885"/>
      <c r="T838" s="885"/>
      <c r="U838" s="885"/>
      <c r="V838" s="885"/>
      <c r="W838" s="885"/>
      <c r="X838" s="885"/>
      <c r="Y838" s="885"/>
      <c r="Z838" s="885"/>
    </row>
    <row r="839" spans="1:26" ht="16.5" customHeight="1" x14ac:dyDescent="0.2">
      <c r="A839" s="885"/>
      <c r="B839" s="885"/>
      <c r="C839" s="885"/>
      <c r="D839" s="885"/>
      <c r="E839" s="885"/>
      <c r="F839" s="885"/>
      <c r="G839" s="885"/>
      <c r="H839" s="885"/>
      <c r="I839" s="885"/>
      <c r="J839" s="885"/>
      <c r="K839" s="885"/>
      <c r="L839" s="885"/>
      <c r="M839" s="885"/>
      <c r="N839" s="885"/>
      <c r="O839" s="885"/>
      <c r="P839" s="885"/>
      <c r="Q839" s="885"/>
      <c r="R839" s="885"/>
      <c r="S839" s="885"/>
      <c r="T839" s="885"/>
      <c r="U839" s="885"/>
      <c r="V839" s="885"/>
      <c r="W839" s="885"/>
      <c r="X839" s="885"/>
      <c r="Y839" s="885"/>
      <c r="Z839" s="885"/>
    </row>
    <row r="840" spans="1:26" ht="16.5" customHeight="1" x14ac:dyDescent="0.2">
      <c r="A840" s="885"/>
      <c r="B840" s="885"/>
      <c r="C840" s="885"/>
      <c r="D840" s="885"/>
      <c r="E840" s="885"/>
      <c r="F840" s="885"/>
      <c r="G840" s="885"/>
      <c r="H840" s="885"/>
      <c r="I840" s="885"/>
      <c r="J840" s="885"/>
      <c r="K840" s="885"/>
      <c r="L840" s="885"/>
      <c r="M840" s="885"/>
      <c r="N840" s="885"/>
      <c r="O840" s="885"/>
      <c r="P840" s="885"/>
      <c r="Q840" s="885"/>
      <c r="R840" s="885"/>
      <c r="S840" s="885"/>
      <c r="T840" s="885"/>
      <c r="U840" s="885"/>
      <c r="V840" s="885"/>
      <c r="W840" s="885"/>
      <c r="X840" s="885"/>
      <c r="Y840" s="885"/>
      <c r="Z840" s="885"/>
    </row>
    <row r="841" spans="1:26" ht="16.5" customHeight="1" x14ac:dyDescent="0.2">
      <c r="A841" s="885"/>
      <c r="B841" s="885"/>
      <c r="C841" s="885"/>
      <c r="D841" s="885"/>
      <c r="E841" s="885"/>
      <c r="F841" s="885"/>
      <c r="G841" s="885"/>
      <c r="H841" s="885"/>
      <c r="I841" s="885"/>
      <c r="J841" s="885"/>
      <c r="K841" s="885"/>
      <c r="L841" s="885"/>
      <c r="M841" s="885"/>
      <c r="N841" s="885"/>
      <c r="O841" s="885"/>
      <c r="P841" s="885"/>
      <c r="Q841" s="885"/>
      <c r="R841" s="885"/>
      <c r="S841" s="885"/>
      <c r="T841" s="885"/>
      <c r="U841" s="885"/>
      <c r="V841" s="885"/>
      <c r="W841" s="885"/>
      <c r="X841" s="885"/>
      <c r="Y841" s="885"/>
      <c r="Z841" s="885"/>
    </row>
    <row r="842" spans="1:26" ht="16.5" customHeight="1" x14ac:dyDescent="0.2">
      <c r="A842" s="885"/>
      <c r="B842" s="885"/>
      <c r="C842" s="885"/>
      <c r="D842" s="885"/>
      <c r="E842" s="885"/>
      <c r="F842" s="885"/>
      <c r="G842" s="885"/>
      <c r="H842" s="885"/>
      <c r="I842" s="885"/>
      <c r="J842" s="885"/>
      <c r="K842" s="885"/>
      <c r="L842" s="885"/>
      <c r="M842" s="885"/>
      <c r="N842" s="885"/>
      <c r="O842" s="885"/>
      <c r="P842" s="885"/>
      <c r="Q842" s="885"/>
      <c r="R842" s="885"/>
      <c r="S842" s="885"/>
      <c r="T842" s="885"/>
      <c r="U842" s="885"/>
      <c r="V842" s="885"/>
      <c r="W842" s="885"/>
      <c r="X842" s="885"/>
      <c r="Y842" s="885"/>
      <c r="Z842" s="885"/>
    </row>
    <row r="843" spans="1:26" ht="16.5" customHeight="1" x14ac:dyDescent="0.2">
      <c r="A843" s="885"/>
      <c r="B843" s="885"/>
      <c r="C843" s="885"/>
      <c r="D843" s="885"/>
      <c r="E843" s="885"/>
      <c r="F843" s="885"/>
      <c r="G843" s="885"/>
      <c r="H843" s="885"/>
      <c r="I843" s="885"/>
      <c r="J843" s="885"/>
      <c r="K843" s="885"/>
      <c r="L843" s="885"/>
      <c r="M843" s="885"/>
      <c r="N843" s="885"/>
      <c r="O843" s="885"/>
      <c r="P843" s="885"/>
      <c r="Q843" s="885"/>
      <c r="R843" s="885"/>
      <c r="S843" s="885"/>
      <c r="T843" s="885"/>
      <c r="U843" s="885"/>
      <c r="V843" s="885"/>
      <c r="W843" s="885"/>
      <c r="X843" s="885"/>
      <c r="Y843" s="885"/>
      <c r="Z843" s="885"/>
    </row>
    <row r="844" spans="1:26" ht="16.5" customHeight="1" x14ac:dyDescent="0.2">
      <c r="A844" s="885"/>
      <c r="B844" s="885"/>
      <c r="C844" s="885"/>
      <c r="D844" s="885"/>
      <c r="E844" s="885"/>
      <c r="F844" s="885"/>
      <c r="G844" s="885"/>
      <c r="H844" s="885"/>
      <c r="I844" s="885"/>
      <c r="J844" s="885"/>
      <c r="K844" s="885"/>
      <c r="L844" s="885"/>
      <c r="M844" s="885"/>
      <c r="N844" s="885"/>
      <c r="O844" s="885"/>
      <c r="P844" s="885"/>
      <c r="Q844" s="885"/>
      <c r="R844" s="885"/>
      <c r="S844" s="885"/>
      <c r="T844" s="885"/>
      <c r="U844" s="885"/>
      <c r="V844" s="885"/>
      <c r="W844" s="885"/>
      <c r="X844" s="885"/>
      <c r="Y844" s="885"/>
      <c r="Z844" s="885"/>
    </row>
    <row r="845" spans="1:26" ht="16.5" customHeight="1" x14ac:dyDescent="0.2">
      <c r="A845" s="885"/>
      <c r="B845" s="885"/>
      <c r="C845" s="885"/>
      <c r="D845" s="885"/>
      <c r="E845" s="885"/>
      <c r="F845" s="885"/>
      <c r="G845" s="885"/>
      <c r="H845" s="885"/>
      <c r="I845" s="885"/>
      <c r="J845" s="885"/>
      <c r="K845" s="885"/>
      <c r="L845" s="885"/>
      <c r="M845" s="885"/>
      <c r="N845" s="885"/>
      <c r="O845" s="885"/>
      <c r="P845" s="885"/>
      <c r="Q845" s="885"/>
      <c r="R845" s="885"/>
      <c r="S845" s="885"/>
      <c r="T845" s="885"/>
      <c r="U845" s="885"/>
      <c r="V845" s="885"/>
      <c r="W845" s="885"/>
      <c r="X845" s="885"/>
      <c r="Y845" s="885"/>
      <c r="Z845" s="885"/>
    </row>
    <row r="846" spans="1:26" ht="16.5" customHeight="1" x14ac:dyDescent="0.2">
      <c r="A846" s="885"/>
      <c r="B846" s="885"/>
      <c r="C846" s="885"/>
      <c r="D846" s="885"/>
      <c r="E846" s="885"/>
      <c r="F846" s="885"/>
      <c r="G846" s="885"/>
      <c r="H846" s="885"/>
      <c r="I846" s="885"/>
      <c r="J846" s="885"/>
      <c r="K846" s="885"/>
      <c r="L846" s="885"/>
      <c r="M846" s="885"/>
      <c r="N846" s="885"/>
      <c r="O846" s="885"/>
      <c r="P846" s="885"/>
      <c r="Q846" s="885"/>
      <c r="R846" s="885"/>
      <c r="S846" s="885"/>
      <c r="T846" s="885"/>
      <c r="U846" s="885"/>
      <c r="V846" s="885"/>
      <c r="W846" s="885"/>
      <c r="X846" s="885"/>
      <c r="Y846" s="885"/>
      <c r="Z846" s="885"/>
    </row>
    <row r="847" spans="1:26" ht="16.5" customHeight="1" x14ac:dyDescent="0.2">
      <c r="A847" s="885"/>
      <c r="B847" s="885"/>
      <c r="C847" s="885"/>
      <c r="D847" s="885"/>
      <c r="E847" s="885"/>
      <c r="F847" s="885"/>
      <c r="G847" s="885"/>
      <c r="H847" s="885"/>
      <c r="I847" s="885"/>
      <c r="J847" s="885"/>
      <c r="K847" s="885"/>
      <c r="L847" s="885"/>
      <c r="M847" s="885"/>
      <c r="N847" s="885"/>
      <c r="O847" s="885"/>
      <c r="P847" s="885"/>
      <c r="Q847" s="885"/>
      <c r="R847" s="885"/>
      <c r="S847" s="885"/>
      <c r="T847" s="885"/>
      <c r="U847" s="885"/>
      <c r="V847" s="885"/>
      <c r="W847" s="885"/>
      <c r="X847" s="885"/>
      <c r="Y847" s="885"/>
      <c r="Z847" s="885"/>
    </row>
    <row r="848" spans="1:26" ht="16.5" customHeight="1" x14ac:dyDescent="0.2">
      <c r="A848" s="885"/>
      <c r="B848" s="885"/>
      <c r="C848" s="885"/>
      <c r="D848" s="885"/>
      <c r="E848" s="885"/>
      <c r="F848" s="885"/>
      <c r="G848" s="885"/>
      <c r="H848" s="885"/>
      <c r="I848" s="885"/>
      <c r="J848" s="885"/>
      <c r="K848" s="885"/>
      <c r="L848" s="885"/>
      <c r="M848" s="885"/>
      <c r="N848" s="885"/>
      <c r="O848" s="885"/>
      <c r="P848" s="885"/>
      <c r="Q848" s="885"/>
      <c r="R848" s="885"/>
      <c r="S848" s="885"/>
      <c r="T848" s="885"/>
      <c r="U848" s="885"/>
      <c r="V848" s="885"/>
      <c r="W848" s="885"/>
      <c r="X848" s="885"/>
      <c r="Y848" s="885"/>
      <c r="Z848" s="885"/>
    </row>
    <row r="849" spans="1:26" ht="16.5" customHeight="1" x14ac:dyDescent="0.2">
      <c r="A849" s="885"/>
      <c r="B849" s="885"/>
      <c r="C849" s="885"/>
      <c r="D849" s="885"/>
      <c r="E849" s="885"/>
      <c r="F849" s="885"/>
      <c r="G849" s="885"/>
      <c r="H849" s="885"/>
      <c r="I849" s="885"/>
      <c r="J849" s="885"/>
      <c r="K849" s="885"/>
      <c r="L849" s="885"/>
      <c r="M849" s="885"/>
      <c r="N849" s="885"/>
      <c r="O849" s="885"/>
      <c r="P849" s="885"/>
      <c r="Q849" s="885"/>
      <c r="R849" s="885"/>
      <c r="S849" s="885"/>
      <c r="T849" s="885"/>
      <c r="U849" s="885"/>
      <c r="V849" s="885"/>
      <c r="W849" s="885"/>
      <c r="X849" s="885"/>
      <c r="Y849" s="885"/>
      <c r="Z849" s="885"/>
    </row>
    <row r="850" spans="1:26" ht="16.5" customHeight="1" x14ac:dyDescent="0.2">
      <c r="A850" s="885"/>
      <c r="B850" s="885"/>
      <c r="C850" s="885"/>
      <c r="D850" s="885"/>
      <c r="E850" s="885"/>
      <c r="F850" s="885"/>
      <c r="G850" s="885"/>
      <c r="H850" s="885"/>
      <c r="I850" s="885"/>
      <c r="J850" s="885"/>
      <c r="K850" s="885"/>
      <c r="L850" s="885"/>
      <c r="M850" s="885"/>
      <c r="N850" s="885"/>
      <c r="O850" s="885"/>
      <c r="P850" s="885"/>
      <c r="Q850" s="885"/>
      <c r="R850" s="885"/>
      <c r="S850" s="885"/>
      <c r="T850" s="885"/>
      <c r="U850" s="885"/>
      <c r="V850" s="885"/>
      <c r="W850" s="885"/>
      <c r="X850" s="885"/>
      <c r="Y850" s="885"/>
      <c r="Z850" s="885"/>
    </row>
    <row r="851" spans="1:26" ht="16.5" customHeight="1" x14ac:dyDescent="0.2">
      <c r="A851" s="885"/>
      <c r="B851" s="885"/>
      <c r="C851" s="885"/>
      <c r="D851" s="885"/>
      <c r="E851" s="885"/>
      <c r="F851" s="885"/>
      <c r="G851" s="885"/>
      <c r="H851" s="885"/>
      <c r="I851" s="885"/>
      <c r="J851" s="885"/>
      <c r="K851" s="885"/>
      <c r="L851" s="885"/>
      <c r="M851" s="885"/>
      <c r="N851" s="885"/>
      <c r="O851" s="885"/>
      <c r="P851" s="885"/>
      <c r="Q851" s="885"/>
      <c r="R851" s="885"/>
      <c r="S851" s="885"/>
      <c r="T851" s="885"/>
      <c r="U851" s="885"/>
      <c r="V851" s="885"/>
      <c r="W851" s="885"/>
      <c r="X851" s="885"/>
      <c r="Y851" s="885"/>
      <c r="Z851" s="885"/>
    </row>
    <row r="852" spans="1:26" ht="16.5" customHeight="1" x14ac:dyDescent="0.2">
      <c r="A852" s="885"/>
      <c r="B852" s="885"/>
      <c r="C852" s="885"/>
      <c r="D852" s="885"/>
      <c r="E852" s="885"/>
      <c r="F852" s="885"/>
      <c r="G852" s="885"/>
      <c r="H852" s="885"/>
      <c r="I852" s="885"/>
      <c r="J852" s="885"/>
      <c r="K852" s="885"/>
      <c r="L852" s="885"/>
      <c r="M852" s="885"/>
      <c r="N852" s="885"/>
      <c r="O852" s="885"/>
      <c r="P852" s="885"/>
      <c r="Q852" s="885"/>
      <c r="R852" s="885"/>
      <c r="S852" s="885"/>
      <c r="T852" s="885"/>
      <c r="U852" s="885"/>
      <c r="V852" s="885"/>
      <c r="W852" s="885"/>
      <c r="X852" s="885"/>
      <c r="Y852" s="885"/>
      <c r="Z852" s="885"/>
    </row>
    <row r="853" spans="1:26" ht="16.5" customHeight="1" x14ac:dyDescent="0.2">
      <c r="A853" s="885"/>
      <c r="B853" s="885"/>
      <c r="C853" s="885"/>
      <c r="D853" s="885"/>
      <c r="E853" s="885"/>
      <c r="F853" s="885"/>
      <c r="G853" s="885"/>
      <c r="H853" s="885"/>
      <c r="I853" s="885"/>
      <c r="J853" s="885"/>
      <c r="K853" s="885"/>
      <c r="L853" s="885"/>
      <c r="M853" s="885"/>
      <c r="N853" s="885"/>
      <c r="O853" s="885"/>
      <c r="P853" s="885"/>
      <c r="Q853" s="885"/>
      <c r="R853" s="885"/>
      <c r="S853" s="885"/>
      <c r="T853" s="885"/>
      <c r="U853" s="885"/>
      <c r="V853" s="885"/>
      <c r="W853" s="885"/>
      <c r="X853" s="885"/>
      <c r="Y853" s="885"/>
      <c r="Z853" s="885"/>
    </row>
    <row r="854" spans="1:26" ht="16.5" customHeight="1" x14ac:dyDescent="0.2">
      <c r="A854" s="885"/>
      <c r="B854" s="885"/>
      <c r="C854" s="885"/>
      <c r="D854" s="885"/>
      <c r="E854" s="885"/>
      <c r="F854" s="885"/>
      <c r="G854" s="885"/>
      <c r="H854" s="885"/>
      <c r="I854" s="885"/>
      <c r="J854" s="885"/>
      <c r="K854" s="885"/>
      <c r="L854" s="885"/>
      <c r="M854" s="885"/>
      <c r="N854" s="885"/>
      <c r="O854" s="885"/>
      <c r="P854" s="885"/>
      <c r="Q854" s="885"/>
      <c r="R854" s="885"/>
      <c r="S854" s="885"/>
      <c r="T854" s="885"/>
      <c r="U854" s="885"/>
      <c r="V854" s="885"/>
      <c r="W854" s="885"/>
      <c r="X854" s="885"/>
      <c r="Y854" s="885"/>
      <c r="Z854" s="885"/>
    </row>
    <row r="855" spans="1:26" ht="16.5" customHeight="1" x14ac:dyDescent="0.2">
      <c r="A855" s="885"/>
      <c r="B855" s="885"/>
      <c r="C855" s="885"/>
      <c r="D855" s="885"/>
      <c r="E855" s="885"/>
      <c r="F855" s="885"/>
      <c r="G855" s="885"/>
      <c r="H855" s="885"/>
      <c r="I855" s="885"/>
      <c r="J855" s="885"/>
      <c r="K855" s="885"/>
      <c r="L855" s="885"/>
      <c r="M855" s="885"/>
      <c r="N855" s="885"/>
      <c r="O855" s="885"/>
      <c r="P855" s="885"/>
      <c r="Q855" s="885"/>
      <c r="R855" s="885"/>
      <c r="S855" s="885"/>
      <c r="T855" s="885"/>
      <c r="U855" s="885"/>
      <c r="V855" s="885"/>
      <c r="W855" s="885"/>
      <c r="X855" s="885"/>
      <c r="Y855" s="885"/>
      <c r="Z855" s="885"/>
    </row>
    <row r="856" spans="1:26" ht="16.5" customHeight="1" x14ac:dyDescent="0.2">
      <c r="A856" s="885"/>
      <c r="B856" s="885"/>
      <c r="C856" s="885"/>
      <c r="D856" s="885"/>
      <c r="E856" s="885"/>
      <c r="F856" s="885"/>
      <c r="G856" s="885"/>
      <c r="H856" s="885"/>
      <c r="I856" s="885"/>
      <c r="J856" s="885"/>
      <c r="K856" s="885"/>
      <c r="L856" s="885"/>
      <c r="M856" s="885"/>
      <c r="N856" s="885"/>
      <c r="O856" s="885"/>
      <c r="P856" s="885"/>
      <c r="Q856" s="885"/>
      <c r="R856" s="885"/>
      <c r="S856" s="885"/>
      <c r="T856" s="885"/>
      <c r="U856" s="885"/>
      <c r="V856" s="885"/>
      <c r="W856" s="885"/>
      <c r="X856" s="885"/>
      <c r="Y856" s="885"/>
      <c r="Z856" s="885"/>
    </row>
    <row r="857" spans="1:26" ht="16.5" customHeight="1" x14ac:dyDescent="0.2">
      <c r="A857" s="885"/>
      <c r="B857" s="885"/>
      <c r="C857" s="885"/>
      <c r="D857" s="885"/>
      <c r="E857" s="885"/>
      <c r="F857" s="885"/>
      <c r="G857" s="885"/>
      <c r="H857" s="885"/>
      <c r="I857" s="885"/>
      <c r="J857" s="885"/>
      <c r="K857" s="885"/>
      <c r="L857" s="885"/>
      <c r="M857" s="885"/>
      <c r="N857" s="885"/>
      <c r="O857" s="885"/>
      <c r="P857" s="885"/>
      <c r="Q857" s="885"/>
      <c r="R857" s="885"/>
      <c r="S857" s="885"/>
      <c r="T857" s="885"/>
      <c r="U857" s="885"/>
      <c r="V857" s="885"/>
      <c r="W857" s="885"/>
      <c r="X857" s="885"/>
      <c r="Y857" s="885"/>
      <c r="Z857" s="885"/>
    </row>
    <row r="858" spans="1:26" ht="16.5" customHeight="1" x14ac:dyDescent="0.2">
      <c r="A858" s="885"/>
      <c r="B858" s="885"/>
      <c r="C858" s="885"/>
      <c r="D858" s="885"/>
      <c r="E858" s="885"/>
      <c r="F858" s="885"/>
      <c r="G858" s="885"/>
      <c r="H858" s="885"/>
      <c r="I858" s="885"/>
      <c r="J858" s="885"/>
      <c r="K858" s="885"/>
      <c r="L858" s="885"/>
      <c r="M858" s="885"/>
      <c r="N858" s="885"/>
      <c r="O858" s="885"/>
      <c r="P858" s="885"/>
      <c r="Q858" s="885"/>
      <c r="R858" s="885"/>
      <c r="S858" s="885"/>
      <c r="T858" s="885"/>
      <c r="U858" s="885"/>
      <c r="V858" s="885"/>
      <c r="W858" s="885"/>
      <c r="X858" s="885"/>
      <c r="Y858" s="885"/>
      <c r="Z858" s="885"/>
    </row>
    <row r="859" spans="1:26" ht="16.5" customHeight="1" x14ac:dyDescent="0.2">
      <c r="A859" s="885"/>
      <c r="B859" s="885"/>
      <c r="C859" s="885"/>
      <c r="D859" s="885"/>
      <c r="E859" s="885"/>
      <c r="F859" s="885"/>
      <c r="G859" s="885"/>
      <c r="H859" s="885"/>
      <c r="I859" s="885"/>
      <c r="J859" s="885"/>
      <c r="K859" s="885"/>
      <c r="L859" s="885"/>
      <c r="M859" s="885"/>
      <c r="N859" s="885"/>
      <c r="O859" s="885"/>
      <c r="P859" s="885"/>
      <c r="Q859" s="885"/>
      <c r="R859" s="885"/>
      <c r="S859" s="885"/>
      <c r="T859" s="885"/>
      <c r="U859" s="885"/>
      <c r="V859" s="885"/>
      <c r="W859" s="885"/>
      <c r="X859" s="885"/>
      <c r="Y859" s="885"/>
      <c r="Z859" s="885"/>
    </row>
    <row r="860" spans="1:26" ht="16.5" customHeight="1" x14ac:dyDescent="0.2">
      <c r="A860" s="885"/>
      <c r="B860" s="885"/>
      <c r="C860" s="885"/>
      <c r="D860" s="885"/>
      <c r="E860" s="885"/>
      <c r="F860" s="885"/>
      <c r="G860" s="885"/>
      <c r="H860" s="885"/>
      <c r="I860" s="885"/>
      <c r="J860" s="885"/>
      <c r="K860" s="885"/>
      <c r="L860" s="885"/>
      <c r="M860" s="885"/>
      <c r="N860" s="885"/>
      <c r="O860" s="885"/>
      <c r="P860" s="885"/>
      <c r="Q860" s="885"/>
      <c r="R860" s="885"/>
      <c r="S860" s="885"/>
      <c r="T860" s="885"/>
      <c r="U860" s="885"/>
      <c r="V860" s="885"/>
      <c r="W860" s="885"/>
      <c r="X860" s="885"/>
      <c r="Y860" s="885"/>
      <c r="Z860" s="885"/>
    </row>
    <row r="861" spans="1:26" ht="16.5" customHeight="1" x14ac:dyDescent="0.2">
      <c r="A861" s="885"/>
      <c r="B861" s="885"/>
      <c r="C861" s="885"/>
      <c r="D861" s="885"/>
      <c r="E861" s="885"/>
      <c r="F861" s="885"/>
      <c r="G861" s="885"/>
      <c r="H861" s="885"/>
      <c r="I861" s="885"/>
      <c r="J861" s="885"/>
      <c r="K861" s="885"/>
      <c r="L861" s="885"/>
      <c r="M861" s="885"/>
      <c r="N861" s="885"/>
      <c r="O861" s="885"/>
      <c r="P861" s="885"/>
      <c r="Q861" s="885"/>
      <c r="R861" s="885"/>
      <c r="S861" s="885"/>
      <c r="T861" s="885"/>
      <c r="U861" s="885"/>
      <c r="V861" s="885"/>
      <c r="W861" s="885"/>
      <c r="X861" s="885"/>
      <c r="Y861" s="885"/>
      <c r="Z861" s="885"/>
    </row>
    <row r="862" spans="1:26" ht="16.5" customHeight="1" x14ac:dyDescent="0.2">
      <c r="A862" s="885"/>
      <c r="B862" s="885"/>
      <c r="C862" s="885"/>
      <c r="D862" s="885"/>
      <c r="E862" s="885"/>
      <c r="F862" s="885"/>
      <c r="G862" s="885"/>
      <c r="H862" s="885"/>
      <c r="I862" s="885"/>
      <c r="J862" s="885"/>
      <c r="K862" s="885"/>
      <c r="L862" s="885"/>
      <c r="M862" s="885"/>
      <c r="N862" s="885"/>
      <c r="O862" s="885"/>
      <c r="P862" s="885"/>
      <c r="Q862" s="885"/>
      <c r="R862" s="885"/>
      <c r="S862" s="885"/>
      <c r="T862" s="885"/>
      <c r="U862" s="885"/>
      <c r="V862" s="885"/>
      <c r="W862" s="885"/>
      <c r="X862" s="885"/>
      <c r="Y862" s="885"/>
      <c r="Z862" s="885"/>
    </row>
    <row r="863" spans="1:26" ht="16.5" customHeight="1" x14ac:dyDescent="0.2">
      <c r="A863" s="885"/>
      <c r="B863" s="885"/>
      <c r="C863" s="885"/>
      <c r="D863" s="885"/>
      <c r="E863" s="885"/>
      <c r="F863" s="885"/>
      <c r="G863" s="885"/>
      <c r="H863" s="885"/>
      <c r="I863" s="885"/>
      <c r="J863" s="885"/>
      <c r="K863" s="885"/>
      <c r="L863" s="885"/>
      <c r="M863" s="885"/>
      <c r="N863" s="885"/>
      <c r="O863" s="885"/>
      <c r="P863" s="885"/>
      <c r="Q863" s="885"/>
      <c r="R863" s="885"/>
      <c r="S863" s="885"/>
      <c r="T863" s="885"/>
      <c r="U863" s="885"/>
      <c r="V863" s="885"/>
      <c r="W863" s="885"/>
      <c r="X863" s="885"/>
      <c r="Y863" s="885"/>
      <c r="Z863" s="885"/>
    </row>
    <row r="864" spans="1:26" ht="16.5" customHeight="1" x14ac:dyDescent="0.2">
      <c r="A864" s="885"/>
      <c r="B864" s="885"/>
      <c r="C864" s="885"/>
      <c r="D864" s="885"/>
      <c r="E864" s="885"/>
      <c r="F864" s="885"/>
      <c r="G864" s="885"/>
      <c r="H864" s="885"/>
      <c r="I864" s="885"/>
      <c r="J864" s="885"/>
      <c r="K864" s="885"/>
      <c r="L864" s="885"/>
      <c r="M864" s="885"/>
      <c r="N864" s="885"/>
      <c r="O864" s="885"/>
      <c r="P864" s="885"/>
      <c r="Q864" s="885"/>
      <c r="R864" s="885"/>
      <c r="S864" s="885"/>
      <c r="T864" s="885"/>
      <c r="U864" s="885"/>
      <c r="V864" s="885"/>
      <c r="W864" s="885"/>
      <c r="X864" s="885"/>
      <c r="Y864" s="885"/>
      <c r="Z864" s="885"/>
    </row>
    <row r="865" spans="1:26" ht="16.5" customHeight="1" x14ac:dyDescent="0.2">
      <c r="A865" s="885"/>
      <c r="B865" s="885"/>
      <c r="C865" s="885"/>
      <c r="D865" s="885"/>
      <c r="E865" s="885"/>
      <c r="F865" s="885"/>
      <c r="G865" s="885"/>
      <c r="H865" s="885"/>
      <c r="I865" s="885"/>
      <c r="J865" s="885"/>
      <c r="K865" s="885"/>
      <c r="L865" s="885"/>
      <c r="M865" s="885"/>
      <c r="N865" s="885"/>
      <c r="O865" s="885"/>
      <c r="P865" s="885"/>
      <c r="Q865" s="885"/>
      <c r="R865" s="885"/>
      <c r="S865" s="885"/>
      <c r="T865" s="885"/>
      <c r="U865" s="885"/>
      <c r="V865" s="885"/>
      <c r="W865" s="885"/>
      <c r="X865" s="885"/>
      <c r="Y865" s="885"/>
      <c r="Z865" s="885"/>
    </row>
    <row r="866" spans="1:26" ht="16.5" customHeight="1" x14ac:dyDescent="0.2">
      <c r="A866" s="885"/>
      <c r="B866" s="885"/>
      <c r="C866" s="885"/>
      <c r="D866" s="885"/>
      <c r="E866" s="885"/>
      <c r="F866" s="885"/>
      <c r="G866" s="885"/>
      <c r="H866" s="885"/>
      <c r="I866" s="885"/>
      <c r="J866" s="885"/>
      <c r="K866" s="885"/>
      <c r="L866" s="885"/>
      <c r="M866" s="885"/>
      <c r="N866" s="885"/>
      <c r="O866" s="885"/>
      <c r="P866" s="885"/>
      <c r="Q866" s="885"/>
      <c r="R866" s="885"/>
      <c r="S866" s="885"/>
      <c r="T866" s="885"/>
      <c r="U866" s="885"/>
      <c r="V866" s="885"/>
      <c r="W866" s="885"/>
      <c r="X866" s="885"/>
      <c r="Y866" s="885"/>
      <c r="Z866" s="885"/>
    </row>
    <row r="867" spans="1:26" ht="16.5" customHeight="1" x14ac:dyDescent="0.2">
      <c r="A867" s="885"/>
      <c r="B867" s="885"/>
      <c r="C867" s="885"/>
      <c r="D867" s="885"/>
      <c r="E867" s="885"/>
      <c r="F867" s="885"/>
      <c r="G867" s="885"/>
      <c r="H867" s="885"/>
      <c r="I867" s="885"/>
      <c r="J867" s="885"/>
      <c r="K867" s="885"/>
      <c r="L867" s="885"/>
      <c r="M867" s="885"/>
      <c r="N867" s="885"/>
      <c r="O867" s="885"/>
      <c r="P867" s="885"/>
      <c r="Q867" s="885"/>
      <c r="R867" s="885"/>
      <c r="S867" s="885"/>
      <c r="T867" s="885"/>
      <c r="U867" s="885"/>
      <c r="V867" s="885"/>
      <c r="W867" s="885"/>
      <c r="X867" s="885"/>
      <c r="Y867" s="885"/>
      <c r="Z867" s="885"/>
    </row>
    <row r="868" spans="1:26" ht="16.5" customHeight="1" x14ac:dyDescent="0.2">
      <c r="A868" s="885"/>
      <c r="B868" s="885"/>
      <c r="C868" s="885"/>
      <c r="D868" s="885"/>
      <c r="E868" s="885"/>
      <c r="F868" s="885"/>
      <c r="G868" s="885"/>
      <c r="H868" s="885"/>
      <c r="I868" s="885"/>
      <c r="J868" s="885"/>
      <c r="K868" s="885"/>
      <c r="L868" s="885"/>
      <c r="M868" s="885"/>
      <c r="N868" s="885"/>
      <c r="O868" s="885"/>
      <c r="P868" s="885"/>
      <c r="Q868" s="885"/>
      <c r="R868" s="885"/>
      <c r="S868" s="885"/>
      <c r="T868" s="885"/>
      <c r="U868" s="885"/>
      <c r="V868" s="885"/>
      <c r="W868" s="885"/>
      <c r="X868" s="885"/>
      <c r="Y868" s="885"/>
      <c r="Z868" s="885"/>
    </row>
    <row r="869" spans="1:26" ht="16.5" customHeight="1" x14ac:dyDescent="0.2">
      <c r="A869" s="885"/>
      <c r="B869" s="885"/>
      <c r="C869" s="885"/>
      <c r="D869" s="885"/>
      <c r="E869" s="885"/>
      <c r="F869" s="885"/>
      <c r="G869" s="885"/>
      <c r="H869" s="885"/>
      <c r="I869" s="885"/>
      <c r="J869" s="885"/>
      <c r="K869" s="885"/>
      <c r="L869" s="885"/>
      <c r="M869" s="885"/>
      <c r="N869" s="885"/>
      <c r="O869" s="885"/>
      <c r="P869" s="885"/>
      <c r="Q869" s="885"/>
      <c r="R869" s="885"/>
      <c r="S869" s="885"/>
      <c r="T869" s="885"/>
      <c r="U869" s="885"/>
      <c r="V869" s="885"/>
      <c r="W869" s="885"/>
      <c r="X869" s="885"/>
      <c r="Y869" s="885"/>
      <c r="Z869" s="885"/>
    </row>
    <row r="870" spans="1:26" ht="16.5" customHeight="1" x14ac:dyDescent="0.2">
      <c r="A870" s="885"/>
      <c r="B870" s="885"/>
      <c r="C870" s="885"/>
      <c r="D870" s="885"/>
      <c r="E870" s="885"/>
      <c r="F870" s="885"/>
      <c r="G870" s="885"/>
      <c r="H870" s="885"/>
      <c r="I870" s="885"/>
      <c r="J870" s="885"/>
      <c r="K870" s="885"/>
      <c r="L870" s="885"/>
      <c r="M870" s="885"/>
      <c r="N870" s="885"/>
      <c r="O870" s="885"/>
      <c r="P870" s="885"/>
      <c r="Q870" s="885"/>
      <c r="R870" s="885"/>
      <c r="S870" s="885"/>
      <c r="T870" s="885"/>
      <c r="U870" s="885"/>
      <c r="V870" s="885"/>
      <c r="W870" s="885"/>
      <c r="X870" s="885"/>
      <c r="Y870" s="885"/>
      <c r="Z870" s="885"/>
    </row>
    <row r="871" spans="1:26" ht="16.5" customHeight="1" x14ac:dyDescent="0.2">
      <c r="A871" s="885"/>
      <c r="B871" s="885"/>
      <c r="C871" s="885"/>
      <c r="D871" s="885"/>
      <c r="E871" s="885"/>
      <c r="F871" s="885"/>
      <c r="G871" s="885"/>
      <c r="H871" s="885"/>
      <c r="I871" s="885"/>
      <c r="J871" s="885"/>
      <c r="K871" s="885"/>
      <c r="L871" s="885"/>
      <c r="M871" s="885"/>
      <c r="N871" s="885"/>
      <c r="O871" s="885"/>
      <c r="P871" s="885"/>
      <c r="Q871" s="885"/>
      <c r="R871" s="885"/>
      <c r="S871" s="885"/>
      <c r="T871" s="885"/>
      <c r="U871" s="885"/>
      <c r="V871" s="885"/>
      <c r="W871" s="885"/>
      <c r="X871" s="885"/>
      <c r="Y871" s="885"/>
      <c r="Z871" s="885"/>
    </row>
    <row r="872" spans="1:26" ht="16.5" customHeight="1" x14ac:dyDescent="0.2">
      <c r="A872" s="885"/>
      <c r="B872" s="885"/>
      <c r="C872" s="885"/>
      <c r="D872" s="885"/>
      <c r="E872" s="885"/>
      <c r="F872" s="885"/>
      <c r="G872" s="885"/>
      <c r="H872" s="885"/>
      <c r="I872" s="885"/>
      <c r="J872" s="885"/>
      <c r="K872" s="885"/>
      <c r="L872" s="885"/>
      <c r="M872" s="885"/>
      <c r="N872" s="885"/>
      <c r="O872" s="885"/>
      <c r="P872" s="885"/>
      <c r="Q872" s="885"/>
      <c r="R872" s="885"/>
      <c r="S872" s="885"/>
      <c r="T872" s="885"/>
      <c r="U872" s="885"/>
      <c r="V872" s="885"/>
      <c r="W872" s="885"/>
      <c r="X872" s="885"/>
      <c r="Y872" s="885"/>
      <c r="Z872" s="885"/>
    </row>
    <row r="873" spans="1:26" ht="16.5" customHeight="1" x14ac:dyDescent="0.2">
      <c r="A873" s="885"/>
      <c r="B873" s="885"/>
      <c r="C873" s="885"/>
      <c r="D873" s="885"/>
      <c r="E873" s="885"/>
      <c r="F873" s="885"/>
      <c r="G873" s="885"/>
      <c r="H873" s="885"/>
      <c r="I873" s="885"/>
      <c r="J873" s="885"/>
      <c r="K873" s="885"/>
      <c r="L873" s="885"/>
      <c r="M873" s="885"/>
      <c r="N873" s="885"/>
      <c r="O873" s="885"/>
      <c r="P873" s="885"/>
      <c r="Q873" s="885"/>
      <c r="R873" s="885"/>
      <c r="S873" s="885"/>
      <c r="T873" s="885"/>
      <c r="U873" s="885"/>
      <c r="V873" s="885"/>
      <c r="W873" s="885"/>
      <c r="X873" s="885"/>
      <c r="Y873" s="885"/>
      <c r="Z873" s="885"/>
    </row>
    <row r="874" spans="1:26" ht="16.5" customHeight="1" x14ac:dyDescent="0.2">
      <c r="A874" s="885"/>
      <c r="B874" s="885"/>
      <c r="C874" s="885"/>
      <c r="D874" s="885"/>
      <c r="E874" s="885"/>
      <c r="F874" s="885"/>
      <c r="G874" s="885"/>
      <c r="H874" s="885"/>
      <c r="I874" s="885"/>
      <c r="J874" s="885"/>
      <c r="K874" s="885"/>
      <c r="L874" s="885"/>
      <c r="M874" s="885"/>
      <c r="N874" s="885"/>
      <c r="O874" s="885"/>
      <c r="P874" s="885"/>
      <c r="Q874" s="885"/>
      <c r="R874" s="885"/>
      <c r="S874" s="885"/>
      <c r="T874" s="885"/>
      <c r="U874" s="885"/>
      <c r="V874" s="885"/>
      <c r="W874" s="885"/>
      <c r="X874" s="885"/>
      <c r="Y874" s="885"/>
      <c r="Z874" s="885"/>
    </row>
    <row r="875" spans="1:26" ht="16.5" customHeight="1" x14ac:dyDescent="0.2">
      <c r="A875" s="885"/>
      <c r="B875" s="885"/>
      <c r="C875" s="885"/>
      <c r="D875" s="885"/>
      <c r="E875" s="885"/>
      <c r="F875" s="885"/>
      <c r="G875" s="885"/>
      <c r="H875" s="885"/>
      <c r="I875" s="885"/>
      <c r="J875" s="885"/>
      <c r="K875" s="885"/>
      <c r="L875" s="885"/>
      <c r="M875" s="885"/>
      <c r="N875" s="885"/>
      <c r="O875" s="885"/>
      <c r="P875" s="885"/>
      <c r="Q875" s="885"/>
      <c r="R875" s="885"/>
      <c r="S875" s="885"/>
      <c r="T875" s="885"/>
      <c r="U875" s="885"/>
      <c r="V875" s="885"/>
      <c r="W875" s="885"/>
      <c r="X875" s="885"/>
      <c r="Y875" s="885"/>
      <c r="Z875" s="885"/>
    </row>
    <row r="876" spans="1:26" ht="16.5" customHeight="1" x14ac:dyDescent="0.2">
      <c r="A876" s="885"/>
      <c r="B876" s="885"/>
      <c r="C876" s="885"/>
      <c r="D876" s="885"/>
      <c r="E876" s="885"/>
      <c r="F876" s="885"/>
      <c r="G876" s="885"/>
      <c r="H876" s="885"/>
      <c r="I876" s="885"/>
      <c r="J876" s="885"/>
      <c r="K876" s="885"/>
      <c r="L876" s="885"/>
      <c r="M876" s="885"/>
      <c r="N876" s="885"/>
      <c r="O876" s="885"/>
      <c r="P876" s="885"/>
      <c r="Q876" s="885"/>
      <c r="R876" s="885"/>
      <c r="S876" s="885"/>
      <c r="T876" s="885"/>
      <c r="U876" s="885"/>
      <c r="V876" s="885"/>
      <c r="W876" s="885"/>
      <c r="X876" s="885"/>
      <c r="Y876" s="885"/>
      <c r="Z876" s="885"/>
    </row>
    <row r="877" spans="1:26" ht="16.5" customHeight="1" x14ac:dyDescent="0.2">
      <c r="A877" s="885"/>
      <c r="B877" s="885"/>
      <c r="C877" s="885"/>
      <c r="D877" s="885"/>
      <c r="E877" s="885"/>
      <c r="F877" s="885"/>
      <c r="G877" s="885"/>
      <c r="H877" s="885"/>
      <c r="I877" s="885"/>
      <c r="J877" s="885"/>
      <c r="K877" s="885"/>
      <c r="L877" s="885"/>
      <c r="M877" s="885"/>
      <c r="N877" s="885"/>
      <c r="O877" s="885"/>
      <c r="P877" s="885"/>
      <c r="Q877" s="885"/>
      <c r="R877" s="885"/>
      <c r="S877" s="885"/>
      <c r="T877" s="885"/>
      <c r="U877" s="885"/>
      <c r="V877" s="885"/>
      <c r="W877" s="885"/>
      <c r="X877" s="885"/>
      <c r="Y877" s="885"/>
      <c r="Z877" s="885"/>
    </row>
    <row r="878" spans="1:26" ht="16.5" customHeight="1" x14ac:dyDescent="0.2">
      <c r="A878" s="885"/>
      <c r="B878" s="885"/>
      <c r="C878" s="885"/>
      <c r="D878" s="885"/>
      <c r="E878" s="885"/>
      <c r="F878" s="885"/>
      <c r="G878" s="885"/>
      <c r="H878" s="885"/>
      <c r="I878" s="885"/>
      <c r="J878" s="885"/>
      <c r="K878" s="885"/>
      <c r="L878" s="885"/>
      <c r="M878" s="885"/>
      <c r="N878" s="885"/>
      <c r="O878" s="885"/>
      <c r="P878" s="885"/>
      <c r="Q878" s="885"/>
      <c r="R878" s="885"/>
      <c r="S878" s="885"/>
      <c r="T878" s="885"/>
      <c r="U878" s="885"/>
      <c r="V878" s="885"/>
      <c r="W878" s="885"/>
      <c r="X878" s="885"/>
      <c r="Y878" s="885"/>
      <c r="Z878" s="885"/>
    </row>
    <row r="879" spans="1:26" ht="16.5" customHeight="1" x14ac:dyDescent="0.2">
      <c r="A879" s="885"/>
      <c r="B879" s="885"/>
      <c r="C879" s="885"/>
      <c r="D879" s="885"/>
      <c r="E879" s="885"/>
      <c r="F879" s="885"/>
      <c r="G879" s="885"/>
      <c r="H879" s="885"/>
      <c r="I879" s="885"/>
      <c r="J879" s="885"/>
      <c r="K879" s="885"/>
      <c r="L879" s="885"/>
      <c r="M879" s="885"/>
      <c r="N879" s="885"/>
      <c r="O879" s="885"/>
      <c r="P879" s="885"/>
      <c r="Q879" s="885"/>
      <c r="R879" s="885"/>
      <c r="S879" s="885"/>
      <c r="T879" s="885"/>
      <c r="U879" s="885"/>
      <c r="V879" s="885"/>
      <c r="W879" s="885"/>
      <c r="X879" s="885"/>
      <c r="Y879" s="885"/>
      <c r="Z879" s="885"/>
    </row>
    <row r="880" spans="1:26" ht="16.5" customHeight="1" x14ac:dyDescent="0.2">
      <c r="A880" s="885"/>
      <c r="B880" s="885"/>
      <c r="C880" s="885"/>
      <c r="D880" s="885"/>
      <c r="E880" s="885"/>
      <c r="F880" s="885"/>
      <c r="G880" s="885"/>
      <c r="H880" s="885"/>
      <c r="I880" s="885"/>
      <c r="J880" s="885"/>
      <c r="K880" s="885"/>
      <c r="L880" s="885"/>
      <c r="M880" s="885"/>
      <c r="N880" s="885"/>
      <c r="O880" s="885"/>
      <c r="P880" s="885"/>
      <c r="Q880" s="885"/>
      <c r="R880" s="885"/>
      <c r="S880" s="885"/>
      <c r="T880" s="885"/>
      <c r="U880" s="885"/>
      <c r="V880" s="885"/>
      <c r="W880" s="885"/>
      <c r="X880" s="885"/>
      <c r="Y880" s="885"/>
      <c r="Z880" s="885"/>
    </row>
    <row r="881" spans="1:26" ht="16.5" customHeight="1" x14ac:dyDescent="0.2">
      <c r="A881" s="885"/>
      <c r="B881" s="885"/>
      <c r="C881" s="885"/>
      <c r="D881" s="885"/>
      <c r="E881" s="885"/>
      <c r="F881" s="885"/>
      <c r="G881" s="885"/>
      <c r="H881" s="885"/>
      <c r="I881" s="885"/>
      <c r="J881" s="885"/>
      <c r="K881" s="885"/>
      <c r="L881" s="885"/>
      <c r="M881" s="885"/>
      <c r="N881" s="885"/>
      <c r="O881" s="885"/>
      <c r="P881" s="885"/>
      <c r="Q881" s="885"/>
      <c r="R881" s="885"/>
      <c r="S881" s="885"/>
      <c r="T881" s="885"/>
      <c r="U881" s="885"/>
      <c r="V881" s="885"/>
      <c r="W881" s="885"/>
      <c r="X881" s="885"/>
      <c r="Y881" s="885"/>
      <c r="Z881" s="885"/>
    </row>
    <row r="882" spans="1:26" ht="16.5" customHeight="1" x14ac:dyDescent="0.2">
      <c r="A882" s="885"/>
      <c r="B882" s="885"/>
      <c r="C882" s="885"/>
      <c r="D882" s="885"/>
      <c r="E882" s="885"/>
      <c r="F882" s="885"/>
      <c r="G882" s="885"/>
      <c r="H882" s="885"/>
      <c r="I882" s="885"/>
      <c r="J882" s="885"/>
      <c r="K882" s="885"/>
      <c r="L882" s="885"/>
      <c r="M882" s="885"/>
      <c r="N882" s="885"/>
      <c r="O882" s="885"/>
      <c r="P882" s="885"/>
      <c r="Q882" s="885"/>
      <c r="R882" s="885"/>
      <c r="S882" s="885"/>
      <c r="T882" s="885"/>
      <c r="U882" s="885"/>
      <c r="V882" s="885"/>
      <c r="W882" s="885"/>
      <c r="X882" s="885"/>
      <c r="Y882" s="885"/>
      <c r="Z882" s="885"/>
    </row>
    <row r="883" spans="1:26" ht="16.5" customHeight="1" x14ac:dyDescent="0.2">
      <c r="A883" s="885"/>
      <c r="B883" s="885"/>
      <c r="C883" s="885"/>
      <c r="D883" s="885"/>
      <c r="E883" s="885"/>
      <c r="F883" s="885"/>
      <c r="G883" s="885"/>
      <c r="H883" s="885"/>
      <c r="I883" s="885"/>
      <c r="J883" s="885"/>
      <c r="K883" s="885"/>
      <c r="L883" s="885"/>
      <c r="M883" s="885"/>
      <c r="N883" s="885"/>
      <c r="O883" s="885"/>
      <c r="P883" s="885"/>
      <c r="Q883" s="885"/>
      <c r="R883" s="885"/>
      <c r="S883" s="885"/>
      <c r="T883" s="885"/>
      <c r="U883" s="885"/>
      <c r="V883" s="885"/>
      <c r="W883" s="885"/>
      <c r="X883" s="885"/>
      <c r="Y883" s="885"/>
      <c r="Z883" s="885"/>
    </row>
    <row r="884" spans="1:26" ht="16.5" customHeight="1" x14ac:dyDescent="0.2">
      <c r="A884" s="885"/>
      <c r="B884" s="885"/>
      <c r="C884" s="885"/>
      <c r="D884" s="885"/>
      <c r="E884" s="885"/>
      <c r="F884" s="885"/>
      <c r="G884" s="885"/>
      <c r="H884" s="885"/>
      <c r="I884" s="885"/>
      <c r="J884" s="885"/>
      <c r="K884" s="885"/>
      <c r="L884" s="885"/>
      <c r="M884" s="885"/>
      <c r="N884" s="885"/>
      <c r="O884" s="885"/>
      <c r="P884" s="885"/>
      <c r="Q884" s="885"/>
      <c r="R884" s="885"/>
      <c r="S884" s="885"/>
      <c r="T884" s="885"/>
      <c r="U884" s="885"/>
      <c r="V884" s="885"/>
      <c r="W884" s="885"/>
      <c r="X884" s="885"/>
      <c r="Y884" s="885"/>
      <c r="Z884" s="885"/>
    </row>
    <row r="885" spans="1:26" ht="16.5" customHeight="1" x14ac:dyDescent="0.2">
      <c r="A885" s="885"/>
      <c r="B885" s="885"/>
      <c r="C885" s="885"/>
      <c r="D885" s="885"/>
      <c r="E885" s="885"/>
      <c r="F885" s="885"/>
      <c r="G885" s="885"/>
      <c r="H885" s="885"/>
      <c r="I885" s="885"/>
      <c r="J885" s="885"/>
      <c r="K885" s="885"/>
      <c r="L885" s="885"/>
      <c r="M885" s="885"/>
      <c r="N885" s="885"/>
      <c r="O885" s="885"/>
      <c r="P885" s="885"/>
      <c r="Q885" s="885"/>
      <c r="R885" s="885"/>
      <c r="S885" s="885"/>
      <c r="T885" s="885"/>
      <c r="U885" s="885"/>
      <c r="V885" s="885"/>
      <c r="W885" s="885"/>
      <c r="X885" s="885"/>
      <c r="Y885" s="885"/>
      <c r="Z885" s="885"/>
    </row>
    <row r="886" spans="1:26" ht="16.5" customHeight="1" x14ac:dyDescent="0.2">
      <c r="A886" s="885"/>
      <c r="B886" s="885"/>
      <c r="C886" s="885"/>
      <c r="D886" s="885"/>
      <c r="E886" s="885"/>
      <c r="F886" s="885"/>
      <c r="G886" s="885"/>
      <c r="H886" s="885"/>
      <c r="I886" s="885"/>
      <c r="J886" s="885"/>
      <c r="K886" s="885"/>
      <c r="L886" s="885"/>
      <c r="M886" s="885"/>
      <c r="N886" s="885"/>
      <c r="O886" s="885"/>
      <c r="P886" s="885"/>
      <c r="Q886" s="885"/>
      <c r="R886" s="885"/>
      <c r="S886" s="885"/>
      <c r="T886" s="885"/>
      <c r="U886" s="885"/>
      <c r="V886" s="885"/>
      <c r="W886" s="885"/>
      <c r="X886" s="885"/>
      <c r="Y886" s="885"/>
      <c r="Z886" s="885"/>
    </row>
    <row r="887" spans="1:26" ht="16.5" customHeight="1" x14ac:dyDescent="0.2">
      <c r="A887" s="885"/>
      <c r="B887" s="885"/>
      <c r="C887" s="885"/>
      <c r="D887" s="885"/>
      <c r="E887" s="885"/>
      <c r="F887" s="885"/>
      <c r="G887" s="885"/>
      <c r="H887" s="885"/>
      <c r="I887" s="885"/>
      <c r="J887" s="885"/>
      <c r="K887" s="885"/>
      <c r="L887" s="885"/>
      <c r="M887" s="885"/>
      <c r="N887" s="885"/>
      <c r="O887" s="885"/>
      <c r="P887" s="885"/>
      <c r="Q887" s="885"/>
      <c r="R887" s="885"/>
      <c r="S887" s="885"/>
      <c r="T887" s="885"/>
      <c r="U887" s="885"/>
      <c r="V887" s="885"/>
      <c r="W887" s="885"/>
      <c r="X887" s="885"/>
      <c r="Y887" s="885"/>
      <c r="Z887" s="885"/>
    </row>
    <row r="888" spans="1:26" ht="16.5" customHeight="1" x14ac:dyDescent="0.2">
      <c r="A888" s="885"/>
      <c r="B888" s="885"/>
      <c r="C888" s="885"/>
      <c r="D888" s="885"/>
      <c r="E888" s="885"/>
      <c r="F888" s="885"/>
      <c r="G888" s="885"/>
      <c r="H888" s="885"/>
      <c r="I888" s="885"/>
      <c r="J888" s="885"/>
      <c r="K888" s="885"/>
      <c r="L888" s="885"/>
      <c r="M888" s="885"/>
      <c r="N888" s="885"/>
      <c r="O888" s="885"/>
      <c r="P888" s="885"/>
      <c r="Q888" s="885"/>
      <c r="R888" s="885"/>
      <c r="S888" s="885"/>
      <c r="T888" s="885"/>
      <c r="U888" s="885"/>
      <c r="V888" s="885"/>
      <c r="W888" s="885"/>
      <c r="X888" s="885"/>
      <c r="Y888" s="885"/>
      <c r="Z888" s="885"/>
    </row>
    <row r="889" spans="1:26" ht="16.5" customHeight="1" x14ac:dyDescent="0.2">
      <c r="A889" s="885"/>
      <c r="B889" s="885"/>
      <c r="C889" s="885"/>
      <c r="D889" s="885"/>
      <c r="E889" s="885"/>
      <c r="F889" s="885"/>
      <c r="G889" s="885"/>
      <c r="H889" s="885"/>
      <c r="I889" s="885"/>
      <c r="J889" s="885"/>
      <c r="K889" s="885"/>
      <c r="L889" s="885"/>
      <c r="M889" s="885"/>
      <c r="N889" s="885"/>
      <c r="O889" s="885"/>
      <c r="P889" s="885"/>
      <c r="Q889" s="885"/>
      <c r="R889" s="885"/>
      <c r="S889" s="885"/>
      <c r="T889" s="885"/>
      <c r="U889" s="885"/>
      <c r="V889" s="885"/>
      <c r="W889" s="885"/>
      <c r="X889" s="885"/>
      <c r="Y889" s="885"/>
      <c r="Z889" s="885"/>
    </row>
    <row r="890" spans="1:26" ht="16.5" customHeight="1" x14ac:dyDescent="0.2">
      <c r="A890" s="885"/>
      <c r="B890" s="885"/>
      <c r="C890" s="885"/>
      <c r="D890" s="885"/>
      <c r="E890" s="885"/>
      <c r="F890" s="885"/>
      <c r="G890" s="885"/>
      <c r="H890" s="885"/>
      <c r="I890" s="885"/>
      <c r="J890" s="885"/>
      <c r="K890" s="885"/>
      <c r="L890" s="885"/>
      <c r="M890" s="885"/>
      <c r="N890" s="885"/>
      <c r="O890" s="885"/>
      <c r="P890" s="885"/>
      <c r="Q890" s="885"/>
      <c r="R890" s="885"/>
      <c r="S890" s="885"/>
      <c r="T890" s="885"/>
      <c r="U890" s="885"/>
      <c r="V890" s="885"/>
      <c r="W890" s="885"/>
      <c r="X890" s="885"/>
      <c r="Y890" s="885"/>
      <c r="Z890" s="885"/>
    </row>
    <row r="891" spans="1:26" ht="16.5" customHeight="1" x14ac:dyDescent="0.2">
      <c r="A891" s="885"/>
      <c r="B891" s="885"/>
      <c r="C891" s="885"/>
      <c r="D891" s="885"/>
      <c r="E891" s="885"/>
      <c r="F891" s="885"/>
      <c r="G891" s="885"/>
      <c r="H891" s="885"/>
      <c r="I891" s="885"/>
      <c r="J891" s="885"/>
      <c r="K891" s="885"/>
      <c r="L891" s="885"/>
      <c r="M891" s="885"/>
      <c r="N891" s="885"/>
      <c r="O891" s="885"/>
      <c r="P891" s="885"/>
      <c r="Q891" s="885"/>
      <c r="R891" s="885"/>
      <c r="S891" s="885"/>
      <c r="T891" s="885"/>
      <c r="U891" s="885"/>
      <c r="V891" s="885"/>
      <c r="W891" s="885"/>
      <c r="X891" s="885"/>
      <c r="Y891" s="885"/>
      <c r="Z891" s="885"/>
    </row>
    <row r="892" spans="1:26" ht="16.5" customHeight="1" x14ac:dyDescent="0.2">
      <c r="A892" s="885"/>
      <c r="B892" s="885"/>
      <c r="C892" s="885"/>
      <c r="D892" s="885"/>
      <c r="E892" s="885"/>
      <c r="F892" s="885"/>
      <c r="G892" s="885"/>
      <c r="H892" s="885"/>
      <c r="I892" s="885"/>
      <c r="J892" s="885"/>
      <c r="K892" s="885"/>
      <c r="L892" s="885"/>
      <c r="M892" s="885"/>
      <c r="N892" s="885"/>
      <c r="O892" s="885"/>
      <c r="P892" s="885"/>
      <c r="Q892" s="885"/>
      <c r="R892" s="885"/>
      <c r="S892" s="885"/>
      <c r="T892" s="885"/>
      <c r="U892" s="885"/>
      <c r="V892" s="885"/>
      <c r="W892" s="885"/>
      <c r="X892" s="885"/>
      <c r="Y892" s="885"/>
      <c r="Z892" s="885"/>
    </row>
    <row r="893" spans="1:26" ht="16.5" customHeight="1" x14ac:dyDescent="0.2">
      <c r="A893" s="885"/>
      <c r="B893" s="885"/>
      <c r="C893" s="885"/>
      <c r="D893" s="885"/>
      <c r="E893" s="885"/>
      <c r="F893" s="885"/>
      <c r="G893" s="885"/>
      <c r="H893" s="885"/>
      <c r="I893" s="885"/>
      <c r="J893" s="885"/>
      <c r="K893" s="885"/>
      <c r="L893" s="885"/>
      <c r="M893" s="885"/>
      <c r="N893" s="885"/>
      <c r="O893" s="885"/>
      <c r="P893" s="885"/>
      <c r="Q893" s="885"/>
      <c r="R893" s="885"/>
      <c r="S893" s="885"/>
      <c r="T893" s="885"/>
      <c r="U893" s="885"/>
      <c r="V893" s="885"/>
      <c r="W893" s="885"/>
      <c r="X893" s="885"/>
      <c r="Y893" s="885"/>
      <c r="Z893" s="885"/>
    </row>
    <row r="894" spans="1:26" ht="16.5" customHeight="1" x14ac:dyDescent="0.2">
      <c r="A894" s="885"/>
      <c r="B894" s="885"/>
      <c r="C894" s="885"/>
      <c r="D894" s="885"/>
      <c r="E894" s="885"/>
      <c r="F894" s="885"/>
      <c r="G894" s="885"/>
      <c r="H894" s="885"/>
      <c r="I894" s="885"/>
      <c r="J894" s="885"/>
      <c r="K894" s="885"/>
      <c r="L894" s="885"/>
      <c r="M894" s="885"/>
      <c r="N894" s="885"/>
      <c r="O894" s="885"/>
      <c r="P894" s="885"/>
      <c r="Q894" s="885"/>
      <c r="R894" s="885"/>
      <c r="S894" s="885"/>
      <c r="T894" s="885"/>
      <c r="U894" s="885"/>
      <c r="V894" s="885"/>
      <c r="W894" s="885"/>
      <c r="X894" s="885"/>
      <c r="Y894" s="885"/>
      <c r="Z894" s="885"/>
    </row>
    <row r="895" spans="1:26" ht="16.5" customHeight="1" x14ac:dyDescent="0.2">
      <c r="A895" s="885"/>
      <c r="B895" s="885"/>
      <c r="C895" s="885"/>
      <c r="D895" s="885"/>
      <c r="E895" s="885"/>
      <c r="F895" s="885"/>
      <c r="G895" s="885"/>
      <c r="H895" s="885"/>
      <c r="I895" s="885"/>
      <c r="J895" s="885"/>
      <c r="K895" s="885"/>
      <c r="L895" s="885"/>
      <c r="M895" s="885"/>
      <c r="N895" s="885"/>
      <c r="O895" s="885"/>
      <c r="P895" s="885"/>
      <c r="Q895" s="885"/>
      <c r="R895" s="885"/>
      <c r="S895" s="885"/>
      <c r="T895" s="885"/>
      <c r="U895" s="885"/>
      <c r="V895" s="885"/>
      <c r="W895" s="885"/>
      <c r="X895" s="885"/>
      <c r="Y895" s="885"/>
      <c r="Z895" s="885"/>
    </row>
    <row r="896" spans="1:26" ht="16.5" customHeight="1" x14ac:dyDescent="0.2">
      <c r="A896" s="885"/>
      <c r="B896" s="885"/>
      <c r="C896" s="885"/>
      <c r="D896" s="885"/>
      <c r="E896" s="885"/>
      <c r="F896" s="885"/>
      <c r="G896" s="885"/>
      <c r="H896" s="885"/>
      <c r="I896" s="885"/>
      <c r="J896" s="885"/>
      <c r="K896" s="885"/>
      <c r="L896" s="885"/>
      <c r="M896" s="885"/>
      <c r="N896" s="885"/>
      <c r="O896" s="885"/>
      <c r="P896" s="885"/>
      <c r="Q896" s="885"/>
      <c r="R896" s="885"/>
      <c r="S896" s="885"/>
      <c r="T896" s="885"/>
      <c r="U896" s="885"/>
      <c r="V896" s="885"/>
      <c r="W896" s="885"/>
      <c r="X896" s="885"/>
      <c r="Y896" s="885"/>
      <c r="Z896" s="885"/>
    </row>
    <row r="897" spans="1:26" ht="16.5" customHeight="1" x14ac:dyDescent="0.2">
      <c r="A897" s="885"/>
      <c r="B897" s="885"/>
      <c r="C897" s="885"/>
      <c r="D897" s="885"/>
      <c r="E897" s="885"/>
      <c r="F897" s="885"/>
      <c r="G897" s="885"/>
      <c r="H897" s="885"/>
      <c r="I897" s="885"/>
      <c r="J897" s="885"/>
      <c r="K897" s="885"/>
      <c r="L897" s="885"/>
      <c r="M897" s="885"/>
      <c r="N897" s="885"/>
      <c r="O897" s="885"/>
      <c r="P897" s="885"/>
      <c r="Q897" s="885"/>
      <c r="R897" s="885"/>
      <c r="S897" s="885"/>
      <c r="T897" s="885"/>
      <c r="U897" s="885"/>
      <c r="V897" s="885"/>
      <c r="W897" s="885"/>
      <c r="X897" s="885"/>
      <c r="Y897" s="885"/>
      <c r="Z897" s="885"/>
    </row>
    <row r="898" spans="1:26" ht="16.5" customHeight="1" x14ac:dyDescent="0.2">
      <c r="A898" s="885"/>
      <c r="B898" s="885"/>
      <c r="C898" s="885"/>
      <c r="D898" s="885"/>
      <c r="E898" s="885"/>
      <c r="F898" s="885"/>
      <c r="G898" s="885"/>
      <c r="H898" s="885"/>
      <c r="I898" s="885"/>
      <c r="J898" s="885"/>
      <c r="K898" s="885"/>
      <c r="L898" s="885"/>
      <c r="M898" s="885"/>
      <c r="N898" s="885"/>
      <c r="O898" s="885"/>
      <c r="P898" s="885"/>
      <c r="Q898" s="885"/>
      <c r="R898" s="885"/>
      <c r="S898" s="885"/>
      <c r="T898" s="885"/>
      <c r="U898" s="885"/>
      <c r="V898" s="885"/>
      <c r="W898" s="885"/>
      <c r="X898" s="885"/>
      <c r="Y898" s="885"/>
      <c r="Z898" s="885"/>
    </row>
    <row r="899" spans="1:26" ht="16.5" customHeight="1" x14ac:dyDescent="0.2">
      <c r="A899" s="885"/>
      <c r="B899" s="885"/>
      <c r="C899" s="885"/>
      <c r="D899" s="885"/>
      <c r="E899" s="885"/>
      <c r="F899" s="885"/>
      <c r="G899" s="885"/>
      <c r="H899" s="885"/>
      <c r="I899" s="885"/>
      <c r="J899" s="885"/>
      <c r="K899" s="885"/>
      <c r="L899" s="885"/>
      <c r="M899" s="885"/>
      <c r="N899" s="885"/>
      <c r="O899" s="885"/>
      <c r="P899" s="885"/>
      <c r="Q899" s="885"/>
      <c r="R899" s="885"/>
      <c r="S899" s="885"/>
      <c r="T899" s="885"/>
      <c r="U899" s="885"/>
      <c r="V899" s="885"/>
      <c r="W899" s="885"/>
      <c r="X899" s="885"/>
      <c r="Y899" s="885"/>
      <c r="Z899" s="885"/>
    </row>
    <row r="900" spans="1:26" ht="16.5" customHeight="1" x14ac:dyDescent="0.2">
      <c r="A900" s="885"/>
      <c r="B900" s="885"/>
      <c r="C900" s="885"/>
      <c r="D900" s="885"/>
      <c r="E900" s="885"/>
      <c r="F900" s="885"/>
      <c r="G900" s="885"/>
      <c r="H900" s="885"/>
      <c r="I900" s="885"/>
      <c r="J900" s="885"/>
      <c r="K900" s="885"/>
      <c r="L900" s="885"/>
      <c r="M900" s="885"/>
      <c r="N900" s="885"/>
      <c r="O900" s="885"/>
      <c r="P900" s="885"/>
      <c r="Q900" s="885"/>
      <c r="R900" s="885"/>
      <c r="S900" s="885"/>
      <c r="T900" s="885"/>
      <c r="U900" s="885"/>
      <c r="V900" s="885"/>
      <c r="W900" s="885"/>
      <c r="X900" s="885"/>
      <c r="Y900" s="885"/>
      <c r="Z900" s="885"/>
    </row>
    <row r="901" spans="1:26" ht="16.5" customHeight="1" x14ac:dyDescent="0.2">
      <c r="A901" s="885"/>
      <c r="B901" s="885"/>
      <c r="C901" s="885"/>
      <c r="D901" s="885"/>
      <c r="E901" s="885"/>
      <c r="F901" s="885"/>
      <c r="G901" s="885"/>
      <c r="H901" s="885"/>
      <c r="I901" s="885"/>
      <c r="J901" s="885"/>
      <c r="K901" s="885"/>
      <c r="L901" s="885"/>
      <c r="M901" s="885"/>
      <c r="N901" s="885"/>
      <c r="O901" s="885"/>
      <c r="P901" s="885"/>
      <c r="Q901" s="885"/>
      <c r="R901" s="885"/>
      <c r="S901" s="885"/>
      <c r="T901" s="885"/>
      <c r="U901" s="885"/>
      <c r="V901" s="885"/>
      <c r="W901" s="885"/>
      <c r="X901" s="885"/>
      <c r="Y901" s="885"/>
      <c r="Z901" s="885"/>
    </row>
    <row r="902" spans="1:26" ht="16.5" customHeight="1" x14ac:dyDescent="0.2">
      <c r="A902" s="885"/>
      <c r="B902" s="885"/>
      <c r="C902" s="885"/>
      <c r="D902" s="885"/>
      <c r="E902" s="885"/>
      <c r="F902" s="885"/>
      <c r="G902" s="885"/>
      <c r="H902" s="885"/>
      <c r="I902" s="885"/>
      <c r="J902" s="885"/>
      <c r="K902" s="885"/>
      <c r="L902" s="885"/>
      <c r="M902" s="885"/>
      <c r="N902" s="885"/>
      <c r="O902" s="885"/>
      <c r="P902" s="885"/>
      <c r="Q902" s="885"/>
      <c r="R902" s="885"/>
      <c r="S902" s="885"/>
      <c r="T902" s="885"/>
      <c r="U902" s="885"/>
      <c r="V902" s="885"/>
      <c r="W902" s="885"/>
      <c r="X902" s="885"/>
      <c r="Y902" s="885"/>
      <c r="Z902" s="885"/>
    </row>
    <row r="903" spans="1:26" ht="16.5" customHeight="1" x14ac:dyDescent="0.2">
      <c r="A903" s="885"/>
      <c r="B903" s="885"/>
      <c r="C903" s="885"/>
      <c r="D903" s="885"/>
      <c r="E903" s="885"/>
      <c r="F903" s="885"/>
      <c r="G903" s="885"/>
      <c r="H903" s="885"/>
      <c r="I903" s="885"/>
      <c r="J903" s="885"/>
      <c r="K903" s="885"/>
      <c r="L903" s="885"/>
      <c r="M903" s="885"/>
      <c r="N903" s="885"/>
      <c r="O903" s="885"/>
      <c r="P903" s="885"/>
      <c r="Q903" s="885"/>
      <c r="R903" s="885"/>
      <c r="S903" s="885"/>
      <c r="T903" s="885"/>
      <c r="U903" s="885"/>
      <c r="V903" s="885"/>
      <c r="W903" s="885"/>
      <c r="X903" s="885"/>
      <c r="Y903" s="885"/>
      <c r="Z903" s="885"/>
    </row>
    <row r="904" spans="1:26" ht="16.5" customHeight="1" x14ac:dyDescent="0.2">
      <c r="A904" s="885"/>
      <c r="B904" s="885"/>
      <c r="C904" s="885"/>
      <c r="D904" s="885"/>
      <c r="E904" s="885"/>
      <c r="F904" s="885"/>
      <c r="G904" s="885"/>
      <c r="H904" s="885"/>
      <c r="I904" s="885"/>
      <c r="J904" s="885"/>
      <c r="K904" s="885"/>
      <c r="L904" s="885"/>
      <c r="M904" s="885"/>
      <c r="N904" s="885"/>
      <c r="O904" s="885"/>
      <c r="P904" s="885"/>
      <c r="Q904" s="885"/>
      <c r="R904" s="885"/>
      <c r="S904" s="885"/>
      <c r="T904" s="885"/>
      <c r="U904" s="885"/>
      <c r="V904" s="885"/>
      <c r="W904" s="885"/>
      <c r="X904" s="885"/>
      <c r="Y904" s="885"/>
      <c r="Z904" s="885"/>
    </row>
    <row r="905" spans="1:26" ht="16.5" customHeight="1" x14ac:dyDescent="0.2">
      <c r="A905" s="885"/>
      <c r="B905" s="885"/>
      <c r="C905" s="885"/>
      <c r="D905" s="885"/>
      <c r="E905" s="885"/>
      <c r="F905" s="885"/>
      <c r="G905" s="885"/>
      <c r="H905" s="885"/>
      <c r="I905" s="885"/>
      <c r="J905" s="885"/>
      <c r="K905" s="885"/>
      <c r="L905" s="885"/>
      <c r="M905" s="885"/>
      <c r="N905" s="885"/>
      <c r="O905" s="885"/>
      <c r="P905" s="885"/>
      <c r="Q905" s="885"/>
      <c r="R905" s="885"/>
      <c r="S905" s="885"/>
      <c r="T905" s="885"/>
      <c r="U905" s="885"/>
      <c r="V905" s="885"/>
      <c r="W905" s="885"/>
      <c r="X905" s="885"/>
      <c r="Y905" s="885"/>
      <c r="Z905" s="885"/>
    </row>
    <row r="906" spans="1:26" ht="16.5" customHeight="1" x14ac:dyDescent="0.2">
      <c r="A906" s="885"/>
      <c r="B906" s="885"/>
      <c r="C906" s="885"/>
      <c r="D906" s="885"/>
      <c r="E906" s="885"/>
      <c r="F906" s="885"/>
      <c r="G906" s="885"/>
      <c r="H906" s="885"/>
      <c r="I906" s="885"/>
      <c r="J906" s="885"/>
      <c r="K906" s="885"/>
      <c r="L906" s="885"/>
      <c r="M906" s="885"/>
      <c r="N906" s="885"/>
      <c r="O906" s="885"/>
      <c r="P906" s="885"/>
      <c r="Q906" s="885"/>
      <c r="R906" s="885"/>
      <c r="S906" s="885"/>
      <c r="T906" s="885"/>
      <c r="U906" s="885"/>
      <c r="V906" s="885"/>
      <c r="W906" s="885"/>
      <c r="X906" s="885"/>
      <c r="Y906" s="885"/>
      <c r="Z906" s="885"/>
    </row>
    <row r="907" spans="1:26" ht="16.5" customHeight="1" x14ac:dyDescent="0.2">
      <c r="A907" s="885"/>
      <c r="B907" s="885"/>
      <c r="C907" s="885"/>
      <c r="D907" s="885"/>
      <c r="E907" s="885"/>
      <c r="F907" s="885"/>
      <c r="G907" s="885"/>
      <c r="H907" s="885"/>
      <c r="I907" s="885"/>
      <c r="J907" s="885"/>
      <c r="K907" s="885"/>
      <c r="L907" s="885"/>
      <c r="M907" s="885"/>
      <c r="N907" s="885"/>
      <c r="O907" s="885"/>
      <c r="P907" s="885"/>
      <c r="Q907" s="885"/>
      <c r="R907" s="885"/>
      <c r="S907" s="885"/>
      <c r="T907" s="885"/>
      <c r="U907" s="885"/>
      <c r="V907" s="885"/>
      <c r="W907" s="885"/>
      <c r="X907" s="885"/>
      <c r="Y907" s="885"/>
      <c r="Z907" s="885"/>
    </row>
    <row r="908" spans="1:26" ht="16.5" customHeight="1" x14ac:dyDescent="0.2">
      <c r="A908" s="885"/>
      <c r="B908" s="885"/>
      <c r="C908" s="885"/>
      <c r="D908" s="885"/>
      <c r="E908" s="885"/>
      <c r="F908" s="885"/>
      <c r="G908" s="885"/>
      <c r="H908" s="885"/>
      <c r="I908" s="885"/>
      <c r="J908" s="885"/>
      <c r="K908" s="885"/>
      <c r="L908" s="885"/>
      <c r="M908" s="885"/>
      <c r="N908" s="885"/>
      <c r="O908" s="885"/>
      <c r="P908" s="885"/>
      <c r="Q908" s="885"/>
      <c r="R908" s="885"/>
      <c r="S908" s="885"/>
      <c r="T908" s="885"/>
      <c r="U908" s="885"/>
      <c r="V908" s="885"/>
      <c r="W908" s="885"/>
      <c r="X908" s="885"/>
      <c r="Y908" s="885"/>
      <c r="Z908" s="885"/>
    </row>
    <row r="909" spans="1:26" ht="16.5" customHeight="1" x14ac:dyDescent="0.2">
      <c r="A909" s="885"/>
      <c r="B909" s="885"/>
      <c r="C909" s="885"/>
      <c r="D909" s="885"/>
      <c r="E909" s="885"/>
      <c r="F909" s="885"/>
      <c r="G909" s="885"/>
      <c r="H909" s="885"/>
      <c r="I909" s="885"/>
      <c r="J909" s="885"/>
      <c r="K909" s="885"/>
      <c r="L909" s="885"/>
      <c r="M909" s="885"/>
      <c r="N909" s="885"/>
      <c r="O909" s="885"/>
      <c r="P909" s="885"/>
      <c r="Q909" s="885"/>
      <c r="R909" s="885"/>
      <c r="S909" s="885"/>
      <c r="T909" s="885"/>
      <c r="U909" s="885"/>
      <c r="V909" s="885"/>
      <c r="W909" s="885"/>
      <c r="X909" s="885"/>
      <c r="Y909" s="885"/>
      <c r="Z909" s="885"/>
    </row>
    <row r="910" spans="1:26" ht="16.5" customHeight="1" x14ac:dyDescent="0.2">
      <c r="A910" s="885"/>
      <c r="B910" s="885"/>
      <c r="C910" s="885"/>
      <c r="D910" s="885"/>
      <c r="E910" s="885"/>
      <c r="F910" s="885"/>
      <c r="G910" s="885"/>
      <c r="H910" s="885"/>
      <c r="I910" s="885"/>
      <c r="J910" s="885"/>
      <c r="K910" s="885"/>
      <c r="L910" s="885"/>
      <c r="M910" s="885"/>
      <c r="N910" s="885"/>
      <c r="O910" s="885"/>
      <c r="P910" s="885"/>
      <c r="Q910" s="885"/>
      <c r="R910" s="885"/>
      <c r="S910" s="885"/>
      <c r="T910" s="885"/>
      <c r="U910" s="885"/>
      <c r="V910" s="885"/>
      <c r="W910" s="885"/>
      <c r="X910" s="885"/>
      <c r="Y910" s="885"/>
      <c r="Z910" s="885"/>
    </row>
    <row r="911" spans="1:26" ht="16.5" customHeight="1" x14ac:dyDescent="0.2">
      <c r="A911" s="885"/>
      <c r="B911" s="885"/>
      <c r="C911" s="885"/>
      <c r="D911" s="885"/>
      <c r="E911" s="885"/>
      <c r="F911" s="885"/>
      <c r="G911" s="885"/>
      <c r="H911" s="885"/>
      <c r="I911" s="885"/>
      <c r="J911" s="885"/>
      <c r="K911" s="885"/>
      <c r="L911" s="885"/>
      <c r="M911" s="885"/>
      <c r="N911" s="885"/>
      <c r="O911" s="885"/>
      <c r="P911" s="885"/>
      <c r="Q911" s="885"/>
      <c r="R911" s="885"/>
      <c r="S911" s="885"/>
      <c r="T911" s="885"/>
      <c r="U911" s="885"/>
      <c r="V911" s="885"/>
      <c r="W911" s="885"/>
      <c r="X911" s="885"/>
      <c r="Y911" s="885"/>
      <c r="Z911" s="885"/>
    </row>
    <row r="912" spans="1:26" ht="16.5" customHeight="1" x14ac:dyDescent="0.2">
      <c r="A912" s="885"/>
      <c r="B912" s="885"/>
      <c r="C912" s="885"/>
      <c r="D912" s="885"/>
      <c r="E912" s="885"/>
      <c r="F912" s="885"/>
      <c r="G912" s="885"/>
      <c r="H912" s="885"/>
      <c r="I912" s="885"/>
      <c r="J912" s="885"/>
      <c r="K912" s="885"/>
      <c r="L912" s="885"/>
      <c r="M912" s="885"/>
      <c r="N912" s="885"/>
      <c r="O912" s="885"/>
      <c r="P912" s="885"/>
      <c r="Q912" s="885"/>
      <c r="R912" s="885"/>
      <c r="S912" s="885"/>
      <c r="T912" s="885"/>
      <c r="U912" s="885"/>
      <c r="V912" s="885"/>
      <c r="W912" s="885"/>
      <c r="X912" s="885"/>
      <c r="Y912" s="885"/>
      <c r="Z912" s="885"/>
    </row>
    <row r="913" spans="1:26" ht="16.5" customHeight="1" x14ac:dyDescent="0.2">
      <c r="A913" s="885"/>
      <c r="B913" s="885"/>
      <c r="C913" s="885"/>
      <c r="D913" s="885"/>
      <c r="E913" s="885"/>
      <c r="F913" s="885"/>
      <c r="G913" s="885"/>
      <c r="H913" s="885"/>
      <c r="I913" s="885"/>
      <c r="J913" s="885"/>
      <c r="K913" s="885"/>
      <c r="L913" s="885"/>
      <c r="M913" s="885"/>
      <c r="N913" s="885"/>
      <c r="O913" s="885"/>
      <c r="P913" s="885"/>
      <c r="Q913" s="885"/>
      <c r="R913" s="885"/>
      <c r="S913" s="885"/>
      <c r="T913" s="885"/>
      <c r="U913" s="885"/>
      <c r="V913" s="885"/>
      <c r="W913" s="885"/>
      <c r="X913" s="885"/>
      <c r="Y913" s="885"/>
      <c r="Z913" s="885"/>
    </row>
    <row r="914" spans="1:26" ht="16.5" customHeight="1" x14ac:dyDescent="0.2">
      <c r="A914" s="885"/>
      <c r="B914" s="885"/>
      <c r="C914" s="885"/>
      <c r="D914" s="885"/>
      <c r="E914" s="885"/>
      <c r="F914" s="885"/>
      <c r="G914" s="885"/>
      <c r="H914" s="885"/>
      <c r="I914" s="885"/>
      <c r="J914" s="885"/>
      <c r="K914" s="885"/>
      <c r="L914" s="885"/>
      <c r="M914" s="885"/>
      <c r="N914" s="885"/>
      <c r="O914" s="885"/>
      <c r="P914" s="885"/>
      <c r="Q914" s="885"/>
      <c r="R914" s="885"/>
      <c r="S914" s="885"/>
      <c r="T914" s="885"/>
      <c r="U914" s="885"/>
      <c r="V914" s="885"/>
      <c r="W914" s="885"/>
      <c r="X914" s="885"/>
      <c r="Y914" s="885"/>
      <c r="Z914" s="885"/>
    </row>
    <row r="915" spans="1:26" ht="16.5" customHeight="1" x14ac:dyDescent="0.2">
      <c r="A915" s="885"/>
      <c r="B915" s="885"/>
      <c r="C915" s="885"/>
      <c r="D915" s="885"/>
      <c r="E915" s="885"/>
      <c r="F915" s="885"/>
      <c r="G915" s="885"/>
      <c r="H915" s="885"/>
      <c r="I915" s="885"/>
      <c r="J915" s="885"/>
      <c r="K915" s="885"/>
      <c r="L915" s="885"/>
      <c r="M915" s="885"/>
      <c r="N915" s="885"/>
      <c r="O915" s="885"/>
      <c r="P915" s="885"/>
      <c r="Q915" s="885"/>
      <c r="R915" s="885"/>
      <c r="S915" s="885"/>
      <c r="T915" s="885"/>
      <c r="U915" s="885"/>
      <c r="V915" s="885"/>
      <c r="W915" s="885"/>
      <c r="X915" s="885"/>
      <c r="Y915" s="885"/>
      <c r="Z915" s="885"/>
    </row>
    <row r="916" spans="1:26" ht="16.5" customHeight="1" x14ac:dyDescent="0.2">
      <c r="A916" s="885"/>
      <c r="B916" s="885"/>
      <c r="C916" s="885"/>
      <c r="D916" s="885"/>
      <c r="E916" s="885"/>
      <c r="F916" s="885"/>
      <c r="G916" s="885"/>
      <c r="H916" s="885"/>
      <c r="I916" s="885"/>
      <c r="J916" s="885"/>
      <c r="K916" s="885"/>
      <c r="L916" s="885"/>
      <c r="M916" s="885"/>
      <c r="N916" s="885"/>
      <c r="O916" s="885"/>
      <c r="P916" s="885"/>
      <c r="Q916" s="885"/>
      <c r="R916" s="885"/>
      <c r="S916" s="885"/>
      <c r="T916" s="885"/>
      <c r="U916" s="885"/>
      <c r="V916" s="885"/>
      <c r="W916" s="885"/>
      <c r="X916" s="885"/>
      <c r="Y916" s="885"/>
      <c r="Z916" s="885"/>
    </row>
    <row r="917" spans="1:26" ht="16.5" customHeight="1" x14ac:dyDescent="0.2">
      <c r="A917" s="885"/>
      <c r="B917" s="885"/>
      <c r="C917" s="885"/>
      <c r="D917" s="885"/>
      <c r="E917" s="885"/>
      <c r="F917" s="885"/>
      <c r="G917" s="885"/>
      <c r="H917" s="885"/>
      <c r="I917" s="885"/>
      <c r="J917" s="885"/>
      <c r="K917" s="885"/>
      <c r="L917" s="885"/>
      <c r="M917" s="885"/>
      <c r="N917" s="885"/>
      <c r="O917" s="885"/>
      <c r="P917" s="885"/>
      <c r="Q917" s="885"/>
      <c r="R917" s="885"/>
      <c r="S917" s="885"/>
      <c r="T917" s="885"/>
      <c r="U917" s="885"/>
      <c r="V917" s="885"/>
      <c r="W917" s="885"/>
      <c r="X917" s="885"/>
      <c r="Y917" s="885"/>
      <c r="Z917" s="885"/>
    </row>
    <row r="918" spans="1:26" ht="16.5" customHeight="1" x14ac:dyDescent="0.2">
      <c r="A918" s="885"/>
      <c r="B918" s="885"/>
      <c r="C918" s="885"/>
      <c r="D918" s="885"/>
      <c r="E918" s="885"/>
      <c r="F918" s="885"/>
      <c r="G918" s="885"/>
      <c r="H918" s="885"/>
      <c r="I918" s="885"/>
      <c r="J918" s="885"/>
      <c r="K918" s="885"/>
      <c r="L918" s="885"/>
      <c r="M918" s="885"/>
      <c r="N918" s="885"/>
      <c r="O918" s="885"/>
      <c r="P918" s="885"/>
      <c r="Q918" s="885"/>
      <c r="R918" s="885"/>
      <c r="S918" s="885"/>
      <c r="T918" s="885"/>
      <c r="U918" s="885"/>
      <c r="V918" s="885"/>
      <c r="W918" s="885"/>
      <c r="X918" s="885"/>
      <c r="Y918" s="885"/>
      <c r="Z918" s="885"/>
    </row>
    <row r="919" spans="1:26" ht="16.5" customHeight="1" x14ac:dyDescent="0.2">
      <c r="A919" s="885"/>
      <c r="B919" s="885"/>
      <c r="C919" s="885"/>
      <c r="D919" s="885"/>
      <c r="E919" s="885"/>
      <c r="F919" s="885"/>
      <c r="G919" s="885"/>
      <c r="H919" s="885"/>
      <c r="I919" s="885"/>
      <c r="J919" s="885"/>
      <c r="K919" s="885"/>
      <c r="L919" s="885"/>
      <c r="M919" s="885"/>
      <c r="N919" s="885"/>
      <c r="O919" s="885"/>
      <c r="P919" s="885"/>
      <c r="Q919" s="885"/>
      <c r="R919" s="885"/>
      <c r="S919" s="885"/>
      <c r="T919" s="885"/>
      <c r="U919" s="885"/>
      <c r="V919" s="885"/>
      <c r="W919" s="885"/>
      <c r="X919" s="885"/>
      <c r="Y919" s="885"/>
      <c r="Z919" s="885"/>
    </row>
    <row r="920" spans="1:26" ht="16.5" customHeight="1" x14ac:dyDescent="0.2">
      <c r="A920" s="885"/>
      <c r="B920" s="885"/>
      <c r="C920" s="885"/>
      <c r="D920" s="885"/>
      <c r="E920" s="885"/>
      <c r="F920" s="885"/>
      <c r="G920" s="885"/>
      <c r="H920" s="885"/>
      <c r="I920" s="885"/>
      <c r="J920" s="885"/>
      <c r="K920" s="885"/>
      <c r="L920" s="885"/>
      <c r="M920" s="885"/>
      <c r="N920" s="885"/>
      <c r="O920" s="885"/>
      <c r="P920" s="885"/>
      <c r="Q920" s="885"/>
      <c r="R920" s="885"/>
      <c r="S920" s="885"/>
      <c r="T920" s="885"/>
      <c r="U920" s="885"/>
      <c r="V920" s="885"/>
      <c r="W920" s="885"/>
      <c r="X920" s="885"/>
      <c r="Y920" s="885"/>
      <c r="Z920" s="885"/>
    </row>
    <row r="921" spans="1:26" ht="16.5" customHeight="1" x14ac:dyDescent="0.2">
      <c r="A921" s="885"/>
      <c r="B921" s="885"/>
      <c r="C921" s="885"/>
      <c r="D921" s="885"/>
      <c r="E921" s="885"/>
      <c r="F921" s="885"/>
      <c r="G921" s="885"/>
      <c r="H921" s="885"/>
      <c r="I921" s="885"/>
      <c r="J921" s="885"/>
      <c r="K921" s="885"/>
      <c r="L921" s="885"/>
      <c r="M921" s="885"/>
      <c r="N921" s="885"/>
      <c r="O921" s="885"/>
      <c r="P921" s="885"/>
      <c r="Q921" s="885"/>
      <c r="R921" s="885"/>
      <c r="S921" s="885"/>
      <c r="T921" s="885"/>
      <c r="U921" s="885"/>
      <c r="V921" s="885"/>
      <c r="W921" s="885"/>
      <c r="X921" s="885"/>
      <c r="Y921" s="885"/>
      <c r="Z921" s="885"/>
    </row>
    <row r="922" spans="1:26" ht="16.5" customHeight="1" x14ac:dyDescent="0.2">
      <c r="A922" s="885"/>
      <c r="B922" s="885"/>
      <c r="C922" s="885"/>
      <c r="D922" s="885"/>
      <c r="E922" s="885"/>
      <c r="F922" s="885"/>
      <c r="G922" s="885"/>
      <c r="H922" s="885"/>
      <c r="I922" s="885"/>
      <c r="J922" s="885"/>
      <c r="K922" s="885"/>
      <c r="L922" s="885"/>
      <c r="M922" s="885"/>
      <c r="N922" s="885"/>
      <c r="O922" s="885"/>
      <c r="P922" s="885"/>
      <c r="Q922" s="885"/>
      <c r="R922" s="885"/>
      <c r="S922" s="885"/>
      <c r="T922" s="885"/>
      <c r="U922" s="885"/>
      <c r="V922" s="885"/>
      <c r="W922" s="885"/>
      <c r="X922" s="885"/>
      <c r="Y922" s="885"/>
      <c r="Z922" s="885"/>
    </row>
    <row r="923" spans="1:26" ht="16.5" customHeight="1" x14ac:dyDescent="0.2">
      <c r="A923" s="885"/>
      <c r="B923" s="885"/>
      <c r="C923" s="885"/>
      <c r="D923" s="885"/>
      <c r="E923" s="885"/>
      <c r="F923" s="885"/>
      <c r="G923" s="885"/>
      <c r="H923" s="885"/>
      <c r="I923" s="885"/>
      <c r="J923" s="885"/>
      <c r="K923" s="885"/>
      <c r="L923" s="885"/>
      <c r="M923" s="885"/>
      <c r="N923" s="885"/>
      <c r="O923" s="885"/>
      <c r="P923" s="885"/>
      <c r="Q923" s="885"/>
      <c r="R923" s="885"/>
      <c r="S923" s="885"/>
      <c r="T923" s="885"/>
      <c r="U923" s="885"/>
      <c r="V923" s="885"/>
      <c r="W923" s="885"/>
      <c r="X923" s="885"/>
      <c r="Y923" s="885"/>
      <c r="Z923" s="885"/>
    </row>
    <row r="924" spans="1:26" ht="16.5" customHeight="1" x14ac:dyDescent="0.2">
      <c r="A924" s="885"/>
      <c r="B924" s="885"/>
      <c r="C924" s="885"/>
      <c r="D924" s="885"/>
      <c r="E924" s="885"/>
      <c r="F924" s="885"/>
      <c r="G924" s="885"/>
      <c r="H924" s="885"/>
      <c r="I924" s="885"/>
      <c r="J924" s="885"/>
      <c r="K924" s="885"/>
      <c r="L924" s="885"/>
      <c r="M924" s="885"/>
      <c r="N924" s="885"/>
      <c r="O924" s="885"/>
      <c r="P924" s="885"/>
      <c r="Q924" s="885"/>
      <c r="R924" s="885"/>
      <c r="S924" s="885"/>
      <c r="T924" s="885"/>
      <c r="U924" s="885"/>
      <c r="V924" s="885"/>
      <c r="W924" s="885"/>
      <c r="X924" s="885"/>
      <c r="Y924" s="885"/>
      <c r="Z924" s="885"/>
    </row>
    <row r="925" spans="1:26" ht="16.5" customHeight="1" x14ac:dyDescent="0.2">
      <c r="A925" s="885"/>
      <c r="B925" s="885"/>
      <c r="C925" s="885"/>
      <c r="D925" s="885"/>
      <c r="E925" s="885"/>
      <c r="F925" s="885"/>
      <c r="G925" s="885"/>
      <c r="H925" s="885"/>
      <c r="I925" s="885"/>
      <c r="J925" s="885"/>
      <c r="K925" s="885"/>
      <c r="L925" s="885"/>
      <c r="M925" s="885"/>
      <c r="N925" s="885"/>
      <c r="O925" s="885"/>
      <c r="P925" s="885"/>
      <c r="Q925" s="885"/>
      <c r="R925" s="885"/>
      <c r="S925" s="885"/>
      <c r="T925" s="885"/>
      <c r="U925" s="885"/>
      <c r="V925" s="885"/>
      <c r="W925" s="885"/>
      <c r="X925" s="885"/>
      <c r="Y925" s="885"/>
      <c r="Z925" s="885"/>
    </row>
    <row r="926" spans="1:26" ht="16.5" customHeight="1" x14ac:dyDescent="0.2">
      <c r="A926" s="885"/>
      <c r="B926" s="885"/>
      <c r="C926" s="885"/>
      <c r="D926" s="885"/>
      <c r="E926" s="885"/>
      <c r="F926" s="885"/>
      <c r="G926" s="885"/>
      <c r="H926" s="885"/>
      <c r="I926" s="885"/>
      <c r="J926" s="885"/>
      <c r="K926" s="885"/>
      <c r="L926" s="885"/>
      <c r="M926" s="885"/>
      <c r="N926" s="885"/>
      <c r="O926" s="885"/>
      <c r="P926" s="885"/>
      <c r="Q926" s="885"/>
      <c r="R926" s="885"/>
      <c r="S926" s="885"/>
      <c r="T926" s="885"/>
      <c r="U926" s="885"/>
      <c r="V926" s="885"/>
      <c r="W926" s="885"/>
      <c r="X926" s="885"/>
      <c r="Y926" s="885"/>
      <c r="Z926" s="885"/>
    </row>
    <row r="927" spans="1:26" ht="16.5" customHeight="1" x14ac:dyDescent="0.2">
      <c r="A927" s="885"/>
      <c r="B927" s="885"/>
      <c r="C927" s="885"/>
      <c r="D927" s="885"/>
      <c r="E927" s="885"/>
      <c r="F927" s="885"/>
      <c r="G927" s="885"/>
      <c r="H927" s="885"/>
      <c r="I927" s="885"/>
      <c r="J927" s="885"/>
      <c r="K927" s="885"/>
      <c r="L927" s="885"/>
      <c r="M927" s="885"/>
      <c r="N927" s="885"/>
      <c r="O927" s="885"/>
      <c r="P927" s="885"/>
      <c r="Q927" s="885"/>
      <c r="R927" s="885"/>
      <c r="S927" s="885"/>
      <c r="T927" s="885"/>
      <c r="U927" s="885"/>
      <c r="V927" s="885"/>
      <c r="W927" s="885"/>
      <c r="X927" s="885"/>
      <c r="Y927" s="885"/>
      <c r="Z927" s="885"/>
    </row>
    <row r="928" spans="1:26" ht="16.5" customHeight="1" x14ac:dyDescent="0.2">
      <c r="A928" s="885"/>
      <c r="B928" s="885"/>
      <c r="C928" s="885"/>
      <c r="D928" s="885"/>
      <c r="E928" s="885"/>
      <c r="F928" s="885"/>
      <c r="G928" s="885"/>
      <c r="H928" s="885"/>
      <c r="I928" s="885"/>
      <c r="J928" s="885"/>
      <c r="K928" s="885"/>
      <c r="L928" s="885"/>
      <c r="M928" s="885"/>
      <c r="N928" s="885"/>
      <c r="O928" s="885"/>
      <c r="P928" s="885"/>
      <c r="Q928" s="885"/>
      <c r="R928" s="885"/>
      <c r="S928" s="885"/>
      <c r="T928" s="885"/>
      <c r="U928" s="885"/>
      <c r="V928" s="885"/>
      <c r="W928" s="885"/>
      <c r="X928" s="885"/>
      <c r="Y928" s="885"/>
      <c r="Z928" s="885"/>
    </row>
    <row r="929" spans="1:26" ht="16.5" customHeight="1" x14ac:dyDescent="0.2">
      <c r="A929" s="885"/>
      <c r="B929" s="885"/>
      <c r="C929" s="885"/>
      <c r="D929" s="885"/>
      <c r="E929" s="885"/>
      <c r="F929" s="885"/>
      <c r="G929" s="885"/>
      <c r="H929" s="885"/>
      <c r="I929" s="885"/>
      <c r="J929" s="885"/>
      <c r="K929" s="885"/>
      <c r="L929" s="885"/>
      <c r="M929" s="885"/>
      <c r="N929" s="885"/>
      <c r="O929" s="885"/>
      <c r="P929" s="885"/>
      <c r="Q929" s="885"/>
      <c r="R929" s="885"/>
      <c r="S929" s="885"/>
      <c r="T929" s="885"/>
      <c r="U929" s="885"/>
      <c r="V929" s="885"/>
      <c r="W929" s="885"/>
      <c r="X929" s="885"/>
      <c r="Y929" s="885"/>
      <c r="Z929" s="885"/>
    </row>
    <row r="930" spans="1:26" ht="16.5" customHeight="1" x14ac:dyDescent="0.2">
      <c r="A930" s="885"/>
      <c r="B930" s="885"/>
      <c r="C930" s="885"/>
      <c r="D930" s="885"/>
      <c r="E930" s="885"/>
      <c r="F930" s="885"/>
      <c r="G930" s="885"/>
      <c r="H930" s="885"/>
      <c r="I930" s="885"/>
      <c r="J930" s="885"/>
      <c r="K930" s="885"/>
      <c r="L930" s="885"/>
      <c r="M930" s="885"/>
      <c r="N930" s="885"/>
      <c r="O930" s="885"/>
      <c r="P930" s="885"/>
      <c r="Q930" s="885"/>
      <c r="R930" s="885"/>
      <c r="S930" s="885"/>
      <c r="T930" s="885"/>
      <c r="U930" s="885"/>
      <c r="V930" s="885"/>
      <c r="W930" s="885"/>
      <c r="X930" s="885"/>
      <c r="Y930" s="885"/>
      <c r="Z930" s="885"/>
    </row>
    <row r="931" spans="1:26" ht="16.5" customHeight="1" x14ac:dyDescent="0.2">
      <c r="A931" s="885"/>
      <c r="B931" s="885"/>
      <c r="C931" s="885"/>
      <c r="D931" s="885"/>
      <c r="E931" s="885"/>
      <c r="F931" s="885"/>
      <c r="G931" s="885"/>
      <c r="H931" s="885"/>
      <c r="I931" s="885"/>
      <c r="J931" s="885"/>
      <c r="K931" s="885"/>
      <c r="L931" s="885"/>
      <c r="M931" s="885"/>
      <c r="N931" s="885"/>
      <c r="O931" s="885"/>
      <c r="P931" s="885"/>
      <c r="Q931" s="885"/>
      <c r="R931" s="885"/>
      <c r="S931" s="885"/>
      <c r="T931" s="885"/>
      <c r="U931" s="885"/>
      <c r="V931" s="885"/>
      <c r="W931" s="885"/>
      <c r="X931" s="885"/>
      <c r="Y931" s="885"/>
      <c r="Z931" s="885"/>
    </row>
    <row r="932" spans="1:26" ht="16.5" customHeight="1" x14ac:dyDescent="0.2">
      <c r="A932" s="885"/>
      <c r="B932" s="885"/>
      <c r="C932" s="885"/>
      <c r="D932" s="885"/>
      <c r="E932" s="885"/>
      <c r="F932" s="885"/>
      <c r="G932" s="885"/>
      <c r="H932" s="885"/>
      <c r="I932" s="885"/>
      <c r="J932" s="885"/>
      <c r="K932" s="885"/>
      <c r="L932" s="885"/>
      <c r="M932" s="885"/>
      <c r="N932" s="885"/>
      <c r="O932" s="885"/>
      <c r="P932" s="885"/>
      <c r="Q932" s="885"/>
      <c r="R932" s="885"/>
      <c r="S932" s="885"/>
      <c r="T932" s="885"/>
      <c r="U932" s="885"/>
      <c r="V932" s="885"/>
      <c r="W932" s="885"/>
      <c r="X932" s="885"/>
      <c r="Y932" s="885"/>
      <c r="Z932" s="885"/>
    </row>
    <row r="933" spans="1:26" ht="16.5" customHeight="1" x14ac:dyDescent="0.2">
      <c r="A933" s="885"/>
      <c r="B933" s="885"/>
      <c r="C933" s="885"/>
      <c r="D933" s="885"/>
      <c r="E933" s="885"/>
      <c r="F933" s="885"/>
      <c r="G933" s="885"/>
      <c r="H933" s="885"/>
      <c r="I933" s="885"/>
      <c r="J933" s="885"/>
      <c r="K933" s="885"/>
      <c r="L933" s="885"/>
      <c r="M933" s="885"/>
      <c r="N933" s="885"/>
      <c r="O933" s="885"/>
      <c r="P933" s="885"/>
      <c r="Q933" s="885"/>
      <c r="R933" s="885"/>
      <c r="S933" s="885"/>
      <c r="T933" s="885"/>
      <c r="U933" s="885"/>
      <c r="V933" s="885"/>
      <c r="W933" s="885"/>
      <c r="X933" s="885"/>
      <c r="Y933" s="885"/>
      <c r="Z933" s="885"/>
    </row>
    <row r="934" spans="1:26" ht="16.5" customHeight="1" x14ac:dyDescent="0.2">
      <c r="A934" s="885"/>
      <c r="B934" s="885"/>
      <c r="C934" s="885"/>
      <c r="D934" s="885"/>
      <c r="E934" s="885"/>
      <c r="F934" s="885"/>
      <c r="G934" s="885"/>
      <c r="H934" s="885"/>
      <c r="I934" s="885"/>
      <c r="J934" s="885"/>
      <c r="K934" s="885"/>
      <c r="L934" s="885"/>
      <c r="M934" s="885"/>
      <c r="N934" s="885"/>
      <c r="O934" s="885"/>
      <c r="P934" s="885"/>
      <c r="Q934" s="885"/>
      <c r="R934" s="885"/>
      <c r="S934" s="885"/>
      <c r="T934" s="885"/>
      <c r="U934" s="885"/>
      <c r="V934" s="885"/>
      <c r="W934" s="885"/>
      <c r="X934" s="885"/>
      <c r="Y934" s="885"/>
      <c r="Z934" s="885"/>
    </row>
    <row r="935" spans="1:26" ht="16.5" customHeight="1" x14ac:dyDescent="0.2">
      <c r="A935" s="885"/>
      <c r="B935" s="885"/>
      <c r="C935" s="885"/>
      <c r="D935" s="885"/>
      <c r="E935" s="885"/>
      <c r="F935" s="885"/>
      <c r="G935" s="885"/>
      <c r="H935" s="885"/>
      <c r="I935" s="885"/>
      <c r="J935" s="885"/>
      <c r="K935" s="885"/>
      <c r="L935" s="885"/>
      <c r="M935" s="885"/>
      <c r="N935" s="885"/>
      <c r="O935" s="885"/>
      <c r="P935" s="885"/>
      <c r="Q935" s="885"/>
      <c r="R935" s="885"/>
      <c r="S935" s="885"/>
      <c r="T935" s="885"/>
      <c r="U935" s="885"/>
      <c r="V935" s="885"/>
      <c r="W935" s="885"/>
      <c r="X935" s="885"/>
      <c r="Y935" s="885"/>
      <c r="Z935" s="885"/>
    </row>
    <row r="936" spans="1:26" ht="16.5" customHeight="1" x14ac:dyDescent="0.2">
      <c r="A936" s="885"/>
      <c r="B936" s="885"/>
      <c r="C936" s="885"/>
      <c r="D936" s="885"/>
      <c r="E936" s="885"/>
      <c r="F936" s="885"/>
      <c r="G936" s="885"/>
      <c r="H936" s="885"/>
      <c r="I936" s="885"/>
      <c r="J936" s="885"/>
      <c r="K936" s="885"/>
      <c r="L936" s="885"/>
      <c r="M936" s="885"/>
      <c r="N936" s="885"/>
      <c r="O936" s="885"/>
      <c r="P936" s="885"/>
      <c r="Q936" s="885"/>
      <c r="R936" s="885"/>
      <c r="S936" s="885"/>
      <c r="T936" s="885"/>
      <c r="U936" s="885"/>
      <c r="V936" s="885"/>
      <c r="W936" s="885"/>
      <c r="X936" s="885"/>
      <c r="Y936" s="885"/>
      <c r="Z936" s="885"/>
    </row>
    <row r="937" spans="1:26" ht="16.5" customHeight="1" x14ac:dyDescent="0.2">
      <c r="A937" s="885"/>
      <c r="B937" s="885"/>
      <c r="C937" s="885"/>
      <c r="D937" s="885"/>
      <c r="E937" s="885"/>
      <c r="F937" s="885"/>
      <c r="G937" s="885"/>
      <c r="H937" s="885"/>
      <c r="I937" s="885"/>
      <c r="J937" s="885"/>
      <c r="K937" s="885"/>
      <c r="L937" s="885"/>
      <c r="M937" s="885"/>
      <c r="N937" s="885"/>
      <c r="O937" s="885"/>
      <c r="P937" s="885"/>
      <c r="Q937" s="885"/>
      <c r="R937" s="885"/>
      <c r="S937" s="885"/>
      <c r="T937" s="885"/>
      <c r="U937" s="885"/>
      <c r="V937" s="885"/>
      <c r="W937" s="885"/>
      <c r="X937" s="885"/>
      <c r="Y937" s="885"/>
      <c r="Z937" s="885"/>
    </row>
    <row r="938" spans="1:26" ht="16.5" customHeight="1" x14ac:dyDescent="0.2">
      <c r="A938" s="885"/>
      <c r="B938" s="885"/>
      <c r="C938" s="885"/>
      <c r="D938" s="885"/>
      <c r="E938" s="885"/>
      <c r="F938" s="885"/>
      <c r="G938" s="885"/>
      <c r="H938" s="885"/>
      <c r="I938" s="885"/>
      <c r="J938" s="885"/>
      <c r="K938" s="885"/>
      <c r="L938" s="885"/>
      <c r="M938" s="885"/>
      <c r="N938" s="885"/>
      <c r="O938" s="885"/>
      <c r="P938" s="885"/>
      <c r="Q938" s="885"/>
      <c r="R938" s="885"/>
      <c r="S938" s="885"/>
      <c r="T938" s="885"/>
      <c r="U938" s="885"/>
      <c r="V938" s="885"/>
      <c r="W938" s="885"/>
      <c r="X938" s="885"/>
      <c r="Y938" s="885"/>
      <c r="Z938" s="885"/>
    </row>
    <row r="939" spans="1:26" ht="16.5" customHeight="1" x14ac:dyDescent="0.2">
      <c r="A939" s="885"/>
      <c r="B939" s="885"/>
      <c r="C939" s="885"/>
      <c r="D939" s="885"/>
      <c r="E939" s="885"/>
      <c r="F939" s="885"/>
      <c r="G939" s="885"/>
      <c r="H939" s="885"/>
      <c r="I939" s="885"/>
      <c r="J939" s="885"/>
      <c r="K939" s="885"/>
      <c r="L939" s="885"/>
      <c r="M939" s="885"/>
      <c r="N939" s="885"/>
      <c r="O939" s="885"/>
      <c r="P939" s="885"/>
      <c r="Q939" s="885"/>
      <c r="R939" s="885"/>
      <c r="S939" s="885"/>
      <c r="T939" s="885"/>
      <c r="U939" s="885"/>
      <c r="V939" s="885"/>
      <c r="W939" s="885"/>
      <c r="X939" s="885"/>
      <c r="Y939" s="885"/>
      <c r="Z939" s="885"/>
    </row>
    <row r="940" spans="1:26" ht="16.5" customHeight="1" x14ac:dyDescent="0.2">
      <c r="A940" s="885"/>
      <c r="B940" s="885"/>
      <c r="C940" s="885"/>
      <c r="D940" s="885"/>
      <c r="E940" s="885"/>
      <c r="F940" s="885"/>
      <c r="G940" s="885"/>
      <c r="H940" s="885"/>
      <c r="I940" s="885"/>
      <c r="J940" s="885"/>
      <c r="K940" s="885"/>
      <c r="L940" s="885"/>
      <c r="M940" s="885"/>
      <c r="N940" s="885"/>
      <c r="O940" s="885"/>
      <c r="P940" s="885"/>
      <c r="Q940" s="885"/>
      <c r="R940" s="885"/>
      <c r="S940" s="885"/>
      <c r="T940" s="885"/>
      <c r="U940" s="885"/>
      <c r="V940" s="885"/>
      <c r="W940" s="885"/>
      <c r="X940" s="885"/>
      <c r="Y940" s="885"/>
      <c r="Z940" s="885"/>
    </row>
    <row r="941" spans="1:26" ht="16.5" customHeight="1" x14ac:dyDescent="0.2">
      <c r="A941" s="885"/>
      <c r="B941" s="885"/>
      <c r="C941" s="885"/>
      <c r="D941" s="885"/>
      <c r="E941" s="885"/>
      <c r="F941" s="885"/>
      <c r="G941" s="885"/>
      <c r="H941" s="885"/>
      <c r="I941" s="885"/>
      <c r="J941" s="885"/>
      <c r="K941" s="885"/>
      <c r="L941" s="885"/>
      <c r="M941" s="885"/>
      <c r="N941" s="885"/>
      <c r="O941" s="885"/>
      <c r="P941" s="885"/>
      <c r="Q941" s="885"/>
      <c r="R941" s="885"/>
      <c r="S941" s="885"/>
      <c r="T941" s="885"/>
      <c r="U941" s="885"/>
      <c r="V941" s="885"/>
      <c r="W941" s="885"/>
      <c r="X941" s="885"/>
      <c r="Y941" s="885"/>
      <c r="Z941" s="885"/>
    </row>
    <row r="942" spans="1:26" ht="16.5" customHeight="1" x14ac:dyDescent="0.2">
      <c r="A942" s="885"/>
      <c r="B942" s="885"/>
      <c r="C942" s="885"/>
      <c r="D942" s="885"/>
      <c r="E942" s="885"/>
      <c r="F942" s="885"/>
      <c r="G942" s="885"/>
      <c r="H942" s="885"/>
      <c r="I942" s="885"/>
      <c r="J942" s="885"/>
      <c r="K942" s="885"/>
      <c r="L942" s="885"/>
      <c r="M942" s="885"/>
      <c r="N942" s="885"/>
      <c r="O942" s="885"/>
      <c r="P942" s="885"/>
      <c r="Q942" s="885"/>
      <c r="R942" s="885"/>
      <c r="S942" s="885"/>
      <c r="T942" s="885"/>
      <c r="U942" s="885"/>
      <c r="V942" s="885"/>
      <c r="W942" s="885"/>
      <c r="X942" s="885"/>
      <c r="Y942" s="885"/>
      <c r="Z942" s="885"/>
    </row>
    <row r="943" spans="1:26" ht="16.5" customHeight="1" x14ac:dyDescent="0.2">
      <c r="A943" s="885"/>
      <c r="B943" s="885"/>
      <c r="C943" s="885"/>
      <c r="D943" s="885"/>
      <c r="E943" s="885"/>
      <c r="F943" s="885"/>
      <c r="G943" s="885"/>
      <c r="H943" s="885"/>
      <c r="I943" s="885"/>
      <c r="J943" s="885"/>
      <c r="K943" s="885"/>
      <c r="L943" s="885"/>
      <c r="M943" s="885"/>
      <c r="N943" s="885"/>
      <c r="O943" s="885"/>
      <c r="P943" s="885"/>
      <c r="Q943" s="885"/>
      <c r="R943" s="885"/>
      <c r="S943" s="885"/>
      <c r="T943" s="885"/>
      <c r="U943" s="885"/>
      <c r="V943" s="885"/>
      <c r="W943" s="885"/>
      <c r="X943" s="885"/>
      <c r="Y943" s="885"/>
      <c r="Z943" s="885"/>
    </row>
    <row r="944" spans="1:26" ht="16.5" customHeight="1" x14ac:dyDescent="0.2">
      <c r="A944" s="885"/>
      <c r="B944" s="885"/>
      <c r="C944" s="885"/>
      <c r="D944" s="885"/>
      <c r="E944" s="885"/>
      <c r="F944" s="885"/>
      <c r="G944" s="885"/>
      <c r="H944" s="885"/>
      <c r="I944" s="885"/>
      <c r="J944" s="885"/>
      <c r="K944" s="885"/>
      <c r="L944" s="885"/>
      <c r="M944" s="885"/>
      <c r="N944" s="885"/>
      <c r="O944" s="885"/>
      <c r="P944" s="885"/>
      <c r="Q944" s="885"/>
      <c r="R944" s="885"/>
      <c r="S944" s="885"/>
      <c r="T944" s="885"/>
      <c r="U944" s="885"/>
      <c r="V944" s="885"/>
      <c r="W944" s="885"/>
      <c r="X944" s="885"/>
      <c r="Y944" s="885"/>
      <c r="Z944" s="885"/>
    </row>
    <row r="945" spans="1:26" ht="16.5" customHeight="1" x14ac:dyDescent="0.2">
      <c r="A945" s="885"/>
      <c r="B945" s="885"/>
      <c r="C945" s="885"/>
      <c r="D945" s="885"/>
      <c r="E945" s="885"/>
      <c r="F945" s="885"/>
      <c r="G945" s="885"/>
      <c r="H945" s="885"/>
      <c r="I945" s="885"/>
      <c r="J945" s="885"/>
      <c r="K945" s="885"/>
      <c r="L945" s="885"/>
      <c r="M945" s="885"/>
      <c r="N945" s="885"/>
      <c r="O945" s="885"/>
      <c r="P945" s="885"/>
      <c r="Q945" s="885"/>
      <c r="R945" s="885"/>
      <c r="S945" s="885"/>
      <c r="T945" s="885"/>
      <c r="U945" s="885"/>
      <c r="V945" s="885"/>
      <c r="W945" s="885"/>
      <c r="X945" s="885"/>
      <c r="Y945" s="885"/>
      <c r="Z945" s="885"/>
    </row>
    <row r="946" spans="1:26" ht="16.5" customHeight="1" x14ac:dyDescent="0.2">
      <c r="A946" s="885"/>
      <c r="B946" s="885"/>
      <c r="C946" s="885"/>
      <c r="D946" s="885"/>
      <c r="E946" s="885"/>
      <c r="F946" s="885"/>
      <c r="G946" s="885"/>
      <c r="H946" s="885"/>
      <c r="I946" s="885"/>
      <c r="J946" s="885"/>
      <c r="K946" s="885"/>
      <c r="L946" s="885"/>
      <c r="M946" s="885"/>
      <c r="N946" s="885"/>
      <c r="O946" s="885"/>
      <c r="P946" s="885"/>
      <c r="Q946" s="885"/>
      <c r="R946" s="885"/>
      <c r="S946" s="885"/>
      <c r="T946" s="885"/>
      <c r="U946" s="885"/>
      <c r="V946" s="885"/>
      <c r="W946" s="885"/>
      <c r="X946" s="885"/>
      <c r="Y946" s="885"/>
      <c r="Z946" s="885"/>
    </row>
    <row r="947" spans="1:26" ht="16.5" customHeight="1" x14ac:dyDescent="0.2">
      <c r="A947" s="885"/>
      <c r="B947" s="885"/>
      <c r="C947" s="885"/>
      <c r="D947" s="885"/>
      <c r="E947" s="885"/>
      <c r="F947" s="885"/>
      <c r="G947" s="885"/>
      <c r="H947" s="885"/>
      <c r="I947" s="885"/>
      <c r="J947" s="885"/>
      <c r="K947" s="885"/>
      <c r="L947" s="885"/>
      <c r="M947" s="885"/>
      <c r="N947" s="885"/>
      <c r="O947" s="885"/>
      <c r="P947" s="885"/>
      <c r="Q947" s="885"/>
      <c r="R947" s="885"/>
      <c r="S947" s="885"/>
      <c r="T947" s="885"/>
      <c r="U947" s="885"/>
      <c r="V947" s="885"/>
      <c r="W947" s="885"/>
      <c r="X947" s="885"/>
      <c r="Y947" s="885"/>
      <c r="Z947" s="885"/>
    </row>
    <row r="948" spans="1:26" ht="16.5" customHeight="1" x14ac:dyDescent="0.2">
      <c r="A948" s="885"/>
      <c r="B948" s="885"/>
      <c r="C948" s="885"/>
      <c r="D948" s="885"/>
      <c r="E948" s="885"/>
      <c r="F948" s="885"/>
      <c r="G948" s="885"/>
      <c r="H948" s="885"/>
      <c r="I948" s="885"/>
      <c r="J948" s="885"/>
      <c r="K948" s="885"/>
      <c r="L948" s="885"/>
      <c r="M948" s="885"/>
      <c r="N948" s="885"/>
      <c r="O948" s="885"/>
      <c r="P948" s="885"/>
      <c r="Q948" s="885"/>
      <c r="R948" s="885"/>
      <c r="S948" s="885"/>
      <c r="T948" s="885"/>
      <c r="U948" s="885"/>
      <c r="V948" s="885"/>
      <c r="W948" s="885"/>
      <c r="X948" s="885"/>
      <c r="Y948" s="885"/>
      <c r="Z948" s="885"/>
    </row>
    <row r="949" spans="1:26" ht="16.5" customHeight="1" x14ac:dyDescent="0.2">
      <c r="A949" s="885"/>
      <c r="B949" s="885"/>
      <c r="C949" s="885"/>
      <c r="D949" s="885"/>
      <c r="E949" s="885"/>
      <c r="F949" s="885"/>
      <c r="G949" s="885"/>
      <c r="H949" s="885"/>
      <c r="I949" s="885"/>
      <c r="J949" s="885"/>
      <c r="K949" s="885"/>
      <c r="L949" s="885"/>
      <c r="M949" s="885"/>
      <c r="N949" s="885"/>
      <c r="O949" s="885"/>
      <c r="P949" s="885"/>
      <c r="Q949" s="885"/>
      <c r="R949" s="885"/>
      <c r="S949" s="885"/>
      <c r="T949" s="885"/>
      <c r="U949" s="885"/>
      <c r="V949" s="885"/>
      <c r="W949" s="885"/>
      <c r="X949" s="885"/>
      <c r="Y949" s="885"/>
      <c r="Z949" s="885"/>
    </row>
    <row r="950" spans="1:26" ht="16.5" customHeight="1" x14ac:dyDescent="0.2">
      <c r="A950" s="885"/>
      <c r="B950" s="885"/>
      <c r="C950" s="885"/>
      <c r="D950" s="885"/>
      <c r="E950" s="885"/>
      <c r="F950" s="885"/>
      <c r="G950" s="885"/>
      <c r="H950" s="885"/>
      <c r="I950" s="885"/>
      <c r="J950" s="885"/>
      <c r="K950" s="885"/>
      <c r="L950" s="885"/>
      <c r="M950" s="885"/>
      <c r="N950" s="885"/>
      <c r="O950" s="885"/>
      <c r="P950" s="885"/>
      <c r="Q950" s="885"/>
      <c r="R950" s="885"/>
      <c r="S950" s="885"/>
      <c r="T950" s="885"/>
      <c r="U950" s="885"/>
      <c r="V950" s="885"/>
      <c r="W950" s="885"/>
      <c r="X950" s="885"/>
      <c r="Y950" s="885"/>
      <c r="Z950" s="885"/>
    </row>
    <row r="951" spans="1:26" ht="16.5" customHeight="1" x14ac:dyDescent="0.2">
      <c r="A951" s="885"/>
      <c r="B951" s="885"/>
      <c r="C951" s="885"/>
      <c r="D951" s="885"/>
      <c r="E951" s="885"/>
      <c r="F951" s="885"/>
      <c r="G951" s="885"/>
      <c r="H951" s="885"/>
      <c r="I951" s="885"/>
      <c r="J951" s="885"/>
      <c r="K951" s="885"/>
      <c r="L951" s="885"/>
      <c r="M951" s="885"/>
      <c r="N951" s="885"/>
      <c r="O951" s="885"/>
      <c r="P951" s="885"/>
      <c r="Q951" s="885"/>
      <c r="R951" s="885"/>
      <c r="S951" s="885"/>
      <c r="T951" s="885"/>
      <c r="U951" s="885"/>
      <c r="V951" s="885"/>
      <c r="W951" s="885"/>
      <c r="X951" s="885"/>
      <c r="Y951" s="885"/>
      <c r="Z951" s="885"/>
    </row>
    <row r="952" spans="1:26" ht="16.5" customHeight="1" x14ac:dyDescent="0.2">
      <c r="A952" s="885"/>
      <c r="B952" s="885"/>
      <c r="C952" s="885"/>
      <c r="D952" s="885"/>
      <c r="E952" s="885"/>
      <c r="F952" s="885"/>
      <c r="G952" s="885"/>
      <c r="H952" s="885"/>
      <c r="I952" s="885"/>
      <c r="J952" s="885"/>
      <c r="K952" s="885"/>
      <c r="L952" s="885"/>
      <c r="M952" s="885"/>
      <c r="N952" s="885"/>
      <c r="O952" s="885"/>
      <c r="P952" s="885"/>
      <c r="Q952" s="885"/>
      <c r="R952" s="885"/>
      <c r="S952" s="885"/>
      <c r="T952" s="885"/>
      <c r="U952" s="885"/>
      <c r="V952" s="885"/>
      <c r="W952" s="885"/>
      <c r="X952" s="885"/>
      <c r="Y952" s="885"/>
      <c r="Z952" s="885"/>
    </row>
    <row r="953" spans="1:26" ht="16.5" customHeight="1" x14ac:dyDescent="0.2">
      <c r="A953" s="885"/>
      <c r="B953" s="885"/>
      <c r="C953" s="885"/>
      <c r="D953" s="885"/>
      <c r="E953" s="885"/>
      <c r="F953" s="885"/>
      <c r="G953" s="885"/>
      <c r="H953" s="885"/>
      <c r="I953" s="885"/>
      <c r="J953" s="885"/>
      <c r="K953" s="885"/>
      <c r="L953" s="885"/>
      <c r="M953" s="885"/>
      <c r="N953" s="885"/>
      <c r="O953" s="885"/>
      <c r="P953" s="885"/>
      <c r="Q953" s="885"/>
      <c r="R953" s="885"/>
      <c r="S953" s="885"/>
      <c r="T953" s="885"/>
      <c r="U953" s="885"/>
      <c r="V953" s="885"/>
      <c r="W953" s="885"/>
      <c r="X953" s="885"/>
      <c r="Y953" s="885"/>
      <c r="Z953" s="885"/>
    </row>
    <row r="954" spans="1:26" ht="16.5" customHeight="1" x14ac:dyDescent="0.2">
      <c r="A954" s="885"/>
      <c r="B954" s="885"/>
      <c r="C954" s="885"/>
      <c r="D954" s="885"/>
      <c r="E954" s="885"/>
      <c r="F954" s="885"/>
      <c r="G954" s="885"/>
      <c r="H954" s="885"/>
      <c r="I954" s="885"/>
      <c r="J954" s="885"/>
      <c r="K954" s="885"/>
      <c r="L954" s="885"/>
      <c r="M954" s="885"/>
      <c r="N954" s="885"/>
      <c r="O954" s="885"/>
      <c r="P954" s="885"/>
      <c r="Q954" s="885"/>
      <c r="R954" s="885"/>
      <c r="S954" s="885"/>
      <c r="T954" s="885"/>
      <c r="U954" s="885"/>
      <c r="V954" s="885"/>
      <c r="W954" s="885"/>
      <c r="X954" s="885"/>
      <c r="Y954" s="885"/>
      <c r="Z954" s="885"/>
    </row>
    <row r="955" spans="1:26" ht="16.5" customHeight="1" x14ac:dyDescent="0.2">
      <c r="A955" s="885"/>
      <c r="B955" s="885"/>
      <c r="C955" s="885"/>
      <c r="D955" s="885"/>
      <c r="E955" s="885"/>
      <c r="F955" s="885"/>
      <c r="G955" s="885"/>
      <c r="H955" s="885"/>
      <c r="I955" s="885"/>
      <c r="J955" s="885"/>
      <c r="K955" s="885"/>
      <c r="L955" s="885"/>
      <c r="M955" s="885"/>
      <c r="N955" s="885"/>
      <c r="O955" s="885"/>
      <c r="P955" s="885"/>
      <c r="Q955" s="885"/>
      <c r="R955" s="885"/>
      <c r="S955" s="885"/>
      <c r="T955" s="885"/>
      <c r="U955" s="885"/>
      <c r="V955" s="885"/>
      <c r="W955" s="885"/>
      <c r="X955" s="885"/>
      <c r="Y955" s="885"/>
      <c r="Z955" s="885"/>
    </row>
    <row r="956" spans="1:26" ht="16.5" customHeight="1" x14ac:dyDescent="0.2">
      <c r="A956" s="885"/>
      <c r="B956" s="885"/>
      <c r="C956" s="885"/>
      <c r="D956" s="885"/>
      <c r="E956" s="885"/>
      <c r="F956" s="885"/>
      <c r="G956" s="885"/>
      <c r="H956" s="885"/>
      <c r="I956" s="885"/>
      <c r="J956" s="885"/>
      <c r="K956" s="885"/>
      <c r="L956" s="885"/>
      <c r="M956" s="885"/>
      <c r="N956" s="885"/>
      <c r="O956" s="885"/>
      <c r="P956" s="885"/>
      <c r="Q956" s="885"/>
      <c r="R956" s="885"/>
      <c r="S956" s="885"/>
      <c r="T956" s="885"/>
      <c r="U956" s="885"/>
      <c r="V956" s="885"/>
      <c r="W956" s="885"/>
      <c r="X956" s="885"/>
      <c r="Y956" s="885"/>
      <c r="Z956" s="885"/>
    </row>
    <row r="957" spans="1:26" ht="16.5" customHeight="1" x14ac:dyDescent="0.2">
      <c r="A957" s="885"/>
      <c r="B957" s="885"/>
      <c r="C957" s="885"/>
      <c r="D957" s="885"/>
      <c r="E957" s="885"/>
      <c r="F957" s="885"/>
      <c r="G957" s="885"/>
      <c r="H957" s="885"/>
      <c r="I957" s="885"/>
      <c r="J957" s="885"/>
      <c r="K957" s="885"/>
      <c r="L957" s="885"/>
      <c r="M957" s="885"/>
      <c r="N957" s="885"/>
      <c r="O957" s="885"/>
      <c r="P957" s="885"/>
      <c r="Q957" s="885"/>
      <c r="R957" s="885"/>
      <c r="S957" s="885"/>
      <c r="T957" s="885"/>
      <c r="U957" s="885"/>
      <c r="V957" s="885"/>
      <c r="W957" s="885"/>
      <c r="X957" s="885"/>
      <c r="Y957" s="885"/>
      <c r="Z957" s="885"/>
    </row>
    <row r="958" spans="1:26" ht="16.5" customHeight="1" x14ac:dyDescent="0.2">
      <c r="A958" s="885"/>
      <c r="B958" s="885"/>
      <c r="C958" s="885"/>
      <c r="D958" s="885"/>
      <c r="E958" s="885"/>
      <c r="F958" s="885"/>
      <c r="G958" s="885"/>
      <c r="H958" s="885"/>
      <c r="I958" s="885"/>
      <c r="J958" s="885"/>
      <c r="K958" s="885"/>
      <c r="L958" s="885"/>
      <c r="M958" s="885"/>
      <c r="N958" s="885"/>
      <c r="O958" s="885"/>
      <c r="P958" s="885"/>
      <c r="Q958" s="885"/>
      <c r="R958" s="885"/>
      <c r="S958" s="885"/>
      <c r="T958" s="885"/>
      <c r="U958" s="885"/>
      <c r="V958" s="885"/>
      <c r="W958" s="885"/>
      <c r="X958" s="885"/>
      <c r="Y958" s="885"/>
      <c r="Z958" s="885"/>
    </row>
    <row r="959" spans="1:26" ht="16.5" customHeight="1" x14ac:dyDescent="0.2">
      <c r="A959" s="885"/>
      <c r="B959" s="885"/>
      <c r="C959" s="885"/>
      <c r="D959" s="885"/>
      <c r="E959" s="885"/>
      <c r="F959" s="885"/>
      <c r="G959" s="885"/>
      <c r="H959" s="885"/>
      <c r="I959" s="885"/>
      <c r="J959" s="885"/>
      <c r="K959" s="885"/>
      <c r="L959" s="885"/>
      <c r="M959" s="885"/>
      <c r="N959" s="885"/>
      <c r="O959" s="885"/>
      <c r="P959" s="885"/>
      <c r="Q959" s="885"/>
      <c r="R959" s="885"/>
      <c r="S959" s="885"/>
      <c r="T959" s="885"/>
      <c r="U959" s="885"/>
      <c r="V959" s="885"/>
      <c r="W959" s="885"/>
      <c r="X959" s="885"/>
      <c r="Y959" s="885"/>
      <c r="Z959" s="885"/>
    </row>
    <row r="960" spans="1:26" ht="16.5" customHeight="1" x14ac:dyDescent="0.2">
      <c r="A960" s="885"/>
      <c r="B960" s="885"/>
      <c r="C960" s="885"/>
      <c r="D960" s="885"/>
      <c r="E960" s="885"/>
      <c r="F960" s="885"/>
      <c r="G960" s="885"/>
      <c r="H960" s="885"/>
      <c r="I960" s="885"/>
      <c r="J960" s="885"/>
      <c r="K960" s="885"/>
      <c r="L960" s="885"/>
      <c r="M960" s="885"/>
      <c r="N960" s="885"/>
      <c r="O960" s="885"/>
      <c r="P960" s="885"/>
      <c r="Q960" s="885"/>
      <c r="R960" s="885"/>
      <c r="S960" s="885"/>
      <c r="T960" s="885"/>
      <c r="U960" s="885"/>
      <c r="V960" s="885"/>
      <c r="W960" s="885"/>
      <c r="X960" s="885"/>
      <c r="Y960" s="885"/>
      <c r="Z960" s="885"/>
    </row>
    <row r="961" spans="1:26" ht="16.5" customHeight="1" x14ac:dyDescent="0.2">
      <c r="A961" s="885"/>
      <c r="B961" s="885"/>
      <c r="C961" s="885"/>
      <c r="D961" s="885"/>
      <c r="E961" s="885"/>
      <c r="F961" s="885"/>
      <c r="G961" s="885"/>
      <c r="H961" s="885"/>
      <c r="I961" s="885"/>
      <c r="J961" s="885"/>
      <c r="K961" s="885"/>
      <c r="L961" s="885"/>
      <c r="M961" s="885"/>
      <c r="N961" s="885"/>
      <c r="O961" s="885"/>
      <c r="P961" s="885"/>
      <c r="Q961" s="885"/>
      <c r="R961" s="885"/>
      <c r="S961" s="885"/>
      <c r="T961" s="885"/>
      <c r="U961" s="885"/>
      <c r="V961" s="885"/>
      <c r="W961" s="885"/>
      <c r="X961" s="885"/>
      <c r="Y961" s="885"/>
      <c r="Z961" s="885"/>
    </row>
    <row r="962" spans="1:26" ht="16.5" customHeight="1" x14ac:dyDescent="0.2">
      <c r="A962" s="885"/>
      <c r="B962" s="885"/>
      <c r="C962" s="885"/>
      <c r="D962" s="885"/>
      <c r="E962" s="885"/>
      <c r="F962" s="885"/>
      <c r="G962" s="885"/>
      <c r="H962" s="885"/>
      <c r="I962" s="885"/>
      <c r="J962" s="885"/>
      <c r="K962" s="885"/>
      <c r="L962" s="885"/>
      <c r="M962" s="885"/>
      <c r="N962" s="885"/>
      <c r="O962" s="885"/>
      <c r="P962" s="885"/>
      <c r="Q962" s="885"/>
      <c r="R962" s="885"/>
      <c r="S962" s="885"/>
      <c r="T962" s="885"/>
      <c r="U962" s="885"/>
      <c r="V962" s="885"/>
      <c r="W962" s="885"/>
      <c r="X962" s="885"/>
      <c r="Y962" s="885"/>
      <c r="Z962" s="885"/>
    </row>
    <row r="963" spans="1:26" ht="16.5" customHeight="1" x14ac:dyDescent="0.2">
      <c r="A963" s="885"/>
      <c r="B963" s="885"/>
      <c r="C963" s="885"/>
      <c r="D963" s="885"/>
      <c r="E963" s="885"/>
      <c r="F963" s="885"/>
      <c r="G963" s="885"/>
      <c r="H963" s="885"/>
      <c r="I963" s="885"/>
      <c r="J963" s="885"/>
      <c r="K963" s="885"/>
      <c r="L963" s="885"/>
      <c r="M963" s="885"/>
      <c r="N963" s="885"/>
      <c r="O963" s="885"/>
      <c r="P963" s="885"/>
      <c r="Q963" s="885"/>
      <c r="R963" s="885"/>
      <c r="S963" s="885"/>
      <c r="T963" s="885"/>
      <c r="U963" s="885"/>
      <c r="V963" s="885"/>
      <c r="W963" s="885"/>
      <c r="X963" s="885"/>
      <c r="Y963" s="885"/>
      <c r="Z963" s="885"/>
    </row>
    <row r="964" spans="1:26" ht="16.5" customHeight="1" x14ac:dyDescent="0.2">
      <c r="A964" s="885"/>
      <c r="B964" s="885"/>
      <c r="C964" s="885"/>
      <c r="D964" s="885"/>
      <c r="E964" s="885"/>
      <c r="F964" s="885"/>
      <c r="G964" s="885"/>
      <c r="H964" s="885"/>
      <c r="I964" s="885"/>
      <c r="J964" s="885"/>
      <c r="K964" s="885"/>
      <c r="L964" s="885"/>
      <c r="M964" s="885"/>
      <c r="N964" s="885"/>
      <c r="O964" s="885"/>
      <c r="P964" s="885"/>
      <c r="Q964" s="885"/>
      <c r="R964" s="885"/>
      <c r="S964" s="885"/>
      <c r="T964" s="885"/>
      <c r="U964" s="885"/>
      <c r="V964" s="885"/>
      <c r="W964" s="885"/>
      <c r="X964" s="885"/>
      <c r="Y964" s="885"/>
      <c r="Z964" s="885"/>
    </row>
    <row r="965" spans="1:26" ht="16.5" customHeight="1" x14ac:dyDescent="0.2">
      <c r="A965" s="885"/>
      <c r="B965" s="885"/>
      <c r="C965" s="885"/>
      <c r="D965" s="885"/>
      <c r="E965" s="885"/>
      <c r="F965" s="885"/>
      <c r="G965" s="885"/>
      <c r="H965" s="885"/>
      <c r="I965" s="885"/>
      <c r="J965" s="885"/>
      <c r="K965" s="885"/>
      <c r="L965" s="885"/>
      <c r="M965" s="885"/>
      <c r="N965" s="885"/>
      <c r="O965" s="885"/>
      <c r="P965" s="885"/>
      <c r="Q965" s="885"/>
      <c r="R965" s="885"/>
      <c r="S965" s="885"/>
      <c r="T965" s="885"/>
      <c r="U965" s="885"/>
      <c r="V965" s="885"/>
      <c r="W965" s="885"/>
      <c r="X965" s="885"/>
      <c r="Y965" s="885"/>
      <c r="Z965" s="885"/>
    </row>
    <row r="966" spans="1:26" ht="16.5" customHeight="1" x14ac:dyDescent="0.2">
      <c r="A966" s="885"/>
      <c r="B966" s="885"/>
      <c r="C966" s="885"/>
      <c r="D966" s="885"/>
      <c r="E966" s="885"/>
      <c r="F966" s="885"/>
      <c r="G966" s="885"/>
      <c r="H966" s="885"/>
      <c r="I966" s="885"/>
      <c r="J966" s="885"/>
      <c r="K966" s="885"/>
      <c r="L966" s="885"/>
      <c r="M966" s="885"/>
      <c r="N966" s="885"/>
      <c r="O966" s="885"/>
      <c r="P966" s="885"/>
      <c r="Q966" s="885"/>
      <c r="R966" s="885"/>
      <c r="S966" s="885"/>
      <c r="T966" s="885"/>
      <c r="U966" s="885"/>
      <c r="V966" s="885"/>
      <c r="W966" s="885"/>
      <c r="X966" s="885"/>
      <c r="Y966" s="885"/>
      <c r="Z966" s="885"/>
    </row>
    <row r="967" spans="1:26" ht="16.5" customHeight="1" x14ac:dyDescent="0.2">
      <c r="A967" s="885"/>
      <c r="B967" s="885"/>
      <c r="C967" s="885"/>
      <c r="D967" s="885"/>
      <c r="E967" s="885"/>
      <c r="F967" s="885"/>
      <c r="G967" s="885"/>
      <c r="H967" s="885"/>
      <c r="I967" s="885"/>
      <c r="J967" s="885"/>
      <c r="K967" s="885"/>
      <c r="L967" s="885"/>
      <c r="M967" s="885"/>
      <c r="N967" s="885"/>
      <c r="O967" s="885"/>
      <c r="P967" s="885"/>
      <c r="Q967" s="885"/>
      <c r="R967" s="885"/>
      <c r="S967" s="885"/>
      <c r="T967" s="885"/>
      <c r="U967" s="885"/>
      <c r="V967" s="885"/>
      <c r="W967" s="885"/>
      <c r="X967" s="885"/>
      <c r="Y967" s="885"/>
      <c r="Z967" s="885"/>
    </row>
    <row r="968" spans="1:26" ht="16.5" customHeight="1" x14ac:dyDescent="0.2">
      <c r="A968" s="885"/>
      <c r="B968" s="885"/>
      <c r="C968" s="885"/>
      <c r="D968" s="885"/>
      <c r="E968" s="885"/>
      <c r="F968" s="885"/>
      <c r="G968" s="885"/>
      <c r="H968" s="885"/>
      <c r="I968" s="885"/>
      <c r="J968" s="885"/>
      <c r="K968" s="885"/>
      <c r="L968" s="885"/>
      <c r="M968" s="885"/>
      <c r="N968" s="885"/>
      <c r="O968" s="885"/>
      <c r="P968" s="885"/>
      <c r="Q968" s="885"/>
      <c r="R968" s="885"/>
      <c r="S968" s="885"/>
      <c r="T968" s="885"/>
      <c r="U968" s="885"/>
      <c r="V968" s="885"/>
      <c r="W968" s="885"/>
      <c r="X968" s="885"/>
      <c r="Y968" s="885"/>
      <c r="Z968" s="885"/>
    </row>
    <row r="969" spans="1:26" ht="16.5" customHeight="1" x14ac:dyDescent="0.2">
      <c r="A969" s="885"/>
      <c r="B969" s="885"/>
      <c r="C969" s="885"/>
      <c r="D969" s="885"/>
      <c r="E969" s="885"/>
      <c r="F969" s="885"/>
      <c r="G969" s="885"/>
      <c r="H969" s="885"/>
      <c r="I969" s="885"/>
      <c r="J969" s="885"/>
      <c r="K969" s="885"/>
      <c r="L969" s="885"/>
      <c r="M969" s="885"/>
      <c r="N969" s="885"/>
      <c r="O969" s="885"/>
      <c r="P969" s="885"/>
      <c r="Q969" s="885"/>
      <c r="R969" s="885"/>
      <c r="S969" s="885"/>
      <c r="T969" s="885"/>
      <c r="U969" s="885"/>
      <c r="V969" s="885"/>
      <c r="W969" s="885"/>
      <c r="X969" s="885"/>
      <c r="Y969" s="885"/>
      <c r="Z969" s="885"/>
    </row>
    <row r="970" spans="1:26" ht="16.5" customHeight="1" x14ac:dyDescent="0.2">
      <c r="A970" s="885"/>
      <c r="B970" s="885"/>
      <c r="C970" s="885"/>
      <c r="D970" s="885"/>
      <c r="E970" s="885"/>
      <c r="F970" s="885"/>
      <c r="G970" s="885"/>
      <c r="H970" s="885"/>
      <c r="I970" s="885"/>
      <c r="J970" s="885"/>
      <c r="K970" s="885"/>
      <c r="L970" s="885"/>
      <c r="M970" s="885"/>
      <c r="N970" s="885"/>
      <c r="O970" s="885"/>
      <c r="P970" s="885"/>
      <c r="Q970" s="885"/>
      <c r="R970" s="885"/>
      <c r="S970" s="885"/>
      <c r="T970" s="885"/>
      <c r="U970" s="885"/>
      <c r="V970" s="885"/>
      <c r="W970" s="885"/>
      <c r="X970" s="885"/>
      <c r="Y970" s="885"/>
      <c r="Z970" s="885"/>
    </row>
    <row r="971" spans="1:26" ht="16.5" customHeight="1" x14ac:dyDescent="0.2">
      <c r="A971" s="885"/>
      <c r="B971" s="885"/>
      <c r="C971" s="885"/>
      <c r="D971" s="885"/>
      <c r="E971" s="885"/>
      <c r="F971" s="885"/>
      <c r="G971" s="885"/>
      <c r="H971" s="885"/>
      <c r="I971" s="885"/>
      <c r="J971" s="885"/>
      <c r="K971" s="885"/>
      <c r="L971" s="885"/>
      <c r="M971" s="885"/>
      <c r="N971" s="885"/>
      <c r="O971" s="885"/>
      <c r="P971" s="885"/>
      <c r="Q971" s="885"/>
      <c r="R971" s="885"/>
      <c r="S971" s="885"/>
      <c r="T971" s="885"/>
      <c r="U971" s="885"/>
      <c r="V971" s="885"/>
      <c r="W971" s="885"/>
      <c r="X971" s="885"/>
      <c r="Y971" s="885"/>
      <c r="Z971" s="885"/>
    </row>
    <row r="972" spans="1:26" ht="16.5" customHeight="1" x14ac:dyDescent="0.2">
      <c r="A972" s="885"/>
      <c r="B972" s="885"/>
      <c r="C972" s="885"/>
      <c r="D972" s="885"/>
      <c r="E972" s="885"/>
      <c r="F972" s="885"/>
      <c r="G972" s="885"/>
      <c r="H972" s="885"/>
      <c r="I972" s="885"/>
      <c r="J972" s="885"/>
      <c r="K972" s="885"/>
      <c r="L972" s="885"/>
      <c r="M972" s="885"/>
      <c r="N972" s="885"/>
      <c r="O972" s="885"/>
      <c r="P972" s="885"/>
      <c r="Q972" s="885"/>
      <c r="R972" s="885"/>
      <c r="S972" s="885"/>
      <c r="T972" s="885"/>
      <c r="U972" s="885"/>
      <c r="V972" s="885"/>
      <c r="W972" s="885"/>
      <c r="X972" s="885"/>
      <c r="Y972" s="885"/>
      <c r="Z972" s="885"/>
    </row>
    <row r="973" spans="1:26" ht="16.5" customHeight="1" x14ac:dyDescent="0.2">
      <c r="A973" s="885"/>
      <c r="B973" s="885"/>
      <c r="C973" s="885"/>
      <c r="D973" s="885"/>
      <c r="E973" s="885"/>
      <c r="F973" s="885"/>
      <c r="G973" s="885"/>
      <c r="H973" s="885"/>
      <c r="I973" s="885"/>
      <c r="J973" s="885"/>
      <c r="K973" s="885"/>
      <c r="L973" s="885"/>
      <c r="M973" s="885"/>
      <c r="N973" s="885"/>
      <c r="O973" s="885"/>
      <c r="P973" s="885"/>
      <c r="Q973" s="885"/>
      <c r="R973" s="885"/>
      <c r="S973" s="885"/>
      <c r="T973" s="885"/>
      <c r="U973" s="885"/>
      <c r="V973" s="885"/>
      <c r="W973" s="885"/>
      <c r="X973" s="885"/>
      <c r="Y973" s="885"/>
      <c r="Z973" s="885"/>
    </row>
    <row r="974" spans="1:26" ht="16.5" customHeight="1" x14ac:dyDescent="0.2">
      <c r="A974" s="885"/>
      <c r="B974" s="885"/>
      <c r="C974" s="885"/>
      <c r="D974" s="885"/>
      <c r="E974" s="885"/>
      <c r="F974" s="885"/>
      <c r="G974" s="885"/>
      <c r="H974" s="885"/>
      <c r="I974" s="885"/>
      <c r="J974" s="885"/>
      <c r="K974" s="885"/>
      <c r="L974" s="885"/>
      <c r="M974" s="885"/>
      <c r="N974" s="885"/>
      <c r="O974" s="885"/>
      <c r="P974" s="885"/>
      <c r="Q974" s="885"/>
      <c r="R974" s="885"/>
      <c r="S974" s="885"/>
      <c r="T974" s="885"/>
      <c r="U974" s="885"/>
      <c r="V974" s="885"/>
      <c r="W974" s="885"/>
      <c r="X974" s="885"/>
      <c r="Y974" s="885"/>
      <c r="Z974" s="885"/>
    </row>
    <row r="975" spans="1:26" ht="16.5" customHeight="1" x14ac:dyDescent="0.2">
      <c r="A975" s="885"/>
      <c r="B975" s="885"/>
      <c r="C975" s="885"/>
      <c r="D975" s="885"/>
      <c r="E975" s="885"/>
      <c r="F975" s="885"/>
      <c r="G975" s="885"/>
      <c r="H975" s="885"/>
      <c r="I975" s="885"/>
      <c r="J975" s="885"/>
      <c r="K975" s="885"/>
      <c r="L975" s="885"/>
      <c r="M975" s="885"/>
      <c r="N975" s="885"/>
      <c r="O975" s="885"/>
      <c r="P975" s="885"/>
      <c r="Q975" s="885"/>
      <c r="R975" s="885"/>
      <c r="S975" s="885"/>
      <c r="T975" s="885"/>
      <c r="U975" s="885"/>
      <c r="V975" s="885"/>
      <c r="W975" s="885"/>
      <c r="X975" s="885"/>
      <c r="Y975" s="885"/>
      <c r="Z975" s="885"/>
    </row>
    <row r="976" spans="1:26" ht="16.5" customHeight="1" x14ac:dyDescent="0.2">
      <c r="A976" s="885"/>
      <c r="B976" s="885"/>
      <c r="C976" s="885"/>
      <c r="D976" s="885"/>
      <c r="E976" s="885"/>
      <c r="F976" s="885"/>
      <c r="G976" s="885"/>
      <c r="H976" s="885"/>
      <c r="I976" s="885"/>
      <c r="J976" s="885"/>
      <c r="K976" s="885"/>
      <c r="L976" s="885"/>
      <c r="M976" s="885"/>
      <c r="N976" s="885"/>
      <c r="O976" s="885"/>
      <c r="P976" s="885"/>
      <c r="Q976" s="885"/>
      <c r="R976" s="885"/>
      <c r="S976" s="885"/>
      <c r="T976" s="885"/>
      <c r="U976" s="885"/>
      <c r="V976" s="885"/>
      <c r="W976" s="885"/>
      <c r="X976" s="885"/>
      <c r="Y976" s="885"/>
      <c r="Z976" s="885"/>
    </row>
    <row r="977" spans="1:26" ht="16.5" customHeight="1" x14ac:dyDescent="0.2">
      <c r="A977" s="885"/>
      <c r="B977" s="885"/>
      <c r="C977" s="885"/>
      <c r="D977" s="885"/>
      <c r="E977" s="885"/>
      <c r="F977" s="885"/>
      <c r="G977" s="885"/>
      <c r="H977" s="885"/>
      <c r="I977" s="885"/>
      <c r="J977" s="885"/>
      <c r="K977" s="885"/>
      <c r="L977" s="885"/>
      <c r="M977" s="885"/>
      <c r="N977" s="885"/>
      <c r="O977" s="885"/>
      <c r="P977" s="885"/>
      <c r="Q977" s="885"/>
      <c r="R977" s="885"/>
      <c r="S977" s="885"/>
      <c r="T977" s="885"/>
      <c r="U977" s="885"/>
      <c r="V977" s="885"/>
      <c r="W977" s="885"/>
      <c r="X977" s="885"/>
      <c r="Y977" s="885"/>
      <c r="Z977" s="885"/>
    </row>
    <row r="978" spans="1:26" ht="16.5" customHeight="1" x14ac:dyDescent="0.2">
      <c r="A978" s="885"/>
      <c r="B978" s="885"/>
      <c r="C978" s="885"/>
      <c r="D978" s="885"/>
      <c r="E978" s="885"/>
      <c r="F978" s="885"/>
      <c r="G978" s="885"/>
      <c r="H978" s="885"/>
      <c r="I978" s="885"/>
      <c r="J978" s="885"/>
      <c r="K978" s="885"/>
      <c r="L978" s="885"/>
      <c r="M978" s="885"/>
      <c r="N978" s="885"/>
      <c r="O978" s="885"/>
      <c r="P978" s="885"/>
      <c r="Q978" s="885"/>
      <c r="R978" s="885"/>
      <c r="S978" s="885"/>
      <c r="T978" s="885"/>
      <c r="U978" s="885"/>
      <c r="V978" s="885"/>
      <c r="W978" s="885"/>
      <c r="X978" s="885"/>
      <c r="Y978" s="885"/>
      <c r="Z978" s="885"/>
    </row>
    <row r="979" spans="1:26" ht="16.5" customHeight="1" x14ac:dyDescent="0.2">
      <c r="A979" s="885"/>
      <c r="B979" s="885"/>
      <c r="C979" s="885"/>
      <c r="D979" s="885"/>
      <c r="E979" s="885"/>
      <c r="F979" s="885"/>
      <c r="G979" s="885"/>
      <c r="H979" s="885"/>
      <c r="I979" s="885"/>
      <c r="J979" s="885"/>
      <c r="K979" s="885"/>
      <c r="L979" s="885"/>
      <c r="M979" s="885"/>
      <c r="N979" s="885"/>
      <c r="O979" s="885"/>
      <c r="P979" s="885"/>
      <c r="Q979" s="885"/>
      <c r="R979" s="885"/>
      <c r="S979" s="885"/>
      <c r="T979" s="885"/>
      <c r="U979" s="885"/>
      <c r="V979" s="885"/>
      <c r="W979" s="885"/>
      <c r="X979" s="885"/>
      <c r="Y979" s="885"/>
      <c r="Z979" s="885"/>
    </row>
    <row r="980" spans="1:26" ht="16.5" customHeight="1" x14ac:dyDescent="0.2">
      <c r="A980" s="885"/>
      <c r="B980" s="885"/>
      <c r="C980" s="885"/>
      <c r="D980" s="885"/>
      <c r="E980" s="885"/>
      <c r="F980" s="885"/>
      <c r="G980" s="885"/>
      <c r="H980" s="885"/>
      <c r="I980" s="885"/>
      <c r="J980" s="885"/>
      <c r="K980" s="885"/>
      <c r="L980" s="885"/>
      <c r="M980" s="885"/>
      <c r="N980" s="885"/>
      <c r="O980" s="885"/>
      <c r="P980" s="885"/>
      <c r="Q980" s="885"/>
      <c r="R980" s="885"/>
      <c r="S980" s="885"/>
      <c r="T980" s="885"/>
      <c r="U980" s="885"/>
      <c r="V980" s="885"/>
      <c r="W980" s="885"/>
      <c r="X980" s="885"/>
      <c r="Y980" s="885"/>
      <c r="Z980" s="885"/>
    </row>
    <row r="981" spans="1:26" ht="16.5" customHeight="1" x14ac:dyDescent="0.2">
      <c r="A981" s="885"/>
      <c r="B981" s="885"/>
      <c r="C981" s="885"/>
      <c r="D981" s="885"/>
      <c r="E981" s="885"/>
      <c r="F981" s="885"/>
      <c r="G981" s="885"/>
      <c r="H981" s="885"/>
      <c r="I981" s="885"/>
      <c r="J981" s="885"/>
      <c r="K981" s="885"/>
      <c r="L981" s="885"/>
      <c r="M981" s="885"/>
      <c r="N981" s="885"/>
      <c r="O981" s="885"/>
      <c r="P981" s="885"/>
      <c r="Q981" s="885"/>
      <c r="R981" s="885"/>
      <c r="S981" s="885"/>
      <c r="T981" s="885"/>
      <c r="U981" s="885"/>
      <c r="V981" s="885"/>
      <c r="W981" s="885"/>
      <c r="X981" s="885"/>
      <c r="Y981" s="885"/>
      <c r="Z981" s="885"/>
    </row>
    <row r="982" spans="1:26" ht="16.5" customHeight="1" x14ac:dyDescent="0.2">
      <c r="A982" s="885"/>
      <c r="B982" s="885"/>
      <c r="C982" s="885"/>
      <c r="D982" s="885"/>
      <c r="E982" s="885"/>
      <c r="F982" s="885"/>
      <c r="G982" s="885"/>
      <c r="H982" s="885"/>
      <c r="I982" s="885"/>
      <c r="J982" s="885"/>
      <c r="K982" s="885"/>
      <c r="L982" s="885"/>
      <c r="M982" s="885"/>
      <c r="N982" s="885"/>
      <c r="O982" s="885"/>
      <c r="P982" s="885"/>
      <c r="Q982" s="885"/>
      <c r="R982" s="885"/>
      <c r="S982" s="885"/>
      <c r="T982" s="885"/>
      <c r="U982" s="885"/>
      <c r="V982" s="885"/>
      <c r="W982" s="885"/>
      <c r="X982" s="885"/>
      <c r="Y982" s="885"/>
      <c r="Z982" s="885"/>
    </row>
    <row r="983" spans="1:26" ht="16.5" customHeight="1" x14ac:dyDescent="0.2">
      <c r="A983" s="885"/>
      <c r="B983" s="885"/>
      <c r="C983" s="885"/>
      <c r="D983" s="885"/>
      <c r="E983" s="885"/>
      <c r="F983" s="885"/>
      <c r="G983" s="885"/>
      <c r="H983" s="885"/>
      <c r="I983" s="885"/>
      <c r="J983" s="885"/>
      <c r="K983" s="885"/>
      <c r="L983" s="885"/>
      <c r="M983" s="885"/>
      <c r="N983" s="885"/>
      <c r="O983" s="885"/>
      <c r="P983" s="885"/>
      <c r="Q983" s="885"/>
      <c r="R983" s="885"/>
      <c r="S983" s="885"/>
      <c r="T983" s="885"/>
      <c r="U983" s="885"/>
      <c r="V983" s="885"/>
      <c r="W983" s="885"/>
      <c r="X983" s="885"/>
      <c r="Y983" s="885"/>
      <c r="Z983" s="885"/>
    </row>
    <row r="984" spans="1:26" ht="16.5" customHeight="1" x14ac:dyDescent="0.2">
      <c r="A984" s="885"/>
      <c r="B984" s="885"/>
      <c r="C984" s="885"/>
      <c r="D984" s="885"/>
      <c r="E984" s="885"/>
      <c r="F984" s="885"/>
      <c r="G984" s="885"/>
      <c r="H984" s="885"/>
      <c r="I984" s="885"/>
      <c r="J984" s="885"/>
      <c r="K984" s="885"/>
      <c r="L984" s="885"/>
      <c r="M984" s="885"/>
      <c r="N984" s="885"/>
      <c r="O984" s="885"/>
      <c r="P984" s="885"/>
      <c r="Q984" s="885"/>
      <c r="R984" s="885"/>
      <c r="S984" s="885"/>
      <c r="T984" s="885"/>
      <c r="U984" s="885"/>
      <c r="V984" s="885"/>
      <c r="W984" s="885"/>
      <c r="X984" s="885"/>
      <c r="Y984" s="885"/>
      <c r="Z984" s="885"/>
    </row>
    <row r="985" spans="1:26" ht="16.5" customHeight="1" x14ac:dyDescent="0.2">
      <c r="A985" s="885"/>
      <c r="B985" s="885"/>
      <c r="C985" s="885"/>
      <c r="D985" s="885"/>
      <c r="E985" s="885"/>
      <c r="F985" s="885"/>
      <c r="G985" s="885"/>
      <c r="H985" s="885"/>
      <c r="I985" s="885"/>
      <c r="J985" s="885"/>
      <c r="K985" s="885"/>
      <c r="L985" s="885"/>
      <c r="M985" s="885"/>
      <c r="N985" s="885"/>
      <c r="O985" s="885"/>
      <c r="P985" s="885"/>
      <c r="Q985" s="885"/>
      <c r="R985" s="885"/>
      <c r="S985" s="885"/>
      <c r="T985" s="885"/>
      <c r="U985" s="885"/>
      <c r="V985" s="885"/>
      <c r="W985" s="885"/>
      <c r="X985" s="885"/>
      <c r="Y985" s="885"/>
      <c r="Z985" s="885"/>
    </row>
    <row r="986" spans="1:26" ht="16.5" customHeight="1" x14ac:dyDescent="0.2">
      <c r="A986" s="885"/>
      <c r="B986" s="885"/>
      <c r="C986" s="885"/>
      <c r="D986" s="885"/>
      <c r="E986" s="885"/>
      <c r="F986" s="885"/>
      <c r="G986" s="885"/>
      <c r="H986" s="885"/>
      <c r="I986" s="885"/>
      <c r="J986" s="885"/>
      <c r="K986" s="885"/>
      <c r="L986" s="885"/>
      <c r="M986" s="885"/>
      <c r="N986" s="885"/>
      <c r="O986" s="885"/>
      <c r="P986" s="885"/>
      <c r="Q986" s="885"/>
      <c r="R986" s="885"/>
      <c r="S986" s="885"/>
      <c r="T986" s="885"/>
      <c r="U986" s="885"/>
      <c r="V986" s="885"/>
      <c r="W986" s="885"/>
      <c r="X986" s="885"/>
      <c r="Y986" s="885"/>
      <c r="Z986" s="885"/>
    </row>
    <row r="987" spans="1:26" ht="16.5" customHeight="1" x14ac:dyDescent="0.2">
      <c r="A987" s="885"/>
      <c r="B987" s="885"/>
      <c r="C987" s="885"/>
      <c r="D987" s="885"/>
      <c r="E987" s="885"/>
      <c r="F987" s="885"/>
      <c r="G987" s="885"/>
      <c r="H987" s="885"/>
      <c r="I987" s="885"/>
      <c r="J987" s="885"/>
      <c r="K987" s="885"/>
      <c r="L987" s="885"/>
      <c r="M987" s="885"/>
      <c r="N987" s="885"/>
      <c r="O987" s="885"/>
      <c r="P987" s="885"/>
      <c r="Q987" s="885"/>
      <c r="R987" s="885"/>
      <c r="S987" s="885"/>
      <c r="T987" s="885"/>
      <c r="U987" s="885"/>
      <c r="V987" s="885"/>
      <c r="W987" s="885"/>
      <c r="X987" s="885"/>
      <c r="Y987" s="885"/>
      <c r="Z987" s="885"/>
    </row>
    <row r="988" spans="1:26" ht="16.5" customHeight="1" x14ac:dyDescent="0.2">
      <c r="A988" s="885"/>
      <c r="B988" s="885"/>
      <c r="C988" s="885"/>
      <c r="D988" s="885"/>
      <c r="E988" s="885"/>
      <c r="F988" s="885"/>
      <c r="G988" s="885"/>
      <c r="H988" s="885"/>
      <c r="I988" s="885"/>
      <c r="J988" s="885"/>
      <c r="K988" s="885"/>
      <c r="L988" s="885"/>
      <c r="M988" s="885"/>
      <c r="N988" s="885"/>
      <c r="O988" s="885"/>
      <c r="P988" s="885"/>
      <c r="Q988" s="885"/>
      <c r="R988" s="885"/>
      <c r="S988" s="885"/>
      <c r="T988" s="885"/>
      <c r="U988" s="885"/>
      <c r="V988" s="885"/>
      <c r="W988" s="885"/>
      <c r="X988" s="885"/>
      <c r="Y988" s="885"/>
      <c r="Z988" s="885"/>
    </row>
    <row r="989" spans="1:26" ht="16.5" customHeight="1" x14ac:dyDescent="0.2">
      <c r="A989" s="885"/>
      <c r="B989" s="885"/>
      <c r="C989" s="885"/>
      <c r="D989" s="885"/>
      <c r="E989" s="885"/>
      <c r="F989" s="885"/>
      <c r="G989" s="885"/>
      <c r="H989" s="885"/>
      <c r="I989" s="885"/>
      <c r="J989" s="885"/>
      <c r="K989" s="885"/>
      <c r="L989" s="885"/>
      <c r="M989" s="885"/>
      <c r="N989" s="885"/>
      <c r="O989" s="885"/>
      <c r="P989" s="885"/>
      <c r="Q989" s="885"/>
      <c r="R989" s="885"/>
      <c r="S989" s="885"/>
      <c r="T989" s="885"/>
      <c r="U989" s="885"/>
      <c r="V989" s="885"/>
      <c r="W989" s="885"/>
      <c r="X989" s="885"/>
      <c r="Y989" s="885"/>
      <c r="Z989" s="885"/>
    </row>
    <row r="990" spans="1:26" ht="16.5" customHeight="1" x14ac:dyDescent="0.2">
      <c r="A990" s="885"/>
      <c r="B990" s="885"/>
      <c r="C990" s="885"/>
      <c r="D990" s="885"/>
      <c r="E990" s="885"/>
      <c r="F990" s="885"/>
      <c r="G990" s="885"/>
      <c r="H990" s="885"/>
      <c r="I990" s="885"/>
      <c r="J990" s="885"/>
      <c r="K990" s="885"/>
      <c r="L990" s="885"/>
      <c r="M990" s="885"/>
      <c r="N990" s="885"/>
      <c r="O990" s="885"/>
      <c r="P990" s="885"/>
      <c r="Q990" s="885"/>
      <c r="R990" s="885"/>
      <c r="S990" s="885"/>
      <c r="T990" s="885"/>
      <c r="U990" s="885"/>
      <c r="V990" s="885"/>
      <c r="W990" s="885"/>
      <c r="X990" s="885"/>
      <c r="Y990" s="885"/>
      <c r="Z990" s="885"/>
    </row>
    <row r="991" spans="1:26" ht="16.5" customHeight="1" x14ac:dyDescent="0.2">
      <c r="A991" s="885"/>
      <c r="B991" s="885"/>
      <c r="C991" s="885"/>
      <c r="D991" s="885"/>
      <c r="E991" s="885"/>
      <c r="F991" s="885"/>
      <c r="G991" s="885"/>
      <c r="H991" s="885"/>
      <c r="I991" s="885"/>
      <c r="J991" s="885"/>
      <c r="K991" s="885"/>
      <c r="L991" s="885"/>
      <c r="M991" s="885"/>
      <c r="N991" s="885"/>
      <c r="O991" s="885"/>
      <c r="P991" s="885"/>
      <c r="Q991" s="885"/>
      <c r="R991" s="885"/>
      <c r="S991" s="885"/>
      <c r="T991" s="885"/>
      <c r="U991" s="885"/>
      <c r="V991" s="885"/>
      <c r="W991" s="885"/>
      <c r="X991" s="885"/>
      <c r="Y991" s="885"/>
      <c r="Z991" s="885"/>
    </row>
    <row r="992" spans="1:26" ht="16.5" customHeight="1" x14ac:dyDescent="0.2">
      <c r="A992" s="885"/>
      <c r="B992" s="885"/>
      <c r="C992" s="885"/>
      <c r="D992" s="885"/>
      <c r="E992" s="885"/>
      <c r="F992" s="885"/>
      <c r="G992" s="885"/>
      <c r="H992" s="885"/>
      <c r="I992" s="885"/>
      <c r="J992" s="885"/>
      <c r="K992" s="885"/>
      <c r="L992" s="885"/>
      <c r="M992" s="885"/>
      <c r="N992" s="885"/>
      <c r="O992" s="885"/>
      <c r="P992" s="885"/>
      <c r="Q992" s="885"/>
      <c r="R992" s="885"/>
      <c r="S992" s="885"/>
      <c r="T992" s="885"/>
      <c r="U992" s="885"/>
      <c r="V992" s="885"/>
      <c r="W992" s="885"/>
      <c r="X992" s="885"/>
      <c r="Y992" s="885"/>
      <c r="Z992" s="885"/>
    </row>
    <row r="993" spans="1:26" ht="16.5" customHeight="1" x14ac:dyDescent="0.2">
      <c r="A993" s="885"/>
      <c r="B993" s="885"/>
      <c r="C993" s="885"/>
      <c r="D993" s="885"/>
      <c r="E993" s="885"/>
      <c r="F993" s="885"/>
      <c r="G993" s="885"/>
      <c r="H993" s="885"/>
      <c r="I993" s="885"/>
      <c r="J993" s="885"/>
      <c r="K993" s="885"/>
      <c r="L993" s="885"/>
      <c r="M993" s="885"/>
      <c r="N993" s="885"/>
      <c r="O993" s="885"/>
      <c r="P993" s="885"/>
      <c r="Q993" s="885"/>
      <c r="R993" s="885"/>
      <c r="S993" s="885"/>
      <c r="T993" s="885"/>
      <c r="U993" s="885"/>
      <c r="V993" s="885"/>
      <c r="W993" s="885"/>
      <c r="X993" s="885"/>
      <c r="Y993" s="885"/>
      <c r="Z993" s="885"/>
    </row>
    <row r="994" spans="1:26" ht="16.5" customHeight="1" x14ac:dyDescent="0.2">
      <c r="A994" s="885"/>
      <c r="B994" s="885"/>
      <c r="C994" s="885"/>
      <c r="D994" s="885"/>
      <c r="E994" s="885"/>
      <c r="F994" s="885"/>
      <c r="G994" s="885"/>
      <c r="H994" s="885"/>
      <c r="I994" s="885"/>
      <c r="J994" s="885"/>
      <c r="K994" s="885"/>
      <c r="L994" s="885"/>
      <c r="M994" s="885"/>
      <c r="N994" s="885"/>
      <c r="O994" s="885"/>
      <c r="P994" s="885"/>
      <c r="Q994" s="885"/>
      <c r="R994" s="885"/>
      <c r="S994" s="885"/>
      <c r="T994" s="885"/>
      <c r="U994" s="885"/>
      <c r="V994" s="885"/>
      <c r="W994" s="885"/>
      <c r="X994" s="885"/>
      <c r="Y994" s="885"/>
      <c r="Z994" s="885"/>
    </row>
    <row r="995" spans="1:26" ht="16.5" customHeight="1" x14ac:dyDescent="0.2">
      <c r="A995" s="885"/>
      <c r="B995" s="885"/>
      <c r="C995" s="885"/>
      <c r="D995" s="885"/>
      <c r="E995" s="885"/>
      <c r="F995" s="885"/>
      <c r="G995" s="885"/>
      <c r="H995" s="885"/>
      <c r="I995" s="885"/>
      <c r="J995" s="885"/>
      <c r="K995" s="885"/>
      <c r="L995" s="885"/>
      <c r="M995" s="885"/>
      <c r="N995" s="885"/>
      <c r="O995" s="885"/>
      <c r="P995" s="885"/>
      <c r="Q995" s="885"/>
      <c r="R995" s="885"/>
      <c r="S995" s="885"/>
      <c r="T995" s="885"/>
      <c r="U995" s="885"/>
      <c r="V995" s="885"/>
      <c r="W995" s="885"/>
      <c r="X995" s="885"/>
      <c r="Y995" s="885"/>
      <c r="Z995" s="885"/>
    </row>
    <row r="996" spans="1:26" ht="16.5" customHeight="1" x14ac:dyDescent="0.2">
      <c r="A996" s="885"/>
      <c r="B996" s="885"/>
      <c r="C996" s="885"/>
      <c r="D996" s="885"/>
      <c r="E996" s="885"/>
      <c r="F996" s="885"/>
      <c r="G996" s="885"/>
      <c r="H996" s="885"/>
      <c r="I996" s="885"/>
      <c r="J996" s="885"/>
      <c r="K996" s="885"/>
      <c r="L996" s="885"/>
      <c r="M996" s="885"/>
      <c r="N996" s="885"/>
      <c r="O996" s="885"/>
      <c r="P996" s="885"/>
      <c r="Q996" s="885"/>
      <c r="R996" s="885"/>
      <c r="S996" s="885"/>
      <c r="T996" s="885"/>
      <c r="U996" s="885"/>
      <c r="V996" s="885"/>
      <c r="W996" s="885"/>
      <c r="X996" s="885"/>
      <c r="Y996" s="885"/>
      <c r="Z996" s="885"/>
    </row>
    <row r="997" spans="1:26" ht="16.5" customHeight="1" x14ac:dyDescent="0.2">
      <c r="A997" s="885"/>
      <c r="B997" s="885"/>
      <c r="C997" s="885"/>
      <c r="D997" s="885"/>
      <c r="E997" s="885"/>
      <c r="F997" s="885"/>
      <c r="G997" s="885"/>
      <c r="H997" s="885"/>
      <c r="I997" s="885"/>
      <c r="J997" s="885"/>
      <c r="K997" s="885"/>
      <c r="L997" s="885"/>
      <c r="M997" s="885"/>
      <c r="N997" s="885"/>
      <c r="O997" s="885"/>
      <c r="P997" s="885"/>
      <c r="Q997" s="885"/>
      <c r="R997" s="885"/>
      <c r="S997" s="885"/>
      <c r="T997" s="885"/>
      <c r="U997" s="885"/>
      <c r="V997" s="885"/>
      <c r="W997" s="885"/>
      <c r="X997" s="885"/>
      <c r="Y997" s="885"/>
      <c r="Z997" s="885"/>
    </row>
    <row r="998" spans="1:26" ht="16.5" customHeight="1" x14ac:dyDescent="0.2">
      <c r="A998" s="885"/>
      <c r="B998" s="885"/>
      <c r="C998" s="885"/>
      <c r="D998" s="885"/>
      <c r="E998" s="885"/>
      <c r="F998" s="885"/>
      <c r="G998" s="885"/>
      <c r="H998" s="885"/>
      <c r="I998" s="885"/>
      <c r="J998" s="885"/>
      <c r="K998" s="885"/>
      <c r="L998" s="885"/>
      <c r="M998" s="885"/>
      <c r="N998" s="885"/>
      <c r="O998" s="885"/>
      <c r="P998" s="885"/>
      <c r="Q998" s="885"/>
      <c r="R998" s="885"/>
      <c r="S998" s="885"/>
      <c r="T998" s="885"/>
      <c r="U998" s="885"/>
      <c r="V998" s="885"/>
      <c r="W998" s="885"/>
      <c r="X998" s="885"/>
      <c r="Y998" s="885"/>
      <c r="Z998" s="885"/>
    </row>
    <row r="999" spans="1:26" ht="16.5" customHeight="1" x14ac:dyDescent="0.2">
      <c r="A999" s="885"/>
      <c r="B999" s="885"/>
      <c r="C999" s="885"/>
      <c r="D999" s="885"/>
      <c r="E999" s="885"/>
      <c r="F999" s="885"/>
      <c r="G999" s="885"/>
      <c r="H999" s="885"/>
      <c r="I999" s="885"/>
      <c r="J999" s="885"/>
      <c r="K999" s="885"/>
      <c r="L999" s="885"/>
      <c r="M999" s="885"/>
      <c r="N999" s="885"/>
      <c r="O999" s="885"/>
      <c r="P999" s="885"/>
      <c r="Q999" s="885"/>
      <c r="R999" s="885"/>
      <c r="S999" s="885"/>
      <c r="T999" s="885"/>
      <c r="U999" s="885"/>
      <c r="V999" s="885"/>
      <c r="W999" s="885"/>
      <c r="X999" s="885"/>
      <c r="Y999" s="885"/>
      <c r="Z999" s="885"/>
    </row>
    <row r="1000" spans="1:26" ht="16.5" customHeight="1" x14ac:dyDescent="0.2">
      <c r="A1000" s="885"/>
      <c r="B1000" s="885"/>
      <c r="C1000" s="885"/>
      <c r="D1000" s="885"/>
      <c r="E1000" s="885"/>
      <c r="F1000" s="885"/>
      <c r="G1000" s="885"/>
      <c r="H1000" s="885"/>
      <c r="I1000" s="885"/>
      <c r="J1000" s="885"/>
      <c r="K1000" s="885"/>
      <c r="L1000" s="885"/>
      <c r="M1000" s="885"/>
      <c r="N1000" s="885"/>
      <c r="O1000" s="885"/>
      <c r="P1000" s="885"/>
      <c r="Q1000" s="885"/>
      <c r="R1000" s="885"/>
      <c r="S1000" s="885"/>
      <c r="T1000" s="885"/>
      <c r="U1000" s="885"/>
      <c r="V1000" s="885"/>
      <c r="W1000" s="885"/>
      <c r="X1000" s="885"/>
      <c r="Y1000" s="885"/>
      <c r="Z1000" s="885"/>
    </row>
    <row r="1001" spans="1:26" ht="16.5" customHeight="1" x14ac:dyDescent="0.2">
      <c r="A1001" s="885"/>
      <c r="B1001" s="885"/>
      <c r="C1001" s="885"/>
      <c r="D1001" s="885"/>
      <c r="E1001" s="885"/>
      <c r="F1001" s="885"/>
      <c r="G1001" s="885"/>
      <c r="H1001" s="885"/>
      <c r="I1001" s="885"/>
      <c r="J1001" s="885"/>
      <c r="K1001" s="885"/>
      <c r="L1001" s="885"/>
      <c r="M1001" s="885"/>
      <c r="N1001" s="885"/>
      <c r="O1001" s="885"/>
      <c r="P1001" s="885"/>
      <c r="Q1001" s="885"/>
      <c r="R1001" s="885"/>
      <c r="S1001" s="885"/>
      <c r="T1001" s="885"/>
      <c r="U1001" s="885"/>
      <c r="V1001" s="885"/>
      <c r="W1001" s="885"/>
      <c r="X1001" s="885"/>
      <c r="Y1001" s="885"/>
      <c r="Z1001" s="885"/>
    </row>
    <row r="1002" spans="1:26" ht="16.5" customHeight="1" x14ac:dyDescent="0.2">
      <c r="A1002" s="885"/>
      <c r="B1002" s="885"/>
      <c r="C1002" s="885"/>
      <c r="D1002" s="885"/>
      <c r="E1002" s="885"/>
      <c r="F1002" s="885"/>
      <c r="G1002" s="885"/>
      <c r="H1002" s="885"/>
      <c r="I1002" s="885"/>
      <c r="J1002" s="885"/>
      <c r="K1002" s="885"/>
      <c r="L1002" s="885"/>
      <c r="M1002" s="885"/>
      <c r="N1002" s="885"/>
      <c r="O1002" s="885"/>
      <c r="P1002" s="885"/>
      <c r="Q1002" s="885"/>
      <c r="R1002" s="885"/>
      <c r="S1002" s="885"/>
      <c r="T1002" s="885"/>
      <c r="U1002" s="885"/>
      <c r="V1002" s="885"/>
      <c r="W1002" s="885"/>
      <c r="X1002" s="885"/>
      <c r="Y1002" s="885"/>
      <c r="Z1002" s="885"/>
    </row>
    <row r="1003" spans="1:26" ht="16.5" customHeight="1" x14ac:dyDescent="0.2">
      <c r="A1003" s="885"/>
      <c r="B1003" s="885"/>
      <c r="C1003" s="885"/>
      <c r="D1003" s="885"/>
      <c r="E1003" s="885"/>
      <c r="F1003" s="885"/>
      <c r="G1003" s="885"/>
      <c r="H1003" s="885"/>
      <c r="I1003" s="885"/>
      <c r="J1003" s="885"/>
      <c r="K1003" s="885"/>
      <c r="L1003" s="885"/>
      <c r="M1003" s="885"/>
      <c r="N1003" s="885"/>
      <c r="O1003" s="885"/>
      <c r="P1003" s="885"/>
      <c r="Q1003" s="885"/>
      <c r="R1003" s="885"/>
      <c r="S1003" s="885"/>
      <c r="T1003" s="885"/>
      <c r="U1003" s="885"/>
      <c r="V1003" s="885"/>
      <c r="W1003" s="885"/>
      <c r="X1003" s="885"/>
      <c r="Y1003" s="885"/>
      <c r="Z1003" s="885"/>
    </row>
    <row r="1004" spans="1:26" ht="16.5" customHeight="1" x14ac:dyDescent="0.2">
      <c r="A1004" s="885"/>
      <c r="B1004" s="885"/>
      <c r="C1004" s="885"/>
      <c r="D1004" s="885"/>
      <c r="E1004" s="885"/>
      <c r="F1004" s="885"/>
      <c r="G1004" s="885"/>
      <c r="H1004" s="885"/>
      <c r="I1004" s="885"/>
      <c r="J1004" s="885"/>
      <c r="K1004" s="885"/>
      <c r="L1004" s="885"/>
      <c r="M1004" s="885"/>
      <c r="N1004" s="885"/>
      <c r="O1004" s="885"/>
      <c r="P1004" s="885"/>
      <c r="Q1004" s="885"/>
      <c r="R1004" s="885"/>
      <c r="S1004" s="885"/>
      <c r="T1004" s="885"/>
      <c r="U1004" s="885"/>
      <c r="V1004" s="885"/>
      <c r="W1004" s="885"/>
      <c r="X1004" s="885"/>
      <c r="Y1004" s="885"/>
      <c r="Z1004" s="885"/>
    </row>
    <row r="1005" spans="1:26" ht="16.5" customHeight="1" x14ac:dyDescent="0.2">
      <c r="A1005" s="885"/>
      <c r="B1005" s="885"/>
      <c r="C1005" s="885"/>
      <c r="D1005" s="885"/>
      <c r="E1005" s="885"/>
      <c r="F1005" s="885"/>
      <c r="G1005" s="885"/>
      <c r="H1005" s="885"/>
      <c r="I1005" s="885"/>
      <c r="J1005" s="885"/>
      <c r="K1005" s="885"/>
      <c r="L1005" s="885"/>
      <c r="M1005" s="885"/>
      <c r="N1005" s="885"/>
      <c r="O1005" s="885"/>
      <c r="P1005" s="885"/>
      <c r="Q1005" s="885"/>
      <c r="R1005" s="885"/>
      <c r="S1005" s="885"/>
      <c r="T1005" s="885"/>
      <c r="U1005" s="885"/>
      <c r="V1005" s="885"/>
      <c r="W1005" s="885"/>
      <c r="X1005" s="885"/>
      <c r="Y1005" s="885"/>
      <c r="Z1005" s="885"/>
    </row>
    <row r="1006" spans="1:26" ht="16.5" customHeight="1" x14ac:dyDescent="0.2">
      <c r="A1006" s="885"/>
      <c r="B1006" s="885"/>
      <c r="C1006" s="885"/>
      <c r="D1006" s="885"/>
      <c r="E1006" s="885"/>
      <c r="F1006" s="885"/>
      <c r="G1006" s="885"/>
      <c r="H1006" s="885"/>
      <c r="I1006" s="885"/>
      <c r="J1006" s="885"/>
      <c r="K1006" s="885"/>
      <c r="L1006" s="885"/>
      <c r="M1006" s="885"/>
      <c r="N1006" s="885"/>
      <c r="O1006" s="885"/>
      <c r="P1006" s="885"/>
      <c r="Q1006" s="885"/>
      <c r="R1006" s="885"/>
      <c r="S1006" s="885"/>
      <c r="T1006" s="885"/>
      <c r="U1006" s="885"/>
      <c r="V1006" s="885"/>
      <c r="W1006" s="885"/>
      <c r="X1006" s="885"/>
      <c r="Y1006" s="885"/>
      <c r="Z1006" s="885"/>
    </row>
    <row r="1007" spans="1:26" ht="16.5" customHeight="1" x14ac:dyDescent="0.2">
      <c r="A1007" s="885"/>
      <c r="B1007" s="885"/>
      <c r="C1007" s="885"/>
      <c r="D1007" s="885"/>
      <c r="E1007" s="885"/>
      <c r="F1007" s="885"/>
      <c r="G1007" s="885"/>
      <c r="H1007" s="885"/>
      <c r="I1007" s="885"/>
      <c r="J1007" s="885"/>
      <c r="K1007" s="885"/>
      <c r="L1007" s="885"/>
      <c r="M1007" s="885"/>
      <c r="N1007" s="885"/>
      <c r="O1007" s="885"/>
      <c r="P1007" s="885"/>
      <c r="Q1007" s="885"/>
      <c r="R1007" s="885"/>
      <c r="S1007" s="885"/>
      <c r="T1007" s="885"/>
      <c r="U1007" s="885"/>
      <c r="V1007" s="885"/>
      <c r="W1007" s="885"/>
      <c r="X1007" s="885"/>
      <c r="Y1007" s="885"/>
      <c r="Z1007" s="885"/>
    </row>
    <row r="1008" spans="1:26" ht="16.5" customHeight="1" x14ac:dyDescent="0.2">
      <c r="A1008" s="885"/>
      <c r="B1008" s="885"/>
      <c r="C1008" s="885"/>
      <c r="D1008" s="885"/>
      <c r="E1008" s="885"/>
      <c r="F1008" s="885"/>
      <c r="G1008" s="885"/>
      <c r="H1008" s="885"/>
      <c r="I1008" s="885"/>
      <c r="J1008" s="885"/>
      <c r="K1008" s="885"/>
      <c r="L1008" s="885"/>
      <c r="M1008" s="885"/>
      <c r="N1008" s="885"/>
      <c r="O1008" s="885"/>
      <c r="P1008" s="885"/>
      <c r="Q1008" s="885"/>
      <c r="R1008" s="885"/>
      <c r="S1008" s="885"/>
      <c r="T1008" s="885"/>
      <c r="U1008" s="885"/>
      <c r="V1008" s="885"/>
      <c r="W1008" s="885"/>
      <c r="X1008" s="885"/>
      <c r="Y1008" s="885"/>
      <c r="Z1008" s="885"/>
    </row>
    <row r="1009" spans="1:26" ht="16.5" customHeight="1" x14ac:dyDescent="0.2">
      <c r="A1009" s="885"/>
      <c r="B1009" s="885"/>
      <c r="C1009" s="885"/>
      <c r="D1009" s="885"/>
      <c r="E1009" s="885"/>
      <c r="F1009" s="885"/>
      <c r="G1009" s="885"/>
      <c r="H1009" s="885"/>
      <c r="I1009" s="885"/>
      <c r="J1009" s="885"/>
      <c r="K1009" s="885"/>
      <c r="L1009" s="885"/>
      <c r="M1009" s="885"/>
      <c r="N1009" s="885"/>
      <c r="O1009" s="885"/>
      <c r="P1009" s="885"/>
      <c r="Q1009" s="885"/>
      <c r="R1009" s="885"/>
      <c r="S1009" s="885"/>
      <c r="T1009" s="885"/>
      <c r="U1009" s="885"/>
      <c r="V1009" s="885"/>
      <c r="W1009" s="885"/>
      <c r="X1009" s="885"/>
      <c r="Y1009" s="885"/>
      <c r="Z1009" s="885"/>
    </row>
    <row r="1010" spans="1:26" ht="16.5" customHeight="1" x14ac:dyDescent="0.2">
      <c r="A1010" s="885"/>
      <c r="B1010" s="885"/>
      <c r="C1010" s="885"/>
      <c r="D1010" s="885"/>
      <c r="E1010" s="885"/>
      <c r="F1010" s="885"/>
      <c r="G1010" s="885"/>
      <c r="H1010" s="885"/>
      <c r="I1010" s="885"/>
      <c r="J1010" s="885"/>
      <c r="K1010" s="885"/>
      <c r="L1010" s="885"/>
      <c r="M1010" s="885"/>
      <c r="N1010" s="885"/>
      <c r="O1010" s="885"/>
      <c r="P1010" s="885"/>
      <c r="Q1010" s="885"/>
      <c r="R1010" s="885"/>
      <c r="S1010" s="885"/>
      <c r="T1010" s="885"/>
      <c r="U1010" s="885"/>
      <c r="V1010" s="885"/>
      <c r="W1010" s="885"/>
      <c r="X1010" s="885"/>
      <c r="Y1010" s="885"/>
      <c r="Z1010" s="885"/>
    </row>
    <row r="1011" spans="1:26" ht="16.5" customHeight="1" x14ac:dyDescent="0.2">
      <c r="A1011" s="885"/>
      <c r="B1011" s="885"/>
      <c r="C1011" s="885"/>
      <c r="D1011" s="885"/>
      <c r="E1011" s="885"/>
      <c r="F1011" s="885"/>
      <c r="G1011" s="885"/>
      <c r="H1011" s="885"/>
      <c r="I1011" s="885"/>
      <c r="J1011" s="885"/>
      <c r="K1011" s="885"/>
      <c r="L1011" s="885"/>
      <c r="M1011" s="885"/>
      <c r="N1011" s="885"/>
      <c r="O1011" s="885"/>
      <c r="P1011" s="885"/>
      <c r="Q1011" s="885"/>
      <c r="R1011" s="885"/>
      <c r="S1011" s="885"/>
      <c r="T1011" s="885"/>
      <c r="U1011" s="885"/>
      <c r="V1011" s="885"/>
      <c r="W1011" s="885"/>
      <c r="X1011" s="885"/>
      <c r="Y1011" s="885"/>
      <c r="Z1011" s="885"/>
    </row>
    <row r="1012" spans="1:26" ht="16.5" customHeight="1" x14ac:dyDescent="0.2">
      <c r="A1012" s="885"/>
      <c r="B1012" s="885"/>
      <c r="C1012" s="885"/>
      <c r="D1012" s="885"/>
      <c r="E1012" s="885"/>
      <c r="F1012" s="885"/>
      <c r="G1012" s="885"/>
      <c r="H1012" s="885"/>
      <c r="I1012" s="885"/>
      <c r="J1012" s="885"/>
      <c r="K1012" s="885"/>
      <c r="L1012" s="885"/>
      <c r="M1012" s="885"/>
      <c r="N1012" s="885"/>
      <c r="O1012" s="885"/>
      <c r="P1012" s="885"/>
      <c r="Q1012" s="885"/>
      <c r="R1012" s="885"/>
      <c r="S1012" s="885"/>
      <c r="T1012" s="885"/>
      <c r="U1012" s="885"/>
      <c r="V1012" s="885"/>
      <c r="W1012" s="885"/>
      <c r="X1012" s="885"/>
      <c r="Y1012" s="885"/>
      <c r="Z1012" s="885"/>
    </row>
    <row r="1013" spans="1:26" ht="16.5" customHeight="1" x14ac:dyDescent="0.2">
      <c r="A1013" s="885"/>
      <c r="B1013" s="885"/>
      <c r="C1013" s="885"/>
      <c r="D1013" s="885"/>
      <c r="E1013" s="885"/>
      <c r="F1013" s="885"/>
      <c r="G1013" s="885"/>
      <c r="H1013" s="885"/>
      <c r="I1013" s="885"/>
      <c r="J1013" s="885"/>
      <c r="K1013" s="885"/>
      <c r="L1013" s="885"/>
      <c r="M1013" s="885"/>
      <c r="N1013" s="885"/>
      <c r="O1013" s="885"/>
      <c r="P1013" s="885"/>
      <c r="Q1013" s="885"/>
      <c r="R1013" s="885"/>
      <c r="S1013" s="885"/>
      <c r="T1013" s="885"/>
      <c r="U1013" s="885"/>
      <c r="V1013" s="885"/>
      <c r="W1013" s="885"/>
      <c r="X1013" s="885"/>
      <c r="Y1013" s="885"/>
      <c r="Z1013" s="885"/>
    </row>
    <row r="1014" spans="1:26" ht="16.5" customHeight="1" x14ac:dyDescent="0.2">
      <c r="A1014" s="885"/>
      <c r="B1014" s="885"/>
      <c r="C1014" s="885"/>
      <c r="D1014" s="885"/>
      <c r="E1014" s="885"/>
      <c r="F1014" s="885"/>
      <c r="G1014" s="885"/>
      <c r="H1014" s="885"/>
      <c r="I1014" s="885"/>
      <c r="J1014" s="885"/>
      <c r="K1014" s="885"/>
      <c r="L1014" s="885"/>
      <c r="M1014" s="885"/>
      <c r="N1014" s="885"/>
      <c r="O1014" s="885"/>
      <c r="P1014" s="885"/>
      <c r="Q1014" s="885"/>
      <c r="R1014" s="885"/>
      <c r="S1014" s="885"/>
      <c r="T1014" s="885"/>
      <c r="U1014" s="885"/>
      <c r="V1014" s="885"/>
      <c r="W1014" s="885"/>
      <c r="X1014" s="885"/>
      <c r="Y1014" s="885"/>
      <c r="Z1014" s="885"/>
    </row>
    <row r="1015" spans="1:26" ht="16.5" customHeight="1" x14ac:dyDescent="0.2">
      <c r="A1015" s="885"/>
      <c r="B1015" s="885"/>
      <c r="C1015" s="885"/>
      <c r="D1015" s="885"/>
      <c r="E1015" s="885"/>
      <c r="F1015" s="885"/>
      <c r="G1015" s="885"/>
      <c r="H1015" s="885"/>
      <c r="I1015" s="885"/>
      <c r="J1015" s="885"/>
      <c r="K1015" s="885"/>
      <c r="L1015" s="885"/>
      <c r="M1015" s="885"/>
      <c r="N1015" s="885"/>
      <c r="O1015" s="885"/>
      <c r="P1015" s="885"/>
      <c r="Q1015" s="885"/>
      <c r="R1015" s="885"/>
      <c r="S1015" s="885"/>
      <c r="T1015" s="885"/>
      <c r="U1015" s="885"/>
      <c r="V1015" s="885"/>
      <c r="W1015" s="885"/>
      <c r="X1015" s="885"/>
      <c r="Y1015" s="885"/>
      <c r="Z1015" s="885"/>
    </row>
    <row r="1016" spans="1:26" ht="16.5" customHeight="1" x14ac:dyDescent="0.2">
      <c r="A1016" s="885"/>
      <c r="B1016" s="885"/>
      <c r="C1016" s="885"/>
      <c r="D1016" s="885"/>
      <c r="E1016" s="885"/>
      <c r="F1016" s="885"/>
      <c r="G1016" s="885"/>
      <c r="H1016" s="885"/>
      <c r="I1016" s="885"/>
      <c r="J1016" s="885"/>
      <c r="K1016" s="885"/>
      <c r="L1016" s="885"/>
      <c r="M1016" s="885"/>
      <c r="N1016" s="885"/>
      <c r="O1016" s="885"/>
      <c r="P1016" s="885"/>
      <c r="Q1016" s="885"/>
      <c r="R1016" s="885"/>
      <c r="S1016" s="885"/>
      <c r="T1016" s="885"/>
      <c r="U1016" s="885"/>
      <c r="V1016" s="885"/>
      <c r="W1016" s="885"/>
      <c r="X1016" s="885"/>
      <c r="Y1016" s="885"/>
      <c r="Z1016" s="885"/>
    </row>
    <row r="1017" spans="1:26" ht="16.5" customHeight="1" x14ac:dyDescent="0.2">
      <c r="A1017" s="885"/>
      <c r="B1017" s="885"/>
      <c r="C1017" s="885"/>
      <c r="D1017" s="885"/>
      <c r="E1017" s="885"/>
      <c r="F1017" s="885"/>
      <c r="G1017" s="885"/>
      <c r="H1017" s="885"/>
      <c r="I1017" s="885"/>
      <c r="J1017" s="885"/>
      <c r="K1017" s="885"/>
      <c r="L1017" s="885"/>
      <c r="M1017" s="885"/>
      <c r="N1017" s="885"/>
      <c r="O1017" s="885"/>
      <c r="P1017" s="885"/>
      <c r="Q1017" s="885"/>
      <c r="R1017" s="885"/>
      <c r="S1017" s="885"/>
      <c r="T1017" s="885"/>
      <c r="U1017" s="885"/>
      <c r="V1017" s="885"/>
      <c r="W1017" s="885"/>
      <c r="X1017" s="885"/>
      <c r="Y1017" s="885"/>
      <c r="Z1017" s="885"/>
    </row>
    <row r="1018" spans="1:26" ht="16.5" customHeight="1" x14ac:dyDescent="0.2">
      <c r="A1018" s="885"/>
      <c r="B1018" s="885"/>
      <c r="C1018" s="885"/>
      <c r="D1018" s="885"/>
      <c r="E1018" s="885"/>
      <c r="F1018" s="885"/>
      <c r="G1018" s="885"/>
      <c r="H1018" s="885"/>
      <c r="I1018" s="885"/>
      <c r="J1018" s="885"/>
      <c r="K1018" s="885"/>
      <c r="L1018" s="885"/>
      <c r="M1018" s="885"/>
      <c r="N1018" s="885"/>
      <c r="O1018" s="885"/>
      <c r="P1018" s="885"/>
      <c r="Q1018" s="885"/>
      <c r="R1018" s="885"/>
      <c r="S1018" s="885"/>
      <c r="T1018" s="885"/>
      <c r="U1018" s="885"/>
      <c r="V1018" s="885"/>
      <c r="W1018" s="885"/>
      <c r="X1018" s="885"/>
      <c r="Y1018" s="885"/>
      <c r="Z1018" s="885"/>
    </row>
  </sheetData>
  <mergeCells count="2">
    <mergeCell ref="I37:N37"/>
    <mergeCell ref="I47:N47"/>
  </mergeCells>
  <printOptions gridLines="1"/>
  <pageMargins left="0.34" right="0.16" top="0.21" bottom="0.25" header="0" footer="0"/>
  <pageSetup orientation="landscape"/>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G1000"/>
  <sheetViews>
    <sheetView showGridLines="0" workbookViewId="0"/>
  </sheetViews>
  <sheetFormatPr defaultColWidth="16.83203125" defaultRowHeight="15" customHeight="1" x14ac:dyDescent="0.2"/>
  <cols>
    <col min="1" max="1" width="5.83203125" style="869" customWidth="1"/>
    <col min="2" max="2" width="15" style="869" customWidth="1"/>
    <col min="3" max="3" width="15.6640625" style="869" customWidth="1"/>
    <col min="4" max="4" width="8.33203125" style="869" customWidth="1"/>
    <col min="5" max="5" width="32.6640625" style="869" customWidth="1"/>
    <col min="6" max="6" width="28.83203125" style="869" customWidth="1"/>
    <col min="7" max="7" width="11.5" style="869" customWidth="1"/>
    <col min="8" max="25" width="8.83203125" style="869" customWidth="1"/>
    <col min="26" max="16384" width="16.83203125" style="869"/>
  </cols>
  <sheetData>
    <row r="1" spans="2:7" ht="27" customHeight="1" x14ac:dyDescent="0.5">
      <c r="B1" s="1021" t="s">
        <v>1027</v>
      </c>
      <c r="F1" s="871"/>
      <c r="G1" s="872"/>
    </row>
    <row r="2" spans="2:7" ht="78.75" customHeight="1" x14ac:dyDescent="0.2"/>
    <row r="3" spans="2:7" ht="11.25" customHeight="1" x14ac:dyDescent="0.2"/>
    <row r="4" spans="2:7" ht="11.25" customHeight="1" x14ac:dyDescent="0.2"/>
    <row r="5" spans="2:7" ht="11.25" customHeight="1" x14ac:dyDescent="0.2"/>
    <row r="6" spans="2:7" ht="14.25" x14ac:dyDescent="0.25">
      <c r="C6" s="1384"/>
      <c r="D6" s="1385"/>
      <c r="E6" s="1386" t="s">
        <v>1884</v>
      </c>
      <c r="F6" s="1387" t="s">
        <v>1885</v>
      </c>
    </row>
    <row r="7" spans="2:7" ht="11.25" x14ac:dyDescent="0.2">
      <c r="C7" s="1388"/>
      <c r="D7" s="1389"/>
      <c r="E7" s="1389"/>
      <c r="F7" s="1390"/>
    </row>
    <row r="8" spans="2:7" ht="14.25" x14ac:dyDescent="0.25">
      <c r="C8" s="1384"/>
      <c r="D8" s="1385" t="s">
        <v>1886</v>
      </c>
      <c r="E8" s="1391">
        <v>0</v>
      </c>
      <c r="F8" s="1392">
        <v>0</v>
      </c>
    </row>
    <row r="9" spans="2:7" ht="14.25" x14ac:dyDescent="0.25">
      <c r="C9" s="1393" t="s">
        <v>1028</v>
      </c>
      <c r="D9" s="1394" t="s">
        <v>1887</v>
      </c>
      <c r="E9" s="1395">
        <v>0</v>
      </c>
      <c r="F9" s="1396">
        <f t="shared" ref="F9:F10" si="0">E9*1.1023</f>
        <v>0</v>
      </c>
    </row>
    <row r="10" spans="2:7" ht="14.25" x14ac:dyDescent="0.25">
      <c r="C10" s="1397"/>
      <c r="D10" s="1398" t="s">
        <v>1888</v>
      </c>
      <c r="E10" s="1399">
        <v>0</v>
      </c>
      <c r="F10" s="1400">
        <f t="shared" si="0"/>
        <v>0</v>
      </c>
    </row>
    <row r="11" spans="2:7" ht="14.25" x14ac:dyDescent="0.25">
      <c r="C11" s="1401"/>
      <c r="D11" s="1385" t="s">
        <v>1886</v>
      </c>
      <c r="E11" s="1402"/>
      <c r="F11" s="1403">
        <v>0</v>
      </c>
    </row>
    <row r="12" spans="2:7" ht="14.25" x14ac:dyDescent="0.25">
      <c r="C12" s="1404" t="s">
        <v>1029</v>
      </c>
      <c r="D12" s="1394" t="s">
        <v>1887</v>
      </c>
      <c r="E12" s="1405"/>
      <c r="F12" s="1406">
        <v>0</v>
      </c>
    </row>
    <row r="13" spans="2:7" ht="14.25" x14ac:dyDescent="0.25">
      <c r="C13" s="1401"/>
      <c r="D13" s="1398" t="s">
        <v>1888</v>
      </c>
      <c r="E13" s="1407"/>
      <c r="F13" s="1408">
        <v>0</v>
      </c>
    </row>
    <row r="14" spans="2:7" ht="14.25" x14ac:dyDescent="0.25">
      <c r="C14" s="1409" t="s">
        <v>1032</v>
      </c>
      <c r="D14" s="1410" t="s">
        <v>1886</v>
      </c>
      <c r="E14" s="1411">
        <v>0</v>
      </c>
      <c r="F14" s="1412">
        <f>E14*1.1023</f>
        <v>0</v>
      </c>
    </row>
    <row r="15" spans="2:7" ht="12.75" x14ac:dyDescent="0.2">
      <c r="C15" s="1401"/>
      <c r="D15" s="1413"/>
      <c r="E15" s="1407"/>
      <c r="F15" s="1414"/>
    </row>
    <row r="16" spans="2:7" ht="14.25" x14ac:dyDescent="0.25">
      <c r="C16" s="1409" t="s">
        <v>1033</v>
      </c>
      <c r="D16" s="1410" t="s">
        <v>1886</v>
      </c>
      <c r="E16" s="1411">
        <v>0</v>
      </c>
      <c r="F16" s="1415">
        <f>E16*1.1023</f>
        <v>0</v>
      </c>
    </row>
    <row r="17" spans="3:6" ht="12.75" x14ac:dyDescent="0.2">
      <c r="C17" s="1401"/>
      <c r="D17" s="1413"/>
      <c r="E17" s="1407"/>
      <c r="F17" s="1414"/>
    </row>
    <row r="18" spans="3:6" ht="14.25" x14ac:dyDescent="0.25">
      <c r="C18" s="1416"/>
      <c r="D18" s="1417" t="s">
        <v>1886</v>
      </c>
      <c r="E18" s="1418">
        <v>0</v>
      </c>
      <c r="F18" s="1419">
        <f>F8+F14+F16+F11</f>
        <v>0</v>
      </c>
    </row>
    <row r="19" spans="3:6" ht="14.25" x14ac:dyDescent="0.25">
      <c r="C19" s="1420" t="s">
        <v>102</v>
      </c>
      <c r="D19" s="1421" t="s">
        <v>1887</v>
      </c>
      <c r="E19" s="1422">
        <f t="shared" ref="E19:E20" si="1">E9</f>
        <v>0</v>
      </c>
      <c r="F19" s="1423">
        <f t="shared" ref="F19:F20" si="2">F9+F12</f>
        <v>0</v>
      </c>
    </row>
    <row r="20" spans="3:6" ht="14.25" x14ac:dyDescent="0.25">
      <c r="C20" s="1424"/>
      <c r="D20" s="1425" t="s">
        <v>1888</v>
      </c>
      <c r="E20" s="1426">
        <f t="shared" si="1"/>
        <v>0</v>
      </c>
      <c r="F20" s="1427">
        <f t="shared" si="2"/>
        <v>0</v>
      </c>
    </row>
    <row r="21" spans="3:6" ht="11.25" x14ac:dyDescent="0.2">
      <c r="C21" s="1428"/>
      <c r="D21" s="1429"/>
      <c r="E21" s="1430"/>
      <c r="F21" s="1431"/>
    </row>
    <row r="22" spans="3:6" ht="11.25" customHeight="1" x14ac:dyDescent="0.2"/>
    <row r="23" spans="3:6" ht="11.25" customHeight="1" x14ac:dyDescent="0.2"/>
    <row r="24" spans="3:6" ht="11.25" customHeight="1" x14ac:dyDescent="0.2"/>
    <row r="25" spans="3:6" ht="11.25" customHeight="1" x14ac:dyDescent="0.2"/>
    <row r="26" spans="3:6" ht="11.25" customHeight="1" x14ac:dyDescent="0.2"/>
    <row r="27" spans="3:6" ht="11.25" customHeight="1" x14ac:dyDescent="0.2"/>
    <row r="28" spans="3:6" ht="11.25" customHeight="1" x14ac:dyDescent="0.2"/>
    <row r="29" spans="3:6" ht="11.25" customHeight="1" x14ac:dyDescent="0.2"/>
    <row r="30" spans="3:6" ht="11.25" customHeight="1" x14ac:dyDescent="0.2"/>
    <row r="31" spans="3:6" ht="11.25" customHeight="1" x14ac:dyDescent="0.2"/>
    <row r="32" spans="3:6" ht="11.25" customHeight="1" x14ac:dyDescent="0.2"/>
    <row r="33" s="869" customFormat="1" ht="11.25" customHeight="1" x14ac:dyDescent="0.2"/>
    <row r="34" s="869" customFormat="1" ht="11.25" customHeight="1" x14ac:dyDescent="0.2"/>
    <row r="35" s="869" customFormat="1" ht="11.25" customHeight="1" x14ac:dyDescent="0.2"/>
    <row r="36" s="869" customFormat="1" ht="11.25" customHeight="1" x14ac:dyDescent="0.2"/>
    <row r="37" s="869" customFormat="1" ht="11.25" customHeight="1" x14ac:dyDescent="0.2"/>
    <row r="38" s="869" customFormat="1" ht="11.25" customHeight="1" x14ac:dyDescent="0.2"/>
    <row r="39" s="869" customFormat="1" ht="11.25" customHeight="1" x14ac:dyDescent="0.2"/>
    <row r="40" s="869" customFormat="1" ht="11.25" customHeight="1" x14ac:dyDescent="0.2"/>
    <row r="41" s="869" customFormat="1" ht="11.25" customHeight="1" x14ac:dyDescent="0.2"/>
    <row r="42" s="869" customFormat="1" ht="11.25" customHeight="1" x14ac:dyDescent="0.2"/>
    <row r="43" s="869" customFormat="1" ht="11.25" customHeight="1" x14ac:dyDescent="0.2"/>
    <row r="44" s="869" customFormat="1" ht="11.25" customHeight="1" x14ac:dyDescent="0.2"/>
    <row r="45" s="869" customFormat="1" ht="11.25" customHeight="1" x14ac:dyDescent="0.2"/>
    <row r="46" s="869" customFormat="1" ht="11.25" customHeight="1" x14ac:dyDescent="0.2"/>
    <row r="47" s="869" customFormat="1" ht="11.25" customHeight="1" x14ac:dyDescent="0.2"/>
    <row r="48" s="869" customFormat="1" ht="11.25" customHeight="1" x14ac:dyDescent="0.2"/>
    <row r="49" s="869" customFormat="1" ht="11.25" customHeight="1" x14ac:dyDescent="0.2"/>
    <row r="50" s="869" customFormat="1" ht="11.25" customHeight="1" x14ac:dyDescent="0.2"/>
    <row r="51" s="869" customFormat="1" ht="11.25" customHeight="1" x14ac:dyDescent="0.2"/>
    <row r="52" s="869" customFormat="1" ht="11.25" customHeight="1" x14ac:dyDescent="0.2"/>
    <row r="53" s="869" customFormat="1" ht="11.25" customHeight="1" x14ac:dyDescent="0.2"/>
    <row r="54" s="869" customFormat="1" ht="11.25" customHeight="1" x14ac:dyDescent="0.2"/>
    <row r="55" s="869" customFormat="1" ht="11.25" customHeight="1" x14ac:dyDescent="0.2"/>
    <row r="56" s="869" customFormat="1" ht="11.25" customHeight="1" x14ac:dyDescent="0.2"/>
    <row r="57" s="869" customFormat="1" ht="11.25" customHeight="1" x14ac:dyDescent="0.2"/>
    <row r="58" s="869" customFormat="1" ht="11.25" customHeight="1" x14ac:dyDescent="0.2"/>
    <row r="59" s="869" customFormat="1" ht="11.25" customHeight="1" x14ac:dyDescent="0.2"/>
    <row r="60" s="869" customFormat="1" ht="11.25" customHeight="1" x14ac:dyDescent="0.2"/>
    <row r="61" s="869" customFormat="1" ht="11.25" customHeight="1" x14ac:dyDescent="0.2"/>
    <row r="62" s="869" customFormat="1" ht="11.25" customHeight="1" x14ac:dyDescent="0.2"/>
    <row r="63" s="869" customFormat="1" ht="11.25" customHeight="1" x14ac:dyDescent="0.2"/>
    <row r="64" s="869" customFormat="1" ht="11.25" customHeight="1" x14ac:dyDescent="0.2"/>
    <row r="65" s="869" customFormat="1" ht="11.25" customHeight="1" x14ac:dyDescent="0.2"/>
    <row r="66" s="869" customFormat="1" ht="11.25" customHeight="1" x14ac:dyDescent="0.2"/>
    <row r="67" s="869" customFormat="1" ht="11.25" customHeight="1" x14ac:dyDescent="0.2"/>
    <row r="68" s="869" customFormat="1" ht="11.25" customHeight="1" x14ac:dyDescent="0.2"/>
    <row r="69" s="869" customFormat="1" ht="11.25" customHeight="1" x14ac:dyDescent="0.2"/>
    <row r="70" s="869" customFormat="1" ht="11.25" customHeight="1" x14ac:dyDescent="0.2"/>
    <row r="71" s="869" customFormat="1" ht="11.25" customHeight="1" x14ac:dyDescent="0.2"/>
    <row r="72" s="869" customFormat="1" ht="11.25" customHeight="1" x14ac:dyDescent="0.2"/>
    <row r="73" s="869" customFormat="1" ht="11.25" customHeight="1" x14ac:dyDescent="0.2"/>
    <row r="74" s="869" customFormat="1" ht="11.25" customHeight="1" x14ac:dyDescent="0.2"/>
    <row r="75" s="869" customFormat="1" ht="11.25" customHeight="1" x14ac:dyDescent="0.2"/>
    <row r="76" s="869" customFormat="1" ht="11.25" customHeight="1" x14ac:dyDescent="0.2"/>
    <row r="77" s="869" customFormat="1" ht="11.25" customHeight="1" x14ac:dyDescent="0.2"/>
    <row r="78" s="869" customFormat="1" ht="11.25" customHeight="1" x14ac:dyDescent="0.2"/>
    <row r="79" s="869" customFormat="1" ht="11.25" customHeight="1" x14ac:dyDescent="0.2"/>
    <row r="80" s="869" customFormat="1" ht="11.25" customHeight="1" x14ac:dyDescent="0.2"/>
    <row r="81" s="869" customFormat="1" ht="11.25" customHeight="1" x14ac:dyDescent="0.2"/>
    <row r="82" s="869" customFormat="1" ht="11.25" customHeight="1" x14ac:dyDescent="0.2"/>
    <row r="83" s="869" customFormat="1" ht="11.25" customHeight="1" x14ac:dyDescent="0.2"/>
    <row r="84" s="869" customFormat="1" ht="11.25" customHeight="1" x14ac:dyDescent="0.2"/>
    <row r="85" s="869" customFormat="1" ht="11.25" customHeight="1" x14ac:dyDescent="0.2"/>
    <row r="86" s="869" customFormat="1" ht="11.25" customHeight="1" x14ac:dyDescent="0.2"/>
    <row r="87" s="869" customFormat="1" ht="11.25" customHeight="1" x14ac:dyDescent="0.2"/>
    <row r="88" s="869" customFormat="1" ht="11.25" customHeight="1" x14ac:dyDescent="0.2"/>
    <row r="89" s="869" customFormat="1" ht="11.25" customHeight="1" x14ac:dyDescent="0.2"/>
    <row r="90" s="869" customFormat="1" ht="11.25" customHeight="1" x14ac:dyDescent="0.2"/>
    <row r="91" s="869" customFormat="1" ht="11.25" customHeight="1" x14ac:dyDescent="0.2"/>
    <row r="92" s="869" customFormat="1" ht="11.25" customHeight="1" x14ac:dyDescent="0.2"/>
    <row r="93" s="869" customFormat="1" ht="11.25" customHeight="1" x14ac:dyDescent="0.2"/>
    <row r="94" s="869" customFormat="1" ht="11.25" customHeight="1" x14ac:dyDescent="0.2"/>
    <row r="95" s="869" customFormat="1" ht="11.25" customHeight="1" x14ac:dyDescent="0.2"/>
    <row r="96" s="869" customFormat="1" ht="11.25" customHeight="1" x14ac:dyDescent="0.2"/>
    <row r="97" s="869" customFormat="1" ht="11.25" customHeight="1" x14ac:dyDescent="0.2"/>
    <row r="98" s="869" customFormat="1" ht="11.25" customHeight="1" x14ac:dyDescent="0.2"/>
    <row r="99" s="869" customFormat="1" ht="11.25" customHeight="1" x14ac:dyDescent="0.2"/>
    <row r="100" s="869" customFormat="1" ht="11.25" customHeight="1" x14ac:dyDescent="0.2"/>
    <row r="101" s="869" customFormat="1" ht="11.25" customHeight="1" x14ac:dyDescent="0.2"/>
    <row r="102" s="869" customFormat="1" ht="11.25" customHeight="1" x14ac:dyDescent="0.2"/>
    <row r="103" s="869" customFormat="1" ht="11.25" customHeight="1" x14ac:dyDescent="0.2"/>
    <row r="104" s="869" customFormat="1" ht="11.25" customHeight="1" x14ac:dyDescent="0.2"/>
    <row r="105" s="869" customFormat="1" ht="11.25" customHeight="1" x14ac:dyDescent="0.2"/>
    <row r="106" s="869" customFormat="1" ht="11.25" customHeight="1" x14ac:dyDescent="0.2"/>
    <row r="107" s="869" customFormat="1" ht="11.25" customHeight="1" x14ac:dyDescent="0.2"/>
    <row r="108" s="869" customFormat="1" ht="11.25" customHeight="1" x14ac:dyDescent="0.2"/>
    <row r="109" s="869" customFormat="1" ht="11.25" customHeight="1" x14ac:dyDescent="0.2"/>
    <row r="110" s="869" customFormat="1" ht="11.25" customHeight="1" x14ac:dyDescent="0.2"/>
    <row r="111" s="869" customFormat="1" ht="11.25" customHeight="1" x14ac:dyDescent="0.2"/>
    <row r="112" s="869" customFormat="1" ht="11.25" customHeight="1" x14ac:dyDescent="0.2"/>
    <row r="113" s="869" customFormat="1" ht="11.25" customHeight="1" x14ac:dyDescent="0.2"/>
    <row r="114" s="869" customFormat="1" ht="11.25" customHeight="1" x14ac:dyDescent="0.2"/>
    <row r="115" s="869" customFormat="1" ht="11.25" customHeight="1" x14ac:dyDescent="0.2"/>
    <row r="116" s="869" customFormat="1" ht="11.25" customHeight="1" x14ac:dyDescent="0.2"/>
    <row r="117" s="869" customFormat="1" ht="11.25" customHeight="1" x14ac:dyDescent="0.2"/>
    <row r="118" s="869" customFormat="1" ht="11.25" customHeight="1" x14ac:dyDescent="0.2"/>
    <row r="119" s="869" customFormat="1" ht="11.25" customHeight="1" x14ac:dyDescent="0.2"/>
    <row r="120" s="869" customFormat="1" ht="11.25" customHeight="1" x14ac:dyDescent="0.2"/>
    <row r="121" s="869" customFormat="1" ht="11.25" customHeight="1" x14ac:dyDescent="0.2"/>
    <row r="122" s="869" customFormat="1" ht="11.25" customHeight="1" x14ac:dyDescent="0.2"/>
    <row r="123" s="869" customFormat="1" ht="11.25" customHeight="1" x14ac:dyDescent="0.2"/>
    <row r="124" s="869" customFormat="1" ht="11.25" customHeight="1" x14ac:dyDescent="0.2"/>
    <row r="125" s="869" customFormat="1" ht="11.25" customHeight="1" x14ac:dyDescent="0.2"/>
    <row r="126" s="869" customFormat="1" ht="11.25" customHeight="1" x14ac:dyDescent="0.2"/>
    <row r="127" s="869" customFormat="1" ht="11.25" customHeight="1" x14ac:dyDescent="0.2"/>
    <row r="128" s="869" customFormat="1" ht="11.25" customHeight="1" x14ac:dyDescent="0.2"/>
    <row r="129" s="869" customFormat="1" ht="11.25" customHeight="1" x14ac:dyDescent="0.2"/>
    <row r="130" s="869" customFormat="1" ht="11.25" customHeight="1" x14ac:dyDescent="0.2"/>
    <row r="131" s="869" customFormat="1" ht="11.25" customHeight="1" x14ac:dyDescent="0.2"/>
    <row r="132" s="869" customFormat="1" ht="11.25" customHeight="1" x14ac:dyDescent="0.2"/>
    <row r="133" s="869" customFormat="1" ht="11.25" customHeight="1" x14ac:dyDescent="0.2"/>
    <row r="134" s="869" customFormat="1" ht="11.25" customHeight="1" x14ac:dyDescent="0.2"/>
    <row r="135" s="869" customFormat="1" ht="11.25" customHeight="1" x14ac:dyDescent="0.2"/>
    <row r="136" s="869" customFormat="1" ht="11.25" customHeight="1" x14ac:dyDescent="0.2"/>
    <row r="137" s="869" customFormat="1" ht="11.25" customHeight="1" x14ac:dyDescent="0.2"/>
    <row r="138" s="869" customFormat="1" ht="11.25" customHeight="1" x14ac:dyDescent="0.2"/>
    <row r="139" s="869" customFormat="1" ht="11.25" customHeight="1" x14ac:dyDescent="0.2"/>
    <row r="140" s="869" customFormat="1" ht="11.25" customHeight="1" x14ac:dyDescent="0.2"/>
    <row r="141" s="869" customFormat="1" ht="11.25" customHeight="1" x14ac:dyDescent="0.2"/>
    <row r="142" s="869" customFormat="1" ht="11.25" customHeight="1" x14ac:dyDescent="0.2"/>
    <row r="143" s="869" customFormat="1" ht="11.25" customHeight="1" x14ac:dyDescent="0.2"/>
    <row r="144" s="869" customFormat="1" ht="11.25" customHeight="1" x14ac:dyDescent="0.2"/>
    <row r="145" s="869" customFormat="1" ht="11.25" customHeight="1" x14ac:dyDescent="0.2"/>
    <row r="146" s="869" customFormat="1" ht="11.25" customHeight="1" x14ac:dyDescent="0.2"/>
    <row r="147" s="869" customFormat="1" ht="11.25" customHeight="1" x14ac:dyDescent="0.2"/>
    <row r="148" s="869" customFormat="1" ht="11.25" customHeight="1" x14ac:dyDescent="0.2"/>
    <row r="149" s="869" customFormat="1" ht="11.25" customHeight="1" x14ac:dyDescent="0.2"/>
    <row r="150" s="869" customFormat="1" ht="11.25" customHeight="1" x14ac:dyDescent="0.2"/>
    <row r="151" s="869" customFormat="1" ht="11.25" customHeight="1" x14ac:dyDescent="0.2"/>
    <row r="152" s="869" customFormat="1" ht="11.25" customHeight="1" x14ac:dyDescent="0.2"/>
    <row r="153" s="869" customFormat="1" ht="11.25" customHeight="1" x14ac:dyDescent="0.2"/>
    <row r="154" s="869" customFormat="1" ht="11.25" customHeight="1" x14ac:dyDescent="0.2"/>
    <row r="155" s="869" customFormat="1" ht="11.25" customHeight="1" x14ac:dyDescent="0.2"/>
    <row r="156" s="869" customFormat="1" ht="11.25" customHeight="1" x14ac:dyDescent="0.2"/>
    <row r="157" s="869" customFormat="1" ht="11.25" customHeight="1" x14ac:dyDescent="0.2"/>
    <row r="158" s="869" customFormat="1" ht="11.25" customHeight="1" x14ac:dyDescent="0.2"/>
    <row r="159" s="869" customFormat="1" ht="11.25" customHeight="1" x14ac:dyDescent="0.2"/>
    <row r="160" s="869" customFormat="1" ht="11.25" customHeight="1" x14ac:dyDescent="0.2"/>
    <row r="161" s="869" customFormat="1" ht="11.25" customHeight="1" x14ac:dyDescent="0.2"/>
    <row r="162" s="869" customFormat="1" ht="11.25" customHeight="1" x14ac:dyDescent="0.2"/>
    <row r="163" s="869" customFormat="1" ht="11.25" customHeight="1" x14ac:dyDescent="0.2"/>
    <row r="164" s="869" customFormat="1" ht="11.25" customHeight="1" x14ac:dyDescent="0.2"/>
    <row r="165" s="869" customFormat="1" ht="11.25" customHeight="1" x14ac:dyDescent="0.2"/>
    <row r="166" s="869" customFormat="1" ht="11.25" customHeight="1" x14ac:dyDescent="0.2"/>
    <row r="167" s="869" customFormat="1" ht="11.25" customHeight="1" x14ac:dyDescent="0.2"/>
    <row r="168" s="869" customFormat="1" ht="11.25" customHeight="1" x14ac:dyDescent="0.2"/>
    <row r="169" s="869" customFormat="1" ht="11.25" customHeight="1" x14ac:dyDescent="0.2"/>
    <row r="170" s="869" customFormat="1" ht="11.25" customHeight="1" x14ac:dyDescent="0.2"/>
    <row r="171" s="869" customFormat="1" ht="11.25" customHeight="1" x14ac:dyDescent="0.2"/>
    <row r="172" s="869" customFormat="1" ht="11.25" customHeight="1" x14ac:dyDescent="0.2"/>
    <row r="173" s="869" customFormat="1" ht="11.25" customHeight="1" x14ac:dyDescent="0.2"/>
    <row r="174" s="869" customFormat="1" ht="11.25" customHeight="1" x14ac:dyDescent="0.2"/>
    <row r="175" s="869" customFormat="1" ht="11.25" customHeight="1" x14ac:dyDescent="0.2"/>
    <row r="176" s="869" customFormat="1" ht="11.25" customHeight="1" x14ac:dyDescent="0.2"/>
    <row r="177" s="869" customFormat="1" ht="11.25" customHeight="1" x14ac:dyDescent="0.2"/>
    <row r="178" s="869" customFormat="1" ht="11.25" customHeight="1" x14ac:dyDescent="0.2"/>
    <row r="179" s="869" customFormat="1" ht="11.25" customHeight="1" x14ac:dyDescent="0.2"/>
    <row r="180" s="869" customFormat="1" ht="11.25" customHeight="1" x14ac:dyDescent="0.2"/>
    <row r="181" s="869" customFormat="1" ht="11.25" customHeight="1" x14ac:dyDescent="0.2"/>
    <row r="182" s="869" customFormat="1" ht="11.25" customHeight="1" x14ac:dyDescent="0.2"/>
    <row r="183" s="869" customFormat="1" ht="11.25" customHeight="1" x14ac:dyDescent="0.2"/>
    <row r="184" s="869" customFormat="1" ht="11.25" customHeight="1" x14ac:dyDescent="0.2"/>
    <row r="185" s="869" customFormat="1" ht="11.25" customHeight="1" x14ac:dyDescent="0.2"/>
    <row r="186" s="869" customFormat="1" ht="11.25" customHeight="1" x14ac:dyDescent="0.2"/>
    <row r="187" s="869" customFormat="1" ht="11.25" customHeight="1" x14ac:dyDescent="0.2"/>
    <row r="188" s="869" customFormat="1" ht="11.25" customHeight="1" x14ac:dyDescent="0.2"/>
    <row r="189" s="869" customFormat="1" ht="11.25" customHeight="1" x14ac:dyDescent="0.2"/>
    <row r="190" s="869" customFormat="1" ht="11.25" customHeight="1" x14ac:dyDescent="0.2"/>
    <row r="191" s="869" customFormat="1" ht="11.25" customHeight="1" x14ac:dyDescent="0.2"/>
    <row r="192" s="869" customFormat="1" ht="11.25" customHeight="1" x14ac:dyDescent="0.2"/>
    <row r="193" s="869" customFormat="1" ht="11.25" customHeight="1" x14ac:dyDescent="0.2"/>
    <row r="194" s="869" customFormat="1" ht="11.25" customHeight="1" x14ac:dyDescent="0.2"/>
    <row r="195" s="869" customFormat="1" ht="11.25" customHeight="1" x14ac:dyDescent="0.2"/>
    <row r="196" s="869" customFormat="1" ht="11.25" customHeight="1" x14ac:dyDescent="0.2"/>
    <row r="197" s="869" customFormat="1" ht="11.25" customHeight="1" x14ac:dyDescent="0.2"/>
    <row r="198" s="869" customFormat="1" ht="11.25" customHeight="1" x14ac:dyDescent="0.2"/>
    <row r="199" s="869" customFormat="1" ht="11.25" customHeight="1" x14ac:dyDescent="0.2"/>
    <row r="200" s="869" customFormat="1" ht="11.25" customHeight="1" x14ac:dyDescent="0.2"/>
    <row r="201" s="869" customFormat="1" ht="11.25" customHeight="1" x14ac:dyDescent="0.2"/>
    <row r="202" s="869" customFormat="1" ht="11.25" customHeight="1" x14ac:dyDescent="0.2"/>
    <row r="203" s="869" customFormat="1" ht="11.25" customHeight="1" x14ac:dyDescent="0.2"/>
    <row r="204" s="869" customFormat="1" ht="11.25" customHeight="1" x14ac:dyDescent="0.2"/>
    <row r="205" s="869" customFormat="1" ht="11.25" customHeight="1" x14ac:dyDescent="0.2"/>
    <row r="206" s="869" customFormat="1" ht="11.25" customHeight="1" x14ac:dyDescent="0.2"/>
    <row r="207" s="869" customFormat="1" ht="11.25" customHeight="1" x14ac:dyDescent="0.2"/>
    <row r="208" s="869" customFormat="1" ht="11.25" customHeight="1" x14ac:dyDescent="0.2"/>
    <row r="209" s="869" customFormat="1" ht="11.25" customHeight="1" x14ac:dyDescent="0.2"/>
    <row r="210" s="869" customFormat="1" ht="11.25" customHeight="1" x14ac:dyDescent="0.2"/>
    <row r="211" s="869" customFormat="1" ht="11.25" customHeight="1" x14ac:dyDescent="0.2"/>
    <row r="212" s="869" customFormat="1" ht="11.25" customHeight="1" x14ac:dyDescent="0.2"/>
    <row r="213" s="869" customFormat="1" ht="11.25" customHeight="1" x14ac:dyDescent="0.2"/>
    <row r="214" s="869" customFormat="1" ht="11.25" customHeight="1" x14ac:dyDescent="0.2"/>
    <row r="215" s="869" customFormat="1" ht="11.25" customHeight="1" x14ac:dyDescent="0.2"/>
    <row r="216" s="869" customFormat="1" ht="11.25" customHeight="1" x14ac:dyDescent="0.2"/>
    <row r="217" s="869" customFormat="1" ht="11.25" customHeight="1" x14ac:dyDescent="0.2"/>
    <row r="218" s="869" customFormat="1" ht="11.25" customHeight="1" x14ac:dyDescent="0.2"/>
    <row r="219" s="869" customFormat="1" ht="11.25" customHeight="1" x14ac:dyDescent="0.2"/>
    <row r="220" s="869" customFormat="1" ht="11.25" customHeight="1" x14ac:dyDescent="0.2"/>
    <row r="221" s="869" customFormat="1" ht="11.25" customHeight="1" x14ac:dyDescent="0.2"/>
    <row r="222" s="869" customFormat="1" ht="11.25" customHeight="1" x14ac:dyDescent="0.2"/>
    <row r="223" s="869" customFormat="1" ht="11.25" customHeight="1" x14ac:dyDescent="0.2"/>
    <row r="224" s="869" customFormat="1" ht="11.25" customHeight="1" x14ac:dyDescent="0.2"/>
    <row r="225" s="869" customFormat="1" ht="11.25" customHeight="1" x14ac:dyDescent="0.2"/>
    <row r="226" s="869" customFormat="1" ht="11.25" customHeight="1" x14ac:dyDescent="0.2"/>
    <row r="227" s="869" customFormat="1" ht="11.25" customHeight="1" x14ac:dyDescent="0.2"/>
    <row r="228" s="869" customFormat="1" ht="11.25" customHeight="1" x14ac:dyDescent="0.2"/>
    <row r="229" s="869" customFormat="1" ht="11.25" customHeight="1" x14ac:dyDescent="0.2"/>
    <row r="230" s="869" customFormat="1" ht="11.25" customHeight="1" x14ac:dyDescent="0.2"/>
    <row r="231" s="869" customFormat="1" ht="11.25" customHeight="1" x14ac:dyDescent="0.2"/>
    <row r="232" s="869" customFormat="1" ht="11.25" customHeight="1" x14ac:dyDescent="0.2"/>
    <row r="233" s="869" customFormat="1" ht="11.25" customHeight="1" x14ac:dyDescent="0.2"/>
    <row r="234" s="869" customFormat="1" ht="11.25" customHeight="1" x14ac:dyDescent="0.2"/>
    <row r="235" s="869" customFormat="1" ht="11.25" customHeight="1" x14ac:dyDescent="0.2"/>
    <row r="236" s="869" customFormat="1" ht="11.25" customHeight="1" x14ac:dyDescent="0.2"/>
    <row r="237" s="869" customFormat="1" ht="11.25" customHeight="1" x14ac:dyDescent="0.2"/>
    <row r="238" s="869" customFormat="1" ht="11.25" customHeight="1" x14ac:dyDescent="0.2"/>
    <row r="239" s="869" customFormat="1" ht="11.25" customHeight="1" x14ac:dyDescent="0.2"/>
    <row r="240" s="869" customFormat="1" ht="11.25" customHeight="1" x14ac:dyDescent="0.2"/>
    <row r="241" s="869" customFormat="1" ht="11.25" customHeight="1" x14ac:dyDescent="0.2"/>
    <row r="242" s="869" customFormat="1" ht="11.25" customHeight="1" x14ac:dyDescent="0.2"/>
    <row r="243" s="869" customFormat="1" ht="11.25" customHeight="1" x14ac:dyDescent="0.2"/>
    <row r="244" s="869" customFormat="1" ht="11.25" customHeight="1" x14ac:dyDescent="0.2"/>
    <row r="245" s="869" customFormat="1" ht="11.25" customHeight="1" x14ac:dyDescent="0.2"/>
    <row r="246" s="869" customFormat="1" ht="11.25" customHeight="1" x14ac:dyDescent="0.2"/>
    <row r="247" s="869" customFormat="1" ht="11.25" customHeight="1" x14ac:dyDescent="0.2"/>
    <row r="248" s="869" customFormat="1" ht="11.25" customHeight="1" x14ac:dyDescent="0.2"/>
    <row r="249" s="869" customFormat="1" ht="11.25" customHeight="1" x14ac:dyDescent="0.2"/>
    <row r="250" s="869" customFormat="1" ht="11.25" customHeight="1" x14ac:dyDescent="0.2"/>
    <row r="251" s="869" customFormat="1" ht="11.25" customHeight="1" x14ac:dyDescent="0.2"/>
    <row r="252" s="869" customFormat="1" ht="11.25" customHeight="1" x14ac:dyDescent="0.2"/>
    <row r="253" s="869" customFormat="1" ht="11.25" customHeight="1" x14ac:dyDescent="0.2"/>
    <row r="254" s="869" customFormat="1" ht="11.25" customHeight="1" x14ac:dyDescent="0.2"/>
    <row r="255" s="869" customFormat="1" ht="11.25" customHeight="1" x14ac:dyDescent="0.2"/>
    <row r="256" s="869" customFormat="1" ht="11.25" customHeight="1" x14ac:dyDescent="0.2"/>
    <row r="257" s="869" customFormat="1" ht="11.25" customHeight="1" x14ac:dyDescent="0.2"/>
    <row r="258" s="869" customFormat="1" ht="11.25" customHeight="1" x14ac:dyDescent="0.2"/>
    <row r="259" s="869" customFormat="1" ht="11.25" customHeight="1" x14ac:dyDescent="0.2"/>
    <row r="260" s="869" customFormat="1" ht="11.25" customHeight="1" x14ac:dyDescent="0.2"/>
    <row r="261" s="869" customFormat="1" ht="11.25" customHeight="1" x14ac:dyDescent="0.2"/>
    <row r="262" s="869" customFormat="1" ht="11.25" customHeight="1" x14ac:dyDescent="0.2"/>
    <row r="263" s="869" customFormat="1" ht="11.25" customHeight="1" x14ac:dyDescent="0.2"/>
    <row r="264" s="869" customFormat="1" ht="11.25" customHeight="1" x14ac:dyDescent="0.2"/>
    <row r="265" s="869" customFormat="1" ht="11.25" customHeight="1" x14ac:dyDescent="0.2"/>
    <row r="266" s="869" customFormat="1" ht="11.25" customHeight="1" x14ac:dyDescent="0.2"/>
    <row r="267" s="869" customFormat="1" ht="11.25" customHeight="1" x14ac:dyDescent="0.2"/>
    <row r="268" s="869" customFormat="1" ht="11.25" customHeight="1" x14ac:dyDescent="0.2"/>
    <row r="269" s="869" customFormat="1" ht="11.25" customHeight="1" x14ac:dyDescent="0.2"/>
    <row r="270" s="869" customFormat="1" ht="11.25" customHeight="1" x14ac:dyDescent="0.2"/>
    <row r="271" s="869" customFormat="1" ht="11.25" customHeight="1" x14ac:dyDescent="0.2"/>
    <row r="272" s="869" customFormat="1" ht="11.25" customHeight="1" x14ac:dyDescent="0.2"/>
    <row r="273" s="869" customFormat="1" ht="11.25" customHeight="1" x14ac:dyDescent="0.2"/>
    <row r="274" s="869" customFormat="1" ht="11.25" customHeight="1" x14ac:dyDescent="0.2"/>
    <row r="275" s="869" customFormat="1" ht="11.25" customHeight="1" x14ac:dyDescent="0.2"/>
    <row r="276" s="869" customFormat="1" ht="11.25" customHeight="1" x14ac:dyDescent="0.2"/>
    <row r="277" s="869" customFormat="1" ht="11.25" customHeight="1" x14ac:dyDescent="0.2"/>
    <row r="278" s="869" customFormat="1" ht="11.25" customHeight="1" x14ac:dyDescent="0.2"/>
    <row r="279" s="869" customFormat="1" ht="11.25" customHeight="1" x14ac:dyDescent="0.2"/>
    <row r="280" s="869" customFormat="1" ht="11.25" customHeight="1" x14ac:dyDescent="0.2"/>
    <row r="281" s="869" customFormat="1" ht="11.25" customHeight="1" x14ac:dyDescent="0.2"/>
    <row r="282" s="869" customFormat="1" ht="11.25" customHeight="1" x14ac:dyDescent="0.2"/>
    <row r="283" s="869" customFormat="1" ht="11.25" customHeight="1" x14ac:dyDescent="0.2"/>
    <row r="284" s="869" customFormat="1" ht="11.25" customHeight="1" x14ac:dyDescent="0.2"/>
    <row r="285" s="869" customFormat="1" ht="11.25" customHeight="1" x14ac:dyDescent="0.2"/>
    <row r="286" s="869" customFormat="1" ht="11.25" customHeight="1" x14ac:dyDescent="0.2"/>
    <row r="287" s="869" customFormat="1" ht="11.25" customHeight="1" x14ac:dyDescent="0.2"/>
    <row r="288" s="869" customFormat="1" ht="11.25" customHeight="1" x14ac:dyDescent="0.2"/>
    <row r="289" s="869" customFormat="1" ht="11.25" customHeight="1" x14ac:dyDescent="0.2"/>
    <row r="290" s="869" customFormat="1" ht="11.25" customHeight="1" x14ac:dyDescent="0.2"/>
    <row r="291" s="869" customFormat="1" ht="11.25" customHeight="1" x14ac:dyDescent="0.2"/>
    <row r="292" s="869" customFormat="1" ht="11.25" customHeight="1" x14ac:dyDescent="0.2"/>
    <row r="293" s="869" customFormat="1" ht="11.25" customHeight="1" x14ac:dyDescent="0.2"/>
    <row r="294" s="869" customFormat="1" ht="11.25" customHeight="1" x14ac:dyDescent="0.2"/>
    <row r="295" s="869" customFormat="1" ht="11.25" customHeight="1" x14ac:dyDescent="0.2"/>
    <row r="296" s="869" customFormat="1" ht="11.25" customHeight="1" x14ac:dyDescent="0.2"/>
    <row r="297" s="869" customFormat="1" ht="11.25" customHeight="1" x14ac:dyDescent="0.2"/>
    <row r="298" s="869" customFormat="1" ht="11.25" customHeight="1" x14ac:dyDescent="0.2"/>
    <row r="299" s="869" customFormat="1" ht="11.25" customHeight="1" x14ac:dyDescent="0.2"/>
    <row r="300" s="869" customFormat="1" ht="11.25" customHeight="1" x14ac:dyDescent="0.2"/>
    <row r="301" s="869" customFormat="1" ht="11.25" customHeight="1" x14ac:dyDescent="0.2"/>
    <row r="302" s="869" customFormat="1" ht="11.25" customHeight="1" x14ac:dyDescent="0.2"/>
    <row r="303" s="869" customFormat="1" ht="11.25" customHeight="1" x14ac:dyDescent="0.2"/>
    <row r="304" s="869" customFormat="1" ht="11.25" customHeight="1" x14ac:dyDescent="0.2"/>
    <row r="305" s="869" customFormat="1" ht="11.25" customHeight="1" x14ac:dyDescent="0.2"/>
    <row r="306" s="869" customFormat="1" ht="11.25" customHeight="1" x14ac:dyDescent="0.2"/>
    <row r="307" s="869" customFormat="1" ht="11.25" customHeight="1" x14ac:dyDescent="0.2"/>
    <row r="308" s="869" customFormat="1" ht="11.25" customHeight="1" x14ac:dyDescent="0.2"/>
    <row r="309" s="869" customFormat="1" ht="11.25" customHeight="1" x14ac:dyDescent="0.2"/>
    <row r="310" s="869" customFormat="1" ht="11.25" customHeight="1" x14ac:dyDescent="0.2"/>
    <row r="311" s="869" customFormat="1" ht="11.25" customHeight="1" x14ac:dyDescent="0.2"/>
    <row r="312" s="869" customFormat="1" ht="11.25" customHeight="1" x14ac:dyDescent="0.2"/>
    <row r="313" s="869" customFormat="1" ht="11.25" customHeight="1" x14ac:dyDescent="0.2"/>
    <row r="314" s="869" customFormat="1" ht="11.25" customHeight="1" x14ac:dyDescent="0.2"/>
    <row r="315" s="869" customFormat="1" ht="11.25" customHeight="1" x14ac:dyDescent="0.2"/>
    <row r="316" s="869" customFormat="1" ht="11.25" customHeight="1" x14ac:dyDescent="0.2"/>
    <row r="317" s="869" customFormat="1" ht="11.25" customHeight="1" x14ac:dyDescent="0.2"/>
    <row r="318" s="869" customFormat="1" ht="11.25" customHeight="1" x14ac:dyDescent="0.2"/>
    <row r="319" s="869" customFormat="1" ht="11.25" customHeight="1" x14ac:dyDescent="0.2"/>
    <row r="320" s="869" customFormat="1" ht="11.25" customHeight="1" x14ac:dyDescent="0.2"/>
    <row r="321" s="869" customFormat="1" ht="11.25" customHeight="1" x14ac:dyDescent="0.2"/>
    <row r="322" s="869" customFormat="1" ht="11.25" customHeight="1" x14ac:dyDescent="0.2"/>
    <row r="323" s="869" customFormat="1" ht="11.25" customHeight="1" x14ac:dyDescent="0.2"/>
    <row r="324" s="869" customFormat="1" ht="11.25" customHeight="1" x14ac:dyDescent="0.2"/>
    <row r="325" s="869" customFormat="1" ht="11.25" customHeight="1" x14ac:dyDescent="0.2"/>
    <row r="326" s="869" customFormat="1" ht="11.25" customHeight="1" x14ac:dyDescent="0.2"/>
    <row r="327" s="869" customFormat="1" ht="11.25" customHeight="1" x14ac:dyDescent="0.2"/>
    <row r="328" s="869" customFormat="1" ht="11.25" customHeight="1" x14ac:dyDescent="0.2"/>
    <row r="329" s="869" customFormat="1" ht="11.25" customHeight="1" x14ac:dyDescent="0.2"/>
    <row r="330" s="869" customFormat="1" ht="11.25" customHeight="1" x14ac:dyDescent="0.2"/>
    <row r="331" s="869" customFormat="1" ht="11.25" customHeight="1" x14ac:dyDescent="0.2"/>
    <row r="332" s="869" customFormat="1" ht="11.25" customHeight="1" x14ac:dyDescent="0.2"/>
    <row r="333" s="869" customFormat="1" ht="11.25" customHeight="1" x14ac:dyDescent="0.2"/>
    <row r="334" s="869" customFormat="1" ht="11.25" customHeight="1" x14ac:dyDescent="0.2"/>
    <row r="335" s="869" customFormat="1" ht="11.25" customHeight="1" x14ac:dyDescent="0.2"/>
    <row r="336" s="869" customFormat="1" ht="11.25" customHeight="1" x14ac:dyDescent="0.2"/>
    <row r="337" s="869" customFormat="1" ht="11.25" customHeight="1" x14ac:dyDescent="0.2"/>
    <row r="338" s="869" customFormat="1" ht="11.25" customHeight="1" x14ac:dyDescent="0.2"/>
    <row r="339" s="869" customFormat="1" ht="11.25" customHeight="1" x14ac:dyDescent="0.2"/>
    <row r="340" s="869" customFormat="1" ht="11.25" customHeight="1" x14ac:dyDescent="0.2"/>
    <row r="341" s="869" customFormat="1" ht="11.25" customHeight="1" x14ac:dyDescent="0.2"/>
    <row r="342" s="869" customFormat="1" ht="11.25" customHeight="1" x14ac:dyDescent="0.2"/>
    <row r="343" s="869" customFormat="1" ht="11.25" customHeight="1" x14ac:dyDescent="0.2"/>
    <row r="344" s="869" customFormat="1" ht="11.25" customHeight="1" x14ac:dyDescent="0.2"/>
    <row r="345" s="869" customFormat="1" ht="11.25" customHeight="1" x14ac:dyDescent="0.2"/>
    <row r="346" s="869" customFormat="1" ht="11.25" customHeight="1" x14ac:dyDescent="0.2"/>
    <row r="347" s="869" customFormat="1" ht="11.25" customHeight="1" x14ac:dyDescent="0.2"/>
    <row r="348" s="869" customFormat="1" ht="11.25" customHeight="1" x14ac:dyDescent="0.2"/>
    <row r="349" s="869" customFormat="1" ht="11.25" customHeight="1" x14ac:dyDescent="0.2"/>
    <row r="350" s="869" customFormat="1" ht="11.25" customHeight="1" x14ac:dyDescent="0.2"/>
    <row r="351" s="869" customFormat="1" ht="11.25" customHeight="1" x14ac:dyDescent="0.2"/>
    <row r="352" s="869" customFormat="1" ht="11.25" customHeight="1" x14ac:dyDescent="0.2"/>
    <row r="353" s="869" customFormat="1" ht="11.25" customHeight="1" x14ac:dyDescent="0.2"/>
    <row r="354" s="869" customFormat="1" ht="11.25" customHeight="1" x14ac:dyDescent="0.2"/>
    <row r="355" s="869" customFormat="1" ht="11.25" customHeight="1" x14ac:dyDescent="0.2"/>
    <row r="356" s="869" customFormat="1" ht="11.25" customHeight="1" x14ac:dyDescent="0.2"/>
    <row r="357" s="869" customFormat="1" ht="11.25" customHeight="1" x14ac:dyDescent="0.2"/>
    <row r="358" s="869" customFormat="1" ht="11.25" customHeight="1" x14ac:dyDescent="0.2"/>
    <row r="359" s="869" customFormat="1" ht="11.25" customHeight="1" x14ac:dyDescent="0.2"/>
    <row r="360" s="869" customFormat="1" ht="11.25" customHeight="1" x14ac:dyDescent="0.2"/>
    <row r="361" s="869" customFormat="1" ht="11.25" customHeight="1" x14ac:dyDescent="0.2"/>
    <row r="362" s="869" customFormat="1" ht="11.25" customHeight="1" x14ac:dyDescent="0.2"/>
    <row r="363" s="869" customFormat="1" ht="11.25" customHeight="1" x14ac:dyDescent="0.2"/>
    <row r="364" s="869" customFormat="1" ht="11.25" customHeight="1" x14ac:dyDescent="0.2"/>
    <row r="365" s="869" customFormat="1" ht="11.25" customHeight="1" x14ac:dyDescent="0.2"/>
    <row r="366" s="869" customFormat="1" ht="11.25" customHeight="1" x14ac:dyDescent="0.2"/>
    <row r="367" s="869" customFormat="1" ht="11.25" customHeight="1" x14ac:dyDescent="0.2"/>
    <row r="368" s="869" customFormat="1" ht="11.25" customHeight="1" x14ac:dyDescent="0.2"/>
    <row r="369" s="869" customFormat="1" ht="11.25" customHeight="1" x14ac:dyDescent="0.2"/>
    <row r="370" s="869" customFormat="1" ht="11.25" customHeight="1" x14ac:dyDescent="0.2"/>
    <row r="371" s="869" customFormat="1" ht="11.25" customHeight="1" x14ac:dyDescent="0.2"/>
    <row r="372" s="869" customFormat="1" ht="11.25" customHeight="1" x14ac:dyDescent="0.2"/>
    <row r="373" s="869" customFormat="1" ht="11.25" customHeight="1" x14ac:dyDescent="0.2"/>
    <row r="374" s="869" customFormat="1" ht="11.25" customHeight="1" x14ac:dyDescent="0.2"/>
    <row r="375" s="869" customFormat="1" ht="11.25" customHeight="1" x14ac:dyDescent="0.2"/>
    <row r="376" s="869" customFormat="1" ht="11.25" customHeight="1" x14ac:dyDescent="0.2"/>
    <row r="377" s="869" customFormat="1" ht="11.25" customHeight="1" x14ac:dyDescent="0.2"/>
    <row r="378" s="869" customFormat="1" ht="11.25" customHeight="1" x14ac:dyDescent="0.2"/>
    <row r="379" s="869" customFormat="1" ht="11.25" customHeight="1" x14ac:dyDescent="0.2"/>
    <row r="380" s="869" customFormat="1" ht="11.25" customHeight="1" x14ac:dyDescent="0.2"/>
    <row r="381" s="869" customFormat="1" ht="11.25" customHeight="1" x14ac:dyDescent="0.2"/>
    <row r="382" s="869" customFormat="1" ht="11.25" customHeight="1" x14ac:dyDescent="0.2"/>
    <row r="383" s="869" customFormat="1" ht="11.25" customHeight="1" x14ac:dyDescent="0.2"/>
    <row r="384" s="869" customFormat="1" ht="11.25" customHeight="1" x14ac:dyDescent="0.2"/>
    <row r="385" s="869" customFormat="1" ht="11.25" customHeight="1" x14ac:dyDescent="0.2"/>
    <row r="386" s="869" customFormat="1" ht="11.25" customHeight="1" x14ac:dyDescent="0.2"/>
    <row r="387" s="869" customFormat="1" ht="11.25" customHeight="1" x14ac:dyDescent="0.2"/>
    <row r="388" s="869" customFormat="1" ht="11.25" customHeight="1" x14ac:dyDescent="0.2"/>
    <row r="389" s="869" customFormat="1" ht="11.25" customHeight="1" x14ac:dyDescent="0.2"/>
    <row r="390" s="869" customFormat="1" ht="11.25" customHeight="1" x14ac:dyDescent="0.2"/>
    <row r="391" s="869" customFormat="1" ht="11.25" customHeight="1" x14ac:dyDescent="0.2"/>
    <row r="392" s="869" customFormat="1" ht="11.25" customHeight="1" x14ac:dyDescent="0.2"/>
    <row r="393" s="869" customFormat="1" ht="11.25" customHeight="1" x14ac:dyDescent="0.2"/>
    <row r="394" s="869" customFormat="1" ht="11.25" customHeight="1" x14ac:dyDescent="0.2"/>
    <row r="395" s="869" customFormat="1" ht="11.25" customHeight="1" x14ac:dyDescent="0.2"/>
    <row r="396" s="869" customFormat="1" ht="11.25" customHeight="1" x14ac:dyDescent="0.2"/>
    <row r="397" s="869" customFormat="1" ht="11.25" customHeight="1" x14ac:dyDescent="0.2"/>
    <row r="398" s="869" customFormat="1" ht="11.25" customHeight="1" x14ac:dyDescent="0.2"/>
    <row r="399" s="869" customFormat="1" ht="11.25" customHeight="1" x14ac:dyDescent="0.2"/>
    <row r="400" s="869" customFormat="1" ht="11.25" customHeight="1" x14ac:dyDescent="0.2"/>
    <row r="401" s="869" customFormat="1" ht="11.25" customHeight="1" x14ac:dyDescent="0.2"/>
    <row r="402" s="869" customFormat="1" ht="11.25" customHeight="1" x14ac:dyDescent="0.2"/>
    <row r="403" s="869" customFormat="1" ht="11.25" customHeight="1" x14ac:dyDescent="0.2"/>
    <row r="404" s="869" customFormat="1" ht="11.25" customHeight="1" x14ac:dyDescent="0.2"/>
    <row r="405" s="869" customFormat="1" ht="11.25" customHeight="1" x14ac:dyDescent="0.2"/>
    <row r="406" s="869" customFormat="1" ht="11.25" customHeight="1" x14ac:dyDescent="0.2"/>
    <row r="407" s="869" customFormat="1" ht="11.25" customHeight="1" x14ac:dyDescent="0.2"/>
    <row r="408" s="869" customFormat="1" ht="11.25" customHeight="1" x14ac:dyDescent="0.2"/>
    <row r="409" s="869" customFormat="1" ht="11.25" customHeight="1" x14ac:dyDescent="0.2"/>
    <row r="410" s="869" customFormat="1" ht="11.25" customHeight="1" x14ac:dyDescent="0.2"/>
    <row r="411" s="869" customFormat="1" ht="11.25" customHeight="1" x14ac:dyDescent="0.2"/>
    <row r="412" s="869" customFormat="1" ht="11.25" customHeight="1" x14ac:dyDescent="0.2"/>
    <row r="413" s="869" customFormat="1" ht="11.25" customHeight="1" x14ac:dyDescent="0.2"/>
    <row r="414" s="869" customFormat="1" ht="11.25" customHeight="1" x14ac:dyDescent="0.2"/>
    <row r="415" s="869" customFormat="1" ht="11.25" customHeight="1" x14ac:dyDescent="0.2"/>
    <row r="416" s="869" customFormat="1" ht="11.25" customHeight="1" x14ac:dyDescent="0.2"/>
    <row r="417" s="869" customFormat="1" ht="11.25" customHeight="1" x14ac:dyDescent="0.2"/>
    <row r="418" s="869" customFormat="1" ht="11.25" customHeight="1" x14ac:dyDescent="0.2"/>
    <row r="419" s="869" customFormat="1" ht="11.25" customHeight="1" x14ac:dyDescent="0.2"/>
    <row r="420" s="869" customFormat="1" ht="11.25" customHeight="1" x14ac:dyDescent="0.2"/>
    <row r="421" s="869" customFormat="1" ht="11.25" customHeight="1" x14ac:dyDescent="0.2"/>
    <row r="422" s="869" customFormat="1" ht="11.25" customHeight="1" x14ac:dyDescent="0.2"/>
    <row r="423" s="869" customFormat="1" ht="11.25" customHeight="1" x14ac:dyDescent="0.2"/>
    <row r="424" s="869" customFormat="1" ht="11.25" customHeight="1" x14ac:dyDescent="0.2"/>
    <row r="425" s="869" customFormat="1" ht="11.25" customHeight="1" x14ac:dyDescent="0.2"/>
    <row r="426" s="869" customFormat="1" ht="11.25" customHeight="1" x14ac:dyDescent="0.2"/>
    <row r="427" s="869" customFormat="1" ht="11.25" customHeight="1" x14ac:dyDescent="0.2"/>
    <row r="428" s="869" customFormat="1" ht="11.25" customHeight="1" x14ac:dyDescent="0.2"/>
    <row r="429" s="869" customFormat="1" ht="11.25" customHeight="1" x14ac:dyDescent="0.2"/>
    <row r="430" s="869" customFormat="1" ht="11.25" customHeight="1" x14ac:dyDescent="0.2"/>
    <row r="431" s="869" customFormat="1" ht="11.25" customHeight="1" x14ac:dyDescent="0.2"/>
    <row r="432" s="869" customFormat="1" ht="11.25" customHeight="1" x14ac:dyDescent="0.2"/>
    <row r="433" s="869" customFormat="1" ht="11.25" customHeight="1" x14ac:dyDescent="0.2"/>
    <row r="434" s="869" customFormat="1" ht="11.25" customHeight="1" x14ac:dyDescent="0.2"/>
    <row r="435" s="869" customFormat="1" ht="11.25" customHeight="1" x14ac:dyDescent="0.2"/>
    <row r="436" s="869" customFormat="1" ht="11.25" customHeight="1" x14ac:dyDescent="0.2"/>
    <row r="437" s="869" customFormat="1" ht="11.25" customHeight="1" x14ac:dyDescent="0.2"/>
    <row r="438" s="869" customFormat="1" ht="11.25" customHeight="1" x14ac:dyDescent="0.2"/>
    <row r="439" s="869" customFormat="1" ht="11.25" customHeight="1" x14ac:dyDescent="0.2"/>
    <row r="440" s="869" customFormat="1" ht="11.25" customHeight="1" x14ac:dyDescent="0.2"/>
    <row r="441" s="869" customFormat="1" ht="11.25" customHeight="1" x14ac:dyDescent="0.2"/>
    <row r="442" s="869" customFormat="1" ht="11.25" customHeight="1" x14ac:dyDescent="0.2"/>
    <row r="443" s="869" customFormat="1" ht="11.25" customHeight="1" x14ac:dyDescent="0.2"/>
    <row r="444" s="869" customFormat="1" ht="11.25" customHeight="1" x14ac:dyDescent="0.2"/>
    <row r="445" s="869" customFormat="1" ht="11.25" customHeight="1" x14ac:dyDescent="0.2"/>
    <row r="446" s="869" customFormat="1" ht="11.25" customHeight="1" x14ac:dyDescent="0.2"/>
    <row r="447" s="869" customFormat="1" ht="11.25" customHeight="1" x14ac:dyDescent="0.2"/>
    <row r="448" s="869" customFormat="1" ht="11.25" customHeight="1" x14ac:dyDescent="0.2"/>
    <row r="449" s="869" customFormat="1" ht="11.25" customHeight="1" x14ac:dyDescent="0.2"/>
    <row r="450" s="869" customFormat="1" ht="11.25" customHeight="1" x14ac:dyDescent="0.2"/>
    <row r="451" s="869" customFormat="1" ht="11.25" customHeight="1" x14ac:dyDescent="0.2"/>
    <row r="452" s="869" customFormat="1" ht="11.25" customHeight="1" x14ac:dyDescent="0.2"/>
    <row r="453" s="869" customFormat="1" ht="11.25" customHeight="1" x14ac:dyDescent="0.2"/>
    <row r="454" s="869" customFormat="1" ht="11.25" customHeight="1" x14ac:dyDescent="0.2"/>
    <row r="455" s="869" customFormat="1" ht="11.25" customHeight="1" x14ac:dyDescent="0.2"/>
    <row r="456" s="869" customFormat="1" ht="11.25" customHeight="1" x14ac:dyDescent="0.2"/>
    <row r="457" s="869" customFormat="1" ht="11.25" customHeight="1" x14ac:dyDescent="0.2"/>
    <row r="458" s="869" customFormat="1" ht="11.25" customHeight="1" x14ac:dyDescent="0.2"/>
    <row r="459" s="869" customFormat="1" ht="11.25" customHeight="1" x14ac:dyDescent="0.2"/>
    <row r="460" s="869" customFormat="1" ht="11.25" customHeight="1" x14ac:dyDescent="0.2"/>
    <row r="461" s="869" customFormat="1" ht="11.25" customHeight="1" x14ac:dyDescent="0.2"/>
    <row r="462" s="869" customFormat="1" ht="11.25" customHeight="1" x14ac:dyDescent="0.2"/>
    <row r="463" s="869" customFormat="1" ht="11.25" customHeight="1" x14ac:dyDescent="0.2"/>
    <row r="464" s="869" customFormat="1" ht="11.25" customHeight="1" x14ac:dyDescent="0.2"/>
    <row r="465" s="869" customFormat="1" ht="11.25" customHeight="1" x14ac:dyDescent="0.2"/>
    <row r="466" s="869" customFormat="1" ht="11.25" customHeight="1" x14ac:dyDescent="0.2"/>
    <row r="467" s="869" customFormat="1" ht="11.25" customHeight="1" x14ac:dyDescent="0.2"/>
    <row r="468" s="869" customFormat="1" ht="11.25" customHeight="1" x14ac:dyDescent="0.2"/>
    <row r="469" s="869" customFormat="1" ht="11.25" customHeight="1" x14ac:dyDescent="0.2"/>
    <row r="470" s="869" customFormat="1" ht="11.25" customHeight="1" x14ac:dyDescent="0.2"/>
    <row r="471" s="869" customFormat="1" ht="11.25" customHeight="1" x14ac:dyDescent="0.2"/>
    <row r="472" s="869" customFormat="1" ht="11.25" customHeight="1" x14ac:dyDescent="0.2"/>
    <row r="473" s="869" customFormat="1" ht="11.25" customHeight="1" x14ac:dyDescent="0.2"/>
    <row r="474" s="869" customFormat="1" ht="11.25" customHeight="1" x14ac:dyDescent="0.2"/>
    <row r="475" s="869" customFormat="1" ht="11.25" customHeight="1" x14ac:dyDescent="0.2"/>
    <row r="476" s="869" customFormat="1" ht="11.25" customHeight="1" x14ac:dyDescent="0.2"/>
    <row r="477" s="869" customFormat="1" ht="11.25" customHeight="1" x14ac:dyDescent="0.2"/>
    <row r="478" s="869" customFormat="1" ht="11.25" customHeight="1" x14ac:dyDescent="0.2"/>
    <row r="479" s="869" customFormat="1" ht="11.25" customHeight="1" x14ac:dyDescent="0.2"/>
    <row r="480" s="869" customFormat="1" ht="11.25" customHeight="1" x14ac:dyDescent="0.2"/>
    <row r="481" s="869" customFormat="1" ht="11.25" customHeight="1" x14ac:dyDescent="0.2"/>
    <row r="482" s="869" customFormat="1" ht="11.25" customHeight="1" x14ac:dyDescent="0.2"/>
    <row r="483" s="869" customFormat="1" ht="11.25" customHeight="1" x14ac:dyDescent="0.2"/>
    <row r="484" s="869" customFormat="1" ht="11.25" customHeight="1" x14ac:dyDescent="0.2"/>
    <row r="485" s="869" customFormat="1" ht="11.25" customHeight="1" x14ac:dyDescent="0.2"/>
    <row r="486" s="869" customFormat="1" ht="11.25" customHeight="1" x14ac:dyDescent="0.2"/>
    <row r="487" s="869" customFormat="1" ht="11.25" customHeight="1" x14ac:dyDescent="0.2"/>
    <row r="488" s="869" customFormat="1" ht="11.25" customHeight="1" x14ac:dyDescent="0.2"/>
    <row r="489" s="869" customFormat="1" ht="11.25" customHeight="1" x14ac:dyDescent="0.2"/>
    <row r="490" s="869" customFormat="1" ht="11.25" customHeight="1" x14ac:dyDescent="0.2"/>
    <row r="491" s="869" customFormat="1" ht="11.25" customHeight="1" x14ac:dyDescent="0.2"/>
    <row r="492" s="869" customFormat="1" ht="11.25" customHeight="1" x14ac:dyDescent="0.2"/>
    <row r="493" s="869" customFormat="1" ht="11.25" customHeight="1" x14ac:dyDescent="0.2"/>
    <row r="494" s="869" customFormat="1" ht="11.25" customHeight="1" x14ac:dyDescent="0.2"/>
    <row r="495" s="869" customFormat="1" ht="11.25" customHeight="1" x14ac:dyDescent="0.2"/>
    <row r="496" s="869" customFormat="1" ht="11.25" customHeight="1" x14ac:dyDescent="0.2"/>
    <row r="497" s="869" customFormat="1" ht="11.25" customHeight="1" x14ac:dyDescent="0.2"/>
    <row r="498" s="869" customFormat="1" ht="11.25" customHeight="1" x14ac:dyDescent="0.2"/>
    <row r="499" s="869" customFormat="1" ht="11.25" customHeight="1" x14ac:dyDescent="0.2"/>
    <row r="500" s="869" customFormat="1" ht="11.25" customHeight="1" x14ac:dyDescent="0.2"/>
    <row r="501" s="869" customFormat="1" ht="11.25" customHeight="1" x14ac:dyDescent="0.2"/>
    <row r="502" s="869" customFormat="1" ht="11.25" customHeight="1" x14ac:dyDescent="0.2"/>
    <row r="503" s="869" customFormat="1" ht="11.25" customHeight="1" x14ac:dyDescent="0.2"/>
    <row r="504" s="869" customFormat="1" ht="11.25" customHeight="1" x14ac:dyDescent="0.2"/>
    <row r="505" s="869" customFormat="1" ht="11.25" customHeight="1" x14ac:dyDescent="0.2"/>
    <row r="506" s="869" customFormat="1" ht="11.25" customHeight="1" x14ac:dyDescent="0.2"/>
    <row r="507" s="869" customFormat="1" ht="11.25" customHeight="1" x14ac:dyDescent="0.2"/>
    <row r="508" s="869" customFormat="1" ht="11.25" customHeight="1" x14ac:dyDescent="0.2"/>
    <row r="509" s="869" customFormat="1" ht="11.25" customHeight="1" x14ac:dyDescent="0.2"/>
    <row r="510" s="869" customFormat="1" ht="11.25" customHeight="1" x14ac:dyDescent="0.2"/>
    <row r="511" s="869" customFormat="1" ht="11.25" customHeight="1" x14ac:dyDescent="0.2"/>
    <row r="512" s="869" customFormat="1" ht="11.25" customHeight="1" x14ac:dyDescent="0.2"/>
    <row r="513" s="869" customFormat="1" ht="11.25" customHeight="1" x14ac:dyDescent="0.2"/>
    <row r="514" s="869" customFormat="1" ht="11.25" customHeight="1" x14ac:dyDescent="0.2"/>
    <row r="515" s="869" customFormat="1" ht="11.25" customHeight="1" x14ac:dyDescent="0.2"/>
    <row r="516" s="869" customFormat="1" ht="11.25" customHeight="1" x14ac:dyDescent="0.2"/>
    <row r="517" s="869" customFormat="1" ht="11.25" customHeight="1" x14ac:dyDescent="0.2"/>
    <row r="518" s="869" customFormat="1" ht="11.25" customHeight="1" x14ac:dyDescent="0.2"/>
    <row r="519" s="869" customFormat="1" ht="11.25" customHeight="1" x14ac:dyDescent="0.2"/>
    <row r="520" s="869" customFormat="1" ht="11.25" customHeight="1" x14ac:dyDescent="0.2"/>
    <row r="521" s="869" customFormat="1" ht="11.25" customHeight="1" x14ac:dyDescent="0.2"/>
    <row r="522" s="869" customFormat="1" ht="11.25" customHeight="1" x14ac:dyDescent="0.2"/>
    <row r="523" s="869" customFormat="1" ht="11.25" customHeight="1" x14ac:dyDescent="0.2"/>
    <row r="524" s="869" customFormat="1" ht="11.25" customHeight="1" x14ac:dyDescent="0.2"/>
    <row r="525" s="869" customFormat="1" ht="11.25" customHeight="1" x14ac:dyDescent="0.2"/>
    <row r="526" s="869" customFormat="1" ht="11.25" customHeight="1" x14ac:dyDescent="0.2"/>
    <row r="527" s="869" customFormat="1" ht="11.25" customHeight="1" x14ac:dyDescent="0.2"/>
    <row r="528" s="869" customFormat="1" ht="11.25" customHeight="1" x14ac:dyDescent="0.2"/>
    <row r="529" s="869" customFormat="1" ht="11.25" customHeight="1" x14ac:dyDescent="0.2"/>
    <row r="530" s="869" customFormat="1" ht="11.25" customHeight="1" x14ac:dyDescent="0.2"/>
    <row r="531" s="869" customFormat="1" ht="11.25" customHeight="1" x14ac:dyDescent="0.2"/>
    <row r="532" s="869" customFormat="1" ht="11.25" customHeight="1" x14ac:dyDescent="0.2"/>
    <row r="533" s="869" customFormat="1" ht="11.25" customHeight="1" x14ac:dyDescent="0.2"/>
    <row r="534" s="869" customFormat="1" ht="11.25" customHeight="1" x14ac:dyDescent="0.2"/>
    <row r="535" s="869" customFormat="1" ht="11.25" customHeight="1" x14ac:dyDescent="0.2"/>
    <row r="536" s="869" customFormat="1" ht="11.25" customHeight="1" x14ac:dyDescent="0.2"/>
    <row r="537" s="869" customFormat="1" ht="11.25" customHeight="1" x14ac:dyDescent="0.2"/>
    <row r="538" s="869" customFormat="1" ht="11.25" customHeight="1" x14ac:dyDescent="0.2"/>
    <row r="539" s="869" customFormat="1" ht="11.25" customHeight="1" x14ac:dyDescent="0.2"/>
    <row r="540" s="869" customFormat="1" ht="11.25" customHeight="1" x14ac:dyDescent="0.2"/>
    <row r="541" s="869" customFormat="1" ht="11.25" customHeight="1" x14ac:dyDescent="0.2"/>
    <row r="542" s="869" customFormat="1" ht="11.25" customHeight="1" x14ac:dyDescent="0.2"/>
    <row r="543" s="869" customFormat="1" ht="11.25" customHeight="1" x14ac:dyDescent="0.2"/>
    <row r="544" s="869" customFormat="1" ht="11.25" customHeight="1" x14ac:dyDescent="0.2"/>
    <row r="545" s="869" customFormat="1" ht="11.25" customHeight="1" x14ac:dyDescent="0.2"/>
    <row r="546" s="869" customFormat="1" ht="11.25" customHeight="1" x14ac:dyDescent="0.2"/>
    <row r="547" s="869" customFormat="1" ht="11.25" customHeight="1" x14ac:dyDescent="0.2"/>
    <row r="548" s="869" customFormat="1" ht="11.25" customHeight="1" x14ac:dyDescent="0.2"/>
    <row r="549" s="869" customFormat="1" ht="11.25" customHeight="1" x14ac:dyDescent="0.2"/>
    <row r="550" s="869" customFormat="1" ht="11.25" customHeight="1" x14ac:dyDescent="0.2"/>
    <row r="551" s="869" customFormat="1" ht="11.25" customHeight="1" x14ac:dyDescent="0.2"/>
    <row r="552" s="869" customFormat="1" ht="11.25" customHeight="1" x14ac:dyDescent="0.2"/>
    <row r="553" s="869" customFormat="1" ht="11.25" customHeight="1" x14ac:dyDescent="0.2"/>
    <row r="554" s="869" customFormat="1" ht="11.25" customHeight="1" x14ac:dyDescent="0.2"/>
    <row r="555" s="869" customFormat="1" ht="11.25" customHeight="1" x14ac:dyDescent="0.2"/>
    <row r="556" s="869" customFormat="1" ht="11.25" customHeight="1" x14ac:dyDescent="0.2"/>
    <row r="557" s="869" customFormat="1" ht="11.25" customHeight="1" x14ac:dyDescent="0.2"/>
    <row r="558" s="869" customFormat="1" ht="11.25" customHeight="1" x14ac:dyDescent="0.2"/>
    <row r="559" s="869" customFormat="1" ht="11.25" customHeight="1" x14ac:dyDescent="0.2"/>
    <row r="560" s="869" customFormat="1" ht="11.25" customHeight="1" x14ac:dyDescent="0.2"/>
    <row r="561" s="869" customFormat="1" ht="11.25" customHeight="1" x14ac:dyDescent="0.2"/>
    <row r="562" s="869" customFormat="1" ht="11.25" customHeight="1" x14ac:dyDescent="0.2"/>
    <row r="563" s="869" customFormat="1" ht="11.25" customHeight="1" x14ac:dyDescent="0.2"/>
    <row r="564" s="869" customFormat="1" ht="11.25" customHeight="1" x14ac:dyDescent="0.2"/>
    <row r="565" s="869" customFormat="1" ht="11.25" customHeight="1" x14ac:dyDescent="0.2"/>
    <row r="566" s="869" customFormat="1" ht="11.25" customHeight="1" x14ac:dyDescent="0.2"/>
    <row r="567" s="869" customFormat="1" ht="11.25" customHeight="1" x14ac:dyDescent="0.2"/>
    <row r="568" s="869" customFormat="1" ht="11.25" customHeight="1" x14ac:dyDescent="0.2"/>
    <row r="569" s="869" customFormat="1" ht="11.25" customHeight="1" x14ac:dyDescent="0.2"/>
    <row r="570" s="869" customFormat="1" ht="11.25" customHeight="1" x14ac:dyDescent="0.2"/>
    <row r="571" s="869" customFormat="1" ht="11.25" customHeight="1" x14ac:dyDescent="0.2"/>
    <row r="572" s="869" customFormat="1" ht="11.25" customHeight="1" x14ac:dyDescent="0.2"/>
    <row r="573" s="869" customFormat="1" ht="11.25" customHeight="1" x14ac:dyDescent="0.2"/>
    <row r="574" s="869" customFormat="1" ht="11.25" customHeight="1" x14ac:dyDescent="0.2"/>
    <row r="575" s="869" customFormat="1" ht="11.25" customHeight="1" x14ac:dyDescent="0.2"/>
    <row r="576" s="869" customFormat="1" ht="11.25" customHeight="1" x14ac:dyDescent="0.2"/>
    <row r="577" s="869" customFormat="1" ht="11.25" customHeight="1" x14ac:dyDescent="0.2"/>
    <row r="578" s="869" customFormat="1" ht="11.25" customHeight="1" x14ac:dyDescent="0.2"/>
    <row r="579" s="869" customFormat="1" ht="11.25" customHeight="1" x14ac:dyDescent="0.2"/>
    <row r="580" s="869" customFormat="1" ht="11.25" customHeight="1" x14ac:dyDescent="0.2"/>
    <row r="581" s="869" customFormat="1" ht="11.25" customHeight="1" x14ac:dyDescent="0.2"/>
    <row r="582" s="869" customFormat="1" ht="11.25" customHeight="1" x14ac:dyDescent="0.2"/>
    <row r="583" s="869" customFormat="1" ht="11.25" customHeight="1" x14ac:dyDescent="0.2"/>
    <row r="584" s="869" customFormat="1" ht="11.25" customHeight="1" x14ac:dyDescent="0.2"/>
    <row r="585" s="869" customFormat="1" ht="11.25" customHeight="1" x14ac:dyDescent="0.2"/>
    <row r="586" s="869" customFormat="1" ht="11.25" customHeight="1" x14ac:dyDescent="0.2"/>
    <row r="587" s="869" customFormat="1" ht="11.25" customHeight="1" x14ac:dyDescent="0.2"/>
    <row r="588" s="869" customFormat="1" ht="11.25" customHeight="1" x14ac:dyDescent="0.2"/>
    <row r="589" s="869" customFormat="1" ht="11.25" customHeight="1" x14ac:dyDescent="0.2"/>
    <row r="590" s="869" customFormat="1" ht="11.25" customHeight="1" x14ac:dyDescent="0.2"/>
    <row r="591" s="869" customFormat="1" ht="11.25" customHeight="1" x14ac:dyDescent="0.2"/>
    <row r="592" s="869" customFormat="1" ht="11.25" customHeight="1" x14ac:dyDescent="0.2"/>
    <row r="593" s="869" customFormat="1" ht="11.25" customHeight="1" x14ac:dyDescent="0.2"/>
    <row r="594" s="869" customFormat="1" ht="11.25" customHeight="1" x14ac:dyDescent="0.2"/>
    <row r="595" s="869" customFormat="1" ht="11.25" customHeight="1" x14ac:dyDescent="0.2"/>
    <row r="596" s="869" customFormat="1" ht="11.25" customHeight="1" x14ac:dyDescent="0.2"/>
    <row r="597" s="869" customFormat="1" ht="11.25" customHeight="1" x14ac:dyDescent="0.2"/>
    <row r="598" s="869" customFormat="1" ht="11.25" customHeight="1" x14ac:dyDescent="0.2"/>
    <row r="599" s="869" customFormat="1" ht="11.25" customHeight="1" x14ac:dyDescent="0.2"/>
    <row r="600" s="869" customFormat="1" ht="11.25" customHeight="1" x14ac:dyDescent="0.2"/>
    <row r="601" s="869" customFormat="1" ht="11.25" customHeight="1" x14ac:dyDescent="0.2"/>
    <row r="602" s="869" customFormat="1" ht="11.25" customHeight="1" x14ac:dyDescent="0.2"/>
    <row r="603" s="869" customFormat="1" ht="11.25" customHeight="1" x14ac:dyDescent="0.2"/>
    <row r="604" s="869" customFormat="1" ht="11.25" customHeight="1" x14ac:dyDescent="0.2"/>
    <row r="605" s="869" customFormat="1" ht="11.25" customHeight="1" x14ac:dyDescent="0.2"/>
    <row r="606" s="869" customFormat="1" ht="11.25" customHeight="1" x14ac:dyDescent="0.2"/>
    <row r="607" s="869" customFormat="1" ht="11.25" customHeight="1" x14ac:dyDescent="0.2"/>
    <row r="608" s="869" customFormat="1" ht="11.25" customHeight="1" x14ac:dyDescent="0.2"/>
    <row r="609" s="869" customFormat="1" ht="11.25" customHeight="1" x14ac:dyDescent="0.2"/>
    <row r="610" s="869" customFormat="1" ht="11.25" customHeight="1" x14ac:dyDescent="0.2"/>
    <row r="611" s="869" customFormat="1" ht="11.25" customHeight="1" x14ac:dyDescent="0.2"/>
    <row r="612" s="869" customFormat="1" ht="11.25" customHeight="1" x14ac:dyDescent="0.2"/>
    <row r="613" s="869" customFormat="1" ht="11.25" customHeight="1" x14ac:dyDescent="0.2"/>
    <row r="614" s="869" customFormat="1" ht="11.25" customHeight="1" x14ac:dyDescent="0.2"/>
    <row r="615" s="869" customFormat="1" ht="11.25" customHeight="1" x14ac:dyDescent="0.2"/>
    <row r="616" s="869" customFormat="1" ht="11.25" customHeight="1" x14ac:dyDescent="0.2"/>
    <row r="617" s="869" customFormat="1" ht="11.25" customHeight="1" x14ac:dyDescent="0.2"/>
    <row r="618" s="869" customFormat="1" ht="11.25" customHeight="1" x14ac:dyDescent="0.2"/>
    <row r="619" s="869" customFormat="1" ht="11.25" customHeight="1" x14ac:dyDescent="0.2"/>
    <row r="620" s="869" customFormat="1" ht="11.25" customHeight="1" x14ac:dyDescent="0.2"/>
    <row r="621" s="869" customFormat="1" ht="11.25" customHeight="1" x14ac:dyDescent="0.2"/>
    <row r="622" s="869" customFormat="1" ht="11.25" customHeight="1" x14ac:dyDescent="0.2"/>
    <row r="623" s="869" customFormat="1" ht="11.25" customHeight="1" x14ac:dyDescent="0.2"/>
    <row r="624" s="869" customFormat="1" ht="11.25" customHeight="1" x14ac:dyDescent="0.2"/>
    <row r="625" s="869" customFormat="1" ht="11.25" customHeight="1" x14ac:dyDescent="0.2"/>
    <row r="626" s="869" customFormat="1" ht="11.25" customHeight="1" x14ac:dyDescent="0.2"/>
    <row r="627" s="869" customFormat="1" ht="11.25" customHeight="1" x14ac:dyDescent="0.2"/>
    <row r="628" s="869" customFormat="1" ht="11.25" customHeight="1" x14ac:dyDescent="0.2"/>
    <row r="629" s="869" customFormat="1" ht="11.25" customHeight="1" x14ac:dyDescent="0.2"/>
    <row r="630" s="869" customFormat="1" ht="11.25" customHeight="1" x14ac:dyDescent="0.2"/>
    <row r="631" s="869" customFormat="1" ht="11.25" customHeight="1" x14ac:dyDescent="0.2"/>
    <row r="632" s="869" customFormat="1" ht="11.25" customHeight="1" x14ac:dyDescent="0.2"/>
    <row r="633" s="869" customFormat="1" ht="11.25" customHeight="1" x14ac:dyDescent="0.2"/>
    <row r="634" s="869" customFormat="1" ht="11.25" customHeight="1" x14ac:dyDescent="0.2"/>
    <row r="635" s="869" customFormat="1" ht="11.25" customHeight="1" x14ac:dyDescent="0.2"/>
    <row r="636" s="869" customFormat="1" ht="11.25" customHeight="1" x14ac:dyDescent="0.2"/>
    <row r="637" s="869" customFormat="1" ht="11.25" customHeight="1" x14ac:dyDescent="0.2"/>
    <row r="638" s="869" customFormat="1" ht="11.25" customHeight="1" x14ac:dyDescent="0.2"/>
    <row r="639" s="869" customFormat="1" ht="11.25" customHeight="1" x14ac:dyDescent="0.2"/>
    <row r="640" s="869" customFormat="1" ht="11.25" customHeight="1" x14ac:dyDescent="0.2"/>
    <row r="641" s="869" customFormat="1" ht="11.25" customHeight="1" x14ac:dyDescent="0.2"/>
    <row r="642" s="869" customFormat="1" ht="11.25" customHeight="1" x14ac:dyDescent="0.2"/>
    <row r="643" s="869" customFormat="1" ht="11.25" customHeight="1" x14ac:dyDescent="0.2"/>
    <row r="644" s="869" customFormat="1" ht="11.25" customHeight="1" x14ac:dyDescent="0.2"/>
    <row r="645" s="869" customFormat="1" ht="11.25" customHeight="1" x14ac:dyDescent="0.2"/>
    <row r="646" s="869" customFormat="1" ht="11.25" customHeight="1" x14ac:dyDescent="0.2"/>
    <row r="647" s="869" customFormat="1" ht="11.25" customHeight="1" x14ac:dyDescent="0.2"/>
    <row r="648" s="869" customFormat="1" ht="11.25" customHeight="1" x14ac:dyDescent="0.2"/>
    <row r="649" s="869" customFormat="1" ht="11.25" customHeight="1" x14ac:dyDescent="0.2"/>
    <row r="650" s="869" customFormat="1" ht="11.25" customHeight="1" x14ac:dyDescent="0.2"/>
    <row r="651" s="869" customFormat="1" ht="11.25" customHeight="1" x14ac:dyDescent="0.2"/>
    <row r="652" s="869" customFormat="1" ht="11.25" customHeight="1" x14ac:dyDescent="0.2"/>
    <row r="653" s="869" customFormat="1" ht="11.25" customHeight="1" x14ac:dyDescent="0.2"/>
    <row r="654" s="869" customFormat="1" ht="11.25" customHeight="1" x14ac:dyDescent="0.2"/>
    <row r="655" s="869" customFormat="1" ht="11.25" customHeight="1" x14ac:dyDescent="0.2"/>
    <row r="656" s="869" customFormat="1" ht="11.25" customHeight="1" x14ac:dyDescent="0.2"/>
    <row r="657" s="869" customFormat="1" ht="11.25" customHeight="1" x14ac:dyDescent="0.2"/>
    <row r="658" s="869" customFormat="1" ht="11.25" customHeight="1" x14ac:dyDescent="0.2"/>
    <row r="659" s="869" customFormat="1" ht="11.25" customHeight="1" x14ac:dyDescent="0.2"/>
    <row r="660" s="869" customFormat="1" ht="11.25" customHeight="1" x14ac:dyDescent="0.2"/>
    <row r="661" s="869" customFormat="1" ht="11.25" customHeight="1" x14ac:dyDescent="0.2"/>
    <row r="662" s="869" customFormat="1" ht="11.25" customHeight="1" x14ac:dyDescent="0.2"/>
    <row r="663" s="869" customFormat="1" ht="11.25" customHeight="1" x14ac:dyDescent="0.2"/>
    <row r="664" s="869" customFormat="1" ht="11.25" customHeight="1" x14ac:dyDescent="0.2"/>
    <row r="665" s="869" customFormat="1" ht="11.25" customHeight="1" x14ac:dyDescent="0.2"/>
    <row r="666" s="869" customFormat="1" ht="11.25" customHeight="1" x14ac:dyDescent="0.2"/>
    <row r="667" s="869" customFormat="1" ht="11.25" customHeight="1" x14ac:dyDescent="0.2"/>
    <row r="668" s="869" customFormat="1" ht="11.25" customHeight="1" x14ac:dyDescent="0.2"/>
    <row r="669" s="869" customFormat="1" ht="11.25" customHeight="1" x14ac:dyDescent="0.2"/>
    <row r="670" s="869" customFormat="1" ht="11.25" customHeight="1" x14ac:dyDescent="0.2"/>
    <row r="671" s="869" customFormat="1" ht="11.25" customHeight="1" x14ac:dyDescent="0.2"/>
    <row r="672" s="869" customFormat="1" ht="11.25" customHeight="1" x14ac:dyDescent="0.2"/>
    <row r="673" s="869" customFormat="1" ht="11.25" customHeight="1" x14ac:dyDescent="0.2"/>
    <row r="674" s="869" customFormat="1" ht="11.25" customHeight="1" x14ac:dyDescent="0.2"/>
    <row r="675" s="869" customFormat="1" ht="11.25" customHeight="1" x14ac:dyDescent="0.2"/>
    <row r="676" s="869" customFormat="1" ht="11.25" customHeight="1" x14ac:dyDescent="0.2"/>
    <row r="677" s="869" customFormat="1" ht="11.25" customHeight="1" x14ac:dyDescent="0.2"/>
    <row r="678" s="869" customFormat="1" ht="11.25" customHeight="1" x14ac:dyDescent="0.2"/>
    <row r="679" s="869" customFormat="1" ht="11.25" customHeight="1" x14ac:dyDescent="0.2"/>
    <row r="680" s="869" customFormat="1" ht="11.25" customHeight="1" x14ac:dyDescent="0.2"/>
    <row r="681" s="869" customFormat="1" ht="11.25" customHeight="1" x14ac:dyDescent="0.2"/>
    <row r="682" s="869" customFormat="1" ht="11.25" customHeight="1" x14ac:dyDescent="0.2"/>
    <row r="683" s="869" customFormat="1" ht="11.25" customHeight="1" x14ac:dyDescent="0.2"/>
    <row r="684" s="869" customFormat="1" ht="11.25" customHeight="1" x14ac:dyDescent="0.2"/>
    <row r="685" s="869" customFormat="1" ht="11.25" customHeight="1" x14ac:dyDescent="0.2"/>
    <row r="686" s="869" customFormat="1" ht="11.25" customHeight="1" x14ac:dyDescent="0.2"/>
    <row r="687" s="869" customFormat="1" ht="11.25" customHeight="1" x14ac:dyDescent="0.2"/>
    <row r="688" s="869" customFormat="1" ht="11.25" customHeight="1" x14ac:dyDescent="0.2"/>
    <row r="689" s="869" customFormat="1" ht="11.25" customHeight="1" x14ac:dyDescent="0.2"/>
    <row r="690" s="869" customFormat="1" ht="11.25" customHeight="1" x14ac:dyDescent="0.2"/>
    <row r="691" s="869" customFormat="1" ht="11.25" customHeight="1" x14ac:dyDescent="0.2"/>
    <row r="692" s="869" customFormat="1" ht="11.25" customHeight="1" x14ac:dyDescent="0.2"/>
    <row r="693" s="869" customFormat="1" ht="11.25" customHeight="1" x14ac:dyDescent="0.2"/>
    <row r="694" s="869" customFormat="1" ht="11.25" customHeight="1" x14ac:dyDescent="0.2"/>
    <row r="695" s="869" customFormat="1" ht="11.25" customHeight="1" x14ac:dyDescent="0.2"/>
    <row r="696" s="869" customFormat="1" ht="11.25" customHeight="1" x14ac:dyDescent="0.2"/>
    <row r="697" s="869" customFormat="1" ht="11.25" customHeight="1" x14ac:dyDescent="0.2"/>
    <row r="698" s="869" customFormat="1" ht="11.25" customHeight="1" x14ac:dyDescent="0.2"/>
    <row r="699" s="869" customFormat="1" ht="11.25" customHeight="1" x14ac:dyDescent="0.2"/>
    <row r="700" s="869" customFormat="1" ht="11.25" customHeight="1" x14ac:dyDescent="0.2"/>
    <row r="701" s="869" customFormat="1" ht="11.25" customHeight="1" x14ac:dyDescent="0.2"/>
    <row r="702" s="869" customFormat="1" ht="11.25" customHeight="1" x14ac:dyDescent="0.2"/>
    <row r="703" s="869" customFormat="1" ht="11.25" customHeight="1" x14ac:dyDescent="0.2"/>
    <row r="704" s="869" customFormat="1" ht="11.25" customHeight="1" x14ac:dyDescent="0.2"/>
    <row r="705" s="869" customFormat="1" ht="11.25" customHeight="1" x14ac:dyDescent="0.2"/>
    <row r="706" s="869" customFormat="1" ht="11.25" customHeight="1" x14ac:dyDescent="0.2"/>
    <row r="707" s="869" customFormat="1" ht="11.25" customHeight="1" x14ac:dyDescent="0.2"/>
    <row r="708" s="869" customFormat="1" ht="11.25" customHeight="1" x14ac:dyDescent="0.2"/>
    <row r="709" s="869" customFormat="1" ht="11.25" customHeight="1" x14ac:dyDescent="0.2"/>
    <row r="710" s="869" customFormat="1" ht="11.25" customHeight="1" x14ac:dyDescent="0.2"/>
    <row r="711" s="869" customFormat="1" ht="11.25" customHeight="1" x14ac:dyDescent="0.2"/>
    <row r="712" s="869" customFormat="1" ht="11.25" customHeight="1" x14ac:dyDescent="0.2"/>
    <row r="713" s="869" customFormat="1" ht="11.25" customHeight="1" x14ac:dyDescent="0.2"/>
    <row r="714" s="869" customFormat="1" ht="11.25" customHeight="1" x14ac:dyDescent="0.2"/>
    <row r="715" s="869" customFormat="1" ht="11.25" customHeight="1" x14ac:dyDescent="0.2"/>
    <row r="716" s="869" customFormat="1" ht="11.25" customHeight="1" x14ac:dyDescent="0.2"/>
    <row r="717" s="869" customFormat="1" ht="11.25" customHeight="1" x14ac:dyDescent="0.2"/>
    <row r="718" s="869" customFormat="1" ht="11.25" customHeight="1" x14ac:dyDescent="0.2"/>
    <row r="719" s="869" customFormat="1" ht="11.25" customHeight="1" x14ac:dyDescent="0.2"/>
    <row r="720" s="869" customFormat="1" ht="11.25" customHeight="1" x14ac:dyDescent="0.2"/>
    <row r="721" s="869" customFormat="1" ht="11.25" customHeight="1" x14ac:dyDescent="0.2"/>
    <row r="722" s="869" customFormat="1" ht="11.25" customHeight="1" x14ac:dyDescent="0.2"/>
    <row r="723" s="869" customFormat="1" ht="11.25" customHeight="1" x14ac:dyDescent="0.2"/>
    <row r="724" s="869" customFormat="1" ht="11.25" customHeight="1" x14ac:dyDescent="0.2"/>
    <row r="725" s="869" customFormat="1" ht="11.25" customHeight="1" x14ac:dyDescent="0.2"/>
    <row r="726" s="869" customFormat="1" ht="11.25" customHeight="1" x14ac:dyDescent="0.2"/>
    <row r="727" s="869" customFormat="1" ht="11.25" customHeight="1" x14ac:dyDescent="0.2"/>
    <row r="728" s="869" customFormat="1" ht="11.25" customHeight="1" x14ac:dyDescent="0.2"/>
    <row r="729" s="869" customFormat="1" ht="11.25" customHeight="1" x14ac:dyDescent="0.2"/>
    <row r="730" s="869" customFormat="1" ht="11.25" customHeight="1" x14ac:dyDescent="0.2"/>
    <row r="731" s="869" customFormat="1" ht="11.25" customHeight="1" x14ac:dyDescent="0.2"/>
    <row r="732" s="869" customFormat="1" ht="11.25" customHeight="1" x14ac:dyDescent="0.2"/>
    <row r="733" s="869" customFormat="1" ht="11.25" customHeight="1" x14ac:dyDescent="0.2"/>
    <row r="734" s="869" customFormat="1" ht="11.25" customHeight="1" x14ac:dyDescent="0.2"/>
    <row r="735" s="869" customFormat="1" ht="11.25" customHeight="1" x14ac:dyDescent="0.2"/>
    <row r="736" s="869" customFormat="1" ht="11.25" customHeight="1" x14ac:dyDescent="0.2"/>
    <row r="737" s="869" customFormat="1" ht="11.25" customHeight="1" x14ac:dyDescent="0.2"/>
    <row r="738" s="869" customFormat="1" ht="11.25" customHeight="1" x14ac:dyDescent="0.2"/>
    <row r="739" s="869" customFormat="1" ht="11.25" customHeight="1" x14ac:dyDescent="0.2"/>
    <row r="740" s="869" customFormat="1" ht="11.25" customHeight="1" x14ac:dyDescent="0.2"/>
    <row r="741" s="869" customFormat="1" ht="11.25" customHeight="1" x14ac:dyDescent="0.2"/>
    <row r="742" s="869" customFormat="1" ht="11.25" customHeight="1" x14ac:dyDescent="0.2"/>
    <row r="743" s="869" customFormat="1" ht="11.25" customHeight="1" x14ac:dyDescent="0.2"/>
    <row r="744" s="869" customFormat="1" ht="11.25" customHeight="1" x14ac:dyDescent="0.2"/>
    <row r="745" s="869" customFormat="1" ht="11.25" customHeight="1" x14ac:dyDescent="0.2"/>
    <row r="746" s="869" customFormat="1" ht="11.25" customHeight="1" x14ac:dyDescent="0.2"/>
    <row r="747" s="869" customFormat="1" ht="11.25" customHeight="1" x14ac:dyDescent="0.2"/>
    <row r="748" s="869" customFormat="1" ht="11.25" customHeight="1" x14ac:dyDescent="0.2"/>
    <row r="749" s="869" customFormat="1" ht="11.25" customHeight="1" x14ac:dyDescent="0.2"/>
    <row r="750" s="869" customFormat="1" ht="11.25" customHeight="1" x14ac:dyDescent="0.2"/>
    <row r="751" s="869" customFormat="1" ht="11.25" customHeight="1" x14ac:dyDescent="0.2"/>
    <row r="752" s="869" customFormat="1" ht="11.25" customHeight="1" x14ac:dyDescent="0.2"/>
    <row r="753" s="869" customFormat="1" ht="11.25" customHeight="1" x14ac:dyDescent="0.2"/>
    <row r="754" s="869" customFormat="1" ht="11.25" customHeight="1" x14ac:dyDescent="0.2"/>
    <row r="755" s="869" customFormat="1" ht="11.25" customHeight="1" x14ac:dyDescent="0.2"/>
    <row r="756" s="869" customFormat="1" ht="11.25" customHeight="1" x14ac:dyDescent="0.2"/>
    <row r="757" s="869" customFormat="1" ht="11.25" customHeight="1" x14ac:dyDescent="0.2"/>
    <row r="758" s="869" customFormat="1" ht="11.25" customHeight="1" x14ac:dyDescent="0.2"/>
    <row r="759" s="869" customFormat="1" ht="11.25" customHeight="1" x14ac:dyDescent="0.2"/>
    <row r="760" s="869" customFormat="1" ht="11.25" customHeight="1" x14ac:dyDescent="0.2"/>
    <row r="761" s="869" customFormat="1" ht="11.25" customHeight="1" x14ac:dyDescent="0.2"/>
    <row r="762" s="869" customFormat="1" ht="11.25" customHeight="1" x14ac:dyDescent="0.2"/>
    <row r="763" s="869" customFormat="1" ht="11.25" customHeight="1" x14ac:dyDescent="0.2"/>
    <row r="764" s="869" customFormat="1" ht="11.25" customHeight="1" x14ac:dyDescent="0.2"/>
    <row r="765" s="869" customFormat="1" ht="11.25" customHeight="1" x14ac:dyDescent="0.2"/>
    <row r="766" s="869" customFormat="1" ht="11.25" customHeight="1" x14ac:dyDescent="0.2"/>
    <row r="767" s="869" customFormat="1" ht="11.25" customHeight="1" x14ac:dyDescent="0.2"/>
    <row r="768" s="869" customFormat="1" ht="11.25" customHeight="1" x14ac:dyDescent="0.2"/>
    <row r="769" s="869" customFormat="1" ht="11.25" customHeight="1" x14ac:dyDescent="0.2"/>
    <row r="770" s="869" customFormat="1" ht="11.25" customHeight="1" x14ac:dyDescent="0.2"/>
    <row r="771" s="869" customFormat="1" ht="11.25" customHeight="1" x14ac:dyDescent="0.2"/>
    <row r="772" s="869" customFormat="1" ht="11.25" customHeight="1" x14ac:dyDescent="0.2"/>
    <row r="773" s="869" customFormat="1" ht="11.25" customHeight="1" x14ac:dyDescent="0.2"/>
    <row r="774" s="869" customFormat="1" ht="11.25" customHeight="1" x14ac:dyDescent="0.2"/>
    <row r="775" s="869" customFormat="1" ht="11.25" customHeight="1" x14ac:dyDescent="0.2"/>
    <row r="776" s="869" customFormat="1" ht="11.25" customHeight="1" x14ac:dyDescent="0.2"/>
    <row r="777" s="869" customFormat="1" ht="11.25" customHeight="1" x14ac:dyDescent="0.2"/>
    <row r="778" s="869" customFormat="1" ht="11.25" customHeight="1" x14ac:dyDescent="0.2"/>
    <row r="779" s="869" customFormat="1" ht="11.25" customHeight="1" x14ac:dyDescent="0.2"/>
    <row r="780" s="869" customFormat="1" ht="11.25" customHeight="1" x14ac:dyDescent="0.2"/>
    <row r="781" s="869" customFormat="1" ht="11.25" customHeight="1" x14ac:dyDescent="0.2"/>
    <row r="782" s="869" customFormat="1" ht="11.25" customHeight="1" x14ac:dyDescent="0.2"/>
    <row r="783" s="869" customFormat="1" ht="11.25" customHeight="1" x14ac:dyDescent="0.2"/>
    <row r="784" s="869" customFormat="1" ht="11.25" customHeight="1" x14ac:dyDescent="0.2"/>
    <row r="785" s="869" customFormat="1" ht="11.25" customHeight="1" x14ac:dyDescent="0.2"/>
    <row r="786" s="869" customFormat="1" ht="11.25" customHeight="1" x14ac:dyDescent="0.2"/>
    <row r="787" s="869" customFormat="1" ht="11.25" customHeight="1" x14ac:dyDescent="0.2"/>
    <row r="788" s="869" customFormat="1" ht="11.25" customHeight="1" x14ac:dyDescent="0.2"/>
    <row r="789" s="869" customFormat="1" ht="11.25" customHeight="1" x14ac:dyDescent="0.2"/>
    <row r="790" s="869" customFormat="1" ht="11.25" customHeight="1" x14ac:dyDescent="0.2"/>
    <row r="791" s="869" customFormat="1" ht="11.25" customHeight="1" x14ac:dyDescent="0.2"/>
    <row r="792" s="869" customFormat="1" ht="11.25" customHeight="1" x14ac:dyDescent="0.2"/>
    <row r="793" s="869" customFormat="1" ht="11.25" customHeight="1" x14ac:dyDescent="0.2"/>
    <row r="794" s="869" customFormat="1" ht="11.25" customHeight="1" x14ac:dyDescent="0.2"/>
    <row r="795" s="869" customFormat="1" ht="11.25" customHeight="1" x14ac:dyDescent="0.2"/>
    <row r="796" s="869" customFormat="1" ht="11.25" customHeight="1" x14ac:dyDescent="0.2"/>
    <row r="797" s="869" customFormat="1" ht="11.25" customHeight="1" x14ac:dyDescent="0.2"/>
    <row r="798" s="869" customFormat="1" ht="11.25" customHeight="1" x14ac:dyDescent="0.2"/>
    <row r="799" s="869" customFormat="1" ht="11.25" customHeight="1" x14ac:dyDescent="0.2"/>
    <row r="800" s="869" customFormat="1" ht="11.25" customHeight="1" x14ac:dyDescent="0.2"/>
    <row r="801" s="869" customFormat="1" ht="11.25" customHeight="1" x14ac:dyDescent="0.2"/>
    <row r="802" s="869" customFormat="1" ht="11.25" customHeight="1" x14ac:dyDescent="0.2"/>
    <row r="803" s="869" customFormat="1" ht="11.25" customHeight="1" x14ac:dyDescent="0.2"/>
    <row r="804" s="869" customFormat="1" ht="11.25" customHeight="1" x14ac:dyDescent="0.2"/>
    <row r="805" s="869" customFormat="1" ht="11.25" customHeight="1" x14ac:dyDescent="0.2"/>
    <row r="806" s="869" customFormat="1" ht="11.25" customHeight="1" x14ac:dyDescent="0.2"/>
    <row r="807" s="869" customFormat="1" ht="11.25" customHeight="1" x14ac:dyDescent="0.2"/>
    <row r="808" s="869" customFormat="1" ht="11.25" customHeight="1" x14ac:dyDescent="0.2"/>
    <row r="809" s="869" customFormat="1" ht="11.25" customHeight="1" x14ac:dyDescent="0.2"/>
    <row r="810" s="869" customFormat="1" ht="11.25" customHeight="1" x14ac:dyDescent="0.2"/>
    <row r="811" s="869" customFormat="1" ht="11.25" customHeight="1" x14ac:dyDescent="0.2"/>
    <row r="812" s="869" customFormat="1" ht="11.25" customHeight="1" x14ac:dyDescent="0.2"/>
    <row r="813" s="869" customFormat="1" ht="11.25" customHeight="1" x14ac:dyDescent="0.2"/>
    <row r="814" s="869" customFormat="1" ht="11.25" customHeight="1" x14ac:dyDescent="0.2"/>
    <row r="815" s="869" customFormat="1" ht="11.25" customHeight="1" x14ac:dyDescent="0.2"/>
    <row r="816" s="869" customFormat="1" ht="11.25" customHeight="1" x14ac:dyDescent="0.2"/>
    <row r="817" s="869" customFormat="1" ht="11.25" customHeight="1" x14ac:dyDescent="0.2"/>
    <row r="818" s="869" customFormat="1" ht="11.25" customHeight="1" x14ac:dyDescent="0.2"/>
    <row r="819" s="869" customFormat="1" ht="11.25" customHeight="1" x14ac:dyDescent="0.2"/>
    <row r="820" s="869" customFormat="1" ht="11.25" customHeight="1" x14ac:dyDescent="0.2"/>
    <row r="821" s="869" customFormat="1" ht="11.25" customHeight="1" x14ac:dyDescent="0.2"/>
    <row r="822" s="869" customFormat="1" ht="11.25" customHeight="1" x14ac:dyDescent="0.2"/>
    <row r="823" s="869" customFormat="1" ht="11.25" customHeight="1" x14ac:dyDescent="0.2"/>
    <row r="824" s="869" customFormat="1" ht="11.25" customHeight="1" x14ac:dyDescent="0.2"/>
    <row r="825" s="869" customFormat="1" ht="11.25" customHeight="1" x14ac:dyDescent="0.2"/>
    <row r="826" s="869" customFormat="1" ht="11.25" customHeight="1" x14ac:dyDescent="0.2"/>
    <row r="827" s="869" customFormat="1" ht="11.25" customHeight="1" x14ac:dyDescent="0.2"/>
    <row r="828" s="869" customFormat="1" ht="11.25" customHeight="1" x14ac:dyDescent="0.2"/>
    <row r="829" s="869" customFormat="1" ht="11.25" customHeight="1" x14ac:dyDescent="0.2"/>
    <row r="830" s="869" customFormat="1" ht="11.25" customHeight="1" x14ac:dyDescent="0.2"/>
    <row r="831" s="869" customFormat="1" ht="11.25" customHeight="1" x14ac:dyDescent="0.2"/>
    <row r="832" s="869" customFormat="1" ht="11.25" customHeight="1" x14ac:dyDescent="0.2"/>
    <row r="833" s="869" customFormat="1" ht="11.25" customHeight="1" x14ac:dyDescent="0.2"/>
    <row r="834" s="869" customFormat="1" ht="11.25" customHeight="1" x14ac:dyDescent="0.2"/>
    <row r="835" s="869" customFormat="1" ht="11.25" customHeight="1" x14ac:dyDescent="0.2"/>
    <row r="836" s="869" customFormat="1" ht="11.25" customHeight="1" x14ac:dyDescent="0.2"/>
    <row r="837" s="869" customFormat="1" ht="11.25" customHeight="1" x14ac:dyDescent="0.2"/>
    <row r="838" s="869" customFormat="1" ht="11.25" customHeight="1" x14ac:dyDescent="0.2"/>
    <row r="839" s="869" customFormat="1" ht="11.25" customHeight="1" x14ac:dyDescent="0.2"/>
    <row r="840" s="869" customFormat="1" ht="11.25" customHeight="1" x14ac:dyDescent="0.2"/>
    <row r="841" s="869" customFormat="1" ht="11.25" customHeight="1" x14ac:dyDescent="0.2"/>
    <row r="842" s="869" customFormat="1" ht="11.25" customHeight="1" x14ac:dyDescent="0.2"/>
    <row r="843" s="869" customFormat="1" ht="11.25" customHeight="1" x14ac:dyDescent="0.2"/>
    <row r="844" s="869" customFormat="1" ht="11.25" customHeight="1" x14ac:dyDescent="0.2"/>
    <row r="845" s="869" customFormat="1" ht="11.25" customHeight="1" x14ac:dyDescent="0.2"/>
    <row r="846" s="869" customFormat="1" ht="11.25" customHeight="1" x14ac:dyDescent="0.2"/>
    <row r="847" s="869" customFormat="1" ht="11.25" customHeight="1" x14ac:dyDescent="0.2"/>
    <row r="848" s="869" customFormat="1" ht="11.25" customHeight="1" x14ac:dyDescent="0.2"/>
    <row r="849" s="869" customFormat="1" ht="11.25" customHeight="1" x14ac:dyDescent="0.2"/>
    <row r="850" s="869" customFormat="1" ht="11.25" customHeight="1" x14ac:dyDescent="0.2"/>
    <row r="851" s="869" customFormat="1" ht="11.25" customHeight="1" x14ac:dyDescent="0.2"/>
    <row r="852" s="869" customFormat="1" ht="11.25" customHeight="1" x14ac:dyDescent="0.2"/>
    <row r="853" s="869" customFormat="1" ht="11.25" customHeight="1" x14ac:dyDescent="0.2"/>
    <row r="854" s="869" customFormat="1" ht="11.25" customHeight="1" x14ac:dyDescent="0.2"/>
    <row r="855" s="869" customFormat="1" ht="11.25" customHeight="1" x14ac:dyDescent="0.2"/>
    <row r="856" s="869" customFormat="1" ht="11.25" customHeight="1" x14ac:dyDescent="0.2"/>
    <row r="857" s="869" customFormat="1" ht="11.25" customHeight="1" x14ac:dyDescent="0.2"/>
    <row r="858" s="869" customFormat="1" ht="11.25" customHeight="1" x14ac:dyDescent="0.2"/>
    <row r="859" s="869" customFormat="1" ht="11.25" customHeight="1" x14ac:dyDescent="0.2"/>
    <row r="860" s="869" customFormat="1" ht="11.25" customHeight="1" x14ac:dyDescent="0.2"/>
    <row r="861" s="869" customFormat="1" ht="11.25" customHeight="1" x14ac:dyDescent="0.2"/>
    <row r="862" s="869" customFormat="1" ht="11.25" customHeight="1" x14ac:dyDescent="0.2"/>
    <row r="863" s="869" customFormat="1" ht="11.25" customHeight="1" x14ac:dyDescent="0.2"/>
    <row r="864" s="869" customFormat="1" ht="11.25" customHeight="1" x14ac:dyDescent="0.2"/>
    <row r="865" s="869" customFormat="1" ht="11.25" customHeight="1" x14ac:dyDescent="0.2"/>
    <row r="866" s="869" customFormat="1" ht="11.25" customHeight="1" x14ac:dyDescent="0.2"/>
    <row r="867" s="869" customFormat="1" ht="11.25" customHeight="1" x14ac:dyDescent="0.2"/>
    <row r="868" s="869" customFormat="1" ht="11.25" customHeight="1" x14ac:dyDescent="0.2"/>
    <row r="869" s="869" customFormat="1" ht="11.25" customHeight="1" x14ac:dyDescent="0.2"/>
    <row r="870" s="869" customFormat="1" ht="11.25" customHeight="1" x14ac:dyDescent="0.2"/>
    <row r="871" s="869" customFormat="1" ht="11.25" customHeight="1" x14ac:dyDescent="0.2"/>
    <row r="872" s="869" customFormat="1" ht="11.25" customHeight="1" x14ac:dyDescent="0.2"/>
    <row r="873" s="869" customFormat="1" ht="11.25" customHeight="1" x14ac:dyDescent="0.2"/>
    <row r="874" s="869" customFormat="1" ht="11.25" customHeight="1" x14ac:dyDescent="0.2"/>
    <row r="875" s="869" customFormat="1" ht="11.25" customHeight="1" x14ac:dyDescent="0.2"/>
    <row r="876" s="869" customFormat="1" ht="11.25" customHeight="1" x14ac:dyDescent="0.2"/>
    <row r="877" s="869" customFormat="1" ht="11.25" customHeight="1" x14ac:dyDescent="0.2"/>
    <row r="878" s="869" customFormat="1" ht="11.25" customHeight="1" x14ac:dyDescent="0.2"/>
    <row r="879" s="869" customFormat="1" ht="11.25" customHeight="1" x14ac:dyDescent="0.2"/>
    <row r="880" s="869" customFormat="1" ht="11.25" customHeight="1" x14ac:dyDescent="0.2"/>
    <row r="881" s="869" customFormat="1" ht="11.25" customHeight="1" x14ac:dyDescent="0.2"/>
    <row r="882" s="869" customFormat="1" ht="11.25" customHeight="1" x14ac:dyDescent="0.2"/>
    <row r="883" s="869" customFormat="1" ht="11.25" customHeight="1" x14ac:dyDescent="0.2"/>
    <row r="884" s="869" customFormat="1" ht="11.25" customHeight="1" x14ac:dyDescent="0.2"/>
    <row r="885" s="869" customFormat="1" ht="11.25" customHeight="1" x14ac:dyDescent="0.2"/>
    <row r="886" s="869" customFormat="1" ht="11.25" customHeight="1" x14ac:dyDescent="0.2"/>
    <row r="887" s="869" customFormat="1" ht="11.25" customHeight="1" x14ac:dyDescent="0.2"/>
    <row r="888" s="869" customFormat="1" ht="11.25" customHeight="1" x14ac:dyDescent="0.2"/>
    <row r="889" s="869" customFormat="1" ht="11.25" customHeight="1" x14ac:dyDescent="0.2"/>
    <row r="890" s="869" customFormat="1" ht="11.25" customHeight="1" x14ac:dyDescent="0.2"/>
    <row r="891" s="869" customFormat="1" ht="11.25" customHeight="1" x14ac:dyDescent="0.2"/>
    <row r="892" s="869" customFormat="1" ht="11.25" customHeight="1" x14ac:dyDescent="0.2"/>
    <row r="893" s="869" customFormat="1" ht="11.25" customHeight="1" x14ac:dyDescent="0.2"/>
    <row r="894" s="869" customFormat="1" ht="11.25" customHeight="1" x14ac:dyDescent="0.2"/>
    <row r="895" s="869" customFormat="1" ht="11.25" customHeight="1" x14ac:dyDescent="0.2"/>
    <row r="896" s="869" customFormat="1" ht="11.25" customHeight="1" x14ac:dyDescent="0.2"/>
    <row r="897" s="869" customFormat="1" ht="11.25" customHeight="1" x14ac:dyDescent="0.2"/>
    <row r="898" s="869" customFormat="1" ht="11.25" customHeight="1" x14ac:dyDescent="0.2"/>
    <row r="899" s="869" customFormat="1" ht="11.25" customHeight="1" x14ac:dyDescent="0.2"/>
    <row r="900" s="869" customFormat="1" ht="11.25" customHeight="1" x14ac:dyDescent="0.2"/>
    <row r="901" s="869" customFormat="1" ht="11.25" customHeight="1" x14ac:dyDescent="0.2"/>
    <row r="902" s="869" customFormat="1" ht="11.25" customHeight="1" x14ac:dyDescent="0.2"/>
    <row r="903" s="869" customFormat="1" ht="11.25" customHeight="1" x14ac:dyDescent="0.2"/>
    <row r="904" s="869" customFormat="1" ht="11.25" customHeight="1" x14ac:dyDescent="0.2"/>
    <row r="905" s="869" customFormat="1" ht="11.25" customHeight="1" x14ac:dyDescent="0.2"/>
    <row r="906" s="869" customFormat="1" ht="11.25" customHeight="1" x14ac:dyDescent="0.2"/>
    <row r="907" s="869" customFormat="1" ht="11.25" customHeight="1" x14ac:dyDescent="0.2"/>
    <row r="908" s="869" customFormat="1" ht="11.25" customHeight="1" x14ac:dyDescent="0.2"/>
    <row r="909" s="869" customFormat="1" ht="11.25" customHeight="1" x14ac:dyDescent="0.2"/>
    <row r="910" s="869" customFormat="1" ht="11.25" customHeight="1" x14ac:dyDescent="0.2"/>
    <row r="911" s="869" customFormat="1" ht="11.25" customHeight="1" x14ac:dyDescent="0.2"/>
    <row r="912" s="869" customFormat="1" ht="11.25" customHeight="1" x14ac:dyDescent="0.2"/>
    <row r="913" s="869" customFormat="1" ht="11.25" customHeight="1" x14ac:dyDescent="0.2"/>
    <row r="914" s="869" customFormat="1" ht="11.25" customHeight="1" x14ac:dyDescent="0.2"/>
    <row r="915" s="869" customFormat="1" ht="11.25" customHeight="1" x14ac:dyDescent="0.2"/>
    <row r="916" s="869" customFormat="1" ht="11.25" customHeight="1" x14ac:dyDescent="0.2"/>
    <row r="917" s="869" customFormat="1" ht="11.25" customHeight="1" x14ac:dyDescent="0.2"/>
    <row r="918" s="869" customFormat="1" ht="11.25" customHeight="1" x14ac:dyDescent="0.2"/>
    <row r="919" s="869" customFormat="1" ht="11.25" customHeight="1" x14ac:dyDescent="0.2"/>
    <row r="920" s="869" customFormat="1" ht="11.25" customHeight="1" x14ac:dyDescent="0.2"/>
    <row r="921" s="869" customFormat="1" ht="11.25" customHeight="1" x14ac:dyDescent="0.2"/>
    <row r="922" s="869" customFormat="1" ht="11.25" customHeight="1" x14ac:dyDescent="0.2"/>
    <row r="923" s="869" customFormat="1" ht="11.25" customHeight="1" x14ac:dyDescent="0.2"/>
    <row r="924" s="869" customFormat="1" ht="11.25" customHeight="1" x14ac:dyDescent="0.2"/>
    <row r="925" s="869" customFormat="1" ht="11.25" customHeight="1" x14ac:dyDescent="0.2"/>
    <row r="926" s="869" customFormat="1" ht="11.25" customHeight="1" x14ac:dyDescent="0.2"/>
    <row r="927" s="869" customFormat="1" ht="11.25" customHeight="1" x14ac:dyDescent="0.2"/>
    <row r="928" s="869" customFormat="1" ht="11.25" customHeight="1" x14ac:dyDescent="0.2"/>
    <row r="929" s="869" customFormat="1" ht="11.25" customHeight="1" x14ac:dyDescent="0.2"/>
    <row r="930" s="869" customFormat="1" ht="11.25" customHeight="1" x14ac:dyDescent="0.2"/>
    <row r="931" s="869" customFormat="1" ht="11.25" customHeight="1" x14ac:dyDescent="0.2"/>
    <row r="932" s="869" customFormat="1" ht="11.25" customHeight="1" x14ac:dyDescent="0.2"/>
    <row r="933" s="869" customFormat="1" ht="11.25" customHeight="1" x14ac:dyDescent="0.2"/>
    <row r="934" s="869" customFormat="1" ht="11.25" customHeight="1" x14ac:dyDescent="0.2"/>
    <row r="935" s="869" customFormat="1" ht="11.25" customHeight="1" x14ac:dyDescent="0.2"/>
    <row r="936" s="869" customFormat="1" ht="11.25" customHeight="1" x14ac:dyDescent="0.2"/>
    <row r="937" s="869" customFormat="1" ht="11.25" customHeight="1" x14ac:dyDescent="0.2"/>
    <row r="938" s="869" customFormat="1" ht="11.25" customHeight="1" x14ac:dyDescent="0.2"/>
    <row r="939" s="869" customFormat="1" ht="11.25" customHeight="1" x14ac:dyDescent="0.2"/>
    <row r="940" s="869" customFormat="1" ht="11.25" customHeight="1" x14ac:dyDescent="0.2"/>
    <row r="941" s="869" customFormat="1" ht="11.25" customHeight="1" x14ac:dyDescent="0.2"/>
    <row r="942" s="869" customFormat="1" ht="11.25" customHeight="1" x14ac:dyDescent="0.2"/>
    <row r="943" s="869" customFormat="1" ht="11.25" customHeight="1" x14ac:dyDescent="0.2"/>
    <row r="944" s="869" customFormat="1" ht="11.25" customHeight="1" x14ac:dyDescent="0.2"/>
    <row r="945" s="869" customFormat="1" ht="11.25" customHeight="1" x14ac:dyDescent="0.2"/>
    <row r="946" s="869" customFormat="1" ht="11.25" customHeight="1" x14ac:dyDescent="0.2"/>
    <row r="947" s="869" customFormat="1" ht="11.25" customHeight="1" x14ac:dyDescent="0.2"/>
    <row r="948" s="869" customFormat="1" ht="11.25" customHeight="1" x14ac:dyDescent="0.2"/>
    <row r="949" s="869" customFormat="1" ht="11.25" customHeight="1" x14ac:dyDescent="0.2"/>
    <row r="950" s="869" customFormat="1" ht="11.25" customHeight="1" x14ac:dyDescent="0.2"/>
    <row r="951" s="869" customFormat="1" ht="11.25" customHeight="1" x14ac:dyDescent="0.2"/>
    <row r="952" s="869" customFormat="1" ht="11.25" customHeight="1" x14ac:dyDescent="0.2"/>
    <row r="953" s="869" customFormat="1" ht="11.25" customHeight="1" x14ac:dyDescent="0.2"/>
    <row r="954" s="869" customFormat="1" ht="11.25" customHeight="1" x14ac:dyDescent="0.2"/>
    <row r="955" s="869" customFormat="1" ht="11.25" customHeight="1" x14ac:dyDescent="0.2"/>
    <row r="956" s="869" customFormat="1" ht="11.25" customHeight="1" x14ac:dyDescent="0.2"/>
    <row r="957" s="869" customFormat="1" ht="11.25" customHeight="1" x14ac:dyDescent="0.2"/>
    <row r="958" s="869" customFormat="1" ht="11.25" customHeight="1" x14ac:dyDescent="0.2"/>
    <row r="959" s="869" customFormat="1" ht="11.25" customHeight="1" x14ac:dyDescent="0.2"/>
    <row r="960" s="869" customFormat="1" ht="11.25" customHeight="1" x14ac:dyDescent="0.2"/>
    <row r="961" s="869" customFormat="1" ht="11.25" customHeight="1" x14ac:dyDescent="0.2"/>
    <row r="962" s="869" customFormat="1" ht="11.25" customHeight="1" x14ac:dyDescent="0.2"/>
    <row r="963" s="869" customFormat="1" ht="11.25" customHeight="1" x14ac:dyDescent="0.2"/>
    <row r="964" s="869" customFormat="1" ht="11.25" customHeight="1" x14ac:dyDescent="0.2"/>
    <row r="965" s="869" customFormat="1" ht="11.25" customHeight="1" x14ac:dyDescent="0.2"/>
    <row r="966" s="869" customFormat="1" ht="11.25" customHeight="1" x14ac:dyDescent="0.2"/>
    <row r="967" s="869" customFormat="1" ht="11.25" customHeight="1" x14ac:dyDescent="0.2"/>
    <row r="968" s="869" customFormat="1" ht="11.25" customHeight="1" x14ac:dyDescent="0.2"/>
    <row r="969" s="869" customFormat="1" ht="11.25" customHeight="1" x14ac:dyDescent="0.2"/>
    <row r="970" s="869" customFormat="1" ht="11.25" customHeight="1" x14ac:dyDescent="0.2"/>
    <row r="971" s="869" customFormat="1" ht="11.25" customHeight="1" x14ac:dyDescent="0.2"/>
    <row r="972" s="869" customFormat="1" ht="11.25" customHeight="1" x14ac:dyDescent="0.2"/>
    <row r="973" s="869" customFormat="1" ht="11.25" customHeight="1" x14ac:dyDescent="0.2"/>
    <row r="974" s="869" customFormat="1" ht="11.25" customHeight="1" x14ac:dyDescent="0.2"/>
    <row r="975" s="869" customFormat="1" ht="11.25" customHeight="1" x14ac:dyDescent="0.2"/>
    <row r="976" s="869" customFormat="1" ht="11.25" customHeight="1" x14ac:dyDescent="0.2"/>
    <row r="977" s="869" customFormat="1" ht="11.25" customHeight="1" x14ac:dyDescent="0.2"/>
    <row r="978" s="869" customFormat="1" ht="11.25" customHeight="1" x14ac:dyDescent="0.2"/>
    <row r="979" s="869" customFormat="1" ht="11.25" customHeight="1" x14ac:dyDescent="0.2"/>
    <row r="980" s="869" customFormat="1" ht="11.25" customHeight="1" x14ac:dyDescent="0.2"/>
    <row r="981" s="869" customFormat="1" ht="11.25" customHeight="1" x14ac:dyDescent="0.2"/>
    <row r="982" s="869" customFormat="1" ht="11.25" customHeight="1" x14ac:dyDescent="0.2"/>
    <row r="983" s="869" customFormat="1" ht="11.25" customHeight="1" x14ac:dyDescent="0.2"/>
    <row r="984" s="869" customFormat="1" ht="11.25" customHeight="1" x14ac:dyDescent="0.2"/>
    <row r="985" s="869" customFormat="1" ht="11.25" customHeight="1" x14ac:dyDescent="0.2"/>
    <row r="986" s="869" customFormat="1" ht="11.25" customHeight="1" x14ac:dyDescent="0.2"/>
    <row r="987" s="869" customFormat="1" ht="11.25" customHeight="1" x14ac:dyDescent="0.2"/>
    <row r="988" s="869" customFormat="1" ht="11.25" customHeight="1" x14ac:dyDescent="0.2"/>
    <row r="989" s="869" customFormat="1" ht="11.25" customHeight="1" x14ac:dyDescent="0.2"/>
    <row r="990" s="869" customFormat="1" ht="11.25" customHeight="1" x14ac:dyDescent="0.2"/>
    <row r="991" s="869" customFormat="1" ht="11.25" customHeight="1" x14ac:dyDescent="0.2"/>
    <row r="992" s="869" customFormat="1" ht="11.25" customHeight="1" x14ac:dyDescent="0.2"/>
    <row r="993" s="869" customFormat="1" ht="11.25" customHeight="1" x14ac:dyDescent="0.2"/>
    <row r="994" s="869" customFormat="1" ht="11.25" customHeight="1" x14ac:dyDescent="0.2"/>
    <row r="995" s="869" customFormat="1" ht="11.25" customHeight="1" x14ac:dyDescent="0.2"/>
    <row r="996" s="869" customFormat="1" ht="11.25" customHeight="1" x14ac:dyDescent="0.2"/>
    <row r="997" s="869" customFormat="1" ht="11.25" customHeight="1" x14ac:dyDescent="0.2"/>
    <row r="998" s="869" customFormat="1" ht="11.25" customHeight="1" x14ac:dyDescent="0.2"/>
    <row r="999" s="869" customFormat="1" ht="11.25" customHeight="1" x14ac:dyDescent="0.2"/>
    <row r="1000" s="869" customFormat="1" ht="11.25" customHeight="1" x14ac:dyDescent="0.2"/>
  </sheetData>
  <printOptions gridLines="1"/>
  <pageMargins left="0.75" right="0.75" top="1" bottom="1" header="0" footer="0"/>
  <pageSetup orientation="portrait"/>
  <colBreaks count="1" manualBreakCount="1">
    <brk id="7" man="1"/>
  </colBreaks>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S994"/>
  <sheetViews>
    <sheetView showGridLines="0" workbookViewId="0"/>
  </sheetViews>
  <sheetFormatPr defaultColWidth="16.83203125" defaultRowHeight="15" customHeight="1" x14ac:dyDescent="0.2"/>
  <cols>
    <col min="1" max="1" width="5" style="869" customWidth="1"/>
    <col min="2" max="2" width="37.6640625" style="869" customWidth="1"/>
    <col min="3" max="3" width="21.33203125" style="869" customWidth="1"/>
    <col min="4" max="4" width="3.83203125" style="869" customWidth="1"/>
    <col min="5" max="5" width="23.6640625" style="869" customWidth="1"/>
    <col min="6" max="6" width="3.83203125" style="869" customWidth="1"/>
    <col min="7" max="7" width="16.6640625" style="869" customWidth="1"/>
    <col min="8" max="8" width="3.83203125" style="869" customWidth="1"/>
    <col min="9" max="9" width="15" style="869" customWidth="1"/>
    <col min="10" max="10" width="4" style="869" customWidth="1"/>
    <col min="11" max="11" width="16" style="869" customWidth="1"/>
    <col min="12" max="12" width="8.83203125" style="869" customWidth="1"/>
    <col min="13" max="13" width="12.6640625" style="869" customWidth="1"/>
    <col min="14" max="15" width="16.33203125" style="869" customWidth="1"/>
    <col min="16" max="29" width="8.83203125" style="869" customWidth="1"/>
    <col min="30" max="16384" width="16.83203125" style="869"/>
  </cols>
  <sheetData>
    <row r="1" spans="1:45" ht="15" customHeight="1" x14ac:dyDescent="0.2">
      <c r="A1" s="885"/>
      <c r="B1" s="885"/>
      <c r="C1" s="885"/>
      <c r="D1" s="885"/>
      <c r="E1" s="885"/>
      <c r="F1" s="885"/>
      <c r="G1" s="885"/>
      <c r="H1" s="885"/>
      <c r="I1" s="885"/>
      <c r="J1" s="885"/>
      <c r="K1" s="885"/>
      <c r="L1" s="885"/>
      <c r="M1" s="885"/>
      <c r="N1" s="885"/>
      <c r="O1" s="885"/>
      <c r="P1" s="885"/>
      <c r="Q1" s="885"/>
      <c r="R1" s="885"/>
      <c r="S1" s="885"/>
      <c r="T1" s="885"/>
      <c r="U1" s="885"/>
      <c r="V1" s="885"/>
      <c r="W1" s="885"/>
      <c r="X1" s="885"/>
      <c r="Y1" s="885"/>
      <c r="Z1" s="885"/>
      <c r="AA1" s="885"/>
      <c r="AB1" s="885"/>
      <c r="AC1" s="885"/>
      <c r="AD1" s="885"/>
      <c r="AE1" s="885"/>
      <c r="AF1" s="885"/>
      <c r="AG1" s="885"/>
      <c r="AH1" s="885"/>
      <c r="AI1" s="885"/>
      <c r="AJ1" s="885"/>
      <c r="AK1" s="885"/>
      <c r="AL1" s="885"/>
      <c r="AM1" s="885"/>
      <c r="AN1" s="873"/>
      <c r="AO1" s="873"/>
      <c r="AP1" s="873"/>
      <c r="AQ1" s="873"/>
      <c r="AR1" s="873"/>
      <c r="AS1" s="873"/>
    </row>
    <row r="2" spans="1:45" ht="15" customHeight="1" x14ac:dyDescent="0.25">
      <c r="B2" s="1022" t="s">
        <v>1038</v>
      </c>
      <c r="C2" s="873"/>
      <c r="D2" s="873"/>
      <c r="E2" s="873"/>
      <c r="F2" s="873"/>
      <c r="G2" s="873"/>
      <c r="H2" s="873"/>
      <c r="I2" s="873"/>
      <c r="J2" s="873"/>
      <c r="K2" s="873"/>
      <c r="L2" s="873"/>
      <c r="M2" s="886"/>
      <c r="N2" s="873"/>
      <c r="O2" s="873"/>
      <c r="P2" s="873"/>
      <c r="Q2" s="873"/>
      <c r="R2" s="873"/>
      <c r="S2" s="873"/>
      <c r="T2" s="873"/>
      <c r="U2" s="873"/>
      <c r="V2" s="873"/>
      <c r="W2" s="873"/>
      <c r="X2" s="873"/>
      <c r="Y2" s="873"/>
      <c r="Z2" s="873"/>
      <c r="AA2" s="873"/>
      <c r="AB2" s="873"/>
      <c r="AC2" s="873"/>
      <c r="AD2" s="873"/>
      <c r="AE2" s="873"/>
      <c r="AF2" s="873"/>
      <c r="AG2" s="873"/>
      <c r="AH2" s="873"/>
      <c r="AI2" s="873"/>
      <c r="AJ2" s="873"/>
      <c r="AK2" s="873"/>
      <c r="AL2" s="873"/>
      <c r="AM2" s="873"/>
      <c r="AN2" s="873"/>
      <c r="AO2" s="873"/>
      <c r="AP2" s="873"/>
      <c r="AQ2" s="873"/>
      <c r="AR2" s="873"/>
      <c r="AS2" s="873"/>
    </row>
    <row r="3" spans="1:45" ht="177.75" customHeight="1" x14ac:dyDescent="0.2">
      <c r="A3" s="873"/>
      <c r="B3" s="873"/>
      <c r="C3" s="873"/>
      <c r="D3" s="873"/>
      <c r="E3" s="873"/>
      <c r="F3" s="873"/>
      <c r="G3" s="873"/>
      <c r="H3" s="873"/>
      <c r="I3" s="873"/>
      <c r="J3" s="873"/>
      <c r="K3" s="873"/>
      <c r="L3" s="873"/>
      <c r="M3" s="873"/>
      <c r="N3" s="873"/>
      <c r="O3" s="873"/>
      <c r="P3" s="873"/>
      <c r="Q3" s="873"/>
      <c r="R3" s="873"/>
      <c r="S3" s="873"/>
      <c r="T3" s="873"/>
      <c r="U3" s="873"/>
      <c r="V3" s="873"/>
      <c r="W3" s="873"/>
      <c r="X3" s="873"/>
      <c r="Y3" s="873"/>
      <c r="Z3" s="873"/>
      <c r="AA3" s="873"/>
      <c r="AB3" s="873"/>
      <c r="AC3" s="873"/>
      <c r="AD3" s="873"/>
      <c r="AE3" s="873"/>
      <c r="AF3" s="873"/>
      <c r="AG3" s="873"/>
      <c r="AH3" s="873"/>
      <c r="AI3" s="873"/>
      <c r="AJ3" s="873"/>
      <c r="AK3" s="873"/>
      <c r="AL3" s="873"/>
      <c r="AM3" s="873"/>
      <c r="AN3" s="873"/>
      <c r="AO3" s="873"/>
      <c r="AP3" s="873"/>
      <c r="AQ3" s="873"/>
      <c r="AR3" s="873"/>
      <c r="AS3" s="873"/>
    </row>
    <row r="4" spans="1:45" ht="15" customHeight="1" x14ac:dyDescent="0.2">
      <c r="A4" s="873"/>
      <c r="B4" s="1432"/>
      <c r="C4" s="1432"/>
      <c r="D4" s="1432"/>
      <c r="E4" s="1432"/>
      <c r="F4" s="1432"/>
      <c r="G4" s="1432"/>
      <c r="H4" s="1432"/>
      <c r="I4" s="1432"/>
      <c r="J4" s="1432"/>
      <c r="K4" s="1432"/>
      <c r="L4" s="873"/>
      <c r="M4" s="873"/>
      <c r="N4" s="873"/>
      <c r="O4" s="873"/>
      <c r="P4" s="873"/>
      <c r="Q4" s="873"/>
      <c r="R4" s="873"/>
      <c r="S4" s="873"/>
      <c r="T4" s="873"/>
      <c r="U4" s="873"/>
      <c r="V4" s="873"/>
      <c r="W4" s="873"/>
      <c r="X4" s="873"/>
      <c r="Y4" s="873"/>
      <c r="Z4" s="873"/>
      <c r="AA4" s="873"/>
      <c r="AB4" s="873"/>
      <c r="AC4" s="873"/>
      <c r="AD4" s="873"/>
      <c r="AE4" s="873"/>
      <c r="AF4" s="873"/>
      <c r="AG4" s="873"/>
      <c r="AH4" s="873"/>
      <c r="AI4" s="873"/>
      <c r="AJ4" s="873"/>
      <c r="AK4" s="873"/>
      <c r="AL4" s="873"/>
      <c r="AM4" s="873"/>
      <c r="AN4" s="873"/>
      <c r="AO4" s="873"/>
      <c r="AP4" s="873"/>
      <c r="AQ4" s="873"/>
      <c r="AR4" s="873"/>
      <c r="AS4" s="873"/>
    </row>
    <row r="5" spans="1:45" ht="15" customHeight="1" x14ac:dyDescent="0.2">
      <c r="A5" s="873"/>
      <c r="B5" s="1465" t="s">
        <v>1039</v>
      </c>
      <c r="C5" s="1433"/>
      <c r="D5" s="1433"/>
      <c r="E5" s="1433"/>
      <c r="F5" s="1433"/>
      <c r="G5" s="1433"/>
      <c r="H5" s="1433"/>
      <c r="I5" s="1433"/>
      <c r="J5" s="1433"/>
      <c r="K5" s="1434"/>
      <c r="L5" s="873"/>
      <c r="M5" s="2022" t="s">
        <v>1</v>
      </c>
      <c r="N5" s="2043"/>
      <c r="P5" s="873"/>
      <c r="Q5" s="873"/>
      <c r="R5" s="873"/>
      <c r="S5" s="873"/>
      <c r="T5" s="873"/>
      <c r="U5" s="873"/>
      <c r="V5" s="873"/>
      <c r="W5" s="873"/>
      <c r="X5" s="873"/>
      <c r="Y5" s="873"/>
      <c r="Z5" s="873"/>
      <c r="AA5" s="873"/>
      <c r="AB5" s="873"/>
      <c r="AC5" s="873"/>
      <c r="AD5" s="873"/>
      <c r="AE5" s="873"/>
      <c r="AF5" s="873"/>
      <c r="AG5" s="873"/>
      <c r="AH5" s="873"/>
      <c r="AI5" s="873"/>
      <c r="AJ5" s="873"/>
      <c r="AK5" s="873"/>
      <c r="AL5" s="873"/>
      <c r="AM5" s="873"/>
      <c r="AN5" s="873"/>
      <c r="AO5" s="873"/>
      <c r="AP5" s="873"/>
      <c r="AQ5" s="873"/>
      <c r="AR5" s="873"/>
      <c r="AS5" s="873"/>
    </row>
    <row r="6" spans="1:45" ht="27" x14ac:dyDescent="0.25">
      <c r="A6" s="873"/>
      <c r="B6" s="1435"/>
      <c r="C6" s="1436" t="s">
        <v>1040</v>
      </c>
      <c r="D6" s="890"/>
      <c r="E6" s="1437" t="s">
        <v>1889</v>
      </c>
      <c r="F6" s="873"/>
      <c r="G6" s="1437" t="s">
        <v>1041</v>
      </c>
      <c r="H6" s="873"/>
      <c r="I6" s="1437" t="s">
        <v>1042</v>
      </c>
      <c r="J6" s="873"/>
      <c r="K6" s="1438"/>
      <c r="L6" s="873"/>
      <c r="M6" s="894"/>
      <c r="N6" s="902" t="str">
        <f>Summary!E3</f>
        <v>AR6 100-yr GWP</v>
      </c>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3"/>
      <c r="AP6" s="873"/>
      <c r="AQ6" s="873"/>
      <c r="AR6" s="873"/>
      <c r="AS6" s="873"/>
    </row>
    <row r="7" spans="1:45" ht="15" customHeight="1" x14ac:dyDescent="0.2">
      <c r="A7" s="873"/>
      <c r="B7" s="1439" t="s">
        <v>1043</v>
      </c>
      <c r="C7" s="905">
        <v>507485</v>
      </c>
      <c r="D7" s="901" t="s">
        <v>1044</v>
      </c>
      <c r="E7" s="956">
        <v>0.44</v>
      </c>
      <c r="F7" s="1440" t="s">
        <v>1045</v>
      </c>
      <c r="G7" s="905">
        <f t="shared" ref="G7:G9" si="0">IF(ISERROR(C7*E7),0,C7*E7)</f>
        <v>223293.4</v>
      </c>
      <c r="H7" s="1440" t="s">
        <v>1045</v>
      </c>
      <c r="I7" s="956">
        <f>G7/1000000</f>
        <v>0.2232934</v>
      </c>
      <c r="J7" s="873"/>
      <c r="K7" s="1441"/>
      <c r="L7" s="873"/>
      <c r="M7" s="894" t="str">
        <f>Summary!C4</f>
        <v>CO2</v>
      </c>
      <c r="N7" s="902">
        <f>Summary!E4</f>
        <v>1</v>
      </c>
      <c r="P7" s="873"/>
      <c r="Q7" s="873"/>
      <c r="R7" s="873"/>
      <c r="S7" s="873"/>
      <c r="T7" s="873"/>
      <c r="U7" s="873"/>
      <c r="V7" s="873"/>
      <c r="W7" s="873"/>
      <c r="X7" s="873"/>
      <c r="Y7" s="873"/>
      <c r="Z7" s="873"/>
      <c r="AA7" s="873"/>
      <c r="AB7" s="873"/>
      <c r="AC7" s="873"/>
      <c r="AD7" s="873"/>
      <c r="AE7" s="873"/>
      <c r="AF7" s="873"/>
      <c r="AG7" s="873"/>
      <c r="AH7" s="873"/>
      <c r="AI7" s="873"/>
      <c r="AJ7" s="873"/>
      <c r="AK7" s="873"/>
      <c r="AL7" s="873"/>
      <c r="AM7" s="873"/>
      <c r="AN7" s="873"/>
      <c r="AO7" s="873"/>
      <c r="AP7" s="873"/>
      <c r="AQ7" s="873"/>
      <c r="AR7" s="873"/>
      <c r="AS7" s="873"/>
    </row>
    <row r="8" spans="1:45" ht="15" customHeight="1" x14ac:dyDescent="0.2">
      <c r="A8" s="873"/>
      <c r="B8" s="1439" t="s">
        <v>1046</v>
      </c>
      <c r="C8" s="905"/>
      <c r="D8" s="901" t="s">
        <v>1044</v>
      </c>
      <c r="E8" s="956">
        <v>0.48400000000000004</v>
      </c>
      <c r="F8" s="1440" t="s">
        <v>1045</v>
      </c>
      <c r="G8" s="905">
        <f t="shared" si="0"/>
        <v>0</v>
      </c>
      <c r="H8" s="1440" t="s">
        <v>1045</v>
      </c>
      <c r="I8" s="905">
        <v>0</v>
      </c>
      <c r="J8" s="873"/>
      <c r="K8" s="1438"/>
      <c r="L8" s="873"/>
      <c r="M8" s="894" t="str">
        <f>Summary!C5</f>
        <v>CH4</v>
      </c>
      <c r="N8" s="902">
        <f>Summary!E5</f>
        <v>27.9</v>
      </c>
      <c r="P8" s="873"/>
      <c r="Q8" s="873"/>
      <c r="R8" s="873"/>
      <c r="S8" s="873"/>
      <c r="T8" s="873"/>
      <c r="U8" s="873"/>
      <c r="V8" s="873"/>
      <c r="W8" s="873"/>
      <c r="X8" s="873"/>
      <c r="Y8" s="873"/>
      <c r="Z8" s="873"/>
      <c r="AA8" s="873"/>
      <c r="AB8" s="873"/>
      <c r="AC8" s="873"/>
      <c r="AD8" s="873"/>
      <c r="AE8" s="873"/>
      <c r="AF8" s="873"/>
      <c r="AG8" s="873"/>
      <c r="AH8" s="873"/>
      <c r="AI8" s="873"/>
      <c r="AJ8" s="873"/>
      <c r="AK8" s="873"/>
      <c r="AL8" s="873"/>
      <c r="AM8" s="873"/>
      <c r="AN8" s="873"/>
      <c r="AO8" s="873"/>
      <c r="AP8" s="873"/>
      <c r="AQ8" s="873"/>
      <c r="AR8" s="873"/>
      <c r="AS8" s="873"/>
    </row>
    <row r="9" spans="1:45" ht="15" customHeight="1" x14ac:dyDescent="0.2">
      <c r="A9" s="873"/>
      <c r="B9" s="1439" t="s">
        <v>1047</v>
      </c>
      <c r="C9" s="1442"/>
      <c r="D9" s="901" t="s">
        <v>1044</v>
      </c>
      <c r="E9" s="956">
        <v>1.7966666666666669</v>
      </c>
      <c r="F9" s="1440" t="s">
        <v>1045</v>
      </c>
      <c r="G9" s="1443">
        <f t="shared" si="0"/>
        <v>0</v>
      </c>
      <c r="H9" s="1440" t="s">
        <v>1045</v>
      </c>
      <c r="I9" s="905">
        <v>0</v>
      </c>
      <c r="J9" s="873"/>
      <c r="K9" s="1438"/>
      <c r="L9" s="873"/>
      <c r="M9" s="894" t="str">
        <f>Summary!C6</f>
        <v>N2O</v>
      </c>
      <c r="N9" s="902">
        <f>Summary!E6</f>
        <v>273</v>
      </c>
      <c r="P9" s="873"/>
      <c r="Q9" s="873"/>
      <c r="R9" s="873"/>
      <c r="S9" s="873"/>
      <c r="T9" s="873"/>
      <c r="U9" s="873"/>
      <c r="V9" s="873"/>
      <c r="W9" s="873"/>
      <c r="X9" s="873"/>
      <c r="Y9" s="873"/>
      <c r="Z9" s="873"/>
      <c r="AA9" s="873"/>
      <c r="AB9" s="873"/>
      <c r="AC9" s="873"/>
      <c r="AD9" s="873"/>
      <c r="AE9" s="873"/>
      <c r="AF9" s="873"/>
      <c r="AG9" s="873"/>
      <c r="AH9" s="873"/>
      <c r="AI9" s="873"/>
      <c r="AJ9" s="873"/>
      <c r="AK9" s="873"/>
      <c r="AL9" s="873"/>
      <c r="AM9" s="873"/>
      <c r="AN9" s="873"/>
      <c r="AO9" s="873"/>
      <c r="AP9" s="873"/>
      <c r="AQ9" s="873"/>
      <c r="AR9" s="873"/>
      <c r="AS9" s="873"/>
    </row>
    <row r="10" spans="1:45" ht="15" customHeight="1" x14ac:dyDescent="0.2">
      <c r="A10" s="873"/>
      <c r="B10" s="1435"/>
      <c r="C10" s="873"/>
      <c r="D10" s="873"/>
      <c r="E10" s="873"/>
      <c r="F10" s="873"/>
      <c r="G10" s="1444" t="s">
        <v>102</v>
      </c>
      <c r="H10" s="1445"/>
      <c r="I10" s="1466">
        <f>SUM(I7:I9)</f>
        <v>0.2232934</v>
      </c>
      <c r="J10" s="873"/>
      <c r="K10" s="1438"/>
      <c r="L10" s="873"/>
      <c r="M10" s="894" t="str">
        <f>Summary!C7</f>
        <v>SF6</v>
      </c>
      <c r="N10" s="909">
        <f>Summary!E7</f>
        <v>24300</v>
      </c>
      <c r="P10" s="873"/>
      <c r="Q10" s="873"/>
      <c r="R10" s="873"/>
      <c r="S10" s="873"/>
      <c r="T10" s="873"/>
      <c r="U10" s="873"/>
      <c r="V10" s="873"/>
      <c r="W10" s="873"/>
      <c r="X10" s="873"/>
      <c r="Y10" s="873"/>
      <c r="Z10" s="873"/>
      <c r="AA10" s="873"/>
      <c r="AB10" s="873"/>
      <c r="AC10" s="873"/>
      <c r="AD10" s="873"/>
      <c r="AE10" s="873"/>
      <c r="AF10" s="873"/>
      <c r="AG10" s="873"/>
      <c r="AH10" s="873"/>
      <c r="AI10" s="873"/>
      <c r="AJ10" s="873"/>
      <c r="AK10" s="873"/>
      <c r="AL10" s="873"/>
      <c r="AM10" s="873"/>
      <c r="AN10" s="873"/>
      <c r="AO10" s="873"/>
      <c r="AP10" s="873"/>
      <c r="AQ10" s="873"/>
      <c r="AR10" s="873"/>
      <c r="AS10" s="873"/>
    </row>
    <row r="11" spans="1:45" ht="15" customHeight="1" x14ac:dyDescent="0.2">
      <c r="A11" s="873"/>
      <c r="B11" s="1446"/>
      <c r="C11" s="1432"/>
      <c r="D11" s="1432"/>
      <c r="E11" s="1432"/>
      <c r="F11" s="1432"/>
      <c r="G11" s="1432"/>
      <c r="H11" s="1432"/>
      <c r="I11" s="1432"/>
      <c r="J11" s="1432"/>
      <c r="K11" s="1447"/>
      <c r="L11" s="873"/>
      <c r="M11" s="873"/>
      <c r="N11" s="873"/>
      <c r="O11" s="873"/>
      <c r="P11" s="873"/>
      <c r="Q11" s="873"/>
      <c r="R11" s="873"/>
      <c r="S11" s="873"/>
      <c r="T11" s="873"/>
      <c r="U11" s="873"/>
      <c r="V11" s="873"/>
      <c r="W11" s="873"/>
      <c r="X11" s="873"/>
      <c r="Y11" s="873"/>
      <c r="Z11" s="873"/>
      <c r="AA11" s="873"/>
      <c r="AB11" s="873"/>
      <c r="AC11" s="873"/>
      <c r="AD11" s="873"/>
      <c r="AE11" s="873"/>
      <c r="AF11" s="873"/>
      <c r="AG11" s="873"/>
      <c r="AH11" s="873"/>
      <c r="AI11" s="873"/>
      <c r="AJ11" s="873"/>
      <c r="AK11" s="873"/>
      <c r="AL11" s="873"/>
      <c r="AM11" s="873"/>
      <c r="AN11" s="873"/>
      <c r="AO11" s="873"/>
      <c r="AP11" s="873"/>
      <c r="AQ11" s="873"/>
      <c r="AR11" s="873"/>
      <c r="AS11" s="873"/>
    </row>
    <row r="12" spans="1:45" ht="12.75" x14ac:dyDescent="0.2">
      <c r="A12" s="873"/>
      <c r="B12" s="1465" t="s">
        <v>1048</v>
      </c>
      <c r="C12" s="1433"/>
      <c r="D12" s="1433"/>
      <c r="E12" s="1433"/>
      <c r="F12" s="1433"/>
      <c r="G12" s="1433"/>
      <c r="H12" s="1433"/>
      <c r="I12" s="1433"/>
      <c r="J12" s="1433"/>
      <c r="K12" s="1434"/>
      <c r="L12" s="873"/>
      <c r="M12" s="873"/>
      <c r="N12" s="873"/>
      <c r="O12" s="873"/>
      <c r="P12" s="873"/>
      <c r="Q12" s="873"/>
      <c r="R12" s="873"/>
      <c r="S12" s="873"/>
      <c r="T12" s="873"/>
      <c r="U12" s="873"/>
      <c r="V12" s="873"/>
      <c r="W12" s="873"/>
      <c r="X12" s="873"/>
      <c r="Y12" s="873"/>
      <c r="Z12" s="873"/>
      <c r="AA12" s="873"/>
      <c r="AB12" s="873"/>
      <c r="AC12" s="873"/>
      <c r="AD12" s="873"/>
      <c r="AE12" s="873"/>
      <c r="AF12" s="873"/>
      <c r="AG12" s="873"/>
      <c r="AH12" s="873"/>
      <c r="AI12" s="873"/>
      <c r="AJ12" s="873"/>
      <c r="AK12" s="873"/>
      <c r="AL12" s="873"/>
      <c r="AM12" s="873"/>
      <c r="AN12" s="873"/>
      <c r="AO12" s="873"/>
      <c r="AP12" s="873"/>
      <c r="AQ12" s="873"/>
      <c r="AR12" s="873"/>
      <c r="AS12" s="873"/>
    </row>
    <row r="13" spans="1:45" ht="39" x14ac:dyDescent="0.25">
      <c r="A13" s="873"/>
      <c r="B13" s="1435"/>
      <c r="C13" s="1437" t="s">
        <v>1049</v>
      </c>
      <c r="D13" s="890"/>
      <c r="E13" s="1437" t="s">
        <v>1889</v>
      </c>
      <c r="F13" s="873"/>
      <c r="G13" s="1437" t="s">
        <v>1041</v>
      </c>
      <c r="H13" s="873"/>
      <c r="I13" s="1437" t="s">
        <v>1042</v>
      </c>
      <c r="J13" s="873"/>
      <c r="K13" s="1438"/>
      <c r="L13" s="873"/>
      <c r="M13" s="873"/>
      <c r="N13" s="873"/>
      <c r="O13" s="873"/>
      <c r="P13" s="873"/>
      <c r="Q13" s="873"/>
      <c r="R13" s="873"/>
      <c r="S13" s="873"/>
      <c r="T13" s="873"/>
      <c r="U13" s="873"/>
      <c r="V13" s="873"/>
      <c r="W13" s="873"/>
      <c r="X13" s="873"/>
      <c r="Y13" s="873"/>
      <c r="Z13" s="873"/>
      <c r="AA13" s="873"/>
      <c r="AB13" s="873"/>
      <c r="AC13" s="873"/>
      <c r="AD13" s="873"/>
      <c r="AE13" s="873"/>
      <c r="AF13" s="873"/>
      <c r="AG13" s="873"/>
      <c r="AH13" s="873"/>
      <c r="AI13" s="873"/>
      <c r="AJ13" s="873"/>
      <c r="AK13" s="873"/>
      <c r="AL13" s="873"/>
      <c r="AM13" s="873"/>
      <c r="AN13" s="873"/>
      <c r="AO13" s="873"/>
      <c r="AP13" s="873"/>
      <c r="AQ13" s="873"/>
      <c r="AR13" s="873"/>
      <c r="AS13" s="873"/>
    </row>
    <row r="14" spans="1:45" ht="15" customHeight="1" x14ac:dyDescent="0.2">
      <c r="A14" s="873"/>
      <c r="B14" s="1439" t="s">
        <v>1050</v>
      </c>
      <c r="C14" s="905">
        <v>0</v>
      </c>
      <c r="D14" s="901" t="s">
        <v>1044</v>
      </c>
      <c r="E14" s="956">
        <v>9.74E-2</v>
      </c>
      <c r="F14" s="1440" t="s">
        <v>1045</v>
      </c>
      <c r="G14" s="905">
        <f t="shared" ref="G14:G15" si="1">IF(ISERROR(C14*E14),0,C14*E14)</f>
        <v>0</v>
      </c>
      <c r="H14" s="1440" t="s">
        <v>1045</v>
      </c>
      <c r="I14" s="905">
        <v>0</v>
      </c>
      <c r="J14" s="873"/>
      <c r="K14" s="1438"/>
      <c r="L14" s="873"/>
      <c r="M14" s="873"/>
      <c r="N14" s="873"/>
      <c r="O14" s="873"/>
      <c r="P14" s="873"/>
      <c r="Q14" s="873"/>
      <c r="R14" s="873"/>
      <c r="S14" s="873"/>
      <c r="T14" s="873"/>
      <c r="U14" s="873"/>
      <c r="V14" s="873"/>
      <c r="W14" s="873"/>
      <c r="X14" s="873"/>
      <c r="Y14" s="873"/>
      <c r="Z14" s="873"/>
      <c r="AA14" s="873"/>
      <c r="AB14" s="873"/>
      <c r="AC14" s="873"/>
      <c r="AD14" s="873"/>
      <c r="AE14" s="873"/>
      <c r="AF14" s="873"/>
      <c r="AG14" s="873"/>
      <c r="AH14" s="873"/>
      <c r="AI14" s="873"/>
      <c r="AJ14" s="873"/>
      <c r="AK14" s="873"/>
      <c r="AL14" s="873"/>
      <c r="AM14" s="873"/>
      <c r="AN14" s="873"/>
      <c r="AO14" s="873"/>
      <c r="AP14" s="873"/>
      <c r="AQ14" s="873"/>
      <c r="AR14" s="873"/>
      <c r="AS14" s="873"/>
    </row>
    <row r="15" spans="1:45" ht="15" customHeight="1" x14ac:dyDescent="0.2">
      <c r="A15" s="873"/>
      <c r="B15" s="1439" t="s">
        <v>30</v>
      </c>
      <c r="C15" s="905">
        <v>82264</v>
      </c>
      <c r="D15" s="901" t="s">
        <v>1044</v>
      </c>
      <c r="E15" s="956">
        <v>0.41499999999999998</v>
      </c>
      <c r="F15" s="1440" t="s">
        <v>1045</v>
      </c>
      <c r="G15" s="905">
        <f t="shared" si="1"/>
        <v>34139.56</v>
      </c>
      <c r="H15" s="1440" t="s">
        <v>1045</v>
      </c>
      <c r="I15" s="956">
        <f>G15/1000000</f>
        <v>3.4139559999999999E-2</v>
      </c>
      <c r="J15" s="873"/>
      <c r="K15" s="1438"/>
      <c r="L15" s="873"/>
      <c r="M15" s="873"/>
      <c r="N15" s="873"/>
      <c r="O15" s="873"/>
      <c r="P15" s="873"/>
      <c r="Q15" s="873"/>
      <c r="R15" s="873"/>
      <c r="S15" s="873"/>
      <c r="T15" s="873"/>
      <c r="U15" s="873"/>
      <c r="V15" s="873"/>
      <c r="W15" s="873"/>
      <c r="X15" s="873"/>
      <c r="Y15" s="873"/>
      <c r="Z15" s="873"/>
      <c r="AA15" s="873"/>
      <c r="AB15" s="873"/>
      <c r="AC15" s="873"/>
      <c r="AD15" s="873"/>
      <c r="AE15" s="873"/>
      <c r="AF15" s="873"/>
      <c r="AG15" s="873"/>
      <c r="AH15" s="873"/>
      <c r="AI15" s="873"/>
      <c r="AJ15" s="873"/>
      <c r="AK15" s="873"/>
      <c r="AL15" s="873"/>
      <c r="AM15" s="873"/>
      <c r="AN15" s="873"/>
      <c r="AO15" s="873"/>
      <c r="AP15" s="873"/>
      <c r="AQ15" s="873"/>
      <c r="AR15" s="873"/>
      <c r="AS15" s="873"/>
    </row>
    <row r="16" spans="1:45" ht="15" customHeight="1" x14ac:dyDescent="0.2">
      <c r="A16" s="873"/>
      <c r="B16" s="1435"/>
      <c r="C16" s="873"/>
      <c r="D16" s="873"/>
      <c r="E16" s="873"/>
      <c r="F16" s="873"/>
      <c r="G16" s="1444" t="s">
        <v>102</v>
      </c>
      <c r="H16" s="1445"/>
      <c r="I16" s="1466">
        <f>SUM(I14:I15)</f>
        <v>3.4139559999999999E-2</v>
      </c>
      <c r="J16" s="873"/>
      <c r="K16" s="1438"/>
      <c r="L16" s="873"/>
      <c r="M16" s="873"/>
      <c r="N16" s="873"/>
      <c r="O16" s="873"/>
      <c r="P16" s="873"/>
      <c r="Q16" s="873"/>
      <c r="R16" s="873"/>
      <c r="S16" s="873"/>
      <c r="T16" s="873"/>
      <c r="U16" s="873"/>
      <c r="V16" s="873"/>
      <c r="W16" s="873"/>
      <c r="X16" s="873"/>
      <c r="Y16" s="873"/>
      <c r="Z16" s="873"/>
      <c r="AA16" s="873"/>
      <c r="AB16" s="873"/>
      <c r="AC16" s="873"/>
      <c r="AD16" s="873"/>
      <c r="AE16" s="873"/>
      <c r="AF16" s="873"/>
      <c r="AG16" s="873"/>
      <c r="AH16" s="873"/>
      <c r="AI16" s="873"/>
      <c r="AJ16" s="873"/>
      <c r="AK16" s="873"/>
      <c r="AL16" s="873"/>
      <c r="AM16" s="873"/>
      <c r="AN16" s="873"/>
      <c r="AO16" s="873"/>
      <c r="AP16" s="873"/>
      <c r="AQ16" s="873"/>
      <c r="AR16" s="873"/>
      <c r="AS16" s="873"/>
    </row>
    <row r="17" spans="1:45" ht="15" customHeight="1" x14ac:dyDescent="0.2">
      <c r="A17" s="873"/>
      <c r="B17" s="1446"/>
      <c r="C17" s="1432"/>
      <c r="D17" s="1432"/>
      <c r="E17" s="1432"/>
      <c r="F17" s="1432"/>
      <c r="G17" s="1432"/>
      <c r="H17" s="1432"/>
      <c r="I17" s="1432"/>
      <c r="J17" s="1432"/>
      <c r="K17" s="1447"/>
      <c r="L17" s="873"/>
      <c r="M17" s="873"/>
      <c r="N17" s="873"/>
      <c r="O17" s="873"/>
      <c r="P17" s="873"/>
      <c r="Q17" s="873"/>
      <c r="R17" s="873"/>
      <c r="S17" s="873"/>
      <c r="T17" s="873"/>
      <c r="U17" s="873"/>
      <c r="V17" s="873"/>
      <c r="W17" s="873"/>
      <c r="X17" s="873"/>
      <c r="Y17" s="873"/>
      <c r="Z17" s="873"/>
      <c r="AA17" s="873"/>
      <c r="AB17" s="873"/>
      <c r="AC17" s="873"/>
      <c r="AD17" s="873"/>
      <c r="AE17" s="873"/>
      <c r="AF17" s="873"/>
      <c r="AG17" s="873"/>
      <c r="AH17" s="873"/>
      <c r="AI17" s="873"/>
      <c r="AJ17" s="873"/>
      <c r="AK17" s="873"/>
      <c r="AL17" s="873"/>
      <c r="AM17" s="873"/>
      <c r="AN17" s="873"/>
      <c r="AO17" s="873"/>
      <c r="AP17" s="873"/>
      <c r="AQ17" s="873"/>
      <c r="AR17" s="873"/>
      <c r="AS17" s="873"/>
    </row>
    <row r="18" spans="1:45" ht="12.75" x14ac:dyDescent="0.2">
      <c r="A18" s="873"/>
      <c r="B18" s="1465" t="s">
        <v>1052</v>
      </c>
      <c r="C18" s="1433"/>
      <c r="D18" s="1433"/>
      <c r="E18" s="1433"/>
      <c r="F18" s="1433"/>
      <c r="G18" s="1433"/>
      <c r="H18" s="1433"/>
      <c r="I18" s="1433"/>
      <c r="J18" s="1433"/>
      <c r="K18" s="1434"/>
      <c r="L18" s="873"/>
      <c r="M18" s="873"/>
      <c r="N18" s="873"/>
      <c r="O18" s="873"/>
      <c r="P18" s="873"/>
      <c r="Q18" s="873"/>
      <c r="R18" s="873"/>
      <c r="S18" s="873"/>
      <c r="T18" s="873"/>
      <c r="U18" s="873"/>
      <c r="V18" s="873"/>
      <c r="W18" s="873"/>
      <c r="X18" s="873"/>
      <c r="Y18" s="873"/>
      <c r="Z18" s="873"/>
      <c r="AA18" s="873"/>
      <c r="AB18" s="873"/>
      <c r="AC18" s="873"/>
      <c r="AD18" s="873"/>
      <c r="AE18" s="873"/>
      <c r="AF18" s="873"/>
      <c r="AG18" s="873"/>
      <c r="AH18" s="873"/>
      <c r="AI18" s="873"/>
      <c r="AJ18" s="873"/>
      <c r="AK18" s="873"/>
      <c r="AL18" s="873"/>
      <c r="AM18" s="873"/>
      <c r="AN18" s="873"/>
      <c r="AO18" s="873"/>
      <c r="AP18" s="873"/>
      <c r="AQ18" s="873"/>
      <c r="AR18" s="873"/>
      <c r="AS18" s="873"/>
    </row>
    <row r="19" spans="1:45" ht="39" x14ac:dyDescent="0.25">
      <c r="A19" s="873"/>
      <c r="B19" s="1435"/>
      <c r="C19" s="1437" t="s">
        <v>1053</v>
      </c>
      <c r="D19" s="890"/>
      <c r="E19" s="1437" t="s">
        <v>1890</v>
      </c>
      <c r="F19" s="873"/>
      <c r="G19" s="1437" t="s">
        <v>1054</v>
      </c>
      <c r="H19" s="873"/>
      <c r="I19" s="1437" t="s">
        <v>1041</v>
      </c>
      <c r="J19" s="873"/>
      <c r="K19" s="1448" t="s">
        <v>1042</v>
      </c>
      <c r="L19" s="873"/>
      <c r="M19" s="873"/>
      <c r="N19" s="873"/>
      <c r="O19" s="873"/>
      <c r="P19" s="873"/>
      <c r="Q19" s="873"/>
      <c r="R19" s="873"/>
      <c r="S19" s="873"/>
      <c r="T19" s="873"/>
      <c r="U19" s="873"/>
      <c r="V19" s="873"/>
      <c r="W19" s="873"/>
      <c r="X19" s="873"/>
      <c r="Y19" s="873"/>
      <c r="Z19" s="873"/>
      <c r="AA19" s="873"/>
      <c r="AB19" s="873"/>
      <c r="AC19" s="873"/>
      <c r="AD19" s="873"/>
      <c r="AE19" s="873"/>
      <c r="AF19" s="873"/>
      <c r="AG19" s="873"/>
      <c r="AH19" s="873"/>
      <c r="AI19" s="873"/>
      <c r="AJ19" s="873"/>
      <c r="AK19" s="873"/>
      <c r="AL19" s="873"/>
      <c r="AM19" s="873"/>
      <c r="AN19" s="873"/>
      <c r="AO19" s="873"/>
      <c r="AP19" s="873"/>
      <c r="AQ19" s="873"/>
      <c r="AR19" s="873"/>
      <c r="AS19" s="873"/>
    </row>
    <row r="20" spans="1:45" ht="15" customHeight="1" x14ac:dyDescent="0.2">
      <c r="A20" s="873"/>
      <c r="B20" s="1449" t="s">
        <v>1055</v>
      </c>
      <c r="C20" s="905">
        <v>0</v>
      </c>
      <c r="D20" s="901" t="s">
        <v>1044</v>
      </c>
      <c r="E20" s="1450">
        <v>1.2</v>
      </c>
      <c r="F20" s="1440" t="s">
        <v>1056</v>
      </c>
      <c r="G20" s="905">
        <f>I21</f>
        <v>1103.03</v>
      </c>
      <c r="H20" s="901" t="s">
        <v>1057</v>
      </c>
      <c r="I20" s="905">
        <f>IF(C20&gt;0,C20*E20-(G20),0)</f>
        <v>0</v>
      </c>
      <c r="J20" s="1440" t="s">
        <v>1045</v>
      </c>
      <c r="K20" s="1451">
        <f t="shared" ref="K20:K21" si="2">I20/1000000</f>
        <v>0</v>
      </c>
      <c r="L20" s="873"/>
      <c r="M20" s="873"/>
      <c r="N20" s="873"/>
      <c r="O20" s="873"/>
      <c r="P20" s="873"/>
      <c r="Q20" s="873"/>
      <c r="R20" s="873"/>
      <c r="S20" s="873"/>
      <c r="T20" s="873"/>
      <c r="U20" s="873"/>
      <c r="V20" s="873"/>
      <c r="W20" s="873"/>
      <c r="X20" s="873"/>
      <c r="Y20" s="873"/>
      <c r="Z20" s="873"/>
      <c r="AA20" s="873"/>
      <c r="AB20" s="873"/>
      <c r="AC20" s="873"/>
      <c r="AD20" s="873"/>
      <c r="AE20" s="873"/>
      <c r="AF20" s="873"/>
      <c r="AG20" s="873"/>
      <c r="AH20" s="873"/>
      <c r="AI20" s="873"/>
      <c r="AJ20" s="873"/>
      <c r="AK20" s="873"/>
      <c r="AL20" s="873"/>
      <c r="AM20" s="873"/>
      <c r="AN20" s="873"/>
      <c r="AO20" s="873"/>
      <c r="AP20" s="873"/>
      <c r="AQ20" s="873"/>
      <c r="AR20" s="873"/>
      <c r="AS20" s="873"/>
    </row>
    <row r="21" spans="1:45" ht="15" customHeight="1" x14ac:dyDescent="0.2">
      <c r="A21" s="873"/>
      <c r="B21" s="1449" t="s">
        <v>1058</v>
      </c>
      <c r="C21" s="905">
        <v>1511</v>
      </c>
      <c r="D21" s="901" t="s">
        <v>1044</v>
      </c>
      <c r="E21" s="1452">
        <v>0.73</v>
      </c>
      <c r="F21" s="901"/>
      <c r="G21" s="901"/>
      <c r="H21" s="1440" t="s">
        <v>1059</v>
      </c>
      <c r="I21" s="905">
        <f>C21*E21</f>
        <v>1103.03</v>
      </c>
      <c r="J21" s="901" t="s">
        <v>1045</v>
      </c>
      <c r="K21" s="1315">
        <f t="shared" si="2"/>
        <v>1.1030300000000001E-3</v>
      </c>
      <c r="L21" s="873"/>
      <c r="M21" s="873"/>
      <c r="N21" s="873"/>
      <c r="O21" s="873"/>
      <c r="P21" s="873"/>
      <c r="Q21" s="873"/>
      <c r="R21" s="873"/>
      <c r="S21" s="873"/>
      <c r="T21" s="873"/>
      <c r="U21" s="873"/>
      <c r="V21" s="873"/>
      <c r="W21" s="873"/>
      <c r="X21" s="873"/>
      <c r="Y21" s="873"/>
      <c r="Z21" s="873"/>
      <c r="AA21" s="873"/>
      <c r="AB21" s="873"/>
      <c r="AC21" s="873"/>
      <c r="AD21" s="873"/>
      <c r="AE21" s="873"/>
      <c r="AF21" s="873"/>
      <c r="AG21" s="873"/>
      <c r="AH21" s="873"/>
      <c r="AI21" s="873"/>
      <c r="AJ21" s="873"/>
      <c r="AK21" s="873"/>
      <c r="AL21" s="873"/>
      <c r="AM21" s="873"/>
      <c r="AN21" s="873"/>
      <c r="AO21" s="873"/>
      <c r="AP21" s="873"/>
      <c r="AQ21" s="873"/>
      <c r="AR21" s="873"/>
      <c r="AS21" s="873"/>
    </row>
    <row r="22" spans="1:45" ht="15" customHeight="1" x14ac:dyDescent="0.2">
      <c r="A22" s="873"/>
      <c r="B22" s="1435"/>
      <c r="C22" s="873"/>
      <c r="D22" s="873"/>
      <c r="E22" s="873"/>
      <c r="F22" s="873"/>
      <c r="G22" s="873"/>
      <c r="H22" s="873"/>
      <c r="I22" s="1444" t="s">
        <v>102</v>
      </c>
      <c r="J22" s="1445"/>
      <c r="K22" s="1467">
        <f>SUM(K20:K21)</f>
        <v>1.1030300000000001E-3</v>
      </c>
      <c r="L22" s="873"/>
      <c r="M22" s="873"/>
      <c r="N22" s="873"/>
      <c r="O22" s="873"/>
      <c r="P22" s="873"/>
      <c r="Q22" s="873"/>
      <c r="R22" s="873"/>
      <c r="S22" s="873"/>
      <c r="T22" s="873"/>
      <c r="U22" s="873"/>
      <c r="V22" s="873"/>
      <c r="W22" s="873"/>
      <c r="X22" s="873"/>
      <c r="Y22" s="873"/>
      <c r="Z22" s="873"/>
      <c r="AA22" s="873"/>
      <c r="AB22" s="873"/>
      <c r="AC22" s="873"/>
      <c r="AD22" s="873"/>
      <c r="AE22" s="873"/>
      <c r="AF22" s="873"/>
      <c r="AG22" s="873"/>
      <c r="AH22" s="873"/>
      <c r="AI22" s="873"/>
      <c r="AJ22" s="873"/>
      <c r="AK22" s="873"/>
      <c r="AL22" s="873"/>
      <c r="AM22" s="873"/>
      <c r="AN22" s="873"/>
      <c r="AO22" s="873"/>
      <c r="AP22" s="873"/>
      <c r="AQ22" s="873"/>
      <c r="AR22" s="873"/>
      <c r="AS22" s="873"/>
    </row>
    <row r="23" spans="1:45" ht="15" customHeight="1" x14ac:dyDescent="0.2">
      <c r="A23" s="873"/>
      <c r="B23" s="1446"/>
      <c r="C23" s="1432"/>
      <c r="D23" s="1432"/>
      <c r="E23" s="1432"/>
      <c r="F23" s="1432"/>
      <c r="G23" s="1432"/>
      <c r="H23" s="1432"/>
      <c r="I23" s="1432"/>
      <c r="J23" s="1432"/>
      <c r="K23" s="1447"/>
      <c r="L23" s="873"/>
      <c r="M23" s="873"/>
      <c r="N23" s="873"/>
      <c r="O23" s="873"/>
      <c r="P23" s="873"/>
      <c r="Q23" s="873"/>
      <c r="R23" s="873"/>
      <c r="S23" s="873"/>
      <c r="T23" s="873"/>
      <c r="U23" s="873"/>
      <c r="V23" s="873"/>
      <c r="W23" s="873"/>
      <c r="X23" s="873"/>
      <c r="Y23" s="873"/>
      <c r="Z23" s="873"/>
      <c r="AA23" s="873"/>
      <c r="AB23" s="873"/>
      <c r="AC23" s="873"/>
      <c r="AD23" s="873"/>
      <c r="AE23" s="873"/>
      <c r="AF23" s="873"/>
      <c r="AG23" s="873"/>
      <c r="AH23" s="873"/>
      <c r="AI23" s="873"/>
      <c r="AJ23" s="873"/>
      <c r="AK23" s="873"/>
      <c r="AL23" s="873"/>
      <c r="AM23" s="873"/>
      <c r="AN23" s="873"/>
      <c r="AO23" s="873"/>
      <c r="AP23" s="873"/>
      <c r="AQ23" s="873"/>
      <c r="AR23" s="873"/>
      <c r="AS23" s="873"/>
    </row>
    <row r="24" spans="1:45" ht="12.75" x14ac:dyDescent="0.2">
      <c r="A24" s="873"/>
      <c r="B24" s="1465" t="s">
        <v>1060</v>
      </c>
      <c r="C24" s="1433"/>
      <c r="D24" s="1433"/>
      <c r="E24" s="1433"/>
      <c r="F24" s="1433"/>
      <c r="G24" s="1433"/>
      <c r="H24" s="1433"/>
      <c r="I24" s="1433"/>
      <c r="J24" s="1433"/>
      <c r="K24" s="1434"/>
      <c r="L24" s="873"/>
      <c r="M24" s="873"/>
      <c r="N24" s="1453"/>
      <c r="O24" s="958"/>
      <c r="P24" s="958"/>
      <c r="Q24" s="958"/>
      <c r="R24" s="958"/>
      <c r="S24" s="958"/>
      <c r="T24" s="958"/>
      <c r="U24" s="958"/>
      <c r="V24" s="958"/>
      <c r="W24" s="958"/>
      <c r="X24" s="958"/>
      <c r="Y24" s="958"/>
      <c r="Z24" s="958"/>
      <c r="AA24" s="958"/>
      <c r="AB24" s="958"/>
      <c r="AC24" s="958"/>
      <c r="AD24" s="873"/>
      <c r="AE24" s="873"/>
      <c r="AF24" s="873"/>
      <c r="AG24" s="873"/>
      <c r="AH24" s="873"/>
      <c r="AI24" s="873"/>
      <c r="AJ24" s="873"/>
      <c r="AK24" s="873"/>
      <c r="AL24" s="873"/>
      <c r="AM24" s="873"/>
      <c r="AN24" s="873"/>
      <c r="AO24" s="873"/>
      <c r="AP24" s="873"/>
      <c r="AQ24" s="873"/>
      <c r="AR24" s="873"/>
      <c r="AS24" s="873"/>
    </row>
    <row r="25" spans="1:45" ht="25.5" x14ac:dyDescent="0.2">
      <c r="A25" s="873"/>
      <c r="B25" s="1435"/>
      <c r="C25" s="1436" t="s">
        <v>1061</v>
      </c>
      <c r="D25" s="1454"/>
      <c r="E25" s="1436" t="s">
        <v>1062</v>
      </c>
      <c r="F25" s="1318"/>
      <c r="G25" s="1436" t="s">
        <v>1063</v>
      </c>
      <c r="H25" s="1318"/>
      <c r="I25" s="1437" t="s">
        <v>113</v>
      </c>
      <c r="J25" s="1318"/>
      <c r="K25" s="1455" t="s">
        <v>1064</v>
      </c>
      <c r="L25" s="873"/>
      <c r="M25" s="873"/>
      <c r="N25" s="1306"/>
      <c r="O25" s="903"/>
      <c r="P25" s="903"/>
      <c r="Q25" s="903"/>
      <c r="R25" s="903"/>
      <c r="S25" s="903"/>
      <c r="T25" s="903"/>
      <c r="U25" s="903"/>
      <c r="V25" s="903"/>
      <c r="W25" s="903"/>
      <c r="X25" s="903"/>
      <c r="Y25" s="903"/>
      <c r="Z25" s="903"/>
      <c r="AA25" s="903"/>
      <c r="AB25" s="903"/>
      <c r="AC25" s="903"/>
      <c r="AD25" s="873"/>
      <c r="AE25" s="873"/>
      <c r="AF25" s="873"/>
      <c r="AG25" s="873"/>
      <c r="AH25" s="873"/>
      <c r="AI25" s="873"/>
      <c r="AJ25" s="873"/>
      <c r="AK25" s="873"/>
      <c r="AL25" s="873"/>
      <c r="AM25" s="873"/>
      <c r="AN25" s="873"/>
      <c r="AO25" s="873"/>
      <c r="AP25" s="873"/>
      <c r="AQ25" s="873"/>
      <c r="AR25" s="873"/>
      <c r="AS25" s="873"/>
    </row>
    <row r="26" spans="1:45" ht="15" customHeight="1" x14ac:dyDescent="0.2">
      <c r="A26" s="873"/>
      <c r="B26" s="1456"/>
      <c r="C26" s="1457">
        <v>3.2</v>
      </c>
      <c r="D26" s="901" t="s">
        <v>1044</v>
      </c>
      <c r="E26" s="1450">
        <v>1</v>
      </c>
      <c r="F26" s="1440" t="s">
        <v>1045</v>
      </c>
      <c r="G26" s="1458">
        <f>IF(ISERROR(C26*E26),,C26*E26)</f>
        <v>3.2</v>
      </c>
      <c r="H26" s="901" t="s">
        <v>1044</v>
      </c>
      <c r="I26" s="905">
        <f>N$10</f>
        <v>24300</v>
      </c>
      <c r="J26" s="1440" t="s">
        <v>1045</v>
      </c>
      <c r="K26" s="1468">
        <f>G26*I26/1000000</f>
        <v>7.7759999999999996E-2</v>
      </c>
      <c r="L26" s="873"/>
      <c r="M26" s="873"/>
      <c r="N26" s="1306"/>
      <c r="O26" s="963"/>
      <c r="P26" s="963"/>
      <c r="Q26" s="963"/>
      <c r="R26" s="963"/>
      <c r="S26" s="963"/>
      <c r="T26" s="963"/>
      <c r="U26" s="963"/>
      <c r="V26" s="963"/>
      <c r="W26" s="963"/>
      <c r="X26" s="963"/>
      <c r="Y26" s="963"/>
      <c r="Z26" s="963"/>
      <c r="AA26" s="963"/>
      <c r="AB26" s="963"/>
      <c r="AC26" s="873"/>
      <c r="AD26" s="873"/>
      <c r="AE26" s="873"/>
      <c r="AF26" s="873"/>
      <c r="AG26" s="873"/>
      <c r="AH26" s="873"/>
      <c r="AI26" s="873"/>
      <c r="AJ26" s="873"/>
      <c r="AK26" s="873"/>
      <c r="AL26" s="873"/>
      <c r="AM26" s="873"/>
      <c r="AN26" s="873"/>
      <c r="AO26" s="873"/>
      <c r="AP26" s="873"/>
      <c r="AQ26" s="873"/>
      <c r="AR26" s="873"/>
      <c r="AS26" s="873"/>
    </row>
    <row r="27" spans="1:45" ht="15" customHeight="1" thickBot="1" x14ac:dyDescent="0.25">
      <c r="A27" s="873"/>
      <c r="B27" s="1446"/>
      <c r="C27" s="1432"/>
      <c r="D27" s="1432"/>
      <c r="E27" s="1432"/>
      <c r="F27" s="1432"/>
      <c r="G27" s="1432"/>
      <c r="H27" s="1432"/>
      <c r="I27" s="1432"/>
      <c r="J27" s="1432"/>
      <c r="K27" s="1447"/>
      <c r="L27" s="873"/>
      <c r="M27" s="873"/>
      <c r="N27" s="1459"/>
      <c r="O27" s="1459"/>
      <c r="P27" s="1459"/>
      <c r="Q27" s="1459"/>
      <c r="R27" s="1459"/>
      <c r="S27" s="1459"/>
      <c r="T27" s="1459"/>
      <c r="U27" s="1459"/>
      <c r="V27" s="1459"/>
      <c r="W27" s="1459"/>
      <c r="X27" s="1459"/>
      <c r="Y27" s="1459"/>
      <c r="Z27" s="1459"/>
      <c r="AA27" s="1459"/>
      <c r="AB27" s="1459"/>
      <c r="AC27" s="1459"/>
      <c r="AD27" s="873"/>
      <c r="AE27" s="873"/>
      <c r="AF27" s="873"/>
      <c r="AG27" s="873"/>
      <c r="AH27" s="873"/>
      <c r="AI27" s="873"/>
      <c r="AJ27" s="873"/>
      <c r="AK27" s="873"/>
      <c r="AL27" s="873"/>
      <c r="AM27" s="873"/>
      <c r="AN27" s="873"/>
      <c r="AO27" s="873"/>
      <c r="AP27" s="873"/>
      <c r="AQ27" s="873"/>
      <c r="AR27" s="873"/>
      <c r="AS27" s="873"/>
    </row>
    <row r="28" spans="1:45" ht="13.5" thickBot="1" x14ac:dyDescent="0.25">
      <c r="A28" s="873"/>
      <c r="B28" s="1465" t="s">
        <v>332</v>
      </c>
      <c r="C28" s="1433"/>
      <c r="D28" s="1433"/>
      <c r="E28" s="1433"/>
      <c r="F28" s="1433"/>
      <c r="G28" s="1433"/>
      <c r="H28" s="1433"/>
      <c r="I28" s="1433"/>
      <c r="J28" s="1433"/>
      <c r="K28" s="1434"/>
      <c r="L28" s="873"/>
      <c r="M28" s="873"/>
      <c r="N28" s="873"/>
      <c r="O28" s="873"/>
      <c r="P28" s="873"/>
      <c r="Q28" s="873"/>
      <c r="R28" s="873"/>
      <c r="S28" s="873"/>
      <c r="T28" s="873"/>
      <c r="U28" s="873"/>
      <c r="V28" s="873"/>
      <c r="W28" s="873"/>
      <c r="X28" s="873"/>
      <c r="Y28" s="873"/>
      <c r="Z28" s="873"/>
      <c r="AA28" s="873"/>
      <c r="AB28" s="873"/>
      <c r="AC28" s="873"/>
      <c r="AD28" s="873"/>
      <c r="AE28" s="873"/>
      <c r="AF28" s="873"/>
      <c r="AG28" s="873"/>
      <c r="AH28" s="873"/>
      <c r="AI28" s="873"/>
      <c r="AJ28" s="873"/>
      <c r="AK28" s="873"/>
      <c r="AL28" s="873"/>
      <c r="AM28" s="873"/>
      <c r="AN28" s="873"/>
      <c r="AO28" s="873"/>
      <c r="AP28" s="873"/>
      <c r="AQ28" s="873"/>
      <c r="AR28" s="873"/>
      <c r="AS28" s="873"/>
    </row>
    <row r="29" spans="1:45" ht="25.5" x14ac:dyDescent="0.2">
      <c r="A29" s="873"/>
      <c r="B29" s="1435"/>
      <c r="C29" s="1436" t="s">
        <v>1067</v>
      </c>
      <c r="D29" s="1454"/>
      <c r="E29" s="1460" t="s">
        <v>1068</v>
      </c>
      <c r="F29" s="1318"/>
      <c r="G29" s="1436" t="s">
        <v>1069</v>
      </c>
      <c r="H29" s="1318"/>
      <c r="I29" s="1437" t="s">
        <v>113</v>
      </c>
      <c r="J29" s="1318"/>
      <c r="K29" s="1455" t="s">
        <v>1070</v>
      </c>
      <c r="L29" s="873"/>
      <c r="M29" s="873"/>
      <c r="N29" s="873"/>
      <c r="O29" s="873"/>
      <c r="P29" s="873"/>
      <c r="Q29" s="873"/>
      <c r="R29" s="873"/>
      <c r="S29" s="873"/>
      <c r="T29" s="873"/>
      <c r="U29" s="873"/>
      <c r="V29" s="873"/>
      <c r="W29" s="873"/>
      <c r="X29" s="873"/>
      <c r="Y29" s="873"/>
      <c r="Z29" s="873"/>
      <c r="AA29" s="873"/>
      <c r="AB29" s="873"/>
      <c r="AC29" s="873"/>
      <c r="AD29" s="873"/>
      <c r="AE29" s="873"/>
      <c r="AF29" s="873"/>
      <c r="AG29" s="873"/>
      <c r="AH29" s="873"/>
      <c r="AI29" s="873"/>
      <c r="AJ29" s="873"/>
      <c r="AK29" s="873"/>
      <c r="AL29" s="873"/>
      <c r="AM29" s="873"/>
      <c r="AN29" s="873"/>
      <c r="AO29" s="873"/>
      <c r="AP29" s="873"/>
      <c r="AQ29" s="873"/>
      <c r="AR29" s="873"/>
      <c r="AS29" s="873"/>
    </row>
    <row r="30" spans="1:45" ht="15" customHeight="1" x14ac:dyDescent="0.2">
      <c r="A30" s="873"/>
      <c r="B30" s="1456"/>
      <c r="C30" s="905">
        <v>0</v>
      </c>
      <c r="D30" s="901" t="s">
        <v>1044</v>
      </c>
      <c r="E30" s="953">
        <v>0.42545454545454542</v>
      </c>
      <c r="F30" s="1440" t="s">
        <v>1045</v>
      </c>
      <c r="G30" s="1458"/>
      <c r="H30" s="901" t="s">
        <v>1044</v>
      </c>
      <c r="I30" s="905"/>
      <c r="J30" s="1440" t="s">
        <v>1045</v>
      </c>
      <c r="K30" s="1461"/>
      <c r="L30" s="873"/>
      <c r="M30" s="873"/>
      <c r="N30" s="873"/>
      <c r="O30" s="873"/>
      <c r="P30" s="873"/>
      <c r="Q30" s="873"/>
      <c r="R30" s="873"/>
      <c r="S30" s="873"/>
      <c r="T30" s="873"/>
      <c r="U30" s="873"/>
      <c r="V30" s="873"/>
      <c r="W30" s="873"/>
      <c r="X30" s="873"/>
      <c r="Y30" s="873"/>
      <c r="Z30" s="873"/>
      <c r="AA30" s="873"/>
      <c r="AB30" s="873"/>
      <c r="AC30" s="873"/>
      <c r="AD30" s="873"/>
      <c r="AE30" s="873"/>
      <c r="AF30" s="873"/>
      <c r="AG30" s="873"/>
      <c r="AH30" s="873"/>
      <c r="AI30" s="873"/>
      <c r="AJ30" s="873"/>
      <c r="AK30" s="873"/>
      <c r="AL30" s="873"/>
      <c r="AM30" s="873"/>
      <c r="AN30" s="873"/>
      <c r="AO30" s="873"/>
      <c r="AP30" s="873"/>
      <c r="AQ30" s="873"/>
      <c r="AR30" s="873"/>
      <c r="AS30" s="873"/>
    </row>
    <row r="31" spans="1:45" ht="15" customHeight="1" x14ac:dyDescent="0.2">
      <c r="A31" s="873"/>
      <c r="B31" s="1446"/>
      <c r="C31" s="1432"/>
      <c r="D31" s="1432"/>
      <c r="E31" s="1432"/>
      <c r="F31" s="1432"/>
      <c r="G31" s="1432"/>
      <c r="H31" s="1432"/>
      <c r="I31" s="1432"/>
      <c r="J31" s="1432"/>
      <c r="K31" s="1447"/>
      <c r="L31" s="873"/>
      <c r="M31" s="873"/>
      <c r="N31" s="873"/>
      <c r="O31" s="873"/>
      <c r="P31" s="873"/>
      <c r="Q31" s="873"/>
      <c r="R31" s="873"/>
      <c r="S31" s="873"/>
      <c r="T31" s="873"/>
      <c r="U31" s="873"/>
      <c r="V31" s="873"/>
      <c r="W31" s="873"/>
      <c r="X31" s="873"/>
      <c r="Y31" s="873"/>
      <c r="Z31" s="873"/>
      <c r="AA31" s="873"/>
      <c r="AB31" s="873"/>
      <c r="AC31" s="873"/>
      <c r="AD31" s="873"/>
      <c r="AE31" s="873"/>
      <c r="AF31" s="873"/>
      <c r="AG31" s="873"/>
      <c r="AH31" s="873"/>
      <c r="AI31" s="873"/>
      <c r="AJ31" s="873"/>
      <c r="AK31" s="873"/>
      <c r="AL31" s="873"/>
      <c r="AM31" s="873"/>
      <c r="AN31" s="873"/>
      <c r="AO31" s="873"/>
      <c r="AP31" s="873"/>
      <c r="AQ31" s="873"/>
      <c r="AR31" s="873"/>
      <c r="AS31" s="873"/>
    </row>
    <row r="32" spans="1:45" ht="12.75" x14ac:dyDescent="0.2">
      <c r="A32" s="873"/>
      <c r="L32" s="873"/>
      <c r="M32" s="873"/>
      <c r="N32" s="873"/>
      <c r="O32" s="873"/>
      <c r="P32" s="873"/>
      <c r="Q32" s="873"/>
      <c r="R32" s="873"/>
      <c r="S32" s="873"/>
      <c r="T32" s="873"/>
      <c r="U32" s="873"/>
      <c r="V32" s="873"/>
      <c r="W32" s="873"/>
      <c r="X32" s="873"/>
      <c r="Y32" s="873"/>
      <c r="Z32" s="873"/>
      <c r="AA32" s="873"/>
      <c r="AB32" s="873"/>
      <c r="AC32" s="873"/>
      <c r="AD32" s="873"/>
      <c r="AE32" s="873"/>
      <c r="AF32" s="873"/>
      <c r="AG32" s="873"/>
      <c r="AH32" s="873"/>
      <c r="AI32" s="873"/>
      <c r="AJ32" s="873"/>
      <c r="AK32" s="873"/>
      <c r="AL32" s="873"/>
      <c r="AM32" s="873"/>
      <c r="AN32" s="873"/>
      <c r="AO32" s="873"/>
      <c r="AP32" s="873"/>
      <c r="AQ32" s="873"/>
      <c r="AR32" s="873"/>
      <c r="AS32" s="873"/>
    </row>
    <row r="33" spans="1:45" ht="12.75" x14ac:dyDescent="0.2">
      <c r="A33" s="873"/>
      <c r="B33" s="873"/>
      <c r="C33" s="873"/>
      <c r="D33" s="873"/>
      <c r="E33" s="873"/>
      <c r="F33" s="873"/>
      <c r="G33" s="873"/>
      <c r="H33" s="873"/>
      <c r="I33" s="873"/>
      <c r="J33" s="873"/>
      <c r="K33" s="873"/>
      <c r="L33" s="873"/>
      <c r="M33" s="873"/>
      <c r="N33" s="873"/>
      <c r="O33" s="873"/>
      <c r="P33" s="873"/>
      <c r="Q33" s="873"/>
      <c r="R33" s="873"/>
      <c r="S33" s="873"/>
      <c r="T33" s="873"/>
      <c r="U33" s="873"/>
      <c r="V33" s="873"/>
      <c r="W33" s="873"/>
      <c r="X33" s="873"/>
      <c r="Y33" s="873"/>
      <c r="Z33" s="873"/>
      <c r="AA33" s="873"/>
      <c r="AB33" s="873"/>
      <c r="AC33" s="873"/>
      <c r="AD33" s="873"/>
      <c r="AE33" s="873"/>
      <c r="AF33" s="873"/>
      <c r="AG33" s="873"/>
      <c r="AH33" s="873"/>
      <c r="AI33" s="873"/>
      <c r="AJ33" s="873"/>
      <c r="AK33" s="873"/>
      <c r="AL33" s="873"/>
      <c r="AM33" s="873"/>
      <c r="AN33" s="873"/>
      <c r="AO33" s="873"/>
      <c r="AP33" s="873"/>
      <c r="AQ33" s="873"/>
      <c r="AR33" s="873"/>
      <c r="AS33" s="873"/>
    </row>
    <row r="34" spans="1:45" ht="12.75" x14ac:dyDescent="0.2">
      <c r="A34" s="873"/>
      <c r="B34" s="873"/>
      <c r="C34" s="873"/>
      <c r="D34" s="873"/>
      <c r="E34" s="890"/>
      <c r="F34" s="873"/>
      <c r="G34" s="873"/>
      <c r="H34" s="873"/>
      <c r="I34" s="873"/>
      <c r="J34" s="873"/>
      <c r="K34" s="873"/>
      <c r="L34" s="873"/>
      <c r="M34" s="873"/>
      <c r="N34" s="873"/>
      <c r="O34" s="873"/>
      <c r="P34" s="873"/>
      <c r="Q34" s="873"/>
      <c r="R34" s="873"/>
      <c r="S34" s="873"/>
      <c r="T34" s="873"/>
      <c r="U34" s="873"/>
      <c r="V34" s="873"/>
      <c r="W34" s="873"/>
      <c r="X34" s="873"/>
      <c r="Y34" s="873"/>
      <c r="Z34" s="873"/>
      <c r="AA34" s="873"/>
      <c r="AB34" s="873"/>
      <c r="AC34" s="873"/>
      <c r="AD34" s="873"/>
      <c r="AE34" s="873"/>
      <c r="AF34" s="873"/>
      <c r="AG34" s="873"/>
      <c r="AH34" s="873"/>
      <c r="AI34" s="873"/>
      <c r="AJ34" s="873"/>
      <c r="AK34" s="873"/>
      <c r="AL34" s="873"/>
      <c r="AM34" s="873"/>
      <c r="AN34" s="873"/>
      <c r="AO34" s="873"/>
      <c r="AP34" s="873"/>
      <c r="AQ34" s="873"/>
      <c r="AR34" s="873"/>
      <c r="AS34" s="873"/>
    </row>
    <row r="35" spans="1:45" ht="12.75" x14ac:dyDescent="0.2">
      <c r="A35" s="873"/>
      <c r="B35" s="958"/>
      <c r="C35" s="958"/>
      <c r="D35" s="958"/>
      <c r="E35" s="1462"/>
      <c r="F35" s="873"/>
      <c r="G35" s="873"/>
      <c r="H35" s="873"/>
      <c r="I35" s="873"/>
      <c r="J35" s="873"/>
      <c r="K35" s="873"/>
      <c r="L35" s="873"/>
      <c r="M35" s="873"/>
      <c r="N35" s="873"/>
      <c r="O35" s="873"/>
      <c r="P35" s="873"/>
      <c r="Q35" s="873"/>
      <c r="R35" s="873"/>
      <c r="S35" s="873"/>
      <c r="T35" s="873"/>
      <c r="U35" s="873"/>
      <c r="V35" s="873"/>
      <c r="W35" s="873"/>
      <c r="X35" s="873"/>
      <c r="Y35" s="873"/>
      <c r="Z35" s="873"/>
      <c r="AA35" s="873"/>
      <c r="AB35" s="873"/>
      <c r="AC35" s="873"/>
      <c r="AD35" s="873"/>
      <c r="AE35" s="873"/>
      <c r="AF35" s="873"/>
      <c r="AG35" s="873"/>
      <c r="AH35" s="873"/>
      <c r="AI35" s="873"/>
      <c r="AJ35" s="873"/>
      <c r="AK35" s="873"/>
      <c r="AL35" s="873"/>
      <c r="AM35" s="873"/>
      <c r="AN35" s="873"/>
      <c r="AO35" s="873"/>
      <c r="AP35" s="873"/>
      <c r="AQ35" s="873"/>
      <c r="AR35" s="873"/>
      <c r="AS35" s="873"/>
    </row>
    <row r="36" spans="1:45" ht="12.75" x14ac:dyDescent="0.2">
      <c r="A36" s="873"/>
      <c r="B36" s="1306"/>
      <c r="C36" s="1306"/>
      <c r="D36" s="1306"/>
      <c r="E36" s="1463"/>
      <c r="F36" s="873"/>
      <c r="G36" s="873"/>
      <c r="H36" s="873"/>
      <c r="I36" s="873"/>
      <c r="J36" s="873"/>
      <c r="K36" s="873"/>
      <c r="L36" s="873"/>
      <c r="M36" s="873"/>
      <c r="N36" s="873"/>
      <c r="O36" s="873"/>
      <c r="P36" s="873"/>
      <c r="Q36" s="873"/>
      <c r="R36" s="873"/>
      <c r="S36" s="873"/>
      <c r="T36" s="873"/>
      <c r="U36" s="873"/>
      <c r="V36" s="873"/>
      <c r="W36" s="873"/>
      <c r="X36" s="873"/>
      <c r="Y36" s="873"/>
      <c r="Z36" s="873"/>
      <c r="AA36" s="873"/>
      <c r="AB36" s="873"/>
      <c r="AC36" s="873"/>
      <c r="AD36" s="873"/>
      <c r="AE36" s="873"/>
      <c r="AF36" s="873"/>
      <c r="AG36" s="873"/>
      <c r="AH36" s="873"/>
      <c r="AI36" s="873"/>
      <c r="AJ36" s="873"/>
      <c r="AK36" s="873"/>
      <c r="AL36" s="873"/>
      <c r="AM36" s="873"/>
      <c r="AN36" s="873"/>
      <c r="AO36" s="873"/>
      <c r="AP36" s="873"/>
      <c r="AQ36" s="873"/>
      <c r="AR36" s="873"/>
      <c r="AS36" s="873"/>
    </row>
    <row r="37" spans="1:45" ht="12.75" x14ac:dyDescent="0.2">
      <c r="A37" s="873"/>
      <c r="B37" s="1306"/>
      <c r="C37" s="1306"/>
      <c r="D37" s="1306"/>
      <c r="E37" s="1463"/>
      <c r="F37" s="873"/>
      <c r="G37" s="873"/>
      <c r="H37" s="873"/>
      <c r="I37" s="873"/>
      <c r="J37" s="873"/>
      <c r="K37" s="873"/>
      <c r="L37" s="873"/>
      <c r="M37" s="873"/>
      <c r="N37" s="873"/>
      <c r="O37" s="873"/>
      <c r="P37" s="873"/>
      <c r="Q37" s="873"/>
      <c r="R37" s="873"/>
      <c r="S37" s="873"/>
      <c r="T37" s="873"/>
      <c r="U37" s="873"/>
      <c r="V37" s="873"/>
      <c r="W37" s="873"/>
      <c r="X37" s="873"/>
      <c r="Y37" s="873"/>
      <c r="Z37" s="873"/>
      <c r="AA37" s="873"/>
      <c r="AB37" s="873"/>
      <c r="AC37" s="873"/>
      <c r="AD37" s="873"/>
      <c r="AE37" s="873"/>
      <c r="AF37" s="873"/>
      <c r="AG37" s="873"/>
      <c r="AH37" s="873"/>
      <c r="AI37" s="873"/>
      <c r="AJ37" s="873"/>
      <c r="AK37" s="873"/>
      <c r="AL37" s="873"/>
      <c r="AM37" s="873"/>
      <c r="AN37" s="873"/>
      <c r="AO37" s="873"/>
      <c r="AP37" s="873"/>
      <c r="AQ37" s="873"/>
      <c r="AR37" s="873"/>
      <c r="AS37" s="873"/>
    </row>
    <row r="38" spans="1:45" ht="12.75" x14ac:dyDescent="0.2">
      <c r="A38" s="873"/>
      <c r="B38" s="1306"/>
      <c r="C38" s="1306"/>
      <c r="D38" s="1306"/>
      <c r="E38" s="1462"/>
      <c r="F38" s="873"/>
      <c r="G38" s="873"/>
      <c r="H38" s="873"/>
      <c r="I38" s="873"/>
      <c r="J38" s="873"/>
      <c r="K38" s="873"/>
      <c r="L38" s="873"/>
      <c r="M38" s="873"/>
      <c r="N38" s="873"/>
      <c r="O38" s="873"/>
      <c r="P38" s="873"/>
      <c r="Q38" s="873"/>
      <c r="R38" s="873"/>
      <c r="S38" s="873"/>
      <c r="T38" s="873"/>
      <c r="U38" s="873"/>
      <c r="V38" s="873"/>
      <c r="W38" s="873"/>
      <c r="X38" s="873"/>
      <c r="Y38" s="873"/>
      <c r="Z38" s="873"/>
      <c r="AA38" s="873"/>
      <c r="AB38" s="873"/>
      <c r="AC38" s="873"/>
      <c r="AD38" s="873"/>
      <c r="AE38" s="873"/>
      <c r="AF38" s="873"/>
      <c r="AG38" s="873"/>
      <c r="AH38" s="873"/>
      <c r="AI38" s="873"/>
      <c r="AJ38" s="873"/>
      <c r="AK38" s="873"/>
      <c r="AL38" s="873"/>
      <c r="AM38" s="873"/>
      <c r="AN38" s="873"/>
      <c r="AO38" s="873"/>
      <c r="AP38" s="873"/>
      <c r="AQ38" s="873"/>
      <c r="AR38" s="873"/>
      <c r="AS38" s="873"/>
    </row>
    <row r="39" spans="1:45" ht="12.75" x14ac:dyDescent="0.2">
      <c r="A39" s="873"/>
      <c r="B39" s="1306"/>
      <c r="C39" s="1306"/>
      <c r="D39" s="1306"/>
      <c r="E39" s="1462"/>
      <c r="F39" s="873"/>
      <c r="G39" s="873"/>
      <c r="H39" s="873"/>
      <c r="I39" s="873"/>
      <c r="J39" s="873"/>
      <c r="K39" s="873"/>
      <c r="L39" s="873"/>
      <c r="M39" s="873"/>
      <c r="N39" s="873"/>
      <c r="O39" s="873"/>
      <c r="P39" s="873"/>
      <c r="Q39" s="873"/>
      <c r="R39" s="873"/>
      <c r="S39" s="873"/>
      <c r="T39" s="873"/>
      <c r="U39" s="873"/>
      <c r="V39" s="873"/>
      <c r="W39" s="873"/>
      <c r="X39" s="873"/>
      <c r="Y39" s="873"/>
      <c r="Z39" s="873"/>
      <c r="AA39" s="873"/>
      <c r="AB39" s="873"/>
      <c r="AC39" s="873"/>
      <c r="AD39" s="873"/>
      <c r="AE39" s="873"/>
      <c r="AF39" s="873"/>
      <c r="AG39" s="873"/>
      <c r="AH39" s="873"/>
      <c r="AI39" s="873"/>
      <c r="AJ39" s="873"/>
      <c r="AK39" s="873"/>
      <c r="AL39" s="873"/>
      <c r="AM39" s="873"/>
      <c r="AN39" s="873"/>
      <c r="AO39" s="873"/>
      <c r="AP39" s="873"/>
      <c r="AQ39" s="873"/>
      <c r="AR39" s="873"/>
      <c r="AS39" s="873"/>
    </row>
    <row r="40" spans="1:45" ht="12.75" x14ac:dyDescent="0.2">
      <c r="A40" s="873"/>
      <c r="B40" s="1306"/>
      <c r="D40" s="873"/>
      <c r="E40" s="1462"/>
      <c r="F40" s="873"/>
      <c r="G40" s="873"/>
      <c r="H40" s="873"/>
      <c r="I40" s="873"/>
      <c r="J40" s="873"/>
      <c r="K40" s="873"/>
      <c r="L40" s="873"/>
      <c r="M40" s="873"/>
      <c r="N40" s="873"/>
      <c r="O40" s="873"/>
      <c r="P40" s="873"/>
      <c r="Q40" s="873"/>
      <c r="R40" s="873"/>
      <c r="S40" s="873"/>
      <c r="T40" s="873"/>
      <c r="U40" s="873"/>
      <c r="V40" s="873"/>
      <c r="W40" s="873"/>
      <c r="X40" s="873"/>
      <c r="Y40" s="873"/>
      <c r="Z40" s="873"/>
      <c r="AA40" s="873"/>
      <c r="AB40" s="873"/>
      <c r="AC40" s="873"/>
      <c r="AD40" s="873"/>
      <c r="AE40" s="873"/>
      <c r="AF40" s="873"/>
      <c r="AG40" s="873"/>
      <c r="AH40" s="873"/>
      <c r="AI40" s="873"/>
      <c r="AJ40" s="873"/>
      <c r="AK40" s="873"/>
      <c r="AL40" s="873"/>
      <c r="AM40" s="873"/>
      <c r="AN40" s="873"/>
      <c r="AO40" s="873"/>
      <c r="AP40" s="873"/>
      <c r="AQ40" s="873"/>
      <c r="AR40" s="873"/>
      <c r="AS40" s="873"/>
    </row>
    <row r="41" spans="1:45" ht="12.75" x14ac:dyDescent="0.2">
      <c r="A41" s="873"/>
      <c r="B41" s="1306"/>
      <c r="C41" s="1306"/>
      <c r="D41" s="1306"/>
      <c r="E41" s="1463"/>
      <c r="F41" s="873"/>
      <c r="G41" s="873"/>
      <c r="H41" s="873"/>
      <c r="I41" s="873"/>
      <c r="J41" s="873"/>
      <c r="K41" s="873"/>
      <c r="L41" s="873"/>
      <c r="M41" s="873"/>
      <c r="N41" s="873"/>
      <c r="O41" s="873"/>
      <c r="P41" s="873"/>
      <c r="Q41" s="873"/>
      <c r="R41" s="873"/>
      <c r="S41" s="873"/>
      <c r="T41" s="873"/>
      <c r="U41" s="873"/>
      <c r="V41" s="873"/>
      <c r="W41" s="873"/>
      <c r="X41" s="873"/>
      <c r="Y41" s="873"/>
      <c r="Z41" s="873"/>
      <c r="AA41" s="873"/>
      <c r="AB41" s="873"/>
      <c r="AC41" s="873"/>
      <c r="AD41" s="873"/>
      <c r="AE41" s="873"/>
      <c r="AF41" s="873"/>
      <c r="AG41" s="873"/>
      <c r="AH41" s="873"/>
      <c r="AI41" s="873"/>
      <c r="AJ41" s="873"/>
      <c r="AK41" s="873"/>
      <c r="AL41" s="873"/>
      <c r="AM41" s="873"/>
      <c r="AN41" s="873"/>
      <c r="AO41" s="873"/>
      <c r="AP41" s="873"/>
      <c r="AQ41" s="873"/>
      <c r="AR41" s="873"/>
      <c r="AS41" s="873"/>
    </row>
    <row r="42" spans="1:45" ht="12.75" x14ac:dyDescent="0.2">
      <c r="A42" s="873"/>
      <c r="B42" s="958"/>
      <c r="C42" s="958"/>
      <c r="D42" s="958"/>
      <c r="E42" s="1463"/>
      <c r="F42" s="873"/>
      <c r="G42" s="873"/>
      <c r="H42" s="873"/>
      <c r="I42" s="873"/>
      <c r="J42" s="873"/>
      <c r="K42" s="873"/>
      <c r="L42" s="873"/>
      <c r="M42" s="873"/>
      <c r="N42" s="873"/>
      <c r="O42" s="873"/>
      <c r="P42" s="873"/>
      <c r="Q42" s="873"/>
      <c r="R42" s="873"/>
      <c r="S42" s="873"/>
      <c r="T42" s="873"/>
      <c r="U42" s="873"/>
      <c r="V42" s="873"/>
      <c r="W42" s="873"/>
      <c r="X42" s="873"/>
      <c r="Y42" s="873"/>
      <c r="Z42" s="873"/>
      <c r="AA42" s="873"/>
      <c r="AB42" s="873"/>
      <c r="AC42" s="873"/>
      <c r="AD42" s="873"/>
      <c r="AE42" s="873"/>
      <c r="AF42" s="873"/>
      <c r="AG42" s="873"/>
      <c r="AH42" s="873"/>
      <c r="AI42" s="873"/>
      <c r="AJ42" s="873"/>
      <c r="AK42" s="873"/>
      <c r="AL42" s="873"/>
      <c r="AM42" s="873"/>
      <c r="AN42" s="873"/>
      <c r="AO42" s="873"/>
      <c r="AP42" s="873"/>
      <c r="AQ42" s="873"/>
      <c r="AR42" s="873"/>
      <c r="AS42" s="873"/>
    </row>
    <row r="43" spans="1:45" ht="12.75" x14ac:dyDescent="0.2">
      <c r="A43" s="873"/>
      <c r="B43" s="1306"/>
      <c r="C43" s="1306"/>
      <c r="D43" s="1306"/>
      <c r="E43" s="1463"/>
      <c r="F43" s="873"/>
      <c r="G43" s="873"/>
      <c r="H43" s="873"/>
      <c r="I43" s="873"/>
      <c r="J43" s="873"/>
      <c r="K43" s="873"/>
      <c r="L43" s="873"/>
      <c r="M43" s="873"/>
      <c r="N43" s="873"/>
      <c r="O43" s="873"/>
      <c r="P43" s="873"/>
      <c r="Q43" s="873"/>
      <c r="R43" s="873"/>
      <c r="S43" s="873"/>
      <c r="T43" s="873"/>
      <c r="U43" s="873"/>
      <c r="V43" s="873"/>
      <c r="W43" s="873"/>
      <c r="X43" s="873"/>
      <c r="Y43" s="873"/>
      <c r="Z43" s="873"/>
      <c r="AA43" s="873"/>
      <c r="AB43" s="873"/>
      <c r="AC43" s="873"/>
      <c r="AD43" s="873"/>
      <c r="AE43" s="873"/>
      <c r="AF43" s="873"/>
      <c r="AG43" s="873"/>
      <c r="AH43" s="873"/>
      <c r="AI43" s="873"/>
      <c r="AJ43" s="873"/>
      <c r="AK43" s="873"/>
      <c r="AL43" s="873"/>
      <c r="AM43" s="873"/>
      <c r="AN43" s="873"/>
      <c r="AO43" s="873"/>
      <c r="AP43" s="873"/>
      <c r="AQ43" s="873"/>
      <c r="AR43" s="873"/>
      <c r="AS43" s="873"/>
    </row>
    <row r="44" spans="1:45" ht="12.75" x14ac:dyDescent="0.2">
      <c r="A44" s="873"/>
      <c r="B44" s="1306"/>
      <c r="C44" s="1306"/>
      <c r="D44" s="1306"/>
      <c r="E44" s="1463"/>
      <c r="F44" s="873"/>
      <c r="G44" s="873"/>
      <c r="H44" s="873"/>
      <c r="I44" s="873"/>
      <c r="J44" s="873"/>
      <c r="K44" s="873"/>
      <c r="L44" s="873"/>
      <c r="M44" s="873"/>
      <c r="N44" s="873"/>
      <c r="O44" s="873"/>
      <c r="P44" s="873"/>
      <c r="Q44" s="873"/>
      <c r="R44" s="873"/>
      <c r="S44" s="873"/>
      <c r="T44" s="873"/>
      <c r="U44" s="873"/>
      <c r="V44" s="873"/>
      <c r="W44" s="873"/>
      <c r="X44" s="873"/>
      <c r="Y44" s="873"/>
      <c r="Z44" s="873"/>
      <c r="AA44" s="873"/>
      <c r="AB44" s="873"/>
      <c r="AC44" s="873"/>
      <c r="AD44" s="873"/>
      <c r="AE44" s="873"/>
      <c r="AF44" s="873"/>
      <c r="AG44" s="873"/>
      <c r="AH44" s="873"/>
      <c r="AI44" s="873"/>
      <c r="AJ44" s="873"/>
      <c r="AK44" s="873"/>
      <c r="AL44" s="873"/>
      <c r="AM44" s="873"/>
      <c r="AN44" s="873"/>
      <c r="AO44" s="873"/>
      <c r="AP44" s="873"/>
      <c r="AQ44" s="873"/>
      <c r="AR44" s="873"/>
      <c r="AS44" s="873"/>
    </row>
    <row r="45" spans="1:45" ht="12.75" x14ac:dyDescent="0.2">
      <c r="A45" s="873"/>
      <c r="B45" s="958"/>
      <c r="C45" s="958"/>
      <c r="D45" s="958"/>
      <c r="E45" s="1462"/>
      <c r="F45" s="873"/>
      <c r="G45" s="873"/>
      <c r="H45" s="873"/>
      <c r="I45" s="873"/>
      <c r="J45" s="873"/>
      <c r="K45" s="873"/>
      <c r="L45" s="873"/>
      <c r="M45" s="873"/>
      <c r="N45" s="873"/>
      <c r="O45" s="873"/>
      <c r="P45" s="873"/>
      <c r="Q45" s="873"/>
      <c r="R45" s="873"/>
      <c r="S45" s="873"/>
      <c r="T45" s="873"/>
      <c r="U45" s="873"/>
      <c r="V45" s="873"/>
      <c r="W45" s="873"/>
      <c r="X45" s="873"/>
      <c r="Y45" s="873"/>
      <c r="Z45" s="873"/>
      <c r="AA45" s="873"/>
      <c r="AB45" s="873"/>
      <c r="AC45" s="873"/>
      <c r="AD45" s="873"/>
      <c r="AE45" s="873"/>
      <c r="AF45" s="873"/>
      <c r="AG45" s="873"/>
      <c r="AH45" s="873"/>
      <c r="AI45" s="873"/>
      <c r="AJ45" s="873"/>
      <c r="AK45" s="873"/>
      <c r="AL45" s="873"/>
      <c r="AM45" s="873"/>
      <c r="AN45" s="873"/>
      <c r="AO45" s="873"/>
      <c r="AP45" s="873"/>
      <c r="AQ45" s="873"/>
      <c r="AR45" s="873"/>
      <c r="AS45" s="873"/>
    </row>
    <row r="46" spans="1:45" ht="12.75" x14ac:dyDescent="0.2">
      <c r="A46" s="873"/>
      <c r="B46" s="1306"/>
      <c r="C46" s="1306"/>
      <c r="D46" s="1306"/>
      <c r="E46" s="1462"/>
      <c r="F46" s="873"/>
      <c r="G46" s="873"/>
      <c r="H46" s="873"/>
      <c r="I46" s="873"/>
      <c r="J46" s="873"/>
      <c r="K46" s="873"/>
      <c r="L46" s="873"/>
      <c r="M46" s="873"/>
      <c r="N46" s="873"/>
      <c r="O46" s="873"/>
      <c r="P46" s="873"/>
      <c r="Q46" s="873"/>
      <c r="R46" s="873"/>
      <c r="S46" s="873"/>
      <c r="T46" s="873"/>
      <c r="U46" s="873"/>
      <c r="V46" s="873"/>
      <c r="W46" s="873"/>
      <c r="X46" s="873"/>
      <c r="Y46" s="873"/>
      <c r="Z46" s="873"/>
      <c r="AA46" s="873"/>
      <c r="AB46" s="873"/>
      <c r="AC46" s="873"/>
      <c r="AD46" s="873"/>
      <c r="AE46" s="873"/>
      <c r="AF46" s="873"/>
      <c r="AG46" s="873"/>
      <c r="AH46" s="873"/>
      <c r="AI46" s="873"/>
      <c r="AJ46" s="873"/>
      <c r="AK46" s="873"/>
      <c r="AL46" s="873"/>
      <c r="AM46" s="873"/>
      <c r="AN46" s="873"/>
      <c r="AO46" s="873"/>
      <c r="AP46" s="873"/>
      <c r="AQ46" s="873"/>
      <c r="AR46" s="873"/>
      <c r="AS46" s="873"/>
    </row>
    <row r="47" spans="1:45" ht="12.75" x14ac:dyDescent="0.2">
      <c r="A47" s="873"/>
      <c r="B47" s="1306"/>
      <c r="C47" s="1306"/>
      <c r="D47" s="1306"/>
      <c r="E47" s="1463"/>
      <c r="F47" s="873"/>
      <c r="G47" s="873"/>
      <c r="H47" s="873"/>
      <c r="I47" s="873"/>
      <c r="J47" s="873"/>
      <c r="K47" s="873"/>
      <c r="L47" s="873"/>
      <c r="M47" s="873"/>
      <c r="N47" s="873"/>
      <c r="O47" s="873"/>
      <c r="P47" s="873"/>
      <c r="Q47" s="873"/>
      <c r="R47" s="873"/>
      <c r="S47" s="873"/>
      <c r="T47" s="873"/>
      <c r="U47" s="873"/>
      <c r="V47" s="873"/>
      <c r="W47" s="873"/>
      <c r="X47" s="873"/>
      <c r="Y47" s="873"/>
      <c r="Z47" s="873"/>
      <c r="AA47" s="873"/>
      <c r="AB47" s="873"/>
      <c r="AC47" s="873"/>
      <c r="AD47" s="873"/>
      <c r="AE47" s="873"/>
      <c r="AF47" s="873"/>
      <c r="AG47" s="873"/>
      <c r="AH47" s="873"/>
      <c r="AI47" s="873"/>
      <c r="AJ47" s="873"/>
      <c r="AK47" s="873"/>
      <c r="AL47" s="873"/>
      <c r="AM47" s="873"/>
      <c r="AN47" s="873"/>
      <c r="AO47" s="873"/>
      <c r="AP47" s="873"/>
      <c r="AQ47" s="873"/>
      <c r="AR47" s="873"/>
      <c r="AS47" s="873"/>
    </row>
    <row r="48" spans="1:45" ht="12.75" x14ac:dyDescent="0.2">
      <c r="A48" s="873"/>
      <c r="B48" s="1306"/>
      <c r="C48" s="1306"/>
      <c r="D48" s="1306"/>
      <c r="E48" s="1463"/>
      <c r="F48" s="873"/>
      <c r="G48" s="873"/>
      <c r="H48" s="873"/>
      <c r="I48" s="873"/>
      <c r="J48" s="873"/>
      <c r="K48" s="873"/>
      <c r="L48" s="873"/>
      <c r="M48" s="873"/>
      <c r="N48" s="873"/>
      <c r="O48" s="873"/>
      <c r="P48" s="873"/>
      <c r="Q48" s="873"/>
      <c r="R48" s="873"/>
      <c r="S48" s="873"/>
      <c r="T48" s="873"/>
      <c r="U48" s="873"/>
      <c r="V48" s="873"/>
      <c r="W48" s="873"/>
      <c r="X48" s="873"/>
      <c r="Y48" s="873"/>
      <c r="Z48" s="873"/>
      <c r="AA48" s="873"/>
      <c r="AB48" s="873"/>
      <c r="AC48" s="873"/>
      <c r="AD48" s="873"/>
      <c r="AE48" s="873"/>
      <c r="AF48" s="873"/>
      <c r="AG48" s="873"/>
      <c r="AH48" s="873"/>
      <c r="AI48" s="873"/>
      <c r="AJ48" s="873"/>
      <c r="AK48" s="873"/>
      <c r="AL48" s="873"/>
      <c r="AM48" s="873"/>
      <c r="AN48" s="873"/>
      <c r="AO48" s="873"/>
      <c r="AP48" s="873"/>
      <c r="AQ48" s="873"/>
      <c r="AR48" s="873"/>
      <c r="AS48" s="873"/>
    </row>
    <row r="49" spans="1:45" ht="12.75" x14ac:dyDescent="0.2">
      <c r="A49" s="873"/>
      <c r="B49" s="1464"/>
      <c r="C49" s="1464"/>
      <c r="D49" s="1464"/>
      <c r="E49" s="1462"/>
      <c r="F49" s="873"/>
      <c r="G49" s="873"/>
      <c r="H49" s="873"/>
      <c r="I49" s="873"/>
      <c r="J49" s="873"/>
      <c r="K49" s="873"/>
      <c r="L49" s="873"/>
      <c r="M49" s="873"/>
      <c r="N49" s="873"/>
      <c r="O49" s="873"/>
      <c r="P49" s="873"/>
      <c r="Q49" s="873"/>
      <c r="R49" s="873"/>
      <c r="S49" s="873"/>
      <c r="T49" s="873"/>
      <c r="U49" s="873"/>
      <c r="V49" s="873"/>
      <c r="W49" s="873"/>
      <c r="X49" s="873"/>
      <c r="Y49" s="873"/>
      <c r="Z49" s="873"/>
      <c r="AA49" s="873"/>
      <c r="AB49" s="873"/>
      <c r="AC49" s="873"/>
      <c r="AD49" s="873"/>
      <c r="AE49" s="873"/>
      <c r="AF49" s="873"/>
      <c r="AG49" s="873"/>
      <c r="AH49" s="873"/>
      <c r="AI49" s="873"/>
      <c r="AJ49" s="873"/>
      <c r="AK49" s="873"/>
      <c r="AL49" s="873"/>
      <c r="AM49" s="873"/>
      <c r="AN49" s="873"/>
      <c r="AO49" s="873"/>
      <c r="AP49" s="873"/>
      <c r="AQ49" s="873"/>
      <c r="AR49" s="873"/>
      <c r="AS49" s="873"/>
    </row>
    <row r="50" spans="1:45" ht="12.75" x14ac:dyDescent="0.2">
      <c r="A50" s="873"/>
      <c r="B50" s="1306"/>
      <c r="C50" s="1306"/>
      <c r="D50" s="1306"/>
      <c r="E50" s="1463"/>
      <c r="F50" s="873"/>
      <c r="G50" s="873"/>
      <c r="H50" s="873"/>
      <c r="I50" s="873"/>
      <c r="J50" s="873"/>
      <c r="K50" s="873"/>
      <c r="L50" s="873"/>
      <c r="M50" s="873"/>
      <c r="N50" s="873"/>
      <c r="O50" s="873"/>
      <c r="P50" s="873"/>
      <c r="Q50" s="873"/>
      <c r="R50" s="873"/>
      <c r="S50" s="873"/>
      <c r="T50" s="873"/>
      <c r="U50" s="873"/>
      <c r="V50" s="873"/>
      <c r="W50" s="873"/>
      <c r="X50" s="873"/>
      <c r="Y50" s="873"/>
      <c r="Z50" s="873"/>
      <c r="AA50" s="873"/>
      <c r="AB50" s="873"/>
      <c r="AC50" s="873"/>
      <c r="AD50" s="873"/>
      <c r="AE50" s="873"/>
      <c r="AF50" s="873"/>
      <c r="AG50" s="873"/>
      <c r="AH50" s="873"/>
      <c r="AI50" s="873"/>
      <c r="AJ50" s="873"/>
      <c r="AK50" s="873"/>
      <c r="AL50" s="873"/>
      <c r="AM50" s="873"/>
      <c r="AN50" s="873"/>
      <c r="AO50" s="873"/>
      <c r="AP50" s="873"/>
      <c r="AQ50" s="873"/>
      <c r="AR50" s="873"/>
      <c r="AS50" s="873"/>
    </row>
    <row r="51" spans="1:45" ht="12.75" x14ac:dyDescent="0.2">
      <c r="A51" s="873"/>
      <c r="B51" s="1306"/>
      <c r="C51" s="1306"/>
      <c r="D51" s="1306"/>
      <c r="E51" s="1463"/>
      <c r="F51" s="873"/>
      <c r="G51" s="873"/>
      <c r="H51" s="873"/>
      <c r="I51" s="873"/>
      <c r="J51" s="873"/>
      <c r="K51" s="873"/>
      <c r="L51" s="873"/>
      <c r="M51" s="873"/>
      <c r="N51" s="873"/>
      <c r="O51" s="873"/>
      <c r="P51" s="873"/>
      <c r="Q51" s="873"/>
      <c r="R51" s="873"/>
      <c r="S51" s="873"/>
      <c r="T51" s="873"/>
      <c r="U51" s="873"/>
      <c r="V51" s="873"/>
      <c r="W51" s="873"/>
      <c r="X51" s="873"/>
      <c r="Y51" s="873"/>
      <c r="Z51" s="873"/>
      <c r="AA51" s="873"/>
      <c r="AB51" s="873"/>
      <c r="AC51" s="873"/>
      <c r="AD51" s="873"/>
      <c r="AE51" s="873"/>
      <c r="AF51" s="873"/>
      <c r="AG51" s="873"/>
      <c r="AH51" s="873"/>
      <c r="AI51" s="873"/>
      <c r="AJ51" s="873"/>
      <c r="AK51" s="873"/>
      <c r="AL51" s="873"/>
      <c r="AM51" s="873"/>
      <c r="AN51" s="873"/>
      <c r="AO51" s="873"/>
      <c r="AP51" s="873"/>
      <c r="AQ51" s="873"/>
      <c r="AR51" s="873"/>
      <c r="AS51" s="873"/>
    </row>
    <row r="52" spans="1:45" ht="12.75" x14ac:dyDescent="0.2">
      <c r="A52" s="873"/>
      <c r="B52" s="958"/>
      <c r="C52" s="958"/>
      <c r="D52" s="958"/>
      <c r="E52" s="1462"/>
      <c r="F52" s="873"/>
      <c r="G52" s="873"/>
      <c r="H52" s="873"/>
      <c r="I52" s="873"/>
      <c r="J52" s="873"/>
      <c r="K52" s="873"/>
      <c r="L52" s="873"/>
      <c r="M52" s="873"/>
      <c r="N52" s="873"/>
      <c r="O52" s="873"/>
      <c r="P52" s="873"/>
      <c r="Q52" s="873"/>
      <c r="R52" s="873"/>
      <c r="S52" s="873"/>
      <c r="T52" s="873"/>
      <c r="U52" s="873"/>
      <c r="V52" s="873"/>
      <c r="W52" s="873"/>
      <c r="X52" s="873"/>
      <c r="Y52" s="873"/>
      <c r="Z52" s="873"/>
      <c r="AA52" s="873"/>
      <c r="AB52" s="873"/>
      <c r="AC52" s="873"/>
      <c r="AD52" s="873"/>
      <c r="AE52" s="873"/>
      <c r="AF52" s="873"/>
      <c r="AG52" s="873"/>
      <c r="AH52" s="873"/>
      <c r="AI52" s="873"/>
      <c r="AJ52" s="873"/>
      <c r="AK52" s="873"/>
      <c r="AL52" s="873"/>
      <c r="AM52" s="873"/>
      <c r="AN52" s="873"/>
      <c r="AO52" s="873"/>
      <c r="AP52" s="873"/>
      <c r="AQ52" s="873"/>
      <c r="AR52" s="873"/>
      <c r="AS52" s="873"/>
    </row>
    <row r="53" spans="1:45" ht="12.75" x14ac:dyDescent="0.2">
      <c r="A53" s="873"/>
      <c r="B53" s="873"/>
      <c r="C53" s="873"/>
      <c r="D53" s="873"/>
      <c r="E53" s="873"/>
      <c r="F53" s="873"/>
      <c r="G53" s="873"/>
      <c r="H53" s="873"/>
      <c r="I53" s="873"/>
      <c r="J53" s="873"/>
      <c r="K53" s="873"/>
      <c r="L53" s="873"/>
      <c r="M53" s="873"/>
      <c r="N53" s="873"/>
      <c r="O53" s="873"/>
      <c r="P53" s="873"/>
      <c r="Q53" s="873"/>
      <c r="R53" s="873"/>
      <c r="S53" s="873"/>
      <c r="T53" s="873"/>
      <c r="U53" s="873"/>
      <c r="V53" s="873"/>
      <c r="W53" s="873"/>
      <c r="X53" s="873"/>
      <c r="Y53" s="873"/>
      <c r="Z53" s="873"/>
      <c r="AA53" s="873"/>
      <c r="AB53" s="873"/>
      <c r="AC53" s="873"/>
      <c r="AD53" s="873"/>
      <c r="AE53" s="873"/>
      <c r="AF53" s="873"/>
      <c r="AG53" s="873"/>
      <c r="AH53" s="873"/>
      <c r="AI53" s="873"/>
      <c r="AJ53" s="873"/>
      <c r="AK53" s="873"/>
      <c r="AL53" s="873"/>
      <c r="AM53" s="873"/>
      <c r="AN53" s="873"/>
      <c r="AO53" s="873"/>
      <c r="AP53" s="873"/>
      <c r="AQ53" s="873"/>
      <c r="AR53" s="873"/>
      <c r="AS53" s="873"/>
    </row>
    <row r="54" spans="1:45" ht="12.75" x14ac:dyDescent="0.2">
      <c r="A54" s="873"/>
      <c r="B54" s="873"/>
      <c r="C54" s="873"/>
      <c r="D54" s="873"/>
      <c r="E54" s="873"/>
      <c r="F54" s="873"/>
      <c r="G54" s="873"/>
      <c r="H54" s="873"/>
      <c r="I54" s="873"/>
      <c r="J54" s="873"/>
      <c r="K54" s="873"/>
      <c r="L54" s="873"/>
      <c r="M54" s="873"/>
      <c r="N54" s="873"/>
      <c r="O54" s="873"/>
      <c r="P54" s="873"/>
      <c r="Q54" s="873"/>
      <c r="R54" s="873"/>
      <c r="S54" s="873"/>
      <c r="T54" s="873"/>
      <c r="U54" s="873"/>
      <c r="V54" s="873"/>
      <c r="W54" s="873"/>
      <c r="X54" s="873"/>
      <c r="Y54" s="873"/>
      <c r="Z54" s="873"/>
      <c r="AA54" s="873"/>
      <c r="AB54" s="873"/>
      <c r="AC54" s="873"/>
      <c r="AD54" s="873"/>
      <c r="AE54" s="873"/>
      <c r="AF54" s="873"/>
      <c r="AG54" s="873"/>
      <c r="AH54" s="873"/>
      <c r="AI54" s="873"/>
      <c r="AJ54" s="873"/>
      <c r="AK54" s="873"/>
      <c r="AL54" s="873"/>
      <c r="AM54" s="873"/>
      <c r="AN54" s="873"/>
      <c r="AO54" s="873"/>
      <c r="AP54" s="873"/>
      <c r="AQ54" s="873"/>
      <c r="AR54" s="873"/>
      <c r="AS54" s="873"/>
    </row>
    <row r="55" spans="1:45" ht="12.75" x14ac:dyDescent="0.2">
      <c r="A55" s="873"/>
      <c r="B55" s="873"/>
      <c r="C55" s="873"/>
      <c r="D55" s="873"/>
      <c r="E55" s="873"/>
      <c r="F55" s="873"/>
      <c r="G55" s="873"/>
      <c r="H55" s="873"/>
      <c r="I55" s="873"/>
      <c r="J55" s="873"/>
      <c r="K55" s="873"/>
      <c r="L55" s="873"/>
      <c r="M55" s="873"/>
      <c r="N55" s="873"/>
      <c r="O55" s="873"/>
      <c r="P55" s="873"/>
      <c r="Q55" s="873"/>
      <c r="R55" s="873"/>
      <c r="S55" s="873"/>
      <c r="T55" s="873"/>
      <c r="U55" s="873"/>
      <c r="V55" s="873"/>
      <c r="W55" s="873"/>
      <c r="X55" s="873"/>
      <c r="Y55" s="873"/>
      <c r="Z55" s="873"/>
      <c r="AA55" s="873"/>
      <c r="AB55" s="873"/>
      <c r="AC55" s="873"/>
      <c r="AD55" s="873"/>
      <c r="AE55" s="873"/>
      <c r="AF55" s="873"/>
      <c r="AG55" s="873"/>
      <c r="AH55" s="873"/>
      <c r="AI55" s="873"/>
      <c r="AJ55" s="873"/>
      <c r="AK55" s="873"/>
      <c r="AL55" s="873"/>
      <c r="AM55" s="873"/>
      <c r="AN55" s="873"/>
      <c r="AO55" s="873"/>
      <c r="AP55" s="873"/>
      <c r="AQ55" s="873"/>
      <c r="AR55" s="873"/>
      <c r="AS55" s="873"/>
    </row>
    <row r="56" spans="1:45" ht="12.75" x14ac:dyDescent="0.2">
      <c r="A56" s="873"/>
      <c r="B56" s="873"/>
      <c r="C56" s="873"/>
      <c r="D56" s="873"/>
      <c r="E56" s="873"/>
      <c r="F56" s="873"/>
      <c r="G56" s="873"/>
      <c r="H56" s="873"/>
      <c r="I56" s="873"/>
      <c r="J56" s="873"/>
      <c r="K56" s="873"/>
      <c r="L56" s="873"/>
      <c r="M56" s="873"/>
      <c r="N56" s="873"/>
      <c r="O56" s="873"/>
      <c r="P56" s="873"/>
      <c r="Q56" s="873"/>
      <c r="R56" s="873"/>
      <c r="S56" s="873"/>
      <c r="T56" s="873"/>
      <c r="U56" s="873"/>
      <c r="V56" s="873"/>
      <c r="W56" s="873"/>
      <c r="X56" s="873"/>
      <c r="Y56" s="873"/>
      <c r="Z56" s="873"/>
      <c r="AA56" s="873"/>
      <c r="AB56" s="873"/>
      <c r="AC56" s="873"/>
      <c r="AD56" s="873"/>
      <c r="AE56" s="873"/>
      <c r="AF56" s="873"/>
      <c r="AG56" s="873"/>
      <c r="AH56" s="873"/>
      <c r="AI56" s="873"/>
      <c r="AJ56" s="873"/>
      <c r="AK56" s="873"/>
      <c r="AL56" s="873"/>
      <c r="AM56" s="873"/>
      <c r="AN56" s="873"/>
      <c r="AO56" s="873"/>
      <c r="AP56" s="873"/>
      <c r="AQ56" s="873"/>
      <c r="AR56" s="873"/>
      <c r="AS56" s="873"/>
    </row>
    <row r="57" spans="1:45" ht="12.75" x14ac:dyDescent="0.2">
      <c r="A57" s="873"/>
      <c r="B57" s="873"/>
      <c r="C57" s="873"/>
      <c r="D57" s="873"/>
      <c r="E57" s="873"/>
      <c r="F57" s="873"/>
      <c r="G57" s="873"/>
      <c r="H57" s="873"/>
      <c r="I57" s="873"/>
      <c r="J57" s="873"/>
      <c r="K57" s="873"/>
      <c r="L57" s="873"/>
      <c r="M57" s="873"/>
      <c r="N57" s="873"/>
      <c r="O57" s="873"/>
      <c r="P57" s="873"/>
      <c r="Q57" s="873"/>
      <c r="R57" s="873"/>
      <c r="S57" s="873"/>
      <c r="T57" s="873"/>
      <c r="U57" s="873"/>
      <c r="V57" s="873"/>
      <c r="W57" s="873"/>
      <c r="X57" s="873"/>
      <c r="Y57" s="873"/>
      <c r="Z57" s="873"/>
      <c r="AA57" s="873"/>
      <c r="AB57" s="873"/>
      <c r="AC57" s="873"/>
      <c r="AD57" s="873"/>
      <c r="AE57" s="873"/>
      <c r="AF57" s="873"/>
      <c r="AG57" s="873"/>
      <c r="AH57" s="873"/>
      <c r="AI57" s="873"/>
      <c r="AJ57" s="873"/>
      <c r="AK57" s="873"/>
      <c r="AL57" s="873"/>
      <c r="AM57" s="873"/>
      <c r="AN57" s="873"/>
      <c r="AO57" s="873"/>
      <c r="AP57" s="873"/>
      <c r="AQ57" s="873"/>
      <c r="AR57" s="873"/>
      <c r="AS57" s="873"/>
    </row>
    <row r="58" spans="1:45" ht="12.75" x14ac:dyDescent="0.2">
      <c r="A58" s="873"/>
      <c r="B58" s="873"/>
      <c r="C58" s="873"/>
      <c r="D58" s="873"/>
      <c r="E58" s="873"/>
      <c r="F58" s="873"/>
      <c r="G58" s="873"/>
      <c r="H58" s="873"/>
      <c r="I58" s="873"/>
      <c r="J58" s="873"/>
      <c r="K58" s="873"/>
      <c r="L58" s="873"/>
      <c r="M58" s="873"/>
      <c r="N58" s="873"/>
      <c r="O58" s="873"/>
      <c r="P58" s="873"/>
      <c r="Q58" s="873"/>
      <c r="R58" s="873"/>
      <c r="S58" s="873"/>
      <c r="T58" s="873"/>
      <c r="U58" s="873"/>
      <c r="V58" s="873"/>
      <c r="W58" s="873"/>
      <c r="X58" s="873"/>
      <c r="Y58" s="873"/>
      <c r="Z58" s="873"/>
      <c r="AA58" s="873"/>
      <c r="AB58" s="873"/>
      <c r="AC58" s="873"/>
      <c r="AD58" s="873"/>
      <c r="AE58" s="873"/>
      <c r="AF58" s="873"/>
      <c r="AG58" s="873"/>
      <c r="AH58" s="873"/>
      <c r="AI58" s="873"/>
      <c r="AJ58" s="873"/>
      <c r="AK58" s="873"/>
      <c r="AL58" s="873"/>
      <c r="AM58" s="873"/>
      <c r="AN58" s="873"/>
      <c r="AO58" s="873"/>
      <c r="AP58" s="873"/>
      <c r="AQ58" s="873"/>
      <c r="AR58" s="873"/>
      <c r="AS58" s="873"/>
    </row>
    <row r="59" spans="1:45" ht="12.75" x14ac:dyDescent="0.2">
      <c r="A59" s="873"/>
      <c r="B59" s="873"/>
      <c r="C59" s="873"/>
      <c r="D59" s="873"/>
      <c r="E59" s="873"/>
      <c r="F59" s="873"/>
      <c r="G59" s="873"/>
      <c r="H59" s="873"/>
      <c r="I59" s="873"/>
      <c r="J59" s="873"/>
      <c r="K59" s="873"/>
      <c r="L59" s="873"/>
      <c r="M59" s="873"/>
      <c r="N59" s="873"/>
      <c r="O59" s="873"/>
      <c r="P59" s="873"/>
      <c r="Q59" s="873"/>
      <c r="R59" s="873"/>
      <c r="S59" s="873"/>
      <c r="T59" s="873"/>
      <c r="U59" s="873"/>
      <c r="V59" s="873"/>
      <c r="W59" s="873"/>
      <c r="X59" s="873"/>
      <c r="Y59" s="873"/>
      <c r="Z59" s="873"/>
      <c r="AA59" s="873"/>
      <c r="AB59" s="873"/>
      <c r="AC59" s="873"/>
      <c r="AD59" s="873"/>
      <c r="AE59" s="873"/>
      <c r="AF59" s="873"/>
      <c r="AG59" s="873"/>
      <c r="AH59" s="873"/>
      <c r="AI59" s="873"/>
      <c r="AJ59" s="873"/>
      <c r="AK59" s="873"/>
      <c r="AL59" s="873"/>
      <c r="AM59" s="873"/>
      <c r="AN59" s="873"/>
      <c r="AO59" s="873"/>
      <c r="AP59" s="873"/>
      <c r="AQ59" s="873"/>
      <c r="AR59" s="873"/>
      <c r="AS59" s="873"/>
    </row>
    <row r="60" spans="1:45" ht="12.75" x14ac:dyDescent="0.2">
      <c r="A60" s="873"/>
      <c r="B60" s="873"/>
      <c r="C60" s="873"/>
      <c r="D60" s="873"/>
      <c r="E60" s="873"/>
      <c r="F60" s="873"/>
      <c r="G60" s="873"/>
      <c r="H60" s="873"/>
      <c r="I60" s="873"/>
      <c r="J60" s="873"/>
      <c r="K60" s="873"/>
      <c r="L60" s="873"/>
      <c r="M60" s="873"/>
      <c r="N60" s="873"/>
      <c r="O60" s="873"/>
      <c r="P60" s="873"/>
      <c r="Q60" s="873"/>
      <c r="R60" s="873"/>
      <c r="S60" s="873"/>
      <c r="T60" s="873"/>
      <c r="U60" s="873"/>
      <c r="V60" s="873"/>
      <c r="W60" s="873"/>
      <c r="X60" s="873"/>
      <c r="Y60" s="873"/>
      <c r="Z60" s="873"/>
      <c r="AA60" s="873"/>
      <c r="AB60" s="873"/>
      <c r="AC60" s="873"/>
      <c r="AD60" s="873"/>
      <c r="AE60" s="873"/>
      <c r="AF60" s="873"/>
      <c r="AG60" s="873"/>
      <c r="AH60" s="873"/>
      <c r="AI60" s="873"/>
      <c r="AJ60" s="873"/>
      <c r="AK60" s="873"/>
      <c r="AL60" s="873"/>
      <c r="AM60" s="873"/>
      <c r="AN60" s="873"/>
      <c r="AO60" s="873"/>
      <c r="AP60" s="873"/>
      <c r="AQ60" s="873"/>
      <c r="AR60" s="873"/>
      <c r="AS60" s="873"/>
    </row>
    <row r="61" spans="1:45" ht="12.75" x14ac:dyDescent="0.2">
      <c r="A61" s="873"/>
      <c r="B61" s="873"/>
      <c r="C61" s="873"/>
      <c r="D61" s="873"/>
      <c r="E61" s="873"/>
      <c r="F61" s="873"/>
      <c r="G61" s="873"/>
      <c r="H61" s="873"/>
      <c r="I61" s="873"/>
      <c r="J61" s="873"/>
      <c r="K61" s="873"/>
      <c r="L61" s="873"/>
      <c r="M61" s="873"/>
      <c r="N61" s="873"/>
      <c r="O61" s="873"/>
      <c r="P61" s="873"/>
      <c r="Q61" s="873"/>
      <c r="R61" s="873"/>
      <c r="S61" s="873"/>
      <c r="T61" s="873"/>
      <c r="U61" s="873"/>
      <c r="V61" s="873"/>
      <c r="W61" s="873"/>
      <c r="X61" s="873"/>
      <c r="Y61" s="873"/>
      <c r="Z61" s="873"/>
      <c r="AA61" s="873"/>
      <c r="AB61" s="873"/>
      <c r="AC61" s="873"/>
      <c r="AD61" s="873"/>
      <c r="AE61" s="873"/>
      <c r="AF61" s="873"/>
      <c r="AG61" s="873"/>
      <c r="AH61" s="873"/>
      <c r="AI61" s="873"/>
      <c r="AJ61" s="873"/>
      <c r="AK61" s="873"/>
      <c r="AL61" s="873"/>
      <c r="AM61" s="873"/>
      <c r="AN61" s="873"/>
      <c r="AO61" s="873"/>
      <c r="AP61" s="873"/>
      <c r="AQ61" s="873"/>
      <c r="AR61" s="873"/>
      <c r="AS61" s="873"/>
    </row>
    <row r="62" spans="1:45" ht="12.75" x14ac:dyDescent="0.2">
      <c r="A62" s="873"/>
      <c r="B62" s="873"/>
      <c r="C62" s="873"/>
      <c r="D62" s="873"/>
      <c r="E62" s="873"/>
      <c r="F62" s="873"/>
      <c r="G62" s="873"/>
      <c r="H62" s="873"/>
      <c r="I62" s="873"/>
      <c r="J62" s="873"/>
      <c r="K62" s="873"/>
      <c r="L62" s="873"/>
      <c r="M62" s="873"/>
      <c r="N62" s="873"/>
      <c r="O62" s="873"/>
      <c r="P62" s="873"/>
      <c r="Q62" s="873"/>
      <c r="R62" s="873"/>
      <c r="S62" s="873"/>
      <c r="T62" s="873"/>
      <c r="U62" s="873"/>
      <c r="V62" s="873"/>
      <c r="W62" s="873"/>
      <c r="X62" s="873"/>
      <c r="Y62" s="873"/>
      <c r="Z62" s="873"/>
      <c r="AA62" s="873"/>
      <c r="AB62" s="873"/>
      <c r="AC62" s="873"/>
      <c r="AD62" s="873"/>
      <c r="AE62" s="873"/>
      <c r="AF62" s="873"/>
      <c r="AG62" s="873"/>
      <c r="AH62" s="873"/>
      <c r="AI62" s="873"/>
      <c r="AJ62" s="873"/>
      <c r="AK62" s="873"/>
      <c r="AL62" s="873"/>
      <c r="AM62" s="873"/>
      <c r="AN62" s="873"/>
      <c r="AO62" s="873"/>
      <c r="AP62" s="873"/>
      <c r="AQ62" s="873"/>
      <c r="AR62" s="873"/>
      <c r="AS62" s="873"/>
    </row>
    <row r="63" spans="1:45" ht="12.75" x14ac:dyDescent="0.2">
      <c r="A63" s="873"/>
      <c r="B63" s="873"/>
      <c r="C63" s="873"/>
      <c r="D63" s="873"/>
      <c r="E63" s="873"/>
      <c r="F63" s="873"/>
      <c r="G63" s="873"/>
      <c r="H63" s="873"/>
      <c r="I63" s="873"/>
      <c r="J63" s="873"/>
      <c r="K63" s="873"/>
      <c r="L63" s="873"/>
      <c r="M63" s="873"/>
      <c r="N63" s="873"/>
      <c r="O63" s="873"/>
      <c r="P63" s="873"/>
      <c r="Q63" s="873"/>
      <c r="R63" s="873"/>
      <c r="S63" s="873"/>
      <c r="T63" s="873"/>
      <c r="U63" s="873"/>
      <c r="V63" s="873"/>
      <c r="W63" s="873"/>
      <c r="X63" s="873"/>
      <c r="Y63" s="873"/>
      <c r="Z63" s="873"/>
      <c r="AA63" s="873"/>
      <c r="AB63" s="873"/>
      <c r="AC63" s="873"/>
      <c r="AD63" s="873"/>
      <c r="AE63" s="873"/>
      <c r="AF63" s="873"/>
      <c r="AG63" s="873"/>
      <c r="AH63" s="873"/>
      <c r="AI63" s="873"/>
      <c r="AJ63" s="873"/>
      <c r="AK63" s="873"/>
      <c r="AL63" s="873"/>
      <c r="AM63" s="873"/>
      <c r="AN63" s="873"/>
      <c r="AO63" s="873"/>
      <c r="AP63" s="873"/>
      <c r="AQ63" s="873"/>
      <c r="AR63" s="873"/>
      <c r="AS63" s="873"/>
    </row>
    <row r="64" spans="1:45" ht="12.75" x14ac:dyDescent="0.2">
      <c r="A64" s="873"/>
      <c r="B64" s="873"/>
      <c r="C64" s="873"/>
      <c r="D64" s="873"/>
      <c r="E64" s="873"/>
      <c r="F64" s="873"/>
      <c r="G64" s="873"/>
      <c r="H64" s="873"/>
      <c r="I64" s="873"/>
      <c r="J64" s="873"/>
      <c r="K64" s="873"/>
      <c r="L64" s="873"/>
      <c r="M64" s="873"/>
      <c r="N64" s="873"/>
      <c r="O64" s="873"/>
      <c r="P64" s="873"/>
      <c r="Q64" s="873"/>
      <c r="R64" s="873"/>
      <c r="S64" s="873"/>
      <c r="T64" s="873"/>
      <c r="U64" s="873"/>
      <c r="V64" s="873"/>
      <c r="W64" s="873"/>
      <c r="X64" s="873"/>
      <c r="Y64" s="873"/>
      <c r="Z64" s="873"/>
      <c r="AA64" s="873"/>
      <c r="AB64" s="873"/>
      <c r="AC64" s="873"/>
      <c r="AD64" s="873"/>
      <c r="AE64" s="873"/>
      <c r="AF64" s="873"/>
      <c r="AG64" s="873"/>
      <c r="AH64" s="873"/>
      <c r="AI64" s="873"/>
      <c r="AJ64" s="873"/>
      <c r="AK64" s="873"/>
      <c r="AL64" s="873"/>
      <c r="AM64" s="873"/>
      <c r="AN64" s="873"/>
      <c r="AO64" s="873"/>
      <c r="AP64" s="873"/>
      <c r="AQ64" s="873"/>
      <c r="AR64" s="873"/>
      <c r="AS64" s="873"/>
    </row>
    <row r="65" spans="1:45" ht="12.75" x14ac:dyDescent="0.2">
      <c r="A65" s="873"/>
      <c r="B65" s="873"/>
      <c r="C65" s="873"/>
      <c r="D65" s="873"/>
      <c r="E65" s="873"/>
      <c r="F65" s="873"/>
      <c r="G65" s="873"/>
      <c r="H65" s="873"/>
      <c r="I65" s="873"/>
      <c r="J65" s="873"/>
      <c r="K65" s="873"/>
      <c r="L65" s="873"/>
      <c r="M65" s="873"/>
      <c r="N65" s="873"/>
      <c r="O65" s="873"/>
      <c r="P65" s="873"/>
      <c r="Q65" s="873"/>
      <c r="R65" s="873"/>
      <c r="S65" s="873"/>
      <c r="T65" s="873"/>
      <c r="U65" s="873"/>
      <c r="V65" s="873"/>
      <c r="W65" s="873"/>
      <c r="X65" s="873"/>
      <c r="Y65" s="873"/>
      <c r="Z65" s="873"/>
      <c r="AA65" s="873"/>
      <c r="AB65" s="873"/>
      <c r="AC65" s="873"/>
      <c r="AD65" s="873"/>
      <c r="AE65" s="873"/>
      <c r="AF65" s="873"/>
      <c r="AG65" s="873"/>
      <c r="AH65" s="873"/>
      <c r="AI65" s="873"/>
      <c r="AJ65" s="873"/>
      <c r="AK65" s="873"/>
      <c r="AL65" s="873"/>
      <c r="AM65" s="873"/>
      <c r="AN65" s="873"/>
      <c r="AO65" s="873"/>
      <c r="AP65" s="873"/>
      <c r="AQ65" s="873"/>
      <c r="AR65" s="873"/>
      <c r="AS65" s="873"/>
    </row>
    <row r="66" spans="1:45" ht="12.75" x14ac:dyDescent="0.2">
      <c r="A66" s="873"/>
      <c r="B66" s="873"/>
      <c r="C66" s="873"/>
      <c r="D66" s="873"/>
      <c r="E66" s="873"/>
      <c r="F66" s="873"/>
      <c r="G66" s="873"/>
      <c r="H66" s="873"/>
      <c r="I66" s="873"/>
      <c r="J66" s="873"/>
      <c r="K66" s="873"/>
      <c r="L66" s="873"/>
      <c r="M66" s="873"/>
      <c r="N66" s="873"/>
      <c r="O66" s="873"/>
      <c r="P66" s="873"/>
      <c r="Q66" s="873"/>
      <c r="R66" s="873"/>
      <c r="S66" s="873"/>
      <c r="T66" s="873"/>
      <c r="U66" s="873"/>
      <c r="V66" s="873"/>
      <c r="W66" s="873"/>
      <c r="X66" s="873"/>
      <c r="Y66" s="873"/>
      <c r="Z66" s="873"/>
      <c r="AA66" s="873"/>
      <c r="AB66" s="873"/>
      <c r="AC66" s="873"/>
      <c r="AD66" s="873"/>
      <c r="AE66" s="873"/>
      <c r="AF66" s="873"/>
      <c r="AG66" s="873"/>
      <c r="AH66" s="873"/>
      <c r="AI66" s="873"/>
      <c r="AJ66" s="873"/>
      <c r="AK66" s="873"/>
      <c r="AL66" s="873"/>
      <c r="AM66" s="873"/>
      <c r="AN66" s="873"/>
      <c r="AO66" s="873"/>
      <c r="AP66" s="873"/>
      <c r="AQ66" s="873"/>
      <c r="AR66" s="873"/>
      <c r="AS66" s="873"/>
    </row>
    <row r="67" spans="1:45" ht="12.75" x14ac:dyDescent="0.2">
      <c r="A67" s="873"/>
      <c r="B67" s="873"/>
      <c r="C67" s="873"/>
      <c r="D67" s="873"/>
      <c r="E67" s="873"/>
      <c r="F67" s="873"/>
      <c r="G67" s="873"/>
      <c r="H67" s="873"/>
      <c r="I67" s="873"/>
      <c r="J67" s="873"/>
      <c r="K67" s="873"/>
      <c r="L67" s="873"/>
      <c r="M67" s="873"/>
      <c r="N67" s="873"/>
      <c r="O67" s="873"/>
      <c r="P67" s="873"/>
      <c r="Q67" s="873"/>
      <c r="R67" s="873"/>
      <c r="S67" s="873"/>
      <c r="T67" s="873"/>
      <c r="U67" s="873"/>
      <c r="V67" s="873"/>
      <c r="W67" s="873"/>
      <c r="X67" s="873"/>
      <c r="Y67" s="873"/>
      <c r="Z67" s="873"/>
      <c r="AA67" s="873"/>
      <c r="AB67" s="873"/>
      <c r="AC67" s="873"/>
      <c r="AD67" s="873"/>
      <c r="AE67" s="873"/>
      <c r="AF67" s="873"/>
      <c r="AG67" s="873"/>
      <c r="AH67" s="873"/>
      <c r="AI67" s="873"/>
      <c r="AJ67" s="873"/>
      <c r="AK67" s="873"/>
      <c r="AL67" s="873"/>
      <c r="AM67" s="873"/>
      <c r="AN67" s="873"/>
      <c r="AO67" s="873"/>
      <c r="AP67" s="873"/>
      <c r="AQ67" s="873"/>
      <c r="AR67" s="873"/>
      <c r="AS67" s="873"/>
    </row>
    <row r="68" spans="1:45" ht="12.75" x14ac:dyDescent="0.2">
      <c r="A68" s="873"/>
      <c r="B68" s="873"/>
      <c r="C68" s="873"/>
      <c r="D68" s="873"/>
      <c r="E68" s="873"/>
      <c r="F68" s="873"/>
      <c r="G68" s="873"/>
      <c r="H68" s="873"/>
      <c r="I68" s="873"/>
      <c r="J68" s="873"/>
      <c r="K68" s="873"/>
      <c r="L68" s="873"/>
      <c r="M68" s="873"/>
      <c r="N68" s="873"/>
      <c r="O68" s="873"/>
      <c r="P68" s="873"/>
      <c r="Q68" s="873"/>
      <c r="R68" s="873"/>
      <c r="S68" s="873"/>
      <c r="T68" s="873"/>
      <c r="U68" s="873"/>
      <c r="V68" s="873"/>
      <c r="W68" s="873"/>
      <c r="X68" s="873"/>
      <c r="Y68" s="873"/>
      <c r="Z68" s="873"/>
      <c r="AA68" s="873"/>
      <c r="AB68" s="873"/>
      <c r="AC68" s="873"/>
      <c r="AD68" s="873"/>
      <c r="AE68" s="873"/>
      <c r="AF68" s="873"/>
      <c r="AG68" s="873"/>
      <c r="AH68" s="873"/>
      <c r="AI68" s="873"/>
      <c r="AJ68" s="873"/>
      <c r="AK68" s="873"/>
      <c r="AL68" s="873"/>
      <c r="AM68" s="873"/>
      <c r="AN68" s="873"/>
      <c r="AO68" s="873"/>
      <c r="AP68" s="873"/>
      <c r="AQ68" s="873"/>
      <c r="AR68" s="873"/>
      <c r="AS68" s="873"/>
    </row>
    <row r="69" spans="1:45" ht="12.75" x14ac:dyDescent="0.2">
      <c r="A69" s="873"/>
      <c r="B69" s="873"/>
      <c r="C69" s="873"/>
      <c r="D69" s="873"/>
      <c r="E69" s="873"/>
      <c r="F69" s="873"/>
      <c r="G69" s="873"/>
      <c r="H69" s="873"/>
      <c r="I69" s="873"/>
      <c r="J69" s="873"/>
      <c r="K69" s="873"/>
      <c r="L69" s="873"/>
      <c r="M69" s="873"/>
      <c r="N69" s="873"/>
      <c r="O69" s="873"/>
      <c r="P69" s="873"/>
      <c r="Q69" s="873"/>
      <c r="R69" s="873"/>
      <c r="S69" s="873"/>
      <c r="T69" s="873"/>
      <c r="U69" s="873"/>
      <c r="V69" s="873"/>
      <c r="W69" s="873"/>
      <c r="X69" s="873"/>
      <c r="Y69" s="873"/>
      <c r="Z69" s="873"/>
      <c r="AA69" s="873"/>
      <c r="AB69" s="873"/>
      <c r="AC69" s="873"/>
      <c r="AD69" s="873"/>
      <c r="AE69" s="873"/>
      <c r="AF69" s="873"/>
      <c r="AG69" s="873"/>
      <c r="AH69" s="873"/>
      <c r="AI69" s="873"/>
      <c r="AJ69" s="873"/>
      <c r="AK69" s="873"/>
      <c r="AL69" s="873"/>
      <c r="AM69" s="873"/>
      <c r="AN69" s="873"/>
      <c r="AO69" s="873"/>
      <c r="AP69" s="873"/>
      <c r="AQ69" s="873"/>
      <c r="AR69" s="873"/>
      <c r="AS69" s="873"/>
    </row>
    <row r="70" spans="1:45" ht="12.75" x14ac:dyDescent="0.2">
      <c r="A70" s="873"/>
      <c r="B70" s="873"/>
      <c r="C70" s="873"/>
      <c r="D70" s="873"/>
      <c r="E70" s="873"/>
      <c r="F70" s="873"/>
      <c r="G70" s="873"/>
      <c r="H70" s="873"/>
      <c r="I70" s="873"/>
      <c r="J70" s="873"/>
      <c r="K70" s="873"/>
      <c r="L70" s="873"/>
      <c r="M70" s="873"/>
      <c r="N70" s="873"/>
      <c r="O70" s="873"/>
      <c r="P70" s="873"/>
      <c r="Q70" s="873"/>
      <c r="R70" s="873"/>
      <c r="S70" s="873"/>
      <c r="T70" s="873"/>
      <c r="U70" s="873"/>
      <c r="V70" s="873"/>
      <c r="W70" s="873"/>
      <c r="X70" s="873"/>
      <c r="Y70" s="873"/>
      <c r="Z70" s="873"/>
      <c r="AA70" s="873"/>
      <c r="AB70" s="873"/>
      <c r="AC70" s="873"/>
      <c r="AD70" s="873"/>
      <c r="AE70" s="873"/>
      <c r="AF70" s="873"/>
      <c r="AG70" s="873"/>
      <c r="AH70" s="873"/>
      <c r="AI70" s="873"/>
      <c r="AJ70" s="873"/>
      <c r="AK70" s="873"/>
      <c r="AL70" s="873"/>
      <c r="AM70" s="873"/>
      <c r="AN70" s="873"/>
      <c r="AO70" s="873"/>
      <c r="AP70" s="873"/>
      <c r="AQ70" s="873"/>
      <c r="AR70" s="873"/>
      <c r="AS70" s="873"/>
    </row>
    <row r="71" spans="1:45" ht="12.75" x14ac:dyDescent="0.2">
      <c r="A71" s="873"/>
      <c r="B71" s="873"/>
      <c r="C71" s="873"/>
      <c r="D71" s="873"/>
      <c r="E71" s="873"/>
      <c r="F71" s="873"/>
      <c r="G71" s="873"/>
      <c r="H71" s="873"/>
      <c r="I71" s="873"/>
      <c r="J71" s="873"/>
      <c r="K71" s="873"/>
      <c r="L71" s="873"/>
      <c r="M71" s="873"/>
      <c r="N71" s="873"/>
      <c r="O71" s="873"/>
      <c r="P71" s="873"/>
      <c r="Q71" s="873"/>
      <c r="R71" s="873"/>
      <c r="S71" s="873"/>
      <c r="T71" s="873"/>
      <c r="U71" s="873"/>
      <c r="V71" s="873"/>
      <c r="W71" s="873"/>
      <c r="X71" s="873"/>
      <c r="Y71" s="873"/>
      <c r="Z71" s="873"/>
      <c r="AA71" s="873"/>
      <c r="AB71" s="873"/>
      <c r="AC71" s="873"/>
      <c r="AD71" s="873"/>
      <c r="AE71" s="873"/>
      <c r="AF71" s="873"/>
      <c r="AG71" s="873"/>
      <c r="AH71" s="873"/>
      <c r="AI71" s="873"/>
      <c r="AJ71" s="873"/>
      <c r="AK71" s="873"/>
      <c r="AL71" s="873"/>
      <c r="AM71" s="873"/>
      <c r="AN71" s="873"/>
      <c r="AO71" s="873"/>
      <c r="AP71" s="873"/>
      <c r="AQ71" s="873"/>
      <c r="AR71" s="873"/>
      <c r="AS71" s="873"/>
    </row>
    <row r="72" spans="1:45" ht="12.75" x14ac:dyDescent="0.2">
      <c r="A72" s="873"/>
      <c r="B72" s="873"/>
      <c r="C72" s="873"/>
      <c r="D72" s="873"/>
      <c r="E72" s="873"/>
      <c r="F72" s="873"/>
      <c r="G72" s="873"/>
      <c r="H72" s="873"/>
      <c r="I72" s="873"/>
      <c r="J72" s="873"/>
      <c r="K72" s="873"/>
      <c r="L72" s="873"/>
      <c r="M72" s="873"/>
      <c r="N72" s="873"/>
      <c r="O72" s="873"/>
      <c r="P72" s="873"/>
      <c r="Q72" s="873"/>
      <c r="R72" s="873"/>
      <c r="S72" s="873"/>
      <c r="T72" s="873"/>
      <c r="U72" s="873"/>
      <c r="V72" s="873"/>
      <c r="W72" s="873"/>
      <c r="X72" s="873"/>
      <c r="Y72" s="873"/>
      <c r="Z72" s="873"/>
      <c r="AA72" s="873"/>
      <c r="AB72" s="873"/>
      <c r="AC72" s="873"/>
      <c r="AD72" s="873"/>
      <c r="AE72" s="873"/>
      <c r="AF72" s="873"/>
      <c r="AG72" s="873"/>
      <c r="AH72" s="873"/>
      <c r="AI72" s="873"/>
      <c r="AJ72" s="873"/>
      <c r="AK72" s="873"/>
      <c r="AL72" s="873"/>
      <c r="AM72" s="873"/>
      <c r="AN72" s="873"/>
      <c r="AO72" s="873"/>
      <c r="AP72" s="873"/>
      <c r="AQ72" s="873"/>
      <c r="AR72" s="873"/>
      <c r="AS72" s="873"/>
    </row>
    <row r="73" spans="1:45" ht="12.75" x14ac:dyDescent="0.2">
      <c r="A73" s="873"/>
      <c r="B73" s="873"/>
      <c r="C73" s="873"/>
      <c r="D73" s="873"/>
      <c r="E73" s="873"/>
      <c r="F73" s="873"/>
      <c r="G73" s="873"/>
      <c r="H73" s="873"/>
      <c r="I73" s="873"/>
      <c r="J73" s="873"/>
      <c r="K73" s="873"/>
      <c r="L73" s="873"/>
      <c r="M73" s="873"/>
      <c r="N73" s="873"/>
      <c r="O73" s="873"/>
      <c r="P73" s="873"/>
      <c r="Q73" s="873"/>
      <c r="R73" s="873"/>
      <c r="S73" s="873"/>
      <c r="T73" s="873"/>
      <c r="U73" s="873"/>
      <c r="V73" s="873"/>
      <c r="W73" s="873"/>
      <c r="X73" s="873"/>
      <c r="Y73" s="873"/>
      <c r="Z73" s="873"/>
      <c r="AA73" s="873"/>
      <c r="AB73" s="873"/>
      <c r="AC73" s="873"/>
      <c r="AD73" s="873"/>
      <c r="AE73" s="873"/>
      <c r="AF73" s="873"/>
      <c r="AG73" s="873"/>
      <c r="AH73" s="873"/>
      <c r="AI73" s="873"/>
      <c r="AJ73" s="873"/>
      <c r="AK73" s="873"/>
      <c r="AL73" s="873"/>
      <c r="AM73" s="873"/>
      <c r="AN73" s="873"/>
      <c r="AO73" s="873"/>
      <c r="AP73" s="873"/>
      <c r="AQ73" s="873"/>
      <c r="AR73" s="873"/>
      <c r="AS73" s="873"/>
    </row>
    <row r="74" spans="1:45" ht="12.75" x14ac:dyDescent="0.2">
      <c r="A74" s="873"/>
      <c r="B74" s="873"/>
      <c r="C74" s="873"/>
      <c r="D74" s="873"/>
      <c r="E74" s="873"/>
      <c r="F74" s="873"/>
      <c r="G74" s="873"/>
      <c r="H74" s="873"/>
      <c r="I74" s="873"/>
      <c r="J74" s="873"/>
      <c r="K74" s="873"/>
      <c r="L74" s="873"/>
      <c r="M74" s="873"/>
      <c r="N74" s="873"/>
      <c r="O74" s="873"/>
      <c r="P74" s="873"/>
      <c r="Q74" s="873"/>
      <c r="R74" s="873"/>
      <c r="S74" s="873"/>
      <c r="T74" s="873"/>
      <c r="U74" s="873"/>
      <c r="V74" s="873"/>
      <c r="W74" s="873"/>
      <c r="X74" s="873"/>
      <c r="Y74" s="873"/>
      <c r="Z74" s="873"/>
      <c r="AA74" s="873"/>
      <c r="AB74" s="873"/>
      <c r="AC74" s="873"/>
      <c r="AD74" s="873"/>
      <c r="AE74" s="873"/>
      <c r="AF74" s="873"/>
      <c r="AG74" s="873"/>
      <c r="AH74" s="873"/>
      <c r="AI74" s="873"/>
      <c r="AJ74" s="873"/>
      <c r="AK74" s="873"/>
      <c r="AL74" s="873"/>
      <c r="AM74" s="873"/>
      <c r="AN74" s="873"/>
      <c r="AO74" s="873"/>
      <c r="AP74" s="873"/>
      <c r="AQ74" s="873"/>
      <c r="AR74" s="873"/>
      <c r="AS74" s="873"/>
    </row>
    <row r="75" spans="1:45" ht="12.75" x14ac:dyDescent="0.2">
      <c r="A75" s="873"/>
      <c r="B75" s="873"/>
      <c r="C75" s="873"/>
      <c r="D75" s="873"/>
      <c r="E75" s="873"/>
      <c r="F75" s="873"/>
      <c r="G75" s="873"/>
      <c r="H75" s="873"/>
      <c r="I75" s="873"/>
      <c r="J75" s="873"/>
      <c r="K75" s="873"/>
      <c r="L75" s="873"/>
      <c r="M75" s="873"/>
      <c r="N75" s="873"/>
      <c r="O75" s="873"/>
      <c r="P75" s="873"/>
      <c r="Q75" s="873"/>
      <c r="R75" s="873"/>
      <c r="S75" s="873"/>
      <c r="T75" s="873"/>
      <c r="U75" s="873"/>
      <c r="V75" s="873"/>
      <c r="W75" s="873"/>
      <c r="X75" s="873"/>
      <c r="Y75" s="873"/>
      <c r="Z75" s="873"/>
      <c r="AA75" s="873"/>
      <c r="AB75" s="873"/>
      <c r="AC75" s="873"/>
      <c r="AD75" s="873"/>
      <c r="AE75" s="873"/>
      <c r="AF75" s="873"/>
      <c r="AG75" s="873"/>
      <c r="AH75" s="873"/>
      <c r="AI75" s="873"/>
      <c r="AJ75" s="873"/>
      <c r="AK75" s="873"/>
      <c r="AL75" s="873"/>
      <c r="AM75" s="873"/>
      <c r="AN75" s="873"/>
      <c r="AO75" s="873"/>
      <c r="AP75" s="873"/>
      <c r="AQ75" s="873"/>
      <c r="AR75" s="873"/>
      <c r="AS75" s="873"/>
    </row>
    <row r="76" spans="1:45" ht="12.75" x14ac:dyDescent="0.2">
      <c r="A76" s="873"/>
      <c r="B76" s="873"/>
      <c r="C76" s="873"/>
      <c r="D76" s="873"/>
      <c r="E76" s="873"/>
      <c r="F76" s="873"/>
      <c r="G76" s="873"/>
      <c r="H76" s="873"/>
      <c r="I76" s="873"/>
      <c r="J76" s="873"/>
      <c r="K76" s="873"/>
      <c r="L76" s="873"/>
      <c r="M76" s="873"/>
      <c r="N76" s="873"/>
      <c r="O76" s="873"/>
      <c r="P76" s="873"/>
      <c r="Q76" s="873"/>
      <c r="R76" s="873"/>
      <c r="S76" s="873"/>
      <c r="T76" s="873"/>
      <c r="U76" s="873"/>
      <c r="V76" s="873"/>
      <c r="W76" s="873"/>
      <c r="X76" s="873"/>
      <c r="Y76" s="873"/>
      <c r="Z76" s="873"/>
      <c r="AA76" s="873"/>
      <c r="AB76" s="873"/>
      <c r="AC76" s="873"/>
      <c r="AD76" s="873"/>
      <c r="AE76" s="873"/>
      <c r="AF76" s="873"/>
      <c r="AG76" s="873"/>
      <c r="AH76" s="873"/>
      <c r="AI76" s="873"/>
      <c r="AJ76" s="873"/>
      <c r="AK76" s="873"/>
      <c r="AL76" s="873"/>
      <c r="AM76" s="873"/>
      <c r="AN76" s="873"/>
      <c r="AO76" s="873"/>
      <c r="AP76" s="873"/>
      <c r="AQ76" s="873"/>
      <c r="AR76" s="873"/>
      <c r="AS76" s="873"/>
    </row>
    <row r="77" spans="1:45" ht="12.75" x14ac:dyDescent="0.2">
      <c r="A77" s="873"/>
      <c r="B77" s="873"/>
      <c r="C77" s="873"/>
      <c r="D77" s="873"/>
      <c r="E77" s="873"/>
      <c r="F77" s="873"/>
      <c r="G77" s="873"/>
      <c r="H77" s="873"/>
      <c r="I77" s="873"/>
      <c r="J77" s="873"/>
      <c r="K77" s="873"/>
      <c r="L77" s="873"/>
      <c r="M77" s="873"/>
      <c r="N77" s="873"/>
      <c r="O77" s="873"/>
      <c r="P77" s="873"/>
      <c r="Q77" s="873"/>
      <c r="R77" s="873"/>
      <c r="S77" s="873"/>
      <c r="T77" s="873"/>
      <c r="U77" s="873"/>
      <c r="V77" s="873"/>
      <c r="W77" s="873"/>
      <c r="X77" s="873"/>
      <c r="Y77" s="873"/>
      <c r="Z77" s="873"/>
      <c r="AA77" s="873"/>
      <c r="AB77" s="873"/>
      <c r="AC77" s="873"/>
      <c r="AD77" s="873"/>
      <c r="AE77" s="873"/>
      <c r="AF77" s="873"/>
      <c r="AG77" s="873"/>
      <c r="AH77" s="873"/>
      <c r="AI77" s="873"/>
      <c r="AJ77" s="873"/>
      <c r="AK77" s="873"/>
      <c r="AL77" s="873"/>
      <c r="AM77" s="873"/>
      <c r="AN77" s="873"/>
      <c r="AO77" s="873"/>
      <c r="AP77" s="873"/>
      <c r="AQ77" s="873"/>
      <c r="AR77" s="873"/>
      <c r="AS77" s="873"/>
    </row>
    <row r="78" spans="1:45" ht="12.75" x14ac:dyDescent="0.2">
      <c r="A78" s="873"/>
      <c r="B78" s="873"/>
      <c r="C78" s="873"/>
      <c r="D78" s="873"/>
      <c r="E78" s="873"/>
      <c r="F78" s="873"/>
      <c r="G78" s="873"/>
      <c r="H78" s="873"/>
      <c r="I78" s="873"/>
      <c r="J78" s="873"/>
      <c r="K78" s="873"/>
      <c r="L78" s="873"/>
      <c r="M78" s="873"/>
      <c r="N78" s="873"/>
      <c r="O78" s="873"/>
      <c r="P78" s="873"/>
      <c r="Q78" s="873"/>
      <c r="R78" s="873"/>
      <c r="S78" s="873"/>
      <c r="T78" s="873"/>
      <c r="U78" s="873"/>
      <c r="V78" s="873"/>
      <c r="W78" s="873"/>
      <c r="X78" s="873"/>
      <c r="Y78" s="873"/>
      <c r="Z78" s="873"/>
      <c r="AA78" s="873"/>
      <c r="AB78" s="873"/>
      <c r="AC78" s="873"/>
      <c r="AD78" s="873"/>
      <c r="AE78" s="873"/>
      <c r="AF78" s="873"/>
      <c r="AG78" s="873"/>
      <c r="AH78" s="873"/>
      <c r="AI78" s="873"/>
      <c r="AJ78" s="873"/>
      <c r="AK78" s="873"/>
      <c r="AL78" s="873"/>
      <c r="AM78" s="873"/>
      <c r="AN78" s="873"/>
      <c r="AO78" s="873"/>
      <c r="AP78" s="873"/>
      <c r="AQ78" s="873"/>
      <c r="AR78" s="873"/>
      <c r="AS78" s="873"/>
    </row>
    <row r="79" spans="1:45" ht="12.75" x14ac:dyDescent="0.2">
      <c r="A79" s="873"/>
      <c r="B79" s="873"/>
      <c r="C79" s="873"/>
      <c r="D79" s="873"/>
      <c r="E79" s="873"/>
      <c r="F79" s="873"/>
      <c r="G79" s="873"/>
      <c r="H79" s="873"/>
      <c r="I79" s="873"/>
      <c r="J79" s="873"/>
      <c r="K79" s="873"/>
      <c r="L79" s="873"/>
      <c r="M79" s="873"/>
      <c r="N79" s="873"/>
      <c r="O79" s="873"/>
      <c r="P79" s="873"/>
      <c r="Q79" s="873"/>
      <c r="R79" s="873"/>
      <c r="S79" s="873"/>
      <c r="T79" s="873"/>
      <c r="U79" s="873"/>
      <c r="V79" s="873"/>
      <c r="W79" s="873"/>
      <c r="X79" s="873"/>
      <c r="Y79" s="873"/>
      <c r="Z79" s="873"/>
      <c r="AA79" s="873"/>
      <c r="AB79" s="873"/>
      <c r="AC79" s="873"/>
      <c r="AD79" s="873"/>
      <c r="AE79" s="873"/>
      <c r="AF79" s="873"/>
      <c r="AG79" s="873"/>
      <c r="AH79" s="873"/>
      <c r="AI79" s="873"/>
      <c r="AJ79" s="873"/>
      <c r="AK79" s="873"/>
      <c r="AL79" s="873"/>
      <c r="AM79" s="873"/>
      <c r="AN79" s="873"/>
      <c r="AO79" s="873"/>
      <c r="AP79" s="873"/>
      <c r="AQ79" s="873"/>
      <c r="AR79" s="873"/>
      <c r="AS79" s="873"/>
    </row>
    <row r="80" spans="1:45" ht="12.75" x14ac:dyDescent="0.2">
      <c r="A80" s="873"/>
      <c r="B80" s="873"/>
      <c r="C80" s="873"/>
      <c r="D80" s="873"/>
      <c r="E80" s="873"/>
      <c r="F80" s="873"/>
      <c r="G80" s="873"/>
      <c r="H80" s="873"/>
      <c r="I80" s="873"/>
      <c r="J80" s="873"/>
      <c r="K80" s="873"/>
      <c r="L80" s="873"/>
      <c r="M80" s="873"/>
      <c r="N80" s="873"/>
      <c r="O80" s="873"/>
      <c r="P80" s="873"/>
      <c r="Q80" s="873"/>
      <c r="R80" s="873"/>
      <c r="S80" s="873"/>
      <c r="T80" s="873"/>
      <c r="U80" s="873"/>
      <c r="V80" s="873"/>
      <c r="W80" s="873"/>
      <c r="X80" s="873"/>
      <c r="Y80" s="873"/>
      <c r="Z80" s="873"/>
      <c r="AA80" s="873"/>
      <c r="AB80" s="873"/>
      <c r="AC80" s="873"/>
      <c r="AD80" s="873"/>
      <c r="AE80" s="873"/>
      <c r="AF80" s="873"/>
      <c r="AG80" s="873"/>
      <c r="AH80" s="873"/>
      <c r="AI80" s="873"/>
      <c r="AJ80" s="873"/>
      <c r="AK80" s="873"/>
      <c r="AL80" s="873"/>
      <c r="AM80" s="873"/>
      <c r="AN80" s="873"/>
      <c r="AO80" s="873"/>
      <c r="AP80" s="873"/>
      <c r="AQ80" s="873"/>
      <c r="AR80" s="873"/>
      <c r="AS80" s="873"/>
    </row>
    <row r="81" spans="1:45" ht="12.75" x14ac:dyDescent="0.2">
      <c r="A81" s="873"/>
      <c r="B81" s="873"/>
      <c r="C81" s="873"/>
      <c r="D81" s="873"/>
      <c r="E81" s="873"/>
      <c r="F81" s="873"/>
      <c r="G81" s="873"/>
      <c r="H81" s="873"/>
      <c r="I81" s="873"/>
      <c r="J81" s="873"/>
      <c r="K81" s="873"/>
      <c r="L81" s="873"/>
      <c r="M81" s="873"/>
      <c r="N81" s="873"/>
      <c r="O81" s="873"/>
      <c r="P81" s="873"/>
      <c r="Q81" s="873"/>
      <c r="R81" s="873"/>
      <c r="S81" s="873"/>
      <c r="T81" s="873"/>
      <c r="U81" s="873"/>
      <c r="V81" s="873"/>
      <c r="W81" s="873"/>
      <c r="X81" s="873"/>
      <c r="Y81" s="873"/>
      <c r="Z81" s="873"/>
      <c r="AA81" s="873"/>
      <c r="AB81" s="873"/>
      <c r="AC81" s="873"/>
      <c r="AD81" s="873"/>
      <c r="AE81" s="873"/>
      <c r="AF81" s="873"/>
      <c r="AG81" s="873"/>
      <c r="AH81" s="873"/>
      <c r="AI81" s="873"/>
      <c r="AJ81" s="873"/>
      <c r="AK81" s="873"/>
      <c r="AL81" s="873"/>
      <c r="AM81" s="873"/>
      <c r="AN81" s="873"/>
      <c r="AO81" s="873"/>
      <c r="AP81" s="873"/>
      <c r="AQ81" s="873"/>
      <c r="AR81" s="873"/>
      <c r="AS81" s="873"/>
    </row>
    <row r="82" spans="1:45" ht="12.75" x14ac:dyDescent="0.2">
      <c r="A82" s="873"/>
      <c r="B82" s="873"/>
      <c r="C82" s="873"/>
      <c r="D82" s="873"/>
      <c r="E82" s="873"/>
      <c r="F82" s="873"/>
      <c r="G82" s="873"/>
      <c r="H82" s="873"/>
      <c r="I82" s="873"/>
      <c r="J82" s="873"/>
      <c r="K82" s="873"/>
      <c r="L82" s="873"/>
      <c r="M82" s="873"/>
      <c r="N82" s="873"/>
      <c r="O82" s="873"/>
      <c r="P82" s="873"/>
      <c r="Q82" s="873"/>
      <c r="R82" s="873"/>
      <c r="S82" s="873"/>
      <c r="T82" s="873"/>
      <c r="U82" s="873"/>
      <c r="V82" s="873"/>
      <c r="W82" s="873"/>
      <c r="X82" s="873"/>
      <c r="Y82" s="873"/>
      <c r="Z82" s="873"/>
      <c r="AA82" s="873"/>
      <c r="AB82" s="873"/>
      <c r="AC82" s="873"/>
      <c r="AD82" s="873"/>
      <c r="AE82" s="873"/>
      <c r="AF82" s="873"/>
      <c r="AG82" s="873"/>
      <c r="AH82" s="873"/>
      <c r="AI82" s="873"/>
      <c r="AJ82" s="873"/>
      <c r="AK82" s="873"/>
      <c r="AL82" s="873"/>
      <c r="AM82" s="873"/>
      <c r="AN82" s="873"/>
      <c r="AO82" s="873"/>
      <c r="AP82" s="873"/>
      <c r="AQ82" s="873"/>
      <c r="AR82" s="873"/>
      <c r="AS82" s="873"/>
    </row>
    <row r="83" spans="1:45" ht="12.75" x14ac:dyDescent="0.2">
      <c r="A83" s="873"/>
      <c r="B83" s="873"/>
      <c r="C83" s="873"/>
      <c r="D83" s="873"/>
      <c r="E83" s="873"/>
      <c r="F83" s="873"/>
      <c r="G83" s="873"/>
      <c r="H83" s="873"/>
      <c r="I83" s="873"/>
      <c r="J83" s="873"/>
      <c r="K83" s="873"/>
      <c r="L83" s="873"/>
      <c r="M83" s="873"/>
      <c r="N83" s="873"/>
      <c r="O83" s="873"/>
      <c r="P83" s="873"/>
      <c r="Q83" s="873"/>
      <c r="R83" s="873"/>
      <c r="S83" s="873"/>
      <c r="T83" s="873"/>
      <c r="U83" s="873"/>
      <c r="V83" s="873"/>
      <c r="W83" s="873"/>
      <c r="X83" s="873"/>
      <c r="Y83" s="873"/>
      <c r="Z83" s="873"/>
      <c r="AA83" s="873"/>
      <c r="AB83" s="873"/>
      <c r="AC83" s="873"/>
      <c r="AD83" s="873"/>
      <c r="AE83" s="873"/>
      <c r="AF83" s="873"/>
      <c r="AG83" s="873"/>
      <c r="AH83" s="873"/>
      <c r="AI83" s="873"/>
      <c r="AJ83" s="873"/>
      <c r="AK83" s="873"/>
      <c r="AL83" s="873"/>
      <c r="AM83" s="873"/>
      <c r="AN83" s="873"/>
      <c r="AO83" s="873"/>
      <c r="AP83" s="873"/>
      <c r="AQ83" s="873"/>
      <c r="AR83" s="873"/>
      <c r="AS83" s="873"/>
    </row>
    <row r="84" spans="1:45" ht="12.75" x14ac:dyDescent="0.2">
      <c r="A84" s="873"/>
      <c r="B84" s="873"/>
      <c r="C84" s="873"/>
      <c r="D84" s="873"/>
      <c r="E84" s="873"/>
      <c r="F84" s="873"/>
      <c r="G84" s="873"/>
      <c r="H84" s="873"/>
      <c r="I84" s="873"/>
      <c r="J84" s="873"/>
      <c r="K84" s="873"/>
      <c r="L84" s="873"/>
      <c r="M84" s="873"/>
      <c r="N84" s="873"/>
      <c r="O84" s="873"/>
      <c r="P84" s="873"/>
      <c r="Q84" s="873"/>
      <c r="R84" s="873"/>
      <c r="S84" s="873"/>
      <c r="T84" s="873"/>
      <c r="U84" s="873"/>
      <c r="V84" s="873"/>
      <c r="W84" s="873"/>
      <c r="X84" s="873"/>
      <c r="Y84" s="873"/>
      <c r="Z84" s="873"/>
      <c r="AA84" s="873"/>
      <c r="AB84" s="873"/>
      <c r="AC84" s="873"/>
      <c r="AD84" s="873"/>
      <c r="AE84" s="873"/>
      <c r="AF84" s="873"/>
      <c r="AG84" s="873"/>
      <c r="AH84" s="873"/>
      <c r="AI84" s="873"/>
      <c r="AJ84" s="873"/>
      <c r="AK84" s="873"/>
      <c r="AL84" s="873"/>
      <c r="AM84" s="873"/>
      <c r="AN84" s="873"/>
      <c r="AO84" s="873"/>
      <c r="AP84" s="873"/>
      <c r="AQ84" s="873"/>
      <c r="AR84" s="873"/>
      <c r="AS84" s="873"/>
    </row>
    <row r="85" spans="1:45" ht="12.75" x14ac:dyDescent="0.2">
      <c r="A85" s="873"/>
      <c r="B85" s="873"/>
      <c r="C85" s="873"/>
      <c r="D85" s="873"/>
      <c r="E85" s="873"/>
      <c r="F85" s="873"/>
      <c r="G85" s="873"/>
      <c r="H85" s="873"/>
      <c r="I85" s="873"/>
      <c r="J85" s="873"/>
      <c r="K85" s="873"/>
      <c r="L85" s="873"/>
      <c r="M85" s="873"/>
      <c r="N85" s="873"/>
      <c r="O85" s="873"/>
      <c r="P85" s="873"/>
      <c r="Q85" s="873"/>
      <c r="R85" s="873"/>
      <c r="S85" s="873"/>
      <c r="T85" s="873"/>
      <c r="U85" s="873"/>
      <c r="V85" s="873"/>
      <c r="W85" s="873"/>
      <c r="X85" s="873"/>
      <c r="Y85" s="873"/>
      <c r="Z85" s="873"/>
      <c r="AA85" s="873"/>
      <c r="AB85" s="873"/>
      <c r="AC85" s="873"/>
      <c r="AD85" s="873"/>
      <c r="AE85" s="873"/>
      <c r="AF85" s="873"/>
      <c r="AG85" s="873"/>
      <c r="AH85" s="873"/>
      <c r="AI85" s="873"/>
      <c r="AJ85" s="873"/>
      <c r="AK85" s="873"/>
      <c r="AL85" s="873"/>
      <c r="AM85" s="873"/>
      <c r="AN85" s="873"/>
      <c r="AO85" s="873"/>
      <c r="AP85" s="873"/>
      <c r="AQ85" s="873"/>
      <c r="AR85" s="873"/>
      <c r="AS85" s="873"/>
    </row>
    <row r="86" spans="1:45" ht="12.75" x14ac:dyDescent="0.2">
      <c r="A86" s="873"/>
      <c r="B86" s="873"/>
      <c r="C86" s="873"/>
      <c r="D86" s="873"/>
      <c r="E86" s="873"/>
      <c r="F86" s="873"/>
      <c r="G86" s="873"/>
      <c r="H86" s="873"/>
      <c r="I86" s="873"/>
      <c r="J86" s="873"/>
      <c r="K86" s="873"/>
      <c r="L86" s="873"/>
      <c r="M86" s="873"/>
      <c r="N86" s="873"/>
      <c r="O86" s="873"/>
      <c r="P86" s="873"/>
      <c r="Q86" s="873"/>
      <c r="R86" s="873"/>
      <c r="S86" s="873"/>
      <c r="T86" s="873"/>
      <c r="U86" s="873"/>
      <c r="V86" s="873"/>
      <c r="W86" s="873"/>
      <c r="X86" s="873"/>
      <c r="Y86" s="873"/>
      <c r="Z86" s="873"/>
      <c r="AA86" s="873"/>
      <c r="AB86" s="873"/>
      <c r="AC86" s="873"/>
      <c r="AD86" s="873"/>
      <c r="AE86" s="873"/>
      <c r="AF86" s="873"/>
      <c r="AG86" s="873"/>
      <c r="AH86" s="873"/>
      <c r="AI86" s="873"/>
      <c r="AJ86" s="873"/>
      <c r="AK86" s="873"/>
      <c r="AL86" s="873"/>
      <c r="AM86" s="873"/>
      <c r="AN86" s="873"/>
      <c r="AO86" s="873"/>
      <c r="AP86" s="873"/>
      <c r="AQ86" s="873"/>
      <c r="AR86" s="873"/>
      <c r="AS86" s="873"/>
    </row>
    <row r="87" spans="1:45" ht="12.75" x14ac:dyDescent="0.2">
      <c r="A87" s="873"/>
      <c r="B87" s="873"/>
      <c r="C87" s="873"/>
      <c r="D87" s="873"/>
      <c r="E87" s="873"/>
      <c r="F87" s="873"/>
      <c r="G87" s="873"/>
      <c r="H87" s="873"/>
      <c r="I87" s="873"/>
      <c r="J87" s="873"/>
      <c r="K87" s="873"/>
      <c r="L87" s="873"/>
      <c r="M87" s="873"/>
      <c r="N87" s="873"/>
      <c r="O87" s="873"/>
      <c r="P87" s="873"/>
      <c r="Q87" s="873"/>
      <c r="R87" s="873"/>
      <c r="S87" s="873"/>
      <c r="T87" s="873"/>
      <c r="U87" s="873"/>
      <c r="V87" s="873"/>
      <c r="W87" s="873"/>
      <c r="X87" s="873"/>
      <c r="Y87" s="873"/>
      <c r="Z87" s="873"/>
      <c r="AA87" s="873"/>
      <c r="AB87" s="873"/>
      <c r="AC87" s="873"/>
      <c r="AD87" s="873"/>
      <c r="AE87" s="873"/>
      <c r="AF87" s="873"/>
      <c r="AG87" s="873"/>
      <c r="AH87" s="873"/>
      <c r="AI87" s="873"/>
      <c r="AJ87" s="873"/>
      <c r="AK87" s="873"/>
      <c r="AL87" s="873"/>
      <c r="AM87" s="873"/>
      <c r="AN87" s="873"/>
      <c r="AO87" s="873"/>
      <c r="AP87" s="873"/>
      <c r="AQ87" s="873"/>
      <c r="AR87" s="873"/>
      <c r="AS87" s="873"/>
    </row>
    <row r="88" spans="1:45" ht="12.75" x14ac:dyDescent="0.2">
      <c r="A88" s="873"/>
      <c r="B88" s="873"/>
      <c r="C88" s="873"/>
      <c r="D88" s="873"/>
      <c r="E88" s="873"/>
      <c r="F88" s="873"/>
      <c r="G88" s="873"/>
      <c r="H88" s="873"/>
      <c r="I88" s="873"/>
      <c r="J88" s="873"/>
      <c r="K88" s="873"/>
      <c r="L88" s="873"/>
      <c r="M88" s="873"/>
      <c r="N88" s="873"/>
      <c r="O88" s="873"/>
      <c r="P88" s="873"/>
      <c r="Q88" s="873"/>
      <c r="R88" s="873"/>
      <c r="S88" s="873"/>
      <c r="T88" s="873"/>
      <c r="U88" s="873"/>
      <c r="V88" s="873"/>
      <c r="W88" s="873"/>
      <c r="X88" s="873"/>
      <c r="Y88" s="873"/>
      <c r="Z88" s="873"/>
      <c r="AA88" s="873"/>
      <c r="AB88" s="873"/>
      <c r="AC88" s="873"/>
      <c r="AD88" s="873"/>
      <c r="AE88" s="873"/>
      <c r="AF88" s="873"/>
      <c r="AG88" s="873"/>
      <c r="AH88" s="873"/>
      <c r="AI88" s="873"/>
      <c r="AJ88" s="873"/>
      <c r="AK88" s="873"/>
      <c r="AL88" s="873"/>
      <c r="AM88" s="873"/>
      <c r="AN88" s="873"/>
      <c r="AO88" s="873"/>
      <c r="AP88" s="873"/>
      <c r="AQ88" s="873"/>
      <c r="AR88" s="873"/>
      <c r="AS88" s="873"/>
    </row>
    <row r="89" spans="1:45" ht="12.75" x14ac:dyDescent="0.2">
      <c r="A89" s="873"/>
      <c r="B89" s="873"/>
      <c r="C89" s="873"/>
      <c r="D89" s="873"/>
      <c r="E89" s="873"/>
      <c r="F89" s="873"/>
      <c r="G89" s="873"/>
      <c r="H89" s="873"/>
      <c r="I89" s="873"/>
      <c r="J89" s="873"/>
      <c r="K89" s="873"/>
      <c r="L89" s="873"/>
      <c r="M89" s="873"/>
      <c r="N89" s="873"/>
      <c r="O89" s="873"/>
      <c r="P89" s="873"/>
      <c r="Q89" s="873"/>
      <c r="R89" s="873"/>
      <c r="S89" s="873"/>
      <c r="T89" s="873"/>
      <c r="U89" s="873"/>
      <c r="V89" s="873"/>
      <c r="W89" s="873"/>
      <c r="X89" s="873"/>
      <c r="Y89" s="873"/>
      <c r="Z89" s="873"/>
      <c r="AA89" s="873"/>
      <c r="AB89" s="873"/>
      <c r="AC89" s="873"/>
      <c r="AD89" s="873"/>
      <c r="AE89" s="873"/>
      <c r="AF89" s="873"/>
      <c r="AG89" s="873"/>
      <c r="AH89" s="873"/>
      <c r="AI89" s="873"/>
      <c r="AJ89" s="873"/>
      <c r="AK89" s="873"/>
      <c r="AL89" s="873"/>
      <c r="AM89" s="873"/>
      <c r="AN89" s="873"/>
      <c r="AO89" s="873"/>
      <c r="AP89" s="873"/>
      <c r="AQ89" s="873"/>
      <c r="AR89" s="873"/>
      <c r="AS89" s="873"/>
    </row>
    <row r="90" spans="1:45" ht="12.75" x14ac:dyDescent="0.2">
      <c r="A90" s="873"/>
      <c r="B90" s="873"/>
      <c r="C90" s="873"/>
      <c r="D90" s="873"/>
      <c r="E90" s="873"/>
      <c r="F90" s="873"/>
      <c r="G90" s="873"/>
      <c r="H90" s="873"/>
      <c r="I90" s="873"/>
      <c r="J90" s="873"/>
      <c r="K90" s="873"/>
      <c r="L90" s="873"/>
      <c r="M90" s="873"/>
      <c r="N90" s="873"/>
      <c r="O90" s="873"/>
      <c r="P90" s="873"/>
      <c r="Q90" s="873"/>
      <c r="R90" s="873"/>
      <c r="S90" s="873"/>
      <c r="T90" s="873"/>
      <c r="U90" s="873"/>
      <c r="V90" s="873"/>
      <c r="W90" s="873"/>
      <c r="X90" s="873"/>
      <c r="Y90" s="873"/>
      <c r="Z90" s="873"/>
      <c r="AA90" s="873"/>
      <c r="AB90" s="873"/>
      <c r="AC90" s="873"/>
      <c r="AD90" s="873"/>
      <c r="AE90" s="873"/>
      <c r="AF90" s="873"/>
      <c r="AG90" s="873"/>
      <c r="AH90" s="873"/>
      <c r="AI90" s="873"/>
      <c r="AJ90" s="873"/>
      <c r="AK90" s="873"/>
      <c r="AL90" s="873"/>
      <c r="AM90" s="873"/>
      <c r="AN90" s="873"/>
      <c r="AO90" s="873"/>
      <c r="AP90" s="873"/>
      <c r="AQ90" s="873"/>
      <c r="AR90" s="873"/>
      <c r="AS90" s="873"/>
    </row>
    <row r="91" spans="1:45" ht="12.75" x14ac:dyDescent="0.2">
      <c r="A91" s="873"/>
      <c r="B91" s="873"/>
      <c r="C91" s="873"/>
      <c r="D91" s="873"/>
      <c r="E91" s="873"/>
      <c r="F91" s="873"/>
      <c r="G91" s="873"/>
      <c r="H91" s="873"/>
      <c r="I91" s="873"/>
      <c r="J91" s="873"/>
      <c r="K91" s="873"/>
      <c r="L91" s="873"/>
      <c r="M91" s="873"/>
      <c r="N91" s="873"/>
      <c r="O91" s="873"/>
      <c r="P91" s="873"/>
      <c r="Q91" s="873"/>
      <c r="R91" s="873"/>
      <c r="S91" s="873"/>
      <c r="T91" s="873"/>
      <c r="U91" s="873"/>
      <c r="V91" s="873"/>
      <c r="W91" s="873"/>
      <c r="X91" s="873"/>
      <c r="Y91" s="873"/>
      <c r="Z91" s="873"/>
      <c r="AA91" s="873"/>
      <c r="AB91" s="873"/>
      <c r="AC91" s="873"/>
      <c r="AD91" s="873"/>
      <c r="AE91" s="873"/>
      <c r="AF91" s="873"/>
      <c r="AG91" s="873"/>
      <c r="AH91" s="873"/>
      <c r="AI91" s="873"/>
      <c r="AJ91" s="873"/>
      <c r="AK91" s="873"/>
      <c r="AL91" s="873"/>
      <c r="AM91" s="873"/>
      <c r="AN91" s="873"/>
      <c r="AO91" s="873"/>
      <c r="AP91" s="873"/>
      <c r="AQ91" s="873"/>
      <c r="AR91" s="873"/>
      <c r="AS91" s="873"/>
    </row>
    <row r="92" spans="1:45" ht="12.75" x14ac:dyDescent="0.2">
      <c r="A92" s="873"/>
      <c r="B92" s="873"/>
      <c r="C92" s="873"/>
      <c r="D92" s="873"/>
      <c r="E92" s="873"/>
      <c r="F92" s="873"/>
      <c r="G92" s="873"/>
      <c r="H92" s="873"/>
      <c r="I92" s="873"/>
      <c r="J92" s="873"/>
      <c r="K92" s="873"/>
      <c r="L92" s="873"/>
      <c r="M92" s="873"/>
      <c r="N92" s="873"/>
      <c r="O92" s="873"/>
      <c r="P92" s="873"/>
      <c r="Q92" s="873"/>
      <c r="R92" s="873"/>
      <c r="S92" s="873"/>
      <c r="T92" s="873"/>
      <c r="U92" s="873"/>
      <c r="V92" s="873"/>
      <c r="W92" s="873"/>
      <c r="X92" s="873"/>
      <c r="Y92" s="873"/>
      <c r="Z92" s="873"/>
      <c r="AA92" s="873"/>
      <c r="AB92" s="873"/>
      <c r="AC92" s="873"/>
      <c r="AD92" s="873"/>
      <c r="AE92" s="873"/>
      <c r="AF92" s="873"/>
      <c r="AG92" s="873"/>
      <c r="AH92" s="873"/>
      <c r="AI92" s="873"/>
      <c r="AJ92" s="873"/>
      <c r="AK92" s="873"/>
      <c r="AL92" s="873"/>
      <c r="AM92" s="873"/>
      <c r="AN92" s="873"/>
      <c r="AO92" s="873"/>
      <c r="AP92" s="873"/>
      <c r="AQ92" s="873"/>
      <c r="AR92" s="873"/>
      <c r="AS92" s="873"/>
    </row>
    <row r="93" spans="1:45" ht="12.75" x14ac:dyDescent="0.2">
      <c r="A93" s="873"/>
      <c r="B93" s="873"/>
      <c r="C93" s="873"/>
      <c r="D93" s="873"/>
      <c r="E93" s="873"/>
      <c r="F93" s="873"/>
      <c r="G93" s="873"/>
      <c r="H93" s="873"/>
      <c r="I93" s="873"/>
      <c r="J93" s="873"/>
      <c r="K93" s="873"/>
      <c r="L93" s="873"/>
      <c r="M93" s="873"/>
      <c r="N93" s="873"/>
      <c r="O93" s="873"/>
      <c r="P93" s="873"/>
      <c r="Q93" s="873"/>
      <c r="R93" s="873"/>
      <c r="S93" s="873"/>
      <c r="T93" s="873"/>
      <c r="U93" s="873"/>
      <c r="V93" s="873"/>
      <c r="W93" s="873"/>
      <c r="X93" s="873"/>
      <c r="Y93" s="873"/>
      <c r="Z93" s="873"/>
      <c r="AA93" s="873"/>
      <c r="AB93" s="873"/>
      <c r="AC93" s="873"/>
      <c r="AD93" s="873"/>
      <c r="AE93" s="873"/>
      <c r="AF93" s="873"/>
      <c r="AG93" s="873"/>
      <c r="AH93" s="873"/>
      <c r="AI93" s="873"/>
      <c r="AJ93" s="873"/>
      <c r="AK93" s="873"/>
      <c r="AL93" s="873"/>
      <c r="AM93" s="873"/>
      <c r="AN93" s="873"/>
      <c r="AO93" s="873"/>
      <c r="AP93" s="873"/>
      <c r="AQ93" s="873"/>
      <c r="AR93" s="873"/>
      <c r="AS93" s="873"/>
    </row>
    <row r="94" spans="1:45" ht="12.75" x14ac:dyDescent="0.2">
      <c r="A94" s="873"/>
      <c r="B94" s="873"/>
      <c r="C94" s="873"/>
      <c r="D94" s="873"/>
      <c r="E94" s="873"/>
      <c r="F94" s="873"/>
      <c r="G94" s="873"/>
      <c r="H94" s="873"/>
      <c r="I94" s="873"/>
      <c r="J94" s="873"/>
      <c r="K94" s="873"/>
      <c r="L94" s="873"/>
      <c r="M94" s="873"/>
      <c r="N94" s="873"/>
      <c r="O94" s="873"/>
      <c r="P94" s="873"/>
      <c r="Q94" s="873"/>
      <c r="R94" s="873"/>
      <c r="S94" s="873"/>
      <c r="T94" s="873"/>
      <c r="U94" s="873"/>
      <c r="V94" s="873"/>
      <c r="W94" s="873"/>
      <c r="X94" s="873"/>
      <c r="Y94" s="873"/>
      <c r="Z94" s="873"/>
      <c r="AA94" s="873"/>
      <c r="AB94" s="873"/>
      <c r="AC94" s="873"/>
      <c r="AD94" s="873"/>
      <c r="AE94" s="873"/>
      <c r="AF94" s="873"/>
      <c r="AG94" s="873"/>
      <c r="AH94" s="873"/>
      <c r="AI94" s="873"/>
      <c r="AJ94" s="873"/>
      <c r="AK94" s="873"/>
      <c r="AL94" s="873"/>
      <c r="AM94" s="873"/>
      <c r="AN94" s="873"/>
      <c r="AO94" s="873"/>
      <c r="AP94" s="873"/>
      <c r="AQ94" s="873"/>
      <c r="AR94" s="873"/>
      <c r="AS94" s="873"/>
    </row>
    <row r="95" spans="1:45" ht="12.75" x14ac:dyDescent="0.2">
      <c r="A95" s="873"/>
      <c r="B95" s="873"/>
      <c r="C95" s="873"/>
      <c r="D95" s="873"/>
      <c r="E95" s="873"/>
      <c r="F95" s="873"/>
      <c r="G95" s="873"/>
      <c r="H95" s="873"/>
      <c r="I95" s="873"/>
      <c r="J95" s="873"/>
      <c r="K95" s="873"/>
      <c r="L95" s="873"/>
      <c r="M95" s="873"/>
      <c r="N95" s="873"/>
      <c r="O95" s="873"/>
      <c r="P95" s="873"/>
      <c r="Q95" s="873"/>
      <c r="R95" s="873"/>
      <c r="S95" s="873"/>
      <c r="T95" s="873"/>
      <c r="U95" s="873"/>
      <c r="V95" s="873"/>
      <c r="W95" s="873"/>
      <c r="X95" s="873"/>
      <c r="Y95" s="873"/>
      <c r="Z95" s="873"/>
      <c r="AA95" s="873"/>
      <c r="AB95" s="873"/>
      <c r="AC95" s="873"/>
      <c r="AD95" s="873"/>
      <c r="AE95" s="873"/>
      <c r="AF95" s="873"/>
      <c r="AG95" s="873"/>
      <c r="AH95" s="873"/>
      <c r="AI95" s="873"/>
      <c r="AJ95" s="873"/>
      <c r="AK95" s="873"/>
      <c r="AL95" s="873"/>
      <c r="AM95" s="873"/>
      <c r="AN95" s="873"/>
      <c r="AO95" s="873"/>
      <c r="AP95" s="873"/>
      <c r="AQ95" s="873"/>
      <c r="AR95" s="873"/>
      <c r="AS95" s="873"/>
    </row>
    <row r="96" spans="1:45" ht="12.75" x14ac:dyDescent="0.2">
      <c r="A96" s="873"/>
      <c r="B96" s="873"/>
      <c r="C96" s="873"/>
      <c r="D96" s="873"/>
      <c r="E96" s="873"/>
      <c r="F96" s="873"/>
      <c r="G96" s="873"/>
      <c r="H96" s="873"/>
      <c r="I96" s="873"/>
      <c r="J96" s="873"/>
      <c r="K96" s="873"/>
      <c r="L96" s="873"/>
      <c r="M96" s="873"/>
      <c r="N96" s="873"/>
      <c r="O96" s="873"/>
      <c r="P96" s="873"/>
      <c r="Q96" s="873"/>
      <c r="R96" s="873"/>
      <c r="S96" s="873"/>
      <c r="T96" s="873"/>
      <c r="U96" s="873"/>
      <c r="V96" s="873"/>
      <c r="W96" s="873"/>
      <c r="X96" s="873"/>
      <c r="Y96" s="873"/>
      <c r="Z96" s="873"/>
      <c r="AA96" s="873"/>
      <c r="AB96" s="873"/>
      <c r="AC96" s="873"/>
      <c r="AD96" s="873"/>
      <c r="AE96" s="873"/>
      <c r="AF96" s="873"/>
      <c r="AG96" s="873"/>
      <c r="AH96" s="873"/>
      <c r="AI96" s="873"/>
      <c r="AJ96" s="873"/>
      <c r="AK96" s="873"/>
      <c r="AL96" s="873"/>
      <c r="AM96" s="873"/>
      <c r="AN96" s="873"/>
      <c r="AO96" s="873"/>
      <c r="AP96" s="873"/>
      <c r="AQ96" s="873"/>
      <c r="AR96" s="873"/>
      <c r="AS96" s="873"/>
    </row>
    <row r="97" spans="1:45" ht="12.75" x14ac:dyDescent="0.2">
      <c r="A97" s="873"/>
      <c r="B97" s="873"/>
      <c r="C97" s="873"/>
      <c r="D97" s="873"/>
      <c r="E97" s="873"/>
      <c r="F97" s="873"/>
      <c r="G97" s="873"/>
      <c r="H97" s="873"/>
      <c r="I97" s="873"/>
      <c r="J97" s="873"/>
      <c r="K97" s="873"/>
      <c r="L97" s="873"/>
      <c r="M97" s="873"/>
      <c r="N97" s="873"/>
      <c r="O97" s="873"/>
      <c r="P97" s="873"/>
      <c r="Q97" s="873"/>
      <c r="R97" s="873"/>
      <c r="S97" s="873"/>
      <c r="T97" s="873"/>
      <c r="U97" s="873"/>
      <c r="V97" s="873"/>
      <c r="W97" s="873"/>
      <c r="X97" s="873"/>
      <c r="Y97" s="873"/>
      <c r="Z97" s="873"/>
      <c r="AA97" s="873"/>
      <c r="AB97" s="873"/>
      <c r="AC97" s="873"/>
      <c r="AD97" s="873"/>
      <c r="AE97" s="873"/>
      <c r="AF97" s="873"/>
      <c r="AG97" s="873"/>
      <c r="AH97" s="873"/>
      <c r="AI97" s="873"/>
      <c r="AJ97" s="873"/>
      <c r="AK97" s="873"/>
      <c r="AL97" s="873"/>
      <c r="AM97" s="873"/>
      <c r="AN97" s="873"/>
      <c r="AO97" s="873"/>
      <c r="AP97" s="873"/>
      <c r="AQ97" s="873"/>
      <c r="AR97" s="873"/>
      <c r="AS97" s="873"/>
    </row>
    <row r="98" spans="1:45" ht="12.75" x14ac:dyDescent="0.2">
      <c r="A98" s="873"/>
      <c r="B98" s="873"/>
      <c r="C98" s="873"/>
      <c r="D98" s="873"/>
      <c r="E98" s="873"/>
      <c r="F98" s="873"/>
      <c r="G98" s="873"/>
      <c r="H98" s="873"/>
      <c r="I98" s="873"/>
      <c r="J98" s="873"/>
      <c r="K98" s="873"/>
      <c r="L98" s="873"/>
      <c r="M98" s="873"/>
      <c r="N98" s="873"/>
      <c r="O98" s="873"/>
      <c r="P98" s="873"/>
      <c r="Q98" s="873"/>
      <c r="R98" s="873"/>
      <c r="S98" s="873"/>
      <c r="T98" s="873"/>
      <c r="U98" s="873"/>
      <c r="V98" s="873"/>
      <c r="W98" s="873"/>
      <c r="X98" s="873"/>
      <c r="Y98" s="873"/>
      <c r="Z98" s="873"/>
      <c r="AA98" s="873"/>
      <c r="AB98" s="873"/>
      <c r="AC98" s="873"/>
      <c r="AD98" s="873"/>
      <c r="AE98" s="873"/>
      <c r="AF98" s="873"/>
      <c r="AG98" s="873"/>
      <c r="AH98" s="873"/>
      <c r="AI98" s="873"/>
      <c r="AJ98" s="873"/>
      <c r="AK98" s="873"/>
      <c r="AL98" s="873"/>
      <c r="AM98" s="873"/>
      <c r="AN98" s="873"/>
      <c r="AO98" s="873"/>
      <c r="AP98" s="873"/>
      <c r="AQ98" s="873"/>
      <c r="AR98" s="873"/>
      <c r="AS98" s="873"/>
    </row>
    <row r="99" spans="1:45" ht="12.75" x14ac:dyDescent="0.2">
      <c r="A99" s="873"/>
      <c r="B99" s="873"/>
      <c r="C99" s="873"/>
      <c r="D99" s="873"/>
      <c r="E99" s="873"/>
      <c r="F99" s="873"/>
      <c r="G99" s="873"/>
      <c r="H99" s="873"/>
      <c r="I99" s="873"/>
      <c r="J99" s="873"/>
      <c r="K99" s="873"/>
      <c r="L99" s="873"/>
      <c r="M99" s="873"/>
      <c r="N99" s="873"/>
      <c r="O99" s="873"/>
      <c r="P99" s="873"/>
      <c r="Q99" s="873"/>
      <c r="R99" s="873"/>
      <c r="S99" s="873"/>
      <c r="T99" s="873"/>
      <c r="U99" s="873"/>
      <c r="V99" s="873"/>
      <c r="W99" s="873"/>
      <c r="X99" s="873"/>
      <c r="Y99" s="873"/>
      <c r="Z99" s="873"/>
      <c r="AA99" s="873"/>
      <c r="AB99" s="873"/>
      <c r="AC99" s="873"/>
      <c r="AD99" s="873"/>
      <c r="AE99" s="873"/>
      <c r="AF99" s="873"/>
      <c r="AG99" s="873"/>
      <c r="AH99" s="873"/>
      <c r="AI99" s="873"/>
      <c r="AJ99" s="873"/>
      <c r="AK99" s="873"/>
      <c r="AL99" s="873"/>
      <c r="AM99" s="873"/>
      <c r="AN99" s="873"/>
      <c r="AO99" s="873"/>
      <c r="AP99" s="873"/>
      <c r="AQ99" s="873"/>
      <c r="AR99" s="873"/>
      <c r="AS99" s="873"/>
    </row>
    <row r="100" spans="1:45" ht="12.75" x14ac:dyDescent="0.2">
      <c r="A100" s="873"/>
      <c r="B100" s="873"/>
      <c r="C100" s="873"/>
      <c r="D100" s="873"/>
      <c r="E100" s="873"/>
      <c r="F100" s="873"/>
      <c r="G100" s="873"/>
      <c r="H100" s="873"/>
      <c r="I100" s="873"/>
      <c r="J100" s="873"/>
      <c r="K100" s="873"/>
      <c r="L100" s="873"/>
      <c r="M100" s="873"/>
      <c r="N100" s="873"/>
      <c r="O100" s="873"/>
      <c r="P100" s="873"/>
      <c r="Q100" s="873"/>
      <c r="R100" s="873"/>
      <c r="S100" s="873"/>
      <c r="T100" s="873"/>
      <c r="U100" s="873"/>
      <c r="V100" s="873"/>
      <c r="W100" s="873"/>
      <c r="X100" s="873"/>
      <c r="Y100" s="873"/>
      <c r="Z100" s="873"/>
      <c r="AA100" s="873"/>
      <c r="AB100" s="873"/>
      <c r="AC100" s="873"/>
      <c r="AD100" s="873"/>
      <c r="AE100" s="873"/>
      <c r="AF100" s="873"/>
      <c r="AG100" s="873"/>
      <c r="AH100" s="873"/>
      <c r="AI100" s="873"/>
      <c r="AJ100" s="873"/>
      <c r="AK100" s="873"/>
      <c r="AL100" s="873"/>
      <c r="AM100" s="873"/>
      <c r="AN100" s="873"/>
      <c r="AO100" s="873"/>
      <c r="AP100" s="873"/>
      <c r="AQ100" s="873"/>
      <c r="AR100" s="873"/>
      <c r="AS100" s="873"/>
    </row>
    <row r="101" spans="1:45" ht="12.75" x14ac:dyDescent="0.2">
      <c r="A101" s="873"/>
      <c r="B101" s="873"/>
      <c r="C101" s="873"/>
      <c r="D101" s="873"/>
      <c r="E101" s="873"/>
      <c r="F101" s="873"/>
      <c r="G101" s="873"/>
      <c r="H101" s="873"/>
      <c r="I101" s="873"/>
      <c r="J101" s="873"/>
      <c r="K101" s="873"/>
      <c r="L101" s="873"/>
      <c r="M101" s="873"/>
      <c r="N101" s="873"/>
      <c r="O101" s="873"/>
      <c r="P101" s="873"/>
      <c r="Q101" s="873"/>
      <c r="R101" s="873"/>
      <c r="S101" s="873"/>
      <c r="T101" s="873"/>
      <c r="U101" s="873"/>
      <c r="V101" s="873"/>
      <c r="W101" s="873"/>
      <c r="X101" s="873"/>
      <c r="Y101" s="873"/>
      <c r="Z101" s="873"/>
      <c r="AA101" s="873"/>
      <c r="AB101" s="873"/>
      <c r="AC101" s="873"/>
      <c r="AD101" s="873"/>
      <c r="AE101" s="873"/>
      <c r="AF101" s="873"/>
      <c r="AG101" s="873"/>
      <c r="AH101" s="873"/>
      <c r="AI101" s="873"/>
      <c r="AJ101" s="873"/>
      <c r="AK101" s="873"/>
      <c r="AL101" s="873"/>
      <c r="AM101" s="873"/>
      <c r="AN101" s="873"/>
      <c r="AO101" s="873"/>
      <c r="AP101" s="873"/>
      <c r="AQ101" s="873"/>
      <c r="AR101" s="873"/>
      <c r="AS101" s="873"/>
    </row>
    <row r="102" spans="1:45" ht="12.75" x14ac:dyDescent="0.2">
      <c r="A102" s="873"/>
      <c r="B102" s="873"/>
      <c r="C102" s="873"/>
      <c r="D102" s="873"/>
      <c r="E102" s="873"/>
      <c r="F102" s="873"/>
      <c r="G102" s="873"/>
      <c r="H102" s="873"/>
      <c r="I102" s="873"/>
      <c r="J102" s="873"/>
      <c r="K102" s="873"/>
      <c r="L102" s="873"/>
      <c r="M102" s="873"/>
      <c r="N102" s="873"/>
      <c r="O102" s="873"/>
      <c r="P102" s="873"/>
      <c r="Q102" s="873"/>
      <c r="R102" s="873"/>
      <c r="S102" s="873"/>
      <c r="T102" s="873"/>
      <c r="U102" s="873"/>
      <c r="V102" s="873"/>
      <c r="W102" s="873"/>
      <c r="X102" s="873"/>
      <c r="Y102" s="873"/>
      <c r="Z102" s="873"/>
      <c r="AA102" s="873"/>
      <c r="AB102" s="873"/>
      <c r="AC102" s="873"/>
      <c r="AD102" s="873"/>
      <c r="AE102" s="873"/>
      <c r="AF102" s="873"/>
      <c r="AG102" s="873"/>
      <c r="AH102" s="873"/>
      <c r="AI102" s="873"/>
      <c r="AJ102" s="873"/>
      <c r="AK102" s="873"/>
      <c r="AL102" s="873"/>
      <c r="AM102" s="873"/>
      <c r="AN102" s="873"/>
      <c r="AO102" s="873"/>
      <c r="AP102" s="873"/>
      <c r="AQ102" s="873"/>
      <c r="AR102" s="873"/>
      <c r="AS102" s="873"/>
    </row>
    <row r="103" spans="1:45" ht="12.75" x14ac:dyDescent="0.2">
      <c r="A103" s="873"/>
      <c r="B103" s="873"/>
      <c r="C103" s="873"/>
      <c r="D103" s="873"/>
      <c r="E103" s="873"/>
      <c r="F103" s="873"/>
      <c r="G103" s="873"/>
      <c r="H103" s="873"/>
      <c r="I103" s="873"/>
      <c r="J103" s="873"/>
      <c r="K103" s="873"/>
      <c r="L103" s="873"/>
      <c r="M103" s="873"/>
      <c r="N103" s="873"/>
      <c r="O103" s="873"/>
      <c r="P103" s="873"/>
      <c r="Q103" s="873"/>
      <c r="R103" s="873"/>
      <c r="S103" s="873"/>
      <c r="T103" s="873"/>
      <c r="U103" s="873"/>
      <c r="V103" s="873"/>
      <c r="W103" s="873"/>
      <c r="X103" s="873"/>
      <c r="Y103" s="873"/>
      <c r="Z103" s="873"/>
      <c r="AA103" s="873"/>
      <c r="AB103" s="873"/>
      <c r="AC103" s="873"/>
      <c r="AD103" s="873"/>
      <c r="AE103" s="873"/>
      <c r="AF103" s="873"/>
      <c r="AG103" s="873"/>
      <c r="AH103" s="873"/>
      <c r="AI103" s="873"/>
      <c r="AJ103" s="873"/>
      <c r="AK103" s="873"/>
      <c r="AL103" s="873"/>
      <c r="AM103" s="873"/>
      <c r="AN103" s="873"/>
      <c r="AO103" s="873"/>
      <c r="AP103" s="873"/>
      <c r="AQ103" s="873"/>
      <c r="AR103" s="873"/>
      <c r="AS103" s="873"/>
    </row>
    <row r="104" spans="1:45" ht="12.75" x14ac:dyDescent="0.2">
      <c r="A104" s="873"/>
      <c r="B104" s="873"/>
      <c r="C104" s="873"/>
      <c r="D104" s="873"/>
      <c r="E104" s="873"/>
      <c r="F104" s="873"/>
      <c r="G104" s="873"/>
      <c r="H104" s="873"/>
      <c r="I104" s="873"/>
      <c r="J104" s="873"/>
      <c r="K104" s="873"/>
      <c r="L104" s="873"/>
      <c r="M104" s="873"/>
      <c r="N104" s="873"/>
      <c r="O104" s="873"/>
      <c r="P104" s="873"/>
      <c r="Q104" s="873"/>
      <c r="R104" s="873"/>
      <c r="S104" s="873"/>
      <c r="T104" s="873"/>
      <c r="U104" s="873"/>
      <c r="V104" s="873"/>
      <c r="W104" s="873"/>
      <c r="X104" s="873"/>
      <c r="Y104" s="873"/>
      <c r="Z104" s="873"/>
      <c r="AA104" s="873"/>
      <c r="AB104" s="873"/>
      <c r="AC104" s="873"/>
      <c r="AD104" s="873"/>
      <c r="AE104" s="873"/>
      <c r="AF104" s="873"/>
      <c r="AG104" s="873"/>
      <c r="AH104" s="873"/>
      <c r="AI104" s="873"/>
      <c r="AJ104" s="873"/>
      <c r="AK104" s="873"/>
      <c r="AL104" s="873"/>
      <c r="AM104" s="873"/>
      <c r="AN104" s="873"/>
      <c r="AO104" s="873"/>
      <c r="AP104" s="873"/>
      <c r="AQ104" s="873"/>
      <c r="AR104" s="873"/>
      <c r="AS104" s="873"/>
    </row>
    <row r="105" spans="1:45" ht="12.75" x14ac:dyDescent="0.2">
      <c r="A105" s="873"/>
      <c r="B105" s="873"/>
      <c r="C105" s="873"/>
      <c r="D105" s="873"/>
      <c r="E105" s="873"/>
      <c r="F105" s="873"/>
      <c r="G105" s="873"/>
      <c r="H105" s="873"/>
      <c r="I105" s="873"/>
      <c r="J105" s="873"/>
      <c r="K105" s="873"/>
      <c r="L105" s="873"/>
      <c r="M105" s="873"/>
      <c r="N105" s="873"/>
      <c r="O105" s="873"/>
      <c r="P105" s="873"/>
      <c r="Q105" s="873"/>
      <c r="R105" s="873"/>
      <c r="S105" s="873"/>
      <c r="T105" s="873"/>
      <c r="U105" s="873"/>
      <c r="V105" s="873"/>
      <c r="W105" s="873"/>
      <c r="X105" s="873"/>
      <c r="Y105" s="873"/>
      <c r="Z105" s="873"/>
      <c r="AA105" s="873"/>
      <c r="AB105" s="873"/>
      <c r="AC105" s="873"/>
      <c r="AD105" s="873"/>
      <c r="AE105" s="873"/>
      <c r="AF105" s="873"/>
      <c r="AG105" s="873"/>
      <c r="AH105" s="873"/>
      <c r="AI105" s="873"/>
      <c r="AJ105" s="873"/>
      <c r="AK105" s="873"/>
      <c r="AL105" s="873"/>
      <c r="AM105" s="873"/>
      <c r="AN105" s="873"/>
      <c r="AO105" s="873"/>
      <c r="AP105" s="873"/>
      <c r="AQ105" s="873"/>
      <c r="AR105" s="873"/>
      <c r="AS105" s="873"/>
    </row>
    <row r="106" spans="1:45" ht="12.75" x14ac:dyDescent="0.2">
      <c r="A106" s="873"/>
      <c r="B106" s="873"/>
      <c r="C106" s="873"/>
      <c r="D106" s="873"/>
      <c r="E106" s="873"/>
      <c r="F106" s="873"/>
      <c r="G106" s="873"/>
      <c r="H106" s="873"/>
      <c r="I106" s="873"/>
      <c r="J106" s="873"/>
      <c r="K106" s="873"/>
      <c r="L106" s="873"/>
      <c r="M106" s="873"/>
      <c r="N106" s="873"/>
      <c r="O106" s="873"/>
      <c r="P106" s="873"/>
      <c r="Q106" s="873"/>
      <c r="R106" s="873"/>
      <c r="S106" s="873"/>
      <c r="T106" s="873"/>
      <c r="U106" s="873"/>
      <c r="V106" s="873"/>
      <c r="W106" s="873"/>
      <c r="X106" s="873"/>
      <c r="Y106" s="873"/>
      <c r="Z106" s="873"/>
      <c r="AA106" s="873"/>
      <c r="AB106" s="873"/>
      <c r="AC106" s="873"/>
      <c r="AD106" s="873"/>
      <c r="AE106" s="873"/>
      <c r="AF106" s="873"/>
      <c r="AG106" s="873"/>
      <c r="AH106" s="873"/>
      <c r="AI106" s="873"/>
      <c r="AJ106" s="873"/>
      <c r="AK106" s="873"/>
      <c r="AL106" s="873"/>
      <c r="AM106" s="873"/>
      <c r="AN106" s="873"/>
      <c r="AO106" s="873"/>
      <c r="AP106" s="873"/>
      <c r="AQ106" s="873"/>
      <c r="AR106" s="873"/>
      <c r="AS106" s="873"/>
    </row>
    <row r="107" spans="1:45" ht="12.75" x14ac:dyDescent="0.2">
      <c r="A107" s="873"/>
      <c r="B107" s="873"/>
      <c r="C107" s="873"/>
      <c r="D107" s="873"/>
      <c r="E107" s="873"/>
      <c r="F107" s="873"/>
      <c r="G107" s="873"/>
      <c r="H107" s="873"/>
      <c r="I107" s="873"/>
      <c r="J107" s="873"/>
      <c r="K107" s="873"/>
      <c r="L107" s="873"/>
      <c r="M107" s="873"/>
      <c r="N107" s="873"/>
      <c r="O107" s="873"/>
      <c r="P107" s="873"/>
      <c r="Q107" s="873"/>
      <c r="R107" s="873"/>
      <c r="S107" s="873"/>
      <c r="T107" s="873"/>
      <c r="U107" s="873"/>
      <c r="V107" s="873"/>
      <c r="W107" s="873"/>
      <c r="X107" s="873"/>
      <c r="Y107" s="873"/>
      <c r="Z107" s="873"/>
      <c r="AA107" s="873"/>
      <c r="AB107" s="873"/>
      <c r="AC107" s="873"/>
      <c r="AD107" s="873"/>
      <c r="AE107" s="873"/>
      <c r="AF107" s="873"/>
      <c r="AG107" s="873"/>
      <c r="AH107" s="873"/>
      <c r="AI107" s="873"/>
      <c r="AJ107" s="873"/>
      <c r="AK107" s="873"/>
      <c r="AL107" s="873"/>
      <c r="AM107" s="873"/>
      <c r="AN107" s="873"/>
      <c r="AO107" s="873"/>
      <c r="AP107" s="873"/>
      <c r="AQ107" s="873"/>
      <c r="AR107" s="873"/>
      <c r="AS107" s="873"/>
    </row>
    <row r="108" spans="1:45" ht="12.75" x14ac:dyDescent="0.2">
      <c r="A108" s="873"/>
      <c r="B108" s="873"/>
      <c r="C108" s="873"/>
      <c r="D108" s="873"/>
      <c r="E108" s="873"/>
      <c r="F108" s="873"/>
      <c r="G108" s="873"/>
      <c r="H108" s="873"/>
      <c r="I108" s="873"/>
      <c r="J108" s="873"/>
      <c r="K108" s="873"/>
      <c r="L108" s="873"/>
      <c r="M108" s="873"/>
      <c r="N108" s="873"/>
      <c r="O108" s="873"/>
      <c r="P108" s="873"/>
      <c r="Q108" s="873"/>
      <c r="R108" s="873"/>
      <c r="S108" s="873"/>
      <c r="T108" s="873"/>
      <c r="U108" s="873"/>
      <c r="V108" s="873"/>
      <c r="W108" s="873"/>
      <c r="X108" s="873"/>
      <c r="Y108" s="873"/>
      <c r="Z108" s="873"/>
      <c r="AA108" s="873"/>
      <c r="AB108" s="873"/>
      <c r="AC108" s="873"/>
      <c r="AD108" s="873"/>
      <c r="AE108" s="873"/>
      <c r="AF108" s="873"/>
      <c r="AG108" s="873"/>
      <c r="AH108" s="873"/>
      <c r="AI108" s="873"/>
      <c r="AJ108" s="873"/>
      <c r="AK108" s="873"/>
      <c r="AL108" s="873"/>
      <c r="AM108" s="873"/>
      <c r="AN108" s="873"/>
      <c r="AO108" s="873"/>
      <c r="AP108" s="873"/>
      <c r="AQ108" s="873"/>
      <c r="AR108" s="873"/>
      <c r="AS108" s="873"/>
    </row>
    <row r="109" spans="1:45" ht="12.75" x14ac:dyDescent="0.2">
      <c r="A109" s="873"/>
      <c r="B109" s="873"/>
      <c r="C109" s="873"/>
      <c r="D109" s="873"/>
      <c r="E109" s="873"/>
      <c r="F109" s="873"/>
      <c r="G109" s="873"/>
      <c r="H109" s="873"/>
      <c r="I109" s="873"/>
      <c r="J109" s="873"/>
      <c r="K109" s="873"/>
      <c r="L109" s="873"/>
      <c r="M109" s="873"/>
      <c r="N109" s="873"/>
      <c r="O109" s="873"/>
      <c r="P109" s="873"/>
      <c r="Q109" s="873"/>
      <c r="R109" s="873"/>
      <c r="S109" s="873"/>
      <c r="T109" s="873"/>
      <c r="U109" s="873"/>
      <c r="V109" s="873"/>
      <c r="W109" s="873"/>
      <c r="X109" s="873"/>
      <c r="Y109" s="873"/>
      <c r="Z109" s="873"/>
      <c r="AA109" s="873"/>
      <c r="AB109" s="873"/>
      <c r="AC109" s="873"/>
      <c r="AD109" s="873"/>
      <c r="AE109" s="873"/>
      <c r="AF109" s="873"/>
      <c r="AG109" s="873"/>
      <c r="AH109" s="873"/>
      <c r="AI109" s="873"/>
      <c r="AJ109" s="873"/>
      <c r="AK109" s="873"/>
      <c r="AL109" s="873"/>
      <c r="AM109" s="873"/>
      <c r="AN109" s="873"/>
      <c r="AO109" s="873"/>
      <c r="AP109" s="873"/>
      <c r="AQ109" s="873"/>
      <c r="AR109" s="873"/>
      <c r="AS109" s="873"/>
    </row>
    <row r="110" spans="1:45" ht="12.75" x14ac:dyDescent="0.2">
      <c r="A110" s="873"/>
      <c r="B110" s="873"/>
      <c r="C110" s="873"/>
      <c r="D110" s="873"/>
      <c r="E110" s="873"/>
      <c r="F110" s="873"/>
      <c r="G110" s="873"/>
      <c r="H110" s="873"/>
      <c r="I110" s="873"/>
      <c r="J110" s="873"/>
      <c r="K110" s="873"/>
      <c r="L110" s="873"/>
      <c r="M110" s="873"/>
      <c r="N110" s="873"/>
      <c r="O110" s="873"/>
      <c r="P110" s="873"/>
      <c r="Q110" s="873"/>
      <c r="R110" s="873"/>
      <c r="S110" s="873"/>
      <c r="T110" s="873"/>
      <c r="U110" s="873"/>
      <c r="V110" s="873"/>
      <c r="W110" s="873"/>
      <c r="X110" s="873"/>
      <c r="Y110" s="873"/>
      <c r="Z110" s="873"/>
      <c r="AA110" s="873"/>
      <c r="AB110" s="873"/>
      <c r="AC110" s="873"/>
      <c r="AD110" s="873"/>
      <c r="AE110" s="873"/>
      <c r="AF110" s="873"/>
      <c r="AG110" s="873"/>
      <c r="AH110" s="873"/>
      <c r="AI110" s="873"/>
      <c r="AJ110" s="873"/>
      <c r="AK110" s="873"/>
      <c r="AL110" s="873"/>
      <c r="AM110" s="873"/>
      <c r="AN110" s="873"/>
      <c r="AO110" s="873"/>
      <c r="AP110" s="873"/>
      <c r="AQ110" s="873"/>
      <c r="AR110" s="873"/>
      <c r="AS110" s="873"/>
    </row>
    <row r="111" spans="1:45" ht="12.75" x14ac:dyDescent="0.2">
      <c r="A111" s="873"/>
      <c r="B111" s="873"/>
      <c r="C111" s="873"/>
      <c r="D111" s="873"/>
      <c r="E111" s="873"/>
      <c r="F111" s="873"/>
      <c r="G111" s="873"/>
      <c r="H111" s="873"/>
      <c r="I111" s="873"/>
      <c r="J111" s="873"/>
      <c r="K111" s="873"/>
      <c r="L111" s="873"/>
      <c r="M111" s="873"/>
      <c r="N111" s="873"/>
      <c r="O111" s="873"/>
      <c r="P111" s="873"/>
      <c r="Q111" s="873"/>
      <c r="R111" s="873"/>
      <c r="S111" s="873"/>
      <c r="T111" s="873"/>
      <c r="U111" s="873"/>
      <c r="V111" s="873"/>
      <c r="W111" s="873"/>
      <c r="X111" s="873"/>
      <c r="Y111" s="873"/>
      <c r="Z111" s="873"/>
      <c r="AA111" s="873"/>
      <c r="AB111" s="873"/>
      <c r="AC111" s="873"/>
      <c r="AD111" s="873"/>
      <c r="AE111" s="873"/>
      <c r="AF111" s="873"/>
      <c r="AG111" s="873"/>
      <c r="AH111" s="873"/>
      <c r="AI111" s="873"/>
      <c r="AJ111" s="873"/>
      <c r="AK111" s="873"/>
      <c r="AL111" s="873"/>
      <c r="AM111" s="873"/>
      <c r="AN111" s="873"/>
      <c r="AO111" s="873"/>
      <c r="AP111" s="873"/>
      <c r="AQ111" s="873"/>
      <c r="AR111" s="873"/>
      <c r="AS111" s="873"/>
    </row>
    <row r="112" spans="1:45" ht="12.75" x14ac:dyDescent="0.2">
      <c r="A112" s="873"/>
      <c r="B112" s="873"/>
      <c r="C112" s="873"/>
      <c r="D112" s="873"/>
      <c r="E112" s="873"/>
      <c r="F112" s="873"/>
      <c r="G112" s="873"/>
      <c r="H112" s="873"/>
      <c r="I112" s="873"/>
      <c r="J112" s="873"/>
      <c r="K112" s="873"/>
      <c r="L112" s="873"/>
      <c r="M112" s="873"/>
      <c r="N112" s="873"/>
      <c r="O112" s="873"/>
      <c r="P112" s="873"/>
      <c r="Q112" s="873"/>
      <c r="R112" s="873"/>
      <c r="S112" s="873"/>
      <c r="T112" s="873"/>
      <c r="U112" s="873"/>
      <c r="V112" s="873"/>
      <c r="W112" s="873"/>
      <c r="X112" s="873"/>
      <c r="Y112" s="873"/>
      <c r="Z112" s="873"/>
      <c r="AA112" s="873"/>
      <c r="AB112" s="873"/>
      <c r="AC112" s="873"/>
      <c r="AD112" s="873"/>
      <c r="AE112" s="873"/>
      <c r="AF112" s="873"/>
      <c r="AG112" s="873"/>
      <c r="AH112" s="873"/>
      <c r="AI112" s="873"/>
      <c r="AJ112" s="873"/>
      <c r="AK112" s="873"/>
      <c r="AL112" s="873"/>
      <c r="AM112" s="873"/>
      <c r="AN112" s="873"/>
      <c r="AO112" s="873"/>
      <c r="AP112" s="873"/>
      <c r="AQ112" s="873"/>
      <c r="AR112" s="873"/>
      <c r="AS112" s="873"/>
    </row>
    <row r="113" spans="1:45" ht="12.75" x14ac:dyDescent="0.2">
      <c r="A113" s="873"/>
      <c r="B113" s="873"/>
      <c r="C113" s="873"/>
      <c r="D113" s="873"/>
      <c r="E113" s="873"/>
      <c r="F113" s="873"/>
      <c r="G113" s="873"/>
      <c r="H113" s="873"/>
      <c r="I113" s="873"/>
      <c r="J113" s="873"/>
      <c r="K113" s="873"/>
      <c r="L113" s="873"/>
      <c r="M113" s="873"/>
      <c r="N113" s="873"/>
      <c r="O113" s="873"/>
      <c r="P113" s="873"/>
      <c r="Q113" s="873"/>
      <c r="R113" s="873"/>
      <c r="S113" s="873"/>
      <c r="T113" s="873"/>
      <c r="U113" s="873"/>
      <c r="V113" s="873"/>
      <c r="W113" s="873"/>
      <c r="X113" s="873"/>
      <c r="Y113" s="873"/>
      <c r="Z113" s="873"/>
      <c r="AA113" s="873"/>
      <c r="AB113" s="873"/>
      <c r="AC113" s="873"/>
      <c r="AD113" s="873"/>
      <c r="AE113" s="873"/>
      <c r="AF113" s="873"/>
      <c r="AG113" s="873"/>
      <c r="AH113" s="873"/>
      <c r="AI113" s="873"/>
      <c r="AJ113" s="873"/>
      <c r="AK113" s="873"/>
      <c r="AL113" s="873"/>
      <c r="AM113" s="873"/>
      <c r="AN113" s="873"/>
      <c r="AO113" s="873"/>
      <c r="AP113" s="873"/>
      <c r="AQ113" s="873"/>
      <c r="AR113" s="873"/>
      <c r="AS113" s="873"/>
    </row>
    <row r="114" spans="1:45" ht="12.75" x14ac:dyDescent="0.2">
      <c r="A114" s="873"/>
      <c r="B114" s="873"/>
      <c r="C114" s="873"/>
      <c r="D114" s="873"/>
      <c r="E114" s="873"/>
      <c r="F114" s="873"/>
      <c r="G114" s="873"/>
      <c r="H114" s="873"/>
      <c r="I114" s="873"/>
      <c r="J114" s="873"/>
      <c r="K114" s="873"/>
      <c r="L114" s="873"/>
      <c r="M114" s="873"/>
      <c r="N114" s="873"/>
      <c r="O114" s="873"/>
      <c r="P114" s="873"/>
      <c r="Q114" s="873"/>
      <c r="R114" s="873"/>
      <c r="S114" s="873"/>
      <c r="T114" s="873"/>
      <c r="U114" s="873"/>
      <c r="V114" s="873"/>
      <c r="W114" s="873"/>
      <c r="X114" s="873"/>
      <c r="Y114" s="873"/>
      <c r="Z114" s="873"/>
      <c r="AA114" s="873"/>
      <c r="AB114" s="873"/>
      <c r="AC114" s="873"/>
      <c r="AD114" s="873"/>
      <c r="AE114" s="873"/>
      <c r="AF114" s="873"/>
      <c r="AG114" s="873"/>
      <c r="AH114" s="873"/>
      <c r="AI114" s="873"/>
      <c r="AJ114" s="873"/>
      <c r="AK114" s="873"/>
      <c r="AL114" s="873"/>
      <c r="AM114" s="873"/>
      <c r="AN114" s="873"/>
      <c r="AO114" s="873"/>
      <c r="AP114" s="873"/>
      <c r="AQ114" s="873"/>
      <c r="AR114" s="873"/>
      <c r="AS114" s="873"/>
    </row>
    <row r="115" spans="1:45" ht="12.75" x14ac:dyDescent="0.2">
      <c r="A115" s="873"/>
      <c r="B115" s="873"/>
      <c r="C115" s="873"/>
      <c r="D115" s="873"/>
      <c r="E115" s="873"/>
      <c r="F115" s="873"/>
      <c r="G115" s="873"/>
      <c r="H115" s="873"/>
      <c r="I115" s="873"/>
      <c r="J115" s="873"/>
      <c r="K115" s="873"/>
      <c r="L115" s="873"/>
      <c r="M115" s="873"/>
      <c r="N115" s="873"/>
      <c r="O115" s="873"/>
      <c r="P115" s="873"/>
      <c r="Q115" s="873"/>
      <c r="R115" s="873"/>
      <c r="S115" s="873"/>
      <c r="T115" s="873"/>
      <c r="U115" s="873"/>
      <c r="V115" s="873"/>
      <c r="W115" s="873"/>
      <c r="X115" s="873"/>
      <c r="Y115" s="873"/>
      <c r="Z115" s="873"/>
      <c r="AA115" s="873"/>
      <c r="AB115" s="873"/>
      <c r="AC115" s="873"/>
      <c r="AD115" s="873"/>
      <c r="AE115" s="873"/>
      <c r="AF115" s="873"/>
      <c r="AG115" s="873"/>
      <c r="AH115" s="873"/>
      <c r="AI115" s="873"/>
      <c r="AJ115" s="873"/>
      <c r="AK115" s="873"/>
      <c r="AL115" s="873"/>
      <c r="AM115" s="873"/>
      <c r="AN115" s="873"/>
      <c r="AO115" s="873"/>
      <c r="AP115" s="873"/>
      <c r="AQ115" s="873"/>
      <c r="AR115" s="873"/>
      <c r="AS115" s="873"/>
    </row>
    <row r="116" spans="1:45" ht="12.75" x14ac:dyDescent="0.2">
      <c r="A116" s="873"/>
      <c r="B116" s="873"/>
      <c r="C116" s="873"/>
      <c r="D116" s="873"/>
      <c r="E116" s="873"/>
      <c r="F116" s="873"/>
      <c r="G116" s="873"/>
      <c r="H116" s="873"/>
      <c r="I116" s="873"/>
      <c r="J116" s="873"/>
      <c r="K116" s="873"/>
      <c r="L116" s="873"/>
      <c r="M116" s="873"/>
      <c r="N116" s="873"/>
      <c r="O116" s="873"/>
      <c r="P116" s="873"/>
      <c r="Q116" s="873"/>
      <c r="R116" s="873"/>
      <c r="S116" s="873"/>
      <c r="T116" s="873"/>
      <c r="U116" s="873"/>
      <c r="V116" s="873"/>
      <c r="W116" s="873"/>
      <c r="X116" s="873"/>
      <c r="Y116" s="873"/>
      <c r="Z116" s="873"/>
      <c r="AA116" s="873"/>
      <c r="AB116" s="873"/>
      <c r="AC116" s="873"/>
      <c r="AD116" s="873"/>
      <c r="AE116" s="873"/>
      <c r="AF116" s="873"/>
      <c r="AG116" s="873"/>
      <c r="AH116" s="873"/>
      <c r="AI116" s="873"/>
      <c r="AJ116" s="873"/>
      <c r="AK116" s="873"/>
      <c r="AL116" s="873"/>
      <c r="AM116" s="873"/>
      <c r="AN116" s="873"/>
      <c r="AO116" s="873"/>
      <c r="AP116" s="873"/>
      <c r="AQ116" s="873"/>
      <c r="AR116" s="873"/>
      <c r="AS116" s="873"/>
    </row>
    <row r="117" spans="1:45" ht="12.75" x14ac:dyDescent="0.2">
      <c r="A117" s="873"/>
      <c r="B117" s="873"/>
      <c r="C117" s="873"/>
      <c r="D117" s="873"/>
      <c r="E117" s="873"/>
      <c r="F117" s="873"/>
      <c r="G117" s="873"/>
      <c r="H117" s="873"/>
      <c r="I117" s="873"/>
      <c r="J117" s="873"/>
      <c r="K117" s="873"/>
      <c r="L117" s="873"/>
      <c r="M117" s="873"/>
      <c r="N117" s="873"/>
      <c r="O117" s="873"/>
      <c r="P117" s="873"/>
      <c r="Q117" s="873"/>
      <c r="R117" s="873"/>
      <c r="S117" s="873"/>
      <c r="T117" s="873"/>
      <c r="U117" s="873"/>
      <c r="V117" s="873"/>
      <c r="W117" s="873"/>
      <c r="X117" s="873"/>
      <c r="Y117" s="873"/>
      <c r="Z117" s="873"/>
      <c r="AA117" s="873"/>
      <c r="AB117" s="873"/>
      <c r="AC117" s="873"/>
      <c r="AD117" s="873"/>
      <c r="AE117" s="873"/>
      <c r="AF117" s="873"/>
      <c r="AG117" s="873"/>
      <c r="AH117" s="873"/>
      <c r="AI117" s="873"/>
      <c r="AJ117" s="873"/>
      <c r="AK117" s="873"/>
      <c r="AL117" s="873"/>
      <c r="AM117" s="873"/>
      <c r="AN117" s="873"/>
      <c r="AO117" s="873"/>
      <c r="AP117" s="873"/>
      <c r="AQ117" s="873"/>
      <c r="AR117" s="873"/>
      <c r="AS117" s="873"/>
    </row>
    <row r="118" spans="1:45" ht="12.75" x14ac:dyDescent="0.2">
      <c r="A118" s="873"/>
      <c r="B118" s="873"/>
      <c r="C118" s="873"/>
      <c r="D118" s="873"/>
      <c r="E118" s="873"/>
      <c r="F118" s="873"/>
      <c r="G118" s="873"/>
      <c r="H118" s="873"/>
      <c r="I118" s="873"/>
      <c r="J118" s="873"/>
      <c r="K118" s="873"/>
      <c r="L118" s="873"/>
      <c r="M118" s="873"/>
      <c r="N118" s="873"/>
      <c r="O118" s="873"/>
      <c r="P118" s="873"/>
      <c r="Q118" s="873"/>
      <c r="R118" s="873"/>
      <c r="S118" s="873"/>
      <c r="T118" s="873"/>
      <c r="U118" s="873"/>
      <c r="V118" s="873"/>
      <c r="W118" s="873"/>
      <c r="X118" s="873"/>
      <c r="Y118" s="873"/>
      <c r="Z118" s="873"/>
      <c r="AA118" s="873"/>
      <c r="AB118" s="873"/>
      <c r="AC118" s="873"/>
      <c r="AD118" s="873"/>
      <c r="AE118" s="873"/>
      <c r="AF118" s="873"/>
      <c r="AG118" s="873"/>
      <c r="AH118" s="873"/>
      <c r="AI118" s="873"/>
      <c r="AJ118" s="873"/>
      <c r="AK118" s="873"/>
      <c r="AL118" s="873"/>
      <c r="AM118" s="873"/>
      <c r="AN118" s="873"/>
      <c r="AO118" s="873"/>
      <c r="AP118" s="873"/>
      <c r="AQ118" s="873"/>
      <c r="AR118" s="873"/>
      <c r="AS118" s="873"/>
    </row>
    <row r="119" spans="1:45" ht="12.75" x14ac:dyDescent="0.2">
      <c r="A119" s="873"/>
      <c r="B119" s="873"/>
      <c r="C119" s="873"/>
      <c r="D119" s="873"/>
      <c r="E119" s="873"/>
      <c r="F119" s="873"/>
      <c r="G119" s="873"/>
      <c r="H119" s="873"/>
      <c r="I119" s="873"/>
      <c r="J119" s="873"/>
      <c r="K119" s="873"/>
      <c r="L119" s="873"/>
      <c r="M119" s="873"/>
      <c r="N119" s="873"/>
      <c r="O119" s="873"/>
      <c r="P119" s="873"/>
      <c r="Q119" s="873"/>
      <c r="R119" s="873"/>
      <c r="S119" s="873"/>
      <c r="T119" s="873"/>
      <c r="U119" s="873"/>
      <c r="V119" s="873"/>
      <c r="W119" s="873"/>
      <c r="X119" s="873"/>
      <c r="Y119" s="873"/>
      <c r="Z119" s="873"/>
      <c r="AA119" s="873"/>
      <c r="AB119" s="873"/>
      <c r="AC119" s="873"/>
      <c r="AD119" s="873"/>
      <c r="AE119" s="873"/>
      <c r="AF119" s="873"/>
      <c r="AG119" s="873"/>
      <c r="AH119" s="873"/>
      <c r="AI119" s="873"/>
      <c r="AJ119" s="873"/>
      <c r="AK119" s="873"/>
      <c r="AL119" s="873"/>
      <c r="AM119" s="873"/>
      <c r="AN119" s="873"/>
      <c r="AO119" s="873"/>
      <c r="AP119" s="873"/>
      <c r="AQ119" s="873"/>
      <c r="AR119" s="873"/>
      <c r="AS119" s="873"/>
    </row>
    <row r="120" spans="1:45" ht="12.75" x14ac:dyDescent="0.2">
      <c r="A120" s="873"/>
      <c r="B120" s="873"/>
      <c r="C120" s="873"/>
      <c r="D120" s="873"/>
      <c r="E120" s="873"/>
      <c r="F120" s="873"/>
      <c r="G120" s="873"/>
      <c r="H120" s="873"/>
      <c r="I120" s="873"/>
      <c r="J120" s="873"/>
      <c r="K120" s="873"/>
      <c r="L120" s="873"/>
      <c r="M120" s="873"/>
      <c r="N120" s="873"/>
      <c r="O120" s="873"/>
      <c r="P120" s="873"/>
      <c r="Q120" s="873"/>
      <c r="R120" s="873"/>
      <c r="S120" s="873"/>
      <c r="T120" s="873"/>
      <c r="U120" s="873"/>
      <c r="V120" s="873"/>
      <c r="W120" s="873"/>
      <c r="X120" s="873"/>
      <c r="Y120" s="873"/>
      <c r="Z120" s="873"/>
      <c r="AA120" s="873"/>
      <c r="AB120" s="873"/>
      <c r="AC120" s="873"/>
      <c r="AD120" s="873"/>
      <c r="AE120" s="873"/>
      <c r="AF120" s="873"/>
      <c r="AG120" s="873"/>
      <c r="AH120" s="873"/>
      <c r="AI120" s="873"/>
      <c r="AJ120" s="873"/>
      <c r="AK120" s="873"/>
      <c r="AL120" s="873"/>
      <c r="AM120" s="873"/>
      <c r="AN120" s="873"/>
      <c r="AO120" s="873"/>
      <c r="AP120" s="873"/>
      <c r="AQ120" s="873"/>
      <c r="AR120" s="873"/>
      <c r="AS120" s="873"/>
    </row>
    <row r="121" spans="1:45" ht="12.75" x14ac:dyDescent="0.2">
      <c r="A121" s="873"/>
      <c r="B121" s="873"/>
      <c r="C121" s="873"/>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3"/>
      <c r="AA121" s="873"/>
      <c r="AB121" s="873"/>
      <c r="AC121" s="873"/>
      <c r="AD121" s="873"/>
      <c r="AE121" s="873"/>
      <c r="AF121" s="873"/>
      <c r="AG121" s="873"/>
      <c r="AH121" s="873"/>
      <c r="AI121" s="873"/>
      <c r="AJ121" s="873"/>
      <c r="AK121" s="873"/>
      <c r="AL121" s="873"/>
      <c r="AM121" s="873"/>
      <c r="AN121" s="873"/>
      <c r="AO121" s="873"/>
      <c r="AP121" s="873"/>
      <c r="AQ121" s="873"/>
      <c r="AR121" s="873"/>
      <c r="AS121" s="873"/>
    </row>
    <row r="122" spans="1:45" ht="12.75" x14ac:dyDescent="0.2">
      <c r="A122" s="873"/>
      <c r="B122" s="873"/>
      <c r="C122" s="873"/>
      <c r="D122" s="873"/>
      <c r="E122" s="873"/>
      <c r="F122" s="873"/>
      <c r="G122" s="873"/>
      <c r="H122" s="873"/>
      <c r="I122" s="873"/>
      <c r="J122" s="873"/>
      <c r="K122" s="873"/>
      <c r="L122" s="873"/>
      <c r="M122" s="873"/>
      <c r="N122" s="873"/>
      <c r="O122" s="873"/>
      <c r="P122" s="873"/>
      <c r="Q122" s="873"/>
      <c r="R122" s="873"/>
      <c r="S122" s="873"/>
      <c r="T122" s="873"/>
      <c r="U122" s="873"/>
      <c r="V122" s="873"/>
      <c r="W122" s="873"/>
      <c r="X122" s="873"/>
      <c r="Y122" s="873"/>
      <c r="Z122" s="873"/>
      <c r="AA122" s="873"/>
      <c r="AB122" s="873"/>
      <c r="AC122" s="873"/>
      <c r="AD122" s="873"/>
      <c r="AE122" s="873"/>
      <c r="AF122" s="873"/>
      <c r="AG122" s="873"/>
      <c r="AH122" s="873"/>
      <c r="AI122" s="873"/>
      <c r="AJ122" s="873"/>
      <c r="AK122" s="873"/>
      <c r="AL122" s="873"/>
      <c r="AM122" s="873"/>
      <c r="AN122" s="873"/>
      <c r="AO122" s="873"/>
      <c r="AP122" s="873"/>
      <c r="AQ122" s="873"/>
      <c r="AR122" s="873"/>
      <c r="AS122" s="873"/>
    </row>
    <row r="123" spans="1:45" ht="12.75" x14ac:dyDescent="0.2">
      <c r="A123" s="873"/>
      <c r="B123" s="873"/>
      <c r="C123" s="873"/>
      <c r="D123" s="873"/>
      <c r="E123" s="873"/>
      <c r="F123" s="873"/>
      <c r="G123" s="873"/>
      <c r="H123" s="873"/>
      <c r="I123" s="873"/>
      <c r="J123" s="873"/>
      <c r="K123" s="873"/>
      <c r="L123" s="873"/>
      <c r="M123" s="873"/>
      <c r="N123" s="873"/>
      <c r="O123" s="873"/>
      <c r="P123" s="873"/>
      <c r="Q123" s="873"/>
      <c r="R123" s="873"/>
      <c r="S123" s="873"/>
      <c r="T123" s="873"/>
      <c r="U123" s="873"/>
      <c r="V123" s="873"/>
      <c r="W123" s="873"/>
      <c r="X123" s="873"/>
      <c r="Y123" s="873"/>
      <c r="Z123" s="873"/>
      <c r="AA123" s="873"/>
      <c r="AB123" s="873"/>
      <c r="AC123" s="873"/>
      <c r="AD123" s="873"/>
      <c r="AE123" s="873"/>
      <c r="AF123" s="873"/>
      <c r="AG123" s="873"/>
      <c r="AH123" s="873"/>
      <c r="AI123" s="873"/>
      <c r="AJ123" s="873"/>
      <c r="AK123" s="873"/>
      <c r="AL123" s="873"/>
      <c r="AM123" s="873"/>
      <c r="AN123" s="873"/>
      <c r="AO123" s="873"/>
      <c r="AP123" s="873"/>
      <c r="AQ123" s="873"/>
      <c r="AR123" s="873"/>
      <c r="AS123" s="873"/>
    </row>
    <row r="124" spans="1:45" ht="12.75" x14ac:dyDescent="0.2">
      <c r="A124" s="873"/>
      <c r="B124" s="873"/>
      <c r="C124" s="873"/>
      <c r="D124" s="873"/>
      <c r="E124" s="873"/>
      <c r="F124" s="873"/>
      <c r="G124" s="873"/>
      <c r="H124" s="873"/>
      <c r="I124" s="873"/>
      <c r="J124" s="873"/>
      <c r="K124" s="873"/>
      <c r="L124" s="873"/>
      <c r="M124" s="873"/>
      <c r="N124" s="873"/>
      <c r="O124" s="873"/>
      <c r="P124" s="873"/>
      <c r="Q124" s="873"/>
      <c r="R124" s="873"/>
      <c r="S124" s="873"/>
      <c r="T124" s="873"/>
      <c r="U124" s="873"/>
      <c r="V124" s="873"/>
      <c r="W124" s="873"/>
      <c r="X124" s="873"/>
      <c r="Y124" s="873"/>
      <c r="Z124" s="873"/>
      <c r="AA124" s="873"/>
      <c r="AB124" s="873"/>
      <c r="AC124" s="873"/>
      <c r="AD124" s="873"/>
      <c r="AE124" s="873"/>
      <c r="AF124" s="873"/>
      <c r="AG124" s="873"/>
      <c r="AH124" s="873"/>
      <c r="AI124" s="873"/>
      <c r="AJ124" s="873"/>
      <c r="AK124" s="873"/>
      <c r="AL124" s="873"/>
      <c r="AM124" s="873"/>
      <c r="AN124" s="873"/>
      <c r="AO124" s="873"/>
      <c r="AP124" s="873"/>
      <c r="AQ124" s="873"/>
      <c r="AR124" s="873"/>
      <c r="AS124" s="873"/>
    </row>
    <row r="125" spans="1:45" ht="12.75" x14ac:dyDescent="0.2">
      <c r="A125" s="873"/>
      <c r="B125" s="873"/>
      <c r="C125" s="873"/>
      <c r="D125" s="873"/>
      <c r="E125" s="873"/>
      <c r="F125" s="873"/>
      <c r="G125" s="873"/>
      <c r="H125" s="873"/>
      <c r="I125" s="873"/>
      <c r="J125" s="873"/>
      <c r="K125" s="873"/>
      <c r="L125" s="873"/>
      <c r="M125" s="873"/>
      <c r="N125" s="873"/>
      <c r="O125" s="873"/>
      <c r="P125" s="873"/>
      <c r="Q125" s="873"/>
      <c r="R125" s="873"/>
      <c r="S125" s="873"/>
      <c r="T125" s="873"/>
      <c r="U125" s="873"/>
      <c r="V125" s="873"/>
      <c r="W125" s="873"/>
      <c r="X125" s="873"/>
      <c r="Y125" s="873"/>
      <c r="Z125" s="873"/>
      <c r="AA125" s="873"/>
      <c r="AB125" s="873"/>
      <c r="AC125" s="873"/>
      <c r="AD125" s="873"/>
      <c r="AE125" s="873"/>
      <c r="AF125" s="873"/>
      <c r="AG125" s="873"/>
      <c r="AH125" s="873"/>
      <c r="AI125" s="873"/>
      <c r="AJ125" s="873"/>
      <c r="AK125" s="873"/>
      <c r="AL125" s="873"/>
      <c r="AM125" s="873"/>
      <c r="AN125" s="873"/>
      <c r="AO125" s="873"/>
      <c r="AP125" s="873"/>
      <c r="AQ125" s="873"/>
      <c r="AR125" s="873"/>
      <c r="AS125" s="873"/>
    </row>
    <row r="126" spans="1:45" ht="12.75" x14ac:dyDescent="0.2">
      <c r="A126" s="873"/>
      <c r="B126" s="873"/>
      <c r="C126" s="873"/>
      <c r="D126" s="873"/>
      <c r="E126" s="873"/>
      <c r="F126" s="873"/>
      <c r="G126" s="873"/>
      <c r="H126" s="873"/>
      <c r="I126" s="873"/>
      <c r="J126" s="873"/>
      <c r="K126" s="873"/>
      <c r="L126" s="873"/>
      <c r="M126" s="873"/>
      <c r="N126" s="873"/>
      <c r="O126" s="873"/>
      <c r="P126" s="873"/>
      <c r="Q126" s="873"/>
      <c r="R126" s="873"/>
      <c r="S126" s="873"/>
      <c r="T126" s="873"/>
      <c r="U126" s="873"/>
      <c r="V126" s="873"/>
      <c r="W126" s="873"/>
      <c r="X126" s="873"/>
      <c r="Y126" s="873"/>
      <c r="Z126" s="873"/>
      <c r="AA126" s="873"/>
      <c r="AB126" s="873"/>
      <c r="AC126" s="873"/>
      <c r="AD126" s="873"/>
      <c r="AE126" s="873"/>
      <c r="AF126" s="873"/>
      <c r="AG126" s="873"/>
      <c r="AH126" s="873"/>
      <c r="AI126" s="873"/>
      <c r="AJ126" s="873"/>
      <c r="AK126" s="873"/>
      <c r="AL126" s="873"/>
      <c r="AM126" s="873"/>
      <c r="AN126" s="873"/>
      <c r="AO126" s="873"/>
      <c r="AP126" s="873"/>
      <c r="AQ126" s="873"/>
      <c r="AR126" s="873"/>
      <c r="AS126" s="873"/>
    </row>
    <row r="127" spans="1:45" ht="12.75" x14ac:dyDescent="0.2">
      <c r="A127" s="873"/>
      <c r="B127" s="873"/>
      <c r="C127" s="873"/>
      <c r="D127" s="873"/>
      <c r="E127" s="873"/>
      <c r="F127" s="873"/>
      <c r="G127" s="873"/>
      <c r="H127" s="873"/>
      <c r="I127" s="873"/>
      <c r="J127" s="873"/>
      <c r="K127" s="873"/>
      <c r="L127" s="873"/>
      <c r="M127" s="873"/>
      <c r="N127" s="873"/>
      <c r="O127" s="873"/>
      <c r="P127" s="873"/>
      <c r="Q127" s="873"/>
      <c r="R127" s="873"/>
      <c r="S127" s="873"/>
      <c r="T127" s="873"/>
      <c r="U127" s="873"/>
      <c r="V127" s="873"/>
      <c r="W127" s="873"/>
      <c r="X127" s="873"/>
      <c r="Y127" s="873"/>
      <c r="Z127" s="873"/>
      <c r="AA127" s="873"/>
      <c r="AB127" s="873"/>
      <c r="AC127" s="873"/>
      <c r="AD127" s="873"/>
      <c r="AE127" s="873"/>
      <c r="AF127" s="873"/>
      <c r="AG127" s="873"/>
      <c r="AH127" s="873"/>
      <c r="AI127" s="873"/>
      <c r="AJ127" s="873"/>
      <c r="AK127" s="873"/>
      <c r="AL127" s="873"/>
      <c r="AM127" s="873"/>
      <c r="AN127" s="873"/>
      <c r="AO127" s="873"/>
      <c r="AP127" s="873"/>
      <c r="AQ127" s="873"/>
      <c r="AR127" s="873"/>
      <c r="AS127" s="873"/>
    </row>
    <row r="128" spans="1:45" ht="12.75" x14ac:dyDescent="0.2">
      <c r="A128" s="873"/>
      <c r="B128" s="873"/>
      <c r="C128" s="873"/>
      <c r="D128" s="873"/>
      <c r="E128" s="873"/>
      <c r="F128" s="873"/>
      <c r="G128" s="873"/>
      <c r="H128" s="873"/>
      <c r="I128" s="873"/>
      <c r="J128" s="873"/>
      <c r="K128" s="873"/>
      <c r="L128" s="873"/>
      <c r="M128" s="873"/>
      <c r="N128" s="873"/>
      <c r="O128" s="873"/>
      <c r="P128" s="873"/>
      <c r="Q128" s="873"/>
      <c r="R128" s="873"/>
      <c r="S128" s="873"/>
      <c r="T128" s="873"/>
      <c r="U128" s="873"/>
      <c r="V128" s="873"/>
      <c r="W128" s="873"/>
      <c r="X128" s="873"/>
      <c r="Y128" s="873"/>
      <c r="Z128" s="873"/>
      <c r="AA128" s="873"/>
      <c r="AB128" s="873"/>
      <c r="AC128" s="873"/>
      <c r="AD128" s="873"/>
      <c r="AE128" s="873"/>
      <c r="AF128" s="873"/>
      <c r="AG128" s="873"/>
      <c r="AH128" s="873"/>
      <c r="AI128" s="873"/>
      <c r="AJ128" s="873"/>
      <c r="AK128" s="873"/>
      <c r="AL128" s="873"/>
      <c r="AM128" s="873"/>
      <c r="AN128" s="873"/>
      <c r="AO128" s="873"/>
      <c r="AP128" s="873"/>
      <c r="AQ128" s="873"/>
      <c r="AR128" s="873"/>
      <c r="AS128" s="873"/>
    </row>
    <row r="129" spans="1:45" ht="12.75" x14ac:dyDescent="0.2">
      <c r="A129" s="873"/>
      <c r="B129" s="873"/>
      <c r="C129" s="873"/>
      <c r="D129" s="873"/>
      <c r="E129" s="873"/>
      <c r="F129" s="873"/>
      <c r="G129" s="873"/>
      <c r="H129" s="873"/>
      <c r="I129" s="873"/>
      <c r="J129" s="873"/>
      <c r="K129" s="873"/>
      <c r="L129" s="873"/>
      <c r="M129" s="873"/>
      <c r="N129" s="873"/>
      <c r="O129" s="873"/>
      <c r="P129" s="873"/>
      <c r="Q129" s="873"/>
      <c r="R129" s="873"/>
      <c r="S129" s="873"/>
      <c r="T129" s="873"/>
      <c r="U129" s="873"/>
      <c r="V129" s="873"/>
      <c r="W129" s="873"/>
      <c r="X129" s="873"/>
      <c r="Y129" s="873"/>
      <c r="Z129" s="873"/>
      <c r="AA129" s="873"/>
      <c r="AB129" s="873"/>
      <c r="AC129" s="873"/>
      <c r="AD129" s="873"/>
      <c r="AE129" s="873"/>
      <c r="AF129" s="873"/>
      <c r="AG129" s="873"/>
      <c r="AH129" s="873"/>
      <c r="AI129" s="873"/>
      <c r="AJ129" s="873"/>
      <c r="AK129" s="873"/>
      <c r="AL129" s="873"/>
      <c r="AM129" s="873"/>
      <c r="AN129" s="873"/>
      <c r="AO129" s="873"/>
      <c r="AP129" s="873"/>
      <c r="AQ129" s="873"/>
      <c r="AR129" s="873"/>
      <c r="AS129" s="873"/>
    </row>
    <row r="130" spans="1:45" ht="12.75" x14ac:dyDescent="0.2">
      <c r="A130" s="873"/>
      <c r="B130" s="873"/>
      <c r="C130" s="873"/>
      <c r="D130" s="873"/>
      <c r="E130" s="873"/>
      <c r="F130" s="873"/>
      <c r="G130" s="873"/>
      <c r="H130" s="873"/>
      <c r="I130" s="873"/>
      <c r="J130" s="873"/>
      <c r="K130" s="873"/>
      <c r="L130" s="873"/>
      <c r="M130" s="873"/>
      <c r="N130" s="873"/>
      <c r="O130" s="873"/>
      <c r="P130" s="873"/>
      <c r="Q130" s="873"/>
      <c r="R130" s="873"/>
      <c r="S130" s="873"/>
      <c r="T130" s="873"/>
      <c r="U130" s="873"/>
      <c r="V130" s="873"/>
      <c r="W130" s="873"/>
      <c r="X130" s="873"/>
      <c r="Y130" s="873"/>
      <c r="Z130" s="873"/>
      <c r="AA130" s="873"/>
      <c r="AB130" s="873"/>
      <c r="AC130" s="873"/>
      <c r="AD130" s="873"/>
      <c r="AE130" s="873"/>
      <c r="AF130" s="873"/>
      <c r="AG130" s="873"/>
      <c r="AH130" s="873"/>
      <c r="AI130" s="873"/>
      <c r="AJ130" s="873"/>
      <c r="AK130" s="873"/>
      <c r="AL130" s="873"/>
      <c r="AM130" s="873"/>
      <c r="AN130" s="873"/>
      <c r="AO130" s="873"/>
      <c r="AP130" s="873"/>
      <c r="AQ130" s="873"/>
      <c r="AR130" s="873"/>
      <c r="AS130" s="873"/>
    </row>
    <row r="131" spans="1:45" ht="12.75" x14ac:dyDescent="0.2">
      <c r="A131" s="873"/>
      <c r="B131" s="873"/>
      <c r="C131" s="873"/>
      <c r="D131" s="873"/>
      <c r="E131" s="873"/>
      <c r="F131" s="873"/>
      <c r="G131" s="873"/>
      <c r="H131" s="873"/>
      <c r="I131" s="873"/>
      <c r="J131" s="873"/>
      <c r="K131" s="873"/>
      <c r="L131" s="873"/>
      <c r="M131" s="873"/>
      <c r="N131" s="873"/>
      <c r="O131" s="873"/>
      <c r="P131" s="873"/>
      <c r="Q131" s="873"/>
      <c r="R131" s="873"/>
      <c r="S131" s="873"/>
      <c r="T131" s="873"/>
      <c r="U131" s="873"/>
      <c r="V131" s="873"/>
      <c r="W131" s="873"/>
      <c r="X131" s="873"/>
      <c r="Y131" s="873"/>
      <c r="Z131" s="873"/>
      <c r="AA131" s="873"/>
      <c r="AB131" s="873"/>
      <c r="AC131" s="873"/>
      <c r="AD131" s="873"/>
      <c r="AE131" s="873"/>
      <c r="AF131" s="873"/>
      <c r="AG131" s="873"/>
      <c r="AH131" s="873"/>
      <c r="AI131" s="873"/>
      <c r="AJ131" s="873"/>
      <c r="AK131" s="873"/>
      <c r="AL131" s="873"/>
      <c r="AM131" s="873"/>
      <c r="AN131" s="873"/>
      <c r="AO131" s="873"/>
      <c r="AP131" s="873"/>
      <c r="AQ131" s="873"/>
      <c r="AR131" s="873"/>
      <c r="AS131" s="873"/>
    </row>
    <row r="132" spans="1:45" ht="12.75" x14ac:dyDescent="0.2">
      <c r="A132" s="873"/>
      <c r="B132" s="873"/>
      <c r="C132" s="873"/>
      <c r="D132" s="873"/>
      <c r="E132" s="873"/>
      <c r="F132" s="873"/>
      <c r="G132" s="873"/>
      <c r="H132" s="873"/>
      <c r="I132" s="873"/>
      <c r="J132" s="873"/>
      <c r="K132" s="873"/>
      <c r="L132" s="873"/>
      <c r="M132" s="873"/>
      <c r="N132" s="873"/>
      <c r="O132" s="873"/>
      <c r="P132" s="873"/>
      <c r="Q132" s="873"/>
      <c r="R132" s="873"/>
      <c r="S132" s="873"/>
      <c r="T132" s="873"/>
      <c r="U132" s="873"/>
      <c r="V132" s="873"/>
      <c r="W132" s="873"/>
      <c r="X132" s="873"/>
      <c r="Y132" s="873"/>
      <c r="Z132" s="873"/>
      <c r="AA132" s="873"/>
      <c r="AB132" s="873"/>
      <c r="AC132" s="873"/>
      <c r="AD132" s="873"/>
      <c r="AE132" s="873"/>
      <c r="AF132" s="873"/>
      <c r="AG132" s="873"/>
      <c r="AH132" s="873"/>
      <c r="AI132" s="873"/>
      <c r="AJ132" s="873"/>
      <c r="AK132" s="873"/>
      <c r="AL132" s="873"/>
      <c r="AM132" s="873"/>
      <c r="AN132" s="873"/>
      <c r="AO132" s="873"/>
      <c r="AP132" s="873"/>
      <c r="AQ132" s="873"/>
      <c r="AR132" s="873"/>
      <c r="AS132" s="873"/>
    </row>
    <row r="133" spans="1:45" ht="12.75" x14ac:dyDescent="0.2">
      <c r="A133" s="873"/>
      <c r="B133" s="873"/>
      <c r="C133" s="873"/>
      <c r="D133" s="873"/>
      <c r="E133" s="873"/>
      <c r="F133" s="873"/>
      <c r="G133" s="873"/>
      <c r="H133" s="873"/>
      <c r="I133" s="873"/>
      <c r="J133" s="873"/>
      <c r="K133" s="873"/>
      <c r="L133" s="873"/>
      <c r="M133" s="873"/>
      <c r="N133" s="873"/>
      <c r="O133" s="873"/>
      <c r="P133" s="873"/>
      <c r="Q133" s="873"/>
      <c r="R133" s="873"/>
      <c r="S133" s="873"/>
      <c r="T133" s="873"/>
      <c r="U133" s="873"/>
      <c r="V133" s="873"/>
      <c r="W133" s="873"/>
      <c r="X133" s="873"/>
      <c r="Y133" s="873"/>
      <c r="Z133" s="873"/>
      <c r="AA133" s="873"/>
      <c r="AB133" s="873"/>
      <c r="AC133" s="873"/>
      <c r="AD133" s="873"/>
      <c r="AE133" s="873"/>
      <c r="AF133" s="873"/>
      <c r="AG133" s="873"/>
      <c r="AH133" s="873"/>
      <c r="AI133" s="873"/>
      <c r="AJ133" s="873"/>
      <c r="AK133" s="873"/>
      <c r="AL133" s="873"/>
      <c r="AM133" s="873"/>
      <c r="AN133" s="873"/>
      <c r="AO133" s="873"/>
      <c r="AP133" s="873"/>
      <c r="AQ133" s="873"/>
      <c r="AR133" s="873"/>
      <c r="AS133" s="873"/>
    </row>
    <row r="134" spans="1:45" ht="12.75" x14ac:dyDescent="0.2">
      <c r="A134" s="873"/>
      <c r="B134" s="873"/>
      <c r="C134" s="873"/>
      <c r="D134" s="873"/>
      <c r="E134" s="873"/>
      <c r="F134" s="873"/>
      <c r="G134" s="873"/>
      <c r="H134" s="873"/>
      <c r="I134" s="873"/>
      <c r="J134" s="873"/>
      <c r="K134" s="873"/>
      <c r="L134" s="873"/>
      <c r="M134" s="873"/>
      <c r="N134" s="873"/>
      <c r="O134" s="873"/>
      <c r="P134" s="873"/>
      <c r="Q134" s="873"/>
      <c r="R134" s="873"/>
      <c r="S134" s="873"/>
      <c r="T134" s="873"/>
      <c r="U134" s="873"/>
      <c r="V134" s="873"/>
      <c r="W134" s="873"/>
      <c r="X134" s="873"/>
      <c r="Y134" s="873"/>
      <c r="Z134" s="873"/>
      <c r="AA134" s="873"/>
      <c r="AB134" s="873"/>
      <c r="AC134" s="873"/>
      <c r="AD134" s="873"/>
      <c r="AE134" s="873"/>
      <c r="AF134" s="873"/>
      <c r="AG134" s="873"/>
      <c r="AH134" s="873"/>
      <c r="AI134" s="873"/>
      <c r="AJ134" s="873"/>
      <c r="AK134" s="873"/>
      <c r="AL134" s="873"/>
      <c r="AM134" s="873"/>
      <c r="AN134" s="873"/>
      <c r="AO134" s="873"/>
      <c r="AP134" s="873"/>
      <c r="AQ134" s="873"/>
      <c r="AR134" s="873"/>
      <c r="AS134" s="873"/>
    </row>
    <row r="135" spans="1:45" ht="12.75" x14ac:dyDescent="0.2">
      <c r="A135" s="873"/>
      <c r="B135" s="873"/>
      <c r="C135" s="873"/>
      <c r="D135" s="873"/>
      <c r="E135" s="873"/>
      <c r="F135" s="873"/>
      <c r="G135" s="873"/>
      <c r="H135" s="873"/>
      <c r="I135" s="873"/>
      <c r="J135" s="873"/>
      <c r="K135" s="873"/>
      <c r="L135" s="873"/>
      <c r="M135" s="873"/>
      <c r="N135" s="873"/>
      <c r="O135" s="873"/>
      <c r="P135" s="873"/>
      <c r="Q135" s="873"/>
      <c r="R135" s="873"/>
      <c r="S135" s="873"/>
      <c r="T135" s="873"/>
      <c r="U135" s="873"/>
      <c r="V135" s="873"/>
      <c r="W135" s="873"/>
      <c r="X135" s="873"/>
      <c r="Y135" s="873"/>
      <c r="Z135" s="873"/>
      <c r="AA135" s="873"/>
      <c r="AB135" s="873"/>
      <c r="AC135" s="873"/>
      <c r="AD135" s="873"/>
      <c r="AE135" s="873"/>
      <c r="AF135" s="873"/>
      <c r="AG135" s="873"/>
      <c r="AH135" s="873"/>
      <c r="AI135" s="873"/>
      <c r="AJ135" s="873"/>
      <c r="AK135" s="873"/>
      <c r="AL135" s="873"/>
      <c r="AM135" s="873"/>
      <c r="AN135" s="873"/>
      <c r="AO135" s="873"/>
      <c r="AP135" s="873"/>
      <c r="AQ135" s="873"/>
      <c r="AR135" s="873"/>
      <c r="AS135" s="873"/>
    </row>
    <row r="136" spans="1:45" ht="12.75" x14ac:dyDescent="0.2">
      <c r="A136" s="873"/>
      <c r="B136" s="873"/>
      <c r="C136" s="873"/>
      <c r="D136" s="873"/>
      <c r="E136" s="873"/>
      <c r="F136" s="873"/>
      <c r="G136" s="873"/>
      <c r="H136" s="873"/>
      <c r="I136" s="873"/>
      <c r="J136" s="873"/>
      <c r="K136" s="873"/>
      <c r="L136" s="873"/>
      <c r="M136" s="873"/>
      <c r="N136" s="873"/>
      <c r="O136" s="873"/>
      <c r="P136" s="873"/>
      <c r="Q136" s="873"/>
      <c r="R136" s="873"/>
      <c r="S136" s="873"/>
      <c r="T136" s="873"/>
      <c r="U136" s="873"/>
      <c r="V136" s="873"/>
      <c r="W136" s="873"/>
      <c r="X136" s="873"/>
      <c r="Y136" s="873"/>
      <c r="Z136" s="873"/>
      <c r="AA136" s="873"/>
      <c r="AB136" s="873"/>
      <c r="AC136" s="873"/>
      <c r="AD136" s="873"/>
      <c r="AE136" s="873"/>
      <c r="AF136" s="873"/>
      <c r="AG136" s="873"/>
      <c r="AH136" s="873"/>
      <c r="AI136" s="873"/>
      <c r="AJ136" s="873"/>
      <c r="AK136" s="873"/>
      <c r="AL136" s="873"/>
      <c r="AM136" s="873"/>
      <c r="AN136" s="873"/>
      <c r="AO136" s="873"/>
      <c r="AP136" s="873"/>
      <c r="AQ136" s="873"/>
      <c r="AR136" s="873"/>
      <c r="AS136" s="873"/>
    </row>
    <row r="137" spans="1:45" ht="12.75" x14ac:dyDescent="0.2">
      <c r="A137" s="873"/>
      <c r="B137" s="873"/>
      <c r="C137" s="873"/>
      <c r="D137" s="873"/>
      <c r="E137" s="873"/>
      <c r="F137" s="873"/>
      <c r="G137" s="873"/>
      <c r="H137" s="873"/>
      <c r="I137" s="873"/>
      <c r="J137" s="873"/>
      <c r="K137" s="873"/>
      <c r="L137" s="873"/>
      <c r="M137" s="873"/>
      <c r="N137" s="873"/>
      <c r="O137" s="873"/>
      <c r="P137" s="873"/>
      <c r="Q137" s="873"/>
      <c r="R137" s="873"/>
      <c r="S137" s="873"/>
      <c r="T137" s="873"/>
      <c r="U137" s="873"/>
      <c r="V137" s="873"/>
      <c r="W137" s="873"/>
      <c r="X137" s="873"/>
      <c r="Y137" s="873"/>
      <c r="Z137" s="873"/>
      <c r="AA137" s="873"/>
      <c r="AB137" s="873"/>
      <c r="AC137" s="873"/>
      <c r="AD137" s="873"/>
      <c r="AE137" s="873"/>
      <c r="AF137" s="873"/>
      <c r="AG137" s="873"/>
      <c r="AH137" s="873"/>
      <c r="AI137" s="873"/>
      <c r="AJ137" s="873"/>
      <c r="AK137" s="873"/>
      <c r="AL137" s="873"/>
      <c r="AM137" s="873"/>
      <c r="AN137" s="873"/>
      <c r="AO137" s="873"/>
      <c r="AP137" s="873"/>
      <c r="AQ137" s="873"/>
      <c r="AR137" s="873"/>
      <c r="AS137" s="873"/>
    </row>
    <row r="138" spans="1:45" ht="12.75" x14ac:dyDescent="0.2">
      <c r="A138" s="873"/>
      <c r="B138" s="873"/>
      <c r="C138" s="873"/>
      <c r="D138" s="873"/>
      <c r="E138" s="873"/>
      <c r="F138" s="873"/>
      <c r="G138" s="873"/>
      <c r="H138" s="873"/>
      <c r="I138" s="873"/>
      <c r="J138" s="873"/>
      <c r="K138" s="873"/>
      <c r="L138" s="873"/>
      <c r="M138" s="873"/>
      <c r="N138" s="873"/>
      <c r="O138" s="873"/>
      <c r="P138" s="873"/>
      <c r="Q138" s="873"/>
      <c r="R138" s="873"/>
      <c r="S138" s="873"/>
      <c r="T138" s="873"/>
      <c r="U138" s="873"/>
      <c r="V138" s="873"/>
      <c r="W138" s="873"/>
      <c r="X138" s="873"/>
      <c r="Y138" s="873"/>
      <c r="Z138" s="873"/>
      <c r="AA138" s="873"/>
      <c r="AB138" s="873"/>
      <c r="AC138" s="873"/>
      <c r="AD138" s="873"/>
      <c r="AE138" s="873"/>
      <c r="AF138" s="873"/>
      <c r="AG138" s="873"/>
      <c r="AH138" s="873"/>
      <c r="AI138" s="873"/>
      <c r="AJ138" s="873"/>
      <c r="AK138" s="873"/>
      <c r="AL138" s="873"/>
      <c r="AM138" s="873"/>
      <c r="AN138" s="873"/>
      <c r="AO138" s="873"/>
      <c r="AP138" s="873"/>
      <c r="AQ138" s="873"/>
      <c r="AR138" s="873"/>
      <c r="AS138" s="873"/>
    </row>
    <row r="139" spans="1:45" ht="12.75" x14ac:dyDescent="0.2">
      <c r="A139" s="873"/>
      <c r="B139" s="873"/>
      <c r="C139" s="873"/>
      <c r="D139" s="873"/>
      <c r="E139" s="873"/>
      <c r="F139" s="873"/>
      <c r="G139" s="873"/>
      <c r="H139" s="873"/>
      <c r="I139" s="873"/>
      <c r="J139" s="873"/>
      <c r="K139" s="873"/>
      <c r="L139" s="873"/>
      <c r="M139" s="873"/>
      <c r="N139" s="873"/>
      <c r="O139" s="873"/>
      <c r="P139" s="873"/>
      <c r="Q139" s="873"/>
      <c r="R139" s="873"/>
      <c r="S139" s="873"/>
      <c r="T139" s="873"/>
      <c r="U139" s="873"/>
      <c r="V139" s="873"/>
      <c r="W139" s="873"/>
      <c r="X139" s="873"/>
      <c r="Y139" s="873"/>
      <c r="Z139" s="873"/>
      <c r="AA139" s="873"/>
      <c r="AB139" s="873"/>
      <c r="AC139" s="873"/>
      <c r="AD139" s="873"/>
      <c r="AE139" s="873"/>
      <c r="AF139" s="873"/>
      <c r="AG139" s="873"/>
      <c r="AH139" s="873"/>
      <c r="AI139" s="873"/>
      <c r="AJ139" s="873"/>
      <c r="AK139" s="873"/>
      <c r="AL139" s="873"/>
      <c r="AM139" s="873"/>
      <c r="AN139" s="873"/>
      <c r="AO139" s="873"/>
      <c r="AP139" s="873"/>
      <c r="AQ139" s="873"/>
      <c r="AR139" s="873"/>
      <c r="AS139" s="873"/>
    </row>
    <row r="140" spans="1:45" ht="12.75" x14ac:dyDescent="0.2">
      <c r="A140" s="873"/>
      <c r="B140" s="873"/>
      <c r="C140" s="873"/>
      <c r="D140" s="873"/>
      <c r="E140" s="873"/>
      <c r="F140" s="873"/>
      <c r="G140" s="873"/>
      <c r="H140" s="873"/>
      <c r="I140" s="873"/>
      <c r="J140" s="873"/>
      <c r="K140" s="873"/>
      <c r="L140" s="873"/>
      <c r="M140" s="873"/>
      <c r="N140" s="873"/>
      <c r="O140" s="873"/>
      <c r="P140" s="873"/>
      <c r="Q140" s="873"/>
      <c r="R140" s="873"/>
      <c r="S140" s="873"/>
      <c r="T140" s="873"/>
      <c r="U140" s="873"/>
      <c r="V140" s="873"/>
      <c r="W140" s="873"/>
      <c r="X140" s="873"/>
      <c r="Y140" s="873"/>
      <c r="Z140" s="873"/>
      <c r="AA140" s="873"/>
      <c r="AB140" s="873"/>
      <c r="AC140" s="873"/>
      <c r="AD140" s="873"/>
      <c r="AE140" s="873"/>
      <c r="AF140" s="873"/>
      <c r="AG140" s="873"/>
      <c r="AH140" s="873"/>
      <c r="AI140" s="873"/>
      <c r="AJ140" s="873"/>
      <c r="AK140" s="873"/>
      <c r="AL140" s="873"/>
      <c r="AM140" s="873"/>
      <c r="AN140" s="873"/>
      <c r="AO140" s="873"/>
      <c r="AP140" s="873"/>
      <c r="AQ140" s="873"/>
      <c r="AR140" s="873"/>
      <c r="AS140" s="873"/>
    </row>
    <row r="141" spans="1:45" ht="12.75" x14ac:dyDescent="0.2">
      <c r="A141" s="873"/>
      <c r="B141" s="873"/>
      <c r="C141" s="873"/>
      <c r="D141" s="873"/>
      <c r="E141" s="873"/>
      <c r="F141" s="873"/>
      <c r="G141" s="873"/>
      <c r="H141" s="873"/>
      <c r="I141" s="873"/>
      <c r="J141" s="873"/>
      <c r="K141" s="873"/>
      <c r="L141" s="873"/>
      <c r="M141" s="873"/>
      <c r="N141" s="873"/>
      <c r="O141" s="873"/>
      <c r="P141" s="873"/>
      <c r="Q141" s="873"/>
      <c r="R141" s="873"/>
      <c r="S141" s="873"/>
      <c r="T141" s="873"/>
      <c r="U141" s="873"/>
      <c r="V141" s="873"/>
      <c r="W141" s="873"/>
      <c r="X141" s="873"/>
      <c r="Y141" s="873"/>
      <c r="Z141" s="873"/>
      <c r="AA141" s="873"/>
      <c r="AB141" s="873"/>
      <c r="AC141" s="873"/>
      <c r="AD141" s="873"/>
      <c r="AE141" s="873"/>
      <c r="AF141" s="873"/>
      <c r="AG141" s="873"/>
      <c r="AH141" s="873"/>
      <c r="AI141" s="873"/>
      <c r="AJ141" s="873"/>
      <c r="AK141" s="873"/>
      <c r="AL141" s="873"/>
      <c r="AM141" s="873"/>
      <c r="AN141" s="873"/>
      <c r="AO141" s="873"/>
      <c r="AP141" s="873"/>
      <c r="AQ141" s="873"/>
      <c r="AR141" s="873"/>
      <c r="AS141" s="873"/>
    </row>
    <row r="142" spans="1:45" ht="12.75" x14ac:dyDescent="0.2">
      <c r="A142" s="873"/>
      <c r="B142" s="873"/>
      <c r="C142" s="873"/>
      <c r="D142" s="873"/>
      <c r="E142" s="873"/>
      <c r="F142" s="873"/>
      <c r="G142" s="873"/>
      <c r="H142" s="873"/>
      <c r="I142" s="873"/>
      <c r="J142" s="873"/>
      <c r="K142" s="873"/>
      <c r="L142" s="873"/>
      <c r="M142" s="873"/>
      <c r="N142" s="873"/>
      <c r="O142" s="873"/>
      <c r="P142" s="873"/>
      <c r="Q142" s="873"/>
      <c r="R142" s="873"/>
      <c r="S142" s="873"/>
      <c r="T142" s="873"/>
      <c r="U142" s="873"/>
      <c r="V142" s="873"/>
      <c r="W142" s="873"/>
      <c r="X142" s="873"/>
      <c r="Y142" s="873"/>
      <c r="Z142" s="873"/>
      <c r="AA142" s="873"/>
      <c r="AB142" s="873"/>
      <c r="AC142" s="873"/>
      <c r="AD142" s="873"/>
      <c r="AE142" s="873"/>
      <c r="AF142" s="873"/>
      <c r="AG142" s="873"/>
      <c r="AH142" s="873"/>
      <c r="AI142" s="873"/>
      <c r="AJ142" s="873"/>
      <c r="AK142" s="873"/>
      <c r="AL142" s="873"/>
      <c r="AM142" s="873"/>
      <c r="AN142" s="873"/>
      <c r="AO142" s="873"/>
      <c r="AP142" s="873"/>
      <c r="AQ142" s="873"/>
      <c r="AR142" s="873"/>
      <c r="AS142" s="873"/>
    </row>
    <row r="143" spans="1:45" ht="12.75" x14ac:dyDescent="0.2">
      <c r="A143" s="873"/>
      <c r="B143" s="873"/>
      <c r="C143" s="873"/>
      <c r="D143" s="873"/>
      <c r="E143" s="873"/>
      <c r="F143" s="873"/>
      <c r="G143" s="873"/>
      <c r="H143" s="873"/>
      <c r="I143" s="873"/>
      <c r="J143" s="873"/>
      <c r="K143" s="873"/>
      <c r="L143" s="873"/>
      <c r="M143" s="873"/>
      <c r="N143" s="873"/>
      <c r="O143" s="873"/>
      <c r="P143" s="873"/>
      <c r="Q143" s="873"/>
      <c r="R143" s="873"/>
      <c r="S143" s="873"/>
      <c r="T143" s="873"/>
      <c r="U143" s="873"/>
      <c r="V143" s="873"/>
      <c r="W143" s="873"/>
      <c r="X143" s="873"/>
      <c r="Y143" s="873"/>
      <c r="Z143" s="873"/>
      <c r="AA143" s="873"/>
      <c r="AB143" s="873"/>
      <c r="AC143" s="873"/>
      <c r="AD143" s="873"/>
      <c r="AE143" s="873"/>
      <c r="AF143" s="873"/>
      <c r="AG143" s="873"/>
      <c r="AH143" s="873"/>
      <c r="AI143" s="873"/>
      <c r="AJ143" s="873"/>
      <c r="AK143" s="873"/>
      <c r="AL143" s="873"/>
      <c r="AM143" s="873"/>
      <c r="AN143" s="873"/>
      <c r="AO143" s="873"/>
      <c r="AP143" s="873"/>
      <c r="AQ143" s="873"/>
      <c r="AR143" s="873"/>
      <c r="AS143" s="873"/>
    </row>
    <row r="144" spans="1:45" ht="12.75" x14ac:dyDescent="0.2">
      <c r="A144" s="873"/>
      <c r="B144" s="873"/>
      <c r="C144" s="873"/>
      <c r="D144" s="873"/>
      <c r="E144" s="873"/>
      <c r="F144" s="873"/>
      <c r="G144" s="873"/>
      <c r="H144" s="873"/>
      <c r="I144" s="873"/>
      <c r="J144" s="873"/>
      <c r="K144" s="873"/>
      <c r="L144" s="873"/>
      <c r="M144" s="873"/>
      <c r="N144" s="873"/>
      <c r="O144" s="873"/>
      <c r="P144" s="873"/>
      <c r="Q144" s="873"/>
      <c r="R144" s="873"/>
      <c r="S144" s="873"/>
      <c r="T144" s="873"/>
      <c r="U144" s="873"/>
      <c r="V144" s="873"/>
      <c r="W144" s="873"/>
      <c r="X144" s="873"/>
      <c r="Y144" s="873"/>
      <c r="Z144" s="873"/>
      <c r="AA144" s="873"/>
      <c r="AB144" s="873"/>
      <c r="AC144" s="873"/>
      <c r="AD144" s="873"/>
      <c r="AE144" s="873"/>
      <c r="AF144" s="873"/>
      <c r="AG144" s="873"/>
      <c r="AH144" s="873"/>
      <c r="AI144" s="873"/>
      <c r="AJ144" s="873"/>
      <c r="AK144" s="873"/>
      <c r="AL144" s="873"/>
      <c r="AM144" s="873"/>
      <c r="AN144" s="873"/>
      <c r="AO144" s="873"/>
      <c r="AP144" s="873"/>
      <c r="AQ144" s="873"/>
      <c r="AR144" s="873"/>
      <c r="AS144" s="873"/>
    </row>
    <row r="145" spans="1:45" ht="12.75" x14ac:dyDescent="0.2">
      <c r="A145" s="873"/>
      <c r="B145" s="873"/>
      <c r="C145" s="873"/>
      <c r="D145" s="873"/>
      <c r="E145" s="873"/>
      <c r="F145" s="873"/>
      <c r="G145" s="873"/>
      <c r="H145" s="873"/>
      <c r="I145" s="873"/>
      <c r="J145" s="873"/>
      <c r="K145" s="873"/>
      <c r="L145" s="873"/>
      <c r="M145" s="873"/>
      <c r="N145" s="873"/>
      <c r="O145" s="873"/>
      <c r="P145" s="873"/>
      <c r="Q145" s="873"/>
      <c r="R145" s="873"/>
      <c r="S145" s="873"/>
      <c r="T145" s="873"/>
      <c r="U145" s="873"/>
      <c r="V145" s="873"/>
      <c r="W145" s="873"/>
      <c r="X145" s="873"/>
      <c r="Y145" s="873"/>
      <c r="Z145" s="873"/>
      <c r="AA145" s="873"/>
      <c r="AB145" s="873"/>
      <c r="AC145" s="873"/>
      <c r="AD145" s="873"/>
      <c r="AE145" s="873"/>
      <c r="AF145" s="873"/>
      <c r="AG145" s="873"/>
      <c r="AH145" s="873"/>
      <c r="AI145" s="873"/>
      <c r="AJ145" s="873"/>
      <c r="AK145" s="873"/>
      <c r="AL145" s="873"/>
      <c r="AM145" s="873"/>
      <c r="AN145" s="873"/>
      <c r="AO145" s="873"/>
      <c r="AP145" s="873"/>
      <c r="AQ145" s="873"/>
      <c r="AR145" s="873"/>
      <c r="AS145" s="873"/>
    </row>
    <row r="146" spans="1:45" ht="12.75" x14ac:dyDescent="0.2">
      <c r="A146" s="873"/>
      <c r="B146" s="873"/>
      <c r="C146" s="873"/>
      <c r="D146" s="873"/>
      <c r="E146" s="873"/>
      <c r="F146" s="873"/>
      <c r="G146" s="873"/>
      <c r="H146" s="873"/>
      <c r="I146" s="873"/>
      <c r="J146" s="873"/>
      <c r="K146" s="873"/>
      <c r="L146" s="873"/>
      <c r="M146" s="873"/>
      <c r="N146" s="873"/>
      <c r="O146" s="873"/>
      <c r="P146" s="873"/>
      <c r="Q146" s="873"/>
      <c r="R146" s="873"/>
      <c r="S146" s="873"/>
      <c r="T146" s="873"/>
      <c r="U146" s="873"/>
      <c r="V146" s="873"/>
      <c r="W146" s="873"/>
      <c r="X146" s="873"/>
      <c r="Y146" s="873"/>
      <c r="Z146" s="873"/>
      <c r="AA146" s="873"/>
      <c r="AB146" s="873"/>
      <c r="AC146" s="873"/>
      <c r="AD146" s="873"/>
      <c r="AE146" s="873"/>
      <c r="AF146" s="873"/>
      <c r="AG146" s="873"/>
      <c r="AH146" s="873"/>
      <c r="AI146" s="873"/>
      <c r="AJ146" s="873"/>
      <c r="AK146" s="873"/>
      <c r="AL146" s="873"/>
      <c r="AM146" s="873"/>
      <c r="AN146" s="873"/>
      <c r="AO146" s="873"/>
      <c r="AP146" s="873"/>
      <c r="AQ146" s="873"/>
      <c r="AR146" s="873"/>
      <c r="AS146" s="873"/>
    </row>
    <row r="147" spans="1:45" ht="12.75" x14ac:dyDescent="0.2">
      <c r="A147" s="873"/>
      <c r="B147" s="873"/>
      <c r="C147" s="873"/>
      <c r="D147" s="873"/>
      <c r="E147" s="873"/>
      <c r="F147" s="873"/>
      <c r="G147" s="873"/>
      <c r="H147" s="873"/>
      <c r="I147" s="873"/>
      <c r="J147" s="873"/>
      <c r="K147" s="873"/>
      <c r="L147" s="873"/>
      <c r="M147" s="873"/>
      <c r="N147" s="873"/>
      <c r="O147" s="873"/>
      <c r="P147" s="873"/>
      <c r="Q147" s="873"/>
      <c r="R147" s="873"/>
      <c r="S147" s="873"/>
      <c r="T147" s="873"/>
      <c r="U147" s="873"/>
      <c r="V147" s="873"/>
      <c r="W147" s="873"/>
      <c r="X147" s="873"/>
      <c r="Y147" s="873"/>
      <c r="Z147" s="873"/>
      <c r="AA147" s="873"/>
      <c r="AB147" s="873"/>
      <c r="AC147" s="873"/>
      <c r="AD147" s="873"/>
      <c r="AE147" s="873"/>
      <c r="AF147" s="873"/>
      <c r="AG147" s="873"/>
      <c r="AH147" s="873"/>
      <c r="AI147" s="873"/>
      <c r="AJ147" s="873"/>
      <c r="AK147" s="873"/>
      <c r="AL147" s="873"/>
      <c r="AM147" s="873"/>
      <c r="AN147" s="873"/>
      <c r="AO147" s="873"/>
      <c r="AP147" s="873"/>
      <c r="AQ147" s="873"/>
      <c r="AR147" s="873"/>
      <c r="AS147" s="873"/>
    </row>
    <row r="148" spans="1:45" ht="12.75" x14ac:dyDescent="0.2">
      <c r="A148" s="873"/>
      <c r="B148" s="873"/>
      <c r="C148" s="873"/>
      <c r="D148" s="873"/>
      <c r="E148" s="873"/>
      <c r="F148" s="873"/>
      <c r="G148" s="873"/>
      <c r="H148" s="873"/>
      <c r="I148" s="873"/>
      <c r="J148" s="873"/>
      <c r="K148" s="873"/>
      <c r="L148" s="873"/>
      <c r="M148" s="873"/>
      <c r="N148" s="873"/>
      <c r="O148" s="873"/>
      <c r="P148" s="873"/>
      <c r="Q148" s="873"/>
      <c r="R148" s="873"/>
      <c r="S148" s="873"/>
      <c r="T148" s="873"/>
      <c r="U148" s="873"/>
      <c r="V148" s="873"/>
      <c r="W148" s="873"/>
      <c r="X148" s="873"/>
      <c r="Y148" s="873"/>
      <c r="Z148" s="873"/>
      <c r="AA148" s="873"/>
      <c r="AB148" s="873"/>
      <c r="AC148" s="873"/>
      <c r="AD148" s="873"/>
      <c r="AE148" s="873"/>
      <c r="AF148" s="873"/>
      <c r="AG148" s="873"/>
      <c r="AH148" s="873"/>
      <c r="AI148" s="873"/>
      <c r="AJ148" s="873"/>
      <c r="AK148" s="873"/>
      <c r="AL148" s="873"/>
      <c r="AM148" s="873"/>
      <c r="AN148" s="873"/>
      <c r="AO148" s="873"/>
      <c r="AP148" s="873"/>
      <c r="AQ148" s="873"/>
      <c r="AR148" s="873"/>
      <c r="AS148" s="873"/>
    </row>
    <row r="149" spans="1:45" ht="12.75" x14ac:dyDescent="0.2">
      <c r="A149" s="873"/>
      <c r="B149" s="873"/>
      <c r="C149" s="873"/>
      <c r="D149" s="873"/>
      <c r="E149" s="873"/>
      <c r="F149" s="873"/>
      <c r="G149" s="873"/>
      <c r="H149" s="873"/>
      <c r="I149" s="873"/>
      <c r="J149" s="873"/>
      <c r="K149" s="873"/>
      <c r="L149" s="873"/>
      <c r="M149" s="873"/>
      <c r="N149" s="873"/>
      <c r="O149" s="873"/>
      <c r="P149" s="873"/>
      <c r="Q149" s="873"/>
      <c r="R149" s="873"/>
      <c r="S149" s="873"/>
      <c r="T149" s="873"/>
      <c r="U149" s="873"/>
      <c r="V149" s="873"/>
      <c r="W149" s="873"/>
      <c r="X149" s="873"/>
      <c r="Y149" s="873"/>
      <c r="Z149" s="873"/>
      <c r="AA149" s="873"/>
      <c r="AB149" s="873"/>
      <c r="AC149" s="873"/>
      <c r="AD149" s="873"/>
      <c r="AE149" s="873"/>
      <c r="AF149" s="873"/>
      <c r="AG149" s="873"/>
      <c r="AH149" s="873"/>
      <c r="AI149" s="873"/>
      <c r="AJ149" s="873"/>
      <c r="AK149" s="873"/>
      <c r="AL149" s="873"/>
      <c r="AM149" s="873"/>
      <c r="AN149" s="873"/>
      <c r="AO149" s="873"/>
      <c r="AP149" s="873"/>
      <c r="AQ149" s="873"/>
      <c r="AR149" s="873"/>
      <c r="AS149" s="873"/>
    </row>
    <row r="150" spans="1:45" ht="12.75" x14ac:dyDescent="0.2">
      <c r="A150" s="873"/>
      <c r="B150" s="873"/>
      <c r="C150" s="873"/>
      <c r="D150" s="873"/>
      <c r="E150" s="873"/>
      <c r="F150" s="873"/>
      <c r="G150" s="873"/>
      <c r="H150" s="873"/>
      <c r="I150" s="873"/>
      <c r="J150" s="873"/>
      <c r="K150" s="873"/>
      <c r="L150" s="873"/>
      <c r="M150" s="873"/>
      <c r="N150" s="873"/>
      <c r="O150" s="873"/>
      <c r="P150" s="873"/>
      <c r="Q150" s="873"/>
      <c r="R150" s="873"/>
      <c r="S150" s="873"/>
      <c r="T150" s="873"/>
      <c r="U150" s="873"/>
      <c r="V150" s="873"/>
      <c r="W150" s="873"/>
      <c r="X150" s="873"/>
      <c r="Y150" s="873"/>
      <c r="Z150" s="873"/>
      <c r="AA150" s="873"/>
      <c r="AB150" s="873"/>
      <c r="AC150" s="873"/>
      <c r="AD150" s="873"/>
      <c r="AE150" s="873"/>
      <c r="AF150" s="873"/>
      <c r="AG150" s="873"/>
      <c r="AH150" s="873"/>
      <c r="AI150" s="873"/>
      <c r="AJ150" s="873"/>
      <c r="AK150" s="873"/>
      <c r="AL150" s="873"/>
      <c r="AM150" s="873"/>
      <c r="AN150" s="873"/>
      <c r="AO150" s="873"/>
      <c r="AP150" s="873"/>
      <c r="AQ150" s="873"/>
      <c r="AR150" s="873"/>
      <c r="AS150" s="873"/>
    </row>
    <row r="151" spans="1:45" ht="12.75" x14ac:dyDescent="0.2">
      <c r="A151" s="873"/>
      <c r="B151" s="873"/>
      <c r="C151" s="873"/>
      <c r="D151" s="873"/>
      <c r="E151" s="873"/>
      <c r="F151" s="873"/>
      <c r="G151" s="873"/>
      <c r="H151" s="873"/>
      <c r="I151" s="873"/>
      <c r="J151" s="873"/>
      <c r="K151" s="873"/>
      <c r="L151" s="873"/>
      <c r="M151" s="873"/>
      <c r="N151" s="873"/>
      <c r="O151" s="873"/>
      <c r="P151" s="873"/>
      <c r="Q151" s="873"/>
      <c r="R151" s="873"/>
      <c r="S151" s="873"/>
      <c r="T151" s="873"/>
      <c r="U151" s="873"/>
      <c r="V151" s="873"/>
      <c r="W151" s="873"/>
      <c r="X151" s="873"/>
      <c r="Y151" s="873"/>
      <c r="Z151" s="873"/>
      <c r="AA151" s="873"/>
      <c r="AB151" s="873"/>
      <c r="AC151" s="873"/>
      <c r="AD151" s="873"/>
      <c r="AE151" s="873"/>
      <c r="AF151" s="873"/>
      <c r="AG151" s="873"/>
      <c r="AH151" s="873"/>
      <c r="AI151" s="873"/>
      <c r="AJ151" s="873"/>
      <c r="AK151" s="873"/>
      <c r="AL151" s="873"/>
      <c r="AM151" s="873"/>
      <c r="AN151" s="873"/>
      <c r="AO151" s="873"/>
      <c r="AP151" s="873"/>
      <c r="AQ151" s="873"/>
      <c r="AR151" s="873"/>
      <c r="AS151" s="873"/>
    </row>
    <row r="152" spans="1:45" ht="12.75" x14ac:dyDescent="0.2">
      <c r="A152" s="873"/>
      <c r="B152" s="873"/>
      <c r="C152" s="873"/>
      <c r="D152" s="873"/>
      <c r="E152" s="873"/>
      <c r="F152" s="873"/>
      <c r="G152" s="873"/>
      <c r="H152" s="873"/>
      <c r="I152" s="873"/>
      <c r="J152" s="873"/>
      <c r="K152" s="873"/>
      <c r="L152" s="873"/>
      <c r="M152" s="873"/>
      <c r="N152" s="873"/>
      <c r="O152" s="873"/>
      <c r="P152" s="873"/>
      <c r="Q152" s="873"/>
      <c r="R152" s="873"/>
      <c r="S152" s="873"/>
      <c r="T152" s="873"/>
      <c r="U152" s="873"/>
      <c r="V152" s="873"/>
      <c r="W152" s="873"/>
      <c r="X152" s="873"/>
      <c r="Y152" s="873"/>
      <c r="Z152" s="873"/>
      <c r="AA152" s="873"/>
      <c r="AB152" s="873"/>
      <c r="AC152" s="873"/>
      <c r="AD152" s="873"/>
      <c r="AE152" s="873"/>
      <c r="AF152" s="873"/>
      <c r="AG152" s="873"/>
      <c r="AH152" s="873"/>
      <c r="AI152" s="873"/>
      <c r="AJ152" s="873"/>
      <c r="AK152" s="873"/>
      <c r="AL152" s="873"/>
      <c r="AM152" s="873"/>
      <c r="AN152" s="873"/>
      <c r="AO152" s="873"/>
      <c r="AP152" s="873"/>
      <c r="AQ152" s="873"/>
      <c r="AR152" s="873"/>
      <c r="AS152" s="873"/>
    </row>
    <row r="153" spans="1:45" ht="12.75" x14ac:dyDescent="0.2">
      <c r="A153" s="873"/>
      <c r="B153" s="873"/>
      <c r="C153" s="873"/>
      <c r="D153" s="873"/>
      <c r="E153" s="873"/>
      <c r="F153" s="873"/>
      <c r="G153" s="873"/>
      <c r="H153" s="873"/>
      <c r="I153" s="873"/>
      <c r="J153" s="873"/>
      <c r="K153" s="873"/>
      <c r="L153" s="873"/>
      <c r="M153" s="873"/>
      <c r="N153" s="873"/>
      <c r="O153" s="873"/>
      <c r="P153" s="873"/>
      <c r="Q153" s="873"/>
      <c r="R153" s="873"/>
      <c r="S153" s="873"/>
      <c r="T153" s="873"/>
      <c r="U153" s="873"/>
      <c r="V153" s="873"/>
      <c r="W153" s="873"/>
      <c r="X153" s="873"/>
      <c r="Y153" s="873"/>
      <c r="Z153" s="873"/>
      <c r="AA153" s="873"/>
      <c r="AB153" s="873"/>
      <c r="AC153" s="873"/>
      <c r="AD153" s="873"/>
      <c r="AE153" s="873"/>
      <c r="AF153" s="873"/>
      <c r="AG153" s="873"/>
      <c r="AH153" s="873"/>
      <c r="AI153" s="873"/>
      <c r="AJ153" s="873"/>
      <c r="AK153" s="873"/>
      <c r="AL153" s="873"/>
      <c r="AM153" s="873"/>
      <c r="AN153" s="873"/>
      <c r="AO153" s="873"/>
      <c r="AP153" s="873"/>
      <c r="AQ153" s="873"/>
      <c r="AR153" s="873"/>
      <c r="AS153" s="873"/>
    </row>
    <row r="154" spans="1:45" ht="12.75" x14ac:dyDescent="0.2">
      <c r="A154" s="873"/>
      <c r="B154" s="873"/>
      <c r="C154" s="873"/>
      <c r="D154" s="873"/>
      <c r="E154" s="873"/>
      <c r="F154" s="873"/>
      <c r="G154" s="873"/>
      <c r="H154" s="873"/>
      <c r="I154" s="873"/>
      <c r="J154" s="873"/>
      <c r="K154" s="873"/>
      <c r="L154" s="873"/>
      <c r="M154" s="873"/>
      <c r="N154" s="873"/>
      <c r="O154" s="873"/>
      <c r="P154" s="873"/>
      <c r="Q154" s="873"/>
      <c r="R154" s="873"/>
      <c r="S154" s="873"/>
      <c r="T154" s="873"/>
      <c r="U154" s="873"/>
      <c r="V154" s="873"/>
      <c r="W154" s="873"/>
      <c r="X154" s="873"/>
      <c r="Y154" s="873"/>
      <c r="Z154" s="873"/>
      <c r="AA154" s="873"/>
      <c r="AB154" s="873"/>
      <c r="AC154" s="873"/>
      <c r="AD154" s="873"/>
      <c r="AE154" s="873"/>
      <c r="AF154" s="873"/>
      <c r="AG154" s="873"/>
      <c r="AH154" s="873"/>
      <c r="AI154" s="873"/>
      <c r="AJ154" s="873"/>
      <c r="AK154" s="873"/>
      <c r="AL154" s="873"/>
      <c r="AM154" s="873"/>
      <c r="AN154" s="873"/>
      <c r="AO154" s="873"/>
      <c r="AP154" s="873"/>
      <c r="AQ154" s="873"/>
      <c r="AR154" s="873"/>
      <c r="AS154" s="873"/>
    </row>
    <row r="155" spans="1:45" ht="12.75" x14ac:dyDescent="0.2">
      <c r="A155" s="873"/>
      <c r="B155" s="873"/>
      <c r="C155" s="873"/>
      <c r="D155" s="873"/>
      <c r="E155" s="873"/>
      <c r="F155" s="873"/>
      <c r="G155" s="873"/>
      <c r="H155" s="873"/>
      <c r="I155" s="873"/>
      <c r="J155" s="873"/>
      <c r="K155" s="873"/>
      <c r="L155" s="873"/>
      <c r="M155" s="873"/>
      <c r="N155" s="873"/>
      <c r="O155" s="873"/>
      <c r="P155" s="873"/>
      <c r="Q155" s="873"/>
      <c r="R155" s="873"/>
      <c r="S155" s="873"/>
      <c r="T155" s="873"/>
      <c r="U155" s="873"/>
      <c r="V155" s="873"/>
      <c r="W155" s="873"/>
      <c r="X155" s="873"/>
      <c r="Y155" s="873"/>
      <c r="Z155" s="873"/>
      <c r="AA155" s="873"/>
      <c r="AB155" s="873"/>
      <c r="AC155" s="873"/>
      <c r="AD155" s="873"/>
      <c r="AE155" s="873"/>
      <c r="AF155" s="873"/>
      <c r="AG155" s="873"/>
      <c r="AH155" s="873"/>
      <c r="AI155" s="873"/>
      <c r="AJ155" s="873"/>
      <c r="AK155" s="873"/>
      <c r="AL155" s="873"/>
      <c r="AM155" s="873"/>
      <c r="AN155" s="873"/>
      <c r="AO155" s="873"/>
      <c r="AP155" s="873"/>
      <c r="AQ155" s="873"/>
      <c r="AR155" s="873"/>
      <c r="AS155" s="873"/>
    </row>
    <row r="156" spans="1:45" ht="12.75" x14ac:dyDescent="0.2">
      <c r="A156" s="873"/>
      <c r="B156" s="873"/>
      <c r="C156" s="873"/>
      <c r="D156" s="873"/>
      <c r="E156" s="873"/>
      <c r="F156" s="873"/>
      <c r="G156" s="873"/>
      <c r="H156" s="873"/>
      <c r="I156" s="873"/>
      <c r="J156" s="873"/>
      <c r="K156" s="873"/>
      <c r="L156" s="873"/>
      <c r="M156" s="873"/>
      <c r="N156" s="873"/>
      <c r="O156" s="873"/>
      <c r="P156" s="873"/>
      <c r="Q156" s="873"/>
      <c r="R156" s="873"/>
      <c r="S156" s="873"/>
      <c r="T156" s="873"/>
      <c r="U156" s="873"/>
      <c r="V156" s="873"/>
      <c r="W156" s="873"/>
      <c r="X156" s="873"/>
      <c r="Y156" s="873"/>
      <c r="Z156" s="873"/>
      <c r="AA156" s="873"/>
      <c r="AB156" s="873"/>
      <c r="AC156" s="873"/>
      <c r="AD156" s="873"/>
      <c r="AE156" s="873"/>
      <c r="AF156" s="873"/>
      <c r="AG156" s="873"/>
      <c r="AH156" s="873"/>
      <c r="AI156" s="873"/>
      <c r="AJ156" s="873"/>
      <c r="AK156" s="873"/>
      <c r="AL156" s="873"/>
      <c r="AM156" s="873"/>
      <c r="AN156" s="873"/>
      <c r="AO156" s="873"/>
      <c r="AP156" s="873"/>
      <c r="AQ156" s="873"/>
      <c r="AR156" s="873"/>
      <c r="AS156" s="873"/>
    </row>
    <row r="157" spans="1:45" ht="12.75" x14ac:dyDescent="0.2">
      <c r="A157" s="873"/>
      <c r="B157" s="873"/>
      <c r="C157" s="873"/>
      <c r="D157" s="873"/>
      <c r="E157" s="873"/>
      <c r="F157" s="873"/>
      <c r="G157" s="873"/>
      <c r="H157" s="873"/>
      <c r="I157" s="873"/>
      <c r="J157" s="873"/>
      <c r="K157" s="873"/>
      <c r="L157" s="873"/>
      <c r="M157" s="873"/>
      <c r="N157" s="873"/>
      <c r="O157" s="873"/>
      <c r="P157" s="873"/>
      <c r="Q157" s="873"/>
      <c r="R157" s="873"/>
      <c r="S157" s="873"/>
      <c r="T157" s="873"/>
      <c r="U157" s="873"/>
      <c r="V157" s="873"/>
      <c r="W157" s="873"/>
      <c r="X157" s="873"/>
      <c r="Y157" s="873"/>
      <c r="Z157" s="873"/>
      <c r="AA157" s="873"/>
      <c r="AB157" s="873"/>
      <c r="AC157" s="873"/>
      <c r="AD157" s="873"/>
      <c r="AE157" s="873"/>
      <c r="AF157" s="873"/>
      <c r="AG157" s="873"/>
      <c r="AH157" s="873"/>
      <c r="AI157" s="873"/>
      <c r="AJ157" s="873"/>
      <c r="AK157" s="873"/>
      <c r="AL157" s="873"/>
      <c r="AM157" s="873"/>
      <c r="AN157" s="873"/>
      <c r="AO157" s="873"/>
      <c r="AP157" s="873"/>
      <c r="AQ157" s="873"/>
      <c r="AR157" s="873"/>
      <c r="AS157" s="873"/>
    </row>
    <row r="158" spans="1:45" ht="12.75" x14ac:dyDescent="0.2">
      <c r="A158" s="873"/>
      <c r="B158" s="873"/>
      <c r="C158" s="873"/>
      <c r="D158" s="873"/>
      <c r="E158" s="873"/>
      <c r="F158" s="873"/>
      <c r="G158" s="873"/>
      <c r="H158" s="873"/>
      <c r="I158" s="873"/>
      <c r="J158" s="873"/>
      <c r="K158" s="873"/>
      <c r="L158" s="873"/>
      <c r="M158" s="873"/>
      <c r="N158" s="873"/>
      <c r="O158" s="873"/>
      <c r="P158" s="873"/>
      <c r="Q158" s="873"/>
      <c r="R158" s="873"/>
      <c r="S158" s="873"/>
      <c r="T158" s="873"/>
      <c r="U158" s="873"/>
      <c r="V158" s="873"/>
      <c r="W158" s="873"/>
      <c r="X158" s="873"/>
      <c r="Y158" s="873"/>
      <c r="Z158" s="873"/>
      <c r="AA158" s="873"/>
      <c r="AB158" s="873"/>
      <c r="AC158" s="873"/>
      <c r="AD158" s="873"/>
      <c r="AE158" s="873"/>
      <c r="AF158" s="873"/>
      <c r="AG158" s="873"/>
      <c r="AH158" s="873"/>
      <c r="AI158" s="873"/>
      <c r="AJ158" s="873"/>
      <c r="AK158" s="873"/>
      <c r="AL158" s="873"/>
      <c r="AM158" s="873"/>
      <c r="AN158" s="873"/>
      <c r="AO158" s="873"/>
      <c r="AP158" s="873"/>
      <c r="AQ158" s="873"/>
      <c r="AR158" s="873"/>
      <c r="AS158" s="873"/>
    </row>
    <row r="159" spans="1:45" ht="12.75" x14ac:dyDescent="0.2">
      <c r="A159" s="873"/>
      <c r="B159" s="873"/>
      <c r="C159" s="873"/>
      <c r="D159" s="873"/>
      <c r="E159" s="873"/>
      <c r="F159" s="873"/>
      <c r="G159" s="873"/>
      <c r="H159" s="873"/>
      <c r="I159" s="873"/>
      <c r="J159" s="873"/>
      <c r="K159" s="873"/>
      <c r="L159" s="873"/>
      <c r="M159" s="873"/>
      <c r="N159" s="873"/>
      <c r="O159" s="873"/>
      <c r="P159" s="873"/>
      <c r="Q159" s="873"/>
      <c r="R159" s="873"/>
      <c r="S159" s="873"/>
      <c r="T159" s="873"/>
      <c r="U159" s="873"/>
      <c r="V159" s="873"/>
      <c r="W159" s="873"/>
      <c r="X159" s="873"/>
      <c r="Y159" s="873"/>
      <c r="Z159" s="873"/>
      <c r="AA159" s="873"/>
      <c r="AB159" s="873"/>
      <c r="AC159" s="873"/>
      <c r="AD159" s="873"/>
      <c r="AE159" s="873"/>
      <c r="AF159" s="873"/>
      <c r="AG159" s="873"/>
      <c r="AH159" s="873"/>
      <c r="AI159" s="873"/>
      <c r="AJ159" s="873"/>
      <c r="AK159" s="873"/>
      <c r="AL159" s="873"/>
      <c r="AM159" s="873"/>
      <c r="AN159" s="873"/>
      <c r="AO159" s="873"/>
      <c r="AP159" s="873"/>
      <c r="AQ159" s="873"/>
      <c r="AR159" s="873"/>
      <c r="AS159" s="873"/>
    </row>
    <row r="160" spans="1:45" ht="12.75" x14ac:dyDescent="0.2">
      <c r="A160" s="873"/>
      <c r="B160" s="873"/>
      <c r="C160" s="873"/>
      <c r="D160" s="873"/>
      <c r="E160" s="873"/>
      <c r="F160" s="873"/>
      <c r="G160" s="873"/>
      <c r="H160" s="873"/>
      <c r="I160" s="873"/>
      <c r="J160" s="873"/>
      <c r="K160" s="873"/>
      <c r="L160" s="873"/>
      <c r="M160" s="873"/>
      <c r="N160" s="873"/>
      <c r="O160" s="873"/>
      <c r="P160" s="873"/>
      <c r="Q160" s="873"/>
      <c r="R160" s="873"/>
      <c r="S160" s="873"/>
      <c r="T160" s="873"/>
      <c r="U160" s="873"/>
      <c r="V160" s="873"/>
      <c r="W160" s="873"/>
      <c r="X160" s="873"/>
      <c r="Y160" s="873"/>
      <c r="Z160" s="873"/>
      <c r="AA160" s="873"/>
      <c r="AB160" s="873"/>
      <c r="AC160" s="873"/>
      <c r="AD160" s="873"/>
      <c r="AE160" s="873"/>
      <c r="AF160" s="873"/>
      <c r="AG160" s="873"/>
      <c r="AH160" s="873"/>
      <c r="AI160" s="873"/>
      <c r="AJ160" s="873"/>
      <c r="AK160" s="873"/>
      <c r="AL160" s="873"/>
      <c r="AM160" s="873"/>
      <c r="AN160" s="873"/>
      <c r="AO160" s="873"/>
      <c r="AP160" s="873"/>
      <c r="AQ160" s="873"/>
      <c r="AR160" s="873"/>
      <c r="AS160" s="873"/>
    </row>
    <row r="161" spans="1:45" ht="12.75" x14ac:dyDescent="0.2">
      <c r="A161" s="873"/>
      <c r="B161" s="873"/>
      <c r="C161" s="873"/>
      <c r="D161" s="873"/>
      <c r="E161" s="873"/>
      <c r="F161" s="873"/>
      <c r="G161" s="873"/>
      <c r="H161" s="873"/>
      <c r="I161" s="873"/>
      <c r="J161" s="873"/>
      <c r="K161" s="873"/>
      <c r="L161" s="873"/>
      <c r="M161" s="873"/>
      <c r="N161" s="873"/>
      <c r="O161" s="873"/>
      <c r="P161" s="873"/>
      <c r="Q161" s="873"/>
      <c r="R161" s="873"/>
      <c r="S161" s="873"/>
      <c r="T161" s="873"/>
      <c r="U161" s="873"/>
      <c r="V161" s="873"/>
      <c r="W161" s="873"/>
      <c r="X161" s="873"/>
      <c r="Y161" s="873"/>
      <c r="Z161" s="873"/>
      <c r="AA161" s="873"/>
      <c r="AB161" s="873"/>
      <c r="AC161" s="873"/>
      <c r="AD161" s="873"/>
      <c r="AE161" s="873"/>
      <c r="AF161" s="873"/>
      <c r="AG161" s="873"/>
      <c r="AH161" s="873"/>
      <c r="AI161" s="873"/>
      <c r="AJ161" s="873"/>
      <c r="AK161" s="873"/>
      <c r="AL161" s="873"/>
      <c r="AM161" s="873"/>
      <c r="AN161" s="873"/>
      <c r="AO161" s="873"/>
      <c r="AP161" s="873"/>
      <c r="AQ161" s="873"/>
      <c r="AR161" s="873"/>
      <c r="AS161" s="873"/>
    </row>
    <row r="162" spans="1:45" ht="12.75" x14ac:dyDescent="0.2">
      <c r="A162" s="873"/>
      <c r="B162" s="873"/>
      <c r="C162" s="873"/>
      <c r="D162" s="873"/>
      <c r="E162" s="873"/>
      <c r="F162" s="873"/>
      <c r="G162" s="873"/>
      <c r="H162" s="873"/>
      <c r="I162" s="873"/>
      <c r="J162" s="873"/>
      <c r="K162" s="873"/>
      <c r="L162" s="873"/>
      <c r="M162" s="873"/>
      <c r="N162" s="873"/>
      <c r="O162" s="873"/>
      <c r="P162" s="873"/>
      <c r="Q162" s="873"/>
      <c r="R162" s="873"/>
      <c r="S162" s="873"/>
      <c r="T162" s="873"/>
      <c r="U162" s="873"/>
      <c r="V162" s="873"/>
      <c r="W162" s="873"/>
      <c r="X162" s="873"/>
      <c r="Y162" s="873"/>
      <c r="Z162" s="873"/>
      <c r="AA162" s="873"/>
      <c r="AB162" s="873"/>
      <c r="AC162" s="873"/>
      <c r="AD162" s="873"/>
      <c r="AE162" s="873"/>
      <c r="AF162" s="873"/>
      <c r="AG162" s="873"/>
      <c r="AH162" s="873"/>
      <c r="AI162" s="873"/>
      <c r="AJ162" s="873"/>
      <c r="AK162" s="873"/>
      <c r="AL162" s="873"/>
      <c r="AM162" s="873"/>
      <c r="AN162" s="873"/>
      <c r="AO162" s="873"/>
      <c r="AP162" s="873"/>
      <c r="AQ162" s="873"/>
      <c r="AR162" s="873"/>
      <c r="AS162" s="873"/>
    </row>
    <row r="163" spans="1:45" ht="12.75" x14ac:dyDescent="0.2">
      <c r="A163" s="873"/>
      <c r="B163" s="873"/>
      <c r="C163" s="873"/>
      <c r="D163" s="873"/>
      <c r="E163" s="873"/>
      <c r="F163" s="873"/>
      <c r="G163" s="873"/>
      <c r="H163" s="873"/>
      <c r="I163" s="873"/>
      <c r="J163" s="873"/>
      <c r="K163" s="873"/>
      <c r="L163" s="873"/>
      <c r="M163" s="873"/>
      <c r="N163" s="873"/>
      <c r="O163" s="873"/>
      <c r="P163" s="873"/>
      <c r="Q163" s="873"/>
      <c r="R163" s="873"/>
      <c r="S163" s="873"/>
      <c r="T163" s="873"/>
      <c r="U163" s="873"/>
      <c r="V163" s="873"/>
      <c r="W163" s="873"/>
      <c r="X163" s="873"/>
      <c r="Y163" s="873"/>
      <c r="Z163" s="873"/>
      <c r="AA163" s="873"/>
      <c r="AB163" s="873"/>
      <c r="AC163" s="873"/>
      <c r="AD163" s="873"/>
      <c r="AE163" s="873"/>
      <c r="AF163" s="873"/>
      <c r="AG163" s="873"/>
      <c r="AH163" s="873"/>
      <c r="AI163" s="873"/>
      <c r="AJ163" s="873"/>
      <c r="AK163" s="873"/>
      <c r="AL163" s="873"/>
      <c r="AM163" s="873"/>
      <c r="AN163" s="873"/>
      <c r="AO163" s="873"/>
      <c r="AP163" s="873"/>
      <c r="AQ163" s="873"/>
      <c r="AR163" s="873"/>
      <c r="AS163" s="873"/>
    </row>
    <row r="164" spans="1:45" ht="12.75" x14ac:dyDescent="0.2">
      <c r="A164" s="873"/>
      <c r="B164" s="873"/>
      <c r="C164" s="873"/>
      <c r="D164" s="873"/>
      <c r="E164" s="873"/>
      <c r="F164" s="873"/>
      <c r="G164" s="873"/>
      <c r="H164" s="873"/>
      <c r="I164" s="873"/>
      <c r="J164" s="873"/>
      <c r="K164" s="873"/>
      <c r="L164" s="873"/>
      <c r="M164" s="873"/>
      <c r="N164" s="873"/>
      <c r="O164" s="873"/>
      <c r="P164" s="873"/>
      <c r="Q164" s="873"/>
      <c r="R164" s="873"/>
      <c r="S164" s="873"/>
      <c r="T164" s="873"/>
      <c r="U164" s="873"/>
      <c r="V164" s="873"/>
      <c r="W164" s="873"/>
      <c r="X164" s="873"/>
      <c r="Y164" s="873"/>
      <c r="Z164" s="873"/>
      <c r="AA164" s="873"/>
      <c r="AB164" s="873"/>
      <c r="AC164" s="873"/>
      <c r="AD164" s="873"/>
      <c r="AE164" s="873"/>
      <c r="AF164" s="873"/>
      <c r="AG164" s="873"/>
      <c r="AH164" s="873"/>
      <c r="AI164" s="873"/>
      <c r="AJ164" s="873"/>
      <c r="AK164" s="873"/>
      <c r="AL164" s="873"/>
      <c r="AM164" s="873"/>
      <c r="AN164" s="873"/>
      <c r="AO164" s="873"/>
      <c r="AP164" s="873"/>
      <c r="AQ164" s="873"/>
      <c r="AR164" s="873"/>
      <c r="AS164" s="873"/>
    </row>
    <row r="165" spans="1:45" ht="12.75" x14ac:dyDescent="0.2">
      <c r="A165" s="873"/>
      <c r="B165" s="873"/>
      <c r="C165" s="873"/>
      <c r="D165" s="873"/>
      <c r="E165" s="873"/>
      <c r="F165" s="873"/>
      <c r="G165" s="873"/>
      <c r="H165" s="873"/>
      <c r="I165" s="873"/>
      <c r="J165" s="873"/>
      <c r="K165" s="873"/>
      <c r="L165" s="873"/>
      <c r="M165" s="873"/>
      <c r="N165" s="873"/>
      <c r="O165" s="873"/>
      <c r="P165" s="873"/>
      <c r="Q165" s="873"/>
      <c r="R165" s="873"/>
      <c r="S165" s="873"/>
      <c r="T165" s="873"/>
      <c r="U165" s="873"/>
      <c r="V165" s="873"/>
      <c r="W165" s="873"/>
      <c r="X165" s="873"/>
      <c r="Y165" s="873"/>
      <c r="Z165" s="873"/>
      <c r="AA165" s="873"/>
      <c r="AB165" s="873"/>
      <c r="AC165" s="873"/>
      <c r="AD165" s="873"/>
      <c r="AE165" s="873"/>
      <c r="AF165" s="873"/>
      <c r="AG165" s="873"/>
      <c r="AH165" s="873"/>
      <c r="AI165" s="873"/>
      <c r="AJ165" s="873"/>
      <c r="AK165" s="873"/>
      <c r="AL165" s="873"/>
      <c r="AM165" s="873"/>
      <c r="AN165" s="873"/>
      <c r="AO165" s="873"/>
      <c r="AP165" s="873"/>
      <c r="AQ165" s="873"/>
      <c r="AR165" s="873"/>
      <c r="AS165" s="873"/>
    </row>
    <row r="166" spans="1:45" ht="12.75" x14ac:dyDescent="0.2">
      <c r="A166" s="873"/>
      <c r="B166" s="873"/>
      <c r="C166" s="873"/>
      <c r="D166" s="873"/>
      <c r="E166" s="873"/>
      <c r="F166" s="873"/>
      <c r="G166" s="873"/>
      <c r="H166" s="873"/>
      <c r="I166" s="873"/>
      <c r="J166" s="873"/>
      <c r="K166" s="873"/>
      <c r="L166" s="873"/>
      <c r="M166" s="873"/>
      <c r="N166" s="873"/>
      <c r="O166" s="873"/>
      <c r="P166" s="873"/>
      <c r="Q166" s="873"/>
      <c r="R166" s="873"/>
      <c r="S166" s="873"/>
      <c r="T166" s="873"/>
      <c r="U166" s="873"/>
      <c r="V166" s="873"/>
      <c r="W166" s="873"/>
      <c r="X166" s="873"/>
      <c r="Y166" s="873"/>
      <c r="Z166" s="873"/>
      <c r="AA166" s="873"/>
      <c r="AB166" s="873"/>
      <c r="AC166" s="873"/>
      <c r="AD166" s="873"/>
      <c r="AE166" s="873"/>
      <c r="AF166" s="873"/>
      <c r="AG166" s="873"/>
      <c r="AH166" s="873"/>
      <c r="AI166" s="873"/>
      <c r="AJ166" s="873"/>
      <c r="AK166" s="873"/>
      <c r="AL166" s="873"/>
      <c r="AM166" s="873"/>
      <c r="AN166" s="873"/>
      <c r="AO166" s="873"/>
      <c r="AP166" s="873"/>
      <c r="AQ166" s="873"/>
      <c r="AR166" s="873"/>
      <c r="AS166" s="873"/>
    </row>
    <row r="167" spans="1:45" ht="12.75" x14ac:dyDescent="0.2">
      <c r="A167" s="873"/>
      <c r="B167" s="873"/>
      <c r="C167" s="873"/>
      <c r="D167" s="873"/>
      <c r="E167" s="873"/>
      <c r="F167" s="873"/>
      <c r="G167" s="873"/>
      <c r="H167" s="873"/>
      <c r="I167" s="873"/>
      <c r="J167" s="873"/>
      <c r="K167" s="873"/>
      <c r="L167" s="873"/>
      <c r="M167" s="873"/>
      <c r="N167" s="873"/>
      <c r="O167" s="873"/>
      <c r="P167" s="873"/>
      <c r="Q167" s="873"/>
      <c r="R167" s="873"/>
      <c r="S167" s="873"/>
      <c r="T167" s="873"/>
      <c r="U167" s="873"/>
      <c r="V167" s="873"/>
      <c r="W167" s="873"/>
      <c r="X167" s="873"/>
      <c r="Y167" s="873"/>
      <c r="Z167" s="873"/>
      <c r="AA167" s="873"/>
      <c r="AB167" s="873"/>
      <c r="AC167" s="873"/>
      <c r="AD167" s="873"/>
      <c r="AE167" s="873"/>
      <c r="AF167" s="873"/>
      <c r="AG167" s="873"/>
      <c r="AH167" s="873"/>
      <c r="AI167" s="873"/>
      <c r="AJ167" s="873"/>
      <c r="AK167" s="873"/>
      <c r="AL167" s="873"/>
      <c r="AM167" s="873"/>
      <c r="AN167" s="873"/>
      <c r="AO167" s="873"/>
      <c r="AP167" s="873"/>
      <c r="AQ167" s="873"/>
      <c r="AR167" s="873"/>
      <c r="AS167" s="873"/>
    </row>
    <row r="168" spans="1:45" ht="12.75" x14ac:dyDescent="0.2">
      <c r="A168" s="873"/>
      <c r="B168" s="873"/>
      <c r="C168" s="873"/>
      <c r="D168" s="873"/>
      <c r="E168" s="873"/>
      <c r="F168" s="873"/>
      <c r="G168" s="873"/>
      <c r="H168" s="873"/>
      <c r="I168" s="873"/>
      <c r="J168" s="873"/>
      <c r="K168" s="873"/>
      <c r="L168" s="873"/>
      <c r="M168" s="873"/>
      <c r="N168" s="873"/>
      <c r="O168" s="873"/>
      <c r="P168" s="873"/>
      <c r="Q168" s="873"/>
      <c r="R168" s="873"/>
      <c r="S168" s="873"/>
      <c r="T168" s="873"/>
      <c r="U168" s="873"/>
      <c r="V168" s="873"/>
      <c r="W168" s="873"/>
      <c r="X168" s="873"/>
      <c r="Y168" s="873"/>
      <c r="Z168" s="873"/>
      <c r="AA168" s="873"/>
      <c r="AB168" s="873"/>
      <c r="AC168" s="873"/>
      <c r="AD168" s="873"/>
      <c r="AE168" s="873"/>
      <c r="AF168" s="873"/>
      <c r="AG168" s="873"/>
      <c r="AH168" s="873"/>
      <c r="AI168" s="873"/>
      <c r="AJ168" s="873"/>
      <c r="AK168" s="873"/>
      <c r="AL168" s="873"/>
      <c r="AM168" s="873"/>
      <c r="AN168" s="873"/>
      <c r="AO168" s="873"/>
      <c r="AP168" s="873"/>
      <c r="AQ168" s="873"/>
      <c r="AR168" s="873"/>
      <c r="AS168" s="873"/>
    </row>
    <row r="169" spans="1:45" ht="12.75" x14ac:dyDescent="0.2">
      <c r="A169" s="873"/>
      <c r="B169" s="873"/>
      <c r="C169" s="873"/>
      <c r="D169" s="873"/>
      <c r="E169" s="873"/>
      <c r="F169" s="873"/>
      <c r="G169" s="873"/>
      <c r="H169" s="873"/>
      <c r="I169" s="873"/>
      <c r="J169" s="873"/>
      <c r="K169" s="873"/>
      <c r="L169" s="873"/>
      <c r="M169" s="873"/>
      <c r="N169" s="873"/>
      <c r="O169" s="873"/>
      <c r="P169" s="873"/>
      <c r="Q169" s="873"/>
      <c r="R169" s="873"/>
      <c r="S169" s="873"/>
      <c r="T169" s="873"/>
      <c r="U169" s="873"/>
      <c r="V169" s="873"/>
      <c r="W169" s="873"/>
      <c r="X169" s="873"/>
      <c r="Y169" s="873"/>
      <c r="Z169" s="873"/>
      <c r="AA169" s="873"/>
      <c r="AB169" s="873"/>
      <c r="AC169" s="873"/>
      <c r="AD169" s="873"/>
      <c r="AE169" s="873"/>
      <c r="AF169" s="873"/>
      <c r="AG169" s="873"/>
      <c r="AH169" s="873"/>
      <c r="AI169" s="873"/>
      <c r="AJ169" s="873"/>
      <c r="AK169" s="873"/>
      <c r="AL169" s="873"/>
      <c r="AM169" s="873"/>
      <c r="AN169" s="873"/>
      <c r="AO169" s="873"/>
      <c r="AP169" s="873"/>
      <c r="AQ169" s="873"/>
      <c r="AR169" s="873"/>
      <c r="AS169" s="873"/>
    </row>
    <row r="170" spans="1:45" ht="12.75" x14ac:dyDescent="0.2">
      <c r="A170" s="873"/>
      <c r="B170" s="873"/>
      <c r="C170" s="873"/>
      <c r="D170" s="873"/>
      <c r="E170" s="873"/>
      <c r="F170" s="873"/>
      <c r="G170" s="873"/>
      <c r="H170" s="873"/>
      <c r="I170" s="873"/>
      <c r="J170" s="873"/>
      <c r="K170" s="873"/>
      <c r="L170" s="873"/>
      <c r="M170" s="873"/>
      <c r="N170" s="873"/>
      <c r="O170" s="873"/>
      <c r="P170" s="873"/>
      <c r="Q170" s="873"/>
      <c r="R170" s="873"/>
      <c r="S170" s="873"/>
      <c r="T170" s="873"/>
      <c r="U170" s="873"/>
      <c r="V170" s="873"/>
      <c r="W170" s="873"/>
      <c r="X170" s="873"/>
      <c r="Y170" s="873"/>
      <c r="Z170" s="873"/>
      <c r="AA170" s="873"/>
      <c r="AB170" s="873"/>
      <c r="AC170" s="873"/>
      <c r="AD170" s="873"/>
      <c r="AE170" s="873"/>
      <c r="AF170" s="873"/>
      <c r="AG170" s="873"/>
      <c r="AH170" s="873"/>
      <c r="AI170" s="873"/>
      <c r="AJ170" s="873"/>
      <c r="AK170" s="873"/>
      <c r="AL170" s="873"/>
      <c r="AM170" s="873"/>
      <c r="AN170" s="873"/>
      <c r="AO170" s="873"/>
      <c r="AP170" s="873"/>
      <c r="AQ170" s="873"/>
      <c r="AR170" s="873"/>
      <c r="AS170" s="873"/>
    </row>
    <row r="171" spans="1:45" ht="12.75" x14ac:dyDescent="0.2">
      <c r="A171" s="873"/>
      <c r="B171" s="873"/>
      <c r="C171" s="873"/>
      <c r="D171" s="873"/>
      <c r="E171" s="873"/>
      <c r="F171" s="873"/>
      <c r="G171" s="873"/>
      <c r="H171" s="873"/>
      <c r="I171" s="873"/>
      <c r="J171" s="873"/>
      <c r="K171" s="873"/>
      <c r="L171" s="873"/>
      <c r="M171" s="873"/>
      <c r="N171" s="873"/>
      <c r="O171" s="873"/>
      <c r="P171" s="873"/>
      <c r="Q171" s="873"/>
      <c r="R171" s="873"/>
      <c r="S171" s="873"/>
      <c r="T171" s="873"/>
      <c r="U171" s="873"/>
      <c r="V171" s="873"/>
      <c r="W171" s="873"/>
      <c r="X171" s="873"/>
      <c r="Y171" s="873"/>
      <c r="Z171" s="873"/>
      <c r="AA171" s="873"/>
      <c r="AB171" s="873"/>
      <c r="AC171" s="873"/>
      <c r="AD171" s="873"/>
      <c r="AE171" s="873"/>
      <c r="AF171" s="873"/>
      <c r="AG171" s="873"/>
      <c r="AH171" s="873"/>
      <c r="AI171" s="873"/>
      <c r="AJ171" s="873"/>
      <c r="AK171" s="873"/>
      <c r="AL171" s="873"/>
      <c r="AM171" s="873"/>
      <c r="AN171" s="873"/>
      <c r="AO171" s="873"/>
      <c r="AP171" s="873"/>
      <c r="AQ171" s="873"/>
      <c r="AR171" s="873"/>
      <c r="AS171" s="873"/>
    </row>
    <row r="172" spans="1:45" ht="12.75" x14ac:dyDescent="0.2">
      <c r="A172" s="873"/>
      <c r="B172" s="873"/>
      <c r="C172" s="873"/>
      <c r="D172" s="873"/>
      <c r="E172" s="873"/>
      <c r="F172" s="873"/>
      <c r="G172" s="873"/>
      <c r="H172" s="873"/>
      <c r="I172" s="873"/>
      <c r="J172" s="873"/>
      <c r="K172" s="873"/>
      <c r="L172" s="873"/>
      <c r="M172" s="873"/>
      <c r="N172" s="873"/>
      <c r="O172" s="873"/>
      <c r="P172" s="873"/>
      <c r="Q172" s="873"/>
      <c r="R172" s="873"/>
      <c r="S172" s="873"/>
      <c r="T172" s="873"/>
      <c r="U172" s="873"/>
      <c r="V172" s="873"/>
      <c r="W172" s="873"/>
      <c r="X172" s="873"/>
      <c r="Y172" s="873"/>
      <c r="Z172" s="873"/>
      <c r="AA172" s="873"/>
      <c r="AB172" s="873"/>
      <c r="AC172" s="873"/>
      <c r="AD172" s="873"/>
      <c r="AE172" s="873"/>
      <c r="AF172" s="873"/>
      <c r="AG172" s="873"/>
      <c r="AH172" s="873"/>
      <c r="AI172" s="873"/>
      <c r="AJ172" s="873"/>
      <c r="AK172" s="873"/>
      <c r="AL172" s="873"/>
      <c r="AM172" s="873"/>
      <c r="AN172" s="873"/>
      <c r="AO172" s="873"/>
      <c r="AP172" s="873"/>
      <c r="AQ172" s="873"/>
      <c r="AR172" s="873"/>
      <c r="AS172" s="873"/>
    </row>
    <row r="173" spans="1:45" ht="12.75" x14ac:dyDescent="0.2">
      <c r="A173" s="873"/>
      <c r="B173" s="873"/>
      <c r="C173" s="873"/>
      <c r="D173" s="873"/>
      <c r="E173" s="873"/>
      <c r="F173" s="873"/>
      <c r="G173" s="873"/>
      <c r="H173" s="873"/>
      <c r="I173" s="873"/>
      <c r="J173" s="873"/>
      <c r="K173" s="873"/>
      <c r="L173" s="873"/>
      <c r="M173" s="873"/>
      <c r="N173" s="873"/>
      <c r="O173" s="873"/>
      <c r="P173" s="873"/>
      <c r="Q173" s="873"/>
      <c r="R173" s="873"/>
      <c r="S173" s="873"/>
      <c r="T173" s="873"/>
      <c r="U173" s="873"/>
      <c r="V173" s="873"/>
      <c r="W173" s="873"/>
      <c r="X173" s="873"/>
      <c r="Y173" s="873"/>
      <c r="Z173" s="873"/>
      <c r="AA173" s="873"/>
      <c r="AB173" s="873"/>
      <c r="AC173" s="873"/>
      <c r="AD173" s="873"/>
      <c r="AE173" s="873"/>
      <c r="AF173" s="873"/>
      <c r="AG173" s="873"/>
      <c r="AH173" s="873"/>
      <c r="AI173" s="873"/>
      <c r="AJ173" s="873"/>
      <c r="AK173" s="873"/>
      <c r="AL173" s="873"/>
      <c r="AM173" s="873"/>
      <c r="AN173" s="873"/>
      <c r="AO173" s="873"/>
      <c r="AP173" s="873"/>
      <c r="AQ173" s="873"/>
      <c r="AR173" s="873"/>
      <c r="AS173" s="873"/>
    </row>
    <row r="174" spans="1:45" ht="12.75" x14ac:dyDescent="0.2">
      <c r="A174" s="873"/>
      <c r="B174" s="873"/>
      <c r="C174" s="873"/>
      <c r="D174" s="873"/>
      <c r="E174" s="873"/>
      <c r="F174" s="873"/>
      <c r="G174" s="873"/>
      <c r="H174" s="873"/>
      <c r="I174" s="873"/>
      <c r="J174" s="873"/>
      <c r="K174" s="873"/>
      <c r="L174" s="873"/>
      <c r="M174" s="873"/>
      <c r="N174" s="873"/>
      <c r="O174" s="873"/>
      <c r="P174" s="873"/>
      <c r="Q174" s="873"/>
      <c r="R174" s="873"/>
      <c r="S174" s="873"/>
      <c r="T174" s="873"/>
      <c r="U174" s="873"/>
      <c r="V174" s="873"/>
      <c r="W174" s="873"/>
      <c r="X174" s="873"/>
      <c r="Y174" s="873"/>
      <c r="Z174" s="873"/>
      <c r="AA174" s="873"/>
      <c r="AB174" s="873"/>
      <c r="AC174" s="873"/>
      <c r="AD174" s="873"/>
      <c r="AE174" s="873"/>
      <c r="AF174" s="873"/>
      <c r="AG174" s="873"/>
      <c r="AH174" s="873"/>
      <c r="AI174" s="873"/>
      <c r="AJ174" s="873"/>
      <c r="AK174" s="873"/>
      <c r="AL174" s="873"/>
      <c r="AM174" s="873"/>
      <c r="AN174" s="873"/>
      <c r="AO174" s="873"/>
      <c r="AP174" s="873"/>
      <c r="AQ174" s="873"/>
      <c r="AR174" s="873"/>
      <c r="AS174" s="873"/>
    </row>
    <row r="175" spans="1:45" ht="12.75" x14ac:dyDescent="0.2">
      <c r="A175" s="873"/>
      <c r="B175" s="873"/>
      <c r="C175" s="873"/>
      <c r="D175" s="873"/>
      <c r="E175" s="873"/>
      <c r="F175" s="873"/>
      <c r="G175" s="873"/>
      <c r="H175" s="873"/>
      <c r="I175" s="873"/>
      <c r="J175" s="873"/>
      <c r="K175" s="873"/>
      <c r="L175" s="873"/>
      <c r="M175" s="873"/>
      <c r="N175" s="873"/>
      <c r="O175" s="873"/>
      <c r="P175" s="873"/>
      <c r="Q175" s="873"/>
      <c r="R175" s="873"/>
      <c r="S175" s="873"/>
      <c r="T175" s="873"/>
      <c r="U175" s="873"/>
      <c r="V175" s="873"/>
      <c r="W175" s="873"/>
      <c r="X175" s="873"/>
      <c r="Y175" s="873"/>
      <c r="Z175" s="873"/>
      <c r="AA175" s="873"/>
      <c r="AB175" s="873"/>
      <c r="AC175" s="873"/>
      <c r="AD175" s="873"/>
      <c r="AE175" s="873"/>
      <c r="AF175" s="873"/>
      <c r="AG175" s="873"/>
      <c r="AH175" s="873"/>
      <c r="AI175" s="873"/>
      <c r="AJ175" s="873"/>
      <c r="AK175" s="873"/>
      <c r="AL175" s="873"/>
      <c r="AM175" s="873"/>
      <c r="AN175" s="873"/>
      <c r="AO175" s="873"/>
      <c r="AP175" s="873"/>
      <c r="AQ175" s="873"/>
      <c r="AR175" s="873"/>
      <c r="AS175" s="873"/>
    </row>
    <row r="176" spans="1:45" ht="12.75" x14ac:dyDescent="0.2">
      <c r="A176" s="873"/>
      <c r="B176" s="873"/>
      <c r="C176" s="873"/>
      <c r="D176" s="873"/>
      <c r="E176" s="873"/>
      <c r="F176" s="873"/>
      <c r="G176" s="873"/>
      <c r="H176" s="873"/>
      <c r="I176" s="873"/>
      <c r="J176" s="873"/>
      <c r="K176" s="873"/>
      <c r="L176" s="873"/>
      <c r="M176" s="873"/>
      <c r="N176" s="873"/>
      <c r="O176" s="873"/>
      <c r="P176" s="873"/>
      <c r="Q176" s="873"/>
      <c r="R176" s="873"/>
      <c r="S176" s="873"/>
      <c r="T176" s="873"/>
      <c r="U176" s="873"/>
      <c r="V176" s="873"/>
      <c r="W176" s="873"/>
      <c r="X176" s="873"/>
      <c r="Y176" s="873"/>
      <c r="Z176" s="873"/>
      <c r="AA176" s="873"/>
      <c r="AB176" s="873"/>
      <c r="AC176" s="873"/>
      <c r="AD176" s="873"/>
      <c r="AE176" s="873"/>
      <c r="AF176" s="873"/>
      <c r="AG176" s="873"/>
      <c r="AH176" s="873"/>
      <c r="AI176" s="873"/>
      <c r="AJ176" s="873"/>
      <c r="AK176" s="873"/>
      <c r="AL176" s="873"/>
      <c r="AM176" s="873"/>
      <c r="AN176" s="873"/>
      <c r="AO176" s="873"/>
      <c r="AP176" s="873"/>
      <c r="AQ176" s="873"/>
      <c r="AR176" s="873"/>
      <c r="AS176" s="873"/>
    </row>
    <row r="177" spans="1:45" ht="12.75" x14ac:dyDescent="0.2">
      <c r="A177" s="873"/>
      <c r="B177" s="873"/>
      <c r="C177" s="873"/>
      <c r="D177" s="873"/>
      <c r="E177" s="873"/>
      <c r="F177" s="873"/>
      <c r="G177" s="873"/>
      <c r="H177" s="873"/>
      <c r="I177" s="873"/>
      <c r="J177" s="873"/>
      <c r="K177" s="873"/>
      <c r="L177" s="873"/>
      <c r="M177" s="873"/>
      <c r="N177" s="873"/>
      <c r="O177" s="873"/>
      <c r="P177" s="873"/>
      <c r="Q177" s="873"/>
      <c r="R177" s="873"/>
      <c r="S177" s="873"/>
      <c r="T177" s="873"/>
      <c r="U177" s="873"/>
      <c r="V177" s="873"/>
      <c r="W177" s="873"/>
      <c r="X177" s="873"/>
      <c r="Y177" s="873"/>
      <c r="Z177" s="873"/>
      <c r="AA177" s="873"/>
      <c r="AB177" s="873"/>
      <c r="AC177" s="873"/>
      <c r="AD177" s="873"/>
      <c r="AE177" s="873"/>
      <c r="AF177" s="873"/>
      <c r="AG177" s="873"/>
      <c r="AH177" s="873"/>
      <c r="AI177" s="873"/>
      <c r="AJ177" s="873"/>
      <c r="AK177" s="873"/>
      <c r="AL177" s="873"/>
      <c r="AM177" s="873"/>
      <c r="AN177" s="873"/>
      <c r="AO177" s="873"/>
      <c r="AP177" s="873"/>
      <c r="AQ177" s="873"/>
      <c r="AR177" s="873"/>
      <c r="AS177" s="873"/>
    </row>
    <row r="178" spans="1:45" ht="12.75" x14ac:dyDescent="0.2">
      <c r="A178" s="873"/>
      <c r="B178" s="873"/>
      <c r="C178" s="873"/>
      <c r="D178" s="873"/>
      <c r="E178" s="873"/>
      <c r="F178" s="873"/>
      <c r="G178" s="873"/>
      <c r="H178" s="873"/>
      <c r="I178" s="873"/>
      <c r="J178" s="873"/>
      <c r="K178" s="873"/>
      <c r="L178" s="873"/>
      <c r="M178" s="873"/>
      <c r="N178" s="873"/>
      <c r="O178" s="873"/>
      <c r="P178" s="873"/>
      <c r="Q178" s="873"/>
      <c r="R178" s="873"/>
      <c r="S178" s="873"/>
      <c r="T178" s="873"/>
      <c r="U178" s="873"/>
      <c r="V178" s="873"/>
      <c r="W178" s="873"/>
      <c r="X178" s="873"/>
      <c r="Y178" s="873"/>
      <c r="Z178" s="873"/>
      <c r="AA178" s="873"/>
      <c r="AB178" s="873"/>
      <c r="AC178" s="873"/>
      <c r="AD178" s="873"/>
      <c r="AE178" s="873"/>
      <c r="AF178" s="873"/>
      <c r="AG178" s="873"/>
      <c r="AH178" s="873"/>
      <c r="AI178" s="873"/>
      <c r="AJ178" s="873"/>
      <c r="AK178" s="873"/>
      <c r="AL178" s="873"/>
      <c r="AM178" s="873"/>
      <c r="AN178" s="873"/>
      <c r="AO178" s="873"/>
      <c r="AP178" s="873"/>
      <c r="AQ178" s="873"/>
      <c r="AR178" s="873"/>
      <c r="AS178" s="873"/>
    </row>
    <row r="179" spans="1:45" ht="12.75" x14ac:dyDescent="0.2">
      <c r="A179" s="873"/>
      <c r="B179" s="873"/>
      <c r="C179" s="873"/>
      <c r="D179" s="873"/>
      <c r="E179" s="873"/>
      <c r="F179" s="873"/>
      <c r="G179" s="873"/>
      <c r="H179" s="873"/>
      <c r="I179" s="873"/>
      <c r="J179" s="873"/>
      <c r="K179" s="873"/>
      <c r="L179" s="873"/>
      <c r="M179" s="873"/>
      <c r="N179" s="873"/>
      <c r="O179" s="873"/>
      <c r="P179" s="873"/>
      <c r="Q179" s="873"/>
      <c r="R179" s="873"/>
      <c r="S179" s="873"/>
      <c r="T179" s="873"/>
      <c r="U179" s="873"/>
      <c r="V179" s="873"/>
      <c r="W179" s="873"/>
      <c r="X179" s="873"/>
      <c r="Y179" s="873"/>
      <c r="Z179" s="873"/>
      <c r="AA179" s="873"/>
      <c r="AB179" s="873"/>
      <c r="AC179" s="873"/>
      <c r="AD179" s="873"/>
      <c r="AE179" s="873"/>
      <c r="AF179" s="873"/>
      <c r="AG179" s="873"/>
      <c r="AH179" s="873"/>
      <c r="AI179" s="873"/>
      <c r="AJ179" s="873"/>
      <c r="AK179" s="873"/>
      <c r="AL179" s="873"/>
      <c r="AM179" s="873"/>
      <c r="AN179" s="873"/>
      <c r="AO179" s="873"/>
      <c r="AP179" s="873"/>
      <c r="AQ179" s="873"/>
      <c r="AR179" s="873"/>
      <c r="AS179" s="873"/>
    </row>
    <row r="180" spans="1:45" ht="12.75" x14ac:dyDescent="0.2">
      <c r="A180" s="873"/>
      <c r="B180" s="873"/>
      <c r="C180" s="873"/>
      <c r="D180" s="873"/>
      <c r="E180" s="873"/>
      <c r="F180" s="873"/>
      <c r="G180" s="873"/>
      <c r="H180" s="873"/>
      <c r="I180" s="873"/>
      <c r="J180" s="873"/>
      <c r="K180" s="873"/>
      <c r="L180" s="873"/>
      <c r="M180" s="873"/>
      <c r="N180" s="873"/>
      <c r="O180" s="873"/>
      <c r="P180" s="873"/>
      <c r="Q180" s="873"/>
      <c r="R180" s="873"/>
      <c r="S180" s="873"/>
      <c r="T180" s="873"/>
      <c r="U180" s="873"/>
      <c r="V180" s="873"/>
      <c r="W180" s="873"/>
      <c r="X180" s="873"/>
      <c r="Y180" s="873"/>
      <c r="Z180" s="873"/>
      <c r="AA180" s="873"/>
      <c r="AB180" s="873"/>
      <c r="AC180" s="873"/>
      <c r="AD180" s="873"/>
      <c r="AE180" s="873"/>
      <c r="AF180" s="873"/>
      <c r="AG180" s="873"/>
      <c r="AH180" s="873"/>
      <c r="AI180" s="873"/>
      <c r="AJ180" s="873"/>
      <c r="AK180" s="873"/>
      <c r="AL180" s="873"/>
      <c r="AM180" s="873"/>
      <c r="AN180" s="873"/>
      <c r="AO180" s="873"/>
      <c r="AP180" s="873"/>
      <c r="AQ180" s="873"/>
      <c r="AR180" s="873"/>
      <c r="AS180" s="873"/>
    </row>
    <row r="181" spans="1:45" ht="12.75" x14ac:dyDescent="0.2">
      <c r="A181" s="873"/>
      <c r="B181" s="873"/>
      <c r="C181" s="873"/>
      <c r="D181" s="873"/>
      <c r="E181" s="873"/>
      <c r="F181" s="873"/>
      <c r="G181" s="873"/>
      <c r="H181" s="873"/>
      <c r="I181" s="873"/>
      <c r="J181" s="873"/>
      <c r="K181" s="873"/>
      <c r="L181" s="873"/>
      <c r="M181" s="873"/>
      <c r="N181" s="873"/>
      <c r="O181" s="873"/>
      <c r="P181" s="873"/>
      <c r="Q181" s="873"/>
      <c r="R181" s="873"/>
      <c r="S181" s="873"/>
      <c r="T181" s="873"/>
      <c r="U181" s="873"/>
      <c r="V181" s="873"/>
      <c r="W181" s="873"/>
      <c r="X181" s="873"/>
      <c r="Y181" s="873"/>
      <c r="Z181" s="873"/>
      <c r="AA181" s="873"/>
      <c r="AB181" s="873"/>
      <c r="AC181" s="873"/>
      <c r="AD181" s="873"/>
      <c r="AE181" s="873"/>
      <c r="AF181" s="873"/>
      <c r="AG181" s="873"/>
      <c r="AH181" s="873"/>
      <c r="AI181" s="873"/>
      <c r="AJ181" s="873"/>
      <c r="AK181" s="873"/>
      <c r="AL181" s="873"/>
      <c r="AM181" s="873"/>
      <c r="AN181" s="873"/>
      <c r="AO181" s="873"/>
      <c r="AP181" s="873"/>
      <c r="AQ181" s="873"/>
      <c r="AR181" s="873"/>
      <c r="AS181" s="873"/>
    </row>
    <row r="182" spans="1:45" ht="12.75" x14ac:dyDescent="0.2">
      <c r="A182" s="873"/>
      <c r="B182" s="873"/>
      <c r="C182" s="873"/>
      <c r="D182" s="873"/>
      <c r="E182" s="873"/>
      <c r="F182" s="873"/>
      <c r="G182" s="873"/>
      <c r="H182" s="873"/>
      <c r="I182" s="873"/>
      <c r="J182" s="873"/>
      <c r="K182" s="873"/>
      <c r="L182" s="873"/>
      <c r="M182" s="873"/>
      <c r="N182" s="873"/>
      <c r="O182" s="873"/>
      <c r="P182" s="873"/>
      <c r="Q182" s="873"/>
      <c r="R182" s="873"/>
      <c r="S182" s="873"/>
      <c r="T182" s="873"/>
      <c r="U182" s="873"/>
      <c r="V182" s="873"/>
      <c r="W182" s="873"/>
      <c r="X182" s="873"/>
      <c r="Y182" s="873"/>
      <c r="Z182" s="873"/>
      <c r="AA182" s="873"/>
      <c r="AB182" s="873"/>
      <c r="AC182" s="873"/>
      <c r="AD182" s="873"/>
      <c r="AE182" s="873"/>
      <c r="AF182" s="873"/>
      <c r="AG182" s="873"/>
      <c r="AH182" s="873"/>
      <c r="AI182" s="873"/>
      <c r="AJ182" s="873"/>
      <c r="AK182" s="873"/>
      <c r="AL182" s="873"/>
      <c r="AM182" s="873"/>
      <c r="AN182" s="873"/>
      <c r="AO182" s="873"/>
      <c r="AP182" s="873"/>
      <c r="AQ182" s="873"/>
      <c r="AR182" s="873"/>
      <c r="AS182" s="873"/>
    </row>
    <row r="183" spans="1:45" ht="12.75" x14ac:dyDescent="0.2">
      <c r="A183" s="873"/>
      <c r="B183" s="873"/>
      <c r="C183" s="873"/>
      <c r="D183" s="873"/>
      <c r="E183" s="873"/>
      <c r="F183" s="873"/>
      <c r="G183" s="873"/>
      <c r="H183" s="873"/>
      <c r="I183" s="873"/>
      <c r="J183" s="873"/>
      <c r="K183" s="873"/>
      <c r="L183" s="873"/>
      <c r="M183" s="873"/>
      <c r="N183" s="873"/>
      <c r="O183" s="873"/>
      <c r="P183" s="873"/>
      <c r="Q183" s="873"/>
      <c r="R183" s="873"/>
      <c r="S183" s="873"/>
      <c r="T183" s="873"/>
      <c r="U183" s="873"/>
      <c r="V183" s="873"/>
      <c r="W183" s="873"/>
      <c r="X183" s="873"/>
      <c r="Y183" s="873"/>
      <c r="Z183" s="873"/>
      <c r="AA183" s="873"/>
      <c r="AB183" s="873"/>
      <c r="AC183" s="873"/>
      <c r="AD183" s="873"/>
      <c r="AE183" s="873"/>
      <c r="AF183" s="873"/>
      <c r="AG183" s="873"/>
      <c r="AH183" s="873"/>
      <c r="AI183" s="873"/>
      <c r="AJ183" s="873"/>
      <c r="AK183" s="873"/>
      <c r="AL183" s="873"/>
      <c r="AM183" s="873"/>
      <c r="AN183" s="873"/>
      <c r="AO183" s="873"/>
      <c r="AP183" s="873"/>
      <c r="AQ183" s="873"/>
      <c r="AR183" s="873"/>
      <c r="AS183" s="873"/>
    </row>
    <row r="184" spans="1:45" ht="12.75" x14ac:dyDescent="0.2">
      <c r="A184" s="873"/>
      <c r="B184" s="873"/>
      <c r="C184" s="873"/>
      <c r="D184" s="873"/>
      <c r="E184" s="873"/>
      <c r="F184" s="873"/>
      <c r="G184" s="873"/>
      <c r="H184" s="873"/>
      <c r="I184" s="873"/>
      <c r="J184" s="873"/>
      <c r="K184" s="873"/>
      <c r="L184" s="873"/>
      <c r="M184" s="873"/>
      <c r="N184" s="873"/>
      <c r="O184" s="873"/>
      <c r="P184" s="873"/>
      <c r="Q184" s="873"/>
      <c r="R184" s="873"/>
      <c r="S184" s="873"/>
      <c r="T184" s="873"/>
      <c r="U184" s="873"/>
      <c r="V184" s="873"/>
      <c r="W184" s="873"/>
      <c r="X184" s="873"/>
      <c r="Y184" s="873"/>
      <c r="Z184" s="873"/>
      <c r="AA184" s="873"/>
      <c r="AB184" s="873"/>
      <c r="AC184" s="873"/>
      <c r="AD184" s="873"/>
      <c r="AE184" s="873"/>
      <c r="AF184" s="873"/>
      <c r="AG184" s="873"/>
      <c r="AH184" s="873"/>
      <c r="AI184" s="873"/>
      <c r="AJ184" s="873"/>
      <c r="AK184" s="873"/>
      <c r="AL184" s="873"/>
      <c r="AM184" s="873"/>
      <c r="AN184" s="873"/>
      <c r="AO184" s="873"/>
      <c r="AP184" s="873"/>
      <c r="AQ184" s="873"/>
      <c r="AR184" s="873"/>
      <c r="AS184" s="873"/>
    </row>
    <row r="185" spans="1:45" ht="12.75" x14ac:dyDescent="0.2">
      <c r="A185" s="873"/>
      <c r="B185" s="873"/>
      <c r="C185" s="873"/>
      <c r="D185" s="873"/>
      <c r="E185" s="873"/>
      <c r="F185" s="873"/>
      <c r="G185" s="873"/>
      <c r="H185" s="873"/>
      <c r="I185" s="873"/>
      <c r="J185" s="873"/>
      <c r="K185" s="873"/>
      <c r="L185" s="873"/>
      <c r="M185" s="873"/>
      <c r="N185" s="873"/>
      <c r="O185" s="873"/>
      <c r="P185" s="873"/>
      <c r="Q185" s="873"/>
      <c r="R185" s="873"/>
      <c r="S185" s="873"/>
      <c r="T185" s="873"/>
      <c r="U185" s="873"/>
      <c r="V185" s="873"/>
      <c r="W185" s="873"/>
      <c r="X185" s="873"/>
      <c r="Y185" s="873"/>
      <c r="Z185" s="873"/>
      <c r="AA185" s="873"/>
      <c r="AB185" s="873"/>
      <c r="AC185" s="873"/>
      <c r="AD185" s="873"/>
      <c r="AE185" s="873"/>
      <c r="AF185" s="873"/>
      <c r="AG185" s="873"/>
      <c r="AH185" s="873"/>
      <c r="AI185" s="873"/>
      <c r="AJ185" s="873"/>
      <c r="AK185" s="873"/>
      <c r="AL185" s="873"/>
      <c r="AM185" s="873"/>
      <c r="AN185" s="873"/>
      <c r="AO185" s="873"/>
      <c r="AP185" s="873"/>
      <c r="AQ185" s="873"/>
      <c r="AR185" s="873"/>
      <c r="AS185" s="873"/>
    </row>
    <row r="186" spans="1:45" ht="12.75" x14ac:dyDescent="0.2">
      <c r="A186" s="873"/>
      <c r="B186" s="873"/>
      <c r="C186" s="873"/>
      <c r="D186" s="873"/>
      <c r="E186" s="873"/>
      <c r="F186" s="873"/>
      <c r="G186" s="873"/>
      <c r="H186" s="873"/>
      <c r="I186" s="873"/>
      <c r="J186" s="873"/>
      <c r="K186" s="873"/>
      <c r="L186" s="873"/>
      <c r="M186" s="873"/>
      <c r="N186" s="873"/>
      <c r="O186" s="873"/>
      <c r="P186" s="873"/>
      <c r="Q186" s="873"/>
      <c r="R186" s="873"/>
      <c r="S186" s="873"/>
      <c r="T186" s="873"/>
      <c r="U186" s="873"/>
      <c r="V186" s="873"/>
      <c r="W186" s="873"/>
      <c r="X186" s="873"/>
      <c r="Y186" s="873"/>
      <c r="Z186" s="873"/>
      <c r="AA186" s="873"/>
      <c r="AB186" s="873"/>
      <c r="AC186" s="873"/>
      <c r="AD186" s="873"/>
      <c r="AE186" s="873"/>
      <c r="AF186" s="873"/>
      <c r="AG186" s="873"/>
      <c r="AH186" s="873"/>
      <c r="AI186" s="873"/>
      <c r="AJ186" s="873"/>
      <c r="AK186" s="873"/>
      <c r="AL186" s="873"/>
      <c r="AM186" s="873"/>
      <c r="AN186" s="873"/>
      <c r="AO186" s="873"/>
      <c r="AP186" s="873"/>
      <c r="AQ186" s="873"/>
      <c r="AR186" s="873"/>
      <c r="AS186" s="873"/>
    </row>
    <row r="187" spans="1:45" ht="12.75" x14ac:dyDescent="0.2">
      <c r="A187" s="873"/>
      <c r="B187" s="873"/>
      <c r="C187" s="873"/>
      <c r="D187" s="873"/>
      <c r="E187" s="873"/>
      <c r="F187" s="873"/>
      <c r="G187" s="873"/>
      <c r="H187" s="873"/>
      <c r="I187" s="873"/>
      <c r="J187" s="873"/>
      <c r="K187" s="873"/>
      <c r="L187" s="873"/>
      <c r="M187" s="873"/>
      <c r="N187" s="873"/>
      <c r="O187" s="873"/>
      <c r="P187" s="873"/>
      <c r="Q187" s="873"/>
      <c r="R187" s="873"/>
      <c r="S187" s="873"/>
      <c r="T187" s="873"/>
      <c r="U187" s="873"/>
      <c r="V187" s="873"/>
      <c r="W187" s="873"/>
      <c r="X187" s="873"/>
      <c r="Y187" s="873"/>
      <c r="Z187" s="873"/>
      <c r="AA187" s="873"/>
      <c r="AB187" s="873"/>
      <c r="AC187" s="873"/>
      <c r="AD187" s="873"/>
      <c r="AE187" s="873"/>
      <c r="AF187" s="873"/>
      <c r="AG187" s="873"/>
      <c r="AH187" s="873"/>
      <c r="AI187" s="873"/>
      <c r="AJ187" s="873"/>
      <c r="AK187" s="873"/>
      <c r="AL187" s="873"/>
      <c r="AM187" s="873"/>
      <c r="AN187" s="873"/>
      <c r="AO187" s="873"/>
      <c r="AP187" s="873"/>
      <c r="AQ187" s="873"/>
      <c r="AR187" s="873"/>
      <c r="AS187" s="873"/>
    </row>
    <row r="188" spans="1:45" ht="12.75" x14ac:dyDescent="0.2">
      <c r="A188" s="873"/>
      <c r="B188" s="873"/>
      <c r="C188" s="873"/>
      <c r="D188" s="873"/>
      <c r="E188" s="873"/>
      <c r="F188" s="873"/>
      <c r="G188" s="873"/>
      <c r="H188" s="873"/>
      <c r="I188" s="873"/>
      <c r="J188" s="873"/>
      <c r="K188" s="873"/>
      <c r="L188" s="873"/>
      <c r="M188" s="873"/>
      <c r="N188" s="873"/>
      <c r="O188" s="873"/>
      <c r="P188" s="873"/>
      <c r="Q188" s="873"/>
      <c r="R188" s="873"/>
      <c r="S188" s="873"/>
      <c r="T188" s="873"/>
      <c r="U188" s="873"/>
      <c r="V188" s="873"/>
      <c r="W188" s="873"/>
      <c r="X188" s="873"/>
      <c r="Y188" s="873"/>
      <c r="Z188" s="873"/>
      <c r="AA188" s="873"/>
      <c r="AB188" s="873"/>
      <c r="AC188" s="873"/>
      <c r="AD188" s="873"/>
      <c r="AE188" s="873"/>
      <c r="AF188" s="873"/>
      <c r="AG188" s="873"/>
      <c r="AH188" s="873"/>
      <c r="AI188" s="873"/>
      <c r="AJ188" s="873"/>
      <c r="AK188" s="873"/>
      <c r="AL188" s="873"/>
      <c r="AM188" s="873"/>
      <c r="AN188" s="873"/>
      <c r="AO188" s="873"/>
      <c r="AP188" s="873"/>
      <c r="AQ188" s="873"/>
      <c r="AR188" s="873"/>
      <c r="AS188" s="873"/>
    </row>
    <row r="189" spans="1:45" ht="12.75" x14ac:dyDescent="0.2">
      <c r="A189" s="873"/>
      <c r="B189" s="873"/>
      <c r="C189" s="873"/>
      <c r="D189" s="873"/>
      <c r="E189" s="873"/>
      <c r="F189" s="873"/>
      <c r="G189" s="873"/>
      <c r="H189" s="873"/>
      <c r="I189" s="873"/>
      <c r="J189" s="873"/>
      <c r="K189" s="873"/>
      <c r="L189" s="873"/>
      <c r="M189" s="873"/>
      <c r="N189" s="873"/>
      <c r="O189" s="873"/>
      <c r="P189" s="873"/>
      <c r="Q189" s="873"/>
      <c r="R189" s="873"/>
      <c r="S189" s="873"/>
      <c r="T189" s="873"/>
      <c r="U189" s="873"/>
      <c r="V189" s="873"/>
      <c r="W189" s="873"/>
      <c r="X189" s="873"/>
      <c r="Y189" s="873"/>
      <c r="Z189" s="873"/>
      <c r="AA189" s="873"/>
      <c r="AB189" s="873"/>
      <c r="AC189" s="873"/>
      <c r="AD189" s="873"/>
      <c r="AE189" s="873"/>
      <c r="AF189" s="873"/>
      <c r="AG189" s="873"/>
      <c r="AH189" s="873"/>
      <c r="AI189" s="873"/>
      <c r="AJ189" s="873"/>
      <c r="AK189" s="873"/>
      <c r="AL189" s="873"/>
      <c r="AM189" s="873"/>
      <c r="AN189" s="873"/>
      <c r="AO189" s="873"/>
      <c r="AP189" s="873"/>
      <c r="AQ189" s="873"/>
      <c r="AR189" s="873"/>
      <c r="AS189" s="873"/>
    </row>
    <row r="190" spans="1:45" ht="12.75" x14ac:dyDescent="0.2">
      <c r="A190" s="873"/>
      <c r="B190" s="873"/>
      <c r="C190" s="873"/>
      <c r="D190" s="873"/>
      <c r="E190" s="873"/>
      <c r="F190" s="873"/>
      <c r="G190" s="873"/>
      <c r="H190" s="873"/>
      <c r="I190" s="873"/>
      <c r="J190" s="873"/>
      <c r="K190" s="873"/>
      <c r="L190" s="873"/>
      <c r="M190" s="873"/>
      <c r="N190" s="873"/>
      <c r="O190" s="873"/>
      <c r="P190" s="873"/>
      <c r="Q190" s="873"/>
      <c r="R190" s="873"/>
      <c r="S190" s="873"/>
      <c r="T190" s="873"/>
      <c r="U190" s="873"/>
      <c r="V190" s="873"/>
      <c r="W190" s="873"/>
      <c r="X190" s="873"/>
      <c r="Y190" s="873"/>
      <c r="Z190" s="873"/>
      <c r="AA190" s="873"/>
      <c r="AB190" s="873"/>
      <c r="AC190" s="873"/>
      <c r="AD190" s="873"/>
      <c r="AE190" s="873"/>
      <c r="AF190" s="873"/>
      <c r="AG190" s="873"/>
      <c r="AH190" s="873"/>
      <c r="AI190" s="873"/>
      <c r="AJ190" s="873"/>
      <c r="AK190" s="873"/>
      <c r="AL190" s="873"/>
      <c r="AM190" s="873"/>
      <c r="AN190" s="873"/>
      <c r="AO190" s="873"/>
      <c r="AP190" s="873"/>
      <c r="AQ190" s="873"/>
      <c r="AR190" s="873"/>
      <c r="AS190" s="873"/>
    </row>
    <row r="191" spans="1:45" ht="12.75" x14ac:dyDescent="0.2">
      <c r="A191" s="873"/>
      <c r="B191" s="873"/>
      <c r="C191" s="873"/>
      <c r="D191" s="873"/>
      <c r="E191" s="873"/>
      <c r="F191" s="873"/>
      <c r="G191" s="873"/>
      <c r="H191" s="873"/>
      <c r="I191" s="873"/>
      <c r="J191" s="873"/>
      <c r="K191" s="873"/>
      <c r="L191" s="873"/>
      <c r="M191" s="873"/>
      <c r="N191" s="873"/>
      <c r="O191" s="873"/>
      <c r="P191" s="873"/>
      <c r="Q191" s="873"/>
      <c r="R191" s="873"/>
      <c r="S191" s="873"/>
      <c r="T191" s="873"/>
      <c r="U191" s="873"/>
      <c r="V191" s="873"/>
      <c r="W191" s="873"/>
      <c r="X191" s="873"/>
      <c r="Y191" s="873"/>
      <c r="Z191" s="873"/>
      <c r="AA191" s="873"/>
      <c r="AB191" s="873"/>
      <c r="AC191" s="873"/>
      <c r="AD191" s="873"/>
      <c r="AE191" s="873"/>
      <c r="AF191" s="873"/>
      <c r="AG191" s="873"/>
      <c r="AH191" s="873"/>
      <c r="AI191" s="873"/>
      <c r="AJ191" s="873"/>
      <c r="AK191" s="873"/>
      <c r="AL191" s="873"/>
      <c r="AM191" s="873"/>
      <c r="AN191" s="873"/>
      <c r="AO191" s="873"/>
      <c r="AP191" s="873"/>
      <c r="AQ191" s="873"/>
      <c r="AR191" s="873"/>
      <c r="AS191" s="873"/>
    </row>
    <row r="192" spans="1:45" ht="12.75" x14ac:dyDescent="0.2">
      <c r="A192" s="873"/>
      <c r="B192" s="873"/>
      <c r="C192" s="873"/>
      <c r="D192" s="873"/>
      <c r="E192" s="873"/>
      <c r="F192" s="873"/>
      <c r="G192" s="873"/>
      <c r="H192" s="873"/>
      <c r="I192" s="873"/>
      <c r="J192" s="873"/>
      <c r="K192" s="873"/>
      <c r="L192" s="873"/>
      <c r="M192" s="873"/>
      <c r="N192" s="873"/>
      <c r="O192" s="873"/>
      <c r="P192" s="873"/>
      <c r="Q192" s="873"/>
      <c r="R192" s="873"/>
      <c r="S192" s="873"/>
      <c r="T192" s="873"/>
      <c r="U192" s="873"/>
      <c r="V192" s="873"/>
      <c r="W192" s="873"/>
      <c r="X192" s="873"/>
      <c r="Y192" s="873"/>
      <c r="Z192" s="873"/>
      <c r="AA192" s="873"/>
      <c r="AB192" s="873"/>
      <c r="AC192" s="873"/>
      <c r="AD192" s="873"/>
      <c r="AE192" s="873"/>
      <c r="AF192" s="873"/>
      <c r="AG192" s="873"/>
      <c r="AH192" s="873"/>
      <c r="AI192" s="873"/>
      <c r="AJ192" s="873"/>
      <c r="AK192" s="873"/>
      <c r="AL192" s="873"/>
      <c r="AM192" s="873"/>
      <c r="AN192" s="873"/>
      <c r="AO192" s="873"/>
      <c r="AP192" s="873"/>
      <c r="AQ192" s="873"/>
      <c r="AR192" s="873"/>
      <c r="AS192" s="873"/>
    </row>
    <row r="193" spans="1:45" ht="12.75" x14ac:dyDescent="0.2">
      <c r="A193" s="873"/>
      <c r="B193" s="873"/>
      <c r="C193" s="873"/>
      <c r="D193" s="873"/>
      <c r="E193" s="873"/>
      <c r="F193" s="873"/>
      <c r="G193" s="873"/>
      <c r="H193" s="873"/>
      <c r="I193" s="873"/>
      <c r="J193" s="873"/>
      <c r="K193" s="873"/>
      <c r="L193" s="873"/>
      <c r="M193" s="873"/>
      <c r="N193" s="873"/>
      <c r="O193" s="873"/>
      <c r="P193" s="873"/>
      <c r="Q193" s="873"/>
      <c r="R193" s="873"/>
      <c r="S193" s="873"/>
      <c r="T193" s="873"/>
      <c r="U193" s="873"/>
      <c r="V193" s="873"/>
      <c r="W193" s="873"/>
      <c r="X193" s="873"/>
      <c r="Y193" s="873"/>
      <c r="Z193" s="873"/>
      <c r="AA193" s="873"/>
      <c r="AB193" s="873"/>
      <c r="AC193" s="873"/>
      <c r="AD193" s="873"/>
      <c r="AE193" s="873"/>
      <c r="AF193" s="873"/>
      <c r="AG193" s="873"/>
      <c r="AH193" s="873"/>
      <c r="AI193" s="873"/>
      <c r="AJ193" s="873"/>
      <c r="AK193" s="873"/>
      <c r="AL193" s="873"/>
      <c r="AM193" s="873"/>
      <c r="AN193" s="873"/>
      <c r="AO193" s="873"/>
      <c r="AP193" s="873"/>
      <c r="AQ193" s="873"/>
      <c r="AR193" s="873"/>
      <c r="AS193" s="873"/>
    </row>
    <row r="194" spans="1:45" ht="12.75" x14ac:dyDescent="0.2">
      <c r="A194" s="873"/>
      <c r="B194" s="873"/>
      <c r="C194" s="873"/>
      <c r="D194" s="873"/>
      <c r="E194" s="873"/>
      <c r="F194" s="873"/>
      <c r="G194" s="873"/>
      <c r="H194" s="873"/>
      <c r="I194" s="873"/>
      <c r="J194" s="873"/>
      <c r="K194" s="873"/>
      <c r="L194" s="873"/>
      <c r="M194" s="873"/>
      <c r="N194" s="873"/>
      <c r="O194" s="873"/>
      <c r="P194" s="873"/>
      <c r="Q194" s="873"/>
      <c r="R194" s="873"/>
      <c r="S194" s="873"/>
      <c r="T194" s="873"/>
      <c r="U194" s="873"/>
      <c r="V194" s="873"/>
      <c r="W194" s="873"/>
      <c r="X194" s="873"/>
      <c r="Y194" s="873"/>
      <c r="Z194" s="873"/>
      <c r="AA194" s="873"/>
      <c r="AB194" s="873"/>
      <c r="AC194" s="873"/>
      <c r="AD194" s="873"/>
      <c r="AE194" s="873"/>
      <c r="AF194" s="873"/>
      <c r="AG194" s="873"/>
      <c r="AH194" s="873"/>
      <c r="AI194" s="873"/>
      <c r="AJ194" s="873"/>
      <c r="AK194" s="873"/>
      <c r="AL194" s="873"/>
      <c r="AM194" s="873"/>
      <c r="AN194" s="873"/>
      <c r="AO194" s="873"/>
      <c r="AP194" s="873"/>
      <c r="AQ194" s="873"/>
      <c r="AR194" s="873"/>
      <c r="AS194" s="873"/>
    </row>
    <row r="195" spans="1:45" ht="12.75" x14ac:dyDescent="0.2">
      <c r="A195" s="873"/>
      <c r="B195" s="873"/>
      <c r="C195" s="873"/>
      <c r="D195" s="873"/>
      <c r="E195" s="873"/>
      <c r="F195" s="873"/>
      <c r="G195" s="873"/>
      <c r="H195" s="873"/>
      <c r="I195" s="873"/>
      <c r="J195" s="873"/>
      <c r="K195" s="873"/>
      <c r="L195" s="873"/>
      <c r="M195" s="873"/>
      <c r="N195" s="873"/>
      <c r="O195" s="873"/>
      <c r="P195" s="873"/>
      <c r="Q195" s="873"/>
      <c r="R195" s="873"/>
      <c r="S195" s="873"/>
      <c r="T195" s="873"/>
      <c r="U195" s="873"/>
      <c r="V195" s="873"/>
      <c r="W195" s="873"/>
      <c r="X195" s="873"/>
      <c r="Y195" s="873"/>
      <c r="Z195" s="873"/>
      <c r="AA195" s="873"/>
      <c r="AB195" s="873"/>
      <c r="AC195" s="873"/>
      <c r="AD195" s="873"/>
      <c r="AE195" s="873"/>
      <c r="AF195" s="873"/>
      <c r="AG195" s="873"/>
      <c r="AH195" s="873"/>
      <c r="AI195" s="873"/>
      <c r="AJ195" s="873"/>
      <c r="AK195" s="873"/>
      <c r="AL195" s="873"/>
      <c r="AM195" s="873"/>
      <c r="AN195" s="873"/>
      <c r="AO195" s="873"/>
      <c r="AP195" s="873"/>
      <c r="AQ195" s="873"/>
      <c r="AR195" s="873"/>
      <c r="AS195" s="873"/>
    </row>
    <row r="196" spans="1:45" ht="12.75" x14ac:dyDescent="0.2">
      <c r="A196" s="873"/>
      <c r="B196" s="873"/>
      <c r="C196" s="873"/>
      <c r="D196" s="873"/>
      <c r="E196" s="873"/>
      <c r="F196" s="873"/>
      <c r="G196" s="873"/>
      <c r="H196" s="873"/>
      <c r="I196" s="873"/>
      <c r="J196" s="873"/>
      <c r="K196" s="873"/>
      <c r="L196" s="873"/>
      <c r="M196" s="873"/>
      <c r="N196" s="873"/>
      <c r="O196" s="873"/>
      <c r="P196" s="873"/>
      <c r="Q196" s="873"/>
      <c r="R196" s="873"/>
      <c r="S196" s="873"/>
      <c r="T196" s="873"/>
      <c r="U196" s="873"/>
      <c r="V196" s="873"/>
      <c r="W196" s="873"/>
      <c r="X196" s="873"/>
      <c r="Y196" s="873"/>
      <c r="Z196" s="873"/>
      <c r="AA196" s="873"/>
      <c r="AB196" s="873"/>
      <c r="AC196" s="873"/>
      <c r="AD196" s="873"/>
      <c r="AE196" s="873"/>
      <c r="AF196" s="873"/>
      <c r="AG196" s="873"/>
      <c r="AH196" s="873"/>
      <c r="AI196" s="873"/>
      <c r="AJ196" s="873"/>
      <c r="AK196" s="873"/>
      <c r="AL196" s="873"/>
      <c r="AM196" s="873"/>
      <c r="AN196" s="873"/>
      <c r="AO196" s="873"/>
      <c r="AP196" s="873"/>
      <c r="AQ196" s="873"/>
      <c r="AR196" s="873"/>
      <c r="AS196" s="873"/>
    </row>
    <row r="197" spans="1:45" ht="12.75" x14ac:dyDescent="0.2">
      <c r="A197" s="873"/>
      <c r="B197" s="873"/>
      <c r="C197" s="873"/>
      <c r="D197" s="873"/>
      <c r="E197" s="873"/>
      <c r="F197" s="873"/>
      <c r="G197" s="873"/>
      <c r="H197" s="873"/>
      <c r="I197" s="873"/>
      <c r="J197" s="873"/>
      <c r="K197" s="873"/>
      <c r="L197" s="873"/>
      <c r="M197" s="873"/>
      <c r="N197" s="873"/>
      <c r="O197" s="873"/>
      <c r="P197" s="873"/>
      <c r="Q197" s="873"/>
      <c r="R197" s="873"/>
      <c r="S197" s="873"/>
      <c r="T197" s="873"/>
      <c r="U197" s="873"/>
      <c r="V197" s="873"/>
      <c r="W197" s="873"/>
      <c r="X197" s="873"/>
      <c r="Y197" s="873"/>
      <c r="Z197" s="873"/>
      <c r="AA197" s="873"/>
      <c r="AB197" s="873"/>
      <c r="AC197" s="873"/>
      <c r="AD197" s="873"/>
      <c r="AE197" s="873"/>
      <c r="AF197" s="873"/>
      <c r="AG197" s="873"/>
      <c r="AH197" s="873"/>
      <c r="AI197" s="873"/>
      <c r="AJ197" s="873"/>
      <c r="AK197" s="873"/>
      <c r="AL197" s="873"/>
      <c r="AM197" s="873"/>
      <c r="AN197" s="873"/>
      <c r="AO197" s="873"/>
      <c r="AP197" s="873"/>
      <c r="AQ197" s="873"/>
      <c r="AR197" s="873"/>
      <c r="AS197" s="873"/>
    </row>
    <row r="198" spans="1:45" ht="12.75" x14ac:dyDescent="0.2">
      <c r="A198" s="873"/>
      <c r="B198" s="873"/>
      <c r="C198" s="873"/>
      <c r="D198" s="873"/>
      <c r="E198" s="873"/>
      <c r="F198" s="873"/>
      <c r="G198" s="873"/>
      <c r="H198" s="873"/>
      <c r="I198" s="873"/>
      <c r="J198" s="873"/>
      <c r="K198" s="873"/>
      <c r="L198" s="873"/>
      <c r="M198" s="873"/>
      <c r="N198" s="873"/>
      <c r="O198" s="873"/>
      <c r="P198" s="873"/>
      <c r="Q198" s="873"/>
      <c r="R198" s="873"/>
      <c r="S198" s="873"/>
      <c r="T198" s="873"/>
      <c r="U198" s="873"/>
      <c r="V198" s="873"/>
      <c r="W198" s="873"/>
      <c r="X198" s="873"/>
      <c r="Y198" s="873"/>
      <c r="Z198" s="873"/>
      <c r="AA198" s="873"/>
      <c r="AB198" s="873"/>
      <c r="AC198" s="873"/>
      <c r="AD198" s="873"/>
      <c r="AE198" s="873"/>
      <c r="AF198" s="873"/>
      <c r="AG198" s="873"/>
      <c r="AH198" s="873"/>
      <c r="AI198" s="873"/>
      <c r="AJ198" s="873"/>
      <c r="AK198" s="873"/>
      <c r="AL198" s="873"/>
      <c r="AM198" s="873"/>
      <c r="AN198" s="873"/>
      <c r="AO198" s="873"/>
      <c r="AP198" s="873"/>
      <c r="AQ198" s="873"/>
      <c r="AR198" s="873"/>
      <c r="AS198" s="873"/>
    </row>
    <row r="199" spans="1:45" ht="12.75" x14ac:dyDescent="0.2">
      <c r="A199" s="873"/>
      <c r="B199" s="873"/>
      <c r="C199" s="873"/>
      <c r="D199" s="873"/>
      <c r="E199" s="873"/>
      <c r="F199" s="873"/>
      <c r="G199" s="873"/>
      <c r="H199" s="873"/>
      <c r="I199" s="873"/>
      <c r="J199" s="873"/>
      <c r="K199" s="873"/>
      <c r="L199" s="873"/>
      <c r="M199" s="873"/>
      <c r="N199" s="873"/>
      <c r="O199" s="873"/>
      <c r="P199" s="873"/>
      <c r="Q199" s="873"/>
      <c r="R199" s="873"/>
      <c r="S199" s="873"/>
      <c r="T199" s="873"/>
      <c r="U199" s="873"/>
      <c r="V199" s="873"/>
      <c r="W199" s="873"/>
      <c r="X199" s="873"/>
      <c r="Y199" s="873"/>
      <c r="Z199" s="873"/>
      <c r="AA199" s="873"/>
      <c r="AB199" s="873"/>
      <c r="AC199" s="873"/>
      <c r="AD199" s="873"/>
      <c r="AE199" s="873"/>
      <c r="AF199" s="873"/>
      <c r="AG199" s="873"/>
      <c r="AH199" s="873"/>
      <c r="AI199" s="873"/>
      <c r="AJ199" s="873"/>
      <c r="AK199" s="873"/>
      <c r="AL199" s="873"/>
      <c r="AM199" s="873"/>
      <c r="AN199" s="873"/>
      <c r="AO199" s="873"/>
      <c r="AP199" s="873"/>
      <c r="AQ199" s="873"/>
      <c r="AR199" s="873"/>
      <c r="AS199" s="873"/>
    </row>
    <row r="200" spans="1:45" ht="12.75" x14ac:dyDescent="0.2">
      <c r="A200" s="873"/>
      <c r="B200" s="873"/>
      <c r="C200" s="873"/>
      <c r="D200" s="873"/>
      <c r="E200" s="873"/>
      <c r="F200" s="873"/>
      <c r="G200" s="873"/>
      <c r="H200" s="873"/>
      <c r="I200" s="873"/>
      <c r="J200" s="873"/>
      <c r="K200" s="873"/>
      <c r="L200" s="873"/>
      <c r="M200" s="873"/>
      <c r="N200" s="873"/>
      <c r="O200" s="873"/>
      <c r="P200" s="873"/>
      <c r="Q200" s="873"/>
      <c r="R200" s="873"/>
      <c r="S200" s="873"/>
      <c r="T200" s="873"/>
      <c r="U200" s="873"/>
      <c r="V200" s="873"/>
      <c r="W200" s="873"/>
      <c r="X200" s="873"/>
      <c r="Y200" s="873"/>
      <c r="Z200" s="873"/>
      <c r="AA200" s="873"/>
      <c r="AB200" s="873"/>
      <c r="AC200" s="873"/>
      <c r="AD200" s="873"/>
      <c r="AE200" s="873"/>
      <c r="AF200" s="873"/>
      <c r="AG200" s="873"/>
      <c r="AH200" s="873"/>
      <c r="AI200" s="873"/>
      <c r="AJ200" s="873"/>
      <c r="AK200" s="873"/>
      <c r="AL200" s="873"/>
      <c r="AM200" s="873"/>
      <c r="AN200" s="873"/>
      <c r="AO200" s="873"/>
      <c r="AP200" s="873"/>
      <c r="AQ200" s="873"/>
      <c r="AR200" s="873"/>
      <c r="AS200" s="873"/>
    </row>
    <row r="201" spans="1:45" ht="12.75" x14ac:dyDescent="0.2">
      <c r="A201" s="873"/>
      <c r="B201" s="873"/>
      <c r="C201" s="873"/>
      <c r="D201" s="873"/>
      <c r="E201" s="873"/>
      <c r="F201" s="873"/>
      <c r="G201" s="873"/>
      <c r="H201" s="873"/>
      <c r="I201" s="873"/>
      <c r="J201" s="873"/>
      <c r="K201" s="873"/>
      <c r="L201" s="873"/>
      <c r="M201" s="873"/>
      <c r="N201" s="873"/>
      <c r="O201" s="873"/>
      <c r="P201" s="873"/>
      <c r="Q201" s="873"/>
      <c r="R201" s="873"/>
      <c r="S201" s="873"/>
      <c r="T201" s="873"/>
      <c r="U201" s="873"/>
      <c r="V201" s="873"/>
      <c r="W201" s="873"/>
      <c r="X201" s="873"/>
      <c r="Y201" s="873"/>
      <c r="Z201" s="873"/>
      <c r="AA201" s="873"/>
      <c r="AB201" s="873"/>
      <c r="AC201" s="873"/>
      <c r="AD201" s="873"/>
      <c r="AE201" s="873"/>
      <c r="AF201" s="873"/>
      <c r="AG201" s="873"/>
      <c r="AH201" s="873"/>
      <c r="AI201" s="873"/>
      <c r="AJ201" s="873"/>
      <c r="AK201" s="873"/>
      <c r="AL201" s="873"/>
      <c r="AM201" s="873"/>
      <c r="AN201" s="873"/>
      <c r="AO201" s="873"/>
      <c r="AP201" s="873"/>
      <c r="AQ201" s="873"/>
      <c r="AR201" s="873"/>
      <c r="AS201" s="873"/>
    </row>
    <row r="202" spans="1:45" ht="12.75" x14ac:dyDescent="0.2">
      <c r="A202" s="873"/>
      <c r="B202" s="873"/>
      <c r="C202" s="873"/>
      <c r="D202" s="873"/>
      <c r="E202" s="873"/>
      <c r="F202" s="873"/>
      <c r="G202" s="873"/>
      <c r="H202" s="873"/>
      <c r="I202" s="873"/>
      <c r="J202" s="873"/>
      <c r="K202" s="873"/>
      <c r="L202" s="873"/>
      <c r="M202" s="873"/>
      <c r="N202" s="873"/>
      <c r="O202" s="873"/>
      <c r="P202" s="873"/>
      <c r="Q202" s="873"/>
      <c r="R202" s="873"/>
      <c r="S202" s="873"/>
      <c r="T202" s="873"/>
      <c r="U202" s="873"/>
      <c r="V202" s="873"/>
      <c r="W202" s="873"/>
      <c r="X202" s="873"/>
      <c r="Y202" s="873"/>
      <c r="Z202" s="873"/>
      <c r="AA202" s="873"/>
      <c r="AB202" s="873"/>
      <c r="AC202" s="873"/>
      <c r="AD202" s="873"/>
      <c r="AE202" s="873"/>
      <c r="AF202" s="873"/>
      <c r="AG202" s="873"/>
      <c r="AH202" s="873"/>
      <c r="AI202" s="873"/>
      <c r="AJ202" s="873"/>
      <c r="AK202" s="873"/>
      <c r="AL202" s="873"/>
      <c r="AM202" s="873"/>
      <c r="AN202" s="873"/>
      <c r="AO202" s="873"/>
      <c r="AP202" s="873"/>
      <c r="AQ202" s="873"/>
      <c r="AR202" s="873"/>
      <c r="AS202" s="873"/>
    </row>
    <row r="203" spans="1:45" ht="12.75" x14ac:dyDescent="0.2">
      <c r="A203" s="873"/>
      <c r="B203" s="873"/>
      <c r="C203" s="873"/>
      <c r="D203" s="873"/>
      <c r="E203" s="873"/>
      <c r="F203" s="873"/>
      <c r="G203" s="873"/>
      <c r="H203" s="873"/>
      <c r="I203" s="873"/>
      <c r="J203" s="873"/>
      <c r="K203" s="873"/>
      <c r="L203" s="873"/>
      <c r="M203" s="873"/>
      <c r="N203" s="873"/>
      <c r="O203" s="873"/>
      <c r="P203" s="873"/>
      <c r="Q203" s="873"/>
      <c r="R203" s="873"/>
      <c r="S203" s="873"/>
      <c r="T203" s="873"/>
      <c r="U203" s="873"/>
      <c r="V203" s="873"/>
      <c r="W203" s="873"/>
      <c r="X203" s="873"/>
      <c r="Y203" s="873"/>
      <c r="Z203" s="873"/>
      <c r="AA203" s="873"/>
      <c r="AB203" s="873"/>
      <c r="AC203" s="873"/>
      <c r="AD203" s="873"/>
      <c r="AE203" s="873"/>
      <c r="AF203" s="873"/>
      <c r="AG203" s="873"/>
      <c r="AH203" s="873"/>
      <c r="AI203" s="873"/>
      <c r="AJ203" s="873"/>
      <c r="AK203" s="873"/>
      <c r="AL203" s="873"/>
      <c r="AM203" s="873"/>
      <c r="AN203" s="873"/>
      <c r="AO203" s="873"/>
      <c r="AP203" s="873"/>
      <c r="AQ203" s="873"/>
      <c r="AR203" s="873"/>
      <c r="AS203" s="873"/>
    </row>
    <row r="204" spans="1:45" ht="12.75" x14ac:dyDescent="0.2">
      <c r="A204" s="873"/>
      <c r="B204" s="873"/>
      <c r="C204" s="873"/>
      <c r="D204" s="873"/>
      <c r="E204" s="873"/>
      <c r="F204" s="873"/>
      <c r="G204" s="873"/>
      <c r="H204" s="873"/>
      <c r="I204" s="873"/>
      <c r="J204" s="873"/>
      <c r="K204" s="873"/>
      <c r="L204" s="873"/>
      <c r="M204" s="873"/>
      <c r="N204" s="873"/>
      <c r="O204" s="873"/>
      <c r="P204" s="873"/>
      <c r="Q204" s="873"/>
      <c r="R204" s="873"/>
      <c r="S204" s="873"/>
      <c r="T204" s="873"/>
      <c r="U204" s="873"/>
      <c r="V204" s="873"/>
      <c r="W204" s="873"/>
      <c r="X204" s="873"/>
      <c r="Y204" s="873"/>
      <c r="Z204" s="873"/>
      <c r="AA204" s="873"/>
      <c r="AB204" s="873"/>
      <c r="AC204" s="873"/>
      <c r="AD204" s="873"/>
      <c r="AE204" s="873"/>
      <c r="AF204" s="873"/>
      <c r="AG204" s="873"/>
      <c r="AH204" s="873"/>
      <c r="AI204" s="873"/>
      <c r="AJ204" s="873"/>
      <c r="AK204" s="873"/>
      <c r="AL204" s="873"/>
      <c r="AM204" s="873"/>
      <c r="AN204" s="873"/>
      <c r="AO204" s="873"/>
      <c r="AP204" s="873"/>
      <c r="AQ204" s="873"/>
      <c r="AR204" s="873"/>
      <c r="AS204" s="873"/>
    </row>
    <row r="205" spans="1:45" ht="12.75" x14ac:dyDescent="0.2">
      <c r="A205" s="873"/>
      <c r="B205" s="873"/>
      <c r="C205" s="873"/>
      <c r="D205" s="873"/>
      <c r="E205" s="873"/>
      <c r="F205" s="873"/>
      <c r="G205" s="873"/>
      <c r="H205" s="873"/>
      <c r="I205" s="873"/>
      <c r="J205" s="873"/>
      <c r="K205" s="873"/>
      <c r="L205" s="873"/>
      <c r="M205" s="873"/>
      <c r="N205" s="873"/>
      <c r="O205" s="873"/>
      <c r="P205" s="873"/>
      <c r="Q205" s="873"/>
      <c r="R205" s="873"/>
      <c r="S205" s="873"/>
      <c r="T205" s="873"/>
      <c r="U205" s="873"/>
      <c r="V205" s="873"/>
      <c r="W205" s="873"/>
      <c r="X205" s="873"/>
      <c r="Y205" s="873"/>
      <c r="Z205" s="873"/>
      <c r="AA205" s="873"/>
      <c r="AB205" s="873"/>
      <c r="AC205" s="873"/>
      <c r="AD205" s="873"/>
      <c r="AE205" s="873"/>
      <c r="AF205" s="873"/>
      <c r="AG205" s="873"/>
      <c r="AH205" s="873"/>
      <c r="AI205" s="873"/>
      <c r="AJ205" s="873"/>
      <c r="AK205" s="873"/>
      <c r="AL205" s="873"/>
      <c r="AM205" s="873"/>
      <c r="AN205" s="873"/>
      <c r="AO205" s="873"/>
      <c r="AP205" s="873"/>
      <c r="AQ205" s="873"/>
      <c r="AR205" s="873"/>
      <c r="AS205" s="873"/>
    </row>
    <row r="206" spans="1:45" ht="12.75" x14ac:dyDescent="0.2">
      <c r="A206" s="873"/>
      <c r="B206" s="873"/>
      <c r="C206" s="873"/>
      <c r="D206" s="873"/>
      <c r="E206" s="873"/>
      <c r="F206" s="873"/>
      <c r="G206" s="873"/>
      <c r="H206" s="873"/>
      <c r="I206" s="873"/>
      <c r="J206" s="873"/>
      <c r="K206" s="873"/>
      <c r="L206" s="873"/>
      <c r="M206" s="873"/>
      <c r="N206" s="873"/>
      <c r="O206" s="873"/>
      <c r="P206" s="873"/>
      <c r="Q206" s="873"/>
      <c r="R206" s="873"/>
      <c r="S206" s="873"/>
      <c r="T206" s="873"/>
      <c r="U206" s="873"/>
      <c r="V206" s="873"/>
      <c r="W206" s="873"/>
      <c r="X206" s="873"/>
      <c r="Y206" s="873"/>
      <c r="Z206" s="873"/>
      <c r="AA206" s="873"/>
      <c r="AB206" s="873"/>
      <c r="AC206" s="873"/>
      <c r="AD206" s="873"/>
      <c r="AE206" s="873"/>
      <c r="AF206" s="873"/>
      <c r="AG206" s="873"/>
      <c r="AH206" s="873"/>
      <c r="AI206" s="873"/>
      <c r="AJ206" s="873"/>
      <c r="AK206" s="873"/>
      <c r="AL206" s="873"/>
      <c r="AM206" s="873"/>
      <c r="AN206" s="873"/>
      <c r="AO206" s="873"/>
      <c r="AP206" s="873"/>
      <c r="AQ206" s="873"/>
      <c r="AR206" s="873"/>
      <c r="AS206" s="873"/>
    </row>
    <row r="207" spans="1:45" ht="12.75" x14ac:dyDescent="0.2">
      <c r="A207" s="873"/>
      <c r="B207" s="873"/>
      <c r="C207" s="873"/>
      <c r="D207" s="873"/>
      <c r="E207" s="873"/>
      <c r="F207" s="873"/>
      <c r="G207" s="873"/>
      <c r="H207" s="873"/>
      <c r="I207" s="873"/>
      <c r="J207" s="873"/>
      <c r="K207" s="873"/>
      <c r="L207" s="873"/>
      <c r="M207" s="873"/>
      <c r="N207" s="873"/>
      <c r="O207" s="873"/>
      <c r="P207" s="873"/>
      <c r="Q207" s="873"/>
      <c r="R207" s="873"/>
      <c r="S207" s="873"/>
      <c r="T207" s="873"/>
      <c r="U207" s="873"/>
      <c r="V207" s="873"/>
      <c r="W207" s="873"/>
      <c r="X207" s="873"/>
      <c r="Y207" s="873"/>
      <c r="Z207" s="873"/>
      <c r="AA207" s="873"/>
      <c r="AB207" s="873"/>
      <c r="AC207" s="873"/>
      <c r="AD207" s="873"/>
      <c r="AE207" s="873"/>
      <c r="AF207" s="873"/>
      <c r="AG207" s="873"/>
      <c r="AH207" s="873"/>
      <c r="AI207" s="873"/>
      <c r="AJ207" s="873"/>
      <c r="AK207" s="873"/>
      <c r="AL207" s="873"/>
      <c r="AM207" s="873"/>
      <c r="AN207" s="873"/>
      <c r="AO207" s="873"/>
      <c r="AP207" s="873"/>
      <c r="AQ207" s="873"/>
      <c r="AR207" s="873"/>
      <c r="AS207" s="873"/>
    </row>
    <row r="208" spans="1:45" ht="12.75" x14ac:dyDescent="0.2">
      <c r="A208" s="873"/>
      <c r="B208" s="873"/>
      <c r="C208" s="873"/>
      <c r="D208" s="873"/>
      <c r="E208" s="873"/>
      <c r="F208" s="873"/>
      <c r="G208" s="873"/>
      <c r="H208" s="873"/>
      <c r="I208" s="873"/>
      <c r="J208" s="873"/>
      <c r="K208" s="873"/>
      <c r="L208" s="873"/>
      <c r="M208" s="873"/>
      <c r="N208" s="873"/>
      <c r="O208" s="873"/>
      <c r="P208" s="873"/>
      <c r="Q208" s="873"/>
      <c r="R208" s="873"/>
      <c r="S208" s="873"/>
      <c r="T208" s="873"/>
      <c r="U208" s="873"/>
      <c r="V208" s="873"/>
      <c r="W208" s="873"/>
      <c r="X208" s="873"/>
      <c r="Y208" s="873"/>
      <c r="Z208" s="873"/>
      <c r="AA208" s="873"/>
      <c r="AB208" s="873"/>
      <c r="AC208" s="873"/>
      <c r="AD208" s="873"/>
      <c r="AE208" s="873"/>
      <c r="AF208" s="873"/>
      <c r="AG208" s="873"/>
      <c r="AH208" s="873"/>
      <c r="AI208" s="873"/>
      <c r="AJ208" s="873"/>
      <c r="AK208" s="873"/>
      <c r="AL208" s="873"/>
      <c r="AM208" s="873"/>
      <c r="AN208" s="873"/>
      <c r="AO208" s="873"/>
      <c r="AP208" s="873"/>
      <c r="AQ208" s="873"/>
      <c r="AR208" s="873"/>
      <c r="AS208" s="873"/>
    </row>
    <row r="209" spans="1:45" ht="12.75" x14ac:dyDescent="0.2">
      <c r="A209" s="873"/>
      <c r="B209" s="873"/>
      <c r="C209" s="873"/>
      <c r="D209" s="873"/>
      <c r="E209" s="873"/>
      <c r="F209" s="873"/>
      <c r="G209" s="873"/>
      <c r="H209" s="873"/>
      <c r="I209" s="873"/>
      <c r="J209" s="873"/>
      <c r="K209" s="873"/>
      <c r="L209" s="873"/>
      <c r="M209" s="873"/>
      <c r="N209" s="873"/>
      <c r="O209" s="873"/>
      <c r="P209" s="873"/>
      <c r="Q209" s="873"/>
      <c r="R209" s="873"/>
      <c r="S209" s="873"/>
      <c r="T209" s="873"/>
      <c r="U209" s="873"/>
      <c r="V209" s="873"/>
      <c r="W209" s="873"/>
      <c r="X209" s="873"/>
      <c r="Y209" s="873"/>
      <c r="Z209" s="873"/>
      <c r="AA209" s="873"/>
      <c r="AB209" s="873"/>
      <c r="AC209" s="873"/>
      <c r="AD209" s="873"/>
      <c r="AE209" s="873"/>
      <c r="AF209" s="873"/>
      <c r="AG209" s="873"/>
      <c r="AH209" s="873"/>
      <c r="AI209" s="873"/>
      <c r="AJ209" s="873"/>
      <c r="AK209" s="873"/>
      <c r="AL209" s="873"/>
      <c r="AM209" s="873"/>
      <c r="AN209" s="873"/>
      <c r="AO209" s="873"/>
      <c r="AP209" s="873"/>
      <c r="AQ209" s="873"/>
      <c r="AR209" s="873"/>
      <c r="AS209" s="873"/>
    </row>
    <row r="210" spans="1:45" ht="12.75" x14ac:dyDescent="0.2">
      <c r="A210" s="873"/>
      <c r="B210" s="873"/>
      <c r="C210" s="873"/>
      <c r="D210" s="873"/>
      <c r="E210" s="873"/>
      <c r="F210" s="873"/>
      <c r="G210" s="873"/>
      <c r="H210" s="873"/>
      <c r="I210" s="873"/>
      <c r="J210" s="873"/>
      <c r="K210" s="873"/>
      <c r="L210" s="873"/>
      <c r="M210" s="873"/>
      <c r="N210" s="873"/>
      <c r="O210" s="873"/>
      <c r="P210" s="873"/>
      <c r="Q210" s="873"/>
      <c r="R210" s="873"/>
      <c r="S210" s="873"/>
      <c r="T210" s="873"/>
      <c r="U210" s="873"/>
      <c r="V210" s="873"/>
      <c r="W210" s="873"/>
      <c r="X210" s="873"/>
      <c r="Y210" s="873"/>
      <c r="Z210" s="873"/>
      <c r="AA210" s="873"/>
      <c r="AB210" s="873"/>
      <c r="AC210" s="873"/>
      <c r="AD210" s="873"/>
      <c r="AE210" s="873"/>
      <c r="AF210" s="873"/>
      <c r="AG210" s="873"/>
      <c r="AH210" s="873"/>
      <c r="AI210" s="873"/>
      <c r="AJ210" s="873"/>
      <c r="AK210" s="873"/>
      <c r="AL210" s="873"/>
      <c r="AM210" s="873"/>
      <c r="AN210" s="873"/>
      <c r="AO210" s="873"/>
      <c r="AP210" s="873"/>
      <c r="AQ210" s="873"/>
      <c r="AR210" s="873"/>
      <c r="AS210" s="873"/>
    </row>
    <row r="211" spans="1:45" ht="12.75" x14ac:dyDescent="0.2">
      <c r="A211" s="873"/>
      <c r="B211" s="873"/>
      <c r="C211" s="873"/>
      <c r="D211" s="873"/>
      <c r="E211" s="873"/>
      <c r="F211" s="873"/>
      <c r="G211" s="873"/>
      <c r="H211" s="873"/>
      <c r="I211" s="873"/>
      <c r="J211" s="873"/>
      <c r="K211" s="873"/>
      <c r="L211" s="873"/>
      <c r="M211" s="873"/>
      <c r="N211" s="873"/>
      <c r="O211" s="873"/>
      <c r="P211" s="873"/>
      <c r="Q211" s="873"/>
      <c r="R211" s="873"/>
      <c r="S211" s="873"/>
      <c r="T211" s="873"/>
      <c r="U211" s="873"/>
      <c r="V211" s="873"/>
      <c r="W211" s="873"/>
      <c r="X211" s="873"/>
      <c r="Y211" s="873"/>
      <c r="Z211" s="873"/>
      <c r="AA211" s="873"/>
      <c r="AB211" s="873"/>
      <c r="AC211" s="873"/>
      <c r="AD211" s="873"/>
      <c r="AE211" s="873"/>
      <c r="AF211" s="873"/>
      <c r="AG211" s="873"/>
      <c r="AH211" s="873"/>
      <c r="AI211" s="873"/>
      <c r="AJ211" s="873"/>
      <c r="AK211" s="873"/>
      <c r="AL211" s="873"/>
      <c r="AM211" s="873"/>
      <c r="AN211" s="873"/>
      <c r="AO211" s="873"/>
      <c r="AP211" s="873"/>
      <c r="AQ211" s="873"/>
      <c r="AR211" s="873"/>
      <c r="AS211" s="873"/>
    </row>
    <row r="212" spans="1:45" ht="12.75" x14ac:dyDescent="0.2">
      <c r="A212" s="873"/>
      <c r="B212" s="873"/>
      <c r="C212" s="873"/>
      <c r="D212" s="873"/>
      <c r="E212" s="873"/>
      <c r="F212" s="873"/>
      <c r="G212" s="873"/>
      <c r="H212" s="873"/>
      <c r="I212" s="873"/>
      <c r="J212" s="873"/>
      <c r="K212" s="873"/>
      <c r="L212" s="873"/>
      <c r="M212" s="873"/>
      <c r="N212" s="873"/>
      <c r="O212" s="873"/>
      <c r="P212" s="873"/>
      <c r="Q212" s="873"/>
      <c r="R212" s="873"/>
      <c r="S212" s="873"/>
      <c r="T212" s="873"/>
      <c r="U212" s="873"/>
      <c r="V212" s="873"/>
      <c r="W212" s="873"/>
      <c r="X212" s="873"/>
      <c r="Y212" s="873"/>
      <c r="Z212" s="873"/>
      <c r="AA212" s="873"/>
      <c r="AB212" s="873"/>
      <c r="AC212" s="873"/>
      <c r="AD212" s="873"/>
      <c r="AE212" s="873"/>
      <c r="AF212" s="873"/>
      <c r="AG212" s="873"/>
      <c r="AH212" s="873"/>
      <c r="AI212" s="873"/>
      <c r="AJ212" s="873"/>
      <c r="AK212" s="873"/>
      <c r="AL212" s="873"/>
      <c r="AM212" s="873"/>
      <c r="AN212" s="873"/>
      <c r="AO212" s="873"/>
      <c r="AP212" s="873"/>
      <c r="AQ212" s="873"/>
      <c r="AR212" s="873"/>
      <c r="AS212" s="873"/>
    </row>
    <row r="213" spans="1:45" ht="12.75" x14ac:dyDescent="0.2">
      <c r="A213" s="873"/>
      <c r="B213" s="873"/>
      <c r="C213" s="873"/>
      <c r="D213" s="873"/>
      <c r="E213" s="873"/>
      <c r="F213" s="873"/>
      <c r="G213" s="873"/>
      <c r="H213" s="873"/>
      <c r="I213" s="873"/>
      <c r="J213" s="873"/>
      <c r="K213" s="873"/>
      <c r="L213" s="873"/>
      <c r="M213" s="873"/>
      <c r="N213" s="873"/>
      <c r="O213" s="873"/>
      <c r="P213" s="873"/>
      <c r="Q213" s="873"/>
      <c r="R213" s="873"/>
      <c r="S213" s="873"/>
      <c r="T213" s="873"/>
      <c r="U213" s="873"/>
      <c r="V213" s="873"/>
      <c r="W213" s="873"/>
      <c r="X213" s="873"/>
      <c r="Y213" s="873"/>
      <c r="Z213" s="873"/>
      <c r="AA213" s="873"/>
      <c r="AB213" s="873"/>
      <c r="AC213" s="873"/>
      <c r="AD213" s="873"/>
      <c r="AE213" s="873"/>
      <c r="AF213" s="873"/>
      <c r="AG213" s="873"/>
      <c r="AH213" s="873"/>
      <c r="AI213" s="873"/>
      <c r="AJ213" s="873"/>
      <c r="AK213" s="873"/>
      <c r="AL213" s="873"/>
      <c r="AM213" s="873"/>
      <c r="AN213" s="873"/>
      <c r="AO213" s="873"/>
      <c r="AP213" s="873"/>
      <c r="AQ213" s="873"/>
      <c r="AR213" s="873"/>
      <c r="AS213" s="873"/>
    </row>
    <row r="214" spans="1:45" ht="12.75" x14ac:dyDescent="0.2">
      <c r="A214" s="873"/>
      <c r="B214" s="873"/>
      <c r="C214" s="873"/>
      <c r="D214" s="873"/>
      <c r="E214" s="873"/>
      <c r="F214" s="873"/>
      <c r="G214" s="873"/>
      <c r="H214" s="873"/>
      <c r="I214" s="873"/>
      <c r="J214" s="873"/>
      <c r="K214" s="873"/>
      <c r="L214" s="873"/>
      <c r="M214" s="873"/>
      <c r="N214" s="873"/>
      <c r="O214" s="873"/>
      <c r="P214" s="873"/>
      <c r="Q214" s="873"/>
      <c r="R214" s="873"/>
      <c r="S214" s="873"/>
      <c r="T214" s="873"/>
      <c r="U214" s="873"/>
      <c r="V214" s="873"/>
      <c r="W214" s="873"/>
      <c r="X214" s="873"/>
      <c r="Y214" s="873"/>
      <c r="Z214" s="873"/>
      <c r="AA214" s="873"/>
      <c r="AB214" s="873"/>
      <c r="AC214" s="873"/>
      <c r="AD214" s="873"/>
      <c r="AE214" s="873"/>
      <c r="AF214" s="873"/>
      <c r="AG214" s="873"/>
      <c r="AH214" s="873"/>
      <c r="AI214" s="873"/>
      <c r="AJ214" s="873"/>
      <c r="AK214" s="873"/>
      <c r="AL214" s="873"/>
      <c r="AM214" s="873"/>
      <c r="AN214" s="873"/>
      <c r="AO214" s="873"/>
      <c r="AP214" s="873"/>
      <c r="AQ214" s="873"/>
      <c r="AR214" s="873"/>
      <c r="AS214" s="873"/>
    </row>
    <row r="215" spans="1:45" ht="12.75" x14ac:dyDescent="0.2">
      <c r="A215" s="873"/>
      <c r="B215" s="873"/>
      <c r="C215" s="873"/>
      <c r="D215" s="873"/>
      <c r="E215" s="873"/>
      <c r="F215" s="873"/>
      <c r="G215" s="873"/>
      <c r="H215" s="873"/>
      <c r="I215" s="873"/>
      <c r="J215" s="873"/>
      <c r="K215" s="873"/>
      <c r="L215" s="873"/>
      <c r="M215" s="873"/>
      <c r="N215" s="873"/>
      <c r="O215" s="873"/>
      <c r="P215" s="873"/>
      <c r="Q215" s="873"/>
      <c r="R215" s="873"/>
      <c r="S215" s="873"/>
      <c r="T215" s="873"/>
      <c r="U215" s="873"/>
      <c r="V215" s="873"/>
      <c r="W215" s="873"/>
      <c r="X215" s="873"/>
      <c r="Y215" s="873"/>
      <c r="Z215" s="873"/>
      <c r="AA215" s="873"/>
      <c r="AB215" s="873"/>
      <c r="AC215" s="873"/>
      <c r="AD215" s="873"/>
      <c r="AE215" s="873"/>
      <c r="AF215" s="873"/>
      <c r="AG215" s="873"/>
      <c r="AH215" s="873"/>
      <c r="AI215" s="873"/>
      <c r="AJ215" s="873"/>
      <c r="AK215" s="873"/>
      <c r="AL215" s="873"/>
      <c r="AM215" s="873"/>
      <c r="AN215" s="873"/>
      <c r="AO215" s="873"/>
      <c r="AP215" s="873"/>
      <c r="AQ215" s="873"/>
      <c r="AR215" s="873"/>
      <c r="AS215" s="873"/>
    </row>
    <row r="216" spans="1:45" ht="12.75" x14ac:dyDescent="0.2">
      <c r="A216" s="873"/>
      <c r="B216" s="873"/>
      <c r="C216" s="873"/>
      <c r="D216" s="873"/>
      <c r="E216" s="873"/>
      <c r="F216" s="873"/>
      <c r="G216" s="873"/>
      <c r="H216" s="873"/>
      <c r="I216" s="873"/>
      <c r="J216" s="873"/>
      <c r="K216" s="873"/>
      <c r="L216" s="873"/>
      <c r="M216" s="873"/>
      <c r="N216" s="873"/>
      <c r="O216" s="873"/>
      <c r="P216" s="873"/>
      <c r="Q216" s="873"/>
      <c r="R216" s="873"/>
      <c r="S216" s="873"/>
      <c r="T216" s="873"/>
      <c r="U216" s="873"/>
      <c r="V216" s="873"/>
      <c r="W216" s="873"/>
      <c r="X216" s="873"/>
      <c r="Y216" s="873"/>
      <c r="Z216" s="873"/>
      <c r="AA216" s="873"/>
      <c r="AB216" s="873"/>
      <c r="AC216" s="873"/>
      <c r="AD216" s="873"/>
      <c r="AE216" s="873"/>
      <c r="AF216" s="873"/>
      <c r="AG216" s="873"/>
      <c r="AH216" s="873"/>
      <c r="AI216" s="873"/>
      <c r="AJ216" s="873"/>
      <c r="AK216" s="873"/>
      <c r="AL216" s="873"/>
      <c r="AM216" s="873"/>
      <c r="AN216" s="873"/>
      <c r="AO216" s="873"/>
      <c r="AP216" s="873"/>
      <c r="AQ216" s="873"/>
      <c r="AR216" s="873"/>
      <c r="AS216" s="873"/>
    </row>
    <row r="217" spans="1:45" ht="12.75" x14ac:dyDescent="0.2">
      <c r="A217" s="873"/>
      <c r="B217" s="873"/>
      <c r="C217" s="873"/>
      <c r="D217" s="873"/>
      <c r="E217" s="873"/>
      <c r="F217" s="873"/>
      <c r="G217" s="873"/>
      <c r="H217" s="873"/>
      <c r="I217" s="873"/>
      <c r="J217" s="873"/>
      <c r="K217" s="873"/>
      <c r="L217" s="873"/>
      <c r="M217" s="873"/>
      <c r="N217" s="873"/>
      <c r="O217" s="873"/>
      <c r="P217" s="873"/>
      <c r="Q217" s="873"/>
      <c r="R217" s="873"/>
      <c r="S217" s="873"/>
      <c r="T217" s="873"/>
      <c r="U217" s="873"/>
      <c r="V217" s="873"/>
      <c r="W217" s="873"/>
      <c r="X217" s="873"/>
      <c r="Y217" s="873"/>
      <c r="Z217" s="873"/>
      <c r="AA217" s="873"/>
      <c r="AB217" s="873"/>
      <c r="AC217" s="873"/>
      <c r="AD217" s="873"/>
      <c r="AE217" s="873"/>
      <c r="AF217" s="873"/>
      <c r="AG217" s="873"/>
      <c r="AH217" s="873"/>
      <c r="AI217" s="873"/>
      <c r="AJ217" s="873"/>
      <c r="AK217" s="873"/>
      <c r="AL217" s="873"/>
      <c r="AM217" s="873"/>
      <c r="AN217" s="873"/>
      <c r="AO217" s="873"/>
      <c r="AP217" s="873"/>
      <c r="AQ217" s="873"/>
      <c r="AR217" s="873"/>
      <c r="AS217" s="873"/>
    </row>
    <row r="218" spans="1:45" ht="12.75" x14ac:dyDescent="0.2">
      <c r="A218" s="873"/>
      <c r="B218" s="873"/>
      <c r="C218" s="873"/>
      <c r="D218" s="873"/>
      <c r="E218" s="873"/>
      <c r="F218" s="873"/>
      <c r="G218" s="873"/>
      <c r="H218" s="873"/>
      <c r="I218" s="873"/>
      <c r="J218" s="873"/>
      <c r="K218" s="873"/>
      <c r="L218" s="873"/>
      <c r="M218" s="873"/>
      <c r="N218" s="873"/>
      <c r="O218" s="873"/>
      <c r="P218" s="873"/>
      <c r="Q218" s="873"/>
      <c r="R218" s="873"/>
      <c r="S218" s="873"/>
      <c r="T218" s="873"/>
      <c r="U218" s="873"/>
      <c r="V218" s="873"/>
      <c r="W218" s="873"/>
      <c r="X218" s="873"/>
      <c r="Y218" s="873"/>
      <c r="Z218" s="873"/>
      <c r="AA218" s="873"/>
      <c r="AB218" s="873"/>
      <c r="AC218" s="873"/>
      <c r="AD218" s="873"/>
      <c r="AE218" s="873"/>
      <c r="AF218" s="873"/>
      <c r="AG218" s="873"/>
      <c r="AH218" s="873"/>
      <c r="AI218" s="873"/>
      <c r="AJ218" s="873"/>
      <c r="AK218" s="873"/>
      <c r="AL218" s="873"/>
      <c r="AM218" s="873"/>
      <c r="AN218" s="873"/>
      <c r="AO218" s="873"/>
      <c r="AP218" s="873"/>
      <c r="AQ218" s="873"/>
      <c r="AR218" s="873"/>
      <c r="AS218" s="873"/>
    </row>
    <row r="219" spans="1:45" ht="12.75" x14ac:dyDescent="0.2">
      <c r="A219" s="873"/>
      <c r="B219" s="873"/>
      <c r="C219" s="873"/>
      <c r="D219" s="873"/>
      <c r="E219" s="873"/>
      <c r="F219" s="873"/>
      <c r="G219" s="873"/>
      <c r="H219" s="873"/>
      <c r="I219" s="873"/>
      <c r="J219" s="873"/>
      <c r="K219" s="873"/>
      <c r="L219" s="873"/>
      <c r="M219" s="873"/>
      <c r="N219" s="873"/>
      <c r="O219" s="873"/>
      <c r="P219" s="873"/>
      <c r="Q219" s="873"/>
      <c r="R219" s="873"/>
      <c r="S219" s="873"/>
      <c r="T219" s="873"/>
      <c r="U219" s="873"/>
      <c r="V219" s="873"/>
      <c r="W219" s="873"/>
      <c r="X219" s="873"/>
      <c r="Y219" s="873"/>
      <c r="Z219" s="873"/>
      <c r="AA219" s="873"/>
      <c r="AB219" s="873"/>
      <c r="AC219" s="873"/>
      <c r="AD219" s="873"/>
      <c r="AE219" s="873"/>
      <c r="AF219" s="873"/>
      <c r="AG219" s="873"/>
      <c r="AH219" s="873"/>
      <c r="AI219" s="873"/>
      <c r="AJ219" s="873"/>
      <c r="AK219" s="873"/>
      <c r="AL219" s="873"/>
      <c r="AM219" s="873"/>
      <c r="AN219" s="873"/>
      <c r="AO219" s="873"/>
      <c r="AP219" s="873"/>
      <c r="AQ219" s="873"/>
      <c r="AR219" s="873"/>
      <c r="AS219" s="873"/>
    </row>
    <row r="220" spans="1:45" ht="12.75" x14ac:dyDescent="0.2">
      <c r="A220" s="873"/>
      <c r="B220" s="873"/>
      <c r="C220" s="873"/>
      <c r="D220" s="873"/>
      <c r="E220" s="873"/>
      <c r="F220" s="873"/>
      <c r="G220" s="873"/>
      <c r="H220" s="873"/>
      <c r="I220" s="873"/>
      <c r="J220" s="873"/>
      <c r="K220" s="873"/>
      <c r="L220" s="873"/>
      <c r="M220" s="873"/>
      <c r="N220" s="873"/>
      <c r="O220" s="873"/>
      <c r="P220" s="873"/>
      <c r="Q220" s="873"/>
      <c r="R220" s="873"/>
      <c r="S220" s="873"/>
      <c r="T220" s="873"/>
      <c r="U220" s="873"/>
      <c r="V220" s="873"/>
      <c r="W220" s="873"/>
      <c r="X220" s="873"/>
      <c r="Y220" s="873"/>
      <c r="Z220" s="873"/>
      <c r="AA220" s="873"/>
      <c r="AB220" s="873"/>
      <c r="AC220" s="873"/>
      <c r="AD220" s="873"/>
      <c r="AE220" s="873"/>
      <c r="AF220" s="873"/>
      <c r="AG220" s="873"/>
      <c r="AH220" s="873"/>
      <c r="AI220" s="873"/>
      <c r="AJ220" s="873"/>
      <c r="AK220" s="873"/>
      <c r="AL220" s="873"/>
      <c r="AM220" s="873"/>
      <c r="AN220" s="873"/>
      <c r="AO220" s="873"/>
      <c r="AP220" s="873"/>
      <c r="AQ220" s="873"/>
      <c r="AR220" s="873"/>
      <c r="AS220" s="873"/>
    </row>
    <row r="221" spans="1:45" ht="12.75" x14ac:dyDescent="0.2">
      <c r="A221" s="873"/>
      <c r="B221" s="873"/>
      <c r="C221" s="873"/>
      <c r="D221" s="873"/>
      <c r="E221" s="873"/>
      <c r="F221" s="873"/>
      <c r="G221" s="873"/>
      <c r="H221" s="873"/>
      <c r="I221" s="873"/>
      <c r="J221" s="873"/>
      <c r="K221" s="873"/>
      <c r="L221" s="873"/>
      <c r="M221" s="873"/>
      <c r="N221" s="873"/>
      <c r="O221" s="873"/>
      <c r="P221" s="873"/>
      <c r="Q221" s="873"/>
      <c r="R221" s="873"/>
      <c r="S221" s="873"/>
      <c r="T221" s="873"/>
      <c r="U221" s="873"/>
      <c r="V221" s="873"/>
      <c r="W221" s="873"/>
      <c r="X221" s="873"/>
      <c r="Y221" s="873"/>
      <c r="Z221" s="873"/>
      <c r="AA221" s="873"/>
      <c r="AB221" s="873"/>
      <c r="AC221" s="873"/>
      <c r="AD221" s="873"/>
      <c r="AE221" s="873"/>
      <c r="AF221" s="873"/>
      <c r="AG221" s="873"/>
      <c r="AH221" s="873"/>
      <c r="AI221" s="873"/>
      <c r="AJ221" s="873"/>
      <c r="AK221" s="873"/>
      <c r="AL221" s="873"/>
      <c r="AM221" s="873"/>
      <c r="AN221" s="873"/>
      <c r="AO221" s="873"/>
      <c r="AP221" s="873"/>
      <c r="AQ221" s="873"/>
      <c r="AR221" s="873"/>
      <c r="AS221" s="873"/>
    </row>
    <row r="222" spans="1:45" ht="12.75" x14ac:dyDescent="0.2">
      <c r="A222" s="873"/>
      <c r="B222" s="873"/>
      <c r="C222" s="873"/>
      <c r="D222" s="873"/>
      <c r="E222" s="873"/>
      <c r="F222" s="873"/>
      <c r="G222" s="873"/>
      <c r="H222" s="873"/>
      <c r="I222" s="873"/>
      <c r="J222" s="873"/>
      <c r="K222" s="873"/>
      <c r="L222" s="873"/>
      <c r="M222" s="873"/>
      <c r="N222" s="873"/>
      <c r="O222" s="873"/>
      <c r="P222" s="873"/>
      <c r="Q222" s="873"/>
      <c r="R222" s="873"/>
      <c r="S222" s="873"/>
      <c r="T222" s="873"/>
      <c r="U222" s="873"/>
      <c r="V222" s="873"/>
      <c r="W222" s="873"/>
      <c r="X222" s="873"/>
      <c r="Y222" s="873"/>
      <c r="Z222" s="873"/>
      <c r="AA222" s="873"/>
      <c r="AB222" s="873"/>
      <c r="AC222" s="873"/>
      <c r="AD222" s="873"/>
      <c r="AE222" s="873"/>
      <c r="AF222" s="873"/>
      <c r="AG222" s="873"/>
      <c r="AH222" s="873"/>
      <c r="AI222" s="873"/>
      <c r="AJ222" s="873"/>
      <c r="AK222" s="873"/>
      <c r="AL222" s="873"/>
      <c r="AM222" s="873"/>
      <c r="AN222" s="873"/>
      <c r="AO222" s="873"/>
      <c r="AP222" s="873"/>
      <c r="AQ222" s="873"/>
      <c r="AR222" s="873"/>
      <c r="AS222" s="873"/>
    </row>
    <row r="223" spans="1:45" ht="12.75" x14ac:dyDescent="0.2">
      <c r="A223" s="873"/>
      <c r="B223" s="873"/>
      <c r="C223" s="873"/>
      <c r="D223" s="873"/>
      <c r="E223" s="873"/>
      <c r="F223" s="873"/>
      <c r="G223" s="873"/>
      <c r="H223" s="873"/>
      <c r="I223" s="873"/>
      <c r="J223" s="873"/>
      <c r="K223" s="873"/>
      <c r="L223" s="873"/>
      <c r="M223" s="873"/>
      <c r="N223" s="873"/>
      <c r="O223" s="873"/>
      <c r="P223" s="873"/>
      <c r="Q223" s="873"/>
      <c r="R223" s="873"/>
      <c r="S223" s="873"/>
      <c r="T223" s="873"/>
      <c r="U223" s="873"/>
      <c r="V223" s="873"/>
      <c r="W223" s="873"/>
      <c r="X223" s="873"/>
      <c r="Y223" s="873"/>
      <c r="Z223" s="873"/>
      <c r="AA223" s="873"/>
      <c r="AB223" s="873"/>
      <c r="AC223" s="873"/>
      <c r="AD223" s="873"/>
      <c r="AE223" s="873"/>
      <c r="AF223" s="873"/>
      <c r="AG223" s="873"/>
      <c r="AH223" s="873"/>
      <c r="AI223" s="873"/>
      <c r="AJ223" s="873"/>
      <c r="AK223" s="873"/>
      <c r="AL223" s="873"/>
      <c r="AM223" s="873"/>
      <c r="AN223" s="873"/>
      <c r="AO223" s="873"/>
      <c r="AP223" s="873"/>
      <c r="AQ223" s="873"/>
      <c r="AR223" s="873"/>
      <c r="AS223" s="873"/>
    </row>
    <row r="224" spans="1:45" ht="12.75" x14ac:dyDescent="0.2">
      <c r="A224" s="873"/>
      <c r="B224" s="873"/>
      <c r="C224" s="873"/>
      <c r="D224" s="873"/>
      <c r="E224" s="873"/>
      <c r="F224" s="873"/>
      <c r="G224" s="873"/>
      <c r="H224" s="873"/>
      <c r="I224" s="873"/>
      <c r="J224" s="873"/>
      <c r="K224" s="873"/>
      <c r="L224" s="873"/>
      <c r="M224" s="873"/>
      <c r="N224" s="873"/>
      <c r="O224" s="873"/>
      <c r="P224" s="873"/>
      <c r="Q224" s="873"/>
      <c r="R224" s="873"/>
      <c r="S224" s="873"/>
      <c r="T224" s="873"/>
      <c r="U224" s="873"/>
      <c r="V224" s="873"/>
      <c r="W224" s="873"/>
      <c r="X224" s="873"/>
      <c r="Y224" s="873"/>
      <c r="Z224" s="873"/>
      <c r="AA224" s="873"/>
      <c r="AB224" s="873"/>
      <c r="AC224" s="873"/>
      <c r="AD224" s="873"/>
      <c r="AE224" s="873"/>
      <c r="AF224" s="873"/>
      <c r="AG224" s="873"/>
      <c r="AH224" s="873"/>
      <c r="AI224" s="873"/>
      <c r="AJ224" s="873"/>
      <c r="AK224" s="873"/>
      <c r="AL224" s="873"/>
      <c r="AM224" s="873"/>
      <c r="AN224" s="873"/>
      <c r="AO224" s="873"/>
      <c r="AP224" s="873"/>
      <c r="AQ224" s="873"/>
      <c r="AR224" s="873"/>
      <c r="AS224" s="873"/>
    </row>
    <row r="225" spans="1:45" ht="12.75" x14ac:dyDescent="0.2">
      <c r="A225" s="873"/>
      <c r="B225" s="873"/>
      <c r="C225" s="873"/>
      <c r="D225" s="873"/>
      <c r="E225" s="873"/>
      <c r="F225" s="873"/>
      <c r="G225" s="873"/>
      <c r="H225" s="873"/>
      <c r="I225" s="873"/>
      <c r="J225" s="873"/>
      <c r="K225" s="873"/>
      <c r="L225" s="873"/>
      <c r="M225" s="873"/>
      <c r="N225" s="873"/>
      <c r="O225" s="873"/>
      <c r="P225" s="873"/>
      <c r="Q225" s="873"/>
      <c r="R225" s="873"/>
      <c r="S225" s="873"/>
      <c r="T225" s="873"/>
      <c r="U225" s="873"/>
      <c r="V225" s="873"/>
      <c r="W225" s="873"/>
      <c r="X225" s="873"/>
      <c r="Y225" s="873"/>
      <c r="Z225" s="873"/>
      <c r="AA225" s="873"/>
      <c r="AB225" s="873"/>
      <c r="AC225" s="873"/>
      <c r="AD225" s="873"/>
      <c r="AE225" s="873"/>
      <c r="AF225" s="873"/>
      <c r="AG225" s="873"/>
      <c r="AH225" s="873"/>
      <c r="AI225" s="873"/>
      <c r="AJ225" s="873"/>
      <c r="AK225" s="873"/>
      <c r="AL225" s="873"/>
      <c r="AM225" s="873"/>
      <c r="AN225" s="873"/>
      <c r="AO225" s="873"/>
      <c r="AP225" s="873"/>
      <c r="AQ225" s="873"/>
      <c r="AR225" s="873"/>
      <c r="AS225" s="873"/>
    </row>
    <row r="226" spans="1:45" ht="12.75" x14ac:dyDescent="0.2">
      <c r="A226" s="873"/>
      <c r="B226" s="873"/>
      <c r="C226" s="873"/>
      <c r="D226" s="873"/>
      <c r="E226" s="873"/>
      <c r="F226" s="873"/>
      <c r="G226" s="873"/>
      <c r="H226" s="873"/>
      <c r="I226" s="873"/>
      <c r="J226" s="873"/>
      <c r="K226" s="873"/>
      <c r="L226" s="873"/>
      <c r="M226" s="873"/>
      <c r="N226" s="873"/>
      <c r="O226" s="873"/>
      <c r="P226" s="873"/>
      <c r="Q226" s="873"/>
      <c r="R226" s="873"/>
      <c r="S226" s="873"/>
      <c r="T226" s="873"/>
      <c r="U226" s="873"/>
      <c r="V226" s="873"/>
      <c r="W226" s="873"/>
      <c r="X226" s="873"/>
      <c r="Y226" s="873"/>
      <c r="Z226" s="873"/>
      <c r="AA226" s="873"/>
      <c r="AB226" s="873"/>
      <c r="AC226" s="873"/>
      <c r="AD226" s="873"/>
      <c r="AE226" s="873"/>
      <c r="AF226" s="873"/>
      <c r="AG226" s="873"/>
      <c r="AH226" s="873"/>
      <c r="AI226" s="873"/>
      <c r="AJ226" s="873"/>
      <c r="AK226" s="873"/>
      <c r="AL226" s="873"/>
      <c r="AM226" s="873"/>
      <c r="AN226" s="873"/>
      <c r="AO226" s="873"/>
      <c r="AP226" s="873"/>
      <c r="AQ226" s="873"/>
      <c r="AR226" s="873"/>
      <c r="AS226" s="873"/>
    </row>
    <row r="227" spans="1:45" ht="12.75" x14ac:dyDescent="0.2">
      <c r="A227" s="873"/>
      <c r="B227" s="873"/>
      <c r="C227" s="873"/>
      <c r="D227" s="873"/>
      <c r="E227" s="873"/>
      <c r="F227" s="873"/>
      <c r="G227" s="873"/>
      <c r="H227" s="873"/>
      <c r="I227" s="873"/>
      <c r="J227" s="873"/>
      <c r="K227" s="873"/>
      <c r="L227" s="873"/>
      <c r="M227" s="873"/>
      <c r="N227" s="873"/>
      <c r="O227" s="873"/>
      <c r="P227" s="873"/>
      <c r="Q227" s="873"/>
      <c r="R227" s="873"/>
      <c r="S227" s="873"/>
      <c r="T227" s="873"/>
      <c r="U227" s="873"/>
      <c r="V227" s="873"/>
      <c r="W227" s="873"/>
      <c r="X227" s="873"/>
      <c r="Y227" s="873"/>
      <c r="Z227" s="873"/>
      <c r="AA227" s="873"/>
      <c r="AB227" s="873"/>
      <c r="AC227" s="873"/>
      <c r="AD227" s="873"/>
      <c r="AE227" s="873"/>
      <c r="AF227" s="873"/>
      <c r="AG227" s="873"/>
      <c r="AH227" s="873"/>
      <c r="AI227" s="873"/>
      <c r="AJ227" s="873"/>
      <c r="AK227" s="873"/>
      <c r="AL227" s="873"/>
      <c r="AM227" s="873"/>
      <c r="AN227" s="873"/>
      <c r="AO227" s="873"/>
      <c r="AP227" s="873"/>
      <c r="AQ227" s="873"/>
      <c r="AR227" s="873"/>
      <c r="AS227" s="873"/>
    </row>
    <row r="228" spans="1:45" ht="12.75" x14ac:dyDescent="0.2">
      <c r="A228" s="873"/>
      <c r="B228" s="873"/>
      <c r="C228" s="873"/>
      <c r="D228" s="873"/>
      <c r="E228" s="873"/>
      <c r="F228" s="873"/>
      <c r="G228" s="873"/>
      <c r="H228" s="873"/>
      <c r="I228" s="873"/>
      <c r="J228" s="873"/>
      <c r="K228" s="873"/>
      <c r="L228" s="873"/>
      <c r="M228" s="873"/>
      <c r="N228" s="873"/>
      <c r="O228" s="873"/>
      <c r="P228" s="873"/>
      <c r="Q228" s="873"/>
      <c r="R228" s="873"/>
      <c r="S228" s="873"/>
      <c r="T228" s="873"/>
      <c r="U228" s="873"/>
      <c r="V228" s="873"/>
      <c r="W228" s="873"/>
      <c r="X228" s="873"/>
      <c r="Y228" s="873"/>
      <c r="Z228" s="873"/>
      <c r="AA228" s="873"/>
      <c r="AB228" s="873"/>
      <c r="AC228" s="873"/>
      <c r="AD228" s="873"/>
      <c r="AE228" s="873"/>
      <c r="AF228" s="873"/>
      <c r="AG228" s="873"/>
      <c r="AH228" s="873"/>
      <c r="AI228" s="873"/>
      <c r="AJ228" s="873"/>
      <c r="AK228" s="873"/>
      <c r="AL228" s="873"/>
      <c r="AM228" s="873"/>
      <c r="AN228" s="873"/>
      <c r="AO228" s="873"/>
      <c r="AP228" s="873"/>
      <c r="AQ228" s="873"/>
      <c r="AR228" s="873"/>
      <c r="AS228" s="873"/>
    </row>
    <row r="229" spans="1:45" ht="12.75" x14ac:dyDescent="0.2">
      <c r="A229" s="873"/>
      <c r="B229" s="873"/>
      <c r="C229" s="873"/>
      <c r="D229" s="873"/>
      <c r="E229" s="873"/>
      <c r="F229" s="873"/>
      <c r="G229" s="873"/>
      <c r="H229" s="873"/>
      <c r="I229" s="873"/>
      <c r="J229" s="873"/>
      <c r="K229" s="873"/>
      <c r="L229" s="873"/>
      <c r="M229" s="873"/>
      <c r="N229" s="873"/>
      <c r="O229" s="873"/>
      <c r="P229" s="873"/>
      <c r="Q229" s="873"/>
      <c r="R229" s="873"/>
      <c r="S229" s="873"/>
      <c r="T229" s="873"/>
      <c r="U229" s="873"/>
      <c r="V229" s="873"/>
      <c r="W229" s="873"/>
      <c r="X229" s="873"/>
      <c r="Y229" s="873"/>
      <c r="Z229" s="873"/>
      <c r="AA229" s="873"/>
      <c r="AB229" s="873"/>
      <c r="AC229" s="873"/>
      <c r="AD229" s="873"/>
      <c r="AE229" s="873"/>
      <c r="AF229" s="873"/>
      <c r="AG229" s="873"/>
      <c r="AH229" s="873"/>
      <c r="AI229" s="873"/>
      <c r="AJ229" s="873"/>
      <c r="AK229" s="873"/>
      <c r="AL229" s="873"/>
      <c r="AM229" s="873"/>
      <c r="AN229" s="873"/>
      <c r="AO229" s="873"/>
      <c r="AP229" s="873"/>
      <c r="AQ229" s="873"/>
      <c r="AR229" s="873"/>
      <c r="AS229" s="873"/>
    </row>
    <row r="230" spans="1:45" ht="12.75" x14ac:dyDescent="0.2">
      <c r="A230" s="873"/>
      <c r="B230" s="873"/>
      <c r="C230" s="873"/>
      <c r="D230" s="873"/>
      <c r="E230" s="873"/>
      <c r="F230" s="873"/>
      <c r="G230" s="873"/>
      <c r="H230" s="873"/>
      <c r="I230" s="873"/>
      <c r="J230" s="873"/>
      <c r="K230" s="873"/>
      <c r="L230" s="873"/>
      <c r="M230" s="873"/>
      <c r="N230" s="873"/>
      <c r="O230" s="873"/>
      <c r="P230" s="873"/>
      <c r="Q230" s="873"/>
      <c r="R230" s="873"/>
      <c r="S230" s="873"/>
      <c r="T230" s="873"/>
      <c r="U230" s="873"/>
      <c r="V230" s="873"/>
      <c r="W230" s="873"/>
      <c r="X230" s="873"/>
      <c r="Y230" s="873"/>
      <c r="Z230" s="873"/>
      <c r="AA230" s="873"/>
      <c r="AB230" s="873"/>
      <c r="AC230" s="873"/>
      <c r="AD230" s="873"/>
      <c r="AE230" s="873"/>
      <c r="AF230" s="873"/>
      <c r="AG230" s="873"/>
      <c r="AH230" s="873"/>
      <c r="AI230" s="873"/>
      <c r="AJ230" s="873"/>
      <c r="AK230" s="873"/>
      <c r="AL230" s="873"/>
      <c r="AM230" s="873"/>
      <c r="AN230" s="873"/>
      <c r="AO230" s="873"/>
      <c r="AP230" s="873"/>
      <c r="AQ230" s="873"/>
      <c r="AR230" s="873"/>
      <c r="AS230" s="873"/>
    </row>
    <row r="231" spans="1:45" ht="12.75" x14ac:dyDescent="0.2">
      <c r="A231" s="873"/>
      <c r="B231" s="873"/>
      <c r="C231" s="873"/>
      <c r="D231" s="873"/>
      <c r="E231" s="873"/>
      <c r="F231" s="873"/>
      <c r="G231" s="873"/>
      <c r="H231" s="873"/>
      <c r="I231" s="873"/>
      <c r="J231" s="873"/>
      <c r="K231" s="873"/>
      <c r="L231" s="873"/>
      <c r="M231" s="873"/>
      <c r="N231" s="873"/>
      <c r="O231" s="873"/>
      <c r="P231" s="873"/>
      <c r="Q231" s="873"/>
      <c r="R231" s="873"/>
      <c r="S231" s="873"/>
      <c r="T231" s="873"/>
      <c r="U231" s="873"/>
      <c r="V231" s="873"/>
      <c r="W231" s="873"/>
      <c r="X231" s="873"/>
      <c r="Y231" s="873"/>
      <c r="Z231" s="873"/>
      <c r="AA231" s="873"/>
      <c r="AB231" s="873"/>
      <c r="AC231" s="873"/>
      <c r="AD231" s="873"/>
      <c r="AE231" s="873"/>
      <c r="AF231" s="873"/>
      <c r="AG231" s="873"/>
      <c r="AH231" s="873"/>
      <c r="AI231" s="873"/>
      <c r="AJ231" s="873"/>
      <c r="AK231" s="873"/>
      <c r="AL231" s="873"/>
      <c r="AM231" s="873"/>
      <c r="AN231" s="873"/>
      <c r="AO231" s="873"/>
      <c r="AP231" s="873"/>
      <c r="AQ231" s="873"/>
      <c r="AR231" s="873"/>
      <c r="AS231" s="873"/>
    </row>
    <row r="232" spans="1:45" ht="12.75" x14ac:dyDescent="0.2">
      <c r="A232" s="873"/>
      <c r="B232" s="873"/>
      <c r="C232" s="873"/>
      <c r="D232" s="873"/>
      <c r="E232" s="873"/>
      <c r="F232" s="873"/>
      <c r="G232" s="873"/>
      <c r="H232" s="873"/>
      <c r="I232" s="873"/>
      <c r="J232" s="873"/>
      <c r="K232" s="873"/>
      <c r="L232" s="873"/>
      <c r="M232" s="873"/>
      <c r="N232" s="873"/>
      <c r="O232" s="873"/>
      <c r="P232" s="873"/>
      <c r="Q232" s="873"/>
      <c r="R232" s="873"/>
      <c r="S232" s="873"/>
      <c r="T232" s="873"/>
      <c r="U232" s="873"/>
      <c r="V232" s="873"/>
      <c r="W232" s="873"/>
      <c r="X232" s="873"/>
      <c r="Y232" s="873"/>
      <c r="Z232" s="873"/>
      <c r="AA232" s="873"/>
      <c r="AB232" s="873"/>
      <c r="AC232" s="873"/>
      <c r="AD232" s="873"/>
      <c r="AE232" s="873"/>
      <c r="AF232" s="873"/>
      <c r="AG232" s="873"/>
      <c r="AH232" s="873"/>
      <c r="AI232" s="873"/>
      <c r="AJ232" s="873"/>
      <c r="AK232" s="873"/>
      <c r="AL232" s="873"/>
      <c r="AM232" s="873"/>
      <c r="AN232" s="873"/>
      <c r="AO232" s="873"/>
      <c r="AP232" s="873"/>
      <c r="AQ232" s="873"/>
      <c r="AR232" s="873"/>
      <c r="AS232" s="873"/>
    </row>
    <row r="233" spans="1:45" ht="12.75" x14ac:dyDescent="0.2">
      <c r="A233" s="873"/>
      <c r="B233" s="873"/>
      <c r="C233" s="873"/>
      <c r="D233" s="873"/>
      <c r="E233" s="873"/>
      <c r="F233" s="873"/>
      <c r="G233" s="873"/>
      <c r="H233" s="873"/>
      <c r="I233" s="873"/>
      <c r="J233" s="873"/>
      <c r="K233" s="873"/>
      <c r="L233" s="873"/>
      <c r="M233" s="873"/>
      <c r="N233" s="873"/>
      <c r="O233" s="873"/>
      <c r="P233" s="873"/>
      <c r="Q233" s="873"/>
      <c r="R233" s="873"/>
      <c r="S233" s="873"/>
      <c r="T233" s="873"/>
      <c r="U233" s="873"/>
      <c r="V233" s="873"/>
      <c r="W233" s="873"/>
      <c r="X233" s="873"/>
      <c r="Y233" s="873"/>
      <c r="Z233" s="873"/>
      <c r="AA233" s="873"/>
      <c r="AB233" s="873"/>
      <c r="AC233" s="873"/>
      <c r="AD233" s="873"/>
      <c r="AE233" s="873"/>
      <c r="AF233" s="873"/>
      <c r="AG233" s="873"/>
      <c r="AH233" s="873"/>
      <c r="AI233" s="873"/>
      <c r="AJ233" s="873"/>
      <c r="AK233" s="873"/>
      <c r="AL233" s="873"/>
      <c r="AM233" s="873"/>
      <c r="AN233" s="873"/>
      <c r="AO233" s="873"/>
      <c r="AP233" s="873"/>
      <c r="AQ233" s="873"/>
      <c r="AR233" s="873"/>
      <c r="AS233" s="873"/>
    </row>
    <row r="234" spans="1:45" ht="12.75" x14ac:dyDescent="0.2">
      <c r="A234" s="873"/>
      <c r="B234" s="873"/>
      <c r="C234" s="873"/>
      <c r="D234" s="873"/>
      <c r="E234" s="873"/>
      <c r="F234" s="873"/>
      <c r="G234" s="873"/>
      <c r="H234" s="873"/>
      <c r="I234" s="873"/>
      <c r="J234" s="873"/>
      <c r="K234" s="873"/>
      <c r="L234" s="873"/>
      <c r="M234" s="873"/>
      <c r="N234" s="873"/>
      <c r="O234" s="873"/>
      <c r="P234" s="873"/>
      <c r="Q234" s="873"/>
      <c r="R234" s="873"/>
      <c r="S234" s="873"/>
      <c r="T234" s="873"/>
      <c r="U234" s="873"/>
      <c r="V234" s="873"/>
      <c r="W234" s="873"/>
      <c r="X234" s="873"/>
      <c r="Y234" s="873"/>
      <c r="Z234" s="873"/>
      <c r="AA234" s="873"/>
      <c r="AB234" s="873"/>
      <c r="AC234" s="873"/>
      <c r="AD234" s="873"/>
      <c r="AE234" s="873"/>
      <c r="AF234" s="873"/>
      <c r="AG234" s="873"/>
      <c r="AH234" s="873"/>
      <c r="AI234" s="873"/>
      <c r="AJ234" s="873"/>
      <c r="AK234" s="873"/>
      <c r="AL234" s="873"/>
      <c r="AM234" s="873"/>
      <c r="AN234" s="873"/>
      <c r="AO234" s="873"/>
      <c r="AP234" s="873"/>
      <c r="AQ234" s="873"/>
      <c r="AR234" s="873"/>
      <c r="AS234" s="873"/>
    </row>
    <row r="235" spans="1:45" ht="12.75" x14ac:dyDescent="0.2">
      <c r="A235" s="873"/>
      <c r="B235" s="873"/>
      <c r="C235" s="873"/>
      <c r="D235" s="873"/>
      <c r="E235" s="873"/>
      <c r="F235" s="873"/>
      <c r="G235" s="873"/>
      <c r="H235" s="873"/>
      <c r="I235" s="873"/>
      <c r="J235" s="873"/>
      <c r="K235" s="873"/>
      <c r="L235" s="873"/>
      <c r="M235" s="873"/>
      <c r="N235" s="873"/>
      <c r="O235" s="873"/>
      <c r="P235" s="873"/>
      <c r="Q235" s="873"/>
      <c r="R235" s="873"/>
      <c r="S235" s="873"/>
      <c r="T235" s="873"/>
      <c r="U235" s="873"/>
      <c r="V235" s="873"/>
      <c r="W235" s="873"/>
      <c r="X235" s="873"/>
      <c r="Y235" s="873"/>
      <c r="Z235" s="873"/>
      <c r="AA235" s="873"/>
      <c r="AB235" s="873"/>
      <c r="AC235" s="873"/>
      <c r="AD235" s="873"/>
      <c r="AE235" s="873"/>
      <c r="AF235" s="873"/>
      <c r="AG235" s="873"/>
      <c r="AH235" s="873"/>
      <c r="AI235" s="873"/>
      <c r="AJ235" s="873"/>
      <c r="AK235" s="873"/>
      <c r="AL235" s="873"/>
      <c r="AM235" s="873"/>
      <c r="AN235" s="873"/>
      <c r="AO235" s="873"/>
      <c r="AP235" s="873"/>
      <c r="AQ235" s="873"/>
      <c r="AR235" s="873"/>
      <c r="AS235" s="873"/>
    </row>
    <row r="236" spans="1:45" ht="12.75" x14ac:dyDescent="0.2">
      <c r="A236" s="873"/>
      <c r="B236" s="873"/>
      <c r="C236" s="873"/>
      <c r="D236" s="873"/>
      <c r="E236" s="873"/>
      <c r="F236" s="873"/>
      <c r="G236" s="873"/>
      <c r="H236" s="873"/>
      <c r="I236" s="873"/>
      <c r="J236" s="873"/>
      <c r="K236" s="873"/>
      <c r="L236" s="873"/>
      <c r="M236" s="873"/>
      <c r="N236" s="873"/>
      <c r="O236" s="873"/>
      <c r="P236" s="873"/>
      <c r="Q236" s="873"/>
      <c r="R236" s="873"/>
      <c r="S236" s="873"/>
      <c r="T236" s="873"/>
      <c r="U236" s="873"/>
      <c r="V236" s="873"/>
      <c r="W236" s="873"/>
      <c r="X236" s="873"/>
      <c r="Y236" s="873"/>
      <c r="Z236" s="873"/>
      <c r="AA236" s="873"/>
      <c r="AB236" s="873"/>
      <c r="AC236" s="873"/>
      <c r="AD236" s="873"/>
      <c r="AE236" s="873"/>
      <c r="AF236" s="873"/>
      <c r="AG236" s="873"/>
      <c r="AH236" s="873"/>
      <c r="AI236" s="873"/>
      <c r="AJ236" s="873"/>
      <c r="AK236" s="873"/>
      <c r="AL236" s="873"/>
      <c r="AM236" s="873"/>
      <c r="AN236" s="873"/>
      <c r="AO236" s="873"/>
      <c r="AP236" s="873"/>
      <c r="AQ236" s="873"/>
      <c r="AR236" s="873"/>
      <c r="AS236" s="873"/>
    </row>
    <row r="237" spans="1:45" ht="12.75" x14ac:dyDescent="0.2">
      <c r="A237" s="873"/>
      <c r="B237" s="873"/>
      <c r="C237" s="873"/>
      <c r="D237" s="873"/>
      <c r="E237" s="873"/>
      <c r="F237" s="873"/>
      <c r="G237" s="873"/>
      <c r="H237" s="873"/>
      <c r="I237" s="873"/>
      <c r="J237" s="873"/>
      <c r="K237" s="873"/>
      <c r="L237" s="873"/>
      <c r="M237" s="873"/>
      <c r="N237" s="873"/>
      <c r="O237" s="873"/>
      <c r="P237" s="873"/>
      <c r="Q237" s="873"/>
      <c r="R237" s="873"/>
      <c r="S237" s="873"/>
      <c r="T237" s="873"/>
      <c r="U237" s="873"/>
      <c r="V237" s="873"/>
      <c r="W237" s="873"/>
      <c r="X237" s="873"/>
      <c r="Y237" s="873"/>
      <c r="Z237" s="873"/>
      <c r="AA237" s="873"/>
      <c r="AB237" s="873"/>
      <c r="AC237" s="873"/>
      <c r="AD237" s="873"/>
      <c r="AE237" s="873"/>
      <c r="AF237" s="873"/>
      <c r="AG237" s="873"/>
      <c r="AH237" s="873"/>
      <c r="AI237" s="873"/>
      <c r="AJ237" s="873"/>
      <c r="AK237" s="873"/>
      <c r="AL237" s="873"/>
      <c r="AM237" s="873"/>
      <c r="AN237" s="873"/>
      <c r="AO237" s="873"/>
      <c r="AP237" s="873"/>
      <c r="AQ237" s="873"/>
      <c r="AR237" s="873"/>
      <c r="AS237" s="873"/>
    </row>
    <row r="238" spans="1:45" ht="12.75" x14ac:dyDescent="0.2">
      <c r="A238" s="873"/>
      <c r="B238" s="873"/>
      <c r="C238" s="873"/>
      <c r="D238" s="873"/>
      <c r="E238" s="873"/>
      <c r="F238" s="873"/>
      <c r="G238" s="873"/>
      <c r="H238" s="873"/>
      <c r="I238" s="873"/>
      <c r="J238" s="873"/>
      <c r="K238" s="873"/>
      <c r="L238" s="873"/>
      <c r="M238" s="873"/>
      <c r="N238" s="873"/>
      <c r="O238" s="873"/>
      <c r="P238" s="873"/>
      <c r="Q238" s="873"/>
      <c r="R238" s="873"/>
      <c r="S238" s="873"/>
      <c r="T238" s="873"/>
      <c r="U238" s="873"/>
      <c r="V238" s="873"/>
      <c r="W238" s="873"/>
      <c r="X238" s="873"/>
      <c r="Y238" s="873"/>
      <c r="Z238" s="873"/>
      <c r="AA238" s="873"/>
      <c r="AB238" s="873"/>
      <c r="AC238" s="873"/>
      <c r="AD238" s="873"/>
      <c r="AE238" s="873"/>
      <c r="AF238" s="873"/>
      <c r="AG238" s="873"/>
      <c r="AH238" s="873"/>
      <c r="AI238" s="873"/>
      <c r="AJ238" s="873"/>
      <c r="AK238" s="873"/>
      <c r="AL238" s="873"/>
      <c r="AM238" s="873"/>
      <c r="AN238" s="873"/>
      <c r="AO238" s="873"/>
      <c r="AP238" s="873"/>
      <c r="AQ238" s="873"/>
      <c r="AR238" s="873"/>
      <c r="AS238" s="873"/>
    </row>
    <row r="239" spans="1:45" ht="12.75" x14ac:dyDescent="0.2">
      <c r="A239" s="873"/>
      <c r="B239" s="873"/>
      <c r="C239" s="873"/>
      <c r="D239" s="873"/>
      <c r="E239" s="873"/>
      <c r="F239" s="873"/>
      <c r="G239" s="873"/>
      <c r="H239" s="873"/>
      <c r="I239" s="873"/>
      <c r="J239" s="873"/>
      <c r="K239" s="873"/>
      <c r="L239" s="873"/>
      <c r="M239" s="873"/>
      <c r="N239" s="873"/>
      <c r="O239" s="873"/>
      <c r="P239" s="873"/>
      <c r="Q239" s="873"/>
      <c r="R239" s="873"/>
      <c r="S239" s="873"/>
      <c r="T239" s="873"/>
      <c r="U239" s="873"/>
      <c r="V239" s="873"/>
      <c r="W239" s="873"/>
      <c r="X239" s="873"/>
      <c r="Y239" s="873"/>
      <c r="Z239" s="873"/>
      <c r="AA239" s="873"/>
      <c r="AB239" s="873"/>
      <c r="AC239" s="873"/>
      <c r="AD239" s="873"/>
      <c r="AE239" s="873"/>
      <c r="AF239" s="873"/>
      <c r="AG239" s="873"/>
      <c r="AH239" s="873"/>
      <c r="AI239" s="873"/>
      <c r="AJ239" s="873"/>
      <c r="AK239" s="873"/>
      <c r="AL239" s="873"/>
      <c r="AM239" s="873"/>
      <c r="AN239" s="873"/>
      <c r="AO239" s="873"/>
      <c r="AP239" s="873"/>
      <c r="AQ239" s="873"/>
      <c r="AR239" s="873"/>
      <c r="AS239" s="873"/>
    </row>
    <row r="240" spans="1:45" ht="12.75" x14ac:dyDescent="0.2">
      <c r="A240" s="873"/>
      <c r="B240" s="873"/>
      <c r="C240" s="873"/>
      <c r="D240" s="873"/>
      <c r="E240" s="873"/>
      <c r="F240" s="873"/>
      <c r="G240" s="873"/>
      <c r="H240" s="873"/>
      <c r="I240" s="873"/>
      <c r="J240" s="873"/>
      <c r="K240" s="873"/>
      <c r="L240" s="873"/>
      <c r="M240" s="873"/>
      <c r="N240" s="873"/>
      <c r="O240" s="873"/>
      <c r="P240" s="873"/>
      <c r="Q240" s="873"/>
      <c r="R240" s="873"/>
      <c r="S240" s="873"/>
      <c r="T240" s="873"/>
      <c r="U240" s="873"/>
      <c r="V240" s="873"/>
      <c r="W240" s="873"/>
      <c r="X240" s="873"/>
      <c r="Y240" s="873"/>
      <c r="Z240" s="873"/>
      <c r="AA240" s="873"/>
      <c r="AB240" s="873"/>
      <c r="AC240" s="873"/>
      <c r="AD240" s="873"/>
      <c r="AE240" s="873"/>
      <c r="AF240" s="873"/>
      <c r="AG240" s="873"/>
      <c r="AH240" s="873"/>
      <c r="AI240" s="873"/>
      <c r="AJ240" s="873"/>
      <c r="AK240" s="873"/>
      <c r="AL240" s="873"/>
      <c r="AM240" s="873"/>
      <c r="AN240" s="873"/>
      <c r="AO240" s="873"/>
      <c r="AP240" s="873"/>
      <c r="AQ240" s="873"/>
      <c r="AR240" s="873"/>
      <c r="AS240" s="873"/>
    </row>
    <row r="241" spans="1:45" ht="12.75" x14ac:dyDescent="0.2">
      <c r="A241" s="873"/>
      <c r="B241" s="873"/>
      <c r="C241" s="873"/>
      <c r="D241" s="873"/>
      <c r="E241" s="873"/>
      <c r="F241" s="873"/>
      <c r="G241" s="873"/>
      <c r="H241" s="873"/>
      <c r="I241" s="873"/>
      <c r="J241" s="873"/>
      <c r="K241" s="873"/>
      <c r="L241" s="873"/>
      <c r="M241" s="873"/>
      <c r="N241" s="873"/>
      <c r="O241" s="873"/>
      <c r="P241" s="873"/>
      <c r="Q241" s="873"/>
      <c r="R241" s="873"/>
      <c r="S241" s="873"/>
      <c r="T241" s="873"/>
      <c r="U241" s="873"/>
      <c r="V241" s="873"/>
      <c r="W241" s="873"/>
      <c r="X241" s="873"/>
      <c r="Y241" s="873"/>
      <c r="Z241" s="873"/>
      <c r="AA241" s="873"/>
      <c r="AB241" s="873"/>
      <c r="AC241" s="873"/>
      <c r="AD241" s="873"/>
      <c r="AE241" s="873"/>
      <c r="AF241" s="873"/>
      <c r="AG241" s="873"/>
      <c r="AH241" s="873"/>
      <c r="AI241" s="873"/>
      <c r="AJ241" s="873"/>
      <c r="AK241" s="873"/>
      <c r="AL241" s="873"/>
      <c r="AM241" s="873"/>
      <c r="AN241" s="873"/>
      <c r="AO241" s="873"/>
      <c r="AP241" s="873"/>
      <c r="AQ241" s="873"/>
      <c r="AR241" s="873"/>
      <c r="AS241" s="873"/>
    </row>
    <row r="242" spans="1:45" ht="12.75" x14ac:dyDescent="0.2">
      <c r="A242" s="873"/>
      <c r="B242" s="873"/>
      <c r="C242" s="873"/>
      <c r="D242" s="873"/>
      <c r="E242" s="873"/>
      <c r="F242" s="873"/>
      <c r="G242" s="873"/>
      <c r="H242" s="873"/>
      <c r="I242" s="873"/>
      <c r="J242" s="873"/>
      <c r="K242" s="873"/>
      <c r="L242" s="873"/>
      <c r="M242" s="873"/>
      <c r="N242" s="873"/>
      <c r="O242" s="873"/>
      <c r="P242" s="873"/>
      <c r="Q242" s="873"/>
      <c r="R242" s="873"/>
      <c r="S242" s="873"/>
      <c r="T242" s="873"/>
      <c r="U242" s="873"/>
      <c r="V242" s="873"/>
      <c r="W242" s="873"/>
      <c r="X242" s="873"/>
      <c r="Y242" s="873"/>
      <c r="Z242" s="873"/>
      <c r="AA242" s="873"/>
      <c r="AB242" s="873"/>
      <c r="AC242" s="873"/>
      <c r="AD242" s="873"/>
      <c r="AE242" s="873"/>
      <c r="AF242" s="873"/>
      <c r="AG242" s="873"/>
      <c r="AH242" s="873"/>
      <c r="AI242" s="873"/>
      <c r="AJ242" s="873"/>
      <c r="AK242" s="873"/>
      <c r="AL242" s="873"/>
      <c r="AM242" s="873"/>
      <c r="AN242" s="873"/>
      <c r="AO242" s="873"/>
      <c r="AP242" s="873"/>
      <c r="AQ242" s="873"/>
      <c r="AR242" s="873"/>
      <c r="AS242" s="873"/>
    </row>
    <row r="243" spans="1:45" ht="12.75" x14ac:dyDescent="0.2">
      <c r="A243" s="873"/>
      <c r="B243" s="873"/>
      <c r="C243" s="873"/>
      <c r="D243" s="873"/>
      <c r="E243" s="873"/>
      <c r="F243" s="873"/>
      <c r="G243" s="873"/>
      <c r="H243" s="873"/>
      <c r="I243" s="873"/>
      <c r="J243" s="873"/>
      <c r="K243" s="873"/>
      <c r="L243" s="873"/>
      <c r="M243" s="873"/>
      <c r="N243" s="873"/>
      <c r="O243" s="873"/>
      <c r="P243" s="873"/>
      <c r="Q243" s="873"/>
      <c r="R243" s="873"/>
      <c r="S243" s="873"/>
      <c r="T243" s="873"/>
      <c r="U243" s="873"/>
      <c r="V243" s="873"/>
      <c r="W243" s="873"/>
      <c r="X243" s="873"/>
      <c r="Y243" s="873"/>
      <c r="Z243" s="873"/>
      <c r="AA243" s="873"/>
      <c r="AB243" s="873"/>
      <c r="AC243" s="873"/>
      <c r="AD243" s="873"/>
      <c r="AE243" s="873"/>
      <c r="AF243" s="873"/>
      <c r="AG243" s="873"/>
      <c r="AH243" s="873"/>
      <c r="AI243" s="873"/>
      <c r="AJ243" s="873"/>
      <c r="AK243" s="873"/>
      <c r="AL243" s="873"/>
      <c r="AM243" s="873"/>
      <c r="AN243" s="873"/>
      <c r="AO243" s="873"/>
      <c r="AP243" s="873"/>
      <c r="AQ243" s="873"/>
      <c r="AR243" s="873"/>
      <c r="AS243" s="873"/>
    </row>
    <row r="244" spans="1:45" ht="12.75" x14ac:dyDescent="0.2">
      <c r="A244" s="873"/>
      <c r="B244" s="873"/>
      <c r="C244" s="873"/>
      <c r="D244" s="873"/>
      <c r="E244" s="873"/>
      <c r="F244" s="873"/>
      <c r="G244" s="873"/>
      <c r="H244" s="873"/>
      <c r="I244" s="873"/>
      <c r="J244" s="873"/>
      <c r="K244" s="873"/>
      <c r="L244" s="873"/>
      <c r="M244" s="873"/>
      <c r="N244" s="873"/>
      <c r="O244" s="873"/>
      <c r="P244" s="873"/>
      <c r="Q244" s="873"/>
      <c r="R244" s="873"/>
      <c r="S244" s="873"/>
      <c r="T244" s="873"/>
      <c r="U244" s="873"/>
      <c r="V244" s="873"/>
      <c r="W244" s="873"/>
      <c r="X244" s="873"/>
      <c r="Y244" s="873"/>
      <c r="Z244" s="873"/>
      <c r="AA244" s="873"/>
      <c r="AB244" s="873"/>
      <c r="AC244" s="873"/>
      <c r="AD244" s="873"/>
      <c r="AE244" s="873"/>
      <c r="AF244" s="873"/>
      <c r="AG244" s="873"/>
      <c r="AH244" s="873"/>
      <c r="AI244" s="873"/>
      <c r="AJ244" s="873"/>
      <c r="AK244" s="873"/>
      <c r="AL244" s="873"/>
      <c r="AM244" s="873"/>
      <c r="AN244" s="873"/>
      <c r="AO244" s="873"/>
      <c r="AP244" s="873"/>
      <c r="AQ244" s="873"/>
      <c r="AR244" s="873"/>
      <c r="AS244" s="873"/>
    </row>
    <row r="245" spans="1:45" ht="12.75" x14ac:dyDescent="0.2">
      <c r="A245" s="873"/>
      <c r="B245" s="873"/>
      <c r="C245" s="873"/>
      <c r="D245" s="873"/>
      <c r="E245" s="873"/>
      <c r="F245" s="873"/>
      <c r="G245" s="873"/>
      <c r="H245" s="873"/>
      <c r="I245" s="873"/>
      <c r="J245" s="873"/>
      <c r="K245" s="873"/>
      <c r="L245" s="873"/>
      <c r="M245" s="873"/>
      <c r="N245" s="873"/>
      <c r="O245" s="873"/>
      <c r="P245" s="873"/>
      <c r="Q245" s="873"/>
      <c r="R245" s="873"/>
      <c r="S245" s="873"/>
      <c r="T245" s="873"/>
      <c r="U245" s="873"/>
      <c r="V245" s="873"/>
      <c r="W245" s="873"/>
      <c r="X245" s="873"/>
      <c r="Y245" s="873"/>
      <c r="Z245" s="873"/>
      <c r="AA245" s="873"/>
      <c r="AB245" s="873"/>
      <c r="AC245" s="873"/>
      <c r="AD245" s="873"/>
      <c r="AE245" s="873"/>
      <c r="AF245" s="873"/>
      <c r="AG245" s="873"/>
      <c r="AH245" s="873"/>
      <c r="AI245" s="873"/>
      <c r="AJ245" s="873"/>
      <c r="AK245" s="873"/>
      <c r="AL245" s="873"/>
      <c r="AM245" s="873"/>
      <c r="AN245" s="873"/>
      <c r="AO245" s="873"/>
      <c r="AP245" s="873"/>
      <c r="AQ245" s="873"/>
      <c r="AR245" s="873"/>
      <c r="AS245" s="873"/>
    </row>
    <row r="246" spans="1:45" ht="12.75" x14ac:dyDescent="0.2">
      <c r="A246" s="873"/>
      <c r="B246" s="873"/>
      <c r="C246" s="873"/>
      <c r="D246" s="873"/>
      <c r="E246" s="873"/>
      <c r="F246" s="873"/>
      <c r="G246" s="873"/>
      <c r="H246" s="873"/>
      <c r="I246" s="873"/>
      <c r="J246" s="873"/>
      <c r="K246" s="873"/>
      <c r="L246" s="873"/>
      <c r="M246" s="873"/>
      <c r="N246" s="873"/>
      <c r="O246" s="873"/>
      <c r="P246" s="873"/>
      <c r="Q246" s="873"/>
      <c r="R246" s="873"/>
      <c r="S246" s="873"/>
      <c r="T246" s="873"/>
      <c r="U246" s="873"/>
      <c r="V246" s="873"/>
      <c r="W246" s="873"/>
      <c r="X246" s="873"/>
      <c r="Y246" s="873"/>
      <c r="Z246" s="873"/>
      <c r="AA246" s="873"/>
      <c r="AB246" s="873"/>
      <c r="AC246" s="873"/>
      <c r="AD246" s="873"/>
      <c r="AE246" s="873"/>
      <c r="AF246" s="873"/>
      <c r="AG246" s="873"/>
      <c r="AH246" s="873"/>
      <c r="AI246" s="873"/>
      <c r="AJ246" s="873"/>
      <c r="AK246" s="873"/>
      <c r="AL246" s="873"/>
      <c r="AM246" s="873"/>
      <c r="AN246" s="873"/>
      <c r="AO246" s="873"/>
      <c r="AP246" s="873"/>
      <c r="AQ246" s="873"/>
      <c r="AR246" s="873"/>
      <c r="AS246" s="873"/>
    </row>
    <row r="247" spans="1:45" ht="12.75" x14ac:dyDescent="0.2">
      <c r="A247" s="873"/>
      <c r="B247" s="873"/>
      <c r="C247" s="873"/>
      <c r="D247" s="873"/>
      <c r="E247" s="873"/>
      <c r="F247" s="873"/>
      <c r="G247" s="873"/>
      <c r="H247" s="873"/>
      <c r="I247" s="873"/>
      <c r="J247" s="873"/>
      <c r="K247" s="873"/>
      <c r="L247" s="873"/>
      <c r="M247" s="873"/>
      <c r="N247" s="873"/>
      <c r="O247" s="873"/>
      <c r="P247" s="873"/>
      <c r="Q247" s="873"/>
      <c r="R247" s="873"/>
      <c r="S247" s="873"/>
      <c r="T247" s="873"/>
      <c r="U247" s="873"/>
      <c r="V247" s="873"/>
      <c r="W247" s="873"/>
      <c r="X247" s="873"/>
      <c r="Y247" s="873"/>
      <c r="Z247" s="873"/>
      <c r="AA247" s="873"/>
      <c r="AB247" s="873"/>
      <c r="AC247" s="873"/>
      <c r="AD247" s="873"/>
      <c r="AE247" s="873"/>
      <c r="AF247" s="873"/>
      <c r="AG247" s="873"/>
      <c r="AH247" s="873"/>
      <c r="AI247" s="873"/>
      <c r="AJ247" s="873"/>
      <c r="AK247" s="873"/>
      <c r="AL247" s="873"/>
      <c r="AM247" s="873"/>
      <c r="AN247" s="873"/>
      <c r="AO247" s="873"/>
      <c r="AP247" s="873"/>
      <c r="AQ247" s="873"/>
      <c r="AR247" s="873"/>
      <c r="AS247" s="873"/>
    </row>
    <row r="248" spans="1:45" ht="12.75" x14ac:dyDescent="0.2">
      <c r="A248" s="873"/>
      <c r="B248" s="873"/>
      <c r="C248" s="873"/>
      <c r="D248" s="873"/>
      <c r="E248" s="873"/>
      <c r="F248" s="873"/>
      <c r="G248" s="873"/>
      <c r="H248" s="873"/>
      <c r="I248" s="873"/>
      <c r="J248" s="873"/>
      <c r="K248" s="873"/>
      <c r="L248" s="873"/>
      <c r="M248" s="873"/>
      <c r="N248" s="873"/>
      <c r="O248" s="873"/>
      <c r="P248" s="873"/>
      <c r="Q248" s="873"/>
      <c r="R248" s="873"/>
      <c r="S248" s="873"/>
      <c r="T248" s="873"/>
      <c r="U248" s="873"/>
      <c r="V248" s="873"/>
      <c r="W248" s="873"/>
      <c r="X248" s="873"/>
      <c r="Y248" s="873"/>
      <c r="Z248" s="873"/>
      <c r="AA248" s="873"/>
      <c r="AB248" s="873"/>
      <c r="AC248" s="873"/>
      <c r="AD248" s="873"/>
      <c r="AE248" s="873"/>
      <c r="AF248" s="873"/>
      <c r="AG248" s="873"/>
      <c r="AH248" s="873"/>
      <c r="AI248" s="873"/>
      <c r="AJ248" s="873"/>
      <c r="AK248" s="873"/>
      <c r="AL248" s="873"/>
      <c r="AM248" s="873"/>
      <c r="AN248" s="873"/>
      <c r="AO248" s="873"/>
      <c r="AP248" s="873"/>
      <c r="AQ248" s="873"/>
      <c r="AR248" s="873"/>
      <c r="AS248" s="873"/>
    </row>
    <row r="249" spans="1:45" ht="12.75" x14ac:dyDescent="0.2">
      <c r="A249" s="873"/>
      <c r="B249" s="873"/>
      <c r="C249" s="873"/>
      <c r="D249" s="873"/>
      <c r="E249" s="873"/>
      <c r="F249" s="873"/>
      <c r="G249" s="873"/>
      <c r="H249" s="873"/>
      <c r="I249" s="873"/>
      <c r="J249" s="873"/>
      <c r="K249" s="873"/>
      <c r="L249" s="873"/>
      <c r="M249" s="873"/>
      <c r="N249" s="873"/>
      <c r="O249" s="873"/>
      <c r="P249" s="873"/>
      <c r="Q249" s="873"/>
      <c r="R249" s="873"/>
      <c r="S249" s="873"/>
      <c r="T249" s="873"/>
      <c r="U249" s="873"/>
      <c r="V249" s="873"/>
      <c r="W249" s="873"/>
      <c r="X249" s="873"/>
      <c r="Y249" s="873"/>
      <c r="Z249" s="873"/>
      <c r="AA249" s="873"/>
      <c r="AB249" s="873"/>
      <c r="AC249" s="873"/>
      <c r="AD249" s="873"/>
      <c r="AE249" s="873"/>
      <c r="AF249" s="873"/>
      <c r="AG249" s="873"/>
      <c r="AH249" s="873"/>
      <c r="AI249" s="873"/>
      <c r="AJ249" s="873"/>
      <c r="AK249" s="873"/>
      <c r="AL249" s="873"/>
      <c r="AM249" s="873"/>
      <c r="AN249" s="873"/>
      <c r="AO249" s="873"/>
      <c r="AP249" s="873"/>
      <c r="AQ249" s="873"/>
      <c r="AR249" s="873"/>
      <c r="AS249" s="873"/>
    </row>
    <row r="250" spans="1:45" ht="12.75" x14ac:dyDescent="0.2">
      <c r="A250" s="873"/>
      <c r="B250" s="873"/>
      <c r="C250" s="873"/>
      <c r="D250" s="873"/>
      <c r="E250" s="873"/>
      <c r="F250" s="873"/>
      <c r="G250" s="873"/>
      <c r="H250" s="873"/>
      <c r="I250" s="873"/>
      <c r="J250" s="873"/>
      <c r="K250" s="873"/>
      <c r="L250" s="873"/>
      <c r="M250" s="873"/>
      <c r="N250" s="873"/>
      <c r="O250" s="873"/>
      <c r="P250" s="873"/>
      <c r="Q250" s="873"/>
      <c r="R250" s="873"/>
      <c r="S250" s="873"/>
      <c r="T250" s="873"/>
      <c r="U250" s="873"/>
      <c r="V250" s="873"/>
      <c r="W250" s="873"/>
      <c r="X250" s="873"/>
      <c r="Y250" s="873"/>
      <c r="Z250" s="873"/>
      <c r="AA250" s="873"/>
      <c r="AB250" s="873"/>
      <c r="AC250" s="873"/>
      <c r="AD250" s="873"/>
      <c r="AE250" s="873"/>
      <c r="AF250" s="873"/>
      <c r="AG250" s="873"/>
      <c r="AH250" s="873"/>
      <c r="AI250" s="873"/>
      <c r="AJ250" s="873"/>
      <c r="AK250" s="873"/>
      <c r="AL250" s="873"/>
      <c r="AM250" s="873"/>
      <c r="AN250" s="873"/>
      <c r="AO250" s="873"/>
      <c r="AP250" s="873"/>
      <c r="AQ250" s="873"/>
      <c r="AR250" s="873"/>
      <c r="AS250" s="873"/>
    </row>
    <row r="251" spans="1:45" ht="12.75" x14ac:dyDescent="0.2">
      <c r="A251" s="873"/>
      <c r="B251" s="873"/>
      <c r="C251" s="873"/>
      <c r="D251" s="873"/>
      <c r="E251" s="873"/>
      <c r="F251" s="873"/>
      <c r="G251" s="873"/>
      <c r="H251" s="873"/>
      <c r="I251" s="873"/>
      <c r="J251" s="873"/>
      <c r="K251" s="873"/>
      <c r="L251" s="873"/>
      <c r="M251" s="873"/>
      <c r="N251" s="873"/>
      <c r="O251" s="873"/>
      <c r="P251" s="873"/>
      <c r="Q251" s="873"/>
      <c r="R251" s="873"/>
      <c r="S251" s="873"/>
      <c r="T251" s="873"/>
      <c r="U251" s="873"/>
      <c r="V251" s="873"/>
      <c r="W251" s="873"/>
      <c r="X251" s="873"/>
      <c r="Y251" s="873"/>
      <c r="Z251" s="873"/>
      <c r="AA251" s="873"/>
      <c r="AB251" s="873"/>
      <c r="AC251" s="873"/>
      <c r="AD251" s="873"/>
      <c r="AE251" s="873"/>
      <c r="AF251" s="873"/>
      <c r="AG251" s="873"/>
      <c r="AH251" s="873"/>
      <c r="AI251" s="873"/>
      <c r="AJ251" s="873"/>
      <c r="AK251" s="873"/>
      <c r="AL251" s="873"/>
      <c r="AM251" s="873"/>
      <c r="AN251" s="873"/>
      <c r="AO251" s="873"/>
      <c r="AP251" s="873"/>
      <c r="AQ251" s="873"/>
      <c r="AR251" s="873"/>
      <c r="AS251" s="873"/>
    </row>
    <row r="252" spans="1:45" ht="12.75" x14ac:dyDescent="0.2">
      <c r="A252" s="873"/>
      <c r="B252" s="873"/>
      <c r="C252" s="873"/>
      <c r="D252" s="873"/>
      <c r="E252" s="873"/>
      <c r="F252" s="873"/>
      <c r="G252" s="873"/>
      <c r="H252" s="873"/>
      <c r="I252" s="873"/>
      <c r="J252" s="873"/>
      <c r="K252" s="873"/>
      <c r="L252" s="873"/>
      <c r="M252" s="873"/>
      <c r="N252" s="873"/>
      <c r="O252" s="873"/>
      <c r="P252" s="873"/>
      <c r="Q252" s="873"/>
      <c r="R252" s="873"/>
      <c r="S252" s="873"/>
      <c r="T252" s="873"/>
      <c r="U252" s="873"/>
      <c r="V252" s="873"/>
      <c r="W252" s="873"/>
      <c r="X252" s="873"/>
      <c r="Y252" s="873"/>
      <c r="Z252" s="873"/>
      <c r="AA252" s="873"/>
      <c r="AB252" s="873"/>
      <c r="AC252" s="873"/>
      <c r="AD252" s="873"/>
      <c r="AE252" s="873"/>
      <c r="AF252" s="873"/>
      <c r="AG252" s="873"/>
      <c r="AH252" s="873"/>
      <c r="AI252" s="873"/>
      <c r="AJ252" s="873"/>
      <c r="AK252" s="873"/>
      <c r="AL252" s="873"/>
      <c r="AM252" s="873"/>
      <c r="AN252" s="873"/>
      <c r="AO252" s="873"/>
      <c r="AP252" s="873"/>
      <c r="AQ252" s="873"/>
      <c r="AR252" s="873"/>
      <c r="AS252" s="873"/>
    </row>
    <row r="253" spans="1:45" ht="12.75" x14ac:dyDescent="0.2">
      <c r="A253" s="873"/>
      <c r="B253" s="873"/>
      <c r="C253" s="873"/>
      <c r="D253" s="873"/>
      <c r="E253" s="873"/>
      <c r="F253" s="873"/>
      <c r="G253" s="873"/>
      <c r="H253" s="873"/>
      <c r="I253" s="873"/>
      <c r="J253" s="873"/>
      <c r="K253" s="873"/>
      <c r="L253" s="873"/>
      <c r="M253" s="873"/>
      <c r="N253" s="873"/>
      <c r="O253" s="873"/>
      <c r="P253" s="873"/>
      <c r="Q253" s="873"/>
      <c r="R253" s="873"/>
      <c r="S253" s="873"/>
      <c r="T253" s="873"/>
      <c r="U253" s="873"/>
      <c r="V253" s="873"/>
      <c r="W253" s="873"/>
      <c r="X253" s="873"/>
      <c r="Y253" s="873"/>
      <c r="Z253" s="873"/>
      <c r="AA253" s="873"/>
      <c r="AB253" s="873"/>
      <c r="AC253" s="873"/>
      <c r="AD253" s="873"/>
      <c r="AE253" s="873"/>
      <c r="AF253" s="873"/>
      <c r="AG253" s="873"/>
      <c r="AH253" s="873"/>
      <c r="AI253" s="873"/>
      <c r="AJ253" s="873"/>
      <c r="AK253" s="873"/>
      <c r="AL253" s="873"/>
      <c r="AM253" s="873"/>
      <c r="AN253" s="873"/>
      <c r="AO253" s="873"/>
      <c r="AP253" s="873"/>
      <c r="AQ253" s="873"/>
      <c r="AR253" s="873"/>
      <c r="AS253" s="873"/>
    </row>
    <row r="254" spans="1:45" ht="12.75" x14ac:dyDescent="0.2">
      <c r="A254" s="873"/>
      <c r="B254" s="873"/>
      <c r="C254" s="873"/>
      <c r="D254" s="873"/>
      <c r="E254" s="873"/>
      <c r="F254" s="873"/>
      <c r="G254" s="873"/>
      <c r="H254" s="873"/>
      <c r="I254" s="873"/>
      <c r="J254" s="873"/>
      <c r="K254" s="873"/>
      <c r="L254" s="873"/>
      <c r="M254" s="873"/>
      <c r="N254" s="873"/>
      <c r="O254" s="873"/>
      <c r="P254" s="873"/>
      <c r="Q254" s="873"/>
      <c r="R254" s="873"/>
      <c r="S254" s="873"/>
      <c r="T254" s="873"/>
      <c r="U254" s="873"/>
      <c r="V254" s="873"/>
      <c r="W254" s="873"/>
      <c r="X254" s="873"/>
      <c r="Y254" s="873"/>
      <c r="Z254" s="873"/>
      <c r="AA254" s="873"/>
      <c r="AB254" s="873"/>
      <c r="AC254" s="873"/>
      <c r="AD254" s="873"/>
      <c r="AE254" s="873"/>
      <c r="AF254" s="873"/>
      <c r="AG254" s="873"/>
      <c r="AH254" s="873"/>
      <c r="AI254" s="873"/>
      <c r="AJ254" s="873"/>
      <c r="AK254" s="873"/>
      <c r="AL254" s="873"/>
      <c r="AM254" s="873"/>
      <c r="AN254" s="873"/>
      <c r="AO254" s="873"/>
      <c r="AP254" s="873"/>
      <c r="AQ254" s="873"/>
      <c r="AR254" s="873"/>
      <c r="AS254" s="873"/>
    </row>
    <row r="255" spans="1:45" ht="12.75" x14ac:dyDescent="0.2">
      <c r="A255" s="873"/>
      <c r="B255" s="873"/>
      <c r="C255" s="873"/>
      <c r="D255" s="873"/>
      <c r="E255" s="873"/>
      <c r="F255" s="873"/>
      <c r="G255" s="873"/>
      <c r="H255" s="873"/>
      <c r="I255" s="873"/>
      <c r="J255" s="873"/>
      <c r="K255" s="873"/>
      <c r="L255" s="873"/>
      <c r="M255" s="873"/>
      <c r="N255" s="873"/>
      <c r="O255" s="873"/>
      <c r="P255" s="873"/>
      <c r="Q255" s="873"/>
      <c r="R255" s="873"/>
      <c r="S255" s="873"/>
      <c r="T255" s="873"/>
      <c r="U255" s="873"/>
      <c r="V255" s="873"/>
      <c r="W255" s="873"/>
      <c r="X255" s="873"/>
      <c r="Y255" s="873"/>
      <c r="Z255" s="873"/>
      <c r="AA255" s="873"/>
      <c r="AB255" s="873"/>
      <c r="AC255" s="873"/>
      <c r="AD255" s="873"/>
      <c r="AE255" s="873"/>
      <c r="AF255" s="873"/>
      <c r="AG255" s="873"/>
      <c r="AH255" s="873"/>
      <c r="AI255" s="873"/>
      <c r="AJ255" s="873"/>
      <c r="AK255" s="873"/>
      <c r="AL255" s="873"/>
      <c r="AM255" s="873"/>
      <c r="AN255" s="873"/>
      <c r="AO255" s="873"/>
      <c r="AP255" s="873"/>
      <c r="AQ255" s="873"/>
      <c r="AR255" s="873"/>
      <c r="AS255" s="873"/>
    </row>
    <row r="256" spans="1:45" ht="12.75" x14ac:dyDescent="0.2">
      <c r="A256" s="873"/>
      <c r="B256" s="873"/>
      <c r="C256" s="873"/>
      <c r="D256" s="873"/>
      <c r="E256" s="873"/>
      <c r="F256" s="873"/>
      <c r="G256" s="873"/>
      <c r="H256" s="873"/>
      <c r="I256" s="873"/>
      <c r="J256" s="873"/>
      <c r="K256" s="873"/>
      <c r="L256" s="873"/>
      <c r="M256" s="873"/>
      <c r="N256" s="873"/>
      <c r="O256" s="873"/>
      <c r="P256" s="873"/>
      <c r="Q256" s="873"/>
      <c r="R256" s="873"/>
      <c r="S256" s="873"/>
      <c r="T256" s="873"/>
      <c r="U256" s="873"/>
      <c r="V256" s="873"/>
      <c r="W256" s="873"/>
      <c r="X256" s="873"/>
      <c r="Y256" s="873"/>
      <c r="Z256" s="873"/>
      <c r="AA256" s="873"/>
      <c r="AB256" s="873"/>
      <c r="AC256" s="873"/>
      <c r="AD256" s="873"/>
      <c r="AE256" s="873"/>
      <c r="AF256" s="873"/>
      <c r="AG256" s="873"/>
      <c r="AH256" s="873"/>
      <c r="AI256" s="873"/>
      <c r="AJ256" s="873"/>
      <c r="AK256" s="873"/>
      <c r="AL256" s="873"/>
      <c r="AM256" s="873"/>
      <c r="AN256" s="873"/>
      <c r="AO256" s="873"/>
      <c r="AP256" s="873"/>
      <c r="AQ256" s="873"/>
      <c r="AR256" s="873"/>
      <c r="AS256" s="873"/>
    </row>
    <row r="257" spans="1:45" ht="12.75" x14ac:dyDescent="0.2">
      <c r="A257" s="873"/>
      <c r="B257" s="873"/>
      <c r="C257" s="873"/>
      <c r="D257" s="873"/>
      <c r="E257" s="873"/>
      <c r="F257" s="873"/>
      <c r="G257" s="873"/>
      <c r="H257" s="873"/>
      <c r="I257" s="873"/>
      <c r="J257" s="873"/>
      <c r="K257" s="873"/>
      <c r="L257" s="873"/>
      <c r="M257" s="873"/>
      <c r="N257" s="873"/>
      <c r="O257" s="873"/>
      <c r="P257" s="873"/>
      <c r="Q257" s="873"/>
      <c r="R257" s="873"/>
      <c r="S257" s="873"/>
      <c r="T257" s="873"/>
      <c r="U257" s="873"/>
      <c r="V257" s="873"/>
      <c r="W257" s="873"/>
      <c r="X257" s="873"/>
      <c r="Y257" s="873"/>
      <c r="Z257" s="873"/>
      <c r="AA257" s="873"/>
      <c r="AB257" s="873"/>
      <c r="AC257" s="873"/>
      <c r="AD257" s="873"/>
      <c r="AE257" s="873"/>
      <c r="AF257" s="873"/>
      <c r="AG257" s="873"/>
      <c r="AH257" s="873"/>
      <c r="AI257" s="873"/>
      <c r="AJ257" s="873"/>
      <c r="AK257" s="873"/>
      <c r="AL257" s="873"/>
      <c r="AM257" s="873"/>
      <c r="AN257" s="873"/>
      <c r="AO257" s="873"/>
      <c r="AP257" s="873"/>
      <c r="AQ257" s="873"/>
      <c r="AR257" s="873"/>
      <c r="AS257" s="873"/>
    </row>
    <row r="258" spans="1:45" ht="12.75" x14ac:dyDescent="0.2">
      <c r="A258" s="873"/>
      <c r="B258" s="873"/>
      <c r="C258" s="873"/>
      <c r="D258" s="873"/>
      <c r="E258" s="873"/>
      <c r="F258" s="873"/>
      <c r="G258" s="873"/>
      <c r="H258" s="873"/>
      <c r="I258" s="873"/>
      <c r="J258" s="873"/>
      <c r="K258" s="873"/>
      <c r="L258" s="873"/>
      <c r="M258" s="873"/>
      <c r="N258" s="873"/>
      <c r="O258" s="873"/>
      <c r="P258" s="873"/>
      <c r="Q258" s="873"/>
      <c r="R258" s="873"/>
      <c r="S258" s="873"/>
      <c r="T258" s="873"/>
      <c r="U258" s="873"/>
      <c r="V258" s="873"/>
      <c r="W258" s="873"/>
      <c r="X258" s="873"/>
      <c r="Y258" s="873"/>
      <c r="Z258" s="873"/>
      <c r="AA258" s="873"/>
      <c r="AB258" s="873"/>
      <c r="AC258" s="873"/>
      <c r="AD258" s="873"/>
      <c r="AE258" s="873"/>
      <c r="AF258" s="873"/>
      <c r="AG258" s="873"/>
      <c r="AH258" s="873"/>
      <c r="AI258" s="873"/>
      <c r="AJ258" s="873"/>
      <c r="AK258" s="873"/>
      <c r="AL258" s="873"/>
      <c r="AM258" s="873"/>
      <c r="AN258" s="873"/>
      <c r="AO258" s="873"/>
      <c r="AP258" s="873"/>
      <c r="AQ258" s="873"/>
      <c r="AR258" s="873"/>
      <c r="AS258" s="873"/>
    </row>
    <row r="259" spans="1:45" ht="12.75" x14ac:dyDescent="0.2">
      <c r="A259" s="873"/>
      <c r="B259" s="873"/>
      <c r="C259" s="873"/>
      <c r="D259" s="873"/>
      <c r="E259" s="873"/>
      <c r="F259" s="873"/>
      <c r="G259" s="873"/>
      <c r="H259" s="873"/>
      <c r="I259" s="873"/>
      <c r="J259" s="873"/>
      <c r="K259" s="873"/>
      <c r="L259" s="873"/>
      <c r="M259" s="873"/>
      <c r="N259" s="873"/>
      <c r="O259" s="873"/>
      <c r="P259" s="873"/>
      <c r="Q259" s="873"/>
      <c r="R259" s="873"/>
      <c r="S259" s="873"/>
      <c r="T259" s="873"/>
      <c r="U259" s="873"/>
      <c r="V259" s="873"/>
      <c r="W259" s="873"/>
      <c r="X259" s="873"/>
      <c r="Y259" s="873"/>
      <c r="Z259" s="873"/>
      <c r="AA259" s="873"/>
      <c r="AB259" s="873"/>
      <c r="AC259" s="873"/>
      <c r="AD259" s="873"/>
      <c r="AE259" s="873"/>
      <c r="AF259" s="873"/>
      <c r="AG259" s="873"/>
      <c r="AH259" s="873"/>
      <c r="AI259" s="873"/>
      <c r="AJ259" s="873"/>
      <c r="AK259" s="873"/>
      <c r="AL259" s="873"/>
      <c r="AM259" s="873"/>
      <c r="AN259" s="873"/>
      <c r="AO259" s="873"/>
      <c r="AP259" s="873"/>
      <c r="AQ259" s="873"/>
      <c r="AR259" s="873"/>
      <c r="AS259" s="873"/>
    </row>
    <row r="260" spans="1:45" ht="12.75" x14ac:dyDescent="0.2">
      <c r="A260" s="873"/>
      <c r="B260" s="873"/>
      <c r="C260" s="873"/>
      <c r="D260" s="873"/>
      <c r="E260" s="873"/>
      <c r="F260" s="873"/>
      <c r="G260" s="873"/>
      <c r="H260" s="873"/>
      <c r="I260" s="873"/>
      <c r="J260" s="873"/>
      <c r="K260" s="873"/>
      <c r="L260" s="873"/>
      <c r="M260" s="873"/>
      <c r="N260" s="873"/>
      <c r="O260" s="873"/>
      <c r="P260" s="873"/>
      <c r="Q260" s="873"/>
      <c r="R260" s="873"/>
      <c r="S260" s="873"/>
      <c r="T260" s="873"/>
      <c r="U260" s="873"/>
      <c r="V260" s="873"/>
      <c r="W260" s="873"/>
      <c r="X260" s="873"/>
      <c r="Y260" s="873"/>
      <c r="Z260" s="873"/>
      <c r="AA260" s="873"/>
      <c r="AB260" s="873"/>
      <c r="AC260" s="873"/>
      <c r="AD260" s="873"/>
      <c r="AE260" s="873"/>
      <c r="AF260" s="873"/>
      <c r="AG260" s="873"/>
      <c r="AH260" s="873"/>
      <c r="AI260" s="873"/>
      <c r="AJ260" s="873"/>
      <c r="AK260" s="873"/>
      <c r="AL260" s="873"/>
      <c r="AM260" s="873"/>
      <c r="AN260" s="873"/>
      <c r="AO260" s="873"/>
      <c r="AP260" s="873"/>
      <c r="AQ260" s="873"/>
      <c r="AR260" s="873"/>
      <c r="AS260" s="873"/>
    </row>
    <row r="261" spans="1:45" ht="12.75" x14ac:dyDescent="0.2">
      <c r="A261" s="873"/>
      <c r="B261" s="873"/>
      <c r="C261" s="873"/>
      <c r="D261" s="873"/>
      <c r="E261" s="873"/>
      <c r="F261" s="873"/>
      <c r="G261" s="873"/>
      <c r="H261" s="873"/>
      <c r="I261" s="873"/>
      <c r="J261" s="873"/>
      <c r="K261" s="873"/>
      <c r="L261" s="873"/>
      <c r="M261" s="873"/>
      <c r="N261" s="873"/>
      <c r="O261" s="873"/>
      <c r="P261" s="873"/>
      <c r="Q261" s="873"/>
      <c r="R261" s="873"/>
      <c r="S261" s="873"/>
      <c r="T261" s="873"/>
      <c r="U261" s="873"/>
      <c r="V261" s="873"/>
      <c r="W261" s="873"/>
      <c r="X261" s="873"/>
      <c r="Y261" s="873"/>
      <c r="Z261" s="873"/>
      <c r="AA261" s="873"/>
      <c r="AB261" s="873"/>
      <c r="AC261" s="873"/>
      <c r="AD261" s="873"/>
      <c r="AE261" s="873"/>
      <c r="AF261" s="873"/>
      <c r="AG261" s="873"/>
      <c r="AH261" s="873"/>
      <c r="AI261" s="873"/>
      <c r="AJ261" s="873"/>
      <c r="AK261" s="873"/>
      <c r="AL261" s="873"/>
      <c r="AM261" s="873"/>
      <c r="AN261" s="873"/>
      <c r="AO261" s="873"/>
      <c r="AP261" s="873"/>
      <c r="AQ261" s="873"/>
      <c r="AR261" s="873"/>
      <c r="AS261" s="873"/>
    </row>
    <row r="262" spans="1:45" ht="12.75" x14ac:dyDescent="0.2">
      <c r="A262" s="873"/>
      <c r="B262" s="873"/>
      <c r="C262" s="873"/>
      <c r="D262" s="873"/>
      <c r="E262" s="873"/>
      <c r="F262" s="873"/>
      <c r="G262" s="873"/>
      <c r="H262" s="873"/>
      <c r="I262" s="873"/>
      <c r="J262" s="873"/>
      <c r="K262" s="873"/>
      <c r="L262" s="873"/>
      <c r="M262" s="873"/>
      <c r="N262" s="873"/>
      <c r="O262" s="873"/>
      <c r="P262" s="873"/>
      <c r="Q262" s="873"/>
      <c r="R262" s="873"/>
      <c r="S262" s="873"/>
      <c r="T262" s="873"/>
      <c r="U262" s="873"/>
      <c r="V262" s="873"/>
      <c r="W262" s="873"/>
      <c r="X262" s="873"/>
      <c r="Y262" s="873"/>
      <c r="Z262" s="873"/>
      <c r="AA262" s="873"/>
      <c r="AB262" s="873"/>
      <c r="AC262" s="873"/>
      <c r="AD262" s="873"/>
      <c r="AE262" s="873"/>
      <c r="AF262" s="873"/>
      <c r="AG262" s="873"/>
      <c r="AH262" s="873"/>
      <c r="AI262" s="873"/>
      <c r="AJ262" s="873"/>
      <c r="AK262" s="873"/>
      <c r="AL262" s="873"/>
      <c r="AM262" s="873"/>
      <c r="AN262" s="873"/>
      <c r="AO262" s="873"/>
      <c r="AP262" s="873"/>
      <c r="AQ262" s="873"/>
      <c r="AR262" s="873"/>
      <c r="AS262" s="873"/>
    </row>
    <row r="263" spans="1:45" ht="12.75" x14ac:dyDescent="0.2">
      <c r="A263" s="873"/>
      <c r="B263" s="873"/>
      <c r="C263" s="873"/>
      <c r="D263" s="873"/>
      <c r="E263" s="873"/>
      <c r="F263" s="873"/>
      <c r="G263" s="873"/>
      <c r="H263" s="873"/>
      <c r="I263" s="873"/>
      <c r="J263" s="873"/>
      <c r="K263" s="873"/>
      <c r="L263" s="873"/>
      <c r="M263" s="873"/>
      <c r="N263" s="873"/>
      <c r="O263" s="873"/>
      <c r="P263" s="873"/>
      <c r="Q263" s="873"/>
      <c r="R263" s="873"/>
      <c r="S263" s="873"/>
      <c r="T263" s="873"/>
      <c r="U263" s="873"/>
      <c r="V263" s="873"/>
      <c r="W263" s="873"/>
      <c r="X263" s="873"/>
      <c r="Y263" s="873"/>
      <c r="Z263" s="873"/>
      <c r="AA263" s="873"/>
      <c r="AB263" s="873"/>
      <c r="AC263" s="873"/>
      <c r="AD263" s="873"/>
      <c r="AE263" s="873"/>
      <c r="AF263" s="873"/>
      <c r="AG263" s="873"/>
      <c r="AH263" s="873"/>
      <c r="AI263" s="873"/>
      <c r="AJ263" s="873"/>
      <c r="AK263" s="873"/>
      <c r="AL263" s="873"/>
      <c r="AM263" s="873"/>
      <c r="AN263" s="873"/>
      <c r="AO263" s="873"/>
      <c r="AP263" s="873"/>
      <c r="AQ263" s="873"/>
      <c r="AR263" s="873"/>
      <c r="AS263" s="873"/>
    </row>
    <row r="264" spans="1:45" ht="12.75" x14ac:dyDescent="0.2">
      <c r="A264" s="873"/>
      <c r="B264" s="873"/>
      <c r="C264" s="873"/>
      <c r="D264" s="873"/>
      <c r="E264" s="873"/>
      <c r="F264" s="873"/>
      <c r="G264" s="873"/>
      <c r="H264" s="873"/>
      <c r="I264" s="873"/>
      <c r="J264" s="873"/>
      <c r="K264" s="873"/>
      <c r="L264" s="873"/>
      <c r="M264" s="873"/>
      <c r="N264" s="873"/>
      <c r="O264" s="873"/>
      <c r="P264" s="873"/>
      <c r="Q264" s="873"/>
      <c r="R264" s="873"/>
      <c r="S264" s="873"/>
      <c r="T264" s="873"/>
      <c r="U264" s="873"/>
      <c r="V264" s="873"/>
      <c r="W264" s="873"/>
      <c r="X264" s="873"/>
      <c r="Y264" s="873"/>
      <c r="Z264" s="873"/>
      <c r="AA264" s="873"/>
      <c r="AB264" s="873"/>
      <c r="AC264" s="873"/>
      <c r="AD264" s="873"/>
      <c r="AE264" s="873"/>
      <c r="AF264" s="873"/>
      <c r="AG264" s="873"/>
      <c r="AH264" s="873"/>
      <c r="AI264" s="873"/>
      <c r="AJ264" s="873"/>
      <c r="AK264" s="873"/>
      <c r="AL264" s="873"/>
      <c r="AM264" s="873"/>
      <c r="AN264" s="873"/>
      <c r="AO264" s="873"/>
      <c r="AP264" s="873"/>
      <c r="AQ264" s="873"/>
      <c r="AR264" s="873"/>
      <c r="AS264" s="873"/>
    </row>
    <row r="265" spans="1:45" ht="12.75" x14ac:dyDescent="0.2">
      <c r="A265" s="873"/>
      <c r="B265" s="873"/>
      <c r="C265" s="873"/>
      <c r="D265" s="873"/>
      <c r="E265" s="873"/>
      <c r="F265" s="873"/>
      <c r="G265" s="873"/>
      <c r="H265" s="873"/>
      <c r="I265" s="873"/>
      <c r="J265" s="873"/>
      <c r="K265" s="873"/>
      <c r="L265" s="873"/>
      <c r="M265" s="873"/>
      <c r="N265" s="873"/>
      <c r="O265" s="873"/>
      <c r="P265" s="873"/>
      <c r="Q265" s="873"/>
      <c r="R265" s="873"/>
      <c r="S265" s="873"/>
      <c r="T265" s="873"/>
      <c r="U265" s="873"/>
      <c r="V265" s="873"/>
      <c r="W265" s="873"/>
      <c r="X265" s="873"/>
      <c r="Y265" s="873"/>
      <c r="Z265" s="873"/>
      <c r="AA265" s="873"/>
      <c r="AB265" s="873"/>
      <c r="AC265" s="873"/>
      <c r="AD265" s="873"/>
      <c r="AE265" s="873"/>
      <c r="AF265" s="873"/>
      <c r="AG265" s="873"/>
      <c r="AH265" s="873"/>
      <c r="AI265" s="873"/>
      <c r="AJ265" s="873"/>
      <c r="AK265" s="873"/>
      <c r="AL265" s="873"/>
      <c r="AM265" s="873"/>
      <c r="AN265" s="873"/>
      <c r="AO265" s="873"/>
      <c r="AP265" s="873"/>
      <c r="AQ265" s="873"/>
      <c r="AR265" s="873"/>
      <c r="AS265" s="873"/>
    </row>
    <row r="266" spans="1:45" ht="12.75" x14ac:dyDescent="0.2">
      <c r="A266" s="873"/>
      <c r="B266" s="873"/>
      <c r="C266" s="873"/>
      <c r="D266" s="873"/>
      <c r="E266" s="873"/>
      <c r="F266" s="873"/>
      <c r="G266" s="873"/>
      <c r="H266" s="873"/>
      <c r="I266" s="873"/>
      <c r="J266" s="873"/>
      <c r="K266" s="873"/>
      <c r="L266" s="873"/>
      <c r="M266" s="873"/>
      <c r="N266" s="873"/>
      <c r="O266" s="873"/>
      <c r="P266" s="873"/>
      <c r="Q266" s="873"/>
      <c r="R266" s="873"/>
      <c r="S266" s="873"/>
      <c r="T266" s="873"/>
      <c r="U266" s="873"/>
      <c r="V266" s="873"/>
      <c r="W266" s="873"/>
      <c r="X266" s="873"/>
      <c r="Y266" s="873"/>
      <c r="Z266" s="873"/>
      <c r="AA266" s="873"/>
      <c r="AB266" s="873"/>
      <c r="AC266" s="873"/>
      <c r="AD266" s="873"/>
      <c r="AE266" s="873"/>
      <c r="AF266" s="873"/>
      <c r="AG266" s="873"/>
      <c r="AH266" s="873"/>
      <c r="AI266" s="873"/>
      <c r="AJ266" s="873"/>
      <c r="AK266" s="873"/>
      <c r="AL266" s="873"/>
      <c r="AM266" s="873"/>
      <c r="AN266" s="873"/>
      <c r="AO266" s="873"/>
      <c r="AP266" s="873"/>
      <c r="AQ266" s="873"/>
      <c r="AR266" s="873"/>
      <c r="AS266" s="873"/>
    </row>
    <row r="267" spans="1:45" ht="12.75" x14ac:dyDescent="0.2">
      <c r="A267" s="873"/>
      <c r="B267" s="873"/>
      <c r="C267" s="873"/>
      <c r="D267" s="873"/>
      <c r="E267" s="873"/>
      <c r="F267" s="873"/>
      <c r="G267" s="873"/>
      <c r="H267" s="873"/>
      <c r="I267" s="873"/>
      <c r="J267" s="873"/>
      <c r="K267" s="873"/>
      <c r="L267" s="873"/>
      <c r="M267" s="873"/>
      <c r="N267" s="873"/>
      <c r="O267" s="873"/>
      <c r="P267" s="873"/>
      <c r="Q267" s="873"/>
      <c r="R267" s="873"/>
      <c r="S267" s="873"/>
      <c r="T267" s="873"/>
      <c r="U267" s="873"/>
      <c r="V267" s="873"/>
      <c r="W267" s="873"/>
      <c r="X267" s="873"/>
      <c r="Y267" s="873"/>
      <c r="Z267" s="873"/>
      <c r="AA267" s="873"/>
      <c r="AB267" s="873"/>
      <c r="AC267" s="873"/>
      <c r="AD267" s="873"/>
      <c r="AE267" s="873"/>
      <c r="AF267" s="873"/>
      <c r="AG267" s="873"/>
      <c r="AH267" s="873"/>
      <c r="AI267" s="873"/>
      <c r="AJ267" s="873"/>
      <c r="AK267" s="873"/>
      <c r="AL267" s="873"/>
      <c r="AM267" s="873"/>
      <c r="AN267" s="873"/>
      <c r="AO267" s="873"/>
      <c r="AP267" s="873"/>
      <c r="AQ267" s="873"/>
      <c r="AR267" s="873"/>
      <c r="AS267" s="873"/>
    </row>
    <row r="268" spans="1:45" ht="12.75" x14ac:dyDescent="0.2">
      <c r="A268" s="873"/>
      <c r="B268" s="873"/>
      <c r="C268" s="873"/>
      <c r="D268" s="873"/>
      <c r="E268" s="873"/>
      <c r="F268" s="873"/>
      <c r="G268" s="873"/>
      <c r="H268" s="873"/>
      <c r="I268" s="873"/>
      <c r="J268" s="873"/>
      <c r="K268" s="873"/>
      <c r="L268" s="873"/>
      <c r="M268" s="873"/>
      <c r="N268" s="873"/>
      <c r="O268" s="873"/>
      <c r="P268" s="873"/>
      <c r="Q268" s="873"/>
      <c r="R268" s="873"/>
      <c r="S268" s="873"/>
      <c r="T268" s="873"/>
      <c r="U268" s="873"/>
      <c r="V268" s="873"/>
      <c r="W268" s="873"/>
      <c r="X268" s="873"/>
      <c r="Y268" s="873"/>
      <c r="Z268" s="873"/>
      <c r="AA268" s="873"/>
      <c r="AB268" s="873"/>
      <c r="AC268" s="873"/>
      <c r="AD268" s="873"/>
      <c r="AE268" s="873"/>
      <c r="AF268" s="873"/>
      <c r="AG268" s="873"/>
      <c r="AH268" s="873"/>
      <c r="AI268" s="873"/>
      <c r="AJ268" s="873"/>
      <c r="AK268" s="873"/>
      <c r="AL268" s="873"/>
      <c r="AM268" s="873"/>
      <c r="AN268" s="873"/>
      <c r="AO268" s="873"/>
      <c r="AP268" s="873"/>
      <c r="AQ268" s="873"/>
      <c r="AR268" s="873"/>
      <c r="AS268" s="873"/>
    </row>
    <row r="269" spans="1:45" ht="12.75" x14ac:dyDescent="0.2">
      <c r="A269" s="873"/>
      <c r="B269" s="873"/>
      <c r="C269" s="873"/>
      <c r="D269" s="873"/>
      <c r="E269" s="873"/>
      <c r="F269" s="873"/>
      <c r="G269" s="873"/>
      <c r="H269" s="873"/>
      <c r="I269" s="873"/>
      <c r="J269" s="873"/>
      <c r="K269" s="873"/>
      <c r="L269" s="873"/>
      <c r="M269" s="873"/>
      <c r="N269" s="873"/>
      <c r="O269" s="873"/>
      <c r="P269" s="873"/>
      <c r="Q269" s="873"/>
      <c r="R269" s="873"/>
      <c r="S269" s="873"/>
      <c r="T269" s="873"/>
      <c r="U269" s="873"/>
      <c r="V269" s="873"/>
      <c r="W269" s="873"/>
      <c r="X269" s="873"/>
      <c r="Y269" s="873"/>
      <c r="Z269" s="873"/>
      <c r="AA269" s="873"/>
      <c r="AB269" s="873"/>
      <c r="AC269" s="873"/>
      <c r="AD269" s="873"/>
      <c r="AE269" s="873"/>
      <c r="AF269" s="873"/>
      <c r="AG269" s="873"/>
      <c r="AH269" s="873"/>
      <c r="AI269" s="873"/>
      <c r="AJ269" s="873"/>
      <c r="AK269" s="873"/>
      <c r="AL269" s="873"/>
      <c r="AM269" s="873"/>
      <c r="AN269" s="873"/>
      <c r="AO269" s="873"/>
      <c r="AP269" s="873"/>
      <c r="AQ269" s="873"/>
      <c r="AR269" s="873"/>
      <c r="AS269" s="873"/>
    </row>
    <row r="270" spans="1:45" ht="12.75" x14ac:dyDescent="0.2">
      <c r="A270" s="873"/>
      <c r="B270" s="873"/>
      <c r="C270" s="873"/>
      <c r="D270" s="873"/>
      <c r="E270" s="873"/>
      <c r="F270" s="873"/>
      <c r="G270" s="873"/>
      <c r="H270" s="873"/>
      <c r="I270" s="873"/>
      <c r="J270" s="873"/>
      <c r="K270" s="873"/>
      <c r="L270" s="873"/>
      <c r="M270" s="873"/>
      <c r="N270" s="873"/>
      <c r="O270" s="873"/>
      <c r="P270" s="873"/>
      <c r="Q270" s="873"/>
      <c r="R270" s="873"/>
      <c r="S270" s="873"/>
      <c r="T270" s="873"/>
      <c r="U270" s="873"/>
      <c r="V270" s="873"/>
      <c r="W270" s="873"/>
      <c r="X270" s="873"/>
      <c r="Y270" s="873"/>
      <c r="Z270" s="873"/>
      <c r="AA270" s="873"/>
      <c r="AB270" s="873"/>
      <c r="AC270" s="873"/>
      <c r="AD270" s="873"/>
      <c r="AE270" s="873"/>
      <c r="AF270" s="873"/>
      <c r="AG270" s="873"/>
      <c r="AH270" s="873"/>
      <c r="AI270" s="873"/>
      <c r="AJ270" s="873"/>
      <c r="AK270" s="873"/>
      <c r="AL270" s="873"/>
      <c r="AM270" s="873"/>
      <c r="AN270" s="873"/>
      <c r="AO270" s="873"/>
      <c r="AP270" s="873"/>
      <c r="AQ270" s="873"/>
      <c r="AR270" s="873"/>
      <c r="AS270" s="873"/>
    </row>
    <row r="271" spans="1:45" ht="12.75" x14ac:dyDescent="0.2">
      <c r="A271" s="873"/>
      <c r="B271" s="873"/>
      <c r="C271" s="873"/>
      <c r="D271" s="873"/>
      <c r="E271" s="873"/>
      <c r="F271" s="873"/>
      <c r="G271" s="873"/>
      <c r="H271" s="873"/>
      <c r="I271" s="873"/>
      <c r="J271" s="873"/>
      <c r="K271" s="873"/>
      <c r="L271" s="873"/>
      <c r="M271" s="873"/>
      <c r="N271" s="873"/>
      <c r="O271" s="873"/>
      <c r="P271" s="873"/>
      <c r="Q271" s="873"/>
      <c r="R271" s="873"/>
      <c r="S271" s="873"/>
      <c r="T271" s="873"/>
      <c r="U271" s="873"/>
      <c r="V271" s="873"/>
      <c r="W271" s="873"/>
      <c r="X271" s="873"/>
      <c r="Y271" s="873"/>
      <c r="Z271" s="873"/>
      <c r="AA271" s="873"/>
      <c r="AB271" s="873"/>
      <c r="AC271" s="873"/>
      <c r="AD271" s="873"/>
      <c r="AE271" s="873"/>
      <c r="AF271" s="873"/>
      <c r="AG271" s="873"/>
      <c r="AH271" s="873"/>
      <c r="AI271" s="873"/>
      <c r="AJ271" s="873"/>
      <c r="AK271" s="873"/>
      <c r="AL271" s="873"/>
      <c r="AM271" s="873"/>
      <c r="AN271" s="873"/>
      <c r="AO271" s="873"/>
      <c r="AP271" s="873"/>
      <c r="AQ271" s="873"/>
      <c r="AR271" s="873"/>
      <c r="AS271" s="873"/>
    </row>
    <row r="272" spans="1:45" ht="12.75" x14ac:dyDescent="0.2">
      <c r="A272" s="873"/>
      <c r="B272" s="873"/>
      <c r="C272" s="873"/>
      <c r="D272" s="873"/>
      <c r="E272" s="873"/>
      <c r="F272" s="873"/>
      <c r="G272" s="873"/>
      <c r="H272" s="873"/>
      <c r="I272" s="873"/>
      <c r="J272" s="873"/>
      <c r="K272" s="873"/>
      <c r="L272" s="873"/>
      <c r="M272" s="873"/>
      <c r="N272" s="873"/>
      <c r="O272" s="873"/>
      <c r="P272" s="873"/>
      <c r="Q272" s="873"/>
      <c r="R272" s="873"/>
      <c r="S272" s="873"/>
      <c r="T272" s="873"/>
      <c r="U272" s="873"/>
      <c r="V272" s="873"/>
      <c r="W272" s="873"/>
      <c r="X272" s="873"/>
      <c r="Y272" s="873"/>
      <c r="Z272" s="873"/>
      <c r="AA272" s="873"/>
      <c r="AB272" s="873"/>
      <c r="AC272" s="873"/>
      <c r="AD272" s="873"/>
      <c r="AE272" s="873"/>
      <c r="AF272" s="873"/>
      <c r="AG272" s="873"/>
      <c r="AH272" s="873"/>
      <c r="AI272" s="873"/>
      <c r="AJ272" s="873"/>
      <c r="AK272" s="873"/>
      <c r="AL272" s="873"/>
      <c r="AM272" s="873"/>
      <c r="AN272" s="873"/>
      <c r="AO272" s="873"/>
      <c r="AP272" s="873"/>
      <c r="AQ272" s="873"/>
      <c r="AR272" s="873"/>
      <c r="AS272" s="873"/>
    </row>
    <row r="273" spans="1:45" ht="12.75" x14ac:dyDescent="0.2">
      <c r="A273" s="873"/>
      <c r="B273" s="873"/>
      <c r="C273" s="873"/>
      <c r="D273" s="873"/>
      <c r="E273" s="873"/>
      <c r="F273" s="873"/>
      <c r="G273" s="873"/>
      <c r="H273" s="873"/>
      <c r="I273" s="873"/>
      <c r="J273" s="873"/>
      <c r="K273" s="873"/>
      <c r="L273" s="873"/>
      <c r="M273" s="873"/>
      <c r="N273" s="873"/>
      <c r="O273" s="873"/>
      <c r="P273" s="873"/>
      <c r="Q273" s="873"/>
      <c r="R273" s="873"/>
      <c r="S273" s="873"/>
      <c r="T273" s="873"/>
      <c r="U273" s="873"/>
      <c r="V273" s="873"/>
      <c r="W273" s="873"/>
      <c r="X273" s="873"/>
      <c r="Y273" s="873"/>
      <c r="Z273" s="873"/>
      <c r="AA273" s="873"/>
      <c r="AB273" s="873"/>
      <c r="AC273" s="873"/>
      <c r="AD273" s="873"/>
      <c r="AE273" s="873"/>
      <c r="AF273" s="873"/>
      <c r="AG273" s="873"/>
      <c r="AH273" s="873"/>
      <c r="AI273" s="873"/>
      <c r="AJ273" s="873"/>
      <c r="AK273" s="873"/>
      <c r="AL273" s="873"/>
      <c r="AM273" s="873"/>
      <c r="AN273" s="873"/>
      <c r="AO273" s="873"/>
      <c r="AP273" s="873"/>
      <c r="AQ273" s="873"/>
      <c r="AR273" s="873"/>
      <c r="AS273" s="873"/>
    </row>
    <row r="274" spans="1:45" ht="12.75" x14ac:dyDescent="0.2">
      <c r="A274" s="873"/>
      <c r="B274" s="873"/>
      <c r="C274" s="873"/>
      <c r="D274" s="873"/>
      <c r="E274" s="873"/>
      <c r="F274" s="873"/>
      <c r="G274" s="873"/>
      <c r="H274" s="873"/>
      <c r="I274" s="873"/>
      <c r="J274" s="873"/>
      <c r="K274" s="873"/>
      <c r="L274" s="873"/>
      <c r="M274" s="873"/>
      <c r="N274" s="873"/>
      <c r="O274" s="873"/>
      <c r="P274" s="873"/>
      <c r="Q274" s="873"/>
      <c r="R274" s="873"/>
      <c r="S274" s="873"/>
      <c r="T274" s="873"/>
      <c r="U274" s="873"/>
      <c r="V274" s="873"/>
      <c r="W274" s="873"/>
      <c r="X274" s="873"/>
      <c r="Y274" s="873"/>
      <c r="Z274" s="873"/>
      <c r="AA274" s="873"/>
      <c r="AB274" s="873"/>
      <c r="AC274" s="873"/>
      <c r="AD274" s="873"/>
      <c r="AE274" s="873"/>
      <c r="AF274" s="873"/>
      <c r="AG274" s="873"/>
      <c r="AH274" s="873"/>
      <c r="AI274" s="873"/>
      <c r="AJ274" s="873"/>
      <c r="AK274" s="873"/>
      <c r="AL274" s="873"/>
      <c r="AM274" s="873"/>
      <c r="AN274" s="873"/>
      <c r="AO274" s="873"/>
      <c r="AP274" s="873"/>
      <c r="AQ274" s="873"/>
      <c r="AR274" s="873"/>
      <c r="AS274" s="873"/>
    </row>
    <row r="275" spans="1:45" ht="12.75" x14ac:dyDescent="0.2">
      <c r="A275" s="873"/>
      <c r="B275" s="873"/>
      <c r="C275" s="873"/>
      <c r="D275" s="873"/>
      <c r="E275" s="873"/>
      <c r="F275" s="873"/>
      <c r="G275" s="873"/>
      <c r="H275" s="873"/>
      <c r="I275" s="873"/>
      <c r="J275" s="873"/>
      <c r="K275" s="873"/>
      <c r="L275" s="873"/>
      <c r="M275" s="873"/>
      <c r="N275" s="873"/>
      <c r="O275" s="873"/>
      <c r="P275" s="873"/>
      <c r="Q275" s="873"/>
      <c r="R275" s="873"/>
      <c r="S275" s="873"/>
      <c r="T275" s="873"/>
      <c r="U275" s="873"/>
      <c r="V275" s="873"/>
      <c r="W275" s="873"/>
      <c r="X275" s="873"/>
      <c r="Y275" s="873"/>
      <c r="Z275" s="873"/>
      <c r="AA275" s="873"/>
      <c r="AB275" s="873"/>
      <c r="AC275" s="873"/>
      <c r="AD275" s="873"/>
      <c r="AE275" s="873"/>
      <c r="AF275" s="873"/>
      <c r="AG275" s="873"/>
      <c r="AH275" s="873"/>
      <c r="AI275" s="873"/>
      <c r="AJ275" s="873"/>
      <c r="AK275" s="873"/>
      <c r="AL275" s="873"/>
      <c r="AM275" s="873"/>
      <c r="AN275" s="873"/>
      <c r="AO275" s="873"/>
      <c r="AP275" s="873"/>
      <c r="AQ275" s="873"/>
      <c r="AR275" s="873"/>
      <c r="AS275" s="873"/>
    </row>
    <row r="276" spans="1:45" ht="12.75" x14ac:dyDescent="0.2">
      <c r="A276" s="873"/>
      <c r="B276" s="873"/>
      <c r="C276" s="873"/>
      <c r="D276" s="873"/>
      <c r="E276" s="873"/>
      <c r="F276" s="873"/>
      <c r="G276" s="873"/>
      <c r="H276" s="873"/>
      <c r="I276" s="873"/>
      <c r="J276" s="873"/>
      <c r="K276" s="873"/>
      <c r="L276" s="873"/>
      <c r="M276" s="873"/>
      <c r="N276" s="873"/>
      <c r="O276" s="873"/>
      <c r="P276" s="873"/>
      <c r="Q276" s="873"/>
      <c r="R276" s="873"/>
      <c r="S276" s="873"/>
      <c r="T276" s="873"/>
      <c r="U276" s="873"/>
      <c r="V276" s="873"/>
      <c r="W276" s="873"/>
      <c r="X276" s="873"/>
      <c r="Y276" s="873"/>
      <c r="Z276" s="873"/>
      <c r="AA276" s="873"/>
      <c r="AB276" s="873"/>
      <c r="AC276" s="873"/>
      <c r="AD276" s="873"/>
      <c r="AE276" s="873"/>
      <c r="AF276" s="873"/>
      <c r="AG276" s="873"/>
      <c r="AH276" s="873"/>
      <c r="AI276" s="873"/>
      <c r="AJ276" s="873"/>
      <c r="AK276" s="873"/>
      <c r="AL276" s="873"/>
      <c r="AM276" s="873"/>
      <c r="AN276" s="873"/>
      <c r="AO276" s="873"/>
      <c r="AP276" s="873"/>
      <c r="AQ276" s="873"/>
      <c r="AR276" s="873"/>
      <c r="AS276" s="873"/>
    </row>
    <row r="277" spans="1:45" ht="12.75" x14ac:dyDescent="0.2">
      <c r="A277" s="873"/>
      <c r="B277" s="873"/>
      <c r="C277" s="873"/>
      <c r="D277" s="873"/>
      <c r="E277" s="873"/>
      <c r="F277" s="873"/>
      <c r="G277" s="873"/>
      <c r="H277" s="873"/>
      <c r="I277" s="873"/>
      <c r="J277" s="873"/>
      <c r="K277" s="873"/>
      <c r="L277" s="873"/>
      <c r="M277" s="873"/>
      <c r="N277" s="873"/>
      <c r="O277" s="873"/>
      <c r="P277" s="873"/>
      <c r="Q277" s="873"/>
      <c r="R277" s="873"/>
      <c r="S277" s="873"/>
      <c r="T277" s="873"/>
      <c r="U277" s="873"/>
      <c r="V277" s="873"/>
      <c r="W277" s="873"/>
      <c r="X277" s="873"/>
      <c r="Y277" s="873"/>
      <c r="Z277" s="873"/>
      <c r="AA277" s="873"/>
      <c r="AB277" s="873"/>
      <c r="AC277" s="873"/>
      <c r="AD277" s="873"/>
      <c r="AE277" s="873"/>
      <c r="AF277" s="873"/>
      <c r="AG277" s="873"/>
      <c r="AH277" s="873"/>
      <c r="AI277" s="873"/>
      <c r="AJ277" s="873"/>
      <c r="AK277" s="873"/>
      <c r="AL277" s="873"/>
      <c r="AM277" s="873"/>
      <c r="AN277" s="873"/>
      <c r="AO277" s="873"/>
      <c r="AP277" s="873"/>
      <c r="AQ277" s="873"/>
      <c r="AR277" s="873"/>
      <c r="AS277" s="873"/>
    </row>
    <row r="278" spans="1:45" ht="12.75" x14ac:dyDescent="0.2">
      <c r="A278" s="873"/>
      <c r="B278" s="873"/>
      <c r="C278" s="873"/>
      <c r="D278" s="873"/>
      <c r="E278" s="873"/>
      <c r="F278" s="873"/>
      <c r="G278" s="873"/>
      <c r="H278" s="873"/>
      <c r="I278" s="873"/>
      <c r="J278" s="873"/>
      <c r="K278" s="873"/>
      <c r="L278" s="873"/>
      <c r="M278" s="873"/>
      <c r="N278" s="873"/>
      <c r="O278" s="873"/>
      <c r="P278" s="873"/>
      <c r="Q278" s="873"/>
      <c r="R278" s="873"/>
      <c r="S278" s="873"/>
      <c r="T278" s="873"/>
      <c r="U278" s="873"/>
      <c r="V278" s="873"/>
      <c r="W278" s="873"/>
      <c r="X278" s="873"/>
      <c r="Y278" s="873"/>
      <c r="Z278" s="873"/>
      <c r="AA278" s="873"/>
      <c r="AB278" s="873"/>
      <c r="AC278" s="873"/>
      <c r="AD278" s="873"/>
      <c r="AE278" s="873"/>
      <c r="AF278" s="873"/>
      <c r="AG278" s="873"/>
      <c r="AH278" s="873"/>
      <c r="AI278" s="873"/>
      <c r="AJ278" s="873"/>
      <c r="AK278" s="873"/>
      <c r="AL278" s="873"/>
      <c r="AM278" s="873"/>
      <c r="AN278" s="873"/>
      <c r="AO278" s="873"/>
      <c r="AP278" s="873"/>
      <c r="AQ278" s="873"/>
      <c r="AR278" s="873"/>
      <c r="AS278" s="873"/>
    </row>
    <row r="279" spans="1:45" ht="12.75" x14ac:dyDescent="0.2">
      <c r="A279" s="873"/>
      <c r="B279" s="873"/>
      <c r="C279" s="873"/>
      <c r="D279" s="873"/>
      <c r="E279" s="873"/>
      <c r="F279" s="873"/>
      <c r="G279" s="873"/>
      <c r="H279" s="873"/>
      <c r="I279" s="873"/>
      <c r="J279" s="873"/>
      <c r="K279" s="873"/>
      <c r="L279" s="873"/>
      <c r="M279" s="873"/>
      <c r="N279" s="873"/>
      <c r="O279" s="873"/>
      <c r="P279" s="873"/>
      <c r="Q279" s="873"/>
      <c r="R279" s="873"/>
      <c r="S279" s="873"/>
      <c r="T279" s="873"/>
      <c r="U279" s="873"/>
      <c r="V279" s="873"/>
      <c r="W279" s="873"/>
      <c r="X279" s="873"/>
      <c r="Y279" s="873"/>
      <c r="Z279" s="873"/>
      <c r="AA279" s="873"/>
      <c r="AB279" s="873"/>
      <c r="AC279" s="873"/>
      <c r="AD279" s="873"/>
      <c r="AE279" s="873"/>
      <c r="AF279" s="873"/>
      <c r="AG279" s="873"/>
      <c r="AH279" s="873"/>
      <c r="AI279" s="873"/>
      <c r="AJ279" s="873"/>
      <c r="AK279" s="873"/>
      <c r="AL279" s="873"/>
      <c r="AM279" s="873"/>
      <c r="AN279" s="873"/>
      <c r="AO279" s="873"/>
      <c r="AP279" s="873"/>
      <c r="AQ279" s="873"/>
      <c r="AR279" s="873"/>
      <c r="AS279" s="873"/>
    </row>
    <row r="280" spans="1:45" ht="12.75" x14ac:dyDescent="0.2">
      <c r="A280" s="873"/>
      <c r="B280" s="873"/>
      <c r="C280" s="873"/>
      <c r="D280" s="873"/>
      <c r="E280" s="873"/>
      <c r="F280" s="873"/>
      <c r="G280" s="873"/>
      <c r="H280" s="873"/>
      <c r="I280" s="873"/>
      <c r="J280" s="873"/>
      <c r="K280" s="873"/>
      <c r="L280" s="873"/>
      <c r="M280" s="873"/>
      <c r="N280" s="873"/>
      <c r="O280" s="873"/>
      <c r="P280" s="873"/>
      <c r="Q280" s="873"/>
      <c r="R280" s="873"/>
      <c r="S280" s="873"/>
      <c r="T280" s="873"/>
      <c r="U280" s="873"/>
      <c r="V280" s="873"/>
      <c r="W280" s="873"/>
      <c r="X280" s="873"/>
      <c r="Y280" s="873"/>
      <c r="Z280" s="873"/>
      <c r="AA280" s="873"/>
      <c r="AB280" s="873"/>
      <c r="AC280" s="873"/>
      <c r="AD280" s="873"/>
      <c r="AE280" s="873"/>
      <c r="AF280" s="873"/>
      <c r="AG280" s="873"/>
      <c r="AH280" s="873"/>
      <c r="AI280" s="873"/>
      <c r="AJ280" s="873"/>
      <c r="AK280" s="873"/>
      <c r="AL280" s="873"/>
      <c r="AM280" s="873"/>
      <c r="AN280" s="873"/>
      <c r="AO280" s="873"/>
      <c r="AP280" s="873"/>
      <c r="AQ280" s="873"/>
      <c r="AR280" s="873"/>
      <c r="AS280" s="873"/>
    </row>
    <row r="281" spans="1:45" ht="12.75" x14ac:dyDescent="0.2">
      <c r="A281" s="873"/>
      <c r="B281" s="873"/>
      <c r="C281" s="873"/>
      <c r="D281" s="873"/>
      <c r="E281" s="873"/>
      <c r="F281" s="873"/>
      <c r="G281" s="873"/>
      <c r="H281" s="873"/>
      <c r="I281" s="873"/>
      <c r="J281" s="873"/>
      <c r="K281" s="873"/>
      <c r="L281" s="873"/>
      <c r="M281" s="873"/>
      <c r="N281" s="873"/>
      <c r="O281" s="873"/>
      <c r="P281" s="873"/>
      <c r="Q281" s="873"/>
      <c r="R281" s="873"/>
      <c r="S281" s="873"/>
      <c r="T281" s="873"/>
      <c r="U281" s="873"/>
      <c r="V281" s="873"/>
      <c r="W281" s="873"/>
      <c r="X281" s="873"/>
      <c r="Y281" s="873"/>
      <c r="Z281" s="873"/>
      <c r="AA281" s="873"/>
      <c r="AB281" s="873"/>
      <c r="AC281" s="873"/>
      <c r="AD281" s="873"/>
      <c r="AE281" s="873"/>
      <c r="AF281" s="873"/>
      <c r="AG281" s="873"/>
      <c r="AH281" s="873"/>
      <c r="AI281" s="873"/>
      <c r="AJ281" s="873"/>
      <c r="AK281" s="873"/>
      <c r="AL281" s="873"/>
      <c r="AM281" s="873"/>
      <c r="AN281" s="873"/>
      <c r="AO281" s="873"/>
      <c r="AP281" s="873"/>
      <c r="AQ281" s="873"/>
      <c r="AR281" s="873"/>
      <c r="AS281" s="873"/>
    </row>
    <row r="282" spans="1:45" ht="12.75" x14ac:dyDescent="0.2">
      <c r="A282" s="873"/>
      <c r="B282" s="873"/>
      <c r="C282" s="873"/>
      <c r="D282" s="873"/>
      <c r="E282" s="873"/>
      <c r="F282" s="873"/>
      <c r="G282" s="873"/>
      <c r="H282" s="873"/>
      <c r="I282" s="873"/>
      <c r="J282" s="873"/>
      <c r="K282" s="873"/>
      <c r="L282" s="873"/>
      <c r="M282" s="873"/>
      <c r="N282" s="873"/>
      <c r="O282" s="873"/>
      <c r="P282" s="873"/>
      <c r="Q282" s="873"/>
      <c r="R282" s="873"/>
      <c r="S282" s="873"/>
      <c r="T282" s="873"/>
      <c r="U282" s="873"/>
      <c r="V282" s="873"/>
      <c r="W282" s="873"/>
      <c r="X282" s="873"/>
      <c r="Y282" s="873"/>
      <c r="Z282" s="873"/>
      <c r="AA282" s="873"/>
      <c r="AB282" s="873"/>
      <c r="AC282" s="873"/>
      <c r="AD282" s="873"/>
      <c r="AE282" s="873"/>
      <c r="AF282" s="873"/>
      <c r="AG282" s="873"/>
      <c r="AH282" s="873"/>
      <c r="AI282" s="873"/>
      <c r="AJ282" s="873"/>
      <c r="AK282" s="873"/>
      <c r="AL282" s="873"/>
      <c r="AM282" s="873"/>
      <c r="AN282" s="873"/>
      <c r="AO282" s="873"/>
      <c r="AP282" s="873"/>
      <c r="AQ282" s="873"/>
      <c r="AR282" s="873"/>
      <c r="AS282" s="873"/>
    </row>
    <row r="283" spans="1:45" ht="12.75" x14ac:dyDescent="0.2">
      <c r="A283" s="873"/>
      <c r="B283" s="873"/>
      <c r="C283" s="873"/>
      <c r="D283" s="873"/>
      <c r="E283" s="873"/>
      <c r="F283" s="873"/>
      <c r="G283" s="873"/>
      <c r="H283" s="873"/>
      <c r="I283" s="873"/>
      <c r="J283" s="873"/>
      <c r="K283" s="873"/>
      <c r="L283" s="873"/>
      <c r="M283" s="873"/>
      <c r="N283" s="873"/>
      <c r="O283" s="873"/>
      <c r="P283" s="873"/>
      <c r="Q283" s="873"/>
      <c r="R283" s="873"/>
      <c r="S283" s="873"/>
      <c r="T283" s="873"/>
      <c r="U283" s="873"/>
      <c r="V283" s="873"/>
      <c r="W283" s="873"/>
      <c r="X283" s="873"/>
      <c r="Y283" s="873"/>
      <c r="Z283" s="873"/>
      <c r="AA283" s="873"/>
      <c r="AB283" s="873"/>
      <c r="AC283" s="873"/>
      <c r="AD283" s="873"/>
      <c r="AE283" s="873"/>
      <c r="AF283" s="873"/>
      <c r="AG283" s="873"/>
      <c r="AH283" s="873"/>
      <c r="AI283" s="873"/>
      <c r="AJ283" s="873"/>
      <c r="AK283" s="873"/>
      <c r="AL283" s="873"/>
      <c r="AM283" s="873"/>
      <c r="AN283" s="873"/>
      <c r="AO283" s="873"/>
      <c r="AP283" s="873"/>
      <c r="AQ283" s="873"/>
      <c r="AR283" s="873"/>
      <c r="AS283" s="873"/>
    </row>
    <row r="284" spans="1:45" ht="12.75" x14ac:dyDescent="0.2">
      <c r="A284" s="873"/>
      <c r="B284" s="873"/>
      <c r="C284" s="873"/>
      <c r="D284" s="873"/>
      <c r="E284" s="873"/>
      <c r="F284" s="873"/>
      <c r="G284" s="873"/>
      <c r="H284" s="873"/>
      <c r="I284" s="873"/>
      <c r="J284" s="873"/>
      <c r="K284" s="873"/>
      <c r="L284" s="873"/>
      <c r="M284" s="873"/>
      <c r="N284" s="873"/>
      <c r="O284" s="873"/>
      <c r="P284" s="873"/>
      <c r="Q284" s="873"/>
      <c r="R284" s="873"/>
      <c r="S284" s="873"/>
      <c r="T284" s="873"/>
      <c r="U284" s="873"/>
      <c r="V284" s="873"/>
      <c r="W284" s="873"/>
      <c r="X284" s="873"/>
      <c r="Y284" s="873"/>
      <c r="Z284" s="873"/>
      <c r="AA284" s="873"/>
      <c r="AB284" s="873"/>
      <c r="AC284" s="873"/>
      <c r="AD284" s="873"/>
      <c r="AE284" s="873"/>
      <c r="AF284" s="873"/>
      <c r="AG284" s="873"/>
      <c r="AH284" s="873"/>
      <c r="AI284" s="873"/>
      <c r="AJ284" s="873"/>
      <c r="AK284" s="873"/>
      <c r="AL284" s="873"/>
      <c r="AM284" s="873"/>
      <c r="AN284" s="873"/>
      <c r="AO284" s="873"/>
      <c r="AP284" s="873"/>
      <c r="AQ284" s="873"/>
      <c r="AR284" s="873"/>
      <c r="AS284" s="873"/>
    </row>
    <row r="285" spans="1:45" ht="12.75" x14ac:dyDescent="0.2">
      <c r="A285" s="873"/>
      <c r="B285" s="873"/>
      <c r="C285" s="873"/>
      <c r="D285" s="873"/>
      <c r="E285" s="873"/>
      <c r="F285" s="873"/>
      <c r="G285" s="873"/>
      <c r="H285" s="873"/>
      <c r="I285" s="873"/>
      <c r="J285" s="873"/>
      <c r="K285" s="873"/>
      <c r="L285" s="873"/>
      <c r="M285" s="873"/>
      <c r="N285" s="873"/>
      <c r="O285" s="873"/>
      <c r="P285" s="873"/>
      <c r="Q285" s="873"/>
      <c r="R285" s="873"/>
      <c r="S285" s="873"/>
      <c r="T285" s="873"/>
      <c r="U285" s="873"/>
      <c r="V285" s="873"/>
      <c r="W285" s="873"/>
      <c r="X285" s="873"/>
      <c r="Y285" s="873"/>
      <c r="Z285" s="873"/>
      <c r="AA285" s="873"/>
      <c r="AB285" s="873"/>
      <c r="AC285" s="873"/>
      <c r="AD285" s="873"/>
      <c r="AE285" s="873"/>
      <c r="AF285" s="873"/>
      <c r="AG285" s="873"/>
      <c r="AH285" s="873"/>
      <c r="AI285" s="873"/>
      <c r="AJ285" s="873"/>
      <c r="AK285" s="873"/>
      <c r="AL285" s="873"/>
      <c r="AM285" s="873"/>
      <c r="AN285" s="873"/>
      <c r="AO285" s="873"/>
      <c r="AP285" s="873"/>
      <c r="AQ285" s="873"/>
      <c r="AR285" s="873"/>
      <c r="AS285" s="873"/>
    </row>
    <row r="286" spans="1:45" ht="12.75" x14ac:dyDescent="0.2">
      <c r="A286" s="873"/>
      <c r="B286" s="873"/>
      <c r="C286" s="873"/>
      <c r="D286" s="873"/>
      <c r="E286" s="873"/>
      <c r="F286" s="873"/>
      <c r="G286" s="873"/>
      <c r="H286" s="873"/>
      <c r="I286" s="873"/>
      <c r="J286" s="873"/>
      <c r="K286" s="873"/>
      <c r="L286" s="873"/>
      <c r="M286" s="873"/>
      <c r="N286" s="873"/>
      <c r="O286" s="873"/>
      <c r="P286" s="873"/>
      <c r="Q286" s="873"/>
      <c r="R286" s="873"/>
      <c r="S286" s="873"/>
      <c r="T286" s="873"/>
      <c r="U286" s="873"/>
      <c r="V286" s="873"/>
      <c r="W286" s="873"/>
      <c r="X286" s="873"/>
      <c r="Y286" s="873"/>
      <c r="Z286" s="873"/>
      <c r="AA286" s="873"/>
      <c r="AB286" s="873"/>
      <c r="AC286" s="873"/>
      <c r="AD286" s="873"/>
      <c r="AE286" s="873"/>
      <c r="AF286" s="873"/>
      <c r="AG286" s="873"/>
      <c r="AH286" s="873"/>
      <c r="AI286" s="873"/>
      <c r="AJ286" s="873"/>
      <c r="AK286" s="873"/>
      <c r="AL286" s="873"/>
      <c r="AM286" s="873"/>
      <c r="AN286" s="873"/>
      <c r="AO286" s="873"/>
      <c r="AP286" s="873"/>
      <c r="AQ286" s="873"/>
      <c r="AR286" s="873"/>
      <c r="AS286" s="873"/>
    </row>
    <row r="287" spans="1:45" ht="12.75" x14ac:dyDescent="0.2">
      <c r="A287" s="873"/>
      <c r="B287" s="873"/>
      <c r="C287" s="873"/>
      <c r="D287" s="873"/>
      <c r="E287" s="873"/>
      <c r="F287" s="873"/>
      <c r="G287" s="873"/>
      <c r="H287" s="873"/>
      <c r="I287" s="873"/>
      <c r="J287" s="873"/>
      <c r="K287" s="873"/>
      <c r="L287" s="873"/>
      <c r="M287" s="873"/>
      <c r="N287" s="873"/>
      <c r="O287" s="873"/>
      <c r="P287" s="873"/>
      <c r="Q287" s="873"/>
      <c r="R287" s="873"/>
      <c r="S287" s="873"/>
      <c r="T287" s="873"/>
      <c r="U287" s="873"/>
      <c r="V287" s="873"/>
      <c r="W287" s="873"/>
      <c r="X287" s="873"/>
      <c r="Y287" s="873"/>
      <c r="Z287" s="873"/>
      <c r="AA287" s="873"/>
      <c r="AB287" s="873"/>
      <c r="AC287" s="873"/>
      <c r="AD287" s="873"/>
      <c r="AE287" s="873"/>
      <c r="AF287" s="873"/>
      <c r="AG287" s="873"/>
      <c r="AH287" s="873"/>
      <c r="AI287" s="873"/>
      <c r="AJ287" s="873"/>
      <c r="AK287" s="873"/>
      <c r="AL287" s="873"/>
      <c r="AM287" s="873"/>
      <c r="AN287" s="873"/>
      <c r="AO287" s="873"/>
      <c r="AP287" s="873"/>
      <c r="AQ287" s="873"/>
      <c r="AR287" s="873"/>
      <c r="AS287" s="873"/>
    </row>
    <row r="288" spans="1:45" ht="12.75" x14ac:dyDescent="0.2">
      <c r="A288" s="873"/>
      <c r="B288" s="873"/>
      <c r="C288" s="873"/>
      <c r="D288" s="873"/>
      <c r="E288" s="873"/>
      <c r="F288" s="873"/>
      <c r="G288" s="873"/>
      <c r="H288" s="873"/>
      <c r="I288" s="873"/>
      <c r="J288" s="873"/>
      <c r="K288" s="873"/>
      <c r="L288" s="873"/>
      <c r="M288" s="873"/>
      <c r="N288" s="873"/>
      <c r="O288" s="873"/>
      <c r="P288" s="873"/>
      <c r="Q288" s="873"/>
      <c r="R288" s="873"/>
      <c r="S288" s="873"/>
      <c r="T288" s="873"/>
      <c r="U288" s="873"/>
      <c r="V288" s="873"/>
      <c r="W288" s="873"/>
      <c r="X288" s="873"/>
      <c r="Y288" s="873"/>
      <c r="Z288" s="873"/>
      <c r="AA288" s="873"/>
      <c r="AB288" s="873"/>
      <c r="AC288" s="873"/>
      <c r="AD288" s="873"/>
      <c r="AE288" s="873"/>
      <c r="AF288" s="873"/>
      <c r="AG288" s="873"/>
      <c r="AH288" s="873"/>
      <c r="AI288" s="873"/>
      <c r="AJ288" s="873"/>
      <c r="AK288" s="873"/>
      <c r="AL288" s="873"/>
      <c r="AM288" s="873"/>
      <c r="AN288" s="873"/>
      <c r="AO288" s="873"/>
      <c r="AP288" s="873"/>
      <c r="AQ288" s="873"/>
      <c r="AR288" s="873"/>
      <c r="AS288" s="873"/>
    </row>
    <row r="289" spans="1:45" ht="12.75" x14ac:dyDescent="0.2">
      <c r="A289" s="873"/>
      <c r="B289" s="873"/>
      <c r="C289" s="873"/>
      <c r="D289" s="873"/>
      <c r="E289" s="873"/>
      <c r="F289" s="873"/>
      <c r="G289" s="873"/>
      <c r="H289" s="873"/>
      <c r="I289" s="873"/>
      <c r="J289" s="873"/>
      <c r="K289" s="873"/>
      <c r="L289" s="873"/>
      <c r="M289" s="873"/>
      <c r="N289" s="873"/>
      <c r="O289" s="873"/>
      <c r="P289" s="873"/>
      <c r="Q289" s="873"/>
      <c r="R289" s="873"/>
      <c r="S289" s="873"/>
      <c r="T289" s="873"/>
      <c r="U289" s="873"/>
      <c r="V289" s="873"/>
      <c r="W289" s="873"/>
      <c r="X289" s="873"/>
      <c r="Y289" s="873"/>
      <c r="Z289" s="873"/>
      <c r="AA289" s="873"/>
      <c r="AB289" s="873"/>
      <c r="AC289" s="873"/>
      <c r="AD289" s="873"/>
      <c r="AE289" s="873"/>
      <c r="AF289" s="873"/>
      <c r="AG289" s="873"/>
      <c r="AH289" s="873"/>
      <c r="AI289" s="873"/>
      <c r="AJ289" s="873"/>
      <c r="AK289" s="873"/>
      <c r="AL289" s="873"/>
      <c r="AM289" s="873"/>
      <c r="AN289" s="873"/>
      <c r="AO289" s="873"/>
      <c r="AP289" s="873"/>
      <c r="AQ289" s="873"/>
      <c r="AR289" s="873"/>
      <c r="AS289" s="873"/>
    </row>
    <row r="290" spans="1:45" ht="12.75" x14ac:dyDescent="0.2">
      <c r="A290" s="873"/>
      <c r="B290" s="873"/>
      <c r="C290" s="873"/>
      <c r="D290" s="873"/>
      <c r="E290" s="873"/>
      <c r="F290" s="873"/>
      <c r="G290" s="873"/>
      <c r="H290" s="873"/>
      <c r="I290" s="873"/>
      <c r="J290" s="873"/>
      <c r="K290" s="873"/>
      <c r="L290" s="873"/>
      <c r="M290" s="873"/>
      <c r="N290" s="873"/>
      <c r="O290" s="873"/>
      <c r="P290" s="873"/>
      <c r="Q290" s="873"/>
      <c r="R290" s="873"/>
      <c r="S290" s="873"/>
      <c r="T290" s="873"/>
      <c r="U290" s="873"/>
      <c r="V290" s="873"/>
      <c r="W290" s="873"/>
      <c r="X290" s="873"/>
      <c r="Y290" s="873"/>
      <c r="Z290" s="873"/>
      <c r="AA290" s="873"/>
      <c r="AB290" s="873"/>
      <c r="AC290" s="873"/>
      <c r="AD290" s="873"/>
      <c r="AE290" s="873"/>
      <c r="AF290" s="873"/>
      <c r="AG290" s="873"/>
      <c r="AH290" s="873"/>
      <c r="AI290" s="873"/>
      <c r="AJ290" s="873"/>
      <c r="AK290" s="873"/>
      <c r="AL290" s="873"/>
      <c r="AM290" s="873"/>
      <c r="AN290" s="873"/>
      <c r="AO290" s="873"/>
      <c r="AP290" s="873"/>
      <c r="AQ290" s="873"/>
      <c r="AR290" s="873"/>
      <c r="AS290" s="873"/>
    </row>
    <row r="291" spans="1:45" ht="12.75" x14ac:dyDescent="0.2">
      <c r="A291" s="873"/>
      <c r="B291" s="873"/>
      <c r="C291" s="873"/>
      <c r="D291" s="873"/>
      <c r="E291" s="873"/>
      <c r="F291" s="873"/>
      <c r="G291" s="873"/>
      <c r="H291" s="873"/>
      <c r="I291" s="873"/>
      <c r="J291" s="873"/>
      <c r="K291" s="873"/>
      <c r="L291" s="873"/>
      <c r="M291" s="873"/>
      <c r="N291" s="873"/>
      <c r="O291" s="873"/>
      <c r="P291" s="873"/>
      <c r="Q291" s="873"/>
      <c r="R291" s="873"/>
      <c r="S291" s="873"/>
      <c r="T291" s="873"/>
      <c r="U291" s="873"/>
      <c r="V291" s="873"/>
      <c r="W291" s="873"/>
      <c r="X291" s="873"/>
      <c r="Y291" s="873"/>
      <c r="Z291" s="873"/>
      <c r="AA291" s="873"/>
      <c r="AB291" s="873"/>
      <c r="AC291" s="873"/>
      <c r="AD291" s="873"/>
      <c r="AE291" s="873"/>
      <c r="AF291" s="873"/>
      <c r="AG291" s="873"/>
      <c r="AH291" s="873"/>
      <c r="AI291" s="873"/>
      <c r="AJ291" s="873"/>
      <c r="AK291" s="873"/>
      <c r="AL291" s="873"/>
      <c r="AM291" s="873"/>
      <c r="AN291" s="873"/>
      <c r="AO291" s="873"/>
      <c r="AP291" s="873"/>
      <c r="AQ291" s="873"/>
      <c r="AR291" s="873"/>
      <c r="AS291" s="873"/>
    </row>
    <row r="292" spans="1:45" ht="12.75" x14ac:dyDescent="0.2">
      <c r="A292" s="873"/>
      <c r="B292" s="873"/>
      <c r="C292" s="873"/>
      <c r="D292" s="873"/>
      <c r="E292" s="873"/>
      <c r="F292" s="873"/>
      <c r="G292" s="873"/>
      <c r="H292" s="873"/>
      <c r="I292" s="873"/>
      <c r="J292" s="873"/>
      <c r="K292" s="873"/>
      <c r="L292" s="873"/>
      <c r="M292" s="873"/>
      <c r="N292" s="873"/>
      <c r="O292" s="873"/>
      <c r="P292" s="873"/>
      <c r="Q292" s="873"/>
      <c r="R292" s="873"/>
      <c r="S292" s="873"/>
      <c r="T292" s="873"/>
      <c r="U292" s="873"/>
      <c r="V292" s="873"/>
      <c r="W292" s="873"/>
      <c r="X292" s="873"/>
      <c r="Y292" s="873"/>
      <c r="Z292" s="873"/>
      <c r="AA292" s="873"/>
      <c r="AB292" s="873"/>
      <c r="AC292" s="873"/>
      <c r="AD292" s="873"/>
      <c r="AE292" s="873"/>
      <c r="AF292" s="873"/>
      <c r="AG292" s="873"/>
      <c r="AH292" s="873"/>
      <c r="AI292" s="873"/>
      <c r="AJ292" s="873"/>
      <c r="AK292" s="873"/>
      <c r="AL292" s="873"/>
      <c r="AM292" s="873"/>
      <c r="AN292" s="873"/>
      <c r="AO292" s="873"/>
      <c r="AP292" s="873"/>
      <c r="AQ292" s="873"/>
      <c r="AR292" s="873"/>
      <c r="AS292" s="873"/>
    </row>
    <row r="293" spans="1:45" ht="12.75" x14ac:dyDescent="0.2">
      <c r="A293" s="873"/>
      <c r="B293" s="873"/>
      <c r="C293" s="873"/>
      <c r="D293" s="873"/>
      <c r="E293" s="873"/>
      <c r="F293" s="873"/>
      <c r="G293" s="873"/>
      <c r="H293" s="873"/>
      <c r="I293" s="873"/>
      <c r="J293" s="873"/>
      <c r="K293" s="873"/>
      <c r="L293" s="873"/>
      <c r="M293" s="873"/>
      <c r="N293" s="873"/>
      <c r="O293" s="873"/>
      <c r="P293" s="873"/>
      <c r="Q293" s="873"/>
      <c r="R293" s="873"/>
      <c r="S293" s="873"/>
      <c r="T293" s="873"/>
      <c r="U293" s="873"/>
      <c r="V293" s="873"/>
      <c r="W293" s="873"/>
      <c r="X293" s="873"/>
      <c r="Y293" s="873"/>
      <c r="Z293" s="873"/>
      <c r="AA293" s="873"/>
      <c r="AB293" s="873"/>
      <c r="AC293" s="873"/>
      <c r="AD293" s="873"/>
      <c r="AE293" s="873"/>
      <c r="AF293" s="873"/>
      <c r="AG293" s="873"/>
      <c r="AH293" s="873"/>
      <c r="AI293" s="873"/>
      <c r="AJ293" s="873"/>
      <c r="AK293" s="873"/>
      <c r="AL293" s="873"/>
      <c r="AM293" s="873"/>
      <c r="AN293" s="873"/>
      <c r="AO293" s="873"/>
      <c r="AP293" s="873"/>
      <c r="AQ293" s="873"/>
      <c r="AR293" s="873"/>
      <c r="AS293" s="873"/>
    </row>
    <row r="294" spans="1:45" ht="12.75" x14ac:dyDescent="0.2">
      <c r="A294" s="873"/>
      <c r="B294" s="873"/>
      <c r="C294" s="873"/>
      <c r="D294" s="873"/>
      <c r="E294" s="873"/>
      <c r="F294" s="873"/>
      <c r="G294" s="873"/>
      <c r="H294" s="873"/>
      <c r="I294" s="873"/>
      <c r="J294" s="873"/>
      <c r="K294" s="873"/>
      <c r="L294" s="873"/>
      <c r="M294" s="873"/>
      <c r="N294" s="873"/>
      <c r="O294" s="873"/>
      <c r="P294" s="873"/>
      <c r="Q294" s="873"/>
      <c r="R294" s="873"/>
      <c r="S294" s="873"/>
      <c r="T294" s="873"/>
      <c r="U294" s="873"/>
      <c r="V294" s="873"/>
      <c r="W294" s="873"/>
      <c r="X294" s="873"/>
      <c r="Y294" s="873"/>
      <c r="Z294" s="873"/>
      <c r="AA294" s="873"/>
      <c r="AB294" s="873"/>
      <c r="AC294" s="873"/>
      <c r="AD294" s="873"/>
      <c r="AE294" s="873"/>
      <c r="AF294" s="873"/>
      <c r="AG294" s="873"/>
      <c r="AH294" s="873"/>
      <c r="AI294" s="873"/>
      <c r="AJ294" s="873"/>
      <c r="AK294" s="873"/>
      <c r="AL294" s="873"/>
      <c r="AM294" s="873"/>
      <c r="AN294" s="873"/>
      <c r="AO294" s="873"/>
      <c r="AP294" s="873"/>
      <c r="AQ294" s="873"/>
      <c r="AR294" s="873"/>
      <c r="AS294" s="873"/>
    </row>
    <row r="295" spans="1:45" ht="12.75" x14ac:dyDescent="0.2">
      <c r="A295" s="873"/>
      <c r="B295" s="873"/>
      <c r="C295" s="873"/>
      <c r="D295" s="873"/>
      <c r="E295" s="873"/>
      <c r="F295" s="873"/>
      <c r="G295" s="873"/>
      <c r="H295" s="873"/>
      <c r="I295" s="873"/>
      <c r="J295" s="873"/>
      <c r="K295" s="873"/>
      <c r="L295" s="873"/>
      <c r="M295" s="873"/>
      <c r="N295" s="873"/>
      <c r="O295" s="873"/>
      <c r="P295" s="873"/>
      <c r="Q295" s="873"/>
      <c r="R295" s="873"/>
      <c r="S295" s="873"/>
      <c r="T295" s="873"/>
      <c r="U295" s="873"/>
      <c r="V295" s="873"/>
      <c r="W295" s="873"/>
      <c r="X295" s="873"/>
      <c r="Y295" s="873"/>
      <c r="Z295" s="873"/>
      <c r="AA295" s="873"/>
      <c r="AB295" s="873"/>
      <c r="AC295" s="873"/>
      <c r="AD295" s="873"/>
      <c r="AE295" s="873"/>
      <c r="AF295" s="873"/>
      <c r="AG295" s="873"/>
      <c r="AH295" s="873"/>
      <c r="AI295" s="873"/>
      <c r="AJ295" s="873"/>
      <c r="AK295" s="873"/>
      <c r="AL295" s="873"/>
      <c r="AM295" s="873"/>
      <c r="AN295" s="873"/>
      <c r="AO295" s="873"/>
      <c r="AP295" s="873"/>
      <c r="AQ295" s="873"/>
      <c r="AR295" s="873"/>
      <c r="AS295" s="873"/>
    </row>
    <row r="296" spans="1:45" ht="12.75" x14ac:dyDescent="0.2">
      <c r="A296" s="873"/>
      <c r="B296" s="873"/>
      <c r="C296" s="873"/>
      <c r="D296" s="873"/>
      <c r="E296" s="873"/>
      <c r="F296" s="873"/>
      <c r="G296" s="873"/>
      <c r="H296" s="873"/>
      <c r="I296" s="873"/>
      <c r="J296" s="873"/>
      <c r="K296" s="873"/>
      <c r="L296" s="873"/>
      <c r="M296" s="873"/>
      <c r="N296" s="873"/>
      <c r="O296" s="873"/>
      <c r="P296" s="873"/>
      <c r="Q296" s="873"/>
      <c r="R296" s="873"/>
      <c r="S296" s="873"/>
      <c r="T296" s="873"/>
      <c r="U296" s="873"/>
      <c r="V296" s="873"/>
      <c r="W296" s="873"/>
      <c r="X296" s="873"/>
      <c r="Y296" s="873"/>
      <c r="Z296" s="873"/>
      <c r="AA296" s="873"/>
      <c r="AB296" s="873"/>
      <c r="AC296" s="873"/>
      <c r="AD296" s="873"/>
      <c r="AE296" s="873"/>
      <c r="AF296" s="873"/>
      <c r="AG296" s="873"/>
      <c r="AH296" s="873"/>
      <c r="AI296" s="873"/>
      <c r="AJ296" s="873"/>
      <c r="AK296" s="873"/>
      <c r="AL296" s="873"/>
      <c r="AM296" s="873"/>
      <c r="AN296" s="873"/>
      <c r="AO296" s="873"/>
      <c r="AP296" s="873"/>
      <c r="AQ296" s="873"/>
      <c r="AR296" s="873"/>
      <c r="AS296" s="873"/>
    </row>
    <row r="297" spans="1:45" ht="12.75" x14ac:dyDescent="0.2">
      <c r="A297" s="873"/>
      <c r="B297" s="873"/>
      <c r="C297" s="873"/>
      <c r="D297" s="873"/>
      <c r="E297" s="873"/>
      <c r="F297" s="873"/>
      <c r="G297" s="873"/>
      <c r="H297" s="873"/>
      <c r="I297" s="873"/>
      <c r="J297" s="873"/>
      <c r="K297" s="873"/>
      <c r="L297" s="873"/>
      <c r="M297" s="873"/>
      <c r="N297" s="873"/>
      <c r="O297" s="873"/>
      <c r="P297" s="873"/>
      <c r="Q297" s="873"/>
      <c r="R297" s="873"/>
      <c r="S297" s="873"/>
      <c r="T297" s="873"/>
      <c r="U297" s="873"/>
      <c r="V297" s="873"/>
      <c r="W297" s="873"/>
      <c r="X297" s="873"/>
      <c r="Y297" s="873"/>
      <c r="Z297" s="873"/>
      <c r="AA297" s="873"/>
      <c r="AB297" s="873"/>
      <c r="AC297" s="873"/>
      <c r="AD297" s="873"/>
      <c r="AE297" s="873"/>
      <c r="AF297" s="873"/>
      <c r="AG297" s="873"/>
      <c r="AH297" s="873"/>
      <c r="AI297" s="873"/>
      <c r="AJ297" s="873"/>
      <c r="AK297" s="873"/>
      <c r="AL297" s="873"/>
      <c r="AM297" s="873"/>
      <c r="AN297" s="873"/>
      <c r="AO297" s="873"/>
      <c r="AP297" s="873"/>
      <c r="AQ297" s="873"/>
      <c r="AR297" s="873"/>
      <c r="AS297" s="873"/>
    </row>
    <row r="298" spans="1:45" ht="12.75" x14ac:dyDescent="0.2">
      <c r="A298" s="873"/>
      <c r="B298" s="873"/>
      <c r="C298" s="873"/>
      <c r="D298" s="873"/>
      <c r="E298" s="873"/>
      <c r="F298" s="873"/>
      <c r="G298" s="873"/>
      <c r="H298" s="873"/>
      <c r="I298" s="873"/>
      <c r="J298" s="873"/>
      <c r="K298" s="873"/>
      <c r="L298" s="873"/>
      <c r="M298" s="873"/>
      <c r="N298" s="873"/>
      <c r="O298" s="873"/>
      <c r="P298" s="873"/>
      <c r="Q298" s="873"/>
      <c r="R298" s="873"/>
      <c r="S298" s="873"/>
      <c r="T298" s="873"/>
      <c r="U298" s="873"/>
      <c r="V298" s="873"/>
      <c r="W298" s="873"/>
      <c r="X298" s="873"/>
      <c r="Y298" s="873"/>
      <c r="Z298" s="873"/>
      <c r="AA298" s="873"/>
      <c r="AB298" s="873"/>
      <c r="AC298" s="873"/>
      <c r="AD298" s="873"/>
      <c r="AE298" s="873"/>
      <c r="AF298" s="873"/>
      <c r="AG298" s="873"/>
      <c r="AH298" s="873"/>
      <c r="AI298" s="873"/>
      <c r="AJ298" s="873"/>
      <c r="AK298" s="873"/>
      <c r="AL298" s="873"/>
      <c r="AM298" s="873"/>
      <c r="AN298" s="873"/>
      <c r="AO298" s="873"/>
      <c r="AP298" s="873"/>
      <c r="AQ298" s="873"/>
      <c r="AR298" s="873"/>
      <c r="AS298" s="873"/>
    </row>
    <row r="299" spans="1:45" ht="12.75" x14ac:dyDescent="0.2">
      <c r="A299" s="873"/>
      <c r="B299" s="873"/>
      <c r="C299" s="873"/>
      <c r="D299" s="873"/>
      <c r="E299" s="873"/>
      <c r="F299" s="873"/>
      <c r="G299" s="873"/>
      <c r="H299" s="873"/>
      <c r="I299" s="873"/>
      <c r="J299" s="873"/>
      <c r="K299" s="873"/>
      <c r="L299" s="873"/>
      <c r="M299" s="873"/>
      <c r="N299" s="873"/>
      <c r="O299" s="873"/>
      <c r="P299" s="873"/>
      <c r="Q299" s="873"/>
      <c r="R299" s="873"/>
      <c r="S299" s="873"/>
      <c r="T299" s="873"/>
      <c r="U299" s="873"/>
      <c r="V299" s="873"/>
      <c r="W299" s="873"/>
      <c r="X299" s="873"/>
      <c r="Y299" s="873"/>
      <c r="Z299" s="873"/>
      <c r="AA299" s="873"/>
      <c r="AB299" s="873"/>
      <c r="AC299" s="873"/>
      <c r="AD299" s="873"/>
      <c r="AE299" s="873"/>
      <c r="AF299" s="873"/>
      <c r="AG299" s="873"/>
      <c r="AH299" s="873"/>
      <c r="AI299" s="873"/>
      <c r="AJ299" s="873"/>
      <c r="AK299" s="873"/>
      <c r="AL299" s="873"/>
      <c r="AM299" s="873"/>
      <c r="AN299" s="873"/>
      <c r="AO299" s="873"/>
      <c r="AP299" s="873"/>
      <c r="AQ299" s="873"/>
      <c r="AR299" s="873"/>
      <c r="AS299" s="873"/>
    </row>
    <row r="300" spans="1:45" ht="12.75" x14ac:dyDescent="0.2">
      <c r="A300" s="873"/>
      <c r="B300" s="873"/>
      <c r="C300" s="873"/>
      <c r="D300" s="873"/>
      <c r="E300" s="873"/>
      <c r="F300" s="873"/>
      <c r="G300" s="873"/>
      <c r="H300" s="873"/>
      <c r="I300" s="873"/>
      <c r="J300" s="873"/>
      <c r="K300" s="873"/>
      <c r="L300" s="873"/>
      <c r="M300" s="873"/>
      <c r="N300" s="873"/>
      <c r="O300" s="873"/>
      <c r="P300" s="873"/>
      <c r="Q300" s="873"/>
      <c r="R300" s="873"/>
      <c r="S300" s="873"/>
      <c r="T300" s="873"/>
      <c r="U300" s="873"/>
      <c r="V300" s="873"/>
      <c r="W300" s="873"/>
      <c r="X300" s="873"/>
      <c r="Y300" s="873"/>
      <c r="Z300" s="873"/>
      <c r="AA300" s="873"/>
      <c r="AB300" s="873"/>
      <c r="AC300" s="873"/>
      <c r="AD300" s="873"/>
      <c r="AE300" s="873"/>
      <c r="AF300" s="873"/>
      <c r="AG300" s="873"/>
      <c r="AH300" s="873"/>
      <c r="AI300" s="873"/>
      <c r="AJ300" s="873"/>
      <c r="AK300" s="873"/>
      <c r="AL300" s="873"/>
      <c r="AM300" s="873"/>
      <c r="AN300" s="873"/>
      <c r="AO300" s="873"/>
      <c r="AP300" s="873"/>
      <c r="AQ300" s="873"/>
      <c r="AR300" s="873"/>
      <c r="AS300" s="873"/>
    </row>
    <row r="301" spans="1:45" ht="12.75" x14ac:dyDescent="0.2">
      <c r="A301" s="873"/>
      <c r="B301" s="873"/>
      <c r="C301" s="873"/>
      <c r="D301" s="873"/>
      <c r="E301" s="873"/>
      <c r="F301" s="873"/>
      <c r="G301" s="873"/>
      <c r="H301" s="873"/>
      <c r="I301" s="873"/>
      <c r="J301" s="873"/>
      <c r="K301" s="873"/>
      <c r="L301" s="873"/>
      <c r="M301" s="873"/>
      <c r="N301" s="873"/>
      <c r="O301" s="873"/>
      <c r="P301" s="873"/>
      <c r="Q301" s="873"/>
      <c r="R301" s="873"/>
      <c r="S301" s="873"/>
      <c r="T301" s="873"/>
      <c r="U301" s="873"/>
      <c r="V301" s="873"/>
      <c r="W301" s="873"/>
      <c r="X301" s="873"/>
      <c r="Y301" s="873"/>
      <c r="Z301" s="873"/>
      <c r="AA301" s="873"/>
      <c r="AB301" s="873"/>
      <c r="AC301" s="873"/>
      <c r="AD301" s="873"/>
      <c r="AE301" s="873"/>
      <c r="AF301" s="873"/>
      <c r="AG301" s="873"/>
      <c r="AH301" s="873"/>
      <c r="AI301" s="873"/>
      <c r="AJ301" s="873"/>
      <c r="AK301" s="873"/>
      <c r="AL301" s="873"/>
      <c r="AM301" s="873"/>
      <c r="AN301" s="873"/>
      <c r="AO301" s="873"/>
      <c r="AP301" s="873"/>
      <c r="AQ301" s="873"/>
      <c r="AR301" s="873"/>
      <c r="AS301" s="873"/>
    </row>
    <row r="302" spans="1:45" ht="12.75" x14ac:dyDescent="0.2">
      <c r="A302" s="873"/>
      <c r="B302" s="873"/>
      <c r="C302" s="873"/>
      <c r="D302" s="873"/>
      <c r="E302" s="873"/>
      <c r="F302" s="873"/>
      <c r="G302" s="873"/>
      <c r="H302" s="873"/>
      <c r="I302" s="873"/>
      <c r="J302" s="873"/>
      <c r="K302" s="873"/>
      <c r="L302" s="873"/>
      <c r="M302" s="873"/>
      <c r="N302" s="873"/>
      <c r="O302" s="873"/>
      <c r="P302" s="873"/>
      <c r="Q302" s="873"/>
      <c r="R302" s="873"/>
      <c r="S302" s="873"/>
      <c r="T302" s="873"/>
      <c r="U302" s="873"/>
      <c r="V302" s="873"/>
      <c r="W302" s="873"/>
      <c r="X302" s="873"/>
      <c r="Y302" s="873"/>
      <c r="Z302" s="873"/>
      <c r="AA302" s="873"/>
      <c r="AB302" s="873"/>
      <c r="AC302" s="873"/>
      <c r="AD302" s="873"/>
      <c r="AE302" s="873"/>
      <c r="AF302" s="873"/>
      <c r="AG302" s="873"/>
      <c r="AH302" s="873"/>
      <c r="AI302" s="873"/>
      <c r="AJ302" s="873"/>
      <c r="AK302" s="873"/>
      <c r="AL302" s="873"/>
      <c r="AM302" s="873"/>
      <c r="AN302" s="873"/>
      <c r="AO302" s="873"/>
      <c r="AP302" s="873"/>
      <c r="AQ302" s="873"/>
      <c r="AR302" s="873"/>
      <c r="AS302" s="873"/>
    </row>
    <row r="303" spans="1:45" ht="12.75" x14ac:dyDescent="0.2">
      <c r="A303" s="873"/>
      <c r="B303" s="873"/>
      <c r="C303" s="873"/>
      <c r="D303" s="873"/>
      <c r="E303" s="873"/>
      <c r="F303" s="873"/>
      <c r="G303" s="873"/>
      <c r="H303" s="873"/>
      <c r="I303" s="873"/>
      <c r="J303" s="873"/>
      <c r="K303" s="873"/>
      <c r="L303" s="873"/>
      <c r="M303" s="873"/>
      <c r="N303" s="873"/>
      <c r="O303" s="873"/>
      <c r="P303" s="873"/>
      <c r="Q303" s="873"/>
      <c r="R303" s="873"/>
      <c r="S303" s="873"/>
      <c r="T303" s="873"/>
      <c r="U303" s="873"/>
      <c r="V303" s="873"/>
      <c r="W303" s="873"/>
      <c r="X303" s="873"/>
      <c r="Y303" s="873"/>
      <c r="Z303" s="873"/>
      <c r="AA303" s="873"/>
      <c r="AB303" s="873"/>
      <c r="AC303" s="873"/>
      <c r="AD303" s="873"/>
      <c r="AE303" s="873"/>
      <c r="AF303" s="873"/>
      <c r="AG303" s="873"/>
      <c r="AH303" s="873"/>
      <c r="AI303" s="873"/>
      <c r="AJ303" s="873"/>
      <c r="AK303" s="873"/>
      <c r="AL303" s="873"/>
      <c r="AM303" s="873"/>
      <c r="AN303" s="873"/>
      <c r="AO303" s="873"/>
      <c r="AP303" s="873"/>
      <c r="AQ303" s="873"/>
      <c r="AR303" s="873"/>
      <c r="AS303" s="873"/>
    </row>
    <row r="304" spans="1:45" ht="12.75" x14ac:dyDescent="0.2">
      <c r="A304" s="873"/>
      <c r="B304" s="873"/>
      <c r="C304" s="873"/>
      <c r="D304" s="873"/>
      <c r="E304" s="873"/>
      <c r="F304" s="873"/>
      <c r="G304" s="873"/>
      <c r="H304" s="873"/>
      <c r="I304" s="873"/>
      <c r="J304" s="873"/>
      <c r="K304" s="873"/>
      <c r="L304" s="873"/>
      <c r="M304" s="873"/>
      <c r="N304" s="873"/>
      <c r="O304" s="873"/>
      <c r="P304" s="873"/>
      <c r="Q304" s="873"/>
      <c r="R304" s="873"/>
      <c r="S304" s="873"/>
      <c r="T304" s="873"/>
      <c r="U304" s="873"/>
      <c r="V304" s="873"/>
      <c r="W304" s="873"/>
      <c r="X304" s="873"/>
      <c r="Y304" s="873"/>
      <c r="Z304" s="873"/>
      <c r="AA304" s="873"/>
      <c r="AB304" s="873"/>
      <c r="AC304" s="873"/>
      <c r="AD304" s="873"/>
      <c r="AE304" s="873"/>
      <c r="AF304" s="873"/>
      <c r="AG304" s="873"/>
      <c r="AH304" s="873"/>
      <c r="AI304" s="873"/>
      <c r="AJ304" s="873"/>
      <c r="AK304" s="873"/>
      <c r="AL304" s="873"/>
      <c r="AM304" s="873"/>
      <c r="AN304" s="873"/>
      <c r="AO304" s="873"/>
      <c r="AP304" s="873"/>
      <c r="AQ304" s="873"/>
      <c r="AR304" s="873"/>
      <c r="AS304" s="873"/>
    </row>
    <row r="305" spans="1:45" ht="12.75" x14ac:dyDescent="0.2">
      <c r="A305" s="873"/>
      <c r="B305" s="873"/>
      <c r="C305" s="873"/>
      <c r="D305" s="873"/>
      <c r="E305" s="873"/>
      <c r="F305" s="873"/>
      <c r="G305" s="873"/>
      <c r="H305" s="873"/>
      <c r="I305" s="873"/>
      <c r="J305" s="873"/>
      <c r="K305" s="873"/>
      <c r="L305" s="873"/>
      <c r="M305" s="873"/>
      <c r="N305" s="873"/>
      <c r="O305" s="873"/>
      <c r="P305" s="873"/>
      <c r="Q305" s="873"/>
      <c r="R305" s="873"/>
      <c r="S305" s="873"/>
      <c r="T305" s="873"/>
      <c r="U305" s="873"/>
      <c r="V305" s="873"/>
      <c r="W305" s="873"/>
      <c r="X305" s="873"/>
      <c r="Y305" s="873"/>
      <c r="Z305" s="873"/>
      <c r="AA305" s="873"/>
      <c r="AB305" s="873"/>
      <c r="AC305" s="873"/>
      <c r="AD305" s="873"/>
      <c r="AE305" s="873"/>
      <c r="AF305" s="873"/>
      <c r="AG305" s="873"/>
      <c r="AH305" s="873"/>
      <c r="AI305" s="873"/>
      <c r="AJ305" s="873"/>
      <c r="AK305" s="873"/>
      <c r="AL305" s="873"/>
      <c r="AM305" s="873"/>
      <c r="AN305" s="873"/>
      <c r="AO305" s="873"/>
      <c r="AP305" s="873"/>
      <c r="AQ305" s="873"/>
      <c r="AR305" s="873"/>
      <c r="AS305" s="873"/>
    </row>
    <row r="306" spans="1:45" ht="12.75" x14ac:dyDescent="0.2">
      <c r="A306" s="873"/>
      <c r="B306" s="873"/>
      <c r="C306" s="873"/>
      <c r="D306" s="873"/>
      <c r="E306" s="873"/>
      <c r="F306" s="873"/>
      <c r="G306" s="873"/>
      <c r="H306" s="873"/>
      <c r="I306" s="873"/>
      <c r="J306" s="873"/>
      <c r="K306" s="873"/>
      <c r="L306" s="873"/>
      <c r="M306" s="873"/>
      <c r="N306" s="873"/>
      <c r="O306" s="873"/>
      <c r="P306" s="873"/>
      <c r="Q306" s="873"/>
      <c r="R306" s="873"/>
      <c r="S306" s="873"/>
      <c r="T306" s="873"/>
      <c r="U306" s="873"/>
      <c r="V306" s="873"/>
      <c r="W306" s="873"/>
      <c r="X306" s="873"/>
      <c r="Y306" s="873"/>
      <c r="Z306" s="873"/>
      <c r="AA306" s="873"/>
      <c r="AB306" s="873"/>
      <c r="AC306" s="873"/>
      <c r="AD306" s="873"/>
      <c r="AE306" s="873"/>
      <c r="AF306" s="873"/>
      <c r="AG306" s="873"/>
      <c r="AH306" s="873"/>
      <c r="AI306" s="873"/>
      <c r="AJ306" s="873"/>
      <c r="AK306" s="873"/>
      <c r="AL306" s="873"/>
      <c r="AM306" s="873"/>
      <c r="AN306" s="873"/>
      <c r="AO306" s="873"/>
      <c r="AP306" s="873"/>
      <c r="AQ306" s="873"/>
      <c r="AR306" s="873"/>
      <c r="AS306" s="873"/>
    </row>
    <row r="307" spans="1:45" ht="12.75" x14ac:dyDescent="0.2">
      <c r="A307" s="873"/>
      <c r="B307" s="873"/>
      <c r="C307" s="873"/>
      <c r="D307" s="873"/>
      <c r="E307" s="873"/>
      <c r="F307" s="873"/>
      <c r="G307" s="873"/>
      <c r="H307" s="873"/>
      <c r="I307" s="873"/>
      <c r="J307" s="873"/>
      <c r="K307" s="873"/>
      <c r="L307" s="873"/>
      <c r="M307" s="873"/>
      <c r="N307" s="873"/>
      <c r="O307" s="873"/>
      <c r="P307" s="873"/>
      <c r="Q307" s="873"/>
      <c r="R307" s="873"/>
      <c r="S307" s="873"/>
      <c r="T307" s="873"/>
      <c r="U307" s="873"/>
      <c r="V307" s="873"/>
      <c r="W307" s="873"/>
      <c r="X307" s="873"/>
      <c r="Y307" s="873"/>
      <c r="Z307" s="873"/>
      <c r="AA307" s="873"/>
      <c r="AB307" s="873"/>
      <c r="AC307" s="873"/>
      <c r="AD307" s="873"/>
      <c r="AE307" s="873"/>
      <c r="AF307" s="873"/>
      <c r="AG307" s="873"/>
      <c r="AH307" s="873"/>
      <c r="AI307" s="873"/>
      <c r="AJ307" s="873"/>
      <c r="AK307" s="873"/>
      <c r="AL307" s="873"/>
      <c r="AM307" s="873"/>
      <c r="AN307" s="873"/>
      <c r="AO307" s="873"/>
      <c r="AP307" s="873"/>
      <c r="AQ307" s="873"/>
      <c r="AR307" s="873"/>
      <c r="AS307" s="873"/>
    </row>
    <row r="308" spans="1:45" ht="12.75" x14ac:dyDescent="0.2">
      <c r="A308" s="873"/>
      <c r="B308" s="873"/>
      <c r="C308" s="873"/>
      <c r="D308" s="873"/>
      <c r="E308" s="873"/>
      <c r="F308" s="873"/>
      <c r="G308" s="873"/>
      <c r="H308" s="873"/>
      <c r="I308" s="873"/>
      <c r="J308" s="873"/>
      <c r="K308" s="873"/>
      <c r="L308" s="873"/>
      <c r="M308" s="873"/>
      <c r="N308" s="873"/>
      <c r="O308" s="873"/>
      <c r="P308" s="873"/>
      <c r="Q308" s="873"/>
      <c r="R308" s="873"/>
      <c r="S308" s="873"/>
      <c r="T308" s="873"/>
      <c r="U308" s="873"/>
      <c r="V308" s="873"/>
      <c r="W308" s="873"/>
      <c r="X308" s="873"/>
      <c r="Y308" s="873"/>
      <c r="Z308" s="873"/>
      <c r="AA308" s="873"/>
      <c r="AB308" s="873"/>
      <c r="AC308" s="873"/>
      <c r="AD308" s="873"/>
      <c r="AE308" s="873"/>
      <c r="AF308" s="873"/>
      <c r="AG308" s="873"/>
      <c r="AH308" s="873"/>
      <c r="AI308" s="873"/>
      <c r="AJ308" s="873"/>
      <c r="AK308" s="873"/>
      <c r="AL308" s="873"/>
      <c r="AM308" s="873"/>
      <c r="AN308" s="873"/>
      <c r="AO308" s="873"/>
      <c r="AP308" s="873"/>
      <c r="AQ308" s="873"/>
      <c r="AR308" s="873"/>
      <c r="AS308" s="873"/>
    </row>
    <row r="309" spans="1:45" ht="12.75" x14ac:dyDescent="0.2">
      <c r="A309" s="873"/>
      <c r="B309" s="873"/>
      <c r="C309" s="873"/>
      <c r="D309" s="873"/>
      <c r="E309" s="873"/>
      <c r="F309" s="873"/>
      <c r="G309" s="873"/>
      <c r="H309" s="873"/>
      <c r="I309" s="873"/>
      <c r="J309" s="873"/>
      <c r="K309" s="873"/>
      <c r="L309" s="873"/>
      <c r="M309" s="873"/>
      <c r="N309" s="873"/>
      <c r="O309" s="873"/>
      <c r="P309" s="873"/>
      <c r="Q309" s="873"/>
      <c r="R309" s="873"/>
      <c r="S309" s="873"/>
      <c r="T309" s="873"/>
      <c r="U309" s="873"/>
      <c r="V309" s="873"/>
      <c r="W309" s="873"/>
      <c r="X309" s="873"/>
      <c r="Y309" s="873"/>
      <c r="Z309" s="873"/>
      <c r="AA309" s="873"/>
      <c r="AB309" s="873"/>
      <c r="AC309" s="873"/>
      <c r="AD309" s="873"/>
      <c r="AE309" s="873"/>
      <c r="AF309" s="873"/>
      <c r="AG309" s="873"/>
      <c r="AH309" s="873"/>
      <c r="AI309" s="873"/>
      <c r="AJ309" s="873"/>
      <c r="AK309" s="873"/>
      <c r="AL309" s="873"/>
      <c r="AM309" s="873"/>
      <c r="AN309" s="873"/>
      <c r="AO309" s="873"/>
      <c r="AP309" s="873"/>
      <c r="AQ309" s="873"/>
      <c r="AR309" s="873"/>
      <c r="AS309" s="873"/>
    </row>
    <row r="310" spans="1:45" ht="12.75" x14ac:dyDescent="0.2">
      <c r="A310" s="873"/>
      <c r="B310" s="873"/>
      <c r="C310" s="873"/>
      <c r="D310" s="873"/>
      <c r="E310" s="873"/>
      <c r="F310" s="873"/>
      <c r="G310" s="873"/>
      <c r="H310" s="873"/>
      <c r="I310" s="873"/>
      <c r="J310" s="873"/>
      <c r="K310" s="873"/>
      <c r="L310" s="873"/>
      <c r="M310" s="873"/>
      <c r="N310" s="873"/>
      <c r="O310" s="873"/>
      <c r="P310" s="873"/>
      <c r="Q310" s="873"/>
      <c r="R310" s="873"/>
      <c r="S310" s="873"/>
      <c r="T310" s="873"/>
      <c r="U310" s="873"/>
      <c r="V310" s="873"/>
      <c r="W310" s="873"/>
      <c r="X310" s="873"/>
      <c r="Y310" s="873"/>
      <c r="Z310" s="873"/>
      <c r="AA310" s="873"/>
      <c r="AB310" s="873"/>
      <c r="AC310" s="873"/>
      <c r="AD310" s="873"/>
      <c r="AE310" s="873"/>
      <c r="AF310" s="873"/>
      <c r="AG310" s="873"/>
      <c r="AH310" s="873"/>
      <c r="AI310" s="873"/>
      <c r="AJ310" s="873"/>
      <c r="AK310" s="873"/>
      <c r="AL310" s="873"/>
      <c r="AM310" s="873"/>
      <c r="AN310" s="873"/>
      <c r="AO310" s="873"/>
      <c r="AP310" s="873"/>
      <c r="AQ310" s="873"/>
      <c r="AR310" s="873"/>
      <c r="AS310" s="873"/>
    </row>
    <row r="311" spans="1:45" ht="12.75" x14ac:dyDescent="0.2">
      <c r="A311" s="873"/>
      <c r="B311" s="873"/>
      <c r="C311" s="873"/>
      <c r="D311" s="873"/>
      <c r="E311" s="873"/>
      <c r="F311" s="873"/>
      <c r="G311" s="873"/>
      <c r="H311" s="873"/>
      <c r="I311" s="873"/>
      <c r="J311" s="873"/>
      <c r="K311" s="873"/>
      <c r="L311" s="873"/>
      <c r="M311" s="873"/>
      <c r="N311" s="873"/>
      <c r="O311" s="873"/>
      <c r="P311" s="873"/>
      <c r="Q311" s="873"/>
      <c r="R311" s="873"/>
      <c r="S311" s="873"/>
      <c r="T311" s="873"/>
      <c r="U311" s="873"/>
      <c r="V311" s="873"/>
      <c r="W311" s="873"/>
      <c r="X311" s="873"/>
      <c r="Y311" s="873"/>
      <c r="Z311" s="873"/>
      <c r="AA311" s="873"/>
      <c r="AB311" s="873"/>
      <c r="AC311" s="873"/>
      <c r="AD311" s="873"/>
      <c r="AE311" s="873"/>
      <c r="AF311" s="873"/>
      <c r="AG311" s="873"/>
      <c r="AH311" s="873"/>
      <c r="AI311" s="873"/>
      <c r="AJ311" s="873"/>
      <c r="AK311" s="873"/>
      <c r="AL311" s="873"/>
      <c r="AM311" s="873"/>
      <c r="AN311" s="873"/>
      <c r="AO311" s="873"/>
      <c r="AP311" s="873"/>
      <c r="AQ311" s="873"/>
      <c r="AR311" s="873"/>
      <c r="AS311" s="873"/>
    </row>
    <row r="312" spans="1:45" ht="12.75" x14ac:dyDescent="0.2">
      <c r="A312" s="873"/>
      <c r="B312" s="873"/>
      <c r="C312" s="873"/>
      <c r="D312" s="873"/>
      <c r="E312" s="873"/>
      <c r="F312" s="873"/>
      <c r="G312" s="873"/>
      <c r="H312" s="873"/>
      <c r="I312" s="873"/>
      <c r="J312" s="873"/>
      <c r="K312" s="873"/>
      <c r="L312" s="873"/>
      <c r="M312" s="873"/>
      <c r="N312" s="873"/>
      <c r="O312" s="873"/>
      <c r="P312" s="873"/>
      <c r="Q312" s="873"/>
      <c r="R312" s="873"/>
      <c r="S312" s="873"/>
      <c r="T312" s="873"/>
      <c r="U312" s="873"/>
      <c r="V312" s="873"/>
      <c r="W312" s="873"/>
      <c r="X312" s="873"/>
      <c r="Y312" s="873"/>
      <c r="Z312" s="873"/>
      <c r="AA312" s="873"/>
      <c r="AB312" s="873"/>
      <c r="AC312" s="873"/>
      <c r="AD312" s="873"/>
      <c r="AE312" s="873"/>
      <c r="AF312" s="873"/>
      <c r="AG312" s="873"/>
      <c r="AH312" s="873"/>
      <c r="AI312" s="873"/>
      <c r="AJ312" s="873"/>
      <c r="AK312" s="873"/>
      <c r="AL312" s="873"/>
      <c r="AM312" s="873"/>
      <c r="AN312" s="873"/>
      <c r="AO312" s="873"/>
      <c r="AP312" s="873"/>
      <c r="AQ312" s="873"/>
      <c r="AR312" s="873"/>
      <c r="AS312" s="873"/>
    </row>
    <row r="313" spans="1:45" ht="12.75" x14ac:dyDescent="0.2">
      <c r="A313" s="873"/>
      <c r="B313" s="873"/>
      <c r="C313" s="873"/>
      <c r="D313" s="873"/>
      <c r="E313" s="873"/>
      <c r="F313" s="873"/>
      <c r="G313" s="873"/>
      <c r="H313" s="873"/>
      <c r="I313" s="873"/>
      <c r="J313" s="873"/>
      <c r="K313" s="873"/>
      <c r="L313" s="873"/>
      <c r="M313" s="873"/>
      <c r="N313" s="873"/>
      <c r="O313" s="873"/>
      <c r="P313" s="873"/>
      <c r="Q313" s="873"/>
      <c r="R313" s="873"/>
      <c r="S313" s="873"/>
      <c r="T313" s="873"/>
      <c r="U313" s="873"/>
      <c r="V313" s="873"/>
      <c r="W313" s="873"/>
      <c r="X313" s="873"/>
      <c r="Y313" s="873"/>
      <c r="Z313" s="873"/>
      <c r="AA313" s="873"/>
      <c r="AB313" s="873"/>
      <c r="AC313" s="873"/>
      <c r="AD313" s="873"/>
      <c r="AE313" s="873"/>
      <c r="AF313" s="873"/>
      <c r="AG313" s="873"/>
      <c r="AH313" s="873"/>
      <c r="AI313" s="873"/>
      <c r="AJ313" s="873"/>
      <c r="AK313" s="873"/>
      <c r="AL313" s="873"/>
      <c r="AM313" s="873"/>
      <c r="AN313" s="873"/>
      <c r="AO313" s="873"/>
      <c r="AP313" s="873"/>
      <c r="AQ313" s="873"/>
      <c r="AR313" s="873"/>
      <c r="AS313" s="873"/>
    </row>
    <row r="314" spans="1:45" ht="12.75" x14ac:dyDescent="0.2">
      <c r="A314" s="873"/>
      <c r="B314" s="873"/>
      <c r="C314" s="873"/>
      <c r="D314" s="873"/>
      <c r="E314" s="873"/>
      <c r="F314" s="873"/>
      <c r="G314" s="873"/>
      <c r="H314" s="873"/>
      <c r="I314" s="873"/>
      <c r="J314" s="873"/>
      <c r="K314" s="873"/>
      <c r="L314" s="873"/>
      <c r="M314" s="873"/>
      <c r="N314" s="873"/>
      <c r="O314" s="873"/>
      <c r="P314" s="873"/>
      <c r="Q314" s="873"/>
      <c r="R314" s="873"/>
      <c r="S314" s="873"/>
      <c r="T314" s="873"/>
      <c r="U314" s="873"/>
      <c r="V314" s="873"/>
      <c r="W314" s="873"/>
      <c r="X314" s="873"/>
      <c r="Y314" s="873"/>
      <c r="Z314" s="873"/>
      <c r="AA314" s="873"/>
      <c r="AB314" s="873"/>
      <c r="AC314" s="873"/>
      <c r="AD314" s="873"/>
      <c r="AE314" s="873"/>
      <c r="AF314" s="873"/>
      <c r="AG314" s="873"/>
      <c r="AH314" s="873"/>
      <c r="AI314" s="873"/>
      <c r="AJ314" s="873"/>
      <c r="AK314" s="873"/>
      <c r="AL314" s="873"/>
      <c r="AM314" s="873"/>
      <c r="AN314" s="873"/>
      <c r="AO314" s="873"/>
      <c r="AP314" s="873"/>
      <c r="AQ314" s="873"/>
      <c r="AR314" s="873"/>
      <c r="AS314" s="873"/>
    </row>
    <row r="315" spans="1:45" ht="12.75" x14ac:dyDescent="0.2">
      <c r="A315" s="873"/>
      <c r="B315" s="873"/>
      <c r="C315" s="873"/>
      <c r="D315" s="873"/>
      <c r="E315" s="873"/>
      <c r="F315" s="873"/>
      <c r="G315" s="873"/>
      <c r="H315" s="873"/>
      <c r="I315" s="873"/>
      <c r="J315" s="873"/>
      <c r="K315" s="873"/>
      <c r="L315" s="873"/>
      <c r="M315" s="873"/>
      <c r="N315" s="873"/>
      <c r="O315" s="873"/>
      <c r="P315" s="873"/>
      <c r="Q315" s="873"/>
      <c r="R315" s="873"/>
      <c r="S315" s="873"/>
      <c r="T315" s="873"/>
      <c r="U315" s="873"/>
      <c r="V315" s="873"/>
      <c r="W315" s="873"/>
      <c r="X315" s="873"/>
      <c r="Y315" s="873"/>
      <c r="Z315" s="873"/>
      <c r="AA315" s="873"/>
      <c r="AB315" s="873"/>
      <c r="AC315" s="873"/>
      <c r="AD315" s="873"/>
      <c r="AE315" s="873"/>
      <c r="AF315" s="873"/>
      <c r="AG315" s="873"/>
      <c r="AH315" s="873"/>
      <c r="AI315" s="873"/>
      <c r="AJ315" s="873"/>
      <c r="AK315" s="873"/>
      <c r="AL315" s="873"/>
      <c r="AM315" s="873"/>
      <c r="AN315" s="873"/>
      <c r="AO315" s="873"/>
      <c r="AP315" s="873"/>
      <c r="AQ315" s="873"/>
      <c r="AR315" s="873"/>
      <c r="AS315" s="873"/>
    </row>
    <row r="316" spans="1:45" ht="12.75" x14ac:dyDescent="0.2">
      <c r="A316" s="873"/>
      <c r="B316" s="873"/>
      <c r="C316" s="873"/>
      <c r="D316" s="873"/>
      <c r="E316" s="873"/>
      <c r="F316" s="873"/>
      <c r="G316" s="873"/>
      <c r="H316" s="873"/>
      <c r="I316" s="873"/>
      <c r="J316" s="873"/>
      <c r="K316" s="873"/>
      <c r="L316" s="873"/>
      <c r="M316" s="873"/>
      <c r="N316" s="873"/>
      <c r="O316" s="873"/>
      <c r="P316" s="873"/>
      <c r="Q316" s="873"/>
      <c r="R316" s="873"/>
      <c r="S316" s="873"/>
      <c r="T316" s="873"/>
      <c r="U316" s="873"/>
      <c r="V316" s="873"/>
      <c r="W316" s="873"/>
      <c r="X316" s="873"/>
      <c r="Y316" s="873"/>
      <c r="Z316" s="873"/>
      <c r="AA316" s="873"/>
      <c r="AB316" s="873"/>
      <c r="AC316" s="873"/>
      <c r="AD316" s="873"/>
      <c r="AE316" s="873"/>
      <c r="AF316" s="873"/>
      <c r="AG316" s="873"/>
      <c r="AH316" s="873"/>
      <c r="AI316" s="873"/>
      <c r="AJ316" s="873"/>
      <c r="AK316" s="873"/>
      <c r="AL316" s="873"/>
      <c r="AM316" s="873"/>
      <c r="AN316" s="873"/>
      <c r="AO316" s="873"/>
      <c r="AP316" s="873"/>
      <c r="AQ316" s="873"/>
      <c r="AR316" s="873"/>
      <c r="AS316" s="873"/>
    </row>
    <row r="317" spans="1:45" ht="12.75" x14ac:dyDescent="0.2">
      <c r="A317" s="873"/>
      <c r="B317" s="873"/>
      <c r="C317" s="873"/>
      <c r="D317" s="873"/>
      <c r="E317" s="873"/>
      <c r="F317" s="873"/>
      <c r="G317" s="873"/>
      <c r="H317" s="873"/>
      <c r="I317" s="873"/>
      <c r="J317" s="873"/>
      <c r="K317" s="873"/>
      <c r="L317" s="873"/>
      <c r="M317" s="873"/>
      <c r="N317" s="873"/>
      <c r="O317" s="873"/>
      <c r="P317" s="873"/>
      <c r="Q317" s="873"/>
      <c r="R317" s="873"/>
      <c r="S317" s="873"/>
      <c r="T317" s="873"/>
      <c r="U317" s="873"/>
      <c r="V317" s="873"/>
      <c r="W317" s="873"/>
      <c r="X317" s="873"/>
      <c r="Y317" s="873"/>
      <c r="Z317" s="873"/>
      <c r="AA317" s="873"/>
      <c r="AB317" s="873"/>
      <c r="AC317" s="873"/>
      <c r="AD317" s="873"/>
      <c r="AE317" s="873"/>
      <c r="AF317" s="873"/>
      <c r="AG317" s="873"/>
      <c r="AH317" s="873"/>
      <c r="AI317" s="873"/>
      <c r="AJ317" s="873"/>
      <c r="AK317" s="873"/>
      <c r="AL317" s="873"/>
      <c r="AM317" s="873"/>
      <c r="AN317" s="873"/>
      <c r="AO317" s="873"/>
      <c r="AP317" s="873"/>
      <c r="AQ317" s="873"/>
      <c r="AR317" s="873"/>
      <c r="AS317" s="873"/>
    </row>
    <row r="318" spans="1:45" ht="12.75" x14ac:dyDescent="0.2">
      <c r="A318" s="873"/>
      <c r="B318" s="873"/>
      <c r="C318" s="873"/>
      <c r="D318" s="873"/>
      <c r="E318" s="873"/>
      <c r="F318" s="873"/>
      <c r="G318" s="873"/>
      <c r="H318" s="873"/>
      <c r="I318" s="873"/>
      <c r="J318" s="873"/>
      <c r="K318" s="873"/>
      <c r="L318" s="873"/>
      <c r="M318" s="873"/>
      <c r="N318" s="873"/>
      <c r="O318" s="873"/>
      <c r="P318" s="873"/>
      <c r="Q318" s="873"/>
      <c r="R318" s="873"/>
      <c r="S318" s="873"/>
      <c r="T318" s="873"/>
      <c r="U318" s="873"/>
      <c r="V318" s="873"/>
      <c r="W318" s="873"/>
      <c r="X318" s="873"/>
      <c r="Y318" s="873"/>
      <c r="Z318" s="873"/>
      <c r="AA318" s="873"/>
      <c r="AB318" s="873"/>
      <c r="AC318" s="873"/>
      <c r="AD318" s="873"/>
      <c r="AE318" s="873"/>
      <c r="AF318" s="873"/>
      <c r="AG318" s="873"/>
      <c r="AH318" s="873"/>
      <c r="AI318" s="873"/>
      <c r="AJ318" s="873"/>
      <c r="AK318" s="873"/>
      <c r="AL318" s="873"/>
      <c r="AM318" s="873"/>
      <c r="AN318" s="873"/>
      <c r="AO318" s="873"/>
      <c r="AP318" s="873"/>
      <c r="AQ318" s="873"/>
      <c r="AR318" s="873"/>
      <c r="AS318" s="873"/>
    </row>
    <row r="319" spans="1:45" ht="12.75" x14ac:dyDescent="0.2">
      <c r="A319" s="873"/>
      <c r="B319" s="873"/>
      <c r="C319" s="873"/>
      <c r="D319" s="873"/>
      <c r="E319" s="873"/>
      <c r="F319" s="873"/>
      <c r="G319" s="873"/>
      <c r="H319" s="873"/>
      <c r="I319" s="873"/>
      <c r="J319" s="873"/>
      <c r="K319" s="873"/>
      <c r="L319" s="873"/>
      <c r="M319" s="873"/>
      <c r="N319" s="873"/>
      <c r="O319" s="873"/>
      <c r="P319" s="873"/>
      <c r="Q319" s="873"/>
      <c r="R319" s="873"/>
      <c r="S319" s="873"/>
      <c r="T319" s="873"/>
      <c r="U319" s="873"/>
      <c r="V319" s="873"/>
      <c r="W319" s="873"/>
      <c r="X319" s="873"/>
      <c r="Y319" s="873"/>
      <c r="Z319" s="873"/>
      <c r="AA319" s="873"/>
      <c r="AB319" s="873"/>
      <c r="AC319" s="873"/>
      <c r="AD319" s="873"/>
      <c r="AE319" s="873"/>
      <c r="AF319" s="873"/>
      <c r="AG319" s="873"/>
      <c r="AH319" s="873"/>
      <c r="AI319" s="873"/>
      <c r="AJ319" s="873"/>
      <c r="AK319" s="873"/>
      <c r="AL319" s="873"/>
      <c r="AM319" s="873"/>
      <c r="AN319" s="873"/>
      <c r="AO319" s="873"/>
      <c r="AP319" s="873"/>
      <c r="AQ319" s="873"/>
      <c r="AR319" s="873"/>
      <c r="AS319" s="873"/>
    </row>
    <row r="320" spans="1:45" ht="12.75" x14ac:dyDescent="0.2">
      <c r="A320" s="873"/>
      <c r="B320" s="873"/>
      <c r="C320" s="873"/>
      <c r="D320" s="873"/>
      <c r="E320" s="873"/>
      <c r="F320" s="873"/>
      <c r="G320" s="873"/>
      <c r="H320" s="873"/>
      <c r="I320" s="873"/>
      <c r="J320" s="873"/>
      <c r="K320" s="873"/>
      <c r="L320" s="873"/>
      <c r="M320" s="873"/>
      <c r="N320" s="873"/>
      <c r="O320" s="873"/>
      <c r="P320" s="873"/>
      <c r="Q320" s="873"/>
      <c r="R320" s="873"/>
      <c r="S320" s="873"/>
      <c r="T320" s="873"/>
      <c r="U320" s="873"/>
      <c r="V320" s="873"/>
      <c r="W320" s="873"/>
      <c r="X320" s="873"/>
      <c r="Y320" s="873"/>
      <c r="Z320" s="873"/>
      <c r="AA320" s="873"/>
      <c r="AB320" s="873"/>
      <c r="AC320" s="873"/>
      <c r="AD320" s="873"/>
      <c r="AE320" s="873"/>
      <c r="AF320" s="873"/>
      <c r="AG320" s="873"/>
      <c r="AH320" s="873"/>
      <c r="AI320" s="873"/>
      <c r="AJ320" s="873"/>
      <c r="AK320" s="873"/>
      <c r="AL320" s="873"/>
      <c r="AM320" s="873"/>
      <c r="AN320" s="873"/>
      <c r="AO320" s="873"/>
      <c r="AP320" s="873"/>
      <c r="AQ320" s="873"/>
      <c r="AR320" s="873"/>
      <c r="AS320" s="873"/>
    </row>
    <row r="321" spans="1:45" ht="12.75" x14ac:dyDescent="0.2">
      <c r="A321" s="873"/>
      <c r="B321" s="873"/>
      <c r="C321" s="873"/>
      <c r="D321" s="873"/>
      <c r="E321" s="873"/>
      <c r="F321" s="873"/>
      <c r="G321" s="873"/>
      <c r="H321" s="873"/>
      <c r="I321" s="873"/>
      <c r="J321" s="873"/>
      <c r="K321" s="873"/>
      <c r="L321" s="873"/>
      <c r="M321" s="873"/>
      <c r="N321" s="873"/>
      <c r="O321" s="873"/>
      <c r="P321" s="873"/>
      <c r="Q321" s="873"/>
      <c r="R321" s="873"/>
      <c r="S321" s="873"/>
      <c r="T321" s="873"/>
      <c r="U321" s="873"/>
      <c r="V321" s="873"/>
      <c r="W321" s="873"/>
      <c r="X321" s="873"/>
      <c r="Y321" s="873"/>
      <c r="Z321" s="873"/>
      <c r="AA321" s="873"/>
      <c r="AB321" s="873"/>
      <c r="AC321" s="873"/>
      <c r="AD321" s="873"/>
      <c r="AE321" s="873"/>
      <c r="AF321" s="873"/>
      <c r="AG321" s="873"/>
      <c r="AH321" s="873"/>
      <c r="AI321" s="873"/>
      <c r="AJ321" s="873"/>
      <c r="AK321" s="873"/>
      <c r="AL321" s="873"/>
      <c r="AM321" s="873"/>
      <c r="AN321" s="873"/>
      <c r="AO321" s="873"/>
      <c r="AP321" s="873"/>
      <c r="AQ321" s="873"/>
      <c r="AR321" s="873"/>
      <c r="AS321" s="873"/>
    </row>
    <row r="322" spans="1:45" ht="12.75" x14ac:dyDescent="0.2">
      <c r="A322" s="873"/>
      <c r="B322" s="873"/>
      <c r="C322" s="873"/>
      <c r="D322" s="873"/>
      <c r="E322" s="873"/>
      <c r="F322" s="873"/>
      <c r="G322" s="873"/>
      <c r="H322" s="873"/>
      <c r="I322" s="873"/>
      <c r="J322" s="873"/>
      <c r="K322" s="873"/>
      <c r="L322" s="873"/>
      <c r="M322" s="873"/>
      <c r="N322" s="873"/>
      <c r="O322" s="873"/>
      <c r="P322" s="873"/>
      <c r="Q322" s="873"/>
      <c r="R322" s="873"/>
      <c r="S322" s="873"/>
      <c r="T322" s="873"/>
      <c r="U322" s="873"/>
      <c r="V322" s="873"/>
      <c r="W322" s="873"/>
      <c r="X322" s="873"/>
      <c r="Y322" s="873"/>
      <c r="Z322" s="873"/>
      <c r="AA322" s="873"/>
      <c r="AB322" s="873"/>
      <c r="AC322" s="873"/>
      <c r="AD322" s="873"/>
      <c r="AE322" s="873"/>
      <c r="AF322" s="873"/>
      <c r="AG322" s="873"/>
      <c r="AH322" s="873"/>
      <c r="AI322" s="873"/>
      <c r="AJ322" s="873"/>
      <c r="AK322" s="873"/>
      <c r="AL322" s="873"/>
      <c r="AM322" s="873"/>
      <c r="AN322" s="873"/>
      <c r="AO322" s="873"/>
      <c r="AP322" s="873"/>
      <c r="AQ322" s="873"/>
      <c r="AR322" s="873"/>
      <c r="AS322" s="873"/>
    </row>
    <row r="323" spans="1:45" ht="12.75" x14ac:dyDescent="0.2">
      <c r="A323" s="873"/>
      <c r="B323" s="873"/>
      <c r="C323" s="873"/>
      <c r="D323" s="873"/>
      <c r="E323" s="873"/>
      <c r="F323" s="873"/>
      <c r="G323" s="873"/>
      <c r="H323" s="873"/>
      <c r="I323" s="873"/>
      <c r="J323" s="873"/>
      <c r="K323" s="873"/>
      <c r="L323" s="873"/>
      <c r="M323" s="873"/>
      <c r="N323" s="873"/>
      <c r="O323" s="873"/>
      <c r="P323" s="873"/>
      <c r="Q323" s="873"/>
      <c r="R323" s="873"/>
      <c r="S323" s="873"/>
      <c r="T323" s="873"/>
      <c r="U323" s="873"/>
      <c r="V323" s="873"/>
      <c r="W323" s="873"/>
      <c r="X323" s="873"/>
      <c r="Y323" s="873"/>
      <c r="Z323" s="873"/>
      <c r="AA323" s="873"/>
      <c r="AB323" s="873"/>
      <c r="AC323" s="873"/>
      <c r="AD323" s="873"/>
      <c r="AE323" s="873"/>
      <c r="AF323" s="873"/>
      <c r="AG323" s="873"/>
      <c r="AH323" s="873"/>
      <c r="AI323" s="873"/>
      <c r="AJ323" s="873"/>
      <c r="AK323" s="873"/>
      <c r="AL323" s="873"/>
      <c r="AM323" s="873"/>
      <c r="AN323" s="873"/>
      <c r="AO323" s="873"/>
      <c r="AP323" s="873"/>
      <c r="AQ323" s="873"/>
      <c r="AR323" s="873"/>
      <c r="AS323" s="873"/>
    </row>
    <row r="324" spans="1:45" ht="12.75" x14ac:dyDescent="0.2">
      <c r="A324" s="873"/>
      <c r="B324" s="873"/>
      <c r="C324" s="873"/>
      <c r="D324" s="873"/>
      <c r="E324" s="873"/>
      <c r="F324" s="873"/>
      <c r="G324" s="873"/>
      <c r="H324" s="873"/>
      <c r="I324" s="873"/>
      <c r="J324" s="873"/>
      <c r="K324" s="873"/>
      <c r="L324" s="873"/>
      <c r="M324" s="873"/>
      <c r="N324" s="873"/>
      <c r="O324" s="873"/>
      <c r="P324" s="873"/>
      <c r="Q324" s="873"/>
      <c r="R324" s="873"/>
      <c r="S324" s="873"/>
      <c r="T324" s="873"/>
      <c r="U324" s="873"/>
      <c r="V324" s="873"/>
      <c r="W324" s="873"/>
      <c r="X324" s="873"/>
      <c r="Y324" s="873"/>
      <c r="Z324" s="873"/>
      <c r="AA324" s="873"/>
      <c r="AB324" s="873"/>
      <c r="AC324" s="873"/>
      <c r="AD324" s="873"/>
      <c r="AE324" s="873"/>
      <c r="AF324" s="873"/>
      <c r="AG324" s="873"/>
      <c r="AH324" s="873"/>
      <c r="AI324" s="873"/>
      <c r="AJ324" s="873"/>
      <c r="AK324" s="873"/>
      <c r="AL324" s="873"/>
      <c r="AM324" s="873"/>
      <c r="AN324" s="873"/>
      <c r="AO324" s="873"/>
      <c r="AP324" s="873"/>
      <c r="AQ324" s="873"/>
      <c r="AR324" s="873"/>
      <c r="AS324" s="873"/>
    </row>
    <row r="325" spans="1:45" ht="12.75" x14ac:dyDescent="0.2">
      <c r="A325" s="873"/>
      <c r="B325" s="873"/>
      <c r="C325" s="873"/>
      <c r="D325" s="873"/>
      <c r="E325" s="873"/>
      <c r="F325" s="873"/>
      <c r="G325" s="873"/>
      <c r="H325" s="873"/>
      <c r="I325" s="873"/>
      <c r="J325" s="873"/>
      <c r="K325" s="873"/>
      <c r="L325" s="873"/>
      <c r="M325" s="873"/>
      <c r="N325" s="873"/>
      <c r="O325" s="873"/>
      <c r="P325" s="873"/>
      <c r="Q325" s="873"/>
      <c r="R325" s="873"/>
      <c r="S325" s="873"/>
      <c r="T325" s="873"/>
      <c r="U325" s="873"/>
      <c r="V325" s="873"/>
      <c r="W325" s="873"/>
      <c r="X325" s="873"/>
      <c r="Y325" s="873"/>
      <c r="Z325" s="873"/>
      <c r="AA325" s="873"/>
      <c r="AB325" s="873"/>
      <c r="AC325" s="873"/>
      <c r="AD325" s="873"/>
      <c r="AE325" s="873"/>
      <c r="AF325" s="873"/>
      <c r="AG325" s="873"/>
      <c r="AH325" s="873"/>
      <c r="AI325" s="873"/>
      <c r="AJ325" s="873"/>
      <c r="AK325" s="873"/>
      <c r="AL325" s="873"/>
      <c r="AM325" s="873"/>
      <c r="AN325" s="873"/>
      <c r="AO325" s="873"/>
      <c r="AP325" s="873"/>
      <c r="AQ325" s="873"/>
      <c r="AR325" s="873"/>
      <c r="AS325" s="873"/>
    </row>
    <row r="326" spans="1:45" ht="12.75" x14ac:dyDescent="0.2">
      <c r="A326" s="873"/>
      <c r="B326" s="873"/>
      <c r="C326" s="873"/>
      <c r="D326" s="873"/>
      <c r="E326" s="873"/>
      <c r="F326" s="873"/>
      <c r="G326" s="873"/>
      <c r="H326" s="873"/>
      <c r="I326" s="873"/>
      <c r="J326" s="873"/>
      <c r="K326" s="873"/>
      <c r="L326" s="873"/>
      <c r="M326" s="873"/>
      <c r="N326" s="873"/>
      <c r="O326" s="873"/>
      <c r="P326" s="873"/>
      <c r="Q326" s="873"/>
      <c r="R326" s="873"/>
      <c r="S326" s="873"/>
      <c r="T326" s="873"/>
      <c r="U326" s="873"/>
      <c r="V326" s="873"/>
      <c r="W326" s="873"/>
      <c r="X326" s="873"/>
      <c r="Y326" s="873"/>
      <c r="Z326" s="873"/>
      <c r="AA326" s="873"/>
      <c r="AB326" s="873"/>
      <c r="AC326" s="873"/>
      <c r="AD326" s="873"/>
      <c r="AE326" s="873"/>
      <c r="AF326" s="873"/>
      <c r="AG326" s="873"/>
      <c r="AH326" s="873"/>
      <c r="AI326" s="873"/>
      <c r="AJ326" s="873"/>
      <c r="AK326" s="873"/>
      <c r="AL326" s="873"/>
      <c r="AM326" s="873"/>
      <c r="AN326" s="873"/>
      <c r="AO326" s="873"/>
      <c r="AP326" s="873"/>
      <c r="AQ326" s="873"/>
      <c r="AR326" s="873"/>
      <c r="AS326" s="873"/>
    </row>
    <row r="327" spans="1:45" ht="12.75" x14ac:dyDescent="0.2">
      <c r="A327" s="873"/>
      <c r="B327" s="873"/>
      <c r="C327" s="873"/>
      <c r="D327" s="873"/>
      <c r="E327" s="873"/>
      <c r="F327" s="873"/>
      <c r="G327" s="873"/>
      <c r="H327" s="873"/>
      <c r="I327" s="873"/>
      <c r="J327" s="873"/>
      <c r="K327" s="873"/>
      <c r="L327" s="873"/>
      <c r="M327" s="873"/>
      <c r="N327" s="873"/>
      <c r="O327" s="873"/>
      <c r="P327" s="873"/>
      <c r="Q327" s="873"/>
      <c r="R327" s="873"/>
      <c r="S327" s="873"/>
      <c r="T327" s="873"/>
      <c r="U327" s="873"/>
      <c r="V327" s="873"/>
      <c r="W327" s="873"/>
      <c r="X327" s="873"/>
      <c r="Y327" s="873"/>
      <c r="Z327" s="873"/>
      <c r="AA327" s="873"/>
      <c r="AB327" s="873"/>
      <c r="AC327" s="873"/>
      <c r="AD327" s="873"/>
      <c r="AE327" s="873"/>
      <c r="AF327" s="873"/>
      <c r="AG327" s="873"/>
      <c r="AH327" s="873"/>
      <c r="AI327" s="873"/>
      <c r="AJ327" s="873"/>
      <c r="AK327" s="873"/>
      <c r="AL327" s="873"/>
      <c r="AM327" s="873"/>
      <c r="AN327" s="873"/>
      <c r="AO327" s="873"/>
      <c r="AP327" s="873"/>
      <c r="AQ327" s="873"/>
      <c r="AR327" s="873"/>
      <c r="AS327" s="873"/>
    </row>
    <row r="328" spans="1:45" ht="12.75" x14ac:dyDescent="0.2">
      <c r="A328" s="873"/>
      <c r="B328" s="873"/>
      <c r="C328" s="873"/>
      <c r="D328" s="873"/>
      <c r="E328" s="873"/>
      <c r="F328" s="873"/>
      <c r="G328" s="873"/>
      <c r="H328" s="873"/>
      <c r="I328" s="873"/>
      <c r="J328" s="873"/>
      <c r="K328" s="873"/>
      <c r="L328" s="873"/>
      <c r="M328" s="873"/>
      <c r="N328" s="873"/>
      <c r="O328" s="873"/>
      <c r="P328" s="873"/>
      <c r="Q328" s="873"/>
      <c r="R328" s="873"/>
      <c r="S328" s="873"/>
      <c r="T328" s="873"/>
      <c r="U328" s="873"/>
      <c r="V328" s="873"/>
      <c r="W328" s="873"/>
      <c r="X328" s="873"/>
      <c r="Y328" s="873"/>
      <c r="Z328" s="873"/>
      <c r="AA328" s="873"/>
      <c r="AB328" s="873"/>
      <c r="AC328" s="873"/>
      <c r="AD328" s="873"/>
      <c r="AE328" s="873"/>
      <c r="AF328" s="873"/>
      <c r="AG328" s="873"/>
      <c r="AH328" s="873"/>
      <c r="AI328" s="873"/>
      <c r="AJ328" s="873"/>
      <c r="AK328" s="873"/>
      <c r="AL328" s="873"/>
      <c r="AM328" s="873"/>
      <c r="AN328" s="873"/>
      <c r="AO328" s="873"/>
      <c r="AP328" s="873"/>
      <c r="AQ328" s="873"/>
      <c r="AR328" s="873"/>
      <c r="AS328" s="873"/>
    </row>
    <row r="329" spans="1:45" ht="12.75" x14ac:dyDescent="0.2">
      <c r="A329" s="873"/>
      <c r="B329" s="873"/>
      <c r="C329" s="873"/>
      <c r="D329" s="873"/>
      <c r="E329" s="873"/>
      <c r="F329" s="873"/>
      <c r="G329" s="873"/>
      <c r="H329" s="873"/>
      <c r="I329" s="873"/>
      <c r="J329" s="873"/>
      <c r="K329" s="873"/>
      <c r="L329" s="873"/>
      <c r="M329" s="873"/>
      <c r="N329" s="873"/>
      <c r="O329" s="873"/>
      <c r="P329" s="873"/>
      <c r="Q329" s="873"/>
      <c r="R329" s="873"/>
      <c r="S329" s="873"/>
      <c r="T329" s="873"/>
      <c r="U329" s="873"/>
      <c r="V329" s="873"/>
      <c r="W329" s="873"/>
      <c r="X329" s="873"/>
      <c r="Y329" s="873"/>
      <c r="Z329" s="873"/>
      <c r="AA329" s="873"/>
      <c r="AB329" s="873"/>
      <c r="AC329" s="873"/>
      <c r="AD329" s="873"/>
      <c r="AE329" s="873"/>
      <c r="AF329" s="873"/>
      <c r="AG329" s="873"/>
      <c r="AH329" s="873"/>
      <c r="AI329" s="873"/>
      <c r="AJ329" s="873"/>
      <c r="AK329" s="873"/>
      <c r="AL329" s="873"/>
      <c r="AM329" s="873"/>
      <c r="AN329" s="873"/>
      <c r="AO329" s="873"/>
      <c r="AP329" s="873"/>
      <c r="AQ329" s="873"/>
      <c r="AR329" s="873"/>
      <c r="AS329" s="873"/>
    </row>
    <row r="330" spans="1:45" ht="12.75" x14ac:dyDescent="0.2">
      <c r="A330" s="873"/>
      <c r="B330" s="873"/>
      <c r="C330" s="873"/>
      <c r="D330" s="873"/>
      <c r="E330" s="873"/>
      <c r="F330" s="873"/>
      <c r="G330" s="873"/>
      <c r="H330" s="873"/>
      <c r="I330" s="873"/>
      <c r="J330" s="873"/>
      <c r="K330" s="873"/>
      <c r="L330" s="873"/>
      <c r="M330" s="873"/>
      <c r="N330" s="873"/>
      <c r="O330" s="873"/>
      <c r="P330" s="873"/>
      <c r="Q330" s="873"/>
      <c r="R330" s="873"/>
      <c r="S330" s="873"/>
      <c r="T330" s="873"/>
      <c r="U330" s="873"/>
      <c r="V330" s="873"/>
      <c r="W330" s="873"/>
      <c r="X330" s="873"/>
      <c r="Y330" s="873"/>
      <c r="Z330" s="873"/>
      <c r="AA330" s="873"/>
      <c r="AB330" s="873"/>
      <c r="AC330" s="873"/>
      <c r="AD330" s="873"/>
      <c r="AE330" s="873"/>
      <c r="AF330" s="873"/>
      <c r="AG330" s="873"/>
      <c r="AH330" s="873"/>
      <c r="AI330" s="873"/>
      <c r="AJ330" s="873"/>
      <c r="AK330" s="873"/>
      <c r="AL330" s="873"/>
      <c r="AM330" s="873"/>
      <c r="AN330" s="873"/>
      <c r="AO330" s="873"/>
      <c r="AP330" s="873"/>
      <c r="AQ330" s="873"/>
      <c r="AR330" s="873"/>
      <c r="AS330" s="873"/>
    </row>
    <row r="331" spans="1:45" ht="12.75" x14ac:dyDescent="0.2">
      <c r="A331" s="873"/>
      <c r="B331" s="873"/>
      <c r="C331" s="873"/>
      <c r="D331" s="873"/>
      <c r="E331" s="873"/>
      <c r="F331" s="873"/>
      <c r="G331" s="873"/>
      <c r="H331" s="873"/>
      <c r="I331" s="873"/>
      <c r="J331" s="873"/>
      <c r="K331" s="873"/>
      <c r="L331" s="873"/>
      <c r="M331" s="873"/>
      <c r="N331" s="873"/>
      <c r="O331" s="873"/>
      <c r="P331" s="873"/>
      <c r="Q331" s="873"/>
      <c r="R331" s="873"/>
      <c r="S331" s="873"/>
      <c r="T331" s="873"/>
      <c r="U331" s="873"/>
      <c r="V331" s="873"/>
      <c r="W331" s="873"/>
      <c r="X331" s="873"/>
      <c r="Y331" s="873"/>
      <c r="Z331" s="873"/>
      <c r="AA331" s="873"/>
      <c r="AB331" s="873"/>
      <c r="AC331" s="873"/>
      <c r="AD331" s="873"/>
      <c r="AE331" s="873"/>
      <c r="AF331" s="873"/>
      <c r="AG331" s="873"/>
      <c r="AH331" s="873"/>
      <c r="AI331" s="873"/>
      <c r="AJ331" s="873"/>
      <c r="AK331" s="873"/>
      <c r="AL331" s="873"/>
      <c r="AM331" s="873"/>
      <c r="AN331" s="873"/>
      <c r="AO331" s="873"/>
      <c r="AP331" s="873"/>
      <c r="AQ331" s="873"/>
      <c r="AR331" s="873"/>
      <c r="AS331" s="873"/>
    </row>
    <row r="332" spans="1:45" ht="12.75" x14ac:dyDescent="0.2">
      <c r="A332" s="873"/>
      <c r="B332" s="873"/>
      <c r="C332" s="873"/>
      <c r="D332" s="873"/>
      <c r="E332" s="873"/>
      <c r="F332" s="873"/>
      <c r="G332" s="873"/>
      <c r="H332" s="873"/>
      <c r="I332" s="873"/>
      <c r="J332" s="873"/>
      <c r="K332" s="873"/>
      <c r="L332" s="873"/>
      <c r="M332" s="873"/>
      <c r="N332" s="873"/>
      <c r="O332" s="873"/>
      <c r="P332" s="873"/>
      <c r="Q332" s="873"/>
      <c r="R332" s="873"/>
      <c r="S332" s="873"/>
      <c r="T332" s="873"/>
      <c r="U332" s="873"/>
      <c r="V332" s="873"/>
      <c r="W332" s="873"/>
      <c r="X332" s="873"/>
      <c r="Y332" s="873"/>
      <c r="Z332" s="873"/>
      <c r="AA332" s="873"/>
      <c r="AB332" s="873"/>
      <c r="AC332" s="873"/>
      <c r="AD332" s="873"/>
      <c r="AE332" s="873"/>
      <c r="AF332" s="873"/>
      <c r="AG332" s="873"/>
      <c r="AH332" s="873"/>
      <c r="AI332" s="873"/>
      <c r="AJ332" s="873"/>
      <c r="AK332" s="873"/>
      <c r="AL332" s="873"/>
      <c r="AM332" s="873"/>
      <c r="AN332" s="873"/>
      <c r="AO332" s="873"/>
      <c r="AP332" s="873"/>
      <c r="AQ332" s="873"/>
      <c r="AR332" s="873"/>
      <c r="AS332" s="873"/>
    </row>
    <row r="333" spans="1:45" ht="12.75" x14ac:dyDescent="0.2">
      <c r="A333" s="873"/>
      <c r="B333" s="873"/>
      <c r="C333" s="873"/>
      <c r="D333" s="873"/>
      <c r="E333" s="873"/>
      <c r="F333" s="873"/>
      <c r="G333" s="873"/>
      <c r="H333" s="873"/>
      <c r="I333" s="873"/>
      <c r="J333" s="873"/>
      <c r="K333" s="873"/>
      <c r="L333" s="873"/>
      <c r="M333" s="873"/>
      <c r="N333" s="873"/>
      <c r="O333" s="873"/>
      <c r="P333" s="873"/>
      <c r="Q333" s="873"/>
      <c r="R333" s="873"/>
      <c r="S333" s="873"/>
      <c r="T333" s="873"/>
      <c r="U333" s="873"/>
      <c r="V333" s="873"/>
      <c r="W333" s="873"/>
      <c r="X333" s="873"/>
      <c r="Y333" s="873"/>
      <c r="Z333" s="873"/>
      <c r="AA333" s="873"/>
      <c r="AB333" s="873"/>
      <c r="AC333" s="873"/>
      <c r="AD333" s="873"/>
      <c r="AE333" s="873"/>
      <c r="AF333" s="873"/>
      <c r="AG333" s="873"/>
      <c r="AH333" s="873"/>
      <c r="AI333" s="873"/>
      <c r="AJ333" s="873"/>
      <c r="AK333" s="873"/>
      <c r="AL333" s="873"/>
      <c r="AM333" s="873"/>
      <c r="AN333" s="873"/>
      <c r="AO333" s="873"/>
      <c r="AP333" s="873"/>
      <c r="AQ333" s="873"/>
      <c r="AR333" s="873"/>
      <c r="AS333" s="873"/>
    </row>
    <row r="334" spans="1:45" ht="12.75" x14ac:dyDescent="0.2">
      <c r="A334" s="873"/>
      <c r="B334" s="873"/>
      <c r="C334" s="873"/>
      <c r="D334" s="873"/>
      <c r="E334" s="873"/>
      <c r="F334" s="873"/>
      <c r="G334" s="873"/>
      <c r="H334" s="873"/>
      <c r="I334" s="873"/>
      <c r="J334" s="873"/>
      <c r="K334" s="873"/>
      <c r="L334" s="873"/>
      <c r="M334" s="873"/>
      <c r="N334" s="873"/>
      <c r="O334" s="873"/>
      <c r="P334" s="873"/>
      <c r="Q334" s="873"/>
      <c r="R334" s="873"/>
      <c r="S334" s="873"/>
      <c r="T334" s="873"/>
      <c r="U334" s="873"/>
      <c r="V334" s="873"/>
      <c r="W334" s="873"/>
      <c r="X334" s="873"/>
      <c r="Y334" s="873"/>
      <c r="Z334" s="873"/>
      <c r="AA334" s="873"/>
      <c r="AB334" s="873"/>
      <c r="AC334" s="873"/>
      <c r="AD334" s="873"/>
      <c r="AE334" s="873"/>
      <c r="AF334" s="873"/>
      <c r="AG334" s="873"/>
      <c r="AH334" s="873"/>
      <c r="AI334" s="873"/>
      <c r="AJ334" s="873"/>
      <c r="AK334" s="873"/>
      <c r="AL334" s="873"/>
      <c r="AM334" s="873"/>
      <c r="AN334" s="873"/>
      <c r="AO334" s="873"/>
      <c r="AP334" s="873"/>
      <c r="AQ334" s="873"/>
      <c r="AR334" s="873"/>
      <c r="AS334" s="873"/>
    </row>
    <row r="335" spans="1:45" ht="12.75" x14ac:dyDescent="0.2">
      <c r="A335" s="873"/>
      <c r="B335" s="873"/>
      <c r="C335" s="873"/>
      <c r="D335" s="873"/>
      <c r="E335" s="873"/>
      <c r="F335" s="873"/>
      <c r="G335" s="873"/>
      <c r="H335" s="873"/>
      <c r="I335" s="873"/>
      <c r="J335" s="873"/>
      <c r="K335" s="873"/>
      <c r="L335" s="873"/>
      <c r="M335" s="873"/>
      <c r="N335" s="873"/>
      <c r="O335" s="873"/>
      <c r="P335" s="873"/>
      <c r="Q335" s="873"/>
      <c r="R335" s="873"/>
      <c r="S335" s="873"/>
      <c r="T335" s="873"/>
      <c r="U335" s="873"/>
      <c r="V335" s="873"/>
      <c r="W335" s="873"/>
      <c r="X335" s="873"/>
      <c r="Y335" s="873"/>
      <c r="Z335" s="873"/>
      <c r="AA335" s="873"/>
      <c r="AB335" s="873"/>
      <c r="AC335" s="873"/>
      <c r="AD335" s="873"/>
      <c r="AE335" s="873"/>
      <c r="AF335" s="873"/>
      <c r="AG335" s="873"/>
      <c r="AH335" s="873"/>
      <c r="AI335" s="873"/>
      <c r="AJ335" s="873"/>
      <c r="AK335" s="873"/>
      <c r="AL335" s="873"/>
      <c r="AM335" s="873"/>
      <c r="AN335" s="873"/>
      <c r="AO335" s="873"/>
      <c r="AP335" s="873"/>
      <c r="AQ335" s="873"/>
      <c r="AR335" s="873"/>
      <c r="AS335" s="873"/>
    </row>
    <row r="336" spans="1:45" ht="12.75" x14ac:dyDescent="0.2">
      <c r="A336" s="873"/>
      <c r="B336" s="873"/>
      <c r="C336" s="873"/>
      <c r="D336" s="873"/>
      <c r="E336" s="873"/>
      <c r="F336" s="873"/>
      <c r="G336" s="873"/>
      <c r="H336" s="873"/>
      <c r="I336" s="873"/>
      <c r="J336" s="873"/>
      <c r="K336" s="873"/>
      <c r="L336" s="873"/>
      <c r="M336" s="873"/>
      <c r="N336" s="873"/>
      <c r="O336" s="873"/>
      <c r="P336" s="873"/>
      <c r="Q336" s="873"/>
      <c r="R336" s="873"/>
      <c r="S336" s="873"/>
      <c r="T336" s="873"/>
      <c r="U336" s="873"/>
      <c r="V336" s="873"/>
      <c r="W336" s="873"/>
      <c r="X336" s="873"/>
      <c r="Y336" s="873"/>
      <c r="Z336" s="873"/>
      <c r="AA336" s="873"/>
      <c r="AB336" s="873"/>
      <c r="AC336" s="873"/>
      <c r="AD336" s="873"/>
      <c r="AE336" s="873"/>
      <c r="AF336" s="873"/>
      <c r="AG336" s="873"/>
      <c r="AH336" s="873"/>
      <c r="AI336" s="873"/>
      <c r="AJ336" s="873"/>
      <c r="AK336" s="873"/>
      <c r="AL336" s="873"/>
      <c r="AM336" s="873"/>
      <c r="AN336" s="873"/>
      <c r="AO336" s="873"/>
      <c r="AP336" s="873"/>
      <c r="AQ336" s="873"/>
      <c r="AR336" s="873"/>
      <c r="AS336" s="873"/>
    </row>
    <row r="337" spans="1:45" ht="12.75" x14ac:dyDescent="0.2">
      <c r="A337" s="873"/>
      <c r="B337" s="873"/>
      <c r="C337" s="873"/>
      <c r="D337" s="873"/>
      <c r="E337" s="873"/>
      <c r="F337" s="873"/>
      <c r="G337" s="873"/>
      <c r="H337" s="873"/>
      <c r="I337" s="873"/>
      <c r="J337" s="873"/>
      <c r="K337" s="873"/>
      <c r="L337" s="873"/>
      <c r="M337" s="873"/>
      <c r="N337" s="873"/>
      <c r="O337" s="873"/>
      <c r="P337" s="873"/>
      <c r="Q337" s="873"/>
      <c r="R337" s="873"/>
      <c r="S337" s="873"/>
      <c r="T337" s="873"/>
      <c r="U337" s="873"/>
      <c r="V337" s="873"/>
      <c r="W337" s="873"/>
      <c r="X337" s="873"/>
      <c r="Y337" s="873"/>
      <c r="Z337" s="873"/>
      <c r="AA337" s="873"/>
      <c r="AB337" s="873"/>
      <c r="AC337" s="873"/>
      <c r="AD337" s="873"/>
      <c r="AE337" s="873"/>
      <c r="AF337" s="873"/>
      <c r="AG337" s="873"/>
      <c r="AH337" s="873"/>
      <c r="AI337" s="873"/>
      <c r="AJ337" s="873"/>
      <c r="AK337" s="873"/>
      <c r="AL337" s="873"/>
      <c r="AM337" s="873"/>
      <c r="AN337" s="873"/>
      <c r="AO337" s="873"/>
      <c r="AP337" s="873"/>
      <c r="AQ337" s="873"/>
      <c r="AR337" s="873"/>
      <c r="AS337" s="873"/>
    </row>
    <row r="338" spans="1:45" ht="12.75" x14ac:dyDescent="0.2">
      <c r="A338" s="873"/>
      <c r="B338" s="873"/>
      <c r="C338" s="873"/>
      <c r="D338" s="873"/>
      <c r="E338" s="873"/>
      <c r="F338" s="873"/>
      <c r="G338" s="873"/>
      <c r="H338" s="873"/>
      <c r="I338" s="873"/>
      <c r="J338" s="873"/>
      <c r="K338" s="873"/>
      <c r="L338" s="873"/>
      <c r="M338" s="873"/>
      <c r="N338" s="873"/>
      <c r="O338" s="873"/>
      <c r="P338" s="873"/>
      <c r="Q338" s="873"/>
      <c r="R338" s="873"/>
      <c r="S338" s="873"/>
      <c r="T338" s="873"/>
      <c r="U338" s="873"/>
      <c r="V338" s="873"/>
      <c r="W338" s="873"/>
      <c r="X338" s="873"/>
      <c r="Y338" s="873"/>
      <c r="Z338" s="873"/>
      <c r="AA338" s="873"/>
      <c r="AB338" s="873"/>
      <c r="AC338" s="873"/>
      <c r="AD338" s="873"/>
      <c r="AE338" s="873"/>
      <c r="AF338" s="873"/>
      <c r="AG338" s="873"/>
      <c r="AH338" s="873"/>
      <c r="AI338" s="873"/>
      <c r="AJ338" s="873"/>
      <c r="AK338" s="873"/>
      <c r="AL338" s="873"/>
      <c r="AM338" s="873"/>
      <c r="AN338" s="873"/>
      <c r="AO338" s="873"/>
      <c r="AP338" s="873"/>
      <c r="AQ338" s="873"/>
      <c r="AR338" s="873"/>
      <c r="AS338" s="873"/>
    </row>
    <row r="339" spans="1:45" ht="12.75" x14ac:dyDescent="0.2">
      <c r="A339" s="873"/>
      <c r="B339" s="873"/>
      <c r="C339" s="873"/>
      <c r="D339" s="873"/>
      <c r="E339" s="873"/>
      <c r="F339" s="873"/>
      <c r="G339" s="873"/>
      <c r="H339" s="873"/>
      <c r="I339" s="873"/>
      <c r="J339" s="873"/>
      <c r="K339" s="873"/>
      <c r="L339" s="873"/>
      <c r="M339" s="873"/>
      <c r="N339" s="873"/>
      <c r="O339" s="873"/>
      <c r="P339" s="873"/>
      <c r="Q339" s="873"/>
      <c r="R339" s="873"/>
      <c r="S339" s="873"/>
      <c r="T339" s="873"/>
      <c r="U339" s="873"/>
      <c r="V339" s="873"/>
      <c r="W339" s="873"/>
      <c r="X339" s="873"/>
      <c r="Y339" s="873"/>
      <c r="Z339" s="873"/>
      <c r="AA339" s="873"/>
      <c r="AB339" s="873"/>
      <c r="AC339" s="873"/>
      <c r="AD339" s="873"/>
      <c r="AE339" s="873"/>
      <c r="AF339" s="873"/>
      <c r="AG339" s="873"/>
      <c r="AH339" s="873"/>
      <c r="AI339" s="873"/>
      <c r="AJ339" s="873"/>
      <c r="AK339" s="873"/>
      <c r="AL339" s="873"/>
      <c r="AM339" s="873"/>
      <c r="AN339" s="873"/>
      <c r="AO339" s="873"/>
      <c r="AP339" s="873"/>
      <c r="AQ339" s="873"/>
      <c r="AR339" s="873"/>
      <c r="AS339" s="873"/>
    </row>
    <row r="340" spans="1:45" ht="12.75" x14ac:dyDescent="0.2">
      <c r="A340" s="873"/>
      <c r="B340" s="873"/>
      <c r="C340" s="873"/>
      <c r="D340" s="873"/>
      <c r="E340" s="873"/>
      <c r="F340" s="873"/>
      <c r="G340" s="873"/>
      <c r="H340" s="873"/>
      <c r="I340" s="873"/>
      <c r="J340" s="873"/>
      <c r="K340" s="873"/>
      <c r="L340" s="873"/>
      <c r="M340" s="873"/>
      <c r="N340" s="873"/>
      <c r="O340" s="873"/>
      <c r="P340" s="873"/>
      <c r="Q340" s="873"/>
      <c r="R340" s="873"/>
      <c r="S340" s="873"/>
      <c r="T340" s="873"/>
      <c r="U340" s="873"/>
      <c r="V340" s="873"/>
      <c r="W340" s="873"/>
      <c r="X340" s="873"/>
      <c r="Y340" s="873"/>
      <c r="Z340" s="873"/>
      <c r="AA340" s="873"/>
      <c r="AB340" s="873"/>
      <c r="AC340" s="873"/>
      <c r="AD340" s="873"/>
      <c r="AE340" s="873"/>
      <c r="AF340" s="873"/>
      <c r="AG340" s="873"/>
      <c r="AH340" s="873"/>
      <c r="AI340" s="873"/>
      <c r="AJ340" s="873"/>
      <c r="AK340" s="873"/>
      <c r="AL340" s="873"/>
      <c r="AM340" s="873"/>
      <c r="AN340" s="873"/>
      <c r="AO340" s="873"/>
      <c r="AP340" s="873"/>
      <c r="AQ340" s="873"/>
      <c r="AR340" s="873"/>
      <c r="AS340" s="873"/>
    </row>
    <row r="341" spans="1:45" ht="12.75" x14ac:dyDescent="0.2">
      <c r="A341" s="873"/>
      <c r="B341" s="873"/>
      <c r="C341" s="873"/>
      <c r="D341" s="873"/>
      <c r="E341" s="873"/>
      <c r="F341" s="873"/>
      <c r="G341" s="873"/>
      <c r="H341" s="873"/>
      <c r="I341" s="873"/>
      <c r="J341" s="873"/>
      <c r="K341" s="873"/>
      <c r="L341" s="873"/>
      <c r="M341" s="873"/>
      <c r="N341" s="873"/>
      <c r="O341" s="873"/>
      <c r="P341" s="873"/>
      <c r="Q341" s="873"/>
      <c r="R341" s="873"/>
      <c r="S341" s="873"/>
      <c r="T341" s="873"/>
      <c r="U341" s="873"/>
      <c r="V341" s="873"/>
      <c r="W341" s="873"/>
      <c r="X341" s="873"/>
      <c r="Y341" s="873"/>
      <c r="Z341" s="873"/>
      <c r="AA341" s="873"/>
      <c r="AB341" s="873"/>
      <c r="AC341" s="873"/>
      <c r="AD341" s="873"/>
      <c r="AE341" s="873"/>
      <c r="AF341" s="873"/>
      <c r="AG341" s="873"/>
      <c r="AH341" s="873"/>
      <c r="AI341" s="873"/>
      <c r="AJ341" s="873"/>
      <c r="AK341" s="873"/>
      <c r="AL341" s="873"/>
      <c r="AM341" s="873"/>
      <c r="AN341" s="873"/>
      <c r="AO341" s="873"/>
      <c r="AP341" s="873"/>
      <c r="AQ341" s="873"/>
      <c r="AR341" s="873"/>
      <c r="AS341" s="873"/>
    </row>
    <row r="342" spans="1:45" ht="12.75" x14ac:dyDescent="0.2">
      <c r="A342" s="873"/>
      <c r="B342" s="873"/>
      <c r="C342" s="873"/>
      <c r="D342" s="873"/>
      <c r="E342" s="873"/>
      <c r="F342" s="873"/>
      <c r="G342" s="873"/>
      <c r="H342" s="873"/>
      <c r="I342" s="873"/>
      <c r="J342" s="873"/>
      <c r="K342" s="873"/>
      <c r="L342" s="873"/>
      <c r="M342" s="873"/>
      <c r="N342" s="873"/>
      <c r="O342" s="873"/>
      <c r="P342" s="873"/>
      <c r="Q342" s="873"/>
      <c r="R342" s="873"/>
      <c r="S342" s="873"/>
      <c r="T342" s="873"/>
      <c r="U342" s="873"/>
      <c r="V342" s="873"/>
      <c r="W342" s="873"/>
      <c r="X342" s="873"/>
      <c r="Y342" s="873"/>
      <c r="Z342" s="873"/>
      <c r="AA342" s="873"/>
      <c r="AB342" s="873"/>
      <c r="AC342" s="873"/>
      <c r="AD342" s="873"/>
      <c r="AE342" s="873"/>
      <c r="AF342" s="873"/>
      <c r="AG342" s="873"/>
      <c r="AH342" s="873"/>
      <c r="AI342" s="873"/>
      <c r="AJ342" s="873"/>
      <c r="AK342" s="873"/>
      <c r="AL342" s="873"/>
      <c r="AM342" s="873"/>
      <c r="AN342" s="873"/>
      <c r="AO342" s="873"/>
      <c r="AP342" s="873"/>
      <c r="AQ342" s="873"/>
      <c r="AR342" s="873"/>
      <c r="AS342" s="873"/>
    </row>
    <row r="343" spans="1:45" ht="12.75" x14ac:dyDescent="0.2">
      <c r="A343" s="873"/>
      <c r="B343" s="873"/>
      <c r="C343" s="873"/>
      <c r="D343" s="873"/>
      <c r="E343" s="873"/>
      <c r="F343" s="873"/>
      <c r="G343" s="873"/>
      <c r="H343" s="873"/>
      <c r="I343" s="873"/>
      <c r="J343" s="873"/>
      <c r="K343" s="873"/>
      <c r="L343" s="873"/>
      <c r="M343" s="873"/>
      <c r="N343" s="873"/>
      <c r="O343" s="873"/>
      <c r="P343" s="873"/>
      <c r="Q343" s="873"/>
      <c r="R343" s="873"/>
      <c r="S343" s="873"/>
      <c r="T343" s="873"/>
      <c r="U343" s="873"/>
      <c r="V343" s="873"/>
      <c r="W343" s="873"/>
      <c r="X343" s="873"/>
      <c r="Y343" s="873"/>
      <c r="Z343" s="873"/>
      <c r="AA343" s="873"/>
      <c r="AB343" s="873"/>
      <c r="AC343" s="873"/>
      <c r="AD343" s="873"/>
      <c r="AE343" s="873"/>
      <c r="AF343" s="873"/>
      <c r="AG343" s="873"/>
      <c r="AH343" s="873"/>
      <c r="AI343" s="873"/>
      <c r="AJ343" s="873"/>
      <c r="AK343" s="873"/>
      <c r="AL343" s="873"/>
      <c r="AM343" s="873"/>
      <c r="AN343" s="873"/>
      <c r="AO343" s="873"/>
      <c r="AP343" s="873"/>
      <c r="AQ343" s="873"/>
      <c r="AR343" s="873"/>
      <c r="AS343" s="873"/>
    </row>
    <row r="344" spans="1:45" ht="12.75" x14ac:dyDescent="0.2">
      <c r="A344" s="873"/>
      <c r="B344" s="873"/>
      <c r="C344" s="873"/>
      <c r="D344" s="873"/>
      <c r="E344" s="873"/>
      <c r="F344" s="873"/>
      <c r="G344" s="873"/>
      <c r="H344" s="873"/>
      <c r="I344" s="873"/>
      <c r="J344" s="873"/>
      <c r="K344" s="873"/>
      <c r="L344" s="873"/>
      <c r="M344" s="873"/>
      <c r="N344" s="873"/>
      <c r="O344" s="873"/>
      <c r="P344" s="873"/>
      <c r="Q344" s="873"/>
      <c r="R344" s="873"/>
      <c r="S344" s="873"/>
      <c r="T344" s="873"/>
      <c r="U344" s="873"/>
      <c r="V344" s="873"/>
      <c r="W344" s="873"/>
      <c r="X344" s="873"/>
      <c r="Y344" s="873"/>
      <c r="Z344" s="873"/>
      <c r="AA344" s="873"/>
      <c r="AB344" s="873"/>
      <c r="AC344" s="873"/>
      <c r="AD344" s="873"/>
      <c r="AE344" s="873"/>
      <c r="AF344" s="873"/>
      <c r="AG344" s="873"/>
      <c r="AH344" s="873"/>
      <c r="AI344" s="873"/>
      <c r="AJ344" s="873"/>
      <c r="AK344" s="873"/>
      <c r="AL344" s="873"/>
      <c r="AM344" s="873"/>
      <c r="AN344" s="873"/>
      <c r="AO344" s="873"/>
      <c r="AP344" s="873"/>
      <c r="AQ344" s="873"/>
      <c r="AR344" s="873"/>
      <c r="AS344" s="873"/>
    </row>
    <row r="345" spans="1:45" ht="12.75" x14ac:dyDescent="0.2">
      <c r="A345" s="873"/>
      <c r="B345" s="873"/>
      <c r="C345" s="873"/>
      <c r="D345" s="873"/>
      <c r="E345" s="873"/>
      <c r="F345" s="873"/>
      <c r="G345" s="873"/>
      <c r="H345" s="873"/>
      <c r="I345" s="873"/>
      <c r="J345" s="873"/>
      <c r="K345" s="873"/>
      <c r="L345" s="873"/>
      <c r="M345" s="873"/>
      <c r="N345" s="873"/>
      <c r="O345" s="873"/>
      <c r="P345" s="873"/>
      <c r="Q345" s="873"/>
      <c r="R345" s="873"/>
      <c r="S345" s="873"/>
      <c r="T345" s="873"/>
      <c r="U345" s="873"/>
      <c r="V345" s="873"/>
      <c r="W345" s="873"/>
      <c r="X345" s="873"/>
      <c r="Y345" s="873"/>
      <c r="Z345" s="873"/>
      <c r="AA345" s="873"/>
      <c r="AB345" s="873"/>
      <c r="AC345" s="873"/>
      <c r="AD345" s="873"/>
      <c r="AE345" s="873"/>
      <c r="AF345" s="873"/>
      <c r="AG345" s="873"/>
      <c r="AH345" s="873"/>
      <c r="AI345" s="873"/>
      <c r="AJ345" s="873"/>
      <c r="AK345" s="873"/>
      <c r="AL345" s="873"/>
      <c r="AM345" s="873"/>
      <c r="AN345" s="873"/>
      <c r="AO345" s="873"/>
      <c r="AP345" s="873"/>
      <c r="AQ345" s="873"/>
      <c r="AR345" s="873"/>
      <c r="AS345" s="873"/>
    </row>
    <row r="346" spans="1:45" ht="12.75" x14ac:dyDescent="0.2">
      <c r="A346" s="873"/>
      <c r="B346" s="873"/>
      <c r="C346" s="873"/>
      <c r="D346" s="873"/>
      <c r="E346" s="873"/>
      <c r="F346" s="873"/>
      <c r="G346" s="873"/>
      <c r="H346" s="873"/>
      <c r="I346" s="873"/>
      <c r="J346" s="873"/>
      <c r="K346" s="873"/>
      <c r="L346" s="873"/>
      <c r="M346" s="873"/>
      <c r="N346" s="873"/>
      <c r="O346" s="873"/>
      <c r="P346" s="873"/>
      <c r="Q346" s="873"/>
      <c r="R346" s="873"/>
      <c r="S346" s="873"/>
      <c r="T346" s="873"/>
      <c r="U346" s="873"/>
      <c r="V346" s="873"/>
      <c r="W346" s="873"/>
      <c r="X346" s="873"/>
      <c r="Y346" s="873"/>
      <c r="Z346" s="873"/>
      <c r="AA346" s="873"/>
      <c r="AB346" s="873"/>
      <c r="AC346" s="873"/>
      <c r="AD346" s="873"/>
      <c r="AE346" s="873"/>
      <c r="AF346" s="873"/>
      <c r="AG346" s="873"/>
      <c r="AH346" s="873"/>
      <c r="AI346" s="873"/>
      <c r="AJ346" s="873"/>
      <c r="AK346" s="873"/>
      <c r="AL346" s="873"/>
      <c r="AM346" s="873"/>
      <c r="AN346" s="873"/>
      <c r="AO346" s="873"/>
      <c r="AP346" s="873"/>
      <c r="AQ346" s="873"/>
      <c r="AR346" s="873"/>
      <c r="AS346" s="873"/>
    </row>
    <row r="347" spans="1:45" ht="12.75" x14ac:dyDescent="0.2">
      <c r="A347" s="873"/>
      <c r="B347" s="873"/>
      <c r="C347" s="873"/>
      <c r="D347" s="873"/>
      <c r="E347" s="873"/>
      <c r="F347" s="873"/>
      <c r="G347" s="873"/>
      <c r="H347" s="873"/>
      <c r="I347" s="873"/>
      <c r="J347" s="873"/>
      <c r="K347" s="873"/>
      <c r="L347" s="873"/>
      <c r="M347" s="873"/>
      <c r="N347" s="873"/>
      <c r="O347" s="873"/>
      <c r="P347" s="873"/>
      <c r="Q347" s="873"/>
      <c r="R347" s="873"/>
      <c r="S347" s="873"/>
      <c r="T347" s="873"/>
      <c r="U347" s="873"/>
      <c r="V347" s="873"/>
      <c r="W347" s="873"/>
      <c r="X347" s="873"/>
      <c r="Y347" s="873"/>
      <c r="Z347" s="873"/>
      <c r="AA347" s="873"/>
      <c r="AB347" s="873"/>
      <c r="AC347" s="873"/>
      <c r="AD347" s="873"/>
      <c r="AE347" s="873"/>
      <c r="AF347" s="873"/>
      <c r="AG347" s="873"/>
      <c r="AH347" s="873"/>
      <c r="AI347" s="873"/>
      <c r="AJ347" s="873"/>
      <c r="AK347" s="873"/>
      <c r="AL347" s="873"/>
      <c r="AM347" s="873"/>
      <c r="AN347" s="873"/>
      <c r="AO347" s="873"/>
      <c r="AP347" s="873"/>
      <c r="AQ347" s="873"/>
      <c r="AR347" s="873"/>
      <c r="AS347" s="873"/>
    </row>
    <row r="348" spans="1:45" ht="12.75" x14ac:dyDescent="0.2">
      <c r="A348" s="873"/>
      <c r="B348" s="873"/>
      <c r="C348" s="873"/>
      <c r="D348" s="873"/>
      <c r="E348" s="873"/>
      <c r="F348" s="873"/>
      <c r="G348" s="873"/>
      <c r="H348" s="873"/>
      <c r="I348" s="873"/>
      <c r="J348" s="873"/>
      <c r="K348" s="873"/>
      <c r="L348" s="873"/>
      <c r="M348" s="873"/>
      <c r="N348" s="873"/>
      <c r="O348" s="873"/>
      <c r="P348" s="873"/>
      <c r="Q348" s="873"/>
      <c r="R348" s="873"/>
      <c r="S348" s="873"/>
      <c r="T348" s="873"/>
      <c r="U348" s="873"/>
      <c r="V348" s="873"/>
      <c r="W348" s="873"/>
      <c r="X348" s="873"/>
      <c r="Y348" s="873"/>
      <c r="Z348" s="873"/>
      <c r="AA348" s="873"/>
      <c r="AB348" s="873"/>
      <c r="AC348" s="873"/>
      <c r="AD348" s="873"/>
      <c r="AE348" s="873"/>
      <c r="AF348" s="873"/>
      <c r="AG348" s="873"/>
      <c r="AH348" s="873"/>
      <c r="AI348" s="873"/>
      <c r="AJ348" s="873"/>
      <c r="AK348" s="873"/>
      <c r="AL348" s="873"/>
      <c r="AM348" s="873"/>
      <c r="AN348" s="873"/>
      <c r="AO348" s="873"/>
      <c r="AP348" s="873"/>
      <c r="AQ348" s="873"/>
      <c r="AR348" s="873"/>
      <c r="AS348" s="873"/>
    </row>
    <row r="349" spans="1:45" ht="12.75" x14ac:dyDescent="0.2">
      <c r="A349" s="873"/>
      <c r="B349" s="873"/>
      <c r="C349" s="873"/>
      <c r="D349" s="873"/>
      <c r="E349" s="873"/>
      <c r="F349" s="873"/>
      <c r="G349" s="873"/>
      <c r="H349" s="873"/>
      <c r="I349" s="873"/>
      <c r="J349" s="873"/>
      <c r="K349" s="873"/>
      <c r="L349" s="873"/>
      <c r="M349" s="873"/>
      <c r="N349" s="873"/>
      <c r="O349" s="873"/>
      <c r="P349" s="873"/>
      <c r="Q349" s="873"/>
      <c r="R349" s="873"/>
      <c r="S349" s="873"/>
      <c r="T349" s="873"/>
      <c r="U349" s="873"/>
      <c r="V349" s="873"/>
      <c r="W349" s="873"/>
      <c r="X349" s="873"/>
      <c r="Y349" s="873"/>
      <c r="Z349" s="873"/>
      <c r="AA349" s="873"/>
      <c r="AB349" s="873"/>
      <c r="AC349" s="873"/>
      <c r="AD349" s="873"/>
      <c r="AE349" s="873"/>
      <c r="AF349" s="873"/>
      <c r="AG349" s="873"/>
      <c r="AH349" s="873"/>
      <c r="AI349" s="873"/>
      <c r="AJ349" s="873"/>
      <c r="AK349" s="873"/>
      <c r="AL349" s="873"/>
      <c r="AM349" s="873"/>
      <c r="AN349" s="873"/>
      <c r="AO349" s="873"/>
      <c r="AP349" s="873"/>
      <c r="AQ349" s="873"/>
      <c r="AR349" s="873"/>
      <c r="AS349" s="873"/>
    </row>
    <row r="350" spans="1:45" ht="12.75" x14ac:dyDescent="0.2">
      <c r="A350" s="873"/>
      <c r="B350" s="873"/>
      <c r="C350" s="873"/>
      <c r="D350" s="873"/>
      <c r="E350" s="873"/>
      <c r="F350" s="873"/>
      <c r="G350" s="873"/>
      <c r="H350" s="873"/>
      <c r="I350" s="873"/>
      <c r="J350" s="873"/>
      <c r="K350" s="873"/>
      <c r="L350" s="873"/>
      <c r="M350" s="873"/>
      <c r="N350" s="873"/>
      <c r="O350" s="873"/>
      <c r="P350" s="873"/>
      <c r="Q350" s="873"/>
      <c r="R350" s="873"/>
      <c r="S350" s="873"/>
      <c r="T350" s="873"/>
      <c r="U350" s="873"/>
      <c r="V350" s="873"/>
      <c r="W350" s="873"/>
      <c r="X350" s="873"/>
      <c r="Y350" s="873"/>
      <c r="Z350" s="873"/>
      <c r="AA350" s="873"/>
      <c r="AB350" s="873"/>
      <c r="AC350" s="873"/>
      <c r="AD350" s="873"/>
      <c r="AE350" s="873"/>
      <c r="AF350" s="873"/>
      <c r="AG350" s="873"/>
      <c r="AH350" s="873"/>
      <c r="AI350" s="873"/>
      <c r="AJ350" s="873"/>
      <c r="AK350" s="873"/>
      <c r="AL350" s="873"/>
      <c r="AM350" s="873"/>
      <c r="AN350" s="873"/>
      <c r="AO350" s="873"/>
      <c r="AP350" s="873"/>
      <c r="AQ350" s="873"/>
      <c r="AR350" s="873"/>
      <c r="AS350" s="873"/>
    </row>
    <row r="351" spans="1:45" ht="12.75" x14ac:dyDescent="0.2">
      <c r="A351" s="873"/>
      <c r="B351" s="873"/>
      <c r="C351" s="873"/>
      <c r="D351" s="873"/>
      <c r="E351" s="873"/>
      <c r="F351" s="873"/>
      <c r="G351" s="873"/>
      <c r="H351" s="873"/>
      <c r="I351" s="873"/>
      <c r="J351" s="873"/>
      <c r="K351" s="873"/>
      <c r="L351" s="873"/>
      <c r="M351" s="873"/>
      <c r="N351" s="873"/>
      <c r="O351" s="873"/>
      <c r="P351" s="873"/>
      <c r="Q351" s="873"/>
      <c r="R351" s="873"/>
      <c r="S351" s="873"/>
      <c r="T351" s="873"/>
      <c r="U351" s="873"/>
      <c r="V351" s="873"/>
      <c r="W351" s="873"/>
      <c r="X351" s="873"/>
      <c r="Y351" s="873"/>
      <c r="Z351" s="873"/>
      <c r="AA351" s="873"/>
      <c r="AB351" s="873"/>
      <c r="AC351" s="873"/>
      <c r="AD351" s="873"/>
      <c r="AE351" s="873"/>
      <c r="AF351" s="873"/>
      <c r="AG351" s="873"/>
      <c r="AH351" s="873"/>
      <c r="AI351" s="873"/>
      <c r="AJ351" s="873"/>
      <c r="AK351" s="873"/>
      <c r="AL351" s="873"/>
      <c r="AM351" s="873"/>
      <c r="AN351" s="873"/>
      <c r="AO351" s="873"/>
      <c r="AP351" s="873"/>
      <c r="AQ351" s="873"/>
      <c r="AR351" s="873"/>
      <c r="AS351" s="873"/>
    </row>
    <row r="352" spans="1:45" ht="12.75" x14ac:dyDescent="0.2">
      <c r="A352" s="873"/>
      <c r="B352" s="873"/>
      <c r="C352" s="873"/>
      <c r="D352" s="873"/>
      <c r="E352" s="873"/>
      <c r="F352" s="873"/>
      <c r="G352" s="873"/>
      <c r="H352" s="873"/>
      <c r="I352" s="873"/>
      <c r="J352" s="873"/>
      <c r="K352" s="873"/>
      <c r="L352" s="873"/>
      <c r="M352" s="873"/>
      <c r="N352" s="873"/>
      <c r="O352" s="873"/>
      <c r="P352" s="873"/>
      <c r="Q352" s="873"/>
      <c r="R352" s="873"/>
      <c r="S352" s="873"/>
      <c r="T352" s="873"/>
      <c r="U352" s="873"/>
      <c r="V352" s="873"/>
      <c r="W352" s="873"/>
      <c r="X352" s="873"/>
      <c r="Y352" s="873"/>
      <c r="Z352" s="873"/>
      <c r="AA352" s="873"/>
      <c r="AB352" s="873"/>
      <c r="AC352" s="873"/>
      <c r="AD352" s="873"/>
      <c r="AE352" s="873"/>
      <c r="AF352" s="873"/>
      <c r="AG352" s="873"/>
      <c r="AH352" s="873"/>
      <c r="AI352" s="873"/>
      <c r="AJ352" s="873"/>
      <c r="AK352" s="873"/>
      <c r="AL352" s="873"/>
      <c r="AM352" s="873"/>
      <c r="AN352" s="873"/>
      <c r="AO352" s="873"/>
      <c r="AP352" s="873"/>
      <c r="AQ352" s="873"/>
      <c r="AR352" s="873"/>
      <c r="AS352" s="873"/>
    </row>
    <row r="353" spans="1:45" ht="12.75" x14ac:dyDescent="0.2">
      <c r="A353" s="873"/>
      <c r="B353" s="873"/>
      <c r="C353" s="873"/>
      <c r="D353" s="873"/>
      <c r="E353" s="873"/>
      <c r="F353" s="873"/>
      <c r="G353" s="873"/>
      <c r="H353" s="873"/>
      <c r="I353" s="873"/>
      <c r="J353" s="873"/>
      <c r="K353" s="873"/>
      <c r="L353" s="873"/>
      <c r="M353" s="873"/>
      <c r="N353" s="873"/>
      <c r="O353" s="873"/>
      <c r="P353" s="873"/>
      <c r="Q353" s="873"/>
      <c r="R353" s="873"/>
      <c r="S353" s="873"/>
      <c r="T353" s="873"/>
      <c r="U353" s="873"/>
      <c r="V353" s="873"/>
      <c r="W353" s="873"/>
      <c r="X353" s="873"/>
      <c r="Y353" s="873"/>
      <c r="Z353" s="873"/>
      <c r="AA353" s="873"/>
      <c r="AB353" s="873"/>
      <c r="AC353" s="873"/>
      <c r="AD353" s="873"/>
      <c r="AE353" s="873"/>
      <c r="AF353" s="873"/>
      <c r="AG353" s="873"/>
      <c r="AH353" s="873"/>
      <c r="AI353" s="873"/>
      <c r="AJ353" s="873"/>
      <c r="AK353" s="873"/>
      <c r="AL353" s="873"/>
      <c r="AM353" s="873"/>
      <c r="AN353" s="873"/>
      <c r="AO353" s="873"/>
      <c r="AP353" s="873"/>
      <c r="AQ353" s="873"/>
      <c r="AR353" s="873"/>
      <c r="AS353" s="873"/>
    </row>
    <row r="354" spans="1:45" ht="12.75" x14ac:dyDescent="0.2">
      <c r="A354" s="873"/>
      <c r="B354" s="873"/>
      <c r="C354" s="873"/>
      <c r="D354" s="873"/>
      <c r="E354" s="873"/>
      <c r="F354" s="873"/>
      <c r="G354" s="873"/>
      <c r="H354" s="873"/>
      <c r="I354" s="873"/>
      <c r="J354" s="873"/>
      <c r="K354" s="873"/>
      <c r="L354" s="873"/>
      <c r="M354" s="873"/>
      <c r="N354" s="873"/>
      <c r="O354" s="873"/>
      <c r="P354" s="873"/>
      <c r="Q354" s="873"/>
      <c r="R354" s="873"/>
      <c r="S354" s="873"/>
      <c r="T354" s="873"/>
      <c r="U354" s="873"/>
      <c r="V354" s="873"/>
      <c r="W354" s="873"/>
      <c r="X354" s="873"/>
      <c r="Y354" s="873"/>
      <c r="Z354" s="873"/>
      <c r="AA354" s="873"/>
      <c r="AB354" s="873"/>
      <c r="AC354" s="873"/>
      <c r="AD354" s="873"/>
      <c r="AE354" s="873"/>
      <c r="AF354" s="873"/>
      <c r="AG354" s="873"/>
      <c r="AH354" s="873"/>
      <c r="AI354" s="873"/>
      <c r="AJ354" s="873"/>
      <c r="AK354" s="873"/>
      <c r="AL354" s="873"/>
      <c r="AM354" s="873"/>
      <c r="AN354" s="873"/>
      <c r="AO354" s="873"/>
      <c r="AP354" s="873"/>
      <c r="AQ354" s="873"/>
      <c r="AR354" s="873"/>
      <c r="AS354" s="873"/>
    </row>
    <row r="355" spans="1:45" ht="12.75" x14ac:dyDescent="0.2">
      <c r="A355" s="873"/>
      <c r="B355" s="873"/>
      <c r="C355" s="873"/>
      <c r="D355" s="873"/>
      <c r="E355" s="873"/>
      <c r="F355" s="873"/>
      <c r="G355" s="873"/>
      <c r="H355" s="873"/>
      <c r="I355" s="873"/>
      <c r="J355" s="873"/>
      <c r="K355" s="873"/>
      <c r="L355" s="873"/>
      <c r="M355" s="873"/>
      <c r="N355" s="873"/>
      <c r="O355" s="873"/>
      <c r="P355" s="873"/>
      <c r="Q355" s="873"/>
      <c r="R355" s="873"/>
      <c r="S355" s="873"/>
      <c r="T355" s="873"/>
      <c r="U355" s="873"/>
      <c r="V355" s="873"/>
      <c r="W355" s="873"/>
      <c r="X355" s="873"/>
      <c r="Y355" s="873"/>
      <c r="Z355" s="873"/>
      <c r="AA355" s="873"/>
      <c r="AB355" s="873"/>
      <c r="AC355" s="873"/>
      <c r="AD355" s="873"/>
      <c r="AE355" s="873"/>
      <c r="AF355" s="873"/>
      <c r="AG355" s="873"/>
      <c r="AH355" s="873"/>
      <c r="AI355" s="873"/>
      <c r="AJ355" s="873"/>
      <c r="AK355" s="873"/>
      <c r="AL355" s="873"/>
      <c r="AM355" s="873"/>
      <c r="AN355" s="873"/>
      <c r="AO355" s="873"/>
      <c r="AP355" s="873"/>
      <c r="AQ355" s="873"/>
      <c r="AR355" s="873"/>
      <c r="AS355" s="873"/>
    </row>
    <row r="356" spans="1:45" ht="12.75" x14ac:dyDescent="0.2">
      <c r="A356" s="873"/>
      <c r="B356" s="873"/>
      <c r="C356" s="873"/>
      <c r="D356" s="873"/>
      <c r="E356" s="873"/>
      <c r="F356" s="873"/>
      <c r="G356" s="873"/>
      <c r="H356" s="873"/>
      <c r="I356" s="873"/>
      <c r="J356" s="873"/>
      <c r="K356" s="873"/>
      <c r="L356" s="873"/>
      <c r="M356" s="873"/>
      <c r="N356" s="873"/>
      <c r="O356" s="873"/>
      <c r="P356" s="873"/>
      <c r="Q356" s="873"/>
      <c r="R356" s="873"/>
      <c r="S356" s="873"/>
      <c r="T356" s="873"/>
      <c r="U356" s="873"/>
      <c r="V356" s="873"/>
      <c r="W356" s="873"/>
      <c r="X356" s="873"/>
      <c r="Y356" s="873"/>
      <c r="Z356" s="873"/>
      <c r="AA356" s="873"/>
      <c r="AB356" s="873"/>
      <c r="AC356" s="873"/>
      <c r="AD356" s="873"/>
      <c r="AE356" s="873"/>
      <c r="AF356" s="873"/>
      <c r="AG356" s="873"/>
      <c r="AH356" s="873"/>
      <c r="AI356" s="873"/>
      <c r="AJ356" s="873"/>
      <c r="AK356" s="873"/>
      <c r="AL356" s="873"/>
      <c r="AM356" s="873"/>
      <c r="AN356" s="873"/>
      <c r="AO356" s="873"/>
      <c r="AP356" s="873"/>
      <c r="AQ356" s="873"/>
      <c r="AR356" s="873"/>
      <c r="AS356" s="873"/>
    </row>
    <row r="357" spans="1:45" ht="12.75" x14ac:dyDescent="0.2">
      <c r="A357" s="873"/>
      <c r="B357" s="873"/>
      <c r="C357" s="873"/>
      <c r="D357" s="873"/>
      <c r="E357" s="873"/>
      <c r="F357" s="873"/>
      <c r="G357" s="873"/>
      <c r="H357" s="873"/>
      <c r="I357" s="873"/>
      <c r="J357" s="873"/>
      <c r="K357" s="873"/>
      <c r="L357" s="873"/>
      <c r="M357" s="873"/>
      <c r="N357" s="873"/>
      <c r="O357" s="873"/>
      <c r="P357" s="873"/>
      <c r="Q357" s="873"/>
      <c r="R357" s="873"/>
      <c r="S357" s="873"/>
      <c r="T357" s="873"/>
      <c r="U357" s="873"/>
      <c r="V357" s="873"/>
      <c r="W357" s="873"/>
      <c r="X357" s="873"/>
      <c r="Y357" s="873"/>
      <c r="Z357" s="873"/>
      <c r="AA357" s="873"/>
      <c r="AB357" s="873"/>
      <c r="AC357" s="873"/>
      <c r="AD357" s="873"/>
      <c r="AE357" s="873"/>
      <c r="AF357" s="873"/>
      <c r="AG357" s="873"/>
      <c r="AH357" s="873"/>
      <c r="AI357" s="873"/>
      <c r="AJ357" s="873"/>
      <c r="AK357" s="873"/>
      <c r="AL357" s="873"/>
      <c r="AM357" s="873"/>
      <c r="AN357" s="873"/>
      <c r="AO357" s="873"/>
      <c r="AP357" s="873"/>
      <c r="AQ357" s="873"/>
      <c r="AR357" s="873"/>
      <c r="AS357" s="873"/>
    </row>
    <row r="358" spans="1:45" ht="12.75" x14ac:dyDescent="0.2">
      <c r="A358" s="873"/>
      <c r="B358" s="873"/>
      <c r="C358" s="873"/>
      <c r="D358" s="873"/>
      <c r="E358" s="873"/>
      <c r="F358" s="873"/>
      <c r="G358" s="873"/>
      <c r="H358" s="873"/>
      <c r="I358" s="873"/>
      <c r="J358" s="873"/>
      <c r="K358" s="873"/>
      <c r="L358" s="873"/>
      <c r="M358" s="873"/>
      <c r="N358" s="873"/>
      <c r="O358" s="873"/>
      <c r="P358" s="873"/>
      <c r="Q358" s="873"/>
      <c r="R358" s="873"/>
      <c r="S358" s="873"/>
      <c r="T358" s="873"/>
      <c r="U358" s="873"/>
      <c r="V358" s="873"/>
      <c r="W358" s="873"/>
      <c r="X358" s="873"/>
      <c r="Y358" s="873"/>
      <c r="Z358" s="873"/>
      <c r="AA358" s="873"/>
      <c r="AB358" s="873"/>
      <c r="AC358" s="873"/>
      <c r="AD358" s="873"/>
      <c r="AE358" s="873"/>
      <c r="AF358" s="873"/>
      <c r="AG358" s="873"/>
      <c r="AH358" s="873"/>
      <c r="AI358" s="873"/>
      <c r="AJ358" s="873"/>
      <c r="AK358" s="873"/>
      <c r="AL358" s="873"/>
      <c r="AM358" s="873"/>
      <c r="AN358" s="873"/>
      <c r="AO358" s="873"/>
      <c r="AP358" s="873"/>
      <c r="AQ358" s="873"/>
      <c r="AR358" s="873"/>
      <c r="AS358" s="873"/>
    </row>
    <row r="359" spans="1:45" ht="12.75" x14ac:dyDescent="0.2">
      <c r="A359" s="873"/>
      <c r="B359" s="873"/>
      <c r="C359" s="873"/>
      <c r="D359" s="873"/>
      <c r="E359" s="873"/>
      <c r="F359" s="873"/>
      <c r="G359" s="873"/>
      <c r="H359" s="873"/>
      <c r="I359" s="873"/>
      <c r="J359" s="873"/>
      <c r="K359" s="873"/>
      <c r="L359" s="873"/>
      <c r="M359" s="873"/>
      <c r="N359" s="873"/>
      <c r="O359" s="873"/>
      <c r="P359" s="873"/>
      <c r="Q359" s="873"/>
      <c r="R359" s="873"/>
      <c r="S359" s="873"/>
      <c r="T359" s="873"/>
      <c r="U359" s="873"/>
      <c r="V359" s="873"/>
      <c r="W359" s="873"/>
      <c r="X359" s="873"/>
      <c r="Y359" s="873"/>
      <c r="Z359" s="873"/>
      <c r="AA359" s="873"/>
      <c r="AB359" s="873"/>
      <c r="AC359" s="873"/>
      <c r="AD359" s="873"/>
      <c r="AE359" s="873"/>
      <c r="AF359" s="873"/>
      <c r="AG359" s="873"/>
      <c r="AH359" s="873"/>
      <c r="AI359" s="873"/>
      <c r="AJ359" s="873"/>
      <c r="AK359" s="873"/>
      <c r="AL359" s="873"/>
      <c r="AM359" s="873"/>
      <c r="AN359" s="873"/>
      <c r="AO359" s="873"/>
      <c r="AP359" s="873"/>
      <c r="AQ359" s="873"/>
      <c r="AR359" s="873"/>
      <c r="AS359" s="873"/>
    </row>
    <row r="360" spans="1:45" ht="12.75" x14ac:dyDescent="0.2">
      <c r="A360" s="873"/>
      <c r="B360" s="873"/>
      <c r="C360" s="873"/>
      <c r="D360" s="873"/>
      <c r="E360" s="873"/>
      <c r="F360" s="873"/>
      <c r="G360" s="873"/>
      <c r="H360" s="873"/>
      <c r="I360" s="873"/>
      <c r="J360" s="873"/>
      <c r="K360" s="873"/>
      <c r="L360" s="873"/>
      <c r="M360" s="873"/>
      <c r="N360" s="873"/>
      <c r="O360" s="873"/>
      <c r="P360" s="873"/>
      <c r="Q360" s="873"/>
      <c r="R360" s="873"/>
      <c r="S360" s="873"/>
      <c r="T360" s="873"/>
      <c r="U360" s="873"/>
      <c r="V360" s="873"/>
      <c r="W360" s="873"/>
      <c r="X360" s="873"/>
      <c r="Y360" s="873"/>
      <c r="Z360" s="873"/>
      <c r="AA360" s="873"/>
      <c r="AB360" s="873"/>
      <c r="AC360" s="873"/>
      <c r="AD360" s="873"/>
      <c r="AE360" s="873"/>
      <c r="AF360" s="873"/>
      <c r="AG360" s="873"/>
      <c r="AH360" s="873"/>
      <c r="AI360" s="873"/>
      <c r="AJ360" s="873"/>
      <c r="AK360" s="873"/>
      <c r="AL360" s="873"/>
      <c r="AM360" s="873"/>
      <c r="AN360" s="873"/>
      <c r="AO360" s="873"/>
      <c r="AP360" s="873"/>
      <c r="AQ360" s="873"/>
      <c r="AR360" s="873"/>
      <c r="AS360" s="873"/>
    </row>
    <row r="361" spans="1:45" ht="12.75" x14ac:dyDescent="0.2">
      <c r="A361" s="873"/>
      <c r="B361" s="873"/>
      <c r="C361" s="873"/>
      <c r="D361" s="873"/>
      <c r="E361" s="873"/>
      <c r="F361" s="873"/>
      <c r="G361" s="873"/>
      <c r="H361" s="873"/>
      <c r="I361" s="873"/>
      <c r="J361" s="873"/>
      <c r="K361" s="873"/>
      <c r="L361" s="873"/>
      <c r="M361" s="873"/>
      <c r="N361" s="873"/>
      <c r="O361" s="873"/>
      <c r="P361" s="873"/>
      <c r="Q361" s="873"/>
      <c r="R361" s="873"/>
      <c r="S361" s="873"/>
      <c r="T361" s="873"/>
      <c r="U361" s="873"/>
      <c r="V361" s="873"/>
      <c r="W361" s="873"/>
      <c r="X361" s="873"/>
      <c r="Y361" s="873"/>
      <c r="Z361" s="873"/>
      <c r="AA361" s="873"/>
      <c r="AB361" s="873"/>
      <c r="AC361" s="873"/>
      <c r="AD361" s="873"/>
      <c r="AE361" s="873"/>
      <c r="AF361" s="873"/>
      <c r="AG361" s="873"/>
      <c r="AH361" s="873"/>
      <c r="AI361" s="873"/>
      <c r="AJ361" s="873"/>
      <c r="AK361" s="873"/>
      <c r="AL361" s="873"/>
      <c r="AM361" s="873"/>
      <c r="AN361" s="873"/>
      <c r="AO361" s="873"/>
      <c r="AP361" s="873"/>
      <c r="AQ361" s="873"/>
      <c r="AR361" s="873"/>
      <c r="AS361" s="873"/>
    </row>
    <row r="362" spans="1:45" ht="12.75" x14ac:dyDescent="0.2">
      <c r="A362" s="873"/>
      <c r="B362" s="873"/>
      <c r="C362" s="873"/>
      <c r="D362" s="873"/>
      <c r="E362" s="873"/>
      <c r="F362" s="873"/>
      <c r="G362" s="873"/>
      <c r="H362" s="873"/>
      <c r="I362" s="873"/>
      <c r="J362" s="873"/>
      <c r="K362" s="873"/>
      <c r="L362" s="873"/>
      <c r="M362" s="873"/>
      <c r="N362" s="873"/>
      <c r="O362" s="873"/>
      <c r="P362" s="873"/>
      <c r="Q362" s="873"/>
      <c r="R362" s="873"/>
      <c r="S362" s="873"/>
      <c r="T362" s="873"/>
      <c r="U362" s="873"/>
      <c r="V362" s="873"/>
      <c r="W362" s="873"/>
      <c r="X362" s="873"/>
      <c r="Y362" s="873"/>
      <c r="Z362" s="873"/>
      <c r="AA362" s="873"/>
      <c r="AB362" s="873"/>
      <c r="AC362" s="873"/>
      <c r="AD362" s="873"/>
      <c r="AE362" s="873"/>
      <c r="AF362" s="873"/>
      <c r="AG362" s="873"/>
      <c r="AH362" s="873"/>
      <c r="AI362" s="873"/>
      <c r="AJ362" s="873"/>
      <c r="AK362" s="873"/>
      <c r="AL362" s="873"/>
      <c r="AM362" s="873"/>
      <c r="AN362" s="873"/>
      <c r="AO362" s="873"/>
      <c r="AP362" s="873"/>
      <c r="AQ362" s="873"/>
      <c r="AR362" s="873"/>
      <c r="AS362" s="873"/>
    </row>
    <row r="363" spans="1:45" ht="12.75" x14ac:dyDescent="0.2">
      <c r="A363" s="873"/>
      <c r="B363" s="873"/>
      <c r="C363" s="873"/>
      <c r="D363" s="873"/>
      <c r="E363" s="873"/>
      <c r="F363" s="873"/>
      <c r="G363" s="873"/>
      <c r="H363" s="873"/>
      <c r="I363" s="873"/>
      <c r="J363" s="873"/>
      <c r="K363" s="873"/>
      <c r="L363" s="873"/>
      <c r="M363" s="873"/>
      <c r="N363" s="873"/>
      <c r="O363" s="873"/>
      <c r="P363" s="873"/>
      <c r="Q363" s="873"/>
      <c r="R363" s="873"/>
      <c r="S363" s="873"/>
      <c r="T363" s="873"/>
      <c r="U363" s="873"/>
      <c r="V363" s="873"/>
      <c r="W363" s="873"/>
      <c r="X363" s="873"/>
      <c r="Y363" s="873"/>
      <c r="Z363" s="873"/>
      <c r="AA363" s="873"/>
      <c r="AB363" s="873"/>
      <c r="AC363" s="873"/>
      <c r="AD363" s="873"/>
      <c r="AE363" s="873"/>
      <c r="AF363" s="873"/>
      <c r="AG363" s="873"/>
      <c r="AH363" s="873"/>
      <c r="AI363" s="873"/>
      <c r="AJ363" s="873"/>
      <c r="AK363" s="873"/>
      <c r="AL363" s="873"/>
      <c r="AM363" s="873"/>
      <c r="AN363" s="873"/>
      <c r="AO363" s="873"/>
      <c r="AP363" s="873"/>
      <c r="AQ363" s="873"/>
      <c r="AR363" s="873"/>
      <c r="AS363" s="873"/>
    </row>
    <row r="364" spans="1:45" ht="12.75" x14ac:dyDescent="0.2">
      <c r="A364" s="873"/>
      <c r="B364" s="873"/>
      <c r="C364" s="873"/>
      <c r="D364" s="873"/>
      <c r="E364" s="873"/>
      <c r="F364" s="873"/>
      <c r="G364" s="873"/>
      <c r="H364" s="873"/>
      <c r="I364" s="873"/>
      <c r="J364" s="873"/>
      <c r="K364" s="873"/>
      <c r="L364" s="873"/>
      <c r="M364" s="873"/>
      <c r="N364" s="873"/>
      <c r="O364" s="873"/>
      <c r="P364" s="873"/>
      <c r="Q364" s="873"/>
      <c r="R364" s="873"/>
      <c r="S364" s="873"/>
      <c r="T364" s="873"/>
      <c r="U364" s="873"/>
      <c r="V364" s="873"/>
      <c r="W364" s="873"/>
      <c r="X364" s="873"/>
      <c r="Y364" s="873"/>
      <c r="Z364" s="873"/>
      <c r="AA364" s="873"/>
      <c r="AB364" s="873"/>
      <c r="AC364" s="873"/>
      <c r="AD364" s="873"/>
      <c r="AE364" s="873"/>
      <c r="AF364" s="873"/>
      <c r="AG364" s="873"/>
      <c r="AH364" s="873"/>
      <c r="AI364" s="873"/>
      <c r="AJ364" s="873"/>
      <c r="AK364" s="873"/>
      <c r="AL364" s="873"/>
      <c r="AM364" s="873"/>
      <c r="AN364" s="873"/>
      <c r="AO364" s="873"/>
      <c r="AP364" s="873"/>
      <c r="AQ364" s="873"/>
      <c r="AR364" s="873"/>
      <c r="AS364" s="873"/>
    </row>
    <row r="365" spans="1:45" ht="12.75" x14ac:dyDescent="0.2">
      <c r="A365" s="873"/>
      <c r="B365" s="873"/>
      <c r="C365" s="873"/>
      <c r="D365" s="873"/>
      <c r="E365" s="873"/>
      <c r="F365" s="873"/>
      <c r="G365" s="873"/>
      <c r="H365" s="873"/>
      <c r="I365" s="873"/>
      <c r="J365" s="873"/>
      <c r="K365" s="873"/>
      <c r="L365" s="873"/>
      <c r="M365" s="873"/>
      <c r="N365" s="873"/>
      <c r="O365" s="873"/>
      <c r="P365" s="873"/>
      <c r="Q365" s="873"/>
      <c r="R365" s="873"/>
      <c r="S365" s="873"/>
      <c r="T365" s="873"/>
      <c r="U365" s="873"/>
      <c r="V365" s="873"/>
      <c r="W365" s="873"/>
      <c r="X365" s="873"/>
      <c r="Y365" s="873"/>
      <c r="Z365" s="873"/>
      <c r="AA365" s="873"/>
      <c r="AB365" s="873"/>
      <c r="AC365" s="873"/>
      <c r="AD365" s="873"/>
      <c r="AE365" s="873"/>
      <c r="AF365" s="873"/>
      <c r="AG365" s="873"/>
      <c r="AH365" s="873"/>
      <c r="AI365" s="873"/>
      <c r="AJ365" s="873"/>
      <c r="AK365" s="873"/>
      <c r="AL365" s="873"/>
      <c r="AM365" s="873"/>
      <c r="AN365" s="873"/>
      <c r="AO365" s="873"/>
      <c r="AP365" s="873"/>
      <c r="AQ365" s="873"/>
      <c r="AR365" s="873"/>
      <c r="AS365" s="873"/>
    </row>
    <row r="366" spans="1:45" ht="12.75" x14ac:dyDescent="0.2">
      <c r="A366" s="873"/>
      <c r="B366" s="873"/>
      <c r="C366" s="873"/>
      <c r="D366" s="873"/>
      <c r="E366" s="873"/>
      <c r="F366" s="873"/>
      <c r="G366" s="873"/>
      <c r="H366" s="873"/>
      <c r="I366" s="873"/>
      <c r="J366" s="873"/>
      <c r="K366" s="873"/>
      <c r="L366" s="873"/>
      <c r="M366" s="873"/>
      <c r="N366" s="873"/>
      <c r="O366" s="873"/>
      <c r="P366" s="873"/>
      <c r="Q366" s="873"/>
      <c r="R366" s="873"/>
      <c r="S366" s="873"/>
      <c r="T366" s="873"/>
      <c r="U366" s="873"/>
      <c r="V366" s="873"/>
      <c r="W366" s="873"/>
      <c r="X366" s="873"/>
      <c r="Y366" s="873"/>
      <c r="Z366" s="873"/>
      <c r="AA366" s="873"/>
      <c r="AB366" s="873"/>
      <c r="AC366" s="873"/>
      <c r="AD366" s="873"/>
      <c r="AE366" s="873"/>
      <c r="AF366" s="873"/>
      <c r="AG366" s="873"/>
      <c r="AH366" s="873"/>
      <c r="AI366" s="873"/>
      <c r="AJ366" s="873"/>
      <c r="AK366" s="873"/>
      <c r="AL366" s="873"/>
      <c r="AM366" s="873"/>
      <c r="AN366" s="873"/>
      <c r="AO366" s="873"/>
      <c r="AP366" s="873"/>
      <c r="AQ366" s="873"/>
      <c r="AR366" s="873"/>
      <c r="AS366" s="873"/>
    </row>
    <row r="367" spans="1:45" ht="12.75" x14ac:dyDescent="0.2">
      <c r="A367" s="873"/>
      <c r="B367" s="873"/>
      <c r="C367" s="873"/>
      <c r="D367" s="873"/>
      <c r="E367" s="873"/>
      <c r="F367" s="873"/>
      <c r="G367" s="873"/>
      <c r="H367" s="873"/>
      <c r="I367" s="873"/>
      <c r="J367" s="873"/>
      <c r="K367" s="873"/>
      <c r="L367" s="873"/>
      <c r="M367" s="873"/>
      <c r="N367" s="873"/>
      <c r="O367" s="873"/>
      <c r="P367" s="873"/>
      <c r="Q367" s="873"/>
      <c r="R367" s="873"/>
      <c r="S367" s="873"/>
      <c r="T367" s="873"/>
      <c r="U367" s="873"/>
      <c r="V367" s="873"/>
      <c r="W367" s="873"/>
      <c r="X367" s="873"/>
      <c r="Y367" s="873"/>
      <c r="Z367" s="873"/>
      <c r="AA367" s="873"/>
      <c r="AB367" s="873"/>
      <c r="AC367" s="873"/>
      <c r="AD367" s="873"/>
      <c r="AE367" s="873"/>
      <c r="AF367" s="873"/>
      <c r="AG367" s="873"/>
      <c r="AH367" s="873"/>
      <c r="AI367" s="873"/>
      <c r="AJ367" s="873"/>
      <c r="AK367" s="873"/>
      <c r="AL367" s="873"/>
      <c r="AM367" s="873"/>
      <c r="AN367" s="873"/>
      <c r="AO367" s="873"/>
      <c r="AP367" s="873"/>
      <c r="AQ367" s="873"/>
      <c r="AR367" s="873"/>
      <c r="AS367" s="873"/>
    </row>
    <row r="368" spans="1:45" ht="12.75" x14ac:dyDescent="0.2">
      <c r="A368" s="873"/>
      <c r="B368" s="873"/>
      <c r="C368" s="873"/>
      <c r="D368" s="873"/>
      <c r="E368" s="873"/>
      <c r="F368" s="873"/>
      <c r="G368" s="873"/>
      <c r="H368" s="873"/>
      <c r="I368" s="873"/>
      <c r="J368" s="873"/>
      <c r="K368" s="873"/>
      <c r="L368" s="873"/>
      <c r="M368" s="873"/>
      <c r="N368" s="873"/>
      <c r="O368" s="873"/>
      <c r="P368" s="873"/>
      <c r="Q368" s="873"/>
      <c r="R368" s="873"/>
      <c r="S368" s="873"/>
      <c r="T368" s="873"/>
      <c r="U368" s="873"/>
      <c r="V368" s="873"/>
      <c r="W368" s="873"/>
      <c r="X368" s="873"/>
      <c r="Y368" s="873"/>
      <c r="Z368" s="873"/>
      <c r="AA368" s="873"/>
      <c r="AB368" s="873"/>
      <c r="AC368" s="873"/>
      <c r="AD368" s="873"/>
      <c r="AE368" s="873"/>
      <c r="AF368" s="873"/>
      <c r="AG368" s="873"/>
      <c r="AH368" s="873"/>
      <c r="AI368" s="873"/>
      <c r="AJ368" s="873"/>
      <c r="AK368" s="873"/>
      <c r="AL368" s="873"/>
      <c r="AM368" s="873"/>
      <c r="AN368" s="873"/>
      <c r="AO368" s="873"/>
      <c r="AP368" s="873"/>
      <c r="AQ368" s="873"/>
      <c r="AR368" s="873"/>
      <c r="AS368" s="873"/>
    </row>
    <row r="369" spans="1:45" ht="12.75" x14ac:dyDescent="0.2">
      <c r="A369" s="873"/>
      <c r="B369" s="873"/>
      <c r="C369" s="873"/>
      <c r="D369" s="873"/>
      <c r="E369" s="873"/>
      <c r="F369" s="873"/>
      <c r="G369" s="873"/>
      <c r="H369" s="873"/>
      <c r="I369" s="873"/>
      <c r="J369" s="873"/>
      <c r="K369" s="873"/>
      <c r="L369" s="873"/>
      <c r="M369" s="873"/>
      <c r="N369" s="873"/>
      <c r="O369" s="873"/>
      <c r="P369" s="873"/>
      <c r="Q369" s="873"/>
      <c r="R369" s="873"/>
      <c r="S369" s="873"/>
      <c r="T369" s="873"/>
      <c r="U369" s="873"/>
      <c r="V369" s="873"/>
      <c r="W369" s="873"/>
      <c r="X369" s="873"/>
      <c r="Y369" s="873"/>
      <c r="Z369" s="873"/>
      <c r="AA369" s="873"/>
      <c r="AB369" s="873"/>
      <c r="AC369" s="873"/>
      <c r="AD369" s="873"/>
      <c r="AE369" s="873"/>
      <c r="AF369" s="873"/>
      <c r="AG369" s="873"/>
      <c r="AH369" s="873"/>
      <c r="AI369" s="873"/>
      <c r="AJ369" s="873"/>
      <c r="AK369" s="873"/>
      <c r="AL369" s="873"/>
      <c r="AM369" s="873"/>
      <c r="AN369" s="873"/>
      <c r="AO369" s="873"/>
      <c r="AP369" s="873"/>
      <c r="AQ369" s="873"/>
      <c r="AR369" s="873"/>
      <c r="AS369" s="873"/>
    </row>
    <row r="370" spans="1:45" ht="12.75" x14ac:dyDescent="0.2">
      <c r="A370" s="873"/>
      <c r="B370" s="873"/>
      <c r="C370" s="873"/>
      <c r="D370" s="873"/>
      <c r="E370" s="873"/>
      <c r="F370" s="873"/>
      <c r="G370" s="873"/>
      <c r="H370" s="873"/>
      <c r="I370" s="873"/>
      <c r="J370" s="873"/>
      <c r="K370" s="873"/>
      <c r="L370" s="873"/>
      <c r="M370" s="873"/>
      <c r="N370" s="873"/>
      <c r="O370" s="873"/>
      <c r="P370" s="873"/>
      <c r="Q370" s="873"/>
      <c r="R370" s="873"/>
      <c r="S370" s="873"/>
      <c r="T370" s="873"/>
      <c r="U370" s="873"/>
      <c r="V370" s="873"/>
      <c r="W370" s="873"/>
      <c r="X370" s="873"/>
      <c r="Y370" s="873"/>
      <c r="Z370" s="873"/>
      <c r="AA370" s="873"/>
      <c r="AB370" s="873"/>
      <c r="AC370" s="873"/>
      <c r="AD370" s="873"/>
      <c r="AE370" s="873"/>
      <c r="AF370" s="873"/>
      <c r="AG370" s="873"/>
      <c r="AH370" s="873"/>
      <c r="AI370" s="873"/>
      <c r="AJ370" s="873"/>
      <c r="AK370" s="873"/>
      <c r="AL370" s="873"/>
      <c r="AM370" s="873"/>
      <c r="AN370" s="873"/>
      <c r="AO370" s="873"/>
      <c r="AP370" s="873"/>
      <c r="AQ370" s="873"/>
      <c r="AR370" s="873"/>
      <c r="AS370" s="873"/>
    </row>
    <row r="371" spans="1:45" ht="12.75" x14ac:dyDescent="0.2">
      <c r="A371" s="873"/>
      <c r="B371" s="873"/>
      <c r="C371" s="873"/>
      <c r="D371" s="873"/>
      <c r="E371" s="873"/>
      <c r="F371" s="873"/>
      <c r="G371" s="873"/>
      <c r="H371" s="873"/>
      <c r="I371" s="873"/>
      <c r="J371" s="873"/>
      <c r="K371" s="873"/>
      <c r="L371" s="873"/>
      <c r="M371" s="873"/>
      <c r="N371" s="873"/>
      <c r="O371" s="873"/>
      <c r="P371" s="873"/>
      <c r="Q371" s="873"/>
      <c r="R371" s="873"/>
      <c r="S371" s="873"/>
      <c r="T371" s="873"/>
      <c r="U371" s="873"/>
      <c r="V371" s="873"/>
      <c r="W371" s="873"/>
      <c r="X371" s="873"/>
      <c r="Y371" s="873"/>
      <c r="Z371" s="873"/>
      <c r="AA371" s="873"/>
      <c r="AB371" s="873"/>
      <c r="AC371" s="873"/>
      <c r="AD371" s="873"/>
      <c r="AE371" s="873"/>
      <c r="AF371" s="873"/>
      <c r="AG371" s="873"/>
      <c r="AH371" s="873"/>
      <c r="AI371" s="873"/>
      <c r="AJ371" s="873"/>
      <c r="AK371" s="873"/>
      <c r="AL371" s="873"/>
      <c r="AM371" s="873"/>
      <c r="AN371" s="873"/>
      <c r="AO371" s="873"/>
      <c r="AP371" s="873"/>
      <c r="AQ371" s="873"/>
      <c r="AR371" s="873"/>
      <c r="AS371" s="873"/>
    </row>
    <row r="372" spans="1:45" ht="12.75" x14ac:dyDescent="0.2">
      <c r="A372" s="873"/>
      <c r="B372" s="873"/>
      <c r="C372" s="873"/>
      <c r="D372" s="873"/>
      <c r="E372" s="873"/>
      <c r="F372" s="873"/>
      <c r="G372" s="873"/>
      <c r="H372" s="873"/>
      <c r="I372" s="873"/>
      <c r="J372" s="873"/>
      <c r="K372" s="873"/>
      <c r="L372" s="873"/>
      <c r="M372" s="873"/>
      <c r="N372" s="873"/>
      <c r="O372" s="873"/>
      <c r="P372" s="873"/>
      <c r="Q372" s="873"/>
      <c r="R372" s="873"/>
      <c r="S372" s="873"/>
      <c r="T372" s="873"/>
      <c r="U372" s="873"/>
      <c r="V372" s="873"/>
      <c r="W372" s="873"/>
      <c r="X372" s="873"/>
      <c r="Y372" s="873"/>
      <c r="Z372" s="873"/>
      <c r="AA372" s="873"/>
      <c r="AB372" s="873"/>
      <c r="AC372" s="873"/>
      <c r="AD372" s="873"/>
      <c r="AE372" s="873"/>
      <c r="AF372" s="873"/>
      <c r="AG372" s="873"/>
      <c r="AH372" s="873"/>
      <c r="AI372" s="873"/>
      <c r="AJ372" s="873"/>
      <c r="AK372" s="873"/>
      <c r="AL372" s="873"/>
      <c r="AM372" s="873"/>
      <c r="AN372" s="873"/>
      <c r="AO372" s="873"/>
      <c r="AP372" s="873"/>
      <c r="AQ372" s="873"/>
      <c r="AR372" s="873"/>
      <c r="AS372" s="873"/>
    </row>
    <row r="373" spans="1:45" ht="12.75" x14ac:dyDescent="0.2">
      <c r="A373" s="873"/>
      <c r="B373" s="873"/>
      <c r="C373" s="873"/>
      <c r="D373" s="873"/>
      <c r="E373" s="873"/>
      <c r="F373" s="873"/>
      <c r="G373" s="873"/>
      <c r="H373" s="873"/>
      <c r="I373" s="873"/>
      <c r="J373" s="873"/>
      <c r="K373" s="873"/>
      <c r="L373" s="873"/>
      <c r="M373" s="873"/>
      <c r="N373" s="873"/>
      <c r="O373" s="873"/>
      <c r="P373" s="873"/>
      <c r="Q373" s="873"/>
      <c r="R373" s="873"/>
      <c r="S373" s="873"/>
      <c r="T373" s="873"/>
      <c r="U373" s="873"/>
      <c r="V373" s="873"/>
      <c r="W373" s="873"/>
      <c r="X373" s="873"/>
      <c r="Y373" s="873"/>
      <c r="Z373" s="873"/>
      <c r="AA373" s="873"/>
      <c r="AB373" s="873"/>
      <c r="AC373" s="873"/>
      <c r="AD373" s="873"/>
      <c r="AE373" s="873"/>
      <c r="AF373" s="873"/>
      <c r="AG373" s="873"/>
      <c r="AH373" s="873"/>
      <c r="AI373" s="873"/>
      <c r="AJ373" s="873"/>
      <c r="AK373" s="873"/>
      <c r="AL373" s="873"/>
      <c r="AM373" s="873"/>
      <c r="AN373" s="873"/>
      <c r="AO373" s="873"/>
      <c r="AP373" s="873"/>
      <c r="AQ373" s="873"/>
      <c r="AR373" s="873"/>
      <c r="AS373" s="873"/>
    </row>
    <row r="374" spans="1:45" ht="12.75" x14ac:dyDescent="0.2">
      <c r="A374" s="873"/>
      <c r="B374" s="873"/>
      <c r="C374" s="873"/>
      <c r="D374" s="873"/>
      <c r="E374" s="873"/>
      <c r="F374" s="873"/>
      <c r="G374" s="873"/>
      <c r="H374" s="873"/>
      <c r="I374" s="873"/>
      <c r="J374" s="873"/>
      <c r="K374" s="873"/>
      <c r="L374" s="873"/>
      <c r="M374" s="873"/>
      <c r="N374" s="873"/>
      <c r="O374" s="873"/>
      <c r="P374" s="873"/>
      <c r="Q374" s="873"/>
      <c r="R374" s="873"/>
      <c r="S374" s="873"/>
      <c r="T374" s="873"/>
      <c r="U374" s="873"/>
      <c r="V374" s="873"/>
      <c r="W374" s="873"/>
      <c r="X374" s="873"/>
      <c r="Y374" s="873"/>
      <c r="Z374" s="873"/>
      <c r="AA374" s="873"/>
      <c r="AB374" s="873"/>
      <c r="AC374" s="873"/>
      <c r="AD374" s="873"/>
      <c r="AE374" s="873"/>
      <c r="AF374" s="873"/>
      <c r="AG374" s="873"/>
      <c r="AH374" s="873"/>
      <c r="AI374" s="873"/>
      <c r="AJ374" s="873"/>
      <c r="AK374" s="873"/>
      <c r="AL374" s="873"/>
      <c r="AM374" s="873"/>
      <c r="AN374" s="873"/>
      <c r="AO374" s="873"/>
      <c r="AP374" s="873"/>
      <c r="AQ374" s="873"/>
      <c r="AR374" s="873"/>
      <c r="AS374" s="873"/>
    </row>
    <row r="375" spans="1:45" ht="12.75" x14ac:dyDescent="0.2">
      <c r="A375" s="873"/>
      <c r="B375" s="873"/>
      <c r="C375" s="873"/>
      <c r="D375" s="873"/>
      <c r="E375" s="873"/>
      <c r="F375" s="873"/>
      <c r="G375" s="873"/>
      <c r="H375" s="873"/>
      <c r="I375" s="873"/>
      <c r="J375" s="873"/>
      <c r="K375" s="873"/>
      <c r="L375" s="873"/>
      <c r="M375" s="873"/>
      <c r="N375" s="873"/>
      <c r="O375" s="873"/>
      <c r="P375" s="873"/>
      <c r="Q375" s="873"/>
      <c r="R375" s="873"/>
      <c r="S375" s="873"/>
      <c r="T375" s="873"/>
      <c r="U375" s="873"/>
      <c r="V375" s="873"/>
      <c r="W375" s="873"/>
      <c r="X375" s="873"/>
      <c r="Y375" s="873"/>
      <c r="Z375" s="873"/>
      <c r="AA375" s="873"/>
      <c r="AB375" s="873"/>
      <c r="AC375" s="873"/>
      <c r="AD375" s="873"/>
      <c r="AE375" s="873"/>
      <c r="AF375" s="873"/>
      <c r="AG375" s="873"/>
      <c r="AH375" s="873"/>
      <c r="AI375" s="873"/>
      <c r="AJ375" s="873"/>
      <c r="AK375" s="873"/>
      <c r="AL375" s="873"/>
      <c r="AM375" s="873"/>
      <c r="AN375" s="873"/>
      <c r="AO375" s="873"/>
      <c r="AP375" s="873"/>
      <c r="AQ375" s="873"/>
      <c r="AR375" s="873"/>
      <c r="AS375" s="873"/>
    </row>
    <row r="376" spans="1:45" ht="12.75" x14ac:dyDescent="0.2">
      <c r="A376" s="873"/>
      <c r="B376" s="873"/>
      <c r="C376" s="873"/>
      <c r="D376" s="873"/>
      <c r="E376" s="873"/>
      <c r="F376" s="873"/>
      <c r="G376" s="873"/>
      <c r="H376" s="873"/>
      <c r="I376" s="873"/>
      <c r="J376" s="873"/>
      <c r="K376" s="873"/>
      <c r="L376" s="873"/>
      <c r="M376" s="873"/>
      <c r="N376" s="873"/>
      <c r="O376" s="873"/>
      <c r="P376" s="873"/>
      <c r="Q376" s="873"/>
      <c r="R376" s="873"/>
      <c r="S376" s="873"/>
      <c r="T376" s="873"/>
      <c r="U376" s="873"/>
      <c r="V376" s="873"/>
      <c r="W376" s="873"/>
      <c r="X376" s="873"/>
      <c r="Y376" s="873"/>
      <c r="Z376" s="873"/>
      <c r="AA376" s="873"/>
      <c r="AB376" s="873"/>
      <c r="AC376" s="873"/>
      <c r="AD376" s="873"/>
      <c r="AE376" s="873"/>
      <c r="AF376" s="873"/>
      <c r="AG376" s="873"/>
      <c r="AH376" s="873"/>
      <c r="AI376" s="873"/>
      <c r="AJ376" s="873"/>
      <c r="AK376" s="873"/>
      <c r="AL376" s="873"/>
      <c r="AM376" s="873"/>
      <c r="AN376" s="873"/>
      <c r="AO376" s="873"/>
      <c r="AP376" s="873"/>
      <c r="AQ376" s="873"/>
      <c r="AR376" s="873"/>
      <c r="AS376" s="873"/>
    </row>
    <row r="377" spans="1:45" ht="12.75" x14ac:dyDescent="0.2">
      <c r="A377" s="873"/>
      <c r="B377" s="873"/>
      <c r="C377" s="873"/>
      <c r="D377" s="873"/>
      <c r="E377" s="873"/>
      <c r="F377" s="873"/>
      <c r="G377" s="873"/>
      <c r="H377" s="873"/>
      <c r="I377" s="873"/>
      <c r="J377" s="873"/>
      <c r="K377" s="873"/>
      <c r="L377" s="873"/>
      <c r="M377" s="873"/>
      <c r="N377" s="873"/>
      <c r="O377" s="873"/>
      <c r="P377" s="873"/>
      <c r="Q377" s="873"/>
      <c r="R377" s="873"/>
      <c r="S377" s="873"/>
      <c r="T377" s="873"/>
      <c r="U377" s="873"/>
      <c r="V377" s="873"/>
      <c r="W377" s="873"/>
      <c r="X377" s="873"/>
      <c r="Y377" s="873"/>
      <c r="Z377" s="873"/>
      <c r="AA377" s="873"/>
      <c r="AB377" s="873"/>
      <c r="AC377" s="873"/>
      <c r="AD377" s="873"/>
      <c r="AE377" s="873"/>
      <c r="AF377" s="873"/>
      <c r="AG377" s="873"/>
      <c r="AH377" s="873"/>
      <c r="AI377" s="873"/>
      <c r="AJ377" s="873"/>
      <c r="AK377" s="873"/>
      <c r="AL377" s="873"/>
      <c r="AM377" s="873"/>
      <c r="AN377" s="873"/>
      <c r="AO377" s="873"/>
      <c r="AP377" s="873"/>
      <c r="AQ377" s="873"/>
      <c r="AR377" s="873"/>
      <c r="AS377" s="873"/>
    </row>
    <row r="378" spans="1:45" ht="12.75" x14ac:dyDescent="0.2">
      <c r="A378" s="873"/>
      <c r="B378" s="873"/>
      <c r="C378" s="873"/>
      <c r="D378" s="873"/>
      <c r="E378" s="873"/>
      <c r="F378" s="873"/>
      <c r="G378" s="873"/>
      <c r="H378" s="873"/>
      <c r="I378" s="873"/>
      <c r="J378" s="873"/>
      <c r="K378" s="873"/>
      <c r="L378" s="873"/>
      <c r="M378" s="873"/>
      <c r="N378" s="873"/>
      <c r="O378" s="873"/>
      <c r="P378" s="873"/>
      <c r="Q378" s="873"/>
      <c r="R378" s="873"/>
      <c r="S378" s="873"/>
      <c r="T378" s="873"/>
      <c r="U378" s="873"/>
      <c r="V378" s="873"/>
      <c r="W378" s="873"/>
      <c r="X378" s="873"/>
      <c r="Y378" s="873"/>
      <c r="Z378" s="873"/>
      <c r="AA378" s="873"/>
      <c r="AB378" s="873"/>
      <c r="AC378" s="873"/>
      <c r="AD378" s="873"/>
      <c r="AE378" s="873"/>
      <c r="AF378" s="873"/>
      <c r="AG378" s="873"/>
      <c r="AH378" s="873"/>
      <c r="AI378" s="873"/>
      <c r="AJ378" s="873"/>
      <c r="AK378" s="873"/>
      <c r="AL378" s="873"/>
      <c r="AM378" s="873"/>
      <c r="AN378" s="873"/>
      <c r="AO378" s="873"/>
      <c r="AP378" s="873"/>
      <c r="AQ378" s="873"/>
      <c r="AR378" s="873"/>
      <c r="AS378" s="873"/>
    </row>
    <row r="379" spans="1:45" ht="12.75" x14ac:dyDescent="0.2">
      <c r="A379" s="873"/>
      <c r="B379" s="873"/>
      <c r="C379" s="873"/>
      <c r="D379" s="873"/>
      <c r="E379" s="873"/>
      <c r="F379" s="873"/>
      <c r="G379" s="873"/>
      <c r="H379" s="873"/>
      <c r="I379" s="873"/>
      <c r="J379" s="873"/>
      <c r="K379" s="873"/>
      <c r="L379" s="873"/>
      <c r="M379" s="873"/>
      <c r="N379" s="873"/>
      <c r="O379" s="873"/>
      <c r="P379" s="873"/>
      <c r="Q379" s="873"/>
      <c r="R379" s="873"/>
      <c r="S379" s="873"/>
      <c r="T379" s="873"/>
      <c r="U379" s="873"/>
      <c r="V379" s="873"/>
      <c r="W379" s="873"/>
      <c r="X379" s="873"/>
      <c r="Y379" s="873"/>
      <c r="Z379" s="873"/>
      <c r="AA379" s="873"/>
      <c r="AB379" s="873"/>
      <c r="AC379" s="873"/>
      <c r="AD379" s="873"/>
      <c r="AE379" s="873"/>
      <c r="AF379" s="873"/>
      <c r="AG379" s="873"/>
      <c r="AH379" s="873"/>
      <c r="AI379" s="873"/>
      <c r="AJ379" s="873"/>
      <c r="AK379" s="873"/>
      <c r="AL379" s="873"/>
      <c r="AM379" s="873"/>
      <c r="AN379" s="873"/>
      <c r="AO379" s="873"/>
      <c r="AP379" s="873"/>
      <c r="AQ379" s="873"/>
      <c r="AR379" s="873"/>
      <c r="AS379" s="873"/>
    </row>
    <row r="380" spans="1:45" ht="12.75" x14ac:dyDescent="0.2">
      <c r="A380" s="873"/>
      <c r="B380" s="873"/>
      <c r="C380" s="873"/>
      <c r="D380" s="873"/>
      <c r="E380" s="873"/>
      <c r="F380" s="873"/>
      <c r="G380" s="873"/>
      <c r="H380" s="873"/>
      <c r="I380" s="873"/>
      <c r="J380" s="873"/>
      <c r="K380" s="873"/>
      <c r="L380" s="873"/>
      <c r="M380" s="873"/>
      <c r="N380" s="873"/>
      <c r="O380" s="873"/>
      <c r="P380" s="873"/>
      <c r="Q380" s="873"/>
      <c r="R380" s="873"/>
      <c r="S380" s="873"/>
      <c r="T380" s="873"/>
      <c r="U380" s="873"/>
      <c r="V380" s="873"/>
      <c r="W380" s="873"/>
      <c r="X380" s="873"/>
      <c r="Y380" s="873"/>
      <c r="Z380" s="873"/>
      <c r="AA380" s="873"/>
      <c r="AB380" s="873"/>
      <c r="AC380" s="873"/>
      <c r="AD380" s="873"/>
      <c r="AE380" s="873"/>
      <c r="AF380" s="873"/>
      <c r="AG380" s="873"/>
      <c r="AH380" s="873"/>
      <c r="AI380" s="873"/>
      <c r="AJ380" s="873"/>
      <c r="AK380" s="873"/>
      <c r="AL380" s="873"/>
      <c r="AM380" s="873"/>
      <c r="AN380" s="873"/>
      <c r="AO380" s="873"/>
      <c r="AP380" s="873"/>
      <c r="AQ380" s="873"/>
      <c r="AR380" s="873"/>
      <c r="AS380" s="873"/>
    </row>
    <row r="381" spans="1:45" ht="12.75" x14ac:dyDescent="0.2">
      <c r="A381" s="873"/>
      <c r="B381" s="873"/>
      <c r="C381" s="873"/>
      <c r="D381" s="873"/>
      <c r="E381" s="873"/>
      <c r="F381" s="873"/>
      <c r="G381" s="873"/>
      <c r="H381" s="873"/>
      <c r="I381" s="873"/>
      <c r="J381" s="873"/>
      <c r="K381" s="873"/>
      <c r="L381" s="873"/>
      <c r="M381" s="873"/>
      <c r="N381" s="873"/>
      <c r="O381" s="873"/>
      <c r="P381" s="873"/>
      <c r="Q381" s="873"/>
      <c r="R381" s="873"/>
      <c r="S381" s="873"/>
      <c r="T381" s="873"/>
      <c r="U381" s="873"/>
      <c r="V381" s="873"/>
      <c r="W381" s="873"/>
      <c r="X381" s="873"/>
      <c r="Y381" s="873"/>
      <c r="Z381" s="873"/>
      <c r="AA381" s="873"/>
      <c r="AB381" s="873"/>
      <c r="AC381" s="873"/>
      <c r="AD381" s="873"/>
      <c r="AE381" s="873"/>
      <c r="AF381" s="873"/>
      <c r="AG381" s="873"/>
      <c r="AH381" s="873"/>
      <c r="AI381" s="873"/>
      <c r="AJ381" s="873"/>
      <c r="AK381" s="873"/>
      <c r="AL381" s="873"/>
      <c r="AM381" s="873"/>
      <c r="AN381" s="873"/>
      <c r="AO381" s="873"/>
      <c r="AP381" s="873"/>
      <c r="AQ381" s="873"/>
      <c r="AR381" s="873"/>
      <c r="AS381" s="873"/>
    </row>
    <row r="382" spans="1:45" ht="12.75" x14ac:dyDescent="0.2">
      <c r="A382" s="873"/>
      <c r="B382" s="873"/>
      <c r="C382" s="873"/>
      <c r="D382" s="873"/>
      <c r="E382" s="873"/>
      <c r="F382" s="873"/>
      <c r="G382" s="873"/>
      <c r="H382" s="873"/>
      <c r="I382" s="873"/>
      <c r="J382" s="873"/>
      <c r="K382" s="873"/>
      <c r="L382" s="873"/>
      <c r="M382" s="873"/>
      <c r="N382" s="873"/>
      <c r="O382" s="873"/>
      <c r="P382" s="873"/>
      <c r="Q382" s="873"/>
      <c r="R382" s="873"/>
      <c r="S382" s="873"/>
      <c r="T382" s="873"/>
      <c r="U382" s="873"/>
      <c r="V382" s="873"/>
      <c r="W382" s="873"/>
      <c r="X382" s="873"/>
      <c r="Y382" s="873"/>
      <c r="Z382" s="873"/>
      <c r="AA382" s="873"/>
      <c r="AB382" s="873"/>
      <c r="AC382" s="873"/>
      <c r="AD382" s="873"/>
      <c r="AE382" s="873"/>
      <c r="AF382" s="873"/>
      <c r="AG382" s="873"/>
      <c r="AH382" s="873"/>
      <c r="AI382" s="873"/>
      <c r="AJ382" s="873"/>
      <c r="AK382" s="873"/>
      <c r="AL382" s="873"/>
      <c r="AM382" s="873"/>
      <c r="AN382" s="873"/>
      <c r="AO382" s="873"/>
      <c r="AP382" s="873"/>
      <c r="AQ382" s="873"/>
      <c r="AR382" s="873"/>
      <c r="AS382" s="873"/>
    </row>
    <row r="383" spans="1:45" ht="12.75" x14ac:dyDescent="0.2">
      <c r="A383" s="873"/>
      <c r="B383" s="873"/>
      <c r="C383" s="873"/>
      <c r="D383" s="873"/>
      <c r="E383" s="873"/>
      <c r="F383" s="873"/>
      <c r="G383" s="873"/>
      <c r="H383" s="873"/>
      <c r="I383" s="873"/>
      <c r="J383" s="873"/>
      <c r="K383" s="873"/>
      <c r="L383" s="873"/>
      <c r="M383" s="873"/>
      <c r="N383" s="873"/>
      <c r="O383" s="873"/>
      <c r="P383" s="873"/>
      <c r="Q383" s="873"/>
      <c r="R383" s="873"/>
      <c r="S383" s="873"/>
      <c r="T383" s="873"/>
      <c r="U383" s="873"/>
      <c r="V383" s="873"/>
      <c r="W383" s="873"/>
      <c r="X383" s="873"/>
      <c r="Y383" s="873"/>
      <c r="Z383" s="873"/>
      <c r="AA383" s="873"/>
      <c r="AB383" s="873"/>
      <c r="AC383" s="873"/>
      <c r="AD383" s="873"/>
      <c r="AE383" s="873"/>
      <c r="AF383" s="873"/>
      <c r="AG383" s="873"/>
      <c r="AH383" s="873"/>
      <c r="AI383" s="873"/>
      <c r="AJ383" s="873"/>
      <c r="AK383" s="873"/>
      <c r="AL383" s="873"/>
      <c r="AM383" s="873"/>
      <c r="AN383" s="873"/>
      <c r="AO383" s="873"/>
      <c r="AP383" s="873"/>
      <c r="AQ383" s="873"/>
      <c r="AR383" s="873"/>
      <c r="AS383" s="873"/>
    </row>
    <row r="384" spans="1:45" ht="12.75" x14ac:dyDescent="0.2">
      <c r="A384" s="873"/>
      <c r="B384" s="873"/>
      <c r="C384" s="873"/>
      <c r="D384" s="873"/>
      <c r="E384" s="873"/>
      <c r="F384" s="873"/>
      <c r="G384" s="873"/>
      <c r="H384" s="873"/>
      <c r="I384" s="873"/>
      <c r="J384" s="873"/>
      <c r="K384" s="873"/>
      <c r="L384" s="873"/>
      <c r="M384" s="873"/>
      <c r="N384" s="873"/>
      <c r="O384" s="873"/>
      <c r="P384" s="873"/>
      <c r="Q384" s="873"/>
      <c r="R384" s="873"/>
      <c r="S384" s="873"/>
      <c r="T384" s="873"/>
      <c r="U384" s="873"/>
      <c r="V384" s="873"/>
      <c r="W384" s="873"/>
      <c r="X384" s="873"/>
      <c r="Y384" s="873"/>
      <c r="Z384" s="873"/>
      <c r="AA384" s="873"/>
      <c r="AB384" s="873"/>
      <c r="AC384" s="873"/>
      <c r="AD384" s="873"/>
      <c r="AE384" s="873"/>
      <c r="AF384" s="873"/>
      <c r="AG384" s="873"/>
      <c r="AH384" s="873"/>
      <c r="AI384" s="873"/>
      <c r="AJ384" s="873"/>
      <c r="AK384" s="873"/>
      <c r="AL384" s="873"/>
      <c r="AM384" s="873"/>
      <c r="AN384" s="873"/>
      <c r="AO384" s="873"/>
      <c r="AP384" s="873"/>
      <c r="AQ384" s="873"/>
      <c r="AR384" s="873"/>
      <c r="AS384" s="873"/>
    </row>
    <row r="385" spans="1:45" ht="12.75" x14ac:dyDescent="0.2">
      <c r="A385" s="873"/>
      <c r="B385" s="873"/>
      <c r="C385" s="873"/>
      <c r="D385" s="873"/>
      <c r="E385" s="873"/>
      <c r="F385" s="873"/>
      <c r="G385" s="873"/>
      <c r="H385" s="873"/>
      <c r="I385" s="873"/>
      <c r="J385" s="873"/>
      <c r="K385" s="873"/>
      <c r="L385" s="873"/>
      <c r="M385" s="873"/>
      <c r="N385" s="873"/>
      <c r="O385" s="873"/>
      <c r="P385" s="873"/>
      <c r="Q385" s="873"/>
      <c r="R385" s="873"/>
      <c r="S385" s="873"/>
      <c r="T385" s="873"/>
      <c r="U385" s="873"/>
      <c r="V385" s="873"/>
      <c r="W385" s="873"/>
      <c r="X385" s="873"/>
      <c r="Y385" s="873"/>
      <c r="Z385" s="873"/>
      <c r="AA385" s="873"/>
      <c r="AB385" s="873"/>
      <c r="AC385" s="873"/>
      <c r="AD385" s="873"/>
      <c r="AE385" s="873"/>
      <c r="AF385" s="873"/>
      <c r="AG385" s="873"/>
      <c r="AH385" s="873"/>
      <c r="AI385" s="873"/>
      <c r="AJ385" s="873"/>
      <c r="AK385" s="873"/>
      <c r="AL385" s="873"/>
      <c r="AM385" s="873"/>
      <c r="AN385" s="873"/>
      <c r="AO385" s="873"/>
      <c r="AP385" s="873"/>
      <c r="AQ385" s="873"/>
      <c r="AR385" s="873"/>
      <c r="AS385" s="873"/>
    </row>
    <row r="386" spans="1:45" ht="12.75" x14ac:dyDescent="0.2">
      <c r="A386" s="873"/>
      <c r="B386" s="873"/>
      <c r="C386" s="873"/>
      <c r="D386" s="873"/>
      <c r="E386" s="873"/>
      <c r="F386" s="873"/>
      <c r="G386" s="873"/>
      <c r="H386" s="873"/>
      <c r="I386" s="873"/>
      <c r="J386" s="873"/>
      <c r="K386" s="873"/>
      <c r="L386" s="873"/>
      <c r="M386" s="873"/>
      <c r="N386" s="873"/>
      <c r="O386" s="873"/>
      <c r="P386" s="873"/>
      <c r="Q386" s="873"/>
      <c r="R386" s="873"/>
      <c r="S386" s="873"/>
      <c r="T386" s="873"/>
      <c r="U386" s="873"/>
      <c r="V386" s="873"/>
      <c r="W386" s="873"/>
      <c r="X386" s="873"/>
      <c r="Y386" s="873"/>
      <c r="Z386" s="873"/>
      <c r="AA386" s="873"/>
      <c r="AB386" s="873"/>
      <c r="AC386" s="873"/>
      <c r="AD386" s="873"/>
      <c r="AE386" s="873"/>
      <c r="AF386" s="873"/>
      <c r="AG386" s="873"/>
      <c r="AH386" s="873"/>
      <c r="AI386" s="873"/>
      <c r="AJ386" s="873"/>
      <c r="AK386" s="873"/>
      <c r="AL386" s="873"/>
      <c r="AM386" s="873"/>
      <c r="AN386" s="873"/>
      <c r="AO386" s="873"/>
      <c r="AP386" s="873"/>
      <c r="AQ386" s="873"/>
      <c r="AR386" s="873"/>
      <c r="AS386" s="873"/>
    </row>
    <row r="387" spans="1:45" ht="12.75" x14ac:dyDescent="0.2">
      <c r="A387" s="873"/>
      <c r="B387" s="873"/>
      <c r="C387" s="873"/>
      <c r="D387" s="873"/>
      <c r="E387" s="873"/>
      <c r="F387" s="873"/>
      <c r="G387" s="873"/>
      <c r="H387" s="873"/>
      <c r="I387" s="873"/>
      <c r="J387" s="873"/>
      <c r="K387" s="873"/>
      <c r="L387" s="873"/>
      <c r="M387" s="873"/>
      <c r="N387" s="873"/>
      <c r="O387" s="873"/>
      <c r="P387" s="873"/>
      <c r="Q387" s="873"/>
      <c r="R387" s="873"/>
      <c r="S387" s="873"/>
      <c r="T387" s="873"/>
      <c r="U387" s="873"/>
      <c r="V387" s="873"/>
      <c r="W387" s="873"/>
      <c r="X387" s="873"/>
      <c r="Y387" s="873"/>
      <c r="Z387" s="873"/>
      <c r="AA387" s="873"/>
      <c r="AB387" s="873"/>
      <c r="AC387" s="873"/>
      <c r="AD387" s="873"/>
      <c r="AE387" s="873"/>
      <c r="AF387" s="873"/>
      <c r="AG387" s="873"/>
      <c r="AH387" s="873"/>
      <c r="AI387" s="873"/>
      <c r="AJ387" s="873"/>
      <c r="AK387" s="873"/>
      <c r="AL387" s="873"/>
      <c r="AM387" s="873"/>
      <c r="AN387" s="873"/>
      <c r="AO387" s="873"/>
      <c r="AP387" s="873"/>
      <c r="AQ387" s="873"/>
      <c r="AR387" s="873"/>
      <c r="AS387" s="873"/>
    </row>
    <row r="388" spans="1:45" ht="12.75" x14ac:dyDescent="0.2">
      <c r="A388" s="873"/>
      <c r="B388" s="873"/>
      <c r="C388" s="873"/>
      <c r="D388" s="873"/>
      <c r="E388" s="873"/>
      <c r="F388" s="873"/>
      <c r="G388" s="873"/>
      <c r="H388" s="873"/>
      <c r="I388" s="873"/>
      <c r="J388" s="873"/>
      <c r="K388" s="873"/>
      <c r="L388" s="873"/>
      <c r="M388" s="873"/>
      <c r="N388" s="873"/>
      <c r="O388" s="873"/>
      <c r="P388" s="873"/>
      <c r="Q388" s="873"/>
      <c r="R388" s="873"/>
      <c r="S388" s="873"/>
      <c r="T388" s="873"/>
      <c r="U388" s="873"/>
      <c r="V388" s="873"/>
      <c r="W388" s="873"/>
      <c r="X388" s="873"/>
      <c r="Y388" s="873"/>
      <c r="Z388" s="873"/>
      <c r="AA388" s="873"/>
      <c r="AB388" s="873"/>
      <c r="AC388" s="873"/>
      <c r="AD388" s="873"/>
      <c r="AE388" s="873"/>
      <c r="AF388" s="873"/>
      <c r="AG388" s="873"/>
      <c r="AH388" s="873"/>
      <c r="AI388" s="873"/>
      <c r="AJ388" s="873"/>
      <c r="AK388" s="873"/>
      <c r="AL388" s="873"/>
      <c r="AM388" s="873"/>
      <c r="AN388" s="873"/>
      <c r="AO388" s="873"/>
      <c r="AP388" s="873"/>
      <c r="AQ388" s="873"/>
      <c r="AR388" s="873"/>
      <c r="AS388" s="873"/>
    </row>
    <row r="389" spans="1:45" ht="12.75" x14ac:dyDescent="0.2">
      <c r="A389" s="873"/>
      <c r="B389" s="873"/>
      <c r="C389" s="873"/>
      <c r="D389" s="873"/>
      <c r="E389" s="873"/>
      <c r="F389" s="873"/>
      <c r="G389" s="873"/>
      <c r="H389" s="873"/>
      <c r="I389" s="873"/>
      <c r="J389" s="873"/>
      <c r="K389" s="873"/>
      <c r="L389" s="873"/>
      <c r="M389" s="873"/>
      <c r="N389" s="873"/>
      <c r="O389" s="873"/>
      <c r="P389" s="873"/>
      <c r="Q389" s="873"/>
      <c r="R389" s="873"/>
      <c r="S389" s="873"/>
      <c r="T389" s="873"/>
      <c r="U389" s="873"/>
      <c r="V389" s="873"/>
      <c r="W389" s="873"/>
      <c r="X389" s="873"/>
      <c r="Y389" s="873"/>
      <c r="Z389" s="873"/>
      <c r="AA389" s="873"/>
      <c r="AB389" s="873"/>
      <c r="AC389" s="873"/>
      <c r="AD389" s="873"/>
      <c r="AE389" s="873"/>
      <c r="AF389" s="873"/>
      <c r="AG389" s="873"/>
      <c r="AH389" s="873"/>
      <c r="AI389" s="873"/>
      <c r="AJ389" s="873"/>
      <c r="AK389" s="873"/>
      <c r="AL389" s="873"/>
      <c r="AM389" s="873"/>
      <c r="AN389" s="873"/>
      <c r="AO389" s="873"/>
      <c r="AP389" s="873"/>
      <c r="AQ389" s="873"/>
      <c r="AR389" s="873"/>
      <c r="AS389" s="873"/>
    </row>
    <row r="390" spans="1:45" ht="12.75" x14ac:dyDescent="0.2">
      <c r="A390" s="873"/>
      <c r="B390" s="873"/>
      <c r="C390" s="873"/>
      <c r="D390" s="873"/>
      <c r="E390" s="873"/>
      <c r="F390" s="873"/>
      <c r="G390" s="873"/>
      <c r="H390" s="873"/>
      <c r="I390" s="873"/>
      <c r="J390" s="873"/>
      <c r="K390" s="873"/>
      <c r="L390" s="873"/>
      <c r="M390" s="873"/>
      <c r="N390" s="873"/>
      <c r="O390" s="873"/>
      <c r="P390" s="873"/>
      <c r="Q390" s="873"/>
      <c r="R390" s="873"/>
      <c r="S390" s="873"/>
      <c r="T390" s="873"/>
      <c r="U390" s="873"/>
      <c r="V390" s="873"/>
      <c r="W390" s="873"/>
      <c r="X390" s="873"/>
      <c r="Y390" s="873"/>
      <c r="Z390" s="873"/>
      <c r="AA390" s="873"/>
      <c r="AB390" s="873"/>
      <c r="AC390" s="873"/>
      <c r="AD390" s="873"/>
      <c r="AE390" s="873"/>
      <c r="AF390" s="873"/>
      <c r="AG390" s="873"/>
      <c r="AH390" s="873"/>
      <c r="AI390" s="873"/>
      <c r="AJ390" s="873"/>
      <c r="AK390" s="873"/>
      <c r="AL390" s="873"/>
      <c r="AM390" s="873"/>
      <c r="AN390" s="873"/>
      <c r="AO390" s="873"/>
      <c r="AP390" s="873"/>
      <c r="AQ390" s="873"/>
      <c r="AR390" s="873"/>
      <c r="AS390" s="873"/>
    </row>
    <row r="391" spans="1:45" ht="12.75" x14ac:dyDescent="0.2">
      <c r="A391" s="873"/>
      <c r="B391" s="873"/>
      <c r="C391" s="873"/>
      <c r="D391" s="873"/>
      <c r="E391" s="873"/>
      <c r="F391" s="873"/>
      <c r="G391" s="873"/>
      <c r="H391" s="873"/>
      <c r="I391" s="873"/>
      <c r="J391" s="873"/>
      <c r="K391" s="873"/>
      <c r="L391" s="873"/>
      <c r="M391" s="873"/>
      <c r="N391" s="873"/>
      <c r="O391" s="873"/>
      <c r="P391" s="873"/>
      <c r="Q391" s="873"/>
      <c r="R391" s="873"/>
      <c r="S391" s="873"/>
      <c r="T391" s="873"/>
      <c r="U391" s="873"/>
      <c r="V391" s="873"/>
      <c r="W391" s="873"/>
      <c r="X391" s="873"/>
      <c r="Y391" s="873"/>
      <c r="Z391" s="873"/>
      <c r="AA391" s="873"/>
      <c r="AB391" s="873"/>
      <c r="AC391" s="873"/>
      <c r="AD391" s="873"/>
      <c r="AE391" s="873"/>
      <c r="AF391" s="873"/>
      <c r="AG391" s="873"/>
      <c r="AH391" s="873"/>
      <c r="AI391" s="873"/>
      <c r="AJ391" s="873"/>
      <c r="AK391" s="873"/>
      <c r="AL391" s="873"/>
      <c r="AM391" s="873"/>
      <c r="AN391" s="873"/>
      <c r="AO391" s="873"/>
      <c r="AP391" s="873"/>
      <c r="AQ391" s="873"/>
      <c r="AR391" s="873"/>
      <c r="AS391" s="873"/>
    </row>
    <row r="392" spans="1:45" ht="12.75" x14ac:dyDescent="0.2">
      <c r="A392" s="873"/>
      <c r="B392" s="873"/>
      <c r="C392" s="873"/>
      <c r="D392" s="873"/>
      <c r="E392" s="873"/>
      <c r="F392" s="873"/>
      <c r="G392" s="873"/>
      <c r="H392" s="873"/>
      <c r="I392" s="873"/>
      <c r="J392" s="873"/>
      <c r="K392" s="873"/>
      <c r="L392" s="873"/>
      <c r="M392" s="873"/>
      <c r="N392" s="873"/>
      <c r="O392" s="873"/>
      <c r="P392" s="873"/>
      <c r="Q392" s="873"/>
      <c r="R392" s="873"/>
      <c r="S392" s="873"/>
      <c r="T392" s="873"/>
      <c r="U392" s="873"/>
      <c r="V392" s="873"/>
      <c r="W392" s="873"/>
      <c r="X392" s="873"/>
      <c r="Y392" s="873"/>
      <c r="Z392" s="873"/>
      <c r="AA392" s="873"/>
      <c r="AB392" s="873"/>
      <c r="AC392" s="873"/>
      <c r="AD392" s="873"/>
      <c r="AE392" s="873"/>
      <c r="AF392" s="873"/>
      <c r="AG392" s="873"/>
      <c r="AH392" s="873"/>
      <c r="AI392" s="873"/>
      <c r="AJ392" s="873"/>
      <c r="AK392" s="873"/>
      <c r="AL392" s="873"/>
      <c r="AM392" s="873"/>
      <c r="AN392" s="873"/>
      <c r="AO392" s="873"/>
      <c r="AP392" s="873"/>
      <c r="AQ392" s="873"/>
      <c r="AR392" s="873"/>
      <c r="AS392" s="873"/>
    </row>
    <row r="393" spans="1:45" ht="12.75" x14ac:dyDescent="0.2">
      <c r="A393" s="873"/>
      <c r="B393" s="873"/>
      <c r="C393" s="873"/>
      <c r="D393" s="873"/>
      <c r="E393" s="873"/>
      <c r="F393" s="873"/>
      <c r="G393" s="873"/>
      <c r="H393" s="873"/>
      <c r="I393" s="873"/>
      <c r="J393" s="873"/>
      <c r="K393" s="873"/>
      <c r="L393" s="873"/>
      <c r="M393" s="873"/>
      <c r="N393" s="873"/>
      <c r="O393" s="873"/>
      <c r="P393" s="873"/>
      <c r="Q393" s="873"/>
      <c r="R393" s="873"/>
      <c r="S393" s="873"/>
      <c r="T393" s="873"/>
      <c r="U393" s="873"/>
      <c r="V393" s="873"/>
      <c r="W393" s="873"/>
      <c r="X393" s="873"/>
      <c r="Y393" s="873"/>
      <c r="Z393" s="873"/>
      <c r="AA393" s="873"/>
      <c r="AB393" s="873"/>
      <c r="AC393" s="873"/>
      <c r="AD393" s="873"/>
      <c r="AE393" s="873"/>
      <c r="AF393" s="873"/>
      <c r="AG393" s="873"/>
      <c r="AH393" s="873"/>
      <c r="AI393" s="873"/>
      <c r="AJ393" s="873"/>
      <c r="AK393" s="873"/>
      <c r="AL393" s="873"/>
      <c r="AM393" s="873"/>
      <c r="AN393" s="873"/>
      <c r="AO393" s="873"/>
      <c r="AP393" s="873"/>
      <c r="AQ393" s="873"/>
      <c r="AR393" s="873"/>
      <c r="AS393" s="873"/>
    </row>
    <row r="394" spans="1:45" ht="12.75" x14ac:dyDescent="0.2">
      <c r="A394" s="873"/>
      <c r="B394" s="873"/>
      <c r="C394" s="873"/>
      <c r="D394" s="873"/>
      <c r="E394" s="873"/>
      <c r="F394" s="873"/>
      <c r="G394" s="873"/>
      <c r="H394" s="873"/>
      <c r="I394" s="873"/>
      <c r="J394" s="873"/>
      <c r="K394" s="873"/>
      <c r="L394" s="873"/>
      <c r="M394" s="873"/>
      <c r="N394" s="873"/>
      <c r="O394" s="873"/>
      <c r="P394" s="873"/>
      <c r="Q394" s="873"/>
      <c r="R394" s="873"/>
      <c r="S394" s="873"/>
      <c r="T394" s="873"/>
      <c r="U394" s="873"/>
      <c r="V394" s="873"/>
      <c r="W394" s="873"/>
      <c r="X394" s="873"/>
      <c r="Y394" s="873"/>
      <c r="Z394" s="873"/>
      <c r="AA394" s="873"/>
      <c r="AB394" s="873"/>
      <c r="AC394" s="873"/>
      <c r="AD394" s="873"/>
      <c r="AE394" s="873"/>
      <c r="AF394" s="873"/>
      <c r="AG394" s="873"/>
      <c r="AH394" s="873"/>
      <c r="AI394" s="873"/>
      <c r="AJ394" s="873"/>
      <c r="AK394" s="873"/>
      <c r="AL394" s="873"/>
      <c r="AM394" s="873"/>
      <c r="AN394" s="873"/>
      <c r="AO394" s="873"/>
      <c r="AP394" s="873"/>
      <c r="AQ394" s="873"/>
      <c r="AR394" s="873"/>
      <c r="AS394" s="873"/>
    </row>
    <row r="395" spans="1:45" ht="12.75" x14ac:dyDescent="0.2">
      <c r="A395" s="873"/>
      <c r="B395" s="873"/>
      <c r="C395" s="873"/>
      <c r="D395" s="873"/>
      <c r="E395" s="873"/>
      <c r="F395" s="873"/>
      <c r="G395" s="873"/>
      <c r="H395" s="873"/>
      <c r="I395" s="873"/>
      <c r="J395" s="873"/>
      <c r="K395" s="873"/>
      <c r="L395" s="873"/>
      <c r="M395" s="873"/>
      <c r="N395" s="873"/>
      <c r="O395" s="873"/>
      <c r="P395" s="873"/>
      <c r="Q395" s="873"/>
      <c r="R395" s="873"/>
      <c r="S395" s="873"/>
      <c r="T395" s="873"/>
      <c r="U395" s="873"/>
      <c r="V395" s="873"/>
      <c r="W395" s="873"/>
      <c r="X395" s="873"/>
      <c r="Y395" s="873"/>
      <c r="Z395" s="873"/>
      <c r="AA395" s="873"/>
      <c r="AB395" s="873"/>
      <c r="AC395" s="873"/>
      <c r="AD395" s="873"/>
      <c r="AE395" s="873"/>
      <c r="AF395" s="873"/>
      <c r="AG395" s="873"/>
      <c r="AH395" s="873"/>
      <c r="AI395" s="873"/>
      <c r="AJ395" s="873"/>
      <c r="AK395" s="873"/>
      <c r="AL395" s="873"/>
      <c r="AM395" s="873"/>
      <c r="AN395" s="873"/>
      <c r="AO395" s="873"/>
      <c r="AP395" s="873"/>
      <c r="AQ395" s="873"/>
      <c r="AR395" s="873"/>
      <c r="AS395" s="873"/>
    </row>
    <row r="396" spans="1:45" ht="12.75" x14ac:dyDescent="0.2">
      <c r="A396" s="873"/>
      <c r="B396" s="873"/>
      <c r="C396" s="873"/>
      <c r="D396" s="873"/>
      <c r="E396" s="873"/>
      <c r="F396" s="873"/>
      <c r="G396" s="873"/>
      <c r="H396" s="873"/>
      <c r="I396" s="873"/>
      <c r="J396" s="873"/>
      <c r="K396" s="873"/>
      <c r="L396" s="873"/>
      <c r="M396" s="873"/>
      <c r="N396" s="873"/>
      <c r="O396" s="873"/>
      <c r="P396" s="873"/>
      <c r="Q396" s="873"/>
      <c r="R396" s="873"/>
      <c r="S396" s="873"/>
      <c r="T396" s="873"/>
      <c r="U396" s="873"/>
      <c r="V396" s="873"/>
      <c r="W396" s="873"/>
      <c r="X396" s="873"/>
      <c r="Y396" s="873"/>
      <c r="Z396" s="873"/>
      <c r="AA396" s="873"/>
      <c r="AB396" s="873"/>
      <c r="AC396" s="873"/>
      <c r="AD396" s="873"/>
      <c r="AE396" s="873"/>
      <c r="AF396" s="873"/>
      <c r="AG396" s="873"/>
      <c r="AH396" s="873"/>
      <c r="AI396" s="873"/>
      <c r="AJ396" s="873"/>
      <c r="AK396" s="873"/>
      <c r="AL396" s="873"/>
      <c r="AM396" s="873"/>
      <c r="AN396" s="873"/>
      <c r="AO396" s="873"/>
      <c r="AP396" s="873"/>
      <c r="AQ396" s="873"/>
      <c r="AR396" s="873"/>
      <c r="AS396" s="873"/>
    </row>
    <row r="397" spans="1:45" ht="12.75" x14ac:dyDescent="0.2">
      <c r="A397" s="873"/>
      <c r="B397" s="873"/>
      <c r="C397" s="873"/>
      <c r="D397" s="873"/>
      <c r="E397" s="873"/>
      <c r="F397" s="873"/>
      <c r="G397" s="873"/>
      <c r="H397" s="873"/>
      <c r="I397" s="873"/>
      <c r="J397" s="873"/>
      <c r="K397" s="873"/>
      <c r="L397" s="873"/>
      <c r="M397" s="873"/>
      <c r="N397" s="873"/>
      <c r="O397" s="873"/>
      <c r="P397" s="873"/>
      <c r="Q397" s="873"/>
      <c r="R397" s="873"/>
      <c r="S397" s="873"/>
      <c r="T397" s="873"/>
      <c r="U397" s="873"/>
      <c r="V397" s="873"/>
      <c r="W397" s="873"/>
      <c r="X397" s="873"/>
      <c r="Y397" s="873"/>
      <c r="Z397" s="873"/>
      <c r="AA397" s="873"/>
      <c r="AB397" s="873"/>
      <c r="AC397" s="873"/>
      <c r="AD397" s="873"/>
      <c r="AE397" s="873"/>
      <c r="AF397" s="873"/>
      <c r="AG397" s="873"/>
      <c r="AH397" s="873"/>
      <c r="AI397" s="873"/>
      <c r="AJ397" s="873"/>
      <c r="AK397" s="873"/>
      <c r="AL397" s="873"/>
      <c r="AM397" s="873"/>
      <c r="AN397" s="873"/>
      <c r="AO397" s="873"/>
      <c r="AP397" s="873"/>
      <c r="AQ397" s="873"/>
      <c r="AR397" s="873"/>
      <c r="AS397" s="873"/>
    </row>
    <row r="398" spans="1:45" ht="12.75" x14ac:dyDescent="0.2">
      <c r="A398" s="873"/>
      <c r="B398" s="873"/>
      <c r="C398" s="873"/>
      <c r="D398" s="873"/>
      <c r="E398" s="873"/>
      <c r="F398" s="873"/>
      <c r="G398" s="873"/>
      <c r="H398" s="873"/>
      <c r="I398" s="873"/>
      <c r="J398" s="873"/>
      <c r="K398" s="873"/>
      <c r="L398" s="873"/>
      <c r="M398" s="873"/>
      <c r="N398" s="873"/>
      <c r="O398" s="873"/>
      <c r="P398" s="873"/>
      <c r="Q398" s="873"/>
      <c r="R398" s="873"/>
      <c r="S398" s="873"/>
      <c r="T398" s="873"/>
      <c r="U398" s="873"/>
      <c r="V398" s="873"/>
      <c r="W398" s="873"/>
      <c r="X398" s="873"/>
      <c r="Y398" s="873"/>
      <c r="Z398" s="873"/>
      <c r="AA398" s="873"/>
      <c r="AB398" s="873"/>
      <c r="AC398" s="873"/>
      <c r="AD398" s="873"/>
      <c r="AE398" s="873"/>
      <c r="AF398" s="873"/>
      <c r="AG398" s="873"/>
      <c r="AH398" s="873"/>
      <c r="AI398" s="873"/>
      <c r="AJ398" s="873"/>
      <c r="AK398" s="873"/>
      <c r="AL398" s="873"/>
      <c r="AM398" s="873"/>
      <c r="AN398" s="873"/>
      <c r="AO398" s="873"/>
      <c r="AP398" s="873"/>
      <c r="AQ398" s="873"/>
      <c r="AR398" s="873"/>
      <c r="AS398" s="873"/>
    </row>
    <row r="399" spans="1:45" ht="12.75" x14ac:dyDescent="0.2">
      <c r="A399" s="873"/>
      <c r="B399" s="873"/>
      <c r="C399" s="873"/>
      <c r="D399" s="873"/>
      <c r="E399" s="873"/>
      <c r="F399" s="873"/>
      <c r="G399" s="873"/>
      <c r="H399" s="873"/>
      <c r="I399" s="873"/>
      <c r="J399" s="873"/>
      <c r="K399" s="873"/>
      <c r="L399" s="873"/>
      <c r="M399" s="873"/>
      <c r="N399" s="873"/>
      <c r="O399" s="873"/>
      <c r="P399" s="873"/>
      <c r="Q399" s="873"/>
      <c r="R399" s="873"/>
      <c r="S399" s="873"/>
      <c r="T399" s="873"/>
      <c r="U399" s="873"/>
      <c r="V399" s="873"/>
      <c r="W399" s="873"/>
      <c r="X399" s="873"/>
      <c r="Y399" s="873"/>
      <c r="Z399" s="873"/>
      <c r="AA399" s="873"/>
      <c r="AB399" s="873"/>
      <c r="AC399" s="873"/>
      <c r="AD399" s="873"/>
      <c r="AE399" s="873"/>
      <c r="AF399" s="873"/>
      <c r="AG399" s="873"/>
      <c r="AH399" s="873"/>
      <c r="AI399" s="873"/>
      <c r="AJ399" s="873"/>
      <c r="AK399" s="873"/>
      <c r="AL399" s="873"/>
      <c r="AM399" s="873"/>
      <c r="AN399" s="873"/>
      <c r="AO399" s="873"/>
      <c r="AP399" s="873"/>
      <c r="AQ399" s="873"/>
      <c r="AR399" s="873"/>
      <c r="AS399" s="873"/>
    </row>
    <row r="400" spans="1:45" ht="12.75" x14ac:dyDescent="0.2">
      <c r="A400" s="873"/>
      <c r="B400" s="873"/>
      <c r="C400" s="873"/>
      <c r="D400" s="873"/>
      <c r="E400" s="873"/>
      <c r="F400" s="873"/>
      <c r="G400" s="873"/>
      <c r="H400" s="873"/>
      <c r="I400" s="873"/>
      <c r="J400" s="873"/>
      <c r="K400" s="873"/>
      <c r="L400" s="873"/>
      <c r="M400" s="873"/>
      <c r="N400" s="873"/>
      <c r="O400" s="873"/>
      <c r="P400" s="873"/>
      <c r="Q400" s="873"/>
      <c r="R400" s="873"/>
      <c r="S400" s="873"/>
      <c r="T400" s="873"/>
      <c r="U400" s="873"/>
      <c r="V400" s="873"/>
      <c r="W400" s="873"/>
      <c r="X400" s="873"/>
      <c r="Y400" s="873"/>
      <c r="Z400" s="873"/>
      <c r="AA400" s="873"/>
      <c r="AB400" s="873"/>
      <c r="AC400" s="873"/>
      <c r="AD400" s="873"/>
      <c r="AE400" s="873"/>
      <c r="AF400" s="873"/>
      <c r="AG400" s="873"/>
      <c r="AH400" s="873"/>
      <c r="AI400" s="873"/>
      <c r="AJ400" s="873"/>
      <c r="AK400" s="873"/>
      <c r="AL400" s="873"/>
      <c r="AM400" s="873"/>
      <c r="AN400" s="873"/>
      <c r="AO400" s="873"/>
      <c r="AP400" s="873"/>
      <c r="AQ400" s="873"/>
      <c r="AR400" s="873"/>
      <c r="AS400" s="873"/>
    </row>
    <row r="401" spans="1:45" ht="12.75" x14ac:dyDescent="0.2">
      <c r="A401" s="873"/>
      <c r="B401" s="873"/>
      <c r="C401" s="873"/>
      <c r="D401" s="873"/>
      <c r="E401" s="873"/>
      <c r="F401" s="873"/>
      <c r="G401" s="873"/>
      <c r="H401" s="873"/>
      <c r="I401" s="873"/>
      <c r="J401" s="873"/>
      <c r="K401" s="873"/>
      <c r="L401" s="873"/>
      <c r="M401" s="873"/>
      <c r="N401" s="873"/>
      <c r="O401" s="873"/>
      <c r="P401" s="873"/>
      <c r="Q401" s="873"/>
      <c r="R401" s="873"/>
      <c r="S401" s="873"/>
      <c r="T401" s="873"/>
      <c r="U401" s="873"/>
      <c r="V401" s="873"/>
      <c r="W401" s="873"/>
      <c r="X401" s="873"/>
      <c r="Y401" s="873"/>
      <c r="Z401" s="873"/>
      <c r="AA401" s="873"/>
      <c r="AB401" s="873"/>
      <c r="AC401" s="873"/>
      <c r="AD401" s="873"/>
      <c r="AE401" s="873"/>
      <c r="AF401" s="873"/>
      <c r="AG401" s="873"/>
      <c r="AH401" s="873"/>
      <c r="AI401" s="873"/>
      <c r="AJ401" s="873"/>
      <c r="AK401" s="873"/>
      <c r="AL401" s="873"/>
      <c r="AM401" s="873"/>
      <c r="AN401" s="873"/>
      <c r="AO401" s="873"/>
      <c r="AP401" s="873"/>
      <c r="AQ401" s="873"/>
      <c r="AR401" s="873"/>
      <c r="AS401" s="873"/>
    </row>
    <row r="402" spans="1:45" ht="12.75" x14ac:dyDescent="0.2">
      <c r="A402" s="873"/>
      <c r="B402" s="873"/>
      <c r="C402" s="873"/>
      <c r="D402" s="873"/>
      <c r="E402" s="873"/>
      <c r="F402" s="873"/>
      <c r="G402" s="873"/>
      <c r="H402" s="873"/>
      <c r="I402" s="873"/>
      <c r="J402" s="873"/>
      <c r="K402" s="873"/>
      <c r="L402" s="873"/>
      <c r="M402" s="873"/>
      <c r="N402" s="873"/>
      <c r="O402" s="873"/>
      <c r="P402" s="873"/>
      <c r="Q402" s="873"/>
      <c r="R402" s="873"/>
      <c r="S402" s="873"/>
      <c r="T402" s="873"/>
      <c r="U402" s="873"/>
      <c r="V402" s="873"/>
      <c r="W402" s="873"/>
      <c r="X402" s="873"/>
      <c r="Y402" s="873"/>
      <c r="Z402" s="873"/>
      <c r="AA402" s="873"/>
      <c r="AB402" s="873"/>
      <c r="AC402" s="873"/>
      <c r="AD402" s="873"/>
      <c r="AE402" s="873"/>
      <c r="AF402" s="873"/>
      <c r="AG402" s="873"/>
      <c r="AH402" s="873"/>
      <c r="AI402" s="873"/>
      <c r="AJ402" s="873"/>
      <c r="AK402" s="873"/>
      <c r="AL402" s="873"/>
      <c r="AM402" s="873"/>
      <c r="AN402" s="873"/>
      <c r="AO402" s="873"/>
      <c r="AP402" s="873"/>
      <c r="AQ402" s="873"/>
      <c r="AR402" s="873"/>
      <c r="AS402" s="873"/>
    </row>
    <row r="403" spans="1:45" ht="12.75" x14ac:dyDescent="0.2">
      <c r="A403" s="873"/>
      <c r="B403" s="873"/>
      <c r="C403" s="873"/>
      <c r="D403" s="873"/>
      <c r="E403" s="873"/>
      <c r="F403" s="873"/>
      <c r="G403" s="873"/>
      <c r="H403" s="873"/>
      <c r="I403" s="873"/>
      <c r="J403" s="873"/>
      <c r="K403" s="873"/>
      <c r="L403" s="873"/>
      <c r="M403" s="873"/>
      <c r="N403" s="873"/>
      <c r="O403" s="873"/>
      <c r="P403" s="873"/>
      <c r="Q403" s="873"/>
      <c r="R403" s="873"/>
      <c r="S403" s="873"/>
      <c r="T403" s="873"/>
      <c r="U403" s="873"/>
      <c r="V403" s="873"/>
      <c r="W403" s="873"/>
      <c r="X403" s="873"/>
      <c r="Y403" s="873"/>
      <c r="Z403" s="873"/>
      <c r="AA403" s="873"/>
      <c r="AB403" s="873"/>
      <c r="AC403" s="873"/>
      <c r="AD403" s="873"/>
      <c r="AE403" s="873"/>
      <c r="AF403" s="873"/>
      <c r="AG403" s="873"/>
      <c r="AH403" s="873"/>
      <c r="AI403" s="873"/>
      <c r="AJ403" s="873"/>
      <c r="AK403" s="873"/>
      <c r="AL403" s="873"/>
      <c r="AM403" s="873"/>
      <c r="AN403" s="873"/>
      <c r="AO403" s="873"/>
      <c r="AP403" s="873"/>
      <c r="AQ403" s="873"/>
      <c r="AR403" s="873"/>
      <c r="AS403" s="873"/>
    </row>
    <row r="404" spans="1:45" ht="12.75" x14ac:dyDescent="0.2">
      <c r="A404" s="873"/>
      <c r="B404" s="873"/>
      <c r="C404" s="873"/>
      <c r="D404" s="873"/>
      <c r="E404" s="873"/>
      <c r="F404" s="873"/>
      <c r="G404" s="873"/>
      <c r="H404" s="873"/>
      <c r="I404" s="873"/>
      <c r="J404" s="873"/>
      <c r="K404" s="873"/>
      <c r="L404" s="873"/>
      <c r="M404" s="873"/>
      <c r="N404" s="873"/>
      <c r="O404" s="873"/>
      <c r="P404" s="873"/>
      <c r="Q404" s="873"/>
      <c r="R404" s="873"/>
      <c r="S404" s="873"/>
      <c r="T404" s="873"/>
      <c r="U404" s="873"/>
      <c r="V404" s="873"/>
      <c r="W404" s="873"/>
      <c r="X404" s="873"/>
      <c r="Y404" s="873"/>
      <c r="Z404" s="873"/>
      <c r="AA404" s="873"/>
      <c r="AB404" s="873"/>
      <c r="AC404" s="873"/>
      <c r="AD404" s="873"/>
      <c r="AE404" s="873"/>
      <c r="AF404" s="873"/>
      <c r="AG404" s="873"/>
      <c r="AH404" s="873"/>
      <c r="AI404" s="873"/>
      <c r="AJ404" s="873"/>
      <c r="AK404" s="873"/>
      <c r="AL404" s="873"/>
      <c r="AM404" s="873"/>
      <c r="AN404" s="873"/>
      <c r="AO404" s="873"/>
      <c r="AP404" s="873"/>
      <c r="AQ404" s="873"/>
      <c r="AR404" s="873"/>
      <c r="AS404" s="873"/>
    </row>
    <row r="405" spans="1:45" ht="12.75" x14ac:dyDescent="0.2">
      <c r="A405" s="873"/>
      <c r="B405" s="873"/>
      <c r="C405" s="873"/>
      <c r="D405" s="873"/>
      <c r="E405" s="873"/>
      <c r="F405" s="873"/>
      <c r="G405" s="873"/>
      <c r="H405" s="873"/>
      <c r="I405" s="873"/>
      <c r="J405" s="873"/>
      <c r="K405" s="873"/>
      <c r="L405" s="873"/>
      <c r="M405" s="873"/>
      <c r="N405" s="873"/>
      <c r="O405" s="873"/>
      <c r="P405" s="873"/>
      <c r="Q405" s="873"/>
      <c r="R405" s="873"/>
      <c r="S405" s="873"/>
      <c r="T405" s="873"/>
      <c r="U405" s="873"/>
      <c r="V405" s="873"/>
      <c r="W405" s="873"/>
      <c r="X405" s="873"/>
      <c r="Y405" s="873"/>
      <c r="Z405" s="873"/>
      <c r="AA405" s="873"/>
      <c r="AB405" s="873"/>
      <c r="AC405" s="873"/>
      <c r="AD405" s="873"/>
      <c r="AE405" s="873"/>
      <c r="AF405" s="873"/>
      <c r="AG405" s="873"/>
      <c r="AH405" s="873"/>
      <c r="AI405" s="873"/>
      <c r="AJ405" s="873"/>
      <c r="AK405" s="873"/>
      <c r="AL405" s="873"/>
      <c r="AM405" s="873"/>
      <c r="AN405" s="873"/>
      <c r="AO405" s="873"/>
      <c r="AP405" s="873"/>
      <c r="AQ405" s="873"/>
      <c r="AR405" s="873"/>
      <c r="AS405" s="873"/>
    </row>
    <row r="406" spans="1:45" ht="12.75" x14ac:dyDescent="0.2">
      <c r="A406" s="873"/>
      <c r="B406" s="873"/>
      <c r="C406" s="873"/>
      <c r="D406" s="873"/>
      <c r="E406" s="873"/>
      <c r="F406" s="873"/>
      <c r="G406" s="873"/>
      <c r="H406" s="873"/>
      <c r="I406" s="873"/>
      <c r="J406" s="873"/>
      <c r="K406" s="873"/>
      <c r="L406" s="873"/>
      <c r="M406" s="873"/>
      <c r="N406" s="873"/>
      <c r="O406" s="873"/>
      <c r="P406" s="873"/>
      <c r="Q406" s="873"/>
      <c r="R406" s="873"/>
      <c r="S406" s="873"/>
      <c r="T406" s="873"/>
      <c r="U406" s="873"/>
      <c r="V406" s="873"/>
      <c r="W406" s="873"/>
      <c r="X406" s="873"/>
      <c r="Y406" s="873"/>
      <c r="Z406" s="873"/>
      <c r="AA406" s="873"/>
      <c r="AB406" s="873"/>
      <c r="AC406" s="873"/>
      <c r="AD406" s="873"/>
      <c r="AE406" s="873"/>
      <c r="AF406" s="873"/>
      <c r="AG406" s="873"/>
      <c r="AH406" s="873"/>
      <c r="AI406" s="873"/>
      <c r="AJ406" s="873"/>
      <c r="AK406" s="873"/>
      <c r="AL406" s="873"/>
      <c r="AM406" s="873"/>
      <c r="AN406" s="873"/>
      <c r="AO406" s="873"/>
      <c r="AP406" s="873"/>
      <c r="AQ406" s="873"/>
      <c r="AR406" s="873"/>
      <c r="AS406" s="873"/>
    </row>
    <row r="407" spans="1:45" ht="12.75" x14ac:dyDescent="0.2">
      <c r="A407" s="873"/>
      <c r="B407" s="873"/>
      <c r="C407" s="873"/>
      <c r="D407" s="873"/>
      <c r="E407" s="873"/>
      <c r="F407" s="873"/>
      <c r="G407" s="873"/>
      <c r="H407" s="873"/>
      <c r="I407" s="873"/>
      <c r="J407" s="873"/>
      <c r="K407" s="873"/>
      <c r="L407" s="873"/>
      <c r="M407" s="873"/>
      <c r="N407" s="873"/>
      <c r="O407" s="873"/>
      <c r="P407" s="873"/>
      <c r="Q407" s="873"/>
      <c r="R407" s="873"/>
      <c r="S407" s="873"/>
      <c r="T407" s="873"/>
      <c r="U407" s="873"/>
      <c r="V407" s="873"/>
      <c r="W407" s="873"/>
      <c r="X407" s="873"/>
      <c r="Y407" s="873"/>
      <c r="Z407" s="873"/>
      <c r="AA407" s="873"/>
      <c r="AB407" s="873"/>
      <c r="AC407" s="873"/>
      <c r="AD407" s="873"/>
      <c r="AE407" s="873"/>
      <c r="AF407" s="873"/>
      <c r="AG407" s="873"/>
      <c r="AH407" s="873"/>
      <c r="AI407" s="873"/>
      <c r="AJ407" s="873"/>
      <c r="AK407" s="873"/>
      <c r="AL407" s="873"/>
      <c r="AM407" s="873"/>
      <c r="AN407" s="873"/>
      <c r="AO407" s="873"/>
      <c r="AP407" s="873"/>
      <c r="AQ407" s="873"/>
      <c r="AR407" s="873"/>
      <c r="AS407" s="873"/>
    </row>
    <row r="408" spans="1:45" ht="12.75" x14ac:dyDescent="0.2">
      <c r="A408" s="873"/>
      <c r="B408" s="873"/>
      <c r="C408" s="873"/>
      <c r="D408" s="873"/>
      <c r="E408" s="873"/>
      <c r="F408" s="873"/>
      <c r="G408" s="873"/>
      <c r="H408" s="873"/>
      <c r="I408" s="873"/>
      <c r="J408" s="873"/>
      <c r="K408" s="873"/>
      <c r="L408" s="873"/>
      <c r="M408" s="873"/>
      <c r="N408" s="873"/>
      <c r="O408" s="873"/>
      <c r="P408" s="873"/>
      <c r="Q408" s="873"/>
      <c r="R408" s="873"/>
      <c r="S408" s="873"/>
      <c r="T408" s="873"/>
      <c r="U408" s="873"/>
      <c r="V408" s="873"/>
      <c r="W408" s="873"/>
      <c r="X408" s="873"/>
      <c r="Y408" s="873"/>
      <c r="Z408" s="873"/>
      <c r="AA408" s="873"/>
      <c r="AB408" s="873"/>
      <c r="AC408" s="873"/>
      <c r="AD408" s="873"/>
      <c r="AE408" s="873"/>
      <c r="AF408" s="873"/>
      <c r="AG408" s="873"/>
      <c r="AH408" s="873"/>
      <c r="AI408" s="873"/>
      <c r="AJ408" s="873"/>
      <c r="AK408" s="873"/>
      <c r="AL408" s="873"/>
      <c r="AM408" s="873"/>
      <c r="AN408" s="873"/>
      <c r="AO408" s="873"/>
      <c r="AP408" s="873"/>
      <c r="AQ408" s="873"/>
      <c r="AR408" s="873"/>
      <c r="AS408" s="873"/>
    </row>
    <row r="409" spans="1:45" ht="12.75" x14ac:dyDescent="0.2">
      <c r="A409" s="873"/>
      <c r="B409" s="873"/>
      <c r="C409" s="873"/>
      <c r="D409" s="873"/>
      <c r="E409" s="873"/>
      <c r="F409" s="873"/>
      <c r="G409" s="873"/>
      <c r="H409" s="873"/>
      <c r="I409" s="873"/>
      <c r="J409" s="873"/>
      <c r="K409" s="873"/>
      <c r="L409" s="873"/>
      <c r="M409" s="873"/>
      <c r="N409" s="873"/>
      <c r="O409" s="873"/>
      <c r="P409" s="873"/>
      <c r="Q409" s="873"/>
      <c r="R409" s="873"/>
      <c r="S409" s="873"/>
      <c r="T409" s="873"/>
      <c r="U409" s="873"/>
      <c r="V409" s="873"/>
      <c r="W409" s="873"/>
      <c r="X409" s="873"/>
      <c r="Y409" s="873"/>
      <c r="Z409" s="873"/>
      <c r="AA409" s="873"/>
      <c r="AB409" s="873"/>
      <c r="AC409" s="873"/>
      <c r="AD409" s="873"/>
      <c r="AE409" s="873"/>
      <c r="AF409" s="873"/>
      <c r="AG409" s="873"/>
      <c r="AH409" s="873"/>
      <c r="AI409" s="873"/>
      <c r="AJ409" s="873"/>
      <c r="AK409" s="873"/>
      <c r="AL409" s="873"/>
      <c r="AM409" s="873"/>
      <c r="AN409" s="873"/>
      <c r="AO409" s="873"/>
      <c r="AP409" s="873"/>
      <c r="AQ409" s="873"/>
      <c r="AR409" s="873"/>
      <c r="AS409" s="873"/>
    </row>
    <row r="410" spans="1:45" ht="12.75" x14ac:dyDescent="0.2">
      <c r="A410" s="873"/>
      <c r="B410" s="873"/>
      <c r="C410" s="873"/>
      <c r="D410" s="873"/>
      <c r="E410" s="873"/>
      <c r="F410" s="873"/>
      <c r="G410" s="873"/>
      <c r="H410" s="873"/>
      <c r="I410" s="873"/>
      <c r="J410" s="873"/>
      <c r="K410" s="873"/>
      <c r="L410" s="873"/>
      <c r="M410" s="873"/>
      <c r="N410" s="873"/>
      <c r="O410" s="873"/>
      <c r="P410" s="873"/>
      <c r="Q410" s="873"/>
      <c r="R410" s="873"/>
      <c r="S410" s="873"/>
      <c r="T410" s="873"/>
      <c r="U410" s="873"/>
      <c r="V410" s="873"/>
      <c r="W410" s="873"/>
      <c r="X410" s="873"/>
      <c r="Y410" s="873"/>
      <c r="Z410" s="873"/>
      <c r="AA410" s="873"/>
      <c r="AB410" s="873"/>
      <c r="AC410" s="873"/>
      <c r="AD410" s="873"/>
      <c r="AE410" s="873"/>
      <c r="AF410" s="873"/>
      <c r="AG410" s="873"/>
      <c r="AH410" s="873"/>
      <c r="AI410" s="873"/>
      <c r="AJ410" s="873"/>
      <c r="AK410" s="873"/>
      <c r="AL410" s="873"/>
      <c r="AM410" s="873"/>
      <c r="AN410" s="873"/>
      <c r="AO410" s="873"/>
      <c r="AP410" s="873"/>
      <c r="AQ410" s="873"/>
      <c r="AR410" s="873"/>
      <c r="AS410" s="873"/>
    </row>
    <row r="411" spans="1:45" ht="12.75" x14ac:dyDescent="0.2">
      <c r="A411" s="873"/>
      <c r="B411" s="873"/>
      <c r="C411" s="873"/>
      <c r="D411" s="873"/>
      <c r="E411" s="873"/>
      <c r="F411" s="873"/>
      <c r="G411" s="873"/>
      <c r="H411" s="873"/>
      <c r="I411" s="873"/>
      <c r="J411" s="873"/>
      <c r="K411" s="873"/>
      <c r="L411" s="873"/>
      <c r="M411" s="873"/>
      <c r="N411" s="873"/>
      <c r="O411" s="873"/>
      <c r="P411" s="873"/>
      <c r="Q411" s="873"/>
      <c r="R411" s="873"/>
      <c r="S411" s="873"/>
      <c r="T411" s="873"/>
      <c r="U411" s="873"/>
      <c r="V411" s="873"/>
      <c r="W411" s="873"/>
      <c r="X411" s="873"/>
      <c r="Y411" s="873"/>
      <c r="Z411" s="873"/>
      <c r="AA411" s="873"/>
      <c r="AB411" s="873"/>
      <c r="AC411" s="873"/>
      <c r="AD411" s="873"/>
      <c r="AE411" s="873"/>
      <c r="AF411" s="873"/>
      <c r="AG411" s="873"/>
      <c r="AH411" s="873"/>
      <c r="AI411" s="873"/>
      <c r="AJ411" s="873"/>
      <c r="AK411" s="873"/>
      <c r="AL411" s="873"/>
      <c r="AM411" s="873"/>
      <c r="AN411" s="873"/>
      <c r="AO411" s="873"/>
      <c r="AP411" s="873"/>
      <c r="AQ411" s="873"/>
      <c r="AR411" s="873"/>
      <c r="AS411" s="873"/>
    </row>
    <row r="412" spans="1:45" ht="12.75" x14ac:dyDescent="0.2">
      <c r="A412" s="873"/>
      <c r="B412" s="873"/>
      <c r="C412" s="873"/>
      <c r="D412" s="873"/>
      <c r="E412" s="873"/>
      <c r="F412" s="873"/>
      <c r="G412" s="873"/>
      <c r="H412" s="873"/>
      <c r="I412" s="873"/>
      <c r="J412" s="873"/>
      <c r="K412" s="873"/>
      <c r="L412" s="873"/>
      <c r="M412" s="873"/>
      <c r="N412" s="873"/>
      <c r="O412" s="873"/>
      <c r="P412" s="873"/>
      <c r="Q412" s="873"/>
      <c r="R412" s="873"/>
      <c r="S412" s="873"/>
      <c r="T412" s="873"/>
      <c r="U412" s="873"/>
      <c r="V412" s="873"/>
      <c r="W412" s="873"/>
      <c r="X412" s="873"/>
      <c r="Y412" s="873"/>
      <c r="Z412" s="873"/>
      <c r="AA412" s="873"/>
      <c r="AB412" s="873"/>
      <c r="AC412" s="873"/>
      <c r="AD412" s="873"/>
      <c r="AE412" s="873"/>
      <c r="AF412" s="873"/>
      <c r="AG412" s="873"/>
      <c r="AH412" s="873"/>
      <c r="AI412" s="873"/>
      <c r="AJ412" s="873"/>
      <c r="AK412" s="873"/>
      <c r="AL412" s="873"/>
      <c r="AM412" s="873"/>
      <c r="AN412" s="873"/>
      <c r="AO412" s="873"/>
      <c r="AP412" s="873"/>
      <c r="AQ412" s="873"/>
      <c r="AR412" s="873"/>
      <c r="AS412" s="873"/>
    </row>
    <row r="413" spans="1:45" ht="12.75" x14ac:dyDescent="0.2">
      <c r="A413" s="873"/>
      <c r="B413" s="873"/>
      <c r="C413" s="873"/>
      <c r="D413" s="873"/>
      <c r="E413" s="873"/>
      <c r="F413" s="873"/>
      <c r="G413" s="873"/>
      <c r="H413" s="873"/>
      <c r="I413" s="873"/>
      <c r="J413" s="873"/>
      <c r="K413" s="873"/>
      <c r="L413" s="873"/>
      <c r="M413" s="873"/>
      <c r="N413" s="873"/>
      <c r="O413" s="873"/>
      <c r="P413" s="873"/>
      <c r="Q413" s="873"/>
      <c r="R413" s="873"/>
      <c r="S413" s="873"/>
      <c r="T413" s="873"/>
      <c r="U413" s="873"/>
      <c r="V413" s="873"/>
      <c r="W413" s="873"/>
      <c r="X413" s="873"/>
      <c r="Y413" s="873"/>
      <c r="Z413" s="873"/>
      <c r="AA413" s="873"/>
      <c r="AB413" s="873"/>
      <c r="AC413" s="873"/>
      <c r="AD413" s="873"/>
      <c r="AE413" s="873"/>
      <c r="AF413" s="873"/>
      <c r="AG413" s="873"/>
      <c r="AH413" s="873"/>
      <c r="AI413" s="873"/>
      <c r="AJ413" s="873"/>
      <c r="AK413" s="873"/>
      <c r="AL413" s="873"/>
      <c r="AM413" s="873"/>
      <c r="AN413" s="873"/>
      <c r="AO413" s="873"/>
      <c r="AP413" s="873"/>
      <c r="AQ413" s="873"/>
      <c r="AR413" s="873"/>
      <c r="AS413" s="873"/>
    </row>
    <row r="414" spans="1:45" ht="12.75" x14ac:dyDescent="0.2">
      <c r="A414" s="873"/>
      <c r="B414" s="873"/>
      <c r="C414" s="873"/>
      <c r="D414" s="873"/>
      <c r="E414" s="873"/>
      <c r="F414" s="873"/>
      <c r="G414" s="873"/>
      <c r="H414" s="873"/>
      <c r="I414" s="873"/>
      <c r="J414" s="873"/>
      <c r="K414" s="873"/>
      <c r="L414" s="873"/>
      <c r="M414" s="873"/>
      <c r="N414" s="873"/>
      <c r="O414" s="873"/>
      <c r="P414" s="873"/>
      <c r="Q414" s="873"/>
      <c r="R414" s="873"/>
      <c r="S414" s="873"/>
      <c r="T414" s="873"/>
      <c r="U414" s="873"/>
      <c r="V414" s="873"/>
      <c r="W414" s="873"/>
      <c r="X414" s="873"/>
      <c r="Y414" s="873"/>
      <c r="Z414" s="873"/>
      <c r="AA414" s="873"/>
      <c r="AB414" s="873"/>
      <c r="AC414" s="873"/>
      <c r="AD414" s="873"/>
      <c r="AE414" s="873"/>
      <c r="AF414" s="873"/>
      <c r="AG414" s="873"/>
      <c r="AH414" s="873"/>
      <c r="AI414" s="873"/>
      <c r="AJ414" s="873"/>
      <c r="AK414" s="873"/>
      <c r="AL414" s="873"/>
      <c r="AM414" s="873"/>
      <c r="AN414" s="873"/>
      <c r="AO414" s="873"/>
      <c r="AP414" s="873"/>
      <c r="AQ414" s="873"/>
      <c r="AR414" s="873"/>
      <c r="AS414" s="873"/>
    </row>
    <row r="415" spans="1:45" ht="12.75" x14ac:dyDescent="0.2">
      <c r="A415" s="873"/>
      <c r="B415" s="873"/>
      <c r="C415" s="873"/>
      <c r="D415" s="873"/>
      <c r="E415" s="873"/>
      <c r="F415" s="873"/>
      <c r="G415" s="873"/>
      <c r="H415" s="873"/>
      <c r="I415" s="873"/>
      <c r="J415" s="873"/>
      <c r="K415" s="873"/>
      <c r="L415" s="873"/>
      <c r="M415" s="873"/>
      <c r="N415" s="873"/>
      <c r="O415" s="873"/>
      <c r="P415" s="873"/>
      <c r="Q415" s="873"/>
      <c r="R415" s="873"/>
      <c r="S415" s="873"/>
      <c r="T415" s="873"/>
      <c r="U415" s="873"/>
      <c r="V415" s="873"/>
      <c r="W415" s="873"/>
      <c r="X415" s="873"/>
      <c r="Y415" s="873"/>
      <c r="Z415" s="873"/>
      <c r="AA415" s="873"/>
      <c r="AB415" s="873"/>
      <c r="AC415" s="873"/>
      <c r="AD415" s="873"/>
      <c r="AE415" s="873"/>
      <c r="AF415" s="873"/>
      <c r="AG415" s="873"/>
      <c r="AH415" s="873"/>
      <c r="AI415" s="873"/>
      <c r="AJ415" s="873"/>
      <c r="AK415" s="873"/>
      <c r="AL415" s="873"/>
      <c r="AM415" s="873"/>
      <c r="AN415" s="873"/>
      <c r="AO415" s="873"/>
      <c r="AP415" s="873"/>
      <c r="AQ415" s="873"/>
      <c r="AR415" s="873"/>
      <c r="AS415" s="873"/>
    </row>
    <row r="416" spans="1:45" ht="12.75" x14ac:dyDescent="0.2">
      <c r="A416" s="873"/>
      <c r="B416" s="873"/>
      <c r="C416" s="873"/>
      <c r="D416" s="873"/>
      <c r="E416" s="873"/>
      <c r="F416" s="873"/>
      <c r="G416" s="873"/>
      <c r="H416" s="873"/>
      <c r="I416" s="873"/>
      <c r="J416" s="873"/>
      <c r="K416" s="873"/>
      <c r="L416" s="873"/>
      <c r="M416" s="873"/>
      <c r="N416" s="873"/>
      <c r="O416" s="873"/>
      <c r="P416" s="873"/>
      <c r="Q416" s="873"/>
      <c r="R416" s="873"/>
      <c r="S416" s="873"/>
      <c r="T416" s="873"/>
      <c r="U416" s="873"/>
      <c r="V416" s="873"/>
      <c r="W416" s="873"/>
      <c r="X416" s="873"/>
      <c r="Y416" s="873"/>
      <c r="Z416" s="873"/>
      <c r="AA416" s="873"/>
      <c r="AB416" s="873"/>
      <c r="AC416" s="873"/>
      <c r="AD416" s="873"/>
      <c r="AE416" s="873"/>
      <c r="AF416" s="873"/>
      <c r="AG416" s="873"/>
      <c r="AH416" s="873"/>
      <c r="AI416" s="873"/>
      <c r="AJ416" s="873"/>
      <c r="AK416" s="873"/>
      <c r="AL416" s="873"/>
      <c r="AM416" s="873"/>
      <c r="AN416" s="873"/>
      <c r="AO416" s="873"/>
      <c r="AP416" s="873"/>
      <c r="AQ416" s="873"/>
      <c r="AR416" s="873"/>
      <c r="AS416" s="873"/>
    </row>
    <row r="417" spans="1:45" ht="12.75" x14ac:dyDescent="0.2">
      <c r="A417" s="873"/>
      <c r="B417" s="873"/>
      <c r="C417" s="873"/>
      <c r="D417" s="873"/>
      <c r="E417" s="873"/>
      <c r="F417" s="873"/>
      <c r="G417" s="873"/>
      <c r="H417" s="873"/>
      <c r="I417" s="873"/>
      <c r="J417" s="873"/>
      <c r="K417" s="873"/>
      <c r="L417" s="873"/>
      <c r="M417" s="873"/>
      <c r="N417" s="873"/>
      <c r="O417" s="873"/>
      <c r="P417" s="873"/>
      <c r="Q417" s="873"/>
      <c r="R417" s="873"/>
      <c r="S417" s="873"/>
      <c r="T417" s="873"/>
      <c r="U417" s="873"/>
      <c r="V417" s="873"/>
      <c r="W417" s="873"/>
      <c r="X417" s="873"/>
      <c r="Y417" s="873"/>
      <c r="Z417" s="873"/>
      <c r="AA417" s="873"/>
      <c r="AB417" s="873"/>
      <c r="AC417" s="873"/>
      <c r="AD417" s="873"/>
      <c r="AE417" s="873"/>
      <c r="AF417" s="873"/>
      <c r="AG417" s="873"/>
      <c r="AH417" s="873"/>
      <c r="AI417" s="873"/>
      <c r="AJ417" s="873"/>
      <c r="AK417" s="873"/>
      <c r="AL417" s="873"/>
      <c r="AM417" s="873"/>
      <c r="AN417" s="873"/>
      <c r="AO417" s="873"/>
      <c r="AP417" s="873"/>
      <c r="AQ417" s="873"/>
      <c r="AR417" s="873"/>
      <c r="AS417" s="873"/>
    </row>
    <row r="418" spans="1:45" ht="12.75" x14ac:dyDescent="0.2">
      <c r="A418" s="873"/>
      <c r="B418" s="873"/>
      <c r="C418" s="873"/>
      <c r="D418" s="873"/>
      <c r="E418" s="873"/>
      <c r="F418" s="873"/>
      <c r="G418" s="873"/>
      <c r="H418" s="873"/>
      <c r="I418" s="873"/>
      <c r="J418" s="873"/>
      <c r="K418" s="873"/>
      <c r="L418" s="873"/>
      <c r="M418" s="873"/>
      <c r="N418" s="873"/>
      <c r="O418" s="873"/>
      <c r="P418" s="873"/>
      <c r="Q418" s="873"/>
      <c r="R418" s="873"/>
      <c r="S418" s="873"/>
      <c r="T418" s="873"/>
      <c r="U418" s="873"/>
      <c r="V418" s="873"/>
      <c r="W418" s="873"/>
      <c r="X418" s="873"/>
      <c r="Y418" s="873"/>
      <c r="Z418" s="873"/>
      <c r="AA418" s="873"/>
      <c r="AB418" s="873"/>
      <c r="AC418" s="873"/>
      <c r="AD418" s="873"/>
      <c r="AE418" s="873"/>
      <c r="AF418" s="873"/>
      <c r="AG418" s="873"/>
      <c r="AH418" s="873"/>
      <c r="AI418" s="873"/>
      <c r="AJ418" s="873"/>
      <c r="AK418" s="873"/>
      <c r="AL418" s="873"/>
      <c r="AM418" s="873"/>
      <c r="AN418" s="873"/>
      <c r="AO418" s="873"/>
      <c r="AP418" s="873"/>
      <c r="AQ418" s="873"/>
      <c r="AR418" s="873"/>
      <c r="AS418" s="873"/>
    </row>
    <row r="419" spans="1:45" ht="12.75" x14ac:dyDescent="0.2">
      <c r="A419" s="873"/>
      <c r="B419" s="873"/>
      <c r="C419" s="873"/>
      <c r="D419" s="873"/>
      <c r="E419" s="873"/>
      <c r="F419" s="873"/>
      <c r="G419" s="873"/>
      <c r="H419" s="873"/>
      <c r="I419" s="873"/>
      <c r="J419" s="873"/>
      <c r="K419" s="873"/>
      <c r="L419" s="873"/>
      <c r="M419" s="873"/>
      <c r="N419" s="873"/>
      <c r="O419" s="873"/>
      <c r="P419" s="873"/>
      <c r="Q419" s="873"/>
      <c r="R419" s="873"/>
      <c r="S419" s="873"/>
      <c r="T419" s="873"/>
      <c r="U419" s="873"/>
      <c r="V419" s="873"/>
      <c r="W419" s="873"/>
      <c r="X419" s="873"/>
      <c r="Y419" s="873"/>
      <c r="Z419" s="873"/>
      <c r="AA419" s="873"/>
      <c r="AB419" s="873"/>
      <c r="AC419" s="873"/>
      <c r="AD419" s="873"/>
      <c r="AE419" s="873"/>
      <c r="AF419" s="873"/>
      <c r="AG419" s="873"/>
      <c r="AH419" s="873"/>
      <c r="AI419" s="873"/>
      <c r="AJ419" s="873"/>
      <c r="AK419" s="873"/>
      <c r="AL419" s="873"/>
      <c r="AM419" s="873"/>
      <c r="AN419" s="873"/>
      <c r="AO419" s="873"/>
      <c r="AP419" s="873"/>
      <c r="AQ419" s="873"/>
      <c r="AR419" s="873"/>
      <c r="AS419" s="873"/>
    </row>
    <row r="420" spans="1:45" ht="12.75" x14ac:dyDescent="0.2">
      <c r="A420" s="873"/>
      <c r="B420" s="873"/>
      <c r="C420" s="873"/>
      <c r="D420" s="873"/>
      <c r="E420" s="873"/>
      <c r="F420" s="873"/>
      <c r="G420" s="873"/>
      <c r="H420" s="873"/>
      <c r="I420" s="873"/>
      <c r="J420" s="873"/>
      <c r="K420" s="873"/>
      <c r="L420" s="873"/>
      <c r="M420" s="873"/>
      <c r="N420" s="873"/>
      <c r="O420" s="873"/>
      <c r="P420" s="873"/>
      <c r="Q420" s="873"/>
      <c r="R420" s="873"/>
      <c r="S420" s="873"/>
      <c r="T420" s="873"/>
      <c r="U420" s="873"/>
      <c r="V420" s="873"/>
      <c r="W420" s="873"/>
      <c r="X420" s="873"/>
      <c r="Y420" s="873"/>
      <c r="Z420" s="873"/>
      <c r="AA420" s="873"/>
      <c r="AB420" s="873"/>
      <c r="AC420" s="873"/>
      <c r="AD420" s="873"/>
      <c r="AE420" s="873"/>
      <c r="AF420" s="873"/>
      <c r="AG420" s="873"/>
      <c r="AH420" s="873"/>
      <c r="AI420" s="873"/>
      <c r="AJ420" s="873"/>
      <c r="AK420" s="873"/>
      <c r="AL420" s="873"/>
      <c r="AM420" s="873"/>
      <c r="AN420" s="873"/>
      <c r="AO420" s="873"/>
      <c r="AP420" s="873"/>
      <c r="AQ420" s="873"/>
      <c r="AR420" s="873"/>
      <c r="AS420" s="873"/>
    </row>
    <row r="421" spans="1:45" ht="12.75" x14ac:dyDescent="0.2">
      <c r="A421" s="873"/>
      <c r="B421" s="873"/>
      <c r="C421" s="873"/>
      <c r="D421" s="873"/>
      <c r="E421" s="873"/>
      <c r="F421" s="873"/>
      <c r="G421" s="873"/>
      <c r="H421" s="873"/>
      <c r="I421" s="873"/>
      <c r="J421" s="873"/>
      <c r="K421" s="873"/>
      <c r="L421" s="873"/>
      <c r="M421" s="873"/>
      <c r="N421" s="873"/>
      <c r="O421" s="873"/>
      <c r="P421" s="873"/>
      <c r="Q421" s="873"/>
      <c r="R421" s="873"/>
      <c r="S421" s="873"/>
      <c r="T421" s="873"/>
      <c r="U421" s="873"/>
      <c r="V421" s="873"/>
      <c r="W421" s="873"/>
      <c r="X421" s="873"/>
      <c r="Y421" s="873"/>
      <c r="Z421" s="873"/>
      <c r="AA421" s="873"/>
      <c r="AB421" s="873"/>
      <c r="AC421" s="873"/>
      <c r="AD421" s="873"/>
      <c r="AE421" s="873"/>
      <c r="AF421" s="873"/>
      <c r="AG421" s="873"/>
      <c r="AH421" s="873"/>
      <c r="AI421" s="873"/>
      <c r="AJ421" s="873"/>
      <c r="AK421" s="873"/>
      <c r="AL421" s="873"/>
      <c r="AM421" s="873"/>
      <c r="AN421" s="873"/>
      <c r="AO421" s="873"/>
      <c r="AP421" s="873"/>
      <c r="AQ421" s="873"/>
      <c r="AR421" s="873"/>
      <c r="AS421" s="873"/>
    </row>
    <row r="422" spans="1:45" ht="12.75" x14ac:dyDescent="0.2">
      <c r="A422" s="873"/>
      <c r="B422" s="873"/>
      <c r="C422" s="873"/>
      <c r="D422" s="873"/>
      <c r="E422" s="873"/>
      <c r="F422" s="873"/>
      <c r="G422" s="873"/>
      <c r="H422" s="873"/>
      <c r="I422" s="873"/>
      <c r="J422" s="873"/>
      <c r="K422" s="873"/>
      <c r="L422" s="873"/>
      <c r="M422" s="873"/>
      <c r="N422" s="873"/>
      <c r="O422" s="873"/>
      <c r="P422" s="873"/>
      <c r="Q422" s="873"/>
      <c r="R422" s="873"/>
      <c r="S422" s="873"/>
      <c r="T422" s="873"/>
      <c r="U422" s="873"/>
      <c r="V422" s="873"/>
      <c r="W422" s="873"/>
      <c r="X422" s="873"/>
      <c r="Y422" s="873"/>
      <c r="Z422" s="873"/>
      <c r="AA422" s="873"/>
      <c r="AB422" s="873"/>
      <c r="AC422" s="873"/>
      <c r="AD422" s="873"/>
      <c r="AE422" s="873"/>
      <c r="AF422" s="873"/>
      <c r="AG422" s="873"/>
      <c r="AH422" s="873"/>
      <c r="AI422" s="873"/>
      <c r="AJ422" s="873"/>
      <c r="AK422" s="873"/>
      <c r="AL422" s="873"/>
      <c r="AM422" s="873"/>
      <c r="AN422" s="873"/>
      <c r="AO422" s="873"/>
      <c r="AP422" s="873"/>
      <c r="AQ422" s="873"/>
      <c r="AR422" s="873"/>
      <c r="AS422" s="873"/>
    </row>
    <row r="423" spans="1:45" ht="12.75" x14ac:dyDescent="0.2">
      <c r="A423" s="873"/>
      <c r="B423" s="873"/>
      <c r="C423" s="873"/>
      <c r="D423" s="873"/>
      <c r="E423" s="873"/>
      <c r="F423" s="873"/>
      <c r="G423" s="873"/>
      <c r="H423" s="873"/>
      <c r="I423" s="873"/>
      <c r="J423" s="873"/>
      <c r="K423" s="873"/>
      <c r="L423" s="873"/>
      <c r="M423" s="873"/>
      <c r="N423" s="873"/>
      <c r="O423" s="873"/>
      <c r="P423" s="873"/>
      <c r="Q423" s="873"/>
      <c r="R423" s="873"/>
      <c r="S423" s="873"/>
      <c r="T423" s="873"/>
      <c r="U423" s="873"/>
      <c r="V423" s="873"/>
      <c r="W423" s="873"/>
      <c r="X423" s="873"/>
      <c r="Y423" s="873"/>
      <c r="Z423" s="873"/>
      <c r="AA423" s="873"/>
      <c r="AB423" s="873"/>
      <c r="AC423" s="873"/>
      <c r="AD423" s="873"/>
      <c r="AE423" s="873"/>
      <c r="AF423" s="873"/>
      <c r="AG423" s="873"/>
      <c r="AH423" s="873"/>
      <c r="AI423" s="873"/>
      <c r="AJ423" s="873"/>
      <c r="AK423" s="873"/>
      <c r="AL423" s="873"/>
      <c r="AM423" s="873"/>
      <c r="AN423" s="873"/>
      <c r="AO423" s="873"/>
      <c r="AP423" s="873"/>
      <c r="AQ423" s="873"/>
      <c r="AR423" s="873"/>
      <c r="AS423" s="873"/>
    </row>
    <row r="424" spans="1:45" ht="12.75" x14ac:dyDescent="0.2">
      <c r="A424" s="873"/>
      <c r="B424" s="873"/>
      <c r="C424" s="873"/>
      <c r="D424" s="873"/>
      <c r="E424" s="873"/>
      <c r="F424" s="873"/>
      <c r="G424" s="873"/>
      <c r="H424" s="873"/>
      <c r="I424" s="873"/>
      <c r="J424" s="873"/>
      <c r="K424" s="873"/>
      <c r="L424" s="873"/>
      <c r="M424" s="873"/>
      <c r="N424" s="873"/>
      <c r="O424" s="873"/>
      <c r="P424" s="873"/>
      <c r="Q424" s="873"/>
      <c r="R424" s="873"/>
      <c r="S424" s="873"/>
      <c r="T424" s="873"/>
      <c r="U424" s="873"/>
      <c r="V424" s="873"/>
      <c r="W424" s="873"/>
      <c r="X424" s="873"/>
      <c r="Y424" s="873"/>
      <c r="Z424" s="873"/>
      <c r="AA424" s="873"/>
      <c r="AB424" s="873"/>
      <c r="AC424" s="873"/>
      <c r="AD424" s="873"/>
      <c r="AE424" s="873"/>
      <c r="AF424" s="873"/>
      <c r="AG424" s="873"/>
      <c r="AH424" s="873"/>
      <c r="AI424" s="873"/>
      <c r="AJ424" s="873"/>
      <c r="AK424" s="873"/>
      <c r="AL424" s="873"/>
      <c r="AM424" s="873"/>
      <c r="AN424" s="873"/>
      <c r="AO424" s="873"/>
      <c r="AP424" s="873"/>
      <c r="AQ424" s="873"/>
      <c r="AR424" s="873"/>
      <c r="AS424" s="873"/>
    </row>
    <row r="425" spans="1:45" ht="12.75" x14ac:dyDescent="0.2">
      <c r="A425" s="873"/>
      <c r="B425" s="873"/>
      <c r="C425" s="873"/>
      <c r="D425" s="873"/>
      <c r="E425" s="873"/>
      <c r="F425" s="873"/>
      <c r="G425" s="873"/>
      <c r="H425" s="873"/>
      <c r="I425" s="873"/>
      <c r="J425" s="873"/>
      <c r="K425" s="873"/>
      <c r="L425" s="873"/>
      <c r="M425" s="873"/>
      <c r="N425" s="873"/>
      <c r="O425" s="873"/>
      <c r="P425" s="873"/>
      <c r="Q425" s="873"/>
      <c r="R425" s="873"/>
      <c r="S425" s="873"/>
      <c r="T425" s="873"/>
      <c r="U425" s="873"/>
      <c r="V425" s="873"/>
      <c r="W425" s="873"/>
      <c r="X425" s="873"/>
      <c r="Y425" s="873"/>
      <c r="Z425" s="873"/>
      <c r="AA425" s="873"/>
      <c r="AB425" s="873"/>
      <c r="AC425" s="873"/>
      <c r="AD425" s="873"/>
      <c r="AE425" s="873"/>
      <c r="AF425" s="873"/>
      <c r="AG425" s="873"/>
      <c r="AH425" s="873"/>
      <c r="AI425" s="873"/>
      <c r="AJ425" s="873"/>
      <c r="AK425" s="873"/>
      <c r="AL425" s="873"/>
      <c r="AM425" s="873"/>
      <c r="AN425" s="873"/>
      <c r="AO425" s="873"/>
      <c r="AP425" s="873"/>
      <c r="AQ425" s="873"/>
      <c r="AR425" s="873"/>
      <c r="AS425" s="873"/>
    </row>
    <row r="426" spans="1:45" ht="12.75" x14ac:dyDescent="0.2">
      <c r="A426" s="873"/>
      <c r="B426" s="873"/>
      <c r="C426" s="873"/>
      <c r="D426" s="873"/>
      <c r="E426" s="873"/>
      <c r="F426" s="873"/>
      <c r="G426" s="873"/>
      <c r="H426" s="873"/>
      <c r="I426" s="873"/>
      <c r="J426" s="873"/>
      <c r="K426" s="873"/>
      <c r="L426" s="873"/>
      <c r="M426" s="873"/>
      <c r="N426" s="873"/>
      <c r="O426" s="873"/>
      <c r="P426" s="873"/>
      <c r="Q426" s="873"/>
      <c r="R426" s="873"/>
      <c r="S426" s="873"/>
      <c r="T426" s="873"/>
      <c r="U426" s="873"/>
      <c r="V426" s="873"/>
      <c r="W426" s="873"/>
      <c r="X426" s="873"/>
      <c r="Y426" s="873"/>
      <c r="Z426" s="873"/>
      <c r="AA426" s="873"/>
      <c r="AB426" s="873"/>
      <c r="AC426" s="873"/>
      <c r="AD426" s="873"/>
      <c r="AE426" s="873"/>
      <c r="AF426" s="873"/>
      <c r="AG426" s="873"/>
      <c r="AH426" s="873"/>
      <c r="AI426" s="873"/>
      <c r="AJ426" s="873"/>
      <c r="AK426" s="873"/>
      <c r="AL426" s="873"/>
      <c r="AM426" s="873"/>
      <c r="AN426" s="873"/>
      <c r="AO426" s="873"/>
      <c r="AP426" s="873"/>
      <c r="AQ426" s="873"/>
      <c r="AR426" s="873"/>
      <c r="AS426" s="873"/>
    </row>
    <row r="427" spans="1:45" ht="12.75" x14ac:dyDescent="0.2">
      <c r="A427" s="873"/>
      <c r="B427" s="873"/>
      <c r="C427" s="873"/>
      <c r="D427" s="873"/>
      <c r="E427" s="873"/>
      <c r="F427" s="873"/>
      <c r="G427" s="873"/>
      <c r="H427" s="873"/>
      <c r="I427" s="873"/>
      <c r="J427" s="873"/>
      <c r="K427" s="873"/>
      <c r="L427" s="873"/>
      <c r="M427" s="873"/>
      <c r="N427" s="873"/>
      <c r="O427" s="873"/>
      <c r="P427" s="873"/>
      <c r="Q427" s="873"/>
      <c r="R427" s="873"/>
      <c r="S427" s="873"/>
      <c r="T427" s="873"/>
      <c r="U427" s="873"/>
      <c r="V427" s="873"/>
      <c r="W427" s="873"/>
      <c r="X427" s="873"/>
      <c r="Y427" s="873"/>
      <c r="Z427" s="873"/>
      <c r="AA427" s="873"/>
      <c r="AB427" s="873"/>
      <c r="AC427" s="873"/>
      <c r="AD427" s="873"/>
      <c r="AE427" s="873"/>
      <c r="AF427" s="873"/>
      <c r="AG427" s="873"/>
      <c r="AH427" s="873"/>
      <c r="AI427" s="873"/>
      <c r="AJ427" s="873"/>
      <c r="AK427" s="873"/>
      <c r="AL427" s="873"/>
      <c r="AM427" s="873"/>
      <c r="AN427" s="873"/>
      <c r="AO427" s="873"/>
      <c r="AP427" s="873"/>
      <c r="AQ427" s="873"/>
      <c r="AR427" s="873"/>
      <c r="AS427" s="873"/>
    </row>
    <row r="428" spans="1:45" ht="12.75" x14ac:dyDescent="0.2">
      <c r="A428" s="873"/>
      <c r="B428" s="873"/>
      <c r="C428" s="873"/>
      <c r="D428" s="873"/>
      <c r="E428" s="873"/>
      <c r="F428" s="873"/>
      <c r="G428" s="873"/>
      <c r="H428" s="873"/>
      <c r="I428" s="873"/>
      <c r="J428" s="873"/>
      <c r="K428" s="873"/>
      <c r="L428" s="873"/>
      <c r="M428" s="873"/>
      <c r="N428" s="873"/>
      <c r="O428" s="873"/>
      <c r="P428" s="873"/>
      <c r="Q428" s="873"/>
      <c r="R428" s="873"/>
      <c r="S428" s="873"/>
      <c r="T428" s="873"/>
      <c r="U428" s="873"/>
      <c r="V428" s="873"/>
      <c r="W428" s="873"/>
      <c r="X428" s="873"/>
      <c r="Y428" s="873"/>
      <c r="Z428" s="873"/>
      <c r="AA428" s="873"/>
      <c r="AB428" s="873"/>
      <c r="AC428" s="873"/>
      <c r="AD428" s="873"/>
      <c r="AE428" s="873"/>
      <c r="AF428" s="873"/>
      <c r="AG428" s="873"/>
      <c r="AH428" s="873"/>
      <c r="AI428" s="873"/>
      <c r="AJ428" s="873"/>
      <c r="AK428" s="873"/>
      <c r="AL428" s="873"/>
      <c r="AM428" s="873"/>
      <c r="AN428" s="873"/>
      <c r="AO428" s="873"/>
      <c r="AP428" s="873"/>
      <c r="AQ428" s="873"/>
      <c r="AR428" s="873"/>
      <c r="AS428" s="873"/>
    </row>
    <row r="429" spans="1:45" ht="12.75" x14ac:dyDescent="0.2">
      <c r="A429" s="873"/>
      <c r="B429" s="873"/>
      <c r="C429" s="873"/>
      <c r="D429" s="873"/>
      <c r="E429" s="873"/>
      <c r="F429" s="873"/>
      <c r="G429" s="873"/>
      <c r="H429" s="873"/>
      <c r="I429" s="873"/>
      <c r="J429" s="873"/>
      <c r="K429" s="873"/>
      <c r="L429" s="873"/>
      <c r="M429" s="873"/>
      <c r="N429" s="873"/>
      <c r="O429" s="873"/>
      <c r="P429" s="873"/>
      <c r="Q429" s="873"/>
      <c r="R429" s="873"/>
      <c r="S429" s="873"/>
      <c r="T429" s="873"/>
      <c r="U429" s="873"/>
      <c r="V429" s="873"/>
      <c r="W429" s="873"/>
      <c r="X429" s="873"/>
      <c r="Y429" s="873"/>
      <c r="Z429" s="873"/>
      <c r="AA429" s="873"/>
      <c r="AB429" s="873"/>
      <c r="AC429" s="873"/>
      <c r="AD429" s="873"/>
      <c r="AE429" s="873"/>
      <c r="AF429" s="873"/>
      <c r="AG429" s="873"/>
      <c r="AH429" s="873"/>
      <c r="AI429" s="873"/>
      <c r="AJ429" s="873"/>
      <c r="AK429" s="873"/>
      <c r="AL429" s="873"/>
      <c r="AM429" s="873"/>
      <c r="AN429" s="873"/>
      <c r="AO429" s="873"/>
      <c r="AP429" s="873"/>
      <c r="AQ429" s="873"/>
      <c r="AR429" s="873"/>
      <c r="AS429" s="873"/>
    </row>
    <row r="430" spans="1:45" ht="12.75" x14ac:dyDescent="0.2">
      <c r="A430" s="873"/>
      <c r="B430" s="873"/>
      <c r="C430" s="873"/>
      <c r="D430" s="873"/>
      <c r="E430" s="873"/>
      <c r="F430" s="873"/>
      <c r="G430" s="873"/>
      <c r="H430" s="873"/>
      <c r="I430" s="873"/>
      <c r="J430" s="873"/>
      <c r="K430" s="873"/>
      <c r="L430" s="873"/>
      <c r="M430" s="873"/>
      <c r="N430" s="873"/>
      <c r="O430" s="873"/>
      <c r="P430" s="873"/>
      <c r="Q430" s="873"/>
      <c r="R430" s="873"/>
      <c r="S430" s="873"/>
      <c r="T430" s="873"/>
      <c r="U430" s="873"/>
      <c r="V430" s="873"/>
      <c r="W430" s="873"/>
      <c r="X430" s="873"/>
      <c r="Y430" s="873"/>
      <c r="Z430" s="873"/>
      <c r="AA430" s="873"/>
      <c r="AB430" s="873"/>
      <c r="AC430" s="873"/>
      <c r="AD430" s="873"/>
      <c r="AE430" s="873"/>
      <c r="AF430" s="873"/>
      <c r="AG430" s="873"/>
      <c r="AH430" s="873"/>
      <c r="AI430" s="873"/>
      <c r="AJ430" s="873"/>
      <c r="AK430" s="873"/>
      <c r="AL430" s="873"/>
      <c r="AM430" s="873"/>
      <c r="AN430" s="873"/>
      <c r="AO430" s="873"/>
      <c r="AP430" s="873"/>
      <c r="AQ430" s="873"/>
      <c r="AR430" s="873"/>
      <c r="AS430" s="873"/>
    </row>
    <row r="431" spans="1:45" ht="12.75" x14ac:dyDescent="0.2">
      <c r="A431" s="873"/>
      <c r="B431" s="873"/>
      <c r="C431" s="873"/>
      <c r="D431" s="873"/>
      <c r="E431" s="873"/>
      <c r="F431" s="873"/>
      <c r="G431" s="873"/>
      <c r="H431" s="873"/>
      <c r="I431" s="873"/>
      <c r="J431" s="873"/>
      <c r="K431" s="873"/>
      <c r="L431" s="873"/>
      <c r="M431" s="873"/>
      <c r="N431" s="873"/>
      <c r="O431" s="873"/>
      <c r="P431" s="873"/>
      <c r="Q431" s="873"/>
      <c r="R431" s="873"/>
      <c r="S431" s="873"/>
      <c r="T431" s="873"/>
      <c r="U431" s="873"/>
      <c r="V431" s="873"/>
      <c r="W431" s="873"/>
      <c r="X431" s="873"/>
      <c r="Y431" s="873"/>
      <c r="Z431" s="873"/>
      <c r="AA431" s="873"/>
      <c r="AB431" s="873"/>
      <c r="AC431" s="873"/>
      <c r="AD431" s="873"/>
      <c r="AE431" s="873"/>
      <c r="AF431" s="873"/>
      <c r="AG431" s="873"/>
      <c r="AH431" s="873"/>
      <c r="AI431" s="873"/>
      <c r="AJ431" s="873"/>
      <c r="AK431" s="873"/>
      <c r="AL431" s="873"/>
      <c r="AM431" s="873"/>
      <c r="AN431" s="873"/>
      <c r="AO431" s="873"/>
      <c r="AP431" s="873"/>
      <c r="AQ431" s="873"/>
      <c r="AR431" s="873"/>
      <c r="AS431" s="873"/>
    </row>
    <row r="432" spans="1:45" ht="12.75" x14ac:dyDescent="0.2">
      <c r="A432" s="873"/>
      <c r="B432" s="873"/>
      <c r="C432" s="873"/>
      <c r="D432" s="873"/>
      <c r="E432" s="873"/>
      <c r="F432" s="873"/>
      <c r="G432" s="873"/>
      <c r="H432" s="873"/>
      <c r="I432" s="873"/>
      <c r="J432" s="873"/>
      <c r="K432" s="873"/>
      <c r="L432" s="873"/>
      <c r="M432" s="873"/>
      <c r="N432" s="873"/>
      <c r="O432" s="873"/>
      <c r="P432" s="873"/>
      <c r="Q432" s="873"/>
      <c r="R432" s="873"/>
      <c r="S432" s="873"/>
      <c r="T432" s="873"/>
      <c r="U432" s="873"/>
      <c r="V432" s="873"/>
      <c r="W432" s="873"/>
      <c r="X432" s="873"/>
      <c r="Y432" s="873"/>
      <c r="Z432" s="873"/>
      <c r="AA432" s="873"/>
      <c r="AB432" s="873"/>
      <c r="AC432" s="873"/>
      <c r="AD432" s="873"/>
      <c r="AE432" s="873"/>
      <c r="AF432" s="873"/>
      <c r="AG432" s="873"/>
      <c r="AH432" s="873"/>
      <c r="AI432" s="873"/>
      <c r="AJ432" s="873"/>
      <c r="AK432" s="873"/>
      <c r="AL432" s="873"/>
      <c r="AM432" s="873"/>
      <c r="AN432" s="873"/>
      <c r="AO432" s="873"/>
      <c r="AP432" s="873"/>
      <c r="AQ432" s="873"/>
      <c r="AR432" s="873"/>
      <c r="AS432" s="873"/>
    </row>
    <row r="433" spans="1:45" ht="12.75" x14ac:dyDescent="0.2">
      <c r="A433" s="873"/>
      <c r="B433" s="873"/>
      <c r="C433" s="873"/>
      <c r="D433" s="873"/>
      <c r="E433" s="873"/>
      <c r="F433" s="873"/>
      <c r="G433" s="873"/>
      <c r="H433" s="873"/>
      <c r="I433" s="873"/>
      <c r="J433" s="873"/>
      <c r="K433" s="873"/>
      <c r="L433" s="873"/>
      <c r="M433" s="873"/>
      <c r="N433" s="873"/>
      <c r="O433" s="873"/>
      <c r="P433" s="873"/>
      <c r="Q433" s="873"/>
      <c r="R433" s="873"/>
      <c r="S433" s="873"/>
      <c r="T433" s="873"/>
      <c r="U433" s="873"/>
      <c r="V433" s="873"/>
      <c r="W433" s="873"/>
      <c r="X433" s="873"/>
      <c r="Y433" s="873"/>
      <c r="Z433" s="873"/>
      <c r="AA433" s="873"/>
      <c r="AB433" s="873"/>
      <c r="AC433" s="873"/>
      <c r="AD433" s="873"/>
      <c r="AE433" s="873"/>
      <c r="AF433" s="873"/>
      <c r="AG433" s="873"/>
      <c r="AH433" s="873"/>
      <c r="AI433" s="873"/>
      <c r="AJ433" s="873"/>
      <c r="AK433" s="873"/>
      <c r="AL433" s="873"/>
      <c r="AM433" s="873"/>
      <c r="AN433" s="873"/>
      <c r="AO433" s="873"/>
      <c r="AP433" s="873"/>
      <c r="AQ433" s="873"/>
      <c r="AR433" s="873"/>
      <c r="AS433" s="873"/>
    </row>
    <row r="434" spans="1:45" ht="12.75" x14ac:dyDescent="0.2">
      <c r="A434" s="873"/>
      <c r="B434" s="873"/>
      <c r="C434" s="873"/>
      <c r="D434" s="873"/>
      <c r="E434" s="873"/>
      <c r="F434" s="873"/>
      <c r="G434" s="873"/>
      <c r="H434" s="873"/>
      <c r="I434" s="873"/>
      <c r="J434" s="873"/>
      <c r="K434" s="873"/>
      <c r="L434" s="873"/>
      <c r="M434" s="873"/>
      <c r="N434" s="873"/>
      <c r="O434" s="873"/>
      <c r="P434" s="873"/>
      <c r="Q434" s="873"/>
      <c r="R434" s="873"/>
      <c r="S434" s="873"/>
      <c r="T434" s="873"/>
      <c r="U434" s="873"/>
      <c r="V434" s="873"/>
      <c r="W434" s="873"/>
      <c r="X434" s="873"/>
      <c r="Y434" s="873"/>
      <c r="Z434" s="873"/>
      <c r="AA434" s="873"/>
      <c r="AB434" s="873"/>
      <c r="AC434" s="873"/>
      <c r="AD434" s="873"/>
      <c r="AE434" s="873"/>
      <c r="AF434" s="873"/>
      <c r="AG434" s="873"/>
      <c r="AH434" s="873"/>
      <c r="AI434" s="873"/>
      <c r="AJ434" s="873"/>
      <c r="AK434" s="873"/>
      <c r="AL434" s="873"/>
      <c r="AM434" s="873"/>
      <c r="AN434" s="873"/>
      <c r="AO434" s="873"/>
      <c r="AP434" s="873"/>
      <c r="AQ434" s="873"/>
      <c r="AR434" s="873"/>
      <c r="AS434" s="873"/>
    </row>
    <row r="435" spans="1:45" ht="12.75" x14ac:dyDescent="0.2">
      <c r="A435" s="873"/>
      <c r="B435" s="873"/>
      <c r="C435" s="873"/>
      <c r="D435" s="873"/>
      <c r="E435" s="873"/>
      <c r="F435" s="873"/>
      <c r="G435" s="873"/>
      <c r="H435" s="873"/>
      <c r="I435" s="873"/>
      <c r="J435" s="873"/>
      <c r="K435" s="873"/>
      <c r="L435" s="873"/>
      <c r="M435" s="873"/>
      <c r="N435" s="873"/>
      <c r="O435" s="873"/>
      <c r="P435" s="873"/>
      <c r="Q435" s="873"/>
      <c r="R435" s="873"/>
      <c r="S435" s="873"/>
      <c r="T435" s="873"/>
      <c r="U435" s="873"/>
      <c r="V435" s="873"/>
      <c r="W435" s="873"/>
      <c r="X435" s="873"/>
      <c r="Y435" s="873"/>
      <c r="Z435" s="873"/>
      <c r="AA435" s="873"/>
      <c r="AB435" s="873"/>
      <c r="AC435" s="873"/>
      <c r="AD435" s="873"/>
      <c r="AE435" s="873"/>
      <c r="AF435" s="873"/>
      <c r="AG435" s="873"/>
      <c r="AH435" s="873"/>
      <c r="AI435" s="873"/>
      <c r="AJ435" s="873"/>
      <c r="AK435" s="873"/>
      <c r="AL435" s="873"/>
      <c r="AM435" s="873"/>
      <c r="AN435" s="873"/>
      <c r="AO435" s="873"/>
      <c r="AP435" s="873"/>
      <c r="AQ435" s="873"/>
      <c r="AR435" s="873"/>
      <c r="AS435" s="873"/>
    </row>
    <row r="436" spans="1:45" ht="12.75" x14ac:dyDescent="0.2">
      <c r="A436" s="873"/>
      <c r="B436" s="873"/>
      <c r="C436" s="873"/>
      <c r="D436" s="873"/>
      <c r="E436" s="873"/>
      <c r="F436" s="873"/>
      <c r="G436" s="873"/>
      <c r="H436" s="873"/>
      <c r="I436" s="873"/>
      <c r="J436" s="873"/>
      <c r="K436" s="873"/>
      <c r="L436" s="873"/>
      <c r="M436" s="873"/>
      <c r="N436" s="873"/>
      <c r="O436" s="873"/>
      <c r="P436" s="873"/>
      <c r="Q436" s="873"/>
      <c r="R436" s="873"/>
      <c r="S436" s="873"/>
      <c r="T436" s="873"/>
      <c r="U436" s="873"/>
      <c r="V436" s="873"/>
      <c r="W436" s="873"/>
      <c r="X436" s="873"/>
      <c r="Y436" s="873"/>
      <c r="Z436" s="873"/>
      <c r="AA436" s="873"/>
      <c r="AB436" s="873"/>
      <c r="AC436" s="873"/>
      <c r="AD436" s="873"/>
      <c r="AE436" s="873"/>
      <c r="AF436" s="873"/>
      <c r="AG436" s="873"/>
      <c r="AH436" s="873"/>
      <c r="AI436" s="873"/>
      <c r="AJ436" s="873"/>
      <c r="AK436" s="873"/>
      <c r="AL436" s="873"/>
      <c r="AM436" s="873"/>
      <c r="AN436" s="873"/>
      <c r="AO436" s="873"/>
      <c r="AP436" s="873"/>
      <c r="AQ436" s="873"/>
      <c r="AR436" s="873"/>
      <c r="AS436" s="873"/>
    </row>
    <row r="437" spans="1:45" ht="12.75" x14ac:dyDescent="0.2">
      <c r="A437" s="873"/>
      <c r="B437" s="873"/>
      <c r="C437" s="873"/>
      <c r="D437" s="873"/>
      <c r="E437" s="873"/>
      <c r="F437" s="873"/>
      <c r="G437" s="873"/>
      <c r="H437" s="873"/>
      <c r="I437" s="873"/>
      <c r="J437" s="873"/>
      <c r="K437" s="873"/>
      <c r="L437" s="873"/>
      <c r="M437" s="873"/>
      <c r="N437" s="873"/>
      <c r="O437" s="873"/>
      <c r="P437" s="873"/>
      <c r="Q437" s="873"/>
      <c r="R437" s="873"/>
      <c r="S437" s="873"/>
      <c r="T437" s="873"/>
      <c r="U437" s="873"/>
      <c r="V437" s="873"/>
      <c r="W437" s="873"/>
      <c r="X437" s="873"/>
      <c r="Y437" s="873"/>
      <c r="Z437" s="873"/>
      <c r="AA437" s="873"/>
      <c r="AB437" s="873"/>
      <c r="AC437" s="873"/>
      <c r="AD437" s="873"/>
      <c r="AE437" s="873"/>
      <c r="AF437" s="873"/>
      <c r="AG437" s="873"/>
      <c r="AH437" s="873"/>
      <c r="AI437" s="873"/>
      <c r="AJ437" s="873"/>
      <c r="AK437" s="873"/>
      <c r="AL437" s="873"/>
      <c r="AM437" s="873"/>
      <c r="AN437" s="873"/>
      <c r="AO437" s="873"/>
      <c r="AP437" s="873"/>
      <c r="AQ437" s="873"/>
      <c r="AR437" s="873"/>
      <c r="AS437" s="873"/>
    </row>
    <row r="438" spans="1:45" ht="12.75" x14ac:dyDescent="0.2">
      <c r="A438" s="873"/>
      <c r="B438" s="873"/>
      <c r="C438" s="873"/>
      <c r="D438" s="873"/>
      <c r="E438" s="873"/>
      <c r="F438" s="873"/>
      <c r="G438" s="873"/>
      <c r="H438" s="873"/>
      <c r="I438" s="873"/>
      <c r="J438" s="873"/>
      <c r="K438" s="873"/>
      <c r="L438" s="873"/>
      <c r="M438" s="873"/>
      <c r="N438" s="873"/>
      <c r="O438" s="873"/>
      <c r="P438" s="873"/>
      <c r="Q438" s="873"/>
      <c r="R438" s="873"/>
      <c r="S438" s="873"/>
      <c r="T438" s="873"/>
      <c r="U438" s="873"/>
      <c r="V438" s="873"/>
      <c r="W438" s="873"/>
      <c r="X438" s="873"/>
      <c r="Y438" s="873"/>
      <c r="Z438" s="873"/>
      <c r="AA438" s="873"/>
      <c r="AB438" s="873"/>
      <c r="AC438" s="873"/>
      <c r="AD438" s="873"/>
      <c r="AE438" s="873"/>
      <c r="AF438" s="873"/>
      <c r="AG438" s="873"/>
      <c r="AH438" s="873"/>
      <c r="AI438" s="873"/>
      <c r="AJ438" s="873"/>
      <c r="AK438" s="873"/>
      <c r="AL438" s="873"/>
      <c r="AM438" s="873"/>
      <c r="AN438" s="873"/>
      <c r="AO438" s="873"/>
      <c r="AP438" s="873"/>
      <c r="AQ438" s="873"/>
      <c r="AR438" s="873"/>
      <c r="AS438" s="873"/>
    </row>
    <row r="439" spans="1:45" ht="12.75" x14ac:dyDescent="0.2">
      <c r="A439" s="873"/>
      <c r="B439" s="873"/>
      <c r="C439" s="873"/>
      <c r="D439" s="873"/>
      <c r="E439" s="873"/>
      <c r="F439" s="873"/>
      <c r="G439" s="873"/>
      <c r="H439" s="873"/>
      <c r="I439" s="873"/>
      <c r="J439" s="873"/>
      <c r="K439" s="873"/>
      <c r="L439" s="873"/>
      <c r="M439" s="873"/>
      <c r="N439" s="873"/>
      <c r="O439" s="873"/>
      <c r="P439" s="873"/>
      <c r="Q439" s="873"/>
      <c r="R439" s="873"/>
      <c r="S439" s="873"/>
      <c r="T439" s="873"/>
      <c r="U439" s="873"/>
      <c r="V439" s="873"/>
      <c r="W439" s="873"/>
      <c r="X439" s="873"/>
      <c r="Y439" s="873"/>
      <c r="Z439" s="873"/>
      <c r="AA439" s="873"/>
      <c r="AB439" s="873"/>
      <c r="AC439" s="873"/>
      <c r="AD439" s="873"/>
      <c r="AE439" s="873"/>
      <c r="AF439" s="873"/>
      <c r="AG439" s="873"/>
      <c r="AH439" s="873"/>
      <c r="AI439" s="873"/>
      <c r="AJ439" s="873"/>
      <c r="AK439" s="873"/>
      <c r="AL439" s="873"/>
      <c r="AM439" s="873"/>
      <c r="AN439" s="873"/>
      <c r="AO439" s="873"/>
      <c r="AP439" s="873"/>
      <c r="AQ439" s="873"/>
      <c r="AR439" s="873"/>
      <c r="AS439" s="873"/>
    </row>
    <row r="440" spans="1:45" ht="12.75" x14ac:dyDescent="0.2">
      <c r="A440" s="873"/>
      <c r="B440" s="873"/>
      <c r="C440" s="873"/>
      <c r="D440" s="873"/>
      <c r="E440" s="873"/>
      <c r="F440" s="873"/>
      <c r="G440" s="873"/>
      <c r="H440" s="873"/>
      <c r="I440" s="873"/>
      <c r="J440" s="873"/>
      <c r="K440" s="873"/>
      <c r="L440" s="873"/>
      <c r="M440" s="873"/>
      <c r="N440" s="873"/>
      <c r="O440" s="873"/>
      <c r="P440" s="873"/>
      <c r="Q440" s="873"/>
      <c r="R440" s="873"/>
      <c r="S440" s="873"/>
      <c r="T440" s="873"/>
      <c r="U440" s="873"/>
      <c r="V440" s="873"/>
      <c r="W440" s="873"/>
      <c r="X440" s="873"/>
      <c r="Y440" s="873"/>
      <c r="Z440" s="873"/>
      <c r="AA440" s="873"/>
      <c r="AB440" s="873"/>
      <c r="AC440" s="873"/>
      <c r="AD440" s="873"/>
      <c r="AE440" s="873"/>
      <c r="AF440" s="873"/>
      <c r="AG440" s="873"/>
      <c r="AH440" s="873"/>
      <c r="AI440" s="873"/>
      <c r="AJ440" s="873"/>
      <c r="AK440" s="873"/>
      <c r="AL440" s="873"/>
      <c r="AM440" s="873"/>
      <c r="AN440" s="873"/>
      <c r="AO440" s="873"/>
      <c r="AP440" s="873"/>
      <c r="AQ440" s="873"/>
      <c r="AR440" s="873"/>
      <c r="AS440" s="873"/>
    </row>
    <row r="441" spans="1:45" ht="12.75" x14ac:dyDescent="0.2">
      <c r="A441" s="873"/>
      <c r="B441" s="873"/>
      <c r="C441" s="873"/>
      <c r="D441" s="873"/>
      <c r="E441" s="873"/>
      <c r="F441" s="873"/>
      <c r="G441" s="873"/>
      <c r="H441" s="873"/>
      <c r="I441" s="873"/>
      <c r="J441" s="873"/>
      <c r="K441" s="873"/>
      <c r="L441" s="873"/>
      <c r="M441" s="873"/>
      <c r="N441" s="873"/>
      <c r="O441" s="873"/>
      <c r="P441" s="873"/>
      <c r="Q441" s="873"/>
      <c r="R441" s="873"/>
      <c r="S441" s="873"/>
      <c r="T441" s="873"/>
      <c r="U441" s="873"/>
      <c r="V441" s="873"/>
      <c r="W441" s="873"/>
      <c r="X441" s="873"/>
      <c r="Y441" s="873"/>
      <c r="Z441" s="873"/>
      <c r="AA441" s="873"/>
      <c r="AB441" s="873"/>
      <c r="AC441" s="873"/>
      <c r="AD441" s="873"/>
      <c r="AE441" s="873"/>
      <c r="AF441" s="873"/>
      <c r="AG441" s="873"/>
      <c r="AH441" s="873"/>
      <c r="AI441" s="873"/>
      <c r="AJ441" s="873"/>
      <c r="AK441" s="873"/>
      <c r="AL441" s="873"/>
      <c r="AM441" s="873"/>
      <c r="AN441" s="873"/>
      <c r="AO441" s="873"/>
      <c r="AP441" s="873"/>
      <c r="AQ441" s="873"/>
      <c r="AR441" s="873"/>
      <c r="AS441" s="873"/>
    </row>
    <row r="442" spans="1:45" ht="12.75" x14ac:dyDescent="0.2">
      <c r="A442" s="873"/>
      <c r="B442" s="873"/>
      <c r="C442" s="873"/>
      <c r="D442" s="873"/>
      <c r="E442" s="873"/>
      <c r="F442" s="873"/>
      <c r="G442" s="873"/>
      <c r="H442" s="873"/>
      <c r="I442" s="873"/>
      <c r="J442" s="873"/>
      <c r="K442" s="873"/>
      <c r="L442" s="873"/>
      <c r="M442" s="873"/>
      <c r="N442" s="873"/>
      <c r="O442" s="873"/>
      <c r="P442" s="873"/>
      <c r="Q442" s="873"/>
      <c r="R442" s="873"/>
      <c r="S442" s="873"/>
      <c r="T442" s="873"/>
      <c r="U442" s="873"/>
      <c r="V442" s="873"/>
      <c r="W442" s="873"/>
      <c r="X442" s="873"/>
      <c r="Y442" s="873"/>
      <c r="Z442" s="873"/>
      <c r="AA442" s="873"/>
      <c r="AB442" s="873"/>
      <c r="AC442" s="873"/>
      <c r="AD442" s="873"/>
      <c r="AE442" s="873"/>
      <c r="AF442" s="873"/>
      <c r="AG442" s="873"/>
      <c r="AH442" s="873"/>
      <c r="AI442" s="873"/>
      <c r="AJ442" s="873"/>
      <c r="AK442" s="873"/>
      <c r="AL442" s="873"/>
      <c r="AM442" s="873"/>
      <c r="AN442" s="873"/>
      <c r="AO442" s="873"/>
      <c r="AP442" s="873"/>
      <c r="AQ442" s="873"/>
      <c r="AR442" s="873"/>
      <c r="AS442" s="873"/>
    </row>
    <row r="443" spans="1:45" ht="12.75" x14ac:dyDescent="0.2">
      <c r="A443" s="873"/>
      <c r="B443" s="873"/>
      <c r="C443" s="873"/>
      <c r="D443" s="873"/>
      <c r="E443" s="873"/>
      <c r="F443" s="873"/>
      <c r="G443" s="873"/>
      <c r="H443" s="873"/>
      <c r="I443" s="873"/>
      <c r="J443" s="873"/>
      <c r="K443" s="873"/>
      <c r="L443" s="873"/>
      <c r="M443" s="873"/>
      <c r="N443" s="873"/>
      <c r="O443" s="873"/>
      <c r="P443" s="873"/>
      <c r="Q443" s="873"/>
      <c r="R443" s="873"/>
      <c r="S443" s="873"/>
      <c r="T443" s="873"/>
      <c r="U443" s="873"/>
      <c r="V443" s="873"/>
      <c r="W443" s="873"/>
      <c r="X443" s="873"/>
      <c r="Y443" s="873"/>
      <c r="Z443" s="873"/>
      <c r="AA443" s="873"/>
      <c r="AB443" s="873"/>
      <c r="AC443" s="873"/>
      <c r="AD443" s="873"/>
      <c r="AE443" s="873"/>
      <c r="AF443" s="873"/>
      <c r="AG443" s="873"/>
      <c r="AH443" s="873"/>
      <c r="AI443" s="873"/>
      <c r="AJ443" s="873"/>
      <c r="AK443" s="873"/>
      <c r="AL443" s="873"/>
      <c r="AM443" s="873"/>
      <c r="AN443" s="873"/>
      <c r="AO443" s="873"/>
      <c r="AP443" s="873"/>
      <c r="AQ443" s="873"/>
      <c r="AR443" s="873"/>
      <c r="AS443" s="873"/>
    </row>
    <row r="444" spans="1:45" ht="12.75" x14ac:dyDescent="0.2">
      <c r="A444" s="873"/>
      <c r="B444" s="873"/>
      <c r="C444" s="873"/>
      <c r="D444" s="873"/>
      <c r="E444" s="873"/>
      <c r="F444" s="873"/>
      <c r="G444" s="873"/>
      <c r="H444" s="873"/>
      <c r="I444" s="873"/>
      <c r="J444" s="873"/>
      <c r="K444" s="873"/>
      <c r="L444" s="873"/>
      <c r="M444" s="873"/>
      <c r="N444" s="873"/>
      <c r="O444" s="873"/>
      <c r="P444" s="873"/>
      <c r="Q444" s="873"/>
      <c r="R444" s="873"/>
      <c r="S444" s="873"/>
      <c r="T444" s="873"/>
      <c r="U444" s="873"/>
      <c r="V444" s="873"/>
      <c r="W444" s="873"/>
      <c r="X444" s="873"/>
      <c r="Y444" s="873"/>
      <c r="Z444" s="873"/>
      <c r="AA444" s="873"/>
      <c r="AB444" s="873"/>
      <c r="AC444" s="873"/>
      <c r="AD444" s="873"/>
      <c r="AE444" s="873"/>
      <c r="AF444" s="873"/>
      <c r="AG444" s="873"/>
      <c r="AH444" s="873"/>
      <c r="AI444" s="873"/>
      <c r="AJ444" s="873"/>
      <c r="AK444" s="873"/>
      <c r="AL444" s="873"/>
      <c r="AM444" s="873"/>
      <c r="AN444" s="873"/>
      <c r="AO444" s="873"/>
      <c r="AP444" s="873"/>
      <c r="AQ444" s="873"/>
      <c r="AR444" s="873"/>
      <c r="AS444" s="873"/>
    </row>
    <row r="445" spans="1:45" ht="12.75" x14ac:dyDescent="0.2">
      <c r="A445" s="873"/>
      <c r="B445" s="873"/>
      <c r="C445" s="873"/>
      <c r="D445" s="873"/>
      <c r="E445" s="873"/>
      <c r="F445" s="873"/>
      <c r="G445" s="873"/>
      <c r="H445" s="873"/>
      <c r="I445" s="873"/>
      <c r="J445" s="873"/>
      <c r="K445" s="873"/>
      <c r="L445" s="873"/>
      <c r="M445" s="873"/>
      <c r="N445" s="873"/>
      <c r="O445" s="873"/>
      <c r="P445" s="873"/>
      <c r="Q445" s="873"/>
      <c r="R445" s="873"/>
      <c r="S445" s="873"/>
      <c r="T445" s="873"/>
      <c r="U445" s="873"/>
      <c r="V445" s="873"/>
      <c r="W445" s="873"/>
      <c r="X445" s="873"/>
      <c r="Y445" s="873"/>
      <c r="Z445" s="873"/>
      <c r="AA445" s="873"/>
      <c r="AB445" s="873"/>
      <c r="AC445" s="873"/>
      <c r="AD445" s="873"/>
      <c r="AE445" s="873"/>
      <c r="AF445" s="873"/>
      <c r="AG445" s="873"/>
      <c r="AH445" s="873"/>
      <c r="AI445" s="873"/>
      <c r="AJ445" s="873"/>
      <c r="AK445" s="873"/>
      <c r="AL445" s="873"/>
      <c r="AM445" s="873"/>
      <c r="AN445" s="873"/>
      <c r="AO445" s="873"/>
      <c r="AP445" s="873"/>
      <c r="AQ445" s="873"/>
      <c r="AR445" s="873"/>
      <c r="AS445" s="873"/>
    </row>
    <row r="446" spans="1:45" ht="12.75" x14ac:dyDescent="0.2">
      <c r="A446" s="873"/>
      <c r="B446" s="873"/>
      <c r="C446" s="873"/>
      <c r="D446" s="873"/>
      <c r="E446" s="873"/>
      <c r="F446" s="873"/>
      <c r="G446" s="873"/>
      <c r="H446" s="873"/>
      <c r="I446" s="873"/>
      <c r="J446" s="873"/>
      <c r="K446" s="873"/>
      <c r="L446" s="873"/>
      <c r="M446" s="873"/>
      <c r="N446" s="873"/>
      <c r="O446" s="873"/>
      <c r="P446" s="873"/>
      <c r="Q446" s="873"/>
      <c r="R446" s="873"/>
      <c r="S446" s="873"/>
      <c r="T446" s="873"/>
      <c r="U446" s="873"/>
      <c r="V446" s="873"/>
      <c r="W446" s="873"/>
      <c r="X446" s="873"/>
      <c r="Y446" s="873"/>
      <c r="Z446" s="873"/>
      <c r="AA446" s="873"/>
      <c r="AB446" s="873"/>
      <c r="AC446" s="873"/>
      <c r="AD446" s="873"/>
      <c r="AE446" s="873"/>
      <c r="AF446" s="873"/>
      <c r="AG446" s="873"/>
      <c r="AH446" s="873"/>
      <c r="AI446" s="873"/>
      <c r="AJ446" s="873"/>
      <c r="AK446" s="873"/>
      <c r="AL446" s="873"/>
      <c r="AM446" s="873"/>
      <c r="AN446" s="873"/>
      <c r="AO446" s="873"/>
      <c r="AP446" s="873"/>
      <c r="AQ446" s="873"/>
      <c r="AR446" s="873"/>
      <c r="AS446" s="873"/>
    </row>
    <row r="447" spans="1:45" ht="12.75" x14ac:dyDescent="0.2">
      <c r="A447" s="873"/>
      <c r="B447" s="873"/>
      <c r="C447" s="873"/>
      <c r="D447" s="873"/>
      <c r="E447" s="873"/>
      <c r="F447" s="873"/>
      <c r="G447" s="873"/>
      <c r="H447" s="873"/>
      <c r="I447" s="873"/>
      <c r="J447" s="873"/>
      <c r="K447" s="873"/>
      <c r="L447" s="873"/>
      <c r="M447" s="873"/>
      <c r="N447" s="873"/>
      <c r="O447" s="873"/>
      <c r="P447" s="873"/>
      <c r="Q447" s="873"/>
      <c r="R447" s="873"/>
      <c r="S447" s="873"/>
      <c r="T447" s="873"/>
      <c r="U447" s="873"/>
      <c r="V447" s="873"/>
      <c r="W447" s="873"/>
      <c r="X447" s="873"/>
      <c r="Y447" s="873"/>
      <c r="Z447" s="873"/>
      <c r="AA447" s="873"/>
      <c r="AB447" s="873"/>
      <c r="AC447" s="873"/>
      <c r="AD447" s="873"/>
      <c r="AE447" s="873"/>
      <c r="AF447" s="873"/>
      <c r="AG447" s="873"/>
      <c r="AH447" s="873"/>
      <c r="AI447" s="873"/>
      <c r="AJ447" s="873"/>
      <c r="AK447" s="873"/>
      <c r="AL447" s="873"/>
      <c r="AM447" s="873"/>
      <c r="AN447" s="873"/>
      <c r="AO447" s="873"/>
      <c r="AP447" s="873"/>
      <c r="AQ447" s="873"/>
      <c r="AR447" s="873"/>
      <c r="AS447" s="873"/>
    </row>
    <row r="448" spans="1:45" ht="12.75" x14ac:dyDescent="0.2">
      <c r="A448" s="873"/>
      <c r="B448" s="873"/>
      <c r="C448" s="873"/>
      <c r="D448" s="873"/>
      <c r="E448" s="873"/>
      <c r="F448" s="873"/>
      <c r="G448" s="873"/>
      <c r="H448" s="873"/>
      <c r="I448" s="873"/>
      <c r="J448" s="873"/>
      <c r="K448" s="873"/>
      <c r="L448" s="873"/>
      <c r="M448" s="873"/>
      <c r="N448" s="873"/>
      <c r="O448" s="873"/>
      <c r="P448" s="873"/>
      <c r="Q448" s="873"/>
      <c r="R448" s="873"/>
      <c r="S448" s="873"/>
      <c r="T448" s="873"/>
      <c r="U448" s="873"/>
      <c r="V448" s="873"/>
      <c r="W448" s="873"/>
      <c r="X448" s="873"/>
      <c r="Y448" s="873"/>
      <c r="Z448" s="873"/>
      <c r="AA448" s="873"/>
      <c r="AB448" s="873"/>
      <c r="AC448" s="873"/>
      <c r="AD448" s="873"/>
      <c r="AE448" s="873"/>
      <c r="AF448" s="873"/>
      <c r="AG448" s="873"/>
      <c r="AH448" s="873"/>
      <c r="AI448" s="873"/>
      <c r="AJ448" s="873"/>
      <c r="AK448" s="873"/>
      <c r="AL448" s="873"/>
      <c r="AM448" s="873"/>
      <c r="AN448" s="873"/>
      <c r="AO448" s="873"/>
      <c r="AP448" s="873"/>
      <c r="AQ448" s="873"/>
      <c r="AR448" s="873"/>
      <c r="AS448" s="873"/>
    </row>
    <row r="449" spans="1:45" ht="12.75" x14ac:dyDescent="0.2">
      <c r="A449" s="873"/>
      <c r="B449" s="873"/>
      <c r="C449" s="873"/>
      <c r="D449" s="873"/>
      <c r="E449" s="873"/>
      <c r="F449" s="873"/>
      <c r="G449" s="873"/>
      <c r="H449" s="873"/>
      <c r="I449" s="873"/>
      <c r="J449" s="873"/>
      <c r="K449" s="873"/>
      <c r="L449" s="873"/>
      <c r="M449" s="873"/>
      <c r="N449" s="873"/>
      <c r="O449" s="873"/>
      <c r="P449" s="873"/>
      <c r="Q449" s="873"/>
      <c r="R449" s="873"/>
      <c r="S449" s="873"/>
      <c r="T449" s="873"/>
      <c r="U449" s="873"/>
      <c r="V449" s="873"/>
      <c r="W449" s="873"/>
      <c r="X449" s="873"/>
      <c r="Y449" s="873"/>
      <c r="Z449" s="873"/>
      <c r="AA449" s="873"/>
      <c r="AB449" s="873"/>
      <c r="AC449" s="873"/>
      <c r="AD449" s="873"/>
      <c r="AE449" s="873"/>
      <c r="AF449" s="873"/>
      <c r="AG449" s="873"/>
      <c r="AH449" s="873"/>
      <c r="AI449" s="873"/>
      <c r="AJ449" s="873"/>
      <c r="AK449" s="873"/>
      <c r="AL449" s="873"/>
      <c r="AM449" s="873"/>
      <c r="AN449" s="873"/>
      <c r="AO449" s="873"/>
      <c r="AP449" s="873"/>
      <c r="AQ449" s="873"/>
      <c r="AR449" s="873"/>
      <c r="AS449" s="873"/>
    </row>
    <row r="450" spans="1:45" ht="12.75" x14ac:dyDescent="0.2">
      <c r="A450" s="873"/>
      <c r="B450" s="873"/>
      <c r="C450" s="873"/>
      <c r="D450" s="873"/>
      <c r="E450" s="873"/>
      <c r="F450" s="873"/>
      <c r="G450" s="873"/>
      <c r="H450" s="873"/>
      <c r="I450" s="873"/>
      <c r="J450" s="873"/>
      <c r="K450" s="873"/>
      <c r="L450" s="873"/>
      <c r="M450" s="873"/>
      <c r="N450" s="873"/>
      <c r="O450" s="873"/>
      <c r="P450" s="873"/>
      <c r="Q450" s="873"/>
      <c r="R450" s="873"/>
      <c r="S450" s="873"/>
      <c r="T450" s="873"/>
      <c r="U450" s="873"/>
      <c r="V450" s="873"/>
      <c r="W450" s="873"/>
      <c r="X450" s="873"/>
      <c r="Y450" s="873"/>
      <c r="Z450" s="873"/>
      <c r="AA450" s="873"/>
      <c r="AB450" s="873"/>
      <c r="AC450" s="873"/>
      <c r="AD450" s="873"/>
      <c r="AE450" s="873"/>
      <c r="AF450" s="873"/>
      <c r="AG450" s="873"/>
      <c r="AH450" s="873"/>
      <c r="AI450" s="873"/>
      <c r="AJ450" s="873"/>
      <c r="AK450" s="873"/>
      <c r="AL450" s="873"/>
      <c r="AM450" s="873"/>
      <c r="AN450" s="873"/>
      <c r="AO450" s="873"/>
      <c r="AP450" s="873"/>
      <c r="AQ450" s="873"/>
      <c r="AR450" s="873"/>
      <c r="AS450" s="873"/>
    </row>
    <row r="451" spans="1:45" ht="12.75" x14ac:dyDescent="0.2">
      <c r="A451" s="873"/>
      <c r="B451" s="873"/>
      <c r="C451" s="873"/>
      <c r="D451" s="873"/>
      <c r="E451" s="873"/>
      <c r="F451" s="873"/>
      <c r="G451" s="873"/>
      <c r="H451" s="873"/>
      <c r="I451" s="873"/>
      <c r="J451" s="873"/>
      <c r="K451" s="873"/>
      <c r="L451" s="873"/>
      <c r="M451" s="873"/>
      <c r="N451" s="873"/>
      <c r="O451" s="873"/>
      <c r="P451" s="873"/>
      <c r="Q451" s="873"/>
      <c r="R451" s="873"/>
      <c r="S451" s="873"/>
      <c r="T451" s="873"/>
      <c r="U451" s="873"/>
      <c r="V451" s="873"/>
      <c r="W451" s="873"/>
      <c r="X451" s="873"/>
      <c r="Y451" s="873"/>
      <c r="Z451" s="873"/>
      <c r="AA451" s="873"/>
      <c r="AB451" s="873"/>
      <c r="AC451" s="873"/>
      <c r="AD451" s="873"/>
      <c r="AE451" s="873"/>
      <c r="AF451" s="873"/>
      <c r="AG451" s="873"/>
      <c r="AH451" s="873"/>
      <c r="AI451" s="873"/>
      <c r="AJ451" s="873"/>
      <c r="AK451" s="873"/>
      <c r="AL451" s="873"/>
      <c r="AM451" s="873"/>
      <c r="AN451" s="873"/>
      <c r="AO451" s="873"/>
      <c r="AP451" s="873"/>
      <c r="AQ451" s="873"/>
      <c r="AR451" s="873"/>
      <c r="AS451" s="873"/>
    </row>
    <row r="452" spans="1:45" ht="12.75" x14ac:dyDescent="0.2">
      <c r="A452" s="873"/>
      <c r="B452" s="873"/>
      <c r="C452" s="873"/>
      <c r="D452" s="873"/>
      <c r="E452" s="873"/>
      <c r="F452" s="873"/>
      <c r="G452" s="873"/>
      <c r="H452" s="873"/>
      <c r="I452" s="873"/>
      <c r="J452" s="873"/>
      <c r="K452" s="873"/>
      <c r="L452" s="873"/>
      <c r="M452" s="873"/>
      <c r="N452" s="873"/>
      <c r="O452" s="873"/>
      <c r="P452" s="873"/>
      <c r="Q452" s="873"/>
      <c r="R452" s="873"/>
      <c r="S452" s="873"/>
      <c r="T452" s="873"/>
      <c r="U452" s="873"/>
      <c r="V452" s="873"/>
      <c r="W452" s="873"/>
      <c r="X452" s="873"/>
      <c r="Y452" s="873"/>
      <c r="Z452" s="873"/>
      <c r="AA452" s="873"/>
      <c r="AB452" s="873"/>
      <c r="AC452" s="873"/>
      <c r="AD452" s="873"/>
      <c r="AE452" s="873"/>
      <c r="AF452" s="873"/>
      <c r="AG452" s="873"/>
      <c r="AH452" s="873"/>
      <c r="AI452" s="873"/>
      <c r="AJ452" s="873"/>
      <c r="AK452" s="873"/>
      <c r="AL452" s="873"/>
      <c r="AM452" s="873"/>
      <c r="AN452" s="873"/>
      <c r="AO452" s="873"/>
      <c r="AP452" s="873"/>
      <c r="AQ452" s="873"/>
      <c r="AR452" s="873"/>
      <c r="AS452" s="873"/>
    </row>
    <row r="453" spans="1:45" ht="12.75" x14ac:dyDescent="0.2">
      <c r="A453" s="873"/>
      <c r="B453" s="873"/>
      <c r="C453" s="873"/>
      <c r="D453" s="873"/>
      <c r="E453" s="873"/>
      <c r="F453" s="873"/>
      <c r="G453" s="873"/>
      <c r="H453" s="873"/>
      <c r="I453" s="873"/>
      <c r="J453" s="873"/>
      <c r="K453" s="873"/>
      <c r="L453" s="873"/>
      <c r="M453" s="873"/>
      <c r="N453" s="873"/>
      <c r="O453" s="873"/>
      <c r="P453" s="873"/>
      <c r="Q453" s="873"/>
      <c r="R453" s="873"/>
      <c r="S453" s="873"/>
      <c r="T453" s="873"/>
      <c r="U453" s="873"/>
      <c r="V453" s="873"/>
      <c r="W453" s="873"/>
      <c r="X453" s="873"/>
      <c r="Y453" s="873"/>
      <c r="Z453" s="873"/>
      <c r="AA453" s="873"/>
      <c r="AB453" s="873"/>
      <c r="AC453" s="873"/>
      <c r="AD453" s="873"/>
      <c r="AE453" s="873"/>
      <c r="AF453" s="873"/>
      <c r="AG453" s="873"/>
      <c r="AH453" s="873"/>
      <c r="AI453" s="873"/>
      <c r="AJ453" s="873"/>
      <c r="AK453" s="873"/>
      <c r="AL453" s="873"/>
      <c r="AM453" s="873"/>
      <c r="AN453" s="873"/>
      <c r="AO453" s="873"/>
      <c r="AP453" s="873"/>
      <c r="AQ453" s="873"/>
      <c r="AR453" s="873"/>
      <c r="AS453" s="873"/>
    </row>
    <row r="454" spans="1:45" ht="12.75" x14ac:dyDescent="0.2">
      <c r="A454" s="873"/>
      <c r="B454" s="873"/>
      <c r="C454" s="873"/>
      <c r="D454" s="873"/>
      <c r="E454" s="873"/>
      <c r="F454" s="873"/>
      <c r="G454" s="873"/>
      <c r="H454" s="873"/>
      <c r="I454" s="873"/>
      <c r="J454" s="873"/>
      <c r="K454" s="873"/>
      <c r="L454" s="873"/>
      <c r="M454" s="873"/>
      <c r="N454" s="873"/>
      <c r="O454" s="873"/>
      <c r="P454" s="873"/>
      <c r="Q454" s="873"/>
      <c r="R454" s="873"/>
      <c r="S454" s="873"/>
      <c r="T454" s="873"/>
      <c r="U454" s="873"/>
      <c r="V454" s="873"/>
      <c r="W454" s="873"/>
      <c r="X454" s="873"/>
      <c r="Y454" s="873"/>
      <c r="Z454" s="873"/>
      <c r="AA454" s="873"/>
      <c r="AB454" s="873"/>
      <c r="AC454" s="873"/>
      <c r="AD454" s="873"/>
      <c r="AE454" s="873"/>
      <c r="AF454" s="873"/>
      <c r="AG454" s="873"/>
      <c r="AH454" s="873"/>
      <c r="AI454" s="873"/>
      <c r="AJ454" s="873"/>
      <c r="AK454" s="873"/>
      <c r="AL454" s="873"/>
      <c r="AM454" s="873"/>
      <c r="AN454" s="873"/>
      <c r="AO454" s="873"/>
      <c r="AP454" s="873"/>
      <c r="AQ454" s="873"/>
      <c r="AR454" s="873"/>
      <c r="AS454" s="873"/>
    </row>
    <row r="455" spans="1:45" ht="12.75" x14ac:dyDescent="0.2">
      <c r="A455" s="873"/>
      <c r="B455" s="873"/>
      <c r="C455" s="873"/>
      <c r="D455" s="873"/>
      <c r="E455" s="873"/>
      <c r="F455" s="873"/>
      <c r="G455" s="873"/>
      <c r="H455" s="873"/>
      <c r="I455" s="873"/>
      <c r="J455" s="873"/>
      <c r="K455" s="873"/>
      <c r="L455" s="873"/>
      <c r="M455" s="873"/>
      <c r="N455" s="873"/>
      <c r="O455" s="873"/>
      <c r="P455" s="873"/>
      <c r="Q455" s="873"/>
      <c r="R455" s="873"/>
      <c r="S455" s="873"/>
      <c r="T455" s="873"/>
      <c r="U455" s="873"/>
      <c r="V455" s="873"/>
      <c r="W455" s="873"/>
      <c r="X455" s="873"/>
      <c r="Y455" s="873"/>
      <c r="Z455" s="873"/>
      <c r="AA455" s="873"/>
      <c r="AB455" s="873"/>
      <c r="AC455" s="873"/>
      <c r="AD455" s="873"/>
      <c r="AE455" s="873"/>
      <c r="AF455" s="873"/>
      <c r="AG455" s="873"/>
      <c r="AH455" s="873"/>
      <c r="AI455" s="873"/>
      <c r="AJ455" s="873"/>
      <c r="AK455" s="873"/>
      <c r="AL455" s="873"/>
      <c r="AM455" s="873"/>
      <c r="AN455" s="873"/>
      <c r="AO455" s="873"/>
      <c r="AP455" s="873"/>
      <c r="AQ455" s="873"/>
      <c r="AR455" s="873"/>
      <c r="AS455" s="873"/>
    </row>
    <row r="456" spans="1:45" ht="12.75" x14ac:dyDescent="0.2">
      <c r="A456" s="873"/>
      <c r="B456" s="873"/>
      <c r="C456" s="873"/>
      <c r="D456" s="873"/>
      <c r="E456" s="873"/>
      <c r="F456" s="873"/>
      <c r="G456" s="873"/>
      <c r="H456" s="873"/>
      <c r="I456" s="873"/>
      <c r="J456" s="873"/>
      <c r="K456" s="873"/>
      <c r="L456" s="873"/>
      <c r="M456" s="873"/>
      <c r="N456" s="873"/>
      <c r="O456" s="873"/>
      <c r="P456" s="873"/>
      <c r="Q456" s="873"/>
      <c r="R456" s="873"/>
      <c r="S456" s="873"/>
      <c r="T456" s="873"/>
      <c r="U456" s="873"/>
      <c r="V456" s="873"/>
      <c r="W456" s="873"/>
      <c r="X456" s="873"/>
      <c r="Y456" s="873"/>
      <c r="Z456" s="873"/>
      <c r="AA456" s="873"/>
      <c r="AB456" s="873"/>
      <c r="AC456" s="873"/>
      <c r="AD456" s="873"/>
      <c r="AE456" s="873"/>
      <c r="AF456" s="873"/>
      <c r="AG456" s="873"/>
      <c r="AH456" s="873"/>
      <c r="AI456" s="873"/>
      <c r="AJ456" s="873"/>
      <c r="AK456" s="873"/>
      <c r="AL456" s="873"/>
      <c r="AM456" s="873"/>
      <c r="AN456" s="873"/>
      <c r="AO456" s="873"/>
      <c r="AP456" s="873"/>
      <c r="AQ456" s="873"/>
      <c r="AR456" s="873"/>
      <c r="AS456" s="873"/>
    </row>
    <row r="457" spans="1:45" ht="12.75" x14ac:dyDescent="0.2">
      <c r="A457" s="873"/>
      <c r="B457" s="873"/>
      <c r="C457" s="873"/>
      <c r="D457" s="873"/>
      <c r="E457" s="873"/>
      <c r="F457" s="873"/>
      <c r="G457" s="873"/>
      <c r="H457" s="873"/>
      <c r="I457" s="873"/>
      <c r="J457" s="873"/>
      <c r="K457" s="873"/>
      <c r="L457" s="873"/>
      <c r="M457" s="873"/>
      <c r="N457" s="873"/>
      <c r="O457" s="873"/>
      <c r="P457" s="873"/>
      <c r="Q457" s="873"/>
      <c r="R457" s="873"/>
      <c r="S457" s="873"/>
      <c r="T457" s="873"/>
      <c r="U457" s="873"/>
      <c r="V457" s="873"/>
      <c r="W457" s="873"/>
      <c r="X457" s="873"/>
      <c r="Y457" s="873"/>
      <c r="Z457" s="873"/>
      <c r="AA457" s="873"/>
      <c r="AB457" s="873"/>
      <c r="AC457" s="873"/>
      <c r="AD457" s="873"/>
      <c r="AE457" s="873"/>
      <c r="AF457" s="873"/>
      <c r="AG457" s="873"/>
      <c r="AH457" s="873"/>
      <c r="AI457" s="873"/>
      <c r="AJ457" s="873"/>
      <c r="AK457" s="873"/>
      <c r="AL457" s="873"/>
      <c r="AM457" s="873"/>
      <c r="AN457" s="873"/>
      <c r="AO457" s="873"/>
      <c r="AP457" s="873"/>
      <c r="AQ457" s="873"/>
      <c r="AR457" s="873"/>
      <c r="AS457" s="873"/>
    </row>
    <row r="458" spans="1:45" ht="12.75" x14ac:dyDescent="0.2">
      <c r="A458" s="873"/>
      <c r="B458" s="873"/>
      <c r="C458" s="873"/>
      <c r="D458" s="873"/>
      <c r="E458" s="873"/>
      <c r="F458" s="873"/>
      <c r="G458" s="873"/>
      <c r="H458" s="873"/>
      <c r="I458" s="873"/>
      <c r="J458" s="873"/>
      <c r="K458" s="873"/>
      <c r="L458" s="873"/>
      <c r="M458" s="873"/>
      <c r="N458" s="873"/>
      <c r="O458" s="873"/>
      <c r="P458" s="873"/>
      <c r="Q458" s="873"/>
      <c r="R458" s="873"/>
      <c r="S458" s="873"/>
      <c r="T458" s="873"/>
      <c r="U458" s="873"/>
      <c r="V458" s="873"/>
      <c r="W458" s="873"/>
      <c r="X458" s="873"/>
      <c r="Y458" s="873"/>
      <c r="Z458" s="873"/>
      <c r="AA458" s="873"/>
      <c r="AB458" s="873"/>
      <c r="AC458" s="873"/>
      <c r="AD458" s="873"/>
      <c r="AE458" s="873"/>
      <c r="AF458" s="873"/>
      <c r="AG458" s="873"/>
      <c r="AH458" s="873"/>
      <c r="AI458" s="873"/>
      <c r="AJ458" s="873"/>
      <c r="AK458" s="873"/>
      <c r="AL458" s="873"/>
      <c r="AM458" s="873"/>
      <c r="AN458" s="873"/>
      <c r="AO458" s="873"/>
      <c r="AP458" s="873"/>
      <c r="AQ458" s="873"/>
      <c r="AR458" s="873"/>
      <c r="AS458" s="873"/>
    </row>
    <row r="459" spans="1:45" ht="12.75" x14ac:dyDescent="0.2">
      <c r="A459" s="873"/>
      <c r="B459" s="873"/>
      <c r="C459" s="873"/>
      <c r="D459" s="873"/>
      <c r="E459" s="873"/>
      <c r="F459" s="873"/>
      <c r="G459" s="873"/>
      <c r="H459" s="873"/>
      <c r="I459" s="873"/>
      <c r="J459" s="873"/>
      <c r="K459" s="873"/>
      <c r="L459" s="873"/>
      <c r="M459" s="873"/>
      <c r="N459" s="873"/>
      <c r="O459" s="873"/>
      <c r="P459" s="873"/>
      <c r="Q459" s="873"/>
      <c r="R459" s="873"/>
      <c r="S459" s="873"/>
      <c r="T459" s="873"/>
      <c r="U459" s="873"/>
      <c r="V459" s="873"/>
      <c r="W459" s="873"/>
      <c r="X459" s="873"/>
      <c r="Y459" s="873"/>
      <c r="Z459" s="873"/>
      <c r="AA459" s="873"/>
      <c r="AB459" s="873"/>
      <c r="AC459" s="873"/>
      <c r="AD459" s="873"/>
      <c r="AE459" s="873"/>
      <c r="AF459" s="873"/>
      <c r="AG459" s="873"/>
      <c r="AH459" s="873"/>
      <c r="AI459" s="873"/>
      <c r="AJ459" s="873"/>
      <c r="AK459" s="873"/>
      <c r="AL459" s="873"/>
      <c r="AM459" s="873"/>
      <c r="AN459" s="873"/>
      <c r="AO459" s="873"/>
      <c r="AP459" s="873"/>
      <c r="AQ459" s="873"/>
      <c r="AR459" s="873"/>
      <c r="AS459" s="873"/>
    </row>
    <row r="460" spans="1:45" ht="12.75" x14ac:dyDescent="0.2">
      <c r="A460" s="873"/>
      <c r="B460" s="873"/>
      <c r="C460" s="873"/>
      <c r="D460" s="873"/>
      <c r="E460" s="873"/>
      <c r="F460" s="873"/>
      <c r="G460" s="873"/>
      <c r="H460" s="873"/>
      <c r="I460" s="873"/>
      <c r="J460" s="873"/>
      <c r="K460" s="873"/>
      <c r="L460" s="873"/>
      <c r="M460" s="873"/>
      <c r="N460" s="873"/>
      <c r="O460" s="873"/>
      <c r="P460" s="873"/>
      <c r="Q460" s="873"/>
      <c r="R460" s="873"/>
      <c r="S460" s="873"/>
      <c r="T460" s="873"/>
      <c r="U460" s="873"/>
      <c r="V460" s="873"/>
      <c r="W460" s="873"/>
      <c r="X460" s="873"/>
      <c r="Y460" s="873"/>
      <c r="Z460" s="873"/>
      <c r="AA460" s="873"/>
      <c r="AB460" s="873"/>
      <c r="AC460" s="873"/>
      <c r="AD460" s="873"/>
      <c r="AE460" s="873"/>
      <c r="AF460" s="873"/>
      <c r="AG460" s="873"/>
      <c r="AH460" s="873"/>
      <c r="AI460" s="873"/>
      <c r="AJ460" s="873"/>
      <c r="AK460" s="873"/>
      <c r="AL460" s="873"/>
      <c r="AM460" s="873"/>
      <c r="AN460" s="873"/>
      <c r="AO460" s="873"/>
      <c r="AP460" s="873"/>
      <c r="AQ460" s="873"/>
      <c r="AR460" s="873"/>
      <c r="AS460" s="873"/>
    </row>
    <row r="461" spans="1:45" ht="12.75" x14ac:dyDescent="0.2">
      <c r="A461" s="873"/>
      <c r="B461" s="873"/>
      <c r="C461" s="873"/>
      <c r="D461" s="873"/>
      <c r="E461" s="873"/>
      <c r="F461" s="873"/>
      <c r="G461" s="873"/>
      <c r="H461" s="873"/>
      <c r="I461" s="873"/>
      <c r="J461" s="873"/>
      <c r="K461" s="873"/>
      <c r="L461" s="873"/>
      <c r="M461" s="873"/>
      <c r="N461" s="873"/>
      <c r="O461" s="873"/>
      <c r="P461" s="873"/>
      <c r="Q461" s="873"/>
      <c r="R461" s="873"/>
      <c r="S461" s="873"/>
      <c r="T461" s="873"/>
      <c r="U461" s="873"/>
      <c r="V461" s="873"/>
      <c r="W461" s="873"/>
      <c r="X461" s="873"/>
      <c r="Y461" s="873"/>
      <c r="Z461" s="873"/>
      <c r="AA461" s="873"/>
      <c r="AB461" s="873"/>
      <c r="AC461" s="873"/>
      <c r="AD461" s="873"/>
      <c r="AE461" s="873"/>
      <c r="AF461" s="873"/>
      <c r="AG461" s="873"/>
      <c r="AH461" s="873"/>
      <c r="AI461" s="873"/>
      <c r="AJ461" s="873"/>
      <c r="AK461" s="873"/>
      <c r="AL461" s="873"/>
      <c r="AM461" s="873"/>
      <c r="AN461" s="873"/>
      <c r="AO461" s="873"/>
      <c r="AP461" s="873"/>
      <c r="AQ461" s="873"/>
      <c r="AR461" s="873"/>
      <c r="AS461" s="873"/>
    </row>
    <row r="462" spans="1:45" ht="12.75" x14ac:dyDescent="0.2">
      <c r="A462" s="873"/>
      <c r="B462" s="873"/>
      <c r="C462" s="873"/>
      <c r="D462" s="873"/>
      <c r="E462" s="873"/>
      <c r="F462" s="873"/>
      <c r="G462" s="873"/>
      <c r="H462" s="873"/>
      <c r="I462" s="873"/>
      <c r="J462" s="873"/>
      <c r="K462" s="873"/>
      <c r="L462" s="873"/>
      <c r="M462" s="873"/>
      <c r="N462" s="873"/>
      <c r="O462" s="873"/>
      <c r="P462" s="873"/>
      <c r="Q462" s="873"/>
      <c r="R462" s="873"/>
      <c r="S462" s="873"/>
      <c r="T462" s="873"/>
      <c r="U462" s="873"/>
      <c r="V462" s="873"/>
      <c r="W462" s="873"/>
      <c r="X462" s="873"/>
      <c r="Y462" s="873"/>
      <c r="Z462" s="873"/>
      <c r="AA462" s="873"/>
      <c r="AB462" s="873"/>
      <c r="AC462" s="873"/>
      <c r="AD462" s="873"/>
      <c r="AE462" s="873"/>
      <c r="AF462" s="873"/>
      <c r="AG462" s="873"/>
      <c r="AH462" s="873"/>
      <c r="AI462" s="873"/>
      <c r="AJ462" s="873"/>
      <c r="AK462" s="873"/>
      <c r="AL462" s="873"/>
      <c r="AM462" s="873"/>
      <c r="AN462" s="873"/>
      <c r="AO462" s="873"/>
      <c r="AP462" s="873"/>
      <c r="AQ462" s="873"/>
      <c r="AR462" s="873"/>
      <c r="AS462" s="873"/>
    </row>
    <row r="463" spans="1:45" ht="12.75" x14ac:dyDescent="0.2">
      <c r="A463" s="873"/>
      <c r="B463" s="873"/>
      <c r="C463" s="873"/>
      <c r="D463" s="873"/>
      <c r="E463" s="873"/>
      <c r="F463" s="873"/>
      <c r="G463" s="873"/>
      <c r="H463" s="873"/>
      <c r="I463" s="873"/>
      <c r="J463" s="873"/>
      <c r="K463" s="873"/>
      <c r="L463" s="873"/>
      <c r="M463" s="873"/>
      <c r="N463" s="873"/>
      <c r="O463" s="873"/>
      <c r="P463" s="873"/>
      <c r="Q463" s="873"/>
      <c r="R463" s="873"/>
      <c r="S463" s="873"/>
      <c r="T463" s="873"/>
      <c r="U463" s="873"/>
      <c r="V463" s="873"/>
      <c r="W463" s="873"/>
      <c r="X463" s="873"/>
      <c r="Y463" s="873"/>
      <c r="Z463" s="873"/>
      <c r="AA463" s="873"/>
      <c r="AB463" s="873"/>
      <c r="AC463" s="873"/>
      <c r="AD463" s="873"/>
      <c r="AE463" s="873"/>
      <c r="AF463" s="873"/>
      <c r="AG463" s="873"/>
      <c r="AH463" s="873"/>
      <c r="AI463" s="873"/>
      <c r="AJ463" s="873"/>
      <c r="AK463" s="873"/>
      <c r="AL463" s="873"/>
      <c r="AM463" s="873"/>
      <c r="AN463" s="873"/>
      <c r="AO463" s="873"/>
      <c r="AP463" s="873"/>
      <c r="AQ463" s="873"/>
      <c r="AR463" s="873"/>
      <c r="AS463" s="873"/>
    </row>
    <row r="464" spans="1:45" ht="12.75" x14ac:dyDescent="0.2">
      <c r="A464" s="873"/>
      <c r="B464" s="873"/>
      <c r="C464" s="873"/>
      <c r="D464" s="873"/>
      <c r="E464" s="873"/>
      <c r="F464" s="873"/>
      <c r="G464" s="873"/>
      <c r="H464" s="873"/>
      <c r="I464" s="873"/>
      <c r="J464" s="873"/>
      <c r="K464" s="873"/>
      <c r="L464" s="873"/>
      <c r="M464" s="873"/>
      <c r="N464" s="873"/>
      <c r="O464" s="873"/>
      <c r="P464" s="873"/>
      <c r="Q464" s="873"/>
      <c r="R464" s="873"/>
      <c r="S464" s="873"/>
      <c r="T464" s="873"/>
      <c r="U464" s="873"/>
      <c r="V464" s="873"/>
      <c r="W464" s="873"/>
      <c r="X464" s="873"/>
      <c r="Y464" s="873"/>
      <c r="Z464" s="873"/>
      <c r="AA464" s="873"/>
      <c r="AB464" s="873"/>
      <c r="AC464" s="873"/>
      <c r="AD464" s="873"/>
      <c r="AE464" s="873"/>
      <c r="AF464" s="873"/>
      <c r="AG464" s="873"/>
      <c r="AH464" s="873"/>
      <c r="AI464" s="873"/>
      <c r="AJ464" s="873"/>
      <c r="AK464" s="873"/>
      <c r="AL464" s="873"/>
      <c r="AM464" s="873"/>
      <c r="AN464" s="873"/>
      <c r="AO464" s="873"/>
      <c r="AP464" s="873"/>
      <c r="AQ464" s="873"/>
      <c r="AR464" s="873"/>
      <c r="AS464" s="873"/>
    </row>
    <row r="465" spans="1:45" ht="12.75" x14ac:dyDescent="0.2">
      <c r="A465" s="873"/>
      <c r="B465" s="873"/>
      <c r="C465" s="873"/>
      <c r="D465" s="873"/>
      <c r="E465" s="873"/>
      <c r="F465" s="873"/>
      <c r="G465" s="873"/>
      <c r="H465" s="873"/>
      <c r="I465" s="873"/>
      <c r="J465" s="873"/>
      <c r="K465" s="873"/>
      <c r="L465" s="873"/>
      <c r="M465" s="873"/>
      <c r="N465" s="873"/>
      <c r="O465" s="873"/>
      <c r="P465" s="873"/>
      <c r="Q465" s="873"/>
      <c r="R465" s="873"/>
      <c r="S465" s="873"/>
      <c r="T465" s="873"/>
      <c r="U465" s="873"/>
      <c r="V465" s="873"/>
      <c r="W465" s="873"/>
      <c r="X465" s="873"/>
      <c r="Y465" s="873"/>
      <c r="Z465" s="873"/>
      <c r="AA465" s="873"/>
      <c r="AB465" s="873"/>
      <c r="AC465" s="873"/>
      <c r="AD465" s="873"/>
      <c r="AE465" s="873"/>
      <c r="AF465" s="873"/>
      <c r="AG465" s="873"/>
      <c r="AH465" s="873"/>
      <c r="AI465" s="873"/>
      <c r="AJ465" s="873"/>
      <c r="AK465" s="873"/>
      <c r="AL465" s="873"/>
      <c r="AM465" s="873"/>
      <c r="AN465" s="873"/>
      <c r="AO465" s="873"/>
      <c r="AP465" s="873"/>
      <c r="AQ465" s="873"/>
      <c r="AR465" s="873"/>
      <c r="AS465" s="873"/>
    </row>
    <row r="466" spans="1:45" ht="12.75" x14ac:dyDescent="0.2">
      <c r="A466" s="873"/>
      <c r="B466" s="873"/>
      <c r="C466" s="873"/>
      <c r="D466" s="873"/>
      <c r="E466" s="873"/>
      <c r="F466" s="873"/>
      <c r="G466" s="873"/>
      <c r="H466" s="873"/>
      <c r="I466" s="873"/>
      <c r="J466" s="873"/>
      <c r="K466" s="873"/>
      <c r="L466" s="873"/>
      <c r="M466" s="873"/>
      <c r="N466" s="873"/>
      <c r="O466" s="873"/>
      <c r="P466" s="873"/>
      <c r="Q466" s="873"/>
      <c r="R466" s="873"/>
      <c r="S466" s="873"/>
      <c r="T466" s="873"/>
      <c r="U466" s="873"/>
      <c r="V466" s="873"/>
      <c r="W466" s="873"/>
      <c r="X466" s="873"/>
      <c r="Y466" s="873"/>
      <c r="Z466" s="873"/>
      <c r="AA466" s="873"/>
      <c r="AB466" s="873"/>
      <c r="AC466" s="873"/>
      <c r="AD466" s="873"/>
      <c r="AE466" s="873"/>
      <c r="AF466" s="873"/>
      <c r="AG466" s="873"/>
      <c r="AH466" s="873"/>
      <c r="AI466" s="873"/>
      <c r="AJ466" s="873"/>
      <c r="AK466" s="873"/>
      <c r="AL466" s="873"/>
      <c r="AM466" s="873"/>
      <c r="AN466" s="873"/>
      <c r="AO466" s="873"/>
      <c r="AP466" s="873"/>
      <c r="AQ466" s="873"/>
      <c r="AR466" s="873"/>
      <c r="AS466" s="873"/>
    </row>
    <row r="467" spans="1:45" ht="12.75" x14ac:dyDescent="0.2">
      <c r="A467" s="873"/>
      <c r="B467" s="873"/>
      <c r="C467" s="873"/>
      <c r="D467" s="873"/>
      <c r="E467" s="873"/>
      <c r="F467" s="873"/>
      <c r="G467" s="873"/>
      <c r="H467" s="873"/>
      <c r="I467" s="873"/>
      <c r="J467" s="873"/>
      <c r="K467" s="873"/>
      <c r="L467" s="873"/>
      <c r="M467" s="873"/>
      <c r="N467" s="873"/>
      <c r="O467" s="873"/>
      <c r="P467" s="873"/>
      <c r="Q467" s="873"/>
      <c r="R467" s="873"/>
      <c r="S467" s="873"/>
      <c r="T467" s="873"/>
      <c r="U467" s="873"/>
      <c r="V467" s="873"/>
      <c r="W467" s="873"/>
      <c r="X467" s="873"/>
      <c r="Y467" s="873"/>
      <c r="Z467" s="873"/>
      <c r="AA467" s="873"/>
      <c r="AB467" s="873"/>
      <c r="AC467" s="873"/>
      <c r="AD467" s="873"/>
      <c r="AE467" s="873"/>
      <c r="AF467" s="873"/>
      <c r="AG467" s="873"/>
      <c r="AH467" s="873"/>
      <c r="AI467" s="873"/>
      <c r="AJ467" s="873"/>
      <c r="AK467" s="873"/>
      <c r="AL467" s="873"/>
      <c r="AM467" s="873"/>
      <c r="AN467" s="873"/>
      <c r="AO467" s="873"/>
      <c r="AP467" s="873"/>
      <c r="AQ467" s="873"/>
      <c r="AR467" s="873"/>
      <c r="AS467" s="873"/>
    </row>
    <row r="468" spans="1:45" ht="12.75" x14ac:dyDescent="0.2">
      <c r="A468" s="873"/>
      <c r="B468" s="873"/>
      <c r="C468" s="873"/>
      <c r="D468" s="873"/>
      <c r="E468" s="873"/>
      <c r="F468" s="873"/>
      <c r="G468" s="873"/>
      <c r="H468" s="873"/>
      <c r="I468" s="873"/>
      <c r="J468" s="873"/>
      <c r="K468" s="873"/>
      <c r="L468" s="873"/>
      <c r="M468" s="873"/>
      <c r="N468" s="873"/>
      <c r="O468" s="873"/>
      <c r="P468" s="873"/>
      <c r="Q468" s="873"/>
      <c r="R468" s="873"/>
      <c r="S468" s="873"/>
      <c r="T468" s="873"/>
      <c r="U468" s="873"/>
      <c r="V468" s="873"/>
      <c r="W468" s="873"/>
      <c r="X468" s="873"/>
      <c r="Y468" s="873"/>
      <c r="Z468" s="873"/>
      <c r="AA468" s="873"/>
      <c r="AB468" s="873"/>
      <c r="AC468" s="873"/>
      <c r="AD468" s="873"/>
      <c r="AE468" s="873"/>
      <c r="AF468" s="873"/>
      <c r="AG468" s="873"/>
      <c r="AH468" s="873"/>
      <c r="AI468" s="873"/>
      <c r="AJ468" s="873"/>
      <c r="AK468" s="873"/>
      <c r="AL468" s="873"/>
      <c r="AM468" s="873"/>
      <c r="AN468" s="873"/>
      <c r="AO468" s="873"/>
      <c r="AP468" s="873"/>
      <c r="AQ468" s="873"/>
      <c r="AR468" s="873"/>
      <c r="AS468" s="873"/>
    </row>
    <row r="469" spans="1:45" ht="12.75" x14ac:dyDescent="0.2">
      <c r="A469" s="873"/>
      <c r="B469" s="873"/>
      <c r="C469" s="873"/>
      <c r="D469" s="873"/>
      <c r="E469" s="873"/>
      <c r="F469" s="873"/>
      <c r="G469" s="873"/>
      <c r="H469" s="873"/>
      <c r="I469" s="873"/>
      <c r="J469" s="873"/>
      <c r="K469" s="873"/>
      <c r="L469" s="873"/>
      <c r="M469" s="873"/>
      <c r="N469" s="873"/>
      <c r="O469" s="873"/>
      <c r="P469" s="873"/>
      <c r="Q469" s="873"/>
      <c r="R469" s="873"/>
      <c r="S469" s="873"/>
      <c r="T469" s="873"/>
      <c r="U469" s="873"/>
      <c r="V469" s="873"/>
      <c r="W469" s="873"/>
      <c r="X469" s="873"/>
      <c r="Y469" s="873"/>
      <c r="Z469" s="873"/>
      <c r="AA469" s="873"/>
      <c r="AB469" s="873"/>
      <c r="AC469" s="873"/>
      <c r="AD469" s="873"/>
      <c r="AE469" s="873"/>
      <c r="AF469" s="873"/>
      <c r="AG469" s="873"/>
      <c r="AH469" s="873"/>
      <c r="AI469" s="873"/>
      <c r="AJ469" s="873"/>
      <c r="AK469" s="873"/>
      <c r="AL469" s="873"/>
      <c r="AM469" s="873"/>
      <c r="AN469" s="873"/>
      <c r="AO469" s="873"/>
      <c r="AP469" s="873"/>
      <c r="AQ469" s="873"/>
      <c r="AR469" s="873"/>
      <c r="AS469" s="873"/>
    </row>
    <row r="470" spans="1:45" ht="12.75" x14ac:dyDescent="0.2">
      <c r="A470" s="873"/>
      <c r="B470" s="873"/>
      <c r="C470" s="873"/>
      <c r="D470" s="873"/>
      <c r="E470" s="873"/>
      <c r="F470" s="873"/>
      <c r="G470" s="873"/>
      <c r="H470" s="873"/>
      <c r="I470" s="873"/>
      <c r="J470" s="873"/>
      <c r="K470" s="873"/>
      <c r="L470" s="873"/>
      <c r="M470" s="873"/>
      <c r="N470" s="873"/>
      <c r="O470" s="873"/>
      <c r="P470" s="873"/>
      <c r="Q470" s="873"/>
      <c r="R470" s="873"/>
      <c r="S470" s="873"/>
      <c r="T470" s="873"/>
      <c r="U470" s="873"/>
      <c r="V470" s="873"/>
      <c r="W470" s="873"/>
      <c r="X470" s="873"/>
      <c r="Y470" s="873"/>
      <c r="Z470" s="873"/>
      <c r="AA470" s="873"/>
      <c r="AB470" s="873"/>
      <c r="AC470" s="873"/>
      <c r="AD470" s="873"/>
      <c r="AE470" s="873"/>
      <c r="AF470" s="873"/>
      <c r="AG470" s="873"/>
      <c r="AH470" s="873"/>
      <c r="AI470" s="873"/>
      <c r="AJ470" s="873"/>
      <c r="AK470" s="873"/>
      <c r="AL470" s="873"/>
      <c r="AM470" s="873"/>
      <c r="AN470" s="873"/>
      <c r="AO470" s="873"/>
      <c r="AP470" s="873"/>
      <c r="AQ470" s="873"/>
      <c r="AR470" s="873"/>
      <c r="AS470" s="873"/>
    </row>
    <row r="471" spans="1:45" ht="12.75" x14ac:dyDescent="0.2">
      <c r="A471" s="873"/>
      <c r="B471" s="873"/>
      <c r="C471" s="873"/>
      <c r="D471" s="873"/>
      <c r="E471" s="873"/>
      <c r="F471" s="873"/>
      <c r="G471" s="873"/>
      <c r="H471" s="873"/>
      <c r="I471" s="873"/>
      <c r="J471" s="873"/>
      <c r="K471" s="873"/>
      <c r="L471" s="873"/>
      <c r="M471" s="873"/>
      <c r="N471" s="873"/>
      <c r="O471" s="873"/>
      <c r="P471" s="873"/>
      <c r="Q471" s="873"/>
      <c r="R471" s="873"/>
      <c r="S471" s="873"/>
      <c r="T471" s="873"/>
      <c r="U471" s="873"/>
      <c r="V471" s="873"/>
      <c r="W471" s="873"/>
      <c r="X471" s="873"/>
      <c r="Y471" s="873"/>
      <c r="Z471" s="873"/>
      <c r="AA471" s="873"/>
      <c r="AB471" s="873"/>
      <c r="AC471" s="873"/>
      <c r="AD471" s="873"/>
      <c r="AE471" s="873"/>
      <c r="AF471" s="873"/>
      <c r="AG471" s="873"/>
      <c r="AH471" s="873"/>
      <c r="AI471" s="873"/>
      <c r="AJ471" s="873"/>
      <c r="AK471" s="873"/>
      <c r="AL471" s="873"/>
      <c r="AM471" s="873"/>
      <c r="AN471" s="873"/>
      <c r="AO471" s="873"/>
      <c r="AP471" s="873"/>
      <c r="AQ471" s="873"/>
      <c r="AR471" s="873"/>
      <c r="AS471" s="873"/>
    </row>
    <row r="472" spans="1:45" ht="12.75" x14ac:dyDescent="0.2">
      <c r="A472" s="873"/>
      <c r="B472" s="873"/>
      <c r="C472" s="873"/>
      <c r="D472" s="873"/>
      <c r="E472" s="873"/>
      <c r="F472" s="873"/>
      <c r="G472" s="873"/>
      <c r="H472" s="873"/>
      <c r="I472" s="873"/>
      <c r="J472" s="873"/>
      <c r="K472" s="873"/>
      <c r="L472" s="873"/>
      <c r="M472" s="873"/>
      <c r="N472" s="873"/>
      <c r="O472" s="873"/>
      <c r="P472" s="873"/>
      <c r="Q472" s="873"/>
      <c r="R472" s="873"/>
      <c r="S472" s="873"/>
      <c r="T472" s="873"/>
      <c r="U472" s="873"/>
      <c r="V472" s="873"/>
      <c r="W472" s="873"/>
      <c r="X472" s="873"/>
      <c r="Y472" s="873"/>
      <c r="Z472" s="873"/>
      <c r="AA472" s="873"/>
      <c r="AB472" s="873"/>
      <c r="AC472" s="873"/>
      <c r="AD472" s="873"/>
      <c r="AE472" s="873"/>
      <c r="AF472" s="873"/>
      <c r="AG472" s="873"/>
      <c r="AH472" s="873"/>
      <c r="AI472" s="873"/>
      <c r="AJ472" s="873"/>
      <c r="AK472" s="873"/>
      <c r="AL472" s="873"/>
      <c r="AM472" s="873"/>
      <c r="AN472" s="873"/>
      <c r="AO472" s="873"/>
      <c r="AP472" s="873"/>
      <c r="AQ472" s="873"/>
      <c r="AR472" s="873"/>
      <c r="AS472" s="873"/>
    </row>
    <row r="473" spans="1:45" ht="12.75" x14ac:dyDescent="0.2">
      <c r="A473" s="873"/>
      <c r="B473" s="873"/>
      <c r="C473" s="873"/>
      <c r="D473" s="873"/>
      <c r="E473" s="873"/>
      <c r="F473" s="873"/>
      <c r="G473" s="873"/>
      <c r="H473" s="873"/>
      <c r="I473" s="873"/>
      <c r="J473" s="873"/>
      <c r="K473" s="873"/>
      <c r="L473" s="873"/>
      <c r="M473" s="873"/>
      <c r="N473" s="873"/>
      <c r="O473" s="873"/>
      <c r="P473" s="873"/>
      <c r="Q473" s="873"/>
      <c r="R473" s="873"/>
      <c r="S473" s="873"/>
      <c r="T473" s="873"/>
      <c r="U473" s="873"/>
      <c r="V473" s="873"/>
      <c r="W473" s="873"/>
      <c r="X473" s="873"/>
      <c r="Y473" s="873"/>
      <c r="Z473" s="873"/>
      <c r="AA473" s="873"/>
      <c r="AB473" s="873"/>
      <c r="AC473" s="873"/>
      <c r="AD473" s="873"/>
      <c r="AE473" s="873"/>
      <c r="AF473" s="873"/>
      <c r="AG473" s="873"/>
      <c r="AH473" s="873"/>
      <c r="AI473" s="873"/>
      <c r="AJ473" s="873"/>
      <c r="AK473" s="873"/>
      <c r="AL473" s="873"/>
      <c r="AM473" s="873"/>
      <c r="AN473" s="873"/>
      <c r="AO473" s="873"/>
      <c r="AP473" s="873"/>
      <c r="AQ473" s="873"/>
      <c r="AR473" s="873"/>
      <c r="AS473" s="873"/>
    </row>
    <row r="474" spans="1:45" ht="12.75" x14ac:dyDescent="0.2">
      <c r="A474" s="873"/>
      <c r="B474" s="873"/>
      <c r="C474" s="873"/>
      <c r="D474" s="873"/>
      <c r="E474" s="873"/>
      <c r="F474" s="873"/>
      <c r="G474" s="873"/>
      <c r="H474" s="873"/>
      <c r="I474" s="873"/>
      <c r="J474" s="873"/>
      <c r="K474" s="873"/>
      <c r="L474" s="873"/>
      <c r="M474" s="873"/>
      <c r="N474" s="873"/>
      <c r="O474" s="873"/>
      <c r="P474" s="873"/>
      <c r="Q474" s="873"/>
      <c r="R474" s="873"/>
      <c r="S474" s="873"/>
      <c r="T474" s="873"/>
      <c r="U474" s="873"/>
      <c r="V474" s="873"/>
      <c r="W474" s="873"/>
      <c r="X474" s="873"/>
      <c r="Y474" s="873"/>
      <c r="Z474" s="873"/>
      <c r="AA474" s="873"/>
      <c r="AB474" s="873"/>
      <c r="AC474" s="873"/>
      <c r="AD474" s="873"/>
      <c r="AE474" s="873"/>
      <c r="AF474" s="873"/>
      <c r="AG474" s="873"/>
      <c r="AH474" s="873"/>
      <c r="AI474" s="873"/>
      <c r="AJ474" s="873"/>
      <c r="AK474" s="873"/>
      <c r="AL474" s="873"/>
      <c r="AM474" s="873"/>
      <c r="AN474" s="873"/>
      <c r="AO474" s="873"/>
      <c r="AP474" s="873"/>
      <c r="AQ474" s="873"/>
      <c r="AR474" s="873"/>
      <c r="AS474" s="873"/>
    </row>
    <row r="475" spans="1:45" ht="12.75" x14ac:dyDescent="0.2">
      <c r="A475" s="873"/>
      <c r="B475" s="873"/>
      <c r="C475" s="873"/>
      <c r="D475" s="873"/>
      <c r="E475" s="873"/>
      <c r="F475" s="873"/>
      <c r="G475" s="873"/>
      <c r="H475" s="873"/>
      <c r="I475" s="873"/>
      <c r="J475" s="873"/>
      <c r="K475" s="873"/>
      <c r="L475" s="873"/>
      <c r="M475" s="873"/>
      <c r="N475" s="873"/>
      <c r="O475" s="873"/>
      <c r="P475" s="873"/>
      <c r="Q475" s="873"/>
      <c r="R475" s="873"/>
      <c r="S475" s="873"/>
      <c r="T475" s="873"/>
      <c r="U475" s="873"/>
      <c r="V475" s="873"/>
      <c r="W475" s="873"/>
      <c r="X475" s="873"/>
      <c r="Y475" s="873"/>
      <c r="Z475" s="873"/>
      <c r="AA475" s="873"/>
      <c r="AB475" s="873"/>
      <c r="AC475" s="873"/>
      <c r="AD475" s="873"/>
      <c r="AE475" s="873"/>
      <c r="AF475" s="873"/>
      <c r="AG475" s="873"/>
      <c r="AH475" s="873"/>
      <c r="AI475" s="873"/>
      <c r="AJ475" s="873"/>
      <c r="AK475" s="873"/>
      <c r="AL475" s="873"/>
      <c r="AM475" s="873"/>
      <c r="AN475" s="873"/>
      <c r="AO475" s="873"/>
      <c r="AP475" s="873"/>
      <c r="AQ475" s="873"/>
      <c r="AR475" s="873"/>
      <c r="AS475" s="873"/>
    </row>
    <row r="476" spans="1:45" ht="12.75" x14ac:dyDescent="0.2">
      <c r="A476" s="873"/>
      <c r="B476" s="873"/>
      <c r="C476" s="873"/>
      <c r="D476" s="873"/>
      <c r="E476" s="873"/>
      <c r="F476" s="873"/>
      <c r="G476" s="873"/>
      <c r="H476" s="873"/>
      <c r="I476" s="873"/>
      <c r="J476" s="873"/>
      <c r="K476" s="873"/>
      <c r="L476" s="873"/>
      <c r="M476" s="873"/>
      <c r="N476" s="873"/>
      <c r="O476" s="873"/>
      <c r="P476" s="873"/>
      <c r="Q476" s="873"/>
      <c r="R476" s="873"/>
      <c r="S476" s="873"/>
      <c r="T476" s="873"/>
      <c r="U476" s="873"/>
      <c r="V476" s="873"/>
      <c r="W476" s="873"/>
      <c r="X476" s="873"/>
      <c r="Y476" s="873"/>
      <c r="Z476" s="873"/>
      <c r="AA476" s="873"/>
      <c r="AB476" s="873"/>
      <c r="AC476" s="873"/>
      <c r="AD476" s="873"/>
      <c r="AE476" s="873"/>
      <c r="AF476" s="873"/>
      <c r="AG476" s="873"/>
      <c r="AH476" s="873"/>
      <c r="AI476" s="873"/>
      <c r="AJ476" s="873"/>
      <c r="AK476" s="873"/>
      <c r="AL476" s="873"/>
      <c r="AM476" s="873"/>
      <c r="AN476" s="873"/>
      <c r="AO476" s="873"/>
      <c r="AP476" s="873"/>
      <c r="AQ476" s="873"/>
      <c r="AR476" s="873"/>
      <c r="AS476" s="873"/>
    </row>
    <row r="477" spans="1:45" ht="12.75" x14ac:dyDescent="0.2">
      <c r="A477" s="873"/>
      <c r="B477" s="873"/>
      <c r="C477" s="873"/>
      <c r="D477" s="873"/>
      <c r="E477" s="873"/>
      <c r="F477" s="873"/>
      <c r="G477" s="873"/>
      <c r="H477" s="873"/>
      <c r="I477" s="873"/>
      <c r="J477" s="873"/>
      <c r="K477" s="873"/>
      <c r="L477" s="873"/>
      <c r="M477" s="873"/>
      <c r="N477" s="873"/>
      <c r="O477" s="873"/>
      <c r="P477" s="873"/>
      <c r="Q477" s="873"/>
      <c r="R477" s="873"/>
      <c r="S477" s="873"/>
      <c r="T477" s="873"/>
      <c r="U477" s="873"/>
      <c r="V477" s="873"/>
      <c r="W477" s="873"/>
      <c r="X477" s="873"/>
      <c r="Y477" s="873"/>
      <c r="Z477" s="873"/>
      <c r="AA477" s="873"/>
      <c r="AB477" s="873"/>
      <c r="AC477" s="873"/>
      <c r="AD477" s="873"/>
      <c r="AE477" s="873"/>
      <c r="AF477" s="873"/>
      <c r="AG477" s="873"/>
      <c r="AH477" s="873"/>
      <c r="AI477" s="873"/>
      <c r="AJ477" s="873"/>
      <c r="AK477" s="873"/>
      <c r="AL477" s="873"/>
      <c r="AM477" s="873"/>
      <c r="AN477" s="873"/>
      <c r="AO477" s="873"/>
      <c r="AP477" s="873"/>
      <c r="AQ477" s="873"/>
      <c r="AR477" s="873"/>
      <c r="AS477" s="873"/>
    </row>
    <row r="478" spans="1:45" ht="12.75" x14ac:dyDescent="0.2">
      <c r="A478" s="873"/>
      <c r="B478" s="873"/>
      <c r="C478" s="873"/>
      <c r="D478" s="873"/>
      <c r="E478" s="873"/>
      <c r="F478" s="873"/>
      <c r="G478" s="873"/>
      <c r="H478" s="873"/>
      <c r="I478" s="873"/>
      <c r="J478" s="873"/>
      <c r="K478" s="873"/>
      <c r="L478" s="873"/>
      <c r="M478" s="873"/>
      <c r="N478" s="873"/>
      <c r="O478" s="873"/>
      <c r="P478" s="873"/>
      <c r="Q478" s="873"/>
      <c r="R478" s="873"/>
      <c r="S478" s="873"/>
      <c r="T478" s="873"/>
      <c r="U478" s="873"/>
      <c r="V478" s="873"/>
      <c r="W478" s="873"/>
      <c r="X478" s="873"/>
      <c r="Y478" s="873"/>
      <c r="Z478" s="873"/>
      <c r="AA478" s="873"/>
      <c r="AB478" s="873"/>
      <c r="AC478" s="873"/>
      <c r="AD478" s="873"/>
      <c r="AE478" s="873"/>
      <c r="AF478" s="873"/>
      <c r="AG478" s="873"/>
      <c r="AH478" s="873"/>
      <c r="AI478" s="873"/>
      <c r="AJ478" s="873"/>
      <c r="AK478" s="873"/>
      <c r="AL478" s="873"/>
      <c r="AM478" s="873"/>
      <c r="AN478" s="873"/>
      <c r="AO478" s="873"/>
      <c r="AP478" s="873"/>
      <c r="AQ478" s="873"/>
      <c r="AR478" s="873"/>
      <c r="AS478" s="873"/>
    </row>
    <row r="479" spans="1:45" ht="12.75" x14ac:dyDescent="0.2">
      <c r="A479" s="873"/>
      <c r="B479" s="873"/>
      <c r="C479" s="873"/>
      <c r="D479" s="873"/>
      <c r="E479" s="873"/>
      <c r="F479" s="873"/>
      <c r="G479" s="873"/>
      <c r="H479" s="873"/>
      <c r="I479" s="873"/>
      <c r="J479" s="873"/>
      <c r="K479" s="873"/>
      <c r="L479" s="873"/>
      <c r="M479" s="873"/>
      <c r="N479" s="873"/>
      <c r="O479" s="873"/>
      <c r="P479" s="873"/>
      <c r="Q479" s="873"/>
      <c r="R479" s="873"/>
      <c r="S479" s="873"/>
      <c r="T479" s="873"/>
      <c r="U479" s="873"/>
      <c r="V479" s="873"/>
      <c r="W479" s="873"/>
      <c r="X479" s="873"/>
      <c r="Y479" s="873"/>
      <c r="Z479" s="873"/>
      <c r="AA479" s="873"/>
      <c r="AB479" s="873"/>
      <c r="AC479" s="873"/>
      <c r="AD479" s="873"/>
      <c r="AE479" s="873"/>
      <c r="AF479" s="873"/>
      <c r="AG479" s="873"/>
      <c r="AH479" s="873"/>
      <c r="AI479" s="873"/>
      <c r="AJ479" s="873"/>
      <c r="AK479" s="873"/>
      <c r="AL479" s="873"/>
      <c r="AM479" s="873"/>
      <c r="AN479" s="873"/>
      <c r="AO479" s="873"/>
      <c r="AP479" s="873"/>
      <c r="AQ479" s="873"/>
      <c r="AR479" s="873"/>
      <c r="AS479" s="873"/>
    </row>
    <row r="480" spans="1:45" ht="12.75" x14ac:dyDescent="0.2">
      <c r="A480" s="873"/>
      <c r="B480" s="873"/>
      <c r="C480" s="873"/>
      <c r="D480" s="873"/>
      <c r="E480" s="873"/>
      <c r="F480" s="873"/>
      <c r="G480" s="873"/>
      <c r="H480" s="873"/>
      <c r="I480" s="873"/>
      <c r="J480" s="873"/>
      <c r="K480" s="873"/>
      <c r="L480" s="873"/>
      <c r="M480" s="873"/>
      <c r="N480" s="873"/>
      <c r="O480" s="873"/>
      <c r="P480" s="873"/>
      <c r="Q480" s="873"/>
      <c r="R480" s="873"/>
      <c r="S480" s="873"/>
      <c r="T480" s="873"/>
      <c r="U480" s="873"/>
      <c r="V480" s="873"/>
      <c r="W480" s="873"/>
      <c r="X480" s="873"/>
      <c r="Y480" s="873"/>
      <c r="Z480" s="873"/>
      <c r="AA480" s="873"/>
      <c r="AB480" s="873"/>
      <c r="AC480" s="873"/>
      <c r="AD480" s="873"/>
      <c r="AE480" s="873"/>
      <c r="AF480" s="873"/>
      <c r="AG480" s="873"/>
      <c r="AH480" s="873"/>
      <c r="AI480" s="873"/>
      <c r="AJ480" s="873"/>
      <c r="AK480" s="873"/>
      <c r="AL480" s="873"/>
      <c r="AM480" s="873"/>
      <c r="AN480" s="873"/>
      <c r="AO480" s="873"/>
      <c r="AP480" s="873"/>
      <c r="AQ480" s="873"/>
      <c r="AR480" s="873"/>
      <c r="AS480" s="873"/>
    </row>
    <row r="481" spans="1:45" ht="12.75" x14ac:dyDescent="0.2">
      <c r="A481" s="873"/>
      <c r="B481" s="873"/>
      <c r="C481" s="873"/>
      <c r="D481" s="873"/>
      <c r="E481" s="873"/>
      <c r="F481" s="873"/>
      <c r="G481" s="873"/>
      <c r="H481" s="873"/>
      <c r="I481" s="873"/>
      <c r="J481" s="873"/>
      <c r="K481" s="873"/>
      <c r="L481" s="873"/>
      <c r="M481" s="873"/>
      <c r="N481" s="873"/>
      <c r="O481" s="873"/>
      <c r="P481" s="873"/>
      <c r="Q481" s="873"/>
      <c r="R481" s="873"/>
      <c r="S481" s="873"/>
      <c r="T481" s="873"/>
      <c r="U481" s="873"/>
      <c r="V481" s="873"/>
      <c r="W481" s="873"/>
      <c r="X481" s="873"/>
      <c r="Y481" s="873"/>
      <c r="Z481" s="873"/>
      <c r="AA481" s="873"/>
      <c r="AB481" s="873"/>
      <c r="AC481" s="873"/>
      <c r="AD481" s="873"/>
      <c r="AE481" s="873"/>
      <c r="AF481" s="873"/>
      <c r="AG481" s="873"/>
      <c r="AH481" s="873"/>
      <c r="AI481" s="873"/>
      <c r="AJ481" s="873"/>
      <c r="AK481" s="873"/>
      <c r="AL481" s="873"/>
      <c r="AM481" s="873"/>
      <c r="AN481" s="873"/>
      <c r="AO481" s="873"/>
      <c r="AP481" s="873"/>
      <c r="AQ481" s="873"/>
      <c r="AR481" s="873"/>
      <c r="AS481" s="873"/>
    </row>
    <row r="482" spans="1:45" ht="12.75" x14ac:dyDescent="0.2">
      <c r="A482" s="873"/>
      <c r="B482" s="873"/>
      <c r="C482" s="873"/>
      <c r="D482" s="873"/>
      <c r="E482" s="873"/>
      <c r="F482" s="873"/>
      <c r="G482" s="873"/>
      <c r="H482" s="873"/>
      <c r="I482" s="873"/>
      <c r="J482" s="873"/>
      <c r="K482" s="873"/>
      <c r="L482" s="873"/>
      <c r="M482" s="873"/>
      <c r="N482" s="873"/>
      <c r="O482" s="873"/>
      <c r="P482" s="873"/>
      <c r="Q482" s="873"/>
      <c r="R482" s="873"/>
      <c r="S482" s="873"/>
      <c r="T482" s="873"/>
      <c r="U482" s="873"/>
      <c r="V482" s="873"/>
      <c r="W482" s="873"/>
      <c r="X482" s="873"/>
      <c r="Y482" s="873"/>
      <c r="Z482" s="873"/>
      <c r="AA482" s="873"/>
      <c r="AB482" s="873"/>
      <c r="AC482" s="873"/>
      <c r="AD482" s="873"/>
      <c r="AE482" s="873"/>
      <c r="AF482" s="873"/>
      <c r="AG482" s="873"/>
      <c r="AH482" s="873"/>
      <c r="AI482" s="873"/>
      <c r="AJ482" s="873"/>
      <c r="AK482" s="873"/>
      <c r="AL482" s="873"/>
      <c r="AM482" s="873"/>
      <c r="AN482" s="873"/>
      <c r="AO482" s="873"/>
      <c r="AP482" s="873"/>
      <c r="AQ482" s="873"/>
      <c r="AR482" s="873"/>
      <c r="AS482" s="873"/>
    </row>
    <row r="483" spans="1:45" ht="12.75" x14ac:dyDescent="0.2">
      <c r="A483" s="873"/>
      <c r="B483" s="873"/>
      <c r="C483" s="873"/>
      <c r="D483" s="873"/>
      <c r="E483" s="873"/>
      <c r="F483" s="873"/>
      <c r="G483" s="873"/>
      <c r="H483" s="873"/>
      <c r="I483" s="873"/>
      <c r="J483" s="873"/>
      <c r="K483" s="873"/>
      <c r="L483" s="873"/>
      <c r="M483" s="873"/>
      <c r="N483" s="873"/>
      <c r="O483" s="873"/>
      <c r="P483" s="873"/>
      <c r="Q483" s="873"/>
      <c r="R483" s="873"/>
      <c r="S483" s="873"/>
      <c r="T483" s="873"/>
      <c r="U483" s="873"/>
      <c r="V483" s="873"/>
      <c r="W483" s="873"/>
      <c r="X483" s="873"/>
      <c r="Y483" s="873"/>
      <c r="Z483" s="873"/>
      <c r="AA483" s="873"/>
      <c r="AB483" s="873"/>
      <c r="AC483" s="873"/>
      <c r="AD483" s="873"/>
      <c r="AE483" s="873"/>
      <c r="AF483" s="873"/>
      <c r="AG483" s="873"/>
      <c r="AH483" s="873"/>
      <c r="AI483" s="873"/>
      <c r="AJ483" s="873"/>
      <c r="AK483" s="873"/>
      <c r="AL483" s="873"/>
      <c r="AM483" s="873"/>
      <c r="AN483" s="873"/>
      <c r="AO483" s="873"/>
      <c r="AP483" s="873"/>
      <c r="AQ483" s="873"/>
      <c r="AR483" s="873"/>
      <c r="AS483" s="873"/>
    </row>
    <row r="484" spans="1:45" ht="12.75" x14ac:dyDescent="0.2">
      <c r="A484" s="873"/>
      <c r="B484" s="873"/>
      <c r="C484" s="873"/>
      <c r="D484" s="873"/>
      <c r="E484" s="873"/>
      <c r="F484" s="873"/>
      <c r="G484" s="873"/>
      <c r="H484" s="873"/>
      <c r="I484" s="873"/>
      <c r="J484" s="873"/>
      <c r="K484" s="873"/>
      <c r="L484" s="873"/>
      <c r="M484" s="873"/>
      <c r="N484" s="873"/>
      <c r="O484" s="873"/>
      <c r="P484" s="873"/>
      <c r="Q484" s="873"/>
      <c r="R484" s="873"/>
      <c r="S484" s="873"/>
      <c r="T484" s="873"/>
      <c r="U484" s="873"/>
      <c r="V484" s="873"/>
      <c r="W484" s="873"/>
      <c r="X484" s="873"/>
      <c r="Y484" s="873"/>
      <c r="Z484" s="873"/>
      <c r="AA484" s="873"/>
      <c r="AB484" s="873"/>
      <c r="AC484" s="873"/>
      <c r="AD484" s="873"/>
      <c r="AE484" s="873"/>
      <c r="AF484" s="873"/>
      <c r="AG484" s="873"/>
      <c r="AH484" s="873"/>
      <c r="AI484" s="873"/>
      <c r="AJ484" s="873"/>
      <c r="AK484" s="873"/>
      <c r="AL484" s="873"/>
      <c r="AM484" s="873"/>
      <c r="AN484" s="873"/>
      <c r="AO484" s="873"/>
      <c r="AP484" s="873"/>
      <c r="AQ484" s="873"/>
      <c r="AR484" s="873"/>
      <c r="AS484" s="873"/>
    </row>
    <row r="485" spans="1:45" ht="12.75" x14ac:dyDescent="0.2">
      <c r="A485" s="873"/>
      <c r="B485" s="873"/>
      <c r="C485" s="873"/>
      <c r="D485" s="873"/>
      <c r="E485" s="873"/>
      <c r="F485" s="873"/>
      <c r="G485" s="873"/>
      <c r="H485" s="873"/>
      <c r="I485" s="873"/>
      <c r="J485" s="873"/>
      <c r="K485" s="873"/>
      <c r="L485" s="873"/>
      <c r="M485" s="873"/>
      <c r="N485" s="873"/>
      <c r="O485" s="873"/>
      <c r="P485" s="873"/>
      <c r="Q485" s="873"/>
      <c r="R485" s="873"/>
      <c r="S485" s="873"/>
      <c r="T485" s="873"/>
      <c r="U485" s="873"/>
      <c r="V485" s="873"/>
      <c r="W485" s="873"/>
      <c r="X485" s="873"/>
      <c r="Y485" s="873"/>
      <c r="Z485" s="873"/>
      <c r="AA485" s="873"/>
      <c r="AB485" s="873"/>
      <c r="AC485" s="873"/>
      <c r="AD485" s="873"/>
      <c r="AE485" s="873"/>
      <c r="AF485" s="873"/>
      <c r="AG485" s="873"/>
      <c r="AH485" s="873"/>
      <c r="AI485" s="873"/>
      <c r="AJ485" s="873"/>
      <c r="AK485" s="873"/>
      <c r="AL485" s="873"/>
      <c r="AM485" s="873"/>
      <c r="AN485" s="873"/>
      <c r="AO485" s="873"/>
      <c r="AP485" s="873"/>
      <c r="AQ485" s="873"/>
      <c r="AR485" s="873"/>
      <c r="AS485" s="873"/>
    </row>
    <row r="486" spans="1:45" ht="12.75" x14ac:dyDescent="0.2">
      <c r="A486" s="873"/>
      <c r="B486" s="873"/>
      <c r="C486" s="873"/>
      <c r="D486" s="873"/>
      <c r="E486" s="873"/>
      <c r="F486" s="873"/>
      <c r="G486" s="873"/>
      <c r="H486" s="873"/>
      <c r="I486" s="873"/>
      <c r="J486" s="873"/>
      <c r="K486" s="873"/>
      <c r="L486" s="873"/>
      <c r="M486" s="873"/>
      <c r="N486" s="873"/>
      <c r="O486" s="873"/>
      <c r="P486" s="873"/>
      <c r="Q486" s="873"/>
      <c r="R486" s="873"/>
      <c r="S486" s="873"/>
      <c r="T486" s="873"/>
      <c r="U486" s="873"/>
      <c r="V486" s="873"/>
      <c r="W486" s="873"/>
      <c r="X486" s="873"/>
      <c r="Y486" s="873"/>
      <c r="Z486" s="873"/>
      <c r="AA486" s="873"/>
      <c r="AB486" s="873"/>
      <c r="AC486" s="873"/>
      <c r="AD486" s="873"/>
      <c r="AE486" s="873"/>
      <c r="AF486" s="873"/>
      <c r="AG486" s="873"/>
      <c r="AH486" s="873"/>
      <c r="AI486" s="873"/>
      <c r="AJ486" s="873"/>
      <c r="AK486" s="873"/>
      <c r="AL486" s="873"/>
      <c r="AM486" s="873"/>
      <c r="AN486" s="873"/>
      <c r="AO486" s="873"/>
      <c r="AP486" s="873"/>
      <c r="AQ486" s="873"/>
      <c r="AR486" s="873"/>
      <c r="AS486" s="873"/>
    </row>
    <row r="487" spans="1:45" ht="12.75" x14ac:dyDescent="0.2">
      <c r="A487" s="873"/>
      <c r="B487" s="873"/>
      <c r="C487" s="873"/>
      <c r="D487" s="873"/>
      <c r="E487" s="873"/>
      <c r="F487" s="873"/>
      <c r="G487" s="873"/>
      <c r="H487" s="873"/>
      <c r="I487" s="873"/>
      <c r="J487" s="873"/>
      <c r="K487" s="873"/>
      <c r="L487" s="873"/>
      <c r="M487" s="873"/>
      <c r="N487" s="873"/>
      <c r="O487" s="873"/>
      <c r="P487" s="873"/>
      <c r="Q487" s="873"/>
      <c r="R487" s="873"/>
      <c r="S487" s="873"/>
      <c r="T487" s="873"/>
      <c r="U487" s="873"/>
      <c r="V487" s="873"/>
      <c r="W487" s="873"/>
      <c r="X487" s="873"/>
      <c r="Y487" s="873"/>
      <c r="Z487" s="873"/>
      <c r="AA487" s="873"/>
      <c r="AB487" s="873"/>
      <c r="AC487" s="873"/>
      <c r="AD487" s="873"/>
      <c r="AE487" s="873"/>
      <c r="AF487" s="873"/>
      <c r="AG487" s="873"/>
      <c r="AH487" s="873"/>
      <c r="AI487" s="873"/>
      <c r="AJ487" s="873"/>
      <c r="AK487" s="873"/>
      <c r="AL487" s="873"/>
      <c r="AM487" s="873"/>
      <c r="AN487" s="873"/>
      <c r="AO487" s="873"/>
      <c r="AP487" s="873"/>
      <c r="AQ487" s="873"/>
      <c r="AR487" s="873"/>
      <c r="AS487" s="873"/>
    </row>
    <row r="488" spans="1:45" ht="12.75" x14ac:dyDescent="0.2">
      <c r="A488" s="873"/>
      <c r="B488" s="873"/>
      <c r="C488" s="873"/>
      <c r="D488" s="873"/>
      <c r="E488" s="873"/>
      <c r="F488" s="873"/>
      <c r="G488" s="873"/>
      <c r="H488" s="873"/>
      <c r="I488" s="873"/>
      <c r="J488" s="873"/>
      <c r="K488" s="873"/>
      <c r="L488" s="873"/>
      <c r="M488" s="873"/>
      <c r="N488" s="873"/>
      <c r="O488" s="873"/>
      <c r="P488" s="873"/>
      <c r="Q488" s="873"/>
      <c r="R488" s="873"/>
      <c r="S488" s="873"/>
      <c r="T488" s="873"/>
      <c r="U488" s="873"/>
      <c r="V488" s="873"/>
      <c r="W488" s="873"/>
      <c r="X488" s="873"/>
      <c r="Y488" s="873"/>
      <c r="Z488" s="873"/>
      <c r="AA488" s="873"/>
      <c r="AB488" s="873"/>
      <c r="AC488" s="873"/>
      <c r="AD488" s="873"/>
      <c r="AE488" s="873"/>
      <c r="AF488" s="873"/>
      <c r="AG488" s="873"/>
      <c r="AH488" s="873"/>
      <c r="AI488" s="873"/>
      <c r="AJ488" s="873"/>
      <c r="AK488" s="873"/>
      <c r="AL488" s="873"/>
      <c r="AM488" s="873"/>
      <c r="AN488" s="873"/>
      <c r="AO488" s="873"/>
      <c r="AP488" s="873"/>
      <c r="AQ488" s="873"/>
      <c r="AR488" s="873"/>
      <c r="AS488" s="873"/>
    </row>
    <row r="489" spans="1:45" ht="12.75" x14ac:dyDescent="0.2">
      <c r="A489" s="873"/>
      <c r="B489" s="873"/>
      <c r="C489" s="873"/>
      <c r="D489" s="873"/>
      <c r="E489" s="873"/>
      <c r="F489" s="873"/>
      <c r="G489" s="873"/>
      <c r="H489" s="873"/>
      <c r="I489" s="873"/>
      <c r="J489" s="873"/>
      <c r="K489" s="873"/>
      <c r="L489" s="873"/>
      <c r="M489" s="873"/>
      <c r="N489" s="873"/>
      <c r="O489" s="873"/>
      <c r="P489" s="873"/>
      <c r="Q489" s="873"/>
      <c r="R489" s="873"/>
      <c r="S489" s="873"/>
      <c r="T489" s="873"/>
      <c r="U489" s="873"/>
      <c r="V489" s="873"/>
      <c r="W489" s="873"/>
      <c r="X489" s="873"/>
      <c r="Y489" s="873"/>
      <c r="Z489" s="873"/>
      <c r="AA489" s="873"/>
      <c r="AB489" s="873"/>
      <c r="AC489" s="873"/>
      <c r="AD489" s="873"/>
      <c r="AE489" s="873"/>
      <c r="AF489" s="873"/>
      <c r="AG489" s="873"/>
      <c r="AH489" s="873"/>
      <c r="AI489" s="873"/>
      <c r="AJ489" s="873"/>
      <c r="AK489" s="873"/>
      <c r="AL489" s="873"/>
      <c r="AM489" s="873"/>
      <c r="AN489" s="873"/>
      <c r="AO489" s="873"/>
      <c r="AP489" s="873"/>
      <c r="AQ489" s="873"/>
      <c r="AR489" s="873"/>
      <c r="AS489" s="873"/>
    </row>
    <row r="490" spans="1:45" ht="12.75" x14ac:dyDescent="0.2">
      <c r="A490" s="873"/>
      <c r="B490" s="873"/>
      <c r="C490" s="873"/>
      <c r="D490" s="873"/>
      <c r="E490" s="873"/>
      <c r="F490" s="873"/>
      <c r="G490" s="873"/>
      <c r="H490" s="873"/>
      <c r="I490" s="873"/>
      <c r="J490" s="873"/>
      <c r="K490" s="873"/>
      <c r="L490" s="873"/>
      <c r="M490" s="873"/>
      <c r="N490" s="873"/>
      <c r="O490" s="873"/>
      <c r="P490" s="873"/>
      <c r="Q490" s="873"/>
      <c r="R490" s="873"/>
      <c r="S490" s="873"/>
      <c r="T490" s="873"/>
      <c r="U490" s="873"/>
      <c r="V490" s="873"/>
      <c r="W490" s="873"/>
      <c r="X490" s="873"/>
      <c r="Y490" s="873"/>
      <c r="Z490" s="873"/>
      <c r="AA490" s="873"/>
      <c r="AB490" s="873"/>
      <c r="AC490" s="873"/>
      <c r="AD490" s="873"/>
      <c r="AE490" s="873"/>
      <c r="AF490" s="873"/>
      <c r="AG490" s="873"/>
      <c r="AH490" s="873"/>
      <c r="AI490" s="873"/>
      <c r="AJ490" s="873"/>
      <c r="AK490" s="873"/>
      <c r="AL490" s="873"/>
      <c r="AM490" s="873"/>
      <c r="AN490" s="873"/>
      <c r="AO490" s="873"/>
      <c r="AP490" s="873"/>
      <c r="AQ490" s="873"/>
      <c r="AR490" s="873"/>
      <c r="AS490" s="873"/>
    </row>
    <row r="491" spans="1:45" ht="12.75" x14ac:dyDescent="0.2">
      <c r="A491" s="873"/>
      <c r="B491" s="873"/>
      <c r="C491" s="873"/>
      <c r="D491" s="873"/>
      <c r="E491" s="873"/>
      <c r="F491" s="873"/>
      <c r="G491" s="873"/>
      <c r="H491" s="873"/>
      <c r="I491" s="873"/>
      <c r="J491" s="873"/>
      <c r="K491" s="873"/>
      <c r="L491" s="873"/>
      <c r="M491" s="873"/>
      <c r="N491" s="873"/>
      <c r="O491" s="873"/>
      <c r="P491" s="873"/>
      <c r="Q491" s="873"/>
      <c r="R491" s="873"/>
      <c r="S491" s="873"/>
      <c r="T491" s="873"/>
      <c r="U491" s="873"/>
      <c r="V491" s="873"/>
      <c r="W491" s="873"/>
      <c r="X491" s="873"/>
      <c r="Y491" s="873"/>
      <c r="Z491" s="873"/>
      <c r="AA491" s="873"/>
      <c r="AB491" s="873"/>
      <c r="AC491" s="873"/>
      <c r="AD491" s="873"/>
      <c r="AE491" s="873"/>
      <c r="AF491" s="873"/>
      <c r="AG491" s="873"/>
      <c r="AH491" s="873"/>
      <c r="AI491" s="873"/>
      <c r="AJ491" s="873"/>
      <c r="AK491" s="873"/>
      <c r="AL491" s="873"/>
      <c r="AM491" s="873"/>
      <c r="AN491" s="873"/>
      <c r="AO491" s="873"/>
      <c r="AP491" s="873"/>
      <c r="AQ491" s="873"/>
      <c r="AR491" s="873"/>
      <c r="AS491" s="873"/>
    </row>
    <row r="492" spans="1:45" ht="12.75" x14ac:dyDescent="0.2">
      <c r="A492" s="873"/>
      <c r="B492" s="873"/>
      <c r="C492" s="873"/>
      <c r="D492" s="873"/>
      <c r="E492" s="873"/>
      <c r="F492" s="873"/>
      <c r="G492" s="873"/>
      <c r="H492" s="873"/>
      <c r="I492" s="873"/>
      <c r="J492" s="873"/>
      <c r="K492" s="873"/>
      <c r="L492" s="873"/>
      <c r="M492" s="873"/>
      <c r="N492" s="873"/>
      <c r="O492" s="873"/>
      <c r="P492" s="873"/>
      <c r="Q492" s="873"/>
      <c r="R492" s="873"/>
      <c r="S492" s="873"/>
      <c r="T492" s="873"/>
      <c r="U492" s="873"/>
      <c r="V492" s="873"/>
      <c r="W492" s="873"/>
      <c r="X492" s="873"/>
      <c r="Y492" s="873"/>
      <c r="Z492" s="873"/>
      <c r="AA492" s="873"/>
      <c r="AB492" s="873"/>
      <c r="AC492" s="873"/>
      <c r="AD492" s="873"/>
      <c r="AE492" s="873"/>
      <c r="AF492" s="873"/>
      <c r="AG492" s="873"/>
      <c r="AH492" s="873"/>
      <c r="AI492" s="873"/>
      <c r="AJ492" s="873"/>
      <c r="AK492" s="873"/>
      <c r="AL492" s="873"/>
      <c r="AM492" s="873"/>
      <c r="AN492" s="873"/>
      <c r="AO492" s="873"/>
      <c r="AP492" s="873"/>
      <c r="AQ492" s="873"/>
      <c r="AR492" s="873"/>
      <c r="AS492" s="873"/>
    </row>
    <row r="493" spans="1:45" ht="12.75" x14ac:dyDescent="0.2">
      <c r="A493" s="873"/>
      <c r="B493" s="873"/>
      <c r="C493" s="873"/>
      <c r="D493" s="873"/>
      <c r="E493" s="873"/>
      <c r="F493" s="873"/>
      <c r="G493" s="873"/>
      <c r="H493" s="873"/>
      <c r="I493" s="873"/>
      <c r="J493" s="873"/>
      <c r="K493" s="873"/>
      <c r="L493" s="873"/>
      <c r="M493" s="873"/>
      <c r="N493" s="873"/>
      <c r="O493" s="873"/>
      <c r="P493" s="873"/>
      <c r="Q493" s="873"/>
      <c r="R493" s="873"/>
      <c r="S493" s="873"/>
      <c r="T493" s="873"/>
      <c r="U493" s="873"/>
      <c r="V493" s="873"/>
      <c r="W493" s="873"/>
      <c r="X493" s="873"/>
      <c r="Y493" s="873"/>
      <c r="Z493" s="873"/>
      <c r="AA493" s="873"/>
      <c r="AB493" s="873"/>
      <c r="AC493" s="873"/>
      <c r="AD493" s="873"/>
      <c r="AE493" s="873"/>
      <c r="AF493" s="873"/>
      <c r="AG493" s="873"/>
      <c r="AH493" s="873"/>
      <c r="AI493" s="873"/>
      <c r="AJ493" s="873"/>
      <c r="AK493" s="873"/>
      <c r="AL493" s="873"/>
      <c r="AM493" s="873"/>
      <c r="AN493" s="873"/>
      <c r="AO493" s="873"/>
      <c r="AP493" s="873"/>
      <c r="AQ493" s="873"/>
      <c r="AR493" s="873"/>
      <c r="AS493" s="873"/>
    </row>
    <row r="494" spans="1:45" ht="12.75" x14ac:dyDescent="0.2">
      <c r="A494" s="873"/>
      <c r="B494" s="873"/>
      <c r="C494" s="873"/>
      <c r="D494" s="873"/>
      <c r="E494" s="873"/>
      <c r="F494" s="873"/>
      <c r="G494" s="873"/>
      <c r="H494" s="873"/>
      <c r="I494" s="873"/>
      <c r="J494" s="873"/>
      <c r="K494" s="873"/>
      <c r="L494" s="873"/>
      <c r="M494" s="873"/>
      <c r="N494" s="873"/>
      <c r="O494" s="873"/>
      <c r="P494" s="873"/>
      <c r="Q494" s="873"/>
      <c r="R494" s="873"/>
      <c r="S494" s="873"/>
      <c r="T494" s="873"/>
      <c r="U494" s="873"/>
      <c r="V494" s="873"/>
      <c r="W494" s="873"/>
      <c r="X494" s="873"/>
      <c r="Y494" s="873"/>
      <c r="Z494" s="873"/>
      <c r="AA494" s="873"/>
      <c r="AB494" s="873"/>
      <c r="AC494" s="873"/>
      <c r="AD494" s="873"/>
      <c r="AE494" s="873"/>
      <c r="AF494" s="873"/>
      <c r="AG494" s="873"/>
      <c r="AH494" s="873"/>
      <c r="AI494" s="873"/>
      <c r="AJ494" s="873"/>
      <c r="AK494" s="873"/>
      <c r="AL494" s="873"/>
      <c r="AM494" s="873"/>
      <c r="AN494" s="873"/>
      <c r="AO494" s="873"/>
      <c r="AP494" s="873"/>
      <c r="AQ494" s="873"/>
      <c r="AR494" s="873"/>
      <c r="AS494" s="873"/>
    </row>
    <row r="495" spans="1:45" ht="12.75" x14ac:dyDescent="0.2">
      <c r="A495" s="873"/>
      <c r="B495" s="873"/>
      <c r="C495" s="873"/>
      <c r="D495" s="873"/>
      <c r="E495" s="873"/>
      <c r="F495" s="873"/>
      <c r="G495" s="873"/>
      <c r="H495" s="873"/>
      <c r="I495" s="873"/>
      <c r="J495" s="873"/>
      <c r="K495" s="873"/>
      <c r="L495" s="873"/>
      <c r="M495" s="873"/>
      <c r="N495" s="873"/>
      <c r="O495" s="873"/>
      <c r="P495" s="873"/>
      <c r="Q495" s="873"/>
      <c r="R495" s="873"/>
      <c r="S495" s="873"/>
      <c r="T495" s="873"/>
      <c r="U495" s="873"/>
      <c r="V495" s="873"/>
      <c r="W495" s="873"/>
      <c r="X495" s="873"/>
      <c r="Y495" s="873"/>
      <c r="Z495" s="873"/>
      <c r="AA495" s="873"/>
      <c r="AB495" s="873"/>
      <c r="AC495" s="873"/>
      <c r="AD495" s="873"/>
      <c r="AE495" s="873"/>
      <c r="AF495" s="873"/>
      <c r="AG495" s="873"/>
      <c r="AH495" s="873"/>
      <c r="AI495" s="873"/>
      <c r="AJ495" s="873"/>
      <c r="AK495" s="873"/>
      <c r="AL495" s="873"/>
      <c r="AM495" s="873"/>
      <c r="AN495" s="873"/>
      <c r="AO495" s="873"/>
      <c r="AP495" s="873"/>
      <c r="AQ495" s="873"/>
      <c r="AR495" s="873"/>
      <c r="AS495" s="873"/>
    </row>
    <row r="496" spans="1:45" ht="12.75" x14ac:dyDescent="0.2">
      <c r="A496" s="873"/>
      <c r="B496" s="873"/>
      <c r="C496" s="873"/>
      <c r="D496" s="873"/>
      <c r="E496" s="873"/>
      <c r="F496" s="873"/>
      <c r="G496" s="873"/>
      <c r="H496" s="873"/>
      <c r="I496" s="873"/>
      <c r="J496" s="873"/>
      <c r="K496" s="873"/>
      <c r="L496" s="873"/>
      <c r="M496" s="873"/>
      <c r="N496" s="873"/>
      <c r="O496" s="873"/>
      <c r="P496" s="873"/>
      <c r="Q496" s="873"/>
      <c r="R496" s="873"/>
      <c r="S496" s="873"/>
      <c r="T496" s="873"/>
      <c r="U496" s="873"/>
      <c r="V496" s="873"/>
      <c r="W496" s="873"/>
      <c r="X496" s="873"/>
      <c r="Y496" s="873"/>
      <c r="Z496" s="873"/>
      <c r="AA496" s="873"/>
      <c r="AB496" s="873"/>
      <c r="AC496" s="873"/>
      <c r="AD496" s="873"/>
      <c r="AE496" s="873"/>
      <c r="AF496" s="873"/>
      <c r="AG496" s="873"/>
      <c r="AH496" s="873"/>
      <c r="AI496" s="873"/>
      <c r="AJ496" s="873"/>
      <c r="AK496" s="873"/>
      <c r="AL496" s="873"/>
      <c r="AM496" s="873"/>
      <c r="AN496" s="873"/>
      <c r="AO496" s="873"/>
      <c r="AP496" s="873"/>
      <c r="AQ496" s="873"/>
      <c r="AR496" s="873"/>
      <c r="AS496" s="873"/>
    </row>
    <row r="497" spans="1:45" ht="12.75" x14ac:dyDescent="0.2">
      <c r="A497" s="873"/>
      <c r="B497" s="873"/>
      <c r="C497" s="873"/>
      <c r="D497" s="873"/>
      <c r="E497" s="873"/>
      <c r="F497" s="873"/>
      <c r="G497" s="873"/>
      <c r="H497" s="873"/>
      <c r="I497" s="873"/>
      <c r="J497" s="873"/>
      <c r="K497" s="873"/>
      <c r="L497" s="873"/>
      <c r="M497" s="873"/>
      <c r="N497" s="873"/>
      <c r="O497" s="873"/>
      <c r="P497" s="873"/>
      <c r="Q497" s="873"/>
      <c r="R497" s="873"/>
      <c r="S497" s="873"/>
      <c r="T497" s="873"/>
      <c r="U497" s="873"/>
      <c r="V497" s="873"/>
      <c r="W497" s="873"/>
      <c r="X497" s="873"/>
      <c r="Y497" s="873"/>
      <c r="Z497" s="873"/>
      <c r="AA497" s="873"/>
      <c r="AB497" s="873"/>
      <c r="AC497" s="873"/>
      <c r="AD497" s="873"/>
      <c r="AE497" s="873"/>
      <c r="AF497" s="873"/>
      <c r="AG497" s="873"/>
      <c r="AH497" s="873"/>
      <c r="AI497" s="873"/>
      <c r="AJ497" s="873"/>
      <c r="AK497" s="873"/>
      <c r="AL497" s="873"/>
      <c r="AM497" s="873"/>
      <c r="AN497" s="873"/>
      <c r="AO497" s="873"/>
      <c r="AP497" s="873"/>
      <c r="AQ497" s="873"/>
      <c r="AR497" s="873"/>
      <c r="AS497" s="873"/>
    </row>
    <row r="498" spans="1:45" ht="12.75" x14ac:dyDescent="0.2">
      <c r="A498" s="873"/>
      <c r="B498" s="873"/>
      <c r="C498" s="873"/>
      <c r="D498" s="873"/>
      <c r="E498" s="873"/>
      <c r="F498" s="873"/>
      <c r="G498" s="873"/>
      <c r="H498" s="873"/>
      <c r="I498" s="873"/>
      <c r="J498" s="873"/>
      <c r="K498" s="873"/>
      <c r="L498" s="873"/>
      <c r="M498" s="873"/>
      <c r="N498" s="873"/>
      <c r="O498" s="873"/>
      <c r="P498" s="873"/>
      <c r="Q498" s="873"/>
      <c r="R498" s="873"/>
      <c r="S498" s="873"/>
      <c r="T498" s="873"/>
      <c r="U498" s="873"/>
      <c r="V498" s="873"/>
      <c r="W498" s="873"/>
      <c r="X498" s="873"/>
      <c r="Y498" s="873"/>
      <c r="Z498" s="873"/>
      <c r="AA498" s="873"/>
      <c r="AB498" s="873"/>
      <c r="AC498" s="873"/>
      <c r="AD498" s="873"/>
      <c r="AE498" s="873"/>
      <c r="AF498" s="873"/>
      <c r="AG498" s="873"/>
      <c r="AH498" s="873"/>
      <c r="AI498" s="873"/>
      <c r="AJ498" s="873"/>
      <c r="AK498" s="873"/>
      <c r="AL498" s="873"/>
      <c r="AM498" s="873"/>
      <c r="AN498" s="873"/>
      <c r="AO498" s="873"/>
      <c r="AP498" s="873"/>
      <c r="AQ498" s="873"/>
      <c r="AR498" s="873"/>
      <c r="AS498" s="873"/>
    </row>
    <row r="499" spans="1:45" ht="12.75" x14ac:dyDescent="0.2">
      <c r="A499" s="873"/>
      <c r="B499" s="873"/>
      <c r="C499" s="873"/>
      <c r="D499" s="873"/>
      <c r="E499" s="873"/>
      <c r="F499" s="873"/>
      <c r="G499" s="873"/>
      <c r="H499" s="873"/>
      <c r="I499" s="873"/>
      <c r="J499" s="873"/>
      <c r="K499" s="873"/>
      <c r="L499" s="873"/>
      <c r="M499" s="873"/>
      <c r="N499" s="873"/>
      <c r="O499" s="873"/>
      <c r="P499" s="873"/>
      <c r="Q499" s="873"/>
      <c r="R499" s="873"/>
      <c r="S499" s="873"/>
      <c r="T499" s="873"/>
      <c r="U499" s="873"/>
      <c r="V499" s="873"/>
      <c r="W499" s="873"/>
      <c r="X499" s="873"/>
      <c r="Y499" s="873"/>
      <c r="Z499" s="873"/>
      <c r="AA499" s="873"/>
      <c r="AB499" s="873"/>
      <c r="AC499" s="873"/>
      <c r="AD499" s="873"/>
      <c r="AE499" s="873"/>
      <c r="AF499" s="873"/>
      <c r="AG499" s="873"/>
      <c r="AH499" s="873"/>
      <c r="AI499" s="873"/>
      <c r="AJ499" s="873"/>
      <c r="AK499" s="873"/>
      <c r="AL499" s="873"/>
      <c r="AM499" s="873"/>
      <c r="AN499" s="873"/>
      <c r="AO499" s="873"/>
      <c r="AP499" s="873"/>
      <c r="AQ499" s="873"/>
      <c r="AR499" s="873"/>
      <c r="AS499" s="873"/>
    </row>
    <row r="500" spans="1:45" ht="12.75" x14ac:dyDescent="0.2">
      <c r="A500" s="873"/>
      <c r="B500" s="873"/>
      <c r="C500" s="873"/>
      <c r="D500" s="873"/>
      <c r="E500" s="873"/>
      <c r="F500" s="873"/>
      <c r="G500" s="873"/>
      <c r="H500" s="873"/>
      <c r="I500" s="873"/>
      <c r="J500" s="873"/>
      <c r="K500" s="873"/>
      <c r="L500" s="873"/>
      <c r="M500" s="873"/>
      <c r="N500" s="873"/>
      <c r="O500" s="873"/>
      <c r="P500" s="873"/>
      <c r="Q500" s="873"/>
      <c r="R500" s="873"/>
      <c r="S500" s="873"/>
      <c r="T500" s="873"/>
      <c r="U500" s="873"/>
      <c r="V500" s="873"/>
      <c r="W500" s="873"/>
      <c r="X500" s="873"/>
      <c r="Y500" s="873"/>
      <c r="Z500" s="873"/>
      <c r="AA500" s="873"/>
      <c r="AB500" s="873"/>
      <c r="AC500" s="873"/>
      <c r="AD500" s="873"/>
      <c r="AE500" s="873"/>
      <c r="AF500" s="873"/>
      <c r="AG500" s="873"/>
      <c r="AH500" s="873"/>
      <c r="AI500" s="873"/>
      <c r="AJ500" s="873"/>
      <c r="AK500" s="873"/>
      <c r="AL500" s="873"/>
      <c r="AM500" s="873"/>
      <c r="AN500" s="873"/>
      <c r="AO500" s="873"/>
      <c r="AP500" s="873"/>
      <c r="AQ500" s="873"/>
      <c r="AR500" s="873"/>
      <c r="AS500" s="873"/>
    </row>
    <row r="501" spans="1:45" ht="12.75" x14ac:dyDescent="0.2">
      <c r="A501" s="873"/>
      <c r="B501" s="873"/>
      <c r="C501" s="873"/>
      <c r="D501" s="873"/>
      <c r="E501" s="873"/>
      <c r="F501" s="873"/>
      <c r="G501" s="873"/>
      <c r="H501" s="873"/>
      <c r="I501" s="873"/>
      <c r="J501" s="873"/>
      <c r="K501" s="873"/>
      <c r="L501" s="873"/>
      <c r="M501" s="873"/>
      <c r="N501" s="873"/>
      <c r="O501" s="873"/>
      <c r="P501" s="873"/>
      <c r="Q501" s="873"/>
      <c r="R501" s="873"/>
      <c r="S501" s="873"/>
      <c r="T501" s="873"/>
      <c r="U501" s="873"/>
      <c r="V501" s="873"/>
      <c r="W501" s="873"/>
      <c r="X501" s="873"/>
      <c r="Y501" s="873"/>
      <c r="Z501" s="873"/>
      <c r="AA501" s="873"/>
      <c r="AB501" s="873"/>
      <c r="AC501" s="873"/>
      <c r="AD501" s="873"/>
      <c r="AE501" s="873"/>
      <c r="AF501" s="873"/>
      <c r="AG501" s="873"/>
      <c r="AH501" s="873"/>
      <c r="AI501" s="873"/>
      <c r="AJ501" s="873"/>
      <c r="AK501" s="873"/>
      <c r="AL501" s="873"/>
      <c r="AM501" s="873"/>
      <c r="AN501" s="873"/>
      <c r="AO501" s="873"/>
      <c r="AP501" s="873"/>
      <c r="AQ501" s="873"/>
      <c r="AR501" s="873"/>
      <c r="AS501" s="873"/>
    </row>
    <row r="502" spans="1:45" ht="12.75" x14ac:dyDescent="0.2">
      <c r="A502" s="873"/>
      <c r="B502" s="873"/>
      <c r="C502" s="873"/>
      <c r="D502" s="873"/>
      <c r="E502" s="873"/>
      <c r="F502" s="873"/>
      <c r="G502" s="873"/>
      <c r="H502" s="873"/>
      <c r="I502" s="873"/>
      <c r="J502" s="873"/>
      <c r="K502" s="873"/>
      <c r="L502" s="873"/>
      <c r="M502" s="873"/>
      <c r="N502" s="873"/>
      <c r="O502" s="873"/>
      <c r="P502" s="873"/>
      <c r="Q502" s="873"/>
      <c r="R502" s="873"/>
      <c r="S502" s="873"/>
      <c r="T502" s="873"/>
      <c r="U502" s="873"/>
      <c r="V502" s="873"/>
      <c r="W502" s="873"/>
      <c r="X502" s="873"/>
      <c r="Y502" s="873"/>
      <c r="Z502" s="873"/>
      <c r="AA502" s="873"/>
      <c r="AB502" s="873"/>
      <c r="AC502" s="873"/>
      <c r="AD502" s="873"/>
      <c r="AE502" s="873"/>
      <c r="AF502" s="873"/>
      <c r="AG502" s="873"/>
      <c r="AH502" s="873"/>
      <c r="AI502" s="873"/>
      <c r="AJ502" s="873"/>
      <c r="AK502" s="873"/>
      <c r="AL502" s="873"/>
      <c r="AM502" s="873"/>
      <c r="AN502" s="873"/>
      <c r="AO502" s="873"/>
      <c r="AP502" s="873"/>
      <c r="AQ502" s="873"/>
      <c r="AR502" s="873"/>
      <c r="AS502" s="873"/>
    </row>
    <row r="503" spans="1:45" ht="12.75" x14ac:dyDescent="0.2">
      <c r="A503" s="873"/>
      <c r="B503" s="873"/>
      <c r="C503" s="873"/>
      <c r="D503" s="873"/>
      <c r="E503" s="873"/>
      <c r="F503" s="873"/>
      <c r="G503" s="873"/>
      <c r="H503" s="873"/>
      <c r="I503" s="873"/>
      <c r="J503" s="873"/>
      <c r="K503" s="873"/>
      <c r="L503" s="873"/>
      <c r="M503" s="873"/>
      <c r="N503" s="873"/>
      <c r="O503" s="873"/>
      <c r="P503" s="873"/>
      <c r="Q503" s="873"/>
      <c r="R503" s="873"/>
      <c r="S503" s="873"/>
      <c r="T503" s="873"/>
      <c r="U503" s="873"/>
      <c r="V503" s="873"/>
      <c r="W503" s="873"/>
      <c r="X503" s="873"/>
      <c r="Y503" s="873"/>
      <c r="Z503" s="873"/>
      <c r="AA503" s="873"/>
      <c r="AB503" s="873"/>
      <c r="AC503" s="873"/>
      <c r="AD503" s="873"/>
      <c r="AE503" s="873"/>
      <c r="AF503" s="873"/>
      <c r="AG503" s="873"/>
      <c r="AH503" s="873"/>
      <c r="AI503" s="873"/>
      <c r="AJ503" s="873"/>
      <c r="AK503" s="873"/>
      <c r="AL503" s="873"/>
      <c r="AM503" s="873"/>
      <c r="AN503" s="873"/>
      <c r="AO503" s="873"/>
      <c r="AP503" s="873"/>
      <c r="AQ503" s="873"/>
      <c r="AR503" s="873"/>
      <c r="AS503" s="873"/>
    </row>
    <row r="504" spans="1:45" ht="12.75" x14ac:dyDescent="0.2">
      <c r="A504" s="873"/>
      <c r="B504" s="873"/>
      <c r="C504" s="873"/>
      <c r="D504" s="873"/>
      <c r="E504" s="873"/>
      <c r="F504" s="873"/>
      <c r="G504" s="873"/>
      <c r="H504" s="873"/>
      <c r="I504" s="873"/>
      <c r="J504" s="873"/>
      <c r="K504" s="873"/>
      <c r="L504" s="873"/>
      <c r="M504" s="873"/>
      <c r="N504" s="873"/>
      <c r="O504" s="873"/>
      <c r="P504" s="873"/>
      <c r="Q504" s="873"/>
      <c r="R504" s="873"/>
      <c r="S504" s="873"/>
      <c r="T504" s="873"/>
      <c r="U504" s="873"/>
      <c r="V504" s="873"/>
      <c r="W504" s="873"/>
      <c r="X504" s="873"/>
      <c r="Y504" s="873"/>
      <c r="Z504" s="873"/>
      <c r="AA504" s="873"/>
      <c r="AB504" s="873"/>
      <c r="AC504" s="873"/>
      <c r="AD504" s="873"/>
      <c r="AE504" s="873"/>
      <c r="AF504" s="873"/>
      <c r="AG504" s="873"/>
      <c r="AH504" s="873"/>
      <c r="AI504" s="873"/>
      <c r="AJ504" s="873"/>
      <c r="AK504" s="873"/>
      <c r="AL504" s="873"/>
      <c r="AM504" s="873"/>
      <c r="AN504" s="873"/>
      <c r="AO504" s="873"/>
      <c r="AP504" s="873"/>
      <c r="AQ504" s="873"/>
      <c r="AR504" s="873"/>
      <c r="AS504" s="873"/>
    </row>
    <row r="505" spans="1:45" ht="12.75" x14ac:dyDescent="0.2">
      <c r="A505" s="873"/>
      <c r="B505" s="873"/>
      <c r="C505" s="873"/>
      <c r="D505" s="873"/>
      <c r="E505" s="873"/>
      <c r="F505" s="873"/>
      <c r="G505" s="873"/>
      <c r="H505" s="873"/>
      <c r="I505" s="873"/>
      <c r="J505" s="873"/>
      <c r="K505" s="873"/>
      <c r="L505" s="873"/>
      <c r="M505" s="873"/>
      <c r="N505" s="873"/>
      <c r="O505" s="873"/>
      <c r="P505" s="873"/>
      <c r="Q505" s="873"/>
      <c r="R505" s="873"/>
      <c r="S505" s="873"/>
      <c r="T505" s="873"/>
      <c r="U505" s="873"/>
      <c r="V505" s="873"/>
      <c r="W505" s="873"/>
      <c r="X505" s="873"/>
      <c r="Y505" s="873"/>
      <c r="Z505" s="873"/>
      <c r="AA505" s="873"/>
      <c r="AB505" s="873"/>
      <c r="AC505" s="873"/>
      <c r="AD505" s="873"/>
      <c r="AE505" s="873"/>
      <c r="AF505" s="873"/>
      <c r="AG505" s="873"/>
      <c r="AH505" s="873"/>
      <c r="AI505" s="873"/>
      <c r="AJ505" s="873"/>
      <c r="AK505" s="873"/>
      <c r="AL505" s="873"/>
      <c r="AM505" s="873"/>
      <c r="AN505" s="873"/>
      <c r="AO505" s="873"/>
      <c r="AP505" s="873"/>
      <c r="AQ505" s="873"/>
      <c r="AR505" s="873"/>
      <c r="AS505" s="873"/>
    </row>
    <row r="506" spans="1:45" ht="12.75" x14ac:dyDescent="0.2">
      <c r="A506" s="873"/>
      <c r="B506" s="873"/>
      <c r="C506" s="873"/>
      <c r="D506" s="873"/>
      <c r="E506" s="873"/>
      <c r="F506" s="873"/>
      <c r="G506" s="873"/>
      <c r="H506" s="873"/>
      <c r="I506" s="873"/>
      <c r="J506" s="873"/>
      <c r="K506" s="873"/>
      <c r="L506" s="873"/>
      <c r="M506" s="873"/>
      <c r="N506" s="873"/>
      <c r="O506" s="873"/>
      <c r="P506" s="873"/>
      <c r="Q506" s="873"/>
      <c r="R506" s="873"/>
      <c r="S506" s="873"/>
      <c r="T506" s="873"/>
      <c r="U506" s="873"/>
      <c r="V506" s="873"/>
      <c r="W506" s="873"/>
      <c r="X506" s="873"/>
      <c r="Y506" s="873"/>
      <c r="Z506" s="873"/>
      <c r="AA506" s="873"/>
      <c r="AB506" s="873"/>
      <c r="AC506" s="873"/>
      <c r="AD506" s="873"/>
      <c r="AE506" s="873"/>
      <c r="AF506" s="873"/>
      <c r="AG506" s="873"/>
      <c r="AH506" s="873"/>
      <c r="AI506" s="873"/>
      <c r="AJ506" s="873"/>
      <c r="AK506" s="873"/>
      <c r="AL506" s="873"/>
      <c r="AM506" s="873"/>
      <c r="AN506" s="873"/>
      <c r="AO506" s="873"/>
      <c r="AP506" s="873"/>
      <c r="AQ506" s="873"/>
      <c r="AR506" s="873"/>
      <c r="AS506" s="873"/>
    </row>
    <row r="507" spans="1:45" ht="12.75" x14ac:dyDescent="0.2">
      <c r="A507" s="873"/>
      <c r="B507" s="873"/>
      <c r="C507" s="873"/>
      <c r="D507" s="873"/>
      <c r="E507" s="873"/>
      <c r="F507" s="873"/>
      <c r="G507" s="873"/>
      <c r="H507" s="873"/>
      <c r="I507" s="873"/>
      <c r="J507" s="873"/>
      <c r="K507" s="873"/>
      <c r="L507" s="873"/>
      <c r="M507" s="873"/>
      <c r="N507" s="873"/>
      <c r="O507" s="873"/>
      <c r="P507" s="873"/>
      <c r="Q507" s="873"/>
      <c r="R507" s="873"/>
      <c r="S507" s="873"/>
      <c r="T507" s="873"/>
      <c r="U507" s="873"/>
      <c r="V507" s="873"/>
      <c r="W507" s="873"/>
      <c r="X507" s="873"/>
      <c r="Y507" s="873"/>
      <c r="Z507" s="873"/>
      <c r="AA507" s="873"/>
      <c r="AB507" s="873"/>
      <c r="AC507" s="873"/>
      <c r="AD507" s="873"/>
      <c r="AE507" s="873"/>
      <c r="AF507" s="873"/>
      <c r="AG507" s="873"/>
      <c r="AH507" s="873"/>
      <c r="AI507" s="873"/>
      <c r="AJ507" s="873"/>
      <c r="AK507" s="873"/>
      <c r="AL507" s="873"/>
      <c r="AM507" s="873"/>
      <c r="AN507" s="873"/>
      <c r="AO507" s="873"/>
      <c r="AP507" s="873"/>
      <c r="AQ507" s="873"/>
      <c r="AR507" s="873"/>
      <c r="AS507" s="873"/>
    </row>
    <row r="508" spans="1:45" ht="12.75" x14ac:dyDescent="0.2">
      <c r="A508" s="873"/>
      <c r="B508" s="873"/>
      <c r="C508" s="873"/>
      <c r="D508" s="873"/>
      <c r="E508" s="873"/>
      <c r="F508" s="873"/>
      <c r="G508" s="873"/>
      <c r="H508" s="873"/>
      <c r="I508" s="873"/>
      <c r="J508" s="873"/>
      <c r="K508" s="873"/>
      <c r="L508" s="873"/>
      <c r="M508" s="873"/>
      <c r="N508" s="873"/>
      <c r="O508" s="873"/>
      <c r="P508" s="873"/>
      <c r="Q508" s="873"/>
      <c r="R508" s="873"/>
      <c r="S508" s="873"/>
      <c r="T508" s="873"/>
      <c r="U508" s="873"/>
      <c r="V508" s="873"/>
      <c r="W508" s="873"/>
      <c r="X508" s="873"/>
      <c r="Y508" s="873"/>
      <c r="Z508" s="873"/>
      <c r="AA508" s="873"/>
      <c r="AB508" s="873"/>
      <c r="AC508" s="873"/>
      <c r="AD508" s="873"/>
      <c r="AE508" s="873"/>
      <c r="AF508" s="873"/>
      <c r="AG508" s="873"/>
      <c r="AH508" s="873"/>
      <c r="AI508" s="873"/>
      <c r="AJ508" s="873"/>
      <c r="AK508" s="873"/>
      <c r="AL508" s="873"/>
      <c r="AM508" s="873"/>
      <c r="AN508" s="873"/>
      <c r="AO508" s="873"/>
      <c r="AP508" s="873"/>
      <c r="AQ508" s="873"/>
      <c r="AR508" s="873"/>
      <c r="AS508" s="873"/>
    </row>
    <row r="509" spans="1:45" ht="12.75" x14ac:dyDescent="0.2">
      <c r="A509" s="873"/>
      <c r="B509" s="873"/>
      <c r="C509" s="873"/>
      <c r="D509" s="873"/>
      <c r="E509" s="873"/>
      <c r="F509" s="873"/>
      <c r="G509" s="873"/>
      <c r="H509" s="873"/>
      <c r="I509" s="873"/>
      <c r="J509" s="873"/>
      <c r="K509" s="873"/>
      <c r="L509" s="873"/>
      <c r="M509" s="873"/>
      <c r="N509" s="873"/>
      <c r="O509" s="873"/>
      <c r="P509" s="873"/>
      <c r="Q509" s="873"/>
      <c r="R509" s="873"/>
      <c r="S509" s="873"/>
      <c r="T509" s="873"/>
      <c r="U509" s="873"/>
      <c r="V509" s="873"/>
      <c r="W509" s="873"/>
      <c r="X509" s="873"/>
      <c r="Y509" s="873"/>
      <c r="Z509" s="873"/>
      <c r="AA509" s="873"/>
      <c r="AB509" s="873"/>
      <c r="AC509" s="873"/>
      <c r="AD509" s="873"/>
      <c r="AE509" s="873"/>
      <c r="AF509" s="873"/>
      <c r="AG509" s="873"/>
      <c r="AH509" s="873"/>
      <c r="AI509" s="873"/>
      <c r="AJ509" s="873"/>
      <c r="AK509" s="873"/>
      <c r="AL509" s="873"/>
      <c r="AM509" s="873"/>
      <c r="AN509" s="873"/>
      <c r="AO509" s="873"/>
      <c r="AP509" s="873"/>
      <c r="AQ509" s="873"/>
      <c r="AR509" s="873"/>
      <c r="AS509" s="873"/>
    </row>
    <row r="510" spans="1:45" ht="12.75" x14ac:dyDescent="0.2">
      <c r="A510" s="873"/>
      <c r="B510" s="873"/>
      <c r="C510" s="873"/>
      <c r="D510" s="873"/>
      <c r="E510" s="873"/>
      <c r="F510" s="873"/>
      <c r="G510" s="873"/>
      <c r="H510" s="873"/>
      <c r="I510" s="873"/>
      <c r="J510" s="873"/>
      <c r="K510" s="873"/>
      <c r="L510" s="873"/>
      <c r="M510" s="873"/>
      <c r="N510" s="873"/>
      <c r="O510" s="873"/>
      <c r="P510" s="873"/>
      <c r="Q510" s="873"/>
      <c r="R510" s="873"/>
      <c r="S510" s="873"/>
      <c r="T510" s="873"/>
      <c r="U510" s="873"/>
      <c r="V510" s="873"/>
      <c r="W510" s="873"/>
      <c r="X510" s="873"/>
      <c r="Y510" s="873"/>
      <c r="Z510" s="873"/>
      <c r="AA510" s="873"/>
      <c r="AB510" s="873"/>
      <c r="AC510" s="873"/>
      <c r="AD510" s="873"/>
      <c r="AE510" s="873"/>
      <c r="AF510" s="873"/>
      <c r="AG510" s="873"/>
      <c r="AH510" s="873"/>
      <c r="AI510" s="873"/>
      <c r="AJ510" s="873"/>
      <c r="AK510" s="873"/>
      <c r="AL510" s="873"/>
      <c r="AM510" s="873"/>
      <c r="AN510" s="873"/>
      <c r="AO510" s="873"/>
      <c r="AP510" s="873"/>
      <c r="AQ510" s="873"/>
      <c r="AR510" s="873"/>
      <c r="AS510" s="873"/>
    </row>
    <row r="511" spans="1:45" ht="12.75" x14ac:dyDescent="0.2">
      <c r="A511" s="873"/>
      <c r="B511" s="873"/>
      <c r="C511" s="873"/>
      <c r="D511" s="873"/>
      <c r="E511" s="873"/>
      <c r="F511" s="873"/>
      <c r="G511" s="873"/>
      <c r="H511" s="873"/>
      <c r="I511" s="873"/>
      <c r="J511" s="873"/>
      <c r="K511" s="873"/>
      <c r="L511" s="873"/>
      <c r="M511" s="873"/>
      <c r="N511" s="873"/>
      <c r="O511" s="873"/>
      <c r="P511" s="873"/>
      <c r="Q511" s="873"/>
      <c r="R511" s="873"/>
      <c r="S511" s="873"/>
      <c r="T511" s="873"/>
      <c r="U511" s="873"/>
      <c r="V511" s="873"/>
      <c r="W511" s="873"/>
      <c r="X511" s="873"/>
      <c r="Y511" s="873"/>
      <c r="Z511" s="873"/>
      <c r="AA511" s="873"/>
      <c r="AB511" s="873"/>
      <c r="AC511" s="873"/>
      <c r="AD511" s="873"/>
      <c r="AE511" s="873"/>
      <c r="AF511" s="873"/>
      <c r="AG511" s="873"/>
      <c r="AH511" s="873"/>
      <c r="AI511" s="873"/>
      <c r="AJ511" s="873"/>
      <c r="AK511" s="873"/>
      <c r="AL511" s="873"/>
      <c r="AM511" s="873"/>
      <c r="AN511" s="873"/>
      <c r="AO511" s="873"/>
      <c r="AP511" s="873"/>
      <c r="AQ511" s="873"/>
      <c r="AR511" s="873"/>
      <c r="AS511" s="873"/>
    </row>
    <row r="512" spans="1:45" ht="12.75" x14ac:dyDescent="0.2">
      <c r="A512" s="873"/>
      <c r="B512" s="873"/>
      <c r="C512" s="873"/>
      <c r="D512" s="873"/>
      <c r="E512" s="873"/>
      <c r="F512" s="873"/>
      <c r="G512" s="873"/>
      <c r="H512" s="873"/>
      <c r="I512" s="873"/>
      <c r="J512" s="873"/>
      <c r="K512" s="873"/>
      <c r="L512" s="873"/>
      <c r="M512" s="873"/>
      <c r="N512" s="873"/>
      <c r="O512" s="873"/>
      <c r="P512" s="873"/>
      <c r="Q512" s="873"/>
      <c r="R512" s="873"/>
      <c r="S512" s="873"/>
      <c r="T512" s="873"/>
      <c r="U512" s="873"/>
      <c r="V512" s="873"/>
      <c r="W512" s="873"/>
      <c r="X512" s="873"/>
      <c r="Y512" s="873"/>
      <c r="Z512" s="873"/>
      <c r="AA512" s="873"/>
      <c r="AB512" s="873"/>
      <c r="AC512" s="873"/>
      <c r="AD512" s="873"/>
      <c r="AE512" s="873"/>
      <c r="AF512" s="873"/>
      <c r="AG512" s="873"/>
      <c r="AH512" s="873"/>
      <c r="AI512" s="873"/>
      <c r="AJ512" s="873"/>
      <c r="AK512" s="873"/>
      <c r="AL512" s="873"/>
      <c r="AM512" s="873"/>
      <c r="AN512" s="873"/>
      <c r="AO512" s="873"/>
      <c r="AP512" s="873"/>
      <c r="AQ512" s="873"/>
      <c r="AR512" s="873"/>
      <c r="AS512" s="873"/>
    </row>
    <row r="513" spans="1:45" ht="12.75" x14ac:dyDescent="0.2">
      <c r="A513" s="873"/>
      <c r="B513" s="873"/>
      <c r="C513" s="873"/>
      <c r="D513" s="873"/>
      <c r="E513" s="873"/>
      <c r="F513" s="873"/>
      <c r="G513" s="873"/>
      <c r="H513" s="873"/>
      <c r="I513" s="873"/>
      <c r="J513" s="873"/>
      <c r="K513" s="873"/>
      <c r="L513" s="873"/>
      <c r="M513" s="873"/>
      <c r="N513" s="873"/>
      <c r="O513" s="873"/>
      <c r="P513" s="873"/>
      <c r="Q513" s="873"/>
      <c r="R513" s="873"/>
      <c r="S513" s="873"/>
      <c r="T513" s="873"/>
      <c r="U513" s="873"/>
      <c r="V513" s="873"/>
      <c r="W513" s="873"/>
      <c r="X513" s="873"/>
      <c r="Y513" s="873"/>
      <c r="Z513" s="873"/>
      <c r="AA513" s="873"/>
      <c r="AB513" s="873"/>
      <c r="AC513" s="873"/>
      <c r="AD513" s="873"/>
      <c r="AE513" s="873"/>
      <c r="AF513" s="873"/>
      <c r="AG513" s="873"/>
      <c r="AH513" s="873"/>
      <c r="AI513" s="873"/>
      <c r="AJ513" s="873"/>
      <c r="AK513" s="873"/>
      <c r="AL513" s="873"/>
      <c r="AM513" s="873"/>
      <c r="AN513" s="873"/>
      <c r="AO513" s="873"/>
      <c r="AP513" s="873"/>
      <c r="AQ513" s="873"/>
      <c r="AR513" s="873"/>
      <c r="AS513" s="873"/>
    </row>
    <row r="514" spans="1:45" ht="12.75" x14ac:dyDescent="0.2">
      <c r="A514" s="873"/>
      <c r="B514" s="873"/>
      <c r="C514" s="873"/>
      <c r="D514" s="873"/>
      <c r="E514" s="873"/>
      <c r="F514" s="873"/>
      <c r="G514" s="873"/>
      <c r="H514" s="873"/>
      <c r="I514" s="873"/>
      <c r="J514" s="873"/>
      <c r="K514" s="873"/>
      <c r="L514" s="873"/>
      <c r="M514" s="873"/>
      <c r="N514" s="873"/>
      <c r="O514" s="873"/>
      <c r="P514" s="873"/>
      <c r="Q514" s="873"/>
      <c r="R514" s="873"/>
      <c r="S514" s="873"/>
      <c r="T514" s="873"/>
      <c r="U514" s="873"/>
      <c r="V514" s="873"/>
      <c r="W514" s="873"/>
      <c r="X514" s="873"/>
      <c r="Y514" s="873"/>
      <c r="Z514" s="873"/>
      <c r="AA514" s="873"/>
      <c r="AB514" s="873"/>
      <c r="AC514" s="873"/>
      <c r="AD514" s="873"/>
      <c r="AE514" s="873"/>
      <c r="AF514" s="873"/>
      <c r="AG514" s="873"/>
      <c r="AH514" s="873"/>
      <c r="AI514" s="873"/>
      <c r="AJ514" s="873"/>
      <c r="AK514" s="873"/>
      <c r="AL514" s="873"/>
      <c r="AM514" s="873"/>
      <c r="AN514" s="873"/>
      <c r="AO514" s="873"/>
      <c r="AP514" s="873"/>
      <c r="AQ514" s="873"/>
      <c r="AR514" s="873"/>
      <c r="AS514" s="873"/>
    </row>
    <row r="515" spans="1:45" ht="12.75" x14ac:dyDescent="0.2">
      <c r="A515" s="873"/>
      <c r="B515" s="873"/>
      <c r="C515" s="873"/>
      <c r="D515" s="873"/>
      <c r="E515" s="873"/>
      <c r="F515" s="873"/>
      <c r="G515" s="873"/>
      <c r="H515" s="873"/>
      <c r="I515" s="873"/>
      <c r="J515" s="873"/>
      <c r="K515" s="873"/>
      <c r="L515" s="873"/>
      <c r="M515" s="873"/>
      <c r="N515" s="873"/>
      <c r="O515" s="873"/>
      <c r="P515" s="873"/>
      <c r="Q515" s="873"/>
      <c r="R515" s="873"/>
      <c r="S515" s="873"/>
      <c r="T515" s="873"/>
      <c r="U515" s="873"/>
      <c r="V515" s="873"/>
      <c r="W515" s="873"/>
      <c r="X515" s="873"/>
      <c r="Y515" s="873"/>
      <c r="Z515" s="873"/>
      <c r="AA515" s="873"/>
      <c r="AB515" s="873"/>
      <c r="AC515" s="873"/>
      <c r="AD515" s="873"/>
      <c r="AE515" s="873"/>
      <c r="AF515" s="873"/>
      <c r="AG515" s="873"/>
      <c r="AH515" s="873"/>
      <c r="AI515" s="873"/>
      <c r="AJ515" s="873"/>
      <c r="AK515" s="873"/>
      <c r="AL515" s="873"/>
      <c r="AM515" s="873"/>
      <c r="AN515" s="873"/>
      <c r="AO515" s="873"/>
      <c r="AP515" s="873"/>
      <c r="AQ515" s="873"/>
      <c r="AR515" s="873"/>
      <c r="AS515" s="873"/>
    </row>
    <row r="516" spans="1:45" ht="12.75" x14ac:dyDescent="0.2">
      <c r="A516" s="873"/>
      <c r="B516" s="873"/>
      <c r="C516" s="873"/>
      <c r="D516" s="873"/>
      <c r="E516" s="873"/>
      <c r="F516" s="873"/>
      <c r="G516" s="873"/>
      <c r="H516" s="873"/>
      <c r="I516" s="873"/>
      <c r="J516" s="873"/>
      <c r="K516" s="873"/>
      <c r="L516" s="873"/>
      <c r="M516" s="873"/>
      <c r="N516" s="873"/>
      <c r="O516" s="873"/>
      <c r="P516" s="873"/>
      <c r="Q516" s="873"/>
      <c r="R516" s="873"/>
      <c r="S516" s="873"/>
      <c r="T516" s="873"/>
      <c r="U516" s="873"/>
      <c r="V516" s="873"/>
      <c r="W516" s="873"/>
      <c r="X516" s="873"/>
      <c r="Y516" s="873"/>
      <c r="Z516" s="873"/>
      <c r="AA516" s="873"/>
      <c r="AB516" s="873"/>
      <c r="AC516" s="873"/>
      <c r="AD516" s="873"/>
      <c r="AE516" s="873"/>
      <c r="AF516" s="873"/>
      <c r="AG516" s="873"/>
      <c r="AH516" s="873"/>
      <c r="AI516" s="873"/>
      <c r="AJ516" s="873"/>
      <c r="AK516" s="873"/>
      <c r="AL516" s="873"/>
      <c r="AM516" s="873"/>
      <c r="AN516" s="873"/>
      <c r="AO516" s="873"/>
      <c r="AP516" s="873"/>
      <c r="AQ516" s="873"/>
      <c r="AR516" s="873"/>
      <c r="AS516" s="873"/>
    </row>
    <row r="517" spans="1:45" ht="12.75" x14ac:dyDescent="0.2">
      <c r="A517" s="873"/>
      <c r="B517" s="873"/>
      <c r="C517" s="873"/>
      <c r="D517" s="873"/>
      <c r="E517" s="873"/>
      <c r="F517" s="873"/>
      <c r="G517" s="873"/>
      <c r="H517" s="873"/>
      <c r="I517" s="873"/>
      <c r="J517" s="873"/>
      <c r="K517" s="873"/>
      <c r="L517" s="873"/>
      <c r="M517" s="873"/>
      <c r="N517" s="873"/>
      <c r="O517" s="873"/>
      <c r="P517" s="873"/>
      <c r="Q517" s="873"/>
      <c r="R517" s="873"/>
      <c r="S517" s="873"/>
      <c r="T517" s="873"/>
      <c r="U517" s="873"/>
      <c r="V517" s="873"/>
      <c r="W517" s="873"/>
      <c r="X517" s="873"/>
      <c r="Y517" s="873"/>
      <c r="Z517" s="873"/>
      <c r="AA517" s="873"/>
      <c r="AB517" s="873"/>
      <c r="AC517" s="873"/>
      <c r="AD517" s="873"/>
      <c r="AE517" s="873"/>
      <c r="AF517" s="873"/>
      <c r="AG517" s="873"/>
      <c r="AH517" s="873"/>
      <c r="AI517" s="873"/>
      <c r="AJ517" s="873"/>
      <c r="AK517" s="873"/>
      <c r="AL517" s="873"/>
      <c r="AM517" s="873"/>
      <c r="AN517" s="873"/>
      <c r="AO517" s="873"/>
      <c r="AP517" s="873"/>
      <c r="AQ517" s="873"/>
      <c r="AR517" s="873"/>
      <c r="AS517" s="873"/>
    </row>
    <row r="518" spans="1:45" ht="12.75" x14ac:dyDescent="0.2">
      <c r="A518" s="873"/>
      <c r="B518" s="873"/>
      <c r="C518" s="873"/>
      <c r="D518" s="873"/>
      <c r="E518" s="873"/>
      <c r="F518" s="873"/>
      <c r="G518" s="873"/>
      <c r="H518" s="873"/>
      <c r="I518" s="873"/>
      <c r="J518" s="873"/>
      <c r="K518" s="873"/>
      <c r="L518" s="873"/>
      <c r="M518" s="873"/>
      <c r="N518" s="873"/>
      <c r="O518" s="873"/>
      <c r="P518" s="873"/>
      <c r="Q518" s="873"/>
      <c r="R518" s="873"/>
      <c r="S518" s="873"/>
      <c r="T518" s="873"/>
      <c r="U518" s="873"/>
      <c r="V518" s="873"/>
      <c r="W518" s="873"/>
      <c r="X518" s="873"/>
      <c r="Y518" s="873"/>
      <c r="Z518" s="873"/>
      <c r="AA518" s="873"/>
      <c r="AB518" s="873"/>
      <c r="AC518" s="873"/>
      <c r="AD518" s="873"/>
      <c r="AE518" s="873"/>
      <c r="AF518" s="873"/>
      <c r="AG518" s="873"/>
      <c r="AH518" s="873"/>
      <c r="AI518" s="873"/>
      <c r="AJ518" s="873"/>
      <c r="AK518" s="873"/>
      <c r="AL518" s="873"/>
      <c r="AM518" s="873"/>
      <c r="AN518" s="873"/>
      <c r="AO518" s="873"/>
      <c r="AP518" s="873"/>
      <c r="AQ518" s="873"/>
      <c r="AR518" s="873"/>
      <c r="AS518" s="873"/>
    </row>
    <row r="519" spans="1:45" ht="12.75" x14ac:dyDescent="0.2">
      <c r="A519" s="873"/>
      <c r="B519" s="873"/>
      <c r="C519" s="873"/>
      <c r="D519" s="873"/>
      <c r="E519" s="873"/>
      <c r="F519" s="873"/>
      <c r="G519" s="873"/>
      <c r="H519" s="873"/>
      <c r="I519" s="873"/>
      <c r="J519" s="873"/>
      <c r="K519" s="873"/>
      <c r="L519" s="873"/>
      <c r="M519" s="873"/>
      <c r="N519" s="873"/>
      <c r="O519" s="873"/>
      <c r="P519" s="873"/>
      <c r="Q519" s="873"/>
      <c r="R519" s="873"/>
      <c r="S519" s="873"/>
      <c r="T519" s="873"/>
      <c r="U519" s="873"/>
      <c r="V519" s="873"/>
      <c r="W519" s="873"/>
      <c r="X519" s="873"/>
      <c r="Y519" s="873"/>
      <c r="Z519" s="873"/>
      <c r="AA519" s="873"/>
      <c r="AB519" s="873"/>
      <c r="AC519" s="873"/>
      <c r="AD519" s="873"/>
      <c r="AE519" s="873"/>
      <c r="AF519" s="873"/>
      <c r="AG519" s="873"/>
      <c r="AH519" s="873"/>
      <c r="AI519" s="873"/>
      <c r="AJ519" s="873"/>
      <c r="AK519" s="873"/>
      <c r="AL519" s="873"/>
      <c r="AM519" s="873"/>
      <c r="AN519" s="873"/>
      <c r="AO519" s="873"/>
      <c r="AP519" s="873"/>
      <c r="AQ519" s="873"/>
      <c r="AR519" s="873"/>
      <c r="AS519" s="873"/>
    </row>
    <row r="520" spans="1:45" ht="12.75" x14ac:dyDescent="0.2">
      <c r="A520" s="873"/>
      <c r="B520" s="873"/>
      <c r="C520" s="873"/>
      <c r="D520" s="873"/>
      <c r="E520" s="873"/>
      <c r="F520" s="873"/>
      <c r="G520" s="873"/>
      <c r="H520" s="873"/>
      <c r="I520" s="873"/>
      <c r="J520" s="873"/>
      <c r="K520" s="873"/>
      <c r="L520" s="873"/>
      <c r="M520" s="873"/>
      <c r="N520" s="873"/>
      <c r="O520" s="873"/>
      <c r="P520" s="873"/>
      <c r="Q520" s="873"/>
      <c r="R520" s="873"/>
      <c r="S520" s="873"/>
      <c r="T520" s="873"/>
      <c r="U520" s="873"/>
      <c r="V520" s="873"/>
      <c r="W520" s="873"/>
      <c r="X520" s="873"/>
      <c r="Y520" s="873"/>
      <c r="Z520" s="873"/>
      <c r="AA520" s="873"/>
      <c r="AB520" s="873"/>
      <c r="AC520" s="873"/>
      <c r="AD520" s="873"/>
      <c r="AE520" s="873"/>
      <c r="AF520" s="873"/>
      <c r="AG520" s="873"/>
      <c r="AH520" s="873"/>
      <c r="AI520" s="873"/>
      <c r="AJ520" s="873"/>
      <c r="AK520" s="873"/>
      <c r="AL520" s="873"/>
      <c r="AM520" s="873"/>
      <c r="AN520" s="873"/>
      <c r="AO520" s="873"/>
      <c r="AP520" s="873"/>
      <c r="AQ520" s="873"/>
      <c r="AR520" s="873"/>
      <c r="AS520" s="873"/>
    </row>
    <row r="521" spans="1:45" ht="12.75" x14ac:dyDescent="0.2">
      <c r="A521" s="873"/>
      <c r="B521" s="873"/>
      <c r="C521" s="873"/>
      <c r="D521" s="873"/>
      <c r="E521" s="873"/>
      <c r="F521" s="873"/>
      <c r="G521" s="873"/>
      <c r="H521" s="873"/>
      <c r="I521" s="873"/>
      <c r="J521" s="873"/>
      <c r="K521" s="873"/>
      <c r="L521" s="873"/>
      <c r="M521" s="873"/>
      <c r="N521" s="873"/>
      <c r="O521" s="873"/>
      <c r="P521" s="873"/>
      <c r="Q521" s="873"/>
      <c r="R521" s="873"/>
      <c r="S521" s="873"/>
      <c r="T521" s="873"/>
      <c r="U521" s="873"/>
      <c r="V521" s="873"/>
      <c r="W521" s="873"/>
      <c r="X521" s="873"/>
      <c r="Y521" s="873"/>
      <c r="Z521" s="873"/>
      <c r="AA521" s="873"/>
      <c r="AB521" s="873"/>
      <c r="AC521" s="873"/>
      <c r="AD521" s="873"/>
      <c r="AE521" s="873"/>
      <c r="AF521" s="873"/>
      <c r="AG521" s="873"/>
      <c r="AH521" s="873"/>
      <c r="AI521" s="873"/>
      <c r="AJ521" s="873"/>
      <c r="AK521" s="873"/>
      <c r="AL521" s="873"/>
      <c r="AM521" s="873"/>
      <c r="AN521" s="873"/>
      <c r="AO521" s="873"/>
      <c r="AP521" s="873"/>
      <c r="AQ521" s="873"/>
      <c r="AR521" s="873"/>
      <c r="AS521" s="873"/>
    </row>
    <row r="522" spans="1:45" ht="12.75" x14ac:dyDescent="0.2">
      <c r="A522" s="873"/>
      <c r="B522" s="873"/>
      <c r="C522" s="873"/>
      <c r="D522" s="873"/>
      <c r="E522" s="873"/>
      <c r="F522" s="873"/>
      <c r="G522" s="873"/>
      <c r="H522" s="873"/>
      <c r="I522" s="873"/>
      <c r="J522" s="873"/>
      <c r="K522" s="873"/>
      <c r="L522" s="873"/>
      <c r="M522" s="873"/>
      <c r="N522" s="873"/>
      <c r="O522" s="873"/>
      <c r="P522" s="873"/>
      <c r="Q522" s="873"/>
      <c r="R522" s="873"/>
      <c r="S522" s="873"/>
      <c r="T522" s="873"/>
      <c r="U522" s="873"/>
      <c r="V522" s="873"/>
      <c r="W522" s="873"/>
      <c r="X522" s="873"/>
      <c r="Y522" s="873"/>
      <c r="Z522" s="873"/>
      <c r="AA522" s="873"/>
      <c r="AB522" s="873"/>
      <c r="AC522" s="873"/>
      <c r="AD522" s="873"/>
      <c r="AE522" s="873"/>
      <c r="AF522" s="873"/>
      <c r="AG522" s="873"/>
      <c r="AH522" s="873"/>
      <c r="AI522" s="873"/>
      <c r="AJ522" s="873"/>
      <c r="AK522" s="873"/>
      <c r="AL522" s="873"/>
      <c r="AM522" s="873"/>
      <c r="AN522" s="873"/>
      <c r="AO522" s="873"/>
      <c r="AP522" s="873"/>
      <c r="AQ522" s="873"/>
      <c r="AR522" s="873"/>
      <c r="AS522" s="873"/>
    </row>
    <row r="523" spans="1:45" ht="12.75" x14ac:dyDescent="0.2">
      <c r="A523" s="873"/>
      <c r="B523" s="873"/>
      <c r="C523" s="873"/>
      <c r="D523" s="873"/>
      <c r="E523" s="873"/>
      <c r="F523" s="873"/>
      <c r="G523" s="873"/>
      <c r="H523" s="873"/>
      <c r="I523" s="873"/>
      <c r="J523" s="873"/>
      <c r="K523" s="873"/>
      <c r="L523" s="873"/>
      <c r="M523" s="873"/>
      <c r="N523" s="873"/>
      <c r="O523" s="873"/>
      <c r="P523" s="873"/>
      <c r="Q523" s="873"/>
      <c r="R523" s="873"/>
      <c r="S523" s="873"/>
      <c r="T523" s="873"/>
      <c r="U523" s="873"/>
      <c r="V523" s="873"/>
      <c r="W523" s="873"/>
      <c r="X523" s="873"/>
      <c r="Y523" s="873"/>
      <c r="Z523" s="873"/>
      <c r="AA523" s="873"/>
      <c r="AB523" s="873"/>
      <c r="AC523" s="873"/>
      <c r="AD523" s="873"/>
      <c r="AE523" s="873"/>
      <c r="AF523" s="873"/>
      <c r="AG523" s="873"/>
      <c r="AH523" s="873"/>
      <c r="AI523" s="873"/>
      <c r="AJ523" s="873"/>
      <c r="AK523" s="873"/>
      <c r="AL523" s="873"/>
      <c r="AM523" s="873"/>
      <c r="AN523" s="873"/>
      <c r="AO523" s="873"/>
      <c r="AP523" s="873"/>
      <c r="AQ523" s="873"/>
      <c r="AR523" s="873"/>
      <c r="AS523" s="873"/>
    </row>
    <row r="524" spans="1:45" ht="12.75" x14ac:dyDescent="0.2">
      <c r="A524" s="873"/>
      <c r="B524" s="873"/>
      <c r="C524" s="873"/>
      <c r="D524" s="873"/>
      <c r="E524" s="873"/>
      <c r="F524" s="873"/>
      <c r="G524" s="873"/>
      <c r="H524" s="873"/>
      <c r="I524" s="873"/>
      <c r="J524" s="873"/>
      <c r="K524" s="873"/>
      <c r="L524" s="873"/>
      <c r="M524" s="873"/>
      <c r="N524" s="873"/>
      <c r="O524" s="873"/>
      <c r="P524" s="873"/>
      <c r="Q524" s="873"/>
      <c r="R524" s="873"/>
      <c r="S524" s="873"/>
      <c r="T524" s="873"/>
      <c r="U524" s="873"/>
      <c r="V524" s="873"/>
      <c r="W524" s="873"/>
      <c r="X524" s="873"/>
      <c r="Y524" s="873"/>
      <c r="Z524" s="873"/>
      <c r="AA524" s="873"/>
      <c r="AB524" s="873"/>
      <c r="AC524" s="873"/>
      <c r="AD524" s="873"/>
      <c r="AE524" s="873"/>
      <c r="AF524" s="873"/>
      <c r="AG524" s="873"/>
      <c r="AH524" s="873"/>
      <c r="AI524" s="873"/>
      <c r="AJ524" s="873"/>
      <c r="AK524" s="873"/>
      <c r="AL524" s="873"/>
      <c r="AM524" s="873"/>
      <c r="AN524" s="873"/>
      <c r="AO524" s="873"/>
      <c r="AP524" s="873"/>
      <c r="AQ524" s="873"/>
      <c r="AR524" s="873"/>
      <c r="AS524" s="873"/>
    </row>
    <row r="525" spans="1:45" ht="12.75" x14ac:dyDescent="0.2">
      <c r="A525" s="873"/>
      <c r="B525" s="873"/>
      <c r="C525" s="873"/>
      <c r="D525" s="873"/>
      <c r="E525" s="873"/>
      <c r="F525" s="873"/>
      <c r="G525" s="873"/>
      <c r="H525" s="873"/>
      <c r="I525" s="873"/>
      <c r="J525" s="873"/>
      <c r="K525" s="873"/>
      <c r="L525" s="873"/>
      <c r="M525" s="873"/>
      <c r="N525" s="873"/>
      <c r="O525" s="873"/>
      <c r="P525" s="873"/>
      <c r="Q525" s="873"/>
      <c r="R525" s="873"/>
      <c r="S525" s="873"/>
      <c r="T525" s="873"/>
      <c r="U525" s="873"/>
      <c r="V525" s="873"/>
      <c r="W525" s="873"/>
      <c r="X525" s="873"/>
      <c r="Y525" s="873"/>
      <c r="Z525" s="873"/>
      <c r="AA525" s="873"/>
      <c r="AB525" s="873"/>
      <c r="AC525" s="873"/>
      <c r="AD525" s="873"/>
      <c r="AE525" s="873"/>
      <c r="AF525" s="873"/>
      <c r="AG525" s="873"/>
      <c r="AH525" s="873"/>
      <c r="AI525" s="873"/>
      <c r="AJ525" s="873"/>
      <c r="AK525" s="873"/>
      <c r="AL525" s="873"/>
      <c r="AM525" s="873"/>
      <c r="AN525" s="873"/>
      <c r="AO525" s="873"/>
      <c r="AP525" s="873"/>
      <c r="AQ525" s="873"/>
      <c r="AR525" s="873"/>
      <c r="AS525" s="873"/>
    </row>
    <row r="526" spans="1:45" ht="12.75" x14ac:dyDescent="0.2">
      <c r="A526" s="873"/>
      <c r="B526" s="873"/>
      <c r="C526" s="873"/>
      <c r="D526" s="873"/>
      <c r="E526" s="873"/>
      <c r="F526" s="873"/>
      <c r="G526" s="873"/>
      <c r="H526" s="873"/>
      <c r="I526" s="873"/>
      <c r="J526" s="873"/>
      <c r="K526" s="873"/>
      <c r="L526" s="873"/>
      <c r="M526" s="873"/>
      <c r="N526" s="873"/>
      <c r="O526" s="873"/>
      <c r="P526" s="873"/>
      <c r="Q526" s="873"/>
      <c r="R526" s="873"/>
      <c r="S526" s="873"/>
      <c r="T526" s="873"/>
      <c r="U526" s="873"/>
      <c r="V526" s="873"/>
      <c r="W526" s="873"/>
      <c r="X526" s="873"/>
      <c r="Y526" s="873"/>
      <c r="Z526" s="873"/>
      <c r="AA526" s="873"/>
      <c r="AB526" s="873"/>
      <c r="AC526" s="873"/>
      <c r="AD526" s="873"/>
      <c r="AE526" s="873"/>
      <c r="AF526" s="873"/>
      <c r="AG526" s="873"/>
      <c r="AH526" s="873"/>
      <c r="AI526" s="873"/>
      <c r="AJ526" s="873"/>
      <c r="AK526" s="873"/>
      <c r="AL526" s="873"/>
      <c r="AM526" s="873"/>
      <c r="AN526" s="873"/>
      <c r="AO526" s="873"/>
      <c r="AP526" s="873"/>
      <c r="AQ526" s="873"/>
      <c r="AR526" s="873"/>
      <c r="AS526" s="873"/>
    </row>
    <row r="527" spans="1:45" ht="12.75" x14ac:dyDescent="0.2">
      <c r="A527" s="873"/>
      <c r="B527" s="873"/>
      <c r="C527" s="873"/>
      <c r="D527" s="873"/>
      <c r="E527" s="873"/>
      <c r="F527" s="873"/>
      <c r="G527" s="873"/>
      <c r="H527" s="873"/>
      <c r="I527" s="873"/>
      <c r="J527" s="873"/>
      <c r="K527" s="873"/>
      <c r="L527" s="873"/>
      <c r="M527" s="873"/>
      <c r="N527" s="873"/>
      <c r="O527" s="873"/>
      <c r="P527" s="873"/>
      <c r="Q527" s="873"/>
      <c r="R527" s="873"/>
      <c r="S527" s="873"/>
      <c r="T527" s="873"/>
      <c r="U527" s="873"/>
      <c r="V527" s="873"/>
      <c r="W527" s="873"/>
      <c r="X527" s="873"/>
      <c r="Y527" s="873"/>
      <c r="Z527" s="873"/>
      <c r="AA527" s="873"/>
      <c r="AB527" s="873"/>
      <c r="AC527" s="873"/>
      <c r="AD527" s="873"/>
      <c r="AE527" s="873"/>
      <c r="AF527" s="873"/>
      <c r="AG527" s="873"/>
      <c r="AH527" s="873"/>
      <c r="AI527" s="873"/>
      <c r="AJ527" s="873"/>
      <c r="AK527" s="873"/>
      <c r="AL527" s="873"/>
      <c r="AM527" s="873"/>
      <c r="AN527" s="873"/>
      <c r="AO527" s="873"/>
      <c r="AP527" s="873"/>
      <c r="AQ527" s="873"/>
      <c r="AR527" s="873"/>
      <c r="AS527" s="873"/>
    </row>
    <row r="528" spans="1:45" ht="12.75" x14ac:dyDescent="0.2">
      <c r="A528" s="873"/>
      <c r="B528" s="873"/>
      <c r="C528" s="873"/>
      <c r="D528" s="873"/>
      <c r="E528" s="873"/>
      <c r="F528" s="873"/>
      <c r="G528" s="873"/>
      <c r="H528" s="873"/>
      <c r="I528" s="873"/>
      <c r="J528" s="873"/>
      <c r="K528" s="873"/>
      <c r="L528" s="873"/>
      <c r="M528" s="873"/>
      <c r="N528" s="873"/>
      <c r="O528" s="873"/>
      <c r="P528" s="873"/>
      <c r="Q528" s="873"/>
      <c r="R528" s="873"/>
      <c r="S528" s="873"/>
      <c r="T528" s="873"/>
      <c r="U528" s="873"/>
      <c r="V528" s="873"/>
      <c r="W528" s="873"/>
      <c r="X528" s="873"/>
      <c r="Y528" s="873"/>
      <c r="Z528" s="873"/>
      <c r="AA528" s="873"/>
      <c r="AB528" s="873"/>
      <c r="AC528" s="873"/>
      <c r="AD528" s="873"/>
      <c r="AE528" s="873"/>
      <c r="AF528" s="873"/>
      <c r="AG528" s="873"/>
      <c r="AH528" s="873"/>
      <c r="AI528" s="873"/>
      <c r="AJ528" s="873"/>
      <c r="AK528" s="873"/>
      <c r="AL528" s="873"/>
      <c r="AM528" s="873"/>
      <c r="AN528" s="873"/>
      <c r="AO528" s="873"/>
      <c r="AP528" s="873"/>
      <c r="AQ528" s="873"/>
      <c r="AR528" s="873"/>
      <c r="AS528" s="873"/>
    </row>
    <row r="529" spans="1:45" ht="12.75" x14ac:dyDescent="0.2">
      <c r="A529" s="873"/>
      <c r="B529" s="873"/>
      <c r="C529" s="873"/>
      <c r="D529" s="873"/>
      <c r="E529" s="873"/>
      <c r="F529" s="873"/>
      <c r="G529" s="873"/>
      <c r="H529" s="873"/>
      <c r="I529" s="873"/>
      <c r="J529" s="873"/>
      <c r="K529" s="873"/>
      <c r="L529" s="873"/>
      <c r="M529" s="873"/>
      <c r="N529" s="873"/>
      <c r="O529" s="873"/>
      <c r="P529" s="873"/>
      <c r="Q529" s="873"/>
      <c r="R529" s="873"/>
      <c r="S529" s="873"/>
      <c r="T529" s="873"/>
      <c r="U529" s="873"/>
      <c r="V529" s="873"/>
      <c r="W529" s="873"/>
      <c r="X529" s="873"/>
      <c r="Y529" s="873"/>
      <c r="Z529" s="873"/>
      <c r="AA529" s="873"/>
      <c r="AB529" s="873"/>
      <c r="AC529" s="873"/>
      <c r="AD529" s="873"/>
      <c r="AE529" s="873"/>
      <c r="AF529" s="873"/>
      <c r="AG529" s="873"/>
      <c r="AH529" s="873"/>
      <c r="AI529" s="873"/>
      <c r="AJ529" s="873"/>
      <c r="AK529" s="873"/>
      <c r="AL529" s="873"/>
      <c r="AM529" s="873"/>
      <c r="AN529" s="873"/>
      <c r="AO529" s="873"/>
      <c r="AP529" s="873"/>
      <c r="AQ529" s="873"/>
      <c r="AR529" s="873"/>
      <c r="AS529" s="873"/>
    </row>
    <row r="530" spans="1:45" ht="12.75" x14ac:dyDescent="0.2">
      <c r="A530" s="873"/>
      <c r="B530" s="873"/>
      <c r="C530" s="873"/>
      <c r="D530" s="873"/>
      <c r="E530" s="873"/>
      <c r="F530" s="873"/>
      <c r="G530" s="873"/>
      <c r="H530" s="873"/>
      <c r="I530" s="873"/>
      <c r="J530" s="873"/>
      <c r="K530" s="873"/>
      <c r="L530" s="873"/>
      <c r="M530" s="873"/>
      <c r="N530" s="873"/>
      <c r="O530" s="873"/>
      <c r="P530" s="873"/>
      <c r="Q530" s="873"/>
      <c r="R530" s="873"/>
      <c r="S530" s="873"/>
      <c r="T530" s="873"/>
      <c r="U530" s="873"/>
      <c r="V530" s="873"/>
      <c r="W530" s="873"/>
      <c r="X530" s="873"/>
      <c r="Y530" s="873"/>
      <c r="Z530" s="873"/>
      <c r="AA530" s="873"/>
      <c r="AB530" s="873"/>
      <c r="AC530" s="873"/>
      <c r="AD530" s="873"/>
      <c r="AE530" s="873"/>
      <c r="AF530" s="873"/>
      <c r="AG530" s="873"/>
      <c r="AH530" s="873"/>
      <c r="AI530" s="873"/>
      <c r="AJ530" s="873"/>
      <c r="AK530" s="873"/>
      <c r="AL530" s="873"/>
      <c r="AM530" s="873"/>
      <c r="AN530" s="873"/>
      <c r="AO530" s="873"/>
      <c r="AP530" s="873"/>
      <c r="AQ530" s="873"/>
      <c r="AR530" s="873"/>
      <c r="AS530" s="873"/>
    </row>
    <row r="531" spans="1:45" ht="12.75" x14ac:dyDescent="0.2">
      <c r="A531" s="873"/>
      <c r="B531" s="873"/>
      <c r="C531" s="873"/>
      <c r="D531" s="873"/>
      <c r="E531" s="873"/>
      <c r="F531" s="873"/>
      <c r="G531" s="873"/>
      <c r="H531" s="873"/>
      <c r="I531" s="873"/>
      <c r="J531" s="873"/>
      <c r="K531" s="873"/>
      <c r="L531" s="873"/>
      <c r="M531" s="873"/>
      <c r="N531" s="873"/>
      <c r="O531" s="873"/>
      <c r="P531" s="873"/>
      <c r="Q531" s="873"/>
      <c r="R531" s="873"/>
      <c r="S531" s="873"/>
      <c r="T531" s="873"/>
      <c r="U531" s="873"/>
      <c r="V531" s="873"/>
      <c r="W531" s="873"/>
      <c r="X531" s="873"/>
      <c r="Y531" s="873"/>
      <c r="Z531" s="873"/>
      <c r="AA531" s="873"/>
      <c r="AB531" s="873"/>
      <c r="AC531" s="873"/>
      <c r="AD531" s="873"/>
      <c r="AE531" s="873"/>
      <c r="AF531" s="873"/>
      <c r="AG531" s="873"/>
      <c r="AH531" s="873"/>
      <c r="AI531" s="873"/>
      <c r="AJ531" s="873"/>
      <c r="AK531" s="873"/>
      <c r="AL531" s="873"/>
      <c r="AM531" s="873"/>
      <c r="AN531" s="873"/>
      <c r="AO531" s="873"/>
      <c r="AP531" s="873"/>
      <c r="AQ531" s="873"/>
      <c r="AR531" s="873"/>
      <c r="AS531" s="873"/>
    </row>
    <row r="532" spans="1:45" ht="12.75" x14ac:dyDescent="0.2">
      <c r="A532" s="873"/>
      <c r="B532" s="873"/>
      <c r="C532" s="873"/>
      <c r="D532" s="873"/>
      <c r="E532" s="873"/>
      <c r="F532" s="873"/>
      <c r="G532" s="873"/>
      <c r="H532" s="873"/>
      <c r="I532" s="873"/>
      <c r="J532" s="873"/>
      <c r="K532" s="873"/>
      <c r="L532" s="873"/>
      <c r="M532" s="873"/>
      <c r="N532" s="873"/>
      <c r="O532" s="873"/>
      <c r="P532" s="873"/>
      <c r="Q532" s="873"/>
      <c r="R532" s="873"/>
      <c r="S532" s="873"/>
      <c r="T532" s="873"/>
      <c r="U532" s="873"/>
      <c r="V532" s="873"/>
      <c r="W532" s="873"/>
      <c r="X532" s="873"/>
      <c r="Y532" s="873"/>
      <c r="Z532" s="873"/>
      <c r="AA532" s="873"/>
      <c r="AB532" s="873"/>
      <c r="AC532" s="873"/>
      <c r="AD532" s="873"/>
      <c r="AE532" s="873"/>
      <c r="AF532" s="873"/>
      <c r="AG532" s="873"/>
      <c r="AH532" s="873"/>
      <c r="AI532" s="873"/>
      <c r="AJ532" s="873"/>
      <c r="AK532" s="873"/>
      <c r="AL532" s="873"/>
      <c r="AM532" s="873"/>
      <c r="AN532" s="873"/>
      <c r="AO532" s="873"/>
      <c r="AP532" s="873"/>
      <c r="AQ532" s="873"/>
      <c r="AR532" s="873"/>
      <c r="AS532" s="873"/>
    </row>
    <row r="533" spans="1:45" ht="12.75" x14ac:dyDescent="0.2">
      <c r="A533" s="873"/>
      <c r="B533" s="873"/>
      <c r="C533" s="873"/>
      <c r="D533" s="873"/>
      <c r="E533" s="873"/>
      <c r="F533" s="873"/>
      <c r="G533" s="873"/>
      <c r="H533" s="873"/>
      <c r="I533" s="873"/>
      <c r="J533" s="873"/>
      <c r="K533" s="873"/>
      <c r="L533" s="873"/>
      <c r="M533" s="873"/>
      <c r="N533" s="873"/>
      <c r="O533" s="873"/>
      <c r="P533" s="873"/>
      <c r="Q533" s="873"/>
      <c r="R533" s="873"/>
      <c r="S533" s="873"/>
      <c r="T533" s="873"/>
      <c r="U533" s="873"/>
      <c r="V533" s="873"/>
      <c r="W533" s="873"/>
      <c r="X533" s="873"/>
      <c r="Y533" s="873"/>
      <c r="Z533" s="873"/>
      <c r="AA533" s="873"/>
      <c r="AB533" s="873"/>
      <c r="AC533" s="873"/>
      <c r="AD533" s="873"/>
      <c r="AE533" s="873"/>
      <c r="AF533" s="873"/>
      <c r="AG533" s="873"/>
      <c r="AH533" s="873"/>
      <c r="AI533" s="873"/>
      <c r="AJ533" s="873"/>
      <c r="AK533" s="873"/>
      <c r="AL533" s="873"/>
      <c r="AM533" s="873"/>
      <c r="AN533" s="873"/>
      <c r="AO533" s="873"/>
      <c r="AP533" s="873"/>
      <c r="AQ533" s="873"/>
      <c r="AR533" s="873"/>
      <c r="AS533" s="873"/>
    </row>
    <row r="534" spans="1:45" ht="12.75" x14ac:dyDescent="0.2">
      <c r="A534" s="873"/>
      <c r="B534" s="873"/>
      <c r="C534" s="873"/>
      <c r="D534" s="873"/>
      <c r="E534" s="873"/>
      <c r="F534" s="873"/>
      <c r="G534" s="873"/>
      <c r="H534" s="873"/>
      <c r="I534" s="873"/>
      <c r="J534" s="873"/>
      <c r="K534" s="873"/>
      <c r="L534" s="873"/>
      <c r="M534" s="873"/>
      <c r="N534" s="873"/>
      <c r="O534" s="873"/>
      <c r="P534" s="873"/>
      <c r="Q534" s="873"/>
      <c r="R534" s="873"/>
      <c r="S534" s="873"/>
      <c r="T534" s="873"/>
      <c r="U534" s="873"/>
      <c r="V534" s="873"/>
      <c r="W534" s="873"/>
      <c r="X534" s="873"/>
      <c r="Y534" s="873"/>
      <c r="Z534" s="873"/>
      <c r="AA534" s="873"/>
      <c r="AB534" s="873"/>
      <c r="AC534" s="873"/>
      <c r="AD534" s="873"/>
      <c r="AE534" s="873"/>
      <c r="AF534" s="873"/>
      <c r="AG534" s="873"/>
      <c r="AH534" s="873"/>
      <c r="AI534" s="873"/>
      <c r="AJ534" s="873"/>
      <c r="AK534" s="873"/>
      <c r="AL534" s="873"/>
      <c r="AM534" s="873"/>
      <c r="AN534" s="873"/>
      <c r="AO534" s="873"/>
      <c r="AP534" s="873"/>
      <c r="AQ534" s="873"/>
      <c r="AR534" s="873"/>
      <c r="AS534" s="873"/>
    </row>
    <row r="535" spans="1:45" ht="12.75" x14ac:dyDescent="0.2">
      <c r="A535" s="873"/>
      <c r="B535" s="873"/>
      <c r="C535" s="873"/>
      <c r="D535" s="873"/>
      <c r="E535" s="873"/>
      <c r="F535" s="873"/>
      <c r="G535" s="873"/>
      <c r="H535" s="873"/>
      <c r="I535" s="873"/>
      <c r="J535" s="873"/>
      <c r="K535" s="873"/>
      <c r="L535" s="873"/>
      <c r="M535" s="873"/>
      <c r="N535" s="873"/>
      <c r="O535" s="873"/>
      <c r="P535" s="873"/>
      <c r="Q535" s="873"/>
      <c r="R535" s="873"/>
      <c r="S535" s="873"/>
      <c r="T535" s="873"/>
      <c r="U535" s="873"/>
      <c r="V535" s="873"/>
      <c r="W535" s="873"/>
      <c r="X535" s="873"/>
      <c r="Y535" s="873"/>
      <c r="Z535" s="873"/>
      <c r="AA535" s="873"/>
      <c r="AB535" s="873"/>
      <c r="AC535" s="873"/>
      <c r="AD535" s="873"/>
      <c r="AE535" s="873"/>
      <c r="AF535" s="873"/>
      <c r="AG535" s="873"/>
      <c r="AH535" s="873"/>
      <c r="AI535" s="873"/>
      <c r="AJ535" s="873"/>
      <c r="AK535" s="873"/>
      <c r="AL535" s="873"/>
      <c r="AM535" s="873"/>
      <c r="AN535" s="873"/>
      <c r="AO535" s="873"/>
      <c r="AP535" s="873"/>
      <c r="AQ535" s="873"/>
      <c r="AR535" s="873"/>
      <c r="AS535" s="873"/>
    </row>
    <row r="536" spans="1:45" ht="12.75" x14ac:dyDescent="0.2">
      <c r="A536" s="873"/>
      <c r="B536" s="873"/>
      <c r="C536" s="873"/>
      <c r="D536" s="873"/>
      <c r="E536" s="873"/>
      <c r="F536" s="873"/>
      <c r="G536" s="873"/>
      <c r="H536" s="873"/>
      <c r="I536" s="873"/>
      <c r="J536" s="873"/>
      <c r="K536" s="873"/>
      <c r="L536" s="873"/>
      <c r="M536" s="873"/>
      <c r="N536" s="873"/>
      <c r="O536" s="873"/>
      <c r="P536" s="873"/>
      <c r="Q536" s="873"/>
      <c r="R536" s="873"/>
      <c r="S536" s="873"/>
      <c r="T536" s="873"/>
      <c r="U536" s="873"/>
      <c r="V536" s="873"/>
      <c r="W536" s="873"/>
      <c r="X536" s="873"/>
      <c r="Y536" s="873"/>
      <c r="Z536" s="873"/>
      <c r="AA536" s="873"/>
      <c r="AB536" s="873"/>
      <c r="AC536" s="873"/>
      <c r="AD536" s="873"/>
      <c r="AE536" s="873"/>
      <c r="AF536" s="873"/>
      <c r="AG536" s="873"/>
      <c r="AH536" s="873"/>
      <c r="AI536" s="873"/>
      <c r="AJ536" s="873"/>
      <c r="AK536" s="873"/>
      <c r="AL536" s="873"/>
      <c r="AM536" s="873"/>
      <c r="AN536" s="873"/>
      <c r="AO536" s="873"/>
      <c r="AP536" s="873"/>
      <c r="AQ536" s="873"/>
      <c r="AR536" s="873"/>
      <c r="AS536" s="873"/>
    </row>
    <row r="537" spans="1:45" ht="12.75" x14ac:dyDescent="0.2">
      <c r="A537" s="873"/>
      <c r="B537" s="873"/>
      <c r="C537" s="873"/>
      <c r="D537" s="873"/>
      <c r="E537" s="873"/>
      <c r="F537" s="873"/>
      <c r="G537" s="873"/>
      <c r="H537" s="873"/>
      <c r="I537" s="873"/>
      <c r="J537" s="873"/>
      <c r="K537" s="873"/>
      <c r="L537" s="873"/>
      <c r="M537" s="873"/>
      <c r="N537" s="873"/>
      <c r="O537" s="873"/>
      <c r="P537" s="873"/>
      <c r="Q537" s="873"/>
      <c r="R537" s="873"/>
      <c r="S537" s="873"/>
      <c r="T537" s="873"/>
      <c r="U537" s="873"/>
      <c r="V537" s="873"/>
      <c r="W537" s="873"/>
      <c r="X537" s="873"/>
      <c r="Y537" s="873"/>
      <c r="Z537" s="873"/>
      <c r="AA537" s="873"/>
      <c r="AB537" s="873"/>
      <c r="AC537" s="873"/>
      <c r="AD537" s="873"/>
      <c r="AE537" s="873"/>
      <c r="AF537" s="873"/>
      <c r="AG537" s="873"/>
      <c r="AH537" s="873"/>
      <c r="AI537" s="873"/>
      <c r="AJ537" s="873"/>
      <c r="AK537" s="873"/>
      <c r="AL537" s="873"/>
      <c r="AM537" s="873"/>
      <c r="AN537" s="873"/>
      <c r="AO537" s="873"/>
      <c r="AP537" s="873"/>
      <c r="AQ537" s="873"/>
      <c r="AR537" s="873"/>
      <c r="AS537" s="873"/>
    </row>
    <row r="538" spans="1:45" ht="12.75" x14ac:dyDescent="0.2">
      <c r="A538" s="873"/>
      <c r="B538" s="873"/>
      <c r="C538" s="873"/>
      <c r="D538" s="873"/>
      <c r="E538" s="873"/>
      <c r="F538" s="873"/>
      <c r="G538" s="873"/>
      <c r="H538" s="873"/>
      <c r="I538" s="873"/>
      <c r="J538" s="873"/>
      <c r="K538" s="873"/>
      <c r="L538" s="873"/>
      <c r="M538" s="873"/>
      <c r="N538" s="873"/>
      <c r="O538" s="873"/>
      <c r="P538" s="873"/>
      <c r="Q538" s="873"/>
      <c r="R538" s="873"/>
      <c r="S538" s="873"/>
      <c r="T538" s="873"/>
      <c r="U538" s="873"/>
      <c r="V538" s="873"/>
      <c r="W538" s="873"/>
      <c r="X538" s="873"/>
      <c r="Y538" s="873"/>
      <c r="Z538" s="873"/>
      <c r="AA538" s="873"/>
      <c r="AB538" s="873"/>
      <c r="AC538" s="873"/>
      <c r="AD538" s="873"/>
      <c r="AE538" s="873"/>
      <c r="AF538" s="873"/>
      <c r="AG538" s="873"/>
      <c r="AH538" s="873"/>
      <c r="AI538" s="873"/>
      <c r="AJ538" s="873"/>
      <c r="AK538" s="873"/>
      <c r="AL538" s="873"/>
      <c r="AM538" s="873"/>
      <c r="AN538" s="873"/>
      <c r="AO538" s="873"/>
      <c r="AP538" s="873"/>
      <c r="AQ538" s="873"/>
      <c r="AR538" s="873"/>
      <c r="AS538" s="873"/>
    </row>
    <row r="539" spans="1:45" ht="12.75" x14ac:dyDescent="0.2">
      <c r="A539" s="873"/>
      <c r="B539" s="873"/>
      <c r="C539" s="873"/>
      <c r="D539" s="873"/>
      <c r="E539" s="873"/>
      <c r="F539" s="873"/>
      <c r="G539" s="873"/>
      <c r="H539" s="873"/>
      <c r="I539" s="873"/>
      <c r="J539" s="873"/>
      <c r="K539" s="873"/>
      <c r="L539" s="873"/>
      <c r="M539" s="873"/>
      <c r="N539" s="873"/>
      <c r="O539" s="873"/>
      <c r="P539" s="873"/>
      <c r="Q539" s="873"/>
      <c r="R539" s="873"/>
      <c r="S539" s="873"/>
      <c r="T539" s="873"/>
      <c r="U539" s="873"/>
      <c r="V539" s="873"/>
      <c r="W539" s="873"/>
      <c r="X539" s="873"/>
      <c r="Y539" s="873"/>
      <c r="Z539" s="873"/>
      <c r="AA539" s="873"/>
      <c r="AB539" s="873"/>
      <c r="AC539" s="873"/>
      <c r="AD539" s="873"/>
      <c r="AE539" s="873"/>
      <c r="AF539" s="873"/>
      <c r="AG539" s="873"/>
      <c r="AH539" s="873"/>
      <c r="AI539" s="873"/>
      <c r="AJ539" s="873"/>
      <c r="AK539" s="873"/>
      <c r="AL539" s="873"/>
      <c r="AM539" s="873"/>
      <c r="AN539" s="873"/>
      <c r="AO539" s="873"/>
      <c r="AP539" s="873"/>
      <c r="AQ539" s="873"/>
      <c r="AR539" s="873"/>
      <c r="AS539" s="873"/>
    </row>
    <row r="540" spans="1:45" ht="12.75" x14ac:dyDescent="0.2">
      <c r="A540" s="873"/>
      <c r="B540" s="873"/>
      <c r="C540" s="873"/>
      <c r="D540" s="873"/>
      <c r="E540" s="873"/>
      <c r="F540" s="873"/>
      <c r="G540" s="873"/>
      <c r="H540" s="873"/>
      <c r="I540" s="873"/>
      <c r="J540" s="873"/>
      <c r="K540" s="873"/>
      <c r="L540" s="873"/>
      <c r="M540" s="873"/>
      <c r="N540" s="873"/>
      <c r="O540" s="873"/>
      <c r="P540" s="873"/>
      <c r="Q540" s="873"/>
      <c r="R540" s="873"/>
      <c r="S540" s="873"/>
      <c r="T540" s="873"/>
      <c r="U540" s="873"/>
      <c r="V540" s="873"/>
      <c r="W540" s="873"/>
      <c r="X540" s="873"/>
      <c r="Y540" s="873"/>
      <c r="Z540" s="873"/>
      <c r="AA540" s="873"/>
      <c r="AB540" s="873"/>
      <c r="AC540" s="873"/>
      <c r="AD540" s="873"/>
      <c r="AE540" s="873"/>
      <c r="AF540" s="873"/>
      <c r="AG540" s="873"/>
      <c r="AH540" s="873"/>
      <c r="AI540" s="873"/>
      <c r="AJ540" s="873"/>
      <c r="AK540" s="873"/>
      <c r="AL540" s="873"/>
      <c r="AM540" s="873"/>
      <c r="AN540" s="873"/>
      <c r="AO540" s="873"/>
      <c r="AP540" s="873"/>
      <c r="AQ540" s="873"/>
      <c r="AR540" s="873"/>
      <c r="AS540" s="873"/>
    </row>
    <row r="541" spans="1:45" ht="12.75" x14ac:dyDescent="0.2">
      <c r="A541" s="873"/>
      <c r="B541" s="873"/>
      <c r="C541" s="873"/>
      <c r="D541" s="873"/>
      <c r="E541" s="873"/>
      <c r="F541" s="873"/>
      <c r="G541" s="873"/>
      <c r="H541" s="873"/>
      <c r="I541" s="873"/>
      <c r="J541" s="873"/>
      <c r="K541" s="873"/>
      <c r="L541" s="873"/>
      <c r="M541" s="873"/>
      <c r="N541" s="873"/>
      <c r="O541" s="873"/>
      <c r="P541" s="873"/>
      <c r="Q541" s="873"/>
      <c r="R541" s="873"/>
      <c r="S541" s="873"/>
      <c r="T541" s="873"/>
      <c r="U541" s="873"/>
      <c r="V541" s="873"/>
      <c r="W541" s="873"/>
      <c r="X541" s="873"/>
      <c r="Y541" s="873"/>
      <c r="Z541" s="873"/>
      <c r="AA541" s="873"/>
      <c r="AB541" s="873"/>
      <c r="AC541" s="873"/>
      <c r="AD541" s="873"/>
      <c r="AE541" s="873"/>
      <c r="AF541" s="873"/>
      <c r="AG541" s="873"/>
      <c r="AH541" s="873"/>
      <c r="AI541" s="873"/>
      <c r="AJ541" s="873"/>
      <c r="AK541" s="873"/>
      <c r="AL541" s="873"/>
      <c r="AM541" s="873"/>
      <c r="AN541" s="873"/>
      <c r="AO541" s="873"/>
      <c r="AP541" s="873"/>
      <c r="AQ541" s="873"/>
      <c r="AR541" s="873"/>
      <c r="AS541" s="873"/>
    </row>
    <row r="542" spans="1:45" ht="12.75" x14ac:dyDescent="0.2">
      <c r="A542" s="873"/>
      <c r="B542" s="873"/>
      <c r="C542" s="873"/>
      <c r="D542" s="873"/>
      <c r="E542" s="873"/>
      <c r="F542" s="873"/>
      <c r="G542" s="873"/>
      <c r="H542" s="873"/>
      <c r="I542" s="873"/>
      <c r="J542" s="873"/>
      <c r="K542" s="873"/>
      <c r="L542" s="873"/>
      <c r="M542" s="873"/>
      <c r="N542" s="873"/>
      <c r="O542" s="873"/>
      <c r="P542" s="873"/>
      <c r="Q542" s="873"/>
      <c r="R542" s="873"/>
      <c r="S542" s="873"/>
      <c r="T542" s="873"/>
      <c r="U542" s="873"/>
      <c r="V542" s="873"/>
      <c r="W542" s="873"/>
      <c r="X542" s="873"/>
      <c r="Y542" s="873"/>
      <c r="Z542" s="873"/>
      <c r="AA542" s="873"/>
      <c r="AB542" s="873"/>
      <c r="AC542" s="873"/>
      <c r="AD542" s="873"/>
      <c r="AE542" s="873"/>
      <c r="AF542" s="873"/>
      <c r="AG542" s="873"/>
      <c r="AH542" s="873"/>
      <c r="AI542" s="873"/>
      <c r="AJ542" s="873"/>
      <c r="AK542" s="873"/>
      <c r="AL542" s="873"/>
      <c r="AM542" s="873"/>
      <c r="AN542" s="873"/>
      <c r="AO542" s="873"/>
      <c r="AP542" s="873"/>
      <c r="AQ542" s="873"/>
      <c r="AR542" s="873"/>
      <c r="AS542" s="873"/>
    </row>
    <row r="543" spans="1:45" ht="12.75" x14ac:dyDescent="0.2">
      <c r="A543" s="873"/>
      <c r="B543" s="873"/>
      <c r="C543" s="873"/>
      <c r="D543" s="873"/>
      <c r="E543" s="873"/>
      <c r="F543" s="873"/>
      <c r="G543" s="873"/>
      <c r="H543" s="873"/>
      <c r="I543" s="873"/>
      <c r="J543" s="873"/>
      <c r="K543" s="873"/>
      <c r="L543" s="873"/>
      <c r="M543" s="873"/>
      <c r="N543" s="873"/>
      <c r="O543" s="873"/>
      <c r="P543" s="873"/>
      <c r="Q543" s="873"/>
      <c r="R543" s="873"/>
      <c r="S543" s="873"/>
      <c r="T543" s="873"/>
      <c r="U543" s="873"/>
      <c r="V543" s="873"/>
      <c r="W543" s="873"/>
      <c r="X543" s="873"/>
      <c r="Y543" s="873"/>
      <c r="Z543" s="873"/>
      <c r="AA543" s="873"/>
      <c r="AB543" s="873"/>
      <c r="AC543" s="873"/>
      <c r="AD543" s="873"/>
      <c r="AE543" s="873"/>
      <c r="AF543" s="873"/>
      <c r="AG543" s="873"/>
      <c r="AH543" s="873"/>
      <c r="AI543" s="873"/>
      <c r="AJ543" s="873"/>
      <c r="AK543" s="873"/>
      <c r="AL543" s="873"/>
      <c r="AM543" s="873"/>
      <c r="AN543" s="873"/>
      <c r="AO543" s="873"/>
      <c r="AP543" s="873"/>
      <c r="AQ543" s="873"/>
      <c r="AR543" s="873"/>
      <c r="AS543" s="873"/>
    </row>
    <row r="544" spans="1:45" ht="12.75" x14ac:dyDescent="0.2">
      <c r="A544" s="873"/>
      <c r="B544" s="873"/>
      <c r="C544" s="873"/>
      <c r="D544" s="873"/>
      <c r="E544" s="873"/>
      <c r="F544" s="873"/>
      <c r="G544" s="873"/>
      <c r="H544" s="873"/>
      <c r="I544" s="873"/>
      <c r="J544" s="873"/>
      <c r="K544" s="873"/>
      <c r="L544" s="873"/>
      <c r="M544" s="873"/>
      <c r="N544" s="873"/>
      <c r="O544" s="873"/>
      <c r="P544" s="873"/>
      <c r="Q544" s="873"/>
      <c r="R544" s="873"/>
      <c r="S544" s="873"/>
      <c r="T544" s="873"/>
      <c r="U544" s="873"/>
      <c r="V544" s="873"/>
      <c r="W544" s="873"/>
      <c r="X544" s="873"/>
      <c r="Y544" s="873"/>
      <c r="Z544" s="873"/>
      <c r="AA544" s="873"/>
      <c r="AB544" s="873"/>
      <c r="AC544" s="873"/>
      <c r="AD544" s="873"/>
      <c r="AE544" s="873"/>
      <c r="AF544" s="873"/>
      <c r="AG544" s="873"/>
      <c r="AH544" s="873"/>
      <c r="AI544" s="873"/>
      <c r="AJ544" s="873"/>
      <c r="AK544" s="873"/>
      <c r="AL544" s="873"/>
      <c r="AM544" s="873"/>
      <c r="AN544" s="873"/>
      <c r="AO544" s="873"/>
      <c r="AP544" s="873"/>
      <c r="AQ544" s="873"/>
      <c r="AR544" s="873"/>
      <c r="AS544" s="873"/>
    </row>
    <row r="545" spans="1:45" ht="12.75" x14ac:dyDescent="0.2">
      <c r="A545" s="873"/>
      <c r="B545" s="873"/>
      <c r="C545" s="873"/>
      <c r="D545" s="873"/>
      <c r="E545" s="873"/>
      <c r="F545" s="873"/>
      <c r="G545" s="873"/>
      <c r="H545" s="873"/>
      <c r="I545" s="873"/>
      <c r="J545" s="873"/>
      <c r="K545" s="873"/>
      <c r="L545" s="873"/>
      <c r="M545" s="873"/>
      <c r="N545" s="873"/>
      <c r="O545" s="873"/>
      <c r="P545" s="873"/>
      <c r="Q545" s="873"/>
      <c r="R545" s="873"/>
      <c r="S545" s="873"/>
      <c r="T545" s="873"/>
      <c r="U545" s="873"/>
      <c r="V545" s="873"/>
      <c r="W545" s="873"/>
      <c r="X545" s="873"/>
      <c r="Y545" s="873"/>
      <c r="Z545" s="873"/>
      <c r="AA545" s="873"/>
      <c r="AB545" s="873"/>
      <c r="AC545" s="873"/>
      <c r="AD545" s="873"/>
      <c r="AE545" s="873"/>
      <c r="AF545" s="873"/>
      <c r="AG545" s="873"/>
      <c r="AH545" s="873"/>
      <c r="AI545" s="873"/>
      <c r="AJ545" s="873"/>
      <c r="AK545" s="873"/>
      <c r="AL545" s="873"/>
      <c r="AM545" s="873"/>
      <c r="AN545" s="873"/>
      <c r="AO545" s="873"/>
      <c r="AP545" s="873"/>
      <c r="AQ545" s="873"/>
      <c r="AR545" s="873"/>
      <c r="AS545" s="873"/>
    </row>
    <row r="546" spans="1:45" ht="12.75" x14ac:dyDescent="0.2">
      <c r="A546" s="873"/>
      <c r="B546" s="873"/>
      <c r="C546" s="873"/>
      <c r="D546" s="873"/>
      <c r="E546" s="873"/>
      <c r="F546" s="873"/>
      <c r="G546" s="873"/>
      <c r="H546" s="873"/>
      <c r="I546" s="873"/>
      <c r="J546" s="873"/>
      <c r="K546" s="873"/>
      <c r="L546" s="873"/>
      <c r="M546" s="873"/>
      <c r="N546" s="873"/>
      <c r="O546" s="873"/>
      <c r="P546" s="873"/>
      <c r="Q546" s="873"/>
      <c r="R546" s="873"/>
      <c r="S546" s="873"/>
      <c r="T546" s="873"/>
      <c r="U546" s="873"/>
      <c r="V546" s="873"/>
      <c r="W546" s="873"/>
      <c r="X546" s="873"/>
      <c r="Y546" s="873"/>
      <c r="Z546" s="873"/>
      <c r="AA546" s="873"/>
      <c r="AB546" s="873"/>
      <c r="AC546" s="873"/>
      <c r="AD546" s="873"/>
      <c r="AE546" s="873"/>
      <c r="AF546" s="873"/>
      <c r="AG546" s="873"/>
      <c r="AH546" s="873"/>
      <c r="AI546" s="873"/>
      <c r="AJ546" s="873"/>
      <c r="AK546" s="873"/>
      <c r="AL546" s="873"/>
      <c r="AM546" s="873"/>
      <c r="AN546" s="873"/>
      <c r="AO546" s="873"/>
      <c r="AP546" s="873"/>
      <c r="AQ546" s="873"/>
      <c r="AR546" s="873"/>
      <c r="AS546" s="873"/>
    </row>
    <row r="547" spans="1:45" ht="12.75" x14ac:dyDescent="0.2">
      <c r="A547" s="873"/>
      <c r="B547" s="873"/>
      <c r="C547" s="873"/>
      <c r="D547" s="873"/>
      <c r="E547" s="873"/>
      <c r="F547" s="873"/>
      <c r="G547" s="873"/>
      <c r="H547" s="873"/>
      <c r="I547" s="873"/>
      <c r="J547" s="873"/>
      <c r="K547" s="873"/>
      <c r="L547" s="873"/>
      <c r="M547" s="873"/>
      <c r="N547" s="873"/>
      <c r="O547" s="873"/>
      <c r="P547" s="873"/>
      <c r="Q547" s="873"/>
      <c r="R547" s="873"/>
      <c r="S547" s="873"/>
      <c r="T547" s="873"/>
      <c r="U547" s="873"/>
      <c r="V547" s="873"/>
      <c r="W547" s="873"/>
      <c r="X547" s="873"/>
      <c r="Y547" s="873"/>
      <c r="Z547" s="873"/>
      <c r="AA547" s="873"/>
      <c r="AB547" s="873"/>
      <c r="AC547" s="873"/>
      <c r="AD547" s="873"/>
      <c r="AE547" s="873"/>
      <c r="AF547" s="873"/>
      <c r="AG547" s="873"/>
      <c r="AH547" s="873"/>
      <c r="AI547" s="873"/>
      <c r="AJ547" s="873"/>
      <c r="AK547" s="873"/>
      <c r="AL547" s="873"/>
      <c r="AM547" s="873"/>
      <c r="AN547" s="873"/>
      <c r="AO547" s="873"/>
      <c r="AP547" s="873"/>
      <c r="AQ547" s="873"/>
      <c r="AR547" s="873"/>
      <c r="AS547" s="873"/>
    </row>
    <row r="548" spans="1:45" ht="12.75" x14ac:dyDescent="0.2">
      <c r="A548" s="873"/>
      <c r="B548" s="873"/>
      <c r="C548" s="873"/>
      <c r="D548" s="873"/>
      <c r="E548" s="873"/>
      <c r="F548" s="873"/>
      <c r="G548" s="873"/>
      <c r="H548" s="873"/>
      <c r="I548" s="873"/>
      <c r="J548" s="873"/>
      <c r="K548" s="873"/>
      <c r="L548" s="873"/>
      <c r="M548" s="873"/>
      <c r="N548" s="873"/>
      <c r="O548" s="873"/>
      <c r="P548" s="873"/>
      <c r="Q548" s="873"/>
      <c r="R548" s="873"/>
      <c r="S548" s="873"/>
      <c r="T548" s="873"/>
      <c r="U548" s="873"/>
      <c r="V548" s="873"/>
      <c r="W548" s="873"/>
      <c r="X548" s="873"/>
      <c r="Y548" s="873"/>
      <c r="Z548" s="873"/>
      <c r="AA548" s="873"/>
      <c r="AB548" s="873"/>
      <c r="AC548" s="873"/>
      <c r="AD548" s="873"/>
      <c r="AE548" s="873"/>
      <c r="AF548" s="873"/>
      <c r="AG548" s="873"/>
      <c r="AH548" s="873"/>
      <c r="AI548" s="873"/>
      <c r="AJ548" s="873"/>
      <c r="AK548" s="873"/>
      <c r="AL548" s="873"/>
      <c r="AM548" s="873"/>
      <c r="AN548" s="873"/>
      <c r="AO548" s="873"/>
      <c r="AP548" s="873"/>
      <c r="AQ548" s="873"/>
      <c r="AR548" s="873"/>
      <c r="AS548" s="873"/>
    </row>
    <row r="549" spans="1:45" ht="12.75" x14ac:dyDescent="0.2">
      <c r="A549" s="873"/>
      <c r="B549" s="873"/>
      <c r="C549" s="873"/>
      <c r="D549" s="873"/>
      <c r="E549" s="873"/>
      <c r="F549" s="873"/>
      <c r="G549" s="873"/>
      <c r="H549" s="873"/>
      <c r="I549" s="873"/>
      <c r="J549" s="873"/>
      <c r="K549" s="873"/>
      <c r="L549" s="873"/>
      <c r="M549" s="873"/>
      <c r="N549" s="873"/>
      <c r="O549" s="873"/>
      <c r="P549" s="873"/>
      <c r="Q549" s="873"/>
      <c r="R549" s="873"/>
      <c r="S549" s="873"/>
      <c r="T549" s="873"/>
      <c r="U549" s="873"/>
      <c r="V549" s="873"/>
      <c r="W549" s="873"/>
      <c r="X549" s="873"/>
      <c r="Y549" s="873"/>
      <c r="Z549" s="873"/>
      <c r="AA549" s="873"/>
      <c r="AB549" s="873"/>
      <c r="AC549" s="873"/>
      <c r="AD549" s="873"/>
      <c r="AE549" s="873"/>
      <c r="AF549" s="873"/>
      <c r="AG549" s="873"/>
      <c r="AH549" s="873"/>
      <c r="AI549" s="873"/>
      <c r="AJ549" s="873"/>
      <c r="AK549" s="873"/>
      <c r="AL549" s="873"/>
      <c r="AM549" s="873"/>
      <c r="AN549" s="873"/>
      <c r="AO549" s="873"/>
      <c r="AP549" s="873"/>
      <c r="AQ549" s="873"/>
      <c r="AR549" s="873"/>
      <c r="AS549" s="873"/>
    </row>
    <row r="550" spans="1:45" ht="12.75" x14ac:dyDescent="0.2">
      <c r="A550" s="873"/>
      <c r="B550" s="873"/>
      <c r="C550" s="873"/>
      <c r="D550" s="873"/>
      <c r="E550" s="873"/>
      <c r="F550" s="873"/>
      <c r="G550" s="873"/>
      <c r="H550" s="873"/>
      <c r="I550" s="873"/>
      <c r="J550" s="873"/>
      <c r="K550" s="873"/>
      <c r="L550" s="873"/>
      <c r="M550" s="873"/>
      <c r="N550" s="873"/>
      <c r="O550" s="873"/>
      <c r="P550" s="873"/>
      <c r="Q550" s="873"/>
      <c r="R550" s="873"/>
      <c r="S550" s="873"/>
      <c r="T550" s="873"/>
      <c r="U550" s="873"/>
      <c r="V550" s="873"/>
      <c r="W550" s="873"/>
      <c r="X550" s="873"/>
      <c r="Y550" s="873"/>
      <c r="Z550" s="873"/>
      <c r="AA550" s="873"/>
      <c r="AB550" s="873"/>
      <c r="AC550" s="873"/>
      <c r="AD550" s="873"/>
      <c r="AE550" s="873"/>
      <c r="AF550" s="873"/>
      <c r="AG550" s="873"/>
      <c r="AH550" s="873"/>
      <c r="AI550" s="873"/>
      <c r="AJ550" s="873"/>
      <c r="AK550" s="873"/>
      <c r="AL550" s="873"/>
      <c r="AM550" s="873"/>
      <c r="AN550" s="873"/>
      <c r="AO550" s="873"/>
      <c r="AP550" s="873"/>
      <c r="AQ550" s="873"/>
      <c r="AR550" s="873"/>
      <c r="AS550" s="873"/>
    </row>
    <row r="551" spans="1:45" ht="12.75" x14ac:dyDescent="0.2">
      <c r="A551" s="873"/>
      <c r="B551" s="873"/>
      <c r="C551" s="873"/>
      <c r="D551" s="873"/>
      <c r="E551" s="873"/>
      <c r="F551" s="873"/>
      <c r="G551" s="873"/>
      <c r="H551" s="873"/>
      <c r="I551" s="873"/>
      <c r="J551" s="873"/>
      <c r="K551" s="873"/>
      <c r="L551" s="873"/>
      <c r="M551" s="873"/>
      <c r="N551" s="873"/>
      <c r="O551" s="873"/>
      <c r="P551" s="873"/>
      <c r="Q551" s="873"/>
      <c r="R551" s="873"/>
      <c r="S551" s="873"/>
      <c r="T551" s="873"/>
      <c r="U551" s="873"/>
      <c r="V551" s="873"/>
      <c r="W551" s="873"/>
      <c r="X551" s="873"/>
      <c r="Y551" s="873"/>
      <c r="Z551" s="873"/>
      <c r="AA551" s="873"/>
      <c r="AB551" s="873"/>
      <c r="AC551" s="873"/>
      <c r="AD551" s="873"/>
      <c r="AE551" s="873"/>
      <c r="AF551" s="873"/>
      <c r="AG551" s="873"/>
      <c r="AH551" s="873"/>
      <c r="AI551" s="873"/>
      <c r="AJ551" s="873"/>
      <c r="AK551" s="873"/>
      <c r="AL551" s="873"/>
      <c r="AM551" s="873"/>
      <c r="AN551" s="873"/>
      <c r="AO551" s="873"/>
      <c r="AP551" s="873"/>
      <c r="AQ551" s="873"/>
      <c r="AR551" s="873"/>
      <c r="AS551" s="873"/>
    </row>
    <row r="552" spans="1:45" ht="12.75" x14ac:dyDescent="0.2">
      <c r="A552" s="873"/>
      <c r="B552" s="873"/>
      <c r="C552" s="873"/>
      <c r="D552" s="873"/>
      <c r="E552" s="873"/>
      <c r="F552" s="873"/>
      <c r="G552" s="873"/>
      <c r="H552" s="873"/>
      <c r="I552" s="873"/>
      <c r="J552" s="873"/>
      <c r="K552" s="873"/>
      <c r="L552" s="873"/>
      <c r="M552" s="873"/>
      <c r="N552" s="873"/>
      <c r="O552" s="873"/>
      <c r="P552" s="873"/>
      <c r="Q552" s="873"/>
      <c r="R552" s="873"/>
      <c r="S552" s="873"/>
      <c r="T552" s="873"/>
      <c r="U552" s="873"/>
      <c r="V552" s="873"/>
      <c r="W552" s="873"/>
      <c r="X552" s="873"/>
      <c r="Y552" s="873"/>
      <c r="Z552" s="873"/>
      <c r="AA552" s="873"/>
      <c r="AB552" s="873"/>
      <c r="AC552" s="873"/>
      <c r="AD552" s="873"/>
      <c r="AE552" s="873"/>
      <c r="AF552" s="873"/>
      <c r="AG552" s="873"/>
      <c r="AH552" s="873"/>
      <c r="AI552" s="873"/>
      <c r="AJ552" s="873"/>
      <c r="AK552" s="873"/>
      <c r="AL552" s="873"/>
      <c r="AM552" s="873"/>
      <c r="AN552" s="873"/>
      <c r="AO552" s="873"/>
      <c r="AP552" s="873"/>
      <c r="AQ552" s="873"/>
      <c r="AR552" s="873"/>
      <c r="AS552" s="873"/>
    </row>
    <row r="553" spans="1:45" ht="12.75" x14ac:dyDescent="0.2">
      <c r="A553" s="873"/>
      <c r="B553" s="873"/>
      <c r="C553" s="873"/>
      <c r="D553" s="873"/>
      <c r="E553" s="873"/>
      <c r="F553" s="873"/>
      <c r="G553" s="873"/>
      <c r="H553" s="873"/>
      <c r="I553" s="873"/>
      <c r="J553" s="873"/>
      <c r="K553" s="873"/>
      <c r="L553" s="873"/>
      <c r="M553" s="873"/>
      <c r="N553" s="873"/>
      <c r="O553" s="873"/>
      <c r="P553" s="873"/>
      <c r="Q553" s="873"/>
      <c r="R553" s="873"/>
      <c r="S553" s="873"/>
      <c r="T553" s="873"/>
      <c r="U553" s="873"/>
      <c r="V553" s="873"/>
      <c r="W553" s="873"/>
      <c r="X553" s="873"/>
      <c r="Y553" s="873"/>
      <c r="Z553" s="873"/>
      <c r="AA553" s="873"/>
      <c r="AB553" s="873"/>
      <c r="AC553" s="873"/>
      <c r="AD553" s="873"/>
      <c r="AE553" s="873"/>
      <c r="AF553" s="873"/>
      <c r="AG553" s="873"/>
      <c r="AH553" s="873"/>
      <c r="AI553" s="873"/>
      <c r="AJ553" s="873"/>
      <c r="AK553" s="873"/>
      <c r="AL553" s="873"/>
      <c r="AM553" s="873"/>
      <c r="AN553" s="873"/>
      <c r="AO553" s="873"/>
      <c r="AP553" s="873"/>
      <c r="AQ553" s="873"/>
      <c r="AR553" s="873"/>
      <c r="AS553" s="873"/>
    </row>
    <row r="554" spans="1:45" ht="12.75" x14ac:dyDescent="0.2">
      <c r="A554" s="873"/>
      <c r="B554" s="873"/>
      <c r="C554" s="873"/>
      <c r="D554" s="873"/>
      <c r="E554" s="873"/>
      <c r="F554" s="873"/>
      <c r="G554" s="873"/>
      <c r="H554" s="873"/>
      <c r="I554" s="873"/>
      <c r="J554" s="873"/>
      <c r="K554" s="873"/>
      <c r="L554" s="873"/>
      <c r="M554" s="873"/>
      <c r="N554" s="873"/>
      <c r="O554" s="873"/>
      <c r="P554" s="873"/>
      <c r="Q554" s="873"/>
      <c r="R554" s="873"/>
      <c r="S554" s="873"/>
      <c r="T554" s="873"/>
      <c r="U554" s="873"/>
      <c r="V554" s="873"/>
      <c r="W554" s="873"/>
      <c r="X554" s="873"/>
      <c r="Y554" s="873"/>
      <c r="Z554" s="873"/>
      <c r="AA554" s="873"/>
      <c r="AB554" s="873"/>
      <c r="AC554" s="873"/>
      <c r="AD554" s="873"/>
      <c r="AE554" s="873"/>
      <c r="AF554" s="873"/>
      <c r="AG554" s="873"/>
      <c r="AH554" s="873"/>
      <c r="AI554" s="873"/>
      <c r="AJ554" s="873"/>
      <c r="AK554" s="873"/>
      <c r="AL554" s="873"/>
      <c r="AM554" s="873"/>
      <c r="AN554" s="873"/>
      <c r="AO554" s="873"/>
      <c r="AP554" s="873"/>
      <c r="AQ554" s="873"/>
      <c r="AR554" s="873"/>
      <c r="AS554" s="873"/>
    </row>
    <row r="555" spans="1:45" ht="12.75" x14ac:dyDescent="0.2">
      <c r="A555" s="873"/>
      <c r="B555" s="873"/>
      <c r="C555" s="873"/>
      <c r="D555" s="873"/>
      <c r="E555" s="873"/>
      <c r="F555" s="873"/>
      <c r="G555" s="873"/>
      <c r="H555" s="873"/>
      <c r="I555" s="873"/>
      <c r="J555" s="873"/>
      <c r="K555" s="873"/>
      <c r="L555" s="873"/>
      <c r="M555" s="873"/>
      <c r="N555" s="873"/>
      <c r="O555" s="873"/>
      <c r="P555" s="873"/>
      <c r="Q555" s="873"/>
      <c r="R555" s="873"/>
      <c r="S555" s="873"/>
      <c r="T555" s="873"/>
      <c r="U555" s="873"/>
      <c r="V555" s="873"/>
      <c r="W555" s="873"/>
      <c r="X555" s="873"/>
      <c r="Y555" s="873"/>
      <c r="Z555" s="873"/>
      <c r="AA555" s="873"/>
      <c r="AB555" s="873"/>
      <c r="AC555" s="873"/>
      <c r="AD555" s="873"/>
      <c r="AE555" s="873"/>
      <c r="AF555" s="873"/>
      <c r="AG555" s="873"/>
      <c r="AH555" s="873"/>
      <c r="AI555" s="873"/>
      <c r="AJ555" s="873"/>
      <c r="AK555" s="873"/>
      <c r="AL555" s="873"/>
      <c r="AM555" s="873"/>
      <c r="AN555" s="873"/>
      <c r="AO555" s="873"/>
      <c r="AP555" s="873"/>
      <c r="AQ555" s="873"/>
      <c r="AR555" s="873"/>
      <c r="AS555" s="873"/>
    </row>
    <row r="556" spans="1:45" ht="12.75" x14ac:dyDescent="0.2">
      <c r="A556" s="873"/>
      <c r="B556" s="873"/>
      <c r="C556" s="873"/>
      <c r="D556" s="873"/>
      <c r="E556" s="873"/>
      <c r="F556" s="873"/>
      <c r="G556" s="873"/>
      <c r="H556" s="873"/>
      <c r="I556" s="873"/>
      <c r="J556" s="873"/>
      <c r="K556" s="873"/>
      <c r="L556" s="873"/>
      <c r="M556" s="873"/>
      <c r="N556" s="873"/>
      <c r="O556" s="873"/>
      <c r="P556" s="873"/>
      <c r="Q556" s="873"/>
      <c r="R556" s="873"/>
      <c r="S556" s="873"/>
      <c r="T556" s="873"/>
      <c r="U556" s="873"/>
      <c r="V556" s="873"/>
      <c r="W556" s="873"/>
      <c r="X556" s="873"/>
      <c r="Y556" s="873"/>
      <c r="Z556" s="873"/>
      <c r="AA556" s="873"/>
      <c r="AB556" s="873"/>
      <c r="AC556" s="873"/>
      <c r="AD556" s="873"/>
      <c r="AE556" s="873"/>
      <c r="AF556" s="873"/>
      <c r="AG556" s="873"/>
      <c r="AH556" s="873"/>
      <c r="AI556" s="873"/>
      <c r="AJ556" s="873"/>
      <c r="AK556" s="873"/>
      <c r="AL556" s="873"/>
      <c r="AM556" s="873"/>
      <c r="AN556" s="873"/>
      <c r="AO556" s="873"/>
      <c r="AP556" s="873"/>
      <c r="AQ556" s="873"/>
      <c r="AR556" s="873"/>
      <c r="AS556" s="873"/>
    </row>
    <row r="557" spans="1:45" ht="12.75" x14ac:dyDescent="0.2">
      <c r="A557" s="873"/>
      <c r="B557" s="873"/>
      <c r="C557" s="873"/>
      <c r="D557" s="873"/>
      <c r="E557" s="873"/>
      <c r="F557" s="873"/>
      <c r="G557" s="873"/>
      <c r="H557" s="873"/>
      <c r="I557" s="873"/>
      <c r="J557" s="873"/>
      <c r="K557" s="873"/>
      <c r="L557" s="873"/>
      <c r="M557" s="873"/>
      <c r="N557" s="873"/>
      <c r="O557" s="873"/>
      <c r="P557" s="873"/>
      <c r="Q557" s="873"/>
      <c r="R557" s="873"/>
      <c r="S557" s="873"/>
      <c r="T557" s="873"/>
      <c r="U557" s="873"/>
      <c r="V557" s="873"/>
      <c r="W557" s="873"/>
      <c r="X557" s="873"/>
      <c r="Y557" s="873"/>
      <c r="Z557" s="873"/>
      <c r="AA557" s="873"/>
      <c r="AB557" s="873"/>
      <c r="AC557" s="873"/>
      <c r="AD557" s="873"/>
      <c r="AE557" s="873"/>
      <c r="AF557" s="873"/>
      <c r="AG557" s="873"/>
      <c r="AH557" s="873"/>
      <c r="AI557" s="873"/>
      <c r="AJ557" s="873"/>
      <c r="AK557" s="873"/>
      <c r="AL557" s="873"/>
      <c r="AM557" s="873"/>
      <c r="AN557" s="873"/>
      <c r="AO557" s="873"/>
      <c r="AP557" s="873"/>
      <c r="AQ557" s="873"/>
      <c r="AR557" s="873"/>
      <c r="AS557" s="873"/>
    </row>
    <row r="558" spans="1:45" ht="12.75" x14ac:dyDescent="0.2">
      <c r="A558" s="873"/>
      <c r="B558" s="873"/>
      <c r="C558" s="873"/>
      <c r="D558" s="873"/>
      <c r="E558" s="873"/>
      <c r="F558" s="873"/>
      <c r="G558" s="873"/>
      <c r="H558" s="873"/>
      <c r="I558" s="873"/>
      <c r="J558" s="873"/>
      <c r="K558" s="873"/>
      <c r="L558" s="873"/>
      <c r="M558" s="873"/>
      <c r="N558" s="873"/>
      <c r="O558" s="873"/>
      <c r="P558" s="873"/>
      <c r="Q558" s="873"/>
      <c r="R558" s="873"/>
      <c r="S558" s="873"/>
      <c r="T558" s="873"/>
      <c r="U558" s="873"/>
      <c r="V558" s="873"/>
      <c r="W558" s="873"/>
      <c r="X558" s="873"/>
      <c r="Y558" s="873"/>
      <c r="Z558" s="873"/>
      <c r="AA558" s="873"/>
      <c r="AB558" s="873"/>
      <c r="AC558" s="873"/>
      <c r="AD558" s="873"/>
      <c r="AE558" s="873"/>
      <c r="AF558" s="873"/>
      <c r="AG558" s="873"/>
      <c r="AH558" s="873"/>
      <c r="AI558" s="873"/>
      <c r="AJ558" s="873"/>
      <c r="AK558" s="873"/>
      <c r="AL558" s="873"/>
      <c r="AM558" s="873"/>
      <c r="AN558" s="873"/>
      <c r="AO558" s="873"/>
      <c r="AP558" s="873"/>
      <c r="AQ558" s="873"/>
      <c r="AR558" s="873"/>
      <c r="AS558" s="873"/>
    </row>
    <row r="559" spans="1:45" ht="12.75" x14ac:dyDescent="0.2">
      <c r="A559" s="873"/>
      <c r="B559" s="873"/>
      <c r="C559" s="873"/>
      <c r="D559" s="873"/>
      <c r="E559" s="873"/>
      <c r="F559" s="873"/>
      <c r="G559" s="873"/>
      <c r="H559" s="873"/>
      <c r="I559" s="873"/>
      <c r="J559" s="873"/>
      <c r="K559" s="873"/>
      <c r="L559" s="873"/>
      <c r="M559" s="873"/>
      <c r="N559" s="873"/>
      <c r="O559" s="873"/>
      <c r="P559" s="873"/>
      <c r="Q559" s="873"/>
      <c r="R559" s="873"/>
      <c r="S559" s="873"/>
      <c r="T559" s="873"/>
      <c r="U559" s="873"/>
      <c r="V559" s="873"/>
      <c r="W559" s="873"/>
      <c r="X559" s="873"/>
      <c r="Y559" s="873"/>
      <c r="Z559" s="873"/>
      <c r="AA559" s="873"/>
      <c r="AB559" s="873"/>
      <c r="AC559" s="873"/>
      <c r="AD559" s="873"/>
      <c r="AE559" s="873"/>
      <c r="AF559" s="873"/>
      <c r="AG559" s="873"/>
      <c r="AH559" s="873"/>
      <c r="AI559" s="873"/>
      <c r="AJ559" s="873"/>
      <c r="AK559" s="873"/>
      <c r="AL559" s="873"/>
      <c r="AM559" s="873"/>
      <c r="AN559" s="873"/>
      <c r="AO559" s="873"/>
      <c r="AP559" s="873"/>
      <c r="AQ559" s="873"/>
      <c r="AR559" s="873"/>
      <c r="AS559" s="873"/>
    </row>
    <row r="560" spans="1:45" ht="12.75" x14ac:dyDescent="0.2">
      <c r="A560" s="873"/>
      <c r="B560" s="873"/>
      <c r="C560" s="873"/>
      <c r="D560" s="873"/>
      <c r="E560" s="873"/>
      <c r="F560" s="873"/>
      <c r="G560" s="873"/>
      <c r="H560" s="873"/>
      <c r="I560" s="873"/>
      <c r="J560" s="873"/>
      <c r="K560" s="873"/>
      <c r="L560" s="873"/>
      <c r="M560" s="873"/>
      <c r="N560" s="873"/>
      <c r="O560" s="873"/>
      <c r="P560" s="873"/>
      <c r="Q560" s="873"/>
      <c r="R560" s="873"/>
      <c r="S560" s="873"/>
      <c r="T560" s="873"/>
      <c r="U560" s="873"/>
      <c r="V560" s="873"/>
      <c r="W560" s="873"/>
      <c r="X560" s="873"/>
      <c r="Y560" s="873"/>
      <c r="Z560" s="873"/>
      <c r="AA560" s="873"/>
      <c r="AB560" s="873"/>
      <c r="AC560" s="873"/>
      <c r="AD560" s="873"/>
      <c r="AE560" s="873"/>
      <c r="AF560" s="873"/>
      <c r="AG560" s="873"/>
      <c r="AH560" s="873"/>
      <c r="AI560" s="873"/>
      <c r="AJ560" s="873"/>
      <c r="AK560" s="873"/>
      <c r="AL560" s="873"/>
      <c r="AM560" s="873"/>
      <c r="AN560" s="873"/>
      <c r="AO560" s="873"/>
      <c r="AP560" s="873"/>
      <c r="AQ560" s="873"/>
      <c r="AR560" s="873"/>
      <c r="AS560" s="873"/>
    </row>
    <row r="561" spans="1:45" ht="12.75" x14ac:dyDescent="0.2">
      <c r="A561" s="873"/>
      <c r="B561" s="873"/>
      <c r="C561" s="873"/>
      <c r="D561" s="873"/>
      <c r="E561" s="873"/>
      <c r="F561" s="873"/>
      <c r="G561" s="873"/>
      <c r="H561" s="873"/>
      <c r="I561" s="873"/>
      <c r="J561" s="873"/>
      <c r="K561" s="873"/>
      <c r="L561" s="873"/>
      <c r="M561" s="873"/>
      <c r="N561" s="873"/>
      <c r="O561" s="873"/>
      <c r="P561" s="873"/>
      <c r="Q561" s="873"/>
      <c r="R561" s="873"/>
      <c r="S561" s="873"/>
      <c r="T561" s="873"/>
      <c r="U561" s="873"/>
      <c r="V561" s="873"/>
      <c r="W561" s="873"/>
      <c r="X561" s="873"/>
      <c r="Y561" s="873"/>
      <c r="Z561" s="873"/>
      <c r="AA561" s="873"/>
      <c r="AB561" s="873"/>
      <c r="AC561" s="873"/>
      <c r="AD561" s="873"/>
      <c r="AE561" s="873"/>
      <c r="AF561" s="873"/>
      <c r="AG561" s="873"/>
      <c r="AH561" s="873"/>
      <c r="AI561" s="873"/>
      <c r="AJ561" s="873"/>
      <c r="AK561" s="873"/>
      <c r="AL561" s="873"/>
      <c r="AM561" s="873"/>
      <c r="AN561" s="873"/>
      <c r="AO561" s="873"/>
      <c r="AP561" s="873"/>
      <c r="AQ561" s="873"/>
      <c r="AR561" s="873"/>
      <c r="AS561" s="873"/>
    </row>
    <row r="562" spans="1:45" ht="12.75" x14ac:dyDescent="0.2">
      <c r="A562" s="873"/>
      <c r="B562" s="873"/>
      <c r="C562" s="873"/>
      <c r="D562" s="873"/>
      <c r="E562" s="873"/>
      <c r="F562" s="873"/>
      <c r="G562" s="873"/>
      <c r="H562" s="873"/>
      <c r="I562" s="873"/>
      <c r="J562" s="873"/>
      <c r="K562" s="873"/>
      <c r="L562" s="873"/>
      <c r="M562" s="873"/>
      <c r="N562" s="873"/>
      <c r="O562" s="873"/>
      <c r="P562" s="873"/>
      <c r="Q562" s="873"/>
      <c r="R562" s="873"/>
      <c r="S562" s="873"/>
      <c r="T562" s="873"/>
      <c r="U562" s="873"/>
      <c r="V562" s="873"/>
      <c r="W562" s="873"/>
      <c r="X562" s="873"/>
      <c r="Y562" s="873"/>
      <c r="Z562" s="873"/>
      <c r="AA562" s="873"/>
      <c r="AB562" s="873"/>
      <c r="AC562" s="873"/>
      <c r="AD562" s="873"/>
      <c r="AE562" s="873"/>
      <c r="AF562" s="873"/>
      <c r="AG562" s="873"/>
      <c r="AH562" s="873"/>
      <c r="AI562" s="873"/>
      <c r="AJ562" s="873"/>
      <c r="AK562" s="873"/>
      <c r="AL562" s="873"/>
      <c r="AM562" s="873"/>
      <c r="AN562" s="873"/>
      <c r="AO562" s="873"/>
      <c r="AP562" s="873"/>
      <c r="AQ562" s="873"/>
      <c r="AR562" s="873"/>
      <c r="AS562" s="873"/>
    </row>
    <row r="563" spans="1:45" ht="12.75" x14ac:dyDescent="0.2">
      <c r="A563" s="873"/>
      <c r="B563" s="873"/>
      <c r="C563" s="873"/>
      <c r="D563" s="873"/>
      <c r="E563" s="873"/>
      <c r="F563" s="873"/>
      <c r="G563" s="873"/>
      <c r="H563" s="873"/>
      <c r="I563" s="873"/>
      <c r="J563" s="873"/>
      <c r="K563" s="873"/>
      <c r="L563" s="873"/>
      <c r="M563" s="873"/>
      <c r="N563" s="873"/>
      <c r="O563" s="873"/>
      <c r="P563" s="873"/>
      <c r="Q563" s="873"/>
      <c r="R563" s="873"/>
      <c r="S563" s="873"/>
      <c r="T563" s="873"/>
      <c r="U563" s="873"/>
      <c r="V563" s="873"/>
      <c r="W563" s="873"/>
      <c r="X563" s="873"/>
      <c r="Y563" s="873"/>
      <c r="Z563" s="873"/>
      <c r="AA563" s="873"/>
      <c r="AB563" s="873"/>
      <c r="AC563" s="873"/>
      <c r="AD563" s="873"/>
      <c r="AE563" s="873"/>
      <c r="AF563" s="873"/>
      <c r="AG563" s="873"/>
      <c r="AH563" s="873"/>
      <c r="AI563" s="873"/>
      <c r="AJ563" s="873"/>
      <c r="AK563" s="873"/>
      <c r="AL563" s="873"/>
      <c r="AM563" s="873"/>
      <c r="AN563" s="873"/>
      <c r="AO563" s="873"/>
      <c r="AP563" s="873"/>
      <c r="AQ563" s="873"/>
      <c r="AR563" s="873"/>
      <c r="AS563" s="873"/>
    </row>
    <row r="564" spans="1:45" ht="12.75" x14ac:dyDescent="0.2">
      <c r="A564" s="873"/>
      <c r="B564" s="873"/>
      <c r="C564" s="873"/>
      <c r="D564" s="873"/>
      <c r="E564" s="873"/>
      <c r="F564" s="873"/>
      <c r="G564" s="873"/>
      <c r="H564" s="873"/>
      <c r="I564" s="873"/>
      <c r="J564" s="873"/>
      <c r="K564" s="873"/>
      <c r="L564" s="873"/>
      <c r="M564" s="873"/>
      <c r="N564" s="873"/>
      <c r="O564" s="873"/>
      <c r="P564" s="873"/>
      <c r="Q564" s="873"/>
      <c r="R564" s="873"/>
      <c r="S564" s="873"/>
      <c r="T564" s="873"/>
      <c r="U564" s="873"/>
      <c r="V564" s="873"/>
      <c r="W564" s="873"/>
      <c r="X564" s="873"/>
      <c r="Y564" s="873"/>
      <c r="Z564" s="873"/>
      <c r="AA564" s="873"/>
      <c r="AB564" s="873"/>
      <c r="AC564" s="873"/>
      <c r="AD564" s="873"/>
      <c r="AE564" s="873"/>
      <c r="AF564" s="873"/>
      <c r="AG564" s="873"/>
      <c r="AH564" s="873"/>
      <c r="AI564" s="873"/>
      <c r="AJ564" s="873"/>
      <c r="AK564" s="873"/>
      <c r="AL564" s="873"/>
      <c r="AM564" s="873"/>
      <c r="AN564" s="873"/>
      <c r="AO564" s="873"/>
      <c r="AP564" s="873"/>
      <c r="AQ564" s="873"/>
      <c r="AR564" s="873"/>
      <c r="AS564" s="873"/>
    </row>
    <row r="565" spans="1:45" ht="12.75" x14ac:dyDescent="0.2">
      <c r="A565" s="873"/>
      <c r="B565" s="873"/>
      <c r="C565" s="873"/>
      <c r="D565" s="873"/>
      <c r="E565" s="873"/>
      <c r="F565" s="873"/>
      <c r="G565" s="873"/>
      <c r="H565" s="873"/>
      <c r="I565" s="873"/>
      <c r="J565" s="873"/>
      <c r="K565" s="873"/>
      <c r="L565" s="873"/>
      <c r="M565" s="873"/>
      <c r="N565" s="873"/>
      <c r="O565" s="873"/>
      <c r="P565" s="873"/>
      <c r="Q565" s="873"/>
      <c r="R565" s="873"/>
      <c r="S565" s="873"/>
      <c r="T565" s="873"/>
      <c r="U565" s="873"/>
      <c r="V565" s="873"/>
      <c r="W565" s="873"/>
      <c r="X565" s="873"/>
      <c r="Y565" s="873"/>
      <c r="Z565" s="873"/>
      <c r="AA565" s="873"/>
      <c r="AB565" s="873"/>
      <c r="AC565" s="873"/>
      <c r="AD565" s="873"/>
      <c r="AE565" s="873"/>
      <c r="AF565" s="873"/>
      <c r="AG565" s="873"/>
      <c r="AH565" s="873"/>
      <c r="AI565" s="873"/>
      <c r="AJ565" s="873"/>
      <c r="AK565" s="873"/>
      <c r="AL565" s="873"/>
      <c r="AM565" s="873"/>
      <c r="AN565" s="873"/>
      <c r="AO565" s="873"/>
      <c r="AP565" s="873"/>
      <c r="AQ565" s="873"/>
      <c r="AR565" s="873"/>
      <c r="AS565" s="873"/>
    </row>
    <row r="566" spans="1:45" ht="12.75" x14ac:dyDescent="0.2">
      <c r="A566" s="873"/>
      <c r="B566" s="873"/>
      <c r="C566" s="873"/>
      <c r="D566" s="873"/>
      <c r="E566" s="873"/>
      <c r="F566" s="873"/>
      <c r="G566" s="873"/>
      <c r="H566" s="873"/>
      <c r="I566" s="873"/>
      <c r="J566" s="873"/>
      <c r="K566" s="873"/>
      <c r="L566" s="873"/>
      <c r="M566" s="873"/>
      <c r="N566" s="873"/>
      <c r="O566" s="873"/>
      <c r="P566" s="873"/>
      <c r="Q566" s="873"/>
      <c r="R566" s="873"/>
      <c r="S566" s="873"/>
      <c r="T566" s="873"/>
      <c r="U566" s="873"/>
      <c r="V566" s="873"/>
      <c r="W566" s="873"/>
      <c r="X566" s="873"/>
      <c r="Y566" s="873"/>
      <c r="Z566" s="873"/>
      <c r="AA566" s="873"/>
      <c r="AB566" s="873"/>
      <c r="AC566" s="873"/>
      <c r="AD566" s="873"/>
      <c r="AE566" s="873"/>
      <c r="AF566" s="873"/>
      <c r="AG566" s="873"/>
      <c r="AH566" s="873"/>
      <c r="AI566" s="873"/>
      <c r="AJ566" s="873"/>
      <c r="AK566" s="873"/>
      <c r="AL566" s="873"/>
      <c r="AM566" s="873"/>
      <c r="AN566" s="873"/>
      <c r="AO566" s="873"/>
      <c r="AP566" s="873"/>
      <c r="AQ566" s="873"/>
      <c r="AR566" s="873"/>
      <c r="AS566" s="873"/>
    </row>
    <row r="567" spans="1:45" ht="12.75" x14ac:dyDescent="0.2">
      <c r="A567" s="873"/>
      <c r="B567" s="873"/>
      <c r="C567" s="873"/>
      <c r="D567" s="873"/>
      <c r="E567" s="873"/>
      <c r="F567" s="873"/>
      <c r="G567" s="873"/>
      <c r="H567" s="873"/>
      <c r="I567" s="873"/>
      <c r="J567" s="873"/>
      <c r="K567" s="873"/>
      <c r="L567" s="873"/>
      <c r="M567" s="873"/>
      <c r="N567" s="873"/>
      <c r="O567" s="873"/>
      <c r="P567" s="873"/>
      <c r="Q567" s="873"/>
      <c r="R567" s="873"/>
      <c r="S567" s="873"/>
      <c r="T567" s="873"/>
      <c r="U567" s="873"/>
      <c r="V567" s="873"/>
      <c r="W567" s="873"/>
      <c r="X567" s="873"/>
      <c r="Y567" s="873"/>
      <c r="Z567" s="873"/>
      <c r="AA567" s="873"/>
      <c r="AB567" s="873"/>
      <c r="AC567" s="873"/>
      <c r="AD567" s="873"/>
      <c r="AE567" s="873"/>
      <c r="AF567" s="873"/>
      <c r="AG567" s="873"/>
      <c r="AH567" s="873"/>
      <c r="AI567" s="873"/>
      <c r="AJ567" s="873"/>
      <c r="AK567" s="873"/>
      <c r="AL567" s="873"/>
      <c r="AM567" s="873"/>
      <c r="AN567" s="873"/>
      <c r="AO567" s="873"/>
      <c r="AP567" s="873"/>
      <c r="AQ567" s="873"/>
      <c r="AR567" s="873"/>
      <c r="AS567" s="873"/>
    </row>
    <row r="568" spans="1:45" ht="12.75" x14ac:dyDescent="0.2">
      <c r="A568" s="873"/>
      <c r="B568" s="873"/>
      <c r="C568" s="873"/>
      <c r="D568" s="873"/>
      <c r="E568" s="873"/>
      <c r="F568" s="873"/>
      <c r="G568" s="873"/>
      <c r="H568" s="873"/>
      <c r="I568" s="873"/>
      <c r="J568" s="873"/>
      <c r="K568" s="873"/>
      <c r="L568" s="873"/>
      <c r="M568" s="873"/>
      <c r="N568" s="873"/>
      <c r="O568" s="873"/>
      <c r="P568" s="873"/>
      <c r="Q568" s="873"/>
      <c r="R568" s="873"/>
      <c r="S568" s="873"/>
      <c r="T568" s="873"/>
      <c r="U568" s="873"/>
      <c r="V568" s="873"/>
      <c r="W568" s="873"/>
      <c r="X568" s="873"/>
      <c r="Y568" s="873"/>
      <c r="Z568" s="873"/>
      <c r="AA568" s="873"/>
      <c r="AB568" s="873"/>
      <c r="AC568" s="873"/>
      <c r="AD568" s="873"/>
      <c r="AE568" s="873"/>
      <c r="AF568" s="873"/>
      <c r="AG568" s="873"/>
      <c r="AH568" s="873"/>
      <c r="AI568" s="873"/>
      <c r="AJ568" s="873"/>
      <c r="AK568" s="873"/>
      <c r="AL568" s="873"/>
      <c r="AM568" s="873"/>
      <c r="AN568" s="873"/>
      <c r="AO568" s="873"/>
      <c r="AP568" s="873"/>
      <c r="AQ568" s="873"/>
      <c r="AR568" s="873"/>
      <c r="AS568" s="873"/>
    </row>
    <row r="569" spans="1:45" ht="12.75" x14ac:dyDescent="0.2">
      <c r="A569" s="873"/>
      <c r="B569" s="873"/>
      <c r="C569" s="873"/>
      <c r="D569" s="873"/>
      <c r="E569" s="873"/>
      <c r="F569" s="873"/>
      <c r="G569" s="873"/>
      <c r="H569" s="873"/>
      <c r="I569" s="873"/>
      <c r="J569" s="873"/>
      <c r="K569" s="873"/>
      <c r="L569" s="873"/>
      <c r="M569" s="873"/>
      <c r="N569" s="873"/>
      <c r="O569" s="873"/>
      <c r="P569" s="873"/>
      <c r="Q569" s="873"/>
      <c r="R569" s="873"/>
      <c r="S569" s="873"/>
      <c r="T569" s="873"/>
      <c r="U569" s="873"/>
      <c r="V569" s="873"/>
      <c r="W569" s="873"/>
      <c r="X569" s="873"/>
      <c r="Y569" s="873"/>
      <c r="Z569" s="873"/>
      <c r="AA569" s="873"/>
      <c r="AB569" s="873"/>
      <c r="AC569" s="873"/>
      <c r="AD569" s="873"/>
      <c r="AE569" s="873"/>
      <c r="AF569" s="873"/>
      <c r="AG569" s="873"/>
      <c r="AH569" s="873"/>
      <c r="AI569" s="873"/>
      <c r="AJ569" s="873"/>
      <c r="AK569" s="873"/>
      <c r="AL569" s="873"/>
      <c r="AM569" s="873"/>
      <c r="AN569" s="873"/>
      <c r="AO569" s="873"/>
      <c r="AP569" s="873"/>
      <c r="AQ569" s="873"/>
      <c r="AR569" s="873"/>
      <c r="AS569" s="873"/>
    </row>
    <row r="570" spans="1:45" ht="12.75" x14ac:dyDescent="0.2">
      <c r="A570" s="873"/>
      <c r="B570" s="873"/>
      <c r="C570" s="873"/>
      <c r="D570" s="873"/>
      <c r="E570" s="873"/>
      <c r="F570" s="873"/>
      <c r="G570" s="873"/>
      <c r="H570" s="873"/>
      <c r="I570" s="873"/>
      <c r="J570" s="873"/>
      <c r="K570" s="873"/>
      <c r="L570" s="873"/>
      <c r="M570" s="873"/>
      <c r="N570" s="873"/>
      <c r="O570" s="873"/>
      <c r="P570" s="873"/>
      <c r="Q570" s="873"/>
      <c r="R570" s="873"/>
      <c r="S570" s="873"/>
      <c r="T570" s="873"/>
      <c r="U570" s="873"/>
      <c r="V570" s="873"/>
      <c r="W570" s="873"/>
      <c r="X570" s="873"/>
      <c r="Y570" s="873"/>
      <c r="Z570" s="873"/>
      <c r="AA570" s="873"/>
      <c r="AB570" s="873"/>
      <c r="AC570" s="873"/>
      <c r="AD570" s="873"/>
      <c r="AE570" s="873"/>
      <c r="AF570" s="873"/>
      <c r="AG570" s="873"/>
      <c r="AH570" s="873"/>
      <c r="AI570" s="873"/>
      <c r="AJ570" s="873"/>
      <c r="AK570" s="873"/>
      <c r="AL570" s="873"/>
      <c r="AM570" s="873"/>
      <c r="AN570" s="873"/>
      <c r="AO570" s="873"/>
      <c r="AP570" s="873"/>
      <c r="AQ570" s="873"/>
      <c r="AR570" s="873"/>
      <c r="AS570" s="873"/>
    </row>
    <row r="571" spans="1:45" ht="12.75" x14ac:dyDescent="0.2">
      <c r="A571" s="873"/>
      <c r="B571" s="873"/>
      <c r="C571" s="873"/>
      <c r="D571" s="873"/>
      <c r="E571" s="873"/>
      <c r="F571" s="873"/>
      <c r="G571" s="873"/>
      <c r="H571" s="873"/>
      <c r="I571" s="873"/>
      <c r="J571" s="873"/>
      <c r="K571" s="873"/>
      <c r="L571" s="873"/>
      <c r="M571" s="873"/>
      <c r="N571" s="873"/>
      <c r="O571" s="873"/>
      <c r="P571" s="873"/>
      <c r="Q571" s="873"/>
      <c r="R571" s="873"/>
      <c r="S571" s="873"/>
      <c r="T571" s="873"/>
      <c r="U571" s="873"/>
      <c r="V571" s="873"/>
      <c r="W571" s="873"/>
      <c r="X571" s="873"/>
      <c r="Y571" s="873"/>
      <c r="Z571" s="873"/>
      <c r="AA571" s="873"/>
      <c r="AB571" s="873"/>
      <c r="AC571" s="873"/>
      <c r="AD571" s="873"/>
      <c r="AE571" s="873"/>
      <c r="AF571" s="873"/>
      <c r="AG571" s="873"/>
      <c r="AH571" s="873"/>
      <c r="AI571" s="873"/>
      <c r="AJ571" s="873"/>
      <c r="AK571" s="873"/>
      <c r="AL571" s="873"/>
      <c r="AM571" s="873"/>
      <c r="AN571" s="873"/>
      <c r="AO571" s="873"/>
      <c r="AP571" s="873"/>
      <c r="AQ571" s="873"/>
      <c r="AR571" s="873"/>
      <c r="AS571" s="873"/>
    </row>
    <row r="572" spans="1:45" ht="12.75" x14ac:dyDescent="0.2">
      <c r="A572" s="873"/>
      <c r="B572" s="873"/>
      <c r="C572" s="873"/>
      <c r="D572" s="873"/>
      <c r="E572" s="873"/>
      <c r="F572" s="873"/>
      <c r="G572" s="873"/>
      <c r="H572" s="873"/>
      <c r="I572" s="873"/>
      <c r="J572" s="873"/>
      <c r="K572" s="873"/>
      <c r="L572" s="873"/>
      <c r="M572" s="873"/>
      <c r="N572" s="873"/>
      <c r="O572" s="873"/>
      <c r="P572" s="873"/>
      <c r="Q572" s="873"/>
      <c r="R572" s="873"/>
      <c r="S572" s="873"/>
      <c r="T572" s="873"/>
      <c r="U572" s="873"/>
      <c r="V572" s="873"/>
      <c r="W572" s="873"/>
      <c r="X572" s="873"/>
      <c r="Y572" s="873"/>
      <c r="Z572" s="873"/>
      <c r="AA572" s="873"/>
      <c r="AB572" s="873"/>
      <c r="AC572" s="873"/>
      <c r="AD572" s="873"/>
      <c r="AE572" s="873"/>
      <c r="AF572" s="873"/>
      <c r="AG572" s="873"/>
      <c r="AH572" s="873"/>
      <c r="AI572" s="873"/>
      <c r="AJ572" s="873"/>
      <c r="AK572" s="873"/>
      <c r="AL572" s="873"/>
      <c r="AM572" s="873"/>
      <c r="AN572" s="873"/>
      <c r="AO572" s="873"/>
      <c r="AP572" s="873"/>
      <c r="AQ572" s="873"/>
      <c r="AR572" s="873"/>
      <c r="AS572" s="873"/>
    </row>
    <row r="573" spans="1:45" ht="12.75" x14ac:dyDescent="0.2">
      <c r="A573" s="873"/>
      <c r="B573" s="873"/>
      <c r="C573" s="873"/>
      <c r="D573" s="873"/>
      <c r="E573" s="873"/>
      <c r="F573" s="873"/>
      <c r="G573" s="873"/>
      <c r="H573" s="873"/>
      <c r="I573" s="873"/>
      <c r="J573" s="873"/>
      <c r="K573" s="873"/>
      <c r="L573" s="873"/>
      <c r="M573" s="873"/>
      <c r="N573" s="873"/>
      <c r="O573" s="873"/>
      <c r="P573" s="873"/>
      <c r="Q573" s="873"/>
      <c r="R573" s="873"/>
      <c r="S573" s="873"/>
      <c r="T573" s="873"/>
      <c r="U573" s="873"/>
      <c r="V573" s="873"/>
      <c r="W573" s="873"/>
      <c r="X573" s="873"/>
      <c r="Y573" s="873"/>
      <c r="Z573" s="873"/>
      <c r="AA573" s="873"/>
      <c r="AB573" s="873"/>
      <c r="AC573" s="873"/>
      <c r="AD573" s="873"/>
      <c r="AE573" s="873"/>
      <c r="AF573" s="873"/>
      <c r="AG573" s="873"/>
      <c r="AH573" s="873"/>
      <c r="AI573" s="873"/>
      <c r="AJ573" s="873"/>
      <c r="AK573" s="873"/>
      <c r="AL573" s="873"/>
      <c r="AM573" s="873"/>
      <c r="AN573" s="873"/>
      <c r="AO573" s="873"/>
      <c r="AP573" s="873"/>
      <c r="AQ573" s="873"/>
      <c r="AR573" s="873"/>
      <c r="AS573" s="873"/>
    </row>
    <row r="574" spans="1:45" ht="12.75" x14ac:dyDescent="0.2">
      <c r="A574" s="873"/>
      <c r="B574" s="873"/>
      <c r="C574" s="873"/>
      <c r="D574" s="873"/>
      <c r="E574" s="873"/>
      <c r="F574" s="873"/>
      <c r="G574" s="873"/>
      <c r="H574" s="873"/>
      <c r="I574" s="873"/>
      <c r="J574" s="873"/>
      <c r="K574" s="873"/>
      <c r="L574" s="873"/>
      <c r="M574" s="873"/>
      <c r="N574" s="873"/>
      <c r="O574" s="873"/>
      <c r="P574" s="873"/>
      <c r="Q574" s="873"/>
      <c r="R574" s="873"/>
      <c r="S574" s="873"/>
      <c r="T574" s="873"/>
      <c r="U574" s="873"/>
      <c r="V574" s="873"/>
      <c r="W574" s="873"/>
      <c r="X574" s="873"/>
      <c r="Y574" s="873"/>
      <c r="Z574" s="873"/>
      <c r="AA574" s="873"/>
      <c r="AB574" s="873"/>
      <c r="AC574" s="873"/>
      <c r="AD574" s="873"/>
      <c r="AE574" s="873"/>
      <c r="AF574" s="873"/>
      <c r="AG574" s="873"/>
      <c r="AH574" s="873"/>
      <c r="AI574" s="873"/>
      <c r="AJ574" s="873"/>
      <c r="AK574" s="873"/>
      <c r="AL574" s="873"/>
      <c r="AM574" s="873"/>
      <c r="AN574" s="873"/>
      <c r="AO574" s="873"/>
      <c r="AP574" s="873"/>
      <c r="AQ574" s="873"/>
      <c r="AR574" s="873"/>
      <c r="AS574" s="873"/>
    </row>
    <row r="575" spans="1:45" ht="12.75" x14ac:dyDescent="0.2">
      <c r="A575" s="873"/>
      <c r="B575" s="873"/>
      <c r="C575" s="873"/>
      <c r="D575" s="873"/>
      <c r="E575" s="873"/>
      <c r="F575" s="873"/>
      <c r="G575" s="873"/>
      <c r="H575" s="873"/>
      <c r="I575" s="873"/>
      <c r="J575" s="873"/>
      <c r="K575" s="873"/>
      <c r="L575" s="873"/>
      <c r="M575" s="873"/>
      <c r="N575" s="873"/>
      <c r="O575" s="873"/>
      <c r="P575" s="873"/>
      <c r="Q575" s="873"/>
      <c r="R575" s="873"/>
      <c r="S575" s="873"/>
      <c r="T575" s="873"/>
      <c r="U575" s="873"/>
      <c r="V575" s="873"/>
      <c r="W575" s="873"/>
      <c r="X575" s="873"/>
      <c r="Y575" s="873"/>
      <c r="Z575" s="873"/>
      <c r="AA575" s="873"/>
      <c r="AB575" s="873"/>
      <c r="AC575" s="873"/>
      <c r="AD575" s="873"/>
      <c r="AE575" s="873"/>
      <c r="AF575" s="873"/>
      <c r="AG575" s="873"/>
      <c r="AH575" s="873"/>
      <c r="AI575" s="873"/>
      <c r="AJ575" s="873"/>
      <c r="AK575" s="873"/>
      <c r="AL575" s="873"/>
      <c r="AM575" s="873"/>
      <c r="AN575" s="873"/>
      <c r="AO575" s="873"/>
      <c r="AP575" s="873"/>
      <c r="AQ575" s="873"/>
      <c r="AR575" s="873"/>
      <c r="AS575" s="873"/>
    </row>
    <row r="576" spans="1:45" ht="12.75" x14ac:dyDescent="0.2">
      <c r="A576" s="873"/>
      <c r="B576" s="873"/>
      <c r="C576" s="873"/>
      <c r="D576" s="873"/>
      <c r="E576" s="873"/>
      <c r="F576" s="873"/>
      <c r="G576" s="873"/>
      <c r="H576" s="873"/>
      <c r="I576" s="873"/>
      <c r="J576" s="873"/>
      <c r="K576" s="873"/>
      <c r="L576" s="873"/>
      <c r="M576" s="873"/>
      <c r="N576" s="873"/>
      <c r="O576" s="873"/>
      <c r="P576" s="873"/>
      <c r="Q576" s="873"/>
      <c r="R576" s="873"/>
      <c r="S576" s="873"/>
      <c r="T576" s="873"/>
      <c r="U576" s="873"/>
      <c r="V576" s="873"/>
      <c r="W576" s="873"/>
      <c r="X576" s="873"/>
      <c r="Y576" s="873"/>
      <c r="Z576" s="873"/>
      <c r="AA576" s="873"/>
      <c r="AB576" s="873"/>
      <c r="AC576" s="873"/>
      <c r="AD576" s="873"/>
      <c r="AE576" s="873"/>
      <c r="AF576" s="873"/>
      <c r="AG576" s="873"/>
      <c r="AH576" s="873"/>
      <c r="AI576" s="873"/>
      <c r="AJ576" s="873"/>
      <c r="AK576" s="873"/>
      <c r="AL576" s="873"/>
      <c r="AM576" s="873"/>
      <c r="AN576" s="873"/>
      <c r="AO576" s="873"/>
      <c r="AP576" s="873"/>
      <c r="AQ576" s="873"/>
      <c r="AR576" s="873"/>
      <c r="AS576" s="873"/>
    </row>
    <row r="577" spans="1:45" ht="12.75" x14ac:dyDescent="0.2">
      <c r="A577" s="873"/>
      <c r="B577" s="873"/>
      <c r="C577" s="873"/>
      <c r="D577" s="873"/>
      <c r="E577" s="873"/>
      <c r="F577" s="873"/>
      <c r="G577" s="873"/>
      <c r="H577" s="873"/>
      <c r="I577" s="873"/>
      <c r="J577" s="873"/>
      <c r="K577" s="873"/>
      <c r="L577" s="873"/>
      <c r="M577" s="873"/>
      <c r="N577" s="873"/>
      <c r="O577" s="873"/>
      <c r="P577" s="873"/>
      <c r="Q577" s="873"/>
      <c r="R577" s="873"/>
      <c r="S577" s="873"/>
      <c r="T577" s="873"/>
      <c r="U577" s="873"/>
      <c r="V577" s="873"/>
      <c r="W577" s="873"/>
      <c r="X577" s="873"/>
      <c r="Y577" s="873"/>
      <c r="Z577" s="873"/>
      <c r="AA577" s="873"/>
      <c r="AB577" s="873"/>
      <c r="AC577" s="873"/>
      <c r="AD577" s="873"/>
      <c r="AE577" s="873"/>
      <c r="AF577" s="873"/>
      <c r="AG577" s="873"/>
      <c r="AH577" s="873"/>
      <c r="AI577" s="873"/>
      <c r="AJ577" s="873"/>
      <c r="AK577" s="873"/>
      <c r="AL577" s="873"/>
      <c r="AM577" s="873"/>
      <c r="AN577" s="873"/>
      <c r="AO577" s="873"/>
      <c r="AP577" s="873"/>
      <c r="AQ577" s="873"/>
      <c r="AR577" s="873"/>
      <c r="AS577" s="873"/>
    </row>
    <row r="578" spans="1:45" ht="12.75" x14ac:dyDescent="0.2">
      <c r="A578" s="873"/>
      <c r="B578" s="873"/>
      <c r="C578" s="873"/>
      <c r="D578" s="873"/>
      <c r="E578" s="873"/>
      <c r="F578" s="873"/>
      <c r="G578" s="873"/>
      <c r="H578" s="873"/>
      <c r="I578" s="873"/>
      <c r="J578" s="873"/>
      <c r="K578" s="873"/>
      <c r="L578" s="873"/>
      <c r="M578" s="873"/>
      <c r="N578" s="873"/>
      <c r="O578" s="873"/>
      <c r="P578" s="873"/>
      <c r="Q578" s="873"/>
      <c r="R578" s="873"/>
      <c r="S578" s="873"/>
      <c r="T578" s="873"/>
      <c r="U578" s="873"/>
      <c r="V578" s="873"/>
      <c r="W578" s="873"/>
      <c r="X578" s="873"/>
      <c r="Y578" s="873"/>
      <c r="Z578" s="873"/>
      <c r="AA578" s="873"/>
      <c r="AB578" s="873"/>
      <c r="AC578" s="873"/>
      <c r="AD578" s="873"/>
      <c r="AE578" s="873"/>
      <c r="AF578" s="873"/>
      <c r="AG578" s="873"/>
      <c r="AH578" s="873"/>
      <c r="AI578" s="873"/>
      <c r="AJ578" s="873"/>
      <c r="AK578" s="873"/>
      <c r="AL578" s="873"/>
      <c r="AM578" s="873"/>
      <c r="AN578" s="873"/>
      <c r="AO578" s="873"/>
      <c r="AP578" s="873"/>
      <c r="AQ578" s="873"/>
      <c r="AR578" s="873"/>
      <c r="AS578" s="873"/>
    </row>
    <row r="579" spans="1:45" ht="12.75" x14ac:dyDescent="0.2">
      <c r="A579" s="873"/>
      <c r="B579" s="873"/>
      <c r="C579" s="873"/>
      <c r="D579" s="873"/>
      <c r="E579" s="873"/>
      <c r="F579" s="873"/>
      <c r="G579" s="873"/>
      <c r="H579" s="873"/>
      <c r="I579" s="873"/>
      <c r="J579" s="873"/>
      <c r="K579" s="873"/>
      <c r="L579" s="873"/>
      <c r="M579" s="873"/>
      <c r="N579" s="873"/>
      <c r="O579" s="873"/>
      <c r="P579" s="873"/>
      <c r="Q579" s="873"/>
      <c r="R579" s="873"/>
      <c r="S579" s="873"/>
      <c r="T579" s="873"/>
      <c r="U579" s="873"/>
      <c r="V579" s="873"/>
      <c r="W579" s="873"/>
      <c r="X579" s="873"/>
      <c r="Y579" s="873"/>
      <c r="Z579" s="873"/>
      <c r="AA579" s="873"/>
      <c r="AB579" s="873"/>
      <c r="AC579" s="873"/>
      <c r="AD579" s="873"/>
      <c r="AE579" s="873"/>
      <c r="AF579" s="873"/>
      <c r="AG579" s="873"/>
      <c r="AH579" s="873"/>
      <c r="AI579" s="873"/>
      <c r="AJ579" s="873"/>
      <c r="AK579" s="873"/>
      <c r="AL579" s="873"/>
      <c r="AM579" s="873"/>
      <c r="AN579" s="873"/>
      <c r="AO579" s="873"/>
      <c r="AP579" s="873"/>
      <c r="AQ579" s="873"/>
      <c r="AR579" s="873"/>
      <c r="AS579" s="873"/>
    </row>
    <row r="580" spans="1:45" ht="12.75" x14ac:dyDescent="0.2">
      <c r="A580" s="873"/>
      <c r="B580" s="873"/>
      <c r="C580" s="873"/>
      <c r="D580" s="873"/>
      <c r="E580" s="873"/>
      <c r="F580" s="873"/>
      <c r="G580" s="873"/>
      <c r="H580" s="873"/>
      <c r="I580" s="873"/>
      <c r="J580" s="873"/>
      <c r="K580" s="873"/>
      <c r="L580" s="873"/>
      <c r="M580" s="873"/>
      <c r="N580" s="873"/>
      <c r="O580" s="873"/>
      <c r="P580" s="873"/>
      <c r="Q580" s="873"/>
      <c r="R580" s="873"/>
      <c r="S580" s="873"/>
      <c r="T580" s="873"/>
      <c r="U580" s="873"/>
      <c r="V580" s="873"/>
      <c r="W580" s="873"/>
      <c r="X580" s="873"/>
      <c r="Y580" s="873"/>
      <c r="Z580" s="873"/>
      <c r="AA580" s="873"/>
      <c r="AB580" s="873"/>
      <c r="AC580" s="873"/>
      <c r="AD580" s="873"/>
      <c r="AE580" s="873"/>
      <c r="AF580" s="873"/>
      <c r="AG580" s="873"/>
      <c r="AH580" s="873"/>
      <c r="AI580" s="873"/>
      <c r="AJ580" s="873"/>
      <c r="AK580" s="873"/>
      <c r="AL580" s="873"/>
      <c r="AM580" s="873"/>
      <c r="AN580" s="873"/>
      <c r="AO580" s="873"/>
      <c r="AP580" s="873"/>
      <c r="AQ580" s="873"/>
      <c r="AR580" s="873"/>
      <c r="AS580" s="873"/>
    </row>
    <row r="581" spans="1:45" ht="12.75" x14ac:dyDescent="0.2">
      <c r="A581" s="873"/>
      <c r="B581" s="873"/>
      <c r="C581" s="873"/>
      <c r="D581" s="873"/>
      <c r="E581" s="873"/>
      <c r="F581" s="873"/>
      <c r="G581" s="873"/>
      <c r="H581" s="873"/>
      <c r="I581" s="873"/>
      <c r="J581" s="873"/>
      <c r="K581" s="873"/>
      <c r="L581" s="873"/>
      <c r="M581" s="873"/>
      <c r="N581" s="873"/>
      <c r="O581" s="873"/>
      <c r="P581" s="873"/>
      <c r="Q581" s="873"/>
      <c r="R581" s="873"/>
      <c r="S581" s="873"/>
      <c r="T581" s="873"/>
      <c r="U581" s="873"/>
      <c r="V581" s="873"/>
      <c r="W581" s="873"/>
      <c r="X581" s="873"/>
      <c r="Y581" s="873"/>
      <c r="Z581" s="873"/>
      <c r="AA581" s="873"/>
      <c r="AB581" s="873"/>
      <c r="AC581" s="873"/>
      <c r="AD581" s="873"/>
      <c r="AE581" s="873"/>
      <c r="AF581" s="873"/>
      <c r="AG581" s="873"/>
      <c r="AH581" s="873"/>
      <c r="AI581" s="873"/>
      <c r="AJ581" s="873"/>
      <c r="AK581" s="873"/>
      <c r="AL581" s="873"/>
      <c r="AM581" s="873"/>
      <c r="AN581" s="873"/>
      <c r="AO581" s="873"/>
      <c r="AP581" s="873"/>
      <c r="AQ581" s="873"/>
      <c r="AR581" s="873"/>
      <c r="AS581" s="873"/>
    </row>
    <row r="582" spans="1:45" ht="12.75" x14ac:dyDescent="0.2">
      <c r="A582" s="873"/>
      <c r="B582" s="873"/>
      <c r="C582" s="873"/>
      <c r="D582" s="873"/>
      <c r="E582" s="873"/>
      <c r="F582" s="873"/>
      <c r="G582" s="873"/>
      <c r="H582" s="873"/>
      <c r="I582" s="873"/>
      <c r="J582" s="873"/>
      <c r="K582" s="873"/>
      <c r="L582" s="873"/>
      <c r="M582" s="873"/>
      <c r="N582" s="873"/>
      <c r="O582" s="873"/>
      <c r="P582" s="873"/>
      <c r="Q582" s="873"/>
      <c r="R582" s="873"/>
      <c r="S582" s="873"/>
      <c r="T582" s="873"/>
      <c r="U582" s="873"/>
      <c r="V582" s="873"/>
      <c r="W582" s="873"/>
      <c r="X582" s="873"/>
      <c r="Y582" s="873"/>
      <c r="Z582" s="873"/>
      <c r="AA582" s="873"/>
      <c r="AB582" s="873"/>
      <c r="AC582" s="873"/>
      <c r="AD582" s="873"/>
      <c r="AE582" s="873"/>
      <c r="AF582" s="873"/>
      <c r="AG582" s="873"/>
      <c r="AH582" s="873"/>
      <c r="AI582" s="873"/>
      <c r="AJ582" s="873"/>
      <c r="AK582" s="873"/>
      <c r="AL582" s="873"/>
      <c r="AM582" s="873"/>
      <c r="AN582" s="873"/>
      <c r="AO582" s="873"/>
      <c r="AP582" s="873"/>
      <c r="AQ582" s="873"/>
      <c r="AR582" s="873"/>
      <c r="AS582" s="873"/>
    </row>
    <row r="583" spans="1:45" ht="12.75" x14ac:dyDescent="0.2">
      <c r="A583" s="873"/>
      <c r="B583" s="873"/>
      <c r="C583" s="873"/>
      <c r="D583" s="873"/>
      <c r="E583" s="873"/>
      <c r="F583" s="873"/>
      <c r="G583" s="873"/>
      <c r="H583" s="873"/>
      <c r="I583" s="873"/>
      <c r="J583" s="873"/>
      <c r="K583" s="873"/>
      <c r="L583" s="873"/>
      <c r="M583" s="873"/>
      <c r="N583" s="873"/>
      <c r="O583" s="873"/>
      <c r="P583" s="873"/>
      <c r="Q583" s="873"/>
      <c r="R583" s="873"/>
      <c r="S583" s="873"/>
      <c r="T583" s="873"/>
      <c r="U583" s="873"/>
      <c r="V583" s="873"/>
      <c r="W583" s="873"/>
      <c r="X583" s="873"/>
      <c r="Y583" s="873"/>
      <c r="Z583" s="873"/>
      <c r="AA583" s="873"/>
      <c r="AB583" s="873"/>
      <c r="AC583" s="873"/>
      <c r="AD583" s="873"/>
      <c r="AE583" s="873"/>
      <c r="AF583" s="873"/>
      <c r="AG583" s="873"/>
      <c r="AH583" s="873"/>
      <c r="AI583" s="873"/>
      <c r="AJ583" s="873"/>
      <c r="AK583" s="873"/>
      <c r="AL583" s="873"/>
      <c r="AM583" s="873"/>
      <c r="AN583" s="873"/>
      <c r="AO583" s="873"/>
      <c r="AP583" s="873"/>
      <c r="AQ583" s="873"/>
      <c r="AR583" s="873"/>
      <c r="AS583" s="873"/>
    </row>
    <row r="584" spans="1:45" ht="12.75" x14ac:dyDescent="0.2">
      <c r="A584" s="873"/>
      <c r="B584" s="873"/>
      <c r="C584" s="873"/>
      <c r="D584" s="873"/>
      <c r="E584" s="873"/>
      <c r="F584" s="873"/>
      <c r="G584" s="873"/>
      <c r="H584" s="873"/>
      <c r="I584" s="873"/>
      <c r="J584" s="873"/>
      <c r="K584" s="873"/>
      <c r="L584" s="873"/>
      <c r="M584" s="873"/>
      <c r="N584" s="873"/>
      <c r="O584" s="873"/>
      <c r="P584" s="873"/>
      <c r="Q584" s="873"/>
      <c r="R584" s="873"/>
      <c r="S584" s="873"/>
      <c r="T584" s="873"/>
      <c r="U584" s="873"/>
      <c r="V584" s="873"/>
      <c r="W584" s="873"/>
      <c r="X584" s="873"/>
      <c r="Y584" s="873"/>
      <c r="Z584" s="873"/>
      <c r="AA584" s="873"/>
      <c r="AB584" s="873"/>
      <c r="AC584" s="873"/>
      <c r="AD584" s="873"/>
      <c r="AE584" s="873"/>
      <c r="AF584" s="873"/>
      <c r="AG584" s="873"/>
      <c r="AH584" s="873"/>
      <c r="AI584" s="873"/>
      <c r="AJ584" s="873"/>
      <c r="AK584" s="873"/>
      <c r="AL584" s="873"/>
      <c r="AM584" s="873"/>
      <c r="AN584" s="873"/>
      <c r="AO584" s="873"/>
      <c r="AP584" s="873"/>
      <c r="AQ584" s="873"/>
      <c r="AR584" s="873"/>
      <c r="AS584" s="873"/>
    </row>
    <row r="585" spans="1:45" ht="12.75" x14ac:dyDescent="0.2">
      <c r="A585" s="873"/>
      <c r="B585" s="873"/>
      <c r="C585" s="873"/>
      <c r="D585" s="873"/>
      <c r="E585" s="873"/>
      <c r="F585" s="873"/>
      <c r="G585" s="873"/>
      <c r="H585" s="873"/>
      <c r="I585" s="873"/>
      <c r="J585" s="873"/>
      <c r="K585" s="873"/>
      <c r="L585" s="873"/>
      <c r="M585" s="873"/>
      <c r="N585" s="873"/>
      <c r="O585" s="873"/>
      <c r="P585" s="873"/>
      <c r="Q585" s="873"/>
      <c r="R585" s="873"/>
      <c r="S585" s="873"/>
      <c r="T585" s="873"/>
      <c r="U585" s="873"/>
      <c r="V585" s="873"/>
      <c r="W585" s="873"/>
      <c r="X585" s="873"/>
      <c r="Y585" s="873"/>
      <c r="Z585" s="873"/>
      <c r="AA585" s="873"/>
      <c r="AB585" s="873"/>
      <c r="AC585" s="873"/>
      <c r="AD585" s="873"/>
      <c r="AE585" s="873"/>
      <c r="AF585" s="873"/>
      <c r="AG585" s="873"/>
      <c r="AH585" s="873"/>
      <c r="AI585" s="873"/>
      <c r="AJ585" s="873"/>
      <c r="AK585" s="873"/>
      <c r="AL585" s="873"/>
      <c r="AM585" s="873"/>
      <c r="AN585" s="873"/>
      <c r="AO585" s="873"/>
      <c r="AP585" s="873"/>
      <c r="AQ585" s="873"/>
      <c r="AR585" s="873"/>
      <c r="AS585" s="873"/>
    </row>
    <row r="586" spans="1:45" ht="12.75" x14ac:dyDescent="0.2">
      <c r="A586" s="873"/>
      <c r="B586" s="873"/>
      <c r="C586" s="873"/>
      <c r="D586" s="873"/>
      <c r="E586" s="873"/>
      <c r="F586" s="873"/>
      <c r="G586" s="873"/>
      <c r="H586" s="873"/>
      <c r="I586" s="873"/>
      <c r="J586" s="873"/>
      <c r="K586" s="873"/>
      <c r="L586" s="873"/>
      <c r="M586" s="873"/>
      <c r="N586" s="873"/>
      <c r="O586" s="873"/>
      <c r="P586" s="873"/>
      <c r="Q586" s="873"/>
      <c r="R586" s="873"/>
      <c r="S586" s="873"/>
      <c r="T586" s="873"/>
      <c r="U586" s="873"/>
      <c r="V586" s="873"/>
      <c r="W586" s="873"/>
      <c r="X586" s="873"/>
      <c r="Y586" s="873"/>
      <c r="Z586" s="873"/>
      <c r="AA586" s="873"/>
      <c r="AB586" s="873"/>
      <c r="AC586" s="873"/>
      <c r="AD586" s="873"/>
      <c r="AE586" s="873"/>
      <c r="AF586" s="873"/>
      <c r="AG586" s="873"/>
      <c r="AH586" s="873"/>
      <c r="AI586" s="873"/>
      <c r="AJ586" s="873"/>
      <c r="AK586" s="873"/>
      <c r="AL586" s="873"/>
      <c r="AM586" s="873"/>
      <c r="AN586" s="873"/>
      <c r="AO586" s="873"/>
      <c r="AP586" s="873"/>
      <c r="AQ586" s="873"/>
      <c r="AR586" s="873"/>
      <c r="AS586" s="873"/>
    </row>
    <row r="587" spans="1:45" ht="12.75" x14ac:dyDescent="0.2">
      <c r="A587" s="873"/>
      <c r="B587" s="873"/>
      <c r="C587" s="873"/>
      <c r="D587" s="873"/>
      <c r="E587" s="873"/>
      <c r="F587" s="873"/>
      <c r="G587" s="873"/>
      <c r="H587" s="873"/>
      <c r="I587" s="873"/>
      <c r="J587" s="873"/>
      <c r="K587" s="873"/>
      <c r="L587" s="873"/>
      <c r="M587" s="873"/>
      <c r="N587" s="873"/>
      <c r="O587" s="873"/>
      <c r="P587" s="873"/>
      <c r="Q587" s="873"/>
      <c r="R587" s="873"/>
      <c r="S587" s="873"/>
      <c r="T587" s="873"/>
      <c r="U587" s="873"/>
      <c r="V587" s="873"/>
      <c r="W587" s="873"/>
      <c r="X587" s="873"/>
      <c r="Y587" s="873"/>
      <c r="Z587" s="873"/>
      <c r="AA587" s="873"/>
      <c r="AB587" s="873"/>
      <c r="AC587" s="873"/>
      <c r="AD587" s="873"/>
      <c r="AE587" s="873"/>
      <c r="AF587" s="873"/>
      <c r="AG587" s="873"/>
      <c r="AH587" s="873"/>
      <c r="AI587" s="873"/>
      <c r="AJ587" s="873"/>
      <c r="AK587" s="873"/>
      <c r="AL587" s="873"/>
      <c r="AM587" s="873"/>
      <c r="AN587" s="873"/>
      <c r="AO587" s="873"/>
      <c r="AP587" s="873"/>
      <c r="AQ587" s="873"/>
      <c r="AR587" s="873"/>
      <c r="AS587" s="873"/>
    </row>
    <row r="588" spans="1:45" ht="12.75" x14ac:dyDescent="0.2">
      <c r="A588" s="873"/>
      <c r="B588" s="873"/>
      <c r="C588" s="873"/>
      <c r="D588" s="873"/>
      <c r="E588" s="873"/>
      <c r="F588" s="873"/>
      <c r="G588" s="873"/>
      <c r="H588" s="873"/>
      <c r="I588" s="873"/>
      <c r="J588" s="873"/>
      <c r="K588" s="873"/>
      <c r="L588" s="873"/>
      <c r="M588" s="873"/>
      <c r="N588" s="873"/>
      <c r="O588" s="873"/>
      <c r="P588" s="873"/>
      <c r="Q588" s="873"/>
      <c r="R588" s="873"/>
      <c r="S588" s="873"/>
      <c r="T588" s="873"/>
      <c r="U588" s="873"/>
      <c r="V588" s="873"/>
      <c r="W588" s="873"/>
      <c r="X588" s="873"/>
      <c r="Y588" s="873"/>
      <c r="Z588" s="873"/>
      <c r="AA588" s="873"/>
      <c r="AB588" s="873"/>
      <c r="AC588" s="873"/>
      <c r="AD588" s="873"/>
      <c r="AE588" s="873"/>
      <c r="AF588" s="873"/>
      <c r="AG588" s="873"/>
      <c r="AH588" s="873"/>
      <c r="AI588" s="873"/>
      <c r="AJ588" s="873"/>
      <c r="AK588" s="873"/>
      <c r="AL588" s="873"/>
      <c r="AM588" s="873"/>
      <c r="AN588" s="873"/>
      <c r="AO588" s="873"/>
      <c r="AP588" s="873"/>
      <c r="AQ588" s="873"/>
      <c r="AR588" s="873"/>
      <c r="AS588" s="873"/>
    </row>
    <row r="589" spans="1:45" ht="12.75" x14ac:dyDescent="0.2">
      <c r="A589" s="873"/>
      <c r="B589" s="873"/>
      <c r="C589" s="873"/>
      <c r="D589" s="873"/>
      <c r="E589" s="873"/>
      <c r="F589" s="873"/>
      <c r="G589" s="873"/>
      <c r="H589" s="873"/>
      <c r="I589" s="873"/>
      <c r="J589" s="873"/>
      <c r="K589" s="873"/>
      <c r="L589" s="873"/>
      <c r="M589" s="873"/>
      <c r="N589" s="873"/>
      <c r="O589" s="873"/>
      <c r="P589" s="873"/>
      <c r="Q589" s="873"/>
      <c r="R589" s="873"/>
      <c r="S589" s="873"/>
      <c r="T589" s="873"/>
      <c r="U589" s="873"/>
      <c r="V589" s="873"/>
      <c r="W589" s="873"/>
      <c r="X589" s="873"/>
      <c r="Y589" s="873"/>
      <c r="Z589" s="873"/>
      <c r="AA589" s="873"/>
      <c r="AB589" s="873"/>
      <c r="AC589" s="873"/>
      <c r="AD589" s="873"/>
      <c r="AE589" s="873"/>
      <c r="AF589" s="873"/>
      <c r="AG589" s="873"/>
      <c r="AH589" s="873"/>
      <c r="AI589" s="873"/>
      <c r="AJ589" s="873"/>
      <c r="AK589" s="873"/>
      <c r="AL589" s="873"/>
      <c r="AM589" s="873"/>
      <c r="AN589" s="873"/>
      <c r="AO589" s="873"/>
      <c r="AP589" s="873"/>
      <c r="AQ589" s="873"/>
      <c r="AR589" s="873"/>
      <c r="AS589" s="873"/>
    </row>
    <row r="590" spans="1:45" ht="12.75" x14ac:dyDescent="0.2">
      <c r="A590" s="873"/>
      <c r="B590" s="873"/>
      <c r="C590" s="873"/>
      <c r="D590" s="873"/>
      <c r="E590" s="873"/>
      <c r="F590" s="873"/>
      <c r="G590" s="873"/>
      <c r="H590" s="873"/>
      <c r="I590" s="873"/>
      <c r="J590" s="873"/>
      <c r="K590" s="873"/>
      <c r="L590" s="873"/>
      <c r="M590" s="873"/>
      <c r="N590" s="873"/>
      <c r="O590" s="873"/>
      <c r="P590" s="873"/>
      <c r="Q590" s="873"/>
      <c r="R590" s="873"/>
      <c r="S590" s="873"/>
      <c r="T590" s="873"/>
      <c r="U590" s="873"/>
      <c r="V590" s="873"/>
      <c r="W590" s="873"/>
      <c r="X590" s="873"/>
      <c r="Y590" s="873"/>
      <c r="Z590" s="873"/>
      <c r="AA590" s="873"/>
      <c r="AB590" s="873"/>
      <c r="AC590" s="873"/>
      <c r="AD590" s="873"/>
      <c r="AE590" s="873"/>
      <c r="AF590" s="873"/>
      <c r="AG590" s="873"/>
      <c r="AH590" s="873"/>
      <c r="AI590" s="873"/>
      <c r="AJ590" s="873"/>
      <c r="AK590" s="873"/>
      <c r="AL590" s="873"/>
      <c r="AM590" s="873"/>
      <c r="AN590" s="873"/>
      <c r="AO590" s="873"/>
      <c r="AP590" s="873"/>
      <c r="AQ590" s="873"/>
      <c r="AR590" s="873"/>
      <c r="AS590" s="873"/>
    </row>
    <row r="591" spans="1:45" ht="12.75" x14ac:dyDescent="0.2">
      <c r="A591" s="873"/>
      <c r="B591" s="873"/>
      <c r="C591" s="873"/>
      <c r="D591" s="873"/>
      <c r="E591" s="873"/>
      <c r="F591" s="873"/>
      <c r="G591" s="873"/>
      <c r="H591" s="873"/>
      <c r="I591" s="873"/>
      <c r="J591" s="873"/>
      <c r="K591" s="873"/>
      <c r="L591" s="873"/>
      <c r="M591" s="873"/>
      <c r="N591" s="873"/>
      <c r="O591" s="873"/>
      <c r="P591" s="873"/>
      <c r="Q591" s="873"/>
      <c r="R591" s="873"/>
      <c r="S591" s="873"/>
      <c r="T591" s="873"/>
      <c r="U591" s="873"/>
      <c r="V591" s="873"/>
      <c r="W591" s="873"/>
      <c r="X591" s="873"/>
      <c r="Y591" s="873"/>
      <c r="Z591" s="873"/>
      <c r="AA591" s="873"/>
      <c r="AB591" s="873"/>
      <c r="AC591" s="873"/>
      <c r="AD591" s="873"/>
      <c r="AE591" s="873"/>
      <c r="AF591" s="873"/>
      <c r="AG591" s="873"/>
      <c r="AH591" s="873"/>
      <c r="AI591" s="873"/>
      <c r="AJ591" s="873"/>
      <c r="AK591" s="873"/>
      <c r="AL591" s="873"/>
      <c r="AM591" s="873"/>
      <c r="AN591" s="873"/>
      <c r="AO591" s="873"/>
      <c r="AP591" s="873"/>
      <c r="AQ591" s="873"/>
      <c r="AR591" s="873"/>
      <c r="AS591" s="873"/>
    </row>
    <row r="592" spans="1:45" ht="12.75" x14ac:dyDescent="0.2">
      <c r="A592" s="873"/>
      <c r="B592" s="873"/>
      <c r="C592" s="873"/>
      <c r="D592" s="873"/>
      <c r="E592" s="873"/>
      <c r="F592" s="873"/>
      <c r="G592" s="873"/>
      <c r="H592" s="873"/>
      <c r="I592" s="873"/>
      <c r="J592" s="873"/>
      <c r="K592" s="873"/>
      <c r="L592" s="873"/>
      <c r="M592" s="873"/>
      <c r="N592" s="873"/>
      <c r="O592" s="873"/>
      <c r="P592" s="873"/>
      <c r="Q592" s="873"/>
      <c r="R592" s="873"/>
      <c r="S592" s="873"/>
      <c r="T592" s="873"/>
      <c r="U592" s="873"/>
      <c r="V592" s="873"/>
      <c r="W592" s="873"/>
      <c r="X592" s="873"/>
      <c r="Y592" s="873"/>
      <c r="Z592" s="873"/>
      <c r="AA592" s="873"/>
      <c r="AB592" s="873"/>
      <c r="AC592" s="873"/>
      <c r="AD592" s="873"/>
      <c r="AE592" s="873"/>
      <c r="AF592" s="873"/>
      <c r="AG592" s="873"/>
      <c r="AH592" s="873"/>
      <c r="AI592" s="873"/>
      <c r="AJ592" s="873"/>
      <c r="AK592" s="873"/>
      <c r="AL592" s="873"/>
      <c r="AM592" s="873"/>
      <c r="AN592" s="873"/>
      <c r="AO592" s="873"/>
      <c r="AP592" s="873"/>
      <c r="AQ592" s="873"/>
      <c r="AR592" s="873"/>
      <c r="AS592" s="873"/>
    </row>
    <row r="593" spans="1:45" ht="12.75" x14ac:dyDescent="0.2">
      <c r="A593" s="873"/>
      <c r="B593" s="873"/>
      <c r="C593" s="873"/>
      <c r="D593" s="873"/>
      <c r="E593" s="873"/>
      <c r="F593" s="873"/>
      <c r="G593" s="873"/>
      <c r="H593" s="873"/>
      <c r="I593" s="873"/>
      <c r="J593" s="873"/>
      <c r="K593" s="873"/>
      <c r="L593" s="873"/>
      <c r="M593" s="873"/>
      <c r="N593" s="873"/>
      <c r="O593" s="873"/>
      <c r="P593" s="873"/>
      <c r="Q593" s="873"/>
      <c r="R593" s="873"/>
      <c r="S593" s="873"/>
      <c r="T593" s="873"/>
      <c r="U593" s="873"/>
      <c r="V593" s="873"/>
      <c r="W593" s="873"/>
      <c r="X593" s="873"/>
      <c r="Y593" s="873"/>
      <c r="Z593" s="873"/>
      <c r="AA593" s="873"/>
      <c r="AB593" s="873"/>
      <c r="AC593" s="873"/>
      <c r="AD593" s="873"/>
      <c r="AE593" s="873"/>
      <c r="AF593" s="873"/>
      <c r="AG593" s="873"/>
      <c r="AH593" s="873"/>
      <c r="AI593" s="873"/>
      <c r="AJ593" s="873"/>
      <c r="AK593" s="873"/>
      <c r="AL593" s="873"/>
      <c r="AM593" s="873"/>
      <c r="AN593" s="873"/>
      <c r="AO593" s="873"/>
      <c r="AP593" s="873"/>
      <c r="AQ593" s="873"/>
      <c r="AR593" s="873"/>
      <c r="AS593" s="873"/>
    </row>
    <row r="594" spans="1:45" ht="12.75" x14ac:dyDescent="0.2">
      <c r="A594" s="873"/>
      <c r="B594" s="873"/>
      <c r="C594" s="873"/>
      <c r="D594" s="873"/>
      <c r="E594" s="873"/>
      <c r="F594" s="873"/>
      <c r="G594" s="873"/>
      <c r="H594" s="873"/>
      <c r="I594" s="873"/>
      <c r="J594" s="873"/>
      <c r="K594" s="873"/>
      <c r="L594" s="873"/>
      <c r="M594" s="873"/>
      <c r="N594" s="873"/>
      <c r="O594" s="873"/>
      <c r="P594" s="873"/>
      <c r="Q594" s="873"/>
      <c r="R594" s="873"/>
      <c r="S594" s="873"/>
      <c r="T594" s="873"/>
      <c r="U594" s="873"/>
      <c r="V594" s="873"/>
      <c r="W594" s="873"/>
      <c r="X594" s="873"/>
      <c r="Y594" s="873"/>
      <c r="Z594" s="873"/>
      <c r="AA594" s="873"/>
      <c r="AB594" s="873"/>
      <c r="AC594" s="873"/>
      <c r="AD594" s="873"/>
      <c r="AE594" s="873"/>
      <c r="AF594" s="873"/>
      <c r="AG594" s="873"/>
      <c r="AH594" s="873"/>
      <c r="AI594" s="873"/>
      <c r="AJ594" s="873"/>
      <c r="AK594" s="873"/>
      <c r="AL594" s="873"/>
      <c r="AM594" s="873"/>
      <c r="AN594" s="873"/>
      <c r="AO594" s="873"/>
      <c r="AP594" s="873"/>
      <c r="AQ594" s="873"/>
      <c r="AR594" s="873"/>
      <c r="AS594" s="873"/>
    </row>
    <row r="595" spans="1:45" ht="12.75" x14ac:dyDescent="0.2">
      <c r="A595" s="873"/>
      <c r="B595" s="873"/>
      <c r="C595" s="873"/>
      <c r="D595" s="873"/>
      <c r="E595" s="873"/>
      <c r="F595" s="873"/>
      <c r="G595" s="873"/>
      <c r="H595" s="873"/>
      <c r="I595" s="873"/>
      <c r="J595" s="873"/>
      <c r="K595" s="873"/>
      <c r="L595" s="873"/>
      <c r="M595" s="873"/>
      <c r="N595" s="873"/>
      <c r="O595" s="873"/>
      <c r="P595" s="873"/>
      <c r="Q595" s="873"/>
      <c r="R595" s="873"/>
      <c r="S595" s="873"/>
      <c r="T595" s="873"/>
      <c r="U595" s="873"/>
      <c r="V595" s="873"/>
      <c r="W595" s="873"/>
      <c r="X595" s="873"/>
      <c r="Y595" s="873"/>
      <c r="Z595" s="873"/>
      <c r="AA595" s="873"/>
      <c r="AB595" s="873"/>
      <c r="AC595" s="873"/>
      <c r="AD595" s="873"/>
      <c r="AE595" s="873"/>
      <c r="AF595" s="873"/>
      <c r="AG595" s="873"/>
      <c r="AH595" s="873"/>
      <c r="AI595" s="873"/>
      <c r="AJ595" s="873"/>
      <c r="AK595" s="873"/>
      <c r="AL595" s="873"/>
      <c r="AM595" s="873"/>
      <c r="AN595" s="873"/>
      <c r="AO595" s="873"/>
      <c r="AP595" s="873"/>
      <c r="AQ595" s="873"/>
      <c r="AR595" s="873"/>
      <c r="AS595" s="873"/>
    </row>
    <row r="596" spans="1:45" ht="12.75" x14ac:dyDescent="0.2">
      <c r="A596" s="873"/>
      <c r="B596" s="873"/>
      <c r="C596" s="873"/>
      <c r="D596" s="873"/>
      <c r="E596" s="873"/>
      <c r="F596" s="873"/>
      <c r="G596" s="873"/>
      <c r="H596" s="873"/>
      <c r="I596" s="873"/>
      <c r="J596" s="873"/>
      <c r="K596" s="873"/>
      <c r="L596" s="873"/>
      <c r="M596" s="873"/>
      <c r="N596" s="873"/>
      <c r="O596" s="873"/>
      <c r="P596" s="873"/>
      <c r="Q596" s="873"/>
      <c r="R596" s="873"/>
      <c r="S596" s="873"/>
      <c r="T596" s="873"/>
      <c r="U596" s="873"/>
      <c r="V596" s="873"/>
      <c r="W596" s="873"/>
      <c r="X596" s="873"/>
      <c r="Y596" s="873"/>
      <c r="Z596" s="873"/>
      <c r="AA596" s="873"/>
      <c r="AB596" s="873"/>
      <c r="AC596" s="873"/>
      <c r="AD596" s="873"/>
      <c r="AE596" s="873"/>
      <c r="AF596" s="873"/>
      <c r="AG596" s="873"/>
      <c r="AH596" s="873"/>
      <c r="AI596" s="873"/>
      <c r="AJ596" s="873"/>
      <c r="AK596" s="873"/>
      <c r="AL596" s="873"/>
      <c r="AM596" s="873"/>
      <c r="AN596" s="873"/>
      <c r="AO596" s="873"/>
      <c r="AP596" s="873"/>
      <c r="AQ596" s="873"/>
      <c r="AR596" s="873"/>
      <c r="AS596" s="873"/>
    </row>
    <row r="597" spans="1:45" ht="12.75" x14ac:dyDescent="0.2">
      <c r="A597" s="873"/>
      <c r="B597" s="873"/>
      <c r="C597" s="873"/>
      <c r="D597" s="873"/>
      <c r="E597" s="873"/>
      <c r="F597" s="873"/>
      <c r="G597" s="873"/>
      <c r="H597" s="873"/>
      <c r="I597" s="873"/>
      <c r="J597" s="873"/>
      <c r="K597" s="873"/>
      <c r="L597" s="873"/>
      <c r="M597" s="873"/>
      <c r="N597" s="873"/>
      <c r="O597" s="873"/>
      <c r="P597" s="873"/>
      <c r="Q597" s="873"/>
      <c r="R597" s="873"/>
      <c r="S597" s="873"/>
      <c r="T597" s="873"/>
      <c r="U597" s="873"/>
      <c r="V597" s="873"/>
      <c r="W597" s="873"/>
      <c r="X597" s="873"/>
      <c r="Y597" s="873"/>
      <c r="Z597" s="873"/>
      <c r="AA597" s="873"/>
      <c r="AB597" s="873"/>
      <c r="AC597" s="873"/>
      <c r="AD597" s="873"/>
      <c r="AE597" s="873"/>
      <c r="AF597" s="873"/>
      <c r="AG597" s="873"/>
      <c r="AH597" s="873"/>
      <c r="AI597" s="873"/>
      <c r="AJ597" s="873"/>
      <c r="AK597" s="873"/>
      <c r="AL597" s="873"/>
      <c r="AM597" s="873"/>
      <c r="AN597" s="873"/>
      <c r="AO597" s="873"/>
      <c r="AP597" s="873"/>
      <c r="AQ597" s="873"/>
      <c r="AR597" s="873"/>
      <c r="AS597" s="873"/>
    </row>
    <row r="598" spans="1:45" ht="12.75" x14ac:dyDescent="0.2">
      <c r="A598" s="873"/>
      <c r="B598" s="873"/>
      <c r="C598" s="873"/>
      <c r="D598" s="873"/>
      <c r="E598" s="873"/>
      <c r="F598" s="873"/>
      <c r="G598" s="873"/>
      <c r="H598" s="873"/>
      <c r="I598" s="873"/>
      <c r="J598" s="873"/>
      <c r="K598" s="873"/>
      <c r="L598" s="873"/>
      <c r="M598" s="873"/>
      <c r="N598" s="873"/>
      <c r="O598" s="873"/>
      <c r="P598" s="873"/>
      <c r="Q598" s="873"/>
      <c r="R598" s="873"/>
      <c r="S598" s="873"/>
      <c r="T598" s="873"/>
      <c r="U598" s="873"/>
      <c r="V598" s="873"/>
      <c r="W598" s="873"/>
      <c r="X598" s="873"/>
      <c r="Y598" s="873"/>
      <c r="Z598" s="873"/>
      <c r="AA598" s="873"/>
      <c r="AB598" s="873"/>
      <c r="AC598" s="873"/>
      <c r="AD598" s="873"/>
      <c r="AE598" s="873"/>
      <c r="AF598" s="873"/>
      <c r="AG598" s="873"/>
      <c r="AH598" s="873"/>
      <c r="AI598" s="873"/>
      <c r="AJ598" s="873"/>
      <c r="AK598" s="873"/>
      <c r="AL598" s="873"/>
      <c r="AM598" s="873"/>
      <c r="AN598" s="873"/>
      <c r="AO598" s="873"/>
      <c r="AP598" s="873"/>
      <c r="AQ598" s="873"/>
      <c r="AR598" s="873"/>
      <c r="AS598" s="873"/>
    </row>
    <row r="599" spans="1:45" ht="12.75" x14ac:dyDescent="0.2">
      <c r="A599" s="873"/>
      <c r="B599" s="873"/>
      <c r="C599" s="873"/>
      <c r="D599" s="873"/>
      <c r="E599" s="873"/>
      <c r="F599" s="873"/>
      <c r="G599" s="873"/>
      <c r="H599" s="873"/>
      <c r="I599" s="873"/>
      <c r="J599" s="873"/>
      <c r="K599" s="873"/>
      <c r="L599" s="873"/>
      <c r="M599" s="873"/>
      <c r="N599" s="873"/>
      <c r="O599" s="873"/>
      <c r="P599" s="873"/>
      <c r="Q599" s="873"/>
      <c r="R599" s="873"/>
      <c r="S599" s="873"/>
      <c r="T599" s="873"/>
      <c r="U599" s="873"/>
      <c r="V599" s="873"/>
      <c r="W599" s="873"/>
      <c r="X599" s="873"/>
      <c r="Y599" s="873"/>
      <c r="Z599" s="873"/>
      <c r="AA599" s="873"/>
      <c r="AB599" s="873"/>
      <c r="AC599" s="873"/>
      <c r="AD599" s="873"/>
      <c r="AE599" s="873"/>
      <c r="AF599" s="873"/>
      <c r="AG599" s="873"/>
      <c r="AH599" s="873"/>
      <c r="AI599" s="873"/>
      <c r="AJ599" s="873"/>
      <c r="AK599" s="873"/>
      <c r="AL599" s="873"/>
      <c r="AM599" s="873"/>
      <c r="AN599" s="873"/>
      <c r="AO599" s="873"/>
      <c r="AP599" s="873"/>
      <c r="AQ599" s="873"/>
      <c r="AR599" s="873"/>
      <c r="AS599" s="873"/>
    </row>
    <row r="600" spans="1:45" ht="12.75" x14ac:dyDescent="0.2">
      <c r="A600" s="873"/>
      <c r="B600" s="873"/>
      <c r="C600" s="873"/>
      <c r="D600" s="873"/>
      <c r="E600" s="873"/>
      <c r="F600" s="873"/>
      <c r="G600" s="873"/>
      <c r="H600" s="873"/>
      <c r="I600" s="873"/>
      <c r="J600" s="873"/>
      <c r="K600" s="873"/>
      <c r="L600" s="873"/>
      <c r="M600" s="873"/>
      <c r="N600" s="873"/>
      <c r="O600" s="873"/>
      <c r="P600" s="873"/>
      <c r="Q600" s="873"/>
      <c r="R600" s="873"/>
      <c r="S600" s="873"/>
      <c r="T600" s="873"/>
      <c r="U600" s="873"/>
      <c r="V600" s="873"/>
      <c r="W600" s="873"/>
      <c r="X600" s="873"/>
      <c r="Y600" s="873"/>
      <c r="Z600" s="873"/>
      <c r="AA600" s="873"/>
      <c r="AB600" s="873"/>
      <c r="AC600" s="873"/>
      <c r="AD600" s="873"/>
      <c r="AE600" s="873"/>
      <c r="AF600" s="873"/>
      <c r="AG600" s="873"/>
      <c r="AH600" s="873"/>
      <c r="AI600" s="873"/>
      <c r="AJ600" s="873"/>
      <c r="AK600" s="873"/>
      <c r="AL600" s="873"/>
      <c r="AM600" s="873"/>
      <c r="AN600" s="873"/>
      <c r="AO600" s="873"/>
      <c r="AP600" s="873"/>
      <c r="AQ600" s="873"/>
      <c r="AR600" s="873"/>
      <c r="AS600" s="873"/>
    </row>
    <row r="601" spans="1:45" ht="12.75" x14ac:dyDescent="0.2">
      <c r="A601" s="873"/>
      <c r="B601" s="873"/>
      <c r="C601" s="873"/>
      <c r="D601" s="873"/>
      <c r="E601" s="873"/>
      <c r="F601" s="873"/>
      <c r="G601" s="873"/>
      <c r="H601" s="873"/>
      <c r="I601" s="873"/>
      <c r="J601" s="873"/>
      <c r="K601" s="873"/>
      <c r="L601" s="873"/>
      <c r="M601" s="873"/>
      <c r="N601" s="873"/>
      <c r="O601" s="873"/>
      <c r="P601" s="873"/>
      <c r="Q601" s="873"/>
      <c r="R601" s="873"/>
      <c r="S601" s="873"/>
      <c r="T601" s="873"/>
      <c r="U601" s="873"/>
      <c r="V601" s="873"/>
      <c r="W601" s="873"/>
      <c r="X601" s="873"/>
      <c r="Y601" s="873"/>
      <c r="Z601" s="873"/>
      <c r="AA601" s="873"/>
      <c r="AB601" s="873"/>
      <c r="AC601" s="873"/>
      <c r="AD601" s="873"/>
      <c r="AE601" s="873"/>
      <c r="AF601" s="873"/>
      <c r="AG601" s="873"/>
      <c r="AH601" s="873"/>
      <c r="AI601" s="873"/>
      <c r="AJ601" s="873"/>
      <c r="AK601" s="873"/>
      <c r="AL601" s="873"/>
      <c r="AM601" s="873"/>
      <c r="AN601" s="873"/>
      <c r="AO601" s="873"/>
      <c r="AP601" s="873"/>
      <c r="AQ601" s="873"/>
      <c r="AR601" s="873"/>
      <c r="AS601" s="873"/>
    </row>
    <row r="602" spans="1:45" ht="12.75" x14ac:dyDescent="0.2">
      <c r="A602" s="873"/>
      <c r="B602" s="873"/>
      <c r="C602" s="873"/>
      <c r="D602" s="873"/>
      <c r="E602" s="873"/>
      <c r="F602" s="873"/>
      <c r="G602" s="873"/>
      <c r="H602" s="873"/>
      <c r="I602" s="873"/>
      <c r="J602" s="873"/>
      <c r="K602" s="873"/>
      <c r="L602" s="873"/>
      <c r="M602" s="873"/>
      <c r="N602" s="873"/>
      <c r="O602" s="873"/>
      <c r="P602" s="873"/>
      <c r="Q602" s="873"/>
      <c r="R602" s="873"/>
      <c r="S602" s="873"/>
      <c r="T602" s="873"/>
      <c r="U602" s="873"/>
      <c r="V602" s="873"/>
      <c r="W602" s="873"/>
      <c r="X602" s="873"/>
      <c r="Y602" s="873"/>
      <c r="Z602" s="873"/>
      <c r="AA602" s="873"/>
      <c r="AB602" s="873"/>
      <c r="AC602" s="873"/>
      <c r="AD602" s="873"/>
      <c r="AE602" s="873"/>
      <c r="AF602" s="873"/>
      <c r="AG602" s="873"/>
      <c r="AH602" s="873"/>
      <c r="AI602" s="873"/>
      <c r="AJ602" s="873"/>
      <c r="AK602" s="873"/>
      <c r="AL602" s="873"/>
      <c r="AM602" s="873"/>
      <c r="AN602" s="873"/>
      <c r="AO602" s="873"/>
      <c r="AP602" s="873"/>
      <c r="AQ602" s="873"/>
      <c r="AR602" s="873"/>
      <c r="AS602" s="873"/>
    </row>
    <row r="603" spans="1:45" ht="12.75" x14ac:dyDescent="0.2">
      <c r="A603" s="873"/>
      <c r="B603" s="873"/>
      <c r="C603" s="873"/>
      <c r="D603" s="873"/>
      <c r="E603" s="873"/>
      <c r="F603" s="873"/>
      <c r="G603" s="873"/>
      <c r="H603" s="873"/>
      <c r="I603" s="873"/>
      <c r="J603" s="873"/>
      <c r="K603" s="873"/>
      <c r="L603" s="873"/>
      <c r="M603" s="873"/>
      <c r="N603" s="873"/>
      <c r="O603" s="873"/>
      <c r="P603" s="873"/>
      <c r="Q603" s="873"/>
      <c r="R603" s="873"/>
      <c r="S603" s="873"/>
      <c r="T603" s="873"/>
      <c r="U603" s="873"/>
      <c r="V603" s="873"/>
      <c r="W603" s="873"/>
      <c r="X603" s="873"/>
      <c r="Y603" s="873"/>
      <c r="Z603" s="873"/>
      <c r="AA603" s="873"/>
      <c r="AB603" s="873"/>
      <c r="AC603" s="873"/>
      <c r="AD603" s="873"/>
      <c r="AE603" s="873"/>
      <c r="AF603" s="873"/>
      <c r="AG603" s="873"/>
      <c r="AH603" s="873"/>
      <c r="AI603" s="873"/>
      <c r="AJ603" s="873"/>
      <c r="AK603" s="873"/>
      <c r="AL603" s="873"/>
      <c r="AM603" s="873"/>
      <c r="AN603" s="873"/>
      <c r="AO603" s="873"/>
      <c r="AP603" s="873"/>
      <c r="AQ603" s="873"/>
      <c r="AR603" s="873"/>
      <c r="AS603" s="873"/>
    </row>
    <row r="604" spans="1:45" ht="12.75" x14ac:dyDescent="0.2">
      <c r="A604" s="873"/>
      <c r="B604" s="873"/>
      <c r="C604" s="873"/>
      <c r="D604" s="873"/>
      <c r="E604" s="873"/>
      <c r="F604" s="873"/>
      <c r="G604" s="873"/>
      <c r="H604" s="873"/>
      <c r="I604" s="873"/>
      <c r="J604" s="873"/>
      <c r="K604" s="873"/>
      <c r="L604" s="873"/>
      <c r="M604" s="873"/>
      <c r="N604" s="873"/>
      <c r="O604" s="873"/>
      <c r="P604" s="873"/>
      <c r="Q604" s="873"/>
      <c r="R604" s="873"/>
      <c r="S604" s="873"/>
      <c r="T604" s="873"/>
      <c r="U604" s="873"/>
      <c r="V604" s="873"/>
      <c r="W604" s="873"/>
      <c r="X604" s="873"/>
      <c r="Y604" s="873"/>
      <c r="Z604" s="873"/>
      <c r="AA604" s="873"/>
      <c r="AB604" s="873"/>
      <c r="AC604" s="873"/>
      <c r="AD604" s="873"/>
      <c r="AE604" s="873"/>
      <c r="AF604" s="873"/>
      <c r="AG604" s="873"/>
      <c r="AH604" s="873"/>
      <c r="AI604" s="873"/>
      <c r="AJ604" s="873"/>
      <c r="AK604" s="873"/>
      <c r="AL604" s="873"/>
      <c r="AM604" s="873"/>
      <c r="AN604" s="873"/>
      <c r="AO604" s="873"/>
      <c r="AP604" s="873"/>
      <c r="AQ604" s="873"/>
      <c r="AR604" s="873"/>
      <c r="AS604" s="873"/>
    </row>
    <row r="605" spans="1:45" ht="12.75" x14ac:dyDescent="0.2">
      <c r="A605" s="873"/>
      <c r="B605" s="873"/>
      <c r="C605" s="873"/>
      <c r="D605" s="873"/>
      <c r="E605" s="873"/>
      <c r="F605" s="873"/>
      <c r="G605" s="873"/>
      <c r="H605" s="873"/>
      <c r="I605" s="873"/>
      <c r="J605" s="873"/>
      <c r="K605" s="873"/>
      <c r="L605" s="873"/>
      <c r="M605" s="873"/>
      <c r="N605" s="873"/>
      <c r="O605" s="873"/>
      <c r="P605" s="873"/>
      <c r="Q605" s="873"/>
      <c r="R605" s="873"/>
      <c r="S605" s="873"/>
      <c r="T605" s="873"/>
      <c r="U605" s="873"/>
      <c r="V605" s="873"/>
      <c r="W605" s="873"/>
      <c r="X605" s="873"/>
      <c r="Y605" s="873"/>
      <c r="Z605" s="873"/>
      <c r="AA605" s="873"/>
      <c r="AB605" s="873"/>
      <c r="AC605" s="873"/>
      <c r="AD605" s="873"/>
      <c r="AE605" s="873"/>
      <c r="AF605" s="873"/>
      <c r="AG605" s="873"/>
      <c r="AH605" s="873"/>
      <c r="AI605" s="873"/>
      <c r="AJ605" s="873"/>
      <c r="AK605" s="873"/>
      <c r="AL605" s="873"/>
      <c r="AM605" s="873"/>
      <c r="AN605" s="873"/>
      <c r="AO605" s="873"/>
      <c r="AP605" s="873"/>
      <c r="AQ605" s="873"/>
      <c r="AR605" s="873"/>
      <c r="AS605" s="873"/>
    </row>
    <row r="606" spans="1:45" ht="12.75" x14ac:dyDescent="0.2">
      <c r="A606" s="873"/>
      <c r="B606" s="873"/>
      <c r="C606" s="873"/>
      <c r="D606" s="873"/>
      <c r="E606" s="873"/>
      <c r="F606" s="873"/>
      <c r="G606" s="873"/>
      <c r="H606" s="873"/>
      <c r="I606" s="873"/>
      <c r="J606" s="873"/>
      <c r="K606" s="873"/>
      <c r="L606" s="873"/>
      <c r="M606" s="873"/>
      <c r="N606" s="873"/>
      <c r="O606" s="873"/>
      <c r="P606" s="873"/>
      <c r="Q606" s="873"/>
      <c r="R606" s="873"/>
      <c r="S606" s="873"/>
      <c r="T606" s="873"/>
      <c r="U606" s="873"/>
      <c r="V606" s="873"/>
      <c r="W606" s="873"/>
      <c r="X606" s="873"/>
      <c r="Y606" s="873"/>
      <c r="Z606" s="873"/>
      <c r="AA606" s="873"/>
      <c r="AB606" s="873"/>
      <c r="AC606" s="873"/>
      <c r="AD606" s="873"/>
      <c r="AE606" s="873"/>
      <c r="AF606" s="873"/>
      <c r="AG606" s="873"/>
      <c r="AH606" s="873"/>
      <c r="AI606" s="873"/>
      <c r="AJ606" s="873"/>
      <c r="AK606" s="873"/>
      <c r="AL606" s="873"/>
      <c r="AM606" s="873"/>
      <c r="AN606" s="873"/>
      <c r="AO606" s="873"/>
      <c r="AP606" s="873"/>
      <c r="AQ606" s="873"/>
      <c r="AR606" s="873"/>
      <c r="AS606" s="873"/>
    </row>
    <row r="607" spans="1:45" ht="12.75" x14ac:dyDescent="0.2">
      <c r="A607" s="873"/>
      <c r="B607" s="873"/>
      <c r="C607" s="873"/>
      <c r="D607" s="873"/>
      <c r="E607" s="873"/>
      <c r="F607" s="873"/>
      <c r="G607" s="873"/>
      <c r="H607" s="873"/>
      <c r="I607" s="873"/>
      <c r="J607" s="873"/>
      <c r="K607" s="873"/>
      <c r="L607" s="873"/>
      <c r="M607" s="873"/>
      <c r="N607" s="873"/>
      <c r="O607" s="873"/>
      <c r="P607" s="873"/>
      <c r="Q607" s="873"/>
      <c r="R607" s="873"/>
      <c r="S607" s="873"/>
      <c r="T607" s="873"/>
      <c r="U607" s="873"/>
      <c r="V607" s="873"/>
      <c r="W607" s="873"/>
      <c r="X607" s="873"/>
      <c r="Y607" s="873"/>
      <c r="Z607" s="873"/>
      <c r="AA607" s="873"/>
      <c r="AB607" s="873"/>
      <c r="AC607" s="873"/>
      <c r="AD607" s="873"/>
      <c r="AE607" s="873"/>
      <c r="AF607" s="873"/>
      <c r="AG607" s="873"/>
      <c r="AH607" s="873"/>
      <c r="AI607" s="873"/>
      <c r="AJ607" s="873"/>
      <c r="AK607" s="873"/>
      <c r="AL607" s="873"/>
      <c r="AM607" s="873"/>
      <c r="AN607" s="873"/>
      <c r="AO607" s="873"/>
      <c r="AP607" s="873"/>
      <c r="AQ607" s="873"/>
      <c r="AR607" s="873"/>
      <c r="AS607" s="873"/>
    </row>
    <row r="608" spans="1:45" ht="12.75" x14ac:dyDescent="0.2">
      <c r="A608" s="873"/>
      <c r="B608" s="873"/>
      <c r="C608" s="873"/>
      <c r="D608" s="873"/>
      <c r="E608" s="873"/>
      <c r="F608" s="873"/>
      <c r="G608" s="873"/>
      <c r="H608" s="873"/>
      <c r="I608" s="873"/>
      <c r="J608" s="873"/>
      <c r="K608" s="873"/>
      <c r="L608" s="873"/>
      <c r="M608" s="873"/>
      <c r="N608" s="873"/>
      <c r="O608" s="873"/>
      <c r="P608" s="873"/>
      <c r="Q608" s="873"/>
      <c r="R608" s="873"/>
      <c r="S608" s="873"/>
      <c r="T608" s="873"/>
      <c r="U608" s="873"/>
      <c r="V608" s="873"/>
      <c r="W608" s="873"/>
      <c r="X608" s="873"/>
      <c r="Y608" s="873"/>
      <c r="Z608" s="873"/>
      <c r="AA608" s="873"/>
      <c r="AB608" s="873"/>
      <c r="AC608" s="873"/>
      <c r="AD608" s="873"/>
      <c r="AE608" s="873"/>
      <c r="AF608" s="873"/>
      <c r="AG608" s="873"/>
      <c r="AH608" s="873"/>
      <c r="AI608" s="873"/>
      <c r="AJ608" s="873"/>
      <c r="AK608" s="873"/>
      <c r="AL608" s="873"/>
      <c r="AM608" s="873"/>
      <c r="AN608" s="873"/>
      <c r="AO608" s="873"/>
      <c r="AP608" s="873"/>
      <c r="AQ608" s="873"/>
      <c r="AR608" s="873"/>
      <c r="AS608" s="873"/>
    </row>
    <row r="609" spans="1:45" ht="12.75" x14ac:dyDescent="0.2">
      <c r="A609" s="873"/>
      <c r="B609" s="873"/>
      <c r="C609" s="873"/>
      <c r="D609" s="873"/>
      <c r="E609" s="873"/>
      <c r="F609" s="873"/>
      <c r="G609" s="873"/>
      <c r="H609" s="873"/>
      <c r="I609" s="873"/>
      <c r="J609" s="873"/>
      <c r="K609" s="873"/>
      <c r="L609" s="873"/>
      <c r="M609" s="873"/>
      <c r="N609" s="873"/>
      <c r="O609" s="873"/>
      <c r="P609" s="873"/>
      <c r="Q609" s="873"/>
      <c r="R609" s="873"/>
      <c r="S609" s="873"/>
      <c r="T609" s="873"/>
      <c r="U609" s="873"/>
      <c r="V609" s="873"/>
      <c r="W609" s="873"/>
      <c r="X609" s="873"/>
      <c r="Y609" s="873"/>
      <c r="Z609" s="873"/>
      <c r="AA609" s="873"/>
      <c r="AB609" s="873"/>
      <c r="AC609" s="873"/>
      <c r="AD609" s="873"/>
      <c r="AE609" s="873"/>
      <c r="AF609" s="873"/>
      <c r="AG609" s="873"/>
      <c r="AH609" s="873"/>
      <c r="AI609" s="873"/>
      <c r="AJ609" s="873"/>
      <c r="AK609" s="873"/>
      <c r="AL609" s="873"/>
      <c r="AM609" s="873"/>
      <c r="AN609" s="873"/>
      <c r="AO609" s="873"/>
      <c r="AP609" s="873"/>
      <c r="AQ609" s="873"/>
      <c r="AR609" s="873"/>
      <c r="AS609" s="873"/>
    </row>
    <row r="610" spans="1:45" ht="12.75" x14ac:dyDescent="0.2">
      <c r="A610" s="873"/>
      <c r="B610" s="873"/>
      <c r="C610" s="873"/>
      <c r="D610" s="873"/>
      <c r="E610" s="873"/>
      <c r="F610" s="873"/>
      <c r="G610" s="873"/>
      <c r="H610" s="873"/>
      <c r="I610" s="873"/>
      <c r="J610" s="873"/>
      <c r="K610" s="873"/>
      <c r="L610" s="873"/>
      <c r="M610" s="873"/>
      <c r="N610" s="873"/>
      <c r="O610" s="873"/>
      <c r="P610" s="873"/>
      <c r="Q610" s="873"/>
      <c r="R610" s="873"/>
      <c r="S610" s="873"/>
      <c r="T610" s="873"/>
      <c r="U610" s="873"/>
      <c r="V610" s="873"/>
      <c r="W610" s="873"/>
      <c r="X610" s="873"/>
      <c r="Y610" s="873"/>
      <c r="Z610" s="873"/>
      <c r="AA610" s="873"/>
      <c r="AB610" s="873"/>
      <c r="AC610" s="873"/>
      <c r="AD610" s="873"/>
      <c r="AE610" s="873"/>
      <c r="AF610" s="873"/>
      <c r="AG610" s="873"/>
      <c r="AH610" s="873"/>
      <c r="AI610" s="873"/>
      <c r="AJ610" s="873"/>
      <c r="AK610" s="873"/>
      <c r="AL610" s="873"/>
      <c r="AM610" s="873"/>
      <c r="AN610" s="873"/>
      <c r="AO610" s="873"/>
      <c r="AP610" s="873"/>
      <c r="AQ610" s="873"/>
      <c r="AR610" s="873"/>
      <c r="AS610" s="873"/>
    </row>
    <row r="611" spans="1:45" ht="12.75" x14ac:dyDescent="0.2">
      <c r="A611" s="873"/>
      <c r="B611" s="873"/>
      <c r="C611" s="873"/>
      <c r="D611" s="873"/>
      <c r="E611" s="873"/>
      <c r="F611" s="873"/>
      <c r="G611" s="873"/>
      <c r="H611" s="873"/>
      <c r="I611" s="873"/>
      <c r="J611" s="873"/>
      <c r="K611" s="873"/>
      <c r="L611" s="873"/>
      <c r="M611" s="873"/>
      <c r="N611" s="873"/>
      <c r="O611" s="873"/>
      <c r="P611" s="873"/>
      <c r="Q611" s="873"/>
      <c r="R611" s="873"/>
      <c r="S611" s="873"/>
      <c r="T611" s="873"/>
      <c r="U611" s="873"/>
      <c r="V611" s="873"/>
      <c r="W611" s="873"/>
      <c r="X611" s="873"/>
      <c r="Y611" s="873"/>
      <c r="Z611" s="873"/>
      <c r="AA611" s="873"/>
      <c r="AB611" s="873"/>
      <c r="AC611" s="873"/>
      <c r="AD611" s="873"/>
      <c r="AE611" s="873"/>
      <c r="AF611" s="873"/>
      <c r="AG611" s="873"/>
      <c r="AH611" s="873"/>
      <c r="AI611" s="873"/>
      <c r="AJ611" s="873"/>
      <c r="AK611" s="873"/>
      <c r="AL611" s="873"/>
      <c r="AM611" s="873"/>
      <c r="AN611" s="873"/>
      <c r="AO611" s="873"/>
      <c r="AP611" s="873"/>
      <c r="AQ611" s="873"/>
      <c r="AR611" s="873"/>
      <c r="AS611" s="873"/>
    </row>
    <row r="612" spans="1:45" ht="12.75" x14ac:dyDescent="0.2">
      <c r="A612" s="873"/>
      <c r="B612" s="873"/>
      <c r="C612" s="873"/>
      <c r="D612" s="873"/>
      <c r="E612" s="873"/>
      <c r="F612" s="873"/>
      <c r="G612" s="873"/>
      <c r="H612" s="873"/>
      <c r="I612" s="873"/>
      <c r="J612" s="873"/>
      <c r="K612" s="873"/>
      <c r="L612" s="873"/>
      <c r="M612" s="873"/>
      <c r="N612" s="873"/>
      <c r="O612" s="873"/>
      <c r="P612" s="873"/>
      <c r="Q612" s="873"/>
      <c r="R612" s="873"/>
      <c r="S612" s="873"/>
      <c r="T612" s="873"/>
      <c r="U612" s="873"/>
      <c r="V612" s="873"/>
      <c r="W612" s="873"/>
      <c r="X612" s="873"/>
      <c r="Y612" s="873"/>
      <c r="Z612" s="873"/>
      <c r="AA612" s="873"/>
      <c r="AB612" s="873"/>
      <c r="AC612" s="873"/>
      <c r="AD612" s="873"/>
      <c r="AE612" s="873"/>
      <c r="AF612" s="873"/>
      <c r="AG612" s="873"/>
      <c r="AH612" s="873"/>
      <c r="AI612" s="873"/>
      <c r="AJ612" s="873"/>
      <c r="AK612" s="873"/>
      <c r="AL612" s="873"/>
      <c r="AM612" s="873"/>
      <c r="AN612" s="873"/>
      <c r="AO612" s="873"/>
      <c r="AP612" s="873"/>
      <c r="AQ612" s="873"/>
      <c r="AR612" s="873"/>
      <c r="AS612" s="873"/>
    </row>
    <row r="613" spans="1:45" ht="12.75" x14ac:dyDescent="0.2">
      <c r="A613" s="873"/>
      <c r="B613" s="873"/>
      <c r="C613" s="873"/>
      <c r="D613" s="873"/>
      <c r="E613" s="873"/>
      <c r="F613" s="873"/>
      <c r="G613" s="873"/>
      <c r="H613" s="873"/>
      <c r="I613" s="873"/>
      <c r="J613" s="873"/>
      <c r="K613" s="873"/>
      <c r="L613" s="873"/>
      <c r="M613" s="873"/>
      <c r="N613" s="873"/>
      <c r="O613" s="873"/>
      <c r="P613" s="873"/>
      <c r="Q613" s="873"/>
      <c r="R613" s="873"/>
      <c r="S613" s="873"/>
      <c r="T613" s="873"/>
      <c r="U613" s="873"/>
      <c r="V613" s="873"/>
      <c r="W613" s="873"/>
      <c r="X613" s="873"/>
      <c r="Y613" s="873"/>
      <c r="Z613" s="873"/>
      <c r="AA613" s="873"/>
      <c r="AB613" s="873"/>
      <c r="AC613" s="873"/>
      <c r="AD613" s="873"/>
      <c r="AE613" s="873"/>
      <c r="AF613" s="873"/>
      <c r="AG613" s="873"/>
      <c r="AH613" s="873"/>
      <c r="AI613" s="873"/>
      <c r="AJ613" s="873"/>
      <c r="AK613" s="873"/>
      <c r="AL613" s="873"/>
      <c r="AM613" s="873"/>
      <c r="AN613" s="873"/>
      <c r="AO613" s="873"/>
      <c r="AP613" s="873"/>
      <c r="AQ613" s="873"/>
      <c r="AR613" s="873"/>
      <c r="AS613" s="873"/>
    </row>
    <row r="614" spans="1:45" ht="12.75" x14ac:dyDescent="0.2">
      <c r="A614" s="873"/>
      <c r="B614" s="873"/>
      <c r="C614" s="873"/>
      <c r="D614" s="873"/>
      <c r="E614" s="873"/>
      <c r="F614" s="873"/>
      <c r="G614" s="873"/>
      <c r="H614" s="873"/>
      <c r="I614" s="873"/>
      <c r="J614" s="873"/>
      <c r="K614" s="873"/>
      <c r="L614" s="873"/>
      <c r="M614" s="873"/>
      <c r="N614" s="873"/>
      <c r="O614" s="873"/>
      <c r="P614" s="873"/>
      <c r="Q614" s="873"/>
      <c r="R614" s="873"/>
      <c r="S614" s="873"/>
      <c r="T614" s="873"/>
      <c r="U614" s="873"/>
      <c r="V614" s="873"/>
      <c r="W614" s="873"/>
      <c r="X614" s="873"/>
      <c r="Y614" s="873"/>
      <c r="Z614" s="873"/>
      <c r="AA614" s="873"/>
      <c r="AB614" s="873"/>
      <c r="AC614" s="873"/>
      <c r="AD614" s="873"/>
      <c r="AE614" s="873"/>
      <c r="AF614" s="873"/>
      <c r="AG614" s="873"/>
      <c r="AH614" s="873"/>
      <c r="AI614" s="873"/>
      <c r="AJ614" s="873"/>
      <c r="AK614" s="873"/>
      <c r="AL614" s="873"/>
      <c r="AM614" s="873"/>
      <c r="AN614" s="873"/>
      <c r="AO614" s="873"/>
      <c r="AP614" s="873"/>
      <c r="AQ614" s="873"/>
      <c r="AR614" s="873"/>
      <c r="AS614" s="873"/>
    </row>
    <row r="615" spans="1:45" ht="12.75" x14ac:dyDescent="0.2">
      <c r="A615" s="873"/>
      <c r="B615" s="873"/>
      <c r="C615" s="873"/>
      <c r="D615" s="873"/>
      <c r="E615" s="873"/>
      <c r="F615" s="873"/>
      <c r="G615" s="873"/>
      <c r="H615" s="873"/>
      <c r="I615" s="873"/>
      <c r="J615" s="873"/>
      <c r="K615" s="873"/>
      <c r="L615" s="873"/>
      <c r="M615" s="873"/>
      <c r="N615" s="873"/>
      <c r="O615" s="873"/>
      <c r="P615" s="873"/>
      <c r="Q615" s="873"/>
      <c r="R615" s="873"/>
      <c r="S615" s="873"/>
      <c r="T615" s="873"/>
      <c r="U615" s="873"/>
      <c r="V615" s="873"/>
      <c r="W615" s="873"/>
      <c r="X615" s="873"/>
      <c r="Y615" s="873"/>
      <c r="Z615" s="873"/>
      <c r="AA615" s="873"/>
      <c r="AB615" s="873"/>
      <c r="AC615" s="873"/>
      <c r="AD615" s="873"/>
      <c r="AE615" s="873"/>
      <c r="AF615" s="873"/>
      <c r="AG615" s="873"/>
      <c r="AH615" s="873"/>
      <c r="AI615" s="873"/>
      <c r="AJ615" s="873"/>
      <c r="AK615" s="873"/>
      <c r="AL615" s="873"/>
      <c r="AM615" s="873"/>
      <c r="AN615" s="873"/>
      <c r="AO615" s="873"/>
      <c r="AP615" s="873"/>
      <c r="AQ615" s="873"/>
      <c r="AR615" s="873"/>
      <c r="AS615" s="873"/>
    </row>
    <row r="616" spans="1:45" ht="12.75" x14ac:dyDescent="0.2">
      <c r="A616" s="873"/>
      <c r="B616" s="873"/>
      <c r="C616" s="873"/>
      <c r="D616" s="873"/>
      <c r="E616" s="873"/>
      <c r="F616" s="873"/>
      <c r="G616" s="873"/>
      <c r="H616" s="873"/>
      <c r="I616" s="873"/>
      <c r="J616" s="873"/>
      <c r="K616" s="873"/>
      <c r="L616" s="873"/>
      <c r="M616" s="873"/>
      <c r="N616" s="873"/>
      <c r="O616" s="873"/>
      <c r="P616" s="873"/>
      <c r="Q616" s="873"/>
      <c r="R616" s="873"/>
      <c r="S616" s="873"/>
      <c r="T616" s="873"/>
      <c r="U616" s="873"/>
      <c r="V616" s="873"/>
      <c r="W616" s="873"/>
      <c r="X616" s="873"/>
      <c r="Y616" s="873"/>
      <c r="Z616" s="873"/>
      <c r="AA616" s="873"/>
      <c r="AB616" s="873"/>
      <c r="AC616" s="873"/>
      <c r="AD616" s="873"/>
      <c r="AE616" s="873"/>
      <c r="AF616" s="873"/>
      <c r="AG616" s="873"/>
      <c r="AH616" s="873"/>
      <c r="AI616" s="873"/>
      <c r="AJ616" s="873"/>
      <c r="AK616" s="873"/>
      <c r="AL616" s="873"/>
      <c r="AM616" s="873"/>
      <c r="AN616" s="873"/>
      <c r="AO616" s="873"/>
      <c r="AP616" s="873"/>
      <c r="AQ616" s="873"/>
      <c r="AR616" s="873"/>
      <c r="AS616" s="873"/>
    </row>
    <row r="617" spans="1:45" ht="12.75" x14ac:dyDescent="0.2">
      <c r="A617" s="873"/>
      <c r="B617" s="873"/>
      <c r="C617" s="873"/>
      <c r="D617" s="873"/>
      <c r="E617" s="873"/>
      <c r="F617" s="873"/>
      <c r="G617" s="873"/>
      <c r="H617" s="873"/>
      <c r="I617" s="873"/>
      <c r="J617" s="873"/>
      <c r="K617" s="873"/>
      <c r="L617" s="873"/>
      <c r="M617" s="873"/>
      <c r="N617" s="873"/>
      <c r="O617" s="873"/>
      <c r="P617" s="873"/>
      <c r="Q617" s="873"/>
      <c r="R617" s="873"/>
      <c r="S617" s="873"/>
      <c r="T617" s="873"/>
      <c r="U617" s="873"/>
      <c r="V617" s="873"/>
      <c r="W617" s="873"/>
      <c r="X617" s="873"/>
      <c r="Y617" s="873"/>
      <c r="Z617" s="873"/>
      <c r="AA617" s="873"/>
      <c r="AB617" s="873"/>
      <c r="AC617" s="873"/>
      <c r="AD617" s="873"/>
      <c r="AE617" s="873"/>
      <c r="AF617" s="873"/>
      <c r="AG617" s="873"/>
      <c r="AH617" s="873"/>
      <c r="AI617" s="873"/>
      <c r="AJ617" s="873"/>
      <c r="AK617" s="873"/>
      <c r="AL617" s="873"/>
      <c r="AM617" s="873"/>
      <c r="AN617" s="873"/>
      <c r="AO617" s="873"/>
      <c r="AP617" s="873"/>
      <c r="AQ617" s="873"/>
      <c r="AR617" s="873"/>
      <c r="AS617" s="873"/>
    </row>
    <row r="618" spans="1:45" ht="12.75" x14ac:dyDescent="0.2">
      <c r="A618" s="873"/>
      <c r="B618" s="873"/>
      <c r="C618" s="873"/>
      <c r="D618" s="873"/>
      <c r="E618" s="873"/>
      <c r="F618" s="873"/>
      <c r="G618" s="873"/>
      <c r="H618" s="873"/>
      <c r="I618" s="873"/>
      <c r="J618" s="873"/>
      <c r="K618" s="873"/>
      <c r="L618" s="873"/>
      <c r="M618" s="873"/>
      <c r="N618" s="873"/>
      <c r="O618" s="873"/>
      <c r="P618" s="873"/>
      <c r="Q618" s="873"/>
      <c r="R618" s="873"/>
      <c r="S618" s="873"/>
      <c r="T618" s="873"/>
      <c r="U618" s="873"/>
      <c r="V618" s="873"/>
      <c r="W618" s="873"/>
      <c r="X618" s="873"/>
      <c r="Y618" s="873"/>
      <c r="Z618" s="873"/>
      <c r="AA618" s="873"/>
      <c r="AB618" s="873"/>
      <c r="AC618" s="873"/>
      <c r="AD618" s="873"/>
      <c r="AE618" s="873"/>
      <c r="AF618" s="873"/>
      <c r="AG618" s="873"/>
      <c r="AH618" s="873"/>
      <c r="AI618" s="873"/>
      <c r="AJ618" s="873"/>
      <c r="AK618" s="873"/>
      <c r="AL618" s="873"/>
      <c r="AM618" s="873"/>
      <c r="AN618" s="873"/>
      <c r="AO618" s="873"/>
      <c r="AP618" s="873"/>
      <c r="AQ618" s="873"/>
      <c r="AR618" s="873"/>
      <c r="AS618" s="873"/>
    </row>
    <row r="619" spans="1:45" ht="12.75" x14ac:dyDescent="0.2">
      <c r="A619" s="873"/>
      <c r="B619" s="873"/>
      <c r="C619" s="873"/>
      <c r="D619" s="873"/>
      <c r="E619" s="873"/>
      <c r="F619" s="873"/>
      <c r="G619" s="873"/>
      <c r="H619" s="873"/>
      <c r="I619" s="873"/>
      <c r="J619" s="873"/>
      <c r="K619" s="873"/>
      <c r="L619" s="873"/>
      <c r="M619" s="873"/>
      <c r="N619" s="873"/>
      <c r="O619" s="873"/>
      <c r="P619" s="873"/>
      <c r="Q619" s="873"/>
      <c r="R619" s="873"/>
      <c r="S619" s="873"/>
      <c r="T619" s="873"/>
      <c r="U619" s="873"/>
      <c r="V619" s="873"/>
      <c r="W619" s="873"/>
      <c r="X619" s="873"/>
      <c r="Y619" s="873"/>
      <c r="Z619" s="873"/>
      <c r="AA619" s="873"/>
      <c r="AB619" s="873"/>
      <c r="AC619" s="873"/>
      <c r="AD619" s="873"/>
      <c r="AE619" s="873"/>
      <c r="AF619" s="873"/>
      <c r="AG619" s="873"/>
      <c r="AH619" s="873"/>
      <c r="AI619" s="873"/>
      <c r="AJ619" s="873"/>
      <c r="AK619" s="873"/>
      <c r="AL619" s="873"/>
      <c r="AM619" s="873"/>
      <c r="AN619" s="873"/>
      <c r="AO619" s="873"/>
      <c r="AP619" s="873"/>
      <c r="AQ619" s="873"/>
      <c r="AR619" s="873"/>
      <c r="AS619" s="873"/>
    </row>
    <row r="620" spans="1:45" ht="12.75" x14ac:dyDescent="0.2">
      <c r="A620" s="873"/>
      <c r="B620" s="873"/>
      <c r="C620" s="873"/>
      <c r="D620" s="873"/>
      <c r="E620" s="873"/>
      <c r="F620" s="873"/>
      <c r="G620" s="873"/>
      <c r="H620" s="873"/>
      <c r="I620" s="873"/>
      <c r="J620" s="873"/>
      <c r="K620" s="873"/>
      <c r="L620" s="873"/>
      <c r="M620" s="873"/>
      <c r="N620" s="873"/>
      <c r="O620" s="873"/>
      <c r="P620" s="873"/>
      <c r="Q620" s="873"/>
      <c r="R620" s="873"/>
      <c r="S620" s="873"/>
      <c r="T620" s="873"/>
      <c r="U620" s="873"/>
      <c r="V620" s="873"/>
      <c r="W620" s="873"/>
      <c r="X620" s="873"/>
      <c r="Y620" s="873"/>
      <c r="Z620" s="873"/>
      <c r="AA620" s="873"/>
      <c r="AB620" s="873"/>
      <c r="AC620" s="873"/>
      <c r="AD620" s="873"/>
      <c r="AE620" s="873"/>
      <c r="AF620" s="873"/>
      <c r="AG620" s="873"/>
      <c r="AH620" s="873"/>
      <c r="AI620" s="873"/>
      <c r="AJ620" s="873"/>
      <c r="AK620" s="873"/>
      <c r="AL620" s="873"/>
      <c r="AM620" s="873"/>
      <c r="AN620" s="873"/>
      <c r="AO620" s="873"/>
      <c r="AP620" s="873"/>
      <c r="AQ620" s="873"/>
      <c r="AR620" s="873"/>
      <c r="AS620" s="873"/>
    </row>
    <row r="621" spans="1:45" ht="12.75" x14ac:dyDescent="0.2">
      <c r="A621" s="873"/>
      <c r="B621" s="873"/>
      <c r="C621" s="873"/>
      <c r="D621" s="873"/>
      <c r="E621" s="873"/>
      <c r="F621" s="873"/>
      <c r="G621" s="873"/>
      <c r="H621" s="873"/>
      <c r="I621" s="873"/>
      <c r="J621" s="873"/>
      <c r="K621" s="873"/>
      <c r="L621" s="873"/>
      <c r="M621" s="873"/>
      <c r="N621" s="873"/>
      <c r="O621" s="873"/>
      <c r="P621" s="873"/>
      <c r="Q621" s="873"/>
      <c r="R621" s="873"/>
      <c r="S621" s="873"/>
      <c r="T621" s="873"/>
      <c r="U621" s="873"/>
      <c r="V621" s="873"/>
      <c r="W621" s="873"/>
      <c r="X621" s="873"/>
      <c r="Y621" s="873"/>
      <c r="Z621" s="873"/>
      <c r="AA621" s="873"/>
      <c r="AB621" s="873"/>
      <c r="AC621" s="873"/>
      <c r="AD621" s="873"/>
      <c r="AE621" s="873"/>
      <c r="AF621" s="873"/>
      <c r="AG621" s="873"/>
      <c r="AH621" s="873"/>
      <c r="AI621" s="873"/>
      <c r="AJ621" s="873"/>
      <c r="AK621" s="873"/>
      <c r="AL621" s="873"/>
      <c r="AM621" s="873"/>
      <c r="AN621" s="873"/>
      <c r="AO621" s="873"/>
      <c r="AP621" s="873"/>
      <c r="AQ621" s="873"/>
      <c r="AR621" s="873"/>
      <c r="AS621" s="873"/>
    </row>
    <row r="622" spans="1:45" ht="12.75" x14ac:dyDescent="0.2">
      <c r="A622" s="873"/>
      <c r="B622" s="873"/>
      <c r="C622" s="873"/>
      <c r="D622" s="873"/>
      <c r="E622" s="873"/>
      <c r="F622" s="873"/>
      <c r="G622" s="873"/>
      <c r="H622" s="873"/>
      <c r="I622" s="873"/>
      <c r="J622" s="873"/>
      <c r="K622" s="873"/>
      <c r="L622" s="873"/>
      <c r="M622" s="873"/>
      <c r="N622" s="873"/>
      <c r="O622" s="873"/>
      <c r="P622" s="873"/>
      <c r="Q622" s="873"/>
      <c r="R622" s="873"/>
      <c r="S622" s="873"/>
      <c r="T622" s="873"/>
      <c r="U622" s="873"/>
      <c r="V622" s="873"/>
      <c r="W622" s="873"/>
      <c r="X622" s="873"/>
      <c r="Y622" s="873"/>
      <c r="Z622" s="873"/>
      <c r="AA622" s="873"/>
      <c r="AB622" s="873"/>
      <c r="AC622" s="873"/>
      <c r="AD622" s="873"/>
      <c r="AE622" s="873"/>
      <c r="AF622" s="873"/>
      <c r="AG622" s="873"/>
      <c r="AH622" s="873"/>
      <c r="AI622" s="873"/>
      <c r="AJ622" s="873"/>
      <c r="AK622" s="873"/>
      <c r="AL622" s="873"/>
      <c r="AM622" s="873"/>
      <c r="AN622" s="873"/>
      <c r="AO622" s="873"/>
      <c r="AP622" s="873"/>
      <c r="AQ622" s="873"/>
      <c r="AR622" s="873"/>
      <c r="AS622" s="873"/>
    </row>
    <row r="623" spans="1:45" ht="12.75" x14ac:dyDescent="0.2">
      <c r="A623" s="873"/>
      <c r="B623" s="873"/>
      <c r="C623" s="873"/>
      <c r="D623" s="873"/>
      <c r="E623" s="873"/>
      <c r="F623" s="873"/>
      <c r="G623" s="873"/>
      <c r="H623" s="873"/>
      <c r="I623" s="873"/>
      <c r="J623" s="873"/>
      <c r="K623" s="873"/>
      <c r="L623" s="873"/>
      <c r="M623" s="873"/>
      <c r="N623" s="873"/>
      <c r="O623" s="873"/>
      <c r="P623" s="873"/>
      <c r="Q623" s="873"/>
      <c r="R623" s="873"/>
      <c r="S623" s="873"/>
      <c r="T623" s="873"/>
      <c r="U623" s="873"/>
      <c r="V623" s="873"/>
      <c r="W623" s="873"/>
      <c r="X623" s="873"/>
      <c r="Y623" s="873"/>
      <c r="Z623" s="873"/>
      <c r="AA623" s="873"/>
      <c r="AB623" s="873"/>
      <c r="AC623" s="873"/>
      <c r="AD623" s="873"/>
      <c r="AE623" s="873"/>
      <c r="AF623" s="873"/>
      <c r="AG623" s="873"/>
      <c r="AH623" s="873"/>
      <c r="AI623" s="873"/>
      <c r="AJ623" s="873"/>
      <c r="AK623" s="873"/>
      <c r="AL623" s="873"/>
      <c r="AM623" s="873"/>
      <c r="AN623" s="873"/>
      <c r="AO623" s="873"/>
      <c r="AP623" s="873"/>
      <c r="AQ623" s="873"/>
      <c r="AR623" s="873"/>
      <c r="AS623" s="873"/>
    </row>
    <row r="624" spans="1:45" ht="12.75" x14ac:dyDescent="0.2">
      <c r="A624" s="873"/>
      <c r="B624" s="873"/>
      <c r="C624" s="873"/>
      <c r="D624" s="873"/>
      <c r="E624" s="873"/>
      <c r="F624" s="873"/>
      <c r="G624" s="873"/>
      <c r="H624" s="873"/>
      <c r="I624" s="873"/>
      <c r="J624" s="873"/>
      <c r="K624" s="873"/>
      <c r="L624" s="873"/>
      <c r="M624" s="873"/>
      <c r="N624" s="873"/>
      <c r="O624" s="873"/>
      <c r="P624" s="873"/>
      <c r="Q624" s="873"/>
      <c r="R624" s="873"/>
      <c r="S624" s="873"/>
      <c r="T624" s="873"/>
      <c r="U624" s="873"/>
      <c r="V624" s="873"/>
      <c r="W624" s="873"/>
      <c r="X624" s="873"/>
      <c r="Y624" s="873"/>
      <c r="Z624" s="873"/>
      <c r="AA624" s="873"/>
      <c r="AB624" s="873"/>
      <c r="AC624" s="873"/>
      <c r="AD624" s="873"/>
      <c r="AE624" s="873"/>
      <c r="AF624" s="873"/>
      <c r="AG624" s="873"/>
      <c r="AH624" s="873"/>
      <c r="AI624" s="873"/>
      <c r="AJ624" s="873"/>
      <c r="AK624" s="873"/>
      <c r="AL624" s="873"/>
      <c r="AM624" s="873"/>
      <c r="AN624" s="873"/>
      <c r="AO624" s="873"/>
      <c r="AP624" s="873"/>
      <c r="AQ624" s="873"/>
      <c r="AR624" s="873"/>
      <c r="AS624" s="873"/>
    </row>
    <row r="625" spans="1:45" ht="12.75" x14ac:dyDescent="0.2">
      <c r="A625" s="873"/>
      <c r="B625" s="873"/>
      <c r="C625" s="873"/>
      <c r="D625" s="873"/>
      <c r="E625" s="873"/>
      <c r="F625" s="873"/>
      <c r="G625" s="873"/>
      <c r="H625" s="873"/>
      <c r="I625" s="873"/>
      <c r="J625" s="873"/>
      <c r="K625" s="873"/>
      <c r="L625" s="873"/>
      <c r="M625" s="873"/>
      <c r="N625" s="873"/>
      <c r="O625" s="873"/>
      <c r="P625" s="873"/>
      <c r="Q625" s="873"/>
      <c r="R625" s="873"/>
      <c r="S625" s="873"/>
      <c r="T625" s="873"/>
      <c r="U625" s="873"/>
      <c r="V625" s="873"/>
      <c r="W625" s="873"/>
      <c r="X625" s="873"/>
      <c r="Y625" s="873"/>
      <c r="Z625" s="873"/>
      <c r="AA625" s="873"/>
      <c r="AB625" s="873"/>
      <c r="AC625" s="873"/>
      <c r="AD625" s="873"/>
      <c r="AE625" s="873"/>
      <c r="AF625" s="873"/>
      <c r="AG625" s="873"/>
      <c r="AH625" s="873"/>
      <c r="AI625" s="873"/>
      <c r="AJ625" s="873"/>
      <c r="AK625" s="873"/>
      <c r="AL625" s="873"/>
      <c r="AM625" s="873"/>
      <c r="AN625" s="873"/>
      <c r="AO625" s="873"/>
      <c r="AP625" s="873"/>
      <c r="AQ625" s="873"/>
      <c r="AR625" s="873"/>
      <c r="AS625" s="873"/>
    </row>
    <row r="626" spans="1:45" ht="12.75" x14ac:dyDescent="0.2">
      <c r="A626" s="873"/>
      <c r="B626" s="873"/>
      <c r="C626" s="873"/>
      <c r="D626" s="873"/>
      <c r="E626" s="873"/>
      <c r="F626" s="873"/>
      <c r="G626" s="873"/>
      <c r="H626" s="873"/>
      <c r="I626" s="873"/>
      <c r="J626" s="873"/>
      <c r="K626" s="873"/>
      <c r="L626" s="873"/>
      <c r="M626" s="873"/>
      <c r="N626" s="873"/>
      <c r="O626" s="873"/>
      <c r="P626" s="873"/>
      <c r="Q626" s="873"/>
      <c r="R626" s="873"/>
      <c r="S626" s="873"/>
      <c r="T626" s="873"/>
      <c r="U626" s="873"/>
      <c r="V626" s="873"/>
      <c r="W626" s="873"/>
      <c r="X626" s="873"/>
      <c r="Y626" s="873"/>
      <c r="Z626" s="873"/>
      <c r="AA626" s="873"/>
      <c r="AB626" s="873"/>
      <c r="AC626" s="873"/>
      <c r="AD626" s="873"/>
      <c r="AE626" s="873"/>
      <c r="AF626" s="873"/>
      <c r="AG626" s="873"/>
      <c r="AH626" s="873"/>
      <c r="AI626" s="873"/>
      <c r="AJ626" s="873"/>
      <c r="AK626" s="873"/>
      <c r="AL626" s="873"/>
      <c r="AM626" s="873"/>
      <c r="AN626" s="873"/>
      <c r="AO626" s="873"/>
      <c r="AP626" s="873"/>
      <c r="AQ626" s="873"/>
      <c r="AR626" s="873"/>
      <c r="AS626" s="873"/>
    </row>
    <row r="627" spans="1:45" ht="12.75" x14ac:dyDescent="0.2">
      <c r="A627" s="873"/>
      <c r="B627" s="873"/>
      <c r="C627" s="873"/>
      <c r="D627" s="873"/>
      <c r="E627" s="873"/>
      <c r="F627" s="873"/>
      <c r="G627" s="873"/>
      <c r="H627" s="873"/>
      <c r="I627" s="873"/>
      <c r="J627" s="873"/>
      <c r="K627" s="873"/>
      <c r="L627" s="873"/>
      <c r="M627" s="873"/>
      <c r="N627" s="873"/>
      <c r="O627" s="873"/>
      <c r="P627" s="873"/>
      <c r="Q627" s="873"/>
      <c r="R627" s="873"/>
      <c r="S627" s="873"/>
      <c r="T627" s="873"/>
      <c r="U627" s="873"/>
      <c r="V627" s="873"/>
      <c r="W627" s="873"/>
      <c r="X627" s="873"/>
      <c r="Y627" s="873"/>
      <c r="Z627" s="873"/>
      <c r="AA627" s="873"/>
      <c r="AB627" s="873"/>
      <c r="AC627" s="873"/>
      <c r="AD627" s="873"/>
      <c r="AE627" s="873"/>
      <c r="AF627" s="873"/>
      <c r="AG627" s="873"/>
      <c r="AH627" s="873"/>
      <c r="AI627" s="873"/>
      <c r="AJ627" s="873"/>
      <c r="AK627" s="873"/>
      <c r="AL627" s="873"/>
      <c r="AM627" s="873"/>
      <c r="AN627" s="873"/>
      <c r="AO627" s="873"/>
      <c r="AP627" s="873"/>
      <c r="AQ627" s="873"/>
      <c r="AR627" s="873"/>
      <c r="AS627" s="873"/>
    </row>
    <row r="628" spans="1:45" ht="12.75" x14ac:dyDescent="0.2">
      <c r="A628" s="873"/>
      <c r="B628" s="873"/>
      <c r="C628" s="873"/>
      <c r="D628" s="873"/>
      <c r="E628" s="873"/>
      <c r="F628" s="873"/>
      <c r="G628" s="873"/>
      <c r="H628" s="873"/>
      <c r="I628" s="873"/>
      <c r="J628" s="873"/>
      <c r="K628" s="873"/>
      <c r="L628" s="873"/>
      <c r="M628" s="873"/>
      <c r="N628" s="873"/>
      <c r="O628" s="873"/>
      <c r="P628" s="873"/>
      <c r="Q628" s="873"/>
      <c r="R628" s="873"/>
      <c r="S628" s="873"/>
      <c r="T628" s="873"/>
      <c r="U628" s="873"/>
      <c r="V628" s="873"/>
      <c r="W628" s="873"/>
      <c r="X628" s="873"/>
      <c r="Y628" s="873"/>
      <c r="Z628" s="873"/>
      <c r="AA628" s="873"/>
      <c r="AB628" s="873"/>
      <c r="AC628" s="873"/>
      <c r="AD628" s="873"/>
      <c r="AE628" s="873"/>
      <c r="AF628" s="873"/>
      <c r="AG628" s="873"/>
      <c r="AH628" s="873"/>
      <c r="AI628" s="873"/>
      <c r="AJ628" s="873"/>
      <c r="AK628" s="873"/>
      <c r="AL628" s="873"/>
      <c r="AM628" s="873"/>
      <c r="AN628" s="873"/>
      <c r="AO628" s="873"/>
      <c r="AP628" s="873"/>
      <c r="AQ628" s="873"/>
      <c r="AR628" s="873"/>
      <c r="AS628" s="873"/>
    </row>
    <row r="629" spans="1:45" ht="12.75" x14ac:dyDescent="0.2">
      <c r="A629" s="873"/>
      <c r="B629" s="873"/>
      <c r="C629" s="873"/>
      <c r="D629" s="873"/>
      <c r="E629" s="873"/>
      <c r="F629" s="873"/>
      <c r="G629" s="873"/>
      <c r="H629" s="873"/>
      <c r="I629" s="873"/>
      <c r="J629" s="873"/>
      <c r="K629" s="873"/>
      <c r="L629" s="873"/>
      <c r="M629" s="873"/>
      <c r="N629" s="873"/>
      <c r="O629" s="873"/>
      <c r="P629" s="873"/>
      <c r="Q629" s="873"/>
      <c r="R629" s="873"/>
      <c r="S629" s="873"/>
      <c r="T629" s="873"/>
      <c r="U629" s="873"/>
      <c r="V629" s="873"/>
      <c r="W629" s="873"/>
      <c r="X629" s="873"/>
      <c r="Y629" s="873"/>
      <c r="Z629" s="873"/>
      <c r="AA629" s="873"/>
      <c r="AB629" s="873"/>
      <c r="AC629" s="873"/>
      <c r="AD629" s="873"/>
      <c r="AE629" s="873"/>
      <c r="AF629" s="873"/>
      <c r="AG629" s="873"/>
      <c r="AH629" s="873"/>
      <c r="AI629" s="873"/>
      <c r="AJ629" s="873"/>
      <c r="AK629" s="873"/>
      <c r="AL629" s="873"/>
      <c r="AM629" s="873"/>
      <c r="AN629" s="873"/>
      <c r="AO629" s="873"/>
      <c r="AP629" s="873"/>
      <c r="AQ629" s="873"/>
      <c r="AR629" s="873"/>
      <c r="AS629" s="873"/>
    </row>
    <row r="630" spans="1:45" ht="12.75" x14ac:dyDescent="0.2">
      <c r="A630" s="873"/>
      <c r="B630" s="873"/>
      <c r="C630" s="873"/>
      <c r="D630" s="873"/>
      <c r="E630" s="873"/>
      <c r="F630" s="873"/>
      <c r="G630" s="873"/>
      <c r="H630" s="873"/>
      <c r="I630" s="873"/>
      <c r="J630" s="873"/>
      <c r="K630" s="873"/>
      <c r="L630" s="873"/>
      <c r="M630" s="873"/>
      <c r="N630" s="873"/>
      <c r="O630" s="873"/>
      <c r="P630" s="873"/>
      <c r="Q630" s="873"/>
      <c r="R630" s="873"/>
      <c r="S630" s="873"/>
      <c r="T630" s="873"/>
      <c r="U630" s="873"/>
      <c r="V630" s="873"/>
      <c r="W630" s="873"/>
      <c r="X630" s="873"/>
      <c r="Y630" s="873"/>
      <c r="Z630" s="873"/>
      <c r="AA630" s="873"/>
      <c r="AB630" s="873"/>
      <c r="AC630" s="873"/>
      <c r="AD630" s="873"/>
      <c r="AE630" s="873"/>
      <c r="AF630" s="873"/>
      <c r="AG630" s="873"/>
      <c r="AH630" s="873"/>
      <c r="AI630" s="873"/>
      <c r="AJ630" s="873"/>
      <c r="AK630" s="873"/>
      <c r="AL630" s="873"/>
      <c r="AM630" s="873"/>
      <c r="AN630" s="873"/>
      <c r="AO630" s="873"/>
      <c r="AP630" s="873"/>
      <c r="AQ630" s="873"/>
      <c r="AR630" s="873"/>
      <c r="AS630" s="873"/>
    </row>
    <row r="631" spans="1:45" ht="12.75" x14ac:dyDescent="0.2">
      <c r="A631" s="873"/>
      <c r="B631" s="873"/>
      <c r="C631" s="873"/>
      <c r="D631" s="873"/>
      <c r="E631" s="873"/>
      <c r="F631" s="873"/>
      <c r="G631" s="873"/>
      <c r="H631" s="873"/>
      <c r="I631" s="873"/>
      <c r="J631" s="873"/>
      <c r="K631" s="873"/>
      <c r="L631" s="873"/>
      <c r="M631" s="873"/>
      <c r="N631" s="873"/>
      <c r="O631" s="873"/>
      <c r="P631" s="873"/>
      <c r="Q631" s="873"/>
      <c r="R631" s="873"/>
      <c r="S631" s="873"/>
      <c r="T631" s="873"/>
      <c r="U631" s="873"/>
      <c r="V631" s="873"/>
      <c r="W631" s="873"/>
      <c r="X631" s="873"/>
      <c r="Y631" s="873"/>
      <c r="Z631" s="873"/>
      <c r="AA631" s="873"/>
      <c r="AB631" s="873"/>
      <c r="AC631" s="873"/>
      <c r="AD631" s="873"/>
      <c r="AE631" s="873"/>
      <c r="AF631" s="873"/>
      <c r="AG631" s="873"/>
      <c r="AH631" s="873"/>
      <c r="AI631" s="873"/>
      <c r="AJ631" s="873"/>
      <c r="AK631" s="873"/>
      <c r="AL631" s="873"/>
      <c r="AM631" s="873"/>
      <c r="AN631" s="873"/>
      <c r="AO631" s="873"/>
      <c r="AP631" s="873"/>
      <c r="AQ631" s="873"/>
      <c r="AR631" s="873"/>
      <c r="AS631" s="873"/>
    </row>
    <row r="632" spans="1:45" ht="12.75" x14ac:dyDescent="0.2">
      <c r="A632" s="873"/>
      <c r="B632" s="873"/>
      <c r="C632" s="873"/>
      <c r="D632" s="873"/>
      <c r="E632" s="873"/>
      <c r="F632" s="873"/>
      <c r="G632" s="873"/>
      <c r="H632" s="873"/>
      <c r="I632" s="873"/>
      <c r="J632" s="873"/>
      <c r="K632" s="873"/>
      <c r="L632" s="873"/>
      <c r="M632" s="873"/>
      <c r="N632" s="873"/>
      <c r="O632" s="873"/>
      <c r="P632" s="873"/>
      <c r="Q632" s="873"/>
      <c r="R632" s="873"/>
      <c r="S632" s="873"/>
      <c r="T632" s="873"/>
      <c r="U632" s="873"/>
      <c r="V632" s="873"/>
      <c r="W632" s="873"/>
      <c r="X632" s="873"/>
      <c r="Y632" s="873"/>
      <c r="Z632" s="873"/>
      <c r="AA632" s="873"/>
      <c r="AB632" s="873"/>
      <c r="AC632" s="873"/>
      <c r="AD632" s="873"/>
      <c r="AE632" s="873"/>
      <c r="AF632" s="873"/>
      <c r="AG632" s="873"/>
      <c r="AH632" s="873"/>
      <c r="AI632" s="873"/>
      <c r="AJ632" s="873"/>
      <c r="AK632" s="873"/>
      <c r="AL632" s="873"/>
      <c r="AM632" s="873"/>
      <c r="AN632" s="873"/>
      <c r="AO632" s="873"/>
      <c r="AP632" s="873"/>
      <c r="AQ632" s="873"/>
      <c r="AR632" s="873"/>
      <c r="AS632" s="873"/>
    </row>
    <row r="633" spans="1:45" ht="12.75" x14ac:dyDescent="0.2">
      <c r="A633" s="873"/>
      <c r="B633" s="873"/>
      <c r="C633" s="873"/>
      <c r="D633" s="873"/>
      <c r="E633" s="873"/>
      <c r="F633" s="873"/>
      <c r="G633" s="873"/>
      <c r="H633" s="873"/>
      <c r="I633" s="873"/>
      <c r="J633" s="873"/>
      <c r="K633" s="873"/>
      <c r="L633" s="873"/>
      <c r="M633" s="873"/>
      <c r="N633" s="873"/>
      <c r="O633" s="873"/>
      <c r="P633" s="873"/>
      <c r="Q633" s="873"/>
      <c r="R633" s="873"/>
      <c r="S633" s="873"/>
      <c r="T633" s="873"/>
      <c r="U633" s="873"/>
      <c r="V633" s="873"/>
      <c r="W633" s="873"/>
      <c r="X633" s="873"/>
      <c r="Y633" s="873"/>
      <c r="Z633" s="873"/>
      <c r="AA633" s="873"/>
      <c r="AB633" s="873"/>
      <c r="AC633" s="873"/>
      <c r="AD633" s="873"/>
      <c r="AE633" s="873"/>
      <c r="AF633" s="873"/>
      <c r="AG633" s="873"/>
      <c r="AH633" s="873"/>
      <c r="AI633" s="873"/>
      <c r="AJ633" s="873"/>
      <c r="AK633" s="873"/>
      <c r="AL633" s="873"/>
      <c r="AM633" s="873"/>
      <c r="AN633" s="873"/>
      <c r="AO633" s="873"/>
      <c r="AP633" s="873"/>
      <c r="AQ633" s="873"/>
      <c r="AR633" s="873"/>
      <c r="AS633" s="873"/>
    </row>
    <row r="634" spans="1:45" ht="12.75" x14ac:dyDescent="0.2">
      <c r="A634" s="873"/>
      <c r="B634" s="873"/>
      <c r="C634" s="873"/>
      <c r="D634" s="873"/>
      <c r="E634" s="873"/>
      <c r="F634" s="873"/>
      <c r="G634" s="873"/>
      <c r="H634" s="873"/>
      <c r="I634" s="873"/>
      <c r="J634" s="873"/>
      <c r="K634" s="873"/>
      <c r="L634" s="873"/>
      <c r="M634" s="873"/>
      <c r="N634" s="873"/>
      <c r="O634" s="873"/>
      <c r="P634" s="873"/>
      <c r="Q634" s="873"/>
      <c r="R634" s="873"/>
      <c r="S634" s="873"/>
      <c r="T634" s="873"/>
      <c r="U634" s="873"/>
      <c r="V634" s="873"/>
      <c r="W634" s="873"/>
      <c r="X634" s="873"/>
      <c r="Y634" s="873"/>
      <c r="Z634" s="873"/>
      <c r="AA634" s="873"/>
      <c r="AB634" s="873"/>
      <c r="AC634" s="873"/>
      <c r="AD634" s="873"/>
      <c r="AE634" s="873"/>
      <c r="AF634" s="873"/>
      <c r="AG634" s="873"/>
      <c r="AH634" s="873"/>
      <c r="AI634" s="873"/>
      <c r="AJ634" s="873"/>
      <c r="AK634" s="873"/>
      <c r="AL634" s="873"/>
      <c r="AM634" s="873"/>
      <c r="AN634" s="873"/>
      <c r="AO634" s="873"/>
      <c r="AP634" s="873"/>
      <c r="AQ634" s="873"/>
      <c r="AR634" s="873"/>
      <c r="AS634" s="873"/>
    </row>
    <row r="635" spans="1:45" ht="12.75" x14ac:dyDescent="0.2">
      <c r="A635" s="873"/>
      <c r="B635" s="873"/>
      <c r="C635" s="873"/>
      <c r="D635" s="873"/>
      <c r="E635" s="873"/>
      <c r="F635" s="873"/>
      <c r="G635" s="873"/>
      <c r="H635" s="873"/>
      <c r="I635" s="873"/>
      <c r="J635" s="873"/>
      <c r="K635" s="873"/>
      <c r="L635" s="873"/>
      <c r="M635" s="873"/>
      <c r="N635" s="873"/>
      <c r="O635" s="873"/>
      <c r="P635" s="873"/>
      <c r="Q635" s="873"/>
      <c r="R635" s="873"/>
      <c r="S635" s="873"/>
      <c r="T635" s="873"/>
      <c r="U635" s="873"/>
      <c r="V635" s="873"/>
      <c r="W635" s="873"/>
      <c r="X635" s="873"/>
      <c r="Y635" s="873"/>
      <c r="Z635" s="873"/>
      <c r="AA635" s="873"/>
      <c r="AB635" s="873"/>
      <c r="AC635" s="873"/>
      <c r="AD635" s="873"/>
      <c r="AE635" s="873"/>
      <c r="AF635" s="873"/>
      <c r="AG635" s="873"/>
      <c r="AH635" s="873"/>
      <c r="AI635" s="873"/>
      <c r="AJ635" s="873"/>
      <c r="AK635" s="873"/>
      <c r="AL635" s="873"/>
      <c r="AM635" s="873"/>
      <c r="AN635" s="873"/>
      <c r="AO635" s="873"/>
      <c r="AP635" s="873"/>
      <c r="AQ635" s="873"/>
      <c r="AR635" s="873"/>
      <c r="AS635" s="873"/>
    </row>
    <row r="636" spans="1:45" ht="12.75" x14ac:dyDescent="0.2">
      <c r="A636" s="873"/>
      <c r="B636" s="873"/>
      <c r="C636" s="873"/>
      <c r="D636" s="873"/>
      <c r="E636" s="873"/>
      <c r="F636" s="873"/>
      <c r="G636" s="873"/>
      <c r="H636" s="873"/>
      <c r="I636" s="873"/>
      <c r="J636" s="873"/>
      <c r="K636" s="873"/>
      <c r="L636" s="873"/>
      <c r="M636" s="873"/>
      <c r="N636" s="873"/>
      <c r="O636" s="873"/>
      <c r="P636" s="873"/>
      <c r="Q636" s="873"/>
      <c r="R636" s="873"/>
      <c r="S636" s="873"/>
      <c r="T636" s="873"/>
      <c r="U636" s="873"/>
      <c r="V636" s="873"/>
      <c r="W636" s="873"/>
      <c r="X636" s="873"/>
      <c r="Y636" s="873"/>
      <c r="Z636" s="873"/>
      <c r="AA636" s="873"/>
      <c r="AB636" s="873"/>
      <c r="AC636" s="873"/>
      <c r="AD636" s="873"/>
      <c r="AE636" s="873"/>
      <c r="AF636" s="873"/>
      <c r="AG636" s="873"/>
      <c r="AH636" s="873"/>
      <c r="AI636" s="873"/>
      <c r="AJ636" s="873"/>
      <c r="AK636" s="873"/>
      <c r="AL636" s="873"/>
      <c r="AM636" s="873"/>
      <c r="AN636" s="873"/>
      <c r="AO636" s="873"/>
      <c r="AP636" s="873"/>
      <c r="AQ636" s="873"/>
      <c r="AR636" s="873"/>
      <c r="AS636" s="873"/>
    </row>
    <row r="637" spans="1:45" ht="12.75" x14ac:dyDescent="0.2">
      <c r="A637" s="873"/>
      <c r="B637" s="873"/>
      <c r="C637" s="873"/>
      <c r="D637" s="873"/>
      <c r="E637" s="873"/>
      <c r="F637" s="873"/>
      <c r="G637" s="873"/>
      <c r="H637" s="873"/>
      <c r="I637" s="873"/>
      <c r="J637" s="873"/>
      <c r="K637" s="873"/>
      <c r="L637" s="873"/>
      <c r="M637" s="873"/>
      <c r="N637" s="873"/>
      <c r="O637" s="873"/>
      <c r="P637" s="873"/>
      <c r="Q637" s="873"/>
      <c r="R637" s="873"/>
      <c r="S637" s="873"/>
      <c r="T637" s="873"/>
      <c r="U637" s="873"/>
      <c r="V637" s="873"/>
      <c r="W637" s="873"/>
      <c r="X637" s="873"/>
      <c r="Y637" s="873"/>
      <c r="Z637" s="873"/>
      <c r="AA637" s="873"/>
      <c r="AB637" s="873"/>
      <c r="AC637" s="873"/>
      <c r="AD637" s="873"/>
      <c r="AE637" s="873"/>
      <c r="AF637" s="873"/>
      <c r="AG637" s="873"/>
      <c r="AH637" s="873"/>
      <c r="AI637" s="873"/>
      <c r="AJ637" s="873"/>
      <c r="AK637" s="873"/>
      <c r="AL637" s="873"/>
      <c r="AM637" s="873"/>
      <c r="AN637" s="873"/>
      <c r="AO637" s="873"/>
      <c r="AP637" s="873"/>
      <c r="AQ637" s="873"/>
      <c r="AR637" s="873"/>
      <c r="AS637" s="873"/>
    </row>
    <row r="638" spans="1:45" ht="12.75" x14ac:dyDescent="0.2">
      <c r="A638" s="873"/>
      <c r="B638" s="873"/>
      <c r="C638" s="873"/>
      <c r="D638" s="873"/>
      <c r="E638" s="873"/>
      <c r="F638" s="873"/>
      <c r="G638" s="873"/>
      <c r="H638" s="873"/>
      <c r="I638" s="873"/>
      <c r="J638" s="873"/>
      <c r="K638" s="873"/>
      <c r="L638" s="873"/>
      <c r="M638" s="873"/>
      <c r="N638" s="873"/>
      <c r="O638" s="873"/>
      <c r="P638" s="873"/>
      <c r="Q638" s="873"/>
      <c r="R638" s="873"/>
      <c r="S638" s="873"/>
      <c r="T638" s="873"/>
      <c r="U638" s="873"/>
      <c r="V638" s="873"/>
      <c r="W638" s="873"/>
      <c r="X638" s="873"/>
      <c r="Y638" s="873"/>
      <c r="Z638" s="873"/>
      <c r="AA638" s="873"/>
      <c r="AB638" s="873"/>
      <c r="AC638" s="873"/>
      <c r="AD638" s="873"/>
      <c r="AE638" s="873"/>
      <c r="AF638" s="873"/>
      <c r="AG638" s="873"/>
      <c r="AH638" s="873"/>
      <c r="AI638" s="873"/>
      <c r="AJ638" s="873"/>
      <c r="AK638" s="873"/>
      <c r="AL638" s="873"/>
      <c r="AM638" s="873"/>
      <c r="AN638" s="873"/>
      <c r="AO638" s="873"/>
      <c r="AP638" s="873"/>
      <c r="AQ638" s="873"/>
      <c r="AR638" s="873"/>
      <c r="AS638" s="873"/>
    </row>
    <row r="639" spans="1:45" ht="12.75" x14ac:dyDescent="0.2">
      <c r="A639" s="873"/>
      <c r="B639" s="873"/>
      <c r="C639" s="873"/>
      <c r="D639" s="873"/>
      <c r="E639" s="873"/>
      <c r="F639" s="873"/>
      <c r="G639" s="873"/>
      <c r="H639" s="873"/>
      <c r="I639" s="873"/>
      <c r="J639" s="873"/>
      <c r="K639" s="873"/>
      <c r="L639" s="873"/>
      <c r="M639" s="873"/>
      <c r="N639" s="873"/>
      <c r="O639" s="873"/>
      <c r="P639" s="873"/>
      <c r="Q639" s="873"/>
      <c r="R639" s="873"/>
      <c r="S639" s="873"/>
      <c r="T639" s="873"/>
      <c r="U639" s="873"/>
      <c r="V639" s="873"/>
      <c r="W639" s="873"/>
      <c r="X639" s="873"/>
      <c r="Y639" s="873"/>
      <c r="Z639" s="873"/>
      <c r="AA639" s="873"/>
      <c r="AB639" s="873"/>
      <c r="AC639" s="873"/>
      <c r="AD639" s="873"/>
      <c r="AE639" s="873"/>
      <c r="AF639" s="873"/>
      <c r="AG639" s="873"/>
      <c r="AH639" s="873"/>
      <c r="AI639" s="873"/>
      <c r="AJ639" s="873"/>
      <c r="AK639" s="873"/>
      <c r="AL639" s="873"/>
      <c r="AM639" s="873"/>
      <c r="AN639" s="873"/>
      <c r="AO639" s="873"/>
      <c r="AP639" s="873"/>
      <c r="AQ639" s="873"/>
      <c r="AR639" s="873"/>
      <c r="AS639" s="873"/>
    </row>
    <row r="640" spans="1:45" ht="12.75" x14ac:dyDescent="0.2">
      <c r="A640" s="873"/>
      <c r="B640" s="873"/>
      <c r="C640" s="873"/>
      <c r="D640" s="873"/>
      <c r="E640" s="873"/>
      <c r="F640" s="873"/>
      <c r="G640" s="873"/>
      <c r="H640" s="873"/>
      <c r="I640" s="873"/>
      <c r="J640" s="873"/>
      <c r="K640" s="873"/>
      <c r="L640" s="873"/>
      <c r="M640" s="873"/>
      <c r="N640" s="873"/>
      <c r="O640" s="873"/>
      <c r="P640" s="873"/>
      <c r="Q640" s="873"/>
      <c r="R640" s="873"/>
      <c r="S640" s="873"/>
      <c r="T640" s="873"/>
      <c r="U640" s="873"/>
      <c r="V640" s="873"/>
      <c r="W640" s="873"/>
      <c r="X640" s="873"/>
      <c r="Y640" s="873"/>
      <c r="Z640" s="873"/>
      <c r="AA640" s="873"/>
      <c r="AB640" s="873"/>
      <c r="AC640" s="873"/>
      <c r="AD640" s="873"/>
      <c r="AE640" s="873"/>
      <c r="AF640" s="873"/>
      <c r="AG640" s="873"/>
      <c r="AH640" s="873"/>
      <c r="AI640" s="873"/>
      <c r="AJ640" s="873"/>
      <c r="AK640" s="873"/>
      <c r="AL640" s="873"/>
      <c r="AM640" s="873"/>
      <c r="AN640" s="873"/>
      <c r="AO640" s="873"/>
      <c r="AP640" s="873"/>
      <c r="AQ640" s="873"/>
      <c r="AR640" s="873"/>
      <c r="AS640" s="873"/>
    </row>
    <row r="641" spans="1:45" ht="12.75" x14ac:dyDescent="0.2">
      <c r="A641" s="873"/>
      <c r="B641" s="873"/>
      <c r="C641" s="873"/>
      <c r="D641" s="873"/>
      <c r="E641" s="873"/>
      <c r="F641" s="873"/>
      <c r="G641" s="873"/>
      <c r="H641" s="873"/>
      <c r="I641" s="873"/>
      <c r="J641" s="873"/>
      <c r="K641" s="873"/>
      <c r="L641" s="873"/>
      <c r="M641" s="873"/>
      <c r="N641" s="873"/>
      <c r="O641" s="873"/>
      <c r="P641" s="873"/>
      <c r="Q641" s="873"/>
      <c r="R641" s="873"/>
      <c r="S641" s="873"/>
      <c r="T641" s="873"/>
      <c r="U641" s="873"/>
      <c r="V641" s="873"/>
      <c r="W641" s="873"/>
      <c r="X641" s="873"/>
      <c r="Y641" s="873"/>
      <c r="Z641" s="873"/>
      <c r="AA641" s="873"/>
      <c r="AB641" s="873"/>
      <c r="AC641" s="873"/>
      <c r="AD641" s="873"/>
      <c r="AE641" s="873"/>
      <c r="AF641" s="873"/>
      <c r="AG641" s="873"/>
      <c r="AH641" s="873"/>
      <c r="AI641" s="873"/>
      <c r="AJ641" s="873"/>
      <c r="AK641" s="873"/>
      <c r="AL641" s="873"/>
      <c r="AM641" s="873"/>
      <c r="AN641" s="873"/>
      <c r="AO641" s="873"/>
      <c r="AP641" s="873"/>
      <c r="AQ641" s="873"/>
      <c r="AR641" s="873"/>
      <c r="AS641" s="873"/>
    </row>
    <row r="642" spans="1:45" ht="12.75" x14ac:dyDescent="0.2">
      <c r="A642" s="873"/>
      <c r="B642" s="873"/>
      <c r="C642" s="873"/>
      <c r="D642" s="873"/>
      <c r="E642" s="873"/>
      <c r="F642" s="873"/>
      <c r="G642" s="873"/>
      <c r="H642" s="873"/>
      <c r="I642" s="873"/>
      <c r="J642" s="873"/>
      <c r="K642" s="873"/>
      <c r="L642" s="873"/>
      <c r="M642" s="873"/>
      <c r="N642" s="873"/>
      <c r="O642" s="873"/>
      <c r="P642" s="873"/>
      <c r="Q642" s="873"/>
      <c r="R642" s="873"/>
      <c r="S642" s="873"/>
      <c r="T642" s="873"/>
      <c r="U642" s="873"/>
      <c r="V642" s="873"/>
      <c r="W642" s="873"/>
      <c r="X642" s="873"/>
      <c r="Y642" s="873"/>
      <c r="Z642" s="873"/>
      <c r="AA642" s="873"/>
      <c r="AB642" s="873"/>
      <c r="AC642" s="873"/>
      <c r="AD642" s="873"/>
      <c r="AE642" s="873"/>
      <c r="AF642" s="873"/>
      <c r="AG642" s="873"/>
      <c r="AH642" s="873"/>
      <c r="AI642" s="873"/>
      <c r="AJ642" s="873"/>
      <c r="AK642" s="873"/>
      <c r="AL642" s="873"/>
      <c r="AM642" s="873"/>
      <c r="AN642" s="873"/>
      <c r="AO642" s="873"/>
      <c r="AP642" s="873"/>
      <c r="AQ642" s="873"/>
      <c r="AR642" s="873"/>
      <c r="AS642" s="873"/>
    </row>
    <row r="643" spans="1:45" ht="12.75" x14ac:dyDescent="0.2">
      <c r="A643" s="873"/>
      <c r="B643" s="873"/>
      <c r="C643" s="873"/>
      <c r="D643" s="873"/>
      <c r="E643" s="873"/>
      <c r="F643" s="873"/>
      <c r="G643" s="873"/>
      <c r="H643" s="873"/>
      <c r="I643" s="873"/>
      <c r="J643" s="873"/>
      <c r="K643" s="873"/>
      <c r="L643" s="873"/>
      <c r="M643" s="873"/>
      <c r="N643" s="873"/>
      <c r="O643" s="873"/>
      <c r="P643" s="873"/>
      <c r="Q643" s="873"/>
      <c r="R643" s="873"/>
      <c r="S643" s="873"/>
      <c r="T643" s="873"/>
      <c r="U643" s="873"/>
      <c r="V643" s="873"/>
      <c r="W643" s="873"/>
      <c r="X643" s="873"/>
      <c r="Y643" s="873"/>
      <c r="Z643" s="873"/>
      <c r="AA643" s="873"/>
      <c r="AB643" s="873"/>
      <c r="AC643" s="873"/>
      <c r="AD643" s="873"/>
      <c r="AE643" s="873"/>
      <c r="AF643" s="873"/>
      <c r="AG643" s="873"/>
      <c r="AH643" s="873"/>
      <c r="AI643" s="873"/>
      <c r="AJ643" s="873"/>
      <c r="AK643" s="873"/>
      <c r="AL643" s="873"/>
      <c r="AM643" s="873"/>
      <c r="AN643" s="873"/>
      <c r="AO643" s="873"/>
      <c r="AP643" s="873"/>
      <c r="AQ643" s="873"/>
      <c r="AR643" s="873"/>
      <c r="AS643" s="873"/>
    </row>
    <row r="644" spans="1:45" ht="12.75" x14ac:dyDescent="0.2">
      <c r="A644" s="873"/>
      <c r="B644" s="873"/>
      <c r="C644" s="873"/>
      <c r="D644" s="873"/>
      <c r="E644" s="873"/>
      <c r="F644" s="873"/>
      <c r="G644" s="873"/>
      <c r="H644" s="873"/>
      <c r="I644" s="873"/>
      <c r="J644" s="873"/>
      <c r="K644" s="873"/>
      <c r="L644" s="873"/>
      <c r="M644" s="873"/>
      <c r="N644" s="873"/>
      <c r="O644" s="873"/>
      <c r="P644" s="873"/>
      <c r="Q644" s="873"/>
      <c r="R644" s="873"/>
      <c r="S644" s="873"/>
      <c r="T644" s="873"/>
      <c r="U644" s="873"/>
      <c r="V644" s="873"/>
      <c r="W644" s="873"/>
      <c r="X644" s="873"/>
      <c r="Y644" s="873"/>
      <c r="Z644" s="873"/>
      <c r="AA644" s="873"/>
      <c r="AB644" s="873"/>
      <c r="AC644" s="873"/>
      <c r="AD644" s="873"/>
      <c r="AE644" s="873"/>
      <c r="AF644" s="873"/>
      <c r="AG644" s="873"/>
      <c r="AH644" s="873"/>
      <c r="AI644" s="873"/>
      <c r="AJ644" s="873"/>
      <c r="AK644" s="873"/>
      <c r="AL644" s="873"/>
      <c r="AM644" s="873"/>
      <c r="AN644" s="873"/>
      <c r="AO644" s="873"/>
      <c r="AP644" s="873"/>
      <c r="AQ644" s="873"/>
      <c r="AR644" s="873"/>
      <c r="AS644" s="873"/>
    </row>
    <row r="645" spans="1:45" ht="12.75" x14ac:dyDescent="0.2">
      <c r="A645" s="873"/>
      <c r="B645" s="873"/>
      <c r="C645" s="873"/>
      <c r="D645" s="873"/>
      <c r="E645" s="873"/>
      <c r="F645" s="873"/>
      <c r="G645" s="873"/>
      <c r="H645" s="873"/>
      <c r="I645" s="873"/>
      <c r="J645" s="873"/>
      <c r="K645" s="873"/>
      <c r="L645" s="873"/>
      <c r="M645" s="873"/>
      <c r="N645" s="873"/>
      <c r="O645" s="873"/>
      <c r="P645" s="873"/>
      <c r="Q645" s="873"/>
      <c r="R645" s="873"/>
      <c r="S645" s="873"/>
      <c r="T645" s="873"/>
      <c r="U645" s="873"/>
      <c r="V645" s="873"/>
      <c r="W645" s="873"/>
      <c r="X645" s="873"/>
      <c r="Y645" s="873"/>
      <c r="Z645" s="873"/>
      <c r="AA645" s="873"/>
      <c r="AB645" s="873"/>
      <c r="AC645" s="873"/>
      <c r="AD645" s="873"/>
      <c r="AE645" s="873"/>
      <c r="AF645" s="873"/>
      <c r="AG645" s="873"/>
      <c r="AH645" s="873"/>
      <c r="AI645" s="873"/>
      <c r="AJ645" s="873"/>
      <c r="AK645" s="873"/>
      <c r="AL645" s="873"/>
      <c r="AM645" s="873"/>
      <c r="AN645" s="873"/>
      <c r="AO645" s="873"/>
      <c r="AP645" s="873"/>
      <c r="AQ645" s="873"/>
      <c r="AR645" s="873"/>
      <c r="AS645" s="873"/>
    </row>
    <row r="646" spans="1:45" ht="12.75" x14ac:dyDescent="0.2">
      <c r="A646" s="873"/>
      <c r="B646" s="873"/>
      <c r="C646" s="873"/>
      <c r="D646" s="873"/>
      <c r="E646" s="873"/>
      <c r="F646" s="873"/>
      <c r="G646" s="873"/>
      <c r="H646" s="873"/>
      <c r="I646" s="873"/>
      <c r="J646" s="873"/>
      <c r="K646" s="873"/>
      <c r="L646" s="873"/>
      <c r="M646" s="873"/>
      <c r="N646" s="873"/>
      <c r="O646" s="873"/>
      <c r="P646" s="873"/>
      <c r="Q646" s="873"/>
      <c r="R646" s="873"/>
      <c r="S646" s="873"/>
      <c r="T646" s="873"/>
      <c r="U646" s="873"/>
      <c r="V646" s="873"/>
      <c r="W646" s="873"/>
      <c r="X646" s="873"/>
      <c r="Y646" s="873"/>
      <c r="Z646" s="873"/>
      <c r="AA646" s="873"/>
      <c r="AB646" s="873"/>
      <c r="AC646" s="873"/>
      <c r="AD646" s="873"/>
      <c r="AE646" s="873"/>
      <c r="AF646" s="873"/>
      <c r="AG646" s="873"/>
      <c r="AH646" s="873"/>
      <c r="AI646" s="873"/>
      <c r="AJ646" s="873"/>
      <c r="AK646" s="873"/>
      <c r="AL646" s="873"/>
      <c r="AM646" s="873"/>
      <c r="AN646" s="873"/>
      <c r="AO646" s="873"/>
      <c r="AP646" s="873"/>
      <c r="AQ646" s="873"/>
      <c r="AR646" s="873"/>
      <c r="AS646" s="873"/>
    </row>
    <row r="647" spans="1:45" ht="12.75" x14ac:dyDescent="0.2">
      <c r="A647" s="873"/>
      <c r="B647" s="873"/>
      <c r="C647" s="873"/>
      <c r="D647" s="873"/>
      <c r="E647" s="873"/>
      <c r="F647" s="873"/>
      <c r="G647" s="873"/>
      <c r="H647" s="873"/>
      <c r="I647" s="873"/>
      <c r="J647" s="873"/>
      <c r="K647" s="873"/>
      <c r="L647" s="873"/>
      <c r="M647" s="873"/>
      <c r="N647" s="873"/>
      <c r="O647" s="873"/>
      <c r="P647" s="873"/>
      <c r="Q647" s="873"/>
      <c r="R647" s="873"/>
      <c r="S647" s="873"/>
      <c r="T647" s="873"/>
      <c r="U647" s="873"/>
      <c r="V647" s="873"/>
      <c r="W647" s="873"/>
      <c r="X647" s="873"/>
      <c r="Y647" s="873"/>
      <c r="Z647" s="873"/>
      <c r="AA647" s="873"/>
      <c r="AB647" s="873"/>
      <c r="AC647" s="873"/>
      <c r="AD647" s="873"/>
      <c r="AE647" s="873"/>
      <c r="AF647" s="873"/>
      <c r="AG647" s="873"/>
      <c r="AH647" s="873"/>
      <c r="AI647" s="873"/>
      <c r="AJ647" s="873"/>
      <c r="AK647" s="873"/>
      <c r="AL647" s="873"/>
      <c r="AM647" s="873"/>
      <c r="AN647" s="873"/>
      <c r="AO647" s="873"/>
      <c r="AP647" s="873"/>
      <c r="AQ647" s="873"/>
      <c r="AR647" s="873"/>
      <c r="AS647" s="873"/>
    </row>
    <row r="648" spans="1:45" ht="12.75" x14ac:dyDescent="0.2">
      <c r="A648" s="873"/>
      <c r="B648" s="873"/>
      <c r="C648" s="873"/>
      <c r="D648" s="873"/>
      <c r="E648" s="873"/>
      <c r="F648" s="873"/>
      <c r="G648" s="873"/>
      <c r="H648" s="873"/>
      <c r="I648" s="873"/>
      <c r="J648" s="873"/>
      <c r="K648" s="873"/>
      <c r="L648" s="873"/>
      <c r="M648" s="873"/>
      <c r="N648" s="873"/>
      <c r="O648" s="873"/>
      <c r="P648" s="873"/>
      <c r="Q648" s="873"/>
      <c r="R648" s="873"/>
      <c r="S648" s="873"/>
      <c r="T648" s="873"/>
      <c r="U648" s="873"/>
      <c r="V648" s="873"/>
      <c r="W648" s="873"/>
      <c r="X648" s="873"/>
      <c r="Y648" s="873"/>
      <c r="Z648" s="873"/>
      <c r="AA648" s="873"/>
      <c r="AB648" s="873"/>
      <c r="AC648" s="873"/>
      <c r="AD648" s="873"/>
      <c r="AE648" s="873"/>
      <c r="AF648" s="873"/>
      <c r="AG648" s="873"/>
      <c r="AH648" s="873"/>
      <c r="AI648" s="873"/>
      <c r="AJ648" s="873"/>
      <c r="AK648" s="873"/>
      <c r="AL648" s="873"/>
      <c r="AM648" s="873"/>
      <c r="AN648" s="873"/>
      <c r="AO648" s="873"/>
      <c r="AP648" s="873"/>
      <c r="AQ648" s="873"/>
      <c r="AR648" s="873"/>
      <c r="AS648" s="873"/>
    </row>
    <row r="649" spans="1:45" ht="12.75" x14ac:dyDescent="0.2">
      <c r="A649" s="873"/>
      <c r="B649" s="873"/>
      <c r="C649" s="873"/>
      <c r="D649" s="873"/>
      <c r="E649" s="873"/>
      <c r="F649" s="873"/>
      <c r="G649" s="873"/>
      <c r="H649" s="873"/>
      <c r="I649" s="873"/>
      <c r="J649" s="873"/>
      <c r="K649" s="873"/>
      <c r="L649" s="873"/>
      <c r="M649" s="873"/>
      <c r="N649" s="873"/>
      <c r="O649" s="873"/>
      <c r="P649" s="873"/>
      <c r="Q649" s="873"/>
      <c r="R649" s="873"/>
      <c r="S649" s="873"/>
      <c r="T649" s="873"/>
      <c r="U649" s="873"/>
      <c r="V649" s="873"/>
      <c r="W649" s="873"/>
      <c r="X649" s="873"/>
      <c r="Y649" s="873"/>
      <c r="Z649" s="873"/>
      <c r="AA649" s="873"/>
      <c r="AB649" s="873"/>
      <c r="AC649" s="873"/>
      <c r="AD649" s="873"/>
      <c r="AE649" s="873"/>
      <c r="AF649" s="873"/>
      <c r="AG649" s="873"/>
      <c r="AH649" s="873"/>
      <c r="AI649" s="873"/>
      <c r="AJ649" s="873"/>
      <c r="AK649" s="873"/>
      <c r="AL649" s="873"/>
      <c r="AM649" s="873"/>
      <c r="AN649" s="873"/>
      <c r="AO649" s="873"/>
      <c r="AP649" s="873"/>
      <c r="AQ649" s="873"/>
      <c r="AR649" s="873"/>
      <c r="AS649" s="873"/>
    </row>
    <row r="650" spans="1:45" ht="12.75" x14ac:dyDescent="0.2">
      <c r="A650" s="873"/>
      <c r="B650" s="873"/>
      <c r="C650" s="873"/>
      <c r="D650" s="873"/>
      <c r="E650" s="873"/>
      <c r="F650" s="873"/>
      <c r="G650" s="873"/>
      <c r="H650" s="873"/>
      <c r="I650" s="873"/>
      <c r="J650" s="873"/>
      <c r="K650" s="873"/>
      <c r="L650" s="873"/>
      <c r="M650" s="873"/>
      <c r="N650" s="873"/>
      <c r="O650" s="873"/>
      <c r="P650" s="873"/>
      <c r="Q650" s="873"/>
      <c r="R650" s="873"/>
      <c r="S650" s="873"/>
      <c r="T650" s="873"/>
      <c r="U650" s="873"/>
      <c r="V650" s="873"/>
      <c r="W650" s="873"/>
      <c r="X650" s="873"/>
      <c r="Y650" s="873"/>
      <c r="Z650" s="873"/>
      <c r="AA650" s="873"/>
      <c r="AB650" s="873"/>
      <c r="AC650" s="873"/>
      <c r="AD650" s="873"/>
      <c r="AE650" s="873"/>
      <c r="AF650" s="873"/>
      <c r="AG650" s="873"/>
      <c r="AH650" s="873"/>
      <c r="AI650" s="873"/>
      <c r="AJ650" s="873"/>
      <c r="AK650" s="873"/>
      <c r="AL650" s="873"/>
      <c r="AM650" s="873"/>
      <c r="AN650" s="873"/>
      <c r="AO650" s="873"/>
      <c r="AP650" s="873"/>
      <c r="AQ650" s="873"/>
      <c r="AR650" s="873"/>
      <c r="AS650" s="873"/>
    </row>
    <row r="651" spans="1:45" ht="12.75" x14ac:dyDescent="0.2">
      <c r="A651" s="873"/>
      <c r="B651" s="873"/>
      <c r="C651" s="873"/>
      <c r="D651" s="873"/>
      <c r="E651" s="873"/>
      <c r="F651" s="873"/>
      <c r="G651" s="873"/>
      <c r="H651" s="873"/>
      <c r="I651" s="873"/>
      <c r="J651" s="873"/>
      <c r="K651" s="873"/>
      <c r="L651" s="873"/>
      <c r="M651" s="873"/>
      <c r="N651" s="873"/>
      <c r="O651" s="873"/>
      <c r="P651" s="873"/>
      <c r="Q651" s="873"/>
      <c r="R651" s="873"/>
      <c r="S651" s="873"/>
      <c r="T651" s="873"/>
      <c r="U651" s="873"/>
      <c r="V651" s="873"/>
      <c r="W651" s="873"/>
      <c r="X651" s="873"/>
      <c r="Y651" s="873"/>
      <c r="Z651" s="873"/>
      <c r="AA651" s="873"/>
      <c r="AB651" s="873"/>
      <c r="AC651" s="873"/>
      <c r="AD651" s="873"/>
      <c r="AE651" s="873"/>
      <c r="AF651" s="873"/>
      <c r="AG651" s="873"/>
      <c r="AH651" s="873"/>
      <c r="AI651" s="873"/>
      <c r="AJ651" s="873"/>
      <c r="AK651" s="873"/>
      <c r="AL651" s="873"/>
      <c r="AM651" s="873"/>
      <c r="AN651" s="873"/>
      <c r="AO651" s="873"/>
      <c r="AP651" s="873"/>
      <c r="AQ651" s="873"/>
      <c r="AR651" s="873"/>
      <c r="AS651" s="873"/>
    </row>
    <row r="652" spans="1:45" ht="12.75" x14ac:dyDescent="0.2">
      <c r="A652" s="873"/>
      <c r="B652" s="873"/>
      <c r="C652" s="873"/>
      <c r="D652" s="873"/>
      <c r="E652" s="873"/>
      <c r="F652" s="873"/>
      <c r="G652" s="873"/>
      <c r="H652" s="873"/>
      <c r="I652" s="873"/>
      <c r="J652" s="873"/>
      <c r="K652" s="873"/>
      <c r="L652" s="873"/>
      <c r="M652" s="873"/>
      <c r="N652" s="873"/>
      <c r="O652" s="873"/>
      <c r="P652" s="873"/>
      <c r="Q652" s="873"/>
      <c r="R652" s="873"/>
      <c r="S652" s="873"/>
      <c r="T652" s="873"/>
      <c r="U652" s="873"/>
      <c r="V652" s="873"/>
      <c r="W652" s="873"/>
      <c r="X652" s="873"/>
      <c r="Y652" s="873"/>
      <c r="Z652" s="873"/>
      <c r="AA652" s="873"/>
      <c r="AB652" s="873"/>
      <c r="AC652" s="873"/>
      <c r="AD652" s="873"/>
      <c r="AE652" s="873"/>
      <c r="AF652" s="873"/>
      <c r="AG652" s="873"/>
      <c r="AH652" s="873"/>
      <c r="AI652" s="873"/>
      <c r="AJ652" s="873"/>
      <c r="AK652" s="873"/>
      <c r="AL652" s="873"/>
      <c r="AM652" s="873"/>
      <c r="AN652" s="873"/>
      <c r="AO652" s="873"/>
      <c r="AP652" s="873"/>
      <c r="AQ652" s="873"/>
      <c r="AR652" s="873"/>
      <c r="AS652" s="873"/>
    </row>
    <row r="653" spans="1:45" ht="12.75" x14ac:dyDescent="0.2">
      <c r="A653" s="873"/>
      <c r="B653" s="873"/>
      <c r="C653" s="873"/>
      <c r="D653" s="873"/>
      <c r="E653" s="873"/>
      <c r="F653" s="873"/>
      <c r="G653" s="873"/>
      <c r="H653" s="873"/>
      <c r="I653" s="873"/>
      <c r="J653" s="873"/>
      <c r="K653" s="873"/>
      <c r="L653" s="873"/>
      <c r="M653" s="873"/>
      <c r="N653" s="873"/>
      <c r="O653" s="873"/>
      <c r="P653" s="873"/>
      <c r="Q653" s="873"/>
      <c r="R653" s="873"/>
      <c r="S653" s="873"/>
      <c r="T653" s="873"/>
      <c r="U653" s="873"/>
      <c r="V653" s="873"/>
      <c r="W653" s="873"/>
      <c r="X653" s="873"/>
      <c r="Y653" s="873"/>
      <c r="Z653" s="873"/>
      <c r="AA653" s="873"/>
      <c r="AB653" s="873"/>
      <c r="AC653" s="873"/>
      <c r="AD653" s="873"/>
      <c r="AE653" s="873"/>
      <c r="AF653" s="873"/>
      <c r="AG653" s="873"/>
      <c r="AH653" s="873"/>
      <c r="AI653" s="873"/>
      <c r="AJ653" s="873"/>
      <c r="AK653" s="873"/>
      <c r="AL653" s="873"/>
      <c r="AM653" s="873"/>
      <c r="AN653" s="873"/>
      <c r="AO653" s="873"/>
      <c r="AP653" s="873"/>
      <c r="AQ653" s="873"/>
      <c r="AR653" s="873"/>
      <c r="AS653" s="873"/>
    </row>
    <row r="654" spans="1:45" ht="12.75" x14ac:dyDescent="0.2">
      <c r="A654" s="873"/>
      <c r="B654" s="873"/>
      <c r="C654" s="873"/>
      <c r="D654" s="873"/>
      <c r="E654" s="873"/>
      <c r="F654" s="873"/>
      <c r="G654" s="873"/>
      <c r="H654" s="873"/>
      <c r="I654" s="873"/>
      <c r="J654" s="873"/>
      <c r="K654" s="873"/>
      <c r="L654" s="873"/>
      <c r="M654" s="873"/>
      <c r="N654" s="873"/>
      <c r="O654" s="873"/>
      <c r="P654" s="873"/>
      <c r="Q654" s="873"/>
      <c r="R654" s="873"/>
      <c r="S654" s="873"/>
      <c r="T654" s="873"/>
      <c r="U654" s="873"/>
      <c r="V654" s="873"/>
      <c r="W654" s="873"/>
      <c r="X654" s="873"/>
      <c r="Y654" s="873"/>
      <c r="Z654" s="873"/>
      <c r="AA654" s="873"/>
      <c r="AB654" s="873"/>
      <c r="AC654" s="873"/>
      <c r="AD654" s="873"/>
      <c r="AE654" s="873"/>
      <c r="AF654" s="873"/>
      <c r="AG654" s="873"/>
      <c r="AH654" s="873"/>
      <c r="AI654" s="873"/>
      <c r="AJ654" s="873"/>
      <c r="AK654" s="873"/>
      <c r="AL654" s="873"/>
      <c r="AM654" s="873"/>
      <c r="AN654" s="873"/>
      <c r="AO654" s="873"/>
      <c r="AP654" s="873"/>
      <c r="AQ654" s="873"/>
      <c r="AR654" s="873"/>
      <c r="AS654" s="873"/>
    </row>
    <row r="655" spans="1:45" ht="12.75" x14ac:dyDescent="0.2">
      <c r="A655" s="873"/>
      <c r="B655" s="873"/>
      <c r="C655" s="873"/>
      <c r="D655" s="873"/>
      <c r="E655" s="873"/>
      <c r="F655" s="873"/>
      <c r="G655" s="873"/>
      <c r="H655" s="873"/>
      <c r="I655" s="873"/>
      <c r="J655" s="873"/>
      <c r="K655" s="873"/>
      <c r="L655" s="873"/>
      <c r="M655" s="873"/>
      <c r="N655" s="873"/>
      <c r="O655" s="873"/>
      <c r="P655" s="873"/>
      <c r="Q655" s="873"/>
      <c r="R655" s="873"/>
      <c r="S655" s="873"/>
      <c r="T655" s="873"/>
      <c r="U655" s="873"/>
      <c r="V655" s="873"/>
      <c r="W655" s="873"/>
      <c r="X655" s="873"/>
      <c r="Y655" s="873"/>
      <c r="Z655" s="873"/>
      <c r="AA655" s="873"/>
      <c r="AB655" s="873"/>
      <c r="AC655" s="873"/>
      <c r="AD655" s="873"/>
      <c r="AE655" s="873"/>
      <c r="AF655" s="873"/>
      <c r="AG655" s="873"/>
      <c r="AH655" s="873"/>
      <c r="AI655" s="873"/>
      <c r="AJ655" s="873"/>
      <c r="AK655" s="873"/>
      <c r="AL655" s="873"/>
      <c r="AM655" s="873"/>
      <c r="AN655" s="873"/>
      <c r="AO655" s="873"/>
      <c r="AP655" s="873"/>
      <c r="AQ655" s="873"/>
      <c r="AR655" s="873"/>
      <c r="AS655" s="873"/>
    </row>
    <row r="656" spans="1:45" ht="12.75" x14ac:dyDescent="0.2">
      <c r="A656" s="873"/>
      <c r="B656" s="873"/>
      <c r="C656" s="873"/>
      <c r="D656" s="873"/>
      <c r="E656" s="873"/>
      <c r="F656" s="873"/>
      <c r="G656" s="873"/>
      <c r="H656" s="873"/>
      <c r="I656" s="873"/>
      <c r="J656" s="873"/>
      <c r="K656" s="873"/>
      <c r="L656" s="873"/>
      <c r="M656" s="873"/>
      <c r="N656" s="873"/>
      <c r="O656" s="873"/>
      <c r="P656" s="873"/>
      <c r="Q656" s="873"/>
      <c r="R656" s="873"/>
      <c r="S656" s="873"/>
      <c r="T656" s="873"/>
      <c r="U656" s="873"/>
      <c r="V656" s="873"/>
      <c r="W656" s="873"/>
      <c r="X656" s="873"/>
      <c r="Y656" s="873"/>
      <c r="Z656" s="873"/>
      <c r="AA656" s="873"/>
      <c r="AB656" s="873"/>
      <c r="AC656" s="873"/>
      <c r="AD656" s="873"/>
      <c r="AE656" s="873"/>
      <c r="AF656" s="873"/>
      <c r="AG656" s="873"/>
      <c r="AH656" s="873"/>
      <c r="AI656" s="873"/>
      <c r="AJ656" s="873"/>
      <c r="AK656" s="873"/>
      <c r="AL656" s="873"/>
      <c r="AM656" s="873"/>
      <c r="AN656" s="873"/>
      <c r="AO656" s="873"/>
      <c r="AP656" s="873"/>
      <c r="AQ656" s="873"/>
      <c r="AR656" s="873"/>
      <c r="AS656" s="873"/>
    </row>
    <row r="657" spans="1:45" ht="12.75" x14ac:dyDescent="0.2">
      <c r="A657" s="873"/>
      <c r="B657" s="873"/>
      <c r="C657" s="873"/>
      <c r="D657" s="873"/>
      <c r="E657" s="873"/>
      <c r="F657" s="873"/>
      <c r="G657" s="873"/>
      <c r="H657" s="873"/>
      <c r="I657" s="873"/>
      <c r="J657" s="873"/>
      <c r="K657" s="873"/>
      <c r="L657" s="873"/>
      <c r="M657" s="873"/>
      <c r="N657" s="873"/>
      <c r="O657" s="873"/>
      <c r="P657" s="873"/>
      <c r="Q657" s="873"/>
      <c r="R657" s="873"/>
      <c r="S657" s="873"/>
      <c r="T657" s="873"/>
      <c r="U657" s="873"/>
      <c r="V657" s="873"/>
      <c r="W657" s="873"/>
      <c r="X657" s="873"/>
      <c r="Y657" s="873"/>
      <c r="Z657" s="873"/>
      <c r="AA657" s="873"/>
      <c r="AB657" s="873"/>
      <c r="AC657" s="873"/>
      <c r="AD657" s="873"/>
      <c r="AE657" s="873"/>
      <c r="AF657" s="873"/>
      <c r="AG657" s="873"/>
      <c r="AH657" s="873"/>
      <c r="AI657" s="873"/>
      <c r="AJ657" s="873"/>
      <c r="AK657" s="873"/>
      <c r="AL657" s="873"/>
      <c r="AM657" s="873"/>
      <c r="AN657" s="873"/>
      <c r="AO657" s="873"/>
      <c r="AP657" s="873"/>
      <c r="AQ657" s="873"/>
      <c r="AR657" s="873"/>
      <c r="AS657" s="873"/>
    </row>
    <row r="658" spans="1:45" ht="12.75" x14ac:dyDescent="0.2">
      <c r="A658" s="873"/>
      <c r="B658" s="873"/>
      <c r="C658" s="873"/>
      <c r="D658" s="873"/>
      <c r="E658" s="873"/>
      <c r="F658" s="873"/>
      <c r="G658" s="873"/>
      <c r="H658" s="873"/>
      <c r="I658" s="873"/>
      <c r="J658" s="873"/>
      <c r="K658" s="873"/>
      <c r="L658" s="873"/>
      <c r="M658" s="873"/>
      <c r="N658" s="873"/>
      <c r="O658" s="873"/>
      <c r="P658" s="873"/>
      <c r="Q658" s="873"/>
      <c r="R658" s="873"/>
      <c r="S658" s="873"/>
      <c r="T658" s="873"/>
      <c r="U658" s="873"/>
      <c r="V658" s="873"/>
      <c r="W658" s="873"/>
      <c r="X658" s="873"/>
      <c r="Y658" s="873"/>
      <c r="Z658" s="873"/>
      <c r="AA658" s="873"/>
      <c r="AB658" s="873"/>
      <c r="AC658" s="873"/>
      <c r="AD658" s="873"/>
      <c r="AE658" s="873"/>
      <c r="AF658" s="873"/>
      <c r="AG658" s="873"/>
      <c r="AH658" s="873"/>
      <c r="AI658" s="873"/>
      <c r="AJ658" s="873"/>
      <c r="AK658" s="873"/>
      <c r="AL658" s="873"/>
      <c r="AM658" s="873"/>
      <c r="AN658" s="873"/>
      <c r="AO658" s="873"/>
      <c r="AP658" s="873"/>
      <c r="AQ658" s="873"/>
      <c r="AR658" s="873"/>
      <c r="AS658" s="873"/>
    </row>
    <row r="659" spans="1:45" ht="12.75" x14ac:dyDescent="0.2">
      <c r="A659" s="873"/>
      <c r="B659" s="873"/>
      <c r="C659" s="873"/>
      <c r="D659" s="873"/>
      <c r="E659" s="873"/>
      <c r="F659" s="873"/>
      <c r="G659" s="873"/>
      <c r="H659" s="873"/>
      <c r="I659" s="873"/>
      <c r="J659" s="873"/>
      <c r="K659" s="873"/>
      <c r="L659" s="873"/>
      <c r="M659" s="873"/>
      <c r="N659" s="873"/>
      <c r="O659" s="873"/>
      <c r="P659" s="873"/>
      <c r="Q659" s="873"/>
      <c r="R659" s="873"/>
      <c r="S659" s="873"/>
      <c r="T659" s="873"/>
      <c r="U659" s="873"/>
      <c r="V659" s="873"/>
      <c r="W659" s="873"/>
      <c r="X659" s="873"/>
      <c r="Y659" s="873"/>
      <c r="Z659" s="873"/>
      <c r="AA659" s="873"/>
      <c r="AB659" s="873"/>
      <c r="AC659" s="873"/>
      <c r="AD659" s="873"/>
      <c r="AE659" s="873"/>
      <c r="AF659" s="873"/>
      <c r="AG659" s="873"/>
      <c r="AH659" s="873"/>
      <c r="AI659" s="873"/>
      <c r="AJ659" s="873"/>
      <c r="AK659" s="873"/>
      <c r="AL659" s="873"/>
      <c r="AM659" s="873"/>
      <c r="AN659" s="873"/>
      <c r="AO659" s="873"/>
      <c r="AP659" s="873"/>
      <c r="AQ659" s="873"/>
      <c r="AR659" s="873"/>
      <c r="AS659" s="873"/>
    </row>
    <row r="660" spans="1:45" ht="12.75" x14ac:dyDescent="0.2">
      <c r="A660" s="873"/>
      <c r="B660" s="873"/>
      <c r="C660" s="873"/>
      <c r="D660" s="873"/>
      <c r="E660" s="873"/>
      <c r="F660" s="873"/>
      <c r="G660" s="873"/>
      <c r="H660" s="873"/>
      <c r="I660" s="873"/>
      <c r="J660" s="873"/>
      <c r="K660" s="873"/>
      <c r="L660" s="873"/>
      <c r="M660" s="873"/>
      <c r="N660" s="873"/>
      <c r="O660" s="873"/>
      <c r="P660" s="873"/>
      <c r="Q660" s="873"/>
      <c r="R660" s="873"/>
      <c r="S660" s="873"/>
      <c r="T660" s="873"/>
      <c r="U660" s="873"/>
      <c r="V660" s="873"/>
      <c r="W660" s="873"/>
      <c r="X660" s="873"/>
      <c r="Y660" s="873"/>
      <c r="Z660" s="873"/>
      <c r="AA660" s="873"/>
      <c r="AB660" s="873"/>
      <c r="AC660" s="873"/>
      <c r="AD660" s="873"/>
      <c r="AE660" s="873"/>
      <c r="AF660" s="873"/>
      <c r="AG660" s="873"/>
      <c r="AH660" s="873"/>
      <c r="AI660" s="873"/>
      <c r="AJ660" s="873"/>
      <c r="AK660" s="873"/>
      <c r="AL660" s="873"/>
      <c r="AM660" s="873"/>
      <c r="AN660" s="873"/>
      <c r="AO660" s="873"/>
      <c r="AP660" s="873"/>
      <c r="AQ660" s="873"/>
      <c r="AR660" s="873"/>
      <c r="AS660" s="873"/>
    </row>
    <row r="661" spans="1:45" ht="12.75" x14ac:dyDescent="0.2">
      <c r="A661" s="873"/>
      <c r="B661" s="873"/>
      <c r="C661" s="873"/>
      <c r="D661" s="873"/>
      <c r="E661" s="873"/>
      <c r="F661" s="873"/>
      <c r="G661" s="873"/>
      <c r="H661" s="873"/>
      <c r="I661" s="873"/>
      <c r="J661" s="873"/>
      <c r="K661" s="873"/>
      <c r="L661" s="873"/>
      <c r="M661" s="873"/>
      <c r="N661" s="873"/>
      <c r="O661" s="873"/>
      <c r="P661" s="873"/>
      <c r="Q661" s="873"/>
      <c r="R661" s="873"/>
      <c r="S661" s="873"/>
      <c r="T661" s="873"/>
      <c r="U661" s="873"/>
      <c r="V661" s="873"/>
      <c r="W661" s="873"/>
      <c r="X661" s="873"/>
      <c r="Y661" s="873"/>
      <c r="Z661" s="873"/>
      <c r="AA661" s="873"/>
      <c r="AB661" s="873"/>
      <c r="AC661" s="873"/>
      <c r="AD661" s="873"/>
      <c r="AE661" s="873"/>
      <c r="AF661" s="873"/>
      <c r="AG661" s="873"/>
      <c r="AH661" s="873"/>
      <c r="AI661" s="873"/>
      <c r="AJ661" s="873"/>
      <c r="AK661" s="873"/>
      <c r="AL661" s="873"/>
      <c r="AM661" s="873"/>
      <c r="AN661" s="873"/>
      <c r="AO661" s="873"/>
      <c r="AP661" s="873"/>
      <c r="AQ661" s="873"/>
      <c r="AR661" s="873"/>
      <c r="AS661" s="873"/>
    </row>
    <row r="662" spans="1:45" ht="12.75" x14ac:dyDescent="0.2">
      <c r="A662" s="873"/>
      <c r="B662" s="873"/>
      <c r="C662" s="873"/>
      <c r="D662" s="873"/>
      <c r="E662" s="873"/>
      <c r="F662" s="873"/>
      <c r="G662" s="873"/>
      <c r="H662" s="873"/>
      <c r="I662" s="873"/>
      <c r="J662" s="873"/>
      <c r="K662" s="873"/>
      <c r="L662" s="873"/>
      <c r="M662" s="873"/>
      <c r="N662" s="873"/>
      <c r="O662" s="873"/>
      <c r="P662" s="873"/>
      <c r="Q662" s="873"/>
      <c r="R662" s="873"/>
      <c r="S662" s="873"/>
      <c r="T662" s="873"/>
      <c r="U662" s="873"/>
      <c r="V662" s="873"/>
      <c r="W662" s="873"/>
      <c r="X662" s="873"/>
      <c r="Y662" s="873"/>
      <c r="Z662" s="873"/>
      <c r="AA662" s="873"/>
      <c r="AB662" s="873"/>
      <c r="AC662" s="873"/>
      <c r="AD662" s="873"/>
      <c r="AE662" s="873"/>
      <c r="AF662" s="873"/>
      <c r="AG662" s="873"/>
      <c r="AH662" s="873"/>
      <c r="AI662" s="873"/>
      <c r="AJ662" s="873"/>
      <c r="AK662" s="873"/>
      <c r="AL662" s="873"/>
      <c r="AM662" s="873"/>
      <c r="AN662" s="873"/>
      <c r="AO662" s="873"/>
      <c r="AP662" s="873"/>
      <c r="AQ662" s="873"/>
      <c r="AR662" s="873"/>
      <c r="AS662" s="873"/>
    </row>
    <row r="663" spans="1:45" ht="12.75" x14ac:dyDescent="0.2">
      <c r="A663" s="873"/>
      <c r="B663" s="873"/>
      <c r="C663" s="873"/>
      <c r="D663" s="873"/>
      <c r="E663" s="873"/>
      <c r="F663" s="873"/>
      <c r="G663" s="873"/>
      <c r="H663" s="873"/>
      <c r="I663" s="873"/>
      <c r="J663" s="873"/>
      <c r="K663" s="873"/>
      <c r="L663" s="873"/>
      <c r="M663" s="873"/>
      <c r="N663" s="873"/>
      <c r="O663" s="873"/>
      <c r="P663" s="873"/>
      <c r="Q663" s="873"/>
      <c r="R663" s="873"/>
      <c r="S663" s="873"/>
      <c r="T663" s="873"/>
      <c r="U663" s="873"/>
      <c r="V663" s="873"/>
      <c r="W663" s="873"/>
      <c r="X663" s="873"/>
      <c r="Y663" s="873"/>
      <c r="Z663" s="873"/>
      <c r="AA663" s="873"/>
      <c r="AB663" s="873"/>
      <c r="AC663" s="873"/>
      <c r="AD663" s="873"/>
      <c r="AE663" s="873"/>
      <c r="AF663" s="873"/>
      <c r="AG663" s="873"/>
      <c r="AH663" s="873"/>
      <c r="AI663" s="873"/>
      <c r="AJ663" s="873"/>
      <c r="AK663" s="873"/>
      <c r="AL663" s="873"/>
      <c r="AM663" s="873"/>
      <c r="AN663" s="873"/>
      <c r="AO663" s="873"/>
      <c r="AP663" s="873"/>
      <c r="AQ663" s="873"/>
      <c r="AR663" s="873"/>
      <c r="AS663" s="873"/>
    </row>
    <row r="664" spans="1:45" ht="12.75" x14ac:dyDescent="0.2">
      <c r="A664" s="873"/>
      <c r="B664" s="873"/>
      <c r="C664" s="873"/>
      <c r="D664" s="873"/>
      <c r="E664" s="873"/>
      <c r="F664" s="873"/>
      <c r="G664" s="873"/>
      <c r="H664" s="873"/>
      <c r="I664" s="873"/>
      <c r="J664" s="873"/>
      <c r="K664" s="873"/>
      <c r="L664" s="873"/>
      <c r="M664" s="873"/>
      <c r="N664" s="873"/>
      <c r="O664" s="873"/>
      <c r="P664" s="873"/>
      <c r="Q664" s="873"/>
      <c r="R664" s="873"/>
      <c r="S664" s="873"/>
      <c r="T664" s="873"/>
      <c r="U664" s="873"/>
      <c r="V664" s="873"/>
      <c r="W664" s="873"/>
      <c r="X664" s="873"/>
      <c r="Y664" s="873"/>
      <c r="Z664" s="873"/>
      <c r="AA664" s="873"/>
      <c r="AB664" s="873"/>
      <c r="AC664" s="873"/>
      <c r="AD664" s="873"/>
      <c r="AE664" s="873"/>
      <c r="AF664" s="873"/>
      <c r="AG664" s="873"/>
      <c r="AH664" s="873"/>
      <c r="AI664" s="873"/>
      <c r="AJ664" s="873"/>
      <c r="AK664" s="873"/>
      <c r="AL664" s="873"/>
      <c r="AM664" s="873"/>
      <c r="AN664" s="873"/>
      <c r="AO664" s="873"/>
      <c r="AP664" s="873"/>
      <c r="AQ664" s="873"/>
      <c r="AR664" s="873"/>
      <c r="AS664" s="873"/>
    </row>
    <row r="665" spans="1:45" ht="12.75" x14ac:dyDescent="0.2">
      <c r="A665" s="873"/>
      <c r="B665" s="873"/>
      <c r="C665" s="873"/>
      <c r="D665" s="873"/>
      <c r="E665" s="873"/>
      <c r="F665" s="873"/>
      <c r="G665" s="873"/>
      <c r="H665" s="873"/>
      <c r="I665" s="873"/>
      <c r="J665" s="873"/>
      <c r="K665" s="873"/>
      <c r="L665" s="873"/>
      <c r="M665" s="873"/>
      <c r="N665" s="873"/>
      <c r="O665" s="873"/>
      <c r="P665" s="873"/>
      <c r="Q665" s="873"/>
      <c r="R665" s="873"/>
      <c r="S665" s="873"/>
      <c r="T665" s="873"/>
      <c r="U665" s="873"/>
      <c r="V665" s="873"/>
      <c r="W665" s="873"/>
      <c r="X665" s="873"/>
      <c r="Y665" s="873"/>
      <c r="Z665" s="873"/>
      <c r="AA665" s="873"/>
      <c r="AB665" s="873"/>
      <c r="AC665" s="873"/>
      <c r="AD665" s="873"/>
      <c r="AE665" s="873"/>
      <c r="AF665" s="873"/>
      <c r="AG665" s="873"/>
      <c r="AH665" s="873"/>
      <c r="AI665" s="873"/>
      <c r="AJ665" s="873"/>
      <c r="AK665" s="873"/>
      <c r="AL665" s="873"/>
      <c r="AM665" s="873"/>
      <c r="AN665" s="873"/>
      <c r="AO665" s="873"/>
      <c r="AP665" s="873"/>
      <c r="AQ665" s="873"/>
      <c r="AR665" s="873"/>
      <c r="AS665" s="873"/>
    </row>
    <row r="666" spans="1:45" ht="12.75" x14ac:dyDescent="0.2">
      <c r="A666" s="873"/>
      <c r="B666" s="873"/>
      <c r="C666" s="873"/>
      <c r="D666" s="873"/>
      <c r="E666" s="873"/>
      <c r="F666" s="873"/>
      <c r="G666" s="873"/>
      <c r="H666" s="873"/>
      <c r="I666" s="873"/>
      <c r="J666" s="873"/>
      <c r="K666" s="873"/>
      <c r="L666" s="873"/>
      <c r="M666" s="873"/>
      <c r="N666" s="873"/>
      <c r="O666" s="873"/>
      <c r="P666" s="873"/>
      <c r="Q666" s="873"/>
      <c r="R666" s="873"/>
      <c r="S666" s="873"/>
      <c r="T666" s="873"/>
      <c r="U666" s="873"/>
      <c r="V666" s="873"/>
      <c r="W666" s="873"/>
      <c r="X666" s="873"/>
      <c r="Y666" s="873"/>
      <c r="Z666" s="873"/>
      <c r="AA666" s="873"/>
      <c r="AB666" s="873"/>
      <c r="AC666" s="873"/>
      <c r="AD666" s="873"/>
      <c r="AE666" s="873"/>
      <c r="AF666" s="873"/>
      <c r="AG666" s="873"/>
      <c r="AH666" s="873"/>
      <c r="AI666" s="873"/>
      <c r="AJ666" s="873"/>
      <c r="AK666" s="873"/>
      <c r="AL666" s="873"/>
      <c r="AM666" s="873"/>
      <c r="AN666" s="873"/>
      <c r="AO666" s="873"/>
      <c r="AP666" s="873"/>
      <c r="AQ666" s="873"/>
      <c r="AR666" s="873"/>
      <c r="AS666" s="873"/>
    </row>
    <row r="667" spans="1:45" ht="12.75" x14ac:dyDescent="0.2">
      <c r="A667" s="873"/>
      <c r="B667" s="873"/>
      <c r="C667" s="873"/>
      <c r="D667" s="873"/>
      <c r="E667" s="873"/>
      <c r="F667" s="873"/>
      <c r="G667" s="873"/>
      <c r="H667" s="873"/>
      <c r="I667" s="873"/>
      <c r="J667" s="873"/>
      <c r="K667" s="873"/>
      <c r="L667" s="873"/>
      <c r="M667" s="873"/>
      <c r="N667" s="873"/>
      <c r="O667" s="873"/>
      <c r="P667" s="873"/>
      <c r="Q667" s="873"/>
      <c r="R667" s="873"/>
      <c r="S667" s="873"/>
      <c r="T667" s="873"/>
      <c r="U667" s="873"/>
      <c r="V667" s="873"/>
      <c r="W667" s="873"/>
      <c r="X667" s="873"/>
      <c r="Y667" s="873"/>
      <c r="Z667" s="873"/>
      <c r="AA667" s="873"/>
      <c r="AB667" s="873"/>
      <c r="AC667" s="873"/>
      <c r="AD667" s="873"/>
      <c r="AE667" s="873"/>
      <c r="AF667" s="873"/>
      <c r="AG667" s="873"/>
      <c r="AH667" s="873"/>
      <c r="AI667" s="873"/>
      <c r="AJ667" s="873"/>
      <c r="AK667" s="873"/>
      <c r="AL667" s="873"/>
      <c r="AM667" s="873"/>
      <c r="AN667" s="873"/>
      <c r="AO667" s="873"/>
      <c r="AP667" s="873"/>
      <c r="AQ667" s="873"/>
      <c r="AR667" s="873"/>
      <c r="AS667" s="873"/>
    </row>
    <row r="668" spans="1:45" ht="12.75" x14ac:dyDescent="0.2">
      <c r="A668" s="873"/>
      <c r="B668" s="873"/>
      <c r="C668" s="873"/>
      <c r="D668" s="873"/>
      <c r="E668" s="873"/>
      <c r="F668" s="873"/>
      <c r="G668" s="873"/>
      <c r="H668" s="873"/>
      <c r="I668" s="873"/>
      <c r="J668" s="873"/>
      <c r="K668" s="873"/>
      <c r="L668" s="873"/>
      <c r="M668" s="873"/>
      <c r="N668" s="873"/>
      <c r="O668" s="873"/>
      <c r="P668" s="873"/>
      <c r="Q668" s="873"/>
      <c r="R668" s="873"/>
      <c r="S668" s="873"/>
      <c r="T668" s="873"/>
      <c r="U668" s="873"/>
      <c r="V668" s="873"/>
      <c r="W668" s="873"/>
      <c r="X668" s="873"/>
      <c r="Y668" s="873"/>
      <c r="Z668" s="873"/>
      <c r="AA668" s="873"/>
      <c r="AB668" s="873"/>
      <c r="AC668" s="873"/>
      <c r="AD668" s="873"/>
      <c r="AE668" s="873"/>
      <c r="AF668" s="873"/>
      <c r="AG668" s="873"/>
      <c r="AH668" s="873"/>
      <c r="AI668" s="873"/>
      <c r="AJ668" s="873"/>
      <c r="AK668" s="873"/>
      <c r="AL668" s="873"/>
      <c r="AM668" s="873"/>
      <c r="AN668" s="873"/>
      <c r="AO668" s="873"/>
      <c r="AP668" s="873"/>
      <c r="AQ668" s="873"/>
      <c r="AR668" s="873"/>
      <c r="AS668" s="873"/>
    </row>
    <row r="669" spans="1:45" ht="12.75" x14ac:dyDescent="0.2">
      <c r="A669" s="873"/>
      <c r="B669" s="873"/>
      <c r="C669" s="873"/>
      <c r="D669" s="873"/>
      <c r="E669" s="873"/>
      <c r="F669" s="873"/>
      <c r="G669" s="873"/>
      <c r="H669" s="873"/>
      <c r="I669" s="873"/>
      <c r="J669" s="873"/>
      <c r="K669" s="873"/>
      <c r="L669" s="873"/>
      <c r="M669" s="873"/>
      <c r="N669" s="873"/>
      <c r="O669" s="873"/>
      <c r="P669" s="873"/>
      <c r="Q669" s="873"/>
      <c r="R669" s="873"/>
      <c r="S669" s="873"/>
      <c r="T669" s="873"/>
      <c r="U669" s="873"/>
      <c r="V669" s="873"/>
      <c r="W669" s="873"/>
      <c r="X669" s="873"/>
      <c r="Y669" s="873"/>
      <c r="Z669" s="873"/>
      <c r="AA669" s="873"/>
      <c r="AB669" s="873"/>
      <c r="AC669" s="873"/>
      <c r="AD669" s="873"/>
      <c r="AE669" s="873"/>
      <c r="AF669" s="873"/>
      <c r="AG669" s="873"/>
      <c r="AH669" s="873"/>
      <c r="AI669" s="873"/>
      <c r="AJ669" s="873"/>
      <c r="AK669" s="873"/>
      <c r="AL669" s="873"/>
      <c r="AM669" s="873"/>
      <c r="AN669" s="873"/>
      <c r="AO669" s="873"/>
      <c r="AP669" s="873"/>
      <c r="AQ669" s="873"/>
      <c r="AR669" s="873"/>
      <c r="AS669" s="873"/>
    </row>
    <row r="670" spans="1:45" ht="12.75" x14ac:dyDescent="0.2">
      <c r="A670" s="873"/>
      <c r="B670" s="873"/>
      <c r="C670" s="873"/>
      <c r="D670" s="873"/>
      <c r="E670" s="873"/>
      <c r="F670" s="873"/>
      <c r="G670" s="873"/>
      <c r="H670" s="873"/>
      <c r="I670" s="873"/>
      <c r="J670" s="873"/>
      <c r="K670" s="873"/>
      <c r="L670" s="873"/>
      <c r="M670" s="873"/>
      <c r="N670" s="873"/>
      <c r="O670" s="873"/>
      <c r="P670" s="873"/>
      <c r="Q670" s="873"/>
      <c r="R670" s="873"/>
      <c r="S670" s="873"/>
      <c r="T670" s="873"/>
      <c r="U670" s="873"/>
      <c r="V670" s="873"/>
      <c r="W670" s="873"/>
      <c r="X670" s="873"/>
      <c r="Y670" s="873"/>
      <c r="Z670" s="873"/>
      <c r="AA670" s="873"/>
      <c r="AB670" s="873"/>
      <c r="AC670" s="873"/>
      <c r="AD670" s="873"/>
      <c r="AE670" s="873"/>
      <c r="AF670" s="873"/>
      <c r="AG670" s="873"/>
      <c r="AH670" s="873"/>
      <c r="AI670" s="873"/>
      <c r="AJ670" s="873"/>
      <c r="AK670" s="873"/>
      <c r="AL670" s="873"/>
      <c r="AM670" s="873"/>
      <c r="AN670" s="873"/>
      <c r="AO670" s="873"/>
      <c r="AP670" s="873"/>
      <c r="AQ670" s="873"/>
      <c r="AR670" s="873"/>
      <c r="AS670" s="873"/>
    </row>
    <row r="671" spans="1:45" ht="12.75" x14ac:dyDescent="0.2">
      <c r="A671" s="873"/>
      <c r="B671" s="873"/>
      <c r="C671" s="873"/>
      <c r="D671" s="873"/>
      <c r="E671" s="873"/>
      <c r="F671" s="873"/>
      <c r="G671" s="873"/>
      <c r="H671" s="873"/>
      <c r="I671" s="873"/>
      <c r="J671" s="873"/>
      <c r="K671" s="873"/>
      <c r="L671" s="873"/>
      <c r="M671" s="873"/>
      <c r="N671" s="873"/>
      <c r="O671" s="873"/>
      <c r="P671" s="873"/>
      <c r="Q671" s="873"/>
      <c r="R671" s="873"/>
      <c r="S671" s="873"/>
      <c r="T671" s="873"/>
      <c r="U671" s="873"/>
      <c r="V671" s="873"/>
      <c r="W671" s="873"/>
      <c r="X671" s="873"/>
      <c r="Y671" s="873"/>
      <c r="Z671" s="873"/>
      <c r="AA671" s="873"/>
      <c r="AB671" s="873"/>
      <c r="AC671" s="873"/>
      <c r="AD671" s="873"/>
      <c r="AE671" s="873"/>
      <c r="AF671" s="873"/>
      <c r="AG671" s="873"/>
      <c r="AH671" s="873"/>
      <c r="AI671" s="873"/>
      <c r="AJ671" s="873"/>
      <c r="AK671" s="873"/>
      <c r="AL671" s="873"/>
      <c r="AM671" s="873"/>
      <c r="AN671" s="873"/>
      <c r="AO671" s="873"/>
      <c r="AP671" s="873"/>
      <c r="AQ671" s="873"/>
      <c r="AR671" s="873"/>
      <c r="AS671" s="873"/>
    </row>
    <row r="672" spans="1:45" ht="12.75" x14ac:dyDescent="0.2">
      <c r="A672" s="873"/>
      <c r="B672" s="873"/>
      <c r="C672" s="873"/>
      <c r="D672" s="873"/>
      <c r="E672" s="873"/>
      <c r="F672" s="873"/>
      <c r="G672" s="873"/>
      <c r="H672" s="873"/>
      <c r="I672" s="873"/>
      <c r="J672" s="873"/>
      <c r="K672" s="873"/>
      <c r="L672" s="873"/>
      <c r="M672" s="873"/>
      <c r="N672" s="873"/>
      <c r="O672" s="873"/>
      <c r="P672" s="873"/>
      <c r="Q672" s="873"/>
      <c r="R672" s="873"/>
      <c r="S672" s="873"/>
      <c r="T672" s="873"/>
      <c r="U672" s="873"/>
      <c r="V672" s="873"/>
      <c r="W672" s="873"/>
      <c r="X672" s="873"/>
      <c r="Y672" s="873"/>
      <c r="Z672" s="873"/>
      <c r="AA672" s="873"/>
      <c r="AB672" s="873"/>
      <c r="AC672" s="873"/>
      <c r="AD672" s="873"/>
      <c r="AE672" s="873"/>
      <c r="AF672" s="873"/>
      <c r="AG672" s="873"/>
      <c r="AH672" s="873"/>
      <c r="AI672" s="873"/>
      <c r="AJ672" s="873"/>
      <c r="AK672" s="873"/>
      <c r="AL672" s="873"/>
      <c r="AM672" s="873"/>
      <c r="AN672" s="873"/>
      <c r="AO672" s="873"/>
      <c r="AP672" s="873"/>
      <c r="AQ672" s="873"/>
      <c r="AR672" s="873"/>
      <c r="AS672" s="873"/>
    </row>
    <row r="673" spans="1:45" ht="12.75" x14ac:dyDescent="0.2">
      <c r="A673" s="873"/>
      <c r="B673" s="873"/>
      <c r="C673" s="873"/>
      <c r="D673" s="873"/>
      <c r="E673" s="873"/>
      <c r="F673" s="873"/>
      <c r="G673" s="873"/>
      <c r="H673" s="873"/>
      <c r="I673" s="873"/>
      <c r="J673" s="873"/>
      <c r="K673" s="873"/>
      <c r="L673" s="873"/>
      <c r="M673" s="873"/>
      <c r="N673" s="873"/>
      <c r="O673" s="873"/>
      <c r="P673" s="873"/>
      <c r="Q673" s="873"/>
      <c r="R673" s="873"/>
      <c r="S673" s="873"/>
      <c r="T673" s="873"/>
      <c r="U673" s="873"/>
      <c r="V673" s="873"/>
      <c r="W673" s="873"/>
      <c r="X673" s="873"/>
      <c r="Y673" s="873"/>
      <c r="Z673" s="873"/>
      <c r="AA673" s="873"/>
      <c r="AB673" s="873"/>
      <c r="AC673" s="873"/>
      <c r="AD673" s="873"/>
      <c r="AE673" s="873"/>
      <c r="AF673" s="873"/>
      <c r="AG673" s="873"/>
      <c r="AH673" s="873"/>
      <c r="AI673" s="873"/>
      <c r="AJ673" s="873"/>
      <c r="AK673" s="873"/>
      <c r="AL673" s="873"/>
      <c r="AM673" s="873"/>
      <c r="AN673" s="873"/>
      <c r="AO673" s="873"/>
      <c r="AP673" s="873"/>
      <c r="AQ673" s="873"/>
      <c r="AR673" s="873"/>
      <c r="AS673" s="873"/>
    </row>
    <row r="674" spans="1:45" ht="12.75" x14ac:dyDescent="0.2">
      <c r="A674" s="873"/>
      <c r="B674" s="873"/>
      <c r="C674" s="873"/>
      <c r="D674" s="873"/>
      <c r="E674" s="873"/>
      <c r="F674" s="873"/>
      <c r="G674" s="873"/>
      <c r="H674" s="873"/>
      <c r="I674" s="873"/>
      <c r="J674" s="873"/>
      <c r="K674" s="873"/>
      <c r="L674" s="873"/>
      <c r="M674" s="873"/>
      <c r="N674" s="873"/>
      <c r="O674" s="873"/>
      <c r="P674" s="873"/>
      <c r="Q674" s="873"/>
      <c r="R674" s="873"/>
      <c r="S674" s="873"/>
      <c r="T674" s="873"/>
      <c r="U674" s="873"/>
      <c r="V674" s="873"/>
      <c r="W674" s="873"/>
      <c r="X674" s="873"/>
      <c r="Y674" s="873"/>
      <c r="Z674" s="873"/>
      <c r="AA674" s="873"/>
      <c r="AB674" s="873"/>
      <c r="AC674" s="873"/>
      <c r="AD674" s="873"/>
      <c r="AE674" s="873"/>
      <c r="AF674" s="873"/>
      <c r="AG674" s="873"/>
      <c r="AH674" s="873"/>
      <c r="AI674" s="873"/>
      <c r="AJ674" s="873"/>
      <c r="AK674" s="873"/>
      <c r="AL674" s="873"/>
      <c r="AM674" s="873"/>
      <c r="AN674" s="873"/>
      <c r="AO674" s="873"/>
      <c r="AP674" s="873"/>
      <c r="AQ674" s="873"/>
      <c r="AR674" s="873"/>
      <c r="AS674" s="873"/>
    </row>
    <row r="675" spans="1:45" ht="12.75" x14ac:dyDescent="0.2">
      <c r="A675" s="873"/>
      <c r="B675" s="873"/>
      <c r="C675" s="873"/>
      <c r="D675" s="873"/>
      <c r="E675" s="873"/>
      <c r="F675" s="873"/>
      <c r="G675" s="873"/>
      <c r="H675" s="873"/>
      <c r="I675" s="873"/>
      <c r="J675" s="873"/>
      <c r="K675" s="873"/>
      <c r="L675" s="873"/>
      <c r="M675" s="873"/>
      <c r="N675" s="873"/>
      <c r="O675" s="873"/>
      <c r="P675" s="873"/>
      <c r="Q675" s="873"/>
      <c r="R675" s="873"/>
      <c r="S675" s="873"/>
      <c r="T675" s="873"/>
      <c r="U675" s="873"/>
      <c r="V675" s="873"/>
      <c r="W675" s="873"/>
      <c r="X675" s="873"/>
      <c r="Y675" s="873"/>
      <c r="Z675" s="873"/>
      <c r="AA675" s="873"/>
      <c r="AB675" s="873"/>
      <c r="AC675" s="873"/>
      <c r="AD675" s="873"/>
      <c r="AE675" s="873"/>
      <c r="AF675" s="873"/>
      <c r="AG675" s="873"/>
      <c r="AH675" s="873"/>
      <c r="AI675" s="873"/>
      <c r="AJ675" s="873"/>
      <c r="AK675" s="873"/>
      <c r="AL675" s="873"/>
      <c r="AM675" s="873"/>
      <c r="AN675" s="873"/>
      <c r="AO675" s="873"/>
      <c r="AP675" s="873"/>
      <c r="AQ675" s="873"/>
      <c r="AR675" s="873"/>
      <c r="AS675" s="873"/>
    </row>
    <row r="676" spans="1:45" ht="12.75" x14ac:dyDescent="0.2">
      <c r="A676" s="873"/>
      <c r="B676" s="873"/>
      <c r="C676" s="873"/>
      <c r="D676" s="873"/>
      <c r="E676" s="873"/>
      <c r="F676" s="873"/>
      <c r="G676" s="873"/>
      <c r="H676" s="873"/>
      <c r="I676" s="873"/>
      <c r="J676" s="873"/>
      <c r="K676" s="873"/>
      <c r="L676" s="873"/>
      <c r="M676" s="873"/>
      <c r="N676" s="873"/>
      <c r="O676" s="873"/>
      <c r="P676" s="873"/>
      <c r="Q676" s="873"/>
      <c r="R676" s="873"/>
      <c r="S676" s="873"/>
      <c r="T676" s="873"/>
      <c r="U676" s="873"/>
      <c r="V676" s="873"/>
      <c r="W676" s="873"/>
      <c r="X676" s="873"/>
      <c r="Y676" s="873"/>
      <c r="Z676" s="873"/>
      <c r="AA676" s="873"/>
      <c r="AB676" s="873"/>
      <c r="AC676" s="873"/>
      <c r="AD676" s="873"/>
      <c r="AE676" s="873"/>
      <c r="AF676" s="873"/>
      <c r="AG676" s="873"/>
      <c r="AH676" s="873"/>
      <c r="AI676" s="873"/>
      <c r="AJ676" s="873"/>
      <c r="AK676" s="873"/>
      <c r="AL676" s="873"/>
      <c r="AM676" s="873"/>
      <c r="AN676" s="873"/>
      <c r="AO676" s="873"/>
      <c r="AP676" s="873"/>
      <c r="AQ676" s="873"/>
      <c r="AR676" s="873"/>
      <c r="AS676" s="873"/>
    </row>
    <row r="677" spans="1:45" ht="12.75" x14ac:dyDescent="0.2">
      <c r="A677" s="873"/>
      <c r="B677" s="873"/>
      <c r="C677" s="873"/>
      <c r="D677" s="873"/>
      <c r="E677" s="873"/>
      <c r="F677" s="873"/>
      <c r="G677" s="873"/>
      <c r="H677" s="873"/>
      <c r="I677" s="873"/>
      <c r="J677" s="873"/>
      <c r="K677" s="873"/>
      <c r="L677" s="873"/>
      <c r="M677" s="873"/>
      <c r="N677" s="873"/>
      <c r="O677" s="873"/>
      <c r="P677" s="873"/>
      <c r="Q677" s="873"/>
      <c r="R677" s="873"/>
      <c r="S677" s="873"/>
      <c r="T677" s="873"/>
      <c r="U677" s="873"/>
      <c r="V677" s="873"/>
      <c r="W677" s="873"/>
      <c r="X677" s="873"/>
      <c r="Y677" s="873"/>
      <c r="Z677" s="873"/>
      <c r="AA677" s="873"/>
      <c r="AB677" s="873"/>
      <c r="AC677" s="873"/>
      <c r="AD677" s="873"/>
      <c r="AE677" s="873"/>
      <c r="AF677" s="873"/>
      <c r="AG677" s="873"/>
      <c r="AH677" s="873"/>
      <c r="AI677" s="873"/>
      <c r="AJ677" s="873"/>
      <c r="AK677" s="873"/>
      <c r="AL677" s="873"/>
      <c r="AM677" s="873"/>
      <c r="AN677" s="873"/>
      <c r="AO677" s="873"/>
      <c r="AP677" s="873"/>
      <c r="AQ677" s="873"/>
      <c r="AR677" s="873"/>
      <c r="AS677" s="873"/>
    </row>
    <row r="678" spans="1:45" ht="12.75" x14ac:dyDescent="0.2">
      <c r="A678" s="873"/>
      <c r="B678" s="873"/>
      <c r="C678" s="873"/>
      <c r="D678" s="873"/>
      <c r="E678" s="873"/>
      <c r="F678" s="873"/>
      <c r="G678" s="873"/>
      <c r="H678" s="873"/>
      <c r="I678" s="873"/>
      <c r="J678" s="873"/>
      <c r="K678" s="873"/>
      <c r="L678" s="873"/>
      <c r="M678" s="873"/>
      <c r="N678" s="873"/>
      <c r="O678" s="873"/>
      <c r="P678" s="873"/>
      <c r="Q678" s="873"/>
      <c r="R678" s="873"/>
      <c r="S678" s="873"/>
      <c r="T678" s="873"/>
      <c r="U678" s="873"/>
      <c r="V678" s="873"/>
      <c r="W678" s="873"/>
      <c r="X678" s="873"/>
      <c r="Y678" s="873"/>
      <c r="Z678" s="873"/>
      <c r="AA678" s="873"/>
      <c r="AB678" s="873"/>
      <c r="AC678" s="873"/>
      <c r="AD678" s="873"/>
      <c r="AE678" s="873"/>
      <c r="AF678" s="873"/>
      <c r="AG678" s="873"/>
      <c r="AH678" s="873"/>
      <c r="AI678" s="873"/>
      <c r="AJ678" s="873"/>
      <c r="AK678" s="873"/>
      <c r="AL678" s="873"/>
      <c r="AM678" s="873"/>
      <c r="AN678" s="873"/>
      <c r="AO678" s="873"/>
      <c r="AP678" s="873"/>
      <c r="AQ678" s="873"/>
      <c r="AR678" s="873"/>
      <c r="AS678" s="873"/>
    </row>
    <row r="679" spans="1:45" ht="12.75" x14ac:dyDescent="0.2">
      <c r="A679" s="873"/>
      <c r="B679" s="873"/>
      <c r="C679" s="873"/>
      <c r="D679" s="873"/>
      <c r="E679" s="873"/>
      <c r="F679" s="873"/>
      <c r="G679" s="873"/>
      <c r="H679" s="873"/>
      <c r="I679" s="873"/>
      <c r="J679" s="873"/>
      <c r="K679" s="873"/>
      <c r="L679" s="873"/>
      <c r="M679" s="873"/>
      <c r="N679" s="873"/>
      <c r="O679" s="873"/>
      <c r="P679" s="873"/>
      <c r="Q679" s="873"/>
      <c r="R679" s="873"/>
      <c r="S679" s="873"/>
      <c r="T679" s="873"/>
      <c r="U679" s="873"/>
      <c r="V679" s="873"/>
      <c r="W679" s="873"/>
      <c r="X679" s="873"/>
      <c r="Y679" s="873"/>
      <c r="Z679" s="873"/>
      <c r="AA679" s="873"/>
      <c r="AB679" s="873"/>
      <c r="AC679" s="873"/>
      <c r="AD679" s="873"/>
      <c r="AE679" s="873"/>
      <c r="AF679" s="873"/>
      <c r="AG679" s="873"/>
      <c r="AH679" s="873"/>
      <c r="AI679" s="873"/>
      <c r="AJ679" s="873"/>
      <c r="AK679" s="873"/>
      <c r="AL679" s="873"/>
      <c r="AM679" s="873"/>
      <c r="AN679" s="873"/>
      <c r="AO679" s="873"/>
      <c r="AP679" s="873"/>
      <c r="AQ679" s="873"/>
      <c r="AR679" s="873"/>
      <c r="AS679" s="873"/>
    </row>
    <row r="680" spans="1:45" ht="12.75" x14ac:dyDescent="0.2">
      <c r="A680" s="873"/>
      <c r="B680" s="873"/>
      <c r="C680" s="873"/>
      <c r="D680" s="873"/>
      <c r="E680" s="873"/>
      <c r="F680" s="873"/>
      <c r="G680" s="873"/>
      <c r="H680" s="873"/>
      <c r="I680" s="873"/>
      <c r="J680" s="873"/>
      <c r="K680" s="873"/>
      <c r="L680" s="873"/>
      <c r="M680" s="873"/>
      <c r="N680" s="873"/>
      <c r="O680" s="873"/>
      <c r="P680" s="873"/>
      <c r="Q680" s="873"/>
      <c r="R680" s="873"/>
      <c r="S680" s="873"/>
      <c r="T680" s="873"/>
      <c r="U680" s="873"/>
      <c r="V680" s="873"/>
      <c r="W680" s="873"/>
      <c r="X680" s="873"/>
      <c r="Y680" s="873"/>
      <c r="Z680" s="873"/>
      <c r="AA680" s="873"/>
      <c r="AB680" s="873"/>
      <c r="AC680" s="873"/>
      <c r="AD680" s="873"/>
      <c r="AE680" s="873"/>
      <c r="AF680" s="873"/>
      <c r="AG680" s="873"/>
      <c r="AH680" s="873"/>
      <c r="AI680" s="873"/>
      <c r="AJ680" s="873"/>
      <c r="AK680" s="873"/>
      <c r="AL680" s="873"/>
      <c r="AM680" s="873"/>
      <c r="AN680" s="873"/>
      <c r="AO680" s="873"/>
      <c r="AP680" s="873"/>
      <c r="AQ680" s="873"/>
      <c r="AR680" s="873"/>
      <c r="AS680" s="873"/>
    </row>
    <row r="681" spans="1:45" ht="12.75" x14ac:dyDescent="0.2">
      <c r="A681" s="873"/>
      <c r="B681" s="873"/>
      <c r="C681" s="873"/>
      <c r="D681" s="873"/>
      <c r="E681" s="873"/>
      <c r="F681" s="873"/>
      <c r="G681" s="873"/>
      <c r="H681" s="873"/>
      <c r="I681" s="873"/>
      <c r="J681" s="873"/>
      <c r="K681" s="873"/>
      <c r="L681" s="873"/>
      <c r="M681" s="873"/>
      <c r="N681" s="873"/>
      <c r="O681" s="873"/>
      <c r="P681" s="873"/>
      <c r="Q681" s="873"/>
      <c r="R681" s="873"/>
      <c r="S681" s="873"/>
      <c r="T681" s="873"/>
      <c r="U681" s="873"/>
      <c r="V681" s="873"/>
      <c r="W681" s="873"/>
      <c r="X681" s="873"/>
      <c r="Y681" s="873"/>
      <c r="Z681" s="873"/>
      <c r="AA681" s="873"/>
      <c r="AB681" s="873"/>
      <c r="AC681" s="873"/>
      <c r="AD681" s="873"/>
      <c r="AE681" s="873"/>
      <c r="AF681" s="873"/>
      <c r="AG681" s="873"/>
      <c r="AH681" s="873"/>
      <c r="AI681" s="873"/>
      <c r="AJ681" s="873"/>
      <c r="AK681" s="873"/>
      <c r="AL681" s="873"/>
      <c r="AM681" s="873"/>
      <c r="AN681" s="873"/>
      <c r="AO681" s="873"/>
      <c r="AP681" s="873"/>
      <c r="AQ681" s="873"/>
      <c r="AR681" s="873"/>
      <c r="AS681" s="873"/>
    </row>
    <row r="682" spans="1:45" ht="12.75" x14ac:dyDescent="0.2">
      <c r="A682" s="873"/>
      <c r="B682" s="873"/>
      <c r="C682" s="873"/>
      <c r="D682" s="873"/>
      <c r="E682" s="873"/>
      <c r="F682" s="873"/>
      <c r="G682" s="873"/>
      <c r="H682" s="873"/>
      <c r="I682" s="873"/>
      <c r="J682" s="873"/>
      <c r="K682" s="873"/>
      <c r="L682" s="873"/>
      <c r="M682" s="873"/>
      <c r="N682" s="873"/>
      <c r="O682" s="873"/>
      <c r="P682" s="873"/>
      <c r="Q682" s="873"/>
      <c r="R682" s="873"/>
      <c r="S682" s="873"/>
      <c r="T682" s="873"/>
      <c r="U682" s="873"/>
      <c r="V682" s="873"/>
      <c r="W682" s="873"/>
      <c r="X682" s="873"/>
      <c r="Y682" s="873"/>
      <c r="Z682" s="873"/>
      <c r="AA682" s="873"/>
      <c r="AB682" s="873"/>
      <c r="AC682" s="873"/>
      <c r="AD682" s="873"/>
      <c r="AE682" s="873"/>
      <c r="AF682" s="873"/>
      <c r="AG682" s="873"/>
      <c r="AH682" s="873"/>
      <c r="AI682" s="873"/>
      <c r="AJ682" s="873"/>
      <c r="AK682" s="873"/>
      <c r="AL682" s="873"/>
      <c r="AM682" s="873"/>
      <c r="AN682" s="873"/>
      <c r="AO682" s="873"/>
      <c r="AP682" s="873"/>
      <c r="AQ682" s="873"/>
      <c r="AR682" s="873"/>
      <c r="AS682" s="873"/>
    </row>
    <row r="683" spans="1:45" ht="12.75" x14ac:dyDescent="0.2">
      <c r="A683" s="873"/>
      <c r="B683" s="873"/>
      <c r="C683" s="873"/>
      <c r="D683" s="873"/>
      <c r="E683" s="873"/>
      <c r="F683" s="873"/>
      <c r="G683" s="873"/>
      <c r="H683" s="873"/>
      <c r="I683" s="873"/>
      <c r="J683" s="873"/>
      <c r="K683" s="873"/>
      <c r="L683" s="873"/>
      <c r="M683" s="873"/>
      <c r="N683" s="873"/>
      <c r="O683" s="873"/>
      <c r="P683" s="873"/>
      <c r="Q683" s="873"/>
      <c r="R683" s="873"/>
      <c r="S683" s="873"/>
      <c r="T683" s="873"/>
      <c r="U683" s="873"/>
      <c r="V683" s="873"/>
      <c r="W683" s="873"/>
      <c r="X683" s="873"/>
      <c r="Y683" s="873"/>
      <c r="Z683" s="873"/>
      <c r="AA683" s="873"/>
      <c r="AB683" s="873"/>
      <c r="AC683" s="873"/>
      <c r="AD683" s="873"/>
      <c r="AE683" s="873"/>
      <c r="AF683" s="873"/>
      <c r="AG683" s="873"/>
      <c r="AH683" s="873"/>
      <c r="AI683" s="873"/>
      <c r="AJ683" s="873"/>
      <c r="AK683" s="873"/>
      <c r="AL683" s="873"/>
      <c r="AM683" s="873"/>
      <c r="AN683" s="873"/>
      <c r="AO683" s="873"/>
      <c r="AP683" s="873"/>
      <c r="AQ683" s="873"/>
      <c r="AR683" s="873"/>
      <c r="AS683" s="873"/>
    </row>
    <row r="684" spans="1:45" ht="12.75" x14ac:dyDescent="0.2">
      <c r="A684" s="873"/>
      <c r="B684" s="873"/>
      <c r="C684" s="873"/>
      <c r="D684" s="873"/>
      <c r="E684" s="873"/>
      <c r="F684" s="873"/>
      <c r="G684" s="873"/>
      <c r="H684" s="873"/>
      <c r="I684" s="873"/>
      <c r="J684" s="873"/>
      <c r="K684" s="873"/>
      <c r="L684" s="873"/>
      <c r="M684" s="873"/>
      <c r="N684" s="873"/>
      <c r="O684" s="873"/>
      <c r="P684" s="873"/>
      <c r="Q684" s="873"/>
      <c r="R684" s="873"/>
      <c r="S684" s="873"/>
      <c r="T684" s="873"/>
      <c r="U684" s="873"/>
      <c r="V684" s="873"/>
      <c r="W684" s="873"/>
      <c r="X684" s="873"/>
      <c r="Y684" s="873"/>
      <c r="Z684" s="873"/>
      <c r="AA684" s="873"/>
      <c r="AB684" s="873"/>
      <c r="AC684" s="873"/>
      <c r="AD684" s="873"/>
      <c r="AE684" s="873"/>
      <c r="AF684" s="873"/>
      <c r="AG684" s="873"/>
      <c r="AH684" s="873"/>
      <c r="AI684" s="873"/>
      <c r="AJ684" s="873"/>
      <c r="AK684" s="873"/>
      <c r="AL684" s="873"/>
      <c r="AM684" s="873"/>
      <c r="AN684" s="873"/>
      <c r="AO684" s="873"/>
      <c r="AP684" s="873"/>
      <c r="AQ684" s="873"/>
      <c r="AR684" s="873"/>
      <c r="AS684" s="873"/>
    </row>
    <row r="685" spans="1:45" ht="12.75" x14ac:dyDescent="0.2">
      <c r="A685" s="873"/>
      <c r="B685" s="873"/>
      <c r="C685" s="873"/>
      <c r="D685" s="873"/>
      <c r="E685" s="873"/>
      <c r="F685" s="873"/>
      <c r="G685" s="873"/>
      <c r="H685" s="873"/>
      <c r="I685" s="873"/>
      <c r="J685" s="873"/>
      <c r="K685" s="873"/>
      <c r="L685" s="873"/>
      <c r="M685" s="873"/>
      <c r="N685" s="873"/>
      <c r="O685" s="873"/>
      <c r="P685" s="873"/>
      <c r="Q685" s="873"/>
      <c r="R685" s="873"/>
      <c r="S685" s="873"/>
      <c r="T685" s="873"/>
      <c r="U685" s="873"/>
      <c r="V685" s="873"/>
      <c r="W685" s="873"/>
      <c r="X685" s="873"/>
      <c r="Y685" s="873"/>
      <c r="Z685" s="873"/>
      <c r="AA685" s="873"/>
      <c r="AB685" s="873"/>
      <c r="AC685" s="873"/>
      <c r="AD685" s="873"/>
      <c r="AE685" s="873"/>
      <c r="AF685" s="873"/>
      <c r="AG685" s="873"/>
      <c r="AH685" s="873"/>
      <c r="AI685" s="873"/>
      <c r="AJ685" s="873"/>
      <c r="AK685" s="873"/>
      <c r="AL685" s="873"/>
      <c r="AM685" s="873"/>
      <c r="AN685" s="873"/>
      <c r="AO685" s="873"/>
      <c r="AP685" s="873"/>
      <c r="AQ685" s="873"/>
      <c r="AR685" s="873"/>
      <c r="AS685" s="873"/>
    </row>
    <row r="686" spans="1:45" ht="12.75" x14ac:dyDescent="0.2">
      <c r="A686" s="873"/>
      <c r="B686" s="873"/>
      <c r="C686" s="873"/>
      <c r="D686" s="873"/>
      <c r="E686" s="873"/>
      <c r="F686" s="873"/>
      <c r="G686" s="873"/>
      <c r="H686" s="873"/>
      <c r="I686" s="873"/>
      <c r="J686" s="873"/>
      <c r="K686" s="873"/>
      <c r="L686" s="873"/>
      <c r="M686" s="873"/>
      <c r="N686" s="873"/>
      <c r="O686" s="873"/>
      <c r="P686" s="873"/>
      <c r="Q686" s="873"/>
      <c r="R686" s="873"/>
      <c r="S686" s="873"/>
      <c r="T686" s="873"/>
      <c r="U686" s="873"/>
      <c r="V686" s="873"/>
      <c r="W686" s="873"/>
      <c r="X686" s="873"/>
      <c r="Y686" s="873"/>
      <c r="Z686" s="873"/>
      <c r="AA686" s="873"/>
      <c r="AB686" s="873"/>
      <c r="AC686" s="873"/>
      <c r="AD686" s="873"/>
      <c r="AE686" s="873"/>
      <c r="AF686" s="873"/>
      <c r="AG686" s="873"/>
      <c r="AH686" s="873"/>
      <c r="AI686" s="873"/>
      <c r="AJ686" s="873"/>
      <c r="AK686" s="873"/>
      <c r="AL686" s="873"/>
      <c r="AM686" s="873"/>
      <c r="AN686" s="873"/>
      <c r="AO686" s="873"/>
      <c r="AP686" s="873"/>
      <c r="AQ686" s="873"/>
      <c r="AR686" s="873"/>
      <c r="AS686" s="873"/>
    </row>
    <row r="687" spans="1:45" ht="12.75" x14ac:dyDescent="0.2">
      <c r="A687" s="873"/>
      <c r="B687" s="873"/>
      <c r="C687" s="873"/>
      <c r="D687" s="873"/>
      <c r="E687" s="873"/>
      <c r="F687" s="873"/>
      <c r="G687" s="873"/>
      <c r="H687" s="873"/>
      <c r="I687" s="873"/>
      <c r="J687" s="873"/>
      <c r="K687" s="873"/>
      <c r="L687" s="873"/>
      <c r="M687" s="873"/>
      <c r="N687" s="873"/>
      <c r="O687" s="873"/>
      <c r="P687" s="873"/>
      <c r="Q687" s="873"/>
      <c r="R687" s="873"/>
      <c r="S687" s="873"/>
      <c r="T687" s="873"/>
      <c r="U687" s="873"/>
      <c r="V687" s="873"/>
      <c r="W687" s="873"/>
      <c r="X687" s="873"/>
      <c r="Y687" s="873"/>
      <c r="Z687" s="873"/>
      <c r="AA687" s="873"/>
      <c r="AB687" s="873"/>
      <c r="AC687" s="873"/>
      <c r="AD687" s="873"/>
      <c r="AE687" s="873"/>
      <c r="AF687" s="873"/>
      <c r="AG687" s="873"/>
      <c r="AH687" s="873"/>
      <c r="AI687" s="873"/>
      <c r="AJ687" s="873"/>
      <c r="AK687" s="873"/>
      <c r="AL687" s="873"/>
      <c r="AM687" s="873"/>
      <c r="AN687" s="873"/>
      <c r="AO687" s="873"/>
      <c r="AP687" s="873"/>
      <c r="AQ687" s="873"/>
      <c r="AR687" s="873"/>
      <c r="AS687" s="873"/>
    </row>
    <row r="688" spans="1:45" ht="12.75" x14ac:dyDescent="0.2">
      <c r="A688" s="873"/>
      <c r="B688" s="873"/>
      <c r="C688" s="873"/>
      <c r="D688" s="873"/>
      <c r="E688" s="873"/>
      <c r="F688" s="873"/>
      <c r="G688" s="873"/>
      <c r="H688" s="873"/>
      <c r="I688" s="873"/>
      <c r="J688" s="873"/>
      <c r="K688" s="873"/>
      <c r="L688" s="873"/>
      <c r="M688" s="873"/>
      <c r="N688" s="873"/>
      <c r="O688" s="873"/>
      <c r="P688" s="873"/>
      <c r="Q688" s="873"/>
      <c r="R688" s="873"/>
      <c r="S688" s="873"/>
      <c r="T688" s="873"/>
      <c r="U688" s="873"/>
      <c r="V688" s="873"/>
      <c r="W688" s="873"/>
      <c r="X688" s="873"/>
      <c r="Y688" s="873"/>
      <c r="Z688" s="873"/>
      <c r="AA688" s="873"/>
      <c r="AB688" s="873"/>
      <c r="AC688" s="873"/>
      <c r="AD688" s="873"/>
      <c r="AE688" s="873"/>
      <c r="AF688" s="873"/>
      <c r="AG688" s="873"/>
      <c r="AH688" s="873"/>
      <c r="AI688" s="873"/>
      <c r="AJ688" s="873"/>
      <c r="AK688" s="873"/>
      <c r="AL688" s="873"/>
      <c r="AM688" s="873"/>
      <c r="AN688" s="873"/>
      <c r="AO688" s="873"/>
      <c r="AP688" s="873"/>
      <c r="AQ688" s="873"/>
      <c r="AR688" s="873"/>
      <c r="AS688" s="873"/>
    </row>
    <row r="689" spans="1:45" ht="12.75" x14ac:dyDescent="0.2">
      <c r="A689" s="873"/>
      <c r="B689" s="873"/>
      <c r="C689" s="873"/>
      <c r="D689" s="873"/>
      <c r="E689" s="873"/>
      <c r="F689" s="873"/>
      <c r="G689" s="873"/>
      <c r="H689" s="873"/>
      <c r="I689" s="873"/>
      <c r="J689" s="873"/>
      <c r="K689" s="873"/>
      <c r="L689" s="873"/>
      <c r="M689" s="873"/>
      <c r="N689" s="873"/>
      <c r="O689" s="873"/>
      <c r="P689" s="873"/>
      <c r="Q689" s="873"/>
      <c r="R689" s="873"/>
      <c r="S689" s="873"/>
      <c r="T689" s="873"/>
      <c r="U689" s="873"/>
      <c r="V689" s="873"/>
      <c r="W689" s="873"/>
      <c r="X689" s="873"/>
      <c r="Y689" s="873"/>
      <c r="Z689" s="873"/>
      <c r="AA689" s="873"/>
      <c r="AB689" s="873"/>
      <c r="AC689" s="873"/>
      <c r="AD689" s="873"/>
      <c r="AE689" s="873"/>
      <c r="AF689" s="873"/>
      <c r="AG689" s="873"/>
      <c r="AH689" s="873"/>
      <c r="AI689" s="873"/>
      <c r="AJ689" s="873"/>
      <c r="AK689" s="873"/>
      <c r="AL689" s="873"/>
      <c r="AM689" s="873"/>
      <c r="AN689" s="873"/>
      <c r="AO689" s="873"/>
      <c r="AP689" s="873"/>
      <c r="AQ689" s="873"/>
      <c r="AR689" s="873"/>
      <c r="AS689" s="873"/>
    </row>
    <row r="690" spans="1:45" ht="12.75" x14ac:dyDescent="0.2">
      <c r="A690" s="873"/>
      <c r="B690" s="873"/>
      <c r="C690" s="873"/>
      <c r="D690" s="873"/>
      <c r="E690" s="873"/>
      <c r="F690" s="873"/>
      <c r="G690" s="873"/>
      <c r="H690" s="873"/>
      <c r="I690" s="873"/>
      <c r="J690" s="873"/>
      <c r="K690" s="873"/>
      <c r="L690" s="873"/>
      <c r="M690" s="873"/>
      <c r="N690" s="873"/>
      <c r="O690" s="873"/>
      <c r="P690" s="873"/>
      <c r="Q690" s="873"/>
      <c r="R690" s="873"/>
      <c r="S690" s="873"/>
      <c r="T690" s="873"/>
      <c r="U690" s="873"/>
      <c r="V690" s="873"/>
      <c r="W690" s="873"/>
      <c r="X690" s="873"/>
      <c r="Y690" s="873"/>
      <c r="Z690" s="873"/>
      <c r="AA690" s="873"/>
      <c r="AB690" s="873"/>
      <c r="AC690" s="873"/>
      <c r="AD690" s="873"/>
      <c r="AE690" s="873"/>
      <c r="AF690" s="873"/>
      <c r="AG690" s="873"/>
      <c r="AH690" s="873"/>
      <c r="AI690" s="873"/>
      <c r="AJ690" s="873"/>
      <c r="AK690" s="873"/>
      <c r="AL690" s="873"/>
      <c r="AM690" s="873"/>
      <c r="AN690" s="873"/>
      <c r="AO690" s="873"/>
      <c r="AP690" s="873"/>
      <c r="AQ690" s="873"/>
      <c r="AR690" s="873"/>
      <c r="AS690" s="873"/>
    </row>
    <row r="691" spans="1:45" ht="12.75" x14ac:dyDescent="0.2">
      <c r="A691" s="873"/>
      <c r="B691" s="873"/>
      <c r="C691" s="873"/>
      <c r="D691" s="873"/>
      <c r="E691" s="873"/>
      <c r="F691" s="873"/>
      <c r="G691" s="873"/>
      <c r="H691" s="873"/>
      <c r="I691" s="873"/>
      <c r="J691" s="873"/>
      <c r="K691" s="873"/>
      <c r="L691" s="873"/>
      <c r="M691" s="873"/>
      <c r="N691" s="873"/>
      <c r="O691" s="873"/>
      <c r="P691" s="873"/>
      <c r="Q691" s="873"/>
      <c r="R691" s="873"/>
      <c r="S691" s="873"/>
      <c r="T691" s="873"/>
      <c r="U691" s="873"/>
      <c r="V691" s="873"/>
      <c r="W691" s="873"/>
      <c r="X691" s="873"/>
      <c r="Y691" s="873"/>
      <c r="Z691" s="873"/>
      <c r="AA691" s="873"/>
      <c r="AB691" s="873"/>
      <c r="AC691" s="873"/>
      <c r="AD691" s="873"/>
      <c r="AE691" s="873"/>
      <c r="AF691" s="873"/>
      <c r="AG691" s="873"/>
      <c r="AH691" s="873"/>
      <c r="AI691" s="873"/>
      <c r="AJ691" s="873"/>
      <c r="AK691" s="873"/>
      <c r="AL691" s="873"/>
      <c r="AM691" s="873"/>
      <c r="AN691" s="873"/>
      <c r="AO691" s="873"/>
      <c r="AP691" s="873"/>
      <c r="AQ691" s="873"/>
      <c r="AR691" s="873"/>
      <c r="AS691" s="873"/>
    </row>
    <row r="692" spans="1:45" ht="12.75" x14ac:dyDescent="0.2">
      <c r="A692" s="873"/>
      <c r="B692" s="873"/>
      <c r="C692" s="873"/>
      <c r="D692" s="873"/>
      <c r="E692" s="873"/>
      <c r="F692" s="873"/>
      <c r="G692" s="873"/>
      <c r="H692" s="873"/>
      <c r="I692" s="873"/>
      <c r="J692" s="873"/>
      <c r="K692" s="873"/>
      <c r="L692" s="873"/>
      <c r="M692" s="873"/>
      <c r="N692" s="873"/>
      <c r="O692" s="873"/>
      <c r="P692" s="873"/>
      <c r="Q692" s="873"/>
      <c r="R692" s="873"/>
      <c r="S692" s="873"/>
      <c r="T692" s="873"/>
      <c r="U692" s="873"/>
      <c r="V692" s="873"/>
      <c r="W692" s="873"/>
      <c r="X692" s="873"/>
      <c r="Y692" s="873"/>
      <c r="Z692" s="873"/>
      <c r="AA692" s="873"/>
      <c r="AB692" s="873"/>
      <c r="AC692" s="873"/>
      <c r="AD692" s="873"/>
      <c r="AE692" s="873"/>
      <c r="AF692" s="873"/>
      <c r="AG692" s="873"/>
      <c r="AH692" s="873"/>
      <c r="AI692" s="873"/>
      <c r="AJ692" s="873"/>
      <c r="AK692" s="873"/>
      <c r="AL692" s="873"/>
      <c r="AM692" s="873"/>
      <c r="AN692" s="873"/>
      <c r="AO692" s="873"/>
      <c r="AP692" s="873"/>
      <c r="AQ692" s="873"/>
      <c r="AR692" s="873"/>
      <c r="AS692" s="873"/>
    </row>
    <row r="693" spans="1:45" ht="12.75" x14ac:dyDescent="0.2">
      <c r="A693" s="873"/>
      <c r="B693" s="873"/>
      <c r="C693" s="873"/>
      <c r="D693" s="873"/>
      <c r="E693" s="873"/>
      <c r="F693" s="873"/>
      <c r="G693" s="873"/>
      <c r="H693" s="873"/>
      <c r="I693" s="873"/>
      <c r="J693" s="873"/>
      <c r="K693" s="873"/>
      <c r="L693" s="873"/>
      <c r="M693" s="873"/>
      <c r="N693" s="873"/>
      <c r="O693" s="873"/>
      <c r="P693" s="873"/>
      <c r="Q693" s="873"/>
      <c r="R693" s="873"/>
      <c r="S693" s="873"/>
      <c r="T693" s="873"/>
      <c r="U693" s="873"/>
      <c r="V693" s="873"/>
      <c r="W693" s="873"/>
      <c r="X693" s="873"/>
      <c r="Y693" s="873"/>
      <c r="Z693" s="873"/>
      <c r="AA693" s="873"/>
      <c r="AB693" s="873"/>
      <c r="AC693" s="873"/>
      <c r="AD693" s="873"/>
      <c r="AE693" s="873"/>
      <c r="AF693" s="873"/>
      <c r="AG693" s="873"/>
      <c r="AH693" s="873"/>
      <c r="AI693" s="873"/>
      <c r="AJ693" s="873"/>
      <c r="AK693" s="873"/>
      <c r="AL693" s="873"/>
      <c r="AM693" s="873"/>
      <c r="AN693" s="873"/>
      <c r="AO693" s="873"/>
      <c r="AP693" s="873"/>
      <c r="AQ693" s="873"/>
      <c r="AR693" s="873"/>
      <c r="AS693" s="873"/>
    </row>
    <row r="694" spans="1:45" ht="12.75" x14ac:dyDescent="0.2">
      <c r="A694" s="873"/>
      <c r="B694" s="873"/>
      <c r="C694" s="873"/>
      <c r="D694" s="873"/>
      <c r="E694" s="873"/>
      <c r="F694" s="873"/>
      <c r="G694" s="873"/>
      <c r="H694" s="873"/>
      <c r="I694" s="873"/>
      <c r="J694" s="873"/>
      <c r="K694" s="873"/>
      <c r="L694" s="873"/>
      <c r="M694" s="873"/>
      <c r="N694" s="873"/>
      <c r="O694" s="873"/>
      <c r="P694" s="873"/>
      <c r="Q694" s="873"/>
      <c r="R694" s="873"/>
      <c r="S694" s="873"/>
      <c r="T694" s="873"/>
      <c r="U694" s="873"/>
      <c r="V694" s="873"/>
      <c r="W694" s="873"/>
      <c r="X694" s="873"/>
      <c r="Y694" s="873"/>
      <c r="Z694" s="873"/>
      <c r="AA694" s="873"/>
      <c r="AB694" s="873"/>
      <c r="AC694" s="873"/>
      <c r="AD694" s="873"/>
      <c r="AE694" s="873"/>
      <c r="AF694" s="873"/>
      <c r="AG694" s="873"/>
      <c r="AH694" s="873"/>
      <c r="AI694" s="873"/>
      <c r="AJ694" s="873"/>
      <c r="AK694" s="873"/>
      <c r="AL694" s="873"/>
      <c r="AM694" s="873"/>
      <c r="AN694" s="873"/>
      <c r="AO694" s="873"/>
      <c r="AP694" s="873"/>
      <c r="AQ694" s="873"/>
      <c r="AR694" s="873"/>
      <c r="AS694" s="873"/>
    </row>
    <row r="695" spans="1:45" ht="12.75" x14ac:dyDescent="0.2">
      <c r="A695" s="873"/>
      <c r="B695" s="873"/>
      <c r="C695" s="873"/>
      <c r="D695" s="873"/>
      <c r="E695" s="873"/>
      <c r="F695" s="873"/>
      <c r="G695" s="873"/>
      <c r="H695" s="873"/>
      <c r="I695" s="873"/>
      <c r="J695" s="873"/>
      <c r="K695" s="873"/>
      <c r="L695" s="873"/>
      <c r="M695" s="873"/>
      <c r="N695" s="873"/>
      <c r="O695" s="873"/>
      <c r="P695" s="873"/>
      <c r="Q695" s="873"/>
      <c r="R695" s="873"/>
      <c r="S695" s="873"/>
      <c r="T695" s="873"/>
      <c r="U695" s="873"/>
      <c r="V695" s="873"/>
      <c r="W695" s="873"/>
      <c r="X695" s="873"/>
      <c r="Y695" s="873"/>
      <c r="Z695" s="873"/>
      <c r="AA695" s="873"/>
      <c r="AB695" s="873"/>
      <c r="AC695" s="873"/>
      <c r="AD695" s="873"/>
      <c r="AE695" s="873"/>
      <c r="AF695" s="873"/>
      <c r="AG695" s="873"/>
      <c r="AH695" s="873"/>
      <c r="AI695" s="873"/>
      <c r="AJ695" s="873"/>
      <c r="AK695" s="873"/>
      <c r="AL695" s="873"/>
      <c r="AM695" s="873"/>
      <c r="AN695" s="873"/>
      <c r="AO695" s="873"/>
      <c r="AP695" s="873"/>
      <c r="AQ695" s="873"/>
      <c r="AR695" s="873"/>
      <c r="AS695" s="873"/>
    </row>
    <row r="696" spans="1:45" ht="12.75" x14ac:dyDescent="0.2">
      <c r="A696" s="873"/>
      <c r="B696" s="873"/>
      <c r="C696" s="873"/>
      <c r="D696" s="873"/>
      <c r="E696" s="873"/>
      <c r="F696" s="873"/>
      <c r="G696" s="873"/>
      <c r="H696" s="873"/>
      <c r="I696" s="873"/>
      <c r="J696" s="873"/>
      <c r="K696" s="873"/>
      <c r="L696" s="873"/>
      <c r="M696" s="873"/>
      <c r="N696" s="873"/>
      <c r="O696" s="873"/>
      <c r="P696" s="873"/>
      <c r="Q696" s="873"/>
      <c r="R696" s="873"/>
      <c r="S696" s="873"/>
      <c r="T696" s="873"/>
      <c r="U696" s="873"/>
      <c r="V696" s="873"/>
      <c r="W696" s="873"/>
      <c r="X696" s="873"/>
      <c r="Y696" s="873"/>
      <c r="Z696" s="873"/>
      <c r="AA696" s="873"/>
      <c r="AB696" s="873"/>
      <c r="AC696" s="873"/>
      <c r="AD696" s="873"/>
      <c r="AE696" s="873"/>
      <c r="AF696" s="873"/>
      <c r="AG696" s="873"/>
      <c r="AH696" s="873"/>
      <c r="AI696" s="873"/>
      <c r="AJ696" s="873"/>
      <c r="AK696" s="873"/>
      <c r="AL696" s="873"/>
      <c r="AM696" s="873"/>
      <c r="AN696" s="873"/>
      <c r="AO696" s="873"/>
      <c r="AP696" s="873"/>
      <c r="AQ696" s="873"/>
      <c r="AR696" s="873"/>
      <c r="AS696" s="873"/>
    </row>
    <row r="697" spans="1:45" ht="12.75" x14ac:dyDescent="0.2">
      <c r="A697" s="873"/>
      <c r="B697" s="873"/>
      <c r="C697" s="873"/>
      <c r="D697" s="873"/>
      <c r="E697" s="873"/>
      <c r="F697" s="873"/>
      <c r="G697" s="873"/>
      <c r="H697" s="873"/>
      <c r="I697" s="873"/>
      <c r="J697" s="873"/>
      <c r="K697" s="873"/>
      <c r="L697" s="873"/>
      <c r="M697" s="873"/>
      <c r="N697" s="873"/>
      <c r="O697" s="873"/>
      <c r="P697" s="873"/>
      <c r="Q697" s="873"/>
      <c r="R697" s="873"/>
      <c r="S697" s="873"/>
      <c r="T697" s="873"/>
      <c r="U697" s="873"/>
      <c r="V697" s="873"/>
      <c r="W697" s="873"/>
      <c r="X697" s="873"/>
      <c r="Y697" s="873"/>
      <c r="Z697" s="873"/>
      <c r="AA697" s="873"/>
      <c r="AB697" s="873"/>
      <c r="AC697" s="873"/>
      <c r="AD697" s="873"/>
      <c r="AE697" s="873"/>
      <c r="AF697" s="873"/>
      <c r="AG697" s="873"/>
      <c r="AH697" s="873"/>
      <c r="AI697" s="873"/>
      <c r="AJ697" s="873"/>
      <c r="AK697" s="873"/>
      <c r="AL697" s="873"/>
      <c r="AM697" s="873"/>
      <c r="AN697" s="873"/>
      <c r="AO697" s="873"/>
      <c r="AP697" s="873"/>
      <c r="AQ697" s="873"/>
      <c r="AR697" s="873"/>
      <c r="AS697" s="873"/>
    </row>
    <row r="698" spans="1:45" ht="12.75" x14ac:dyDescent="0.2">
      <c r="A698" s="873"/>
      <c r="B698" s="873"/>
      <c r="C698" s="873"/>
      <c r="D698" s="873"/>
      <c r="E698" s="873"/>
      <c r="F698" s="873"/>
      <c r="G698" s="873"/>
      <c r="H698" s="873"/>
      <c r="I698" s="873"/>
      <c r="J698" s="873"/>
      <c r="K698" s="873"/>
      <c r="L698" s="873"/>
      <c r="M698" s="873"/>
      <c r="N698" s="873"/>
      <c r="O698" s="873"/>
      <c r="P698" s="873"/>
      <c r="Q698" s="873"/>
      <c r="R698" s="873"/>
      <c r="S698" s="873"/>
      <c r="T698" s="873"/>
      <c r="U698" s="873"/>
      <c r="V698" s="873"/>
      <c r="W698" s="873"/>
      <c r="X698" s="873"/>
      <c r="Y698" s="873"/>
      <c r="Z698" s="873"/>
      <c r="AA698" s="873"/>
      <c r="AB698" s="873"/>
      <c r="AC698" s="873"/>
      <c r="AD698" s="873"/>
      <c r="AE698" s="873"/>
      <c r="AF698" s="873"/>
      <c r="AG698" s="873"/>
      <c r="AH698" s="873"/>
      <c r="AI698" s="873"/>
      <c r="AJ698" s="873"/>
      <c r="AK698" s="873"/>
      <c r="AL698" s="873"/>
      <c r="AM698" s="873"/>
      <c r="AN698" s="873"/>
      <c r="AO698" s="873"/>
      <c r="AP698" s="873"/>
      <c r="AQ698" s="873"/>
      <c r="AR698" s="873"/>
      <c r="AS698" s="873"/>
    </row>
    <row r="699" spans="1:45" ht="12.75" x14ac:dyDescent="0.2">
      <c r="A699" s="873"/>
      <c r="B699" s="873"/>
      <c r="C699" s="873"/>
      <c r="D699" s="873"/>
      <c r="E699" s="873"/>
      <c r="F699" s="873"/>
      <c r="G699" s="873"/>
      <c r="H699" s="873"/>
      <c r="I699" s="873"/>
      <c r="J699" s="873"/>
      <c r="K699" s="873"/>
      <c r="L699" s="873"/>
      <c r="M699" s="873"/>
      <c r="N699" s="873"/>
      <c r="O699" s="873"/>
      <c r="P699" s="873"/>
      <c r="Q699" s="873"/>
      <c r="R699" s="873"/>
      <c r="S699" s="873"/>
      <c r="T699" s="873"/>
      <c r="U699" s="873"/>
      <c r="V699" s="873"/>
      <c r="W699" s="873"/>
      <c r="X699" s="873"/>
      <c r="Y699" s="873"/>
      <c r="Z699" s="873"/>
      <c r="AA699" s="873"/>
      <c r="AB699" s="873"/>
      <c r="AC699" s="873"/>
      <c r="AD699" s="873"/>
      <c r="AE699" s="873"/>
      <c r="AF699" s="873"/>
      <c r="AG699" s="873"/>
      <c r="AH699" s="873"/>
      <c r="AI699" s="873"/>
      <c r="AJ699" s="873"/>
      <c r="AK699" s="873"/>
      <c r="AL699" s="873"/>
      <c r="AM699" s="873"/>
      <c r="AN699" s="873"/>
      <c r="AO699" s="873"/>
      <c r="AP699" s="873"/>
      <c r="AQ699" s="873"/>
      <c r="AR699" s="873"/>
      <c r="AS699" s="873"/>
    </row>
    <row r="700" spans="1:45" ht="12.75" x14ac:dyDescent="0.2">
      <c r="A700" s="873"/>
      <c r="B700" s="873"/>
      <c r="C700" s="873"/>
      <c r="D700" s="873"/>
      <c r="E700" s="873"/>
      <c r="F700" s="873"/>
      <c r="G700" s="873"/>
      <c r="H700" s="873"/>
      <c r="I700" s="873"/>
      <c r="J700" s="873"/>
      <c r="K700" s="873"/>
      <c r="L700" s="873"/>
      <c r="M700" s="873"/>
      <c r="N700" s="873"/>
      <c r="O700" s="873"/>
      <c r="P700" s="873"/>
      <c r="Q700" s="873"/>
      <c r="R700" s="873"/>
      <c r="S700" s="873"/>
      <c r="T700" s="873"/>
      <c r="U700" s="873"/>
      <c r="V700" s="873"/>
      <c r="W700" s="873"/>
      <c r="X700" s="873"/>
      <c r="Y700" s="873"/>
      <c r="Z700" s="873"/>
      <c r="AA700" s="873"/>
      <c r="AB700" s="873"/>
      <c r="AC700" s="873"/>
      <c r="AD700" s="873"/>
      <c r="AE700" s="873"/>
      <c r="AF700" s="873"/>
      <c r="AG700" s="873"/>
      <c r="AH700" s="873"/>
      <c r="AI700" s="873"/>
      <c r="AJ700" s="873"/>
      <c r="AK700" s="873"/>
      <c r="AL700" s="873"/>
      <c r="AM700" s="873"/>
      <c r="AN700" s="873"/>
      <c r="AO700" s="873"/>
      <c r="AP700" s="873"/>
      <c r="AQ700" s="873"/>
      <c r="AR700" s="873"/>
      <c r="AS700" s="873"/>
    </row>
    <row r="701" spans="1:45" ht="12.75" x14ac:dyDescent="0.2">
      <c r="A701" s="873"/>
      <c r="B701" s="873"/>
      <c r="C701" s="873"/>
      <c r="D701" s="873"/>
      <c r="E701" s="873"/>
      <c r="F701" s="873"/>
      <c r="G701" s="873"/>
      <c r="H701" s="873"/>
      <c r="I701" s="873"/>
      <c r="J701" s="873"/>
      <c r="K701" s="873"/>
      <c r="L701" s="873"/>
      <c r="M701" s="873"/>
      <c r="N701" s="873"/>
      <c r="O701" s="873"/>
      <c r="P701" s="873"/>
      <c r="Q701" s="873"/>
      <c r="R701" s="873"/>
      <c r="S701" s="873"/>
      <c r="T701" s="873"/>
      <c r="U701" s="873"/>
      <c r="V701" s="873"/>
      <c r="W701" s="873"/>
      <c r="X701" s="873"/>
      <c r="Y701" s="873"/>
      <c r="Z701" s="873"/>
      <c r="AA701" s="873"/>
      <c r="AB701" s="873"/>
      <c r="AC701" s="873"/>
      <c r="AD701" s="873"/>
      <c r="AE701" s="873"/>
      <c r="AF701" s="873"/>
      <c r="AG701" s="873"/>
      <c r="AH701" s="873"/>
      <c r="AI701" s="873"/>
      <c r="AJ701" s="873"/>
      <c r="AK701" s="873"/>
      <c r="AL701" s="873"/>
      <c r="AM701" s="873"/>
      <c r="AN701" s="873"/>
      <c r="AO701" s="873"/>
      <c r="AP701" s="873"/>
      <c r="AQ701" s="873"/>
      <c r="AR701" s="873"/>
      <c r="AS701" s="873"/>
    </row>
    <row r="702" spans="1:45" ht="12.75" x14ac:dyDescent="0.2">
      <c r="A702" s="873"/>
      <c r="B702" s="873"/>
      <c r="C702" s="873"/>
      <c r="D702" s="873"/>
      <c r="E702" s="873"/>
      <c r="F702" s="873"/>
      <c r="G702" s="873"/>
      <c r="H702" s="873"/>
      <c r="I702" s="873"/>
      <c r="J702" s="873"/>
      <c r="K702" s="873"/>
      <c r="L702" s="873"/>
      <c r="M702" s="873"/>
      <c r="N702" s="873"/>
      <c r="O702" s="873"/>
      <c r="P702" s="873"/>
      <c r="Q702" s="873"/>
      <c r="R702" s="873"/>
      <c r="S702" s="873"/>
      <c r="T702" s="873"/>
      <c r="U702" s="873"/>
      <c r="V702" s="873"/>
      <c r="W702" s="873"/>
      <c r="X702" s="873"/>
      <c r="Y702" s="873"/>
      <c r="Z702" s="873"/>
      <c r="AA702" s="873"/>
      <c r="AB702" s="873"/>
      <c r="AC702" s="873"/>
      <c r="AD702" s="873"/>
      <c r="AE702" s="873"/>
      <c r="AF702" s="873"/>
      <c r="AG702" s="873"/>
      <c r="AH702" s="873"/>
      <c r="AI702" s="873"/>
      <c r="AJ702" s="873"/>
      <c r="AK702" s="873"/>
      <c r="AL702" s="873"/>
      <c r="AM702" s="873"/>
      <c r="AN702" s="873"/>
      <c r="AO702" s="873"/>
      <c r="AP702" s="873"/>
      <c r="AQ702" s="873"/>
      <c r="AR702" s="873"/>
      <c r="AS702" s="873"/>
    </row>
    <row r="703" spans="1:45" ht="12.75" x14ac:dyDescent="0.2">
      <c r="A703" s="873"/>
      <c r="B703" s="873"/>
      <c r="C703" s="873"/>
      <c r="D703" s="873"/>
      <c r="E703" s="873"/>
      <c r="F703" s="873"/>
      <c r="G703" s="873"/>
      <c r="H703" s="873"/>
      <c r="I703" s="873"/>
      <c r="J703" s="873"/>
      <c r="K703" s="873"/>
      <c r="L703" s="873"/>
      <c r="M703" s="873"/>
      <c r="N703" s="873"/>
      <c r="O703" s="873"/>
      <c r="P703" s="873"/>
      <c r="Q703" s="873"/>
      <c r="R703" s="873"/>
      <c r="S703" s="873"/>
      <c r="T703" s="873"/>
      <c r="U703" s="873"/>
      <c r="V703" s="873"/>
      <c r="W703" s="873"/>
      <c r="X703" s="873"/>
      <c r="Y703" s="873"/>
      <c r="Z703" s="873"/>
      <c r="AA703" s="873"/>
      <c r="AB703" s="873"/>
      <c r="AC703" s="873"/>
      <c r="AD703" s="873"/>
      <c r="AE703" s="873"/>
      <c r="AF703" s="873"/>
      <c r="AG703" s="873"/>
      <c r="AH703" s="873"/>
      <c r="AI703" s="873"/>
      <c r="AJ703" s="873"/>
      <c r="AK703" s="873"/>
      <c r="AL703" s="873"/>
      <c r="AM703" s="873"/>
      <c r="AN703" s="873"/>
      <c r="AO703" s="873"/>
      <c r="AP703" s="873"/>
      <c r="AQ703" s="873"/>
      <c r="AR703" s="873"/>
      <c r="AS703" s="873"/>
    </row>
    <row r="704" spans="1:45" ht="12.75" x14ac:dyDescent="0.2">
      <c r="A704" s="873"/>
      <c r="B704" s="873"/>
      <c r="C704" s="873"/>
      <c r="D704" s="873"/>
      <c r="E704" s="873"/>
      <c r="F704" s="873"/>
      <c r="G704" s="873"/>
      <c r="H704" s="873"/>
      <c r="I704" s="873"/>
      <c r="J704" s="873"/>
      <c r="K704" s="873"/>
      <c r="L704" s="873"/>
      <c r="M704" s="873"/>
      <c r="N704" s="873"/>
      <c r="O704" s="873"/>
      <c r="P704" s="873"/>
      <c r="Q704" s="873"/>
      <c r="R704" s="873"/>
      <c r="S704" s="873"/>
      <c r="T704" s="873"/>
      <c r="U704" s="873"/>
      <c r="V704" s="873"/>
      <c r="W704" s="873"/>
      <c r="X704" s="873"/>
      <c r="Y704" s="873"/>
      <c r="Z704" s="873"/>
      <c r="AA704" s="873"/>
      <c r="AB704" s="873"/>
      <c r="AC704" s="873"/>
      <c r="AD704" s="873"/>
      <c r="AE704" s="873"/>
      <c r="AF704" s="873"/>
      <c r="AG704" s="873"/>
      <c r="AH704" s="873"/>
      <c r="AI704" s="873"/>
      <c r="AJ704" s="873"/>
      <c r="AK704" s="873"/>
      <c r="AL704" s="873"/>
      <c r="AM704" s="873"/>
      <c r="AN704" s="873"/>
      <c r="AO704" s="873"/>
      <c r="AP704" s="873"/>
      <c r="AQ704" s="873"/>
      <c r="AR704" s="873"/>
      <c r="AS704" s="873"/>
    </row>
    <row r="705" spans="1:45" ht="12.75" x14ac:dyDescent="0.2">
      <c r="A705" s="873"/>
      <c r="B705" s="873"/>
      <c r="C705" s="873"/>
      <c r="D705" s="873"/>
      <c r="E705" s="873"/>
      <c r="F705" s="873"/>
      <c r="G705" s="873"/>
      <c r="H705" s="873"/>
      <c r="I705" s="873"/>
      <c r="J705" s="873"/>
      <c r="K705" s="873"/>
      <c r="L705" s="873"/>
      <c r="M705" s="873"/>
      <c r="N705" s="873"/>
      <c r="O705" s="873"/>
      <c r="P705" s="873"/>
      <c r="Q705" s="873"/>
      <c r="R705" s="873"/>
      <c r="S705" s="873"/>
      <c r="T705" s="873"/>
      <c r="U705" s="873"/>
      <c r="V705" s="873"/>
      <c r="W705" s="873"/>
      <c r="X705" s="873"/>
      <c r="Y705" s="873"/>
      <c r="Z705" s="873"/>
      <c r="AA705" s="873"/>
      <c r="AB705" s="873"/>
      <c r="AC705" s="873"/>
      <c r="AD705" s="873"/>
      <c r="AE705" s="873"/>
      <c r="AF705" s="873"/>
      <c r="AG705" s="873"/>
      <c r="AH705" s="873"/>
      <c r="AI705" s="873"/>
      <c r="AJ705" s="873"/>
      <c r="AK705" s="873"/>
      <c r="AL705" s="873"/>
      <c r="AM705" s="873"/>
      <c r="AN705" s="873"/>
      <c r="AO705" s="873"/>
      <c r="AP705" s="873"/>
      <c r="AQ705" s="873"/>
      <c r="AR705" s="873"/>
      <c r="AS705" s="873"/>
    </row>
    <row r="706" spans="1:45" ht="12.75" x14ac:dyDescent="0.2">
      <c r="A706" s="873"/>
      <c r="B706" s="873"/>
      <c r="C706" s="873"/>
      <c r="D706" s="873"/>
      <c r="E706" s="873"/>
      <c r="F706" s="873"/>
      <c r="G706" s="873"/>
      <c r="H706" s="873"/>
      <c r="I706" s="873"/>
      <c r="J706" s="873"/>
      <c r="K706" s="873"/>
      <c r="L706" s="873"/>
      <c r="M706" s="873"/>
      <c r="N706" s="873"/>
      <c r="O706" s="873"/>
      <c r="P706" s="873"/>
      <c r="Q706" s="873"/>
      <c r="R706" s="873"/>
      <c r="S706" s="873"/>
      <c r="T706" s="873"/>
      <c r="U706" s="873"/>
      <c r="V706" s="873"/>
      <c r="W706" s="873"/>
      <c r="X706" s="873"/>
      <c r="Y706" s="873"/>
      <c r="Z706" s="873"/>
      <c r="AA706" s="873"/>
      <c r="AB706" s="873"/>
      <c r="AC706" s="873"/>
      <c r="AD706" s="873"/>
      <c r="AE706" s="873"/>
      <c r="AF706" s="873"/>
      <c r="AG706" s="873"/>
      <c r="AH706" s="873"/>
      <c r="AI706" s="873"/>
      <c r="AJ706" s="873"/>
      <c r="AK706" s="873"/>
      <c r="AL706" s="873"/>
      <c r="AM706" s="873"/>
      <c r="AN706" s="873"/>
      <c r="AO706" s="873"/>
      <c r="AP706" s="873"/>
      <c r="AQ706" s="873"/>
      <c r="AR706" s="873"/>
      <c r="AS706" s="873"/>
    </row>
    <row r="707" spans="1:45" ht="12.75" x14ac:dyDescent="0.2">
      <c r="A707" s="873"/>
      <c r="B707" s="873"/>
      <c r="C707" s="873"/>
      <c r="D707" s="873"/>
      <c r="E707" s="873"/>
      <c r="F707" s="873"/>
      <c r="G707" s="873"/>
      <c r="H707" s="873"/>
      <c r="I707" s="873"/>
      <c r="J707" s="873"/>
      <c r="K707" s="873"/>
      <c r="L707" s="873"/>
      <c r="M707" s="873"/>
      <c r="N707" s="873"/>
      <c r="O707" s="873"/>
      <c r="P707" s="873"/>
      <c r="Q707" s="873"/>
      <c r="R707" s="873"/>
      <c r="S707" s="873"/>
      <c r="T707" s="873"/>
      <c r="U707" s="873"/>
      <c r="V707" s="873"/>
      <c r="W707" s="873"/>
      <c r="X707" s="873"/>
      <c r="Y707" s="873"/>
      <c r="Z707" s="873"/>
      <c r="AA707" s="873"/>
      <c r="AB707" s="873"/>
      <c r="AC707" s="873"/>
      <c r="AD707" s="873"/>
      <c r="AE707" s="873"/>
      <c r="AF707" s="873"/>
      <c r="AG707" s="873"/>
      <c r="AH707" s="873"/>
      <c r="AI707" s="873"/>
      <c r="AJ707" s="873"/>
      <c r="AK707" s="873"/>
      <c r="AL707" s="873"/>
      <c r="AM707" s="873"/>
      <c r="AN707" s="873"/>
      <c r="AO707" s="873"/>
      <c r="AP707" s="873"/>
      <c r="AQ707" s="873"/>
      <c r="AR707" s="873"/>
      <c r="AS707" s="873"/>
    </row>
    <row r="708" spans="1:45" ht="12.75" x14ac:dyDescent="0.2">
      <c r="A708" s="873"/>
      <c r="B708" s="873"/>
      <c r="C708" s="873"/>
      <c r="D708" s="873"/>
      <c r="E708" s="873"/>
      <c r="F708" s="873"/>
      <c r="G708" s="873"/>
      <c r="H708" s="873"/>
      <c r="I708" s="873"/>
      <c r="J708" s="873"/>
      <c r="K708" s="873"/>
      <c r="L708" s="873"/>
      <c r="M708" s="873"/>
      <c r="N708" s="873"/>
      <c r="O708" s="873"/>
      <c r="P708" s="873"/>
      <c r="Q708" s="873"/>
      <c r="R708" s="873"/>
      <c r="S708" s="873"/>
      <c r="T708" s="873"/>
      <c r="U708" s="873"/>
      <c r="V708" s="873"/>
      <c r="W708" s="873"/>
      <c r="X708" s="873"/>
      <c r="Y708" s="873"/>
      <c r="Z708" s="873"/>
      <c r="AA708" s="873"/>
      <c r="AB708" s="873"/>
      <c r="AC708" s="873"/>
      <c r="AD708" s="873"/>
      <c r="AE708" s="873"/>
      <c r="AF708" s="873"/>
      <c r="AG708" s="873"/>
      <c r="AH708" s="873"/>
      <c r="AI708" s="873"/>
      <c r="AJ708" s="873"/>
      <c r="AK708" s="873"/>
      <c r="AL708" s="873"/>
      <c r="AM708" s="873"/>
      <c r="AN708" s="873"/>
      <c r="AO708" s="873"/>
      <c r="AP708" s="873"/>
      <c r="AQ708" s="873"/>
      <c r="AR708" s="873"/>
      <c r="AS708" s="873"/>
    </row>
    <row r="709" spans="1:45" ht="12.75" x14ac:dyDescent="0.2">
      <c r="A709" s="873"/>
      <c r="B709" s="873"/>
      <c r="C709" s="873"/>
      <c r="D709" s="873"/>
      <c r="E709" s="873"/>
      <c r="F709" s="873"/>
      <c r="G709" s="873"/>
      <c r="H709" s="873"/>
      <c r="I709" s="873"/>
      <c r="J709" s="873"/>
      <c r="K709" s="873"/>
      <c r="L709" s="873"/>
      <c r="M709" s="873"/>
      <c r="N709" s="873"/>
      <c r="O709" s="873"/>
      <c r="P709" s="873"/>
      <c r="Q709" s="873"/>
      <c r="R709" s="873"/>
      <c r="S709" s="873"/>
      <c r="T709" s="873"/>
      <c r="U709" s="873"/>
      <c r="V709" s="873"/>
      <c r="W709" s="873"/>
      <c r="X709" s="873"/>
      <c r="Y709" s="873"/>
      <c r="Z709" s="873"/>
      <c r="AA709" s="873"/>
      <c r="AB709" s="873"/>
      <c r="AC709" s="873"/>
      <c r="AD709" s="873"/>
      <c r="AE709" s="873"/>
      <c r="AF709" s="873"/>
      <c r="AG709" s="873"/>
      <c r="AH709" s="873"/>
      <c r="AI709" s="873"/>
      <c r="AJ709" s="873"/>
      <c r="AK709" s="873"/>
      <c r="AL709" s="873"/>
      <c r="AM709" s="873"/>
      <c r="AN709" s="873"/>
      <c r="AO709" s="873"/>
      <c r="AP709" s="873"/>
      <c r="AQ709" s="873"/>
      <c r="AR709" s="873"/>
      <c r="AS709" s="873"/>
    </row>
    <row r="710" spans="1:45" ht="12.75" x14ac:dyDescent="0.2">
      <c r="A710" s="873"/>
      <c r="B710" s="873"/>
      <c r="C710" s="873"/>
      <c r="D710" s="873"/>
      <c r="E710" s="873"/>
      <c r="F710" s="873"/>
      <c r="G710" s="873"/>
      <c r="H710" s="873"/>
      <c r="I710" s="873"/>
      <c r="J710" s="873"/>
      <c r="K710" s="873"/>
      <c r="L710" s="873"/>
      <c r="M710" s="873"/>
      <c r="N710" s="873"/>
      <c r="O710" s="873"/>
      <c r="P710" s="873"/>
      <c r="Q710" s="873"/>
      <c r="R710" s="873"/>
      <c r="S710" s="873"/>
      <c r="T710" s="873"/>
      <c r="U710" s="873"/>
      <c r="V710" s="873"/>
      <c r="W710" s="873"/>
      <c r="X710" s="873"/>
      <c r="Y710" s="873"/>
      <c r="Z710" s="873"/>
      <c r="AA710" s="873"/>
      <c r="AB710" s="873"/>
      <c r="AC710" s="873"/>
      <c r="AD710" s="873"/>
      <c r="AE710" s="873"/>
      <c r="AF710" s="873"/>
      <c r="AG710" s="873"/>
      <c r="AH710" s="873"/>
      <c r="AI710" s="873"/>
      <c r="AJ710" s="873"/>
      <c r="AK710" s="873"/>
      <c r="AL710" s="873"/>
      <c r="AM710" s="873"/>
      <c r="AN710" s="873"/>
      <c r="AO710" s="873"/>
      <c r="AP710" s="873"/>
      <c r="AQ710" s="873"/>
      <c r="AR710" s="873"/>
      <c r="AS710" s="873"/>
    </row>
    <row r="711" spans="1:45" ht="12.75" x14ac:dyDescent="0.2">
      <c r="A711" s="873"/>
      <c r="B711" s="873"/>
      <c r="C711" s="873"/>
      <c r="D711" s="873"/>
      <c r="E711" s="873"/>
      <c r="F711" s="873"/>
      <c r="G711" s="873"/>
      <c r="H711" s="873"/>
      <c r="I711" s="873"/>
      <c r="J711" s="873"/>
      <c r="K711" s="873"/>
      <c r="L711" s="873"/>
      <c r="M711" s="873"/>
      <c r="N711" s="873"/>
      <c r="O711" s="873"/>
      <c r="P711" s="873"/>
      <c r="Q711" s="873"/>
      <c r="R711" s="873"/>
      <c r="S711" s="873"/>
      <c r="T711" s="873"/>
      <c r="U711" s="873"/>
      <c r="V711" s="873"/>
      <c r="W711" s="873"/>
      <c r="X711" s="873"/>
      <c r="Y711" s="873"/>
      <c r="Z711" s="873"/>
      <c r="AA711" s="873"/>
      <c r="AB711" s="873"/>
      <c r="AC711" s="873"/>
      <c r="AD711" s="873"/>
      <c r="AE711" s="873"/>
      <c r="AF711" s="873"/>
      <c r="AG711" s="873"/>
      <c r="AH711" s="873"/>
      <c r="AI711" s="873"/>
      <c r="AJ711" s="873"/>
      <c r="AK711" s="873"/>
      <c r="AL711" s="873"/>
      <c r="AM711" s="873"/>
      <c r="AN711" s="873"/>
      <c r="AO711" s="873"/>
      <c r="AP711" s="873"/>
      <c r="AQ711" s="873"/>
      <c r="AR711" s="873"/>
      <c r="AS711" s="873"/>
    </row>
    <row r="712" spans="1:45" ht="12.75" x14ac:dyDescent="0.2">
      <c r="A712" s="873"/>
      <c r="B712" s="873"/>
      <c r="C712" s="873"/>
      <c r="D712" s="873"/>
      <c r="E712" s="873"/>
      <c r="F712" s="873"/>
      <c r="G712" s="873"/>
      <c r="H712" s="873"/>
      <c r="I712" s="873"/>
      <c r="J712" s="873"/>
      <c r="K712" s="873"/>
      <c r="L712" s="873"/>
      <c r="M712" s="873"/>
      <c r="N712" s="873"/>
      <c r="O712" s="873"/>
      <c r="P712" s="873"/>
      <c r="Q712" s="873"/>
      <c r="R712" s="873"/>
      <c r="S712" s="873"/>
      <c r="T712" s="873"/>
      <c r="U712" s="873"/>
      <c r="V712" s="873"/>
      <c r="W712" s="873"/>
      <c r="X712" s="873"/>
      <c r="Y712" s="873"/>
      <c r="Z712" s="873"/>
      <c r="AA712" s="873"/>
      <c r="AB712" s="873"/>
      <c r="AC712" s="873"/>
      <c r="AD712" s="873"/>
      <c r="AE712" s="873"/>
      <c r="AF712" s="873"/>
      <c r="AG712" s="873"/>
      <c r="AH712" s="873"/>
      <c r="AI712" s="873"/>
      <c r="AJ712" s="873"/>
      <c r="AK712" s="873"/>
      <c r="AL712" s="873"/>
      <c r="AM712" s="873"/>
      <c r="AN712" s="873"/>
      <c r="AO712" s="873"/>
      <c r="AP712" s="873"/>
      <c r="AQ712" s="873"/>
      <c r="AR712" s="873"/>
      <c r="AS712" s="873"/>
    </row>
    <row r="713" spans="1:45" ht="12.75" x14ac:dyDescent="0.2">
      <c r="A713" s="873"/>
      <c r="B713" s="873"/>
      <c r="C713" s="873"/>
      <c r="D713" s="873"/>
      <c r="E713" s="873"/>
      <c r="F713" s="873"/>
      <c r="G713" s="873"/>
      <c r="H713" s="873"/>
      <c r="I713" s="873"/>
      <c r="J713" s="873"/>
      <c r="K713" s="873"/>
      <c r="L713" s="873"/>
      <c r="M713" s="873"/>
      <c r="N713" s="873"/>
      <c r="O713" s="873"/>
      <c r="P713" s="873"/>
      <c r="Q713" s="873"/>
      <c r="R713" s="873"/>
      <c r="S713" s="873"/>
      <c r="T713" s="873"/>
      <c r="U713" s="873"/>
      <c r="V713" s="873"/>
      <c r="W713" s="873"/>
      <c r="X713" s="873"/>
      <c r="Y713" s="873"/>
      <c r="Z713" s="873"/>
      <c r="AA713" s="873"/>
      <c r="AB713" s="873"/>
      <c r="AC713" s="873"/>
      <c r="AD713" s="873"/>
      <c r="AE713" s="873"/>
      <c r="AF713" s="873"/>
      <c r="AG713" s="873"/>
      <c r="AH713" s="873"/>
      <c r="AI713" s="873"/>
      <c r="AJ713" s="873"/>
      <c r="AK713" s="873"/>
      <c r="AL713" s="873"/>
      <c r="AM713" s="873"/>
      <c r="AN713" s="873"/>
      <c r="AO713" s="873"/>
      <c r="AP713" s="873"/>
      <c r="AQ713" s="873"/>
      <c r="AR713" s="873"/>
      <c r="AS713" s="873"/>
    </row>
    <row r="714" spans="1:45" ht="12.75" x14ac:dyDescent="0.2">
      <c r="A714" s="873"/>
      <c r="B714" s="873"/>
      <c r="C714" s="873"/>
      <c r="D714" s="873"/>
      <c r="E714" s="873"/>
      <c r="F714" s="873"/>
      <c r="G714" s="873"/>
      <c r="H714" s="873"/>
      <c r="I714" s="873"/>
      <c r="J714" s="873"/>
      <c r="K714" s="873"/>
      <c r="L714" s="873"/>
      <c r="M714" s="873"/>
      <c r="N714" s="873"/>
      <c r="O714" s="873"/>
      <c r="P714" s="873"/>
      <c r="Q714" s="873"/>
      <c r="R714" s="873"/>
      <c r="S714" s="873"/>
      <c r="T714" s="873"/>
      <c r="U714" s="873"/>
      <c r="V714" s="873"/>
      <c r="W714" s="873"/>
      <c r="X714" s="873"/>
      <c r="Y714" s="873"/>
      <c r="Z714" s="873"/>
      <c r="AA714" s="873"/>
      <c r="AB714" s="873"/>
      <c r="AC714" s="873"/>
      <c r="AD714" s="873"/>
      <c r="AE714" s="873"/>
      <c r="AF714" s="873"/>
      <c r="AG714" s="873"/>
      <c r="AH714" s="873"/>
      <c r="AI714" s="873"/>
      <c r="AJ714" s="873"/>
      <c r="AK714" s="873"/>
      <c r="AL714" s="873"/>
      <c r="AM714" s="873"/>
      <c r="AN714" s="873"/>
      <c r="AO714" s="873"/>
      <c r="AP714" s="873"/>
      <c r="AQ714" s="873"/>
      <c r="AR714" s="873"/>
      <c r="AS714" s="873"/>
    </row>
    <row r="715" spans="1:45" ht="12.75" x14ac:dyDescent="0.2">
      <c r="A715" s="873"/>
      <c r="B715" s="873"/>
      <c r="C715" s="873"/>
      <c r="D715" s="873"/>
      <c r="E715" s="873"/>
      <c r="F715" s="873"/>
      <c r="G715" s="873"/>
      <c r="H715" s="873"/>
      <c r="I715" s="873"/>
      <c r="J715" s="873"/>
      <c r="K715" s="873"/>
      <c r="L715" s="873"/>
      <c r="M715" s="873"/>
      <c r="N715" s="873"/>
      <c r="O715" s="873"/>
      <c r="P715" s="873"/>
      <c r="Q715" s="873"/>
      <c r="R715" s="873"/>
      <c r="S715" s="873"/>
      <c r="T715" s="873"/>
      <c r="U715" s="873"/>
      <c r="V715" s="873"/>
      <c r="W715" s="873"/>
      <c r="X715" s="873"/>
      <c r="Y715" s="873"/>
      <c r="Z715" s="873"/>
      <c r="AA715" s="873"/>
      <c r="AB715" s="873"/>
      <c r="AC715" s="873"/>
      <c r="AD715" s="873"/>
      <c r="AE715" s="873"/>
      <c r="AF715" s="873"/>
      <c r="AG715" s="873"/>
      <c r="AH715" s="873"/>
      <c r="AI715" s="873"/>
      <c r="AJ715" s="873"/>
      <c r="AK715" s="873"/>
      <c r="AL715" s="873"/>
      <c r="AM715" s="873"/>
      <c r="AN715" s="873"/>
      <c r="AO715" s="873"/>
      <c r="AP715" s="873"/>
      <c r="AQ715" s="873"/>
      <c r="AR715" s="873"/>
      <c r="AS715" s="873"/>
    </row>
    <row r="716" spans="1:45" ht="12.75" x14ac:dyDescent="0.2">
      <c r="A716" s="873"/>
      <c r="B716" s="873"/>
      <c r="C716" s="873"/>
      <c r="D716" s="873"/>
      <c r="E716" s="873"/>
      <c r="F716" s="873"/>
      <c r="G716" s="873"/>
      <c r="H716" s="873"/>
      <c r="I716" s="873"/>
      <c r="J716" s="873"/>
      <c r="K716" s="873"/>
      <c r="L716" s="873"/>
      <c r="M716" s="873"/>
      <c r="N716" s="873"/>
      <c r="O716" s="873"/>
      <c r="P716" s="873"/>
      <c r="Q716" s="873"/>
      <c r="R716" s="873"/>
      <c r="S716" s="873"/>
      <c r="T716" s="873"/>
      <c r="U716" s="873"/>
      <c r="V716" s="873"/>
      <c r="W716" s="873"/>
      <c r="X716" s="873"/>
      <c r="Y716" s="873"/>
      <c r="Z716" s="873"/>
      <c r="AA716" s="873"/>
      <c r="AB716" s="873"/>
      <c r="AC716" s="873"/>
      <c r="AD716" s="873"/>
      <c r="AE716" s="873"/>
      <c r="AF716" s="873"/>
      <c r="AG716" s="873"/>
      <c r="AH716" s="873"/>
      <c r="AI716" s="873"/>
      <c r="AJ716" s="873"/>
      <c r="AK716" s="873"/>
      <c r="AL716" s="873"/>
      <c r="AM716" s="873"/>
      <c r="AN716" s="873"/>
      <c r="AO716" s="873"/>
      <c r="AP716" s="873"/>
      <c r="AQ716" s="873"/>
      <c r="AR716" s="873"/>
      <c r="AS716" s="873"/>
    </row>
    <row r="717" spans="1:45" ht="12.75" x14ac:dyDescent="0.2">
      <c r="A717" s="873"/>
      <c r="B717" s="873"/>
      <c r="C717" s="873"/>
      <c r="D717" s="873"/>
      <c r="E717" s="873"/>
      <c r="F717" s="873"/>
      <c r="G717" s="873"/>
      <c r="H717" s="873"/>
      <c r="I717" s="873"/>
      <c r="J717" s="873"/>
      <c r="K717" s="873"/>
      <c r="L717" s="873"/>
      <c r="M717" s="873"/>
      <c r="N717" s="873"/>
      <c r="O717" s="873"/>
      <c r="P717" s="873"/>
      <c r="Q717" s="873"/>
      <c r="R717" s="873"/>
      <c r="S717" s="873"/>
      <c r="T717" s="873"/>
      <c r="U717" s="873"/>
      <c r="V717" s="873"/>
      <c r="W717" s="873"/>
      <c r="X717" s="873"/>
      <c r="Y717" s="873"/>
      <c r="Z717" s="873"/>
      <c r="AA717" s="873"/>
      <c r="AB717" s="873"/>
      <c r="AC717" s="873"/>
      <c r="AD717" s="873"/>
      <c r="AE717" s="873"/>
      <c r="AF717" s="873"/>
      <c r="AG717" s="873"/>
      <c r="AH717" s="873"/>
      <c r="AI717" s="873"/>
      <c r="AJ717" s="873"/>
      <c r="AK717" s="873"/>
      <c r="AL717" s="873"/>
      <c r="AM717" s="873"/>
      <c r="AN717" s="873"/>
      <c r="AO717" s="873"/>
      <c r="AP717" s="873"/>
      <c r="AQ717" s="873"/>
      <c r="AR717" s="873"/>
      <c r="AS717" s="873"/>
    </row>
    <row r="718" spans="1:45" ht="12.75" x14ac:dyDescent="0.2">
      <c r="A718" s="873"/>
      <c r="B718" s="873"/>
      <c r="C718" s="873"/>
      <c r="D718" s="873"/>
      <c r="E718" s="873"/>
      <c r="F718" s="873"/>
      <c r="G718" s="873"/>
      <c r="H718" s="873"/>
      <c r="I718" s="873"/>
      <c r="J718" s="873"/>
      <c r="K718" s="873"/>
      <c r="L718" s="873"/>
      <c r="M718" s="873"/>
      <c r="N718" s="873"/>
      <c r="O718" s="873"/>
      <c r="P718" s="873"/>
      <c r="Q718" s="873"/>
      <c r="R718" s="873"/>
      <c r="S718" s="873"/>
      <c r="T718" s="873"/>
      <c r="U718" s="873"/>
      <c r="V718" s="873"/>
      <c r="W718" s="873"/>
      <c r="X718" s="873"/>
      <c r="Y718" s="873"/>
      <c r="Z718" s="873"/>
      <c r="AA718" s="873"/>
      <c r="AB718" s="873"/>
      <c r="AC718" s="873"/>
      <c r="AD718" s="873"/>
      <c r="AE718" s="873"/>
      <c r="AF718" s="873"/>
      <c r="AG718" s="873"/>
      <c r="AH718" s="873"/>
      <c r="AI718" s="873"/>
      <c r="AJ718" s="873"/>
      <c r="AK718" s="873"/>
      <c r="AL718" s="873"/>
      <c r="AM718" s="873"/>
      <c r="AN718" s="873"/>
      <c r="AO718" s="873"/>
      <c r="AP718" s="873"/>
      <c r="AQ718" s="873"/>
      <c r="AR718" s="873"/>
      <c r="AS718" s="873"/>
    </row>
    <row r="719" spans="1:45" ht="12.75" x14ac:dyDescent="0.2">
      <c r="A719" s="873"/>
      <c r="B719" s="873"/>
      <c r="C719" s="873"/>
      <c r="D719" s="873"/>
      <c r="E719" s="873"/>
      <c r="F719" s="873"/>
      <c r="G719" s="873"/>
      <c r="H719" s="873"/>
      <c r="I719" s="873"/>
      <c r="J719" s="873"/>
      <c r="K719" s="873"/>
      <c r="L719" s="873"/>
      <c r="M719" s="873"/>
      <c r="N719" s="873"/>
      <c r="O719" s="873"/>
      <c r="P719" s="873"/>
      <c r="Q719" s="873"/>
      <c r="R719" s="873"/>
      <c r="S719" s="873"/>
      <c r="T719" s="873"/>
      <c r="U719" s="873"/>
      <c r="V719" s="873"/>
      <c r="W719" s="873"/>
      <c r="X719" s="873"/>
      <c r="Y719" s="873"/>
      <c r="Z719" s="873"/>
      <c r="AA719" s="873"/>
      <c r="AB719" s="873"/>
      <c r="AC719" s="873"/>
      <c r="AD719" s="873"/>
      <c r="AE719" s="873"/>
      <c r="AF719" s="873"/>
      <c r="AG719" s="873"/>
      <c r="AH719" s="873"/>
      <c r="AI719" s="873"/>
      <c r="AJ719" s="873"/>
      <c r="AK719" s="873"/>
      <c r="AL719" s="873"/>
      <c r="AM719" s="873"/>
      <c r="AN719" s="873"/>
      <c r="AO719" s="873"/>
      <c r="AP719" s="873"/>
      <c r="AQ719" s="873"/>
      <c r="AR719" s="873"/>
      <c r="AS719" s="873"/>
    </row>
    <row r="720" spans="1:45" ht="12.75" x14ac:dyDescent="0.2">
      <c r="A720" s="873"/>
      <c r="B720" s="873"/>
      <c r="C720" s="873"/>
      <c r="D720" s="873"/>
      <c r="E720" s="873"/>
      <c r="F720" s="873"/>
      <c r="G720" s="873"/>
      <c r="H720" s="873"/>
      <c r="I720" s="873"/>
      <c r="J720" s="873"/>
      <c r="K720" s="873"/>
      <c r="L720" s="873"/>
      <c r="M720" s="873"/>
      <c r="N720" s="873"/>
      <c r="O720" s="873"/>
      <c r="P720" s="873"/>
      <c r="Q720" s="873"/>
      <c r="R720" s="873"/>
      <c r="S720" s="873"/>
      <c r="T720" s="873"/>
      <c r="U720" s="873"/>
      <c r="V720" s="873"/>
      <c r="W720" s="873"/>
      <c r="X720" s="873"/>
      <c r="Y720" s="873"/>
      <c r="Z720" s="873"/>
      <c r="AA720" s="873"/>
      <c r="AB720" s="873"/>
      <c r="AC720" s="873"/>
      <c r="AD720" s="873"/>
      <c r="AE720" s="873"/>
      <c r="AF720" s="873"/>
      <c r="AG720" s="873"/>
      <c r="AH720" s="873"/>
      <c r="AI720" s="873"/>
      <c r="AJ720" s="873"/>
      <c r="AK720" s="873"/>
      <c r="AL720" s="873"/>
      <c r="AM720" s="873"/>
      <c r="AN720" s="873"/>
      <c r="AO720" s="873"/>
      <c r="AP720" s="873"/>
      <c r="AQ720" s="873"/>
      <c r="AR720" s="873"/>
      <c r="AS720" s="873"/>
    </row>
    <row r="721" spans="1:45" ht="12.75" x14ac:dyDescent="0.2">
      <c r="A721" s="873"/>
      <c r="B721" s="873"/>
      <c r="C721" s="873"/>
      <c r="D721" s="873"/>
      <c r="E721" s="873"/>
      <c r="F721" s="873"/>
      <c r="G721" s="873"/>
      <c r="H721" s="873"/>
      <c r="I721" s="873"/>
      <c r="J721" s="873"/>
      <c r="K721" s="873"/>
      <c r="L721" s="873"/>
      <c r="M721" s="873"/>
      <c r="N721" s="873"/>
      <c r="O721" s="873"/>
      <c r="P721" s="873"/>
      <c r="Q721" s="873"/>
      <c r="R721" s="873"/>
      <c r="S721" s="873"/>
      <c r="T721" s="873"/>
      <c r="U721" s="873"/>
      <c r="V721" s="873"/>
      <c r="W721" s="873"/>
      <c r="X721" s="873"/>
      <c r="Y721" s="873"/>
      <c r="Z721" s="873"/>
      <c r="AA721" s="873"/>
      <c r="AB721" s="873"/>
      <c r="AC721" s="873"/>
      <c r="AD721" s="873"/>
      <c r="AE721" s="873"/>
      <c r="AF721" s="873"/>
      <c r="AG721" s="873"/>
      <c r="AH721" s="873"/>
      <c r="AI721" s="873"/>
      <c r="AJ721" s="873"/>
      <c r="AK721" s="873"/>
      <c r="AL721" s="873"/>
      <c r="AM721" s="873"/>
      <c r="AN721" s="873"/>
      <c r="AO721" s="873"/>
      <c r="AP721" s="873"/>
      <c r="AQ721" s="873"/>
      <c r="AR721" s="873"/>
      <c r="AS721" s="873"/>
    </row>
    <row r="722" spans="1:45" ht="12.75" x14ac:dyDescent="0.2">
      <c r="A722" s="873"/>
      <c r="B722" s="873"/>
      <c r="C722" s="873"/>
      <c r="D722" s="873"/>
      <c r="E722" s="873"/>
      <c r="F722" s="873"/>
      <c r="G722" s="873"/>
      <c r="H722" s="873"/>
      <c r="I722" s="873"/>
      <c r="J722" s="873"/>
      <c r="K722" s="873"/>
      <c r="L722" s="873"/>
      <c r="M722" s="873"/>
      <c r="N722" s="873"/>
      <c r="O722" s="873"/>
      <c r="P722" s="873"/>
      <c r="Q722" s="873"/>
      <c r="R722" s="873"/>
      <c r="S722" s="873"/>
      <c r="T722" s="873"/>
      <c r="U722" s="873"/>
      <c r="V722" s="873"/>
      <c r="W722" s="873"/>
      <c r="X722" s="873"/>
      <c r="Y722" s="873"/>
      <c r="Z722" s="873"/>
      <c r="AA722" s="873"/>
      <c r="AB722" s="873"/>
      <c r="AC722" s="873"/>
      <c r="AD722" s="873"/>
      <c r="AE722" s="873"/>
      <c r="AF722" s="873"/>
      <c r="AG722" s="873"/>
      <c r="AH722" s="873"/>
      <c r="AI722" s="873"/>
      <c r="AJ722" s="873"/>
      <c r="AK722" s="873"/>
      <c r="AL722" s="873"/>
      <c r="AM722" s="873"/>
      <c r="AN722" s="873"/>
      <c r="AO722" s="873"/>
      <c r="AP722" s="873"/>
      <c r="AQ722" s="873"/>
      <c r="AR722" s="873"/>
      <c r="AS722" s="873"/>
    </row>
    <row r="723" spans="1:45" ht="12.75" x14ac:dyDescent="0.2">
      <c r="A723" s="873"/>
      <c r="B723" s="873"/>
      <c r="C723" s="873"/>
      <c r="D723" s="873"/>
      <c r="E723" s="873"/>
      <c r="F723" s="873"/>
      <c r="G723" s="873"/>
      <c r="H723" s="873"/>
      <c r="I723" s="873"/>
      <c r="J723" s="873"/>
      <c r="K723" s="873"/>
      <c r="L723" s="873"/>
      <c r="M723" s="873"/>
      <c r="N723" s="873"/>
      <c r="O723" s="873"/>
      <c r="P723" s="873"/>
      <c r="Q723" s="873"/>
      <c r="R723" s="873"/>
      <c r="S723" s="873"/>
      <c r="T723" s="873"/>
      <c r="U723" s="873"/>
      <c r="V723" s="873"/>
      <c r="W723" s="873"/>
      <c r="X723" s="873"/>
      <c r="Y723" s="873"/>
      <c r="Z723" s="873"/>
      <c r="AA723" s="873"/>
      <c r="AB723" s="873"/>
      <c r="AC723" s="873"/>
      <c r="AD723" s="873"/>
      <c r="AE723" s="873"/>
      <c r="AF723" s="873"/>
      <c r="AG723" s="873"/>
      <c r="AH723" s="873"/>
      <c r="AI723" s="873"/>
      <c r="AJ723" s="873"/>
      <c r="AK723" s="873"/>
      <c r="AL723" s="873"/>
      <c r="AM723" s="873"/>
      <c r="AN723" s="873"/>
      <c r="AO723" s="873"/>
      <c r="AP723" s="873"/>
      <c r="AQ723" s="873"/>
      <c r="AR723" s="873"/>
      <c r="AS723" s="873"/>
    </row>
    <row r="724" spans="1:45" ht="12.75" x14ac:dyDescent="0.2">
      <c r="A724" s="873"/>
      <c r="B724" s="873"/>
      <c r="C724" s="873"/>
      <c r="D724" s="873"/>
      <c r="E724" s="873"/>
      <c r="F724" s="873"/>
      <c r="G724" s="873"/>
      <c r="H724" s="873"/>
      <c r="I724" s="873"/>
      <c r="J724" s="873"/>
      <c r="K724" s="873"/>
      <c r="L724" s="873"/>
      <c r="M724" s="873"/>
      <c r="N724" s="873"/>
      <c r="O724" s="873"/>
      <c r="P724" s="873"/>
      <c r="Q724" s="873"/>
      <c r="R724" s="873"/>
      <c r="S724" s="873"/>
      <c r="T724" s="873"/>
      <c r="U724" s="873"/>
      <c r="V724" s="873"/>
      <c r="W724" s="873"/>
      <c r="X724" s="873"/>
      <c r="Y724" s="873"/>
      <c r="Z724" s="873"/>
      <c r="AA724" s="873"/>
      <c r="AB724" s="873"/>
      <c r="AC724" s="873"/>
      <c r="AD724" s="873"/>
      <c r="AE724" s="873"/>
      <c r="AF724" s="873"/>
      <c r="AG724" s="873"/>
      <c r="AH724" s="873"/>
      <c r="AI724" s="873"/>
      <c r="AJ724" s="873"/>
      <c r="AK724" s="873"/>
      <c r="AL724" s="873"/>
      <c r="AM724" s="873"/>
      <c r="AN724" s="873"/>
      <c r="AO724" s="873"/>
      <c r="AP724" s="873"/>
      <c r="AQ724" s="873"/>
      <c r="AR724" s="873"/>
      <c r="AS724" s="873"/>
    </row>
    <row r="725" spans="1:45" ht="12.75" x14ac:dyDescent="0.2">
      <c r="A725" s="873"/>
      <c r="B725" s="873"/>
      <c r="C725" s="873"/>
      <c r="D725" s="873"/>
      <c r="E725" s="873"/>
      <c r="F725" s="873"/>
      <c r="G725" s="873"/>
      <c r="H725" s="873"/>
      <c r="I725" s="873"/>
      <c r="J725" s="873"/>
      <c r="K725" s="873"/>
      <c r="L725" s="873"/>
      <c r="M725" s="873"/>
      <c r="N725" s="873"/>
      <c r="O725" s="873"/>
      <c r="P725" s="873"/>
      <c r="Q725" s="873"/>
      <c r="R725" s="873"/>
      <c r="S725" s="873"/>
      <c r="T725" s="873"/>
      <c r="U725" s="873"/>
      <c r="V725" s="873"/>
      <c r="W725" s="873"/>
      <c r="X725" s="873"/>
      <c r="Y725" s="873"/>
      <c r="Z725" s="873"/>
      <c r="AA725" s="873"/>
      <c r="AB725" s="873"/>
      <c r="AC725" s="873"/>
      <c r="AD725" s="873"/>
      <c r="AE725" s="873"/>
      <c r="AF725" s="873"/>
      <c r="AG725" s="873"/>
      <c r="AH725" s="873"/>
      <c r="AI725" s="873"/>
      <c r="AJ725" s="873"/>
      <c r="AK725" s="873"/>
      <c r="AL725" s="873"/>
      <c r="AM725" s="873"/>
      <c r="AN725" s="873"/>
      <c r="AO725" s="873"/>
      <c r="AP725" s="873"/>
      <c r="AQ725" s="873"/>
      <c r="AR725" s="873"/>
      <c r="AS725" s="873"/>
    </row>
    <row r="726" spans="1:45" ht="12.75" x14ac:dyDescent="0.2">
      <c r="A726" s="873"/>
      <c r="B726" s="873"/>
      <c r="C726" s="873"/>
      <c r="D726" s="873"/>
      <c r="E726" s="873"/>
      <c r="F726" s="873"/>
      <c r="G726" s="873"/>
      <c r="H726" s="873"/>
      <c r="I726" s="873"/>
      <c r="J726" s="873"/>
      <c r="K726" s="873"/>
      <c r="L726" s="873"/>
      <c r="M726" s="873"/>
      <c r="N726" s="873"/>
      <c r="O726" s="873"/>
      <c r="P726" s="873"/>
      <c r="Q726" s="873"/>
      <c r="R726" s="873"/>
      <c r="S726" s="873"/>
      <c r="T726" s="873"/>
      <c r="U726" s="873"/>
      <c r="V726" s="873"/>
      <c r="W726" s="873"/>
      <c r="X726" s="873"/>
      <c r="Y726" s="873"/>
      <c r="Z726" s="873"/>
      <c r="AA726" s="873"/>
      <c r="AB726" s="873"/>
      <c r="AC726" s="873"/>
      <c r="AD726" s="873"/>
      <c r="AE726" s="873"/>
      <c r="AF726" s="873"/>
      <c r="AG726" s="873"/>
      <c r="AH726" s="873"/>
      <c r="AI726" s="873"/>
      <c r="AJ726" s="873"/>
      <c r="AK726" s="873"/>
      <c r="AL726" s="873"/>
      <c r="AM726" s="873"/>
      <c r="AN726" s="873"/>
      <c r="AO726" s="873"/>
      <c r="AP726" s="873"/>
      <c r="AQ726" s="873"/>
      <c r="AR726" s="873"/>
      <c r="AS726" s="873"/>
    </row>
    <row r="727" spans="1:45" ht="12.75" x14ac:dyDescent="0.2">
      <c r="A727" s="873"/>
      <c r="B727" s="873"/>
      <c r="C727" s="873"/>
      <c r="D727" s="873"/>
      <c r="E727" s="873"/>
      <c r="F727" s="873"/>
      <c r="G727" s="873"/>
      <c r="H727" s="873"/>
      <c r="I727" s="873"/>
      <c r="J727" s="873"/>
      <c r="K727" s="873"/>
      <c r="L727" s="873"/>
      <c r="M727" s="873"/>
      <c r="N727" s="873"/>
      <c r="O727" s="873"/>
      <c r="P727" s="873"/>
      <c r="Q727" s="873"/>
      <c r="R727" s="873"/>
      <c r="S727" s="873"/>
      <c r="T727" s="873"/>
      <c r="U727" s="873"/>
      <c r="V727" s="873"/>
      <c r="W727" s="873"/>
      <c r="X727" s="873"/>
      <c r="Y727" s="873"/>
      <c r="Z727" s="873"/>
      <c r="AA727" s="873"/>
      <c r="AB727" s="873"/>
      <c r="AC727" s="873"/>
      <c r="AD727" s="873"/>
      <c r="AE727" s="873"/>
      <c r="AF727" s="873"/>
      <c r="AG727" s="873"/>
      <c r="AH727" s="873"/>
      <c r="AI727" s="873"/>
      <c r="AJ727" s="873"/>
      <c r="AK727" s="873"/>
      <c r="AL727" s="873"/>
      <c r="AM727" s="873"/>
      <c r="AN727" s="873"/>
      <c r="AO727" s="873"/>
      <c r="AP727" s="873"/>
      <c r="AQ727" s="873"/>
      <c r="AR727" s="873"/>
      <c r="AS727" s="873"/>
    </row>
    <row r="728" spans="1:45" ht="12.75" x14ac:dyDescent="0.2">
      <c r="A728" s="873"/>
      <c r="B728" s="873"/>
      <c r="C728" s="873"/>
      <c r="D728" s="873"/>
      <c r="E728" s="873"/>
      <c r="F728" s="873"/>
      <c r="G728" s="873"/>
      <c r="H728" s="873"/>
      <c r="I728" s="873"/>
      <c r="J728" s="873"/>
      <c r="K728" s="873"/>
      <c r="L728" s="873"/>
      <c r="M728" s="873"/>
      <c r="N728" s="873"/>
      <c r="O728" s="873"/>
      <c r="P728" s="873"/>
      <c r="Q728" s="873"/>
      <c r="R728" s="873"/>
      <c r="S728" s="873"/>
      <c r="T728" s="873"/>
      <c r="U728" s="873"/>
      <c r="V728" s="873"/>
      <c r="W728" s="873"/>
      <c r="X728" s="873"/>
      <c r="Y728" s="873"/>
      <c r="Z728" s="873"/>
      <c r="AA728" s="873"/>
      <c r="AB728" s="873"/>
      <c r="AC728" s="873"/>
      <c r="AD728" s="873"/>
      <c r="AE728" s="873"/>
      <c r="AF728" s="873"/>
      <c r="AG728" s="873"/>
      <c r="AH728" s="873"/>
      <c r="AI728" s="873"/>
      <c r="AJ728" s="873"/>
      <c r="AK728" s="873"/>
      <c r="AL728" s="873"/>
      <c r="AM728" s="873"/>
      <c r="AN728" s="873"/>
      <c r="AO728" s="873"/>
      <c r="AP728" s="873"/>
      <c r="AQ728" s="873"/>
      <c r="AR728" s="873"/>
      <c r="AS728" s="873"/>
    </row>
    <row r="729" spans="1:45" ht="12.75" x14ac:dyDescent="0.2">
      <c r="A729" s="873"/>
      <c r="B729" s="873"/>
      <c r="C729" s="873"/>
      <c r="D729" s="873"/>
      <c r="E729" s="873"/>
      <c r="F729" s="873"/>
      <c r="G729" s="873"/>
      <c r="H729" s="873"/>
      <c r="I729" s="873"/>
      <c r="J729" s="873"/>
      <c r="K729" s="873"/>
      <c r="L729" s="873"/>
      <c r="M729" s="873"/>
      <c r="N729" s="873"/>
      <c r="O729" s="873"/>
      <c r="P729" s="873"/>
      <c r="Q729" s="873"/>
      <c r="R729" s="873"/>
      <c r="S729" s="873"/>
      <c r="T729" s="873"/>
      <c r="U729" s="873"/>
      <c r="V729" s="873"/>
      <c r="W729" s="873"/>
      <c r="X729" s="873"/>
      <c r="Y729" s="873"/>
      <c r="Z729" s="873"/>
      <c r="AA729" s="873"/>
      <c r="AB729" s="873"/>
      <c r="AC729" s="873"/>
      <c r="AD729" s="873"/>
      <c r="AE729" s="873"/>
      <c r="AF729" s="873"/>
      <c r="AG729" s="873"/>
      <c r="AH729" s="873"/>
      <c r="AI729" s="873"/>
      <c r="AJ729" s="873"/>
      <c r="AK729" s="873"/>
      <c r="AL729" s="873"/>
      <c r="AM729" s="873"/>
      <c r="AN729" s="873"/>
      <c r="AO729" s="873"/>
      <c r="AP729" s="873"/>
      <c r="AQ729" s="873"/>
      <c r="AR729" s="873"/>
      <c r="AS729" s="873"/>
    </row>
    <row r="730" spans="1:45" ht="12.75" x14ac:dyDescent="0.2">
      <c r="A730" s="873"/>
      <c r="B730" s="873"/>
      <c r="C730" s="873"/>
      <c r="D730" s="873"/>
      <c r="E730" s="873"/>
      <c r="F730" s="873"/>
      <c r="G730" s="873"/>
      <c r="H730" s="873"/>
      <c r="I730" s="873"/>
      <c r="J730" s="873"/>
      <c r="K730" s="873"/>
      <c r="L730" s="873"/>
      <c r="M730" s="873"/>
      <c r="N730" s="873"/>
      <c r="O730" s="873"/>
      <c r="P730" s="873"/>
      <c r="Q730" s="873"/>
      <c r="R730" s="873"/>
      <c r="S730" s="873"/>
      <c r="T730" s="873"/>
      <c r="U730" s="873"/>
      <c r="V730" s="873"/>
      <c r="W730" s="873"/>
      <c r="X730" s="873"/>
      <c r="Y730" s="873"/>
      <c r="Z730" s="873"/>
      <c r="AA730" s="873"/>
      <c r="AB730" s="873"/>
      <c r="AC730" s="873"/>
      <c r="AD730" s="873"/>
      <c r="AE730" s="873"/>
      <c r="AF730" s="873"/>
      <c r="AG730" s="873"/>
      <c r="AH730" s="873"/>
      <c r="AI730" s="873"/>
      <c r="AJ730" s="873"/>
      <c r="AK730" s="873"/>
      <c r="AL730" s="873"/>
      <c r="AM730" s="873"/>
      <c r="AN730" s="873"/>
      <c r="AO730" s="873"/>
      <c r="AP730" s="873"/>
      <c r="AQ730" s="873"/>
      <c r="AR730" s="873"/>
      <c r="AS730" s="873"/>
    </row>
    <row r="731" spans="1:45" ht="12.75" x14ac:dyDescent="0.2">
      <c r="A731" s="873"/>
      <c r="B731" s="873"/>
      <c r="C731" s="873"/>
      <c r="D731" s="873"/>
      <c r="E731" s="873"/>
      <c r="F731" s="873"/>
      <c r="G731" s="873"/>
      <c r="H731" s="873"/>
      <c r="I731" s="873"/>
      <c r="J731" s="873"/>
      <c r="K731" s="873"/>
      <c r="L731" s="873"/>
      <c r="M731" s="873"/>
      <c r="N731" s="873"/>
      <c r="O731" s="873"/>
      <c r="P731" s="873"/>
      <c r="Q731" s="873"/>
      <c r="R731" s="873"/>
      <c r="S731" s="873"/>
      <c r="T731" s="873"/>
      <c r="U731" s="873"/>
      <c r="V731" s="873"/>
      <c r="W731" s="873"/>
      <c r="X731" s="873"/>
      <c r="Y731" s="873"/>
      <c r="Z731" s="873"/>
      <c r="AA731" s="873"/>
      <c r="AB731" s="873"/>
      <c r="AC731" s="873"/>
      <c r="AD731" s="873"/>
      <c r="AE731" s="873"/>
      <c r="AF731" s="873"/>
      <c r="AG731" s="873"/>
      <c r="AH731" s="873"/>
      <c r="AI731" s="873"/>
      <c r="AJ731" s="873"/>
      <c r="AK731" s="873"/>
      <c r="AL731" s="873"/>
      <c r="AM731" s="873"/>
      <c r="AN731" s="873"/>
      <c r="AO731" s="873"/>
      <c r="AP731" s="873"/>
      <c r="AQ731" s="873"/>
      <c r="AR731" s="873"/>
      <c r="AS731" s="873"/>
    </row>
    <row r="732" spans="1:45" ht="12.75" x14ac:dyDescent="0.2">
      <c r="A732" s="873"/>
      <c r="B732" s="873"/>
      <c r="C732" s="873"/>
      <c r="D732" s="873"/>
      <c r="E732" s="873"/>
      <c r="F732" s="873"/>
      <c r="G732" s="873"/>
      <c r="H732" s="873"/>
      <c r="I732" s="873"/>
      <c r="J732" s="873"/>
      <c r="K732" s="873"/>
      <c r="L732" s="873"/>
      <c r="M732" s="873"/>
      <c r="N732" s="873"/>
      <c r="O732" s="873"/>
      <c r="P732" s="873"/>
      <c r="Q732" s="873"/>
      <c r="R732" s="873"/>
      <c r="S732" s="873"/>
      <c r="T732" s="873"/>
      <c r="U732" s="873"/>
      <c r="V732" s="873"/>
      <c r="W732" s="873"/>
      <c r="X732" s="873"/>
      <c r="Y732" s="873"/>
      <c r="Z732" s="873"/>
      <c r="AA732" s="873"/>
      <c r="AB732" s="873"/>
      <c r="AC732" s="873"/>
      <c r="AD732" s="873"/>
      <c r="AE732" s="873"/>
      <c r="AF732" s="873"/>
      <c r="AG732" s="873"/>
      <c r="AH732" s="873"/>
      <c r="AI732" s="873"/>
      <c r="AJ732" s="873"/>
      <c r="AK732" s="873"/>
      <c r="AL732" s="873"/>
      <c r="AM732" s="873"/>
      <c r="AN732" s="873"/>
      <c r="AO732" s="873"/>
      <c r="AP732" s="873"/>
      <c r="AQ732" s="873"/>
      <c r="AR732" s="873"/>
      <c r="AS732" s="873"/>
    </row>
    <row r="733" spans="1:45" ht="12.75" x14ac:dyDescent="0.2">
      <c r="A733" s="873"/>
      <c r="B733" s="873"/>
      <c r="C733" s="873"/>
      <c r="D733" s="873"/>
      <c r="E733" s="873"/>
      <c r="F733" s="873"/>
      <c r="G733" s="873"/>
      <c r="H733" s="873"/>
      <c r="I733" s="873"/>
      <c r="J733" s="873"/>
      <c r="K733" s="873"/>
      <c r="L733" s="873"/>
      <c r="M733" s="873"/>
      <c r="N733" s="873"/>
      <c r="O733" s="873"/>
      <c r="P733" s="873"/>
      <c r="Q733" s="873"/>
      <c r="R733" s="873"/>
      <c r="S733" s="873"/>
      <c r="T733" s="873"/>
      <c r="U733" s="873"/>
      <c r="V733" s="873"/>
      <c r="W733" s="873"/>
      <c r="X733" s="873"/>
      <c r="Y733" s="873"/>
      <c r="Z733" s="873"/>
      <c r="AA733" s="873"/>
      <c r="AB733" s="873"/>
      <c r="AC733" s="873"/>
      <c r="AD733" s="873"/>
      <c r="AE733" s="873"/>
      <c r="AF733" s="873"/>
      <c r="AG733" s="873"/>
      <c r="AH733" s="873"/>
      <c r="AI733" s="873"/>
      <c r="AJ733" s="873"/>
      <c r="AK733" s="873"/>
      <c r="AL733" s="873"/>
      <c r="AM733" s="873"/>
      <c r="AN733" s="873"/>
      <c r="AO733" s="873"/>
      <c r="AP733" s="873"/>
      <c r="AQ733" s="873"/>
      <c r="AR733" s="873"/>
      <c r="AS733" s="873"/>
    </row>
    <row r="734" spans="1:45" ht="12.75" x14ac:dyDescent="0.2">
      <c r="A734" s="873"/>
      <c r="B734" s="873"/>
      <c r="C734" s="873"/>
      <c r="D734" s="873"/>
      <c r="E734" s="873"/>
      <c r="F734" s="873"/>
      <c r="G734" s="873"/>
      <c r="H734" s="873"/>
      <c r="I734" s="873"/>
      <c r="J734" s="873"/>
      <c r="K734" s="873"/>
      <c r="L734" s="873"/>
      <c r="M734" s="873"/>
      <c r="N734" s="873"/>
      <c r="O734" s="873"/>
      <c r="P734" s="873"/>
      <c r="Q734" s="873"/>
      <c r="R734" s="873"/>
      <c r="S734" s="873"/>
      <c r="T734" s="873"/>
      <c r="U734" s="873"/>
      <c r="V734" s="873"/>
      <c r="W734" s="873"/>
      <c r="X734" s="873"/>
      <c r="Y734" s="873"/>
      <c r="Z734" s="873"/>
      <c r="AA734" s="873"/>
      <c r="AB734" s="873"/>
      <c r="AC734" s="873"/>
      <c r="AD734" s="873"/>
      <c r="AE734" s="873"/>
      <c r="AF734" s="873"/>
      <c r="AG734" s="873"/>
      <c r="AH734" s="873"/>
      <c r="AI734" s="873"/>
      <c r="AJ734" s="873"/>
      <c r="AK734" s="873"/>
      <c r="AL734" s="873"/>
      <c r="AM734" s="873"/>
      <c r="AN734" s="873"/>
      <c r="AO734" s="873"/>
      <c r="AP734" s="873"/>
      <c r="AQ734" s="873"/>
      <c r="AR734" s="873"/>
      <c r="AS734" s="873"/>
    </row>
    <row r="735" spans="1:45" ht="12.75" x14ac:dyDescent="0.2">
      <c r="A735" s="873"/>
      <c r="B735" s="873"/>
      <c r="C735" s="873"/>
      <c r="D735" s="873"/>
      <c r="E735" s="873"/>
      <c r="F735" s="873"/>
      <c r="G735" s="873"/>
      <c r="H735" s="873"/>
      <c r="I735" s="873"/>
      <c r="J735" s="873"/>
      <c r="K735" s="873"/>
      <c r="L735" s="873"/>
      <c r="M735" s="873"/>
      <c r="N735" s="873"/>
      <c r="O735" s="873"/>
      <c r="P735" s="873"/>
      <c r="Q735" s="873"/>
      <c r="R735" s="873"/>
      <c r="S735" s="873"/>
      <c r="T735" s="873"/>
      <c r="U735" s="873"/>
      <c r="V735" s="873"/>
      <c r="W735" s="873"/>
      <c r="X735" s="873"/>
      <c r="Y735" s="873"/>
      <c r="Z735" s="873"/>
      <c r="AA735" s="873"/>
      <c r="AB735" s="873"/>
      <c r="AC735" s="873"/>
      <c r="AD735" s="873"/>
      <c r="AE735" s="873"/>
      <c r="AF735" s="873"/>
      <c r="AG735" s="873"/>
      <c r="AH735" s="873"/>
      <c r="AI735" s="873"/>
      <c r="AJ735" s="873"/>
      <c r="AK735" s="873"/>
      <c r="AL735" s="873"/>
      <c r="AM735" s="873"/>
      <c r="AN735" s="873"/>
      <c r="AO735" s="873"/>
      <c r="AP735" s="873"/>
      <c r="AQ735" s="873"/>
      <c r="AR735" s="873"/>
      <c r="AS735" s="873"/>
    </row>
    <row r="736" spans="1:45" ht="12.75" x14ac:dyDescent="0.2">
      <c r="A736" s="873"/>
      <c r="B736" s="873"/>
      <c r="C736" s="873"/>
      <c r="D736" s="873"/>
      <c r="E736" s="873"/>
      <c r="F736" s="873"/>
      <c r="G736" s="873"/>
      <c r="H736" s="873"/>
      <c r="I736" s="873"/>
      <c r="J736" s="873"/>
      <c r="K736" s="873"/>
      <c r="L736" s="873"/>
      <c r="M736" s="873"/>
      <c r="N736" s="873"/>
      <c r="O736" s="873"/>
      <c r="P736" s="873"/>
      <c r="Q736" s="873"/>
      <c r="R736" s="873"/>
      <c r="S736" s="873"/>
      <c r="T736" s="873"/>
      <c r="U736" s="873"/>
      <c r="V736" s="873"/>
      <c r="W736" s="873"/>
      <c r="X736" s="873"/>
      <c r="Y736" s="873"/>
      <c r="Z736" s="873"/>
      <c r="AA736" s="873"/>
      <c r="AB736" s="873"/>
      <c r="AC736" s="873"/>
      <c r="AD736" s="873"/>
      <c r="AE736" s="873"/>
      <c r="AF736" s="873"/>
      <c r="AG736" s="873"/>
      <c r="AH736" s="873"/>
      <c r="AI736" s="873"/>
      <c r="AJ736" s="873"/>
      <c r="AK736" s="873"/>
      <c r="AL736" s="873"/>
      <c r="AM736" s="873"/>
      <c r="AN736" s="873"/>
      <c r="AO736" s="873"/>
      <c r="AP736" s="873"/>
      <c r="AQ736" s="873"/>
      <c r="AR736" s="873"/>
      <c r="AS736" s="873"/>
    </row>
    <row r="737" spans="1:45" ht="12.75" x14ac:dyDescent="0.2">
      <c r="A737" s="873"/>
      <c r="B737" s="873"/>
      <c r="C737" s="873"/>
      <c r="D737" s="873"/>
      <c r="E737" s="873"/>
      <c r="F737" s="873"/>
      <c r="G737" s="873"/>
      <c r="H737" s="873"/>
      <c r="I737" s="873"/>
      <c r="J737" s="873"/>
      <c r="K737" s="873"/>
      <c r="L737" s="873"/>
      <c r="M737" s="873"/>
      <c r="N737" s="873"/>
      <c r="O737" s="873"/>
      <c r="P737" s="873"/>
      <c r="Q737" s="873"/>
      <c r="R737" s="873"/>
      <c r="S737" s="873"/>
      <c r="T737" s="873"/>
      <c r="U737" s="873"/>
      <c r="V737" s="873"/>
      <c r="W737" s="873"/>
      <c r="X737" s="873"/>
      <c r="Y737" s="873"/>
      <c r="Z737" s="873"/>
      <c r="AA737" s="873"/>
      <c r="AB737" s="873"/>
      <c r="AC737" s="873"/>
      <c r="AD737" s="873"/>
      <c r="AE737" s="873"/>
      <c r="AF737" s="873"/>
      <c r="AG737" s="873"/>
      <c r="AH737" s="873"/>
      <c r="AI737" s="873"/>
      <c r="AJ737" s="873"/>
      <c r="AK737" s="873"/>
      <c r="AL737" s="873"/>
      <c r="AM737" s="873"/>
      <c r="AN737" s="873"/>
      <c r="AO737" s="873"/>
      <c r="AP737" s="873"/>
      <c r="AQ737" s="873"/>
      <c r="AR737" s="873"/>
      <c r="AS737" s="873"/>
    </row>
    <row r="738" spans="1:45" ht="12.75" x14ac:dyDescent="0.2">
      <c r="A738" s="873"/>
      <c r="B738" s="873"/>
      <c r="C738" s="873"/>
      <c r="D738" s="873"/>
      <c r="E738" s="873"/>
      <c r="F738" s="873"/>
      <c r="G738" s="873"/>
      <c r="H738" s="873"/>
      <c r="I738" s="873"/>
      <c r="J738" s="873"/>
      <c r="K738" s="873"/>
      <c r="L738" s="873"/>
      <c r="M738" s="873"/>
      <c r="N738" s="873"/>
      <c r="O738" s="873"/>
      <c r="P738" s="873"/>
      <c r="Q738" s="873"/>
      <c r="R738" s="873"/>
      <c r="S738" s="873"/>
      <c r="T738" s="873"/>
      <c r="U738" s="873"/>
      <c r="V738" s="873"/>
      <c r="W738" s="873"/>
      <c r="X738" s="873"/>
      <c r="Y738" s="873"/>
      <c r="Z738" s="873"/>
      <c r="AA738" s="873"/>
      <c r="AB738" s="873"/>
      <c r="AC738" s="873"/>
      <c r="AD738" s="873"/>
      <c r="AE738" s="873"/>
      <c r="AF738" s="873"/>
      <c r="AG738" s="873"/>
      <c r="AH738" s="873"/>
      <c r="AI738" s="873"/>
      <c r="AJ738" s="873"/>
      <c r="AK738" s="873"/>
      <c r="AL738" s="873"/>
      <c r="AM738" s="873"/>
      <c r="AN738" s="873"/>
      <c r="AO738" s="873"/>
      <c r="AP738" s="873"/>
      <c r="AQ738" s="873"/>
      <c r="AR738" s="873"/>
      <c r="AS738" s="873"/>
    </row>
    <row r="739" spans="1:45" ht="12.75" x14ac:dyDescent="0.2">
      <c r="A739" s="873"/>
      <c r="B739" s="873"/>
      <c r="C739" s="873"/>
      <c r="D739" s="873"/>
      <c r="E739" s="873"/>
      <c r="F739" s="873"/>
      <c r="G739" s="873"/>
      <c r="H739" s="873"/>
      <c r="I739" s="873"/>
      <c r="J739" s="873"/>
      <c r="K739" s="873"/>
      <c r="L739" s="873"/>
      <c r="M739" s="873"/>
      <c r="N739" s="873"/>
      <c r="O739" s="873"/>
      <c r="P739" s="873"/>
      <c r="Q739" s="873"/>
      <c r="R739" s="873"/>
      <c r="S739" s="873"/>
      <c r="T739" s="873"/>
      <c r="U739" s="873"/>
      <c r="V739" s="873"/>
      <c r="W739" s="873"/>
      <c r="X739" s="873"/>
      <c r="Y739" s="873"/>
      <c r="Z739" s="873"/>
      <c r="AA739" s="873"/>
      <c r="AB739" s="873"/>
      <c r="AC739" s="873"/>
      <c r="AD739" s="873"/>
      <c r="AE739" s="873"/>
      <c r="AF739" s="873"/>
      <c r="AG739" s="873"/>
      <c r="AH739" s="873"/>
      <c r="AI739" s="873"/>
      <c r="AJ739" s="873"/>
      <c r="AK739" s="873"/>
      <c r="AL739" s="873"/>
      <c r="AM739" s="873"/>
      <c r="AN739" s="873"/>
      <c r="AO739" s="873"/>
      <c r="AP739" s="873"/>
      <c r="AQ739" s="873"/>
      <c r="AR739" s="873"/>
      <c r="AS739" s="873"/>
    </row>
    <row r="740" spans="1:45" ht="12.75" x14ac:dyDescent="0.2">
      <c r="A740" s="873"/>
      <c r="B740" s="873"/>
      <c r="C740" s="873"/>
      <c r="D740" s="873"/>
      <c r="E740" s="873"/>
      <c r="F740" s="873"/>
      <c r="G740" s="873"/>
      <c r="H740" s="873"/>
      <c r="I740" s="873"/>
      <c r="J740" s="873"/>
      <c r="K740" s="873"/>
      <c r="L740" s="873"/>
      <c r="M740" s="873"/>
      <c r="N740" s="873"/>
      <c r="O740" s="873"/>
      <c r="P740" s="873"/>
      <c r="Q740" s="873"/>
      <c r="R740" s="873"/>
      <c r="S740" s="873"/>
      <c r="T740" s="873"/>
      <c r="U740" s="873"/>
      <c r="V740" s="873"/>
      <c r="W740" s="873"/>
      <c r="X740" s="873"/>
      <c r="Y740" s="873"/>
      <c r="Z740" s="873"/>
      <c r="AA740" s="873"/>
      <c r="AB740" s="873"/>
      <c r="AC740" s="873"/>
      <c r="AD740" s="873"/>
      <c r="AE740" s="873"/>
      <c r="AF740" s="873"/>
      <c r="AG740" s="873"/>
      <c r="AH740" s="873"/>
      <c r="AI740" s="873"/>
      <c r="AJ740" s="873"/>
      <c r="AK740" s="873"/>
      <c r="AL740" s="873"/>
      <c r="AM740" s="873"/>
      <c r="AN740" s="873"/>
      <c r="AO740" s="873"/>
      <c r="AP740" s="873"/>
      <c r="AQ740" s="873"/>
      <c r="AR740" s="873"/>
      <c r="AS740" s="873"/>
    </row>
    <row r="741" spans="1:45" ht="12.75" x14ac:dyDescent="0.2">
      <c r="A741" s="873"/>
      <c r="B741" s="873"/>
      <c r="C741" s="873"/>
      <c r="D741" s="873"/>
      <c r="E741" s="873"/>
      <c r="F741" s="873"/>
      <c r="G741" s="873"/>
      <c r="H741" s="873"/>
      <c r="I741" s="873"/>
      <c r="J741" s="873"/>
      <c r="K741" s="873"/>
      <c r="L741" s="873"/>
      <c r="M741" s="873"/>
      <c r="N741" s="873"/>
      <c r="O741" s="873"/>
      <c r="P741" s="873"/>
      <c r="Q741" s="873"/>
      <c r="R741" s="873"/>
      <c r="S741" s="873"/>
      <c r="T741" s="873"/>
      <c r="U741" s="873"/>
      <c r="V741" s="873"/>
      <c r="W741" s="873"/>
      <c r="X741" s="873"/>
      <c r="Y741" s="873"/>
      <c r="Z741" s="873"/>
      <c r="AA741" s="873"/>
      <c r="AB741" s="873"/>
      <c r="AC741" s="873"/>
      <c r="AD741" s="873"/>
      <c r="AE741" s="873"/>
      <c r="AF741" s="873"/>
      <c r="AG741" s="873"/>
      <c r="AH741" s="873"/>
      <c r="AI741" s="873"/>
      <c r="AJ741" s="873"/>
      <c r="AK741" s="873"/>
      <c r="AL741" s="873"/>
      <c r="AM741" s="873"/>
      <c r="AN741" s="873"/>
      <c r="AO741" s="873"/>
      <c r="AP741" s="873"/>
      <c r="AQ741" s="873"/>
      <c r="AR741" s="873"/>
      <c r="AS741" s="873"/>
    </row>
    <row r="742" spans="1:45" ht="12.75" x14ac:dyDescent="0.2">
      <c r="A742" s="873"/>
      <c r="B742" s="873"/>
      <c r="C742" s="873"/>
      <c r="D742" s="873"/>
      <c r="E742" s="873"/>
      <c r="F742" s="873"/>
      <c r="G742" s="873"/>
      <c r="H742" s="873"/>
      <c r="I742" s="873"/>
      <c r="J742" s="873"/>
      <c r="K742" s="873"/>
      <c r="L742" s="873"/>
      <c r="M742" s="873"/>
      <c r="N742" s="873"/>
      <c r="O742" s="873"/>
      <c r="P742" s="873"/>
      <c r="Q742" s="873"/>
      <c r="R742" s="873"/>
      <c r="S742" s="873"/>
      <c r="T742" s="873"/>
      <c r="U742" s="873"/>
      <c r="V742" s="873"/>
      <c r="W742" s="873"/>
      <c r="X742" s="873"/>
      <c r="Y742" s="873"/>
      <c r="Z742" s="873"/>
      <c r="AA742" s="873"/>
      <c r="AB742" s="873"/>
      <c r="AC742" s="873"/>
      <c r="AD742" s="873"/>
      <c r="AE742" s="873"/>
      <c r="AF742" s="873"/>
      <c r="AG742" s="873"/>
      <c r="AH742" s="873"/>
      <c r="AI742" s="873"/>
      <c r="AJ742" s="873"/>
      <c r="AK742" s="873"/>
      <c r="AL742" s="873"/>
      <c r="AM742" s="873"/>
      <c r="AN742" s="873"/>
      <c r="AO742" s="873"/>
      <c r="AP742" s="873"/>
      <c r="AQ742" s="873"/>
      <c r="AR742" s="873"/>
      <c r="AS742" s="873"/>
    </row>
    <row r="743" spans="1:45" ht="12.75" x14ac:dyDescent="0.2">
      <c r="A743" s="873"/>
      <c r="B743" s="873"/>
      <c r="C743" s="873"/>
      <c r="D743" s="873"/>
      <c r="E743" s="873"/>
      <c r="F743" s="873"/>
      <c r="G743" s="873"/>
      <c r="H743" s="873"/>
      <c r="I743" s="873"/>
      <c r="J743" s="873"/>
      <c r="K743" s="873"/>
      <c r="L743" s="873"/>
      <c r="M743" s="873"/>
      <c r="N743" s="873"/>
      <c r="O743" s="873"/>
      <c r="P743" s="873"/>
      <c r="Q743" s="873"/>
      <c r="R743" s="873"/>
      <c r="S743" s="873"/>
      <c r="T743" s="873"/>
      <c r="U743" s="873"/>
      <c r="V743" s="873"/>
      <c r="W743" s="873"/>
      <c r="X743" s="873"/>
      <c r="Y743" s="873"/>
      <c r="Z743" s="873"/>
      <c r="AA743" s="873"/>
      <c r="AB743" s="873"/>
      <c r="AC743" s="873"/>
      <c r="AD743" s="873"/>
      <c r="AE743" s="873"/>
      <c r="AF743" s="873"/>
      <c r="AG743" s="873"/>
      <c r="AH743" s="873"/>
      <c r="AI743" s="873"/>
      <c r="AJ743" s="873"/>
      <c r="AK743" s="873"/>
      <c r="AL743" s="873"/>
      <c r="AM743" s="873"/>
      <c r="AN743" s="873"/>
      <c r="AO743" s="873"/>
      <c r="AP743" s="873"/>
      <c r="AQ743" s="873"/>
      <c r="AR743" s="873"/>
      <c r="AS743" s="873"/>
    </row>
    <row r="744" spans="1:45" ht="12.75" x14ac:dyDescent="0.2">
      <c r="A744" s="873"/>
      <c r="B744" s="873"/>
      <c r="C744" s="873"/>
      <c r="D744" s="873"/>
      <c r="E744" s="873"/>
      <c r="F744" s="873"/>
      <c r="G744" s="873"/>
      <c r="H744" s="873"/>
      <c r="I744" s="873"/>
      <c r="J744" s="873"/>
      <c r="K744" s="873"/>
      <c r="L744" s="873"/>
      <c r="M744" s="873"/>
      <c r="N744" s="873"/>
      <c r="O744" s="873"/>
      <c r="P744" s="873"/>
      <c r="Q744" s="873"/>
      <c r="R744" s="873"/>
      <c r="S744" s="873"/>
      <c r="T744" s="873"/>
      <c r="U744" s="873"/>
      <c r="V744" s="873"/>
      <c r="W744" s="873"/>
      <c r="X744" s="873"/>
      <c r="Y744" s="873"/>
      <c r="Z744" s="873"/>
      <c r="AA744" s="873"/>
      <c r="AB744" s="873"/>
      <c r="AC744" s="873"/>
      <c r="AD744" s="873"/>
      <c r="AE744" s="873"/>
      <c r="AF744" s="873"/>
      <c r="AG744" s="873"/>
      <c r="AH744" s="873"/>
      <c r="AI744" s="873"/>
      <c r="AJ744" s="873"/>
      <c r="AK744" s="873"/>
      <c r="AL744" s="873"/>
      <c r="AM744" s="873"/>
      <c r="AN744" s="873"/>
      <c r="AO744" s="873"/>
      <c r="AP744" s="873"/>
      <c r="AQ744" s="873"/>
      <c r="AR744" s="873"/>
      <c r="AS744" s="873"/>
    </row>
    <row r="745" spans="1:45" ht="12.75" x14ac:dyDescent="0.2">
      <c r="A745" s="873"/>
      <c r="B745" s="873"/>
      <c r="C745" s="873"/>
      <c r="D745" s="873"/>
      <c r="E745" s="873"/>
      <c r="F745" s="873"/>
      <c r="G745" s="873"/>
      <c r="H745" s="873"/>
      <c r="I745" s="873"/>
      <c r="J745" s="873"/>
      <c r="K745" s="873"/>
      <c r="L745" s="873"/>
      <c r="M745" s="873"/>
      <c r="N745" s="873"/>
      <c r="O745" s="873"/>
      <c r="P745" s="873"/>
      <c r="Q745" s="873"/>
      <c r="R745" s="873"/>
      <c r="S745" s="873"/>
      <c r="T745" s="873"/>
      <c r="U745" s="873"/>
      <c r="V745" s="873"/>
      <c r="W745" s="873"/>
      <c r="X745" s="873"/>
      <c r="Y745" s="873"/>
      <c r="Z745" s="873"/>
      <c r="AA745" s="873"/>
      <c r="AB745" s="873"/>
      <c r="AC745" s="873"/>
      <c r="AD745" s="873"/>
      <c r="AE745" s="873"/>
      <c r="AF745" s="873"/>
      <c r="AG745" s="873"/>
      <c r="AH745" s="873"/>
      <c r="AI745" s="873"/>
      <c r="AJ745" s="873"/>
      <c r="AK745" s="873"/>
      <c r="AL745" s="873"/>
      <c r="AM745" s="873"/>
      <c r="AN745" s="873"/>
      <c r="AO745" s="873"/>
      <c r="AP745" s="873"/>
      <c r="AQ745" s="873"/>
      <c r="AR745" s="873"/>
      <c r="AS745" s="873"/>
    </row>
    <row r="746" spans="1:45" ht="12.75" x14ac:dyDescent="0.2">
      <c r="A746" s="873"/>
      <c r="B746" s="873"/>
      <c r="C746" s="873"/>
      <c r="D746" s="873"/>
      <c r="E746" s="873"/>
      <c r="F746" s="873"/>
      <c r="G746" s="873"/>
      <c r="H746" s="873"/>
      <c r="I746" s="873"/>
      <c r="J746" s="873"/>
      <c r="K746" s="873"/>
      <c r="L746" s="873"/>
      <c r="M746" s="873"/>
      <c r="N746" s="873"/>
      <c r="O746" s="873"/>
      <c r="P746" s="873"/>
      <c r="Q746" s="873"/>
      <c r="R746" s="873"/>
      <c r="S746" s="873"/>
      <c r="T746" s="873"/>
      <c r="U746" s="873"/>
      <c r="V746" s="873"/>
      <c r="W746" s="873"/>
      <c r="X746" s="873"/>
      <c r="Y746" s="873"/>
      <c r="Z746" s="873"/>
      <c r="AA746" s="873"/>
      <c r="AB746" s="873"/>
      <c r="AC746" s="873"/>
      <c r="AD746" s="873"/>
      <c r="AE746" s="873"/>
      <c r="AF746" s="873"/>
      <c r="AG746" s="873"/>
      <c r="AH746" s="873"/>
      <c r="AI746" s="873"/>
      <c r="AJ746" s="873"/>
      <c r="AK746" s="873"/>
      <c r="AL746" s="873"/>
      <c r="AM746" s="873"/>
      <c r="AN746" s="873"/>
      <c r="AO746" s="873"/>
      <c r="AP746" s="873"/>
      <c r="AQ746" s="873"/>
      <c r="AR746" s="873"/>
      <c r="AS746" s="873"/>
    </row>
    <row r="747" spans="1:45" ht="12.75" x14ac:dyDescent="0.2">
      <c r="A747" s="873"/>
      <c r="B747" s="873"/>
      <c r="C747" s="873"/>
      <c r="D747" s="873"/>
      <c r="E747" s="873"/>
      <c r="F747" s="873"/>
      <c r="G747" s="873"/>
      <c r="H747" s="873"/>
      <c r="I747" s="873"/>
      <c r="J747" s="873"/>
      <c r="K747" s="873"/>
      <c r="L747" s="873"/>
      <c r="M747" s="873"/>
      <c r="N747" s="873"/>
      <c r="O747" s="873"/>
      <c r="P747" s="873"/>
      <c r="Q747" s="873"/>
      <c r="R747" s="873"/>
      <c r="S747" s="873"/>
      <c r="T747" s="873"/>
      <c r="U747" s="873"/>
      <c r="V747" s="873"/>
      <c r="W747" s="873"/>
      <c r="X747" s="873"/>
      <c r="Y747" s="873"/>
      <c r="Z747" s="873"/>
      <c r="AA747" s="873"/>
      <c r="AB747" s="873"/>
      <c r="AC747" s="873"/>
      <c r="AD747" s="873"/>
      <c r="AE747" s="873"/>
      <c r="AF747" s="873"/>
      <c r="AG747" s="873"/>
      <c r="AH747" s="873"/>
      <c r="AI747" s="873"/>
      <c r="AJ747" s="873"/>
      <c r="AK747" s="873"/>
      <c r="AL747" s="873"/>
      <c r="AM747" s="873"/>
      <c r="AN747" s="873"/>
      <c r="AO747" s="873"/>
      <c r="AP747" s="873"/>
      <c r="AQ747" s="873"/>
      <c r="AR747" s="873"/>
      <c r="AS747" s="873"/>
    </row>
    <row r="748" spans="1:45" ht="12.75" x14ac:dyDescent="0.2">
      <c r="A748" s="873"/>
      <c r="B748" s="873"/>
      <c r="C748" s="873"/>
      <c r="D748" s="873"/>
      <c r="E748" s="873"/>
      <c r="F748" s="873"/>
      <c r="G748" s="873"/>
      <c r="H748" s="873"/>
      <c r="I748" s="873"/>
      <c r="J748" s="873"/>
      <c r="K748" s="873"/>
      <c r="L748" s="873"/>
      <c r="M748" s="873"/>
      <c r="N748" s="873"/>
      <c r="O748" s="873"/>
      <c r="P748" s="873"/>
      <c r="Q748" s="873"/>
      <c r="R748" s="873"/>
      <c r="S748" s="873"/>
      <c r="T748" s="873"/>
      <c r="U748" s="873"/>
      <c r="V748" s="873"/>
      <c r="W748" s="873"/>
      <c r="X748" s="873"/>
      <c r="Y748" s="873"/>
      <c r="Z748" s="873"/>
      <c r="AA748" s="873"/>
      <c r="AB748" s="873"/>
      <c r="AC748" s="873"/>
      <c r="AD748" s="873"/>
      <c r="AE748" s="873"/>
      <c r="AF748" s="873"/>
      <c r="AG748" s="873"/>
      <c r="AH748" s="873"/>
      <c r="AI748" s="873"/>
      <c r="AJ748" s="873"/>
      <c r="AK748" s="873"/>
      <c r="AL748" s="873"/>
      <c r="AM748" s="873"/>
      <c r="AN748" s="873"/>
      <c r="AO748" s="873"/>
      <c r="AP748" s="873"/>
      <c r="AQ748" s="873"/>
      <c r="AR748" s="873"/>
      <c r="AS748" s="873"/>
    </row>
    <row r="749" spans="1:45" ht="12.75" x14ac:dyDescent="0.2">
      <c r="A749" s="873"/>
      <c r="B749" s="873"/>
      <c r="C749" s="873"/>
      <c r="D749" s="873"/>
      <c r="E749" s="873"/>
      <c r="F749" s="873"/>
      <c r="G749" s="873"/>
      <c r="H749" s="873"/>
      <c r="I749" s="873"/>
      <c r="J749" s="873"/>
      <c r="K749" s="873"/>
      <c r="L749" s="873"/>
      <c r="M749" s="873"/>
      <c r="N749" s="873"/>
      <c r="O749" s="873"/>
      <c r="P749" s="873"/>
      <c r="Q749" s="873"/>
      <c r="R749" s="873"/>
      <c r="S749" s="873"/>
      <c r="T749" s="873"/>
      <c r="U749" s="873"/>
      <c r="V749" s="873"/>
      <c r="W749" s="873"/>
      <c r="X749" s="873"/>
      <c r="Y749" s="873"/>
      <c r="Z749" s="873"/>
      <c r="AA749" s="873"/>
      <c r="AB749" s="873"/>
      <c r="AC749" s="873"/>
      <c r="AD749" s="873"/>
      <c r="AE749" s="873"/>
      <c r="AF749" s="873"/>
      <c r="AG749" s="873"/>
      <c r="AH749" s="873"/>
      <c r="AI749" s="873"/>
      <c r="AJ749" s="873"/>
      <c r="AK749" s="873"/>
      <c r="AL749" s="873"/>
      <c r="AM749" s="873"/>
      <c r="AN749" s="873"/>
      <c r="AO749" s="873"/>
      <c r="AP749" s="873"/>
      <c r="AQ749" s="873"/>
      <c r="AR749" s="873"/>
      <c r="AS749" s="873"/>
    </row>
    <row r="750" spans="1:45" ht="12.75" x14ac:dyDescent="0.2">
      <c r="A750" s="873"/>
      <c r="B750" s="873"/>
      <c r="C750" s="873"/>
      <c r="D750" s="873"/>
      <c r="E750" s="873"/>
      <c r="F750" s="873"/>
      <c r="G750" s="873"/>
      <c r="H750" s="873"/>
      <c r="I750" s="873"/>
      <c r="J750" s="873"/>
      <c r="K750" s="873"/>
      <c r="L750" s="873"/>
      <c r="M750" s="873"/>
      <c r="N750" s="873"/>
      <c r="O750" s="873"/>
      <c r="P750" s="873"/>
      <c r="Q750" s="873"/>
      <c r="R750" s="873"/>
      <c r="S750" s="873"/>
      <c r="T750" s="873"/>
      <c r="U750" s="873"/>
      <c r="V750" s="873"/>
      <c r="W750" s="873"/>
      <c r="X750" s="873"/>
      <c r="Y750" s="873"/>
      <c r="Z750" s="873"/>
      <c r="AA750" s="873"/>
      <c r="AB750" s="873"/>
      <c r="AC750" s="873"/>
      <c r="AD750" s="873"/>
      <c r="AE750" s="873"/>
      <c r="AF750" s="873"/>
      <c r="AG750" s="873"/>
      <c r="AH750" s="873"/>
      <c r="AI750" s="873"/>
      <c r="AJ750" s="873"/>
      <c r="AK750" s="873"/>
      <c r="AL750" s="873"/>
      <c r="AM750" s="873"/>
      <c r="AN750" s="873"/>
      <c r="AO750" s="873"/>
      <c r="AP750" s="873"/>
      <c r="AQ750" s="873"/>
      <c r="AR750" s="873"/>
      <c r="AS750" s="873"/>
    </row>
    <row r="751" spans="1:45" ht="12.75" x14ac:dyDescent="0.2">
      <c r="A751" s="873"/>
      <c r="B751" s="873"/>
      <c r="C751" s="873"/>
      <c r="D751" s="873"/>
      <c r="E751" s="873"/>
      <c r="F751" s="873"/>
      <c r="G751" s="873"/>
      <c r="H751" s="873"/>
      <c r="I751" s="873"/>
      <c r="J751" s="873"/>
      <c r="K751" s="873"/>
      <c r="L751" s="873"/>
      <c r="M751" s="873"/>
      <c r="N751" s="873"/>
      <c r="O751" s="873"/>
      <c r="P751" s="873"/>
      <c r="Q751" s="873"/>
      <c r="R751" s="873"/>
      <c r="S751" s="873"/>
      <c r="T751" s="873"/>
      <c r="U751" s="873"/>
      <c r="V751" s="873"/>
      <c r="W751" s="873"/>
      <c r="X751" s="873"/>
      <c r="Y751" s="873"/>
      <c r="Z751" s="873"/>
      <c r="AA751" s="873"/>
      <c r="AB751" s="873"/>
      <c r="AC751" s="873"/>
      <c r="AD751" s="873"/>
      <c r="AE751" s="873"/>
      <c r="AF751" s="873"/>
      <c r="AG751" s="873"/>
      <c r="AH751" s="873"/>
      <c r="AI751" s="873"/>
      <c r="AJ751" s="873"/>
      <c r="AK751" s="873"/>
      <c r="AL751" s="873"/>
      <c r="AM751" s="873"/>
      <c r="AN751" s="873"/>
      <c r="AO751" s="873"/>
      <c r="AP751" s="873"/>
      <c r="AQ751" s="873"/>
      <c r="AR751" s="873"/>
      <c r="AS751" s="873"/>
    </row>
    <row r="752" spans="1:45" ht="12.75" x14ac:dyDescent="0.2">
      <c r="A752" s="873"/>
      <c r="B752" s="873"/>
      <c r="C752" s="873"/>
      <c r="D752" s="873"/>
      <c r="E752" s="873"/>
      <c r="F752" s="873"/>
      <c r="G752" s="873"/>
      <c r="H752" s="873"/>
      <c r="I752" s="873"/>
      <c r="J752" s="873"/>
      <c r="K752" s="873"/>
      <c r="L752" s="873"/>
      <c r="M752" s="873"/>
      <c r="N752" s="873"/>
      <c r="O752" s="873"/>
      <c r="P752" s="873"/>
      <c r="Q752" s="873"/>
      <c r="R752" s="873"/>
      <c r="S752" s="873"/>
      <c r="T752" s="873"/>
      <c r="U752" s="873"/>
      <c r="V752" s="873"/>
      <c r="W752" s="873"/>
      <c r="X752" s="873"/>
      <c r="Y752" s="873"/>
      <c r="Z752" s="873"/>
      <c r="AA752" s="873"/>
      <c r="AB752" s="873"/>
      <c r="AC752" s="873"/>
      <c r="AD752" s="873"/>
      <c r="AE752" s="873"/>
      <c r="AF752" s="873"/>
      <c r="AG752" s="873"/>
      <c r="AH752" s="873"/>
      <c r="AI752" s="873"/>
      <c r="AJ752" s="873"/>
      <c r="AK752" s="873"/>
      <c r="AL752" s="873"/>
      <c r="AM752" s="873"/>
      <c r="AN752" s="873"/>
      <c r="AO752" s="873"/>
      <c r="AP752" s="873"/>
      <c r="AQ752" s="873"/>
      <c r="AR752" s="873"/>
      <c r="AS752" s="873"/>
    </row>
    <row r="753" spans="1:45" ht="12.75" x14ac:dyDescent="0.2">
      <c r="A753" s="873"/>
      <c r="B753" s="873"/>
      <c r="C753" s="873"/>
      <c r="D753" s="873"/>
      <c r="E753" s="873"/>
      <c r="F753" s="873"/>
      <c r="G753" s="873"/>
      <c r="H753" s="873"/>
      <c r="I753" s="873"/>
      <c r="J753" s="873"/>
      <c r="K753" s="873"/>
      <c r="L753" s="873"/>
      <c r="M753" s="873"/>
      <c r="N753" s="873"/>
      <c r="O753" s="873"/>
      <c r="P753" s="873"/>
      <c r="Q753" s="873"/>
      <c r="R753" s="873"/>
      <c r="S753" s="873"/>
      <c r="T753" s="873"/>
      <c r="U753" s="873"/>
      <c r="V753" s="873"/>
      <c r="W753" s="873"/>
      <c r="X753" s="873"/>
      <c r="Y753" s="873"/>
      <c r="Z753" s="873"/>
      <c r="AA753" s="873"/>
      <c r="AB753" s="873"/>
      <c r="AC753" s="873"/>
      <c r="AD753" s="873"/>
      <c r="AE753" s="873"/>
      <c r="AF753" s="873"/>
      <c r="AG753" s="873"/>
      <c r="AH753" s="873"/>
      <c r="AI753" s="873"/>
      <c r="AJ753" s="873"/>
      <c r="AK753" s="873"/>
      <c r="AL753" s="873"/>
      <c r="AM753" s="873"/>
      <c r="AN753" s="873"/>
      <c r="AO753" s="873"/>
      <c r="AP753" s="873"/>
      <c r="AQ753" s="873"/>
      <c r="AR753" s="873"/>
      <c r="AS753" s="873"/>
    </row>
    <row r="754" spans="1:45" ht="12.75" x14ac:dyDescent="0.2">
      <c r="A754" s="873"/>
      <c r="B754" s="873"/>
      <c r="C754" s="873"/>
      <c r="D754" s="873"/>
      <c r="E754" s="873"/>
      <c r="F754" s="873"/>
      <c r="G754" s="873"/>
      <c r="H754" s="873"/>
      <c r="I754" s="873"/>
      <c r="J754" s="873"/>
      <c r="K754" s="873"/>
      <c r="L754" s="873"/>
      <c r="M754" s="873"/>
      <c r="N754" s="873"/>
      <c r="O754" s="873"/>
      <c r="P754" s="873"/>
      <c r="Q754" s="873"/>
      <c r="R754" s="873"/>
      <c r="S754" s="873"/>
      <c r="T754" s="873"/>
      <c r="U754" s="873"/>
      <c r="V754" s="873"/>
      <c r="W754" s="873"/>
      <c r="X754" s="873"/>
      <c r="Y754" s="873"/>
      <c r="Z754" s="873"/>
      <c r="AA754" s="873"/>
      <c r="AB754" s="873"/>
      <c r="AC754" s="873"/>
      <c r="AD754" s="873"/>
      <c r="AE754" s="873"/>
      <c r="AF754" s="873"/>
      <c r="AG754" s="873"/>
      <c r="AH754" s="873"/>
      <c r="AI754" s="873"/>
      <c r="AJ754" s="873"/>
      <c r="AK754" s="873"/>
      <c r="AL754" s="873"/>
      <c r="AM754" s="873"/>
      <c r="AN754" s="873"/>
      <c r="AO754" s="873"/>
      <c r="AP754" s="873"/>
      <c r="AQ754" s="873"/>
      <c r="AR754" s="873"/>
      <c r="AS754" s="873"/>
    </row>
    <row r="755" spans="1:45" ht="12.75" x14ac:dyDescent="0.2">
      <c r="A755" s="873"/>
      <c r="B755" s="873"/>
      <c r="C755" s="873"/>
      <c r="D755" s="873"/>
      <c r="E755" s="873"/>
      <c r="F755" s="873"/>
      <c r="G755" s="873"/>
      <c r="H755" s="873"/>
      <c r="I755" s="873"/>
      <c r="J755" s="873"/>
      <c r="K755" s="873"/>
      <c r="L755" s="873"/>
      <c r="M755" s="873"/>
      <c r="N755" s="873"/>
      <c r="O755" s="873"/>
      <c r="P755" s="873"/>
      <c r="Q755" s="873"/>
      <c r="R755" s="873"/>
      <c r="S755" s="873"/>
      <c r="T755" s="873"/>
      <c r="U755" s="873"/>
      <c r="V755" s="873"/>
      <c r="W755" s="873"/>
      <c r="X755" s="873"/>
      <c r="Y755" s="873"/>
      <c r="Z755" s="873"/>
      <c r="AA755" s="873"/>
      <c r="AB755" s="873"/>
      <c r="AC755" s="873"/>
      <c r="AD755" s="873"/>
      <c r="AE755" s="873"/>
      <c r="AF755" s="873"/>
      <c r="AG755" s="873"/>
      <c r="AH755" s="873"/>
      <c r="AI755" s="873"/>
      <c r="AJ755" s="873"/>
      <c r="AK755" s="873"/>
      <c r="AL755" s="873"/>
      <c r="AM755" s="873"/>
      <c r="AN755" s="873"/>
      <c r="AO755" s="873"/>
      <c r="AP755" s="873"/>
      <c r="AQ755" s="873"/>
      <c r="AR755" s="873"/>
      <c r="AS755" s="873"/>
    </row>
    <row r="756" spans="1:45" ht="12.75" x14ac:dyDescent="0.2">
      <c r="A756" s="873"/>
      <c r="B756" s="873"/>
      <c r="C756" s="873"/>
      <c r="D756" s="873"/>
      <c r="E756" s="873"/>
      <c r="F756" s="873"/>
      <c r="G756" s="873"/>
      <c r="H756" s="873"/>
      <c r="I756" s="873"/>
      <c r="J756" s="873"/>
      <c r="K756" s="873"/>
      <c r="L756" s="873"/>
      <c r="M756" s="873"/>
      <c r="N756" s="873"/>
      <c r="O756" s="873"/>
      <c r="P756" s="873"/>
      <c r="Q756" s="873"/>
      <c r="R756" s="873"/>
      <c r="S756" s="873"/>
      <c r="T756" s="873"/>
      <c r="U756" s="873"/>
      <c r="V756" s="873"/>
      <c r="W756" s="873"/>
      <c r="X756" s="873"/>
      <c r="Y756" s="873"/>
      <c r="Z756" s="873"/>
      <c r="AA756" s="873"/>
      <c r="AB756" s="873"/>
      <c r="AC756" s="873"/>
      <c r="AD756" s="873"/>
      <c r="AE756" s="873"/>
      <c r="AF756" s="873"/>
      <c r="AG756" s="873"/>
      <c r="AH756" s="873"/>
      <c r="AI756" s="873"/>
      <c r="AJ756" s="873"/>
      <c r="AK756" s="873"/>
      <c r="AL756" s="873"/>
      <c r="AM756" s="873"/>
      <c r="AN756" s="873"/>
      <c r="AO756" s="873"/>
      <c r="AP756" s="873"/>
      <c r="AQ756" s="873"/>
      <c r="AR756" s="873"/>
      <c r="AS756" s="873"/>
    </row>
    <row r="757" spans="1:45" ht="12.75" x14ac:dyDescent="0.2">
      <c r="A757" s="873"/>
      <c r="B757" s="873"/>
      <c r="C757" s="873"/>
      <c r="D757" s="873"/>
      <c r="E757" s="873"/>
      <c r="F757" s="873"/>
      <c r="G757" s="873"/>
      <c r="H757" s="873"/>
      <c r="I757" s="873"/>
      <c r="J757" s="873"/>
      <c r="K757" s="873"/>
      <c r="L757" s="873"/>
      <c r="M757" s="873"/>
      <c r="N757" s="873"/>
      <c r="O757" s="873"/>
      <c r="P757" s="873"/>
      <c r="Q757" s="873"/>
      <c r="R757" s="873"/>
      <c r="S757" s="873"/>
      <c r="T757" s="873"/>
      <c r="U757" s="873"/>
      <c r="V757" s="873"/>
      <c r="W757" s="873"/>
      <c r="X757" s="873"/>
      <c r="Y757" s="873"/>
      <c r="Z757" s="873"/>
      <c r="AA757" s="873"/>
      <c r="AB757" s="873"/>
      <c r="AC757" s="873"/>
      <c r="AD757" s="873"/>
      <c r="AE757" s="873"/>
      <c r="AF757" s="873"/>
      <c r="AG757" s="873"/>
      <c r="AH757" s="873"/>
      <c r="AI757" s="873"/>
      <c r="AJ757" s="873"/>
      <c r="AK757" s="873"/>
      <c r="AL757" s="873"/>
      <c r="AM757" s="873"/>
      <c r="AN757" s="873"/>
      <c r="AO757" s="873"/>
      <c r="AP757" s="873"/>
      <c r="AQ757" s="873"/>
      <c r="AR757" s="873"/>
      <c r="AS757" s="873"/>
    </row>
    <row r="758" spans="1:45" ht="12.75" x14ac:dyDescent="0.2">
      <c r="A758" s="873"/>
      <c r="B758" s="873"/>
      <c r="C758" s="873"/>
      <c r="D758" s="873"/>
      <c r="E758" s="873"/>
      <c r="F758" s="873"/>
      <c r="G758" s="873"/>
      <c r="H758" s="873"/>
      <c r="I758" s="873"/>
      <c r="J758" s="873"/>
      <c r="K758" s="873"/>
      <c r="L758" s="873"/>
      <c r="M758" s="873"/>
      <c r="N758" s="873"/>
      <c r="O758" s="873"/>
      <c r="P758" s="873"/>
      <c r="Q758" s="873"/>
      <c r="R758" s="873"/>
      <c r="S758" s="873"/>
      <c r="T758" s="873"/>
      <c r="U758" s="873"/>
      <c r="V758" s="873"/>
      <c r="W758" s="873"/>
      <c r="X758" s="873"/>
      <c r="Y758" s="873"/>
      <c r="Z758" s="873"/>
      <c r="AA758" s="873"/>
      <c r="AB758" s="873"/>
      <c r="AC758" s="873"/>
      <c r="AD758" s="873"/>
      <c r="AE758" s="873"/>
      <c r="AF758" s="873"/>
      <c r="AG758" s="873"/>
      <c r="AH758" s="873"/>
      <c r="AI758" s="873"/>
      <c r="AJ758" s="873"/>
      <c r="AK758" s="873"/>
      <c r="AL758" s="873"/>
      <c r="AM758" s="873"/>
      <c r="AN758" s="873"/>
      <c r="AO758" s="873"/>
      <c r="AP758" s="873"/>
      <c r="AQ758" s="873"/>
      <c r="AR758" s="873"/>
      <c r="AS758" s="873"/>
    </row>
    <row r="759" spans="1:45" ht="12.75" x14ac:dyDescent="0.2">
      <c r="A759" s="873"/>
      <c r="B759" s="873"/>
      <c r="C759" s="873"/>
      <c r="D759" s="873"/>
      <c r="E759" s="873"/>
      <c r="F759" s="873"/>
      <c r="G759" s="873"/>
      <c r="H759" s="873"/>
      <c r="I759" s="873"/>
      <c r="J759" s="873"/>
      <c r="K759" s="873"/>
      <c r="L759" s="873"/>
      <c r="M759" s="873"/>
      <c r="N759" s="873"/>
      <c r="O759" s="873"/>
      <c r="P759" s="873"/>
      <c r="Q759" s="873"/>
      <c r="R759" s="873"/>
      <c r="S759" s="873"/>
      <c r="T759" s="873"/>
      <c r="U759" s="873"/>
      <c r="V759" s="873"/>
      <c r="W759" s="873"/>
      <c r="X759" s="873"/>
      <c r="Y759" s="873"/>
      <c r="Z759" s="873"/>
      <c r="AA759" s="873"/>
      <c r="AB759" s="873"/>
      <c r="AC759" s="873"/>
      <c r="AD759" s="873"/>
      <c r="AE759" s="873"/>
      <c r="AF759" s="873"/>
      <c r="AG759" s="873"/>
      <c r="AH759" s="873"/>
      <c r="AI759" s="873"/>
      <c r="AJ759" s="873"/>
      <c r="AK759" s="873"/>
      <c r="AL759" s="873"/>
      <c r="AM759" s="873"/>
      <c r="AN759" s="873"/>
      <c r="AO759" s="873"/>
      <c r="AP759" s="873"/>
      <c r="AQ759" s="873"/>
      <c r="AR759" s="873"/>
      <c r="AS759" s="873"/>
    </row>
    <row r="760" spans="1:45" ht="12.75" x14ac:dyDescent="0.2">
      <c r="A760" s="873"/>
      <c r="B760" s="873"/>
      <c r="C760" s="873"/>
      <c r="D760" s="873"/>
      <c r="E760" s="873"/>
      <c r="F760" s="873"/>
      <c r="G760" s="873"/>
      <c r="H760" s="873"/>
      <c r="I760" s="873"/>
      <c r="J760" s="873"/>
      <c r="K760" s="873"/>
      <c r="L760" s="873"/>
      <c r="M760" s="873"/>
      <c r="N760" s="873"/>
      <c r="O760" s="873"/>
      <c r="P760" s="873"/>
      <c r="Q760" s="873"/>
      <c r="R760" s="873"/>
      <c r="S760" s="873"/>
      <c r="T760" s="873"/>
      <c r="U760" s="873"/>
      <c r="V760" s="873"/>
      <c r="W760" s="873"/>
      <c r="X760" s="873"/>
      <c r="Y760" s="873"/>
      <c r="Z760" s="873"/>
      <c r="AA760" s="873"/>
      <c r="AB760" s="873"/>
      <c r="AC760" s="873"/>
      <c r="AD760" s="873"/>
      <c r="AE760" s="873"/>
      <c r="AF760" s="873"/>
      <c r="AG760" s="873"/>
      <c r="AH760" s="873"/>
      <c r="AI760" s="873"/>
      <c r="AJ760" s="873"/>
      <c r="AK760" s="873"/>
      <c r="AL760" s="873"/>
      <c r="AM760" s="873"/>
      <c r="AN760" s="873"/>
      <c r="AO760" s="873"/>
      <c r="AP760" s="873"/>
      <c r="AQ760" s="873"/>
      <c r="AR760" s="873"/>
      <c r="AS760" s="873"/>
    </row>
    <row r="761" spans="1:45" ht="12.75" x14ac:dyDescent="0.2">
      <c r="A761" s="873"/>
      <c r="B761" s="873"/>
      <c r="C761" s="873"/>
      <c r="D761" s="873"/>
      <c r="E761" s="873"/>
      <c r="F761" s="873"/>
      <c r="G761" s="873"/>
      <c r="H761" s="873"/>
      <c r="I761" s="873"/>
      <c r="J761" s="873"/>
      <c r="K761" s="873"/>
      <c r="L761" s="873"/>
      <c r="M761" s="873"/>
      <c r="N761" s="873"/>
      <c r="O761" s="873"/>
      <c r="P761" s="873"/>
      <c r="Q761" s="873"/>
      <c r="R761" s="873"/>
      <c r="S761" s="873"/>
      <c r="T761" s="873"/>
      <c r="U761" s="873"/>
      <c r="V761" s="873"/>
      <c r="W761" s="873"/>
      <c r="X761" s="873"/>
      <c r="Y761" s="873"/>
      <c r="Z761" s="873"/>
      <c r="AA761" s="873"/>
      <c r="AB761" s="873"/>
      <c r="AC761" s="873"/>
      <c r="AD761" s="873"/>
      <c r="AE761" s="873"/>
      <c r="AF761" s="873"/>
      <c r="AG761" s="873"/>
      <c r="AH761" s="873"/>
      <c r="AI761" s="873"/>
      <c r="AJ761" s="873"/>
      <c r="AK761" s="873"/>
      <c r="AL761" s="873"/>
      <c r="AM761" s="873"/>
      <c r="AN761" s="873"/>
      <c r="AO761" s="873"/>
      <c r="AP761" s="873"/>
      <c r="AQ761" s="873"/>
      <c r="AR761" s="873"/>
      <c r="AS761" s="873"/>
    </row>
    <row r="762" spans="1:45" ht="12.75" x14ac:dyDescent="0.2">
      <c r="A762" s="873"/>
      <c r="B762" s="873"/>
      <c r="C762" s="873"/>
      <c r="D762" s="873"/>
      <c r="E762" s="873"/>
      <c r="F762" s="873"/>
      <c r="G762" s="873"/>
      <c r="H762" s="873"/>
      <c r="I762" s="873"/>
      <c r="J762" s="873"/>
      <c r="K762" s="873"/>
      <c r="L762" s="873"/>
      <c r="M762" s="873"/>
      <c r="N762" s="873"/>
      <c r="O762" s="873"/>
      <c r="P762" s="873"/>
      <c r="Q762" s="873"/>
      <c r="R762" s="873"/>
      <c r="S762" s="873"/>
      <c r="T762" s="873"/>
      <c r="U762" s="873"/>
      <c r="V762" s="873"/>
      <c r="W762" s="873"/>
      <c r="X762" s="873"/>
      <c r="Y762" s="873"/>
      <c r="Z762" s="873"/>
      <c r="AA762" s="873"/>
      <c r="AB762" s="873"/>
      <c r="AC762" s="873"/>
      <c r="AD762" s="873"/>
      <c r="AE762" s="873"/>
      <c r="AF762" s="873"/>
      <c r="AG762" s="873"/>
      <c r="AH762" s="873"/>
      <c r="AI762" s="873"/>
      <c r="AJ762" s="873"/>
      <c r="AK762" s="873"/>
      <c r="AL762" s="873"/>
      <c r="AM762" s="873"/>
      <c r="AN762" s="873"/>
      <c r="AO762" s="873"/>
      <c r="AP762" s="873"/>
      <c r="AQ762" s="873"/>
      <c r="AR762" s="873"/>
      <c r="AS762" s="873"/>
    </row>
    <row r="763" spans="1:45" ht="12.75" x14ac:dyDescent="0.2">
      <c r="A763" s="873"/>
      <c r="B763" s="873"/>
      <c r="C763" s="873"/>
      <c r="D763" s="873"/>
      <c r="E763" s="873"/>
      <c r="F763" s="873"/>
      <c r="G763" s="873"/>
      <c r="H763" s="873"/>
      <c r="I763" s="873"/>
      <c r="J763" s="873"/>
      <c r="K763" s="873"/>
      <c r="L763" s="873"/>
      <c r="M763" s="873"/>
      <c r="N763" s="873"/>
      <c r="O763" s="873"/>
      <c r="P763" s="873"/>
      <c r="Q763" s="873"/>
      <c r="R763" s="873"/>
      <c r="S763" s="873"/>
      <c r="T763" s="873"/>
      <c r="U763" s="873"/>
      <c r="V763" s="873"/>
      <c r="W763" s="873"/>
      <c r="X763" s="873"/>
      <c r="Y763" s="873"/>
      <c r="Z763" s="873"/>
      <c r="AA763" s="873"/>
      <c r="AB763" s="873"/>
      <c r="AC763" s="873"/>
      <c r="AD763" s="873"/>
      <c r="AE763" s="873"/>
      <c r="AF763" s="873"/>
      <c r="AG763" s="873"/>
      <c r="AH763" s="873"/>
      <c r="AI763" s="873"/>
      <c r="AJ763" s="873"/>
      <c r="AK763" s="873"/>
      <c r="AL763" s="873"/>
      <c r="AM763" s="873"/>
      <c r="AN763" s="873"/>
      <c r="AO763" s="873"/>
      <c r="AP763" s="873"/>
      <c r="AQ763" s="873"/>
      <c r="AR763" s="873"/>
      <c r="AS763" s="873"/>
    </row>
    <row r="764" spans="1:45" ht="12.75" x14ac:dyDescent="0.2">
      <c r="A764" s="873"/>
      <c r="B764" s="873"/>
      <c r="C764" s="873"/>
      <c r="D764" s="873"/>
      <c r="E764" s="873"/>
      <c r="F764" s="873"/>
      <c r="G764" s="873"/>
      <c r="H764" s="873"/>
      <c r="I764" s="873"/>
      <c r="J764" s="873"/>
      <c r="K764" s="873"/>
      <c r="L764" s="873"/>
      <c r="M764" s="873"/>
      <c r="N764" s="873"/>
      <c r="O764" s="873"/>
      <c r="P764" s="873"/>
      <c r="Q764" s="873"/>
      <c r="R764" s="873"/>
      <c r="S764" s="873"/>
      <c r="T764" s="873"/>
      <c r="U764" s="873"/>
      <c r="V764" s="873"/>
      <c r="W764" s="873"/>
      <c r="X764" s="873"/>
      <c r="Y764" s="873"/>
      <c r="Z764" s="873"/>
      <c r="AA764" s="873"/>
      <c r="AB764" s="873"/>
      <c r="AC764" s="873"/>
      <c r="AD764" s="873"/>
      <c r="AE764" s="873"/>
      <c r="AF764" s="873"/>
      <c r="AG764" s="873"/>
      <c r="AH764" s="873"/>
      <c r="AI764" s="873"/>
      <c r="AJ764" s="873"/>
      <c r="AK764" s="873"/>
      <c r="AL764" s="873"/>
      <c r="AM764" s="873"/>
      <c r="AN764" s="873"/>
      <c r="AO764" s="873"/>
      <c r="AP764" s="873"/>
      <c r="AQ764" s="873"/>
      <c r="AR764" s="873"/>
      <c r="AS764" s="873"/>
    </row>
    <row r="765" spans="1:45" ht="12.75" x14ac:dyDescent="0.2">
      <c r="A765" s="873"/>
      <c r="B765" s="873"/>
      <c r="C765" s="873"/>
      <c r="D765" s="873"/>
      <c r="E765" s="873"/>
      <c r="F765" s="873"/>
      <c r="G765" s="873"/>
      <c r="H765" s="873"/>
      <c r="I765" s="873"/>
      <c r="J765" s="873"/>
      <c r="K765" s="873"/>
      <c r="L765" s="873"/>
      <c r="M765" s="873"/>
      <c r="N765" s="873"/>
      <c r="O765" s="873"/>
      <c r="P765" s="873"/>
      <c r="Q765" s="873"/>
      <c r="R765" s="873"/>
      <c r="S765" s="873"/>
      <c r="T765" s="873"/>
      <c r="U765" s="873"/>
      <c r="V765" s="873"/>
      <c r="W765" s="873"/>
      <c r="X765" s="873"/>
      <c r="Y765" s="873"/>
      <c r="Z765" s="873"/>
      <c r="AA765" s="873"/>
      <c r="AB765" s="873"/>
      <c r="AC765" s="873"/>
      <c r="AD765" s="873"/>
      <c r="AE765" s="873"/>
      <c r="AF765" s="873"/>
      <c r="AG765" s="873"/>
      <c r="AH765" s="873"/>
      <c r="AI765" s="873"/>
      <c r="AJ765" s="873"/>
      <c r="AK765" s="873"/>
      <c r="AL765" s="873"/>
      <c r="AM765" s="873"/>
      <c r="AN765" s="873"/>
      <c r="AO765" s="873"/>
      <c r="AP765" s="873"/>
      <c r="AQ765" s="873"/>
      <c r="AR765" s="873"/>
      <c r="AS765" s="873"/>
    </row>
    <row r="766" spans="1:45" ht="12.75" x14ac:dyDescent="0.2">
      <c r="A766" s="873"/>
      <c r="B766" s="873"/>
      <c r="C766" s="873"/>
      <c r="D766" s="873"/>
      <c r="E766" s="873"/>
      <c r="F766" s="873"/>
      <c r="G766" s="873"/>
      <c r="H766" s="873"/>
      <c r="I766" s="873"/>
      <c r="J766" s="873"/>
      <c r="K766" s="873"/>
      <c r="L766" s="873"/>
      <c r="M766" s="873"/>
      <c r="N766" s="873"/>
      <c r="O766" s="873"/>
      <c r="P766" s="873"/>
      <c r="Q766" s="873"/>
      <c r="R766" s="873"/>
      <c r="S766" s="873"/>
      <c r="T766" s="873"/>
      <c r="U766" s="873"/>
      <c r="V766" s="873"/>
      <c r="W766" s="873"/>
      <c r="X766" s="873"/>
      <c r="Y766" s="873"/>
      <c r="Z766" s="873"/>
      <c r="AA766" s="873"/>
      <c r="AB766" s="873"/>
      <c r="AC766" s="873"/>
      <c r="AD766" s="873"/>
      <c r="AE766" s="873"/>
      <c r="AF766" s="873"/>
      <c r="AG766" s="873"/>
      <c r="AH766" s="873"/>
      <c r="AI766" s="873"/>
      <c r="AJ766" s="873"/>
      <c r="AK766" s="873"/>
      <c r="AL766" s="873"/>
      <c r="AM766" s="873"/>
      <c r="AN766" s="873"/>
      <c r="AO766" s="873"/>
      <c r="AP766" s="873"/>
      <c r="AQ766" s="873"/>
      <c r="AR766" s="873"/>
      <c r="AS766" s="873"/>
    </row>
    <row r="767" spans="1:45" ht="12.75" x14ac:dyDescent="0.2">
      <c r="A767" s="873"/>
      <c r="B767" s="873"/>
      <c r="C767" s="873"/>
      <c r="D767" s="873"/>
      <c r="E767" s="873"/>
      <c r="F767" s="873"/>
      <c r="G767" s="873"/>
      <c r="H767" s="873"/>
      <c r="I767" s="873"/>
      <c r="J767" s="873"/>
      <c r="K767" s="873"/>
      <c r="L767" s="873"/>
      <c r="M767" s="873"/>
      <c r="N767" s="873"/>
      <c r="O767" s="873"/>
      <c r="P767" s="873"/>
      <c r="Q767" s="873"/>
      <c r="R767" s="873"/>
      <c r="S767" s="873"/>
      <c r="T767" s="873"/>
      <c r="U767" s="873"/>
      <c r="V767" s="873"/>
      <c r="W767" s="873"/>
      <c r="X767" s="873"/>
      <c r="Y767" s="873"/>
      <c r="Z767" s="873"/>
      <c r="AA767" s="873"/>
      <c r="AB767" s="873"/>
      <c r="AC767" s="873"/>
      <c r="AD767" s="873"/>
      <c r="AE767" s="873"/>
      <c r="AF767" s="873"/>
      <c r="AG767" s="873"/>
      <c r="AH767" s="873"/>
      <c r="AI767" s="873"/>
      <c r="AJ767" s="873"/>
      <c r="AK767" s="873"/>
      <c r="AL767" s="873"/>
      <c r="AM767" s="873"/>
      <c r="AN767" s="873"/>
      <c r="AO767" s="873"/>
      <c r="AP767" s="873"/>
      <c r="AQ767" s="873"/>
      <c r="AR767" s="873"/>
      <c r="AS767" s="873"/>
    </row>
    <row r="768" spans="1:45" ht="12.75" x14ac:dyDescent="0.2">
      <c r="A768" s="873"/>
      <c r="B768" s="873"/>
      <c r="C768" s="873"/>
      <c r="D768" s="873"/>
      <c r="E768" s="873"/>
      <c r="F768" s="873"/>
      <c r="G768" s="873"/>
      <c r="H768" s="873"/>
      <c r="I768" s="873"/>
      <c r="J768" s="873"/>
      <c r="K768" s="873"/>
      <c r="L768" s="873"/>
      <c r="M768" s="873"/>
      <c r="N768" s="873"/>
      <c r="O768" s="873"/>
      <c r="P768" s="873"/>
      <c r="Q768" s="873"/>
      <c r="R768" s="873"/>
      <c r="S768" s="873"/>
      <c r="T768" s="873"/>
      <c r="U768" s="873"/>
      <c r="V768" s="873"/>
      <c r="W768" s="873"/>
      <c r="X768" s="873"/>
      <c r="Y768" s="873"/>
      <c r="Z768" s="873"/>
      <c r="AA768" s="873"/>
      <c r="AB768" s="873"/>
      <c r="AC768" s="873"/>
      <c r="AD768" s="873"/>
      <c r="AE768" s="873"/>
      <c r="AF768" s="873"/>
      <c r="AG768" s="873"/>
      <c r="AH768" s="873"/>
      <c r="AI768" s="873"/>
      <c r="AJ768" s="873"/>
      <c r="AK768" s="873"/>
      <c r="AL768" s="873"/>
      <c r="AM768" s="873"/>
      <c r="AN768" s="873"/>
      <c r="AO768" s="873"/>
      <c r="AP768" s="873"/>
      <c r="AQ768" s="873"/>
      <c r="AR768" s="873"/>
      <c r="AS768" s="873"/>
    </row>
    <row r="769" spans="1:45" ht="12.75" x14ac:dyDescent="0.2">
      <c r="A769" s="873"/>
      <c r="B769" s="873"/>
      <c r="C769" s="873"/>
      <c r="D769" s="873"/>
      <c r="E769" s="873"/>
      <c r="F769" s="873"/>
      <c r="G769" s="873"/>
      <c r="H769" s="873"/>
      <c r="I769" s="873"/>
      <c r="J769" s="873"/>
      <c r="K769" s="873"/>
      <c r="L769" s="873"/>
      <c r="M769" s="873"/>
      <c r="N769" s="873"/>
      <c r="O769" s="873"/>
      <c r="P769" s="873"/>
      <c r="Q769" s="873"/>
      <c r="R769" s="873"/>
      <c r="S769" s="873"/>
      <c r="T769" s="873"/>
      <c r="U769" s="873"/>
      <c r="V769" s="873"/>
      <c r="W769" s="873"/>
      <c r="X769" s="873"/>
      <c r="Y769" s="873"/>
      <c r="Z769" s="873"/>
      <c r="AA769" s="873"/>
      <c r="AB769" s="873"/>
      <c r="AC769" s="873"/>
      <c r="AD769" s="873"/>
      <c r="AE769" s="873"/>
      <c r="AF769" s="873"/>
      <c r="AG769" s="873"/>
      <c r="AH769" s="873"/>
      <c r="AI769" s="873"/>
      <c r="AJ769" s="873"/>
      <c r="AK769" s="873"/>
      <c r="AL769" s="873"/>
      <c r="AM769" s="873"/>
      <c r="AN769" s="873"/>
      <c r="AO769" s="873"/>
      <c r="AP769" s="873"/>
      <c r="AQ769" s="873"/>
      <c r="AR769" s="873"/>
      <c r="AS769" s="873"/>
    </row>
    <row r="770" spans="1:45" ht="12.75" x14ac:dyDescent="0.2">
      <c r="A770" s="873"/>
      <c r="B770" s="873"/>
      <c r="C770" s="873"/>
      <c r="D770" s="873"/>
      <c r="E770" s="873"/>
      <c r="F770" s="873"/>
      <c r="G770" s="873"/>
      <c r="H770" s="873"/>
      <c r="I770" s="873"/>
      <c r="J770" s="873"/>
      <c r="K770" s="873"/>
      <c r="L770" s="873"/>
      <c r="M770" s="873"/>
      <c r="N770" s="873"/>
      <c r="O770" s="873"/>
      <c r="P770" s="873"/>
      <c r="Q770" s="873"/>
      <c r="R770" s="873"/>
      <c r="S770" s="873"/>
      <c r="T770" s="873"/>
      <c r="U770" s="873"/>
      <c r="V770" s="873"/>
      <c r="W770" s="873"/>
      <c r="X770" s="873"/>
      <c r="Y770" s="873"/>
      <c r="Z770" s="873"/>
      <c r="AA770" s="873"/>
      <c r="AB770" s="873"/>
      <c r="AC770" s="873"/>
      <c r="AD770" s="873"/>
      <c r="AE770" s="873"/>
      <c r="AF770" s="873"/>
      <c r="AG770" s="873"/>
      <c r="AH770" s="873"/>
      <c r="AI770" s="873"/>
      <c r="AJ770" s="873"/>
      <c r="AK770" s="873"/>
      <c r="AL770" s="873"/>
      <c r="AM770" s="873"/>
      <c r="AN770" s="873"/>
      <c r="AO770" s="873"/>
      <c r="AP770" s="873"/>
      <c r="AQ770" s="873"/>
      <c r="AR770" s="873"/>
      <c r="AS770" s="873"/>
    </row>
    <row r="771" spans="1:45" ht="12.75" x14ac:dyDescent="0.2">
      <c r="A771" s="873"/>
      <c r="B771" s="873"/>
      <c r="C771" s="873"/>
      <c r="D771" s="873"/>
      <c r="E771" s="873"/>
      <c r="F771" s="873"/>
      <c r="G771" s="873"/>
      <c r="H771" s="873"/>
      <c r="I771" s="873"/>
      <c r="J771" s="873"/>
      <c r="K771" s="873"/>
      <c r="L771" s="873"/>
      <c r="M771" s="873"/>
      <c r="N771" s="873"/>
      <c r="O771" s="873"/>
      <c r="P771" s="873"/>
      <c r="Q771" s="873"/>
      <c r="R771" s="873"/>
      <c r="S771" s="873"/>
      <c r="T771" s="873"/>
      <c r="U771" s="873"/>
      <c r="V771" s="873"/>
      <c r="W771" s="873"/>
      <c r="X771" s="873"/>
      <c r="Y771" s="873"/>
      <c r="Z771" s="873"/>
      <c r="AA771" s="873"/>
      <c r="AB771" s="873"/>
      <c r="AC771" s="873"/>
      <c r="AD771" s="873"/>
      <c r="AE771" s="873"/>
      <c r="AF771" s="873"/>
      <c r="AG771" s="873"/>
      <c r="AH771" s="873"/>
      <c r="AI771" s="873"/>
      <c r="AJ771" s="873"/>
      <c r="AK771" s="873"/>
      <c r="AL771" s="873"/>
      <c r="AM771" s="873"/>
      <c r="AN771" s="873"/>
      <c r="AO771" s="873"/>
      <c r="AP771" s="873"/>
      <c r="AQ771" s="873"/>
      <c r="AR771" s="873"/>
      <c r="AS771" s="873"/>
    </row>
    <row r="772" spans="1:45" ht="12.75" x14ac:dyDescent="0.2">
      <c r="A772" s="873"/>
      <c r="B772" s="873"/>
      <c r="C772" s="873"/>
      <c r="D772" s="873"/>
      <c r="E772" s="873"/>
      <c r="F772" s="873"/>
      <c r="G772" s="873"/>
      <c r="H772" s="873"/>
      <c r="I772" s="873"/>
      <c r="J772" s="873"/>
      <c r="K772" s="873"/>
      <c r="L772" s="873"/>
      <c r="M772" s="873"/>
      <c r="N772" s="873"/>
      <c r="O772" s="873"/>
      <c r="P772" s="873"/>
      <c r="Q772" s="873"/>
      <c r="R772" s="873"/>
      <c r="S772" s="873"/>
      <c r="T772" s="873"/>
      <c r="U772" s="873"/>
      <c r="V772" s="873"/>
      <c r="W772" s="873"/>
      <c r="X772" s="873"/>
      <c r="Y772" s="873"/>
      <c r="Z772" s="873"/>
      <c r="AA772" s="873"/>
      <c r="AB772" s="873"/>
      <c r="AC772" s="873"/>
      <c r="AD772" s="873"/>
      <c r="AE772" s="873"/>
      <c r="AF772" s="873"/>
      <c r="AG772" s="873"/>
      <c r="AH772" s="873"/>
      <c r="AI772" s="873"/>
      <c r="AJ772" s="873"/>
      <c r="AK772" s="873"/>
      <c r="AL772" s="873"/>
      <c r="AM772" s="873"/>
      <c r="AN772" s="873"/>
      <c r="AO772" s="873"/>
      <c r="AP772" s="873"/>
      <c r="AQ772" s="873"/>
      <c r="AR772" s="873"/>
      <c r="AS772" s="873"/>
    </row>
    <row r="773" spans="1:45" ht="12.75" x14ac:dyDescent="0.2">
      <c r="A773" s="873"/>
      <c r="B773" s="873"/>
      <c r="C773" s="873"/>
      <c r="D773" s="873"/>
      <c r="E773" s="873"/>
      <c r="F773" s="873"/>
      <c r="G773" s="873"/>
      <c r="H773" s="873"/>
      <c r="I773" s="873"/>
      <c r="J773" s="873"/>
      <c r="K773" s="873"/>
      <c r="L773" s="873"/>
      <c r="M773" s="873"/>
      <c r="N773" s="873"/>
      <c r="O773" s="873"/>
      <c r="P773" s="873"/>
      <c r="Q773" s="873"/>
      <c r="R773" s="873"/>
      <c r="S773" s="873"/>
      <c r="T773" s="873"/>
      <c r="U773" s="873"/>
      <c r="V773" s="873"/>
      <c r="W773" s="873"/>
      <c r="X773" s="873"/>
      <c r="Y773" s="873"/>
      <c r="Z773" s="873"/>
      <c r="AA773" s="873"/>
      <c r="AB773" s="873"/>
      <c r="AC773" s="873"/>
      <c r="AD773" s="873"/>
      <c r="AE773" s="873"/>
      <c r="AF773" s="873"/>
      <c r="AG773" s="873"/>
      <c r="AH773" s="873"/>
      <c r="AI773" s="873"/>
      <c r="AJ773" s="873"/>
      <c r="AK773" s="873"/>
      <c r="AL773" s="873"/>
      <c r="AM773" s="873"/>
      <c r="AN773" s="873"/>
      <c r="AO773" s="873"/>
      <c r="AP773" s="873"/>
      <c r="AQ773" s="873"/>
      <c r="AR773" s="873"/>
      <c r="AS773" s="873"/>
    </row>
    <row r="774" spans="1:45" ht="12.75" x14ac:dyDescent="0.2">
      <c r="A774" s="873"/>
      <c r="B774" s="873"/>
      <c r="C774" s="873"/>
      <c r="D774" s="873"/>
      <c r="E774" s="873"/>
      <c r="F774" s="873"/>
      <c r="G774" s="873"/>
      <c r="H774" s="873"/>
      <c r="I774" s="873"/>
      <c r="J774" s="873"/>
      <c r="K774" s="873"/>
      <c r="L774" s="873"/>
      <c r="M774" s="873"/>
      <c r="N774" s="873"/>
      <c r="O774" s="873"/>
      <c r="P774" s="873"/>
      <c r="Q774" s="873"/>
      <c r="R774" s="873"/>
      <c r="S774" s="873"/>
      <c r="T774" s="873"/>
      <c r="U774" s="873"/>
      <c r="V774" s="873"/>
      <c r="W774" s="873"/>
      <c r="X774" s="873"/>
      <c r="Y774" s="873"/>
      <c r="Z774" s="873"/>
      <c r="AA774" s="873"/>
      <c r="AB774" s="873"/>
      <c r="AC774" s="873"/>
      <c r="AD774" s="873"/>
      <c r="AE774" s="873"/>
      <c r="AF774" s="873"/>
      <c r="AG774" s="873"/>
      <c r="AH774" s="873"/>
      <c r="AI774" s="873"/>
      <c r="AJ774" s="873"/>
      <c r="AK774" s="873"/>
      <c r="AL774" s="873"/>
      <c r="AM774" s="873"/>
      <c r="AN774" s="873"/>
      <c r="AO774" s="873"/>
      <c r="AP774" s="873"/>
      <c r="AQ774" s="873"/>
      <c r="AR774" s="873"/>
      <c r="AS774" s="873"/>
    </row>
    <row r="775" spans="1:45" ht="12.75" x14ac:dyDescent="0.2">
      <c r="A775" s="873"/>
      <c r="B775" s="873"/>
      <c r="C775" s="873"/>
      <c r="D775" s="873"/>
      <c r="E775" s="873"/>
      <c r="F775" s="873"/>
      <c r="G775" s="873"/>
      <c r="H775" s="873"/>
      <c r="I775" s="873"/>
      <c r="J775" s="873"/>
      <c r="K775" s="873"/>
      <c r="L775" s="873"/>
      <c r="M775" s="873"/>
      <c r="N775" s="873"/>
      <c r="O775" s="873"/>
      <c r="P775" s="873"/>
      <c r="Q775" s="873"/>
      <c r="R775" s="873"/>
      <c r="S775" s="873"/>
      <c r="T775" s="873"/>
      <c r="U775" s="873"/>
      <c r="V775" s="873"/>
      <c r="W775" s="873"/>
      <c r="X775" s="873"/>
      <c r="Y775" s="873"/>
      <c r="Z775" s="873"/>
      <c r="AA775" s="873"/>
      <c r="AB775" s="873"/>
      <c r="AC775" s="873"/>
      <c r="AD775" s="873"/>
      <c r="AE775" s="873"/>
      <c r="AF775" s="873"/>
      <c r="AG775" s="873"/>
      <c r="AH775" s="873"/>
      <c r="AI775" s="873"/>
      <c r="AJ775" s="873"/>
      <c r="AK775" s="873"/>
      <c r="AL775" s="873"/>
      <c r="AM775" s="873"/>
      <c r="AN775" s="873"/>
      <c r="AO775" s="873"/>
      <c r="AP775" s="873"/>
      <c r="AQ775" s="873"/>
      <c r="AR775" s="873"/>
      <c r="AS775" s="873"/>
    </row>
    <row r="776" spans="1:45" ht="12.75" x14ac:dyDescent="0.2">
      <c r="A776" s="873"/>
      <c r="B776" s="873"/>
      <c r="C776" s="873"/>
      <c r="D776" s="873"/>
      <c r="E776" s="873"/>
      <c r="F776" s="873"/>
      <c r="G776" s="873"/>
      <c r="H776" s="873"/>
      <c r="I776" s="873"/>
      <c r="J776" s="873"/>
      <c r="K776" s="873"/>
      <c r="L776" s="873"/>
      <c r="M776" s="873"/>
      <c r="N776" s="873"/>
      <c r="O776" s="873"/>
      <c r="P776" s="873"/>
      <c r="Q776" s="873"/>
      <c r="R776" s="873"/>
      <c r="S776" s="873"/>
      <c r="T776" s="873"/>
      <c r="U776" s="873"/>
      <c r="V776" s="873"/>
      <c r="W776" s="873"/>
      <c r="X776" s="873"/>
      <c r="Y776" s="873"/>
      <c r="Z776" s="873"/>
      <c r="AA776" s="873"/>
      <c r="AB776" s="873"/>
      <c r="AC776" s="873"/>
      <c r="AD776" s="873"/>
      <c r="AE776" s="873"/>
      <c r="AF776" s="873"/>
      <c r="AG776" s="873"/>
      <c r="AH776" s="873"/>
      <c r="AI776" s="873"/>
      <c r="AJ776" s="873"/>
      <c r="AK776" s="873"/>
      <c r="AL776" s="873"/>
      <c r="AM776" s="873"/>
      <c r="AN776" s="873"/>
      <c r="AO776" s="873"/>
      <c r="AP776" s="873"/>
      <c r="AQ776" s="873"/>
      <c r="AR776" s="873"/>
      <c r="AS776" s="873"/>
    </row>
    <row r="777" spans="1:45" ht="12.75" x14ac:dyDescent="0.2">
      <c r="A777" s="873"/>
      <c r="B777" s="873"/>
      <c r="C777" s="873"/>
      <c r="D777" s="873"/>
      <c r="E777" s="873"/>
      <c r="F777" s="873"/>
      <c r="G777" s="873"/>
      <c r="H777" s="873"/>
      <c r="I777" s="873"/>
      <c r="J777" s="873"/>
      <c r="K777" s="873"/>
      <c r="L777" s="873"/>
      <c r="M777" s="873"/>
      <c r="N777" s="873"/>
      <c r="O777" s="873"/>
      <c r="P777" s="873"/>
      <c r="Q777" s="873"/>
      <c r="R777" s="873"/>
      <c r="S777" s="873"/>
      <c r="T777" s="873"/>
      <c r="U777" s="873"/>
      <c r="V777" s="873"/>
      <c r="W777" s="873"/>
      <c r="X777" s="873"/>
      <c r="Y777" s="873"/>
      <c r="Z777" s="873"/>
      <c r="AA777" s="873"/>
      <c r="AB777" s="873"/>
      <c r="AC777" s="873"/>
      <c r="AD777" s="873"/>
      <c r="AE777" s="873"/>
      <c r="AF777" s="873"/>
      <c r="AG777" s="873"/>
      <c r="AH777" s="873"/>
      <c r="AI777" s="873"/>
      <c r="AJ777" s="873"/>
      <c r="AK777" s="873"/>
      <c r="AL777" s="873"/>
      <c r="AM777" s="873"/>
      <c r="AN777" s="873"/>
      <c r="AO777" s="873"/>
      <c r="AP777" s="873"/>
      <c r="AQ777" s="873"/>
      <c r="AR777" s="873"/>
      <c r="AS777" s="873"/>
    </row>
    <row r="778" spans="1:45" ht="12.75" x14ac:dyDescent="0.2">
      <c r="A778" s="873"/>
      <c r="B778" s="873"/>
      <c r="C778" s="873"/>
      <c r="D778" s="873"/>
      <c r="E778" s="873"/>
      <c r="F778" s="873"/>
      <c r="G778" s="873"/>
      <c r="H778" s="873"/>
      <c r="I778" s="873"/>
      <c r="J778" s="873"/>
      <c r="K778" s="873"/>
      <c r="L778" s="873"/>
      <c r="M778" s="873"/>
      <c r="N778" s="873"/>
      <c r="O778" s="873"/>
      <c r="P778" s="873"/>
      <c r="Q778" s="873"/>
      <c r="R778" s="873"/>
      <c r="S778" s="873"/>
      <c r="T778" s="873"/>
      <c r="U778" s="873"/>
      <c r="V778" s="873"/>
      <c r="W778" s="873"/>
      <c r="X778" s="873"/>
      <c r="Y778" s="873"/>
      <c r="Z778" s="873"/>
      <c r="AA778" s="873"/>
      <c r="AB778" s="873"/>
      <c r="AC778" s="873"/>
      <c r="AD778" s="873"/>
      <c r="AE778" s="873"/>
      <c r="AF778" s="873"/>
      <c r="AG778" s="873"/>
      <c r="AH778" s="873"/>
      <c r="AI778" s="873"/>
      <c r="AJ778" s="873"/>
      <c r="AK778" s="873"/>
      <c r="AL778" s="873"/>
      <c r="AM778" s="873"/>
      <c r="AN778" s="873"/>
      <c r="AO778" s="873"/>
      <c r="AP778" s="873"/>
      <c r="AQ778" s="873"/>
      <c r="AR778" s="873"/>
      <c r="AS778" s="873"/>
    </row>
    <row r="779" spans="1:45" ht="12.75" x14ac:dyDescent="0.2">
      <c r="A779" s="873"/>
      <c r="B779" s="873"/>
      <c r="C779" s="873"/>
      <c r="D779" s="873"/>
      <c r="E779" s="873"/>
      <c r="F779" s="873"/>
      <c r="G779" s="873"/>
      <c r="H779" s="873"/>
      <c r="I779" s="873"/>
      <c r="J779" s="873"/>
      <c r="K779" s="873"/>
      <c r="L779" s="873"/>
      <c r="M779" s="873"/>
      <c r="N779" s="873"/>
      <c r="O779" s="873"/>
      <c r="P779" s="873"/>
      <c r="Q779" s="873"/>
      <c r="R779" s="873"/>
      <c r="S779" s="873"/>
      <c r="T779" s="873"/>
      <c r="U779" s="873"/>
      <c r="V779" s="873"/>
      <c r="W779" s="873"/>
      <c r="X779" s="873"/>
      <c r="Y779" s="873"/>
      <c r="Z779" s="873"/>
      <c r="AA779" s="873"/>
      <c r="AB779" s="873"/>
      <c r="AC779" s="873"/>
      <c r="AD779" s="873"/>
      <c r="AE779" s="873"/>
      <c r="AF779" s="873"/>
      <c r="AG779" s="873"/>
      <c r="AH779" s="873"/>
      <c r="AI779" s="873"/>
      <c r="AJ779" s="873"/>
      <c r="AK779" s="873"/>
      <c r="AL779" s="873"/>
      <c r="AM779" s="873"/>
      <c r="AN779" s="873"/>
      <c r="AO779" s="873"/>
      <c r="AP779" s="873"/>
      <c r="AQ779" s="873"/>
      <c r="AR779" s="873"/>
      <c r="AS779" s="873"/>
    </row>
    <row r="780" spans="1:45" ht="12.75" x14ac:dyDescent="0.2">
      <c r="A780" s="873"/>
      <c r="B780" s="873"/>
      <c r="C780" s="873"/>
      <c r="D780" s="873"/>
      <c r="E780" s="873"/>
      <c r="F780" s="873"/>
      <c r="G780" s="873"/>
      <c r="H780" s="873"/>
      <c r="I780" s="873"/>
      <c r="J780" s="873"/>
      <c r="K780" s="873"/>
      <c r="L780" s="873"/>
      <c r="M780" s="873"/>
      <c r="N780" s="873"/>
      <c r="O780" s="873"/>
      <c r="P780" s="873"/>
      <c r="Q780" s="873"/>
      <c r="R780" s="873"/>
      <c r="S780" s="873"/>
      <c r="T780" s="873"/>
      <c r="U780" s="873"/>
      <c r="V780" s="873"/>
      <c r="W780" s="873"/>
      <c r="X780" s="873"/>
      <c r="Y780" s="873"/>
      <c r="Z780" s="873"/>
      <c r="AA780" s="873"/>
      <c r="AB780" s="873"/>
      <c r="AC780" s="873"/>
      <c r="AD780" s="873"/>
      <c r="AE780" s="873"/>
      <c r="AF780" s="873"/>
      <c r="AG780" s="873"/>
      <c r="AH780" s="873"/>
      <c r="AI780" s="873"/>
      <c r="AJ780" s="873"/>
      <c r="AK780" s="873"/>
      <c r="AL780" s="873"/>
      <c r="AM780" s="873"/>
      <c r="AN780" s="873"/>
      <c r="AO780" s="873"/>
      <c r="AP780" s="873"/>
      <c r="AQ780" s="873"/>
      <c r="AR780" s="873"/>
      <c r="AS780" s="873"/>
    </row>
    <row r="781" spans="1:45" ht="12.75" x14ac:dyDescent="0.2">
      <c r="A781" s="873"/>
      <c r="B781" s="873"/>
      <c r="C781" s="873"/>
      <c r="D781" s="873"/>
      <c r="E781" s="873"/>
      <c r="F781" s="873"/>
      <c r="G781" s="873"/>
      <c r="H781" s="873"/>
      <c r="I781" s="873"/>
      <c r="J781" s="873"/>
      <c r="K781" s="873"/>
      <c r="L781" s="873"/>
      <c r="M781" s="873"/>
      <c r="N781" s="873"/>
      <c r="O781" s="873"/>
      <c r="P781" s="873"/>
      <c r="Q781" s="873"/>
      <c r="R781" s="873"/>
      <c r="S781" s="873"/>
      <c r="T781" s="873"/>
      <c r="U781" s="873"/>
      <c r="V781" s="873"/>
      <c r="W781" s="873"/>
      <c r="X781" s="873"/>
      <c r="Y781" s="873"/>
      <c r="Z781" s="873"/>
      <c r="AA781" s="873"/>
      <c r="AB781" s="873"/>
      <c r="AC781" s="873"/>
      <c r="AD781" s="873"/>
      <c r="AE781" s="873"/>
      <c r="AF781" s="873"/>
      <c r="AG781" s="873"/>
      <c r="AH781" s="873"/>
      <c r="AI781" s="873"/>
      <c r="AJ781" s="873"/>
      <c r="AK781" s="873"/>
      <c r="AL781" s="873"/>
      <c r="AM781" s="873"/>
      <c r="AN781" s="873"/>
      <c r="AO781" s="873"/>
      <c r="AP781" s="873"/>
      <c r="AQ781" s="873"/>
      <c r="AR781" s="873"/>
      <c r="AS781" s="873"/>
    </row>
    <row r="782" spans="1:45" ht="12.75" x14ac:dyDescent="0.2">
      <c r="A782" s="873"/>
      <c r="B782" s="873"/>
      <c r="C782" s="873"/>
      <c r="D782" s="873"/>
      <c r="E782" s="873"/>
      <c r="F782" s="873"/>
      <c r="G782" s="873"/>
      <c r="H782" s="873"/>
      <c r="I782" s="873"/>
      <c r="J782" s="873"/>
      <c r="K782" s="873"/>
      <c r="L782" s="873"/>
      <c r="M782" s="873"/>
      <c r="N782" s="873"/>
      <c r="O782" s="873"/>
      <c r="P782" s="873"/>
      <c r="Q782" s="873"/>
      <c r="R782" s="873"/>
      <c r="S782" s="873"/>
      <c r="T782" s="873"/>
      <c r="U782" s="873"/>
      <c r="V782" s="873"/>
      <c r="W782" s="873"/>
      <c r="X782" s="873"/>
      <c r="Y782" s="873"/>
      <c r="Z782" s="873"/>
      <c r="AA782" s="873"/>
      <c r="AB782" s="873"/>
      <c r="AC782" s="873"/>
      <c r="AD782" s="873"/>
      <c r="AE782" s="873"/>
      <c r="AF782" s="873"/>
      <c r="AG782" s="873"/>
      <c r="AH782" s="873"/>
      <c r="AI782" s="873"/>
      <c r="AJ782" s="873"/>
      <c r="AK782" s="873"/>
      <c r="AL782" s="873"/>
      <c r="AM782" s="873"/>
      <c r="AN782" s="873"/>
      <c r="AO782" s="873"/>
      <c r="AP782" s="873"/>
      <c r="AQ782" s="873"/>
      <c r="AR782" s="873"/>
      <c r="AS782" s="873"/>
    </row>
    <row r="783" spans="1:45" ht="12.75" x14ac:dyDescent="0.2">
      <c r="A783" s="873"/>
      <c r="B783" s="873"/>
      <c r="C783" s="873"/>
      <c r="D783" s="873"/>
      <c r="E783" s="873"/>
      <c r="F783" s="873"/>
      <c r="G783" s="873"/>
      <c r="H783" s="873"/>
      <c r="I783" s="873"/>
      <c r="J783" s="873"/>
      <c r="K783" s="873"/>
      <c r="L783" s="873"/>
      <c r="M783" s="873"/>
      <c r="N783" s="873"/>
      <c r="O783" s="873"/>
      <c r="P783" s="873"/>
      <c r="Q783" s="873"/>
      <c r="R783" s="873"/>
      <c r="S783" s="873"/>
      <c r="T783" s="873"/>
      <c r="U783" s="873"/>
      <c r="V783" s="873"/>
      <c r="W783" s="873"/>
      <c r="X783" s="873"/>
      <c r="Y783" s="873"/>
      <c r="Z783" s="873"/>
      <c r="AA783" s="873"/>
      <c r="AB783" s="873"/>
      <c r="AC783" s="873"/>
      <c r="AD783" s="873"/>
      <c r="AE783" s="873"/>
      <c r="AF783" s="873"/>
      <c r="AG783" s="873"/>
      <c r="AH783" s="873"/>
      <c r="AI783" s="873"/>
      <c r="AJ783" s="873"/>
      <c r="AK783" s="873"/>
      <c r="AL783" s="873"/>
      <c r="AM783" s="873"/>
      <c r="AN783" s="873"/>
      <c r="AO783" s="873"/>
      <c r="AP783" s="873"/>
      <c r="AQ783" s="873"/>
      <c r="AR783" s="873"/>
      <c r="AS783" s="873"/>
    </row>
    <row r="784" spans="1:45" ht="12.75" x14ac:dyDescent="0.2">
      <c r="A784" s="873"/>
      <c r="B784" s="873"/>
      <c r="C784" s="873"/>
      <c r="D784" s="873"/>
      <c r="E784" s="873"/>
      <c r="F784" s="873"/>
      <c r="G784" s="873"/>
      <c r="H784" s="873"/>
      <c r="I784" s="873"/>
      <c r="J784" s="873"/>
      <c r="K784" s="873"/>
      <c r="L784" s="873"/>
      <c r="M784" s="873"/>
      <c r="N784" s="873"/>
      <c r="O784" s="873"/>
      <c r="P784" s="873"/>
      <c r="Q784" s="873"/>
      <c r="R784" s="873"/>
      <c r="S784" s="873"/>
      <c r="T784" s="873"/>
      <c r="U784" s="873"/>
      <c r="V784" s="873"/>
      <c r="W784" s="873"/>
      <c r="X784" s="873"/>
      <c r="Y784" s="873"/>
      <c r="Z784" s="873"/>
      <c r="AA784" s="873"/>
      <c r="AB784" s="873"/>
      <c r="AC784" s="873"/>
      <c r="AD784" s="873"/>
      <c r="AE784" s="873"/>
      <c r="AF784" s="873"/>
      <c r="AG784" s="873"/>
      <c r="AH784" s="873"/>
      <c r="AI784" s="873"/>
      <c r="AJ784" s="873"/>
      <c r="AK784" s="873"/>
      <c r="AL784" s="873"/>
      <c r="AM784" s="873"/>
      <c r="AN784" s="873"/>
      <c r="AO784" s="873"/>
      <c r="AP784" s="873"/>
      <c r="AQ784" s="873"/>
      <c r="AR784" s="873"/>
      <c r="AS784" s="873"/>
    </row>
    <row r="785" spans="1:45" ht="12.75" x14ac:dyDescent="0.2">
      <c r="A785" s="873"/>
      <c r="B785" s="873"/>
      <c r="C785" s="873"/>
      <c r="D785" s="873"/>
      <c r="E785" s="873"/>
      <c r="F785" s="873"/>
      <c r="G785" s="873"/>
      <c r="H785" s="873"/>
      <c r="I785" s="873"/>
      <c r="J785" s="873"/>
      <c r="K785" s="873"/>
      <c r="L785" s="873"/>
      <c r="M785" s="873"/>
      <c r="N785" s="873"/>
      <c r="O785" s="873"/>
      <c r="P785" s="873"/>
      <c r="Q785" s="873"/>
      <c r="R785" s="873"/>
      <c r="S785" s="873"/>
      <c r="T785" s="873"/>
      <c r="U785" s="873"/>
      <c r="V785" s="873"/>
      <c r="W785" s="873"/>
      <c r="X785" s="873"/>
      <c r="Y785" s="873"/>
      <c r="Z785" s="873"/>
      <c r="AA785" s="873"/>
      <c r="AB785" s="873"/>
      <c r="AC785" s="873"/>
      <c r="AD785" s="873"/>
      <c r="AE785" s="873"/>
      <c r="AF785" s="873"/>
      <c r="AG785" s="873"/>
      <c r="AH785" s="873"/>
      <c r="AI785" s="873"/>
      <c r="AJ785" s="873"/>
      <c r="AK785" s="873"/>
      <c r="AL785" s="873"/>
      <c r="AM785" s="873"/>
      <c r="AN785" s="873"/>
      <c r="AO785" s="873"/>
      <c r="AP785" s="873"/>
      <c r="AQ785" s="873"/>
      <c r="AR785" s="873"/>
      <c r="AS785" s="873"/>
    </row>
    <row r="786" spans="1:45" ht="12.75" x14ac:dyDescent="0.2">
      <c r="A786" s="873"/>
      <c r="B786" s="873"/>
      <c r="C786" s="873"/>
      <c r="D786" s="873"/>
      <c r="E786" s="873"/>
      <c r="F786" s="873"/>
      <c r="G786" s="873"/>
      <c r="H786" s="873"/>
      <c r="I786" s="873"/>
      <c r="J786" s="873"/>
      <c r="K786" s="873"/>
      <c r="L786" s="873"/>
      <c r="M786" s="873"/>
      <c r="N786" s="873"/>
      <c r="O786" s="873"/>
      <c r="P786" s="873"/>
      <c r="Q786" s="873"/>
      <c r="R786" s="873"/>
      <c r="S786" s="873"/>
      <c r="T786" s="873"/>
      <c r="U786" s="873"/>
      <c r="V786" s="873"/>
      <c r="W786" s="873"/>
      <c r="X786" s="873"/>
      <c r="Y786" s="873"/>
      <c r="Z786" s="873"/>
      <c r="AA786" s="873"/>
      <c r="AB786" s="873"/>
      <c r="AC786" s="873"/>
      <c r="AD786" s="873"/>
      <c r="AE786" s="873"/>
      <c r="AF786" s="873"/>
      <c r="AG786" s="873"/>
      <c r="AH786" s="873"/>
      <c r="AI786" s="873"/>
      <c r="AJ786" s="873"/>
      <c r="AK786" s="873"/>
      <c r="AL786" s="873"/>
      <c r="AM786" s="873"/>
      <c r="AN786" s="873"/>
      <c r="AO786" s="873"/>
      <c r="AP786" s="873"/>
      <c r="AQ786" s="873"/>
      <c r="AR786" s="873"/>
      <c r="AS786" s="873"/>
    </row>
    <row r="787" spans="1:45" ht="12.75" x14ac:dyDescent="0.2">
      <c r="A787" s="873"/>
      <c r="B787" s="873"/>
      <c r="C787" s="873"/>
      <c r="D787" s="873"/>
      <c r="E787" s="873"/>
      <c r="F787" s="873"/>
      <c r="G787" s="873"/>
      <c r="H787" s="873"/>
      <c r="I787" s="873"/>
      <c r="J787" s="873"/>
      <c r="K787" s="873"/>
      <c r="L787" s="873"/>
      <c r="M787" s="873"/>
      <c r="N787" s="873"/>
      <c r="O787" s="873"/>
      <c r="P787" s="873"/>
      <c r="Q787" s="873"/>
      <c r="R787" s="873"/>
      <c r="S787" s="873"/>
      <c r="T787" s="873"/>
      <c r="U787" s="873"/>
      <c r="V787" s="873"/>
      <c r="W787" s="873"/>
      <c r="X787" s="873"/>
      <c r="Y787" s="873"/>
      <c r="Z787" s="873"/>
      <c r="AA787" s="873"/>
      <c r="AB787" s="873"/>
      <c r="AC787" s="873"/>
      <c r="AD787" s="873"/>
      <c r="AE787" s="873"/>
      <c r="AF787" s="873"/>
      <c r="AG787" s="873"/>
      <c r="AH787" s="873"/>
      <c r="AI787" s="873"/>
      <c r="AJ787" s="873"/>
      <c r="AK787" s="873"/>
      <c r="AL787" s="873"/>
      <c r="AM787" s="873"/>
      <c r="AN787" s="873"/>
      <c r="AO787" s="873"/>
      <c r="AP787" s="873"/>
      <c r="AQ787" s="873"/>
      <c r="AR787" s="873"/>
      <c r="AS787" s="873"/>
    </row>
    <row r="788" spans="1:45" ht="12.75" x14ac:dyDescent="0.2">
      <c r="A788" s="873"/>
      <c r="B788" s="873"/>
      <c r="C788" s="873"/>
      <c r="D788" s="873"/>
      <c r="E788" s="873"/>
      <c r="F788" s="873"/>
      <c r="G788" s="873"/>
      <c r="H788" s="873"/>
      <c r="I788" s="873"/>
      <c r="J788" s="873"/>
      <c r="K788" s="873"/>
      <c r="L788" s="873"/>
      <c r="M788" s="873"/>
      <c r="N788" s="873"/>
      <c r="O788" s="873"/>
      <c r="P788" s="873"/>
      <c r="Q788" s="873"/>
      <c r="R788" s="873"/>
      <c r="S788" s="873"/>
      <c r="T788" s="873"/>
      <c r="U788" s="873"/>
      <c r="V788" s="873"/>
      <c r="W788" s="873"/>
      <c r="X788" s="873"/>
      <c r="Y788" s="873"/>
      <c r="Z788" s="873"/>
      <c r="AA788" s="873"/>
      <c r="AB788" s="873"/>
      <c r="AC788" s="873"/>
      <c r="AD788" s="873"/>
      <c r="AE788" s="873"/>
      <c r="AF788" s="873"/>
      <c r="AG788" s="873"/>
      <c r="AH788" s="873"/>
      <c r="AI788" s="873"/>
      <c r="AJ788" s="873"/>
      <c r="AK788" s="873"/>
      <c r="AL788" s="873"/>
      <c r="AM788" s="873"/>
      <c r="AN788" s="873"/>
      <c r="AO788" s="873"/>
      <c r="AP788" s="873"/>
      <c r="AQ788" s="873"/>
      <c r="AR788" s="873"/>
      <c r="AS788" s="873"/>
    </row>
    <row r="789" spans="1:45" ht="12.75" x14ac:dyDescent="0.2">
      <c r="A789" s="873"/>
      <c r="B789" s="873"/>
      <c r="C789" s="873"/>
      <c r="D789" s="873"/>
      <c r="E789" s="873"/>
      <c r="F789" s="873"/>
      <c r="G789" s="873"/>
      <c r="H789" s="873"/>
      <c r="I789" s="873"/>
      <c r="J789" s="873"/>
      <c r="K789" s="873"/>
      <c r="L789" s="873"/>
      <c r="M789" s="873"/>
      <c r="N789" s="873"/>
      <c r="O789" s="873"/>
      <c r="P789" s="873"/>
      <c r="Q789" s="873"/>
      <c r="R789" s="873"/>
      <c r="S789" s="873"/>
      <c r="T789" s="873"/>
      <c r="U789" s="873"/>
      <c r="V789" s="873"/>
      <c r="W789" s="873"/>
      <c r="X789" s="873"/>
      <c r="Y789" s="873"/>
      <c r="Z789" s="873"/>
      <c r="AA789" s="873"/>
      <c r="AB789" s="873"/>
      <c r="AC789" s="873"/>
      <c r="AD789" s="873"/>
      <c r="AE789" s="873"/>
      <c r="AF789" s="873"/>
      <c r="AG789" s="873"/>
      <c r="AH789" s="873"/>
      <c r="AI789" s="873"/>
      <c r="AJ789" s="873"/>
      <c r="AK789" s="873"/>
      <c r="AL789" s="873"/>
      <c r="AM789" s="873"/>
      <c r="AN789" s="873"/>
      <c r="AO789" s="873"/>
      <c r="AP789" s="873"/>
      <c r="AQ789" s="873"/>
      <c r="AR789" s="873"/>
      <c r="AS789" s="873"/>
    </row>
    <row r="790" spans="1:45" ht="12.75" x14ac:dyDescent="0.2">
      <c r="A790" s="873"/>
      <c r="B790" s="873"/>
      <c r="C790" s="873"/>
      <c r="D790" s="873"/>
      <c r="E790" s="873"/>
      <c r="F790" s="873"/>
      <c r="G790" s="873"/>
      <c r="H790" s="873"/>
      <c r="I790" s="873"/>
      <c r="J790" s="873"/>
      <c r="K790" s="873"/>
      <c r="L790" s="873"/>
      <c r="M790" s="873"/>
      <c r="N790" s="873"/>
      <c r="O790" s="873"/>
      <c r="P790" s="873"/>
      <c r="Q790" s="873"/>
      <c r="R790" s="873"/>
      <c r="S790" s="873"/>
      <c r="T790" s="873"/>
      <c r="U790" s="873"/>
      <c r="V790" s="873"/>
      <c r="W790" s="873"/>
      <c r="X790" s="873"/>
      <c r="Y790" s="873"/>
      <c r="Z790" s="873"/>
      <c r="AA790" s="873"/>
      <c r="AB790" s="873"/>
      <c r="AC790" s="873"/>
      <c r="AD790" s="873"/>
      <c r="AE790" s="873"/>
      <c r="AF790" s="873"/>
      <c r="AG790" s="873"/>
      <c r="AH790" s="873"/>
      <c r="AI790" s="873"/>
      <c r="AJ790" s="873"/>
      <c r="AK790" s="873"/>
      <c r="AL790" s="873"/>
      <c r="AM790" s="873"/>
      <c r="AN790" s="873"/>
      <c r="AO790" s="873"/>
      <c r="AP790" s="873"/>
      <c r="AQ790" s="873"/>
      <c r="AR790" s="873"/>
      <c r="AS790" s="873"/>
    </row>
    <row r="791" spans="1:45" ht="12.75" x14ac:dyDescent="0.2">
      <c r="A791" s="873"/>
      <c r="B791" s="873"/>
      <c r="C791" s="873"/>
      <c r="D791" s="873"/>
      <c r="E791" s="873"/>
      <c r="F791" s="873"/>
      <c r="G791" s="873"/>
      <c r="H791" s="873"/>
      <c r="I791" s="873"/>
      <c r="J791" s="873"/>
      <c r="K791" s="873"/>
      <c r="L791" s="873"/>
      <c r="M791" s="873"/>
      <c r="N791" s="873"/>
      <c r="O791" s="873"/>
      <c r="P791" s="873"/>
      <c r="Q791" s="873"/>
      <c r="R791" s="873"/>
      <c r="S791" s="873"/>
      <c r="T791" s="873"/>
      <c r="U791" s="873"/>
      <c r="V791" s="873"/>
      <c r="W791" s="873"/>
      <c r="X791" s="873"/>
      <c r="Y791" s="873"/>
      <c r="Z791" s="873"/>
      <c r="AA791" s="873"/>
      <c r="AB791" s="873"/>
      <c r="AC791" s="873"/>
      <c r="AD791" s="873"/>
      <c r="AE791" s="873"/>
      <c r="AF791" s="873"/>
      <c r="AG791" s="873"/>
      <c r="AH791" s="873"/>
      <c r="AI791" s="873"/>
      <c r="AJ791" s="873"/>
      <c r="AK791" s="873"/>
      <c r="AL791" s="873"/>
      <c r="AM791" s="873"/>
      <c r="AN791" s="873"/>
      <c r="AO791" s="873"/>
      <c r="AP791" s="873"/>
      <c r="AQ791" s="873"/>
      <c r="AR791" s="873"/>
      <c r="AS791" s="873"/>
    </row>
    <row r="792" spans="1:45" ht="12.75" x14ac:dyDescent="0.2">
      <c r="A792" s="873"/>
      <c r="B792" s="873"/>
      <c r="C792" s="873"/>
      <c r="D792" s="873"/>
      <c r="E792" s="873"/>
      <c r="F792" s="873"/>
      <c r="G792" s="873"/>
      <c r="H792" s="873"/>
      <c r="I792" s="873"/>
      <c r="J792" s="873"/>
      <c r="K792" s="873"/>
      <c r="L792" s="873"/>
      <c r="M792" s="873"/>
      <c r="N792" s="873"/>
      <c r="O792" s="873"/>
      <c r="P792" s="873"/>
      <c r="Q792" s="873"/>
      <c r="R792" s="873"/>
      <c r="S792" s="873"/>
      <c r="T792" s="873"/>
      <c r="U792" s="873"/>
      <c r="V792" s="873"/>
      <c r="W792" s="873"/>
      <c r="X792" s="873"/>
      <c r="Y792" s="873"/>
      <c r="Z792" s="873"/>
      <c r="AA792" s="873"/>
      <c r="AB792" s="873"/>
      <c r="AC792" s="873"/>
      <c r="AD792" s="873"/>
      <c r="AE792" s="873"/>
      <c r="AF792" s="873"/>
      <c r="AG792" s="873"/>
      <c r="AH792" s="873"/>
      <c r="AI792" s="873"/>
      <c r="AJ792" s="873"/>
      <c r="AK792" s="873"/>
      <c r="AL792" s="873"/>
      <c r="AM792" s="873"/>
      <c r="AN792" s="873"/>
      <c r="AO792" s="873"/>
      <c r="AP792" s="873"/>
      <c r="AQ792" s="873"/>
      <c r="AR792" s="873"/>
      <c r="AS792" s="873"/>
    </row>
    <row r="793" spans="1:45" ht="12.75" x14ac:dyDescent="0.2">
      <c r="A793" s="873"/>
      <c r="B793" s="873"/>
      <c r="C793" s="873"/>
      <c r="D793" s="873"/>
      <c r="E793" s="873"/>
      <c r="F793" s="873"/>
      <c r="G793" s="873"/>
      <c r="H793" s="873"/>
      <c r="I793" s="873"/>
      <c r="J793" s="873"/>
      <c r="K793" s="873"/>
      <c r="L793" s="873"/>
      <c r="M793" s="873"/>
      <c r="N793" s="873"/>
      <c r="O793" s="873"/>
      <c r="P793" s="873"/>
      <c r="Q793" s="873"/>
      <c r="R793" s="873"/>
      <c r="S793" s="873"/>
      <c r="T793" s="873"/>
      <c r="U793" s="873"/>
      <c r="V793" s="873"/>
      <c r="W793" s="873"/>
      <c r="X793" s="873"/>
      <c r="Y793" s="873"/>
      <c r="Z793" s="873"/>
      <c r="AA793" s="873"/>
      <c r="AB793" s="873"/>
      <c r="AC793" s="873"/>
      <c r="AD793" s="873"/>
      <c r="AE793" s="873"/>
      <c r="AF793" s="873"/>
      <c r="AG793" s="873"/>
      <c r="AH793" s="873"/>
      <c r="AI793" s="873"/>
      <c r="AJ793" s="873"/>
      <c r="AK793" s="873"/>
      <c r="AL793" s="873"/>
      <c r="AM793" s="873"/>
      <c r="AN793" s="873"/>
      <c r="AO793" s="873"/>
      <c r="AP793" s="873"/>
      <c r="AQ793" s="873"/>
      <c r="AR793" s="873"/>
      <c r="AS793" s="873"/>
    </row>
    <row r="794" spans="1:45" ht="12.75" x14ac:dyDescent="0.2">
      <c r="A794" s="873"/>
      <c r="B794" s="873"/>
      <c r="C794" s="873"/>
      <c r="D794" s="873"/>
      <c r="E794" s="873"/>
      <c r="F794" s="873"/>
      <c r="G794" s="873"/>
      <c r="H794" s="873"/>
      <c r="I794" s="873"/>
      <c r="J794" s="873"/>
      <c r="K794" s="873"/>
      <c r="L794" s="873"/>
      <c r="M794" s="873"/>
      <c r="N794" s="873"/>
      <c r="O794" s="873"/>
      <c r="P794" s="873"/>
      <c r="Q794" s="873"/>
      <c r="R794" s="873"/>
      <c r="S794" s="873"/>
      <c r="T794" s="873"/>
      <c r="U794" s="873"/>
      <c r="V794" s="873"/>
      <c r="W794" s="873"/>
      <c r="X794" s="873"/>
      <c r="Y794" s="873"/>
      <c r="Z794" s="873"/>
      <c r="AA794" s="873"/>
      <c r="AB794" s="873"/>
      <c r="AC794" s="873"/>
      <c r="AD794" s="873"/>
      <c r="AE794" s="873"/>
      <c r="AF794" s="873"/>
      <c r="AG794" s="873"/>
      <c r="AH794" s="873"/>
      <c r="AI794" s="873"/>
      <c r="AJ794" s="873"/>
      <c r="AK794" s="873"/>
      <c r="AL794" s="873"/>
      <c r="AM794" s="873"/>
      <c r="AN794" s="873"/>
      <c r="AO794" s="873"/>
      <c r="AP794" s="873"/>
      <c r="AQ794" s="873"/>
      <c r="AR794" s="873"/>
      <c r="AS794" s="873"/>
    </row>
    <row r="795" spans="1:45" ht="12.75" x14ac:dyDescent="0.2">
      <c r="A795" s="873"/>
      <c r="B795" s="873"/>
      <c r="C795" s="873"/>
      <c r="D795" s="873"/>
      <c r="E795" s="873"/>
      <c r="F795" s="873"/>
      <c r="G795" s="873"/>
      <c r="H795" s="873"/>
      <c r="I795" s="873"/>
      <c r="J795" s="873"/>
      <c r="K795" s="873"/>
      <c r="L795" s="873"/>
      <c r="M795" s="873"/>
      <c r="N795" s="873"/>
      <c r="O795" s="873"/>
      <c r="P795" s="873"/>
      <c r="Q795" s="873"/>
      <c r="R795" s="873"/>
      <c r="S795" s="873"/>
      <c r="T795" s="873"/>
      <c r="U795" s="873"/>
      <c r="V795" s="873"/>
      <c r="W795" s="873"/>
      <c r="X795" s="873"/>
      <c r="Y795" s="873"/>
      <c r="Z795" s="873"/>
      <c r="AA795" s="873"/>
      <c r="AB795" s="873"/>
      <c r="AC795" s="873"/>
      <c r="AD795" s="873"/>
      <c r="AE795" s="873"/>
      <c r="AF795" s="873"/>
      <c r="AG795" s="873"/>
      <c r="AH795" s="873"/>
      <c r="AI795" s="873"/>
      <c r="AJ795" s="873"/>
      <c r="AK795" s="873"/>
      <c r="AL795" s="873"/>
      <c r="AM795" s="873"/>
      <c r="AN795" s="873"/>
      <c r="AO795" s="873"/>
      <c r="AP795" s="873"/>
      <c r="AQ795" s="873"/>
      <c r="AR795" s="873"/>
      <c r="AS795" s="873"/>
    </row>
    <row r="796" spans="1:45" ht="12.75" x14ac:dyDescent="0.2">
      <c r="A796" s="873"/>
      <c r="B796" s="873"/>
      <c r="C796" s="873"/>
      <c r="D796" s="873"/>
      <c r="E796" s="873"/>
      <c r="F796" s="873"/>
      <c r="G796" s="873"/>
      <c r="H796" s="873"/>
      <c r="I796" s="873"/>
      <c r="J796" s="873"/>
      <c r="K796" s="873"/>
      <c r="L796" s="873"/>
      <c r="M796" s="873"/>
      <c r="N796" s="873"/>
      <c r="O796" s="873"/>
      <c r="P796" s="873"/>
      <c r="Q796" s="873"/>
      <c r="R796" s="873"/>
      <c r="S796" s="873"/>
      <c r="T796" s="873"/>
      <c r="U796" s="873"/>
      <c r="V796" s="873"/>
      <c r="W796" s="873"/>
      <c r="X796" s="873"/>
      <c r="Y796" s="873"/>
      <c r="Z796" s="873"/>
      <c r="AA796" s="873"/>
      <c r="AB796" s="873"/>
      <c r="AC796" s="873"/>
      <c r="AD796" s="873"/>
      <c r="AE796" s="873"/>
      <c r="AF796" s="873"/>
      <c r="AG796" s="873"/>
      <c r="AH796" s="873"/>
      <c r="AI796" s="873"/>
      <c r="AJ796" s="873"/>
      <c r="AK796" s="873"/>
      <c r="AL796" s="873"/>
      <c r="AM796" s="873"/>
      <c r="AN796" s="873"/>
      <c r="AO796" s="873"/>
      <c r="AP796" s="873"/>
      <c r="AQ796" s="873"/>
      <c r="AR796" s="873"/>
      <c r="AS796" s="873"/>
    </row>
    <row r="797" spans="1:45" ht="12.75" x14ac:dyDescent="0.2">
      <c r="A797" s="873"/>
      <c r="B797" s="873"/>
      <c r="C797" s="873"/>
      <c r="D797" s="873"/>
      <c r="E797" s="873"/>
      <c r="F797" s="873"/>
      <c r="G797" s="873"/>
      <c r="H797" s="873"/>
      <c r="I797" s="873"/>
      <c r="J797" s="873"/>
      <c r="K797" s="873"/>
      <c r="L797" s="873"/>
      <c r="M797" s="873"/>
      <c r="N797" s="873"/>
      <c r="O797" s="873"/>
      <c r="P797" s="873"/>
      <c r="Q797" s="873"/>
      <c r="R797" s="873"/>
      <c r="S797" s="873"/>
      <c r="T797" s="873"/>
      <c r="U797" s="873"/>
      <c r="V797" s="873"/>
      <c r="W797" s="873"/>
      <c r="X797" s="873"/>
      <c r="Y797" s="873"/>
      <c r="Z797" s="873"/>
      <c r="AA797" s="873"/>
      <c r="AB797" s="873"/>
      <c r="AC797" s="873"/>
      <c r="AD797" s="873"/>
      <c r="AE797" s="873"/>
      <c r="AF797" s="873"/>
      <c r="AG797" s="873"/>
      <c r="AH797" s="873"/>
      <c r="AI797" s="873"/>
      <c r="AJ797" s="873"/>
      <c r="AK797" s="873"/>
      <c r="AL797" s="873"/>
      <c r="AM797" s="873"/>
      <c r="AN797" s="873"/>
      <c r="AO797" s="873"/>
      <c r="AP797" s="873"/>
      <c r="AQ797" s="873"/>
      <c r="AR797" s="873"/>
      <c r="AS797" s="873"/>
    </row>
    <row r="798" spans="1:45" ht="12.75" x14ac:dyDescent="0.2">
      <c r="A798" s="873"/>
      <c r="B798" s="873"/>
      <c r="C798" s="873"/>
      <c r="D798" s="873"/>
      <c r="E798" s="873"/>
      <c r="F798" s="873"/>
      <c r="G798" s="873"/>
      <c r="H798" s="873"/>
      <c r="I798" s="873"/>
      <c r="J798" s="873"/>
      <c r="K798" s="873"/>
      <c r="L798" s="873"/>
      <c r="M798" s="873"/>
      <c r="N798" s="873"/>
      <c r="O798" s="873"/>
      <c r="P798" s="873"/>
      <c r="Q798" s="873"/>
      <c r="R798" s="873"/>
      <c r="S798" s="873"/>
      <c r="T798" s="873"/>
      <c r="U798" s="873"/>
      <c r="V798" s="873"/>
      <c r="W798" s="873"/>
      <c r="X798" s="873"/>
      <c r="Y798" s="873"/>
      <c r="Z798" s="873"/>
      <c r="AA798" s="873"/>
      <c r="AB798" s="873"/>
      <c r="AC798" s="873"/>
      <c r="AD798" s="873"/>
      <c r="AE798" s="873"/>
      <c r="AF798" s="873"/>
      <c r="AG798" s="873"/>
      <c r="AH798" s="873"/>
      <c r="AI798" s="873"/>
      <c r="AJ798" s="873"/>
      <c r="AK798" s="873"/>
      <c r="AL798" s="873"/>
      <c r="AM798" s="873"/>
      <c r="AN798" s="873"/>
      <c r="AO798" s="873"/>
      <c r="AP798" s="873"/>
      <c r="AQ798" s="873"/>
      <c r="AR798" s="873"/>
      <c r="AS798" s="873"/>
    </row>
    <row r="799" spans="1:45" ht="12.75" x14ac:dyDescent="0.2">
      <c r="A799" s="873"/>
      <c r="B799" s="873"/>
      <c r="C799" s="873"/>
      <c r="D799" s="873"/>
      <c r="E799" s="873"/>
      <c r="F799" s="873"/>
      <c r="G799" s="873"/>
      <c r="H799" s="873"/>
      <c r="I799" s="873"/>
      <c r="J799" s="873"/>
      <c r="K799" s="873"/>
      <c r="L799" s="873"/>
      <c r="M799" s="873"/>
      <c r="N799" s="873"/>
      <c r="O799" s="873"/>
      <c r="P799" s="873"/>
      <c r="Q799" s="873"/>
      <c r="R799" s="873"/>
      <c r="S799" s="873"/>
      <c r="T799" s="873"/>
      <c r="U799" s="873"/>
      <c r="V799" s="873"/>
      <c r="W799" s="873"/>
      <c r="X799" s="873"/>
      <c r="Y799" s="873"/>
      <c r="Z799" s="873"/>
      <c r="AA799" s="873"/>
      <c r="AB799" s="873"/>
      <c r="AC799" s="873"/>
      <c r="AD799" s="873"/>
      <c r="AE799" s="873"/>
      <c r="AF799" s="873"/>
      <c r="AG799" s="873"/>
      <c r="AH799" s="873"/>
      <c r="AI799" s="873"/>
      <c r="AJ799" s="873"/>
      <c r="AK799" s="873"/>
      <c r="AL799" s="873"/>
      <c r="AM799" s="873"/>
      <c r="AN799" s="873"/>
      <c r="AO799" s="873"/>
      <c r="AP799" s="873"/>
      <c r="AQ799" s="873"/>
      <c r="AR799" s="873"/>
      <c r="AS799" s="873"/>
    </row>
    <row r="800" spans="1:45" ht="12.75" x14ac:dyDescent="0.2">
      <c r="A800" s="873"/>
      <c r="B800" s="873"/>
      <c r="C800" s="873"/>
      <c r="D800" s="873"/>
      <c r="E800" s="873"/>
      <c r="F800" s="873"/>
      <c r="G800" s="873"/>
      <c r="H800" s="873"/>
      <c r="I800" s="873"/>
      <c r="J800" s="873"/>
      <c r="K800" s="873"/>
      <c r="L800" s="873"/>
      <c r="M800" s="873"/>
      <c r="N800" s="873"/>
      <c r="O800" s="873"/>
      <c r="P800" s="873"/>
      <c r="Q800" s="873"/>
      <c r="R800" s="873"/>
      <c r="S800" s="873"/>
      <c r="T800" s="873"/>
      <c r="U800" s="873"/>
      <c r="V800" s="873"/>
      <c r="W800" s="873"/>
      <c r="X800" s="873"/>
      <c r="Y800" s="873"/>
      <c r="Z800" s="873"/>
      <c r="AA800" s="873"/>
      <c r="AB800" s="873"/>
      <c r="AC800" s="873"/>
      <c r="AD800" s="873"/>
      <c r="AE800" s="873"/>
      <c r="AF800" s="873"/>
      <c r="AG800" s="873"/>
      <c r="AH800" s="873"/>
      <c r="AI800" s="873"/>
      <c r="AJ800" s="873"/>
      <c r="AK800" s="873"/>
      <c r="AL800" s="873"/>
      <c r="AM800" s="873"/>
      <c r="AN800" s="873"/>
      <c r="AO800" s="873"/>
      <c r="AP800" s="873"/>
      <c r="AQ800" s="873"/>
      <c r="AR800" s="873"/>
      <c r="AS800" s="873"/>
    </row>
    <row r="801" spans="1:45" ht="12.75" x14ac:dyDescent="0.2">
      <c r="A801" s="873"/>
      <c r="B801" s="873"/>
      <c r="C801" s="873"/>
      <c r="D801" s="873"/>
      <c r="E801" s="873"/>
      <c r="F801" s="873"/>
      <c r="G801" s="873"/>
      <c r="H801" s="873"/>
      <c r="I801" s="873"/>
      <c r="J801" s="873"/>
      <c r="K801" s="873"/>
      <c r="L801" s="873"/>
      <c r="M801" s="873"/>
      <c r="N801" s="873"/>
      <c r="O801" s="873"/>
      <c r="P801" s="873"/>
      <c r="Q801" s="873"/>
      <c r="R801" s="873"/>
      <c r="S801" s="873"/>
      <c r="T801" s="873"/>
      <c r="U801" s="873"/>
      <c r="V801" s="873"/>
      <c r="W801" s="873"/>
      <c r="X801" s="873"/>
      <c r="Y801" s="873"/>
      <c r="Z801" s="873"/>
      <c r="AA801" s="873"/>
      <c r="AB801" s="873"/>
      <c r="AC801" s="873"/>
      <c r="AD801" s="873"/>
      <c r="AE801" s="873"/>
      <c r="AF801" s="873"/>
      <c r="AG801" s="873"/>
      <c r="AH801" s="873"/>
      <c r="AI801" s="873"/>
      <c r="AJ801" s="873"/>
      <c r="AK801" s="873"/>
      <c r="AL801" s="873"/>
      <c r="AM801" s="873"/>
      <c r="AN801" s="873"/>
      <c r="AO801" s="873"/>
      <c r="AP801" s="873"/>
      <c r="AQ801" s="873"/>
      <c r="AR801" s="873"/>
      <c r="AS801" s="873"/>
    </row>
    <row r="802" spans="1:45" ht="12.75" x14ac:dyDescent="0.2">
      <c r="A802" s="873"/>
      <c r="B802" s="873"/>
      <c r="C802" s="873"/>
      <c r="D802" s="873"/>
      <c r="E802" s="873"/>
      <c r="F802" s="873"/>
      <c r="G802" s="873"/>
      <c r="H802" s="873"/>
      <c r="I802" s="873"/>
      <c r="J802" s="873"/>
      <c r="K802" s="873"/>
      <c r="L802" s="873"/>
      <c r="M802" s="873"/>
      <c r="N802" s="873"/>
      <c r="O802" s="873"/>
      <c r="P802" s="873"/>
      <c r="Q802" s="873"/>
      <c r="R802" s="873"/>
      <c r="S802" s="873"/>
      <c r="T802" s="873"/>
      <c r="U802" s="873"/>
      <c r="V802" s="873"/>
      <c r="W802" s="873"/>
      <c r="X802" s="873"/>
      <c r="Y802" s="873"/>
      <c r="Z802" s="873"/>
      <c r="AA802" s="873"/>
      <c r="AB802" s="873"/>
      <c r="AC802" s="873"/>
      <c r="AD802" s="873"/>
      <c r="AE802" s="873"/>
      <c r="AF802" s="873"/>
      <c r="AG802" s="873"/>
      <c r="AH802" s="873"/>
      <c r="AI802" s="873"/>
      <c r="AJ802" s="873"/>
      <c r="AK802" s="873"/>
      <c r="AL802" s="873"/>
      <c r="AM802" s="873"/>
      <c r="AN802" s="873"/>
      <c r="AO802" s="873"/>
      <c r="AP802" s="873"/>
      <c r="AQ802" s="873"/>
      <c r="AR802" s="873"/>
      <c r="AS802" s="873"/>
    </row>
    <row r="803" spans="1:45" ht="12.75" x14ac:dyDescent="0.2">
      <c r="A803" s="873"/>
      <c r="B803" s="873"/>
      <c r="C803" s="873"/>
      <c r="D803" s="873"/>
      <c r="E803" s="873"/>
      <c r="F803" s="873"/>
      <c r="G803" s="873"/>
      <c r="H803" s="873"/>
      <c r="I803" s="873"/>
      <c r="J803" s="873"/>
      <c r="K803" s="873"/>
      <c r="L803" s="873"/>
      <c r="M803" s="873"/>
      <c r="N803" s="873"/>
      <c r="O803" s="873"/>
      <c r="P803" s="873"/>
      <c r="Q803" s="873"/>
      <c r="R803" s="873"/>
      <c r="S803" s="873"/>
      <c r="T803" s="873"/>
      <c r="U803" s="873"/>
      <c r="V803" s="873"/>
      <c r="W803" s="873"/>
      <c r="X803" s="873"/>
      <c r="Y803" s="873"/>
      <c r="Z803" s="873"/>
      <c r="AA803" s="873"/>
      <c r="AB803" s="873"/>
      <c r="AC803" s="873"/>
      <c r="AD803" s="873"/>
      <c r="AE803" s="873"/>
      <c r="AF803" s="873"/>
      <c r="AG803" s="873"/>
      <c r="AH803" s="873"/>
      <c r="AI803" s="873"/>
      <c r="AJ803" s="873"/>
      <c r="AK803" s="873"/>
      <c r="AL803" s="873"/>
      <c r="AM803" s="873"/>
      <c r="AN803" s="873"/>
      <c r="AO803" s="873"/>
      <c r="AP803" s="873"/>
      <c r="AQ803" s="873"/>
      <c r="AR803" s="873"/>
      <c r="AS803" s="873"/>
    </row>
    <row r="804" spans="1:45" ht="12.75" x14ac:dyDescent="0.2">
      <c r="A804" s="873"/>
      <c r="B804" s="873"/>
      <c r="C804" s="873"/>
      <c r="D804" s="873"/>
      <c r="E804" s="873"/>
      <c r="F804" s="873"/>
      <c r="G804" s="873"/>
      <c r="H804" s="873"/>
      <c r="I804" s="873"/>
      <c r="J804" s="873"/>
      <c r="K804" s="873"/>
      <c r="L804" s="873"/>
      <c r="M804" s="873"/>
      <c r="N804" s="873"/>
      <c r="O804" s="873"/>
      <c r="P804" s="873"/>
      <c r="Q804" s="873"/>
      <c r="R804" s="873"/>
      <c r="S804" s="873"/>
      <c r="T804" s="873"/>
      <c r="U804" s="873"/>
      <c r="V804" s="873"/>
      <c r="W804" s="873"/>
      <c r="X804" s="873"/>
      <c r="Y804" s="873"/>
      <c r="Z804" s="873"/>
      <c r="AA804" s="873"/>
      <c r="AB804" s="873"/>
      <c r="AC804" s="873"/>
      <c r="AD804" s="873"/>
      <c r="AE804" s="873"/>
      <c r="AF804" s="873"/>
      <c r="AG804" s="873"/>
      <c r="AH804" s="873"/>
      <c r="AI804" s="873"/>
      <c r="AJ804" s="873"/>
      <c r="AK804" s="873"/>
      <c r="AL804" s="873"/>
      <c r="AM804" s="873"/>
      <c r="AN804" s="873"/>
      <c r="AO804" s="873"/>
      <c r="AP804" s="873"/>
      <c r="AQ804" s="873"/>
      <c r="AR804" s="873"/>
      <c r="AS804" s="873"/>
    </row>
    <row r="805" spans="1:45" ht="12.75" x14ac:dyDescent="0.2">
      <c r="A805" s="873"/>
      <c r="B805" s="873"/>
      <c r="C805" s="873"/>
      <c r="D805" s="873"/>
      <c r="E805" s="873"/>
      <c r="F805" s="873"/>
      <c r="G805" s="873"/>
      <c r="H805" s="873"/>
      <c r="I805" s="873"/>
      <c r="J805" s="873"/>
      <c r="K805" s="873"/>
      <c r="L805" s="873"/>
      <c r="M805" s="873"/>
      <c r="N805" s="873"/>
      <c r="O805" s="873"/>
      <c r="P805" s="873"/>
      <c r="Q805" s="873"/>
      <c r="R805" s="873"/>
      <c r="S805" s="873"/>
      <c r="T805" s="873"/>
      <c r="U805" s="873"/>
      <c r="V805" s="873"/>
      <c r="W805" s="873"/>
      <c r="X805" s="873"/>
      <c r="Y805" s="873"/>
      <c r="Z805" s="873"/>
      <c r="AA805" s="873"/>
      <c r="AB805" s="873"/>
      <c r="AC805" s="873"/>
      <c r="AD805" s="873"/>
      <c r="AE805" s="873"/>
      <c r="AF805" s="873"/>
      <c r="AG805" s="873"/>
      <c r="AH805" s="873"/>
      <c r="AI805" s="873"/>
      <c r="AJ805" s="873"/>
      <c r="AK805" s="873"/>
      <c r="AL805" s="873"/>
      <c r="AM805" s="873"/>
      <c r="AN805" s="873"/>
      <c r="AO805" s="873"/>
      <c r="AP805" s="873"/>
      <c r="AQ805" s="873"/>
      <c r="AR805" s="873"/>
      <c r="AS805" s="873"/>
    </row>
    <row r="806" spans="1:45" ht="12.75" x14ac:dyDescent="0.2">
      <c r="A806" s="873"/>
      <c r="B806" s="873"/>
      <c r="C806" s="873"/>
      <c r="D806" s="873"/>
      <c r="E806" s="873"/>
      <c r="F806" s="873"/>
      <c r="G806" s="873"/>
      <c r="H806" s="873"/>
      <c r="I806" s="873"/>
      <c r="J806" s="873"/>
      <c r="K806" s="873"/>
      <c r="L806" s="873"/>
      <c r="M806" s="873"/>
      <c r="N806" s="873"/>
      <c r="O806" s="873"/>
      <c r="P806" s="873"/>
      <c r="Q806" s="873"/>
      <c r="R806" s="873"/>
      <c r="S806" s="873"/>
      <c r="T806" s="873"/>
      <c r="U806" s="873"/>
      <c r="V806" s="873"/>
      <c r="W806" s="873"/>
      <c r="X806" s="873"/>
      <c r="Y806" s="873"/>
      <c r="Z806" s="873"/>
      <c r="AA806" s="873"/>
      <c r="AB806" s="873"/>
      <c r="AC806" s="873"/>
      <c r="AD806" s="873"/>
      <c r="AE806" s="873"/>
      <c r="AF806" s="873"/>
      <c r="AG806" s="873"/>
      <c r="AH806" s="873"/>
      <c r="AI806" s="873"/>
      <c r="AJ806" s="873"/>
      <c r="AK806" s="873"/>
      <c r="AL806" s="873"/>
      <c r="AM806" s="873"/>
      <c r="AN806" s="873"/>
      <c r="AO806" s="873"/>
      <c r="AP806" s="873"/>
      <c r="AQ806" s="873"/>
      <c r="AR806" s="873"/>
      <c r="AS806" s="873"/>
    </row>
    <row r="807" spans="1:45" ht="12.75" x14ac:dyDescent="0.2">
      <c r="A807" s="873"/>
      <c r="B807" s="873"/>
      <c r="C807" s="873"/>
      <c r="D807" s="873"/>
      <c r="E807" s="873"/>
      <c r="F807" s="873"/>
      <c r="G807" s="873"/>
      <c r="H807" s="873"/>
      <c r="I807" s="873"/>
      <c r="J807" s="873"/>
      <c r="K807" s="873"/>
      <c r="L807" s="873"/>
      <c r="M807" s="873"/>
      <c r="N807" s="873"/>
      <c r="O807" s="873"/>
      <c r="P807" s="873"/>
      <c r="Q807" s="873"/>
      <c r="R807" s="873"/>
      <c r="S807" s="873"/>
      <c r="T807" s="873"/>
      <c r="U807" s="873"/>
      <c r="V807" s="873"/>
      <c r="W807" s="873"/>
      <c r="X807" s="873"/>
      <c r="Y807" s="873"/>
      <c r="Z807" s="873"/>
      <c r="AA807" s="873"/>
      <c r="AB807" s="873"/>
      <c r="AC807" s="873"/>
      <c r="AD807" s="873"/>
      <c r="AE807" s="873"/>
      <c r="AF807" s="873"/>
      <c r="AG807" s="873"/>
      <c r="AH807" s="873"/>
      <c r="AI807" s="873"/>
      <c r="AJ807" s="873"/>
      <c r="AK807" s="873"/>
      <c r="AL807" s="873"/>
      <c r="AM807" s="873"/>
      <c r="AN807" s="873"/>
      <c r="AO807" s="873"/>
      <c r="AP807" s="873"/>
      <c r="AQ807" s="873"/>
      <c r="AR807" s="873"/>
      <c r="AS807" s="873"/>
    </row>
    <row r="808" spans="1:45" ht="12.75" x14ac:dyDescent="0.2">
      <c r="A808" s="873"/>
      <c r="B808" s="873"/>
      <c r="C808" s="873"/>
      <c r="D808" s="873"/>
      <c r="E808" s="873"/>
      <c r="F808" s="873"/>
      <c r="G808" s="873"/>
      <c r="H808" s="873"/>
      <c r="I808" s="873"/>
      <c r="J808" s="873"/>
      <c r="K808" s="873"/>
      <c r="L808" s="873"/>
      <c r="M808" s="873"/>
      <c r="N808" s="873"/>
      <c r="O808" s="873"/>
      <c r="P808" s="873"/>
      <c r="Q808" s="873"/>
      <c r="R808" s="873"/>
      <c r="S808" s="873"/>
      <c r="T808" s="873"/>
      <c r="U808" s="873"/>
      <c r="V808" s="873"/>
      <c r="W808" s="873"/>
      <c r="X808" s="873"/>
      <c r="Y808" s="873"/>
      <c r="Z808" s="873"/>
      <c r="AA808" s="873"/>
      <c r="AB808" s="873"/>
      <c r="AC808" s="873"/>
      <c r="AD808" s="873"/>
      <c r="AE808" s="873"/>
      <c r="AF808" s="873"/>
      <c r="AG808" s="873"/>
      <c r="AH808" s="873"/>
      <c r="AI808" s="873"/>
      <c r="AJ808" s="873"/>
      <c r="AK808" s="873"/>
      <c r="AL808" s="873"/>
      <c r="AM808" s="873"/>
      <c r="AN808" s="873"/>
      <c r="AO808" s="873"/>
      <c r="AP808" s="873"/>
      <c r="AQ808" s="873"/>
      <c r="AR808" s="873"/>
      <c r="AS808" s="873"/>
    </row>
    <row r="809" spans="1:45" ht="12.75" x14ac:dyDescent="0.2">
      <c r="A809" s="873"/>
      <c r="B809" s="873"/>
      <c r="C809" s="873"/>
      <c r="D809" s="873"/>
      <c r="E809" s="873"/>
      <c r="F809" s="873"/>
      <c r="G809" s="873"/>
      <c r="H809" s="873"/>
      <c r="I809" s="873"/>
      <c r="J809" s="873"/>
      <c r="K809" s="873"/>
      <c r="L809" s="873"/>
      <c r="M809" s="873"/>
      <c r="N809" s="873"/>
      <c r="O809" s="873"/>
      <c r="P809" s="873"/>
      <c r="Q809" s="873"/>
      <c r="R809" s="873"/>
      <c r="S809" s="873"/>
      <c r="T809" s="873"/>
      <c r="U809" s="873"/>
      <c r="V809" s="873"/>
      <c r="W809" s="873"/>
      <c r="X809" s="873"/>
      <c r="Y809" s="873"/>
      <c r="Z809" s="873"/>
      <c r="AA809" s="873"/>
      <c r="AB809" s="873"/>
      <c r="AC809" s="873"/>
      <c r="AD809" s="873"/>
      <c r="AE809" s="873"/>
      <c r="AF809" s="873"/>
      <c r="AG809" s="873"/>
      <c r="AH809" s="873"/>
      <c r="AI809" s="873"/>
      <c r="AJ809" s="873"/>
      <c r="AK809" s="873"/>
      <c r="AL809" s="873"/>
      <c r="AM809" s="873"/>
      <c r="AN809" s="873"/>
      <c r="AO809" s="873"/>
      <c r="AP809" s="873"/>
      <c r="AQ809" s="873"/>
      <c r="AR809" s="873"/>
      <c r="AS809" s="873"/>
    </row>
    <row r="810" spans="1:45" ht="12.75" x14ac:dyDescent="0.2">
      <c r="A810" s="873"/>
      <c r="B810" s="873"/>
      <c r="C810" s="873"/>
      <c r="D810" s="873"/>
      <c r="E810" s="873"/>
      <c r="F810" s="873"/>
      <c r="G810" s="873"/>
      <c r="H810" s="873"/>
      <c r="I810" s="873"/>
      <c r="J810" s="873"/>
      <c r="K810" s="873"/>
      <c r="L810" s="873"/>
      <c r="M810" s="873"/>
      <c r="N810" s="873"/>
      <c r="O810" s="873"/>
      <c r="P810" s="873"/>
      <c r="Q810" s="873"/>
      <c r="R810" s="873"/>
      <c r="S810" s="873"/>
      <c r="T810" s="873"/>
      <c r="U810" s="873"/>
      <c r="V810" s="873"/>
      <c r="W810" s="873"/>
      <c r="X810" s="873"/>
      <c r="Y810" s="873"/>
      <c r="Z810" s="873"/>
      <c r="AA810" s="873"/>
      <c r="AB810" s="873"/>
      <c r="AC810" s="873"/>
      <c r="AD810" s="873"/>
      <c r="AE810" s="873"/>
      <c r="AF810" s="873"/>
      <c r="AG810" s="873"/>
      <c r="AH810" s="873"/>
      <c r="AI810" s="873"/>
      <c r="AJ810" s="873"/>
      <c r="AK810" s="873"/>
      <c r="AL810" s="873"/>
      <c r="AM810" s="873"/>
      <c r="AN810" s="873"/>
      <c r="AO810" s="873"/>
      <c r="AP810" s="873"/>
      <c r="AQ810" s="873"/>
      <c r="AR810" s="873"/>
      <c r="AS810" s="873"/>
    </row>
    <row r="811" spans="1:45" ht="12.75" x14ac:dyDescent="0.2">
      <c r="A811" s="873"/>
      <c r="B811" s="873"/>
      <c r="C811" s="873"/>
      <c r="D811" s="873"/>
      <c r="E811" s="873"/>
      <c r="F811" s="873"/>
      <c r="G811" s="873"/>
      <c r="H811" s="873"/>
      <c r="I811" s="873"/>
      <c r="J811" s="873"/>
      <c r="K811" s="873"/>
      <c r="L811" s="873"/>
      <c r="M811" s="873"/>
      <c r="N811" s="873"/>
      <c r="O811" s="873"/>
      <c r="P811" s="873"/>
      <c r="Q811" s="873"/>
      <c r="R811" s="873"/>
      <c r="S811" s="873"/>
      <c r="T811" s="873"/>
      <c r="U811" s="873"/>
      <c r="V811" s="873"/>
      <c r="W811" s="873"/>
      <c r="X811" s="873"/>
      <c r="Y811" s="873"/>
      <c r="Z811" s="873"/>
      <c r="AA811" s="873"/>
      <c r="AB811" s="873"/>
      <c r="AC811" s="873"/>
      <c r="AD811" s="873"/>
      <c r="AE811" s="873"/>
      <c r="AF811" s="873"/>
      <c r="AG811" s="873"/>
      <c r="AH811" s="873"/>
      <c r="AI811" s="873"/>
      <c r="AJ811" s="873"/>
      <c r="AK811" s="873"/>
      <c r="AL811" s="873"/>
      <c r="AM811" s="873"/>
      <c r="AN811" s="873"/>
      <c r="AO811" s="873"/>
      <c r="AP811" s="873"/>
      <c r="AQ811" s="873"/>
      <c r="AR811" s="873"/>
      <c r="AS811" s="873"/>
    </row>
    <row r="812" spans="1:45" ht="12.75" x14ac:dyDescent="0.2">
      <c r="A812" s="873"/>
      <c r="B812" s="873"/>
      <c r="C812" s="873"/>
      <c r="D812" s="873"/>
      <c r="E812" s="873"/>
      <c r="F812" s="873"/>
      <c r="G812" s="873"/>
      <c r="H812" s="873"/>
      <c r="I812" s="873"/>
      <c r="J812" s="873"/>
      <c r="K812" s="873"/>
      <c r="L812" s="873"/>
      <c r="M812" s="873"/>
      <c r="N812" s="873"/>
      <c r="O812" s="873"/>
      <c r="P812" s="873"/>
      <c r="Q812" s="873"/>
      <c r="R812" s="873"/>
      <c r="S812" s="873"/>
      <c r="T812" s="873"/>
      <c r="U812" s="873"/>
      <c r="V812" s="873"/>
      <c r="W812" s="873"/>
      <c r="X812" s="873"/>
      <c r="Y812" s="873"/>
      <c r="Z812" s="873"/>
      <c r="AA812" s="873"/>
      <c r="AB812" s="873"/>
      <c r="AC812" s="873"/>
      <c r="AD812" s="873"/>
      <c r="AE812" s="873"/>
      <c r="AF812" s="873"/>
      <c r="AG812" s="873"/>
      <c r="AH812" s="873"/>
      <c r="AI812" s="873"/>
      <c r="AJ812" s="873"/>
      <c r="AK812" s="873"/>
      <c r="AL812" s="873"/>
      <c r="AM812" s="873"/>
      <c r="AN812" s="873"/>
      <c r="AO812" s="873"/>
      <c r="AP812" s="873"/>
      <c r="AQ812" s="873"/>
      <c r="AR812" s="873"/>
      <c r="AS812" s="873"/>
    </row>
    <row r="813" spans="1:45" ht="12.75" x14ac:dyDescent="0.2">
      <c r="A813" s="873"/>
      <c r="B813" s="873"/>
      <c r="C813" s="873"/>
      <c r="D813" s="873"/>
      <c r="E813" s="873"/>
      <c r="F813" s="873"/>
      <c r="G813" s="873"/>
      <c r="H813" s="873"/>
      <c r="I813" s="873"/>
      <c r="J813" s="873"/>
      <c r="K813" s="873"/>
      <c r="L813" s="873"/>
      <c r="M813" s="873"/>
      <c r="N813" s="873"/>
      <c r="O813" s="873"/>
      <c r="P813" s="873"/>
      <c r="Q813" s="873"/>
      <c r="R813" s="873"/>
      <c r="S813" s="873"/>
      <c r="T813" s="873"/>
      <c r="U813" s="873"/>
      <c r="V813" s="873"/>
      <c r="W813" s="873"/>
      <c r="X813" s="873"/>
      <c r="Y813" s="873"/>
      <c r="Z813" s="873"/>
      <c r="AA813" s="873"/>
      <c r="AB813" s="873"/>
      <c r="AC813" s="873"/>
      <c r="AD813" s="873"/>
      <c r="AE813" s="873"/>
      <c r="AF813" s="873"/>
      <c r="AG813" s="873"/>
      <c r="AH813" s="873"/>
      <c r="AI813" s="873"/>
      <c r="AJ813" s="873"/>
      <c r="AK813" s="873"/>
      <c r="AL813" s="873"/>
      <c r="AM813" s="873"/>
      <c r="AN813" s="873"/>
      <c r="AO813" s="873"/>
      <c r="AP813" s="873"/>
      <c r="AQ813" s="873"/>
      <c r="AR813" s="873"/>
      <c r="AS813" s="873"/>
    </row>
    <row r="814" spans="1:45" ht="12.75" x14ac:dyDescent="0.2">
      <c r="A814" s="873"/>
      <c r="B814" s="873"/>
      <c r="C814" s="873"/>
      <c r="D814" s="873"/>
      <c r="E814" s="873"/>
      <c r="F814" s="873"/>
      <c r="G814" s="873"/>
      <c r="H814" s="873"/>
      <c r="I814" s="873"/>
      <c r="J814" s="873"/>
      <c r="K814" s="873"/>
      <c r="L814" s="873"/>
      <c r="M814" s="873"/>
      <c r="N814" s="873"/>
      <c r="O814" s="873"/>
      <c r="P814" s="873"/>
      <c r="Q814" s="873"/>
      <c r="R814" s="873"/>
      <c r="S814" s="873"/>
      <c r="T814" s="873"/>
      <c r="U814" s="873"/>
      <c r="V814" s="873"/>
      <c r="W814" s="873"/>
      <c r="X814" s="873"/>
      <c r="Y814" s="873"/>
      <c r="Z814" s="873"/>
      <c r="AA814" s="873"/>
      <c r="AB814" s="873"/>
      <c r="AC814" s="873"/>
      <c r="AD814" s="873"/>
      <c r="AE814" s="873"/>
      <c r="AF814" s="873"/>
      <c r="AG814" s="873"/>
      <c r="AH814" s="873"/>
      <c r="AI814" s="873"/>
      <c r="AJ814" s="873"/>
      <c r="AK814" s="873"/>
      <c r="AL814" s="873"/>
      <c r="AM814" s="873"/>
      <c r="AN814" s="873"/>
      <c r="AO814" s="873"/>
      <c r="AP814" s="873"/>
      <c r="AQ814" s="873"/>
      <c r="AR814" s="873"/>
      <c r="AS814" s="873"/>
    </row>
    <row r="815" spans="1:45" ht="12.75" x14ac:dyDescent="0.2">
      <c r="A815" s="873"/>
      <c r="B815" s="873"/>
      <c r="C815" s="873"/>
      <c r="D815" s="873"/>
      <c r="E815" s="873"/>
      <c r="F815" s="873"/>
      <c r="G815" s="873"/>
      <c r="H815" s="873"/>
      <c r="I815" s="873"/>
      <c r="J815" s="873"/>
      <c r="K815" s="873"/>
      <c r="L815" s="873"/>
      <c r="M815" s="873"/>
      <c r="N815" s="873"/>
      <c r="O815" s="873"/>
      <c r="P815" s="873"/>
      <c r="Q815" s="873"/>
      <c r="R815" s="873"/>
      <c r="S815" s="873"/>
      <c r="T815" s="873"/>
      <c r="U815" s="873"/>
      <c r="V815" s="873"/>
      <c r="W815" s="873"/>
      <c r="X815" s="873"/>
      <c r="Y815" s="873"/>
      <c r="Z815" s="873"/>
      <c r="AA815" s="873"/>
      <c r="AB815" s="873"/>
      <c r="AC815" s="873"/>
      <c r="AD815" s="873"/>
      <c r="AE815" s="873"/>
      <c r="AF815" s="873"/>
      <c r="AG815" s="873"/>
      <c r="AH815" s="873"/>
      <c r="AI815" s="873"/>
      <c r="AJ815" s="873"/>
      <c r="AK815" s="873"/>
      <c r="AL815" s="873"/>
      <c r="AM815" s="873"/>
      <c r="AN815" s="873"/>
      <c r="AO815" s="873"/>
      <c r="AP815" s="873"/>
      <c r="AQ815" s="873"/>
      <c r="AR815" s="873"/>
      <c r="AS815" s="873"/>
    </row>
    <row r="816" spans="1:45" ht="12.75" x14ac:dyDescent="0.2">
      <c r="A816" s="873"/>
      <c r="B816" s="873"/>
      <c r="C816" s="873"/>
      <c r="D816" s="873"/>
      <c r="E816" s="873"/>
      <c r="F816" s="873"/>
      <c r="G816" s="873"/>
      <c r="H816" s="873"/>
      <c r="I816" s="873"/>
      <c r="J816" s="873"/>
      <c r="K816" s="873"/>
      <c r="L816" s="873"/>
      <c r="M816" s="873"/>
      <c r="N816" s="873"/>
      <c r="O816" s="873"/>
      <c r="P816" s="873"/>
      <c r="Q816" s="873"/>
      <c r="R816" s="873"/>
      <c r="S816" s="873"/>
      <c r="T816" s="873"/>
      <c r="U816" s="873"/>
      <c r="V816" s="873"/>
      <c r="W816" s="873"/>
      <c r="X816" s="873"/>
      <c r="Y816" s="873"/>
      <c r="Z816" s="873"/>
      <c r="AA816" s="873"/>
      <c r="AB816" s="873"/>
      <c r="AC816" s="873"/>
      <c r="AD816" s="873"/>
      <c r="AE816" s="873"/>
      <c r="AF816" s="873"/>
      <c r="AG816" s="873"/>
      <c r="AH816" s="873"/>
      <c r="AI816" s="873"/>
      <c r="AJ816" s="873"/>
      <c r="AK816" s="873"/>
      <c r="AL816" s="873"/>
      <c r="AM816" s="873"/>
      <c r="AN816" s="873"/>
      <c r="AO816" s="873"/>
      <c r="AP816" s="873"/>
      <c r="AQ816" s="873"/>
      <c r="AR816" s="873"/>
      <c r="AS816" s="873"/>
    </row>
    <row r="817" spans="1:45" ht="12.75" x14ac:dyDescent="0.2">
      <c r="A817" s="873"/>
      <c r="B817" s="873"/>
      <c r="C817" s="873"/>
      <c r="D817" s="873"/>
      <c r="E817" s="873"/>
      <c r="F817" s="873"/>
      <c r="G817" s="873"/>
      <c r="H817" s="873"/>
      <c r="I817" s="873"/>
      <c r="J817" s="873"/>
      <c r="K817" s="873"/>
      <c r="L817" s="873"/>
      <c r="M817" s="873"/>
      <c r="N817" s="873"/>
      <c r="O817" s="873"/>
      <c r="P817" s="873"/>
      <c r="Q817" s="873"/>
      <c r="R817" s="873"/>
      <c r="S817" s="873"/>
      <c r="T817" s="873"/>
      <c r="U817" s="873"/>
      <c r="V817" s="873"/>
      <c r="W817" s="873"/>
      <c r="X817" s="873"/>
      <c r="Y817" s="873"/>
      <c r="Z817" s="873"/>
      <c r="AA817" s="873"/>
      <c r="AB817" s="873"/>
      <c r="AC817" s="873"/>
      <c r="AD817" s="873"/>
      <c r="AE817" s="873"/>
      <c r="AF817" s="873"/>
      <c r="AG817" s="873"/>
      <c r="AH817" s="873"/>
      <c r="AI817" s="873"/>
      <c r="AJ817" s="873"/>
      <c r="AK817" s="873"/>
      <c r="AL817" s="873"/>
      <c r="AM817" s="873"/>
      <c r="AN817" s="873"/>
      <c r="AO817" s="873"/>
      <c r="AP817" s="873"/>
      <c r="AQ817" s="873"/>
      <c r="AR817" s="873"/>
      <c r="AS817" s="873"/>
    </row>
    <row r="818" spans="1:45" ht="12.75" x14ac:dyDescent="0.2">
      <c r="A818" s="873"/>
      <c r="B818" s="873"/>
      <c r="C818" s="873"/>
      <c r="D818" s="873"/>
      <c r="E818" s="873"/>
      <c r="F818" s="873"/>
      <c r="G818" s="873"/>
      <c r="H818" s="873"/>
      <c r="I818" s="873"/>
      <c r="J818" s="873"/>
      <c r="K818" s="873"/>
      <c r="L818" s="873"/>
      <c r="M818" s="873"/>
      <c r="N818" s="873"/>
      <c r="O818" s="873"/>
      <c r="P818" s="873"/>
      <c r="Q818" s="873"/>
      <c r="R818" s="873"/>
      <c r="S818" s="873"/>
      <c r="T818" s="873"/>
      <c r="U818" s="873"/>
      <c r="V818" s="873"/>
      <c r="W818" s="873"/>
      <c r="X818" s="873"/>
      <c r="Y818" s="873"/>
      <c r="Z818" s="873"/>
      <c r="AA818" s="873"/>
      <c r="AB818" s="873"/>
      <c r="AC818" s="873"/>
      <c r="AD818" s="873"/>
      <c r="AE818" s="873"/>
      <c r="AF818" s="873"/>
      <c r="AG818" s="873"/>
      <c r="AH818" s="873"/>
      <c r="AI818" s="873"/>
      <c r="AJ818" s="873"/>
      <c r="AK818" s="873"/>
      <c r="AL818" s="873"/>
      <c r="AM818" s="873"/>
      <c r="AN818" s="873"/>
      <c r="AO818" s="873"/>
      <c r="AP818" s="873"/>
      <c r="AQ818" s="873"/>
      <c r="AR818" s="873"/>
      <c r="AS818" s="873"/>
    </row>
    <row r="819" spans="1:45" ht="12.75" x14ac:dyDescent="0.2">
      <c r="A819" s="873"/>
      <c r="B819" s="873"/>
      <c r="C819" s="873"/>
      <c r="D819" s="873"/>
      <c r="E819" s="873"/>
      <c r="F819" s="873"/>
      <c r="G819" s="873"/>
      <c r="H819" s="873"/>
      <c r="I819" s="873"/>
      <c r="J819" s="873"/>
      <c r="K819" s="873"/>
      <c r="L819" s="873"/>
      <c r="M819" s="873"/>
      <c r="N819" s="873"/>
      <c r="O819" s="873"/>
      <c r="P819" s="873"/>
      <c r="Q819" s="873"/>
      <c r="R819" s="873"/>
      <c r="S819" s="873"/>
      <c r="T819" s="873"/>
      <c r="U819" s="873"/>
      <c r="V819" s="873"/>
      <c r="W819" s="873"/>
      <c r="X819" s="873"/>
      <c r="Y819" s="873"/>
      <c r="Z819" s="873"/>
      <c r="AA819" s="873"/>
      <c r="AB819" s="873"/>
      <c r="AC819" s="873"/>
      <c r="AD819" s="873"/>
      <c r="AE819" s="873"/>
      <c r="AF819" s="873"/>
      <c r="AG819" s="873"/>
      <c r="AH819" s="873"/>
      <c r="AI819" s="873"/>
      <c r="AJ819" s="873"/>
      <c r="AK819" s="873"/>
      <c r="AL819" s="873"/>
      <c r="AM819" s="873"/>
      <c r="AN819" s="873"/>
      <c r="AO819" s="873"/>
      <c r="AP819" s="873"/>
      <c r="AQ819" s="873"/>
      <c r="AR819" s="873"/>
      <c r="AS819" s="873"/>
    </row>
    <row r="820" spans="1:45" ht="12.75" x14ac:dyDescent="0.2">
      <c r="A820" s="873"/>
      <c r="B820" s="873"/>
      <c r="C820" s="873"/>
      <c r="D820" s="873"/>
      <c r="E820" s="873"/>
      <c r="F820" s="873"/>
      <c r="G820" s="873"/>
      <c r="H820" s="873"/>
      <c r="I820" s="873"/>
      <c r="J820" s="873"/>
      <c r="K820" s="873"/>
      <c r="L820" s="873"/>
      <c r="M820" s="873"/>
      <c r="N820" s="873"/>
      <c r="O820" s="873"/>
      <c r="P820" s="873"/>
      <c r="Q820" s="873"/>
      <c r="R820" s="873"/>
      <c r="S820" s="873"/>
      <c r="T820" s="873"/>
      <c r="U820" s="873"/>
      <c r="V820" s="873"/>
      <c r="W820" s="873"/>
      <c r="X820" s="873"/>
      <c r="Y820" s="873"/>
      <c r="Z820" s="873"/>
      <c r="AA820" s="873"/>
      <c r="AB820" s="873"/>
      <c r="AC820" s="873"/>
      <c r="AD820" s="873"/>
      <c r="AE820" s="873"/>
      <c r="AF820" s="873"/>
      <c r="AG820" s="873"/>
      <c r="AH820" s="873"/>
      <c r="AI820" s="873"/>
      <c r="AJ820" s="873"/>
      <c r="AK820" s="873"/>
      <c r="AL820" s="873"/>
      <c r="AM820" s="873"/>
      <c r="AN820" s="873"/>
      <c r="AO820" s="873"/>
      <c r="AP820" s="873"/>
      <c r="AQ820" s="873"/>
      <c r="AR820" s="873"/>
      <c r="AS820" s="873"/>
    </row>
    <row r="821" spans="1:45" ht="12.75" x14ac:dyDescent="0.2">
      <c r="A821" s="873"/>
      <c r="B821" s="873"/>
      <c r="C821" s="873"/>
      <c r="D821" s="873"/>
      <c r="E821" s="873"/>
      <c r="F821" s="873"/>
      <c r="G821" s="873"/>
      <c r="H821" s="873"/>
      <c r="I821" s="873"/>
      <c r="J821" s="873"/>
      <c r="K821" s="873"/>
      <c r="L821" s="873"/>
      <c r="M821" s="873"/>
      <c r="N821" s="873"/>
      <c r="O821" s="873"/>
      <c r="P821" s="873"/>
      <c r="Q821" s="873"/>
      <c r="R821" s="873"/>
      <c r="S821" s="873"/>
      <c r="T821" s="873"/>
      <c r="U821" s="873"/>
      <c r="V821" s="873"/>
      <c r="W821" s="873"/>
      <c r="X821" s="873"/>
      <c r="Y821" s="873"/>
      <c r="Z821" s="873"/>
      <c r="AA821" s="873"/>
      <c r="AB821" s="873"/>
      <c r="AC821" s="873"/>
      <c r="AD821" s="873"/>
      <c r="AE821" s="873"/>
      <c r="AF821" s="873"/>
      <c r="AG821" s="873"/>
      <c r="AH821" s="873"/>
      <c r="AI821" s="873"/>
      <c r="AJ821" s="873"/>
      <c r="AK821" s="873"/>
      <c r="AL821" s="873"/>
      <c r="AM821" s="873"/>
      <c r="AN821" s="873"/>
      <c r="AO821" s="873"/>
      <c r="AP821" s="873"/>
      <c r="AQ821" s="873"/>
      <c r="AR821" s="873"/>
      <c r="AS821" s="873"/>
    </row>
    <row r="822" spans="1:45" ht="12.75" x14ac:dyDescent="0.2">
      <c r="A822" s="873"/>
      <c r="B822" s="873"/>
      <c r="C822" s="873"/>
      <c r="D822" s="873"/>
      <c r="E822" s="873"/>
      <c r="F822" s="873"/>
      <c r="G822" s="873"/>
      <c r="H822" s="873"/>
      <c r="I822" s="873"/>
      <c r="J822" s="873"/>
      <c r="K822" s="873"/>
      <c r="L822" s="873"/>
      <c r="M822" s="873"/>
      <c r="N822" s="873"/>
      <c r="O822" s="873"/>
      <c r="P822" s="873"/>
      <c r="Q822" s="873"/>
      <c r="R822" s="873"/>
      <c r="S822" s="873"/>
      <c r="T822" s="873"/>
      <c r="U822" s="873"/>
      <c r="V822" s="873"/>
      <c r="W822" s="873"/>
      <c r="X822" s="873"/>
      <c r="Y822" s="873"/>
      <c r="Z822" s="873"/>
      <c r="AA822" s="873"/>
      <c r="AB822" s="873"/>
      <c r="AC822" s="873"/>
      <c r="AD822" s="873"/>
      <c r="AE822" s="873"/>
      <c r="AF822" s="873"/>
      <c r="AG822" s="873"/>
      <c r="AH822" s="873"/>
      <c r="AI822" s="873"/>
      <c r="AJ822" s="873"/>
      <c r="AK822" s="873"/>
      <c r="AL822" s="873"/>
      <c r="AM822" s="873"/>
      <c r="AN822" s="873"/>
      <c r="AO822" s="873"/>
      <c r="AP822" s="873"/>
      <c r="AQ822" s="873"/>
      <c r="AR822" s="873"/>
      <c r="AS822" s="873"/>
    </row>
    <row r="823" spans="1:45" ht="12.75" x14ac:dyDescent="0.2">
      <c r="A823" s="873"/>
      <c r="B823" s="873"/>
      <c r="C823" s="873"/>
      <c r="D823" s="873"/>
      <c r="E823" s="873"/>
      <c r="F823" s="873"/>
      <c r="G823" s="873"/>
      <c r="H823" s="873"/>
      <c r="I823" s="873"/>
      <c r="J823" s="873"/>
      <c r="K823" s="873"/>
      <c r="L823" s="873"/>
      <c r="M823" s="873"/>
      <c r="N823" s="873"/>
      <c r="O823" s="873"/>
      <c r="P823" s="873"/>
      <c r="Q823" s="873"/>
      <c r="R823" s="873"/>
      <c r="S823" s="873"/>
      <c r="T823" s="873"/>
      <c r="U823" s="873"/>
      <c r="V823" s="873"/>
      <c r="W823" s="873"/>
      <c r="X823" s="873"/>
      <c r="Y823" s="873"/>
      <c r="Z823" s="873"/>
      <c r="AA823" s="873"/>
      <c r="AB823" s="873"/>
      <c r="AC823" s="873"/>
      <c r="AD823" s="873"/>
      <c r="AE823" s="873"/>
      <c r="AF823" s="873"/>
      <c r="AG823" s="873"/>
      <c r="AH823" s="873"/>
      <c r="AI823" s="873"/>
      <c r="AJ823" s="873"/>
      <c r="AK823" s="873"/>
      <c r="AL823" s="873"/>
      <c r="AM823" s="873"/>
      <c r="AN823" s="873"/>
      <c r="AO823" s="873"/>
      <c r="AP823" s="873"/>
      <c r="AQ823" s="873"/>
      <c r="AR823" s="873"/>
      <c r="AS823" s="873"/>
    </row>
    <row r="824" spans="1:45" ht="12.75" x14ac:dyDescent="0.2">
      <c r="A824" s="873"/>
      <c r="B824" s="873"/>
      <c r="C824" s="873"/>
      <c r="D824" s="873"/>
      <c r="E824" s="873"/>
      <c r="F824" s="873"/>
      <c r="G824" s="873"/>
      <c r="H824" s="873"/>
      <c r="I824" s="873"/>
      <c r="J824" s="873"/>
      <c r="K824" s="873"/>
      <c r="L824" s="873"/>
      <c r="M824" s="873"/>
      <c r="N824" s="873"/>
      <c r="O824" s="873"/>
      <c r="P824" s="873"/>
      <c r="Q824" s="873"/>
      <c r="R824" s="873"/>
      <c r="S824" s="873"/>
      <c r="T824" s="873"/>
      <c r="U824" s="873"/>
      <c r="V824" s="873"/>
      <c r="W824" s="873"/>
      <c r="X824" s="873"/>
      <c r="Y824" s="873"/>
      <c r="Z824" s="873"/>
      <c r="AA824" s="873"/>
      <c r="AB824" s="873"/>
      <c r="AC824" s="873"/>
      <c r="AD824" s="873"/>
      <c r="AE824" s="873"/>
      <c r="AF824" s="873"/>
      <c r="AG824" s="873"/>
      <c r="AH824" s="873"/>
      <c r="AI824" s="873"/>
      <c r="AJ824" s="873"/>
      <c r="AK824" s="873"/>
      <c r="AL824" s="873"/>
      <c r="AM824" s="873"/>
      <c r="AN824" s="873"/>
      <c r="AO824" s="873"/>
      <c r="AP824" s="873"/>
      <c r="AQ824" s="873"/>
      <c r="AR824" s="873"/>
      <c r="AS824" s="873"/>
    </row>
    <row r="825" spans="1:45" ht="12.75" x14ac:dyDescent="0.2">
      <c r="A825" s="873"/>
      <c r="B825" s="873"/>
      <c r="C825" s="873"/>
      <c r="D825" s="873"/>
      <c r="E825" s="873"/>
      <c r="F825" s="873"/>
      <c r="G825" s="873"/>
      <c r="H825" s="873"/>
      <c r="I825" s="873"/>
      <c r="J825" s="873"/>
      <c r="K825" s="873"/>
      <c r="L825" s="873"/>
      <c r="M825" s="873"/>
      <c r="N825" s="873"/>
      <c r="O825" s="873"/>
      <c r="P825" s="873"/>
      <c r="Q825" s="873"/>
      <c r="R825" s="873"/>
      <c r="S825" s="873"/>
      <c r="T825" s="873"/>
      <c r="U825" s="873"/>
      <c r="V825" s="873"/>
      <c r="W825" s="873"/>
      <c r="X825" s="873"/>
      <c r="Y825" s="873"/>
      <c r="Z825" s="873"/>
      <c r="AA825" s="873"/>
      <c r="AB825" s="873"/>
      <c r="AC825" s="873"/>
      <c r="AD825" s="873"/>
      <c r="AE825" s="873"/>
      <c r="AF825" s="873"/>
      <c r="AG825" s="873"/>
      <c r="AH825" s="873"/>
      <c r="AI825" s="873"/>
      <c r="AJ825" s="873"/>
      <c r="AK825" s="873"/>
      <c r="AL825" s="873"/>
      <c r="AM825" s="873"/>
      <c r="AN825" s="873"/>
      <c r="AO825" s="873"/>
      <c r="AP825" s="873"/>
      <c r="AQ825" s="873"/>
      <c r="AR825" s="873"/>
      <c r="AS825" s="873"/>
    </row>
    <row r="826" spans="1:45" ht="12.75" x14ac:dyDescent="0.2">
      <c r="A826" s="873"/>
      <c r="B826" s="873"/>
      <c r="C826" s="873"/>
      <c r="D826" s="873"/>
      <c r="E826" s="873"/>
      <c r="F826" s="873"/>
      <c r="G826" s="873"/>
      <c r="H826" s="873"/>
      <c r="I826" s="873"/>
      <c r="J826" s="873"/>
      <c r="K826" s="873"/>
      <c r="L826" s="873"/>
      <c r="M826" s="873"/>
      <c r="N826" s="873"/>
      <c r="O826" s="873"/>
      <c r="P826" s="873"/>
      <c r="Q826" s="873"/>
      <c r="R826" s="873"/>
      <c r="S826" s="873"/>
      <c r="T826" s="873"/>
      <c r="U826" s="873"/>
      <c r="V826" s="873"/>
      <c r="W826" s="873"/>
      <c r="X826" s="873"/>
      <c r="Y826" s="873"/>
      <c r="Z826" s="873"/>
      <c r="AA826" s="873"/>
      <c r="AB826" s="873"/>
      <c r="AC826" s="873"/>
      <c r="AD826" s="873"/>
      <c r="AE826" s="873"/>
      <c r="AF826" s="873"/>
      <c r="AG826" s="873"/>
      <c r="AH826" s="873"/>
      <c r="AI826" s="873"/>
      <c r="AJ826" s="873"/>
      <c r="AK826" s="873"/>
      <c r="AL826" s="873"/>
      <c r="AM826" s="873"/>
      <c r="AN826" s="873"/>
      <c r="AO826" s="873"/>
      <c r="AP826" s="873"/>
      <c r="AQ826" s="873"/>
      <c r="AR826" s="873"/>
      <c r="AS826" s="873"/>
    </row>
    <row r="827" spans="1:45" ht="12.75" x14ac:dyDescent="0.2">
      <c r="A827" s="873"/>
      <c r="B827" s="873"/>
      <c r="C827" s="873"/>
      <c r="D827" s="873"/>
      <c r="E827" s="873"/>
      <c r="F827" s="873"/>
      <c r="G827" s="873"/>
      <c r="H827" s="873"/>
      <c r="I827" s="873"/>
      <c r="J827" s="873"/>
      <c r="K827" s="873"/>
      <c r="L827" s="873"/>
      <c r="M827" s="873"/>
      <c r="N827" s="873"/>
      <c r="O827" s="873"/>
      <c r="P827" s="873"/>
      <c r="Q827" s="873"/>
      <c r="R827" s="873"/>
      <c r="S827" s="873"/>
      <c r="T827" s="873"/>
      <c r="U827" s="873"/>
      <c r="V827" s="873"/>
      <c r="W827" s="873"/>
      <c r="X827" s="873"/>
      <c r="Y827" s="873"/>
      <c r="Z827" s="873"/>
      <c r="AA827" s="873"/>
      <c r="AB827" s="873"/>
      <c r="AC827" s="873"/>
      <c r="AD827" s="873"/>
      <c r="AE827" s="873"/>
      <c r="AF827" s="873"/>
      <c r="AG827" s="873"/>
      <c r="AH827" s="873"/>
      <c r="AI827" s="873"/>
      <c r="AJ827" s="873"/>
      <c r="AK827" s="873"/>
      <c r="AL827" s="873"/>
      <c r="AM827" s="873"/>
      <c r="AN827" s="873"/>
      <c r="AO827" s="873"/>
      <c r="AP827" s="873"/>
      <c r="AQ827" s="873"/>
      <c r="AR827" s="873"/>
      <c r="AS827" s="873"/>
    </row>
    <row r="828" spans="1:45" ht="12.75" x14ac:dyDescent="0.2">
      <c r="A828" s="873"/>
      <c r="B828" s="873"/>
      <c r="C828" s="873"/>
      <c r="D828" s="873"/>
      <c r="E828" s="873"/>
      <c r="F828" s="873"/>
      <c r="G828" s="873"/>
      <c r="H828" s="873"/>
      <c r="I828" s="873"/>
      <c r="J828" s="873"/>
      <c r="K828" s="873"/>
      <c r="L828" s="873"/>
      <c r="M828" s="873"/>
      <c r="N828" s="873"/>
      <c r="O828" s="873"/>
      <c r="P828" s="873"/>
      <c r="Q828" s="873"/>
      <c r="R828" s="873"/>
      <c r="S828" s="873"/>
      <c r="T828" s="873"/>
      <c r="U828" s="873"/>
      <c r="V828" s="873"/>
      <c r="W828" s="873"/>
      <c r="X828" s="873"/>
      <c r="Y828" s="873"/>
      <c r="Z828" s="873"/>
      <c r="AA828" s="873"/>
      <c r="AB828" s="873"/>
      <c r="AC828" s="873"/>
      <c r="AD828" s="873"/>
      <c r="AE828" s="873"/>
      <c r="AF828" s="873"/>
      <c r="AG828" s="873"/>
      <c r="AH828" s="873"/>
      <c r="AI828" s="873"/>
      <c r="AJ828" s="873"/>
      <c r="AK828" s="873"/>
      <c r="AL828" s="873"/>
      <c r="AM828" s="873"/>
      <c r="AN828" s="873"/>
      <c r="AO828" s="873"/>
      <c r="AP828" s="873"/>
      <c r="AQ828" s="873"/>
      <c r="AR828" s="873"/>
      <c r="AS828" s="873"/>
    </row>
    <row r="829" spans="1:45" ht="12.75" x14ac:dyDescent="0.2">
      <c r="A829" s="873"/>
      <c r="B829" s="873"/>
      <c r="C829" s="873"/>
      <c r="D829" s="873"/>
      <c r="E829" s="873"/>
      <c r="F829" s="873"/>
      <c r="G829" s="873"/>
      <c r="H829" s="873"/>
      <c r="I829" s="873"/>
      <c r="J829" s="873"/>
      <c r="K829" s="873"/>
      <c r="L829" s="873"/>
      <c r="M829" s="873"/>
      <c r="N829" s="873"/>
      <c r="O829" s="873"/>
      <c r="P829" s="873"/>
      <c r="Q829" s="873"/>
      <c r="R829" s="873"/>
      <c r="S829" s="873"/>
      <c r="T829" s="873"/>
      <c r="U829" s="873"/>
      <c r="V829" s="873"/>
      <c r="W829" s="873"/>
      <c r="X829" s="873"/>
      <c r="Y829" s="873"/>
      <c r="Z829" s="873"/>
      <c r="AA829" s="873"/>
      <c r="AB829" s="873"/>
      <c r="AC829" s="873"/>
      <c r="AD829" s="873"/>
      <c r="AE829" s="873"/>
      <c r="AF829" s="873"/>
      <c r="AG829" s="873"/>
      <c r="AH829" s="873"/>
      <c r="AI829" s="873"/>
      <c r="AJ829" s="873"/>
      <c r="AK829" s="873"/>
      <c r="AL829" s="873"/>
      <c r="AM829" s="873"/>
      <c r="AN829" s="873"/>
      <c r="AO829" s="873"/>
      <c r="AP829" s="873"/>
      <c r="AQ829" s="873"/>
      <c r="AR829" s="873"/>
      <c r="AS829" s="873"/>
    </row>
    <row r="830" spans="1:45" ht="12.75" x14ac:dyDescent="0.2">
      <c r="A830" s="873"/>
      <c r="B830" s="873"/>
      <c r="C830" s="873"/>
      <c r="D830" s="873"/>
      <c r="E830" s="873"/>
      <c r="F830" s="873"/>
      <c r="G830" s="873"/>
      <c r="H830" s="873"/>
      <c r="I830" s="873"/>
      <c r="J830" s="873"/>
      <c r="K830" s="873"/>
      <c r="L830" s="873"/>
      <c r="M830" s="873"/>
      <c r="N830" s="873"/>
      <c r="O830" s="873"/>
      <c r="P830" s="873"/>
      <c r="Q830" s="873"/>
      <c r="R830" s="873"/>
      <c r="S830" s="873"/>
      <c r="T830" s="873"/>
      <c r="U830" s="873"/>
      <c r="V830" s="873"/>
      <c r="W830" s="873"/>
      <c r="X830" s="873"/>
      <c r="Y830" s="873"/>
      <c r="Z830" s="873"/>
      <c r="AA830" s="873"/>
      <c r="AB830" s="873"/>
      <c r="AC830" s="873"/>
      <c r="AD830" s="873"/>
      <c r="AE830" s="873"/>
      <c r="AF830" s="873"/>
      <c r="AG830" s="873"/>
      <c r="AH830" s="873"/>
      <c r="AI830" s="873"/>
      <c r="AJ830" s="873"/>
      <c r="AK830" s="873"/>
      <c r="AL830" s="873"/>
      <c r="AM830" s="873"/>
      <c r="AN830" s="873"/>
      <c r="AO830" s="873"/>
      <c r="AP830" s="873"/>
      <c r="AQ830" s="873"/>
      <c r="AR830" s="873"/>
      <c r="AS830" s="873"/>
    </row>
    <row r="831" spans="1:45" ht="12.75" x14ac:dyDescent="0.2">
      <c r="A831" s="873"/>
      <c r="B831" s="873"/>
      <c r="C831" s="873"/>
      <c r="D831" s="873"/>
      <c r="E831" s="873"/>
      <c r="F831" s="873"/>
      <c r="G831" s="873"/>
      <c r="H831" s="873"/>
      <c r="I831" s="873"/>
      <c r="J831" s="873"/>
      <c r="K831" s="873"/>
      <c r="L831" s="873"/>
      <c r="M831" s="873"/>
      <c r="N831" s="873"/>
      <c r="O831" s="873"/>
      <c r="P831" s="873"/>
      <c r="Q831" s="873"/>
      <c r="R831" s="873"/>
      <c r="S831" s="873"/>
      <c r="T831" s="873"/>
      <c r="U831" s="873"/>
      <c r="V831" s="873"/>
      <c r="W831" s="873"/>
      <c r="X831" s="873"/>
      <c r="Y831" s="873"/>
      <c r="Z831" s="873"/>
      <c r="AA831" s="873"/>
      <c r="AB831" s="873"/>
      <c r="AC831" s="873"/>
      <c r="AD831" s="873"/>
      <c r="AE831" s="873"/>
      <c r="AF831" s="873"/>
      <c r="AG831" s="873"/>
      <c r="AH831" s="873"/>
      <c r="AI831" s="873"/>
      <c r="AJ831" s="873"/>
      <c r="AK831" s="873"/>
      <c r="AL831" s="873"/>
      <c r="AM831" s="873"/>
      <c r="AN831" s="873"/>
      <c r="AO831" s="873"/>
      <c r="AP831" s="873"/>
      <c r="AQ831" s="873"/>
      <c r="AR831" s="873"/>
      <c r="AS831" s="873"/>
    </row>
    <row r="832" spans="1:45" ht="12.75" x14ac:dyDescent="0.2">
      <c r="A832" s="873"/>
      <c r="B832" s="873"/>
      <c r="C832" s="873"/>
      <c r="D832" s="873"/>
      <c r="E832" s="873"/>
      <c r="F832" s="873"/>
      <c r="G832" s="873"/>
      <c r="H832" s="873"/>
      <c r="I832" s="873"/>
      <c r="J832" s="873"/>
      <c r="K832" s="873"/>
      <c r="L832" s="873"/>
      <c r="M832" s="873"/>
      <c r="N832" s="873"/>
      <c r="O832" s="873"/>
      <c r="P832" s="873"/>
      <c r="Q832" s="873"/>
      <c r="R832" s="873"/>
      <c r="S832" s="873"/>
      <c r="T832" s="873"/>
      <c r="U832" s="873"/>
      <c r="V832" s="873"/>
      <c r="W832" s="873"/>
      <c r="X832" s="873"/>
      <c r="Y832" s="873"/>
      <c r="Z832" s="873"/>
      <c r="AA832" s="873"/>
      <c r="AB832" s="873"/>
      <c r="AC832" s="873"/>
      <c r="AD832" s="873"/>
      <c r="AE832" s="873"/>
      <c r="AF832" s="873"/>
      <c r="AG832" s="873"/>
      <c r="AH832" s="873"/>
      <c r="AI832" s="873"/>
      <c r="AJ832" s="873"/>
      <c r="AK832" s="873"/>
      <c r="AL832" s="873"/>
      <c r="AM832" s="873"/>
      <c r="AN832" s="873"/>
      <c r="AO832" s="873"/>
      <c r="AP832" s="873"/>
      <c r="AQ832" s="873"/>
      <c r="AR832" s="873"/>
      <c r="AS832" s="873"/>
    </row>
    <row r="833" spans="1:45" ht="12.75" x14ac:dyDescent="0.2">
      <c r="A833" s="873"/>
      <c r="B833" s="873"/>
      <c r="C833" s="873"/>
      <c r="D833" s="873"/>
      <c r="E833" s="873"/>
      <c r="F833" s="873"/>
      <c r="G833" s="873"/>
      <c r="H833" s="873"/>
      <c r="I833" s="873"/>
      <c r="J833" s="873"/>
      <c r="K833" s="873"/>
      <c r="L833" s="873"/>
      <c r="M833" s="873"/>
      <c r="N833" s="873"/>
      <c r="O833" s="873"/>
      <c r="P833" s="873"/>
      <c r="Q833" s="873"/>
      <c r="R833" s="873"/>
      <c r="S833" s="873"/>
      <c r="T833" s="873"/>
      <c r="U833" s="873"/>
      <c r="V833" s="873"/>
      <c r="W833" s="873"/>
      <c r="X833" s="873"/>
      <c r="Y833" s="873"/>
      <c r="Z833" s="873"/>
      <c r="AA833" s="873"/>
      <c r="AB833" s="873"/>
      <c r="AC833" s="873"/>
      <c r="AD833" s="873"/>
      <c r="AE833" s="873"/>
      <c r="AF833" s="873"/>
      <c r="AG833" s="873"/>
      <c r="AH833" s="873"/>
      <c r="AI833" s="873"/>
      <c r="AJ833" s="873"/>
      <c r="AK833" s="873"/>
      <c r="AL833" s="873"/>
      <c r="AM833" s="873"/>
      <c r="AN833" s="873"/>
      <c r="AO833" s="873"/>
      <c r="AP833" s="873"/>
      <c r="AQ833" s="873"/>
      <c r="AR833" s="873"/>
      <c r="AS833" s="873"/>
    </row>
    <row r="834" spans="1:45" ht="12.75" x14ac:dyDescent="0.2">
      <c r="A834" s="873"/>
      <c r="B834" s="873"/>
      <c r="C834" s="873"/>
      <c r="D834" s="873"/>
      <c r="E834" s="873"/>
      <c r="F834" s="873"/>
      <c r="G834" s="873"/>
      <c r="H834" s="873"/>
      <c r="I834" s="873"/>
      <c r="J834" s="873"/>
      <c r="K834" s="873"/>
      <c r="L834" s="873"/>
      <c r="M834" s="873"/>
      <c r="N834" s="873"/>
      <c r="O834" s="873"/>
      <c r="P834" s="873"/>
      <c r="Q834" s="873"/>
      <c r="R834" s="873"/>
      <c r="S834" s="873"/>
      <c r="T834" s="873"/>
      <c r="U834" s="873"/>
      <c r="V834" s="873"/>
      <c r="W834" s="873"/>
      <c r="X834" s="873"/>
      <c r="Y834" s="873"/>
      <c r="Z834" s="873"/>
      <c r="AA834" s="873"/>
      <c r="AB834" s="873"/>
      <c r="AC834" s="873"/>
      <c r="AD834" s="873"/>
      <c r="AE834" s="873"/>
      <c r="AF834" s="873"/>
      <c r="AG834" s="873"/>
      <c r="AH834" s="873"/>
      <c r="AI834" s="873"/>
      <c r="AJ834" s="873"/>
      <c r="AK834" s="873"/>
      <c r="AL834" s="873"/>
      <c r="AM834" s="873"/>
      <c r="AN834" s="873"/>
      <c r="AO834" s="873"/>
      <c r="AP834" s="873"/>
      <c r="AQ834" s="873"/>
      <c r="AR834" s="873"/>
      <c r="AS834" s="873"/>
    </row>
    <row r="835" spans="1:45" ht="12.75" x14ac:dyDescent="0.2">
      <c r="A835" s="873"/>
      <c r="B835" s="873"/>
      <c r="C835" s="873"/>
      <c r="D835" s="873"/>
      <c r="E835" s="873"/>
      <c r="F835" s="873"/>
      <c r="G835" s="873"/>
      <c r="H835" s="873"/>
      <c r="I835" s="873"/>
      <c r="J835" s="873"/>
      <c r="K835" s="873"/>
      <c r="L835" s="873"/>
      <c r="M835" s="873"/>
      <c r="N835" s="873"/>
      <c r="O835" s="873"/>
      <c r="P835" s="873"/>
      <c r="Q835" s="873"/>
      <c r="R835" s="873"/>
      <c r="S835" s="873"/>
      <c r="T835" s="873"/>
      <c r="U835" s="873"/>
      <c r="V835" s="873"/>
      <c r="W835" s="873"/>
      <c r="X835" s="873"/>
      <c r="Y835" s="873"/>
      <c r="Z835" s="873"/>
      <c r="AA835" s="873"/>
      <c r="AB835" s="873"/>
      <c r="AC835" s="873"/>
      <c r="AD835" s="873"/>
      <c r="AE835" s="873"/>
      <c r="AF835" s="873"/>
      <c r="AG835" s="873"/>
      <c r="AH835" s="873"/>
      <c r="AI835" s="873"/>
      <c r="AJ835" s="873"/>
      <c r="AK835" s="873"/>
      <c r="AL835" s="873"/>
      <c r="AM835" s="873"/>
      <c r="AN835" s="873"/>
      <c r="AO835" s="873"/>
      <c r="AP835" s="873"/>
      <c r="AQ835" s="873"/>
      <c r="AR835" s="873"/>
      <c r="AS835" s="873"/>
    </row>
    <row r="836" spans="1:45" ht="12.75" x14ac:dyDescent="0.2">
      <c r="A836" s="873"/>
      <c r="B836" s="873"/>
      <c r="C836" s="873"/>
      <c r="D836" s="873"/>
      <c r="E836" s="873"/>
      <c r="F836" s="873"/>
      <c r="G836" s="873"/>
      <c r="H836" s="873"/>
      <c r="I836" s="873"/>
      <c r="J836" s="873"/>
      <c r="K836" s="873"/>
      <c r="L836" s="873"/>
      <c r="M836" s="873"/>
      <c r="N836" s="873"/>
      <c r="O836" s="873"/>
      <c r="P836" s="873"/>
      <c r="Q836" s="873"/>
      <c r="R836" s="873"/>
      <c r="S836" s="873"/>
      <c r="T836" s="873"/>
      <c r="U836" s="873"/>
      <c r="V836" s="873"/>
      <c r="W836" s="873"/>
      <c r="X836" s="873"/>
      <c r="Y836" s="873"/>
      <c r="Z836" s="873"/>
      <c r="AA836" s="873"/>
      <c r="AB836" s="873"/>
      <c r="AC836" s="873"/>
      <c r="AD836" s="873"/>
      <c r="AE836" s="873"/>
      <c r="AF836" s="873"/>
      <c r="AG836" s="873"/>
      <c r="AH836" s="873"/>
      <c r="AI836" s="873"/>
      <c r="AJ836" s="873"/>
      <c r="AK836" s="873"/>
      <c r="AL836" s="873"/>
      <c r="AM836" s="873"/>
      <c r="AN836" s="873"/>
      <c r="AO836" s="873"/>
      <c r="AP836" s="873"/>
      <c r="AQ836" s="873"/>
      <c r="AR836" s="873"/>
      <c r="AS836" s="873"/>
    </row>
    <row r="837" spans="1:45" ht="12.75" x14ac:dyDescent="0.2">
      <c r="A837" s="873"/>
      <c r="B837" s="873"/>
      <c r="C837" s="873"/>
      <c r="D837" s="873"/>
      <c r="E837" s="873"/>
      <c r="F837" s="873"/>
      <c r="G837" s="873"/>
      <c r="H837" s="873"/>
      <c r="I837" s="873"/>
      <c r="J837" s="873"/>
      <c r="K837" s="873"/>
      <c r="L837" s="873"/>
      <c r="M837" s="873"/>
      <c r="N837" s="873"/>
      <c r="O837" s="873"/>
      <c r="P837" s="873"/>
      <c r="Q837" s="873"/>
      <c r="R837" s="873"/>
      <c r="S837" s="873"/>
      <c r="T837" s="873"/>
      <c r="U837" s="873"/>
      <c r="V837" s="873"/>
      <c r="W837" s="873"/>
      <c r="X837" s="873"/>
      <c r="Y837" s="873"/>
      <c r="Z837" s="873"/>
      <c r="AA837" s="873"/>
      <c r="AB837" s="873"/>
      <c r="AC837" s="873"/>
      <c r="AD837" s="873"/>
      <c r="AE837" s="873"/>
      <c r="AF837" s="873"/>
      <c r="AG837" s="873"/>
      <c r="AH837" s="873"/>
      <c r="AI837" s="873"/>
      <c r="AJ837" s="873"/>
      <c r="AK837" s="873"/>
      <c r="AL837" s="873"/>
      <c r="AM837" s="873"/>
      <c r="AN837" s="873"/>
      <c r="AO837" s="873"/>
      <c r="AP837" s="873"/>
      <c r="AQ837" s="873"/>
      <c r="AR837" s="873"/>
      <c r="AS837" s="873"/>
    </row>
    <row r="838" spans="1:45" ht="12.75" x14ac:dyDescent="0.2">
      <c r="A838" s="873"/>
      <c r="B838" s="873"/>
      <c r="C838" s="873"/>
      <c r="D838" s="873"/>
      <c r="E838" s="873"/>
      <c r="F838" s="873"/>
      <c r="G838" s="873"/>
      <c r="H838" s="873"/>
      <c r="I838" s="873"/>
      <c r="J838" s="873"/>
      <c r="K838" s="873"/>
      <c r="L838" s="873"/>
      <c r="M838" s="873"/>
      <c r="N838" s="873"/>
      <c r="O838" s="873"/>
      <c r="P838" s="873"/>
      <c r="Q838" s="873"/>
      <c r="R838" s="873"/>
      <c r="S838" s="873"/>
      <c r="T838" s="873"/>
      <c r="U838" s="873"/>
      <c r="V838" s="873"/>
      <c r="W838" s="873"/>
      <c r="X838" s="873"/>
      <c r="Y838" s="873"/>
      <c r="Z838" s="873"/>
      <c r="AA838" s="873"/>
      <c r="AB838" s="873"/>
      <c r="AC838" s="873"/>
      <c r="AD838" s="873"/>
      <c r="AE838" s="873"/>
      <c r="AF838" s="873"/>
      <c r="AG838" s="873"/>
      <c r="AH838" s="873"/>
      <c r="AI838" s="873"/>
      <c r="AJ838" s="873"/>
      <c r="AK838" s="873"/>
      <c r="AL838" s="873"/>
      <c r="AM838" s="873"/>
      <c r="AN838" s="873"/>
      <c r="AO838" s="873"/>
      <c r="AP838" s="873"/>
      <c r="AQ838" s="873"/>
      <c r="AR838" s="873"/>
      <c r="AS838" s="873"/>
    </row>
    <row r="839" spans="1:45" ht="12.75" x14ac:dyDescent="0.2">
      <c r="A839" s="873"/>
      <c r="B839" s="873"/>
      <c r="C839" s="873"/>
      <c r="D839" s="873"/>
      <c r="E839" s="873"/>
      <c r="F839" s="873"/>
      <c r="G839" s="873"/>
      <c r="H839" s="873"/>
      <c r="I839" s="873"/>
      <c r="J839" s="873"/>
      <c r="K839" s="873"/>
      <c r="L839" s="873"/>
      <c r="M839" s="873"/>
      <c r="N839" s="873"/>
      <c r="O839" s="873"/>
      <c r="P839" s="873"/>
      <c r="Q839" s="873"/>
      <c r="R839" s="873"/>
      <c r="S839" s="873"/>
      <c r="T839" s="873"/>
      <c r="U839" s="873"/>
      <c r="V839" s="873"/>
      <c r="W839" s="873"/>
      <c r="X839" s="873"/>
      <c r="Y839" s="873"/>
      <c r="Z839" s="873"/>
      <c r="AA839" s="873"/>
      <c r="AB839" s="873"/>
      <c r="AC839" s="873"/>
      <c r="AD839" s="873"/>
      <c r="AE839" s="873"/>
      <c r="AF839" s="873"/>
      <c r="AG839" s="873"/>
      <c r="AH839" s="873"/>
      <c r="AI839" s="873"/>
      <c r="AJ839" s="873"/>
      <c r="AK839" s="873"/>
      <c r="AL839" s="873"/>
      <c r="AM839" s="873"/>
      <c r="AN839" s="873"/>
      <c r="AO839" s="873"/>
      <c r="AP839" s="873"/>
      <c r="AQ839" s="873"/>
      <c r="AR839" s="873"/>
      <c r="AS839" s="873"/>
    </row>
    <row r="840" spans="1:45" ht="12.75" x14ac:dyDescent="0.2">
      <c r="A840" s="873"/>
      <c r="B840" s="873"/>
      <c r="C840" s="873"/>
      <c r="D840" s="873"/>
      <c r="E840" s="873"/>
      <c r="F840" s="873"/>
      <c r="G840" s="873"/>
      <c r="H840" s="873"/>
      <c r="I840" s="873"/>
      <c r="J840" s="873"/>
      <c r="K840" s="873"/>
      <c r="L840" s="873"/>
      <c r="M840" s="873"/>
      <c r="N840" s="873"/>
      <c r="O840" s="873"/>
      <c r="P840" s="873"/>
      <c r="Q840" s="873"/>
      <c r="R840" s="873"/>
      <c r="S840" s="873"/>
      <c r="T840" s="873"/>
      <c r="U840" s="873"/>
      <c r="V840" s="873"/>
      <c r="W840" s="873"/>
      <c r="X840" s="873"/>
      <c r="Y840" s="873"/>
      <c r="Z840" s="873"/>
      <c r="AA840" s="873"/>
      <c r="AB840" s="873"/>
      <c r="AC840" s="873"/>
      <c r="AD840" s="873"/>
      <c r="AE840" s="873"/>
      <c r="AF840" s="873"/>
      <c r="AG840" s="873"/>
      <c r="AH840" s="873"/>
      <c r="AI840" s="873"/>
      <c r="AJ840" s="873"/>
      <c r="AK840" s="873"/>
      <c r="AL840" s="873"/>
      <c r="AM840" s="873"/>
      <c r="AN840" s="873"/>
      <c r="AO840" s="873"/>
      <c r="AP840" s="873"/>
      <c r="AQ840" s="873"/>
      <c r="AR840" s="873"/>
      <c r="AS840" s="873"/>
    </row>
    <row r="841" spans="1:45" ht="12.75" x14ac:dyDescent="0.2">
      <c r="A841" s="873"/>
      <c r="B841" s="873"/>
      <c r="C841" s="873"/>
      <c r="D841" s="873"/>
      <c r="E841" s="873"/>
      <c r="F841" s="873"/>
      <c r="G841" s="873"/>
      <c r="H841" s="873"/>
      <c r="I841" s="873"/>
      <c r="J841" s="873"/>
      <c r="K841" s="873"/>
      <c r="L841" s="873"/>
      <c r="M841" s="873"/>
      <c r="N841" s="873"/>
      <c r="O841" s="873"/>
      <c r="P841" s="873"/>
      <c r="Q841" s="873"/>
      <c r="R841" s="873"/>
      <c r="S841" s="873"/>
      <c r="T841" s="873"/>
      <c r="U841" s="873"/>
      <c r="V841" s="873"/>
      <c r="W841" s="873"/>
      <c r="X841" s="873"/>
      <c r="Y841" s="873"/>
      <c r="Z841" s="873"/>
      <c r="AA841" s="873"/>
      <c r="AB841" s="873"/>
      <c r="AC841" s="873"/>
      <c r="AD841" s="873"/>
      <c r="AE841" s="873"/>
      <c r="AF841" s="873"/>
      <c r="AG841" s="873"/>
      <c r="AH841" s="873"/>
      <c r="AI841" s="873"/>
      <c r="AJ841" s="873"/>
      <c r="AK841" s="873"/>
      <c r="AL841" s="873"/>
      <c r="AM841" s="873"/>
      <c r="AN841" s="873"/>
      <c r="AO841" s="873"/>
      <c r="AP841" s="873"/>
      <c r="AQ841" s="873"/>
      <c r="AR841" s="873"/>
      <c r="AS841" s="873"/>
    </row>
    <row r="842" spans="1:45" ht="12.75" x14ac:dyDescent="0.2">
      <c r="A842" s="873"/>
      <c r="B842" s="873"/>
      <c r="C842" s="873"/>
      <c r="D842" s="873"/>
      <c r="E842" s="873"/>
      <c r="F842" s="873"/>
      <c r="G842" s="873"/>
      <c r="H842" s="873"/>
      <c r="I842" s="873"/>
      <c r="J842" s="873"/>
      <c r="K842" s="873"/>
      <c r="L842" s="873"/>
      <c r="M842" s="873"/>
      <c r="N842" s="873"/>
      <c r="O842" s="873"/>
      <c r="P842" s="873"/>
      <c r="Q842" s="873"/>
      <c r="R842" s="873"/>
      <c r="S842" s="873"/>
      <c r="T842" s="873"/>
      <c r="U842" s="873"/>
      <c r="V842" s="873"/>
      <c r="W842" s="873"/>
      <c r="X842" s="873"/>
      <c r="Y842" s="873"/>
      <c r="Z842" s="873"/>
      <c r="AA842" s="873"/>
      <c r="AB842" s="873"/>
      <c r="AC842" s="873"/>
      <c r="AD842" s="873"/>
      <c r="AE842" s="873"/>
      <c r="AF842" s="873"/>
      <c r="AG842" s="873"/>
      <c r="AH842" s="873"/>
      <c r="AI842" s="873"/>
      <c r="AJ842" s="873"/>
      <c r="AK842" s="873"/>
      <c r="AL842" s="873"/>
      <c r="AM842" s="873"/>
      <c r="AN842" s="873"/>
      <c r="AO842" s="873"/>
      <c r="AP842" s="873"/>
      <c r="AQ842" s="873"/>
      <c r="AR842" s="873"/>
      <c r="AS842" s="873"/>
    </row>
    <row r="843" spans="1:45" ht="12.75" x14ac:dyDescent="0.2">
      <c r="A843" s="873"/>
      <c r="B843" s="873"/>
      <c r="C843" s="873"/>
      <c r="D843" s="873"/>
      <c r="E843" s="873"/>
      <c r="F843" s="873"/>
      <c r="G843" s="873"/>
      <c r="H843" s="873"/>
      <c r="I843" s="873"/>
      <c r="J843" s="873"/>
      <c r="K843" s="873"/>
      <c r="L843" s="873"/>
      <c r="M843" s="873"/>
      <c r="N843" s="873"/>
      <c r="O843" s="873"/>
      <c r="P843" s="873"/>
      <c r="Q843" s="873"/>
      <c r="R843" s="873"/>
      <c r="S843" s="873"/>
      <c r="T843" s="873"/>
      <c r="U843" s="873"/>
      <c r="V843" s="873"/>
      <c r="W843" s="873"/>
      <c r="X843" s="873"/>
      <c r="Y843" s="873"/>
      <c r="Z843" s="873"/>
      <c r="AA843" s="873"/>
      <c r="AB843" s="873"/>
      <c r="AC843" s="873"/>
      <c r="AD843" s="873"/>
      <c r="AE843" s="873"/>
      <c r="AF843" s="873"/>
      <c r="AG843" s="873"/>
      <c r="AH843" s="873"/>
      <c r="AI843" s="873"/>
      <c r="AJ843" s="873"/>
      <c r="AK843" s="873"/>
      <c r="AL843" s="873"/>
      <c r="AM843" s="873"/>
      <c r="AN843" s="873"/>
      <c r="AO843" s="873"/>
      <c r="AP843" s="873"/>
      <c r="AQ843" s="873"/>
      <c r="AR843" s="873"/>
      <c r="AS843" s="873"/>
    </row>
    <row r="844" spans="1:45" ht="12.75" x14ac:dyDescent="0.2">
      <c r="A844" s="873"/>
      <c r="B844" s="873"/>
      <c r="C844" s="873"/>
      <c r="D844" s="873"/>
      <c r="E844" s="873"/>
      <c r="F844" s="873"/>
      <c r="G844" s="873"/>
      <c r="H844" s="873"/>
      <c r="I844" s="873"/>
      <c r="J844" s="873"/>
      <c r="K844" s="873"/>
      <c r="L844" s="873"/>
      <c r="M844" s="873"/>
      <c r="N844" s="873"/>
      <c r="O844" s="873"/>
      <c r="P844" s="873"/>
      <c r="Q844" s="873"/>
      <c r="R844" s="873"/>
      <c r="S844" s="873"/>
      <c r="T844" s="873"/>
      <c r="U844" s="873"/>
      <c r="V844" s="873"/>
      <c r="W844" s="873"/>
      <c r="X844" s="873"/>
      <c r="Y844" s="873"/>
      <c r="Z844" s="873"/>
      <c r="AA844" s="873"/>
      <c r="AB844" s="873"/>
      <c r="AC844" s="873"/>
      <c r="AD844" s="873"/>
      <c r="AE844" s="873"/>
      <c r="AF844" s="873"/>
      <c r="AG844" s="873"/>
      <c r="AH844" s="873"/>
      <c r="AI844" s="873"/>
      <c r="AJ844" s="873"/>
      <c r="AK844" s="873"/>
      <c r="AL844" s="873"/>
      <c r="AM844" s="873"/>
      <c r="AN844" s="873"/>
      <c r="AO844" s="873"/>
      <c r="AP844" s="873"/>
      <c r="AQ844" s="873"/>
      <c r="AR844" s="873"/>
      <c r="AS844" s="873"/>
    </row>
    <row r="845" spans="1:45" ht="12.75" x14ac:dyDescent="0.2">
      <c r="A845" s="873"/>
      <c r="B845" s="873"/>
      <c r="C845" s="873"/>
      <c r="D845" s="873"/>
      <c r="E845" s="873"/>
      <c r="F845" s="873"/>
      <c r="G845" s="873"/>
      <c r="H845" s="873"/>
      <c r="I845" s="873"/>
      <c r="J845" s="873"/>
      <c r="K845" s="873"/>
      <c r="L845" s="873"/>
      <c r="M845" s="873"/>
      <c r="N845" s="873"/>
      <c r="O845" s="873"/>
      <c r="P845" s="873"/>
      <c r="Q845" s="873"/>
      <c r="R845" s="873"/>
      <c r="S845" s="873"/>
      <c r="T845" s="873"/>
      <c r="U845" s="873"/>
      <c r="V845" s="873"/>
      <c r="W845" s="873"/>
      <c r="X845" s="873"/>
      <c r="Y845" s="873"/>
      <c r="Z845" s="873"/>
      <c r="AA845" s="873"/>
      <c r="AB845" s="873"/>
      <c r="AC845" s="873"/>
      <c r="AD845" s="873"/>
      <c r="AE845" s="873"/>
      <c r="AF845" s="873"/>
      <c r="AG845" s="873"/>
      <c r="AH845" s="873"/>
      <c r="AI845" s="873"/>
      <c r="AJ845" s="873"/>
      <c r="AK845" s="873"/>
      <c r="AL845" s="873"/>
      <c r="AM845" s="873"/>
      <c r="AN845" s="873"/>
      <c r="AO845" s="873"/>
      <c r="AP845" s="873"/>
      <c r="AQ845" s="873"/>
      <c r="AR845" s="873"/>
      <c r="AS845" s="873"/>
    </row>
    <row r="846" spans="1:45" ht="12.75" x14ac:dyDescent="0.2">
      <c r="A846" s="873"/>
      <c r="B846" s="873"/>
      <c r="C846" s="873"/>
      <c r="D846" s="873"/>
      <c r="E846" s="873"/>
      <c r="F846" s="873"/>
      <c r="G846" s="873"/>
      <c r="H846" s="873"/>
      <c r="I846" s="873"/>
      <c r="J846" s="873"/>
      <c r="K846" s="873"/>
      <c r="L846" s="873"/>
      <c r="M846" s="873"/>
      <c r="N846" s="873"/>
      <c r="O846" s="873"/>
      <c r="P846" s="873"/>
      <c r="Q846" s="873"/>
      <c r="R846" s="873"/>
      <c r="S846" s="873"/>
      <c r="T846" s="873"/>
      <c r="U846" s="873"/>
      <c r="V846" s="873"/>
      <c r="W846" s="873"/>
      <c r="X846" s="873"/>
      <c r="Y846" s="873"/>
      <c r="Z846" s="873"/>
      <c r="AA846" s="873"/>
      <c r="AB846" s="873"/>
      <c r="AC846" s="873"/>
      <c r="AD846" s="873"/>
      <c r="AE846" s="873"/>
      <c r="AF846" s="873"/>
      <c r="AG846" s="873"/>
      <c r="AH846" s="873"/>
      <c r="AI846" s="873"/>
      <c r="AJ846" s="873"/>
      <c r="AK846" s="873"/>
      <c r="AL846" s="873"/>
      <c r="AM846" s="873"/>
      <c r="AN846" s="873"/>
      <c r="AO846" s="873"/>
      <c r="AP846" s="873"/>
      <c r="AQ846" s="873"/>
      <c r="AR846" s="873"/>
      <c r="AS846" s="873"/>
    </row>
    <row r="847" spans="1:45" ht="12.75" x14ac:dyDescent="0.2">
      <c r="A847" s="873"/>
      <c r="B847" s="873"/>
      <c r="C847" s="873"/>
      <c r="D847" s="873"/>
      <c r="E847" s="873"/>
      <c r="F847" s="873"/>
      <c r="G847" s="873"/>
      <c r="H847" s="873"/>
      <c r="I847" s="873"/>
      <c r="J847" s="873"/>
      <c r="K847" s="873"/>
      <c r="L847" s="873"/>
      <c r="M847" s="873"/>
      <c r="N847" s="873"/>
      <c r="O847" s="873"/>
      <c r="P847" s="873"/>
      <c r="Q847" s="873"/>
      <c r="R847" s="873"/>
      <c r="S847" s="873"/>
      <c r="T847" s="873"/>
      <c r="U847" s="873"/>
      <c r="V847" s="873"/>
      <c r="W847" s="873"/>
      <c r="X847" s="873"/>
      <c r="Y847" s="873"/>
      <c r="Z847" s="873"/>
      <c r="AA847" s="873"/>
      <c r="AB847" s="873"/>
      <c r="AC847" s="873"/>
      <c r="AD847" s="873"/>
      <c r="AE847" s="873"/>
      <c r="AF847" s="873"/>
      <c r="AG847" s="873"/>
      <c r="AH847" s="873"/>
      <c r="AI847" s="873"/>
      <c r="AJ847" s="873"/>
      <c r="AK847" s="873"/>
      <c r="AL847" s="873"/>
      <c r="AM847" s="873"/>
      <c r="AN847" s="873"/>
      <c r="AO847" s="873"/>
      <c r="AP847" s="873"/>
      <c r="AQ847" s="873"/>
      <c r="AR847" s="873"/>
      <c r="AS847" s="873"/>
    </row>
    <row r="848" spans="1:45" ht="12.75" x14ac:dyDescent="0.2">
      <c r="A848" s="873"/>
      <c r="B848" s="873"/>
      <c r="C848" s="873"/>
      <c r="D848" s="873"/>
      <c r="E848" s="873"/>
      <c r="F848" s="873"/>
      <c r="G848" s="873"/>
      <c r="H848" s="873"/>
      <c r="I848" s="873"/>
      <c r="J848" s="873"/>
      <c r="K848" s="873"/>
      <c r="L848" s="873"/>
      <c r="M848" s="873"/>
      <c r="N848" s="873"/>
      <c r="O848" s="873"/>
      <c r="P848" s="873"/>
      <c r="Q848" s="873"/>
      <c r="R848" s="873"/>
      <c r="S848" s="873"/>
      <c r="T848" s="873"/>
      <c r="U848" s="873"/>
      <c r="V848" s="873"/>
      <c r="W848" s="873"/>
      <c r="X848" s="873"/>
      <c r="Y848" s="873"/>
      <c r="Z848" s="873"/>
      <c r="AA848" s="873"/>
      <c r="AB848" s="873"/>
      <c r="AC848" s="873"/>
      <c r="AD848" s="873"/>
      <c r="AE848" s="873"/>
      <c r="AF848" s="873"/>
      <c r="AG848" s="873"/>
      <c r="AH848" s="873"/>
      <c r="AI848" s="873"/>
      <c r="AJ848" s="873"/>
      <c r="AK848" s="873"/>
      <c r="AL848" s="873"/>
      <c r="AM848" s="873"/>
      <c r="AN848" s="873"/>
      <c r="AO848" s="873"/>
      <c r="AP848" s="873"/>
      <c r="AQ848" s="873"/>
      <c r="AR848" s="873"/>
      <c r="AS848" s="873"/>
    </row>
    <row r="849" spans="1:45" ht="12.75" x14ac:dyDescent="0.2">
      <c r="A849" s="873"/>
      <c r="B849" s="873"/>
      <c r="C849" s="873"/>
      <c r="D849" s="873"/>
      <c r="E849" s="873"/>
      <c r="F849" s="873"/>
      <c r="G849" s="873"/>
      <c r="H849" s="873"/>
      <c r="I849" s="873"/>
      <c r="J849" s="873"/>
      <c r="K849" s="873"/>
      <c r="L849" s="873"/>
      <c r="M849" s="873"/>
      <c r="N849" s="873"/>
      <c r="O849" s="873"/>
      <c r="P849" s="873"/>
      <c r="Q849" s="873"/>
      <c r="R849" s="873"/>
      <c r="S849" s="873"/>
      <c r="T849" s="873"/>
      <c r="U849" s="873"/>
      <c r="V849" s="873"/>
      <c r="W849" s="873"/>
      <c r="X849" s="873"/>
      <c r="Y849" s="873"/>
      <c r="Z849" s="873"/>
      <c r="AA849" s="873"/>
      <c r="AB849" s="873"/>
      <c r="AC849" s="873"/>
      <c r="AD849" s="873"/>
      <c r="AE849" s="873"/>
      <c r="AF849" s="873"/>
      <c r="AG849" s="873"/>
      <c r="AH849" s="873"/>
      <c r="AI849" s="873"/>
      <c r="AJ849" s="873"/>
      <c r="AK849" s="873"/>
      <c r="AL849" s="873"/>
      <c r="AM849" s="873"/>
      <c r="AN849" s="873"/>
      <c r="AO849" s="873"/>
      <c r="AP849" s="873"/>
      <c r="AQ849" s="873"/>
      <c r="AR849" s="873"/>
      <c r="AS849" s="873"/>
    </row>
    <row r="850" spans="1:45" ht="12.75" x14ac:dyDescent="0.2">
      <c r="A850" s="873"/>
      <c r="B850" s="873"/>
      <c r="C850" s="873"/>
      <c r="D850" s="873"/>
      <c r="E850" s="873"/>
      <c r="F850" s="873"/>
      <c r="G850" s="873"/>
      <c r="H850" s="873"/>
      <c r="I850" s="873"/>
      <c r="J850" s="873"/>
      <c r="K850" s="873"/>
      <c r="L850" s="873"/>
      <c r="M850" s="873"/>
      <c r="N850" s="873"/>
      <c r="O850" s="873"/>
      <c r="P850" s="873"/>
      <c r="Q850" s="873"/>
      <c r="R850" s="873"/>
      <c r="S850" s="873"/>
      <c r="T850" s="873"/>
      <c r="U850" s="873"/>
      <c r="V850" s="873"/>
      <c r="W850" s="873"/>
      <c r="X850" s="873"/>
      <c r="Y850" s="873"/>
      <c r="Z850" s="873"/>
      <c r="AA850" s="873"/>
      <c r="AB850" s="873"/>
      <c r="AC850" s="873"/>
      <c r="AD850" s="873"/>
      <c r="AE850" s="873"/>
      <c r="AF850" s="873"/>
      <c r="AG850" s="873"/>
      <c r="AH850" s="873"/>
      <c r="AI850" s="873"/>
      <c r="AJ850" s="873"/>
      <c r="AK850" s="873"/>
      <c r="AL850" s="873"/>
      <c r="AM850" s="873"/>
      <c r="AN850" s="873"/>
      <c r="AO850" s="873"/>
      <c r="AP850" s="873"/>
      <c r="AQ850" s="873"/>
      <c r="AR850" s="873"/>
      <c r="AS850" s="873"/>
    </row>
    <row r="851" spans="1:45" ht="12.75" x14ac:dyDescent="0.2">
      <c r="A851" s="873"/>
      <c r="B851" s="873"/>
      <c r="C851" s="873"/>
      <c r="D851" s="873"/>
      <c r="E851" s="873"/>
      <c r="F851" s="873"/>
      <c r="G851" s="873"/>
      <c r="H851" s="873"/>
      <c r="I851" s="873"/>
      <c r="J851" s="873"/>
      <c r="K851" s="873"/>
      <c r="L851" s="873"/>
      <c r="M851" s="873"/>
      <c r="N851" s="873"/>
      <c r="O851" s="873"/>
      <c r="P851" s="873"/>
      <c r="Q851" s="873"/>
      <c r="R851" s="873"/>
      <c r="S851" s="873"/>
      <c r="T851" s="873"/>
      <c r="U851" s="873"/>
      <c r="V851" s="873"/>
      <c r="W851" s="873"/>
      <c r="X851" s="873"/>
      <c r="Y851" s="873"/>
      <c r="Z851" s="873"/>
      <c r="AA851" s="873"/>
      <c r="AB851" s="873"/>
      <c r="AC851" s="873"/>
      <c r="AD851" s="873"/>
      <c r="AE851" s="873"/>
      <c r="AF851" s="873"/>
      <c r="AG851" s="873"/>
      <c r="AH851" s="873"/>
      <c r="AI851" s="873"/>
      <c r="AJ851" s="873"/>
      <c r="AK851" s="873"/>
      <c r="AL851" s="873"/>
      <c r="AM851" s="873"/>
      <c r="AN851" s="873"/>
      <c r="AO851" s="873"/>
      <c r="AP851" s="873"/>
      <c r="AQ851" s="873"/>
      <c r="AR851" s="873"/>
      <c r="AS851" s="873"/>
    </row>
    <row r="852" spans="1:45" ht="12.75" x14ac:dyDescent="0.2">
      <c r="A852" s="873"/>
      <c r="B852" s="873"/>
      <c r="C852" s="873"/>
      <c r="D852" s="873"/>
      <c r="E852" s="873"/>
      <c r="F852" s="873"/>
      <c r="G852" s="873"/>
      <c r="H852" s="873"/>
      <c r="I852" s="873"/>
      <c r="J852" s="873"/>
      <c r="K852" s="873"/>
      <c r="L852" s="873"/>
      <c r="M852" s="873"/>
      <c r="N852" s="873"/>
      <c r="O852" s="873"/>
      <c r="P852" s="873"/>
      <c r="Q852" s="873"/>
      <c r="R852" s="873"/>
      <c r="S852" s="873"/>
      <c r="T852" s="873"/>
      <c r="U852" s="873"/>
      <c r="V852" s="873"/>
      <c r="W852" s="873"/>
      <c r="X852" s="873"/>
      <c r="Y852" s="873"/>
      <c r="Z852" s="873"/>
      <c r="AA852" s="873"/>
      <c r="AB852" s="873"/>
      <c r="AC852" s="873"/>
      <c r="AD852" s="873"/>
      <c r="AE852" s="873"/>
      <c r="AF852" s="873"/>
      <c r="AG852" s="873"/>
      <c r="AH852" s="873"/>
      <c r="AI852" s="873"/>
      <c r="AJ852" s="873"/>
      <c r="AK852" s="873"/>
      <c r="AL852" s="873"/>
      <c r="AM852" s="873"/>
      <c r="AN852" s="873"/>
      <c r="AO852" s="873"/>
      <c r="AP852" s="873"/>
      <c r="AQ852" s="873"/>
      <c r="AR852" s="873"/>
      <c r="AS852" s="873"/>
    </row>
    <row r="853" spans="1:45" ht="12.75" x14ac:dyDescent="0.2">
      <c r="A853" s="873"/>
      <c r="B853" s="873"/>
      <c r="C853" s="873"/>
      <c r="D853" s="873"/>
      <c r="E853" s="873"/>
      <c r="F853" s="873"/>
      <c r="G853" s="873"/>
      <c r="H853" s="873"/>
      <c r="I853" s="873"/>
      <c r="J853" s="873"/>
      <c r="K853" s="873"/>
      <c r="L853" s="873"/>
      <c r="M853" s="873"/>
      <c r="N853" s="873"/>
      <c r="O853" s="873"/>
      <c r="P853" s="873"/>
      <c r="Q853" s="873"/>
      <c r="R853" s="873"/>
      <c r="S853" s="873"/>
      <c r="T853" s="873"/>
      <c r="U853" s="873"/>
      <c r="V853" s="873"/>
      <c r="W853" s="873"/>
      <c r="X853" s="873"/>
      <c r="Y853" s="873"/>
      <c r="Z853" s="873"/>
      <c r="AA853" s="873"/>
      <c r="AB853" s="873"/>
      <c r="AC853" s="873"/>
      <c r="AD853" s="873"/>
      <c r="AE853" s="873"/>
      <c r="AF853" s="873"/>
      <c r="AG853" s="873"/>
      <c r="AH853" s="873"/>
      <c r="AI853" s="873"/>
      <c r="AJ853" s="873"/>
      <c r="AK853" s="873"/>
      <c r="AL853" s="873"/>
      <c r="AM853" s="873"/>
      <c r="AN853" s="873"/>
      <c r="AO853" s="873"/>
      <c r="AP853" s="873"/>
      <c r="AQ853" s="873"/>
      <c r="AR853" s="873"/>
      <c r="AS853" s="873"/>
    </row>
    <row r="854" spans="1:45" ht="12.75" x14ac:dyDescent="0.2">
      <c r="A854" s="873"/>
      <c r="B854" s="873"/>
      <c r="C854" s="873"/>
      <c r="D854" s="873"/>
      <c r="E854" s="873"/>
      <c r="F854" s="873"/>
      <c r="G854" s="873"/>
      <c r="H854" s="873"/>
      <c r="I854" s="873"/>
      <c r="J854" s="873"/>
      <c r="K854" s="873"/>
      <c r="L854" s="873"/>
      <c r="M854" s="873"/>
      <c r="N854" s="873"/>
      <c r="O854" s="873"/>
      <c r="P854" s="873"/>
      <c r="Q854" s="873"/>
      <c r="R854" s="873"/>
      <c r="S854" s="873"/>
      <c r="T854" s="873"/>
      <c r="U854" s="873"/>
      <c r="V854" s="873"/>
      <c r="W854" s="873"/>
      <c r="X854" s="873"/>
      <c r="Y854" s="873"/>
      <c r="Z854" s="873"/>
      <c r="AA854" s="873"/>
      <c r="AB854" s="873"/>
      <c r="AC854" s="873"/>
      <c r="AD854" s="873"/>
      <c r="AE854" s="873"/>
      <c r="AF854" s="873"/>
      <c r="AG854" s="873"/>
      <c r="AH854" s="873"/>
      <c r="AI854" s="873"/>
      <c r="AJ854" s="873"/>
      <c r="AK854" s="873"/>
      <c r="AL854" s="873"/>
      <c r="AM854" s="873"/>
      <c r="AN854" s="873"/>
      <c r="AO854" s="873"/>
      <c r="AP854" s="873"/>
      <c r="AQ854" s="873"/>
      <c r="AR854" s="873"/>
      <c r="AS854" s="873"/>
    </row>
    <row r="855" spans="1:45" ht="12.75" x14ac:dyDescent="0.2">
      <c r="A855" s="873"/>
      <c r="B855" s="873"/>
      <c r="C855" s="873"/>
      <c r="D855" s="873"/>
      <c r="E855" s="873"/>
      <c r="F855" s="873"/>
      <c r="G855" s="873"/>
      <c r="H855" s="873"/>
      <c r="I855" s="873"/>
      <c r="J855" s="873"/>
      <c r="K855" s="873"/>
      <c r="L855" s="873"/>
      <c r="M855" s="873"/>
      <c r="N855" s="873"/>
      <c r="O855" s="873"/>
      <c r="P855" s="873"/>
      <c r="Q855" s="873"/>
      <c r="R855" s="873"/>
      <c r="S855" s="873"/>
      <c r="T855" s="873"/>
      <c r="U855" s="873"/>
      <c r="V855" s="873"/>
      <c r="W855" s="873"/>
      <c r="X855" s="873"/>
      <c r="Y855" s="873"/>
      <c r="Z855" s="873"/>
      <c r="AA855" s="873"/>
      <c r="AB855" s="873"/>
      <c r="AC855" s="873"/>
      <c r="AD855" s="873"/>
      <c r="AE855" s="873"/>
      <c r="AF855" s="873"/>
      <c r="AG855" s="873"/>
      <c r="AH855" s="873"/>
      <c r="AI855" s="873"/>
      <c r="AJ855" s="873"/>
      <c r="AK855" s="873"/>
      <c r="AL855" s="873"/>
      <c r="AM855" s="873"/>
      <c r="AN855" s="873"/>
      <c r="AO855" s="873"/>
      <c r="AP855" s="873"/>
      <c r="AQ855" s="873"/>
      <c r="AR855" s="873"/>
      <c r="AS855" s="873"/>
    </row>
    <row r="856" spans="1:45" ht="12.75" x14ac:dyDescent="0.2">
      <c r="A856" s="873"/>
      <c r="B856" s="873"/>
      <c r="C856" s="873"/>
      <c r="D856" s="873"/>
      <c r="E856" s="873"/>
      <c r="F856" s="873"/>
      <c r="G856" s="873"/>
      <c r="H856" s="873"/>
      <c r="I856" s="873"/>
      <c r="J856" s="873"/>
      <c r="K856" s="873"/>
      <c r="L856" s="873"/>
      <c r="M856" s="873"/>
      <c r="N856" s="873"/>
      <c r="O856" s="873"/>
      <c r="P856" s="873"/>
      <c r="Q856" s="873"/>
      <c r="R856" s="873"/>
      <c r="S856" s="873"/>
      <c r="T856" s="873"/>
      <c r="U856" s="873"/>
      <c r="V856" s="873"/>
      <c r="W856" s="873"/>
      <c r="X856" s="873"/>
      <c r="Y856" s="873"/>
      <c r="Z856" s="873"/>
      <c r="AA856" s="873"/>
      <c r="AB856" s="873"/>
      <c r="AC856" s="873"/>
      <c r="AD856" s="873"/>
      <c r="AE856" s="873"/>
      <c r="AF856" s="873"/>
      <c r="AG856" s="873"/>
      <c r="AH856" s="873"/>
      <c r="AI856" s="873"/>
      <c r="AJ856" s="873"/>
      <c r="AK856" s="873"/>
      <c r="AL856" s="873"/>
      <c r="AM856" s="873"/>
      <c r="AN856" s="873"/>
      <c r="AO856" s="873"/>
      <c r="AP856" s="873"/>
      <c r="AQ856" s="873"/>
      <c r="AR856" s="873"/>
      <c r="AS856" s="873"/>
    </row>
    <row r="857" spans="1:45" ht="12.75" x14ac:dyDescent="0.2">
      <c r="A857" s="873"/>
      <c r="B857" s="873"/>
      <c r="C857" s="873"/>
      <c r="D857" s="873"/>
      <c r="E857" s="873"/>
      <c r="F857" s="873"/>
      <c r="G857" s="873"/>
      <c r="H857" s="873"/>
      <c r="I857" s="873"/>
      <c r="J857" s="873"/>
      <c r="K857" s="873"/>
      <c r="L857" s="873"/>
      <c r="M857" s="873"/>
      <c r="N857" s="873"/>
      <c r="O857" s="873"/>
      <c r="P857" s="873"/>
      <c r="Q857" s="873"/>
      <c r="R857" s="873"/>
      <c r="S857" s="873"/>
      <c r="T857" s="873"/>
      <c r="U857" s="873"/>
      <c r="V857" s="873"/>
      <c r="W857" s="873"/>
      <c r="X857" s="873"/>
      <c r="Y857" s="873"/>
      <c r="Z857" s="873"/>
      <c r="AA857" s="873"/>
      <c r="AB857" s="873"/>
      <c r="AC857" s="873"/>
      <c r="AD857" s="873"/>
      <c r="AE857" s="873"/>
      <c r="AF857" s="873"/>
      <c r="AG857" s="873"/>
      <c r="AH857" s="873"/>
      <c r="AI857" s="873"/>
      <c r="AJ857" s="873"/>
      <c r="AK857" s="873"/>
      <c r="AL857" s="873"/>
      <c r="AM857" s="873"/>
      <c r="AN857" s="873"/>
      <c r="AO857" s="873"/>
      <c r="AP857" s="873"/>
      <c r="AQ857" s="873"/>
      <c r="AR857" s="873"/>
      <c r="AS857" s="873"/>
    </row>
    <row r="858" spans="1:45" ht="12.75" x14ac:dyDescent="0.2">
      <c r="A858" s="873"/>
      <c r="B858" s="873"/>
      <c r="C858" s="873"/>
      <c r="D858" s="873"/>
      <c r="E858" s="873"/>
      <c r="F858" s="873"/>
      <c r="G858" s="873"/>
      <c r="H858" s="873"/>
      <c r="I858" s="873"/>
      <c r="J858" s="873"/>
      <c r="K858" s="873"/>
      <c r="L858" s="873"/>
      <c r="M858" s="873"/>
      <c r="N858" s="873"/>
      <c r="O858" s="873"/>
      <c r="P858" s="873"/>
      <c r="Q858" s="873"/>
      <c r="R858" s="873"/>
      <c r="S858" s="873"/>
      <c r="T858" s="873"/>
      <c r="U858" s="873"/>
      <c r="V858" s="873"/>
      <c r="W858" s="873"/>
      <c r="X858" s="873"/>
      <c r="Y858" s="873"/>
      <c r="Z858" s="873"/>
      <c r="AA858" s="873"/>
      <c r="AB858" s="873"/>
      <c r="AC858" s="873"/>
      <c r="AD858" s="873"/>
      <c r="AE858" s="873"/>
      <c r="AF858" s="873"/>
      <c r="AG858" s="873"/>
      <c r="AH858" s="873"/>
      <c r="AI858" s="873"/>
      <c r="AJ858" s="873"/>
      <c r="AK858" s="873"/>
      <c r="AL858" s="873"/>
      <c r="AM858" s="873"/>
      <c r="AN858" s="873"/>
      <c r="AO858" s="873"/>
      <c r="AP858" s="873"/>
      <c r="AQ858" s="873"/>
      <c r="AR858" s="873"/>
      <c r="AS858" s="873"/>
    </row>
    <row r="859" spans="1:45" ht="12.75" x14ac:dyDescent="0.2">
      <c r="A859" s="873"/>
      <c r="B859" s="873"/>
      <c r="C859" s="873"/>
      <c r="D859" s="873"/>
      <c r="E859" s="873"/>
      <c r="F859" s="873"/>
      <c r="G859" s="873"/>
      <c r="H859" s="873"/>
      <c r="I859" s="873"/>
      <c r="J859" s="873"/>
      <c r="K859" s="873"/>
      <c r="L859" s="873"/>
      <c r="M859" s="873"/>
      <c r="N859" s="873"/>
      <c r="O859" s="873"/>
      <c r="P859" s="873"/>
      <c r="Q859" s="873"/>
      <c r="R859" s="873"/>
      <c r="S859" s="873"/>
      <c r="T859" s="873"/>
      <c r="U859" s="873"/>
      <c r="V859" s="873"/>
      <c r="W859" s="873"/>
      <c r="X859" s="873"/>
      <c r="Y859" s="873"/>
      <c r="Z859" s="873"/>
      <c r="AA859" s="873"/>
      <c r="AB859" s="873"/>
      <c r="AC859" s="873"/>
      <c r="AD859" s="873"/>
      <c r="AE859" s="873"/>
      <c r="AF859" s="873"/>
      <c r="AG859" s="873"/>
      <c r="AH859" s="873"/>
      <c r="AI859" s="873"/>
      <c r="AJ859" s="873"/>
      <c r="AK859" s="873"/>
      <c r="AL859" s="873"/>
      <c r="AM859" s="873"/>
      <c r="AN859" s="873"/>
      <c r="AO859" s="873"/>
      <c r="AP859" s="873"/>
      <c r="AQ859" s="873"/>
      <c r="AR859" s="873"/>
      <c r="AS859" s="873"/>
    </row>
    <row r="860" spans="1:45" ht="12.75" x14ac:dyDescent="0.2">
      <c r="A860" s="873"/>
      <c r="B860" s="873"/>
      <c r="C860" s="873"/>
      <c r="D860" s="873"/>
      <c r="E860" s="873"/>
      <c r="F860" s="873"/>
      <c r="G860" s="873"/>
      <c r="H860" s="873"/>
      <c r="I860" s="873"/>
      <c r="J860" s="873"/>
      <c r="K860" s="873"/>
      <c r="L860" s="873"/>
      <c r="M860" s="873"/>
      <c r="N860" s="873"/>
      <c r="O860" s="873"/>
      <c r="P860" s="873"/>
      <c r="Q860" s="873"/>
      <c r="R860" s="873"/>
      <c r="S860" s="873"/>
      <c r="T860" s="873"/>
      <c r="U860" s="873"/>
      <c r="V860" s="873"/>
      <c r="W860" s="873"/>
      <c r="X860" s="873"/>
      <c r="Y860" s="873"/>
      <c r="Z860" s="873"/>
      <c r="AA860" s="873"/>
      <c r="AB860" s="873"/>
      <c r="AC860" s="873"/>
      <c r="AD860" s="873"/>
      <c r="AE860" s="873"/>
      <c r="AF860" s="873"/>
      <c r="AG860" s="873"/>
      <c r="AH860" s="873"/>
      <c r="AI860" s="873"/>
      <c r="AJ860" s="873"/>
      <c r="AK860" s="873"/>
      <c r="AL860" s="873"/>
      <c r="AM860" s="873"/>
      <c r="AN860" s="873"/>
      <c r="AO860" s="873"/>
      <c r="AP860" s="873"/>
      <c r="AQ860" s="873"/>
      <c r="AR860" s="873"/>
      <c r="AS860" s="873"/>
    </row>
    <row r="861" spans="1:45" ht="12.75" x14ac:dyDescent="0.2">
      <c r="A861" s="873"/>
      <c r="B861" s="873"/>
      <c r="C861" s="873"/>
      <c r="D861" s="873"/>
      <c r="E861" s="873"/>
      <c r="F861" s="873"/>
      <c r="G861" s="873"/>
      <c r="H861" s="873"/>
      <c r="I861" s="873"/>
      <c r="J861" s="873"/>
      <c r="K861" s="873"/>
      <c r="L861" s="873"/>
      <c r="M861" s="873"/>
      <c r="N861" s="873"/>
      <c r="O861" s="873"/>
      <c r="P861" s="873"/>
      <c r="Q861" s="873"/>
      <c r="R861" s="873"/>
      <c r="S861" s="873"/>
      <c r="T861" s="873"/>
      <c r="U861" s="873"/>
      <c r="V861" s="873"/>
      <c r="W861" s="873"/>
      <c r="X861" s="873"/>
      <c r="Y861" s="873"/>
      <c r="Z861" s="873"/>
      <c r="AA861" s="873"/>
      <c r="AB861" s="873"/>
      <c r="AC861" s="873"/>
      <c r="AD861" s="873"/>
      <c r="AE861" s="873"/>
      <c r="AF861" s="873"/>
      <c r="AG861" s="873"/>
      <c r="AH861" s="873"/>
      <c r="AI861" s="873"/>
      <c r="AJ861" s="873"/>
      <c r="AK861" s="873"/>
      <c r="AL861" s="873"/>
      <c r="AM861" s="873"/>
      <c r="AN861" s="873"/>
      <c r="AO861" s="873"/>
      <c r="AP861" s="873"/>
      <c r="AQ861" s="873"/>
      <c r="AR861" s="873"/>
      <c r="AS861" s="873"/>
    </row>
    <row r="862" spans="1:45" ht="12.75" x14ac:dyDescent="0.2">
      <c r="A862" s="873"/>
      <c r="B862" s="873"/>
      <c r="C862" s="873"/>
      <c r="D862" s="873"/>
      <c r="E862" s="873"/>
      <c r="F862" s="873"/>
      <c r="G862" s="873"/>
      <c r="H862" s="873"/>
      <c r="I862" s="873"/>
      <c r="J862" s="873"/>
      <c r="K862" s="873"/>
      <c r="L862" s="873"/>
      <c r="M862" s="873"/>
      <c r="N862" s="873"/>
      <c r="O862" s="873"/>
      <c r="P862" s="873"/>
      <c r="Q862" s="873"/>
      <c r="R862" s="873"/>
      <c r="S862" s="873"/>
      <c r="T862" s="873"/>
      <c r="U862" s="873"/>
      <c r="V862" s="873"/>
      <c r="W862" s="873"/>
      <c r="X862" s="873"/>
      <c r="Y862" s="873"/>
      <c r="Z862" s="873"/>
      <c r="AA862" s="873"/>
      <c r="AB862" s="873"/>
      <c r="AC862" s="873"/>
      <c r="AD862" s="873"/>
      <c r="AE862" s="873"/>
      <c r="AF862" s="873"/>
      <c r="AG862" s="873"/>
      <c r="AH862" s="873"/>
      <c r="AI862" s="873"/>
      <c r="AJ862" s="873"/>
      <c r="AK862" s="873"/>
      <c r="AL862" s="873"/>
      <c r="AM862" s="873"/>
      <c r="AN862" s="873"/>
      <c r="AO862" s="873"/>
      <c r="AP862" s="873"/>
      <c r="AQ862" s="873"/>
      <c r="AR862" s="873"/>
      <c r="AS862" s="873"/>
    </row>
    <row r="863" spans="1:45" ht="12.75" x14ac:dyDescent="0.2">
      <c r="A863" s="873"/>
      <c r="B863" s="873"/>
      <c r="C863" s="873"/>
      <c r="D863" s="873"/>
      <c r="E863" s="873"/>
      <c r="F863" s="873"/>
      <c r="G863" s="873"/>
      <c r="H863" s="873"/>
      <c r="I863" s="873"/>
      <c r="J863" s="873"/>
      <c r="K863" s="873"/>
      <c r="L863" s="873"/>
      <c r="M863" s="873"/>
      <c r="N863" s="873"/>
      <c r="O863" s="873"/>
      <c r="P863" s="873"/>
      <c r="Q863" s="873"/>
      <c r="R863" s="873"/>
      <c r="S863" s="873"/>
      <c r="T863" s="873"/>
      <c r="U863" s="873"/>
      <c r="V863" s="873"/>
      <c r="W863" s="873"/>
      <c r="X863" s="873"/>
      <c r="Y863" s="873"/>
      <c r="Z863" s="873"/>
      <c r="AA863" s="873"/>
      <c r="AB863" s="873"/>
      <c r="AC863" s="873"/>
      <c r="AD863" s="873"/>
      <c r="AE863" s="873"/>
      <c r="AF863" s="873"/>
      <c r="AG863" s="873"/>
      <c r="AH863" s="873"/>
      <c r="AI863" s="873"/>
      <c r="AJ863" s="873"/>
      <c r="AK863" s="873"/>
      <c r="AL863" s="873"/>
      <c r="AM863" s="873"/>
      <c r="AN863" s="873"/>
      <c r="AO863" s="873"/>
      <c r="AP863" s="873"/>
      <c r="AQ863" s="873"/>
      <c r="AR863" s="873"/>
      <c r="AS863" s="873"/>
    </row>
    <row r="864" spans="1:45" ht="12.75" x14ac:dyDescent="0.2">
      <c r="A864" s="873"/>
      <c r="B864" s="873"/>
      <c r="C864" s="873"/>
      <c r="D864" s="873"/>
      <c r="E864" s="873"/>
      <c r="F864" s="873"/>
      <c r="G864" s="873"/>
      <c r="H864" s="873"/>
      <c r="I864" s="873"/>
      <c r="J864" s="873"/>
      <c r="K864" s="873"/>
      <c r="L864" s="873"/>
      <c r="M864" s="873"/>
      <c r="N864" s="873"/>
      <c r="O864" s="873"/>
      <c r="P864" s="873"/>
      <c r="Q864" s="873"/>
      <c r="R864" s="873"/>
      <c r="S864" s="873"/>
      <c r="T864" s="873"/>
      <c r="U864" s="873"/>
      <c r="V864" s="873"/>
      <c r="W864" s="873"/>
      <c r="X864" s="873"/>
      <c r="Y864" s="873"/>
      <c r="Z864" s="873"/>
      <c r="AA864" s="873"/>
      <c r="AB864" s="873"/>
      <c r="AC864" s="873"/>
      <c r="AD864" s="873"/>
      <c r="AE864" s="873"/>
      <c r="AF864" s="873"/>
      <c r="AG864" s="873"/>
      <c r="AH864" s="873"/>
      <c r="AI864" s="873"/>
      <c r="AJ864" s="873"/>
      <c r="AK864" s="873"/>
      <c r="AL864" s="873"/>
      <c r="AM864" s="873"/>
      <c r="AN864" s="873"/>
      <c r="AO864" s="873"/>
      <c r="AP864" s="873"/>
      <c r="AQ864" s="873"/>
      <c r="AR864" s="873"/>
      <c r="AS864" s="873"/>
    </row>
    <row r="865" spans="1:45" ht="12.75" x14ac:dyDescent="0.2">
      <c r="A865" s="873"/>
      <c r="B865" s="873"/>
      <c r="C865" s="873"/>
      <c r="D865" s="873"/>
      <c r="E865" s="873"/>
      <c r="F865" s="873"/>
      <c r="G865" s="873"/>
      <c r="H865" s="873"/>
      <c r="I865" s="873"/>
      <c r="J865" s="873"/>
      <c r="K865" s="873"/>
      <c r="L865" s="873"/>
      <c r="M865" s="873"/>
      <c r="N865" s="873"/>
      <c r="O865" s="873"/>
      <c r="P865" s="873"/>
      <c r="Q865" s="873"/>
      <c r="R865" s="873"/>
      <c r="S865" s="873"/>
      <c r="T865" s="873"/>
      <c r="U865" s="873"/>
      <c r="V865" s="873"/>
      <c r="W865" s="873"/>
      <c r="X865" s="873"/>
      <c r="Y865" s="873"/>
      <c r="Z865" s="873"/>
      <c r="AA865" s="873"/>
      <c r="AB865" s="873"/>
      <c r="AC865" s="873"/>
      <c r="AD865" s="873"/>
      <c r="AE865" s="873"/>
      <c r="AF865" s="873"/>
      <c r="AG865" s="873"/>
      <c r="AH865" s="873"/>
      <c r="AI865" s="873"/>
      <c r="AJ865" s="873"/>
      <c r="AK865" s="873"/>
      <c r="AL865" s="873"/>
      <c r="AM865" s="873"/>
      <c r="AN865" s="873"/>
      <c r="AO865" s="873"/>
      <c r="AP865" s="873"/>
      <c r="AQ865" s="873"/>
      <c r="AR865" s="873"/>
      <c r="AS865" s="873"/>
    </row>
    <row r="866" spans="1:45" ht="12.75" x14ac:dyDescent="0.2">
      <c r="A866" s="873"/>
      <c r="B866" s="873"/>
      <c r="C866" s="873"/>
      <c r="D866" s="873"/>
      <c r="E866" s="873"/>
      <c r="F866" s="873"/>
      <c r="G866" s="873"/>
      <c r="H866" s="873"/>
      <c r="I866" s="873"/>
      <c r="J866" s="873"/>
      <c r="K866" s="873"/>
      <c r="L866" s="873"/>
      <c r="M866" s="873"/>
      <c r="N866" s="873"/>
      <c r="O866" s="873"/>
      <c r="P866" s="873"/>
      <c r="Q866" s="873"/>
      <c r="R866" s="873"/>
      <c r="S866" s="873"/>
      <c r="T866" s="873"/>
      <c r="U866" s="873"/>
      <c r="V866" s="873"/>
      <c r="W866" s="873"/>
      <c r="X866" s="873"/>
      <c r="Y866" s="873"/>
      <c r="Z866" s="873"/>
      <c r="AA866" s="873"/>
      <c r="AB866" s="873"/>
      <c r="AC866" s="873"/>
      <c r="AD866" s="873"/>
      <c r="AE866" s="873"/>
      <c r="AF866" s="873"/>
      <c r="AG866" s="873"/>
      <c r="AH866" s="873"/>
      <c r="AI866" s="873"/>
      <c r="AJ866" s="873"/>
      <c r="AK866" s="873"/>
      <c r="AL866" s="873"/>
      <c r="AM866" s="873"/>
      <c r="AN866" s="873"/>
      <c r="AO866" s="873"/>
      <c r="AP866" s="873"/>
      <c r="AQ866" s="873"/>
      <c r="AR866" s="873"/>
      <c r="AS866" s="873"/>
    </row>
    <row r="867" spans="1:45" ht="12.75" x14ac:dyDescent="0.2">
      <c r="A867" s="873"/>
      <c r="B867" s="873"/>
      <c r="C867" s="873"/>
      <c r="D867" s="873"/>
      <c r="E867" s="873"/>
      <c r="F867" s="873"/>
      <c r="G867" s="873"/>
      <c r="H867" s="873"/>
      <c r="I867" s="873"/>
      <c r="J867" s="873"/>
      <c r="K867" s="873"/>
      <c r="L867" s="873"/>
      <c r="M867" s="873"/>
      <c r="N867" s="873"/>
      <c r="O867" s="873"/>
      <c r="P867" s="873"/>
      <c r="Q867" s="873"/>
      <c r="R867" s="873"/>
      <c r="S867" s="873"/>
      <c r="T867" s="873"/>
      <c r="U867" s="873"/>
      <c r="V867" s="873"/>
      <c r="W867" s="873"/>
      <c r="X867" s="873"/>
      <c r="Y867" s="873"/>
      <c r="Z867" s="873"/>
      <c r="AA867" s="873"/>
      <c r="AB867" s="873"/>
      <c r="AC867" s="873"/>
      <c r="AD867" s="873"/>
      <c r="AE867" s="873"/>
      <c r="AF867" s="873"/>
      <c r="AG867" s="873"/>
      <c r="AH867" s="873"/>
      <c r="AI867" s="873"/>
      <c r="AJ867" s="873"/>
      <c r="AK867" s="873"/>
      <c r="AL867" s="873"/>
      <c r="AM867" s="873"/>
      <c r="AN867" s="873"/>
      <c r="AO867" s="873"/>
      <c r="AP867" s="873"/>
      <c r="AQ867" s="873"/>
      <c r="AR867" s="873"/>
      <c r="AS867" s="873"/>
    </row>
    <row r="868" spans="1:45" ht="12.75" x14ac:dyDescent="0.2">
      <c r="A868" s="873"/>
      <c r="B868" s="873"/>
      <c r="C868" s="873"/>
      <c r="D868" s="873"/>
      <c r="E868" s="873"/>
      <c r="F868" s="873"/>
      <c r="G868" s="873"/>
      <c r="H868" s="873"/>
      <c r="I868" s="873"/>
      <c r="J868" s="873"/>
      <c r="K868" s="873"/>
      <c r="L868" s="873"/>
      <c r="M868" s="873"/>
      <c r="N868" s="873"/>
      <c r="O868" s="873"/>
      <c r="P868" s="873"/>
      <c r="Q868" s="873"/>
      <c r="R868" s="873"/>
      <c r="S868" s="873"/>
      <c r="T868" s="873"/>
      <c r="U868" s="873"/>
      <c r="V868" s="873"/>
      <c r="W868" s="873"/>
      <c r="X868" s="873"/>
      <c r="Y868" s="873"/>
      <c r="Z868" s="873"/>
      <c r="AA868" s="873"/>
      <c r="AB868" s="873"/>
      <c r="AC868" s="873"/>
      <c r="AD868" s="873"/>
      <c r="AE868" s="873"/>
      <c r="AF868" s="873"/>
      <c r="AG868" s="873"/>
      <c r="AH868" s="873"/>
      <c r="AI868" s="873"/>
      <c r="AJ868" s="873"/>
      <c r="AK868" s="873"/>
      <c r="AL868" s="873"/>
      <c r="AM868" s="873"/>
      <c r="AN868" s="873"/>
      <c r="AO868" s="873"/>
      <c r="AP868" s="873"/>
      <c r="AQ868" s="873"/>
      <c r="AR868" s="873"/>
      <c r="AS868" s="873"/>
    </row>
    <row r="869" spans="1:45" ht="12.75" x14ac:dyDescent="0.2">
      <c r="A869" s="873"/>
      <c r="B869" s="873"/>
      <c r="C869" s="873"/>
      <c r="D869" s="873"/>
      <c r="E869" s="873"/>
      <c r="F869" s="873"/>
      <c r="G869" s="873"/>
      <c r="H869" s="873"/>
      <c r="I869" s="873"/>
      <c r="J869" s="873"/>
      <c r="K869" s="873"/>
      <c r="L869" s="873"/>
      <c r="M869" s="873"/>
      <c r="N869" s="873"/>
      <c r="O869" s="873"/>
      <c r="P869" s="873"/>
      <c r="Q869" s="873"/>
      <c r="R869" s="873"/>
      <c r="S869" s="873"/>
      <c r="T869" s="873"/>
      <c r="U869" s="873"/>
      <c r="V869" s="873"/>
      <c r="W869" s="873"/>
      <c r="X869" s="873"/>
      <c r="Y869" s="873"/>
      <c r="Z869" s="873"/>
      <c r="AA869" s="873"/>
      <c r="AB869" s="873"/>
      <c r="AC869" s="873"/>
      <c r="AD869" s="873"/>
      <c r="AE869" s="873"/>
      <c r="AF869" s="873"/>
      <c r="AG869" s="873"/>
      <c r="AH869" s="873"/>
      <c r="AI869" s="873"/>
      <c r="AJ869" s="873"/>
      <c r="AK869" s="873"/>
      <c r="AL869" s="873"/>
      <c r="AM869" s="873"/>
      <c r="AN869" s="873"/>
      <c r="AO869" s="873"/>
      <c r="AP869" s="873"/>
      <c r="AQ869" s="873"/>
      <c r="AR869" s="873"/>
      <c r="AS869" s="873"/>
    </row>
    <row r="870" spans="1:45" ht="12.75" x14ac:dyDescent="0.2">
      <c r="A870" s="873"/>
      <c r="B870" s="873"/>
      <c r="C870" s="873"/>
      <c r="D870" s="873"/>
      <c r="E870" s="873"/>
      <c r="F870" s="873"/>
      <c r="G870" s="873"/>
      <c r="H870" s="873"/>
      <c r="I870" s="873"/>
      <c r="J870" s="873"/>
      <c r="K870" s="873"/>
      <c r="L870" s="873"/>
      <c r="M870" s="873"/>
      <c r="N870" s="873"/>
      <c r="O870" s="873"/>
      <c r="P870" s="873"/>
      <c r="Q870" s="873"/>
      <c r="R870" s="873"/>
      <c r="S870" s="873"/>
      <c r="T870" s="873"/>
      <c r="U870" s="873"/>
      <c r="V870" s="873"/>
      <c r="W870" s="873"/>
      <c r="X870" s="873"/>
      <c r="Y870" s="873"/>
      <c r="Z870" s="873"/>
      <c r="AA870" s="873"/>
      <c r="AB870" s="873"/>
      <c r="AC870" s="873"/>
      <c r="AD870" s="873"/>
      <c r="AE870" s="873"/>
      <c r="AF870" s="873"/>
      <c r="AG870" s="873"/>
      <c r="AH870" s="873"/>
      <c r="AI870" s="873"/>
      <c r="AJ870" s="873"/>
      <c r="AK870" s="873"/>
      <c r="AL870" s="873"/>
      <c r="AM870" s="873"/>
      <c r="AN870" s="873"/>
      <c r="AO870" s="873"/>
      <c r="AP870" s="873"/>
      <c r="AQ870" s="873"/>
      <c r="AR870" s="873"/>
      <c r="AS870" s="873"/>
    </row>
    <row r="871" spans="1:45" ht="12.75" x14ac:dyDescent="0.2">
      <c r="A871" s="873"/>
      <c r="B871" s="873"/>
      <c r="C871" s="873"/>
      <c r="D871" s="873"/>
      <c r="E871" s="873"/>
      <c r="F871" s="873"/>
      <c r="G871" s="873"/>
      <c r="H871" s="873"/>
      <c r="I871" s="873"/>
      <c r="J871" s="873"/>
      <c r="K871" s="873"/>
      <c r="L871" s="873"/>
      <c r="M871" s="873"/>
      <c r="N871" s="873"/>
      <c r="O871" s="873"/>
      <c r="P871" s="873"/>
      <c r="Q871" s="873"/>
      <c r="R871" s="873"/>
      <c r="S871" s="873"/>
      <c r="T871" s="873"/>
      <c r="U871" s="873"/>
      <c r="V871" s="873"/>
      <c r="W871" s="873"/>
      <c r="X871" s="873"/>
      <c r="Y871" s="873"/>
      <c r="Z871" s="873"/>
      <c r="AA871" s="873"/>
      <c r="AB871" s="873"/>
      <c r="AC871" s="873"/>
      <c r="AD871" s="873"/>
      <c r="AE871" s="873"/>
      <c r="AF871" s="873"/>
      <c r="AG871" s="873"/>
      <c r="AH871" s="873"/>
      <c r="AI871" s="873"/>
      <c r="AJ871" s="873"/>
      <c r="AK871" s="873"/>
      <c r="AL871" s="873"/>
      <c r="AM871" s="873"/>
      <c r="AN871" s="873"/>
      <c r="AO871" s="873"/>
      <c r="AP871" s="873"/>
      <c r="AQ871" s="873"/>
      <c r="AR871" s="873"/>
      <c r="AS871" s="873"/>
    </row>
    <row r="872" spans="1:45" ht="12.75" x14ac:dyDescent="0.2">
      <c r="A872" s="873"/>
      <c r="B872" s="873"/>
      <c r="C872" s="873"/>
      <c r="D872" s="873"/>
      <c r="E872" s="873"/>
      <c r="F872" s="873"/>
      <c r="G872" s="873"/>
      <c r="H872" s="873"/>
      <c r="I872" s="873"/>
      <c r="J872" s="873"/>
      <c r="K872" s="873"/>
      <c r="L872" s="873"/>
      <c r="M872" s="873"/>
      <c r="N872" s="873"/>
      <c r="O872" s="873"/>
      <c r="P872" s="873"/>
      <c r="Q872" s="873"/>
      <c r="R872" s="873"/>
      <c r="S872" s="873"/>
      <c r="T872" s="873"/>
      <c r="U872" s="873"/>
      <c r="V872" s="873"/>
      <c r="W872" s="873"/>
      <c r="X872" s="873"/>
      <c r="Y872" s="873"/>
      <c r="Z872" s="873"/>
      <c r="AA872" s="873"/>
      <c r="AB872" s="873"/>
      <c r="AC872" s="873"/>
      <c r="AD872" s="873"/>
      <c r="AE872" s="873"/>
      <c r="AF872" s="873"/>
      <c r="AG872" s="873"/>
      <c r="AH872" s="873"/>
      <c r="AI872" s="873"/>
      <c r="AJ872" s="873"/>
      <c r="AK872" s="873"/>
      <c r="AL872" s="873"/>
      <c r="AM872" s="873"/>
      <c r="AN872" s="873"/>
      <c r="AO872" s="873"/>
      <c r="AP872" s="873"/>
      <c r="AQ872" s="873"/>
      <c r="AR872" s="873"/>
      <c r="AS872" s="873"/>
    </row>
    <row r="873" spans="1:45" ht="12.75" x14ac:dyDescent="0.2">
      <c r="A873" s="873"/>
      <c r="B873" s="873"/>
      <c r="C873" s="873"/>
      <c r="D873" s="873"/>
      <c r="E873" s="873"/>
      <c r="F873" s="873"/>
      <c r="G873" s="873"/>
      <c r="H873" s="873"/>
      <c r="I873" s="873"/>
      <c r="J873" s="873"/>
      <c r="K873" s="873"/>
      <c r="L873" s="873"/>
      <c r="M873" s="873"/>
      <c r="N873" s="873"/>
      <c r="O873" s="873"/>
      <c r="P873" s="873"/>
      <c r="Q873" s="873"/>
      <c r="R873" s="873"/>
      <c r="S873" s="873"/>
      <c r="T873" s="873"/>
      <c r="U873" s="873"/>
      <c r="V873" s="873"/>
      <c r="W873" s="873"/>
      <c r="X873" s="873"/>
      <c r="Y873" s="873"/>
      <c r="Z873" s="873"/>
      <c r="AA873" s="873"/>
      <c r="AB873" s="873"/>
      <c r="AC873" s="873"/>
      <c r="AD873" s="873"/>
      <c r="AE873" s="873"/>
      <c r="AF873" s="873"/>
      <c r="AG873" s="873"/>
      <c r="AH873" s="873"/>
      <c r="AI873" s="873"/>
      <c r="AJ873" s="873"/>
      <c r="AK873" s="873"/>
      <c r="AL873" s="873"/>
      <c r="AM873" s="873"/>
      <c r="AN873" s="873"/>
      <c r="AO873" s="873"/>
      <c r="AP873" s="873"/>
      <c r="AQ873" s="873"/>
      <c r="AR873" s="873"/>
      <c r="AS873" s="873"/>
    </row>
    <row r="874" spans="1:45" ht="12.75" x14ac:dyDescent="0.2">
      <c r="A874" s="873"/>
      <c r="B874" s="873"/>
      <c r="C874" s="873"/>
      <c r="D874" s="873"/>
      <c r="E874" s="873"/>
      <c r="F874" s="873"/>
      <c r="G874" s="873"/>
      <c r="H874" s="873"/>
      <c r="I874" s="873"/>
      <c r="J874" s="873"/>
      <c r="K874" s="873"/>
      <c r="L874" s="873"/>
      <c r="M874" s="873"/>
      <c r="N874" s="873"/>
      <c r="O874" s="873"/>
      <c r="P874" s="873"/>
      <c r="Q874" s="873"/>
      <c r="R874" s="873"/>
      <c r="S874" s="873"/>
      <c r="T874" s="873"/>
      <c r="U874" s="873"/>
      <c r="V874" s="873"/>
      <c r="W874" s="873"/>
      <c r="X874" s="873"/>
      <c r="Y874" s="873"/>
      <c r="Z874" s="873"/>
      <c r="AA874" s="873"/>
      <c r="AB874" s="873"/>
      <c r="AC874" s="873"/>
      <c r="AD874" s="873"/>
      <c r="AE874" s="873"/>
      <c r="AF874" s="873"/>
      <c r="AG874" s="873"/>
      <c r="AH874" s="873"/>
      <c r="AI874" s="873"/>
      <c r="AJ874" s="873"/>
      <c r="AK874" s="873"/>
      <c r="AL874" s="873"/>
      <c r="AM874" s="873"/>
      <c r="AN874" s="873"/>
      <c r="AO874" s="873"/>
      <c r="AP874" s="873"/>
      <c r="AQ874" s="873"/>
      <c r="AR874" s="873"/>
      <c r="AS874" s="873"/>
    </row>
    <row r="875" spans="1:45" ht="12.75" x14ac:dyDescent="0.2">
      <c r="A875" s="873"/>
      <c r="B875" s="873"/>
      <c r="C875" s="873"/>
      <c r="D875" s="873"/>
      <c r="E875" s="873"/>
      <c r="F875" s="873"/>
      <c r="G875" s="873"/>
      <c r="H875" s="873"/>
      <c r="I875" s="873"/>
      <c r="J875" s="873"/>
      <c r="K875" s="873"/>
      <c r="L875" s="873"/>
      <c r="M875" s="873"/>
      <c r="N875" s="873"/>
      <c r="O875" s="873"/>
      <c r="P875" s="873"/>
      <c r="Q875" s="873"/>
      <c r="R875" s="873"/>
      <c r="S875" s="873"/>
      <c r="T875" s="873"/>
      <c r="U875" s="873"/>
      <c r="V875" s="873"/>
      <c r="W875" s="873"/>
      <c r="X875" s="873"/>
      <c r="Y875" s="873"/>
      <c r="Z875" s="873"/>
      <c r="AA875" s="873"/>
      <c r="AB875" s="873"/>
      <c r="AC875" s="873"/>
      <c r="AD875" s="873"/>
      <c r="AE875" s="873"/>
      <c r="AF875" s="873"/>
      <c r="AG875" s="873"/>
      <c r="AH875" s="873"/>
      <c r="AI875" s="873"/>
      <c r="AJ875" s="873"/>
      <c r="AK875" s="873"/>
      <c r="AL875" s="873"/>
      <c r="AM875" s="873"/>
      <c r="AN875" s="873"/>
      <c r="AO875" s="873"/>
      <c r="AP875" s="873"/>
      <c r="AQ875" s="873"/>
      <c r="AR875" s="873"/>
      <c r="AS875" s="873"/>
    </row>
    <row r="876" spans="1:45" ht="12.75" x14ac:dyDescent="0.2">
      <c r="A876" s="873"/>
      <c r="B876" s="873"/>
      <c r="C876" s="873"/>
      <c r="D876" s="873"/>
      <c r="E876" s="873"/>
      <c r="F876" s="873"/>
      <c r="G876" s="873"/>
      <c r="H876" s="873"/>
      <c r="I876" s="873"/>
      <c r="J876" s="873"/>
      <c r="K876" s="873"/>
      <c r="L876" s="873"/>
      <c r="M876" s="873"/>
      <c r="N876" s="873"/>
      <c r="O876" s="873"/>
      <c r="P876" s="873"/>
      <c r="Q876" s="873"/>
      <c r="R876" s="873"/>
      <c r="S876" s="873"/>
      <c r="T876" s="873"/>
      <c r="U876" s="873"/>
      <c r="V876" s="873"/>
      <c r="W876" s="873"/>
      <c r="X876" s="873"/>
      <c r="Y876" s="873"/>
      <c r="Z876" s="873"/>
      <c r="AA876" s="873"/>
      <c r="AB876" s="873"/>
      <c r="AC876" s="873"/>
      <c r="AD876" s="873"/>
      <c r="AE876" s="873"/>
      <c r="AF876" s="873"/>
      <c r="AG876" s="873"/>
      <c r="AH876" s="873"/>
      <c r="AI876" s="873"/>
      <c r="AJ876" s="873"/>
      <c r="AK876" s="873"/>
      <c r="AL876" s="873"/>
      <c r="AM876" s="873"/>
      <c r="AN876" s="873"/>
      <c r="AO876" s="873"/>
      <c r="AP876" s="873"/>
      <c r="AQ876" s="873"/>
      <c r="AR876" s="873"/>
      <c r="AS876" s="873"/>
    </row>
    <row r="877" spans="1:45" ht="12.75" x14ac:dyDescent="0.2">
      <c r="A877" s="873"/>
      <c r="B877" s="873"/>
      <c r="C877" s="873"/>
      <c r="D877" s="873"/>
      <c r="E877" s="873"/>
      <c r="F877" s="873"/>
      <c r="G877" s="873"/>
      <c r="H877" s="873"/>
      <c r="I877" s="873"/>
      <c r="J877" s="873"/>
      <c r="K877" s="873"/>
      <c r="L877" s="873"/>
      <c r="M877" s="873"/>
      <c r="N877" s="873"/>
      <c r="O877" s="873"/>
      <c r="P877" s="873"/>
      <c r="Q877" s="873"/>
      <c r="R877" s="873"/>
      <c r="S877" s="873"/>
      <c r="T877" s="873"/>
      <c r="U877" s="873"/>
      <c r="V877" s="873"/>
      <c r="W877" s="873"/>
      <c r="X877" s="873"/>
      <c r="Y877" s="873"/>
      <c r="Z877" s="873"/>
      <c r="AA877" s="873"/>
      <c r="AB877" s="873"/>
      <c r="AC877" s="873"/>
      <c r="AD877" s="873"/>
      <c r="AE877" s="873"/>
      <c r="AF877" s="873"/>
      <c r="AG877" s="873"/>
      <c r="AH877" s="873"/>
      <c r="AI877" s="873"/>
      <c r="AJ877" s="873"/>
      <c r="AK877" s="873"/>
      <c r="AL877" s="873"/>
      <c r="AM877" s="873"/>
      <c r="AN877" s="873"/>
      <c r="AO877" s="873"/>
      <c r="AP877" s="873"/>
      <c r="AQ877" s="873"/>
      <c r="AR877" s="873"/>
      <c r="AS877" s="873"/>
    </row>
    <row r="878" spans="1:45" ht="12.75" x14ac:dyDescent="0.2">
      <c r="A878" s="873"/>
      <c r="B878" s="873"/>
      <c r="C878" s="873"/>
      <c r="D878" s="873"/>
      <c r="E878" s="873"/>
      <c r="F878" s="873"/>
      <c r="G878" s="873"/>
      <c r="H878" s="873"/>
      <c r="I878" s="873"/>
      <c r="J878" s="873"/>
      <c r="K878" s="873"/>
      <c r="L878" s="873"/>
      <c r="M878" s="873"/>
      <c r="N878" s="873"/>
      <c r="O878" s="873"/>
      <c r="P878" s="873"/>
      <c r="Q878" s="873"/>
      <c r="R878" s="873"/>
      <c r="S878" s="873"/>
      <c r="T878" s="873"/>
      <c r="U878" s="873"/>
      <c r="V878" s="873"/>
      <c r="W878" s="873"/>
      <c r="X878" s="873"/>
      <c r="Y878" s="873"/>
      <c r="Z878" s="873"/>
      <c r="AA878" s="873"/>
      <c r="AB878" s="873"/>
      <c r="AC878" s="873"/>
      <c r="AD878" s="873"/>
      <c r="AE878" s="873"/>
      <c r="AF878" s="873"/>
      <c r="AG878" s="873"/>
      <c r="AH878" s="873"/>
      <c r="AI878" s="873"/>
      <c r="AJ878" s="873"/>
      <c r="AK878" s="873"/>
      <c r="AL878" s="873"/>
      <c r="AM878" s="873"/>
      <c r="AN878" s="873"/>
      <c r="AO878" s="873"/>
      <c r="AP878" s="873"/>
      <c r="AQ878" s="873"/>
      <c r="AR878" s="873"/>
      <c r="AS878" s="873"/>
    </row>
    <row r="879" spans="1:45" ht="12.75" x14ac:dyDescent="0.2">
      <c r="A879" s="873"/>
      <c r="B879" s="873"/>
      <c r="C879" s="873"/>
      <c r="D879" s="873"/>
      <c r="E879" s="873"/>
      <c r="F879" s="873"/>
      <c r="G879" s="873"/>
      <c r="H879" s="873"/>
      <c r="I879" s="873"/>
      <c r="J879" s="873"/>
      <c r="K879" s="873"/>
      <c r="L879" s="873"/>
      <c r="M879" s="873"/>
      <c r="N879" s="873"/>
      <c r="O879" s="873"/>
      <c r="P879" s="873"/>
      <c r="Q879" s="873"/>
      <c r="R879" s="873"/>
      <c r="S879" s="873"/>
      <c r="T879" s="873"/>
      <c r="U879" s="873"/>
      <c r="V879" s="873"/>
      <c r="W879" s="873"/>
      <c r="X879" s="873"/>
      <c r="Y879" s="873"/>
      <c r="Z879" s="873"/>
      <c r="AA879" s="873"/>
      <c r="AB879" s="873"/>
      <c r="AC879" s="873"/>
      <c r="AD879" s="873"/>
      <c r="AE879" s="873"/>
      <c r="AF879" s="873"/>
      <c r="AG879" s="873"/>
      <c r="AH879" s="873"/>
      <c r="AI879" s="873"/>
      <c r="AJ879" s="873"/>
      <c r="AK879" s="873"/>
      <c r="AL879" s="873"/>
      <c r="AM879" s="873"/>
      <c r="AN879" s="873"/>
      <c r="AO879" s="873"/>
      <c r="AP879" s="873"/>
      <c r="AQ879" s="873"/>
      <c r="AR879" s="873"/>
      <c r="AS879" s="873"/>
    </row>
    <row r="880" spans="1:45" ht="12.75" x14ac:dyDescent="0.2">
      <c r="A880" s="873"/>
      <c r="B880" s="873"/>
      <c r="C880" s="873"/>
      <c r="D880" s="873"/>
      <c r="E880" s="873"/>
      <c r="F880" s="873"/>
      <c r="G880" s="873"/>
      <c r="H880" s="873"/>
      <c r="I880" s="873"/>
      <c r="J880" s="873"/>
      <c r="K880" s="873"/>
      <c r="L880" s="873"/>
      <c r="M880" s="873"/>
      <c r="N880" s="873"/>
      <c r="O880" s="873"/>
      <c r="P880" s="873"/>
      <c r="Q880" s="873"/>
      <c r="R880" s="873"/>
      <c r="S880" s="873"/>
      <c r="T880" s="873"/>
      <c r="U880" s="873"/>
      <c r="V880" s="873"/>
      <c r="W880" s="873"/>
      <c r="X880" s="873"/>
      <c r="Y880" s="873"/>
      <c r="Z880" s="873"/>
      <c r="AA880" s="873"/>
      <c r="AB880" s="873"/>
      <c r="AC880" s="873"/>
      <c r="AD880" s="873"/>
      <c r="AE880" s="873"/>
      <c r="AF880" s="873"/>
      <c r="AG880" s="873"/>
      <c r="AH880" s="873"/>
      <c r="AI880" s="873"/>
      <c r="AJ880" s="873"/>
      <c r="AK880" s="873"/>
      <c r="AL880" s="873"/>
      <c r="AM880" s="873"/>
      <c r="AN880" s="873"/>
      <c r="AO880" s="873"/>
      <c r="AP880" s="873"/>
      <c r="AQ880" s="873"/>
      <c r="AR880" s="873"/>
      <c r="AS880" s="873"/>
    </row>
    <row r="881" spans="1:45" ht="12.75" x14ac:dyDescent="0.2">
      <c r="A881" s="873"/>
      <c r="B881" s="873"/>
      <c r="C881" s="873"/>
      <c r="D881" s="873"/>
      <c r="E881" s="873"/>
      <c r="F881" s="873"/>
      <c r="G881" s="873"/>
      <c r="H881" s="873"/>
      <c r="I881" s="873"/>
      <c r="J881" s="873"/>
      <c r="K881" s="873"/>
      <c r="L881" s="873"/>
      <c r="M881" s="873"/>
      <c r="N881" s="873"/>
      <c r="O881" s="873"/>
      <c r="P881" s="873"/>
      <c r="Q881" s="873"/>
      <c r="R881" s="873"/>
      <c r="S881" s="873"/>
      <c r="T881" s="873"/>
      <c r="U881" s="873"/>
      <c r="V881" s="873"/>
      <c r="W881" s="873"/>
      <c r="X881" s="873"/>
      <c r="Y881" s="873"/>
      <c r="Z881" s="873"/>
      <c r="AA881" s="873"/>
      <c r="AB881" s="873"/>
      <c r="AC881" s="873"/>
      <c r="AD881" s="873"/>
      <c r="AE881" s="873"/>
      <c r="AF881" s="873"/>
      <c r="AG881" s="873"/>
      <c r="AH881" s="873"/>
      <c r="AI881" s="873"/>
      <c r="AJ881" s="873"/>
      <c r="AK881" s="873"/>
      <c r="AL881" s="873"/>
      <c r="AM881" s="873"/>
      <c r="AN881" s="873"/>
      <c r="AO881" s="873"/>
      <c r="AP881" s="873"/>
      <c r="AQ881" s="873"/>
      <c r="AR881" s="873"/>
      <c r="AS881" s="873"/>
    </row>
    <row r="882" spans="1:45" ht="12.75" x14ac:dyDescent="0.2">
      <c r="A882" s="873"/>
      <c r="B882" s="873"/>
      <c r="C882" s="873"/>
      <c r="D882" s="873"/>
      <c r="E882" s="873"/>
      <c r="F882" s="873"/>
      <c r="G882" s="873"/>
      <c r="H882" s="873"/>
      <c r="I882" s="873"/>
      <c r="J882" s="873"/>
      <c r="K882" s="873"/>
      <c r="L882" s="873"/>
      <c r="M882" s="873"/>
      <c r="N882" s="873"/>
      <c r="O882" s="873"/>
      <c r="P882" s="873"/>
      <c r="Q882" s="873"/>
      <c r="R882" s="873"/>
      <c r="S882" s="873"/>
      <c r="T882" s="873"/>
      <c r="U882" s="873"/>
      <c r="V882" s="873"/>
      <c r="W882" s="873"/>
      <c r="X882" s="873"/>
      <c r="Y882" s="873"/>
      <c r="Z882" s="873"/>
      <c r="AA882" s="873"/>
      <c r="AB882" s="873"/>
      <c r="AC882" s="873"/>
      <c r="AD882" s="873"/>
      <c r="AE882" s="873"/>
      <c r="AF882" s="873"/>
      <c r="AG882" s="873"/>
      <c r="AH882" s="873"/>
      <c r="AI882" s="873"/>
      <c r="AJ882" s="873"/>
      <c r="AK882" s="873"/>
      <c r="AL882" s="873"/>
      <c r="AM882" s="873"/>
      <c r="AN882" s="873"/>
      <c r="AO882" s="873"/>
      <c r="AP882" s="873"/>
      <c r="AQ882" s="873"/>
      <c r="AR882" s="873"/>
      <c r="AS882" s="873"/>
    </row>
    <row r="883" spans="1:45" ht="12.75" x14ac:dyDescent="0.2">
      <c r="A883" s="873"/>
      <c r="B883" s="873"/>
      <c r="C883" s="873"/>
      <c r="D883" s="873"/>
      <c r="E883" s="873"/>
      <c r="F883" s="873"/>
      <c r="G883" s="873"/>
      <c r="H883" s="873"/>
      <c r="I883" s="873"/>
      <c r="J883" s="873"/>
      <c r="K883" s="873"/>
      <c r="L883" s="873"/>
      <c r="M883" s="873"/>
      <c r="N883" s="873"/>
      <c r="O883" s="873"/>
      <c r="P883" s="873"/>
      <c r="Q883" s="873"/>
      <c r="R883" s="873"/>
      <c r="S883" s="873"/>
      <c r="T883" s="873"/>
      <c r="U883" s="873"/>
      <c r="V883" s="873"/>
      <c r="W883" s="873"/>
      <c r="X883" s="873"/>
      <c r="Y883" s="873"/>
      <c r="Z883" s="873"/>
      <c r="AA883" s="873"/>
      <c r="AB883" s="873"/>
      <c r="AC883" s="873"/>
      <c r="AD883" s="873"/>
      <c r="AE883" s="873"/>
      <c r="AF883" s="873"/>
      <c r="AG883" s="873"/>
      <c r="AH883" s="873"/>
      <c r="AI883" s="873"/>
      <c r="AJ883" s="873"/>
      <c r="AK883" s="873"/>
      <c r="AL883" s="873"/>
      <c r="AM883" s="873"/>
      <c r="AN883" s="873"/>
      <c r="AO883" s="873"/>
      <c r="AP883" s="873"/>
      <c r="AQ883" s="873"/>
      <c r="AR883" s="873"/>
      <c r="AS883" s="873"/>
    </row>
    <row r="884" spans="1:45" ht="12.75" x14ac:dyDescent="0.2">
      <c r="A884" s="873"/>
      <c r="B884" s="873"/>
      <c r="C884" s="873"/>
      <c r="D884" s="873"/>
      <c r="E884" s="873"/>
      <c r="F884" s="873"/>
      <c r="G884" s="873"/>
      <c r="H884" s="873"/>
      <c r="I884" s="873"/>
      <c r="J884" s="873"/>
      <c r="K884" s="873"/>
      <c r="L884" s="873"/>
      <c r="M884" s="873"/>
      <c r="N884" s="873"/>
      <c r="O884" s="873"/>
      <c r="P884" s="873"/>
      <c r="Q884" s="873"/>
      <c r="R884" s="873"/>
      <c r="S884" s="873"/>
      <c r="T884" s="873"/>
      <c r="U884" s="873"/>
      <c r="V884" s="873"/>
      <c r="W884" s="873"/>
      <c r="X884" s="873"/>
      <c r="Y884" s="873"/>
      <c r="Z884" s="873"/>
      <c r="AA884" s="873"/>
      <c r="AB884" s="873"/>
      <c r="AC884" s="873"/>
      <c r="AD884" s="873"/>
      <c r="AE884" s="873"/>
      <c r="AF884" s="873"/>
      <c r="AG884" s="873"/>
      <c r="AH884" s="873"/>
      <c r="AI884" s="873"/>
      <c r="AJ884" s="873"/>
      <c r="AK884" s="873"/>
      <c r="AL884" s="873"/>
      <c r="AM884" s="873"/>
      <c r="AN884" s="873"/>
      <c r="AO884" s="873"/>
      <c r="AP884" s="873"/>
      <c r="AQ884" s="873"/>
      <c r="AR884" s="873"/>
      <c r="AS884" s="873"/>
    </row>
    <row r="885" spans="1:45" ht="12.75" x14ac:dyDescent="0.2">
      <c r="A885" s="873"/>
      <c r="B885" s="873"/>
      <c r="C885" s="873"/>
      <c r="D885" s="873"/>
      <c r="E885" s="873"/>
      <c r="F885" s="873"/>
      <c r="G885" s="873"/>
      <c r="H885" s="873"/>
      <c r="I885" s="873"/>
      <c r="J885" s="873"/>
      <c r="K885" s="873"/>
      <c r="L885" s="873"/>
      <c r="M885" s="873"/>
      <c r="N885" s="873"/>
      <c r="O885" s="873"/>
      <c r="P885" s="873"/>
      <c r="Q885" s="873"/>
      <c r="R885" s="873"/>
      <c r="S885" s="873"/>
      <c r="T885" s="873"/>
      <c r="U885" s="873"/>
      <c r="V885" s="873"/>
      <c r="W885" s="873"/>
      <c r="X885" s="873"/>
      <c r="Y885" s="873"/>
      <c r="Z885" s="873"/>
      <c r="AA885" s="873"/>
      <c r="AB885" s="873"/>
      <c r="AC885" s="873"/>
      <c r="AD885" s="873"/>
      <c r="AE885" s="873"/>
      <c r="AF885" s="873"/>
      <c r="AG885" s="873"/>
      <c r="AH885" s="873"/>
      <c r="AI885" s="873"/>
      <c r="AJ885" s="873"/>
      <c r="AK885" s="873"/>
      <c r="AL885" s="873"/>
      <c r="AM885" s="873"/>
      <c r="AN885" s="873"/>
      <c r="AO885" s="873"/>
      <c r="AP885" s="873"/>
      <c r="AQ885" s="873"/>
      <c r="AR885" s="873"/>
      <c r="AS885" s="873"/>
    </row>
    <row r="886" spans="1:45" ht="12.75" x14ac:dyDescent="0.2">
      <c r="A886" s="873"/>
      <c r="B886" s="873"/>
      <c r="C886" s="873"/>
      <c r="D886" s="873"/>
      <c r="E886" s="873"/>
      <c r="F886" s="873"/>
      <c r="G886" s="873"/>
      <c r="H886" s="873"/>
      <c r="I886" s="873"/>
      <c r="J886" s="873"/>
      <c r="K886" s="873"/>
      <c r="L886" s="873"/>
      <c r="M886" s="873"/>
      <c r="N886" s="873"/>
      <c r="O886" s="873"/>
      <c r="P886" s="873"/>
      <c r="Q886" s="873"/>
      <c r="R886" s="873"/>
      <c r="S886" s="873"/>
      <c r="T886" s="873"/>
      <c r="U886" s="873"/>
      <c r="V886" s="873"/>
      <c r="W886" s="873"/>
      <c r="X886" s="873"/>
      <c r="Y886" s="873"/>
      <c r="Z886" s="873"/>
      <c r="AA886" s="873"/>
      <c r="AB886" s="873"/>
      <c r="AC886" s="873"/>
      <c r="AD886" s="873"/>
      <c r="AE886" s="873"/>
      <c r="AF886" s="873"/>
      <c r="AG886" s="873"/>
      <c r="AH886" s="873"/>
      <c r="AI886" s="873"/>
      <c r="AJ886" s="873"/>
      <c r="AK886" s="873"/>
      <c r="AL886" s="873"/>
      <c r="AM886" s="873"/>
      <c r="AN886" s="873"/>
      <c r="AO886" s="873"/>
      <c r="AP886" s="873"/>
      <c r="AQ886" s="873"/>
      <c r="AR886" s="873"/>
      <c r="AS886" s="873"/>
    </row>
    <row r="887" spans="1:45" ht="12.75" x14ac:dyDescent="0.2">
      <c r="A887" s="873"/>
      <c r="B887" s="873"/>
      <c r="C887" s="873"/>
      <c r="D887" s="873"/>
      <c r="E887" s="873"/>
      <c r="F887" s="873"/>
      <c r="G887" s="873"/>
      <c r="H887" s="873"/>
      <c r="I887" s="873"/>
      <c r="J887" s="873"/>
      <c r="K887" s="873"/>
      <c r="L887" s="873"/>
      <c r="M887" s="873"/>
      <c r="N887" s="873"/>
      <c r="O887" s="873"/>
      <c r="P887" s="873"/>
      <c r="Q887" s="873"/>
      <c r="R887" s="873"/>
      <c r="S887" s="873"/>
      <c r="T887" s="873"/>
      <c r="U887" s="873"/>
      <c r="V887" s="873"/>
      <c r="W887" s="873"/>
      <c r="X887" s="873"/>
      <c r="Y887" s="873"/>
      <c r="Z887" s="873"/>
      <c r="AA887" s="873"/>
      <c r="AB887" s="873"/>
      <c r="AC887" s="873"/>
      <c r="AD887" s="873"/>
      <c r="AE887" s="873"/>
      <c r="AF887" s="873"/>
      <c r="AG887" s="873"/>
      <c r="AH887" s="873"/>
      <c r="AI887" s="873"/>
      <c r="AJ887" s="873"/>
      <c r="AK887" s="873"/>
      <c r="AL887" s="873"/>
      <c r="AM887" s="873"/>
      <c r="AN887" s="873"/>
      <c r="AO887" s="873"/>
      <c r="AP887" s="873"/>
      <c r="AQ887" s="873"/>
      <c r="AR887" s="873"/>
      <c r="AS887" s="873"/>
    </row>
    <row r="888" spans="1:45" ht="12.75" x14ac:dyDescent="0.2">
      <c r="A888" s="873"/>
      <c r="B888" s="873"/>
      <c r="C888" s="873"/>
      <c r="D888" s="873"/>
      <c r="E888" s="873"/>
      <c r="F888" s="873"/>
      <c r="G888" s="873"/>
      <c r="H888" s="873"/>
      <c r="I888" s="873"/>
      <c r="J888" s="873"/>
      <c r="K888" s="873"/>
      <c r="L888" s="873"/>
      <c r="M888" s="873"/>
      <c r="N888" s="873"/>
      <c r="O888" s="873"/>
      <c r="P888" s="873"/>
      <c r="Q888" s="873"/>
      <c r="R888" s="873"/>
      <c r="S888" s="873"/>
      <c r="T888" s="873"/>
      <c r="U888" s="873"/>
      <c r="V888" s="873"/>
      <c r="W888" s="873"/>
      <c r="X888" s="873"/>
      <c r="Y888" s="873"/>
      <c r="Z888" s="873"/>
      <c r="AA888" s="873"/>
      <c r="AB888" s="873"/>
      <c r="AC888" s="873"/>
      <c r="AD888" s="873"/>
      <c r="AE888" s="873"/>
      <c r="AF888" s="873"/>
      <c r="AG888" s="873"/>
      <c r="AH888" s="873"/>
      <c r="AI888" s="873"/>
      <c r="AJ888" s="873"/>
      <c r="AK888" s="873"/>
      <c r="AL888" s="873"/>
      <c r="AM888" s="873"/>
      <c r="AN888" s="873"/>
      <c r="AO888" s="873"/>
      <c r="AP888" s="873"/>
      <c r="AQ888" s="873"/>
      <c r="AR888" s="873"/>
      <c r="AS888" s="873"/>
    </row>
    <row r="889" spans="1:45" ht="12.75" x14ac:dyDescent="0.2">
      <c r="A889" s="873"/>
      <c r="B889" s="873"/>
      <c r="C889" s="873"/>
      <c r="D889" s="873"/>
      <c r="E889" s="873"/>
      <c r="F889" s="873"/>
      <c r="G889" s="873"/>
      <c r="H889" s="873"/>
      <c r="I889" s="873"/>
      <c r="J889" s="873"/>
      <c r="K889" s="873"/>
      <c r="L889" s="873"/>
      <c r="M889" s="873"/>
      <c r="N889" s="873"/>
      <c r="O889" s="873"/>
      <c r="P889" s="873"/>
      <c r="Q889" s="873"/>
      <c r="R889" s="873"/>
      <c r="S889" s="873"/>
      <c r="T889" s="873"/>
      <c r="U889" s="873"/>
      <c r="V889" s="873"/>
      <c r="W889" s="873"/>
      <c r="X889" s="873"/>
      <c r="Y889" s="873"/>
      <c r="Z889" s="873"/>
      <c r="AA889" s="873"/>
      <c r="AB889" s="873"/>
      <c r="AC889" s="873"/>
      <c r="AD889" s="873"/>
      <c r="AE889" s="873"/>
      <c r="AF889" s="873"/>
      <c r="AG889" s="873"/>
      <c r="AH889" s="873"/>
      <c r="AI889" s="873"/>
      <c r="AJ889" s="873"/>
      <c r="AK889" s="873"/>
      <c r="AL889" s="873"/>
      <c r="AM889" s="873"/>
      <c r="AN889" s="873"/>
      <c r="AO889" s="873"/>
      <c r="AP889" s="873"/>
      <c r="AQ889" s="873"/>
      <c r="AR889" s="873"/>
      <c r="AS889" s="873"/>
    </row>
    <row r="890" spans="1:45" ht="12.75" x14ac:dyDescent="0.2">
      <c r="A890" s="873"/>
      <c r="B890" s="873"/>
      <c r="C890" s="873"/>
      <c r="D890" s="873"/>
      <c r="E890" s="873"/>
      <c r="F890" s="873"/>
      <c r="G890" s="873"/>
      <c r="H890" s="873"/>
      <c r="I890" s="873"/>
      <c r="J890" s="873"/>
      <c r="K890" s="873"/>
      <c r="L890" s="873"/>
      <c r="M890" s="873"/>
      <c r="N890" s="873"/>
      <c r="O890" s="873"/>
      <c r="P890" s="873"/>
      <c r="Q890" s="873"/>
      <c r="R890" s="873"/>
      <c r="S890" s="873"/>
      <c r="T890" s="873"/>
      <c r="U890" s="873"/>
      <c r="V890" s="873"/>
      <c r="W890" s="873"/>
      <c r="X890" s="873"/>
      <c r="Y890" s="873"/>
      <c r="Z890" s="873"/>
      <c r="AA890" s="873"/>
      <c r="AB890" s="873"/>
      <c r="AC890" s="873"/>
      <c r="AD890" s="873"/>
      <c r="AE890" s="873"/>
      <c r="AF890" s="873"/>
      <c r="AG890" s="873"/>
      <c r="AH890" s="873"/>
      <c r="AI890" s="873"/>
      <c r="AJ890" s="873"/>
      <c r="AK890" s="873"/>
      <c r="AL890" s="873"/>
      <c r="AM890" s="873"/>
      <c r="AN890" s="873"/>
      <c r="AO890" s="873"/>
      <c r="AP890" s="873"/>
      <c r="AQ890" s="873"/>
      <c r="AR890" s="873"/>
      <c r="AS890" s="873"/>
    </row>
    <row r="891" spans="1:45" ht="12.75" x14ac:dyDescent="0.2">
      <c r="A891" s="873"/>
      <c r="B891" s="873"/>
      <c r="C891" s="873"/>
      <c r="D891" s="873"/>
      <c r="E891" s="873"/>
      <c r="F891" s="873"/>
      <c r="G891" s="873"/>
      <c r="H891" s="873"/>
      <c r="I891" s="873"/>
      <c r="J891" s="873"/>
      <c r="K891" s="873"/>
      <c r="L891" s="873"/>
      <c r="M891" s="873"/>
      <c r="N891" s="873"/>
      <c r="O891" s="873"/>
      <c r="P891" s="873"/>
      <c r="Q891" s="873"/>
      <c r="R891" s="873"/>
      <c r="S891" s="873"/>
      <c r="T891" s="873"/>
      <c r="U891" s="873"/>
      <c r="V891" s="873"/>
      <c r="W891" s="873"/>
      <c r="X891" s="873"/>
      <c r="Y891" s="873"/>
      <c r="Z891" s="873"/>
      <c r="AA891" s="873"/>
      <c r="AB891" s="873"/>
      <c r="AC891" s="873"/>
      <c r="AD891" s="873"/>
      <c r="AE891" s="873"/>
      <c r="AF891" s="873"/>
      <c r="AG891" s="873"/>
      <c r="AH891" s="873"/>
      <c r="AI891" s="873"/>
      <c r="AJ891" s="873"/>
      <c r="AK891" s="873"/>
      <c r="AL891" s="873"/>
      <c r="AM891" s="873"/>
      <c r="AN891" s="873"/>
      <c r="AO891" s="873"/>
      <c r="AP891" s="873"/>
      <c r="AQ891" s="873"/>
      <c r="AR891" s="873"/>
      <c r="AS891" s="873"/>
    </row>
    <row r="892" spans="1:45" ht="12.75" x14ac:dyDescent="0.2">
      <c r="A892" s="873"/>
      <c r="B892" s="873"/>
      <c r="C892" s="873"/>
      <c r="D892" s="873"/>
      <c r="E892" s="873"/>
      <c r="F892" s="873"/>
      <c r="G892" s="873"/>
      <c r="H892" s="873"/>
      <c r="I892" s="873"/>
      <c r="J892" s="873"/>
      <c r="K892" s="873"/>
      <c r="L892" s="873"/>
      <c r="M892" s="873"/>
      <c r="N892" s="873"/>
      <c r="O892" s="873"/>
      <c r="P892" s="873"/>
      <c r="Q892" s="873"/>
      <c r="R892" s="873"/>
      <c r="S892" s="873"/>
      <c r="T892" s="873"/>
      <c r="U892" s="873"/>
      <c r="V892" s="873"/>
      <c r="W892" s="873"/>
      <c r="X892" s="873"/>
      <c r="Y892" s="873"/>
      <c r="Z892" s="873"/>
      <c r="AA892" s="873"/>
      <c r="AB892" s="873"/>
      <c r="AC892" s="873"/>
      <c r="AD892" s="873"/>
      <c r="AE892" s="873"/>
      <c r="AF892" s="873"/>
      <c r="AG892" s="873"/>
      <c r="AH892" s="873"/>
      <c r="AI892" s="873"/>
      <c r="AJ892" s="873"/>
      <c r="AK892" s="873"/>
      <c r="AL892" s="873"/>
      <c r="AM892" s="873"/>
      <c r="AN892" s="873"/>
      <c r="AO892" s="873"/>
      <c r="AP892" s="873"/>
      <c r="AQ892" s="873"/>
      <c r="AR892" s="873"/>
      <c r="AS892" s="873"/>
    </row>
    <row r="893" spans="1:45" ht="12.75" x14ac:dyDescent="0.2">
      <c r="A893" s="873"/>
      <c r="B893" s="873"/>
      <c r="C893" s="873"/>
      <c r="D893" s="873"/>
      <c r="E893" s="873"/>
      <c r="F893" s="873"/>
      <c r="G893" s="873"/>
      <c r="H893" s="873"/>
      <c r="I893" s="873"/>
      <c r="J893" s="873"/>
      <c r="K893" s="873"/>
      <c r="L893" s="873"/>
      <c r="M893" s="873"/>
      <c r="N893" s="873"/>
      <c r="O893" s="873"/>
      <c r="P893" s="873"/>
      <c r="Q893" s="873"/>
      <c r="R893" s="873"/>
      <c r="S893" s="873"/>
      <c r="T893" s="873"/>
      <c r="U893" s="873"/>
      <c r="V893" s="873"/>
      <c r="W893" s="873"/>
      <c r="X893" s="873"/>
      <c r="Y893" s="873"/>
      <c r="Z893" s="873"/>
      <c r="AA893" s="873"/>
      <c r="AB893" s="873"/>
      <c r="AC893" s="873"/>
      <c r="AD893" s="873"/>
      <c r="AE893" s="873"/>
      <c r="AF893" s="873"/>
      <c r="AG893" s="873"/>
      <c r="AH893" s="873"/>
      <c r="AI893" s="873"/>
      <c r="AJ893" s="873"/>
      <c r="AK893" s="873"/>
      <c r="AL893" s="873"/>
      <c r="AM893" s="873"/>
      <c r="AN893" s="873"/>
      <c r="AO893" s="873"/>
      <c r="AP893" s="873"/>
      <c r="AQ893" s="873"/>
      <c r="AR893" s="873"/>
      <c r="AS893" s="873"/>
    </row>
    <row r="894" spans="1:45" ht="12.75" x14ac:dyDescent="0.2">
      <c r="A894" s="873"/>
      <c r="B894" s="873"/>
      <c r="C894" s="873"/>
      <c r="D894" s="873"/>
      <c r="E894" s="873"/>
      <c r="F894" s="873"/>
      <c r="G894" s="873"/>
      <c r="H894" s="873"/>
      <c r="I894" s="873"/>
      <c r="J894" s="873"/>
      <c r="K894" s="873"/>
      <c r="L894" s="873"/>
      <c r="M894" s="873"/>
      <c r="N894" s="873"/>
      <c r="O894" s="873"/>
      <c r="P894" s="873"/>
      <c r="Q894" s="873"/>
      <c r="R894" s="873"/>
      <c r="S894" s="873"/>
      <c r="T894" s="873"/>
      <c r="U894" s="873"/>
      <c r="V894" s="873"/>
      <c r="W894" s="873"/>
      <c r="X894" s="873"/>
      <c r="Y894" s="873"/>
      <c r="Z894" s="873"/>
      <c r="AA894" s="873"/>
      <c r="AB894" s="873"/>
      <c r="AC894" s="873"/>
      <c r="AD894" s="873"/>
      <c r="AE894" s="873"/>
      <c r="AF894" s="873"/>
      <c r="AG894" s="873"/>
      <c r="AH894" s="873"/>
      <c r="AI894" s="873"/>
      <c r="AJ894" s="873"/>
      <c r="AK894" s="873"/>
      <c r="AL894" s="873"/>
      <c r="AM894" s="873"/>
      <c r="AN894" s="873"/>
      <c r="AO894" s="873"/>
      <c r="AP894" s="873"/>
      <c r="AQ894" s="873"/>
      <c r="AR894" s="873"/>
      <c r="AS894" s="873"/>
    </row>
    <row r="895" spans="1:45" ht="12.75" x14ac:dyDescent="0.2">
      <c r="A895" s="873"/>
      <c r="B895" s="873"/>
      <c r="C895" s="873"/>
      <c r="D895" s="873"/>
      <c r="E895" s="873"/>
      <c r="F895" s="873"/>
      <c r="G895" s="873"/>
      <c r="H895" s="873"/>
      <c r="I895" s="873"/>
      <c r="J895" s="873"/>
      <c r="K895" s="873"/>
      <c r="L895" s="873"/>
      <c r="M895" s="873"/>
      <c r="N895" s="873"/>
      <c r="O895" s="873"/>
      <c r="P895" s="873"/>
      <c r="Q895" s="873"/>
      <c r="R895" s="873"/>
      <c r="S895" s="873"/>
      <c r="T895" s="873"/>
      <c r="U895" s="873"/>
      <c r="V895" s="873"/>
      <c r="W895" s="873"/>
      <c r="X895" s="873"/>
      <c r="Y895" s="873"/>
      <c r="Z895" s="873"/>
      <c r="AA895" s="873"/>
      <c r="AB895" s="873"/>
      <c r="AC895" s="873"/>
      <c r="AD895" s="873"/>
      <c r="AE895" s="873"/>
      <c r="AF895" s="873"/>
      <c r="AG895" s="873"/>
      <c r="AH895" s="873"/>
      <c r="AI895" s="873"/>
      <c r="AJ895" s="873"/>
      <c r="AK895" s="873"/>
      <c r="AL895" s="873"/>
      <c r="AM895" s="873"/>
      <c r="AN895" s="873"/>
      <c r="AO895" s="873"/>
      <c r="AP895" s="873"/>
      <c r="AQ895" s="873"/>
      <c r="AR895" s="873"/>
      <c r="AS895" s="873"/>
    </row>
    <row r="896" spans="1:45" ht="12.75" x14ac:dyDescent="0.2">
      <c r="A896" s="873"/>
      <c r="B896" s="873"/>
      <c r="C896" s="873"/>
      <c r="D896" s="873"/>
      <c r="E896" s="873"/>
      <c r="F896" s="873"/>
      <c r="G896" s="873"/>
      <c r="H896" s="873"/>
      <c r="I896" s="873"/>
      <c r="J896" s="873"/>
      <c r="K896" s="873"/>
      <c r="L896" s="873"/>
      <c r="M896" s="873"/>
      <c r="N896" s="873"/>
      <c r="O896" s="873"/>
      <c r="P896" s="873"/>
      <c r="Q896" s="873"/>
      <c r="R896" s="873"/>
      <c r="S896" s="873"/>
      <c r="T896" s="873"/>
      <c r="U896" s="873"/>
      <c r="V896" s="873"/>
      <c r="W896" s="873"/>
      <c r="X896" s="873"/>
      <c r="Y896" s="873"/>
      <c r="Z896" s="873"/>
      <c r="AA896" s="873"/>
      <c r="AB896" s="873"/>
      <c r="AC896" s="873"/>
      <c r="AD896" s="873"/>
      <c r="AE896" s="873"/>
      <c r="AF896" s="873"/>
      <c r="AG896" s="873"/>
      <c r="AH896" s="873"/>
      <c r="AI896" s="873"/>
      <c r="AJ896" s="873"/>
      <c r="AK896" s="873"/>
      <c r="AL896" s="873"/>
      <c r="AM896" s="873"/>
      <c r="AN896" s="873"/>
      <c r="AO896" s="873"/>
      <c r="AP896" s="873"/>
      <c r="AQ896" s="873"/>
      <c r="AR896" s="873"/>
      <c r="AS896" s="873"/>
    </row>
    <row r="897" spans="1:45" ht="12.75" x14ac:dyDescent="0.2">
      <c r="A897" s="873"/>
      <c r="B897" s="873"/>
      <c r="C897" s="873"/>
      <c r="D897" s="873"/>
      <c r="E897" s="873"/>
      <c r="F897" s="873"/>
      <c r="G897" s="873"/>
      <c r="H897" s="873"/>
      <c r="I897" s="873"/>
      <c r="J897" s="873"/>
      <c r="K897" s="873"/>
      <c r="L897" s="873"/>
      <c r="M897" s="873"/>
      <c r="N897" s="873"/>
      <c r="O897" s="873"/>
      <c r="P897" s="873"/>
      <c r="Q897" s="873"/>
      <c r="R897" s="873"/>
      <c r="S897" s="873"/>
      <c r="T897" s="873"/>
      <c r="U897" s="873"/>
      <c r="V897" s="873"/>
      <c r="W897" s="873"/>
      <c r="X897" s="873"/>
      <c r="Y897" s="873"/>
      <c r="Z897" s="873"/>
      <c r="AA897" s="873"/>
      <c r="AB897" s="873"/>
      <c r="AC897" s="873"/>
      <c r="AD897" s="873"/>
      <c r="AE897" s="873"/>
      <c r="AF897" s="873"/>
      <c r="AG897" s="873"/>
      <c r="AH897" s="873"/>
      <c r="AI897" s="873"/>
      <c r="AJ897" s="873"/>
      <c r="AK897" s="873"/>
      <c r="AL897" s="873"/>
      <c r="AM897" s="873"/>
      <c r="AN897" s="873"/>
      <c r="AO897" s="873"/>
      <c r="AP897" s="873"/>
      <c r="AQ897" s="873"/>
      <c r="AR897" s="873"/>
      <c r="AS897" s="873"/>
    </row>
    <row r="898" spans="1:45" ht="12.75" x14ac:dyDescent="0.2">
      <c r="A898" s="873"/>
      <c r="B898" s="873"/>
      <c r="C898" s="873"/>
      <c r="D898" s="873"/>
      <c r="E898" s="873"/>
      <c r="F898" s="873"/>
      <c r="G898" s="873"/>
      <c r="H898" s="873"/>
      <c r="I898" s="873"/>
      <c r="J898" s="873"/>
      <c r="K898" s="873"/>
      <c r="L898" s="873"/>
      <c r="M898" s="873"/>
      <c r="N898" s="873"/>
      <c r="O898" s="873"/>
      <c r="P898" s="873"/>
      <c r="Q898" s="873"/>
      <c r="R898" s="873"/>
      <c r="S898" s="873"/>
      <c r="T898" s="873"/>
      <c r="U898" s="873"/>
      <c r="V898" s="873"/>
      <c r="W898" s="873"/>
      <c r="X898" s="873"/>
      <c r="Y898" s="873"/>
      <c r="Z898" s="873"/>
      <c r="AA898" s="873"/>
      <c r="AB898" s="873"/>
      <c r="AC898" s="873"/>
      <c r="AD898" s="873"/>
      <c r="AE898" s="873"/>
      <c r="AF898" s="873"/>
      <c r="AG898" s="873"/>
      <c r="AH898" s="873"/>
      <c r="AI898" s="873"/>
      <c r="AJ898" s="873"/>
      <c r="AK898" s="873"/>
      <c r="AL898" s="873"/>
      <c r="AM898" s="873"/>
      <c r="AN898" s="873"/>
      <c r="AO898" s="873"/>
      <c r="AP898" s="873"/>
      <c r="AQ898" s="873"/>
      <c r="AR898" s="873"/>
      <c r="AS898" s="873"/>
    </row>
    <row r="899" spans="1:45" ht="12.75" x14ac:dyDescent="0.2">
      <c r="A899" s="873"/>
      <c r="B899" s="873"/>
      <c r="C899" s="873"/>
      <c r="D899" s="873"/>
      <c r="E899" s="873"/>
      <c r="F899" s="873"/>
      <c r="G899" s="873"/>
      <c r="H899" s="873"/>
      <c r="I899" s="873"/>
      <c r="J899" s="873"/>
      <c r="K899" s="873"/>
      <c r="L899" s="873"/>
      <c r="M899" s="873"/>
      <c r="N899" s="873"/>
      <c r="O899" s="873"/>
      <c r="P899" s="873"/>
      <c r="Q899" s="873"/>
      <c r="R899" s="873"/>
      <c r="S899" s="873"/>
      <c r="T899" s="873"/>
      <c r="U899" s="873"/>
      <c r="V899" s="873"/>
      <c r="W899" s="873"/>
      <c r="X899" s="873"/>
      <c r="Y899" s="873"/>
      <c r="Z899" s="873"/>
      <c r="AA899" s="873"/>
      <c r="AB899" s="873"/>
      <c r="AC899" s="873"/>
      <c r="AD899" s="873"/>
      <c r="AE899" s="873"/>
      <c r="AF899" s="873"/>
      <c r="AG899" s="873"/>
      <c r="AH899" s="873"/>
      <c r="AI899" s="873"/>
      <c r="AJ899" s="873"/>
      <c r="AK899" s="873"/>
      <c r="AL899" s="873"/>
      <c r="AM899" s="873"/>
      <c r="AN899" s="873"/>
      <c r="AO899" s="873"/>
      <c r="AP899" s="873"/>
      <c r="AQ899" s="873"/>
      <c r="AR899" s="873"/>
      <c r="AS899" s="873"/>
    </row>
    <row r="900" spans="1:45" ht="12.75" x14ac:dyDescent="0.2">
      <c r="A900" s="873"/>
      <c r="B900" s="873"/>
      <c r="C900" s="873"/>
      <c r="D900" s="873"/>
      <c r="E900" s="873"/>
      <c r="F900" s="873"/>
      <c r="G900" s="873"/>
      <c r="H900" s="873"/>
      <c r="I900" s="873"/>
      <c r="J900" s="873"/>
      <c r="K900" s="873"/>
      <c r="L900" s="873"/>
      <c r="M900" s="873"/>
      <c r="N900" s="873"/>
      <c r="O900" s="873"/>
      <c r="P900" s="873"/>
      <c r="Q900" s="873"/>
      <c r="R900" s="873"/>
      <c r="S900" s="873"/>
      <c r="T900" s="873"/>
      <c r="U900" s="873"/>
      <c r="V900" s="873"/>
      <c r="W900" s="873"/>
      <c r="X900" s="873"/>
      <c r="Y900" s="873"/>
      <c r="Z900" s="873"/>
      <c r="AA900" s="873"/>
      <c r="AB900" s="873"/>
      <c r="AC900" s="873"/>
      <c r="AD900" s="873"/>
      <c r="AE900" s="873"/>
      <c r="AF900" s="873"/>
      <c r="AG900" s="873"/>
      <c r="AH900" s="873"/>
      <c r="AI900" s="873"/>
      <c r="AJ900" s="873"/>
      <c r="AK900" s="873"/>
      <c r="AL900" s="873"/>
      <c r="AM900" s="873"/>
      <c r="AN900" s="873"/>
      <c r="AO900" s="873"/>
      <c r="AP900" s="873"/>
      <c r="AQ900" s="873"/>
      <c r="AR900" s="873"/>
      <c r="AS900" s="873"/>
    </row>
    <row r="901" spans="1:45" ht="12.75" x14ac:dyDescent="0.2">
      <c r="A901" s="873"/>
      <c r="B901" s="873"/>
      <c r="C901" s="873"/>
      <c r="D901" s="873"/>
      <c r="E901" s="873"/>
      <c r="F901" s="873"/>
      <c r="G901" s="873"/>
      <c r="H901" s="873"/>
      <c r="I901" s="873"/>
      <c r="J901" s="873"/>
      <c r="K901" s="873"/>
      <c r="L901" s="873"/>
      <c r="M901" s="873"/>
      <c r="N901" s="873"/>
      <c r="O901" s="873"/>
      <c r="P901" s="873"/>
      <c r="Q901" s="873"/>
      <c r="R901" s="873"/>
      <c r="S901" s="873"/>
      <c r="T901" s="873"/>
      <c r="U901" s="873"/>
      <c r="V901" s="873"/>
      <c r="W901" s="873"/>
      <c r="X901" s="873"/>
      <c r="Y901" s="873"/>
      <c r="Z901" s="873"/>
      <c r="AA901" s="873"/>
      <c r="AB901" s="873"/>
      <c r="AC901" s="873"/>
      <c r="AD901" s="873"/>
      <c r="AE901" s="873"/>
      <c r="AF901" s="873"/>
      <c r="AG901" s="873"/>
      <c r="AH901" s="873"/>
      <c r="AI901" s="873"/>
      <c r="AJ901" s="873"/>
      <c r="AK901" s="873"/>
      <c r="AL901" s="873"/>
      <c r="AM901" s="873"/>
      <c r="AN901" s="873"/>
      <c r="AO901" s="873"/>
      <c r="AP901" s="873"/>
      <c r="AQ901" s="873"/>
      <c r="AR901" s="873"/>
      <c r="AS901" s="873"/>
    </row>
    <row r="902" spans="1:45" ht="12.75" x14ac:dyDescent="0.2">
      <c r="A902" s="873"/>
      <c r="B902" s="873"/>
      <c r="C902" s="873"/>
      <c r="D902" s="873"/>
      <c r="E902" s="873"/>
      <c r="F902" s="873"/>
      <c r="G902" s="873"/>
      <c r="H902" s="873"/>
      <c r="I902" s="873"/>
      <c r="J902" s="873"/>
      <c r="K902" s="873"/>
      <c r="L902" s="873"/>
      <c r="M902" s="873"/>
      <c r="N902" s="873"/>
      <c r="O902" s="873"/>
      <c r="P902" s="873"/>
      <c r="Q902" s="873"/>
      <c r="R902" s="873"/>
      <c r="S902" s="873"/>
      <c r="T902" s="873"/>
      <c r="U902" s="873"/>
      <c r="V902" s="873"/>
      <c r="W902" s="873"/>
      <c r="X902" s="873"/>
      <c r="Y902" s="873"/>
      <c r="Z902" s="873"/>
      <c r="AA902" s="873"/>
      <c r="AB902" s="873"/>
      <c r="AC902" s="873"/>
      <c r="AD902" s="873"/>
      <c r="AE902" s="873"/>
      <c r="AF902" s="873"/>
      <c r="AG902" s="873"/>
      <c r="AH902" s="873"/>
      <c r="AI902" s="873"/>
      <c r="AJ902" s="873"/>
      <c r="AK902" s="873"/>
      <c r="AL902" s="873"/>
      <c r="AM902" s="873"/>
      <c r="AN902" s="873"/>
      <c r="AO902" s="873"/>
      <c r="AP902" s="873"/>
      <c r="AQ902" s="873"/>
      <c r="AR902" s="873"/>
      <c r="AS902" s="873"/>
    </row>
    <row r="903" spans="1:45" ht="12.75" x14ac:dyDescent="0.2">
      <c r="A903" s="873"/>
      <c r="B903" s="873"/>
      <c r="C903" s="873"/>
      <c r="D903" s="873"/>
      <c r="E903" s="873"/>
      <c r="F903" s="873"/>
      <c r="G903" s="873"/>
      <c r="H903" s="873"/>
      <c r="I903" s="873"/>
      <c r="J903" s="873"/>
      <c r="K903" s="873"/>
      <c r="L903" s="873"/>
      <c r="M903" s="873"/>
      <c r="N903" s="873"/>
      <c r="O903" s="873"/>
      <c r="P903" s="873"/>
      <c r="Q903" s="873"/>
      <c r="R903" s="873"/>
      <c r="S903" s="873"/>
      <c r="T903" s="873"/>
      <c r="U903" s="873"/>
      <c r="V903" s="873"/>
      <c r="W903" s="873"/>
      <c r="X903" s="873"/>
      <c r="Y903" s="873"/>
      <c r="Z903" s="873"/>
      <c r="AA903" s="873"/>
      <c r="AB903" s="873"/>
      <c r="AC903" s="873"/>
      <c r="AD903" s="873"/>
      <c r="AE903" s="873"/>
      <c r="AF903" s="873"/>
      <c r="AG903" s="873"/>
      <c r="AH903" s="873"/>
      <c r="AI903" s="873"/>
      <c r="AJ903" s="873"/>
      <c r="AK903" s="873"/>
      <c r="AL903" s="873"/>
      <c r="AM903" s="873"/>
      <c r="AN903" s="873"/>
      <c r="AO903" s="873"/>
      <c r="AP903" s="873"/>
      <c r="AQ903" s="873"/>
      <c r="AR903" s="873"/>
      <c r="AS903" s="873"/>
    </row>
    <row r="904" spans="1:45" ht="12.75" x14ac:dyDescent="0.2">
      <c r="A904" s="873"/>
      <c r="B904" s="873"/>
      <c r="C904" s="873"/>
      <c r="D904" s="873"/>
      <c r="E904" s="873"/>
      <c r="F904" s="873"/>
      <c r="G904" s="873"/>
      <c r="H904" s="873"/>
      <c r="I904" s="873"/>
      <c r="J904" s="873"/>
      <c r="K904" s="873"/>
      <c r="L904" s="873"/>
      <c r="M904" s="873"/>
      <c r="N904" s="873"/>
      <c r="O904" s="873"/>
      <c r="P904" s="873"/>
      <c r="Q904" s="873"/>
      <c r="R904" s="873"/>
      <c r="S904" s="873"/>
      <c r="T904" s="873"/>
      <c r="U904" s="873"/>
      <c r="V904" s="873"/>
      <c r="W904" s="873"/>
      <c r="X904" s="873"/>
      <c r="Y904" s="873"/>
      <c r="Z904" s="873"/>
      <c r="AA904" s="873"/>
      <c r="AB904" s="873"/>
      <c r="AC904" s="873"/>
      <c r="AD904" s="873"/>
      <c r="AE904" s="873"/>
      <c r="AF904" s="873"/>
      <c r="AG904" s="873"/>
      <c r="AH904" s="873"/>
      <c r="AI904" s="873"/>
      <c r="AJ904" s="873"/>
      <c r="AK904" s="873"/>
      <c r="AL904" s="873"/>
      <c r="AM904" s="873"/>
      <c r="AN904" s="873"/>
      <c r="AO904" s="873"/>
      <c r="AP904" s="873"/>
      <c r="AQ904" s="873"/>
      <c r="AR904" s="873"/>
      <c r="AS904" s="873"/>
    </row>
    <row r="905" spans="1:45" ht="12.75" x14ac:dyDescent="0.2">
      <c r="A905" s="873"/>
      <c r="B905" s="873"/>
      <c r="C905" s="873"/>
      <c r="D905" s="873"/>
      <c r="E905" s="873"/>
      <c r="F905" s="873"/>
      <c r="G905" s="873"/>
      <c r="H905" s="873"/>
      <c r="I905" s="873"/>
      <c r="J905" s="873"/>
      <c r="K905" s="873"/>
      <c r="L905" s="873"/>
      <c r="M905" s="873"/>
      <c r="N905" s="873"/>
      <c r="O905" s="873"/>
      <c r="P905" s="873"/>
      <c r="Q905" s="873"/>
      <c r="R905" s="873"/>
      <c r="S905" s="873"/>
      <c r="T905" s="873"/>
      <c r="U905" s="873"/>
      <c r="V905" s="873"/>
      <c r="W905" s="873"/>
      <c r="X905" s="873"/>
      <c r="Y905" s="873"/>
      <c r="Z905" s="873"/>
      <c r="AA905" s="873"/>
      <c r="AB905" s="873"/>
      <c r="AC905" s="873"/>
      <c r="AD905" s="873"/>
      <c r="AE905" s="873"/>
      <c r="AF905" s="873"/>
      <c r="AG905" s="873"/>
      <c r="AH905" s="873"/>
      <c r="AI905" s="873"/>
      <c r="AJ905" s="873"/>
      <c r="AK905" s="873"/>
      <c r="AL905" s="873"/>
      <c r="AM905" s="873"/>
      <c r="AN905" s="873"/>
      <c r="AO905" s="873"/>
      <c r="AP905" s="873"/>
      <c r="AQ905" s="873"/>
      <c r="AR905" s="873"/>
      <c r="AS905" s="873"/>
    </row>
    <row r="906" spans="1:45" ht="12.75" x14ac:dyDescent="0.2">
      <c r="A906" s="873"/>
      <c r="B906" s="873"/>
      <c r="C906" s="873"/>
      <c r="D906" s="873"/>
      <c r="E906" s="873"/>
      <c r="F906" s="873"/>
      <c r="G906" s="873"/>
      <c r="H906" s="873"/>
      <c r="I906" s="873"/>
      <c r="J906" s="873"/>
      <c r="K906" s="873"/>
      <c r="L906" s="873"/>
      <c r="M906" s="873"/>
      <c r="N906" s="873"/>
      <c r="O906" s="873"/>
      <c r="P906" s="873"/>
      <c r="Q906" s="873"/>
      <c r="R906" s="873"/>
      <c r="S906" s="873"/>
      <c r="T906" s="873"/>
      <c r="U906" s="873"/>
      <c r="V906" s="873"/>
      <c r="W906" s="873"/>
      <c r="X906" s="873"/>
      <c r="Y906" s="873"/>
      <c r="Z906" s="873"/>
      <c r="AA906" s="873"/>
      <c r="AB906" s="873"/>
      <c r="AC906" s="873"/>
      <c r="AD906" s="873"/>
      <c r="AE906" s="873"/>
      <c r="AF906" s="873"/>
      <c r="AG906" s="873"/>
      <c r="AH906" s="873"/>
      <c r="AI906" s="873"/>
      <c r="AJ906" s="873"/>
      <c r="AK906" s="873"/>
      <c r="AL906" s="873"/>
      <c r="AM906" s="873"/>
      <c r="AN906" s="873"/>
      <c r="AO906" s="873"/>
      <c r="AP906" s="873"/>
      <c r="AQ906" s="873"/>
      <c r="AR906" s="873"/>
      <c r="AS906" s="873"/>
    </row>
    <row r="907" spans="1:45" ht="12.75" x14ac:dyDescent="0.2">
      <c r="A907" s="873"/>
      <c r="B907" s="873"/>
      <c r="C907" s="873"/>
      <c r="D907" s="873"/>
      <c r="E907" s="873"/>
      <c r="F907" s="873"/>
      <c r="G907" s="873"/>
      <c r="H907" s="873"/>
      <c r="I907" s="873"/>
      <c r="J907" s="873"/>
      <c r="K907" s="873"/>
      <c r="L907" s="873"/>
      <c r="M907" s="873"/>
      <c r="N907" s="873"/>
      <c r="O907" s="873"/>
      <c r="P907" s="873"/>
      <c r="Q907" s="873"/>
      <c r="R907" s="873"/>
      <c r="S907" s="873"/>
      <c r="T907" s="873"/>
      <c r="U907" s="873"/>
      <c r="V907" s="873"/>
      <c r="W907" s="873"/>
      <c r="X907" s="873"/>
      <c r="Y907" s="873"/>
      <c r="Z907" s="873"/>
      <c r="AA907" s="873"/>
      <c r="AB907" s="873"/>
      <c r="AC907" s="873"/>
      <c r="AD907" s="873"/>
      <c r="AE907" s="873"/>
      <c r="AF907" s="873"/>
      <c r="AG907" s="873"/>
      <c r="AH907" s="873"/>
      <c r="AI907" s="873"/>
      <c r="AJ907" s="873"/>
      <c r="AK907" s="873"/>
      <c r="AL907" s="873"/>
      <c r="AM907" s="873"/>
      <c r="AN907" s="873"/>
      <c r="AO907" s="873"/>
      <c r="AP907" s="873"/>
      <c r="AQ907" s="873"/>
      <c r="AR907" s="873"/>
      <c r="AS907" s="873"/>
    </row>
    <row r="908" spans="1:45" ht="12.75" x14ac:dyDescent="0.2">
      <c r="A908" s="873"/>
      <c r="B908" s="873"/>
      <c r="C908" s="873"/>
      <c r="D908" s="873"/>
      <c r="E908" s="873"/>
      <c r="F908" s="873"/>
      <c r="G908" s="873"/>
      <c r="H908" s="873"/>
      <c r="I908" s="873"/>
      <c r="J908" s="873"/>
      <c r="K908" s="873"/>
      <c r="L908" s="873"/>
      <c r="M908" s="873"/>
      <c r="N908" s="873"/>
      <c r="O908" s="873"/>
      <c r="P908" s="873"/>
      <c r="Q908" s="873"/>
      <c r="R908" s="873"/>
      <c r="S908" s="873"/>
      <c r="T908" s="873"/>
      <c r="U908" s="873"/>
      <c r="V908" s="873"/>
      <c r="W908" s="873"/>
      <c r="X908" s="873"/>
      <c r="Y908" s="873"/>
      <c r="Z908" s="873"/>
      <c r="AA908" s="873"/>
      <c r="AB908" s="873"/>
      <c r="AC908" s="873"/>
      <c r="AD908" s="873"/>
      <c r="AE908" s="873"/>
      <c r="AF908" s="873"/>
      <c r="AG908" s="873"/>
      <c r="AH908" s="873"/>
      <c r="AI908" s="873"/>
      <c r="AJ908" s="873"/>
      <c r="AK908" s="873"/>
      <c r="AL908" s="873"/>
      <c r="AM908" s="873"/>
      <c r="AN908" s="873"/>
      <c r="AO908" s="873"/>
      <c r="AP908" s="873"/>
      <c r="AQ908" s="873"/>
      <c r="AR908" s="873"/>
      <c r="AS908" s="873"/>
    </row>
    <row r="909" spans="1:45" ht="12.75" x14ac:dyDescent="0.2">
      <c r="A909" s="873"/>
      <c r="B909" s="873"/>
      <c r="C909" s="873"/>
      <c r="D909" s="873"/>
      <c r="E909" s="873"/>
      <c r="F909" s="873"/>
      <c r="G909" s="873"/>
      <c r="H909" s="873"/>
      <c r="I909" s="873"/>
      <c r="J909" s="873"/>
      <c r="K909" s="873"/>
      <c r="L909" s="873"/>
      <c r="M909" s="873"/>
      <c r="N909" s="873"/>
      <c r="O909" s="873"/>
      <c r="P909" s="873"/>
      <c r="Q909" s="873"/>
      <c r="R909" s="873"/>
      <c r="S909" s="873"/>
      <c r="T909" s="873"/>
      <c r="U909" s="873"/>
      <c r="V909" s="873"/>
      <c r="W909" s="873"/>
      <c r="X909" s="873"/>
      <c r="Y909" s="873"/>
      <c r="Z909" s="873"/>
      <c r="AA909" s="873"/>
      <c r="AB909" s="873"/>
      <c r="AC909" s="873"/>
      <c r="AD909" s="873"/>
      <c r="AE909" s="873"/>
      <c r="AF909" s="873"/>
      <c r="AG909" s="873"/>
      <c r="AH909" s="873"/>
      <c r="AI909" s="873"/>
      <c r="AJ909" s="873"/>
      <c r="AK909" s="873"/>
      <c r="AL909" s="873"/>
      <c r="AM909" s="873"/>
      <c r="AN909" s="873"/>
      <c r="AO909" s="873"/>
      <c r="AP909" s="873"/>
      <c r="AQ909" s="873"/>
      <c r="AR909" s="873"/>
      <c r="AS909" s="873"/>
    </row>
    <row r="910" spans="1:45" ht="12.75" x14ac:dyDescent="0.2">
      <c r="A910" s="873"/>
      <c r="B910" s="873"/>
      <c r="C910" s="873"/>
      <c r="D910" s="873"/>
      <c r="E910" s="873"/>
      <c r="F910" s="873"/>
      <c r="G910" s="873"/>
      <c r="H910" s="873"/>
      <c r="I910" s="873"/>
      <c r="J910" s="873"/>
      <c r="K910" s="873"/>
      <c r="L910" s="873"/>
      <c r="M910" s="873"/>
      <c r="N910" s="873"/>
      <c r="O910" s="873"/>
      <c r="P910" s="873"/>
      <c r="Q910" s="873"/>
      <c r="R910" s="873"/>
      <c r="S910" s="873"/>
      <c r="T910" s="873"/>
      <c r="U910" s="873"/>
      <c r="V910" s="873"/>
      <c r="W910" s="873"/>
      <c r="X910" s="873"/>
      <c r="Y910" s="873"/>
      <c r="Z910" s="873"/>
      <c r="AA910" s="873"/>
      <c r="AB910" s="873"/>
      <c r="AC910" s="873"/>
      <c r="AD910" s="873"/>
      <c r="AE910" s="873"/>
      <c r="AF910" s="873"/>
      <c r="AG910" s="873"/>
      <c r="AH910" s="873"/>
      <c r="AI910" s="873"/>
      <c r="AJ910" s="873"/>
      <c r="AK910" s="873"/>
      <c r="AL910" s="873"/>
      <c r="AM910" s="873"/>
      <c r="AN910" s="873"/>
      <c r="AO910" s="873"/>
      <c r="AP910" s="873"/>
      <c r="AQ910" s="873"/>
      <c r="AR910" s="873"/>
      <c r="AS910" s="873"/>
    </row>
    <row r="911" spans="1:45" ht="12.75" x14ac:dyDescent="0.2">
      <c r="A911" s="873"/>
      <c r="B911" s="873"/>
      <c r="C911" s="873"/>
      <c r="D911" s="873"/>
      <c r="E911" s="873"/>
      <c r="F911" s="873"/>
      <c r="G911" s="873"/>
      <c r="H911" s="873"/>
      <c r="I911" s="873"/>
      <c r="J911" s="873"/>
      <c r="K911" s="873"/>
      <c r="L911" s="873"/>
      <c r="M911" s="873"/>
      <c r="N911" s="873"/>
      <c r="O911" s="873"/>
      <c r="P911" s="873"/>
      <c r="Q911" s="873"/>
      <c r="R911" s="873"/>
      <c r="S911" s="873"/>
      <c r="T911" s="873"/>
      <c r="U911" s="873"/>
      <c r="V911" s="873"/>
      <c r="W911" s="873"/>
      <c r="X911" s="873"/>
      <c r="Y911" s="873"/>
      <c r="Z911" s="873"/>
      <c r="AA911" s="873"/>
      <c r="AB911" s="873"/>
      <c r="AC911" s="873"/>
      <c r="AD911" s="873"/>
      <c r="AE911" s="873"/>
      <c r="AF911" s="873"/>
      <c r="AG911" s="873"/>
      <c r="AH911" s="873"/>
      <c r="AI911" s="873"/>
      <c r="AJ911" s="873"/>
      <c r="AK911" s="873"/>
      <c r="AL911" s="873"/>
      <c r="AM911" s="873"/>
      <c r="AN911" s="873"/>
      <c r="AO911" s="873"/>
      <c r="AP911" s="873"/>
      <c r="AQ911" s="873"/>
      <c r="AR911" s="873"/>
      <c r="AS911" s="873"/>
    </row>
    <row r="912" spans="1:45" ht="12.75" x14ac:dyDescent="0.2">
      <c r="A912" s="873"/>
      <c r="B912" s="873"/>
      <c r="C912" s="873"/>
      <c r="D912" s="873"/>
      <c r="E912" s="873"/>
      <c r="F912" s="873"/>
      <c r="G912" s="873"/>
      <c r="H912" s="873"/>
      <c r="I912" s="873"/>
      <c r="J912" s="873"/>
      <c r="K912" s="873"/>
      <c r="L912" s="873"/>
      <c r="M912" s="873"/>
      <c r="N912" s="873"/>
      <c r="O912" s="873"/>
      <c r="P912" s="873"/>
      <c r="Q912" s="873"/>
      <c r="R912" s="873"/>
      <c r="S912" s="873"/>
      <c r="T912" s="873"/>
      <c r="U912" s="873"/>
      <c r="V912" s="873"/>
      <c r="W912" s="873"/>
      <c r="X912" s="873"/>
      <c r="Y912" s="873"/>
      <c r="Z912" s="873"/>
      <c r="AA912" s="873"/>
      <c r="AB912" s="873"/>
      <c r="AC912" s="873"/>
      <c r="AD912" s="873"/>
      <c r="AE912" s="873"/>
      <c r="AF912" s="873"/>
      <c r="AG912" s="873"/>
      <c r="AH912" s="873"/>
      <c r="AI912" s="873"/>
      <c r="AJ912" s="873"/>
      <c r="AK912" s="873"/>
      <c r="AL912" s="873"/>
      <c r="AM912" s="873"/>
      <c r="AN912" s="873"/>
      <c r="AO912" s="873"/>
      <c r="AP912" s="873"/>
      <c r="AQ912" s="873"/>
      <c r="AR912" s="873"/>
      <c r="AS912" s="873"/>
    </row>
    <row r="913" spans="1:45" ht="12.75" x14ac:dyDescent="0.2">
      <c r="A913" s="873"/>
      <c r="B913" s="873"/>
      <c r="C913" s="873"/>
      <c r="D913" s="873"/>
      <c r="E913" s="873"/>
      <c r="F913" s="873"/>
      <c r="G913" s="873"/>
      <c r="H913" s="873"/>
      <c r="I913" s="873"/>
      <c r="J913" s="873"/>
      <c r="K913" s="873"/>
      <c r="L913" s="873"/>
      <c r="M913" s="873"/>
      <c r="N913" s="873"/>
      <c r="O913" s="873"/>
      <c r="P913" s="873"/>
      <c r="Q913" s="873"/>
      <c r="R913" s="873"/>
      <c r="S913" s="873"/>
      <c r="T913" s="873"/>
      <c r="U913" s="873"/>
      <c r="V913" s="873"/>
      <c r="W913" s="873"/>
      <c r="X913" s="873"/>
      <c r="Y913" s="873"/>
      <c r="Z913" s="873"/>
      <c r="AA913" s="873"/>
      <c r="AB913" s="873"/>
      <c r="AC913" s="873"/>
      <c r="AD913" s="873"/>
      <c r="AE913" s="873"/>
      <c r="AF913" s="873"/>
      <c r="AG913" s="873"/>
      <c r="AH913" s="873"/>
      <c r="AI913" s="873"/>
      <c r="AJ913" s="873"/>
      <c r="AK913" s="873"/>
      <c r="AL913" s="873"/>
      <c r="AM913" s="873"/>
      <c r="AN913" s="873"/>
      <c r="AO913" s="873"/>
      <c r="AP913" s="873"/>
      <c r="AQ913" s="873"/>
      <c r="AR913" s="873"/>
      <c r="AS913" s="873"/>
    </row>
    <row r="914" spans="1:45" ht="12.75" x14ac:dyDescent="0.2">
      <c r="A914" s="873"/>
      <c r="B914" s="873"/>
      <c r="C914" s="873"/>
      <c r="D914" s="873"/>
      <c r="E914" s="873"/>
      <c r="F914" s="873"/>
      <c r="G914" s="873"/>
      <c r="H914" s="873"/>
      <c r="I914" s="873"/>
      <c r="J914" s="873"/>
      <c r="K914" s="873"/>
      <c r="L914" s="873"/>
      <c r="M914" s="873"/>
      <c r="N914" s="873"/>
      <c r="O914" s="873"/>
      <c r="P914" s="873"/>
      <c r="Q914" s="873"/>
      <c r="R914" s="873"/>
      <c r="S914" s="873"/>
      <c r="T914" s="873"/>
      <c r="U914" s="873"/>
      <c r="V914" s="873"/>
      <c r="W914" s="873"/>
      <c r="X914" s="873"/>
      <c r="Y914" s="873"/>
      <c r="Z914" s="873"/>
      <c r="AA914" s="873"/>
      <c r="AB914" s="873"/>
      <c r="AC914" s="873"/>
      <c r="AD914" s="873"/>
      <c r="AE914" s="873"/>
      <c r="AF914" s="873"/>
      <c r="AG914" s="873"/>
      <c r="AH914" s="873"/>
      <c r="AI914" s="873"/>
      <c r="AJ914" s="873"/>
      <c r="AK914" s="873"/>
      <c r="AL914" s="873"/>
      <c r="AM914" s="873"/>
      <c r="AN914" s="873"/>
      <c r="AO914" s="873"/>
      <c r="AP914" s="873"/>
      <c r="AQ914" s="873"/>
      <c r="AR914" s="873"/>
      <c r="AS914" s="873"/>
    </row>
    <row r="915" spans="1:45" ht="12.75" x14ac:dyDescent="0.2">
      <c r="A915" s="873"/>
      <c r="B915" s="873"/>
      <c r="C915" s="873"/>
      <c r="D915" s="873"/>
      <c r="E915" s="873"/>
      <c r="F915" s="873"/>
      <c r="G915" s="873"/>
      <c r="H915" s="873"/>
      <c r="I915" s="873"/>
      <c r="J915" s="873"/>
      <c r="K915" s="873"/>
      <c r="L915" s="873"/>
      <c r="M915" s="873"/>
      <c r="N915" s="873"/>
      <c r="O915" s="873"/>
      <c r="P915" s="873"/>
      <c r="Q915" s="873"/>
      <c r="R915" s="873"/>
      <c r="S915" s="873"/>
      <c r="T915" s="873"/>
      <c r="U915" s="873"/>
      <c r="V915" s="873"/>
      <c r="W915" s="873"/>
      <c r="X915" s="873"/>
      <c r="Y915" s="873"/>
      <c r="Z915" s="873"/>
      <c r="AA915" s="873"/>
      <c r="AB915" s="873"/>
      <c r="AC915" s="873"/>
      <c r="AD915" s="873"/>
      <c r="AE915" s="873"/>
      <c r="AF915" s="873"/>
      <c r="AG915" s="873"/>
      <c r="AH915" s="873"/>
      <c r="AI915" s="873"/>
      <c r="AJ915" s="873"/>
      <c r="AK915" s="873"/>
      <c r="AL915" s="873"/>
      <c r="AM915" s="873"/>
      <c r="AN915" s="873"/>
      <c r="AO915" s="873"/>
      <c r="AP915" s="873"/>
      <c r="AQ915" s="873"/>
      <c r="AR915" s="873"/>
      <c r="AS915" s="873"/>
    </row>
    <row r="916" spans="1:45" ht="12.75" x14ac:dyDescent="0.2">
      <c r="A916" s="873"/>
      <c r="B916" s="873"/>
      <c r="C916" s="873"/>
      <c r="D916" s="873"/>
      <c r="E916" s="873"/>
      <c r="F916" s="873"/>
      <c r="G916" s="873"/>
      <c r="H916" s="873"/>
      <c r="I916" s="873"/>
      <c r="J916" s="873"/>
      <c r="K916" s="873"/>
      <c r="L916" s="873"/>
      <c r="M916" s="873"/>
      <c r="N916" s="873"/>
      <c r="O916" s="873"/>
      <c r="P916" s="873"/>
      <c r="Q916" s="873"/>
      <c r="R916" s="873"/>
      <c r="S916" s="873"/>
      <c r="T916" s="873"/>
      <c r="U916" s="873"/>
      <c r="V916" s="873"/>
      <c r="W916" s="873"/>
      <c r="X916" s="873"/>
      <c r="Y916" s="873"/>
      <c r="Z916" s="873"/>
      <c r="AA916" s="873"/>
      <c r="AB916" s="873"/>
      <c r="AC916" s="873"/>
      <c r="AD916" s="873"/>
      <c r="AE916" s="873"/>
      <c r="AF916" s="873"/>
      <c r="AG916" s="873"/>
      <c r="AH916" s="873"/>
      <c r="AI916" s="873"/>
      <c r="AJ916" s="873"/>
      <c r="AK916" s="873"/>
      <c r="AL916" s="873"/>
      <c r="AM916" s="873"/>
      <c r="AN916" s="873"/>
      <c r="AO916" s="873"/>
      <c r="AP916" s="873"/>
      <c r="AQ916" s="873"/>
      <c r="AR916" s="873"/>
      <c r="AS916" s="873"/>
    </row>
    <row r="917" spans="1:45" ht="12.75" x14ac:dyDescent="0.2">
      <c r="A917" s="873"/>
      <c r="B917" s="873"/>
      <c r="C917" s="873"/>
      <c r="D917" s="873"/>
      <c r="E917" s="873"/>
      <c r="F917" s="873"/>
      <c r="G917" s="873"/>
      <c r="H917" s="873"/>
      <c r="I917" s="873"/>
      <c r="J917" s="873"/>
      <c r="K917" s="873"/>
      <c r="L917" s="873"/>
      <c r="M917" s="873"/>
      <c r="N917" s="873"/>
      <c r="O917" s="873"/>
      <c r="P917" s="873"/>
      <c r="Q917" s="873"/>
      <c r="R917" s="873"/>
      <c r="S917" s="873"/>
      <c r="T917" s="873"/>
      <c r="U917" s="873"/>
      <c r="V917" s="873"/>
      <c r="W917" s="873"/>
      <c r="X917" s="873"/>
      <c r="Y917" s="873"/>
      <c r="Z917" s="873"/>
      <c r="AA917" s="873"/>
      <c r="AB917" s="873"/>
      <c r="AC917" s="873"/>
      <c r="AD917" s="873"/>
      <c r="AE917" s="873"/>
      <c r="AF917" s="873"/>
      <c r="AG917" s="873"/>
      <c r="AH917" s="873"/>
      <c r="AI917" s="873"/>
      <c r="AJ917" s="873"/>
      <c r="AK917" s="873"/>
      <c r="AL917" s="873"/>
      <c r="AM917" s="873"/>
      <c r="AN917" s="873"/>
      <c r="AO917" s="873"/>
      <c r="AP917" s="873"/>
      <c r="AQ917" s="873"/>
      <c r="AR917" s="873"/>
      <c r="AS917" s="873"/>
    </row>
    <row r="918" spans="1:45" ht="12.75" x14ac:dyDescent="0.2">
      <c r="A918" s="873"/>
      <c r="B918" s="873"/>
      <c r="C918" s="873"/>
      <c r="D918" s="873"/>
      <c r="E918" s="873"/>
      <c r="F918" s="873"/>
      <c r="G918" s="873"/>
      <c r="H918" s="873"/>
      <c r="I918" s="873"/>
      <c r="J918" s="873"/>
      <c r="K918" s="873"/>
      <c r="L918" s="873"/>
      <c r="M918" s="873"/>
      <c r="N918" s="873"/>
      <c r="O918" s="873"/>
      <c r="P918" s="873"/>
      <c r="Q918" s="873"/>
      <c r="R918" s="873"/>
      <c r="S918" s="873"/>
      <c r="T918" s="873"/>
      <c r="U918" s="873"/>
      <c r="V918" s="873"/>
      <c r="W918" s="873"/>
      <c r="X918" s="873"/>
      <c r="Y918" s="873"/>
      <c r="Z918" s="873"/>
      <c r="AA918" s="873"/>
      <c r="AB918" s="873"/>
      <c r="AC918" s="873"/>
      <c r="AD918" s="873"/>
      <c r="AE918" s="873"/>
      <c r="AF918" s="873"/>
      <c r="AG918" s="873"/>
      <c r="AH918" s="873"/>
      <c r="AI918" s="873"/>
      <c r="AJ918" s="873"/>
      <c r="AK918" s="873"/>
      <c r="AL918" s="873"/>
      <c r="AM918" s="873"/>
      <c r="AN918" s="873"/>
      <c r="AO918" s="873"/>
      <c r="AP918" s="873"/>
      <c r="AQ918" s="873"/>
      <c r="AR918" s="873"/>
      <c r="AS918" s="873"/>
    </row>
    <row r="919" spans="1:45" ht="12.75" x14ac:dyDescent="0.2">
      <c r="A919" s="873"/>
      <c r="B919" s="873"/>
      <c r="C919" s="873"/>
      <c r="D919" s="873"/>
      <c r="E919" s="873"/>
      <c r="F919" s="873"/>
      <c r="G919" s="873"/>
      <c r="H919" s="873"/>
      <c r="I919" s="873"/>
      <c r="J919" s="873"/>
      <c r="K919" s="873"/>
      <c r="L919" s="873"/>
      <c r="M919" s="873"/>
      <c r="N919" s="873"/>
      <c r="O919" s="873"/>
      <c r="P919" s="873"/>
      <c r="Q919" s="873"/>
      <c r="R919" s="873"/>
      <c r="S919" s="873"/>
      <c r="T919" s="873"/>
      <c r="U919" s="873"/>
      <c r="V919" s="873"/>
      <c r="W919" s="873"/>
      <c r="X919" s="873"/>
      <c r="Y919" s="873"/>
      <c r="Z919" s="873"/>
      <c r="AA919" s="873"/>
      <c r="AB919" s="873"/>
      <c r="AC919" s="873"/>
      <c r="AD919" s="873"/>
      <c r="AE919" s="873"/>
      <c r="AF919" s="873"/>
      <c r="AG919" s="873"/>
      <c r="AH919" s="873"/>
      <c r="AI919" s="873"/>
      <c r="AJ919" s="873"/>
      <c r="AK919" s="873"/>
      <c r="AL919" s="873"/>
      <c r="AM919" s="873"/>
      <c r="AN919" s="873"/>
      <c r="AO919" s="873"/>
      <c r="AP919" s="873"/>
      <c r="AQ919" s="873"/>
      <c r="AR919" s="873"/>
      <c r="AS919" s="873"/>
    </row>
    <row r="920" spans="1:45" ht="12.75" x14ac:dyDescent="0.2">
      <c r="A920" s="873"/>
      <c r="B920" s="873"/>
      <c r="C920" s="873"/>
      <c r="D920" s="873"/>
      <c r="E920" s="873"/>
      <c r="F920" s="873"/>
      <c r="G920" s="873"/>
      <c r="H920" s="873"/>
      <c r="I920" s="873"/>
      <c r="J920" s="873"/>
      <c r="K920" s="873"/>
      <c r="L920" s="873"/>
      <c r="M920" s="873"/>
      <c r="N920" s="873"/>
      <c r="O920" s="873"/>
      <c r="P920" s="873"/>
      <c r="Q920" s="873"/>
      <c r="R920" s="873"/>
      <c r="S920" s="873"/>
      <c r="T920" s="873"/>
      <c r="U920" s="873"/>
      <c r="V920" s="873"/>
      <c r="W920" s="873"/>
      <c r="X920" s="873"/>
      <c r="Y920" s="873"/>
      <c r="Z920" s="873"/>
      <c r="AA920" s="873"/>
      <c r="AB920" s="873"/>
      <c r="AC920" s="873"/>
      <c r="AD920" s="873"/>
      <c r="AE920" s="873"/>
      <c r="AF920" s="873"/>
      <c r="AG920" s="873"/>
      <c r="AH920" s="873"/>
      <c r="AI920" s="873"/>
      <c r="AJ920" s="873"/>
      <c r="AK920" s="873"/>
      <c r="AL920" s="873"/>
      <c r="AM920" s="873"/>
      <c r="AN920" s="873"/>
      <c r="AO920" s="873"/>
      <c r="AP920" s="873"/>
      <c r="AQ920" s="873"/>
      <c r="AR920" s="873"/>
      <c r="AS920" s="873"/>
    </row>
    <row r="921" spans="1:45" ht="12.75" x14ac:dyDescent="0.2">
      <c r="A921" s="873"/>
      <c r="B921" s="873"/>
      <c r="C921" s="873"/>
      <c r="D921" s="873"/>
      <c r="E921" s="873"/>
      <c r="F921" s="873"/>
      <c r="G921" s="873"/>
      <c r="H921" s="873"/>
      <c r="I921" s="873"/>
      <c r="J921" s="873"/>
      <c r="K921" s="873"/>
      <c r="L921" s="873"/>
      <c r="M921" s="873"/>
      <c r="N921" s="873"/>
      <c r="O921" s="873"/>
      <c r="P921" s="873"/>
      <c r="Q921" s="873"/>
      <c r="R921" s="873"/>
      <c r="S921" s="873"/>
      <c r="T921" s="873"/>
      <c r="U921" s="873"/>
      <c r="V921" s="873"/>
      <c r="W921" s="873"/>
      <c r="X921" s="873"/>
      <c r="Y921" s="873"/>
      <c r="Z921" s="873"/>
      <c r="AA921" s="873"/>
      <c r="AB921" s="873"/>
      <c r="AC921" s="873"/>
      <c r="AD921" s="873"/>
      <c r="AE921" s="873"/>
      <c r="AF921" s="873"/>
      <c r="AG921" s="873"/>
      <c r="AH921" s="873"/>
      <c r="AI921" s="873"/>
      <c r="AJ921" s="873"/>
      <c r="AK921" s="873"/>
      <c r="AL921" s="873"/>
      <c r="AM921" s="873"/>
      <c r="AN921" s="873"/>
      <c r="AO921" s="873"/>
      <c r="AP921" s="873"/>
      <c r="AQ921" s="873"/>
      <c r="AR921" s="873"/>
      <c r="AS921" s="873"/>
    </row>
    <row r="922" spans="1:45" ht="12.75" x14ac:dyDescent="0.2">
      <c r="A922" s="873"/>
      <c r="B922" s="873"/>
      <c r="C922" s="873"/>
      <c r="D922" s="873"/>
      <c r="E922" s="873"/>
      <c r="F922" s="873"/>
      <c r="G922" s="873"/>
      <c r="H922" s="873"/>
      <c r="I922" s="873"/>
      <c r="J922" s="873"/>
      <c r="K922" s="873"/>
      <c r="L922" s="873"/>
      <c r="M922" s="873"/>
      <c r="N922" s="873"/>
      <c r="O922" s="873"/>
      <c r="P922" s="873"/>
      <c r="Q922" s="873"/>
      <c r="R922" s="873"/>
      <c r="S922" s="873"/>
      <c r="T922" s="873"/>
      <c r="U922" s="873"/>
      <c r="V922" s="873"/>
      <c r="W922" s="873"/>
      <c r="X922" s="873"/>
      <c r="Y922" s="873"/>
      <c r="Z922" s="873"/>
      <c r="AA922" s="873"/>
      <c r="AB922" s="873"/>
      <c r="AC922" s="873"/>
      <c r="AD922" s="873"/>
      <c r="AE922" s="873"/>
      <c r="AF922" s="873"/>
      <c r="AG922" s="873"/>
      <c r="AH922" s="873"/>
      <c r="AI922" s="873"/>
      <c r="AJ922" s="873"/>
      <c r="AK922" s="873"/>
      <c r="AL922" s="873"/>
      <c r="AM922" s="873"/>
      <c r="AN922" s="873"/>
      <c r="AO922" s="873"/>
      <c r="AP922" s="873"/>
      <c r="AQ922" s="873"/>
      <c r="AR922" s="873"/>
      <c r="AS922" s="873"/>
    </row>
    <row r="923" spans="1:45" ht="12.75" x14ac:dyDescent="0.2">
      <c r="A923" s="873"/>
      <c r="B923" s="873"/>
      <c r="C923" s="873"/>
      <c r="D923" s="873"/>
      <c r="E923" s="873"/>
      <c r="F923" s="873"/>
      <c r="G923" s="873"/>
      <c r="H923" s="873"/>
      <c r="I923" s="873"/>
      <c r="J923" s="873"/>
      <c r="K923" s="873"/>
      <c r="L923" s="873"/>
      <c r="M923" s="873"/>
      <c r="N923" s="873"/>
      <c r="O923" s="873"/>
      <c r="P923" s="873"/>
      <c r="Q923" s="873"/>
      <c r="R923" s="873"/>
      <c r="S923" s="873"/>
      <c r="T923" s="873"/>
      <c r="U923" s="873"/>
      <c r="V923" s="873"/>
      <c r="W923" s="873"/>
      <c r="X923" s="873"/>
      <c r="Y923" s="873"/>
      <c r="Z923" s="873"/>
      <c r="AA923" s="873"/>
      <c r="AB923" s="873"/>
      <c r="AC923" s="873"/>
      <c r="AD923" s="873"/>
      <c r="AE923" s="873"/>
      <c r="AF923" s="873"/>
      <c r="AG923" s="873"/>
      <c r="AH923" s="873"/>
      <c r="AI923" s="873"/>
      <c r="AJ923" s="873"/>
      <c r="AK923" s="873"/>
      <c r="AL923" s="873"/>
      <c r="AM923" s="873"/>
      <c r="AN923" s="873"/>
      <c r="AO923" s="873"/>
      <c r="AP923" s="873"/>
      <c r="AQ923" s="873"/>
      <c r="AR923" s="873"/>
      <c r="AS923" s="873"/>
    </row>
    <row r="924" spans="1:45" ht="12.75" x14ac:dyDescent="0.2">
      <c r="A924" s="873"/>
      <c r="B924" s="873"/>
      <c r="C924" s="873"/>
      <c r="D924" s="873"/>
      <c r="E924" s="873"/>
      <c r="F924" s="873"/>
      <c r="G924" s="873"/>
      <c r="H924" s="873"/>
      <c r="I924" s="873"/>
      <c r="J924" s="873"/>
      <c r="K924" s="873"/>
      <c r="L924" s="873"/>
      <c r="M924" s="873"/>
      <c r="N924" s="873"/>
      <c r="O924" s="873"/>
      <c r="P924" s="873"/>
      <c r="Q924" s="873"/>
      <c r="R924" s="873"/>
      <c r="S924" s="873"/>
      <c r="T924" s="873"/>
      <c r="U924" s="873"/>
      <c r="V924" s="873"/>
      <c r="W924" s="873"/>
      <c r="X924" s="873"/>
      <c r="Y924" s="873"/>
      <c r="Z924" s="873"/>
      <c r="AA924" s="873"/>
      <c r="AB924" s="873"/>
      <c r="AC924" s="873"/>
      <c r="AD924" s="873"/>
      <c r="AE924" s="873"/>
      <c r="AF924" s="873"/>
      <c r="AG924" s="873"/>
      <c r="AH924" s="873"/>
      <c r="AI924" s="873"/>
      <c r="AJ924" s="873"/>
      <c r="AK924" s="873"/>
      <c r="AL924" s="873"/>
      <c r="AM924" s="873"/>
      <c r="AN924" s="873"/>
      <c r="AO924" s="873"/>
      <c r="AP924" s="873"/>
      <c r="AQ924" s="873"/>
      <c r="AR924" s="873"/>
      <c r="AS924" s="873"/>
    </row>
    <row r="925" spans="1:45" ht="12.75" x14ac:dyDescent="0.2">
      <c r="A925" s="873"/>
      <c r="B925" s="873"/>
      <c r="C925" s="873"/>
      <c r="D925" s="873"/>
      <c r="E925" s="873"/>
      <c r="F925" s="873"/>
      <c r="G925" s="873"/>
      <c r="H925" s="873"/>
      <c r="I925" s="873"/>
      <c r="J925" s="873"/>
      <c r="K925" s="873"/>
      <c r="L925" s="873"/>
      <c r="M925" s="873"/>
      <c r="N925" s="873"/>
      <c r="O925" s="873"/>
      <c r="P925" s="873"/>
      <c r="Q925" s="873"/>
      <c r="R925" s="873"/>
      <c r="S925" s="873"/>
      <c r="T925" s="873"/>
      <c r="U925" s="873"/>
      <c r="V925" s="873"/>
      <c r="W925" s="873"/>
      <c r="X925" s="873"/>
      <c r="Y925" s="873"/>
      <c r="Z925" s="873"/>
      <c r="AA925" s="873"/>
      <c r="AB925" s="873"/>
      <c r="AC925" s="873"/>
      <c r="AD925" s="873"/>
      <c r="AE925" s="873"/>
      <c r="AF925" s="873"/>
      <c r="AG925" s="873"/>
      <c r="AH925" s="873"/>
      <c r="AI925" s="873"/>
      <c r="AJ925" s="873"/>
      <c r="AK925" s="873"/>
      <c r="AL925" s="873"/>
      <c r="AM925" s="873"/>
      <c r="AN925" s="873"/>
      <c r="AO925" s="873"/>
      <c r="AP925" s="873"/>
      <c r="AQ925" s="873"/>
      <c r="AR925" s="873"/>
      <c r="AS925" s="873"/>
    </row>
    <row r="926" spans="1:45" ht="12.75" x14ac:dyDescent="0.2">
      <c r="A926" s="873"/>
      <c r="B926" s="873"/>
      <c r="C926" s="873"/>
      <c r="D926" s="873"/>
      <c r="E926" s="873"/>
      <c r="F926" s="873"/>
      <c r="G926" s="873"/>
      <c r="H926" s="873"/>
      <c r="I926" s="873"/>
      <c r="J926" s="873"/>
      <c r="K926" s="873"/>
      <c r="L926" s="873"/>
      <c r="M926" s="873"/>
      <c r="N926" s="873"/>
      <c r="O926" s="873"/>
      <c r="P926" s="873"/>
      <c r="Q926" s="873"/>
      <c r="R926" s="873"/>
      <c r="S926" s="873"/>
      <c r="T926" s="873"/>
      <c r="U926" s="873"/>
      <c r="V926" s="873"/>
      <c r="W926" s="873"/>
      <c r="X926" s="873"/>
      <c r="Y926" s="873"/>
      <c r="Z926" s="873"/>
      <c r="AA926" s="873"/>
      <c r="AB926" s="873"/>
      <c r="AC926" s="873"/>
      <c r="AD926" s="873"/>
      <c r="AE926" s="873"/>
      <c r="AF926" s="873"/>
      <c r="AG926" s="873"/>
      <c r="AH926" s="873"/>
      <c r="AI926" s="873"/>
      <c r="AJ926" s="873"/>
      <c r="AK926" s="873"/>
      <c r="AL926" s="873"/>
      <c r="AM926" s="873"/>
      <c r="AN926" s="873"/>
      <c r="AO926" s="873"/>
      <c r="AP926" s="873"/>
      <c r="AQ926" s="873"/>
      <c r="AR926" s="873"/>
      <c r="AS926" s="873"/>
    </row>
    <row r="927" spans="1:45" ht="12.75" x14ac:dyDescent="0.2">
      <c r="A927" s="873"/>
      <c r="B927" s="873"/>
      <c r="C927" s="873"/>
      <c r="D927" s="873"/>
      <c r="E927" s="873"/>
      <c r="F927" s="873"/>
      <c r="G927" s="873"/>
      <c r="H927" s="873"/>
      <c r="I927" s="873"/>
      <c r="J927" s="873"/>
      <c r="K927" s="873"/>
      <c r="L927" s="873"/>
      <c r="M927" s="873"/>
      <c r="N927" s="873"/>
      <c r="O927" s="873"/>
      <c r="P927" s="873"/>
      <c r="Q927" s="873"/>
      <c r="R927" s="873"/>
      <c r="S927" s="873"/>
      <c r="T927" s="873"/>
      <c r="U927" s="873"/>
      <c r="V927" s="873"/>
      <c r="W927" s="873"/>
      <c r="X927" s="873"/>
      <c r="Y927" s="873"/>
      <c r="Z927" s="873"/>
      <c r="AA927" s="873"/>
      <c r="AB927" s="873"/>
      <c r="AC927" s="873"/>
      <c r="AD927" s="873"/>
      <c r="AE927" s="873"/>
      <c r="AF927" s="873"/>
      <c r="AG927" s="873"/>
      <c r="AH927" s="873"/>
      <c r="AI927" s="873"/>
      <c r="AJ927" s="873"/>
      <c r="AK927" s="873"/>
      <c r="AL927" s="873"/>
      <c r="AM927" s="873"/>
      <c r="AN927" s="873"/>
      <c r="AO927" s="873"/>
      <c r="AP927" s="873"/>
      <c r="AQ927" s="873"/>
      <c r="AR927" s="873"/>
      <c r="AS927" s="873"/>
    </row>
    <row r="928" spans="1:45" ht="12.75" x14ac:dyDescent="0.2">
      <c r="A928" s="873"/>
      <c r="B928" s="873"/>
      <c r="C928" s="873"/>
      <c r="D928" s="873"/>
      <c r="E928" s="873"/>
      <c r="F928" s="873"/>
      <c r="G928" s="873"/>
      <c r="H928" s="873"/>
      <c r="I928" s="873"/>
      <c r="J928" s="873"/>
      <c r="K928" s="873"/>
      <c r="L928" s="873"/>
      <c r="M928" s="873"/>
      <c r="N928" s="873"/>
      <c r="O928" s="873"/>
      <c r="P928" s="873"/>
      <c r="Q928" s="873"/>
      <c r="R928" s="873"/>
      <c r="S928" s="873"/>
      <c r="T928" s="873"/>
      <c r="U928" s="873"/>
      <c r="V928" s="873"/>
      <c r="W928" s="873"/>
      <c r="X928" s="873"/>
      <c r="Y928" s="873"/>
      <c r="Z928" s="873"/>
      <c r="AA928" s="873"/>
      <c r="AB928" s="873"/>
      <c r="AC928" s="873"/>
      <c r="AD928" s="873"/>
      <c r="AE928" s="873"/>
      <c r="AF928" s="873"/>
      <c r="AG928" s="873"/>
      <c r="AH928" s="873"/>
      <c r="AI928" s="873"/>
      <c r="AJ928" s="873"/>
      <c r="AK928" s="873"/>
      <c r="AL928" s="873"/>
      <c r="AM928" s="873"/>
      <c r="AN928" s="873"/>
      <c r="AO928" s="873"/>
      <c r="AP928" s="873"/>
      <c r="AQ928" s="873"/>
      <c r="AR928" s="873"/>
      <c r="AS928" s="873"/>
    </row>
    <row r="929" spans="1:45" ht="12.75" x14ac:dyDescent="0.2">
      <c r="A929" s="873"/>
      <c r="B929" s="873"/>
      <c r="C929" s="873"/>
      <c r="D929" s="873"/>
      <c r="E929" s="873"/>
      <c r="F929" s="873"/>
      <c r="G929" s="873"/>
      <c r="H929" s="873"/>
      <c r="I929" s="873"/>
      <c r="J929" s="873"/>
      <c r="K929" s="873"/>
      <c r="L929" s="873"/>
      <c r="M929" s="873"/>
      <c r="N929" s="873"/>
      <c r="O929" s="873"/>
      <c r="P929" s="873"/>
      <c r="Q929" s="873"/>
      <c r="R929" s="873"/>
      <c r="S929" s="873"/>
      <c r="T929" s="873"/>
      <c r="U929" s="873"/>
      <c r="V929" s="873"/>
      <c r="W929" s="873"/>
      <c r="X929" s="873"/>
      <c r="Y929" s="873"/>
      <c r="Z929" s="873"/>
      <c r="AA929" s="873"/>
      <c r="AB929" s="873"/>
      <c r="AC929" s="873"/>
      <c r="AD929" s="873"/>
      <c r="AE929" s="873"/>
      <c r="AF929" s="873"/>
      <c r="AG929" s="873"/>
      <c r="AH929" s="873"/>
      <c r="AI929" s="873"/>
      <c r="AJ929" s="873"/>
      <c r="AK929" s="873"/>
      <c r="AL929" s="873"/>
      <c r="AM929" s="873"/>
      <c r="AN929" s="873"/>
      <c r="AO929" s="873"/>
      <c r="AP929" s="873"/>
      <c r="AQ929" s="873"/>
      <c r="AR929" s="873"/>
      <c r="AS929" s="873"/>
    </row>
    <row r="930" spans="1:45" ht="12.75" x14ac:dyDescent="0.2">
      <c r="A930" s="873"/>
      <c r="B930" s="873"/>
      <c r="C930" s="873"/>
      <c r="D930" s="873"/>
      <c r="E930" s="873"/>
      <c r="F930" s="873"/>
      <c r="G930" s="873"/>
      <c r="H930" s="873"/>
      <c r="I930" s="873"/>
      <c r="J930" s="873"/>
      <c r="K930" s="873"/>
      <c r="L930" s="873"/>
      <c r="M930" s="873"/>
      <c r="N930" s="873"/>
      <c r="O930" s="873"/>
      <c r="P930" s="873"/>
      <c r="Q930" s="873"/>
      <c r="R930" s="873"/>
      <c r="S930" s="873"/>
      <c r="T930" s="873"/>
      <c r="U930" s="873"/>
      <c r="V930" s="873"/>
      <c r="W930" s="873"/>
      <c r="X930" s="873"/>
      <c r="Y930" s="873"/>
      <c r="Z930" s="873"/>
      <c r="AA930" s="873"/>
      <c r="AB930" s="873"/>
      <c r="AC930" s="873"/>
      <c r="AD930" s="873"/>
      <c r="AE930" s="873"/>
      <c r="AF930" s="873"/>
      <c r="AG930" s="873"/>
      <c r="AH930" s="873"/>
      <c r="AI930" s="873"/>
      <c r="AJ930" s="873"/>
      <c r="AK930" s="873"/>
      <c r="AL930" s="873"/>
      <c r="AM930" s="873"/>
      <c r="AN930" s="873"/>
      <c r="AO930" s="873"/>
      <c r="AP930" s="873"/>
      <c r="AQ930" s="873"/>
      <c r="AR930" s="873"/>
      <c r="AS930" s="873"/>
    </row>
    <row r="931" spans="1:45" ht="12.75" x14ac:dyDescent="0.2">
      <c r="A931" s="873"/>
      <c r="B931" s="873"/>
      <c r="C931" s="873"/>
      <c r="D931" s="873"/>
      <c r="E931" s="873"/>
      <c r="F931" s="873"/>
      <c r="G931" s="873"/>
      <c r="H931" s="873"/>
      <c r="I931" s="873"/>
      <c r="J931" s="873"/>
      <c r="K931" s="873"/>
      <c r="L931" s="873"/>
      <c r="M931" s="873"/>
      <c r="N931" s="873"/>
      <c r="O931" s="873"/>
      <c r="P931" s="873"/>
      <c r="Q931" s="873"/>
      <c r="R931" s="873"/>
      <c r="S931" s="873"/>
      <c r="T931" s="873"/>
      <c r="U931" s="873"/>
      <c r="V931" s="873"/>
      <c r="W931" s="873"/>
      <c r="X931" s="873"/>
      <c r="Y931" s="873"/>
      <c r="Z931" s="873"/>
      <c r="AA931" s="873"/>
      <c r="AB931" s="873"/>
      <c r="AC931" s="873"/>
      <c r="AD931" s="873"/>
      <c r="AE931" s="873"/>
      <c r="AF931" s="873"/>
      <c r="AG931" s="873"/>
      <c r="AH931" s="873"/>
      <c r="AI931" s="873"/>
      <c r="AJ931" s="873"/>
      <c r="AK931" s="873"/>
      <c r="AL931" s="873"/>
      <c r="AM931" s="873"/>
      <c r="AN931" s="873"/>
      <c r="AO931" s="873"/>
      <c r="AP931" s="873"/>
      <c r="AQ931" s="873"/>
      <c r="AR931" s="873"/>
      <c r="AS931" s="873"/>
    </row>
    <row r="932" spans="1:45" ht="12.75" x14ac:dyDescent="0.2">
      <c r="A932" s="873"/>
      <c r="B932" s="873"/>
      <c r="C932" s="873"/>
      <c r="D932" s="873"/>
      <c r="E932" s="873"/>
      <c r="F932" s="873"/>
      <c r="G932" s="873"/>
      <c r="H932" s="873"/>
      <c r="I932" s="873"/>
      <c r="J932" s="873"/>
      <c r="K932" s="873"/>
      <c r="L932" s="873"/>
      <c r="M932" s="873"/>
      <c r="N932" s="873"/>
      <c r="O932" s="873"/>
      <c r="P932" s="873"/>
      <c r="Q932" s="873"/>
      <c r="R932" s="873"/>
      <c r="S932" s="873"/>
      <c r="T932" s="873"/>
      <c r="U932" s="873"/>
      <c r="V932" s="873"/>
      <c r="W932" s="873"/>
      <c r="X932" s="873"/>
      <c r="Y932" s="873"/>
      <c r="Z932" s="873"/>
      <c r="AA932" s="873"/>
      <c r="AB932" s="873"/>
      <c r="AC932" s="873"/>
      <c r="AD932" s="873"/>
      <c r="AE932" s="873"/>
      <c r="AF932" s="873"/>
      <c r="AG932" s="873"/>
      <c r="AH932" s="873"/>
      <c r="AI932" s="873"/>
      <c r="AJ932" s="873"/>
      <c r="AK932" s="873"/>
      <c r="AL932" s="873"/>
      <c r="AM932" s="873"/>
      <c r="AN932" s="873"/>
      <c r="AO932" s="873"/>
      <c r="AP932" s="873"/>
      <c r="AQ932" s="873"/>
      <c r="AR932" s="873"/>
      <c r="AS932" s="873"/>
    </row>
    <row r="933" spans="1:45" ht="12.75" x14ac:dyDescent="0.2">
      <c r="A933" s="873"/>
      <c r="B933" s="873"/>
      <c r="C933" s="873"/>
      <c r="D933" s="873"/>
      <c r="E933" s="873"/>
      <c r="F933" s="873"/>
      <c r="G933" s="873"/>
      <c r="H933" s="873"/>
      <c r="I933" s="873"/>
      <c r="J933" s="873"/>
      <c r="K933" s="873"/>
      <c r="L933" s="873"/>
      <c r="M933" s="873"/>
      <c r="N933" s="873"/>
      <c r="O933" s="873"/>
      <c r="P933" s="873"/>
      <c r="Q933" s="873"/>
      <c r="R933" s="873"/>
      <c r="S933" s="873"/>
      <c r="T933" s="873"/>
      <c r="U933" s="873"/>
      <c r="V933" s="873"/>
      <c r="W933" s="873"/>
      <c r="X933" s="873"/>
      <c r="Y933" s="873"/>
      <c r="Z933" s="873"/>
      <c r="AA933" s="873"/>
      <c r="AB933" s="873"/>
      <c r="AC933" s="873"/>
      <c r="AD933" s="873"/>
      <c r="AE933" s="873"/>
      <c r="AF933" s="873"/>
      <c r="AG933" s="873"/>
      <c r="AH933" s="873"/>
      <c r="AI933" s="873"/>
      <c r="AJ933" s="873"/>
      <c r="AK933" s="873"/>
      <c r="AL933" s="873"/>
      <c r="AM933" s="873"/>
      <c r="AN933" s="873"/>
      <c r="AO933" s="873"/>
      <c r="AP933" s="873"/>
      <c r="AQ933" s="873"/>
      <c r="AR933" s="873"/>
      <c r="AS933" s="873"/>
    </row>
    <row r="934" spans="1:45" ht="12.75" x14ac:dyDescent="0.2">
      <c r="A934" s="873"/>
      <c r="B934" s="873"/>
      <c r="C934" s="873"/>
      <c r="D934" s="873"/>
      <c r="E934" s="873"/>
      <c r="F934" s="873"/>
      <c r="G934" s="873"/>
      <c r="H934" s="873"/>
      <c r="I934" s="873"/>
      <c r="J934" s="873"/>
      <c r="K934" s="873"/>
      <c r="L934" s="873"/>
      <c r="M934" s="873"/>
      <c r="N934" s="873"/>
      <c r="O934" s="873"/>
      <c r="P934" s="873"/>
      <c r="Q934" s="873"/>
      <c r="R934" s="873"/>
      <c r="S934" s="873"/>
      <c r="T934" s="873"/>
      <c r="U934" s="873"/>
      <c r="V934" s="873"/>
      <c r="W934" s="873"/>
      <c r="X934" s="873"/>
      <c r="Y934" s="873"/>
      <c r="Z934" s="873"/>
      <c r="AA934" s="873"/>
      <c r="AB934" s="873"/>
      <c r="AC934" s="873"/>
      <c r="AD934" s="873"/>
      <c r="AE934" s="873"/>
      <c r="AF934" s="873"/>
      <c r="AG934" s="873"/>
      <c r="AH934" s="873"/>
      <c r="AI934" s="873"/>
      <c r="AJ934" s="873"/>
      <c r="AK934" s="873"/>
      <c r="AL934" s="873"/>
      <c r="AM934" s="873"/>
      <c r="AN934" s="873"/>
      <c r="AO934" s="873"/>
      <c r="AP934" s="873"/>
      <c r="AQ934" s="873"/>
      <c r="AR934" s="873"/>
      <c r="AS934" s="873"/>
    </row>
    <row r="935" spans="1:45" ht="12.75" x14ac:dyDescent="0.2">
      <c r="A935" s="873"/>
      <c r="B935" s="873"/>
      <c r="C935" s="873"/>
      <c r="D935" s="873"/>
      <c r="E935" s="873"/>
      <c r="F935" s="873"/>
      <c r="G935" s="873"/>
      <c r="H935" s="873"/>
      <c r="I935" s="873"/>
      <c r="J935" s="873"/>
      <c r="K935" s="873"/>
      <c r="L935" s="873"/>
      <c r="M935" s="873"/>
      <c r="N935" s="873"/>
      <c r="O935" s="873"/>
      <c r="P935" s="873"/>
      <c r="Q935" s="873"/>
      <c r="R935" s="873"/>
      <c r="S935" s="873"/>
      <c r="T935" s="873"/>
      <c r="U935" s="873"/>
      <c r="V935" s="873"/>
      <c r="W935" s="873"/>
      <c r="X935" s="873"/>
      <c r="Y935" s="873"/>
      <c r="Z935" s="873"/>
      <c r="AA935" s="873"/>
      <c r="AB935" s="873"/>
      <c r="AC935" s="873"/>
      <c r="AD935" s="873"/>
      <c r="AE935" s="873"/>
      <c r="AF935" s="873"/>
      <c r="AG935" s="873"/>
      <c r="AH935" s="873"/>
      <c r="AI935" s="873"/>
      <c r="AJ935" s="873"/>
      <c r="AK935" s="873"/>
      <c r="AL935" s="873"/>
      <c r="AM935" s="873"/>
      <c r="AN935" s="873"/>
      <c r="AO935" s="873"/>
      <c r="AP935" s="873"/>
      <c r="AQ935" s="873"/>
      <c r="AR935" s="873"/>
      <c r="AS935" s="873"/>
    </row>
    <row r="936" spans="1:45" ht="12.75" x14ac:dyDescent="0.2">
      <c r="A936" s="873"/>
      <c r="B936" s="873"/>
      <c r="C936" s="873"/>
      <c r="D936" s="873"/>
      <c r="E936" s="873"/>
      <c r="F936" s="873"/>
      <c r="G936" s="873"/>
      <c r="H936" s="873"/>
      <c r="I936" s="873"/>
      <c r="J936" s="873"/>
      <c r="K936" s="873"/>
      <c r="L936" s="873"/>
      <c r="M936" s="873"/>
      <c r="N936" s="873"/>
      <c r="O936" s="873"/>
      <c r="P936" s="873"/>
      <c r="Q936" s="873"/>
      <c r="R936" s="873"/>
      <c r="S936" s="873"/>
      <c r="T936" s="873"/>
      <c r="U936" s="873"/>
      <c r="V936" s="873"/>
      <c r="W936" s="873"/>
      <c r="X936" s="873"/>
      <c r="Y936" s="873"/>
      <c r="Z936" s="873"/>
      <c r="AA936" s="873"/>
      <c r="AB936" s="873"/>
      <c r="AC936" s="873"/>
      <c r="AD936" s="873"/>
      <c r="AE936" s="873"/>
      <c r="AF936" s="873"/>
      <c r="AG936" s="873"/>
      <c r="AH936" s="873"/>
      <c r="AI936" s="873"/>
      <c r="AJ936" s="873"/>
      <c r="AK936" s="873"/>
      <c r="AL936" s="873"/>
      <c r="AM936" s="873"/>
      <c r="AN936" s="873"/>
      <c r="AO936" s="873"/>
      <c r="AP936" s="873"/>
      <c r="AQ936" s="873"/>
      <c r="AR936" s="873"/>
      <c r="AS936" s="873"/>
    </row>
    <row r="937" spans="1:45" ht="12.75" x14ac:dyDescent="0.2">
      <c r="A937" s="873"/>
      <c r="B937" s="873"/>
      <c r="C937" s="873"/>
      <c r="D937" s="873"/>
      <c r="E937" s="873"/>
      <c r="F937" s="873"/>
      <c r="G937" s="873"/>
      <c r="H937" s="873"/>
      <c r="I937" s="873"/>
      <c r="J937" s="873"/>
      <c r="K937" s="873"/>
      <c r="L937" s="873"/>
      <c r="M937" s="873"/>
      <c r="N937" s="873"/>
      <c r="O937" s="873"/>
      <c r="P937" s="873"/>
      <c r="Q937" s="873"/>
      <c r="R937" s="873"/>
      <c r="S937" s="873"/>
      <c r="T937" s="873"/>
      <c r="U937" s="873"/>
      <c r="V937" s="873"/>
      <c r="W937" s="873"/>
      <c r="X937" s="873"/>
      <c r="Y937" s="873"/>
      <c r="Z937" s="873"/>
      <c r="AA937" s="873"/>
      <c r="AB937" s="873"/>
      <c r="AC937" s="873"/>
      <c r="AD937" s="873"/>
      <c r="AE937" s="873"/>
      <c r="AF937" s="873"/>
      <c r="AG937" s="873"/>
      <c r="AH937" s="873"/>
      <c r="AI937" s="873"/>
      <c r="AJ937" s="873"/>
      <c r="AK937" s="873"/>
      <c r="AL937" s="873"/>
      <c r="AM937" s="873"/>
      <c r="AN937" s="873"/>
      <c r="AO937" s="873"/>
      <c r="AP937" s="873"/>
      <c r="AQ937" s="873"/>
      <c r="AR937" s="873"/>
      <c r="AS937" s="873"/>
    </row>
    <row r="938" spans="1:45" ht="12.75" x14ac:dyDescent="0.2">
      <c r="A938" s="873"/>
      <c r="B938" s="873"/>
      <c r="C938" s="873"/>
      <c r="D938" s="873"/>
      <c r="E938" s="873"/>
      <c r="F938" s="873"/>
      <c r="G938" s="873"/>
      <c r="H938" s="873"/>
      <c r="I938" s="873"/>
      <c r="J938" s="873"/>
      <c r="K938" s="873"/>
      <c r="L938" s="873"/>
      <c r="M938" s="873"/>
      <c r="N938" s="873"/>
      <c r="O938" s="873"/>
      <c r="P938" s="873"/>
      <c r="Q938" s="873"/>
      <c r="R938" s="873"/>
      <c r="S938" s="873"/>
      <c r="T938" s="873"/>
      <c r="U938" s="873"/>
      <c r="V938" s="873"/>
      <c r="W938" s="873"/>
      <c r="X938" s="873"/>
      <c r="Y938" s="873"/>
      <c r="Z938" s="873"/>
      <c r="AA938" s="873"/>
      <c r="AB938" s="873"/>
      <c r="AC938" s="873"/>
      <c r="AD938" s="873"/>
      <c r="AE938" s="873"/>
      <c r="AF938" s="873"/>
      <c r="AG938" s="873"/>
      <c r="AH938" s="873"/>
      <c r="AI938" s="873"/>
      <c r="AJ938" s="873"/>
      <c r="AK938" s="873"/>
      <c r="AL938" s="873"/>
      <c r="AM938" s="873"/>
      <c r="AN938" s="873"/>
      <c r="AO938" s="873"/>
      <c r="AP938" s="873"/>
      <c r="AQ938" s="873"/>
      <c r="AR938" s="873"/>
      <c r="AS938" s="873"/>
    </row>
    <row r="939" spans="1:45" ht="12.75" x14ac:dyDescent="0.2">
      <c r="A939" s="873"/>
      <c r="B939" s="873"/>
      <c r="C939" s="873"/>
      <c r="D939" s="873"/>
      <c r="E939" s="873"/>
      <c r="F939" s="873"/>
      <c r="G939" s="873"/>
      <c r="H939" s="873"/>
      <c r="I939" s="873"/>
      <c r="J939" s="873"/>
      <c r="K939" s="873"/>
      <c r="L939" s="873"/>
      <c r="M939" s="873"/>
      <c r="N939" s="873"/>
      <c r="O939" s="873"/>
      <c r="P939" s="873"/>
      <c r="Q939" s="873"/>
      <c r="R939" s="873"/>
      <c r="S939" s="873"/>
      <c r="T939" s="873"/>
      <c r="U939" s="873"/>
      <c r="V939" s="873"/>
      <c r="W939" s="873"/>
      <c r="X939" s="873"/>
      <c r="Y939" s="873"/>
      <c r="Z939" s="873"/>
      <c r="AA939" s="873"/>
      <c r="AB939" s="873"/>
      <c r="AC939" s="873"/>
      <c r="AD939" s="873"/>
      <c r="AE939" s="873"/>
      <c r="AF939" s="873"/>
      <c r="AG939" s="873"/>
      <c r="AH939" s="873"/>
      <c r="AI939" s="873"/>
      <c r="AJ939" s="873"/>
      <c r="AK939" s="873"/>
      <c r="AL939" s="873"/>
      <c r="AM939" s="873"/>
      <c r="AN939" s="873"/>
      <c r="AO939" s="873"/>
      <c r="AP939" s="873"/>
      <c r="AQ939" s="873"/>
      <c r="AR939" s="873"/>
      <c r="AS939" s="873"/>
    </row>
    <row r="940" spans="1:45" ht="12.75" x14ac:dyDescent="0.2">
      <c r="A940" s="873"/>
      <c r="B940" s="873"/>
      <c r="C940" s="873"/>
      <c r="D940" s="873"/>
      <c r="E940" s="873"/>
      <c r="F940" s="873"/>
      <c r="G940" s="873"/>
      <c r="H940" s="873"/>
      <c r="I940" s="873"/>
      <c r="J940" s="873"/>
      <c r="K940" s="873"/>
      <c r="L940" s="873"/>
      <c r="M940" s="873"/>
      <c r="N940" s="873"/>
      <c r="O940" s="873"/>
      <c r="P940" s="873"/>
      <c r="Q940" s="873"/>
      <c r="R940" s="873"/>
      <c r="S940" s="873"/>
      <c r="T940" s="873"/>
      <c r="U940" s="873"/>
      <c r="V940" s="873"/>
      <c r="W940" s="873"/>
      <c r="X940" s="873"/>
      <c r="Y940" s="873"/>
      <c r="Z940" s="873"/>
      <c r="AA940" s="873"/>
      <c r="AB940" s="873"/>
      <c r="AC940" s="873"/>
      <c r="AD940" s="873"/>
      <c r="AE940" s="873"/>
      <c r="AF940" s="873"/>
      <c r="AG940" s="873"/>
      <c r="AH940" s="873"/>
      <c r="AI940" s="873"/>
      <c r="AJ940" s="873"/>
      <c r="AK940" s="873"/>
      <c r="AL940" s="873"/>
      <c r="AM940" s="873"/>
      <c r="AN940" s="873"/>
      <c r="AO940" s="873"/>
      <c r="AP940" s="873"/>
      <c r="AQ940" s="873"/>
      <c r="AR940" s="873"/>
      <c r="AS940" s="873"/>
    </row>
    <row r="941" spans="1:45" ht="12.75" x14ac:dyDescent="0.2">
      <c r="A941" s="873"/>
      <c r="B941" s="873"/>
      <c r="C941" s="873"/>
      <c r="D941" s="873"/>
      <c r="E941" s="873"/>
      <c r="F941" s="873"/>
      <c r="G941" s="873"/>
      <c r="H941" s="873"/>
      <c r="I941" s="873"/>
      <c r="J941" s="873"/>
      <c r="K941" s="873"/>
      <c r="L941" s="873"/>
      <c r="M941" s="873"/>
      <c r="N941" s="873"/>
      <c r="O941" s="873"/>
      <c r="P941" s="873"/>
      <c r="Q941" s="873"/>
      <c r="R941" s="873"/>
      <c r="S941" s="873"/>
      <c r="T941" s="873"/>
      <c r="U941" s="873"/>
      <c r="V941" s="873"/>
      <c r="W941" s="873"/>
      <c r="X941" s="873"/>
      <c r="Y941" s="873"/>
      <c r="Z941" s="873"/>
      <c r="AA941" s="873"/>
      <c r="AB941" s="873"/>
      <c r="AC941" s="873"/>
      <c r="AD941" s="873"/>
      <c r="AE941" s="873"/>
      <c r="AF941" s="873"/>
      <c r="AG941" s="873"/>
      <c r="AH941" s="873"/>
      <c r="AI941" s="873"/>
      <c r="AJ941" s="873"/>
      <c r="AK941" s="873"/>
      <c r="AL941" s="873"/>
      <c r="AM941" s="873"/>
      <c r="AN941" s="873"/>
      <c r="AO941" s="873"/>
      <c r="AP941" s="873"/>
      <c r="AQ941" s="873"/>
      <c r="AR941" s="873"/>
      <c r="AS941" s="873"/>
    </row>
    <row r="942" spans="1:45" ht="12.75" x14ac:dyDescent="0.2">
      <c r="A942" s="873"/>
      <c r="B942" s="873"/>
      <c r="C942" s="873"/>
      <c r="D942" s="873"/>
      <c r="E942" s="873"/>
      <c r="F942" s="873"/>
      <c r="G942" s="873"/>
      <c r="H942" s="873"/>
      <c r="I942" s="873"/>
      <c r="J942" s="873"/>
      <c r="K942" s="873"/>
      <c r="L942" s="873"/>
      <c r="M942" s="873"/>
      <c r="N942" s="873"/>
      <c r="O942" s="873"/>
      <c r="P942" s="873"/>
      <c r="Q942" s="873"/>
      <c r="R942" s="873"/>
      <c r="S942" s="873"/>
      <c r="T942" s="873"/>
      <c r="U942" s="873"/>
      <c r="V942" s="873"/>
      <c r="W942" s="873"/>
      <c r="X942" s="873"/>
      <c r="Y942" s="873"/>
      <c r="Z942" s="873"/>
      <c r="AA942" s="873"/>
      <c r="AB942" s="873"/>
      <c r="AC942" s="873"/>
      <c r="AD942" s="873"/>
      <c r="AE942" s="873"/>
      <c r="AF942" s="873"/>
      <c r="AG942" s="873"/>
      <c r="AH942" s="873"/>
      <c r="AI942" s="873"/>
      <c r="AJ942" s="873"/>
      <c r="AK942" s="873"/>
      <c r="AL942" s="873"/>
      <c r="AM942" s="873"/>
      <c r="AN942" s="873"/>
      <c r="AO942" s="873"/>
      <c r="AP942" s="873"/>
      <c r="AQ942" s="873"/>
      <c r="AR942" s="873"/>
      <c r="AS942" s="873"/>
    </row>
    <row r="943" spans="1:45" ht="12.75" x14ac:dyDescent="0.2">
      <c r="A943" s="873"/>
      <c r="B943" s="873"/>
      <c r="C943" s="873"/>
      <c r="D943" s="873"/>
      <c r="E943" s="873"/>
      <c r="F943" s="873"/>
      <c r="G943" s="873"/>
      <c r="H943" s="873"/>
      <c r="I943" s="873"/>
      <c r="J943" s="873"/>
      <c r="K943" s="873"/>
      <c r="L943" s="873"/>
      <c r="M943" s="873"/>
      <c r="N943" s="873"/>
      <c r="O943" s="873"/>
      <c r="P943" s="873"/>
      <c r="Q943" s="873"/>
      <c r="R943" s="873"/>
      <c r="S943" s="873"/>
      <c r="T943" s="873"/>
      <c r="U943" s="873"/>
      <c r="V943" s="873"/>
      <c r="W943" s="873"/>
      <c r="X943" s="873"/>
      <c r="Y943" s="873"/>
      <c r="Z943" s="873"/>
      <c r="AA943" s="873"/>
      <c r="AB943" s="873"/>
      <c r="AC943" s="873"/>
      <c r="AD943" s="873"/>
      <c r="AE943" s="873"/>
      <c r="AF943" s="873"/>
      <c r="AG943" s="873"/>
      <c r="AH943" s="873"/>
      <c r="AI943" s="873"/>
      <c r="AJ943" s="873"/>
      <c r="AK943" s="873"/>
      <c r="AL943" s="873"/>
      <c r="AM943" s="873"/>
      <c r="AN943" s="873"/>
      <c r="AO943" s="873"/>
      <c r="AP943" s="873"/>
      <c r="AQ943" s="873"/>
      <c r="AR943" s="873"/>
      <c r="AS943" s="873"/>
    </row>
    <row r="944" spans="1:45" ht="12.75" x14ac:dyDescent="0.2">
      <c r="A944" s="873"/>
      <c r="B944" s="873"/>
      <c r="C944" s="873"/>
      <c r="D944" s="873"/>
      <c r="E944" s="873"/>
      <c r="F944" s="873"/>
      <c r="G944" s="873"/>
      <c r="H944" s="873"/>
      <c r="I944" s="873"/>
      <c r="J944" s="873"/>
      <c r="K944" s="873"/>
      <c r="L944" s="873"/>
      <c r="M944" s="873"/>
      <c r="N944" s="873"/>
      <c r="O944" s="873"/>
      <c r="P944" s="873"/>
      <c r="Q944" s="873"/>
      <c r="R944" s="873"/>
      <c r="S944" s="873"/>
      <c r="T944" s="873"/>
      <c r="U944" s="873"/>
      <c r="V944" s="873"/>
      <c r="W944" s="873"/>
      <c r="X944" s="873"/>
      <c r="Y944" s="873"/>
      <c r="Z944" s="873"/>
      <c r="AA944" s="873"/>
      <c r="AB944" s="873"/>
      <c r="AC944" s="873"/>
      <c r="AD944" s="873"/>
      <c r="AE944" s="873"/>
      <c r="AF944" s="873"/>
      <c r="AG944" s="873"/>
      <c r="AH944" s="873"/>
      <c r="AI944" s="873"/>
      <c r="AJ944" s="873"/>
      <c r="AK944" s="873"/>
      <c r="AL944" s="873"/>
      <c r="AM944" s="873"/>
      <c r="AN944" s="873"/>
      <c r="AO944" s="873"/>
      <c r="AP944" s="873"/>
      <c r="AQ944" s="873"/>
      <c r="AR944" s="873"/>
      <c r="AS944" s="873"/>
    </row>
    <row r="945" spans="1:45" ht="12.75" x14ac:dyDescent="0.2">
      <c r="A945" s="873"/>
      <c r="B945" s="873"/>
      <c r="C945" s="873"/>
      <c r="D945" s="873"/>
      <c r="E945" s="873"/>
      <c r="F945" s="873"/>
      <c r="G945" s="873"/>
      <c r="H945" s="873"/>
      <c r="I945" s="873"/>
      <c r="J945" s="873"/>
      <c r="K945" s="873"/>
      <c r="L945" s="873"/>
      <c r="M945" s="873"/>
      <c r="N945" s="873"/>
      <c r="O945" s="873"/>
      <c r="P945" s="873"/>
      <c r="Q945" s="873"/>
      <c r="R945" s="873"/>
      <c r="S945" s="873"/>
      <c r="T945" s="873"/>
      <c r="U945" s="873"/>
      <c r="V945" s="873"/>
      <c r="W945" s="873"/>
      <c r="X945" s="873"/>
      <c r="Y945" s="873"/>
      <c r="Z945" s="873"/>
      <c r="AA945" s="873"/>
      <c r="AB945" s="873"/>
      <c r="AC945" s="873"/>
      <c r="AD945" s="873"/>
      <c r="AE945" s="873"/>
      <c r="AF945" s="873"/>
      <c r="AG945" s="873"/>
      <c r="AH945" s="873"/>
      <c r="AI945" s="873"/>
      <c r="AJ945" s="873"/>
      <c r="AK945" s="873"/>
      <c r="AL945" s="873"/>
      <c r="AM945" s="873"/>
      <c r="AN945" s="873"/>
      <c r="AO945" s="873"/>
      <c r="AP945" s="873"/>
      <c r="AQ945" s="873"/>
      <c r="AR945" s="873"/>
      <c r="AS945" s="873"/>
    </row>
    <row r="946" spans="1:45" ht="12.75" x14ac:dyDescent="0.2">
      <c r="A946" s="873"/>
      <c r="B946" s="873"/>
      <c r="C946" s="873"/>
      <c r="D946" s="873"/>
      <c r="E946" s="873"/>
      <c r="F946" s="873"/>
      <c r="G946" s="873"/>
      <c r="H946" s="873"/>
      <c r="I946" s="873"/>
      <c r="J946" s="873"/>
      <c r="K946" s="873"/>
      <c r="L946" s="873"/>
      <c r="M946" s="873"/>
      <c r="N946" s="873"/>
      <c r="O946" s="873"/>
      <c r="P946" s="873"/>
      <c r="Q946" s="873"/>
      <c r="R946" s="873"/>
      <c r="S946" s="873"/>
      <c r="T946" s="873"/>
      <c r="U946" s="873"/>
      <c r="V946" s="873"/>
      <c r="W946" s="873"/>
      <c r="X946" s="873"/>
      <c r="Y946" s="873"/>
      <c r="Z946" s="873"/>
      <c r="AA946" s="873"/>
      <c r="AB946" s="873"/>
      <c r="AC946" s="873"/>
      <c r="AD946" s="873"/>
      <c r="AE946" s="873"/>
      <c r="AF946" s="873"/>
      <c r="AG946" s="873"/>
      <c r="AH946" s="873"/>
      <c r="AI946" s="873"/>
      <c r="AJ946" s="873"/>
      <c r="AK946" s="873"/>
      <c r="AL946" s="873"/>
      <c r="AM946" s="873"/>
      <c r="AN946" s="873"/>
      <c r="AO946" s="873"/>
      <c r="AP946" s="873"/>
      <c r="AQ946" s="873"/>
      <c r="AR946" s="873"/>
      <c r="AS946" s="873"/>
    </row>
    <row r="947" spans="1:45" ht="12.75" x14ac:dyDescent="0.2">
      <c r="A947" s="873"/>
      <c r="B947" s="873"/>
      <c r="C947" s="873"/>
      <c r="D947" s="873"/>
      <c r="E947" s="873"/>
      <c r="F947" s="873"/>
      <c r="G947" s="873"/>
      <c r="H947" s="873"/>
      <c r="I947" s="873"/>
      <c r="J947" s="873"/>
      <c r="K947" s="873"/>
      <c r="L947" s="873"/>
      <c r="M947" s="873"/>
      <c r="N947" s="873"/>
      <c r="O947" s="873"/>
      <c r="P947" s="873"/>
      <c r="Q947" s="873"/>
      <c r="R947" s="873"/>
      <c r="S947" s="873"/>
      <c r="T947" s="873"/>
      <c r="U947" s="873"/>
      <c r="V947" s="873"/>
      <c r="W947" s="873"/>
      <c r="X947" s="873"/>
      <c r="Y947" s="873"/>
      <c r="Z947" s="873"/>
      <c r="AA947" s="873"/>
      <c r="AB947" s="873"/>
      <c r="AC947" s="873"/>
      <c r="AD947" s="873"/>
      <c r="AE947" s="873"/>
      <c r="AF947" s="873"/>
      <c r="AG947" s="873"/>
      <c r="AH947" s="873"/>
      <c r="AI947" s="873"/>
      <c r="AJ947" s="873"/>
      <c r="AK947" s="873"/>
      <c r="AL947" s="873"/>
      <c r="AM947" s="873"/>
      <c r="AN947" s="873"/>
      <c r="AO947" s="873"/>
      <c r="AP947" s="873"/>
      <c r="AQ947" s="873"/>
      <c r="AR947" s="873"/>
      <c r="AS947" s="873"/>
    </row>
    <row r="948" spans="1:45" ht="12.75" x14ac:dyDescent="0.2">
      <c r="A948" s="873"/>
      <c r="B948" s="873"/>
      <c r="C948" s="873"/>
      <c r="D948" s="873"/>
      <c r="E948" s="873"/>
      <c r="F948" s="873"/>
      <c r="G948" s="873"/>
      <c r="H948" s="873"/>
      <c r="I948" s="873"/>
      <c r="J948" s="873"/>
      <c r="K948" s="873"/>
      <c r="L948" s="873"/>
      <c r="M948" s="873"/>
      <c r="N948" s="873"/>
      <c r="O948" s="873"/>
      <c r="P948" s="873"/>
      <c r="Q948" s="873"/>
      <c r="R948" s="873"/>
      <c r="S948" s="873"/>
      <c r="T948" s="873"/>
      <c r="U948" s="873"/>
      <c r="V948" s="873"/>
      <c r="W948" s="873"/>
      <c r="X948" s="873"/>
      <c r="Y948" s="873"/>
      <c r="Z948" s="873"/>
      <c r="AA948" s="873"/>
      <c r="AB948" s="873"/>
      <c r="AC948" s="873"/>
      <c r="AD948" s="873"/>
      <c r="AE948" s="873"/>
      <c r="AF948" s="873"/>
      <c r="AG948" s="873"/>
      <c r="AH948" s="873"/>
      <c r="AI948" s="873"/>
      <c r="AJ948" s="873"/>
      <c r="AK948" s="873"/>
      <c r="AL948" s="873"/>
      <c r="AM948" s="873"/>
      <c r="AN948" s="873"/>
      <c r="AO948" s="873"/>
      <c r="AP948" s="873"/>
      <c r="AQ948" s="873"/>
      <c r="AR948" s="873"/>
      <c r="AS948" s="873"/>
    </row>
    <row r="949" spans="1:45" ht="12.75" x14ac:dyDescent="0.2">
      <c r="A949" s="873"/>
      <c r="B949" s="873"/>
      <c r="C949" s="873"/>
      <c r="D949" s="873"/>
      <c r="E949" s="873"/>
      <c r="F949" s="873"/>
      <c r="G949" s="873"/>
      <c r="H949" s="873"/>
      <c r="I949" s="873"/>
      <c r="J949" s="873"/>
      <c r="K949" s="873"/>
      <c r="L949" s="873"/>
      <c r="M949" s="873"/>
      <c r="N949" s="873"/>
      <c r="O949" s="873"/>
      <c r="P949" s="873"/>
      <c r="Q949" s="873"/>
      <c r="R949" s="873"/>
      <c r="S949" s="873"/>
      <c r="T949" s="873"/>
      <c r="U949" s="873"/>
      <c r="V949" s="873"/>
      <c r="W949" s="873"/>
      <c r="X949" s="873"/>
      <c r="Y949" s="873"/>
      <c r="Z949" s="873"/>
      <c r="AA949" s="873"/>
      <c r="AB949" s="873"/>
      <c r="AC949" s="873"/>
      <c r="AD949" s="873"/>
      <c r="AE949" s="873"/>
      <c r="AF949" s="873"/>
      <c r="AG949" s="873"/>
      <c r="AH949" s="873"/>
      <c r="AI949" s="873"/>
      <c r="AJ949" s="873"/>
      <c r="AK949" s="873"/>
      <c r="AL949" s="873"/>
      <c r="AM949" s="873"/>
      <c r="AN949" s="873"/>
      <c r="AO949" s="873"/>
      <c r="AP949" s="873"/>
      <c r="AQ949" s="873"/>
      <c r="AR949" s="873"/>
      <c r="AS949" s="873"/>
    </row>
    <row r="950" spans="1:45" ht="12.75" x14ac:dyDescent="0.2">
      <c r="A950" s="873"/>
      <c r="B950" s="873"/>
      <c r="C950" s="873"/>
      <c r="D950" s="873"/>
      <c r="E950" s="873"/>
      <c r="F950" s="873"/>
      <c r="G950" s="873"/>
      <c r="H950" s="873"/>
      <c r="I950" s="873"/>
      <c r="J950" s="873"/>
      <c r="K950" s="873"/>
      <c r="L950" s="873"/>
      <c r="M950" s="873"/>
      <c r="N950" s="873"/>
      <c r="O950" s="873"/>
      <c r="P950" s="873"/>
      <c r="Q950" s="873"/>
      <c r="R950" s="873"/>
      <c r="S950" s="873"/>
      <c r="T950" s="873"/>
      <c r="U950" s="873"/>
      <c r="V950" s="873"/>
      <c r="W950" s="873"/>
      <c r="X950" s="873"/>
      <c r="Y950" s="873"/>
      <c r="Z950" s="873"/>
      <c r="AA950" s="873"/>
      <c r="AB950" s="873"/>
      <c r="AC950" s="873"/>
      <c r="AD950" s="873"/>
      <c r="AE950" s="873"/>
      <c r="AF950" s="873"/>
      <c r="AG950" s="873"/>
      <c r="AH950" s="873"/>
      <c r="AI950" s="873"/>
      <c r="AJ950" s="873"/>
      <c r="AK950" s="873"/>
      <c r="AL950" s="873"/>
      <c r="AM950" s="873"/>
      <c r="AN950" s="873"/>
      <c r="AO950" s="873"/>
      <c r="AP950" s="873"/>
      <c r="AQ950" s="873"/>
      <c r="AR950" s="873"/>
      <c r="AS950" s="873"/>
    </row>
    <row r="951" spans="1:45" ht="12.75" x14ac:dyDescent="0.2">
      <c r="A951" s="873"/>
      <c r="B951" s="873"/>
      <c r="C951" s="873"/>
      <c r="D951" s="873"/>
      <c r="E951" s="873"/>
      <c r="F951" s="873"/>
      <c r="G951" s="873"/>
      <c r="H951" s="873"/>
      <c r="I951" s="873"/>
      <c r="J951" s="873"/>
      <c r="K951" s="873"/>
      <c r="L951" s="873"/>
      <c r="M951" s="873"/>
      <c r="N951" s="873"/>
      <c r="O951" s="873"/>
      <c r="P951" s="873"/>
      <c r="Q951" s="873"/>
      <c r="R951" s="873"/>
      <c r="S951" s="873"/>
      <c r="T951" s="873"/>
      <c r="U951" s="873"/>
      <c r="V951" s="873"/>
      <c r="W951" s="873"/>
      <c r="X951" s="873"/>
      <c r="Y951" s="873"/>
      <c r="Z951" s="873"/>
      <c r="AA951" s="873"/>
      <c r="AB951" s="873"/>
      <c r="AC951" s="873"/>
      <c r="AD951" s="873"/>
      <c r="AE951" s="873"/>
      <c r="AF951" s="873"/>
      <c r="AG951" s="873"/>
      <c r="AH951" s="873"/>
      <c r="AI951" s="873"/>
      <c r="AJ951" s="873"/>
      <c r="AK951" s="873"/>
      <c r="AL951" s="873"/>
      <c r="AM951" s="873"/>
      <c r="AN951" s="873"/>
      <c r="AO951" s="873"/>
      <c r="AP951" s="873"/>
      <c r="AQ951" s="873"/>
      <c r="AR951" s="873"/>
      <c r="AS951" s="873"/>
    </row>
    <row r="952" spans="1:45" ht="12.75" x14ac:dyDescent="0.2">
      <c r="A952" s="873"/>
      <c r="B952" s="873"/>
      <c r="C952" s="873"/>
      <c r="D952" s="873"/>
      <c r="E952" s="873"/>
      <c r="F952" s="873"/>
      <c r="G952" s="873"/>
      <c r="H952" s="873"/>
      <c r="I952" s="873"/>
      <c r="J952" s="873"/>
      <c r="K952" s="873"/>
      <c r="L952" s="873"/>
      <c r="M952" s="873"/>
      <c r="N952" s="873"/>
      <c r="O952" s="873"/>
      <c r="P952" s="873"/>
      <c r="Q952" s="873"/>
      <c r="R952" s="873"/>
      <c r="S952" s="873"/>
      <c r="T952" s="873"/>
      <c r="U952" s="873"/>
      <c r="V952" s="873"/>
      <c r="W952" s="873"/>
      <c r="X952" s="873"/>
      <c r="Y952" s="873"/>
      <c r="Z952" s="873"/>
      <c r="AA952" s="873"/>
      <c r="AB952" s="873"/>
      <c r="AC952" s="873"/>
      <c r="AD952" s="873"/>
      <c r="AE952" s="873"/>
      <c r="AF952" s="873"/>
      <c r="AG952" s="873"/>
      <c r="AH952" s="873"/>
      <c r="AI952" s="873"/>
      <c r="AJ952" s="873"/>
      <c r="AK952" s="873"/>
      <c r="AL952" s="873"/>
      <c r="AM952" s="873"/>
      <c r="AN952" s="873"/>
      <c r="AO952" s="873"/>
      <c r="AP952" s="873"/>
      <c r="AQ952" s="873"/>
      <c r="AR952" s="873"/>
      <c r="AS952" s="873"/>
    </row>
    <row r="953" spans="1:45" ht="12.75" x14ac:dyDescent="0.2">
      <c r="A953" s="873"/>
      <c r="B953" s="873"/>
      <c r="C953" s="873"/>
      <c r="D953" s="873"/>
      <c r="E953" s="873"/>
      <c r="F953" s="873"/>
      <c r="G953" s="873"/>
      <c r="H953" s="873"/>
      <c r="I953" s="873"/>
      <c r="J953" s="873"/>
      <c r="K953" s="873"/>
      <c r="L953" s="873"/>
      <c r="M953" s="873"/>
      <c r="N953" s="873"/>
      <c r="O953" s="873"/>
      <c r="P953" s="873"/>
      <c r="Q953" s="873"/>
      <c r="R953" s="873"/>
      <c r="S953" s="873"/>
      <c r="T953" s="873"/>
      <c r="U953" s="873"/>
      <c r="V953" s="873"/>
      <c r="W953" s="873"/>
      <c r="X953" s="873"/>
      <c r="Y953" s="873"/>
      <c r="Z953" s="873"/>
      <c r="AA953" s="873"/>
      <c r="AB953" s="873"/>
      <c r="AC953" s="873"/>
      <c r="AD953" s="873"/>
      <c r="AE953" s="873"/>
      <c r="AF953" s="873"/>
      <c r="AG953" s="873"/>
      <c r="AH953" s="873"/>
      <c r="AI953" s="873"/>
      <c r="AJ953" s="873"/>
      <c r="AK953" s="873"/>
      <c r="AL953" s="873"/>
      <c r="AM953" s="873"/>
      <c r="AN953" s="873"/>
      <c r="AO953" s="873"/>
      <c r="AP953" s="873"/>
      <c r="AQ953" s="873"/>
      <c r="AR953" s="873"/>
      <c r="AS953" s="873"/>
    </row>
    <row r="954" spans="1:45" ht="12.75" x14ac:dyDescent="0.2">
      <c r="A954" s="873"/>
      <c r="B954" s="873"/>
      <c r="C954" s="873"/>
      <c r="D954" s="873"/>
      <c r="E954" s="873"/>
      <c r="F954" s="873"/>
      <c r="G954" s="873"/>
      <c r="H954" s="873"/>
      <c r="I954" s="873"/>
      <c r="J954" s="873"/>
      <c r="K954" s="873"/>
      <c r="L954" s="873"/>
      <c r="M954" s="873"/>
      <c r="N954" s="873"/>
      <c r="O954" s="873"/>
      <c r="P954" s="873"/>
      <c r="Q954" s="873"/>
      <c r="R954" s="873"/>
      <c r="S954" s="873"/>
      <c r="T954" s="873"/>
      <c r="U954" s="873"/>
      <c r="V954" s="873"/>
      <c r="W954" s="873"/>
      <c r="X954" s="873"/>
      <c r="Y954" s="873"/>
      <c r="Z954" s="873"/>
      <c r="AA954" s="873"/>
      <c r="AB954" s="873"/>
      <c r="AC954" s="873"/>
      <c r="AD954" s="873"/>
      <c r="AE954" s="873"/>
      <c r="AF954" s="873"/>
      <c r="AG954" s="873"/>
      <c r="AH954" s="873"/>
      <c r="AI954" s="873"/>
      <c r="AJ954" s="873"/>
      <c r="AK954" s="873"/>
      <c r="AL954" s="873"/>
      <c r="AM954" s="873"/>
      <c r="AN954" s="873"/>
      <c r="AO954" s="873"/>
      <c r="AP954" s="873"/>
      <c r="AQ954" s="873"/>
      <c r="AR954" s="873"/>
      <c r="AS954" s="873"/>
    </row>
    <row r="955" spans="1:45" ht="12.75" x14ac:dyDescent="0.2">
      <c r="A955" s="873"/>
      <c r="B955" s="873"/>
      <c r="C955" s="873"/>
      <c r="D955" s="873"/>
      <c r="E955" s="873"/>
      <c r="F955" s="873"/>
      <c r="G955" s="873"/>
      <c r="H955" s="873"/>
      <c r="I955" s="873"/>
      <c r="J955" s="873"/>
      <c r="K955" s="873"/>
      <c r="L955" s="873"/>
      <c r="M955" s="873"/>
      <c r="N955" s="873"/>
      <c r="O955" s="873"/>
      <c r="P955" s="873"/>
      <c r="Q955" s="873"/>
      <c r="R955" s="873"/>
      <c r="S955" s="873"/>
      <c r="T955" s="873"/>
      <c r="U955" s="873"/>
      <c r="V955" s="873"/>
      <c r="W955" s="873"/>
      <c r="X955" s="873"/>
      <c r="Y955" s="873"/>
      <c r="Z955" s="873"/>
      <c r="AA955" s="873"/>
      <c r="AB955" s="873"/>
      <c r="AC955" s="873"/>
      <c r="AD955" s="873"/>
      <c r="AE955" s="873"/>
      <c r="AF955" s="873"/>
      <c r="AG955" s="873"/>
      <c r="AH955" s="873"/>
      <c r="AI955" s="873"/>
      <c r="AJ955" s="873"/>
      <c r="AK955" s="873"/>
      <c r="AL955" s="873"/>
      <c r="AM955" s="873"/>
      <c r="AN955" s="873"/>
      <c r="AO955" s="873"/>
      <c r="AP955" s="873"/>
      <c r="AQ955" s="873"/>
      <c r="AR955" s="873"/>
      <c r="AS955" s="873"/>
    </row>
    <row r="956" spans="1:45" ht="12.75" x14ac:dyDescent="0.2">
      <c r="A956" s="873"/>
      <c r="B956" s="873"/>
      <c r="C956" s="873"/>
      <c r="D956" s="873"/>
      <c r="E956" s="873"/>
      <c r="F956" s="873"/>
      <c r="G956" s="873"/>
      <c r="H956" s="873"/>
      <c r="I956" s="873"/>
      <c r="J956" s="873"/>
      <c r="K956" s="873"/>
      <c r="L956" s="873"/>
      <c r="M956" s="873"/>
      <c r="N956" s="873"/>
      <c r="O956" s="873"/>
      <c r="P956" s="873"/>
      <c r="Q956" s="873"/>
      <c r="R956" s="873"/>
      <c r="S956" s="873"/>
      <c r="T956" s="873"/>
      <c r="U956" s="873"/>
      <c r="V956" s="873"/>
      <c r="W956" s="873"/>
      <c r="X956" s="873"/>
      <c r="Y956" s="873"/>
      <c r="Z956" s="873"/>
      <c r="AA956" s="873"/>
      <c r="AB956" s="873"/>
      <c r="AC956" s="873"/>
      <c r="AD956" s="873"/>
      <c r="AE956" s="873"/>
      <c r="AF956" s="873"/>
      <c r="AG956" s="873"/>
      <c r="AH956" s="873"/>
      <c r="AI956" s="873"/>
      <c r="AJ956" s="873"/>
      <c r="AK956" s="873"/>
      <c r="AL956" s="873"/>
      <c r="AM956" s="873"/>
      <c r="AN956" s="873"/>
      <c r="AO956" s="873"/>
      <c r="AP956" s="873"/>
      <c r="AQ956" s="873"/>
      <c r="AR956" s="873"/>
      <c r="AS956" s="873"/>
    </row>
    <row r="957" spans="1:45" ht="12.75" x14ac:dyDescent="0.2">
      <c r="A957" s="873"/>
      <c r="B957" s="873"/>
      <c r="C957" s="873"/>
      <c r="D957" s="873"/>
      <c r="E957" s="873"/>
      <c r="F957" s="873"/>
      <c r="G957" s="873"/>
      <c r="H957" s="873"/>
      <c r="I957" s="873"/>
      <c r="J957" s="873"/>
      <c r="K957" s="873"/>
      <c r="L957" s="873"/>
      <c r="M957" s="873"/>
      <c r="N957" s="873"/>
      <c r="O957" s="873"/>
      <c r="P957" s="873"/>
      <c r="Q957" s="873"/>
      <c r="R957" s="873"/>
      <c r="S957" s="873"/>
      <c r="T957" s="873"/>
      <c r="U957" s="873"/>
      <c r="V957" s="873"/>
      <c r="W957" s="873"/>
      <c r="X957" s="873"/>
      <c r="Y957" s="873"/>
      <c r="Z957" s="873"/>
      <c r="AA957" s="873"/>
      <c r="AB957" s="873"/>
      <c r="AC957" s="873"/>
      <c r="AD957" s="873"/>
      <c r="AE957" s="873"/>
      <c r="AF957" s="873"/>
      <c r="AG957" s="873"/>
      <c r="AH957" s="873"/>
      <c r="AI957" s="873"/>
      <c r="AJ957" s="873"/>
      <c r="AK957" s="873"/>
      <c r="AL957" s="873"/>
      <c r="AM957" s="873"/>
      <c r="AN957" s="873"/>
      <c r="AO957" s="873"/>
      <c r="AP957" s="873"/>
      <c r="AQ957" s="873"/>
      <c r="AR957" s="873"/>
      <c r="AS957" s="873"/>
    </row>
    <row r="958" spans="1:45" ht="12.75" x14ac:dyDescent="0.2">
      <c r="A958" s="873"/>
      <c r="B958" s="873"/>
      <c r="C958" s="873"/>
      <c r="D958" s="873"/>
      <c r="E958" s="873"/>
      <c r="F958" s="873"/>
      <c r="G958" s="873"/>
      <c r="H958" s="873"/>
      <c r="I958" s="873"/>
      <c r="J958" s="873"/>
      <c r="K958" s="873"/>
      <c r="L958" s="873"/>
      <c r="M958" s="873"/>
      <c r="N958" s="873"/>
      <c r="O958" s="873"/>
      <c r="P958" s="873"/>
      <c r="Q958" s="873"/>
      <c r="R958" s="873"/>
      <c r="S958" s="873"/>
      <c r="T958" s="873"/>
      <c r="U958" s="873"/>
      <c r="V958" s="873"/>
      <c r="W958" s="873"/>
      <c r="X958" s="873"/>
      <c r="Y958" s="873"/>
      <c r="Z958" s="873"/>
      <c r="AA958" s="873"/>
      <c r="AB958" s="873"/>
      <c r="AC958" s="873"/>
      <c r="AD958" s="873"/>
      <c r="AE958" s="873"/>
      <c r="AF958" s="873"/>
      <c r="AG958" s="873"/>
      <c r="AH958" s="873"/>
      <c r="AI958" s="873"/>
      <c r="AJ958" s="873"/>
      <c r="AK958" s="873"/>
      <c r="AL958" s="873"/>
      <c r="AM958" s="873"/>
      <c r="AN958" s="873"/>
      <c r="AO958" s="873"/>
      <c r="AP958" s="873"/>
      <c r="AQ958" s="873"/>
      <c r="AR958" s="873"/>
      <c r="AS958" s="873"/>
    </row>
    <row r="959" spans="1:45" ht="12.75" x14ac:dyDescent="0.2">
      <c r="A959" s="873"/>
      <c r="B959" s="873"/>
      <c r="C959" s="873"/>
      <c r="D959" s="873"/>
      <c r="E959" s="873"/>
      <c r="F959" s="873"/>
      <c r="G959" s="873"/>
      <c r="H959" s="873"/>
      <c r="I959" s="873"/>
      <c r="J959" s="873"/>
      <c r="K959" s="873"/>
      <c r="L959" s="873"/>
      <c r="M959" s="873"/>
      <c r="N959" s="873"/>
      <c r="O959" s="873"/>
      <c r="P959" s="873"/>
      <c r="Q959" s="873"/>
      <c r="R959" s="873"/>
      <c r="S959" s="873"/>
      <c r="T959" s="873"/>
      <c r="U959" s="873"/>
      <c r="V959" s="873"/>
      <c r="W959" s="873"/>
      <c r="X959" s="873"/>
      <c r="Y959" s="873"/>
      <c r="Z959" s="873"/>
      <c r="AA959" s="873"/>
      <c r="AB959" s="873"/>
      <c r="AC959" s="873"/>
      <c r="AD959" s="873"/>
      <c r="AE959" s="873"/>
      <c r="AF959" s="873"/>
      <c r="AG959" s="873"/>
      <c r="AH959" s="873"/>
      <c r="AI959" s="873"/>
      <c r="AJ959" s="873"/>
      <c r="AK959" s="873"/>
      <c r="AL959" s="873"/>
      <c r="AM959" s="873"/>
      <c r="AN959" s="873"/>
      <c r="AO959" s="873"/>
      <c r="AP959" s="873"/>
      <c r="AQ959" s="873"/>
      <c r="AR959" s="873"/>
      <c r="AS959" s="873"/>
    </row>
    <row r="960" spans="1:45" ht="12.75" x14ac:dyDescent="0.2">
      <c r="A960" s="873"/>
      <c r="B960" s="873"/>
      <c r="C960" s="873"/>
      <c r="D960" s="873"/>
      <c r="E960" s="873"/>
      <c r="F960" s="873"/>
      <c r="G960" s="873"/>
      <c r="H960" s="873"/>
      <c r="I960" s="873"/>
      <c r="J960" s="873"/>
      <c r="K960" s="873"/>
      <c r="L960" s="873"/>
      <c r="M960" s="873"/>
      <c r="N960" s="873"/>
      <c r="O960" s="873"/>
      <c r="P960" s="873"/>
      <c r="Q960" s="873"/>
      <c r="R960" s="873"/>
      <c r="S960" s="873"/>
      <c r="T960" s="873"/>
      <c r="U960" s="873"/>
      <c r="V960" s="873"/>
      <c r="W960" s="873"/>
      <c r="X960" s="873"/>
      <c r="Y960" s="873"/>
      <c r="Z960" s="873"/>
      <c r="AA960" s="873"/>
      <c r="AB960" s="873"/>
      <c r="AC960" s="873"/>
      <c r="AD960" s="873"/>
      <c r="AE960" s="873"/>
      <c r="AF960" s="873"/>
      <c r="AG960" s="873"/>
      <c r="AH960" s="873"/>
      <c r="AI960" s="873"/>
      <c r="AJ960" s="873"/>
      <c r="AK960" s="873"/>
      <c r="AL960" s="873"/>
      <c r="AM960" s="873"/>
      <c r="AN960" s="873"/>
      <c r="AO960" s="873"/>
      <c r="AP960" s="873"/>
      <c r="AQ960" s="873"/>
      <c r="AR960" s="873"/>
      <c r="AS960" s="873"/>
    </row>
    <row r="961" spans="1:45" ht="12.75" x14ac:dyDescent="0.2">
      <c r="A961" s="873"/>
      <c r="B961" s="873"/>
      <c r="C961" s="873"/>
      <c r="D961" s="873"/>
      <c r="E961" s="873"/>
      <c r="F961" s="873"/>
      <c r="G961" s="873"/>
      <c r="H961" s="873"/>
      <c r="I961" s="873"/>
      <c r="J961" s="873"/>
      <c r="K961" s="873"/>
      <c r="L961" s="873"/>
      <c r="M961" s="873"/>
      <c r="N961" s="873"/>
      <c r="O961" s="873"/>
      <c r="P961" s="873"/>
      <c r="Q961" s="873"/>
      <c r="R961" s="873"/>
      <c r="S961" s="873"/>
      <c r="T961" s="873"/>
      <c r="U961" s="873"/>
      <c r="V961" s="873"/>
      <c r="W961" s="873"/>
      <c r="X961" s="873"/>
      <c r="Y961" s="873"/>
      <c r="Z961" s="873"/>
      <c r="AA961" s="873"/>
      <c r="AB961" s="873"/>
      <c r="AC961" s="873"/>
      <c r="AD961" s="873"/>
      <c r="AE961" s="873"/>
      <c r="AF961" s="873"/>
      <c r="AG961" s="873"/>
      <c r="AH961" s="873"/>
      <c r="AI961" s="873"/>
      <c r="AJ961" s="873"/>
      <c r="AK961" s="873"/>
      <c r="AL961" s="873"/>
      <c r="AM961" s="873"/>
      <c r="AN961" s="873"/>
      <c r="AO961" s="873"/>
      <c r="AP961" s="873"/>
      <c r="AQ961" s="873"/>
      <c r="AR961" s="873"/>
      <c r="AS961" s="873"/>
    </row>
    <row r="962" spans="1:45" ht="12.75" x14ac:dyDescent="0.2">
      <c r="A962" s="873"/>
      <c r="B962" s="873"/>
      <c r="C962" s="873"/>
      <c r="D962" s="873"/>
      <c r="E962" s="873"/>
      <c r="F962" s="873"/>
      <c r="G962" s="873"/>
      <c r="H962" s="873"/>
      <c r="I962" s="873"/>
      <c r="J962" s="873"/>
      <c r="K962" s="873"/>
      <c r="L962" s="873"/>
      <c r="M962" s="873"/>
      <c r="N962" s="873"/>
      <c r="O962" s="873"/>
      <c r="P962" s="873"/>
      <c r="Q962" s="873"/>
      <c r="R962" s="873"/>
      <c r="S962" s="873"/>
      <c r="T962" s="873"/>
      <c r="U962" s="873"/>
      <c r="V962" s="873"/>
      <c r="W962" s="873"/>
      <c r="X962" s="873"/>
      <c r="Y962" s="873"/>
      <c r="Z962" s="873"/>
      <c r="AA962" s="873"/>
      <c r="AB962" s="873"/>
      <c r="AC962" s="873"/>
      <c r="AD962" s="873"/>
      <c r="AE962" s="873"/>
      <c r="AF962" s="873"/>
      <c r="AG962" s="873"/>
      <c r="AH962" s="873"/>
      <c r="AI962" s="873"/>
      <c r="AJ962" s="873"/>
      <c r="AK962" s="873"/>
      <c r="AL962" s="873"/>
      <c r="AM962" s="873"/>
      <c r="AN962" s="873"/>
      <c r="AO962" s="873"/>
      <c r="AP962" s="873"/>
      <c r="AQ962" s="873"/>
      <c r="AR962" s="873"/>
      <c r="AS962" s="873"/>
    </row>
    <row r="963" spans="1:45" ht="12.75" x14ac:dyDescent="0.2">
      <c r="A963" s="873"/>
      <c r="B963" s="873"/>
      <c r="C963" s="873"/>
      <c r="D963" s="873"/>
      <c r="E963" s="873"/>
      <c r="F963" s="873"/>
      <c r="G963" s="873"/>
      <c r="H963" s="873"/>
      <c r="I963" s="873"/>
      <c r="J963" s="873"/>
      <c r="K963" s="873"/>
      <c r="L963" s="873"/>
      <c r="M963" s="873"/>
      <c r="N963" s="873"/>
      <c r="O963" s="873"/>
      <c r="P963" s="873"/>
      <c r="Q963" s="873"/>
      <c r="R963" s="873"/>
      <c r="S963" s="873"/>
      <c r="T963" s="873"/>
      <c r="U963" s="873"/>
      <c r="V963" s="873"/>
      <c r="W963" s="873"/>
      <c r="X963" s="873"/>
      <c r="Y963" s="873"/>
      <c r="Z963" s="873"/>
      <c r="AA963" s="873"/>
      <c r="AB963" s="873"/>
      <c r="AC963" s="873"/>
      <c r="AD963" s="873"/>
      <c r="AE963" s="873"/>
      <c r="AF963" s="873"/>
      <c r="AG963" s="873"/>
      <c r="AH963" s="873"/>
      <c r="AI963" s="873"/>
      <c r="AJ963" s="873"/>
      <c r="AK963" s="873"/>
      <c r="AL963" s="873"/>
      <c r="AM963" s="873"/>
      <c r="AN963" s="873"/>
      <c r="AO963" s="873"/>
      <c r="AP963" s="873"/>
      <c r="AQ963" s="873"/>
      <c r="AR963" s="873"/>
      <c r="AS963" s="873"/>
    </row>
    <row r="964" spans="1:45" ht="12.75" x14ac:dyDescent="0.2">
      <c r="A964" s="873"/>
      <c r="B964" s="873"/>
      <c r="C964" s="873"/>
      <c r="D964" s="873"/>
      <c r="E964" s="873"/>
      <c r="F964" s="873"/>
      <c r="G964" s="873"/>
      <c r="H964" s="873"/>
      <c r="I964" s="873"/>
      <c r="J964" s="873"/>
      <c r="K964" s="873"/>
      <c r="L964" s="873"/>
      <c r="M964" s="873"/>
      <c r="N964" s="873"/>
      <c r="O964" s="873"/>
      <c r="P964" s="873"/>
      <c r="Q964" s="873"/>
      <c r="R964" s="873"/>
      <c r="S964" s="873"/>
      <c r="T964" s="873"/>
      <c r="U964" s="873"/>
      <c r="V964" s="873"/>
      <c r="W964" s="873"/>
      <c r="X964" s="873"/>
      <c r="Y964" s="873"/>
      <c r="Z964" s="873"/>
      <c r="AA964" s="873"/>
      <c r="AB964" s="873"/>
      <c r="AC964" s="873"/>
      <c r="AD964" s="873"/>
      <c r="AE964" s="873"/>
      <c r="AF964" s="873"/>
      <c r="AG964" s="873"/>
      <c r="AH964" s="873"/>
      <c r="AI964" s="873"/>
      <c r="AJ964" s="873"/>
      <c r="AK964" s="873"/>
      <c r="AL964" s="873"/>
      <c r="AM964" s="873"/>
      <c r="AN964" s="873"/>
      <c r="AO964" s="873"/>
      <c r="AP964" s="873"/>
      <c r="AQ964" s="873"/>
      <c r="AR964" s="873"/>
      <c r="AS964" s="873"/>
    </row>
    <row r="965" spans="1:45" ht="12.75" x14ac:dyDescent="0.2">
      <c r="A965" s="873"/>
      <c r="B965" s="873"/>
      <c r="C965" s="873"/>
      <c r="D965" s="873"/>
      <c r="E965" s="873"/>
      <c r="F965" s="873"/>
      <c r="G965" s="873"/>
      <c r="H965" s="873"/>
      <c r="I965" s="873"/>
      <c r="J965" s="873"/>
      <c r="K965" s="873"/>
      <c r="L965" s="873"/>
      <c r="M965" s="873"/>
      <c r="N965" s="873"/>
      <c r="O965" s="873"/>
      <c r="P965" s="873"/>
      <c r="Q965" s="873"/>
      <c r="R965" s="873"/>
      <c r="S965" s="873"/>
      <c r="T965" s="873"/>
      <c r="U965" s="873"/>
      <c r="V965" s="873"/>
      <c r="W965" s="873"/>
      <c r="X965" s="873"/>
      <c r="Y965" s="873"/>
      <c r="Z965" s="873"/>
      <c r="AA965" s="873"/>
      <c r="AB965" s="873"/>
      <c r="AC965" s="873"/>
      <c r="AD965" s="873"/>
      <c r="AE965" s="873"/>
      <c r="AF965" s="873"/>
      <c r="AG965" s="873"/>
      <c r="AH965" s="873"/>
      <c r="AI965" s="873"/>
      <c r="AJ965" s="873"/>
      <c r="AK965" s="873"/>
      <c r="AL965" s="873"/>
      <c r="AM965" s="873"/>
      <c r="AN965" s="873"/>
      <c r="AO965" s="873"/>
      <c r="AP965" s="873"/>
      <c r="AQ965" s="873"/>
      <c r="AR965" s="873"/>
      <c r="AS965" s="873"/>
    </row>
    <row r="966" spans="1:45" ht="12.75" x14ac:dyDescent="0.2">
      <c r="A966" s="873"/>
      <c r="B966" s="873"/>
      <c r="C966" s="873"/>
      <c r="D966" s="873"/>
      <c r="E966" s="873"/>
      <c r="F966" s="873"/>
      <c r="G966" s="873"/>
      <c r="H966" s="873"/>
      <c r="I966" s="873"/>
      <c r="J966" s="873"/>
      <c r="K966" s="873"/>
      <c r="L966" s="873"/>
      <c r="M966" s="873"/>
      <c r="N966" s="873"/>
      <c r="O966" s="873"/>
      <c r="P966" s="873"/>
      <c r="Q966" s="873"/>
      <c r="R966" s="873"/>
      <c r="S966" s="873"/>
      <c r="T966" s="873"/>
      <c r="U966" s="873"/>
      <c r="V966" s="873"/>
      <c r="W966" s="873"/>
      <c r="X966" s="873"/>
      <c r="Y966" s="873"/>
      <c r="Z966" s="873"/>
      <c r="AA966" s="873"/>
      <c r="AB966" s="873"/>
      <c r="AC966" s="873"/>
      <c r="AD966" s="873"/>
      <c r="AE966" s="873"/>
      <c r="AF966" s="873"/>
      <c r="AG966" s="873"/>
      <c r="AH966" s="873"/>
      <c r="AI966" s="873"/>
      <c r="AJ966" s="873"/>
      <c r="AK966" s="873"/>
      <c r="AL966" s="873"/>
      <c r="AM966" s="873"/>
      <c r="AN966" s="873"/>
      <c r="AO966" s="873"/>
      <c r="AP966" s="873"/>
      <c r="AQ966" s="873"/>
      <c r="AR966" s="873"/>
      <c r="AS966" s="873"/>
    </row>
    <row r="967" spans="1:45" ht="12.75" x14ac:dyDescent="0.2">
      <c r="A967" s="873"/>
      <c r="B967" s="873"/>
      <c r="C967" s="873"/>
      <c r="D967" s="873"/>
      <c r="E967" s="873"/>
      <c r="F967" s="873"/>
      <c r="G967" s="873"/>
      <c r="H967" s="873"/>
      <c r="I967" s="873"/>
      <c r="J967" s="873"/>
      <c r="K967" s="873"/>
      <c r="L967" s="873"/>
      <c r="M967" s="873"/>
      <c r="N967" s="873"/>
      <c r="O967" s="873"/>
      <c r="P967" s="873"/>
      <c r="Q967" s="873"/>
      <c r="R967" s="873"/>
      <c r="S967" s="873"/>
      <c r="T967" s="873"/>
      <c r="U967" s="873"/>
      <c r="V967" s="873"/>
      <c r="W967" s="873"/>
      <c r="X967" s="873"/>
      <c r="Y967" s="873"/>
      <c r="Z967" s="873"/>
      <c r="AA967" s="873"/>
      <c r="AB967" s="873"/>
      <c r="AC967" s="873"/>
      <c r="AD967" s="873"/>
      <c r="AE967" s="873"/>
      <c r="AF967" s="873"/>
      <c r="AG967" s="873"/>
      <c r="AH967" s="873"/>
      <c r="AI967" s="873"/>
      <c r="AJ967" s="873"/>
      <c r="AK967" s="873"/>
      <c r="AL967" s="873"/>
      <c r="AM967" s="873"/>
      <c r="AN967" s="873"/>
      <c r="AO967" s="873"/>
      <c r="AP967" s="873"/>
      <c r="AQ967" s="873"/>
      <c r="AR967" s="873"/>
      <c r="AS967" s="873"/>
    </row>
    <row r="968" spans="1:45" ht="12.75" x14ac:dyDescent="0.2">
      <c r="A968" s="873"/>
      <c r="B968" s="873"/>
      <c r="C968" s="873"/>
      <c r="D968" s="873"/>
      <c r="E968" s="873"/>
      <c r="F968" s="873"/>
      <c r="G968" s="873"/>
      <c r="H968" s="873"/>
      <c r="I968" s="873"/>
      <c r="J968" s="873"/>
      <c r="K968" s="873"/>
      <c r="L968" s="873"/>
      <c r="M968" s="873"/>
      <c r="N968" s="873"/>
      <c r="O968" s="873"/>
      <c r="P968" s="873"/>
      <c r="Q968" s="873"/>
      <c r="R968" s="873"/>
      <c r="S968" s="873"/>
      <c r="T968" s="873"/>
      <c r="U968" s="873"/>
      <c r="V968" s="873"/>
      <c r="W968" s="873"/>
      <c r="X968" s="873"/>
      <c r="Y968" s="873"/>
      <c r="Z968" s="873"/>
      <c r="AA968" s="873"/>
      <c r="AB968" s="873"/>
      <c r="AC968" s="873"/>
      <c r="AD968" s="873"/>
      <c r="AE968" s="873"/>
      <c r="AF968" s="873"/>
      <c r="AG968" s="873"/>
      <c r="AH968" s="873"/>
      <c r="AI968" s="873"/>
      <c r="AJ968" s="873"/>
      <c r="AK968" s="873"/>
      <c r="AL968" s="873"/>
      <c r="AM968" s="873"/>
      <c r="AN968" s="873"/>
      <c r="AO968" s="873"/>
      <c r="AP968" s="873"/>
      <c r="AQ968" s="873"/>
      <c r="AR968" s="873"/>
      <c r="AS968" s="873"/>
    </row>
    <row r="969" spans="1:45" ht="12.75" x14ac:dyDescent="0.2">
      <c r="A969" s="873"/>
      <c r="B969" s="873"/>
      <c r="C969" s="873"/>
      <c r="D969" s="873"/>
      <c r="E969" s="873"/>
      <c r="F969" s="873"/>
      <c r="G969" s="873"/>
      <c r="H969" s="873"/>
      <c r="I969" s="873"/>
      <c r="J969" s="873"/>
      <c r="K969" s="873"/>
      <c r="L969" s="873"/>
      <c r="M969" s="873"/>
      <c r="N969" s="873"/>
      <c r="O969" s="873"/>
      <c r="P969" s="873"/>
      <c r="Q969" s="873"/>
      <c r="R969" s="873"/>
      <c r="S969" s="873"/>
      <c r="T969" s="873"/>
      <c r="U969" s="873"/>
      <c r="V969" s="873"/>
      <c r="W969" s="873"/>
      <c r="X969" s="873"/>
      <c r="Y969" s="873"/>
      <c r="Z969" s="873"/>
      <c r="AA969" s="873"/>
      <c r="AB969" s="873"/>
      <c r="AC969" s="873"/>
      <c r="AD969" s="873"/>
      <c r="AE969" s="873"/>
      <c r="AF969" s="873"/>
      <c r="AG969" s="873"/>
      <c r="AH969" s="873"/>
      <c r="AI969" s="873"/>
      <c r="AJ969" s="873"/>
      <c r="AK969" s="873"/>
      <c r="AL969" s="873"/>
      <c r="AM969" s="873"/>
      <c r="AN969" s="873"/>
      <c r="AO969" s="873"/>
      <c r="AP969" s="873"/>
      <c r="AQ969" s="873"/>
      <c r="AR969" s="873"/>
      <c r="AS969" s="873"/>
    </row>
    <row r="970" spans="1:45" ht="12.75" x14ac:dyDescent="0.2">
      <c r="A970" s="873"/>
      <c r="B970" s="873"/>
      <c r="C970" s="873"/>
      <c r="D970" s="873"/>
      <c r="E970" s="873"/>
      <c r="F970" s="873"/>
      <c r="G970" s="873"/>
      <c r="H970" s="873"/>
      <c r="I970" s="873"/>
      <c r="J970" s="873"/>
      <c r="K970" s="873"/>
      <c r="L970" s="873"/>
      <c r="M970" s="873"/>
      <c r="N970" s="873"/>
      <c r="O970" s="873"/>
      <c r="P970" s="873"/>
      <c r="Q970" s="873"/>
      <c r="R970" s="873"/>
      <c r="S970" s="873"/>
      <c r="T970" s="873"/>
      <c r="U970" s="873"/>
      <c r="V970" s="873"/>
      <c r="W970" s="873"/>
      <c r="X970" s="873"/>
      <c r="Y970" s="873"/>
      <c r="Z970" s="873"/>
      <c r="AA970" s="873"/>
      <c r="AB970" s="873"/>
      <c r="AC970" s="873"/>
      <c r="AD970" s="873"/>
      <c r="AE970" s="873"/>
      <c r="AF970" s="873"/>
      <c r="AG970" s="873"/>
      <c r="AH970" s="873"/>
      <c r="AI970" s="873"/>
      <c r="AJ970" s="873"/>
      <c r="AK970" s="873"/>
      <c r="AL970" s="873"/>
      <c r="AM970" s="873"/>
      <c r="AN970" s="873"/>
      <c r="AO970" s="873"/>
      <c r="AP970" s="873"/>
      <c r="AQ970" s="873"/>
      <c r="AR970" s="873"/>
      <c r="AS970" s="873"/>
    </row>
    <row r="971" spans="1:45" ht="12.75" x14ac:dyDescent="0.2">
      <c r="A971" s="873"/>
      <c r="B971" s="873"/>
      <c r="C971" s="873"/>
      <c r="D971" s="873"/>
      <c r="E971" s="873"/>
      <c r="F971" s="873"/>
      <c r="G971" s="873"/>
      <c r="H971" s="873"/>
      <c r="I971" s="873"/>
      <c r="J971" s="873"/>
      <c r="K971" s="873"/>
      <c r="L971" s="873"/>
      <c r="M971" s="873"/>
      <c r="N971" s="873"/>
      <c r="O971" s="873"/>
      <c r="P971" s="873"/>
      <c r="Q971" s="873"/>
      <c r="R971" s="873"/>
      <c r="S971" s="873"/>
      <c r="T971" s="873"/>
      <c r="U971" s="873"/>
      <c r="V971" s="873"/>
      <c r="W971" s="873"/>
      <c r="X971" s="873"/>
      <c r="Y971" s="873"/>
      <c r="Z971" s="873"/>
      <c r="AA971" s="873"/>
      <c r="AB971" s="873"/>
      <c r="AC971" s="873"/>
      <c r="AD971" s="873"/>
      <c r="AE971" s="873"/>
      <c r="AF971" s="873"/>
      <c r="AG971" s="873"/>
      <c r="AH971" s="873"/>
      <c r="AI971" s="873"/>
      <c r="AJ971" s="873"/>
      <c r="AK971" s="873"/>
      <c r="AL971" s="873"/>
      <c r="AM971" s="873"/>
      <c r="AN971" s="873"/>
      <c r="AO971" s="873"/>
      <c r="AP971" s="873"/>
      <c r="AQ971" s="873"/>
      <c r="AR971" s="873"/>
      <c r="AS971" s="873"/>
    </row>
    <row r="972" spans="1:45" ht="12.75" x14ac:dyDescent="0.2">
      <c r="A972" s="873"/>
      <c r="B972" s="873"/>
      <c r="C972" s="873"/>
      <c r="D972" s="873"/>
      <c r="E972" s="873"/>
      <c r="F972" s="873"/>
      <c r="G972" s="873"/>
      <c r="H972" s="873"/>
      <c r="I972" s="873"/>
      <c r="J972" s="873"/>
      <c r="K972" s="873"/>
      <c r="L972" s="873"/>
      <c r="M972" s="873"/>
      <c r="N972" s="873"/>
      <c r="O972" s="873"/>
      <c r="P972" s="873"/>
      <c r="Q972" s="873"/>
      <c r="R972" s="873"/>
      <c r="S972" s="873"/>
      <c r="T972" s="873"/>
      <c r="U972" s="873"/>
      <c r="V972" s="873"/>
      <c r="W972" s="873"/>
      <c r="X972" s="873"/>
      <c r="Y972" s="873"/>
      <c r="Z972" s="873"/>
      <c r="AA972" s="873"/>
      <c r="AB972" s="873"/>
      <c r="AC972" s="873"/>
      <c r="AD972" s="873"/>
      <c r="AE972" s="873"/>
      <c r="AF972" s="873"/>
      <c r="AG972" s="873"/>
      <c r="AH972" s="873"/>
      <c r="AI972" s="873"/>
      <c r="AJ972" s="873"/>
      <c r="AK972" s="873"/>
      <c r="AL972" s="873"/>
      <c r="AM972" s="873"/>
      <c r="AN972" s="873"/>
      <c r="AO972" s="873"/>
      <c r="AP972" s="873"/>
      <c r="AQ972" s="873"/>
      <c r="AR972" s="873"/>
      <c r="AS972" s="873"/>
    </row>
    <row r="973" spans="1:45" ht="12.75" x14ac:dyDescent="0.2">
      <c r="A973" s="873"/>
      <c r="B973" s="873"/>
      <c r="C973" s="873"/>
      <c r="D973" s="873"/>
      <c r="E973" s="873"/>
      <c r="F973" s="873"/>
      <c r="G973" s="873"/>
      <c r="H973" s="873"/>
      <c r="I973" s="873"/>
      <c r="J973" s="873"/>
      <c r="K973" s="873"/>
      <c r="L973" s="873"/>
      <c r="M973" s="873"/>
      <c r="N973" s="873"/>
      <c r="O973" s="873"/>
      <c r="P973" s="873"/>
      <c r="Q973" s="873"/>
      <c r="R973" s="873"/>
      <c r="S973" s="873"/>
      <c r="T973" s="873"/>
      <c r="U973" s="873"/>
      <c r="V973" s="873"/>
      <c r="W973" s="873"/>
      <c r="X973" s="873"/>
      <c r="Y973" s="873"/>
      <c r="Z973" s="873"/>
      <c r="AA973" s="873"/>
      <c r="AB973" s="873"/>
      <c r="AC973" s="873"/>
      <c r="AD973" s="873"/>
      <c r="AE973" s="873"/>
      <c r="AF973" s="873"/>
      <c r="AG973" s="873"/>
      <c r="AH973" s="873"/>
      <c r="AI973" s="873"/>
      <c r="AJ973" s="873"/>
      <c r="AK973" s="873"/>
      <c r="AL973" s="873"/>
      <c r="AM973" s="873"/>
      <c r="AN973" s="873"/>
      <c r="AO973" s="873"/>
      <c r="AP973" s="873"/>
      <c r="AQ973" s="873"/>
      <c r="AR973" s="873"/>
      <c r="AS973" s="873"/>
    </row>
    <row r="974" spans="1:45" ht="12.75" x14ac:dyDescent="0.2">
      <c r="A974" s="873"/>
      <c r="B974" s="873"/>
      <c r="C974" s="873"/>
      <c r="D974" s="873"/>
      <c r="E974" s="873"/>
      <c r="F974" s="873"/>
      <c r="G974" s="873"/>
      <c r="H974" s="873"/>
      <c r="I974" s="873"/>
      <c r="J974" s="873"/>
      <c r="K974" s="873"/>
      <c r="L974" s="873"/>
      <c r="M974" s="873"/>
      <c r="N974" s="873"/>
      <c r="O974" s="873"/>
      <c r="P974" s="873"/>
      <c r="Q974" s="873"/>
      <c r="R974" s="873"/>
      <c r="S974" s="873"/>
      <c r="T974" s="873"/>
      <c r="U974" s="873"/>
      <c r="V974" s="873"/>
      <c r="W974" s="873"/>
      <c r="X974" s="873"/>
      <c r="Y974" s="873"/>
      <c r="Z974" s="873"/>
      <c r="AA974" s="873"/>
      <c r="AB974" s="873"/>
      <c r="AC974" s="873"/>
      <c r="AD974" s="873"/>
      <c r="AE974" s="873"/>
      <c r="AF974" s="873"/>
      <c r="AG974" s="873"/>
      <c r="AH974" s="873"/>
      <c r="AI974" s="873"/>
      <c r="AJ974" s="873"/>
      <c r="AK974" s="873"/>
      <c r="AL974" s="873"/>
      <c r="AM974" s="873"/>
      <c r="AN974" s="873"/>
      <c r="AO974" s="873"/>
      <c r="AP974" s="873"/>
      <c r="AQ974" s="873"/>
      <c r="AR974" s="873"/>
      <c r="AS974" s="873"/>
    </row>
    <row r="975" spans="1:45" ht="12.75" x14ac:dyDescent="0.2">
      <c r="A975" s="873"/>
      <c r="B975" s="873"/>
      <c r="C975" s="873"/>
      <c r="D975" s="873"/>
      <c r="E975" s="873"/>
      <c r="F975" s="873"/>
      <c r="G975" s="873"/>
      <c r="H975" s="873"/>
      <c r="I975" s="873"/>
      <c r="J975" s="873"/>
      <c r="K975" s="873"/>
      <c r="L975" s="873"/>
      <c r="M975" s="873"/>
      <c r="N975" s="873"/>
      <c r="O975" s="873"/>
      <c r="P975" s="873"/>
      <c r="Q975" s="873"/>
      <c r="R975" s="873"/>
      <c r="S975" s="873"/>
      <c r="T975" s="873"/>
      <c r="U975" s="873"/>
      <c r="V975" s="873"/>
      <c r="W975" s="873"/>
      <c r="X975" s="873"/>
      <c r="Y975" s="873"/>
      <c r="Z975" s="873"/>
      <c r="AA975" s="873"/>
      <c r="AB975" s="873"/>
      <c r="AC975" s="873"/>
      <c r="AD975" s="873"/>
      <c r="AE975" s="873"/>
      <c r="AF975" s="873"/>
      <c r="AG975" s="873"/>
      <c r="AH975" s="873"/>
      <c r="AI975" s="873"/>
      <c r="AJ975" s="873"/>
      <c r="AK975" s="873"/>
      <c r="AL975" s="873"/>
      <c r="AM975" s="873"/>
      <c r="AN975" s="873"/>
      <c r="AO975" s="873"/>
      <c r="AP975" s="873"/>
      <c r="AQ975" s="873"/>
      <c r="AR975" s="873"/>
      <c r="AS975" s="873"/>
    </row>
    <row r="976" spans="1:45" ht="12.75" x14ac:dyDescent="0.2">
      <c r="A976" s="873"/>
      <c r="B976" s="873"/>
      <c r="C976" s="873"/>
      <c r="D976" s="873"/>
      <c r="E976" s="873"/>
      <c r="F976" s="873"/>
      <c r="G976" s="873"/>
      <c r="H976" s="873"/>
      <c r="I976" s="873"/>
      <c r="J976" s="873"/>
      <c r="K976" s="873"/>
      <c r="L976" s="873"/>
      <c r="M976" s="873"/>
      <c r="N976" s="873"/>
      <c r="O976" s="873"/>
      <c r="P976" s="873"/>
      <c r="Q976" s="873"/>
      <c r="R976" s="873"/>
      <c r="S976" s="873"/>
      <c r="T976" s="873"/>
      <c r="U976" s="873"/>
      <c r="V976" s="873"/>
      <c r="W976" s="873"/>
      <c r="X976" s="873"/>
      <c r="Y976" s="873"/>
      <c r="Z976" s="873"/>
      <c r="AA976" s="873"/>
      <c r="AB976" s="873"/>
      <c r="AC976" s="873"/>
      <c r="AD976" s="873"/>
      <c r="AE976" s="873"/>
      <c r="AF976" s="873"/>
      <c r="AG976" s="873"/>
      <c r="AH976" s="873"/>
      <c r="AI976" s="873"/>
      <c r="AJ976" s="873"/>
      <c r="AK976" s="873"/>
      <c r="AL976" s="873"/>
      <c r="AM976" s="873"/>
      <c r="AN976" s="873"/>
      <c r="AO976" s="873"/>
      <c r="AP976" s="873"/>
      <c r="AQ976" s="873"/>
      <c r="AR976" s="873"/>
      <c r="AS976" s="873"/>
    </row>
    <row r="977" spans="1:45" ht="12.75" x14ac:dyDescent="0.2">
      <c r="A977" s="873"/>
      <c r="B977" s="873"/>
      <c r="C977" s="873"/>
      <c r="D977" s="873"/>
      <c r="E977" s="873"/>
      <c r="F977" s="873"/>
      <c r="G977" s="873"/>
      <c r="H977" s="873"/>
      <c r="I977" s="873"/>
      <c r="J977" s="873"/>
      <c r="K977" s="873"/>
      <c r="L977" s="873"/>
      <c r="M977" s="873"/>
      <c r="N977" s="873"/>
      <c r="O977" s="873"/>
      <c r="P977" s="873"/>
      <c r="Q977" s="873"/>
      <c r="R977" s="873"/>
      <c r="S977" s="873"/>
      <c r="T977" s="873"/>
      <c r="U977" s="873"/>
      <c r="V977" s="873"/>
      <c r="W977" s="873"/>
      <c r="X977" s="873"/>
      <c r="Y977" s="873"/>
      <c r="Z977" s="873"/>
      <c r="AA977" s="873"/>
      <c r="AB977" s="873"/>
      <c r="AC977" s="873"/>
      <c r="AD977" s="873"/>
      <c r="AE977" s="873"/>
      <c r="AF977" s="873"/>
      <c r="AG977" s="873"/>
      <c r="AH977" s="873"/>
      <c r="AI977" s="873"/>
      <c r="AJ977" s="873"/>
      <c r="AK977" s="873"/>
      <c r="AL977" s="873"/>
      <c r="AM977" s="873"/>
      <c r="AN977" s="873"/>
      <c r="AO977" s="873"/>
      <c r="AP977" s="873"/>
      <c r="AQ977" s="873"/>
      <c r="AR977" s="873"/>
      <c r="AS977" s="873"/>
    </row>
    <row r="978" spans="1:45" ht="12.75" x14ac:dyDescent="0.2">
      <c r="A978" s="873"/>
      <c r="B978" s="873"/>
      <c r="C978" s="873"/>
      <c r="D978" s="873"/>
      <c r="E978" s="873"/>
      <c r="F978" s="873"/>
      <c r="G978" s="873"/>
      <c r="H978" s="873"/>
      <c r="I978" s="873"/>
      <c r="J978" s="873"/>
      <c r="K978" s="873"/>
      <c r="L978" s="873"/>
      <c r="M978" s="873"/>
      <c r="N978" s="873"/>
      <c r="O978" s="873"/>
      <c r="P978" s="873"/>
      <c r="Q978" s="873"/>
      <c r="R978" s="873"/>
      <c r="S978" s="873"/>
      <c r="T978" s="873"/>
      <c r="U978" s="873"/>
      <c r="V978" s="873"/>
      <c r="W978" s="873"/>
      <c r="X978" s="873"/>
      <c r="Y978" s="873"/>
      <c r="Z978" s="873"/>
      <c r="AA978" s="873"/>
      <c r="AB978" s="873"/>
      <c r="AC978" s="873"/>
      <c r="AD978" s="873"/>
      <c r="AE978" s="873"/>
      <c r="AF978" s="873"/>
      <c r="AG978" s="873"/>
      <c r="AH978" s="873"/>
      <c r="AI978" s="873"/>
      <c r="AJ978" s="873"/>
      <c r="AK978" s="873"/>
      <c r="AL978" s="873"/>
      <c r="AM978" s="873"/>
      <c r="AN978" s="873"/>
      <c r="AO978" s="873"/>
      <c r="AP978" s="873"/>
      <c r="AQ978" s="873"/>
      <c r="AR978" s="873"/>
      <c r="AS978" s="873"/>
    </row>
    <row r="979" spans="1:45" ht="12.75" x14ac:dyDescent="0.2">
      <c r="A979" s="873"/>
      <c r="B979" s="873"/>
      <c r="C979" s="873"/>
      <c r="D979" s="873"/>
      <c r="E979" s="873"/>
      <c r="F979" s="873"/>
      <c r="G979" s="873"/>
      <c r="H979" s="873"/>
      <c r="I979" s="873"/>
      <c r="J979" s="873"/>
      <c r="K979" s="873"/>
      <c r="L979" s="873"/>
      <c r="M979" s="873"/>
      <c r="N979" s="873"/>
      <c r="O979" s="873"/>
      <c r="P979" s="873"/>
      <c r="Q979" s="873"/>
      <c r="R979" s="873"/>
      <c r="S979" s="873"/>
      <c r="T979" s="873"/>
      <c r="U979" s="873"/>
      <c r="V979" s="873"/>
      <c r="W979" s="873"/>
      <c r="X979" s="873"/>
      <c r="Y979" s="873"/>
      <c r="Z979" s="873"/>
      <c r="AA979" s="873"/>
      <c r="AB979" s="873"/>
      <c r="AC979" s="873"/>
      <c r="AD979" s="873"/>
      <c r="AE979" s="873"/>
      <c r="AF979" s="873"/>
      <c r="AG979" s="873"/>
      <c r="AH979" s="873"/>
      <c r="AI979" s="873"/>
      <c r="AJ979" s="873"/>
      <c r="AK979" s="873"/>
      <c r="AL979" s="873"/>
      <c r="AM979" s="873"/>
      <c r="AN979" s="873"/>
      <c r="AO979" s="873"/>
      <c r="AP979" s="873"/>
      <c r="AQ979" s="873"/>
      <c r="AR979" s="873"/>
      <c r="AS979" s="873"/>
    </row>
    <row r="980" spans="1:45" ht="12.75" x14ac:dyDescent="0.2">
      <c r="A980" s="873"/>
      <c r="B980" s="873"/>
      <c r="C980" s="873"/>
      <c r="D980" s="873"/>
      <c r="E980" s="873"/>
      <c r="F980" s="873"/>
      <c r="G980" s="873"/>
      <c r="H980" s="873"/>
      <c r="I980" s="873"/>
      <c r="J980" s="873"/>
      <c r="K980" s="873"/>
      <c r="L980" s="873"/>
      <c r="M980" s="873"/>
      <c r="N980" s="873"/>
      <c r="O980" s="873"/>
      <c r="P980" s="873"/>
      <c r="Q980" s="873"/>
      <c r="R980" s="873"/>
      <c r="S980" s="873"/>
      <c r="T980" s="873"/>
      <c r="U980" s="873"/>
      <c r="V980" s="873"/>
      <c r="W980" s="873"/>
      <c r="X980" s="873"/>
      <c r="Y980" s="873"/>
      <c r="Z980" s="873"/>
      <c r="AA980" s="873"/>
      <c r="AB980" s="873"/>
      <c r="AC980" s="873"/>
      <c r="AD980" s="873"/>
      <c r="AE980" s="873"/>
      <c r="AF980" s="873"/>
      <c r="AG980" s="873"/>
      <c r="AH980" s="873"/>
      <c r="AI980" s="873"/>
      <c r="AJ980" s="873"/>
      <c r="AK980" s="873"/>
      <c r="AL980" s="873"/>
      <c r="AM980" s="873"/>
      <c r="AN980" s="873"/>
      <c r="AO980" s="873"/>
      <c r="AP980" s="873"/>
      <c r="AQ980" s="873"/>
      <c r="AR980" s="873"/>
      <c r="AS980" s="873"/>
    </row>
    <row r="981" spans="1:45" ht="12.75" x14ac:dyDescent="0.2">
      <c r="A981" s="873"/>
      <c r="B981" s="873"/>
      <c r="C981" s="873"/>
      <c r="D981" s="873"/>
      <c r="E981" s="873"/>
      <c r="F981" s="873"/>
      <c r="G981" s="873"/>
      <c r="H981" s="873"/>
      <c r="I981" s="873"/>
      <c r="J981" s="873"/>
      <c r="K981" s="873"/>
      <c r="L981" s="873"/>
      <c r="M981" s="873"/>
      <c r="N981" s="873"/>
      <c r="O981" s="873"/>
      <c r="P981" s="873"/>
      <c r="Q981" s="873"/>
      <c r="R981" s="873"/>
      <c r="S981" s="873"/>
      <c r="T981" s="873"/>
      <c r="U981" s="873"/>
      <c r="V981" s="873"/>
      <c r="W981" s="873"/>
      <c r="X981" s="873"/>
      <c r="Y981" s="873"/>
      <c r="Z981" s="873"/>
      <c r="AA981" s="873"/>
      <c r="AB981" s="873"/>
      <c r="AC981" s="873"/>
      <c r="AD981" s="873"/>
      <c r="AE981" s="873"/>
      <c r="AF981" s="873"/>
      <c r="AG981" s="873"/>
      <c r="AH981" s="873"/>
      <c r="AI981" s="873"/>
      <c r="AJ981" s="873"/>
      <c r="AK981" s="873"/>
      <c r="AL981" s="873"/>
      <c r="AM981" s="873"/>
      <c r="AN981" s="873"/>
      <c r="AO981" s="873"/>
      <c r="AP981" s="873"/>
      <c r="AQ981" s="873"/>
      <c r="AR981" s="873"/>
      <c r="AS981" s="873"/>
    </row>
    <row r="982" spans="1:45" ht="12.75" x14ac:dyDescent="0.2">
      <c r="A982" s="873"/>
      <c r="B982" s="873"/>
      <c r="C982" s="873"/>
      <c r="D982" s="873"/>
      <c r="E982" s="873"/>
      <c r="F982" s="873"/>
      <c r="G982" s="873"/>
      <c r="H982" s="873"/>
      <c r="I982" s="873"/>
      <c r="J982" s="873"/>
      <c r="K982" s="873"/>
      <c r="L982" s="873"/>
      <c r="M982" s="873"/>
      <c r="N982" s="873"/>
      <c r="O982" s="873"/>
      <c r="P982" s="873"/>
      <c r="Q982" s="873"/>
      <c r="R982" s="873"/>
      <c r="S982" s="873"/>
      <c r="T982" s="873"/>
      <c r="U982" s="873"/>
      <c r="V982" s="873"/>
      <c r="W982" s="873"/>
      <c r="X982" s="873"/>
      <c r="Y982" s="873"/>
      <c r="Z982" s="873"/>
      <c r="AA982" s="873"/>
      <c r="AB982" s="873"/>
      <c r="AC982" s="873"/>
      <c r="AD982" s="873"/>
      <c r="AE982" s="873"/>
      <c r="AF982" s="873"/>
      <c r="AG982" s="873"/>
      <c r="AH982" s="873"/>
      <c r="AI982" s="873"/>
      <c r="AJ982" s="873"/>
      <c r="AK982" s="873"/>
      <c r="AL982" s="873"/>
      <c r="AM982" s="873"/>
      <c r="AN982" s="873"/>
      <c r="AO982" s="873"/>
      <c r="AP982" s="873"/>
      <c r="AQ982" s="873"/>
      <c r="AR982" s="873"/>
      <c r="AS982" s="873"/>
    </row>
    <row r="983" spans="1:45" ht="12.75" x14ac:dyDescent="0.2">
      <c r="A983" s="873"/>
      <c r="B983" s="873"/>
      <c r="C983" s="873"/>
      <c r="D983" s="873"/>
      <c r="E983" s="873"/>
      <c r="F983" s="873"/>
      <c r="G983" s="873"/>
      <c r="H983" s="873"/>
      <c r="I983" s="873"/>
      <c r="J983" s="873"/>
      <c r="K983" s="873"/>
      <c r="L983" s="873"/>
      <c r="M983" s="873"/>
      <c r="N983" s="873"/>
      <c r="O983" s="873"/>
      <c r="P983" s="873"/>
      <c r="Q983" s="873"/>
      <c r="R983" s="873"/>
      <c r="S983" s="873"/>
      <c r="T983" s="873"/>
      <c r="U983" s="873"/>
      <c r="V983" s="873"/>
      <c r="W983" s="873"/>
      <c r="X983" s="873"/>
      <c r="Y983" s="873"/>
      <c r="Z983" s="873"/>
      <c r="AA983" s="873"/>
      <c r="AB983" s="873"/>
      <c r="AC983" s="873"/>
      <c r="AD983" s="873"/>
      <c r="AE983" s="873"/>
      <c r="AF983" s="873"/>
      <c r="AG983" s="873"/>
      <c r="AH983" s="873"/>
      <c r="AI983" s="873"/>
      <c r="AJ983" s="873"/>
      <c r="AK983" s="873"/>
      <c r="AL983" s="873"/>
      <c r="AM983" s="873"/>
      <c r="AN983" s="873"/>
      <c r="AO983" s="873"/>
      <c r="AP983" s="873"/>
      <c r="AQ983" s="873"/>
      <c r="AR983" s="873"/>
      <c r="AS983" s="873"/>
    </row>
    <row r="984" spans="1:45" ht="12.75" x14ac:dyDescent="0.2">
      <c r="A984" s="873"/>
      <c r="B984" s="873"/>
      <c r="C984" s="873"/>
      <c r="D984" s="873"/>
      <c r="E984" s="873"/>
      <c r="F984" s="873"/>
      <c r="G984" s="873"/>
      <c r="H984" s="873"/>
      <c r="I984" s="873"/>
      <c r="J984" s="873"/>
      <c r="K984" s="873"/>
      <c r="L984" s="873"/>
      <c r="M984" s="873"/>
      <c r="N984" s="873"/>
      <c r="O984" s="873"/>
      <c r="P984" s="873"/>
      <c r="Q984" s="873"/>
      <c r="R984" s="873"/>
      <c r="S984" s="873"/>
      <c r="T984" s="873"/>
      <c r="U984" s="873"/>
      <c r="V984" s="873"/>
      <c r="W984" s="873"/>
      <c r="X984" s="873"/>
      <c r="Y984" s="873"/>
      <c r="Z984" s="873"/>
      <c r="AA984" s="873"/>
      <c r="AB984" s="873"/>
      <c r="AC984" s="873"/>
      <c r="AD984" s="873"/>
      <c r="AE984" s="873"/>
      <c r="AF984" s="873"/>
      <c r="AG984" s="873"/>
      <c r="AH984" s="873"/>
      <c r="AI984" s="873"/>
      <c r="AJ984" s="873"/>
      <c r="AK984" s="873"/>
      <c r="AL984" s="873"/>
      <c r="AM984" s="873"/>
      <c r="AN984" s="873"/>
      <c r="AO984" s="873"/>
      <c r="AP984" s="873"/>
      <c r="AQ984" s="873"/>
      <c r="AR984" s="873"/>
      <c r="AS984" s="873"/>
    </row>
    <row r="985" spans="1:45" ht="12.75" x14ac:dyDescent="0.2">
      <c r="A985" s="873"/>
      <c r="B985" s="873"/>
      <c r="C985" s="873"/>
      <c r="D985" s="873"/>
      <c r="E985" s="873"/>
      <c r="F985" s="873"/>
      <c r="G985" s="873"/>
      <c r="H985" s="873"/>
      <c r="I985" s="873"/>
      <c r="J985" s="873"/>
      <c r="K985" s="873"/>
      <c r="L985" s="873"/>
      <c r="M985" s="873"/>
      <c r="N985" s="873"/>
      <c r="O985" s="873"/>
      <c r="P985" s="873"/>
      <c r="Q985" s="873"/>
      <c r="R985" s="873"/>
      <c r="S985" s="873"/>
      <c r="T985" s="873"/>
      <c r="U985" s="873"/>
      <c r="V985" s="873"/>
      <c r="W985" s="873"/>
      <c r="X985" s="873"/>
      <c r="Y985" s="873"/>
      <c r="Z985" s="873"/>
      <c r="AA985" s="873"/>
      <c r="AB985" s="873"/>
      <c r="AC985" s="873"/>
      <c r="AD985" s="873"/>
      <c r="AE985" s="873"/>
      <c r="AF985" s="873"/>
      <c r="AG985" s="873"/>
      <c r="AH985" s="873"/>
      <c r="AI985" s="873"/>
      <c r="AJ985" s="873"/>
      <c r="AK985" s="873"/>
      <c r="AL985" s="873"/>
      <c r="AM985" s="873"/>
      <c r="AN985" s="873"/>
      <c r="AO985" s="873"/>
      <c r="AP985" s="873"/>
      <c r="AQ985" s="873"/>
      <c r="AR985" s="873"/>
      <c r="AS985" s="873"/>
    </row>
    <row r="986" spans="1:45" ht="12.75" x14ac:dyDescent="0.2">
      <c r="A986" s="873"/>
      <c r="B986" s="873"/>
      <c r="C986" s="873"/>
      <c r="D986" s="873"/>
      <c r="E986" s="873"/>
      <c r="F986" s="873"/>
      <c r="G986" s="873"/>
      <c r="H986" s="873"/>
      <c r="I986" s="873"/>
      <c r="J986" s="873"/>
      <c r="K986" s="873"/>
      <c r="L986" s="873"/>
      <c r="M986" s="873"/>
      <c r="N986" s="873"/>
      <c r="O986" s="873"/>
      <c r="P986" s="873"/>
      <c r="Q986" s="873"/>
      <c r="R986" s="873"/>
      <c r="S986" s="873"/>
      <c r="T986" s="873"/>
      <c r="U986" s="873"/>
      <c r="V986" s="873"/>
      <c r="W986" s="873"/>
      <c r="X986" s="873"/>
      <c r="Y986" s="873"/>
      <c r="Z986" s="873"/>
      <c r="AA986" s="873"/>
      <c r="AB986" s="873"/>
      <c r="AC986" s="873"/>
      <c r="AD986" s="873"/>
      <c r="AE986" s="873"/>
      <c r="AF986" s="873"/>
      <c r="AG986" s="873"/>
      <c r="AH986" s="873"/>
      <c r="AI986" s="873"/>
      <c r="AJ986" s="873"/>
      <c r="AK986" s="873"/>
      <c r="AL986" s="873"/>
      <c r="AM986" s="873"/>
      <c r="AN986" s="873"/>
      <c r="AO986" s="873"/>
      <c r="AP986" s="873"/>
      <c r="AQ986" s="873"/>
      <c r="AR986" s="873"/>
      <c r="AS986" s="873"/>
    </row>
    <row r="987" spans="1:45" ht="12.75" x14ac:dyDescent="0.2">
      <c r="A987" s="873"/>
      <c r="B987" s="873"/>
      <c r="C987" s="873"/>
      <c r="D987" s="873"/>
      <c r="E987" s="873"/>
      <c r="F987" s="873"/>
      <c r="G987" s="873"/>
      <c r="H987" s="873"/>
      <c r="I987" s="873"/>
      <c r="J987" s="873"/>
      <c r="K987" s="873"/>
      <c r="L987" s="873"/>
      <c r="M987" s="873"/>
      <c r="N987" s="873"/>
      <c r="O987" s="873"/>
      <c r="P987" s="873"/>
      <c r="Q987" s="873"/>
      <c r="R987" s="873"/>
      <c r="S987" s="873"/>
      <c r="T987" s="873"/>
      <c r="U987" s="873"/>
      <c r="V987" s="873"/>
      <c r="W987" s="873"/>
      <c r="X987" s="873"/>
      <c r="Y987" s="873"/>
      <c r="Z987" s="873"/>
      <c r="AA987" s="873"/>
      <c r="AB987" s="873"/>
      <c r="AC987" s="873"/>
      <c r="AD987" s="873"/>
      <c r="AE987" s="873"/>
      <c r="AF987" s="873"/>
      <c r="AG987" s="873"/>
      <c r="AH987" s="873"/>
      <c r="AI987" s="873"/>
      <c r="AJ987" s="873"/>
      <c r="AK987" s="873"/>
      <c r="AL987" s="873"/>
      <c r="AM987" s="873"/>
      <c r="AN987" s="873"/>
      <c r="AO987" s="873"/>
      <c r="AP987" s="873"/>
      <c r="AQ987" s="873"/>
      <c r="AR987" s="873"/>
      <c r="AS987" s="873"/>
    </row>
    <row r="988" spans="1:45" ht="12.75" x14ac:dyDescent="0.2">
      <c r="A988" s="873"/>
      <c r="B988" s="873"/>
      <c r="C988" s="873"/>
      <c r="D988" s="873"/>
      <c r="E988" s="873"/>
      <c r="F988" s="873"/>
      <c r="G988" s="873"/>
      <c r="H988" s="873"/>
      <c r="I988" s="873"/>
      <c r="J988" s="873"/>
      <c r="K988" s="873"/>
      <c r="L988" s="873"/>
      <c r="M988" s="873"/>
      <c r="N988" s="873"/>
      <c r="O988" s="873"/>
      <c r="P988" s="873"/>
      <c r="Q988" s="873"/>
      <c r="R988" s="873"/>
      <c r="S988" s="873"/>
      <c r="T988" s="873"/>
      <c r="U988" s="873"/>
      <c r="V988" s="873"/>
      <c r="W988" s="873"/>
      <c r="X988" s="873"/>
      <c r="Y988" s="873"/>
      <c r="Z988" s="873"/>
      <c r="AA988" s="873"/>
      <c r="AB988" s="873"/>
      <c r="AC988" s="873"/>
      <c r="AD988" s="873"/>
      <c r="AE988" s="873"/>
      <c r="AF988" s="873"/>
      <c r="AG988" s="873"/>
      <c r="AH988" s="873"/>
      <c r="AI988" s="873"/>
      <c r="AJ988" s="873"/>
      <c r="AK988" s="873"/>
      <c r="AL988" s="873"/>
      <c r="AM988" s="873"/>
      <c r="AN988" s="873"/>
      <c r="AO988" s="873"/>
      <c r="AP988" s="873"/>
      <c r="AQ988" s="873"/>
      <c r="AR988" s="873"/>
      <c r="AS988" s="873"/>
    </row>
    <row r="989" spans="1:45" ht="12.75" x14ac:dyDescent="0.2">
      <c r="A989" s="873"/>
      <c r="B989" s="873"/>
      <c r="C989" s="873"/>
      <c r="D989" s="873"/>
      <c r="E989" s="873"/>
      <c r="F989" s="873"/>
      <c r="G989" s="873"/>
      <c r="H989" s="873"/>
      <c r="I989" s="873"/>
      <c r="J989" s="873"/>
      <c r="K989" s="873"/>
      <c r="L989" s="873"/>
      <c r="M989" s="873"/>
      <c r="N989" s="873"/>
      <c r="O989" s="873"/>
      <c r="P989" s="873"/>
      <c r="Q989" s="873"/>
      <c r="R989" s="873"/>
      <c r="S989" s="873"/>
      <c r="T989" s="873"/>
      <c r="U989" s="873"/>
      <c r="V989" s="873"/>
      <c r="W989" s="873"/>
      <c r="X989" s="873"/>
      <c r="Y989" s="873"/>
      <c r="Z989" s="873"/>
      <c r="AA989" s="873"/>
      <c r="AB989" s="873"/>
      <c r="AC989" s="873"/>
      <c r="AD989" s="873"/>
      <c r="AE989" s="873"/>
      <c r="AF989" s="873"/>
      <c r="AG989" s="873"/>
      <c r="AH989" s="873"/>
      <c r="AI989" s="873"/>
      <c r="AJ989" s="873"/>
      <c r="AK989" s="873"/>
      <c r="AL989" s="873"/>
      <c r="AM989" s="873"/>
      <c r="AN989" s="873"/>
      <c r="AO989" s="873"/>
      <c r="AP989" s="873"/>
      <c r="AQ989" s="873"/>
      <c r="AR989" s="873"/>
      <c r="AS989" s="873"/>
    </row>
    <row r="990" spans="1:45" ht="12.75" x14ac:dyDescent="0.2">
      <c r="A990" s="873"/>
      <c r="B990" s="873"/>
      <c r="C990" s="873"/>
      <c r="D990" s="873"/>
      <c r="E990" s="873"/>
      <c r="F990" s="873"/>
      <c r="G990" s="873"/>
      <c r="H990" s="873"/>
      <c r="I990" s="873"/>
      <c r="J990" s="873"/>
      <c r="K990" s="873"/>
      <c r="L990" s="873"/>
      <c r="M990" s="873"/>
      <c r="N990" s="873"/>
      <c r="O990" s="873"/>
      <c r="P990" s="873"/>
      <c r="Q990" s="873"/>
      <c r="R990" s="873"/>
      <c r="S990" s="873"/>
      <c r="T990" s="873"/>
      <c r="U990" s="873"/>
      <c r="V990" s="873"/>
      <c r="W990" s="873"/>
      <c r="X990" s="873"/>
      <c r="Y990" s="873"/>
      <c r="Z990" s="873"/>
      <c r="AA990" s="873"/>
      <c r="AB990" s="873"/>
      <c r="AC990" s="873"/>
      <c r="AD990" s="873"/>
      <c r="AE990" s="873"/>
      <c r="AF990" s="873"/>
      <c r="AG990" s="873"/>
      <c r="AH990" s="873"/>
      <c r="AI990" s="873"/>
      <c r="AJ990" s="873"/>
      <c r="AK990" s="873"/>
      <c r="AL990" s="873"/>
      <c r="AM990" s="873"/>
      <c r="AN990" s="873"/>
      <c r="AO990" s="873"/>
      <c r="AP990" s="873"/>
      <c r="AQ990" s="873"/>
      <c r="AR990" s="873"/>
      <c r="AS990" s="873"/>
    </row>
    <row r="991" spans="1:45" ht="12.75" x14ac:dyDescent="0.2">
      <c r="A991" s="873"/>
      <c r="B991" s="873"/>
      <c r="C991" s="873"/>
      <c r="D991" s="873"/>
      <c r="E991" s="873"/>
      <c r="F991" s="873"/>
      <c r="G991" s="873"/>
      <c r="H991" s="873"/>
      <c r="I991" s="873"/>
      <c r="J991" s="873"/>
      <c r="K991" s="873"/>
      <c r="L991" s="873"/>
      <c r="M991" s="873"/>
      <c r="N991" s="873"/>
      <c r="O991" s="873"/>
      <c r="P991" s="873"/>
      <c r="Q991" s="873"/>
      <c r="R991" s="873"/>
      <c r="S991" s="873"/>
      <c r="T991" s="873"/>
      <c r="U991" s="873"/>
      <c r="V991" s="873"/>
      <c r="W991" s="873"/>
      <c r="X991" s="873"/>
      <c r="Y991" s="873"/>
      <c r="Z991" s="873"/>
      <c r="AA991" s="873"/>
      <c r="AB991" s="873"/>
      <c r="AC991" s="873"/>
      <c r="AD991" s="873"/>
      <c r="AE991" s="873"/>
      <c r="AF991" s="873"/>
      <c r="AG991" s="873"/>
      <c r="AH991" s="873"/>
      <c r="AI991" s="873"/>
      <c r="AJ991" s="873"/>
      <c r="AK991" s="873"/>
      <c r="AL991" s="873"/>
      <c r="AM991" s="873"/>
      <c r="AN991" s="873"/>
      <c r="AO991" s="873"/>
      <c r="AP991" s="873"/>
      <c r="AQ991" s="873"/>
      <c r="AR991" s="873"/>
      <c r="AS991" s="873"/>
    </row>
    <row r="992" spans="1:45" ht="12.75" x14ac:dyDescent="0.2">
      <c r="A992" s="873"/>
      <c r="B992" s="873"/>
      <c r="C992" s="873"/>
      <c r="D992" s="873"/>
      <c r="E992" s="873"/>
      <c r="F992" s="873"/>
      <c r="G992" s="873"/>
      <c r="H992" s="873"/>
      <c r="I992" s="873"/>
      <c r="J992" s="873"/>
      <c r="K992" s="873"/>
      <c r="L992" s="873"/>
      <c r="M992" s="873"/>
      <c r="N992" s="873"/>
      <c r="O992" s="873"/>
      <c r="P992" s="873"/>
      <c r="Q992" s="873"/>
      <c r="R992" s="873"/>
      <c r="S992" s="873"/>
      <c r="T992" s="873"/>
      <c r="U992" s="873"/>
      <c r="V992" s="873"/>
      <c r="W992" s="873"/>
      <c r="X992" s="873"/>
      <c r="Y992" s="873"/>
      <c r="Z992" s="873"/>
      <c r="AA992" s="873"/>
      <c r="AB992" s="873"/>
      <c r="AC992" s="873"/>
      <c r="AD992" s="873"/>
      <c r="AE992" s="873"/>
      <c r="AF992" s="873"/>
      <c r="AG992" s="873"/>
      <c r="AH992" s="873"/>
      <c r="AI992" s="873"/>
      <c r="AJ992" s="873"/>
      <c r="AK992" s="873"/>
      <c r="AL992" s="873"/>
      <c r="AM992" s="873"/>
      <c r="AN992" s="873"/>
      <c r="AO992" s="873"/>
      <c r="AP992" s="873"/>
      <c r="AQ992" s="873"/>
      <c r="AR992" s="873"/>
      <c r="AS992" s="873"/>
    </row>
    <row r="993" spans="1:45" ht="12.75" x14ac:dyDescent="0.2">
      <c r="A993" s="873"/>
      <c r="B993" s="873"/>
      <c r="C993" s="873"/>
      <c r="D993" s="873"/>
      <c r="E993" s="873"/>
      <c r="F993" s="873"/>
      <c r="G993" s="873"/>
      <c r="H993" s="873"/>
      <c r="I993" s="873"/>
      <c r="J993" s="873"/>
      <c r="K993" s="873"/>
      <c r="L993" s="873"/>
      <c r="M993" s="873"/>
      <c r="N993" s="873"/>
      <c r="O993" s="873"/>
      <c r="P993" s="873"/>
      <c r="Q993" s="873"/>
      <c r="R993" s="873"/>
      <c r="S993" s="873"/>
      <c r="T993" s="873"/>
      <c r="U993" s="873"/>
      <c r="V993" s="873"/>
      <c r="W993" s="873"/>
      <c r="X993" s="873"/>
      <c r="Y993" s="873"/>
      <c r="Z993" s="873"/>
      <c r="AA993" s="873"/>
      <c r="AB993" s="873"/>
      <c r="AC993" s="873"/>
      <c r="AD993" s="873"/>
      <c r="AE993" s="873"/>
      <c r="AF993" s="873"/>
      <c r="AG993" s="873"/>
      <c r="AH993" s="873"/>
      <c r="AI993" s="873"/>
      <c r="AJ993" s="873"/>
      <c r="AK993" s="873"/>
      <c r="AL993" s="873"/>
      <c r="AM993" s="873"/>
      <c r="AN993" s="873"/>
      <c r="AO993" s="873"/>
      <c r="AP993" s="873"/>
      <c r="AQ993" s="873"/>
      <c r="AR993" s="873"/>
      <c r="AS993" s="873"/>
    </row>
    <row r="994" spans="1:45" ht="12.75" x14ac:dyDescent="0.2">
      <c r="A994" s="873"/>
      <c r="B994" s="873"/>
      <c r="C994" s="873"/>
      <c r="D994" s="873"/>
      <c r="E994" s="873"/>
      <c r="F994" s="873"/>
      <c r="G994" s="873"/>
      <c r="H994" s="873"/>
      <c r="I994" s="873"/>
      <c r="J994" s="873"/>
      <c r="K994" s="873"/>
      <c r="L994" s="873"/>
      <c r="M994" s="873"/>
      <c r="N994" s="873"/>
      <c r="O994" s="873"/>
      <c r="P994" s="873"/>
      <c r="Q994" s="873"/>
      <c r="R994" s="873"/>
      <c r="S994" s="873"/>
      <c r="T994" s="873"/>
      <c r="U994" s="873"/>
      <c r="V994" s="873"/>
      <c r="W994" s="873"/>
      <c r="X994" s="873"/>
      <c r="Y994" s="873"/>
      <c r="Z994" s="873"/>
      <c r="AA994" s="873"/>
      <c r="AB994" s="873"/>
      <c r="AC994" s="873"/>
      <c r="AD994" s="873"/>
      <c r="AE994" s="873"/>
      <c r="AF994" s="873"/>
      <c r="AG994" s="873"/>
      <c r="AH994" s="873"/>
      <c r="AI994" s="873"/>
      <c r="AJ994" s="873"/>
      <c r="AK994" s="873"/>
      <c r="AL994" s="873"/>
      <c r="AM994" s="873"/>
      <c r="AN994" s="873"/>
      <c r="AO994" s="873"/>
      <c r="AP994" s="873"/>
      <c r="AQ994" s="873"/>
      <c r="AR994" s="873"/>
      <c r="AS994" s="873"/>
    </row>
  </sheetData>
  <mergeCells count="1">
    <mergeCell ref="M5:N5"/>
  </mergeCells>
  <printOptions gridLines="1"/>
  <pageMargins left="0.28000000000000003" right="0.17" top="1" bottom="0.46" header="0" footer="0"/>
  <pageSetup orientation="portrait"/>
  <colBreaks count="1" manualBreakCount="1">
    <brk id="11" man="1"/>
  </colBreaks>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M1000"/>
  <sheetViews>
    <sheetView workbookViewId="0"/>
  </sheetViews>
  <sheetFormatPr defaultColWidth="16.83203125" defaultRowHeight="15" customHeight="1" x14ac:dyDescent="0.2"/>
  <cols>
    <col min="1" max="1" width="6" customWidth="1"/>
    <col min="2" max="2" width="36.83203125" customWidth="1"/>
    <col min="3" max="3" width="20" customWidth="1"/>
    <col min="4" max="4" width="29.33203125" customWidth="1"/>
    <col min="5" max="39" width="14" customWidth="1"/>
  </cols>
  <sheetData>
    <row r="1" spans="1:39" x14ac:dyDescent="0.25">
      <c r="A1" s="194"/>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row>
    <row r="2" spans="1:39" ht="15.75" x14ac:dyDescent="0.25">
      <c r="A2" s="194"/>
      <c r="B2" s="2046" t="s">
        <v>1085</v>
      </c>
      <c r="C2" s="2047"/>
      <c r="D2" s="2047"/>
      <c r="E2" s="2047"/>
      <c r="F2" s="2047"/>
      <c r="G2" s="2047"/>
      <c r="H2" s="2048"/>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4"/>
      <c r="AK2" s="194"/>
      <c r="AL2" s="194"/>
      <c r="AM2" s="194"/>
    </row>
    <row r="3" spans="1:39" x14ac:dyDescent="0.25">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row>
    <row r="4" spans="1:39" x14ac:dyDescent="0.25">
      <c r="A4" s="194"/>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4"/>
      <c r="AG4" s="194"/>
      <c r="AH4" s="194"/>
      <c r="AI4" s="194"/>
      <c r="AJ4" s="194"/>
      <c r="AK4" s="194"/>
      <c r="AL4" s="194"/>
      <c r="AM4" s="194"/>
    </row>
    <row r="5" spans="1:39" x14ac:dyDescent="0.25">
      <c r="A5" s="194"/>
      <c r="B5" s="429" t="s">
        <v>1086</v>
      </c>
      <c r="C5" s="430"/>
      <c r="D5" s="430"/>
      <c r="E5" s="430"/>
      <c r="F5" s="430"/>
      <c r="G5" s="430"/>
      <c r="H5" s="430"/>
      <c r="I5" s="430"/>
      <c r="J5" s="430"/>
      <c r="K5" s="430"/>
      <c r="L5" s="430"/>
      <c r="M5" s="430"/>
      <c r="N5" s="430"/>
      <c r="O5" s="430"/>
      <c r="P5" s="430"/>
      <c r="Q5" s="430"/>
      <c r="R5" s="430"/>
      <c r="S5" s="430"/>
      <c r="T5" s="430"/>
      <c r="U5" s="430"/>
      <c r="V5" s="430"/>
      <c r="W5" s="430"/>
      <c r="X5" s="430"/>
      <c r="Y5" s="430"/>
      <c r="Z5" s="430"/>
      <c r="AA5" s="430"/>
      <c r="AB5" s="430"/>
      <c r="AC5" s="430"/>
      <c r="AD5" s="430"/>
      <c r="AE5" s="430"/>
      <c r="AF5" s="430"/>
      <c r="AG5" s="430"/>
      <c r="AH5" s="430"/>
      <c r="AI5" s="430"/>
      <c r="AJ5" s="430"/>
      <c r="AK5" s="430"/>
      <c r="AL5" s="430"/>
      <c r="AM5" s="431"/>
    </row>
    <row r="6" spans="1:39" x14ac:dyDescent="0.25">
      <c r="A6" s="194"/>
      <c r="B6" s="432" t="s">
        <v>1087</v>
      </c>
      <c r="C6" s="194" t="s">
        <v>1088</v>
      </c>
      <c r="D6" s="194"/>
      <c r="E6" s="194"/>
      <c r="F6" s="194"/>
      <c r="G6" s="194"/>
      <c r="H6" s="194"/>
      <c r="I6" s="194"/>
      <c r="J6" s="194"/>
      <c r="K6" s="194"/>
      <c r="L6" s="194"/>
      <c r="M6" s="194"/>
      <c r="N6" s="194"/>
      <c r="O6" s="194"/>
      <c r="P6" s="194"/>
      <c r="Q6" s="194"/>
      <c r="R6" s="194"/>
      <c r="S6" s="194"/>
      <c r="T6" s="194"/>
      <c r="U6" s="194"/>
      <c r="V6" s="194"/>
      <c r="W6" s="194"/>
      <c r="X6" s="194"/>
      <c r="Y6" s="194"/>
      <c r="Z6" s="194"/>
      <c r="AA6" s="194"/>
      <c r="AB6" s="194"/>
      <c r="AC6" s="194"/>
      <c r="AD6" s="194"/>
      <c r="AE6" s="194"/>
      <c r="AF6" s="194"/>
      <c r="AG6" s="194"/>
      <c r="AH6" s="194"/>
      <c r="AI6" s="194"/>
      <c r="AJ6" s="194"/>
      <c r="AK6" s="194"/>
      <c r="AL6" s="194"/>
      <c r="AM6" s="194"/>
    </row>
    <row r="7" spans="1:39" x14ac:dyDescent="0.25">
      <c r="A7" s="194"/>
      <c r="B7" s="432" t="s">
        <v>1089</v>
      </c>
      <c r="C7" s="194" t="s">
        <v>1090</v>
      </c>
      <c r="D7" s="194"/>
      <c r="E7" s="194"/>
      <c r="F7" s="194"/>
      <c r="G7" s="194"/>
      <c r="H7" s="194"/>
      <c r="I7" s="194"/>
      <c r="J7" s="194"/>
      <c r="K7" s="194"/>
      <c r="L7" s="194"/>
      <c r="M7" s="194"/>
      <c r="N7" s="194"/>
      <c r="O7" s="194"/>
      <c r="P7" s="194"/>
      <c r="Q7" s="194"/>
      <c r="R7" s="194"/>
      <c r="S7" s="194"/>
      <c r="T7" s="194"/>
      <c r="U7" s="194"/>
      <c r="V7" s="194"/>
      <c r="W7" s="194"/>
      <c r="X7" s="194"/>
      <c r="Y7" s="194"/>
      <c r="Z7" s="194"/>
      <c r="AA7" s="194"/>
      <c r="AB7" s="194"/>
      <c r="AC7" s="194"/>
      <c r="AD7" s="194"/>
      <c r="AE7" s="194"/>
      <c r="AF7" s="194"/>
      <c r="AG7" s="194"/>
      <c r="AH7" s="194"/>
      <c r="AI7" s="194"/>
      <c r="AJ7" s="194"/>
      <c r="AK7" s="194"/>
      <c r="AL7" s="194"/>
      <c r="AM7" s="194"/>
    </row>
    <row r="8" spans="1:39" x14ac:dyDescent="0.25">
      <c r="A8" s="194"/>
      <c r="B8" s="432" t="s">
        <v>1091</v>
      </c>
      <c r="C8" s="194" t="s">
        <v>1092</v>
      </c>
      <c r="D8" s="194"/>
      <c r="E8" s="194"/>
      <c r="F8" s="194"/>
      <c r="G8" s="194"/>
      <c r="H8" s="194"/>
      <c r="I8" s="194"/>
      <c r="J8" s="194"/>
      <c r="K8" s="194"/>
      <c r="L8" s="194"/>
      <c r="M8" s="194"/>
      <c r="N8" s="194"/>
      <c r="O8" s="194"/>
      <c r="P8" s="194"/>
      <c r="Q8" s="194"/>
      <c r="R8" s="194"/>
      <c r="S8" s="194"/>
      <c r="T8" s="194"/>
      <c r="U8" s="194"/>
      <c r="V8" s="194"/>
      <c r="W8" s="194"/>
      <c r="X8" s="194"/>
      <c r="Y8" s="194"/>
      <c r="Z8" s="194"/>
      <c r="AA8" s="194"/>
      <c r="AB8" s="194"/>
      <c r="AC8" s="194"/>
      <c r="AD8" s="194"/>
      <c r="AE8" s="194"/>
      <c r="AF8" s="194"/>
      <c r="AG8" s="194"/>
      <c r="AH8" s="194"/>
      <c r="AI8" s="194"/>
      <c r="AJ8" s="194"/>
      <c r="AK8" s="194"/>
      <c r="AL8" s="194"/>
      <c r="AM8" s="194"/>
    </row>
    <row r="9" spans="1:39" x14ac:dyDescent="0.25">
      <c r="A9" s="194"/>
      <c r="B9" s="432" t="s">
        <v>1093</v>
      </c>
      <c r="C9" s="194" t="s">
        <v>262</v>
      </c>
      <c r="D9" s="194"/>
      <c r="E9" s="194"/>
      <c r="F9" s="194"/>
      <c r="G9" s="194"/>
      <c r="H9" s="194"/>
      <c r="I9" s="194"/>
      <c r="J9" s="194"/>
      <c r="K9" s="194"/>
      <c r="L9" s="194"/>
      <c r="M9" s="194"/>
      <c r="N9" s="194"/>
      <c r="O9" s="194"/>
      <c r="P9" s="194"/>
      <c r="Q9" s="194"/>
      <c r="R9" s="194"/>
      <c r="S9" s="194"/>
      <c r="T9" s="194"/>
      <c r="U9" s="194"/>
      <c r="V9" s="194"/>
      <c r="W9" s="194"/>
      <c r="X9" s="194"/>
      <c r="Y9" s="194"/>
      <c r="Z9" s="194"/>
      <c r="AA9" s="194"/>
      <c r="AB9" s="194"/>
      <c r="AC9" s="194"/>
      <c r="AD9" s="194"/>
      <c r="AE9" s="194"/>
      <c r="AF9" s="194"/>
      <c r="AG9" s="194"/>
      <c r="AH9" s="194"/>
      <c r="AI9" s="194"/>
      <c r="AJ9" s="194"/>
      <c r="AK9" s="194"/>
      <c r="AL9" s="194"/>
      <c r="AM9" s="194"/>
    </row>
    <row r="10" spans="1:39" x14ac:dyDescent="0.25">
      <c r="A10" s="194"/>
      <c r="B10" s="432" t="s">
        <v>1094</v>
      </c>
      <c r="C10" s="194" t="s">
        <v>1095</v>
      </c>
      <c r="D10" s="194"/>
      <c r="E10" s="194"/>
      <c r="F10" s="194"/>
      <c r="G10" s="194"/>
      <c r="H10" s="194"/>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194"/>
      <c r="AG10" s="194"/>
      <c r="AH10" s="194"/>
      <c r="AI10" s="194"/>
      <c r="AJ10" s="194"/>
      <c r="AK10" s="194"/>
      <c r="AL10" s="194"/>
      <c r="AM10" s="194"/>
    </row>
    <row r="11" spans="1:39" x14ac:dyDescent="0.25">
      <c r="A11" s="194"/>
      <c r="B11" s="432" t="s">
        <v>1096</v>
      </c>
      <c r="C11" s="194" t="s">
        <v>1097</v>
      </c>
      <c r="D11" s="194"/>
      <c r="E11" s="194"/>
      <c r="F11" s="194"/>
      <c r="G11" s="194"/>
      <c r="H11" s="194"/>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194"/>
      <c r="AG11" s="194"/>
      <c r="AH11" s="194"/>
      <c r="AI11" s="194"/>
      <c r="AJ11" s="194"/>
      <c r="AK11" s="194"/>
      <c r="AL11" s="194"/>
      <c r="AM11" s="194"/>
    </row>
    <row r="12" spans="1:39" x14ac:dyDescent="0.25">
      <c r="A12" s="194"/>
      <c r="B12" s="432" t="s">
        <v>1098</v>
      </c>
      <c r="C12" s="194" t="s">
        <v>1099</v>
      </c>
      <c r="D12" s="194"/>
      <c r="E12" s="194"/>
      <c r="F12" s="194"/>
      <c r="G12" s="194"/>
      <c r="H12" s="194"/>
      <c r="I12" s="194"/>
      <c r="J12" s="194"/>
      <c r="K12" s="194"/>
      <c r="L12" s="194"/>
      <c r="M12" s="194"/>
      <c r="N12" s="194"/>
      <c r="O12" s="194"/>
      <c r="P12" s="194"/>
      <c r="Q12" s="194"/>
      <c r="R12" s="194"/>
      <c r="S12" s="194"/>
      <c r="T12" s="194"/>
      <c r="U12" s="194"/>
      <c r="V12" s="194"/>
      <c r="W12" s="194"/>
      <c r="X12" s="194"/>
      <c r="Y12" s="194"/>
      <c r="Z12" s="194"/>
      <c r="AA12" s="194"/>
      <c r="AB12" s="194"/>
      <c r="AC12" s="194"/>
      <c r="AD12" s="194"/>
      <c r="AE12" s="194"/>
      <c r="AF12" s="194"/>
      <c r="AG12" s="194"/>
      <c r="AH12" s="194"/>
      <c r="AI12" s="194"/>
      <c r="AJ12" s="194"/>
      <c r="AK12" s="194"/>
      <c r="AL12" s="194"/>
      <c r="AM12" s="194"/>
    </row>
    <row r="13" spans="1:39" x14ac:dyDescent="0.25">
      <c r="A13" s="194"/>
      <c r="B13" s="432" t="s">
        <v>1100</v>
      </c>
      <c r="C13" s="194" t="s">
        <v>1101</v>
      </c>
      <c r="D13" s="194"/>
      <c r="E13" s="194"/>
      <c r="F13" s="194"/>
      <c r="G13" s="194"/>
      <c r="H13" s="194"/>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row>
    <row r="14" spans="1:39" x14ac:dyDescent="0.25">
      <c r="A14" s="194"/>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row>
    <row r="15" spans="1:39" x14ac:dyDescent="0.25">
      <c r="A15" s="194"/>
      <c r="B15" s="432" t="s">
        <v>1102</v>
      </c>
      <c r="C15" s="432" t="s">
        <v>1103</v>
      </c>
      <c r="D15" s="432" t="s">
        <v>1104</v>
      </c>
      <c r="E15" s="432" t="s">
        <v>1105</v>
      </c>
      <c r="F15" s="432" t="s">
        <v>1106</v>
      </c>
      <c r="G15" s="432" t="s">
        <v>1107</v>
      </c>
      <c r="H15" s="432" t="s">
        <v>1108</v>
      </c>
      <c r="I15" s="432" t="s">
        <v>1109</v>
      </c>
      <c r="J15" s="432" t="s">
        <v>1110</v>
      </c>
      <c r="K15" s="432" t="s">
        <v>1111</v>
      </c>
      <c r="L15" s="432" t="s">
        <v>1112</v>
      </c>
      <c r="M15" s="432" t="s">
        <v>1113</v>
      </c>
      <c r="N15" s="432" t="s">
        <v>1114</v>
      </c>
      <c r="O15" s="432" t="s">
        <v>1115</v>
      </c>
      <c r="P15" s="432" t="s">
        <v>1116</v>
      </c>
      <c r="Q15" s="432" t="s">
        <v>1117</v>
      </c>
      <c r="R15" s="432" t="s">
        <v>1118</v>
      </c>
      <c r="S15" s="432" t="s">
        <v>1119</v>
      </c>
      <c r="T15" s="432" t="s">
        <v>1120</v>
      </c>
      <c r="U15" s="432" t="s">
        <v>1121</v>
      </c>
      <c r="V15" s="432" t="s">
        <v>1122</v>
      </c>
      <c r="W15" s="432" t="s">
        <v>1123</v>
      </c>
      <c r="X15" s="432" t="s">
        <v>1124</v>
      </c>
      <c r="Y15" s="432" t="s">
        <v>1125</v>
      </c>
      <c r="Z15" s="432" t="s">
        <v>1126</v>
      </c>
      <c r="AA15" s="432" t="s">
        <v>1127</v>
      </c>
      <c r="AB15" s="432" t="s">
        <v>1128</v>
      </c>
      <c r="AC15" s="432" t="s">
        <v>1129</v>
      </c>
      <c r="AD15" s="432" t="s">
        <v>1130</v>
      </c>
      <c r="AE15" s="432" t="s">
        <v>1131</v>
      </c>
      <c r="AF15" s="432" t="s">
        <v>1132</v>
      </c>
      <c r="AG15" s="432" t="s">
        <v>1133</v>
      </c>
      <c r="AH15" s="432" t="s">
        <v>1134</v>
      </c>
      <c r="AI15" s="432" t="s">
        <v>1135</v>
      </c>
      <c r="AJ15" s="432" t="s">
        <v>1136</v>
      </c>
      <c r="AK15" s="432" t="s">
        <v>1137</v>
      </c>
      <c r="AL15" s="432" t="s">
        <v>1138</v>
      </c>
      <c r="AM15" s="432"/>
    </row>
    <row r="16" spans="1:39" x14ac:dyDescent="0.25">
      <c r="A16" s="194"/>
      <c r="B16" s="194" t="s">
        <v>1139</v>
      </c>
      <c r="C16" s="194" t="s">
        <v>10</v>
      </c>
      <c r="D16" s="194" t="s">
        <v>1140</v>
      </c>
      <c r="E16" s="194">
        <v>1</v>
      </c>
      <c r="F16" s="433">
        <v>0</v>
      </c>
      <c r="G16" s="433">
        <v>0</v>
      </c>
      <c r="H16" s="433">
        <v>0</v>
      </c>
      <c r="I16" s="433">
        <v>0</v>
      </c>
      <c r="J16" s="433">
        <v>0</v>
      </c>
      <c r="K16" s="433">
        <v>0</v>
      </c>
      <c r="L16" s="433">
        <v>0</v>
      </c>
      <c r="M16" s="433">
        <v>0</v>
      </c>
      <c r="N16" s="433">
        <v>9.8519299213394535E-9</v>
      </c>
      <c r="O16" s="433">
        <v>3.1540939323378811E-8</v>
      </c>
      <c r="P16" s="433">
        <v>6.2501428747742371E-8</v>
      </c>
      <c r="Q16" s="433">
        <v>1.018511703728463E-7</v>
      </c>
      <c r="R16" s="433">
        <v>1.4894636659878889E-7</v>
      </c>
      <c r="S16" s="433">
        <v>2.0074600781338119E-7</v>
      </c>
      <c r="T16" s="433">
        <v>2.6107617905303778E-7</v>
      </c>
      <c r="U16" s="433">
        <v>3.2987329132971848E-7</v>
      </c>
      <c r="V16" s="433">
        <v>4.0711289923977971E-7</v>
      </c>
      <c r="W16" s="433">
        <v>4.8314336560554063E-7</v>
      </c>
      <c r="X16" s="433">
        <v>5.5882771452414812E-7</v>
      </c>
      <c r="Y16" s="433">
        <v>6.3589657153355418E-7</v>
      </c>
      <c r="Z16" s="433">
        <v>7.1660050457866461E-7</v>
      </c>
      <c r="AA16" s="433">
        <v>7.9894555566048068E-7</v>
      </c>
      <c r="AB16" s="433">
        <v>8.85221012763728E-7</v>
      </c>
      <c r="AC16" s="433">
        <v>9.7440790019803123E-7</v>
      </c>
      <c r="AD16" s="433">
        <v>1.0670013135791511E-6</v>
      </c>
      <c r="AE16" s="433">
        <v>1.1630521332887881E-6</v>
      </c>
      <c r="AF16" s="433">
        <v>1.261290134713085E-6</v>
      </c>
      <c r="AG16" s="433">
        <v>1.3659550986162041E-6</v>
      </c>
      <c r="AH16" s="433">
        <v>1.4755733918879199E-6</v>
      </c>
      <c r="AI16" s="433">
        <v>1.5902747935584759E-6</v>
      </c>
      <c r="AJ16" s="433">
        <v>1.668144611637901E-6</v>
      </c>
      <c r="AK16" s="433">
        <v>1.7298704460152931E-6</v>
      </c>
      <c r="AL16" s="433">
        <v>1.785639279141623E-6</v>
      </c>
      <c r="AM16" s="433"/>
    </row>
    <row r="17" spans="1:39" x14ac:dyDescent="0.25">
      <c r="A17" s="194"/>
      <c r="B17" s="194" t="s">
        <v>1141</v>
      </c>
      <c r="C17" s="194" t="s">
        <v>10</v>
      </c>
      <c r="D17" s="194" t="s">
        <v>1140</v>
      </c>
      <c r="E17" s="194">
        <v>1</v>
      </c>
      <c r="F17" s="433">
        <v>2.6131014791080082E-7</v>
      </c>
      <c r="G17" s="433">
        <v>4.1898124909234098E-7</v>
      </c>
      <c r="H17" s="433">
        <v>5.8111866987456702E-7</v>
      </c>
      <c r="I17" s="433">
        <v>7.4840461171582204E-7</v>
      </c>
      <c r="J17" s="433">
        <v>9.2201719908830302E-7</v>
      </c>
      <c r="K17" s="433">
        <v>2.3052706395561522E-6</v>
      </c>
      <c r="L17" s="433">
        <v>4.4136082214367739E-6</v>
      </c>
      <c r="M17" s="433">
        <v>6.5946290152229707E-6</v>
      </c>
      <c r="N17" s="433">
        <v>8.8466612984224004E-6</v>
      </c>
      <c r="O17" s="433">
        <v>1.147830442458914E-5</v>
      </c>
      <c r="P17" s="433">
        <v>1.2507147924218111E-5</v>
      </c>
      <c r="Q17" s="433">
        <v>1.314530607109544E-5</v>
      </c>
      <c r="R17" s="433">
        <v>1.713973749358667E-5</v>
      </c>
      <c r="S17" s="433">
        <v>2.1744247344928299E-5</v>
      </c>
      <c r="T17" s="433">
        <v>2.306901239073155E-5</v>
      </c>
      <c r="U17" s="433">
        <v>2.4384035920381919E-5</v>
      </c>
      <c r="V17" s="433">
        <v>2.5685308896897321E-5</v>
      </c>
      <c r="W17" s="433">
        <v>2.69879996666842E-5</v>
      </c>
      <c r="X17" s="433">
        <v>2.8364564007057459E-5</v>
      </c>
      <c r="Y17" s="433">
        <v>3.1166396877940423E-5</v>
      </c>
      <c r="Z17" s="433">
        <v>3.4618545587236393E-5</v>
      </c>
      <c r="AA17" s="433">
        <v>3.6918482212532093E-5</v>
      </c>
      <c r="AB17" s="433">
        <v>3.867669343107176E-5</v>
      </c>
      <c r="AC17" s="433">
        <v>4.0727676739808633E-5</v>
      </c>
      <c r="AD17" s="433">
        <v>4.3031867101066257E-5</v>
      </c>
      <c r="AE17" s="433">
        <v>4.5313001867797073E-5</v>
      </c>
      <c r="AF17" s="433">
        <v>4.8376348474465388E-5</v>
      </c>
      <c r="AG17" s="433">
        <v>5.1409482806971542E-5</v>
      </c>
      <c r="AH17" s="433">
        <v>5.50670128350142E-5</v>
      </c>
      <c r="AI17" s="433">
        <v>5.8640584864915532E-5</v>
      </c>
      <c r="AJ17" s="433">
        <v>6.3052900975069188E-5</v>
      </c>
      <c r="AK17" s="433">
        <v>6.6892769382864136E-5</v>
      </c>
      <c r="AL17" s="433">
        <v>7.0764145343318397E-5</v>
      </c>
      <c r="AM17" s="433"/>
    </row>
    <row r="18" spans="1:39" x14ac:dyDescent="0.25">
      <c r="A18" s="194"/>
      <c r="B18" s="194" t="s">
        <v>1142</v>
      </c>
      <c r="C18" s="194" t="s">
        <v>10</v>
      </c>
      <c r="D18" s="194" t="s">
        <v>1140</v>
      </c>
      <c r="E18" s="194">
        <v>1</v>
      </c>
      <c r="F18" s="433">
        <v>0</v>
      </c>
      <c r="G18" s="433">
        <v>0</v>
      </c>
      <c r="H18" s="433">
        <v>0</v>
      </c>
      <c r="I18" s="433">
        <v>0</v>
      </c>
      <c r="J18" s="433">
        <v>0</v>
      </c>
      <c r="K18" s="433">
        <v>0</v>
      </c>
      <c r="L18" s="433">
        <v>0</v>
      </c>
      <c r="M18" s="433">
        <v>0</v>
      </c>
      <c r="N18" s="433">
        <v>0</v>
      </c>
      <c r="O18" s="433">
        <v>0</v>
      </c>
      <c r="P18" s="433">
        <v>0</v>
      </c>
      <c r="Q18" s="433">
        <v>0</v>
      </c>
      <c r="R18" s="433">
        <v>0</v>
      </c>
      <c r="S18" s="433">
        <v>0</v>
      </c>
      <c r="T18" s="433">
        <v>0</v>
      </c>
      <c r="U18" s="433">
        <v>0</v>
      </c>
      <c r="V18" s="433">
        <v>0</v>
      </c>
      <c r="W18" s="433">
        <v>0</v>
      </c>
      <c r="X18" s="433">
        <v>0</v>
      </c>
      <c r="Y18" s="433">
        <v>0</v>
      </c>
      <c r="Z18" s="433">
        <v>0</v>
      </c>
      <c r="AA18" s="433">
        <v>0</v>
      </c>
      <c r="AB18" s="433">
        <v>3.70462863680154E-10</v>
      </c>
      <c r="AC18" s="433">
        <v>1.1108583319757149E-9</v>
      </c>
      <c r="AD18" s="433">
        <v>1.2944556663871841E-9</v>
      </c>
      <c r="AE18" s="433">
        <v>2.3984260362871581E-9</v>
      </c>
      <c r="AF18" s="433">
        <v>2.940498638410223E-9</v>
      </c>
      <c r="AG18" s="433">
        <v>6.4163774596117491E-9</v>
      </c>
      <c r="AH18" s="433">
        <v>1.353233746433338E-8</v>
      </c>
      <c r="AI18" s="433">
        <v>2.4263685619281551E-8</v>
      </c>
      <c r="AJ18" s="433">
        <v>3.9230959730470671E-8</v>
      </c>
      <c r="AK18" s="433">
        <v>5.8312306612808159E-8</v>
      </c>
      <c r="AL18" s="433">
        <v>8.8385301478315641E-8</v>
      </c>
      <c r="AM18" s="433"/>
    </row>
    <row r="19" spans="1:39" x14ac:dyDescent="0.25">
      <c r="A19" s="194"/>
      <c r="B19" s="194" t="s">
        <v>1139</v>
      </c>
      <c r="C19" s="194" t="s">
        <v>1143</v>
      </c>
      <c r="D19" s="194" t="s">
        <v>1144</v>
      </c>
      <c r="E19" s="194">
        <v>3170</v>
      </c>
      <c r="F19" s="433">
        <v>0</v>
      </c>
      <c r="G19" s="433">
        <v>0</v>
      </c>
      <c r="H19" s="433">
        <v>0</v>
      </c>
      <c r="I19" s="433">
        <v>0</v>
      </c>
      <c r="J19" s="433">
        <v>0</v>
      </c>
      <c r="K19" s="433">
        <v>0</v>
      </c>
      <c r="L19" s="433">
        <v>0</v>
      </c>
      <c r="M19" s="433">
        <v>2.707762738895486E-5</v>
      </c>
      <c r="N19" s="433">
        <v>8.6931551058900983E-5</v>
      </c>
      <c r="O19" s="433">
        <v>1.863040424496161E-4</v>
      </c>
      <c r="P19" s="433">
        <v>3.1273547703796481E-4</v>
      </c>
      <c r="Q19" s="433">
        <v>5.1983172190548646E-4</v>
      </c>
      <c r="R19" s="433">
        <v>8.0178753633182497E-4</v>
      </c>
      <c r="S19" s="433">
        <v>1.0834609757761769E-3</v>
      </c>
      <c r="T19" s="433">
        <v>1.3939861319519551E-3</v>
      </c>
      <c r="U19" s="433">
        <v>1.73277048366962E-3</v>
      </c>
      <c r="V19" s="433">
        <v>2.0952357832950178E-3</v>
      </c>
      <c r="W19" s="433">
        <v>2.4518460588209851E-3</v>
      </c>
      <c r="X19" s="433">
        <v>2.8027344076029899E-3</v>
      </c>
      <c r="Y19" s="433">
        <v>2.5626719382125999E-3</v>
      </c>
      <c r="Z19" s="433">
        <v>2.752380230469018E-3</v>
      </c>
      <c r="AA19" s="433">
        <v>3.2288385920380609E-3</v>
      </c>
      <c r="AB19" s="433">
        <v>3.824497153161363E-3</v>
      </c>
      <c r="AC19" s="433">
        <v>4.270337205032915E-3</v>
      </c>
      <c r="AD19" s="433">
        <v>5.3506683554602431E-3</v>
      </c>
      <c r="AE19" s="433">
        <v>5.2407328336516431E-3</v>
      </c>
      <c r="AF19" s="433">
        <v>6.1727424067068029E-3</v>
      </c>
      <c r="AG19" s="433">
        <v>5.5345313365690032E-3</v>
      </c>
      <c r="AH19" s="433">
        <v>6.4767103186586942E-3</v>
      </c>
      <c r="AI19" s="433">
        <v>6.1203556267807966E-3</v>
      </c>
      <c r="AJ19" s="433">
        <v>6.9972372579427166E-3</v>
      </c>
      <c r="AK19" s="433">
        <v>7.2624295668966832E-3</v>
      </c>
      <c r="AL19" s="433">
        <v>7.5245276682444923E-3</v>
      </c>
      <c r="AM19" s="433"/>
    </row>
    <row r="20" spans="1:39" x14ac:dyDescent="0.25">
      <c r="A20" s="194"/>
      <c r="B20" s="194" t="s">
        <v>1142</v>
      </c>
      <c r="C20" s="194" t="s">
        <v>1143</v>
      </c>
      <c r="D20" s="194" t="s">
        <v>1144</v>
      </c>
      <c r="E20" s="194">
        <v>3170</v>
      </c>
      <c r="F20" s="433">
        <v>2.0830797606810991E-6</v>
      </c>
      <c r="G20" s="433">
        <v>5.1310290580785562E-6</v>
      </c>
      <c r="H20" s="433">
        <v>9.8378592437783122E-6</v>
      </c>
      <c r="I20" s="433">
        <v>1.8322801458537179E-3</v>
      </c>
      <c r="J20" s="433">
        <v>4.8728700758485701E-3</v>
      </c>
      <c r="K20" s="433">
        <v>1.032790790201873E-2</v>
      </c>
      <c r="L20" s="433">
        <v>1.7579836613494621E-2</v>
      </c>
      <c r="M20" s="433">
        <v>2.713524858003856E-2</v>
      </c>
      <c r="N20" s="433">
        <v>3.548195471409131E-2</v>
      </c>
      <c r="O20" s="433">
        <v>4.6437791534360923E-2</v>
      </c>
      <c r="P20" s="433">
        <v>5.5499792791662977E-2</v>
      </c>
      <c r="Q20" s="433">
        <v>6.7528539052567685E-2</v>
      </c>
      <c r="R20" s="433">
        <v>8.1966989013505881E-2</v>
      </c>
      <c r="S20" s="433">
        <v>9.7832896017233148E-2</v>
      </c>
      <c r="T20" s="433">
        <v>0.1141723963425368</v>
      </c>
      <c r="U20" s="433">
        <v>0.14353410156192381</v>
      </c>
      <c r="V20" s="433">
        <v>0.18096797410503329</v>
      </c>
      <c r="W20" s="433">
        <v>0.22928927713897171</v>
      </c>
      <c r="X20" s="433">
        <v>0.2811016094500573</v>
      </c>
      <c r="Y20" s="433">
        <v>0.27603704284800851</v>
      </c>
      <c r="Z20" s="433">
        <v>0.31935177334421078</v>
      </c>
      <c r="AA20" s="433">
        <v>0.39418764670580742</v>
      </c>
      <c r="AB20" s="433">
        <v>0.48079928856448328</v>
      </c>
      <c r="AC20" s="433">
        <v>0.55078410886429996</v>
      </c>
      <c r="AD20" s="433">
        <v>0.70366761255527266</v>
      </c>
      <c r="AE20" s="433">
        <v>0.69749796964637756</v>
      </c>
      <c r="AF20" s="433">
        <v>0.83328892692382928</v>
      </c>
      <c r="AG20" s="433">
        <v>0.75152261346217619</v>
      </c>
      <c r="AH20" s="433">
        <v>0.89051178607043024</v>
      </c>
      <c r="AI20" s="433">
        <v>0.86712904720235651</v>
      </c>
      <c r="AJ20" s="433">
        <v>1.041814281846178</v>
      </c>
      <c r="AK20" s="433">
        <v>1.197965397985284</v>
      </c>
      <c r="AL20" s="433">
        <v>1.3027469851872151</v>
      </c>
      <c r="AM20" s="433"/>
    </row>
    <row r="21" spans="1:39" ht="15.75" customHeight="1" x14ac:dyDescent="0.25">
      <c r="A21" s="194"/>
      <c r="B21" s="194" t="s">
        <v>1141</v>
      </c>
      <c r="C21" s="194" t="s">
        <v>1143</v>
      </c>
      <c r="D21" s="194" t="s">
        <v>1145</v>
      </c>
      <c r="E21" s="194">
        <v>1300</v>
      </c>
      <c r="F21" s="433">
        <v>0</v>
      </c>
      <c r="G21" s="433">
        <v>0</v>
      </c>
      <c r="H21" s="433">
        <v>0</v>
      </c>
      <c r="I21" s="433">
        <v>0</v>
      </c>
      <c r="J21" s="433">
        <v>0</v>
      </c>
      <c r="K21" s="433">
        <v>0</v>
      </c>
      <c r="L21" s="433">
        <v>4.7083012191387092E-4</v>
      </c>
      <c r="M21" s="433">
        <v>9.7398562366991608E-4</v>
      </c>
      <c r="N21" s="433">
        <v>1.5172377292203411E-3</v>
      </c>
      <c r="O21" s="433">
        <v>2.0890454138388749E-3</v>
      </c>
      <c r="P21" s="433">
        <v>2.2597233969434368E-3</v>
      </c>
      <c r="Q21" s="433">
        <v>2.449931277654476E-3</v>
      </c>
      <c r="R21" s="433">
        <v>9.6719329994966411E-3</v>
      </c>
      <c r="S21" s="433">
        <v>1.798711497273375E-2</v>
      </c>
      <c r="T21" s="433">
        <v>2.0047647530325102E-2</v>
      </c>
      <c r="U21" s="433">
        <v>2.2196067947018928E-2</v>
      </c>
      <c r="V21" s="433">
        <v>2.4372083845772899E-2</v>
      </c>
      <c r="W21" s="433">
        <v>2.6622561246531871E-2</v>
      </c>
      <c r="X21" s="433">
        <v>2.8829089321157471E-2</v>
      </c>
      <c r="Y21" s="433">
        <v>4.9818769159364368E-2</v>
      </c>
      <c r="Z21" s="433">
        <v>6.4518060128460356E-2</v>
      </c>
      <c r="AA21" s="433">
        <v>6.9924118282950087E-2</v>
      </c>
      <c r="AB21" s="433">
        <v>7.5492315634510768E-2</v>
      </c>
      <c r="AC21" s="433">
        <v>0.102910838314077</v>
      </c>
      <c r="AD21" s="433">
        <v>0.12581848736913631</v>
      </c>
      <c r="AE21" s="433">
        <v>0.12643396100004839</v>
      </c>
      <c r="AF21" s="433">
        <v>0.1224032452974238</v>
      </c>
      <c r="AG21" s="433">
        <v>0.10682381967856761</v>
      </c>
      <c r="AH21" s="433">
        <v>0.12017952117463469</v>
      </c>
      <c r="AI21" s="433">
        <v>0.1172780049648126</v>
      </c>
      <c r="AJ21" s="433">
        <v>0.12873840644907619</v>
      </c>
      <c r="AK21" s="433">
        <v>6.8501506529416265E-2</v>
      </c>
      <c r="AL21" s="433">
        <v>7.3144160071592967E-2</v>
      </c>
      <c r="AM21" s="433"/>
    </row>
    <row r="22" spans="1:39" ht="15.75" customHeight="1" x14ac:dyDescent="0.25">
      <c r="A22" s="194"/>
      <c r="B22" s="194" t="s">
        <v>1146</v>
      </c>
      <c r="C22" s="194" t="s">
        <v>1143</v>
      </c>
      <c r="D22" s="194" t="s">
        <v>1145</v>
      </c>
      <c r="E22" s="194">
        <v>1300</v>
      </c>
      <c r="F22" s="433">
        <v>0</v>
      </c>
      <c r="G22" s="433">
        <v>0</v>
      </c>
      <c r="H22" s="433">
        <v>0</v>
      </c>
      <c r="I22" s="433">
        <v>0</v>
      </c>
      <c r="J22" s="433">
        <v>0</v>
      </c>
      <c r="K22" s="433">
        <v>0</v>
      </c>
      <c r="L22" s="433">
        <v>0</v>
      </c>
      <c r="M22" s="433">
        <v>3.2235782254365608E-4</v>
      </c>
      <c r="N22" s="433">
        <v>6.5270642478647929E-4</v>
      </c>
      <c r="O22" s="433">
        <v>9.9047932329365059E-4</v>
      </c>
      <c r="P22" s="433">
        <v>1.371567092698403E-3</v>
      </c>
      <c r="Q22" s="433">
        <v>3.1367205233573548E-3</v>
      </c>
      <c r="R22" s="433">
        <v>4.9577196476018647E-3</v>
      </c>
      <c r="S22" s="433">
        <v>6.8239834112029498E-3</v>
      </c>
      <c r="T22" s="433">
        <v>8.7482454746959041E-3</v>
      </c>
      <c r="U22" s="433">
        <v>1.0728317244315449E-2</v>
      </c>
      <c r="V22" s="433">
        <v>1.274075218509407E-2</v>
      </c>
      <c r="W22" s="433">
        <v>1.4772572226350729E-2</v>
      </c>
      <c r="X22" s="433">
        <v>1.645456790318444E-2</v>
      </c>
      <c r="Y22" s="433">
        <v>1.786536512200915E-2</v>
      </c>
      <c r="Z22" s="433">
        <v>1.703998626796414E-2</v>
      </c>
      <c r="AA22" s="433">
        <v>1.8568296455186279E-2</v>
      </c>
      <c r="AB22" s="433">
        <v>1.74196565713742E-2</v>
      </c>
      <c r="AC22" s="433">
        <v>2.0422720773557269E-2</v>
      </c>
      <c r="AD22" s="433">
        <v>2.129631658524931E-2</v>
      </c>
      <c r="AE22" s="433">
        <v>1.798754599747918E-2</v>
      </c>
      <c r="AF22" s="433">
        <v>2.099184022573827E-2</v>
      </c>
      <c r="AG22" s="433">
        <v>2.2168836397245231E-2</v>
      </c>
      <c r="AH22" s="433">
        <v>2.8629317304927598E-2</v>
      </c>
      <c r="AI22" s="433">
        <v>2.8196490746310279E-2</v>
      </c>
      <c r="AJ22" s="433">
        <v>3.1926112310129477E-2</v>
      </c>
      <c r="AK22" s="433">
        <v>3.2440100519578331E-2</v>
      </c>
      <c r="AL22" s="433">
        <v>1.975537229646375E-2</v>
      </c>
      <c r="AM22" s="433"/>
    </row>
    <row r="23" spans="1:39" ht="15.75" customHeight="1" x14ac:dyDescent="0.25">
      <c r="A23" s="194"/>
      <c r="B23" s="194" t="s">
        <v>1147</v>
      </c>
      <c r="C23" s="194" t="s">
        <v>1143</v>
      </c>
      <c r="D23" s="194" t="s">
        <v>1145</v>
      </c>
      <c r="E23" s="194">
        <v>1300</v>
      </c>
      <c r="F23" s="433">
        <v>0</v>
      </c>
      <c r="G23" s="433">
        <v>0</v>
      </c>
      <c r="H23" s="433">
        <v>0</v>
      </c>
      <c r="I23" s="433">
        <v>0</v>
      </c>
      <c r="J23" s="433">
        <v>1.222873263624181E-2</v>
      </c>
      <c r="K23" s="433">
        <v>0.13197604969973659</v>
      </c>
      <c r="L23" s="433">
        <v>0.15222651599904941</v>
      </c>
      <c r="M23" s="433">
        <v>0.16412746947062409</v>
      </c>
      <c r="N23" s="433">
        <v>0.16401129709142079</v>
      </c>
      <c r="O23" s="433">
        <v>0.16914019928520899</v>
      </c>
      <c r="P23" s="433">
        <v>0.1717795795987524</v>
      </c>
      <c r="Q23" s="433">
        <v>0.16325329296739999</v>
      </c>
      <c r="R23" s="433">
        <v>0.15334835742854641</v>
      </c>
      <c r="S23" s="433">
        <v>0.14300346441334841</v>
      </c>
      <c r="T23" s="433">
        <v>0.13129686926390791</v>
      </c>
      <c r="U23" s="433">
        <v>0.1192059926181875</v>
      </c>
      <c r="V23" s="433">
        <v>0.1287991576377196</v>
      </c>
      <c r="W23" s="433">
        <v>0.1393822644522251</v>
      </c>
      <c r="X23" s="433">
        <v>0.1489015613021788</v>
      </c>
      <c r="Y23" s="433">
        <v>0.16524918594278379</v>
      </c>
      <c r="Z23" s="433">
        <v>0.16121869065066899</v>
      </c>
      <c r="AA23" s="433">
        <v>0.17243090704340541</v>
      </c>
      <c r="AB23" s="433">
        <v>0.18256598943272859</v>
      </c>
      <c r="AC23" s="433">
        <v>0.24235495711430399</v>
      </c>
      <c r="AD23" s="433">
        <v>0.28728773716654388</v>
      </c>
      <c r="AE23" s="433">
        <v>0.28008391855201847</v>
      </c>
      <c r="AF23" s="433">
        <v>0.2362523918154053</v>
      </c>
      <c r="AG23" s="433">
        <v>0.1853181969290654</v>
      </c>
      <c r="AH23" s="433">
        <v>0.1791298630823423</v>
      </c>
      <c r="AI23" s="433">
        <v>0.1775373336035154</v>
      </c>
      <c r="AJ23" s="433">
        <v>0.20229140631843751</v>
      </c>
      <c r="AK23" s="433">
        <v>0.20684833898446839</v>
      </c>
      <c r="AL23" s="433">
        <v>0.211239346129798</v>
      </c>
      <c r="AM23" s="433"/>
    </row>
    <row r="24" spans="1:39" ht="15.75" customHeight="1" x14ac:dyDescent="0.25">
      <c r="A24" s="194"/>
      <c r="B24" s="194" t="s">
        <v>1142</v>
      </c>
      <c r="C24" s="194" t="s">
        <v>1143</v>
      </c>
      <c r="D24" s="194" t="s">
        <v>1145</v>
      </c>
      <c r="E24" s="194">
        <v>1300</v>
      </c>
      <c r="F24" s="433">
        <v>7.3244025391447861E-8</v>
      </c>
      <c r="G24" s="433">
        <v>1.8041422594940989E-7</v>
      </c>
      <c r="H24" s="433">
        <v>1.7305468372907699E-2</v>
      </c>
      <c r="I24" s="433">
        <v>7.4925704686498354E-2</v>
      </c>
      <c r="J24" s="433">
        <v>0.18214369648970391</v>
      </c>
      <c r="K24" s="433">
        <v>0.28846385509273298</v>
      </c>
      <c r="L24" s="433">
        <v>0.41808160418705281</v>
      </c>
      <c r="M24" s="433">
        <v>0.55318848799204057</v>
      </c>
      <c r="N24" s="433">
        <v>0.64919731239558043</v>
      </c>
      <c r="O24" s="433">
        <v>0.74618482084339144</v>
      </c>
      <c r="P24" s="433">
        <v>0.83848119982811664</v>
      </c>
      <c r="Q24" s="433">
        <v>0.93108188460690711</v>
      </c>
      <c r="R24" s="433">
        <v>0.97507844714428238</v>
      </c>
      <c r="S24" s="433">
        <v>1.007503342012952</v>
      </c>
      <c r="T24" s="433">
        <v>1.0436906705291049</v>
      </c>
      <c r="U24" s="433">
        <v>1.067829337330426</v>
      </c>
      <c r="V24" s="433">
        <v>1.0892686279706909</v>
      </c>
      <c r="W24" s="433">
        <v>1.1057765409659921</v>
      </c>
      <c r="X24" s="433">
        <v>1.1283151092445349</v>
      </c>
      <c r="Y24" s="433">
        <v>1.109075708793021</v>
      </c>
      <c r="Z24" s="433">
        <v>0.92797689062879785</v>
      </c>
      <c r="AA24" s="433">
        <v>0.85749332780679755</v>
      </c>
      <c r="AB24" s="433">
        <v>0.79206010936168336</v>
      </c>
      <c r="AC24" s="433">
        <v>0.90959075700779468</v>
      </c>
      <c r="AD24" s="433">
        <v>0.97963122701388372</v>
      </c>
      <c r="AE24" s="433">
        <v>0.87464999343577809</v>
      </c>
      <c r="AF24" s="433">
        <v>0.77006584444478243</v>
      </c>
      <c r="AG24" s="433">
        <v>0.62989015503701173</v>
      </c>
      <c r="AH24" s="433">
        <v>0.67060516400370496</v>
      </c>
      <c r="AI24" s="433">
        <v>0.62800888337323146</v>
      </c>
      <c r="AJ24" s="433">
        <v>0.67523393384518882</v>
      </c>
      <c r="AK24" s="433">
        <v>0.65433657486838559</v>
      </c>
      <c r="AL24" s="433">
        <v>0.62706311493157862</v>
      </c>
      <c r="AM24" s="433"/>
    </row>
    <row r="25" spans="1:39" ht="15.75" customHeight="1" x14ac:dyDescent="0.25">
      <c r="A25" s="194"/>
      <c r="B25" s="194" t="s">
        <v>1142</v>
      </c>
      <c r="C25" s="194" t="s">
        <v>1143</v>
      </c>
      <c r="D25" s="194" t="s">
        <v>1148</v>
      </c>
      <c r="E25" s="194">
        <v>4800</v>
      </c>
      <c r="F25" s="433">
        <v>3.7240846201553312E-6</v>
      </c>
      <c r="G25" s="433">
        <v>9.1731419801768085E-6</v>
      </c>
      <c r="H25" s="433">
        <v>1.7587910456692571E-5</v>
      </c>
      <c r="I25" s="433">
        <v>1.318694796414364E-3</v>
      </c>
      <c r="J25" s="433">
        <v>3.6741288239772992E-3</v>
      </c>
      <c r="K25" s="433">
        <v>9.1767881134462714E-3</v>
      </c>
      <c r="L25" s="433">
        <v>1.7068477805663181E-2</v>
      </c>
      <c r="M25" s="433">
        <v>2.8260174203529932E-2</v>
      </c>
      <c r="N25" s="433">
        <v>4.0974398710055072E-2</v>
      </c>
      <c r="O25" s="433">
        <v>5.8511730201415091E-2</v>
      </c>
      <c r="P25" s="433">
        <v>7.2150615314809471E-2</v>
      </c>
      <c r="Q25" s="433">
        <v>8.9370065998305867E-2</v>
      </c>
      <c r="R25" s="433">
        <v>0.1087828117007227</v>
      </c>
      <c r="S25" s="433">
        <v>0.1288072809836224</v>
      </c>
      <c r="T25" s="433">
        <v>0.1472520743030476</v>
      </c>
      <c r="U25" s="433">
        <v>0.17825234594206199</v>
      </c>
      <c r="V25" s="433">
        <v>0.2118619930356147</v>
      </c>
      <c r="W25" s="433">
        <v>0.2496507682504136</v>
      </c>
      <c r="X25" s="433">
        <v>0.29254300276961481</v>
      </c>
      <c r="Y25" s="433">
        <v>0.32544677330981392</v>
      </c>
      <c r="Z25" s="433">
        <v>0.33349639492362038</v>
      </c>
      <c r="AA25" s="433">
        <v>0.41388764324358202</v>
      </c>
      <c r="AB25" s="433">
        <v>0.49996887401693491</v>
      </c>
      <c r="AC25" s="433">
        <v>0.56678410628142217</v>
      </c>
      <c r="AD25" s="433">
        <v>0.65334285974531225</v>
      </c>
      <c r="AE25" s="433">
        <v>0.65542007120561996</v>
      </c>
      <c r="AF25" s="433">
        <v>0.6741416043585654</v>
      </c>
      <c r="AG25" s="433">
        <v>0.50404953133319441</v>
      </c>
      <c r="AH25" s="433">
        <v>0.632093783017319</v>
      </c>
      <c r="AI25" s="433">
        <v>0.55417967019470238</v>
      </c>
      <c r="AJ25" s="433">
        <v>0.60943851858890463</v>
      </c>
      <c r="AK25" s="433">
        <v>0.61154888168151578</v>
      </c>
      <c r="AL25" s="433">
        <v>0.60870672771026657</v>
      </c>
      <c r="AM25" s="433"/>
    </row>
    <row r="26" spans="1:39" ht="15.75" customHeight="1" x14ac:dyDescent="0.25">
      <c r="A26" s="194"/>
      <c r="B26" s="194" t="s">
        <v>1139</v>
      </c>
      <c r="C26" s="194" t="s">
        <v>1143</v>
      </c>
      <c r="D26" s="194" t="s">
        <v>1149</v>
      </c>
      <c r="E26" s="194">
        <v>12400</v>
      </c>
      <c r="F26" s="433">
        <v>0</v>
      </c>
      <c r="G26" s="433">
        <v>0</v>
      </c>
      <c r="H26" s="433">
        <v>0</v>
      </c>
      <c r="I26" s="433">
        <v>0</v>
      </c>
      <c r="J26" s="433">
        <v>0</v>
      </c>
      <c r="K26" s="433">
        <v>9.3036146234324768E-6</v>
      </c>
      <c r="L26" s="433">
        <v>2.0863174107854798E-5</v>
      </c>
      <c r="M26" s="433">
        <v>3.9285248301842602E-5</v>
      </c>
      <c r="N26" s="433">
        <v>5.762449576632511E-5</v>
      </c>
      <c r="O26" s="433">
        <v>8.2822795964448826E-5</v>
      </c>
      <c r="P26" s="433">
        <v>1.080885242557396E-4</v>
      </c>
      <c r="Q26" s="433">
        <v>1.313657066049777E-4</v>
      </c>
      <c r="R26" s="433">
        <v>1.5256283657628139E-4</v>
      </c>
      <c r="S26" s="433">
        <v>1.6903747560248619E-4</v>
      </c>
      <c r="T26" s="433">
        <v>1.852557722608108E-4</v>
      </c>
      <c r="U26" s="433">
        <v>2.0359600424150949E-4</v>
      </c>
      <c r="V26" s="433">
        <v>2.1908588182021951E-4</v>
      </c>
      <c r="W26" s="433">
        <v>2.3642555806566921E-4</v>
      </c>
      <c r="X26" s="433">
        <v>2.5156468733034262E-4</v>
      </c>
      <c r="Y26" s="433">
        <v>2.6969387346895552E-4</v>
      </c>
      <c r="Z26" s="433">
        <v>2.9085115325012397E-4</v>
      </c>
      <c r="AA26" s="433">
        <v>3.0973479855850972E-4</v>
      </c>
      <c r="AB26" s="433">
        <v>3.330461144484584E-4</v>
      </c>
      <c r="AC26" s="433">
        <v>3.5354917845680422E-4</v>
      </c>
      <c r="AD26" s="433">
        <v>3.7605786330928268E-4</v>
      </c>
      <c r="AE26" s="433">
        <v>4.0035265374947169E-4</v>
      </c>
      <c r="AF26" s="433">
        <v>4.2387287872683359E-4</v>
      </c>
      <c r="AG26" s="433">
        <v>4.5009971253825049E-4</v>
      </c>
      <c r="AH26" s="433">
        <v>4.7619198320438021E-4</v>
      </c>
      <c r="AI26" s="433">
        <v>5.0446574040930326E-4</v>
      </c>
      <c r="AJ26" s="433">
        <v>5.3214126222195246E-4</v>
      </c>
      <c r="AK26" s="433">
        <v>5.5199864253537782E-4</v>
      </c>
      <c r="AL26" s="433">
        <v>5.6954536712445038E-4</v>
      </c>
      <c r="AM26" s="433"/>
    </row>
    <row r="27" spans="1:39" ht="15.75" customHeight="1" x14ac:dyDescent="0.25">
      <c r="A27" s="194"/>
      <c r="B27" s="194" t="s">
        <v>1139</v>
      </c>
      <c r="C27" s="194" t="s">
        <v>1143</v>
      </c>
      <c r="D27" s="194" t="s">
        <v>1150</v>
      </c>
      <c r="E27" s="194">
        <v>8060</v>
      </c>
      <c r="F27" s="433">
        <v>0</v>
      </c>
      <c r="G27" s="433">
        <v>0</v>
      </c>
      <c r="H27" s="433">
        <v>0</v>
      </c>
      <c r="I27" s="433">
        <v>0</v>
      </c>
      <c r="J27" s="433">
        <v>0</v>
      </c>
      <c r="K27" s="433">
        <v>0</v>
      </c>
      <c r="L27" s="433">
        <v>0</v>
      </c>
      <c r="M27" s="433">
        <v>1.9677287605305281E-4</v>
      </c>
      <c r="N27" s="433">
        <v>5.9929475596978113E-4</v>
      </c>
      <c r="O27" s="433">
        <v>1.22025586054288E-3</v>
      </c>
      <c r="P27" s="433">
        <v>1.859582568365767E-3</v>
      </c>
      <c r="Q27" s="433">
        <v>2.5241805291070498E-3</v>
      </c>
      <c r="R27" s="433">
        <v>3.215377358751628E-3</v>
      </c>
      <c r="S27" s="433">
        <v>3.7282025697778481E-3</v>
      </c>
      <c r="T27" s="433">
        <v>4.0489964724753462E-3</v>
      </c>
      <c r="U27" s="433">
        <v>4.1671243527226683E-3</v>
      </c>
      <c r="V27" s="433">
        <v>4.2781707301546229E-3</v>
      </c>
      <c r="W27" s="433">
        <v>4.3864974899368312E-3</v>
      </c>
      <c r="X27" s="433">
        <v>4.5011783418507298E-3</v>
      </c>
      <c r="Y27" s="433">
        <v>4.6335921557397212E-3</v>
      </c>
      <c r="Z27" s="433">
        <v>4.7814097461071556E-3</v>
      </c>
      <c r="AA27" s="433">
        <v>4.9347636405894114E-3</v>
      </c>
      <c r="AB27" s="433">
        <v>5.0880258808705184E-3</v>
      </c>
      <c r="AC27" s="433">
        <v>5.2378081210986936E-3</v>
      </c>
      <c r="AD27" s="433">
        <v>5.3880607579938232E-3</v>
      </c>
      <c r="AE27" s="433">
        <v>5.5376779066626941E-3</v>
      </c>
      <c r="AF27" s="433">
        <v>5.6821754613843372E-3</v>
      </c>
      <c r="AG27" s="433">
        <v>5.8379978623995356E-3</v>
      </c>
      <c r="AH27" s="433">
        <v>5.9974112703719273E-3</v>
      </c>
      <c r="AI27" s="433">
        <v>6.1625127656323034E-3</v>
      </c>
      <c r="AJ27" s="433">
        <v>6.408648020849398E-3</v>
      </c>
      <c r="AK27" s="433">
        <v>6.5918218060454052E-3</v>
      </c>
      <c r="AL27" s="433">
        <v>6.7551257288027454E-3</v>
      </c>
      <c r="AM27" s="433"/>
    </row>
    <row r="28" spans="1:39" ht="15.75" customHeight="1" x14ac:dyDescent="0.25">
      <c r="A28" s="194"/>
      <c r="B28" s="194" t="s">
        <v>1142</v>
      </c>
      <c r="C28" s="194" t="s">
        <v>1143</v>
      </c>
      <c r="D28" s="194" t="s">
        <v>1150</v>
      </c>
      <c r="E28" s="194">
        <v>8060</v>
      </c>
      <c r="F28" s="433">
        <v>0</v>
      </c>
      <c r="G28" s="433">
        <v>0</v>
      </c>
      <c r="H28" s="433">
        <v>0</v>
      </c>
      <c r="I28" s="433">
        <v>1.094958153041211E-3</v>
      </c>
      <c r="J28" s="433">
        <v>3.3027020891527839E-3</v>
      </c>
      <c r="K28" s="433">
        <v>5.4743631396104624E-3</v>
      </c>
      <c r="L28" s="433">
        <v>6.8121740657830568E-3</v>
      </c>
      <c r="M28" s="433">
        <v>8.1442941523637569E-3</v>
      </c>
      <c r="N28" s="433">
        <v>9.3579876144681325E-3</v>
      </c>
      <c r="O28" s="433">
        <v>1.046189951024263E-2</v>
      </c>
      <c r="P28" s="433">
        <v>1.14699172404104E-2</v>
      </c>
      <c r="Q28" s="433">
        <v>1.2396198147395159E-2</v>
      </c>
      <c r="R28" s="433">
        <v>1.3223615016062191E-2</v>
      </c>
      <c r="S28" s="433">
        <v>1.392845643145911E-2</v>
      </c>
      <c r="T28" s="433">
        <v>1.4498116737131051E-2</v>
      </c>
      <c r="U28" s="433">
        <v>1.493758433619425E-2</v>
      </c>
      <c r="V28" s="433">
        <v>1.5229928037270831E-2</v>
      </c>
      <c r="W28" s="433">
        <v>1.5381089327809121E-2</v>
      </c>
      <c r="X28" s="433">
        <v>1.543303617737592E-2</v>
      </c>
      <c r="Y28" s="433">
        <v>1.5419061553197361E-2</v>
      </c>
      <c r="Z28" s="433">
        <v>1.54502651789683E-2</v>
      </c>
      <c r="AA28" s="433">
        <v>1.54783656167052E-2</v>
      </c>
      <c r="AB28" s="433">
        <v>1.549548727040936E-2</v>
      </c>
      <c r="AC28" s="433">
        <v>1.5743269423815161E-2</v>
      </c>
      <c r="AD28" s="433">
        <v>1.49479561111812E-2</v>
      </c>
      <c r="AE28" s="433">
        <v>1.2775024408200639E-2</v>
      </c>
      <c r="AF28" s="433">
        <v>1.139990155130706E-2</v>
      </c>
      <c r="AG28" s="433">
        <v>1.004472525147862E-2</v>
      </c>
      <c r="AH28" s="433">
        <v>8.5856280781313535E-3</v>
      </c>
      <c r="AI28" s="433">
        <v>7.2388571570526916E-3</v>
      </c>
      <c r="AJ28" s="433">
        <v>6.0805703714151343E-3</v>
      </c>
      <c r="AK28" s="433">
        <v>4.9549861618991779E-3</v>
      </c>
      <c r="AL28" s="433">
        <v>3.9247575468000229E-3</v>
      </c>
      <c r="AM28" s="433"/>
    </row>
    <row r="29" spans="1:39" ht="15.75" customHeight="1" x14ac:dyDescent="0.25">
      <c r="A29" s="194"/>
      <c r="B29" s="194" t="s">
        <v>1142</v>
      </c>
      <c r="C29" s="194" t="s">
        <v>1143</v>
      </c>
      <c r="D29" s="194" t="s">
        <v>1151</v>
      </c>
      <c r="E29" s="194">
        <v>677</v>
      </c>
      <c r="F29" s="433">
        <v>0</v>
      </c>
      <c r="G29" s="433">
        <v>0</v>
      </c>
      <c r="H29" s="433">
        <v>0</v>
      </c>
      <c r="I29" s="433">
        <v>0</v>
      </c>
      <c r="J29" s="433">
        <v>0</v>
      </c>
      <c r="K29" s="433">
        <v>0</v>
      </c>
      <c r="L29" s="433">
        <v>3.0469016963371702E-6</v>
      </c>
      <c r="M29" s="433">
        <v>8.6518110182798053E-6</v>
      </c>
      <c r="N29" s="433">
        <v>1.844517591183488E-5</v>
      </c>
      <c r="O29" s="433">
        <v>3.5786809654347221E-5</v>
      </c>
      <c r="P29" s="433">
        <v>1.651955955267768E-4</v>
      </c>
      <c r="Q29" s="433">
        <v>4.1358921209775327E-4</v>
      </c>
      <c r="R29" s="433">
        <v>8.1173569754559188E-4</v>
      </c>
      <c r="S29" s="433">
        <v>1.3502779681188589E-3</v>
      </c>
      <c r="T29" s="433">
        <v>2.0675901294666841E-3</v>
      </c>
      <c r="U29" s="433">
        <v>3.080495081027423E-3</v>
      </c>
      <c r="V29" s="433">
        <v>5.012036933085804E-3</v>
      </c>
      <c r="W29" s="433">
        <v>7.1895367644093308E-3</v>
      </c>
      <c r="X29" s="433">
        <v>9.4723877763723281E-3</v>
      </c>
      <c r="Y29" s="433">
        <v>1.2203848200017841E-2</v>
      </c>
      <c r="Z29" s="433">
        <v>1.7058702289811462E-2</v>
      </c>
      <c r="AA29" s="433">
        <v>3.0748644235615671E-2</v>
      </c>
      <c r="AB29" s="433">
        <v>3.2645818495296318E-2</v>
      </c>
      <c r="AC29" s="433">
        <v>4.8837634649829952E-2</v>
      </c>
      <c r="AD29" s="433">
        <v>6.0687208721937488E-2</v>
      </c>
      <c r="AE29" s="433">
        <v>7.3553730118908534E-2</v>
      </c>
      <c r="AF29" s="433">
        <v>8.4213997171858915E-2</v>
      </c>
      <c r="AG29" s="433">
        <v>8.0964713183116183E-2</v>
      </c>
      <c r="AH29" s="433">
        <v>9.7705256137823007E-2</v>
      </c>
      <c r="AI29" s="433">
        <v>0.1037901447480068</v>
      </c>
      <c r="AJ29" s="433">
        <v>0.1381303149748907</v>
      </c>
      <c r="AK29" s="433">
        <v>0.16864826115628431</v>
      </c>
      <c r="AL29" s="433">
        <v>0.1885012873241986</v>
      </c>
      <c r="AM29" s="433"/>
    </row>
    <row r="30" spans="1:39" ht="15.75" customHeight="1" x14ac:dyDescent="0.25">
      <c r="A30" s="194"/>
      <c r="B30" s="194" t="s">
        <v>1139</v>
      </c>
      <c r="C30" s="194" t="s">
        <v>1143</v>
      </c>
      <c r="D30" s="194" t="s">
        <v>1152</v>
      </c>
      <c r="E30" s="194">
        <v>1</v>
      </c>
      <c r="F30" s="433">
        <v>0</v>
      </c>
      <c r="G30" s="433">
        <v>0</v>
      </c>
      <c r="H30" s="433">
        <v>0</v>
      </c>
      <c r="I30" s="433">
        <v>0</v>
      </c>
      <c r="J30" s="433">
        <v>6.9927002953494894E-5</v>
      </c>
      <c r="K30" s="433">
        <v>5.8312655526868715E-4</v>
      </c>
      <c r="L30" s="433">
        <v>1.4260147754122849E-3</v>
      </c>
      <c r="M30" s="433">
        <v>2.6570842323925571E-3</v>
      </c>
      <c r="N30" s="433">
        <v>4.1734448116025847E-3</v>
      </c>
      <c r="O30" s="433">
        <v>6.2098265177211193E-3</v>
      </c>
      <c r="P30" s="433">
        <v>8.1490364307879922E-3</v>
      </c>
      <c r="Q30" s="433">
        <v>9.9471421494280784E-3</v>
      </c>
      <c r="R30" s="433">
        <v>1.160995916122351E-2</v>
      </c>
      <c r="S30" s="433">
        <v>1.2933878542943769E-2</v>
      </c>
      <c r="T30" s="433">
        <v>1.423454371364744E-2</v>
      </c>
      <c r="U30" s="433">
        <v>1.5499809328405599E-2</v>
      </c>
      <c r="V30" s="433">
        <v>1.6701755546475371E-2</v>
      </c>
      <c r="W30" s="433">
        <v>1.78460016274243E-2</v>
      </c>
      <c r="X30" s="433">
        <v>1.8972191686515379E-2</v>
      </c>
      <c r="Y30" s="433">
        <v>2.012317740348785E-2</v>
      </c>
      <c r="Z30" s="433">
        <v>2.132646503976254E-2</v>
      </c>
      <c r="AA30" s="433">
        <v>2.252497290424995E-2</v>
      </c>
      <c r="AB30" s="433">
        <v>2.370096370609133E-2</v>
      </c>
      <c r="AC30" s="433">
        <v>2.4827776291184891E-2</v>
      </c>
      <c r="AD30" s="433">
        <v>2.591758210629231E-2</v>
      </c>
      <c r="AE30" s="433">
        <v>2.695280149269972E-2</v>
      </c>
      <c r="AF30" s="433">
        <v>2.7913106021788311E-2</v>
      </c>
      <c r="AG30" s="433">
        <v>2.8873744399520441E-2</v>
      </c>
      <c r="AH30" s="433">
        <v>2.9791962105591738E-2</v>
      </c>
      <c r="AI30" s="433">
        <v>3.0665212107299149E-2</v>
      </c>
      <c r="AJ30" s="433">
        <v>3.1563287069441143E-2</v>
      </c>
      <c r="AK30" s="433">
        <v>3.2139076122816183E-2</v>
      </c>
      <c r="AL30" s="433">
        <v>3.2596343641711593E-2</v>
      </c>
      <c r="AM30" s="433"/>
    </row>
    <row r="31" spans="1:39" ht="15.75" customHeight="1" x14ac:dyDescent="0.25">
      <c r="A31" s="194"/>
      <c r="B31" s="194" t="s">
        <v>1141</v>
      </c>
      <c r="C31" s="194" t="s">
        <v>1143</v>
      </c>
      <c r="D31" s="194" t="s">
        <v>1152</v>
      </c>
      <c r="E31" s="194">
        <v>1</v>
      </c>
      <c r="F31" s="433">
        <v>0</v>
      </c>
      <c r="G31" s="433">
        <v>0</v>
      </c>
      <c r="H31" s="433">
        <v>0</v>
      </c>
      <c r="I31" s="433">
        <v>0</v>
      </c>
      <c r="J31" s="433">
        <v>0</v>
      </c>
      <c r="K31" s="433">
        <v>0</v>
      </c>
      <c r="L31" s="433">
        <v>0</v>
      </c>
      <c r="M31" s="433">
        <v>0</v>
      </c>
      <c r="N31" s="433">
        <v>0</v>
      </c>
      <c r="O31" s="433">
        <v>0</v>
      </c>
      <c r="P31" s="433">
        <v>0</v>
      </c>
      <c r="Q31" s="433">
        <v>0</v>
      </c>
      <c r="R31" s="433">
        <v>0</v>
      </c>
      <c r="S31" s="433">
        <v>0</v>
      </c>
      <c r="T31" s="433">
        <v>0</v>
      </c>
      <c r="U31" s="433">
        <v>0</v>
      </c>
      <c r="V31" s="433">
        <v>0</v>
      </c>
      <c r="W31" s="433">
        <v>0</v>
      </c>
      <c r="X31" s="433">
        <v>0</v>
      </c>
      <c r="Y31" s="433">
        <v>0</v>
      </c>
      <c r="Z31" s="433">
        <v>0</v>
      </c>
      <c r="AA31" s="433">
        <v>0</v>
      </c>
      <c r="AB31" s="433">
        <v>0</v>
      </c>
      <c r="AC31" s="433">
        <v>0</v>
      </c>
      <c r="AD31" s="433">
        <v>0</v>
      </c>
      <c r="AE31" s="433">
        <v>0</v>
      </c>
      <c r="AF31" s="433">
        <v>0</v>
      </c>
      <c r="AG31" s="433">
        <v>4.9187949605383671E-6</v>
      </c>
      <c r="AH31" s="433">
        <v>1.134467053074122E-5</v>
      </c>
      <c r="AI31" s="433">
        <v>1.9157730483097699E-5</v>
      </c>
      <c r="AJ31" s="433">
        <v>2.882333606150492E-5</v>
      </c>
      <c r="AK31" s="433">
        <v>3.9761083238691162E-5</v>
      </c>
      <c r="AL31" s="433">
        <v>4.5162144170280212E-5</v>
      </c>
      <c r="AM31" s="433"/>
    </row>
    <row r="32" spans="1:39" ht="15.75" customHeight="1" x14ac:dyDescent="0.25">
      <c r="A32" s="194"/>
      <c r="B32" s="194" t="s">
        <v>1141</v>
      </c>
      <c r="C32" s="194" t="s">
        <v>1143</v>
      </c>
      <c r="D32" s="194" t="s">
        <v>1152</v>
      </c>
      <c r="E32" s="194">
        <v>1</v>
      </c>
      <c r="F32" s="433">
        <v>0</v>
      </c>
      <c r="G32" s="433">
        <v>0</v>
      </c>
      <c r="H32" s="433">
        <v>0</v>
      </c>
      <c r="I32" s="433">
        <v>0</v>
      </c>
      <c r="J32" s="433">
        <v>0</v>
      </c>
      <c r="K32" s="433">
        <v>0</v>
      </c>
      <c r="L32" s="433">
        <v>0</v>
      </c>
      <c r="M32" s="433">
        <v>0</v>
      </c>
      <c r="N32" s="433">
        <v>0</v>
      </c>
      <c r="O32" s="433">
        <v>0</v>
      </c>
      <c r="P32" s="433">
        <v>0</v>
      </c>
      <c r="Q32" s="433">
        <v>0</v>
      </c>
      <c r="R32" s="433">
        <v>0</v>
      </c>
      <c r="S32" s="433">
        <v>0</v>
      </c>
      <c r="T32" s="433">
        <v>0</v>
      </c>
      <c r="U32" s="433">
        <v>0</v>
      </c>
      <c r="V32" s="433">
        <v>0</v>
      </c>
      <c r="W32" s="433">
        <v>0</v>
      </c>
      <c r="X32" s="433">
        <v>0</v>
      </c>
      <c r="Y32" s="433">
        <v>0</v>
      </c>
      <c r="Z32" s="433">
        <v>0</v>
      </c>
      <c r="AA32" s="433">
        <v>0</v>
      </c>
      <c r="AB32" s="433">
        <v>0</v>
      </c>
      <c r="AC32" s="433">
        <v>0</v>
      </c>
      <c r="AD32" s="433">
        <v>0</v>
      </c>
      <c r="AE32" s="433">
        <v>3.4795626957212149E-7</v>
      </c>
      <c r="AF32" s="433">
        <v>2.9998599546731291E-6</v>
      </c>
      <c r="AG32" s="433">
        <v>8.4622852438765243E-6</v>
      </c>
      <c r="AH32" s="433">
        <v>1.3635658689567821E-5</v>
      </c>
      <c r="AI32" s="433">
        <v>1.984696510166646E-5</v>
      </c>
      <c r="AJ32" s="433">
        <v>2.836877264077815E-5</v>
      </c>
      <c r="AK32" s="433">
        <v>3.3408352926787908E-5</v>
      </c>
      <c r="AL32" s="433">
        <v>3.7369598252780032E-5</v>
      </c>
      <c r="AM32" s="433"/>
    </row>
    <row r="33" spans="1:39" ht="15.75" customHeight="1" x14ac:dyDescent="0.25">
      <c r="A33" s="194"/>
      <c r="B33" s="194" t="s">
        <v>1141</v>
      </c>
      <c r="C33" s="194" t="s">
        <v>1143</v>
      </c>
      <c r="D33" s="194" t="s">
        <v>1152</v>
      </c>
      <c r="E33" s="194">
        <v>1</v>
      </c>
      <c r="F33" s="433">
        <v>1.247233335978252E-4</v>
      </c>
      <c r="G33" s="433">
        <v>1.9717701008844989E-4</v>
      </c>
      <c r="H33" s="433">
        <v>2.7588013366345129E-4</v>
      </c>
      <c r="I33" s="433">
        <v>3.6106339589210849E-4</v>
      </c>
      <c r="J33" s="433">
        <v>3.8887763135033132E-4</v>
      </c>
      <c r="K33" s="433">
        <v>7.0829280963418631E-4</v>
      </c>
      <c r="L33" s="433">
        <v>1.134207391881062E-3</v>
      </c>
      <c r="M33" s="433">
        <v>1.573995900315812E-3</v>
      </c>
      <c r="N33" s="433">
        <v>2.028986006981899E-3</v>
      </c>
      <c r="O33" s="433">
        <v>2.500597210496796E-3</v>
      </c>
      <c r="P33" s="433">
        <v>2.674604537591573E-3</v>
      </c>
      <c r="Q33" s="433">
        <v>2.7549730508543199E-3</v>
      </c>
      <c r="R33" s="433">
        <v>2.8395959287016862E-3</v>
      </c>
      <c r="S33" s="433">
        <v>2.9225967022920448E-3</v>
      </c>
      <c r="T33" s="433">
        <v>3.002376059109935E-3</v>
      </c>
      <c r="U33" s="433">
        <v>3.014141448079443E-3</v>
      </c>
      <c r="V33" s="433">
        <v>3.0132729980100899E-3</v>
      </c>
      <c r="W33" s="433">
        <v>3.0020573951777801E-3</v>
      </c>
      <c r="X33" s="433">
        <v>2.9877839948934618E-3</v>
      </c>
      <c r="Y33" s="433">
        <v>3.2291845336988329E-3</v>
      </c>
      <c r="Z33" s="433">
        <v>3.4898536918406822E-3</v>
      </c>
      <c r="AA33" s="433">
        <v>3.5635077387002E-3</v>
      </c>
      <c r="AB33" s="433">
        <v>3.631456664281755E-3</v>
      </c>
      <c r="AC33" s="433">
        <v>3.6907112787227872E-3</v>
      </c>
      <c r="AD33" s="433">
        <v>3.7486785172294928E-3</v>
      </c>
      <c r="AE33" s="433">
        <v>3.8036287970288122E-3</v>
      </c>
      <c r="AF33" s="433">
        <v>3.8538017103202562E-3</v>
      </c>
      <c r="AG33" s="433">
        <v>3.9104194446443578E-3</v>
      </c>
      <c r="AH33" s="433">
        <v>3.9682822534737342E-3</v>
      </c>
      <c r="AI33" s="433">
        <v>4.0277338665856326E-3</v>
      </c>
      <c r="AJ33" s="433">
        <v>4.137621911827853E-3</v>
      </c>
      <c r="AK33" s="433">
        <v>4.2051292642641914E-3</v>
      </c>
      <c r="AL33" s="433">
        <v>4.2573179486642279E-3</v>
      </c>
      <c r="AM33" s="433"/>
    </row>
    <row r="34" spans="1:39" ht="15.75" customHeight="1" x14ac:dyDescent="0.25">
      <c r="A34" s="194"/>
      <c r="B34" s="194" t="s">
        <v>1141</v>
      </c>
      <c r="C34" s="194" t="s">
        <v>1143</v>
      </c>
      <c r="D34" s="194" t="s">
        <v>1152</v>
      </c>
      <c r="E34" s="194">
        <v>1</v>
      </c>
      <c r="F34" s="433">
        <v>0</v>
      </c>
      <c r="G34" s="433">
        <v>0</v>
      </c>
      <c r="H34" s="433">
        <v>0</v>
      </c>
      <c r="I34" s="433">
        <v>0</v>
      </c>
      <c r="J34" s="433">
        <v>0</v>
      </c>
      <c r="K34" s="433">
        <v>0</v>
      </c>
      <c r="L34" s="433">
        <v>0</v>
      </c>
      <c r="M34" s="433">
        <v>0</v>
      </c>
      <c r="N34" s="433">
        <v>0</v>
      </c>
      <c r="O34" s="433">
        <v>0</v>
      </c>
      <c r="P34" s="433">
        <v>0</v>
      </c>
      <c r="Q34" s="433">
        <v>0</v>
      </c>
      <c r="R34" s="433">
        <v>0</v>
      </c>
      <c r="S34" s="433">
        <v>0</v>
      </c>
      <c r="T34" s="433">
        <v>0</v>
      </c>
      <c r="U34" s="433">
        <v>0</v>
      </c>
      <c r="V34" s="433">
        <v>0</v>
      </c>
      <c r="W34" s="433">
        <v>0</v>
      </c>
      <c r="X34" s="433">
        <v>0</v>
      </c>
      <c r="Y34" s="433">
        <v>0</v>
      </c>
      <c r="Z34" s="433">
        <v>0</v>
      </c>
      <c r="AA34" s="433">
        <v>0</v>
      </c>
      <c r="AB34" s="433">
        <v>0</v>
      </c>
      <c r="AC34" s="433">
        <v>0</v>
      </c>
      <c r="AD34" s="433">
        <v>0</v>
      </c>
      <c r="AE34" s="433">
        <v>0</v>
      </c>
      <c r="AF34" s="433">
        <v>1.3101575464601649E-5</v>
      </c>
      <c r="AG34" s="433">
        <v>2.9165918730270622E-5</v>
      </c>
      <c r="AH34" s="433">
        <v>4.873451894469435E-5</v>
      </c>
      <c r="AI34" s="433">
        <v>7.2264005822099514E-5</v>
      </c>
      <c r="AJ34" s="433">
        <v>1.0163783915035379E-4</v>
      </c>
      <c r="AK34" s="433">
        <v>1.166726243045625E-4</v>
      </c>
      <c r="AL34" s="433">
        <v>1.3209942724156081E-4</v>
      </c>
      <c r="AM34" s="433"/>
    </row>
    <row r="35" spans="1:39" ht="15.75" customHeight="1" x14ac:dyDescent="0.25">
      <c r="A35" s="194"/>
      <c r="B35" s="194" t="s">
        <v>1141</v>
      </c>
      <c r="C35" s="194" t="s">
        <v>1143</v>
      </c>
      <c r="D35" s="194" t="s">
        <v>1152</v>
      </c>
      <c r="E35" s="194">
        <v>1</v>
      </c>
      <c r="F35" s="433">
        <v>0</v>
      </c>
      <c r="G35" s="433">
        <v>0</v>
      </c>
      <c r="H35" s="433">
        <v>0</v>
      </c>
      <c r="I35" s="433">
        <v>0</v>
      </c>
      <c r="J35" s="433">
        <v>0</v>
      </c>
      <c r="K35" s="433">
        <v>0</v>
      </c>
      <c r="L35" s="433">
        <v>0</v>
      </c>
      <c r="M35" s="433">
        <v>0</v>
      </c>
      <c r="N35" s="433">
        <v>0</v>
      </c>
      <c r="O35" s="433">
        <v>0</v>
      </c>
      <c r="P35" s="433">
        <v>0</v>
      </c>
      <c r="Q35" s="433">
        <v>0</v>
      </c>
      <c r="R35" s="433">
        <v>1.7077087743705959E-3</v>
      </c>
      <c r="S35" s="433">
        <v>3.713565197960695E-3</v>
      </c>
      <c r="T35" s="433">
        <v>4.179280302189432E-3</v>
      </c>
      <c r="U35" s="433">
        <v>4.6591121751991434E-3</v>
      </c>
      <c r="V35" s="433">
        <v>5.1455201124543746E-3</v>
      </c>
      <c r="W35" s="433">
        <v>5.6404105734369284E-3</v>
      </c>
      <c r="X35" s="433">
        <v>6.1574082226982189E-3</v>
      </c>
      <c r="Y35" s="433">
        <v>6.7123732527916528E-3</v>
      </c>
      <c r="Z35" s="433">
        <v>7.3082106297578248E-3</v>
      </c>
      <c r="AA35" s="433">
        <v>7.9281830194383521E-3</v>
      </c>
      <c r="AB35" s="433">
        <v>8.5685049432295077E-3</v>
      </c>
      <c r="AC35" s="433">
        <v>9.2208239961475771E-3</v>
      </c>
      <c r="AD35" s="433">
        <v>9.8917047459914312E-3</v>
      </c>
      <c r="AE35" s="433">
        <v>1.057619178901425E-2</v>
      </c>
      <c r="AF35" s="433">
        <v>1.016017850385739E-2</v>
      </c>
      <c r="AG35" s="433">
        <v>9.5721053373326297E-3</v>
      </c>
      <c r="AH35" s="433">
        <v>8.8541753035473719E-3</v>
      </c>
      <c r="AI35" s="433">
        <v>7.8486160733754994E-3</v>
      </c>
      <c r="AJ35" s="433">
        <v>6.601339167796534E-3</v>
      </c>
      <c r="AK35" s="433">
        <v>6.5930091145092297E-3</v>
      </c>
      <c r="AL35" s="433">
        <v>6.5586678031707632E-3</v>
      </c>
      <c r="AM35" s="433"/>
    </row>
    <row r="36" spans="1:39" ht="15.75" customHeight="1" x14ac:dyDescent="0.25">
      <c r="A36" s="194"/>
      <c r="B36" s="194" t="s">
        <v>1141</v>
      </c>
      <c r="C36" s="194" t="s">
        <v>1143</v>
      </c>
      <c r="D36" s="194" t="s">
        <v>1152</v>
      </c>
      <c r="E36" s="194">
        <v>1</v>
      </c>
      <c r="F36" s="433">
        <v>0</v>
      </c>
      <c r="G36" s="433">
        <v>0</v>
      </c>
      <c r="H36" s="433">
        <v>0</v>
      </c>
      <c r="I36" s="433">
        <v>0</v>
      </c>
      <c r="J36" s="433">
        <v>0</v>
      </c>
      <c r="K36" s="433">
        <v>0</v>
      </c>
      <c r="L36" s="433">
        <v>0</v>
      </c>
      <c r="M36" s="433">
        <v>0</v>
      </c>
      <c r="N36" s="433">
        <v>0</v>
      </c>
      <c r="O36" s="433">
        <v>0</v>
      </c>
      <c r="P36" s="433">
        <v>0</v>
      </c>
      <c r="Q36" s="433">
        <v>0</v>
      </c>
      <c r="R36" s="433">
        <v>2.7428430160660031E-3</v>
      </c>
      <c r="S36" s="433">
        <v>5.9645570256476399E-3</v>
      </c>
      <c r="T36" s="433">
        <v>6.7125671315165641E-3</v>
      </c>
      <c r="U36" s="433">
        <v>7.4832509398583148E-3</v>
      </c>
      <c r="V36" s="433">
        <v>8.2644969190805665E-3</v>
      </c>
      <c r="W36" s="433">
        <v>9.0593671364125432E-3</v>
      </c>
      <c r="X36" s="433">
        <v>9.8897448992260623E-3</v>
      </c>
      <c r="Y36" s="433">
        <v>1.078110411679151E-2</v>
      </c>
      <c r="Z36" s="433">
        <v>1.173811061148795E-2</v>
      </c>
      <c r="AA36" s="433">
        <v>1.273388164968252E-2</v>
      </c>
      <c r="AB36" s="433">
        <v>1.376233717035631E-2</v>
      </c>
      <c r="AC36" s="433">
        <v>1.4810061926120111E-2</v>
      </c>
      <c r="AD36" s="433">
        <v>1.5887599622792389E-2</v>
      </c>
      <c r="AE36" s="433">
        <v>1.6986991119585959E-2</v>
      </c>
      <c r="AF36" s="433">
        <v>1.6318809781580179E-2</v>
      </c>
      <c r="AG36" s="433">
        <v>1.537427380334656E-2</v>
      </c>
      <c r="AH36" s="433">
        <v>1.422116771831301E-2</v>
      </c>
      <c r="AI36" s="433">
        <v>1.260608489323695E-2</v>
      </c>
      <c r="AJ36" s="433">
        <v>1.0602766294122431E-2</v>
      </c>
      <c r="AK36" s="433">
        <v>1.0589386946996361E-2</v>
      </c>
      <c r="AL36" s="433">
        <v>1.053422951770812E-2</v>
      </c>
      <c r="AM36" s="433"/>
    </row>
    <row r="37" spans="1:39" ht="15.75" customHeight="1" x14ac:dyDescent="0.25">
      <c r="A37" s="194"/>
      <c r="B37" s="194" t="s">
        <v>1141</v>
      </c>
      <c r="C37" s="194" t="s">
        <v>1143</v>
      </c>
      <c r="D37" s="194" t="s">
        <v>1152</v>
      </c>
      <c r="E37" s="194">
        <v>1</v>
      </c>
      <c r="F37" s="433">
        <v>0</v>
      </c>
      <c r="G37" s="433">
        <v>0</v>
      </c>
      <c r="H37" s="433">
        <v>0</v>
      </c>
      <c r="I37" s="433">
        <v>0</v>
      </c>
      <c r="J37" s="433">
        <v>0</v>
      </c>
      <c r="K37" s="433">
        <v>0</v>
      </c>
      <c r="L37" s="433">
        <v>0</v>
      </c>
      <c r="M37" s="433">
        <v>0</v>
      </c>
      <c r="N37" s="433">
        <v>0</v>
      </c>
      <c r="O37" s="433">
        <v>0</v>
      </c>
      <c r="P37" s="433">
        <v>0</v>
      </c>
      <c r="Q37" s="433">
        <v>7.1648841365018316E-4</v>
      </c>
      <c r="R37" s="433">
        <v>9.2823228395742478E-3</v>
      </c>
      <c r="S37" s="433">
        <v>1.9540836754311942E-2</v>
      </c>
      <c r="T37" s="433">
        <v>2.233143670245033E-2</v>
      </c>
      <c r="U37" s="433">
        <v>2.5188263459625378E-2</v>
      </c>
      <c r="V37" s="433">
        <v>2.8125503071033751E-2</v>
      </c>
      <c r="W37" s="433">
        <v>3.1072407602247169E-2</v>
      </c>
      <c r="X37" s="433">
        <v>3.3848424286055903E-2</v>
      </c>
      <c r="Y37" s="433">
        <v>3.7038994059294048E-2</v>
      </c>
      <c r="Z37" s="433">
        <v>4.0858789031735163E-2</v>
      </c>
      <c r="AA37" s="433">
        <v>4.5026864275097403E-2</v>
      </c>
      <c r="AB37" s="433">
        <v>4.8976540174728737E-2</v>
      </c>
      <c r="AC37" s="433">
        <v>5.2899313158654079E-2</v>
      </c>
      <c r="AD37" s="433">
        <v>5.6954802390384911E-2</v>
      </c>
      <c r="AE37" s="433">
        <v>7.3259364445124778E-2</v>
      </c>
      <c r="AF37" s="433">
        <v>8.6693927605397375E-2</v>
      </c>
      <c r="AG37" s="433">
        <v>0.10228506287868031</v>
      </c>
      <c r="AH37" s="433">
        <v>0.1077841199083152</v>
      </c>
      <c r="AI37" s="433">
        <v>0.10876803725713551</v>
      </c>
      <c r="AJ37" s="433">
        <v>0.1072739927375284</v>
      </c>
      <c r="AK37" s="433">
        <v>0.11119263570673329</v>
      </c>
      <c r="AL37" s="433">
        <v>0.1227798102250202</v>
      </c>
      <c r="AM37" s="433"/>
    </row>
    <row r="38" spans="1:39" ht="15.75" customHeight="1" x14ac:dyDescent="0.25">
      <c r="A38" s="194"/>
      <c r="B38" s="194" t="s">
        <v>1146</v>
      </c>
      <c r="C38" s="194" t="s">
        <v>1143</v>
      </c>
      <c r="D38" s="194" t="s">
        <v>1152</v>
      </c>
      <c r="E38" s="194">
        <v>1</v>
      </c>
      <c r="F38" s="433">
        <v>0</v>
      </c>
      <c r="G38" s="433">
        <v>0</v>
      </c>
      <c r="H38" s="433">
        <v>0</v>
      </c>
      <c r="I38" s="433">
        <v>0</v>
      </c>
      <c r="J38" s="433">
        <v>0</v>
      </c>
      <c r="K38" s="433">
        <v>0</v>
      </c>
      <c r="L38" s="433">
        <v>0</v>
      </c>
      <c r="M38" s="433">
        <v>0</v>
      </c>
      <c r="N38" s="433">
        <v>0</v>
      </c>
      <c r="O38" s="433">
        <v>0</v>
      </c>
      <c r="P38" s="433">
        <v>0</v>
      </c>
      <c r="Q38" s="433">
        <v>0</v>
      </c>
      <c r="R38" s="433">
        <v>0</v>
      </c>
      <c r="S38" s="433">
        <v>0</v>
      </c>
      <c r="T38" s="433">
        <v>0</v>
      </c>
      <c r="U38" s="433">
        <v>0</v>
      </c>
      <c r="V38" s="433">
        <v>0</v>
      </c>
      <c r="W38" s="433">
        <v>1.1007246121578339E-3</v>
      </c>
      <c r="X38" s="433">
        <v>2.2149772754146489E-3</v>
      </c>
      <c r="Y38" s="433">
        <v>3.3491290038821149E-3</v>
      </c>
      <c r="Z38" s="433">
        <v>4.5122837777419791E-3</v>
      </c>
      <c r="AA38" s="433">
        <v>5.6913676721745462E-3</v>
      </c>
      <c r="AB38" s="433">
        <v>6.8872102676765983E-3</v>
      </c>
      <c r="AC38" s="433">
        <v>8.086548770533818E-3</v>
      </c>
      <c r="AD38" s="433">
        <v>8.1357555704743862E-3</v>
      </c>
      <c r="AE38" s="433">
        <v>7.6360811401844806E-3</v>
      </c>
      <c r="AF38" s="433">
        <v>9.3365885751559349E-3</v>
      </c>
      <c r="AG38" s="433">
        <v>1.1005370618726071E-2</v>
      </c>
      <c r="AH38" s="433">
        <v>1.25395667853706E-2</v>
      </c>
      <c r="AI38" s="433">
        <v>1.2679590951652889E-2</v>
      </c>
      <c r="AJ38" s="433">
        <v>1.2975161055288391E-2</v>
      </c>
      <c r="AK38" s="433">
        <v>1.3135031015029089E-2</v>
      </c>
      <c r="AL38" s="433">
        <v>7.947860668286363E-3</v>
      </c>
      <c r="AM38" s="433"/>
    </row>
    <row r="39" spans="1:39" ht="15.75" customHeight="1" x14ac:dyDescent="0.25">
      <c r="A39" s="194"/>
      <c r="B39" s="194" t="s">
        <v>1147</v>
      </c>
      <c r="C39" s="194" t="s">
        <v>1143</v>
      </c>
      <c r="D39" s="194" t="s">
        <v>1152</v>
      </c>
      <c r="E39" s="194">
        <v>1</v>
      </c>
      <c r="F39" s="433">
        <v>0</v>
      </c>
      <c r="G39" s="433">
        <v>0</v>
      </c>
      <c r="H39" s="433">
        <v>0</v>
      </c>
      <c r="I39" s="433">
        <v>0</v>
      </c>
      <c r="J39" s="433">
        <v>0</v>
      </c>
      <c r="K39" s="433">
        <v>0</v>
      </c>
      <c r="L39" s="433">
        <v>0</v>
      </c>
      <c r="M39" s="433">
        <v>0</v>
      </c>
      <c r="N39" s="433">
        <v>0</v>
      </c>
      <c r="O39" s="433">
        <v>0</v>
      </c>
      <c r="P39" s="433">
        <v>0</v>
      </c>
      <c r="Q39" s="433">
        <v>0</v>
      </c>
      <c r="R39" s="433">
        <v>0</v>
      </c>
      <c r="S39" s="433">
        <v>0</v>
      </c>
      <c r="T39" s="433">
        <v>0</v>
      </c>
      <c r="U39" s="433">
        <v>0</v>
      </c>
      <c r="V39" s="433">
        <v>0</v>
      </c>
      <c r="W39" s="433">
        <v>0</v>
      </c>
      <c r="X39" s="433">
        <v>0</v>
      </c>
      <c r="Y39" s="433">
        <v>0</v>
      </c>
      <c r="Z39" s="433">
        <v>0</v>
      </c>
      <c r="AA39" s="433">
        <v>0</v>
      </c>
      <c r="AB39" s="433">
        <v>1.523528526884633E-6</v>
      </c>
      <c r="AC39" s="433">
        <v>3.2237108793935251E-6</v>
      </c>
      <c r="AD39" s="433">
        <v>5.0962719585663457E-6</v>
      </c>
      <c r="AE39" s="433">
        <v>7.1340259977809101E-6</v>
      </c>
      <c r="AF39" s="433">
        <v>3.0981277435455008E-5</v>
      </c>
      <c r="AG39" s="433">
        <v>5.3825890558261311E-5</v>
      </c>
      <c r="AH39" s="433">
        <v>7.7459099645844288E-5</v>
      </c>
      <c r="AI39" s="433">
        <v>7.8820126649919956E-5</v>
      </c>
      <c r="AJ39" s="433">
        <v>8.1167198036158033E-5</v>
      </c>
      <c r="AK39" s="433">
        <v>8.2686298925479829E-5</v>
      </c>
      <c r="AL39" s="433">
        <v>8.3900525145747193E-5</v>
      </c>
      <c r="AM39" s="433"/>
    </row>
    <row r="40" spans="1:39" ht="15.75" customHeight="1" x14ac:dyDescent="0.25">
      <c r="A40" s="194"/>
      <c r="B40" s="194" t="s">
        <v>1147</v>
      </c>
      <c r="C40" s="194" t="s">
        <v>1143</v>
      </c>
      <c r="D40" s="194" t="s">
        <v>1152</v>
      </c>
      <c r="E40" s="194">
        <v>1</v>
      </c>
      <c r="F40" s="433">
        <v>4.3648724486724348E-3</v>
      </c>
      <c r="G40" s="433">
        <v>9.5683674503027998E-3</v>
      </c>
      <c r="H40" s="433">
        <v>9.5453743608877092E-3</v>
      </c>
      <c r="I40" s="433">
        <v>9.5139138736681089E-3</v>
      </c>
      <c r="J40" s="433">
        <v>1.0107704279922631E-2</v>
      </c>
      <c r="K40" s="433">
        <v>1.0520308331058889E-2</v>
      </c>
      <c r="L40" s="433">
        <v>1.2057932046140149E-2</v>
      </c>
      <c r="M40" s="433">
        <v>1.9444489336563741E-2</v>
      </c>
      <c r="N40" s="433">
        <v>3.008402199180911E-2</v>
      </c>
      <c r="O40" s="433">
        <v>3.0885198370937401E-2</v>
      </c>
      <c r="P40" s="433">
        <v>3.1240976020694079E-2</v>
      </c>
      <c r="Q40" s="433">
        <v>3.3911006680485682E-2</v>
      </c>
      <c r="R40" s="433">
        <v>3.6580625513052897E-2</v>
      </c>
      <c r="S40" s="433">
        <v>3.9440624177236733E-2</v>
      </c>
      <c r="T40" s="433">
        <v>4.2182533172040071E-2</v>
      </c>
      <c r="U40" s="433">
        <v>4.5118501889945067E-2</v>
      </c>
      <c r="V40" s="433">
        <v>4.6050005937018718E-2</v>
      </c>
      <c r="W40" s="433">
        <v>4.7224581709256683E-2</v>
      </c>
      <c r="X40" s="433">
        <v>4.7999630120141003E-2</v>
      </c>
      <c r="Y40" s="433">
        <v>5.178273658692617E-2</v>
      </c>
      <c r="Z40" s="433">
        <v>5.5729975068369832E-2</v>
      </c>
      <c r="AA40" s="433">
        <v>5.9524885764521099E-2</v>
      </c>
      <c r="AB40" s="433">
        <v>6.3288341173936155E-2</v>
      </c>
      <c r="AC40" s="433">
        <v>6.6954017746373162E-2</v>
      </c>
      <c r="AD40" s="433">
        <v>7.0565652555116085E-2</v>
      </c>
      <c r="AE40" s="433">
        <v>7.4085253410499041E-2</v>
      </c>
      <c r="AF40" s="433">
        <v>7.5274864478494311E-2</v>
      </c>
      <c r="AG40" s="433">
        <v>7.6589818447135055E-2</v>
      </c>
      <c r="AH40" s="433">
        <v>7.7927421294727184E-2</v>
      </c>
      <c r="AI40" s="433">
        <v>7.9296614718906686E-2</v>
      </c>
      <c r="AJ40" s="433">
        <v>8.1658048068623479E-2</v>
      </c>
      <c r="AK40" s="433">
        <v>8.3186104558537352E-2</v>
      </c>
      <c r="AL40" s="433">
        <v>8.4407861900018297E-2</v>
      </c>
      <c r="AM40" s="433"/>
    </row>
    <row r="41" spans="1:39" ht="15.75" customHeight="1" x14ac:dyDescent="0.25">
      <c r="A41" s="194"/>
      <c r="B41" s="194" t="s">
        <v>1142</v>
      </c>
      <c r="C41" s="194" t="s">
        <v>1143</v>
      </c>
      <c r="D41" s="194" t="s">
        <v>1152</v>
      </c>
      <c r="E41" s="194">
        <v>1</v>
      </c>
      <c r="F41" s="433">
        <v>0</v>
      </c>
      <c r="G41" s="433">
        <v>0</v>
      </c>
      <c r="H41" s="433">
        <v>0</v>
      </c>
      <c r="I41" s="433">
        <v>0</v>
      </c>
      <c r="J41" s="433">
        <v>0</v>
      </c>
      <c r="K41" s="433">
        <v>0</v>
      </c>
      <c r="L41" s="433">
        <v>0</v>
      </c>
      <c r="M41" s="433">
        <v>0</v>
      </c>
      <c r="N41" s="433">
        <v>0</v>
      </c>
      <c r="O41" s="433">
        <v>0</v>
      </c>
      <c r="P41" s="433">
        <v>0</v>
      </c>
      <c r="Q41" s="433">
        <v>0</v>
      </c>
      <c r="R41" s="433">
        <v>0</v>
      </c>
      <c r="S41" s="433">
        <v>0</v>
      </c>
      <c r="T41" s="433">
        <v>0</v>
      </c>
      <c r="U41" s="433">
        <v>0</v>
      </c>
      <c r="V41" s="433">
        <v>0</v>
      </c>
      <c r="W41" s="433">
        <v>0</v>
      </c>
      <c r="X41" s="433">
        <v>0</v>
      </c>
      <c r="Y41" s="433">
        <v>0</v>
      </c>
      <c r="Z41" s="433">
        <v>0</v>
      </c>
      <c r="AA41" s="433">
        <v>0</v>
      </c>
      <c r="AB41" s="433">
        <v>0</v>
      </c>
      <c r="AC41" s="433">
        <v>0</v>
      </c>
      <c r="AD41" s="433">
        <v>0</v>
      </c>
      <c r="AE41" s="433">
        <v>0</v>
      </c>
      <c r="AF41" s="433">
        <v>1.837811649006389E-9</v>
      </c>
      <c r="AG41" s="433">
        <v>3.3548487860255717E-8</v>
      </c>
      <c r="AH41" s="433">
        <v>1.5287883946192849E-7</v>
      </c>
      <c r="AI41" s="433">
        <v>3.4863085126651911E-7</v>
      </c>
      <c r="AJ41" s="433">
        <v>6.3045809933052166E-7</v>
      </c>
      <c r="AK41" s="433">
        <v>8.94183351561074E-7</v>
      </c>
      <c r="AL41" s="433">
        <v>1.157060582292733E-6</v>
      </c>
      <c r="AM41" s="433"/>
    </row>
    <row r="42" spans="1:39" ht="15.75" customHeight="1" x14ac:dyDescent="0.25">
      <c r="A42" s="194"/>
      <c r="B42" s="194" t="s">
        <v>1142</v>
      </c>
      <c r="C42" s="194" t="s">
        <v>1143</v>
      </c>
      <c r="D42" s="194" t="s">
        <v>1152</v>
      </c>
      <c r="E42" s="194">
        <v>1</v>
      </c>
      <c r="F42" s="433">
        <v>0</v>
      </c>
      <c r="G42" s="433">
        <v>0</v>
      </c>
      <c r="H42" s="433">
        <v>0</v>
      </c>
      <c r="I42" s="433">
        <v>0</v>
      </c>
      <c r="J42" s="433">
        <v>0</v>
      </c>
      <c r="K42" s="433">
        <v>0</v>
      </c>
      <c r="L42" s="433">
        <v>0</v>
      </c>
      <c r="M42" s="433">
        <v>0</v>
      </c>
      <c r="N42" s="433">
        <v>0</v>
      </c>
      <c r="O42" s="433">
        <v>0</v>
      </c>
      <c r="P42" s="433">
        <v>0</v>
      </c>
      <c r="Q42" s="433">
        <v>0</v>
      </c>
      <c r="R42" s="433">
        <v>0</v>
      </c>
      <c r="S42" s="433">
        <v>0</v>
      </c>
      <c r="T42" s="433">
        <v>0</v>
      </c>
      <c r="U42" s="433">
        <v>0</v>
      </c>
      <c r="V42" s="433">
        <v>0</v>
      </c>
      <c r="W42" s="433">
        <v>0</v>
      </c>
      <c r="X42" s="433">
        <v>0</v>
      </c>
      <c r="Y42" s="433">
        <v>0</v>
      </c>
      <c r="Z42" s="433">
        <v>0</v>
      </c>
      <c r="AA42" s="433">
        <v>0</v>
      </c>
      <c r="AB42" s="433">
        <v>0</v>
      </c>
      <c r="AC42" s="433">
        <v>0</v>
      </c>
      <c r="AD42" s="433">
        <v>0</v>
      </c>
      <c r="AE42" s="433">
        <v>0</v>
      </c>
      <c r="AF42" s="433">
        <v>2.8780130423440061E-9</v>
      </c>
      <c r="AG42" s="433">
        <v>1.329106759491005E-8</v>
      </c>
      <c r="AH42" s="433">
        <v>1.081855519445896E-7</v>
      </c>
      <c r="AI42" s="433">
        <v>2.7675743605277213E-7</v>
      </c>
      <c r="AJ42" s="433">
        <v>5.2428770295947707E-7</v>
      </c>
      <c r="AK42" s="433">
        <v>8.5171286149556869E-7</v>
      </c>
      <c r="AL42" s="433">
        <v>1.245244592194182E-6</v>
      </c>
      <c r="AM42" s="433"/>
    </row>
    <row r="43" spans="1:39" ht="15.75" customHeight="1" x14ac:dyDescent="0.25">
      <c r="A43" s="194"/>
      <c r="B43" s="194" t="s">
        <v>1142</v>
      </c>
      <c r="C43" s="194" t="s">
        <v>1143</v>
      </c>
      <c r="D43" s="194" t="s">
        <v>1152</v>
      </c>
      <c r="E43" s="194">
        <v>1</v>
      </c>
      <c r="F43" s="433">
        <v>0</v>
      </c>
      <c r="G43" s="433">
        <v>0</v>
      </c>
      <c r="H43" s="433">
        <v>0</v>
      </c>
      <c r="I43" s="433">
        <v>0</v>
      </c>
      <c r="J43" s="433">
        <v>0</v>
      </c>
      <c r="K43" s="433">
        <v>0</v>
      </c>
      <c r="L43" s="433">
        <v>0</v>
      </c>
      <c r="M43" s="433">
        <v>0</v>
      </c>
      <c r="N43" s="433">
        <v>0</v>
      </c>
      <c r="O43" s="433">
        <v>0</v>
      </c>
      <c r="P43" s="433">
        <v>0</v>
      </c>
      <c r="Q43" s="433">
        <v>0</v>
      </c>
      <c r="R43" s="433">
        <v>0</v>
      </c>
      <c r="S43" s="433">
        <v>0</v>
      </c>
      <c r="T43" s="433">
        <v>0</v>
      </c>
      <c r="U43" s="433">
        <v>0</v>
      </c>
      <c r="V43" s="433">
        <v>0</v>
      </c>
      <c r="W43" s="433">
        <v>0</v>
      </c>
      <c r="X43" s="433">
        <v>0</v>
      </c>
      <c r="Y43" s="433">
        <v>0</v>
      </c>
      <c r="Z43" s="433">
        <v>0</v>
      </c>
      <c r="AA43" s="433">
        <v>0</v>
      </c>
      <c r="AB43" s="433">
        <v>3.5934897776974939E-8</v>
      </c>
      <c r="AC43" s="433">
        <v>1.081235443123029E-7</v>
      </c>
      <c r="AD43" s="433">
        <v>2.1728362971499169E-7</v>
      </c>
      <c r="AE43" s="433">
        <v>3.6382278027371352E-7</v>
      </c>
      <c r="AF43" s="433">
        <v>2.9783796121195421E-6</v>
      </c>
      <c r="AG43" s="433">
        <v>8.0795574946641974E-6</v>
      </c>
      <c r="AH43" s="433">
        <v>1.579157949094636E-5</v>
      </c>
      <c r="AI43" s="433">
        <v>2.6157024609814709E-5</v>
      </c>
      <c r="AJ43" s="433">
        <v>3.9695991371043653E-5</v>
      </c>
      <c r="AK43" s="433">
        <v>5.5681906155286187E-5</v>
      </c>
      <c r="AL43" s="433">
        <v>7.1690241774407298E-5</v>
      </c>
      <c r="AM43" s="433"/>
    </row>
    <row r="44" spans="1:39" ht="15.75" customHeight="1" x14ac:dyDescent="0.25">
      <c r="A44" s="194"/>
      <c r="B44" s="194" t="s">
        <v>1142</v>
      </c>
      <c r="C44" s="194" t="s">
        <v>1143</v>
      </c>
      <c r="D44" s="194" t="s">
        <v>1152</v>
      </c>
      <c r="E44" s="194">
        <v>1</v>
      </c>
      <c r="F44" s="433">
        <v>2.9031034812594149E-4</v>
      </c>
      <c r="G44" s="433">
        <v>2.975197106017375E-4</v>
      </c>
      <c r="H44" s="433">
        <v>3.0069812787212409E-4</v>
      </c>
      <c r="I44" s="433">
        <v>4.0259192689320043E-4</v>
      </c>
      <c r="J44" s="433">
        <v>4.8785626605673231E-4</v>
      </c>
      <c r="K44" s="433">
        <v>5.5906053893379094E-4</v>
      </c>
      <c r="L44" s="433">
        <v>6.0869327819823148E-4</v>
      </c>
      <c r="M44" s="433">
        <v>6.4399197937944983E-4</v>
      </c>
      <c r="N44" s="433">
        <v>5.9664645311106163E-4</v>
      </c>
      <c r="O44" s="433">
        <v>5.4598996820866687E-4</v>
      </c>
      <c r="P44" s="433">
        <v>4.965886885352341E-4</v>
      </c>
      <c r="Q44" s="433">
        <v>4.4894016121761591E-4</v>
      </c>
      <c r="R44" s="433">
        <v>4.019718012339951E-4</v>
      </c>
      <c r="S44" s="433">
        <v>3.5480494049047669E-4</v>
      </c>
      <c r="T44" s="433">
        <v>3.066052203031383E-4</v>
      </c>
      <c r="U44" s="433">
        <v>2.6444229335435311E-4</v>
      </c>
      <c r="V44" s="433">
        <v>2.2512721406746909E-4</v>
      </c>
      <c r="W44" s="433">
        <v>1.846163882354533E-4</v>
      </c>
      <c r="X44" s="433">
        <v>1.496261537615266E-4</v>
      </c>
      <c r="Y44" s="433">
        <v>1.2706510728246339E-4</v>
      </c>
      <c r="Z44" s="433">
        <v>1.109045810518742E-4</v>
      </c>
      <c r="AA44" s="433">
        <v>1.011116372031662E-4</v>
      </c>
      <c r="AB44" s="433">
        <v>9.4949561573279362E-5</v>
      </c>
      <c r="AC44" s="433">
        <v>8.6786595895018434E-5</v>
      </c>
      <c r="AD44" s="433">
        <v>7.8163734143732477E-5</v>
      </c>
      <c r="AE44" s="433">
        <v>6.802027379099758E-5</v>
      </c>
      <c r="AF44" s="433">
        <v>5.7444225094985153E-5</v>
      </c>
      <c r="AG44" s="433">
        <v>4.6441875713221852E-5</v>
      </c>
      <c r="AH44" s="433">
        <v>3.4686603080358377E-5</v>
      </c>
      <c r="AI44" s="433">
        <v>2.2091812105766158E-5</v>
      </c>
      <c r="AJ44" s="433">
        <v>1.13368522331657E-5</v>
      </c>
      <c r="AK44" s="433">
        <v>4.5970001054348693E-6</v>
      </c>
      <c r="AL44" s="433">
        <v>3.4404609924016349E-6</v>
      </c>
      <c r="AM44" s="433"/>
    </row>
    <row r="45" spans="1:39" ht="15.75" customHeight="1" x14ac:dyDescent="0.25">
      <c r="A45" s="194"/>
      <c r="B45" s="194" t="s">
        <v>1142</v>
      </c>
      <c r="C45" s="194" t="s">
        <v>1143</v>
      </c>
      <c r="D45" s="194" t="s">
        <v>1152</v>
      </c>
      <c r="E45" s="194">
        <v>1</v>
      </c>
      <c r="F45" s="433">
        <v>0</v>
      </c>
      <c r="G45" s="433">
        <v>0</v>
      </c>
      <c r="H45" s="433">
        <v>0</v>
      </c>
      <c r="I45" s="433">
        <v>0</v>
      </c>
      <c r="J45" s="433">
        <v>0</v>
      </c>
      <c r="K45" s="433">
        <v>0</v>
      </c>
      <c r="L45" s="433">
        <v>0</v>
      </c>
      <c r="M45" s="433">
        <v>0</v>
      </c>
      <c r="N45" s="433">
        <v>0</v>
      </c>
      <c r="O45" s="433">
        <v>0</v>
      </c>
      <c r="P45" s="433">
        <v>0</v>
      </c>
      <c r="Q45" s="433">
        <v>0</v>
      </c>
      <c r="R45" s="433">
        <v>0</v>
      </c>
      <c r="S45" s="433">
        <v>0</v>
      </c>
      <c r="T45" s="433">
        <v>0</v>
      </c>
      <c r="U45" s="433">
        <v>0</v>
      </c>
      <c r="V45" s="433">
        <v>0</v>
      </c>
      <c r="W45" s="433">
        <v>0</v>
      </c>
      <c r="X45" s="433">
        <v>0</v>
      </c>
      <c r="Y45" s="433">
        <v>0</v>
      </c>
      <c r="Z45" s="433">
        <v>0</v>
      </c>
      <c r="AA45" s="433">
        <v>0</v>
      </c>
      <c r="AB45" s="433">
        <v>0</v>
      </c>
      <c r="AC45" s="433">
        <v>0</v>
      </c>
      <c r="AD45" s="433">
        <v>0</v>
      </c>
      <c r="AE45" s="433">
        <v>0</v>
      </c>
      <c r="AF45" s="433">
        <v>0</v>
      </c>
      <c r="AG45" s="433">
        <v>8.4905173046988157E-9</v>
      </c>
      <c r="AH45" s="433">
        <v>1.685686704046971E-7</v>
      </c>
      <c r="AI45" s="433">
        <v>4.5217038298441959E-7</v>
      </c>
      <c r="AJ45" s="433">
        <v>8.7586377635774505E-7</v>
      </c>
      <c r="AK45" s="433">
        <v>1.269677816048749E-6</v>
      </c>
      <c r="AL45" s="433">
        <v>1.662761385020966E-6</v>
      </c>
      <c r="AM45" s="433"/>
    </row>
    <row r="46" spans="1:39" ht="15.75" customHeight="1" x14ac:dyDescent="0.25">
      <c r="A46" s="194"/>
      <c r="B46" s="194" t="s">
        <v>1155</v>
      </c>
      <c r="C46" s="194" t="s">
        <v>1143</v>
      </c>
      <c r="D46" s="194" t="s">
        <v>1152</v>
      </c>
      <c r="E46" s="194">
        <v>1</v>
      </c>
      <c r="F46" s="433">
        <v>0</v>
      </c>
      <c r="G46" s="433">
        <v>0</v>
      </c>
      <c r="H46" s="433">
        <v>0</v>
      </c>
      <c r="I46" s="433">
        <v>0</v>
      </c>
      <c r="J46" s="433">
        <v>0</v>
      </c>
      <c r="K46" s="433">
        <v>1.170882409104034E-2</v>
      </c>
      <c r="L46" s="433">
        <v>2.3805778997884171E-2</v>
      </c>
      <c r="M46" s="433">
        <v>2.4205965421110219E-2</v>
      </c>
      <c r="N46" s="433">
        <v>2.4627055109842449E-2</v>
      </c>
      <c r="O46" s="433">
        <v>2.5071957605381841E-2</v>
      </c>
      <c r="P46" s="433">
        <v>2.5563650023576429E-2</v>
      </c>
      <c r="Q46" s="433">
        <v>2.6130624026393531E-2</v>
      </c>
      <c r="R46" s="433">
        <v>2.67332536599886E-2</v>
      </c>
      <c r="S46" s="433">
        <v>2.731530386864716E-2</v>
      </c>
      <c r="T46" s="433">
        <v>2.7862991047383129E-2</v>
      </c>
      <c r="U46" s="433">
        <v>2.8394561883881779E-2</v>
      </c>
      <c r="V46" s="433">
        <v>2.8869316750085989E-2</v>
      </c>
      <c r="W46" s="433">
        <v>2.9308975968077071E-2</v>
      </c>
      <c r="X46" s="433">
        <v>2.9785157542538639E-2</v>
      </c>
      <c r="Y46" s="433">
        <v>3.0362264191720709E-2</v>
      </c>
      <c r="Z46" s="433">
        <v>3.103227403626806E-2</v>
      </c>
      <c r="AA46" s="433">
        <v>3.1710293425038373E-2</v>
      </c>
      <c r="AB46" s="433">
        <v>3.2380473308252521E-2</v>
      </c>
      <c r="AC46" s="433">
        <v>3.3012349052362798E-2</v>
      </c>
      <c r="AD46" s="433">
        <v>3.3632343709609977E-2</v>
      </c>
      <c r="AE46" s="433">
        <v>3.42254472906625E-2</v>
      </c>
      <c r="AF46" s="433">
        <v>3.4775136345906607E-2</v>
      </c>
      <c r="AG46" s="433">
        <v>3.5382737684634943E-2</v>
      </c>
      <c r="AH46" s="433">
        <v>3.6000552816871603E-2</v>
      </c>
      <c r="AI46" s="433">
        <v>3.6633303426304963E-2</v>
      </c>
      <c r="AJ46" s="433">
        <v>3.7724242229892728E-2</v>
      </c>
      <c r="AK46" s="433">
        <v>3.8430274994460813E-2</v>
      </c>
      <c r="AL46" s="433">
        <v>3.8994606853582803E-2</v>
      </c>
      <c r="AM46" s="433"/>
    </row>
    <row r="47" spans="1:39" ht="15.75" customHeight="1" x14ac:dyDescent="0.25">
      <c r="A47" s="194"/>
      <c r="B47" s="194" t="s">
        <v>1139</v>
      </c>
      <c r="C47" s="194" t="s">
        <v>1156</v>
      </c>
      <c r="D47" s="194" t="s">
        <v>1157</v>
      </c>
      <c r="E47" s="194">
        <v>1</v>
      </c>
      <c r="F47" s="433">
        <v>0</v>
      </c>
      <c r="G47" s="433">
        <v>0</v>
      </c>
      <c r="H47" s="433">
        <v>0</v>
      </c>
      <c r="I47" s="433">
        <v>0</v>
      </c>
      <c r="J47" s="433">
        <v>1.730075103327022E-6</v>
      </c>
      <c r="K47" s="433">
        <v>1.8982374997809811E-5</v>
      </c>
      <c r="L47" s="433">
        <v>4.6437387530386493E-5</v>
      </c>
      <c r="M47" s="433">
        <v>8.7441359123456103E-5</v>
      </c>
      <c r="N47" s="433">
        <v>1.4194214505537371E-4</v>
      </c>
      <c r="O47" s="433">
        <v>2.1507209919800421E-4</v>
      </c>
      <c r="P47" s="433">
        <v>2.8324089609362658E-4</v>
      </c>
      <c r="Q47" s="433">
        <v>3.5053158270654779E-4</v>
      </c>
      <c r="R47" s="433">
        <v>4.1332150691218369E-4</v>
      </c>
      <c r="S47" s="433">
        <v>4.140409753710037E-4</v>
      </c>
      <c r="T47" s="433">
        <v>4.140615909845461E-4</v>
      </c>
      <c r="U47" s="433">
        <v>4.1368498955670361E-4</v>
      </c>
      <c r="V47" s="433">
        <v>4.1235756975534021E-4</v>
      </c>
      <c r="W47" s="433">
        <v>4.1043121464390991E-4</v>
      </c>
      <c r="X47" s="433">
        <v>4.08921719024073E-4</v>
      </c>
      <c r="Y47" s="433">
        <v>4.0866952997223088E-4</v>
      </c>
      <c r="Z47" s="433">
        <v>4.0949655637933401E-4</v>
      </c>
      <c r="AA47" s="433">
        <v>4.102413353428481E-4</v>
      </c>
      <c r="AB47" s="433">
        <v>4.1069513067581867E-4</v>
      </c>
      <c r="AC47" s="433">
        <v>4.1049918227609259E-4</v>
      </c>
      <c r="AD47" s="433">
        <v>4.1000958621623801E-4</v>
      </c>
      <c r="AE47" s="433">
        <v>4.0906078520429898E-4</v>
      </c>
      <c r="AF47" s="433">
        <v>4.0747959881769658E-4</v>
      </c>
      <c r="AG47" s="433">
        <v>4.0646834581289058E-4</v>
      </c>
      <c r="AH47" s="433">
        <v>4.0545808953945921E-4</v>
      </c>
      <c r="AI47" s="433">
        <v>4.0449205830880489E-4</v>
      </c>
      <c r="AJ47" s="433">
        <v>4.0837034701596048E-4</v>
      </c>
      <c r="AK47" s="433">
        <v>4.0785503540037322E-4</v>
      </c>
      <c r="AL47" s="433">
        <v>4.0573062202426801E-4</v>
      </c>
      <c r="AM47" s="433"/>
    </row>
    <row r="48" spans="1:39" ht="15.75" customHeight="1" x14ac:dyDescent="0.25">
      <c r="A48" s="194"/>
      <c r="B48" s="194" t="s">
        <v>1155</v>
      </c>
      <c r="C48" s="194" t="s">
        <v>1156</v>
      </c>
      <c r="D48" s="194" t="s">
        <v>1157</v>
      </c>
      <c r="E48" s="194">
        <v>1</v>
      </c>
      <c r="F48" s="433">
        <v>0</v>
      </c>
      <c r="G48" s="433">
        <v>0</v>
      </c>
      <c r="H48" s="433">
        <v>0</v>
      </c>
      <c r="I48" s="433">
        <v>0</v>
      </c>
      <c r="J48" s="433">
        <v>0</v>
      </c>
      <c r="K48" s="433">
        <v>8.4467123263104963E-3</v>
      </c>
      <c r="L48" s="433">
        <v>2.0301661219126362E-2</v>
      </c>
      <c r="M48" s="433">
        <v>2.3824866830930491E-2</v>
      </c>
      <c r="N48" s="433">
        <v>2.4238786833933049E-2</v>
      </c>
      <c r="O48" s="433">
        <v>2.4677380454446372E-2</v>
      </c>
      <c r="P48" s="433">
        <v>1.9499651982604109E-2</v>
      </c>
      <c r="Q48" s="433">
        <v>1.414579309142471E-2</v>
      </c>
      <c r="R48" s="433">
        <v>8.5523922488350921E-3</v>
      </c>
      <c r="S48" s="433">
        <v>2.6883531885423242E-3</v>
      </c>
      <c r="T48" s="433">
        <v>2.743143100290983E-3</v>
      </c>
      <c r="U48" s="433">
        <v>2.2359084093005548E-3</v>
      </c>
      <c r="V48" s="433">
        <v>1.70354709556809E-3</v>
      </c>
      <c r="W48" s="433">
        <v>1.1538204020262769E-3</v>
      </c>
      <c r="X48" s="433">
        <v>5.8645925518091644E-4</v>
      </c>
      <c r="Y48" s="433">
        <v>0</v>
      </c>
      <c r="Z48" s="433">
        <v>0</v>
      </c>
      <c r="AA48" s="433">
        <v>0</v>
      </c>
      <c r="AB48" s="433">
        <v>0</v>
      </c>
      <c r="AC48" s="433">
        <v>0</v>
      </c>
      <c r="AD48" s="433">
        <v>0</v>
      </c>
      <c r="AE48" s="433">
        <v>0</v>
      </c>
      <c r="AF48" s="433">
        <v>0</v>
      </c>
      <c r="AG48" s="433">
        <v>0</v>
      </c>
      <c r="AH48" s="433">
        <v>0</v>
      </c>
      <c r="AI48" s="433">
        <v>0</v>
      </c>
      <c r="AJ48" s="433">
        <v>0</v>
      </c>
      <c r="AK48" s="433">
        <v>0</v>
      </c>
      <c r="AL48" s="433">
        <v>0</v>
      </c>
      <c r="AM48" s="433"/>
    </row>
    <row r="49" spans="1:39" ht="15.75" customHeight="1" x14ac:dyDescent="0.25">
      <c r="A49" s="194"/>
      <c r="B49" s="194" t="s">
        <v>1139</v>
      </c>
      <c r="C49" s="194" t="s">
        <v>1156</v>
      </c>
      <c r="D49" s="194" t="s">
        <v>1159</v>
      </c>
      <c r="E49" s="194">
        <v>6630</v>
      </c>
      <c r="F49" s="433">
        <v>0</v>
      </c>
      <c r="G49" s="433">
        <v>0</v>
      </c>
      <c r="H49" s="433">
        <v>0</v>
      </c>
      <c r="I49" s="433">
        <v>0</v>
      </c>
      <c r="J49" s="433">
        <v>4.4884165832836251E-7</v>
      </c>
      <c r="K49" s="433">
        <v>1.4425854706833569E-6</v>
      </c>
      <c r="L49" s="433">
        <v>1.303903514699833E-5</v>
      </c>
      <c r="M49" s="433">
        <v>3.5782524872607343E-5</v>
      </c>
      <c r="N49" s="433">
        <v>7.034657170195606E-5</v>
      </c>
      <c r="O49" s="433">
        <v>1.1730201498121869E-4</v>
      </c>
      <c r="P49" s="433">
        <v>1.77164732379384E-4</v>
      </c>
      <c r="Q49" s="433">
        <v>2.3890872183542661E-4</v>
      </c>
      <c r="R49" s="433">
        <v>2.9247235308203383E-4</v>
      </c>
      <c r="S49" s="433">
        <v>3.3651268041300341E-4</v>
      </c>
      <c r="T49" s="433">
        <v>3.7015761635671358E-4</v>
      </c>
      <c r="U49" s="433">
        <v>3.9282960897999531E-4</v>
      </c>
      <c r="V49" s="433">
        <v>4.033571200107217E-4</v>
      </c>
      <c r="W49" s="433">
        <v>4.1350030420114872E-4</v>
      </c>
      <c r="X49" s="433">
        <v>4.2435406911593812E-4</v>
      </c>
      <c r="Y49" s="433">
        <v>4.3680144684259792E-4</v>
      </c>
      <c r="Z49" s="433">
        <v>4.508120476563058E-4</v>
      </c>
      <c r="AA49" s="433">
        <v>4.6517504069101248E-4</v>
      </c>
      <c r="AB49" s="433">
        <v>4.7968976394474697E-4</v>
      </c>
      <c r="AC49" s="433">
        <v>4.9384717915311894E-4</v>
      </c>
      <c r="AD49" s="433">
        <v>5.0801962985677228E-4</v>
      </c>
      <c r="AE49" s="433">
        <v>5.2206059846655298E-4</v>
      </c>
      <c r="AF49" s="433">
        <v>5.3563902659882739E-4</v>
      </c>
      <c r="AG49" s="433">
        <v>5.5035359376891116E-4</v>
      </c>
      <c r="AH49" s="433">
        <v>5.6542619143398667E-4</v>
      </c>
      <c r="AI49" s="433">
        <v>5.8101252390705045E-4</v>
      </c>
      <c r="AJ49" s="433">
        <v>5.4511363290616125E-4</v>
      </c>
      <c r="AK49" s="433">
        <v>5.0178884012394391E-4</v>
      </c>
      <c r="AL49" s="433">
        <v>4.5545000749478819E-4</v>
      </c>
      <c r="AM49" s="433"/>
    </row>
    <row r="50" spans="1:39" ht="15.75" customHeight="1" x14ac:dyDescent="0.25">
      <c r="A50" s="194"/>
      <c r="B50" s="194"/>
      <c r="C50" s="194"/>
      <c r="D50" s="194"/>
      <c r="E50" s="194"/>
      <c r="F50" s="194"/>
      <c r="G50" s="194"/>
      <c r="H50" s="194"/>
      <c r="I50" s="194"/>
      <c r="J50" s="194"/>
      <c r="K50" s="194"/>
      <c r="L50" s="194"/>
      <c r="M50" s="194"/>
      <c r="N50" s="194"/>
      <c r="O50" s="194"/>
      <c r="P50" s="194"/>
      <c r="Q50" s="194"/>
      <c r="R50" s="194"/>
      <c r="S50" s="194"/>
      <c r="T50" s="194"/>
      <c r="U50" s="194"/>
      <c r="V50" s="194"/>
      <c r="W50" s="194"/>
      <c r="X50" s="194"/>
      <c r="Y50" s="194"/>
      <c r="Z50" s="194"/>
      <c r="AA50" s="194"/>
      <c r="AB50" s="194"/>
      <c r="AC50" s="194"/>
      <c r="AD50" s="194"/>
      <c r="AE50" s="194"/>
      <c r="AF50" s="194"/>
      <c r="AG50" s="194"/>
      <c r="AH50" s="194"/>
      <c r="AI50" s="194"/>
      <c r="AJ50" s="194"/>
      <c r="AK50" s="194"/>
      <c r="AL50" s="194"/>
      <c r="AM50" s="194"/>
    </row>
    <row r="51" spans="1:39" ht="15.75" customHeight="1" x14ac:dyDescent="0.25">
      <c r="A51" s="194"/>
      <c r="B51" s="1469" t="s">
        <v>1894</v>
      </c>
      <c r="C51" s="430"/>
      <c r="D51" s="430"/>
      <c r="E51" s="430"/>
      <c r="F51" s="430"/>
      <c r="G51" s="430"/>
      <c r="H51" s="430"/>
      <c r="I51" s="430"/>
      <c r="J51" s="430"/>
      <c r="K51" s="430"/>
      <c r="L51" s="430"/>
      <c r="M51" s="430"/>
      <c r="N51" s="430"/>
      <c r="O51" s="430"/>
      <c r="P51" s="430"/>
      <c r="Q51" s="430"/>
      <c r="R51" s="430"/>
      <c r="S51" s="430"/>
      <c r="T51" s="430"/>
      <c r="U51" s="430"/>
      <c r="V51" s="430"/>
      <c r="W51" s="430"/>
      <c r="X51" s="430"/>
      <c r="Y51" s="430"/>
      <c r="Z51" s="430"/>
      <c r="AA51" s="430"/>
      <c r="AB51" s="430"/>
      <c r="AC51" s="430"/>
      <c r="AD51" s="430"/>
      <c r="AE51" s="430"/>
      <c r="AF51" s="430"/>
      <c r="AG51" s="430"/>
      <c r="AH51" s="430"/>
      <c r="AI51" s="430"/>
      <c r="AJ51" s="430"/>
      <c r="AK51" s="430"/>
      <c r="AL51" s="430"/>
      <c r="AM51" s="431"/>
    </row>
    <row r="52" spans="1:39" ht="15.75" customHeight="1" x14ac:dyDescent="0.25">
      <c r="A52" s="194"/>
      <c r="B52" s="194"/>
      <c r="C52" s="194"/>
      <c r="D52" s="194"/>
      <c r="E52" s="194"/>
      <c r="F52" s="194"/>
      <c r="G52" s="194"/>
      <c r="H52" s="194"/>
      <c r="I52" s="194"/>
      <c r="J52" s="194"/>
      <c r="K52" s="194"/>
      <c r="L52" s="194"/>
      <c r="M52" s="194"/>
      <c r="N52" s="194"/>
      <c r="O52" s="194"/>
      <c r="P52" s="194"/>
      <c r="Q52" s="194"/>
      <c r="R52" s="194"/>
      <c r="S52" s="194"/>
      <c r="T52" s="194"/>
      <c r="U52" s="194"/>
      <c r="V52" s="194"/>
      <c r="W52" s="194"/>
      <c r="X52" s="194"/>
      <c r="Y52" s="194"/>
      <c r="Z52" s="194"/>
      <c r="AA52" s="194"/>
      <c r="AB52" s="194"/>
      <c r="AC52" s="194"/>
      <c r="AD52" s="194"/>
      <c r="AE52" s="194"/>
      <c r="AF52" s="194"/>
      <c r="AG52" s="194"/>
      <c r="AH52" s="194"/>
      <c r="AI52" s="194"/>
      <c r="AJ52" s="194"/>
      <c r="AK52" s="194"/>
      <c r="AL52" s="194"/>
      <c r="AM52" s="194"/>
    </row>
    <row r="53" spans="1:39" ht="15.75" customHeight="1" x14ac:dyDescent="0.25">
      <c r="A53" s="194"/>
      <c r="B53" s="432" t="s">
        <v>1087</v>
      </c>
      <c r="C53" s="194" t="s">
        <v>1088</v>
      </c>
      <c r="D53" s="194"/>
      <c r="E53" s="194"/>
      <c r="F53" s="194"/>
      <c r="G53" s="194"/>
      <c r="H53" s="194"/>
      <c r="I53" s="194"/>
      <c r="J53" s="194"/>
      <c r="K53" s="194"/>
      <c r="L53" s="194"/>
      <c r="M53" s="194"/>
      <c r="N53" s="194"/>
      <c r="O53" s="194"/>
      <c r="P53" s="194"/>
      <c r="Q53" s="194"/>
      <c r="R53" s="194"/>
      <c r="S53" s="194"/>
      <c r="T53" s="194"/>
      <c r="U53" s="194"/>
      <c r="V53" s="194"/>
      <c r="W53" s="194"/>
      <c r="X53" s="194"/>
      <c r="Y53" s="194"/>
      <c r="Z53" s="194"/>
      <c r="AA53" s="194"/>
      <c r="AB53" s="194"/>
      <c r="AC53" s="194"/>
      <c r="AD53" s="194"/>
      <c r="AE53" s="194"/>
      <c r="AF53" s="194"/>
      <c r="AG53" s="194"/>
      <c r="AH53" s="194"/>
      <c r="AI53" s="194"/>
      <c r="AJ53" s="194"/>
      <c r="AK53" s="194"/>
      <c r="AL53" s="194"/>
      <c r="AM53" s="194"/>
    </row>
    <row r="54" spans="1:39" ht="15.75" customHeight="1" x14ac:dyDescent="0.25">
      <c r="A54" s="194"/>
      <c r="B54" s="432" t="s">
        <v>1089</v>
      </c>
      <c r="C54" s="194" t="s">
        <v>1160</v>
      </c>
      <c r="D54" s="194"/>
      <c r="E54" s="194"/>
      <c r="F54" s="194"/>
      <c r="G54" s="194"/>
      <c r="H54" s="194"/>
      <c r="I54" s="194"/>
      <c r="J54" s="194"/>
      <c r="K54" s="194"/>
      <c r="L54" s="194"/>
      <c r="M54" s="194"/>
      <c r="N54" s="194"/>
      <c r="O54" s="194"/>
      <c r="P54" s="194"/>
      <c r="Q54" s="194"/>
      <c r="R54" s="194"/>
      <c r="S54" s="194"/>
      <c r="T54" s="194"/>
      <c r="U54" s="194"/>
      <c r="V54" s="194"/>
      <c r="W54" s="194"/>
      <c r="X54" s="194"/>
      <c r="Y54" s="194"/>
      <c r="Z54" s="194"/>
      <c r="AA54" s="194"/>
      <c r="AB54" s="194"/>
      <c r="AC54" s="194"/>
      <c r="AD54" s="194"/>
      <c r="AE54" s="194"/>
      <c r="AF54" s="194"/>
      <c r="AG54" s="194"/>
      <c r="AH54" s="194"/>
      <c r="AI54" s="194"/>
      <c r="AJ54" s="194"/>
      <c r="AK54" s="194"/>
      <c r="AL54" s="194"/>
      <c r="AM54" s="194"/>
    </row>
    <row r="55" spans="1:39" ht="15.75" customHeight="1" x14ac:dyDescent="0.25">
      <c r="A55" s="194"/>
      <c r="B55" s="432" t="s">
        <v>1091</v>
      </c>
      <c r="C55" s="194" t="s">
        <v>1161</v>
      </c>
      <c r="D55" s="194"/>
      <c r="E55" s="194"/>
      <c r="F55" s="194"/>
      <c r="G55" s="194"/>
      <c r="H55" s="194"/>
      <c r="I55" s="194"/>
      <c r="J55" s="194"/>
      <c r="K55" s="194"/>
      <c r="L55" s="194"/>
      <c r="M55" s="194"/>
      <c r="N55" s="194"/>
      <c r="O55" s="194"/>
      <c r="P55" s="194"/>
      <c r="Q55" s="194"/>
      <c r="R55" s="194"/>
      <c r="S55" s="194"/>
      <c r="T55" s="194"/>
      <c r="U55" s="194"/>
      <c r="V55" s="194"/>
      <c r="W55" s="194"/>
      <c r="X55" s="194"/>
      <c r="Y55" s="194"/>
      <c r="Z55" s="194"/>
      <c r="AA55" s="194"/>
      <c r="AB55" s="194"/>
      <c r="AC55" s="194"/>
      <c r="AD55" s="194"/>
      <c r="AE55" s="194"/>
      <c r="AF55" s="194"/>
      <c r="AG55" s="194"/>
      <c r="AH55" s="194"/>
      <c r="AI55" s="194"/>
      <c r="AJ55" s="194"/>
      <c r="AK55" s="194"/>
      <c r="AL55" s="194"/>
      <c r="AM55" s="194"/>
    </row>
    <row r="56" spans="1:39" ht="15.75" customHeight="1" x14ac:dyDescent="0.25">
      <c r="A56" s="194"/>
      <c r="B56" s="194"/>
      <c r="C56" s="194"/>
      <c r="D56" s="194"/>
      <c r="E56" s="194"/>
      <c r="F56" s="194"/>
      <c r="G56" s="194"/>
      <c r="H56" s="194"/>
      <c r="I56" s="194"/>
      <c r="J56" s="194"/>
      <c r="K56" s="194"/>
      <c r="L56" s="194"/>
      <c r="M56" s="194"/>
      <c r="N56" s="194"/>
      <c r="O56" s="194"/>
      <c r="P56" s="194"/>
      <c r="Q56" s="194"/>
      <c r="R56" s="194"/>
      <c r="S56" s="194"/>
      <c r="T56" s="194"/>
      <c r="U56" s="194"/>
      <c r="V56" s="194"/>
      <c r="W56" s="194"/>
      <c r="X56" s="194"/>
      <c r="Y56" s="194"/>
      <c r="Z56" s="194"/>
      <c r="AA56" s="194"/>
      <c r="AB56" s="194"/>
      <c r="AC56" s="194"/>
      <c r="AD56" s="194"/>
      <c r="AE56" s="194"/>
      <c r="AF56" s="194"/>
      <c r="AG56" s="194"/>
      <c r="AH56" s="194"/>
      <c r="AI56" s="194"/>
      <c r="AJ56" s="194"/>
      <c r="AK56" s="194"/>
      <c r="AL56" s="194"/>
      <c r="AM56" s="194"/>
    </row>
    <row r="57" spans="1:39" ht="15.75" customHeight="1" x14ac:dyDescent="0.25">
      <c r="A57" s="194"/>
      <c r="B57" s="194" t="s">
        <v>1162</v>
      </c>
      <c r="C57" s="194"/>
      <c r="D57" s="194"/>
      <c r="E57" s="194"/>
      <c r="F57" s="194"/>
      <c r="G57" s="194"/>
      <c r="H57" s="194"/>
      <c r="I57" s="194"/>
      <c r="J57" s="194"/>
      <c r="K57" s="194"/>
      <c r="L57" s="194"/>
      <c r="M57" s="194"/>
      <c r="N57" s="194"/>
      <c r="O57" s="194"/>
      <c r="P57" s="194"/>
      <c r="Q57" s="194"/>
      <c r="R57" s="194"/>
      <c r="S57" s="194"/>
      <c r="T57" s="194"/>
      <c r="U57" s="194"/>
      <c r="V57" s="194"/>
      <c r="W57" s="194"/>
      <c r="X57" s="194"/>
      <c r="Y57" s="194"/>
      <c r="Z57" s="194"/>
      <c r="AA57" s="194"/>
      <c r="AB57" s="194"/>
      <c r="AC57" s="194"/>
      <c r="AD57" s="194"/>
      <c r="AE57" s="194"/>
      <c r="AF57" s="194"/>
      <c r="AG57" s="194"/>
      <c r="AH57" s="194"/>
      <c r="AI57" s="194"/>
      <c r="AJ57" s="194"/>
      <c r="AK57" s="194"/>
      <c r="AL57" s="194"/>
      <c r="AM57" s="194"/>
    </row>
    <row r="58" spans="1:39" ht="15.75" customHeight="1" x14ac:dyDescent="0.25">
      <c r="A58" s="194"/>
      <c r="B58" s="194" t="s">
        <v>1163</v>
      </c>
      <c r="C58" s="194"/>
      <c r="D58" s="194"/>
      <c r="E58" s="194"/>
      <c r="F58" s="194"/>
      <c r="G58" s="194"/>
      <c r="H58" s="194"/>
      <c r="I58" s="194"/>
      <c r="J58" s="194"/>
      <c r="K58" s="194"/>
      <c r="L58" s="194"/>
      <c r="M58" s="194"/>
      <c r="N58" s="194"/>
      <c r="O58" s="194"/>
      <c r="P58" s="194"/>
      <c r="Q58" s="194"/>
      <c r="R58" s="194"/>
      <c r="S58" s="194"/>
      <c r="T58" s="194"/>
      <c r="U58" s="194"/>
      <c r="V58" s="194"/>
      <c r="W58" s="194"/>
      <c r="X58" s="194"/>
      <c r="Y58" s="194"/>
      <c r="Z58" s="194"/>
      <c r="AA58" s="194"/>
      <c r="AB58" s="194"/>
      <c r="AC58" s="194"/>
      <c r="AD58" s="194"/>
      <c r="AE58" s="194"/>
      <c r="AF58" s="194"/>
      <c r="AG58" s="194"/>
      <c r="AH58" s="194"/>
      <c r="AI58" s="194"/>
      <c r="AJ58" s="194"/>
      <c r="AK58" s="194"/>
      <c r="AL58" s="194"/>
      <c r="AM58" s="194"/>
    </row>
    <row r="59" spans="1:39" ht="15.75" customHeight="1" x14ac:dyDescent="0.25">
      <c r="A59" s="194"/>
      <c r="B59" s="194" t="s">
        <v>1164</v>
      </c>
      <c r="C59" s="194"/>
      <c r="D59" s="194"/>
      <c r="E59" s="194"/>
      <c r="F59" s="194"/>
      <c r="G59" s="194"/>
      <c r="H59" s="194"/>
      <c r="I59" s="194"/>
      <c r="J59" s="194"/>
      <c r="K59" s="194"/>
      <c r="L59" s="194"/>
      <c r="M59" s="194"/>
      <c r="N59" s="194"/>
      <c r="O59" s="194"/>
      <c r="P59" s="194"/>
      <c r="Q59" s="194"/>
      <c r="R59" s="194"/>
      <c r="S59" s="194"/>
      <c r="T59" s="194"/>
      <c r="U59" s="194"/>
      <c r="V59" s="194"/>
      <c r="W59" s="194"/>
      <c r="X59" s="194"/>
      <c r="Y59" s="194"/>
      <c r="Z59" s="194"/>
      <c r="AA59" s="194"/>
      <c r="AB59" s="194"/>
      <c r="AC59" s="194"/>
      <c r="AD59" s="194"/>
      <c r="AE59" s="194"/>
      <c r="AF59" s="194"/>
      <c r="AG59" s="194"/>
      <c r="AH59" s="194"/>
      <c r="AI59" s="194"/>
      <c r="AJ59" s="194"/>
      <c r="AK59" s="194"/>
      <c r="AL59" s="194"/>
      <c r="AM59" s="194"/>
    </row>
    <row r="60" spans="1:39" ht="15.75" customHeight="1" x14ac:dyDescent="0.25">
      <c r="A60" s="194"/>
      <c r="B60" s="194" t="s">
        <v>1165</v>
      </c>
      <c r="C60" s="194"/>
      <c r="D60" s="194"/>
      <c r="E60" s="194"/>
      <c r="F60" s="194"/>
      <c r="G60" s="194"/>
      <c r="H60" s="194"/>
      <c r="I60" s="194"/>
      <c r="J60" s="194"/>
      <c r="K60" s="194"/>
      <c r="L60" s="194"/>
      <c r="M60" s="194"/>
      <c r="N60" s="194"/>
      <c r="O60" s="194"/>
      <c r="P60" s="194"/>
      <c r="Q60" s="194"/>
      <c r="R60" s="194"/>
      <c r="S60" s="194"/>
      <c r="T60" s="194"/>
      <c r="U60" s="194"/>
      <c r="V60" s="194"/>
      <c r="W60" s="194"/>
      <c r="X60" s="194"/>
      <c r="Y60" s="194"/>
      <c r="Z60" s="194"/>
      <c r="AA60" s="194"/>
      <c r="AB60" s="194"/>
      <c r="AC60" s="194"/>
      <c r="AD60" s="194"/>
      <c r="AE60" s="194"/>
      <c r="AF60" s="194"/>
      <c r="AG60" s="194"/>
      <c r="AH60" s="194"/>
      <c r="AI60" s="194"/>
      <c r="AJ60" s="194"/>
      <c r="AK60" s="194"/>
      <c r="AL60" s="194"/>
      <c r="AM60" s="194"/>
    </row>
    <row r="61" spans="1:39" ht="15.75" customHeight="1" x14ac:dyDescent="0.25">
      <c r="A61" s="194"/>
      <c r="B61" s="194"/>
      <c r="C61" s="194"/>
      <c r="D61" s="194"/>
      <c r="E61" s="194"/>
      <c r="F61" s="194"/>
      <c r="G61" s="194"/>
      <c r="H61" s="194"/>
      <c r="I61" s="194"/>
      <c r="J61" s="194"/>
      <c r="K61" s="194"/>
      <c r="L61" s="194"/>
      <c r="M61" s="194"/>
      <c r="N61" s="194"/>
      <c r="O61" s="194"/>
      <c r="P61" s="194"/>
      <c r="Q61" s="194"/>
      <c r="R61" s="194"/>
      <c r="S61" s="194"/>
      <c r="T61" s="194"/>
      <c r="U61" s="194"/>
      <c r="V61" s="194"/>
      <c r="W61" s="194"/>
      <c r="X61" s="194"/>
      <c r="Y61" s="194"/>
      <c r="Z61" s="194"/>
      <c r="AA61" s="194"/>
      <c r="AB61" s="194"/>
      <c r="AC61" s="194"/>
      <c r="AD61" s="194"/>
      <c r="AE61" s="194"/>
      <c r="AF61" s="194"/>
      <c r="AG61" s="194"/>
      <c r="AH61" s="194"/>
      <c r="AI61" s="194"/>
      <c r="AJ61" s="194"/>
      <c r="AK61" s="194"/>
      <c r="AL61" s="194"/>
      <c r="AM61" s="194"/>
    </row>
    <row r="62" spans="1:39" ht="15.75" customHeight="1" x14ac:dyDescent="0.25">
      <c r="A62" s="194"/>
      <c r="B62" s="432" t="s">
        <v>1091</v>
      </c>
      <c r="C62" s="194" t="s">
        <v>1166</v>
      </c>
      <c r="D62" s="194"/>
      <c r="E62" s="194"/>
      <c r="F62" s="194"/>
      <c r="G62" s="194"/>
      <c r="H62" s="194"/>
      <c r="I62" s="194"/>
      <c r="J62" s="194"/>
      <c r="K62" s="194"/>
      <c r="L62" s="194"/>
      <c r="M62" s="194"/>
      <c r="N62" s="194"/>
      <c r="O62" s="194"/>
      <c r="P62" s="194"/>
      <c r="Q62" s="194"/>
      <c r="R62" s="194"/>
      <c r="S62" s="194"/>
      <c r="T62" s="194"/>
      <c r="U62" s="194"/>
      <c r="V62" s="194"/>
      <c r="W62" s="194"/>
      <c r="X62" s="194"/>
      <c r="Y62" s="194"/>
      <c r="Z62" s="194"/>
      <c r="AA62" s="194"/>
      <c r="AB62" s="194"/>
      <c r="AC62" s="194"/>
      <c r="AD62" s="194"/>
      <c r="AE62" s="194"/>
      <c r="AF62" s="194"/>
      <c r="AG62" s="194"/>
      <c r="AH62" s="194"/>
      <c r="AI62" s="194"/>
      <c r="AJ62" s="194"/>
      <c r="AK62" s="194"/>
      <c r="AL62" s="194"/>
      <c r="AM62" s="194"/>
    </row>
    <row r="63" spans="1:39" ht="15.75" customHeight="1" x14ac:dyDescent="0.25">
      <c r="A63" s="194"/>
      <c r="B63" s="432"/>
      <c r="C63" s="194"/>
      <c r="D63" s="194"/>
      <c r="E63" s="194"/>
      <c r="F63" s="194"/>
      <c r="G63" s="194"/>
      <c r="H63" s="194"/>
      <c r="I63" s="194"/>
      <c r="J63" s="194"/>
      <c r="K63" s="194"/>
      <c r="L63" s="194"/>
      <c r="M63" s="194"/>
      <c r="N63" s="194"/>
      <c r="O63" s="194"/>
      <c r="P63" s="194"/>
      <c r="Q63" s="194"/>
      <c r="R63" s="194"/>
      <c r="S63" s="194"/>
      <c r="T63" s="194"/>
      <c r="U63" s="194"/>
      <c r="V63" s="194"/>
      <c r="W63" s="194"/>
      <c r="X63" s="194"/>
      <c r="Y63" s="194"/>
      <c r="Z63" s="194"/>
      <c r="AA63" s="194"/>
      <c r="AB63" s="194"/>
      <c r="AC63" s="194"/>
      <c r="AD63" s="194"/>
      <c r="AE63" s="194"/>
      <c r="AF63" s="194"/>
      <c r="AG63" s="194"/>
      <c r="AH63" s="194"/>
      <c r="AI63" s="194"/>
      <c r="AJ63" s="194"/>
      <c r="AK63" s="194"/>
      <c r="AL63" s="194"/>
      <c r="AM63" s="194"/>
    </row>
    <row r="64" spans="1:39" ht="15.75" customHeight="1" x14ac:dyDescent="0.25">
      <c r="A64" s="194"/>
      <c r="B64" s="194" t="s">
        <v>1167</v>
      </c>
      <c r="C64" s="194"/>
      <c r="D64" s="194"/>
      <c r="E64" s="194"/>
      <c r="F64" s="194"/>
      <c r="G64" s="194"/>
      <c r="H64" s="194"/>
      <c r="I64" s="194"/>
      <c r="J64" s="194"/>
      <c r="K64" s="194"/>
      <c r="L64" s="194"/>
      <c r="M64" s="194"/>
      <c r="N64" s="194"/>
      <c r="O64" s="194"/>
      <c r="P64" s="194"/>
      <c r="Q64" s="194"/>
      <c r="R64" s="194"/>
      <c r="S64" s="194"/>
      <c r="T64" s="194"/>
      <c r="U64" s="194"/>
      <c r="V64" s="194"/>
      <c r="W64" s="194"/>
      <c r="X64" s="194"/>
      <c r="Y64" s="194"/>
      <c r="Z64" s="194"/>
      <c r="AA64" s="194"/>
      <c r="AB64" s="194"/>
      <c r="AC64" s="194"/>
      <c r="AD64" s="194"/>
      <c r="AE64" s="194"/>
      <c r="AF64" s="194"/>
      <c r="AG64" s="194"/>
      <c r="AH64" s="194"/>
      <c r="AI64" s="194"/>
      <c r="AJ64" s="194"/>
      <c r="AK64" s="194"/>
      <c r="AL64" s="194"/>
      <c r="AM64" s="194"/>
    </row>
    <row r="65" spans="1:39" ht="15.75" customHeight="1" x14ac:dyDescent="0.25">
      <c r="A65" s="194"/>
      <c r="B65" s="194"/>
      <c r="C65" s="194"/>
      <c r="D65" s="194"/>
      <c r="E65" s="194"/>
      <c r="F65" s="194"/>
      <c r="G65" s="194"/>
      <c r="H65" s="194"/>
      <c r="I65" s="194"/>
      <c r="J65" s="194"/>
      <c r="K65" s="194"/>
      <c r="L65" s="194"/>
      <c r="M65" s="194"/>
      <c r="N65" s="194"/>
      <c r="O65" s="194"/>
      <c r="P65" s="194"/>
      <c r="Q65" s="194"/>
      <c r="R65" s="194"/>
      <c r="S65" s="194"/>
      <c r="T65" s="194"/>
      <c r="U65" s="194"/>
      <c r="V65" s="194"/>
      <c r="W65" s="194"/>
      <c r="X65" s="194"/>
      <c r="Y65" s="194"/>
      <c r="Z65" s="194"/>
      <c r="AA65" s="194"/>
      <c r="AB65" s="194"/>
      <c r="AC65" s="194"/>
      <c r="AD65" s="194"/>
      <c r="AE65" s="194"/>
      <c r="AF65" s="194"/>
      <c r="AG65" s="194"/>
      <c r="AH65" s="194"/>
      <c r="AI65" s="194"/>
      <c r="AJ65" s="194"/>
      <c r="AK65" s="194"/>
      <c r="AL65" s="194"/>
      <c r="AM65" s="194"/>
    </row>
    <row r="66" spans="1:39" ht="15.75" customHeight="1" x14ac:dyDescent="0.25">
      <c r="A66" s="194"/>
      <c r="B66" s="1469" t="s">
        <v>1893</v>
      </c>
      <c r="C66" s="430"/>
      <c r="D66" s="430"/>
      <c r="E66" s="430"/>
      <c r="F66" s="430"/>
      <c r="G66" s="430"/>
      <c r="H66" s="430"/>
      <c r="I66" s="430"/>
      <c r="J66" s="430"/>
      <c r="K66" s="430"/>
      <c r="L66" s="430"/>
      <c r="M66" s="430"/>
      <c r="N66" s="430"/>
      <c r="O66" s="430"/>
      <c r="P66" s="430"/>
      <c r="Q66" s="430"/>
      <c r="R66" s="430"/>
      <c r="S66" s="430"/>
      <c r="T66" s="430"/>
      <c r="U66" s="430"/>
      <c r="V66" s="430"/>
      <c r="W66" s="430"/>
      <c r="X66" s="430"/>
      <c r="Y66" s="430"/>
      <c r="Z66" s="430"/>
      <c r="AA66" s="430"/>
      <c r="AB66" s="430"/>
      <c r="AC66" s="430"/>
      <c r="AD66" s="430"/>
      <c r="AE66" s="430"/>
      <c r="AF66" s="430"/>
      <c r="AG66" s="430"/>
      <c r="AH66" s="430"/>
      <c r="AI66" s="430"/>
      <c r="AJ66" s="430"/>
      <c r="AK66" s="430"/>
      <c r="AL66" s="430"/>
      <c r="AM66" s="431"/>
    </row>
    <row r="67" spans="1:39" ht="15.75" customHeight="1" x14ac:dyDescent="0.25">
      <c r="A67" s="194"/>
      <c r="B67" s="194"/>
      <c r="C67" s="194"/>
      <c r="D67" s="194"/>
      <c r="E67" s="194"/>
      <c r="F67" s="194"/>
      <c r="G67" s="194"/>
      <c r="H67" s="194"/>
      <c r="I67" s="194"/>
      <c r="J67" s="194"/>
      <c r="K67" s="194"/>
      <c r="L67" s="194"/>
      <c r="M67" s="194"/>
      <c r="N67" s="194"/>
      <c r="O67" s="194"/>
      <c r="P67" s="194"/>
      <c r="Q67" s="194"/>
      <c r="R67" s="194"/>
      <c r="S67" s="194"/>
      <c r="T67" s="194"/>
      <c r="U67" s="194"/>
      <c r="V67" s="194"/>
      <c r="W67" s="194"/>
      <c r="X67" s="194"/>
      <c r="Y67" s="194"/>
      <c r="Z67" s="194"/>
      <c r="AA67" s="194"/>
      <c r="AB67" s="194"/>
      <c r="AC67" s="194"/>
      <c r="AD67" s="194"/>
      <c r="AE67" s="194"/>
      <c r="AF67" s="194"/>
      <c r="AG67" s="194"/>
      <c r="AH67" s="194"/>
      <c r="AI67" s="194"/>
      <c r="AJ67" s="194"/>
      <c r="AK67" s="194"/>
      <c r="AL67" s="194"/>
      <c r="AM67" s="194"/>
    </row>
    <row r="68" spans="1:39" ht="15.75" customHeight="1" x14ac:dyDescent="0.25">
      <c r="A68" s="194"/>
      <c r="B68" s="432" t="s">
        <v>1087</v>
      </c>
      <c r="C68" s="194" t="s">
        <v>1168</v>
      </c>
      <c r="D68" s="194"/>
      <c r="E68" s="194"/>
      <c r="F68" s="194"/>
      <c r="G68" s="194"/>
      <c r="H68" s="194"/>
      <c r="I68" s="194"/>
      <c r="J68" s="194"/>
      <c r="K68" s="194"/>
      <c r="L68" s="194"/>
      <c r="M68" s="194"/>
      <c r="N68" s="194"/>
      <c r="O68" s="194"/>
      <c r="P68" s="194"/>
      <c r="Q68" s="194"/>
      <c r="R68" s="194"/>
      <c r="S68" s="194"/>
      <c r="T68" s="194"/>
      <c r="U68" s="194"/>
      <c r="V68" s="194"/>
      <c r="W68" s="194"/>
      <c r="X68" s="194"/>
      <c r="Y68" s="194"/>
      <c r="Z68" s="194"/>
      <c r="AA68" s="194"/>
      <c r="AB68" s="194"/>
      <c r="AC68" s="194"/>
      <c r="AD68" s="194"/>
      <c r="AE68" s="194"/>
      <c r="AF68" s="194"/>
      <c r="AG68" s="194"/>
      <c r="AH68" s="194"/>
      <c r="AI68" s="194"/>
      <c r="AJ68" s="194"/>
      <c r="AK68" s="194"/>
      <c r="AL68" s="194"/>
      <c r="AM68" s="194"/>
    </row>
    <row r="69" spans="1:39" ht="15.75" customHeight="1" x14ac:dyDescent="0.25">
      <c r="A69" s="194"/>
      <c r="B69" s="432" t="s">
        <v>1089</v>
      </c>
      <c r="C69" s="194" t="s">
        <v>1169</v>
      </c>
      <c r="D69" s="194"/>
      <c r="E69" s="194"/>
      <c r="F69" s="194"/>
      <c r="G69" s="194"/>
      <c r="H69" s="194"/>
      <c r="I69" s="194"/>
      <c r="J69" s="194"/>
      <c r="K69" s="194"/>
      <c r="L69" s="194"/>
      <c r="M69" s="194"/>
      <c r="N69" s="194"/>
      <c r="O69" s="194"/>
      <c r="P69" s="194"/>
      <c r="Q69" s="194"/>
      <c r="R69" s="194"/>
      <c r="S69" s="194"/>
      <c r="T69" s="194"/>
      <c r="U69" s="194"/>
      <c r="V69" s="194"/>
      <c r="W69" s="194"/>
      <c r="X69" s="194"/>
      <c r="Y69" s="194"/>
      <c r="Z69" s="194"/>
      <c r="AA69" s="194"/>
      <c r="AB69" s="194"/>
      <c r="AC69" s="194"/>
      <c r="AD69" s="194"/>
      <c r="AE69" s="194"/>
      <c r="AF69" s="194"/>
      <c r="AG69" s="194"/>
      <c r="AH69" s="194"/>
      <c r="AI69" s="194"/>
      <c r="AJ69" s="194"/>
      <c r="AK69" s="194"/>
      <c r="AL69" s="194"/>
      <c r="AM69" s="194"/>
    </row>
    <row r="70" spans="1:39" ht="15.75" customHeight="1" x14ac:dyDescent="0.25">
      <c r="A70" s="194"/>
      <c r="B70" s="432" t="s">
        <v>1091</v>
      </c>
      <c r="C70" s="194" t="s">
        <v>1170</v>
      </c>
      <c r="D70" s="194"/>
      <c r="E70" s="194"/>
      <c r="F70" s="194"/>
      <c r="G70" s="194"/>
      <c r="H70" s="194"/>
      <c r="I70" s="194"/>
      <c r="J70" s="194"/>
      <c r="K70" s="194"/>
      <c r="L70" s="194"/>
      <c r="M70" s="194"/>
      <c r="N70" s="194"/>
      <c r="O70" s="194"/>
      <c r="P70" s="194"/>
      <c r="Q70" s="194"/>
      <c r="R70" s="194"/>
      <c r="S70" s="194"/>
      <c r="T70" s="194"/>
      <c r="U70" s="194"/>
      <c r="V70" s="194"/>
      <c r="W70" s="194"/>
      <c r="X70" s="194"/>
      <c r="Y70" s="194"/>
      <c r="Z70" s="194"/>
      <c r="AA70" s="194"/>
      <c r="AB70" s="194"/>
      <c r="AC70" s="194"/>
      <c r="AD70" s="194"/>
      <c r="AE70" s="194"/>
      <c r="AF70" s="194"/>
      <c r="AG70" s="194"/>
      <c r="AH70" s="194"/>
      <c r="AI70" s="194"/>
      <c r="AJ70" s="194"/>
      <c r="AK70" s="194"/>
      <c r="AL70" s="194"/>
      <c r="AM70" s="194"/>
    </row>
    <row r="71" spans="1:39" ht="15.75" customHeight="1" x14ac:dyDescent="0.25">
      <c r="A71" s="194"/>
      <c r="B71" s="194"/>
      <c r="C71" s="194"/>
      <c r="D71" s="194"/>
      <c r="E71" s="194"/>
      <c r="F71" s="194"/>
      <c r="G71" s="194"/>
      <c r="H71" s="194"/>
      <c r="I71" s="194"/>
      <c r="J71" s="194"/>
      <c r="K71" s="194"/>
      <c r="L71" s="194"/>
      <c r="M71" s="194"/>
      <c r="N71" s="194"/>
      <c r="O71" s="194"/>
      <c r="P71" s="194"/>
      <c r="Q71" s="194"/>
      <c r="R71" s="194"/>
      <c r="S71" s="194"/>
      <c r="T71" s="194"/>
      <c r="U71" s="194"/>
      <c r="V71" s="194"/>
      <c r="W71" s="194"/>
      <c r="X71" s="194"/>
      <c r="Y71" s="194"/>
      <c r="Z71" s="194"/>
      <c r="AA71" s="194"/>
      <c r="AB71" s="194"/>
      <c r="AC71" s="194"/>
      <c r="AD71" s="194"/>
      <c r="AE71" s="194"/>
      <c r="AF71" s="194"/>
      <c r="AG71" s="194"/>
      <c r="AH71" s="194"/>
      <c r="AI71" s="194"/>
      <c r="AJ71" s="194"/>
      <c r="AK71" s="194"/>
      <c r="AL71" s="194"/>
      <c r="AM71" s="194"/>
    </row>
    <row r="72" spans="1:39" ht="15.75" customHeight="1" x14ac:dyDescent="0.25">
      <c r="A72" s="194"/>
      <c r="B72" s="432" t="s">
        <v>162</v>
      </c>
      <c r="C72" s="432" t="s">
        <v>1171</v>
      </c>
      <c r="D72" s="432" t="s">
        <v>9</v>
      </c>
      <c r="E72" s="432" t="s">
        <v>1172</v>
      </c>
      <c r="F72" s="194"/>
      <c r="G72" s="194"/>
      <c r="H72" s="194"/>
      <c r="I72" s="194"/>
      <c r="J72" s="194"/>
      <c r="K72" s="194"/>
      <c r="L72" s="194"/>
      <c r="M72" s="194"/>
      <c r="N72" s="194"/>
      <c r="O72" s="194"/>
      <c r="P72" s="194"/>
      <c r="Q72" s="194"/>
      <c r="R72" s="194"/>
      <c r="S72" s="194"/>
      <c r="T72" s="194"/>
      <c r="U72" s="194"/>
      <c r="V72" s="194"/>
      <c r="W72" s="194"/>
      <c r="X72" s="194"/>
      <c r="Y72" s="194"/>
      <c r="Z72" s="194"/>
      <c r="AA72" s="194"/>
      <c r="AB72" s="194"/>
      <c r="AC72" s="194"/>
      <c r="AD72" s="194"/>
      <c r="AE72" s="194"/>
      <c r="AF72" s="194"/>
      <c r="AG72" s="194"/>
      <c r="AH72" s="194"/>
      <c r="AI72" s="194"/>
      <c r="AJ72" s="194"/>
      <c r="AK72" s="194"/>
      <c r="AL72" s="194"/>
      <c r="AM72" s="194"/>
    </row>
    <row r="73" spans="1:39" ht="15.75" customHeight="1" x14ac:dyDescent="0.25">
      <c r="A73" s="194"/>
      <c r="B73" s="194" t="s">
        <v>1140</v>
      </c>
      <c r="C73" s="194">
        <v>1</v>
      </c>
      <c r="D73" s="194">
        <v>1</v>
      </c>
      <c r="E73" s="434">
        <f t="shared" ref="E73:E80" si="0">D73/C73</f>
        <v>1</v>
      </c>
      <c r="F73" s="194"/>
      <c r="G73" s="194"/>
      <c r="H73" s="194"/>
      <c r="I73" s="194"/>
      <c r="J73" s="194"/>
      <c r="K73" s="194"/>
      <c r="L73" s="194"/>
      <c r="M73" s="194"/>
      <c r="N73" s="194"/>
      <c r="O73" s="194"/>
      <c r="P73" s="194"/>
      <c r="Q73" s="194"/>
      <c r="R73" s="194"/>
      <c r="S73" s="194"/>
      <c r="T73" s="194"/>
      <c r="U73" s="194"/>
      <c r="V73" s="194"/>
      <c r="W73" s="194"/>
      <c r="X73" s="194"/>
      <c r="Y73" s="194"/>
      <c r="Z73" s="194"/>
      <c r="AA73" s="194"/>
      <c r="AB73" s="194"/>
      <c r="AC73" s="194"/>
      <c r="AD73" s="194"/>
      <c r="AE73" s="194"/>
      <c r="AF73" s="194"/>
      <c r="AG73" s="194"/>
      <c r="AH73" s="194"/>
      <c r="AI73" s="194"/>
      <c r="AJ73" s="194"/>
      <c r="AK73" s="194"/>
      <c r="AL73" s="194"/>
      <c r="AM73" s="194"/>
    </row>
    <row r="74" spans="1:39" ht="15.75" customHeight="1" x14ac:dyDescent="0.25">
      <c r="A74" s="194"/>
      <c r="B74" s="194" t="s">
        <v>1144</v>
      </c>
      <c r="C74" s="194">
        <v>3170</v>
      </c>
      <c r="D74" s="194">
        <v>3740</v>
      </c>
      <c r="E74" s="434">
        <f t="shared" si="0"/>
        <v>1.1798107255520505</v>
      </c>
      <c r="F74" s="194"/>
      <c r="G74" s="194"/>
      <c r="H74" s="194"/>
      <c r="I74" s="194"/>
      <c r="J74" s="194"/>
      <c r="K74" s="194"/>
      <c r="L74" s="194"/>
      <c r="M74" s="194"/>
      <c r="N74" s="194"/>
      <c r="O74" s="194"/>
      <c r="P74" s="194"/>
      <c r="Q74" s="194"/>
      <c r="R74" s="194"/>
      <c r="S74" s="194"/>
      <c r="T74" s="194"/>
      <c r="U74" s="194"/>
      <c r="V74" s="194"/>
      <c r="W74" s="194"/>
      <c r="X74" s="194"/>
      <c r="Y74" s="194"/>
      <c r="Z74" s="194"/>
      <c r="AA74" s="194"/>
      <c r="AB74" s="194"/>
      <c r="AC74" s="194"/>
      <c r="AD74" s="194"/>
      <c r="AE74" s="194"/>
      <c r="AF74" s="194"/>
      <c r="AG74" s="194"/>
      <c r="AH74" s="194"/>
      <c r="AI74" s="194"/>
      <c r="AJ74" s="194"/>
      <c r="AK74" s="194"/>
      <c r="AL74" s="194"/>
      <c r="AM74" s="194"/>
    </row>
    <row r="75" spans="1:39" ht="15.75" customHeight="1" x14ac:dyDescent="0.25">
      <c r="A75" s="194"/>
      <c r="B75" s="194" t="s">
        <v>1145</v>
      </c>
      <c r="C75" s="194">
        <v>1300</v>
      </c>
      <c r="D75" s="194">
        <v>1530</v>
      </c>
      <c r="E75" s="434">
        <f t="shared" si="0"/>
        <v>1.176923076923077</v>
      </c>
      <c r="F75" s="194"/>
      <c r="G75" s="194"/>
      <c r="H75" s="194"/>
      <c r="I75" s="194"/>
      <c r="J75" s="194"/>
      <c r="K75" s="194"/>
      <c r="L75" s="194"/>
      <c r="M75" s="194"/>
      <c r="N75" s="194"/>
      <c r="O75" s="194"/>
      <c r="P75" s="194"/>
      <c r="Q75" s="194"/>
      <c r="R75" s="194"/>
      <c r="S75" s="194"/>
      <c r="T75" s="194"/>
      <c r="U75" s="194"/>
      <c r="V75" s="194"/>
      <c r="W75" s="194"/>
      <c r="X75" s="194"/>
      <c r="Y75" s="194"/>
      <c r="Z75" s="194"/>
      <c r="AA75" s="194"/>
      <c r="AB75" s="194"/>
      <c r="AC75" s="194"/>
      <c r="AD75" s="194"/>
      <c r="AE75" s="194"/>
      <c r="AF75" s="194"/>
      <c r="AG75" s="194"/>
      <c r="AH75" s="194"/>
      <c r="AI75" s="194"/>
      <c r="AJ75" s="194"/>
      <c r="AK75" s="194"/>
      <c r="AL75" s="194"/>
      <c r="AM75" s="194"/>
    </row>
    <row r="76" spans="1:39" ht="15.75" customHeight="1" x14ac:dyDescent="0.25">
      <c r="A76" s="194"/>
      <c r="B76" s="194" t="s">
        <v>1148</v>
      </c>
      <c r="C76" s="194">
        <v>4800</v>
      </c>
      <c r="D76" s="194">
        <v>5810</v>
      </c>
      <c r="E76" s="434">
        <f t="shared" si="0"/>
        <v>1.2104166666666667</v>
      </c>
      <c r="F76" s="194"/>
      <c r="G76" s="194"/>
      <c r="H76" s="194"/>
      <c r="I76" s="194"/>
      <c r="J76" s="194"/>
      <c r="K76" s="194"/>
      <c r="L76" s="194"/>
      <c r="M76" s="194"/>
      <c r="N76" s="194"/>
      <c r="O76" s="194"/>
      <c r="P76" s="194"/>
      <c r="Q76" s="194"/>
      <c r="R76" s="194"/>
      <c r="S76" s="194"/>
      <c r="T76" s="194"/>
      <c r="U76" s="194"/>
      <c r="V76" s="194"/>
      <c r="W76" s="194"/>
      <c r="X76" s="194"/>
      <c r="Y76" s="194"/>
      <c r="Z76" s="194"/>
      <c r="AA76" s="194"/>
      <c r="AB76" s="194"/>
      <c r="AC76" s="194"/>
      <c r="AD76" s="194"/>
      <c r="AE76" s="194"/>
      <c r="AF76" s="194"/>
      <c r="AG76" s="194"/>
      <c r="AH76" s="194"/>
      <c r="AI76" s="194"/>
      <c r="AJ76" s="194"/>
      <c r="AK76" s="194"/>
      <c r="AL76" s="194"/>
      <c r="AM76" s="194"/>
    </row>
    <row r="77" spans="1:39" ht="15.75" customHeight="1" x14ac:dyDescent="0.25">
      <c r="A77" s="194"/>
      <c r="B77" s="194" t="s">
        <v>1149</v>
      </c>
      <c r="C77" s="194">
        <v>12400</v>
      </c>
      <c r="D77" s="194">
        <v>14600</v>
      </c>
      <c r="E77" s="434">
        <f t="shared" si="0"/>
        <v>1.1774193548387097</v>
      </c>
      <c r="F77" s="194"/>
      <c r="G77" s="194"/>
      <c r="H77" s="194"/>
      <c r="I77" s="194"/>
      <c r="J77" s="194"/>
      <c r="K77" s="194"/>
      <c r="L77" s="194"/>
      <c r="M77" s="194"/>
      <c r="N77" s="194"/>
      <c r="O77" s="194"/>
      <c r="P77" s="194"/>
      <c r="Q77" s="194"/>
      <c r="R77" s="194"/>
      <c r="S77" s="194"/>
      <c r="T77" s="194"/>
      <c r="U77" s="194"/>
      <c r="V77" s="194"/>
      <c r="W77" s="194"/>
      <c r="X77" s="194"/>
      <c r="Y77" s="194"/>
      <c r="Z77" s="194"/>
      <c r="AA77" s="194"/>
      <c r="AB77" s="194"/>
      <c r="AC77" s="194"/>
      <c r="AD77" s="194"/>
      <c r="AE77" s="194"/>
      <c r="AF77" s="194"/>
      <c r="AG77" s="194"/>
      <c r="AH77" s="194"/>
      <c r="AI77" s="194"/>
      <c r="AJ77" s="194"/>
      <c r="AK77" s="194"/>
      <c r="AL77" s="194"/>
      <c r="AM77" s="194"/>
    </row>
    <row r="78" spans="1:39" ht="15.75" customHeight="1" x14ac:dyDescent="0.25">
      <c r="A78" s="194"/>
      <c r="B78" s="194" t="s">
        <v>1150</v>
      </c>
      <c r="C78" s="194">
        <v>8060</v>
      </c>
      <c r="D78" s="194">
        <v>8690</v>
      </c>
      <c r="E78" s="434">
        <f t="shared" si="0"/>
        <v>1.0781637717121588</v>
      </c>
      <c r="F78" s="194"/>
      <c r="G78" s="194"/>
      <c r="H78" s="194"/>
      <c r="I78" s="194"/>
      <c r="J78" s="194"/>
      <c r="K78" s="194"/>
      <c r="L78" s="194"/>
      <c r="M78" s="194"/>
      <c r="N78" s="194"/>
      <c r="O78" s="194"/>
      <c r="P78" s="194"/>
      <c r="Q78" s="194"/>
      <c r="R78" s="194"/>
      <c r="S78" s="194"/>
      <c r="T78" s="194"/>
      <c r="U78" s="194"/>
      <c r="V78" s="194"/>
      <c r="W78" s="194"/>
      <c r="X78" s="194"/>
      <c r="Y78" s="194"/>
      <c r="Z78" s="194"/>
      <c r="AA78" s="194"/>
      <c r="AB78" s="194"/>
      <c r="AC78" s="194"/>
      <c r="AD78" s="194"/>
      <c r="AE78" s="194"/>
      <c r="AF78" s="194"/>
      <c r="AG78" s="194"/>
      <c r="AH78" s="194"/>
      <c r="AI78" s="194"/>
      <c r="AJ78" s="194"/>
      <c r="AK78" s="194"/>
      <c r="AL78" s="194"/>
      <c r="AM78" s="194"/>
    </row>
    <row r="79" spans="1:39" ht="15.75" customHeight="1" x14ac:dyDescent="0.25">
      <c r="A79" s="194"/>
      <c r="B79" s="194" t="s">
        <v>1151</v>
      </c>
      <c r="C79" s="194">
        <v>677</v>
      </c>
      <c r="D79" s="194">
        <v>771</v>
      </c>
      <c r="E79" s="434">
        <f t="shared" si="0"/>
        <v>1.138847858197932</v>
      </c>
      <c r="F79" s="194"/>
      <c r="G79" s="194"/>
      <c r="H79" s="194"/>
      <c r="I79" s="194"/>
      <c r="J79" s="194"/>
      <c r="K79" s="194"/>
      <c r="L79" s="194"/>
      <c r="M79" s="194"/>
      <c r="N79" s="194"/>
      <c r="O79" s="194"/>
      <c r="P79" s="194"/>
      <c r="Q79" s="194"/>
      <c r="R79" s="194"/>
      <c r="S79" s="194"/>
      <c r="T79" s="194"/>
      <c r="U79" s="194"/>
      <c r="V79" s="194"/>
      <c r="W79" s="194"/>
      <c r="X79" s="194"/>
      <c r="Y79" s="194"/>
      <c r="Z79" s="194"/>
      <c r="AA79" s="194"/>
      <c r="AB79" s="194"/>
      <c r="AC79" s="194"/>
      <c r="AD79" s="194"/>
      <c r="AE79" s="194"/>
      <c r="AF79" s="194"/>
      <c r="AG79" s="194"/>
      <c r="AH79" s="194"/>
      <c r="AI79" s="194"/>
      <c r="AJ79" s="194"/>
      <c r="AK79" s="194"/>
      <c r="AL79" s="194"/>
      <c r="AM79" s="194"/>
    </row>
    <row r="80" spans="1:39" ht="15.75" customHeight="1" x14ac:dyDescent="0.25">
      <c r="A80" s="194"/>
      <c r="B80" s="194" t="s">
        <v>1159</v>
      </c>
      <c r="C80" s="194">
        <v>6630</v>
      </c>
      <c r="D80" s="194">
        <v>7380</v>
      </c>
      <c r="E80" s="434">
        <f t="shared" si="0"/>
        <v>1.1131221719457014</v>
      </c>
      <c r="F80" s="194"/>
      <c r="G80" s="194"/>
      <c r="H80" s="194"/>
      <c r="I80" s="194"/>
      <c r="J80" s="194"/>
      <c r="K80" s="194"/>
      <c r="L80" s="194"/>
      <c r="M80" s="194"/>
      <c r="N80" s="194"/>
      <c r="O80" s="194"/>
      <c r="P80" s="194"/>
      <c r="Q80" s="194"/>
      <c r="R80" s="194"/>
      <c r="S80" s="194"/>
      <c r="T80" s="194"/>
      <c r="U80" s="194"/>
      <c r="V80" s="194"/>
      <c r="W80" s="194"/>
      <c r="X80" s="194"/>
      <c r="Y80" s="194"/>
      <c r="Z80" s="194"/>
      <c r="AA80" s="194"/>
      <c r="AB80" s="194"/>
      <c r="AC80" s="194"/>
      <c r="AD80" s="194"/>
      <c r="AE80" s="194"/>
      <c r="AF80" s="194"/>
      <c r="AG80" s="194"/>
      <c r="AH80" s="194"/>
      <c r="AI80" s="194"/>
      <c r="AJ80" s="194"/>
      <c r="AK80" s="194"/>
      <c r="AL80" s="194"/>
      <c r="AM80" s="194"/>
    </row>
    <row r="81" spans="1:39" ht="15.75" customHeight="1" x14ac:dyDescent="0.25">
      <c r="A81" s="194"/>
      <c r="B81" s="194"/>
      <c r="C81" s="194"/>
      <c r="D81" s="194"/>
      <c r="E81" s="194"/>
      <c r="F81" s="194"/>
      <c r="G81" s="194"/>
      <c r="H81" s="194"/>
      <c r="I81" s="194"/>
      <c r="J81" s="194"/>
      <c r="K81" s="194"/>
      <c r="L81" s="194"/>
      <c r="M81" s="194"/>
      <c r="N81" s="194"/>
      <c r="O81" s="194"/>
      <c r="P81" s="194"/>
      <c r="Q81" s="194"/>
      <c r="R81" s="194"/>
      <c r="S81" s="194"/>
      <c r="T81" s="194"/>
      <c r="U81" s="194"/>
      <c r="V81" s="194"/>
      <c r="W81" s="194"/>
      <c r="X81" s="194"/>
      <c r="Y81" s="194"/>
      <c r="Z81" s="194"/>
      <c r="AA81" s="194"/>
      <c r="AB81" s="194"/>
      <c r="AC81" s="194"/>
      <c r="AD81" s="194"/>
      <c r="AE81" s="194"/>
      <c r="AF81" s="194"/>
      <c r="AG81" s="194"/>
      <c r="AH81" s="194"/>
      <c r="AI81" s="194"/>
      <c r="AJ81" s="194"/>
      <c r="AK81" s="194"/>
      <c r="AL81" s="194"/>
      <c r="AM81" s="194"/>
    </row>
    <row r="82" spans="1:39" ht="15.75" customHeight="1" x14ac:dyDescent="0.25">
      <c r="A82" s="194"/>
      <c r="B82" s="432" t="s">
        <v>162</v>
      </c>
      <c r="C82" s="432" t="s">
        <v>1171</v>
      </c>
      <c r="D82" s="432" t="s">
        <v>9</v>
      </c>
      <c r="E82" s="432" t="s">
        <v>1172</v>
      </c>
      <c r="F82" s="194"/>
      <c r="G82" s="194"/>
      <c r="H82" s="194"/>
      <c r="I82" s="194"/>
      <c r="J82" s="194"/>
      <c r="K82" s="194"/>
      <c r="L82" s="194"/>
      <c r="M82" s="194"/>
      <c r="N82" s="194"/>
      <c r="O82" s="194"/>
      <c r="P82" s="194"/>
      <c r="Q82" s="194"/>
      <c r="R82" s="194"/>
      <c r="S82" s="194"/>
      <c r="T82" s="194"/>
      <c r="U82" s="194"/>
      <c r="V82" s="194"/>
      <c r="W82" s="194"/>
      <c r="X82" s="194"/>
      <c r="Y82" s="194"/>
      <c r="Z82" s="194"/>
      <c r="AA82" s="194"/>
      <c r="AB82" s="194"/>
      <c r="AC82" s="194"/>
      <c r="AD82" s="194"/>
      <c r="AE82" s="194"/>
      <c r="AF82" s="194"/>
      <c r="AG82" s="194"/>
      <c r="AH82" s="194"/>
      <c r="AI82" s="194"/>
      <c r="AJ82" s="194"/>
      <c r="AK82" s="194"/>
      <c r="AL82" s="194"/>
      <c r="AM82" s="194"/>
    </row>
    <row r="83" spans="1:39" ht="15.75" customHeight="1" x14ac:dyDescent="0.25">
      <c r="A83" s="194"/>
      <c r="B83" s="194" t="s">
        <v>1173</v>
      </c>
      <c r="C83" s="194">
        <v>138</v>
      </c>
      <c r="D83" s="194">
        <v>164</v>
      </c>
      <c r="E83" s="434">
        <f t="shared" ref="E83:E87" si="1">D83/C83</f>
        <v>1.1884057971014492</v>
      </c>
      <c r="F83" s="194"/>
      <c r="G83" s="194"/>
      <c r="H83" s="194"/>
      <c r="I83" s="194"/>
      <c r="J83" s="194"/>
      <c r="K83" s="194"/>
      <c r="L83" s="194"/>
      <c r="M83" s="194"/>
      <c r="N83" s="194"/>
      <c r="O83" s="194"/>
      <c r="P83" s="194"/>
      <c r="Q83" s="194"/>
      <c r="R83" s="194"/>
      <c r="S83" s="194"/>
      <c r="T83" s="194"/>
      <c r="U83" s="194"/>
      <c r="V83" s="194"/>
      <c r="W83" s="194"/>
      <c r="X83" s="194"/>
      <c r="Y83" s="194"/>
      <c r="Z83" s="194"/>
      <c r="AA83" s="194"/>
      <c r="AB83" s="194"/>
      <c r="AC83" s="194"/>
      <c r="AD83" s="194"/>
      <c r="AE83" s="194"/>
      <c r="AF83" s="194"/>
      <c r="AG83" s="194"/>
      <c r="AH83" s="194"/>
      <c r="AI83" s="194"/>
      <c r="AJ83" s="194"/>
      <c r="AK83" s="194"/>
      <c r="AL83" s="194"/>
      <c r="AM83" s="194"/>
    </row>
    <row r="84" spans="1:39" ht="15.75" customHeight="1" x14ac:dyDescent="0.25">
      <c r="A84" s="194"/>
      <c r="B84" s="194" t="s">
        <v>1174</v>
      </c>
      <c r="C84" s="194">
        <v>3350</v>
      </c>
      <c r="D84" s="194">
        <v>3600</v>
      </c>
      <c r="E84" s="434">
        <f t="shared" si="1"/>
        <v>1.0746268656716418</v>
      </c>
      <c r="F84" s="194"/>
      <c r="G84" s="194"/>
      <c r="H84" s="194"/>
      <c r="I84" s="194"/>
      <c r="J84" s="194"/>
      <c r="K84" s="194"/>
      <c r="L84" s="194"/>
      <c r="M84" s="194"/>
      <c r="N84" s="194"/>
      <c r="O84" s="194"/>
      <c r="P84" s="194"/>
      <c r="Q84" s="194"/>
      <c r="R84" s="194"/>
      <c r="S84" s="194"/>
      <c r="T84" s="194"/>
      <c r="U84" s="194"/>
      <c r="V84" s="194"/>
      <c r="W84" s="194"/>
      <c r="X84" s="194"/>
      <c r="Y84" s="194"/>
      <c r="Z84" s="194"/>
      <c r="AA84" s="194"/>
      <c r="AB84" s="194"/>
      <c r="AC84" s="194"/>
      <c r="AD84" s="194"/>
      <c r="AE84" s="194"/>
      <c r="AF84" s="194"/>
      <c r="AG84" s="194"/>
      <c r="AH84" s="194"/>
      <c r="AI84" s="194"/>
      <c r="AJ84" s="194"/>
      <c r="AK84" s="194"/>
      <c r="AL84" s="194"/>
      <c r="AM84" s="194"/>
    </row>
    <row r="85" spans="1:39" ht="15.75" customHeight="1" x14ac:dyDescent="0.25">
      <c r="A85" s="194"/>
      <c r="B85" s="194" t="s">
        <v>1175</v>
      </c>
      <c r="C85" s="194">
        <v>858</v>
      </c>
      <c r="D85" s="194">
        <v>962</v>
      </c>
      <c r="E85" s="434">
        <f t="shared" si="1"/>
        <v>1.1212121212121211</v>
      </c>
      <c r="F85" s="194"/>
      <c r="G85" s="194"/>
      <c r="H85" s="194"/>
      <c r="I85" s="194"/>
      <c r="J85" s="194"/>
      <c r="K85" s="194"/>
      <c r="L85" s="194"/>
      <c r="M85" s="194"/>
      <c r="N85" s="194"/>
      <c r="O85" s="194"/>
      <c r="P85" s="194"/>
      <c r="Q85" s="194"/>
      <c r="R85" s="194"/>
      <c r="S85" s="194"/>
      <c r="T85" s="194"/>
      <c r="U85" s="194"/>
      <c r="V85" s="194"/>
      <c r="W85" s="194"/>
      <c r="X85" s="194"/>
      <c r="Y85" s="194"/>
      <c r="Z85" s="194"/>
      <c r="AA85" s="194"/>
      <c r="AB85" s="194"/>
      <c r="AC85" s="194"/>
      <c r="AD85" s="194"/>
      <c r="AE85" s="194"/>
      <c r="AF85" s="194"/>
      <c r="AG85" s="194"/>
      <c r="AH85" s="194"/>
      <c r="AI85" s="194"/>
      <c r="AJ85" s="194"/>
      <c r="AK85" s="194"/>
      <c r="AL85" s="194"/>
      <c r="AM85" s="194"/>
    </row>
    <row r="86" spans="1:39" ht="15.75" customHeight="1" x14ac:dyDescent="0.25">
      <c r="A86" s="194"/>
      <c r="B86" s="194" t="s">
        <v>1176</v>
      </c>
      <c r="C86" s="194">
        <v>804</v>
      </c>
      <c r="D86" s="194">
        <v>914</v>
      </c>
      <c r="E86" s="434">
        <f t="shared" si="1"/>
        <v>1.1368159203980099</v>
      </c>
      <c r="F86" s="194"/>
      <c r="G86" s="194"/>
      <c r="H86" s="194"/>
      <c r="I86" s="194"/>
      <c r="J86" s="194"/>
      <c r="K86" s="194"/>
      <c r="L86" s="194"/>
      <c r="M86" s="194"/>
      <c r="N86" s="194"/>
      <c r="O86" s="194"/>
      <c r="P86" s="194"/>
      <c r="Q86" s="194"/>
      <c r="R86" s="194"/>
      <c r="S86" s="194"/>
      <c r="T86" s="194"/>
      <c r="U86" s="194"/>
      <c r="V86" s="194"/>
      <c r="W86" s="194"/>
      <c r="X86" s="194"/>
      <c r="Y86" s="194"/>
      <c r="Z86" s="194"/>
      <c r="AA86" s="194"/>
      <c r="AB86" s="194"/>
      <c r="AC86" s="194"/>
      <c r="AD86" s="194"/>
      <c r="AE86" s="194"/>
      <c r="AF86" s="194"/>
      <c r="AG86" s="194"/>
      <c r="AH86" s="194"/>
      <c r="AI86" s="194"/>
      <c r="AJ86" s="194"/>
      <c r="AK86" s="194"/>
      <c r="AL86" s="194"/>
      <c r="AM86" s="194"/>
    </row>
    <row r="87" spans="1:39" ht="15.75" customHeight="1" x14ac:dyDescent="0.25">
      <c r="A87" s="194"/>
      <c r="B87" s="194" t="s">
        <v>1177</v>
      </c>
      <c r="C87" s="194">
        <v>1650</v>
      </c>
      <c r="D87" s="194">
        <v>1600</v>
      </c>
      <c r="E87" s="434">
        <f t="shared" si="1"/>
        <v>0.96969696969696972</v>
      </c>
      <c r="F87" s="194"/>
      <c r="G87" s="194"/>
      <c r="H87" s="194"/>
      <c r="I87" s="194"/>
      <c r="J87" s="194"/>
      <c r="K87" s="194"/>
      <c r="L87" s="194"/>
      <c r="M87" s="194"/>
      <c r="N87" s="194"/>
      <c r="O87" s="194"/>
      <c r="P87" s="194"/>
      <c r="Q87" s="194"/>
      <c r="R87" s="194"/>
      <c r="S87" s="194"/>
      <c r="T87" s="194"/>
      <c r="U87" s="194"/>
      <c r="V87" s="194"/>
      <c r="W87" s="194"/>
      <c r="X87" s="194"/>
      <c r="Y87" s="194"/>
      <c r="Z87" s="194"/>
      <c r="AA87" s="194"/>
      <c r="AB87" s="194"/>
      <c r="AC87" s="194"/>
      <c r="AD87" s="194"/>
      <c r="AE87" s="194"/>
      <c r="AF87" s="194"/>
      <c r="AG87" s="194"/>
      <c r="AH87" s="194"/>
      <c r="AI87" s="194"/>
      <c r="AJ87" s="194"/>
      <c r="AK87" s="194"/>
      <c r="AL87" s="194"/>
      <c r="AM87" s="194"/>
    </row>
    <row r="88" spans="1:39" ht="15.75" customHeight="1" x14ac:dyDescent="0.25">
      <c r="A88" s="194"/>
      <c r="B88" s="435" t="s">
        <v>1152</v>
      </c>
      <c r="C88" s="436"/>
      <c r="D88" s="436"/>
      <c r="E88" s="437">
        <f>AVERAGE(E83:E87)</f>
        <v>1.0981515348160384</v>
      </c>
      <c r="F88" s="194"/>
      <c r="G88" s="194"/>
      <c r="H88" s="194"/>
      <c r="I88" s="194"/>
      <c r="J88" s="194"/>
      <c r="K88" s="194"/>
      <c r="L88" s="194"/>
      <c r="M88" s="194"/>
      <c r="N88" s="194"/>
      <c r="O88" s="194"/>
      <c r="P88" s="194"/>
      <c r="Q88" s="194"/>
      <c r="R88" s="194"/>
      <c r="S88" s="194"/>
      <c r="T88" s="194"/>
      <c r="U88" s="194"/>
      <c r="V88" s="194"/>
      <c r="W88" s="194"/>
      <c r="X88" s="194"/>
      <c r="Y88" s="194"/>
      <c r="Z88" s="194"/>
      <c r="AA88" s="194"/>
      <c r="AB88" s="194"/>
      <c r="AC88" s="194"/>
      <c r="AD88" s="194"/>
      <c r="AE88" s="194"/>
      <c r="AF88" s="194"/>
      <c r="AG88" s="194"/>
      <c r="AH88" s="194"/>
      <c r="AI88" s="194"/>
      <c r="AJ88" s="194"/>
      <c r="AK88" s="194"/>
      <c r="AL88" s="194"/>
      <c r="AM88" s="194"/>
    </row>
    <row r="89" spans="1:39" ht="15.75" customHeight="1" x14ac:dyDescent="0.25">
      <c r="A89" s="194"/>
      <c r="B89" s="194"/>
      <c r="C89" s="194"/>
      <c r="D89" s="194"/>
      <c r="E89" s="194"/>
      <c r="F89" s="194"/>
      <c r="G89" s="194"/>
      <c r="H89" s="194"/>
      <c r="I89" s="194"/>
      <c r="J89" s="194"/>
      <c r="K89" s="194"/>
      <c r="L89" s="194"/>
      <c r="M89" s="194"/>
      <c r="N89" s="194"/>
      <c r="O89" s="194"/>
      <c r="P89" s="194"/>
      <c r="Q89" s="194"/>
      <c r="R89" s="194"/>
      <c r="S89" s="194"/>
      <c r="T89" s="194"/>
      <c r="U89" s="194"/>
      <c r="V89" s="194"/>
      <c r="W89" s="194"/>
      <c r="X89" s="194"/>
      <c r="Y89" s="194"/>
      <c r="Z89" s="194"/>
      <c r="AA89" s="194"/>
      <c r="AB89" s="194"/>
      <c r="AC89" s="194"/>
      <c r="AD89" s="194"/>
      <c r="AE89" s="194"/>
      <c r="AF89" s="194"/>
      <c r="AG89" s="194"/>
      <c r="AH89" s="194"/>
      <c r="AI89" s="194"/>
      <c r="AJ89" s="194"/>
      <c r="AK89" s="194"/>
      <c r="AL89" s="194"/>
      <c r="AM89" s="194"/>
    </row>
    <row r="90" spans="1:39" ht="15.75" customHeight="1" x14ac:dyDescent="0.25">
      <c r="A90" s="194"/>
      <c r="B90" s="432" t="s">
        <v>162</v>
      </c>
      <c r="C90" s="432" t="s">
        <v>1171</v>
      </c>
      <c r="D90" s="432" t="s">
        <v>9</v>
      </c>
      <c r="E90" s="432" t="s">
        <v>1172</v>
      </c>
      <c r="F90" s="194"/>
      <c r="G90" s="194"/>
      <c r="H90" s="194"/>
      <c r="I90" s="194"/>
      <c r="J90" s="194"/>
      <c r="K90" s="194"/>
      <c r="L90" s="194"/>
      <c r="M90" s="194"/>
      <c r="N90" s="194"/>
      <c r="O90" s="194"/>
      <c r="P90" s="194"/>
      <c r="Q90" s="194"/>
      <c r="R90" s="194"/>
      <c r="S90" s="194"/>
      <c r="T90" s="194"/>
      <c r="U90" s="194"/>
      <c r="V90" s="194"/>
      <c r="W90" s="194"/>
      <c r="X90" s="194"/>
      <c r="Y90" s="194"/>
      <c r="Z90" s="194"/>
      <c r="AA90" s="194"/>
      <c r="AB90" s="194"/>
      <c r="AC90" s="194"/>
      <c r="AD90" s="194"/>
      <c r="AE90" s="194"/>
      <c r="AF90" s="194"/>
      <c r="AG90" s="194"/>
      <c r="AH90" s="194"/>
      <c r="AI90" s="194"/>
      <c r="AJ90" s="194"/>
      <c r="AK90" s="194"/>
      <c r="AL90" s="194"/>
      <c r="AM90" s="194"/>
    </row>
    <row r="91" spans="1:39" ht="15.75" customHeight="1" x14ac:dyDescent="0.25">
      <c r="A91" s="194"/>
      <c r="B91" s="194" t="s">
        <v>1178</v>
      </c>
      <c r="C91" s="194">
        <v>9200</v>
      </c>
      <c r="D91" s="194">
        <v>10000</v>
      </c>
      <c r="E91" s="434">
        <f t="shared" ref="E91:E92" si="2">D91/C91</f>
        <v>1.0869565217391304</v>
      </c>
      <c r="F91" s="194"/>
      <c r="G91" s="194"/>
      <c r="H91" s="194"/>
      <c r="I91" s="194"/>
      <c r="J91" s="194"/>
      <c r="K91" s="194"/>
      <c r="L91" s="194"/>
      <c r="M91" s="194"/>
      <c r="N91" s="194"/>
      <c r="O91" s="194"/>
      <c r="P91" s="194"/>
      <c r="Q91" s="194"/>
      <c r="R91" s="194"/>
      <c r="S91" s="194"/>
      <c r="T91" s="194"/>
      <c r="U91" s="194"/>
      <c r="V91" s="194"/>
      <c r="W91" s="194"/>
      <c r="X91" s="194"/>
      <c r="Y91" s="194"/>
      <c r="Z91" s="194"/>
      <c r="AA91" s="194"/>
      <c r="AB91" s="194"/>
      <c r="AC91" s="194"/>
      <c r="AD91" s="194"/>
      <c r="AE91" s="194"/>
      <c r="AF91" s="194"/>
      <c r="AG91" s="194"/>
      <c r="AH91" s="194"/>
      <c r="AI91" s="194"/>
      <c r="AJ91" s="194"/>
      <c r="AK91" s="194"/>
      <c r="AL91" s="194"/>
      <c r="AM91" s="194"/>
    </row>
    <row r="92" spans="1:39" ht="15.75" customHeight="1" x14ac:dyDescent="0.25">
      <c r="A92" s="194"/>
      <c r="B92" s="194" t="s">
        <v>1179</v>
      </c>
      <c r="C92" s="194">
        <v>7910</v>
      </c>
      <c r="D92" s="194">
        <v>8620</v>
      </c>
      <c r="E92" s="434">
        <f t="shared" si="2"/>
        <v>1.0897597977243996</v>
      </c>
      <c r="F92" s="194"/>
      <c r="G92" s="194"/>
      <c r="H92" s="194"/>
      <c r="I92" s="194"/>
      <c r="J92" s="194"/>
      <c r="K92" s="194"/>
      <c r="L92" s="194"/>
      <c r="M92" s="194"/>
      <c r="N92" s="194"/>
      <c r="O92" s="194"/>
      <c r="P92" s="194"/>
      <c r="Q92" s="194"/>
      <c r="R92" s="194"/>
      <c r="S92" s="194"/>
      <c r="T92" s="194"/>
      <c r="U92" s="194"/>
      <c r="V92" s="194"/>
      <c r="W92" s="194"/>
      <c r="X92" s="194"/>
      <c r="Y92" s="194"/>
      <c r="Z92" s="194"/>
      <c r="AA92" s="194"/>
      <c r="AB92" s="194"/>
      <c r="AC92" s="194"/>
      <c r="AD92" s="194"/>
      <c r="AE92" s="194"/>
      <c r="AF92" s="194"/>
      <c r="AG92" s="194"/>
      <c r="AH92" s="194"/>
      <c r="AI92" s="194"/>
      <c r="AJ92" s="194"/>
      <c r="AK92" s="194"/>
      <c r="AL92" s="194"/>
      <c r="AM92" s="194"/>
    </row>
    <row r="93" spans="1:39" ht="15.75" customHeight="1" x14ac:dyDescent="0.25">
      <c r="A93" s="194"/>
      <c r="B93" s="432" t="s">
        <v>1087</v>
      </c>
      <c r="C93" s="194" t="s">
        <v>1168</v>
      </c>
      <c r="D93" s="194"/>
      <c r="E93" s="434"/>
      <c r="F93" s="194"/>
      <c r="G93" s="194"/>
      <c r="H93" s="194"/>
      <c r="I93" s="194"/>
      <c r="J93" s="194"/>
      <c r="K93" s="194"/>
      <c r="L93" s="194"/>
      <c r="M93" s="194"/>
      <c r="N93" s="194"/>
      <c r="O93" s="194"/>
      <c r="P93" s="194"/>
      <c r="Q93" s="194"/>
      <c r="R93" s="194"/>
      <c r="S93" s="194"/>
      <c r="T93" s="194"/>
      <c r="U93" s="194"/>
      <c r="V93" s="194"/>
      <c r="W93" s="194"/>
      <c r="X93" s="194"/>
      <c r="Y93" s="194"/>
      <c r="Z93" s="194"/>
      <c r="AA93" s="194"/>
      <c r="AB93" s="194"/>
      <c r="AC93" s="194"/>
      <c r="AD93" s="194"/>
      <c r="AE93" s="194"/>
      <c r="AF93" s="194"/>
      <c r="AG93" s="194"/>
      <c r="AH93" s="194"/>
      <c r="AI93" s="194"/>
      <c r="AJ93" s="194"/>
      <c r="AK93" s="194"/>
      <c r="AL93" s="194"/>
      <c r="AM93" s="194"/>
    </row>
    <row r="94" spans="1:39" ht="15.75" customHeight="1" x14ac:dyDescent="0.25">
      <c r="A94" s="194"/>
      <c r="B94" s="432" t="s">
        <v>1089</v>
      </c>
      <c r="C94" s="194" t="s">
        <v>1180</v>
      </c>
      <c r="D94" s="194"/>
      <c r="E94" s="434"/>
      <c r="F94" s="194"/>
      <c r="G94" s="194"/>
      <c r="H94" s="194"/>
      <c r="I94" s="194"/>
      <c r="J94" s="194"/>
      <c r="K94" s="194"/>
      <c r="L94" s="194"/>
      <c r="M94" s="194"/>
      <c r="N94" s="194"/>
      <c r="O94" s="194"/>
      <c r="P94" s="194"/>
      <c r="Q94" s="194"/>
      <c r="R94" s="194"/>
      <c r="S94" s="194"/>
      <c r="T94" s="194"/>
      <c r="U94" s="194"/>
      <c r="V94" s="194"/>
      <c r="W94" s="194"/>
      <c r="X94" s="194"/>
      <c r="Y94" s="194"/>
      <c r="Z94" s="194"/>
      <c r="AA94" s="194"/>
      <c r="AB94" s="194"/>
      <c r="AC94" s="194"/>
      <c r="AD94" s="194"/>
      <c r="AE94" s="194"/>
      <c r="AF94" s="194"/>
      <c r="AG94" s="194"/>
      <c r="AH94" s="194"/>
      <c r="AI94" s="194"/>
      <c r="AJ94" s="194"/>
      <c r="AK94" s="194"/>
      <c r="AL94" s="194"/>
      <c r="AM94" s="194"/>
    </row>
    <row r="95" spans="1:39" ht="15.75" customHeight="1" x14ac:dyDescent="0.25">
      <c r="A95" s="194"/>
      <c r="B95" s="432" t="s">
        <v>1091</v>
      </c>
      <c r="C95" s="194" t="s">
        <v>1181</v>
      </c>
      <c r="D95" s="194"/>
      <c r="E95" s="434"/>
      <c r="F95" s="194"/>
      <c r="G95" s="194"/>
      <c r="H95" s="1" t="s">
        <v>1182</v>
      </c>
      <c r="I95" s="1"/>
      <c r="J95" s="1"/>
      <c r="K95" s="1"/>
      <c r="L95" s="1"/>
      <c r="M95" s="1" t="s">
        <v>1183</v>
      </c>
      <c r="N95" s="1"/>
      <c r="O95" s="1"/>
      <c r="P95" s="1"/>
      <c r="Q95" s="1"/>
      <c r="R95" s="1"/>
      <c r="S95" s="194"/>
      <c r="T95" s="194"/>
      <c r="U95" s="194"/>
      <c r="V95" s="194"/>
      <c r="W95" s="194"/>
      <c r="X95" s="194"/>
      <c r="Y95" s="194"/>
      <c r="Z95" s="194"/>
      <c r="AA95" s="194"/>
      <c r="AB95" s="194"/>
      <c r="AC95" s="194"/>
      <c r="AD95" s="194"/>
      <c r="AE95" s="194"/>
      <c r="AF95" s="194"/>
      <c r="AG95" s="194"/>
      <c r="AH95" s="194"/>
      <c r="AI95" s="194"/>
      <c r="AJ95" s="194"/>
      <c r="AK95" s="194"/>
      <c r="AL95" s="194"/>
      <c r="AM95" s="194"/>
    </row>
    <row r="96" spans="1:39" ht="15.75" customHeight="1" x14ac:dyDescent="0.25">
      <c r="A96" s="194"/>
      <c r="B96" s="432" t="s">
        <v>162</v>
      </c>
      <c r="C96" s="432" t="s">
        <v>1171</v>
      </c>
      <c r="D96" s="432" t="s">
        <v>9</v>
      </c>
      <c r="E96" s="438" t="s">
        <v>1172</v>
      </c>
      <c r="F96" s="194"/>
      <c r="G96" s="194"/>
      <c r="H96" s="1" t="s">
        <v>1184</v>
      </c>
      <c r="I96" s="1" t="s">
        <v>1185</v>
      </c>
      <c r="J96" s="1" t="s">
        <v>1186</v>
      </c>
      <c r="K96" s="1" t="s">
        <v>1187</v>
      </c>
      <c r="L96" s="1"/>
      <c r="M96" s="1" t="s">
        <v>1184</v>
      </c>
      <c r="N96" s="1" t="s">
        <v>1185</v>
      </c>
      <c r="O96" s="1" t="s">
        <v>1187</v>
      </c>
      <c r="P96" s="1" t="s">
        <v>1188</v>
      </c>
      <c r="Q96" s="1" t="s">
        <v>1189</v>
      </c>
      <c r="R96" s="1" t="s">
        <v>1190</v>
      </c>
      <c r="S96" s="194"/>
      <c r="T96" s="194"/>
      <c r="U96" s="194"/>
      <c r="V96" s="194"/>
      <c r="W96" s="194"/>
      <c r="X96" s="194"/>
      <c r="Y96" s="194"/>
      <c r="Z96" s="194"/>
      <c r="AA96" s="194"/>
      <c r="AB96" s="194"/>
      <c r="AC96" s="194"/>
      <c r="AD96" s="194"/>
      <c r="AE96" s="194"/>
      <c r="AF96" s="194"/>
      <c r="AG96" s="194"/>
      <c r="AH96" s="194"/>
      <c r="AI96" s="194"/>
      <c r="AJ96" s="194"/>
      <c r="AK96" s="194"/>
      <c r="AL96" s="194"/>
      <c r="AM96" s="194"/>
    </row>
    <row r="97" spans="1:39" ht="15.75" customHeight="1" x14ac:dyDescent="0.25">
      <c r="A97" s="194"/>
      <c r="B97" s="194" t="s">
        <v>1191</v>
      </c>
      <c r="C97" s="194">
        <v>1</v>
      </c>
      <c r="D97" s="194">
        <v>3.88</v>
      </c>
      <c r="E97" s="434">
        <f t="shared" ref="E97:E100" si="3">D97/C97</f>
        <v>3.88</v>
      </c>
      <c r="F97" s="194"/>
      <c r="G97" s="194"/>
      <c r="H97" s="1" t="s">
        <v>1191</v>
      </c>
      <c r="I97" s="1" t="s">
        <v>1192</v>
      </c>
      <c r="J97" s="1">
        <v>0.11600000000000001</v>
      </c>
      <c r="K97" s="1">
        <v>42</v>
      </c>
      <c r="L97" s="1"/>
      <c r="M97" s="1" t="s">
        <v>1193</v>
      </c>
      <c r="N97" s="1" t="s">
        <v>1194</v>
      </c>
      <c r="O97" s="1">
        <v>26</v>
      </c>
      <c r="P97" s="1">
        <v>5</v>
      </c>
      <c r="Q97" s="1">
        <v>1</v>
      </c>
      <c r="R97" s="1">
        <f t="shared" ref="R97:R100" si="4">P97/Q97</f>
        <v>5</v>
      </c>
      <c r="S97" s="194"/>
      <c r="T97" s="194"/>
      <c r="U97" s="194"/>
      <c r="V97" s="194"/>
      <c r="W97" s="194"/>
      <c r="X97" s="194"/>
      <c r="Y97" s="194"/>
      <c r="Z97" s="194"/>
      <c r="AA97" s="194"/>
      <c r="AB97" s="194"/>
      <c r="AC97" s="194"/>
      <c r="AD97" s="194"/>
      <c r="AE97" s="194"/>
      <c r="AF97" s="194"/>
      <c r="AG97" s="194"/>
      <c r="AH97" s="194"/>
      <c r="AI97" s="194"/>
      <c r="AJ97" s="194"/>
      <c r="AK97" s="194"/>
      <c r="AL97" s="194"/>
      <c r="AM97" s="194"/>
    </row>
    <row r="98" spans="1:39" ht="15.75" customHeight="1" x14ac:dyDescent="0.25">
      <c r="A98" s="194"/>
      <c r="B98" s="194" t="s">
        <v>1195</v>
      </c>
      <c r="C98" s="194">
        <v>0.5</v>
      </c>
      <c r="D98" s="194">
        <v>0.501</v>
      </c>
      <c r="E98" s="434">
        <f t="shared" si="3"/>
        <v>1.002</v>
      </c>
      <c r="F98" s="194"/>
      <c r="G98" s="194"/>
      <c r="H98" s="1" t="s">
        <v>1195</v>
      </c>
      <c r="I98" s="1" t="s">
        <v>1196</v>
      </c>
      <c r="J98" s="1">
        <v>3.3000000000000002E-2</v>
      </c>
      <c r="K98" s="1">
        <v>12</v>
      </c>
      <c r="L98" s="1"/>
      <c r="M98" s="1" t="s">
        <v>1197</v>
      </c>
      <c r="N98" s="1" t="s">
        <v>1198</v>
      </c>
      <c r="O98" s="1">
        <v>10.5</v>
      </c>
      <c r="P98" s="1">
        <v>1</v>
      </c>
      <c r="Q98" s="1" t="s">
        <v>1199</v>
      </c>
      <c r="R98" s="1" t="e">
        <f t="shared" si="4"/>
        <v>#VALUE!</v>
      </c>
      <c r="S98" s="194"/>
      <c r="T98" s="194"/>
      <c r="U98" s="194"/>
      <c r="V98" s="194"/>
      <c r="W98" s="194"/>
      <c r="X98" s="194"/>
      <c r="Y98" s="194"/>
      <c r="Z98" s="194"/>
      <c r="AA98" s="194"/>
      <c r="AB98" s="194"/>
      <c r="AC98" s="194"/>
      <c r="AD98" s="194"/>
      <c r="AE98" s="194"/>
      <c r="AF98" s="194"/>
      <c r="AG98" s="194"/>
      <c r="AH98" s="194"/>
      <c r="AI98" s="194"/>
      <c r="AJ98" s="194"/>
      <c r="AK98" s="194"/>
      <c r="AL98" s="194"/>
      <c r="AM98" s="194"/>
    </row>
    <row r="99" spans="1:39" ht="15.75" customHeight="1" x14ac:dyDescent="0.25">
      <c r="A99" s="194"/>
      <c r="B99" s="194" t="s">
        <v>1200</v>
      </c>
      <c r="C99" s="194">
        <v>0.5</v>
      </c>
      <c r="D99" s="194">
        <v>1.37</v>
      </c>
      <c r="E99" s="434">
        <f t="shared" si="3"/>
        <v>2.74</v>
      </c>
      <c r="F99" s="194"/>
      <c r="G99" s="194"/>
      <c r="H99" s="1" t="s">
        <v>1200</v>
      </c>
      <c r="I99" s="1" t="s">
        <v>1201</v>
      </c>
      <c r="J99" s="1">
        <v>5.1999999999999998E-2</v>
      </c>
      <c r="K99" s="1">
        <v>19</v>
      </c>
      <c r="L99" s="1"/>
      <c r="M99" s="1" t="s">
        <v>1202</v>
      </c>
      <c r="N99" s="1" t="s">
        <v>1203</v>
      </c>
      <c r="O99" s="1">
        <v>16.399999999999999</v>
      </c>
      <c r="P99" s="1">
        <v>4</v>
      </c>
      <c r="Q99" s="1" t="s">
        <v>1199</v>
      </c>
      <c r="R99" s="1" t="e">
        <f t="shared" si="4"/>
        <v>#VALUE!</v>
      </c>
      <c r="S99" s="194"/>
      <c r="T99" s="194"/>
      <c r="U99" s="194"/>
      <c r="V99" s="194"/>
      <c r="W99" s="194"/>
      <c r="X99" s="194"/>
      <c r="Y99" s="194"/>
      <c r="Z99" s="194"/>
      <c r="AA99" s="194"/>
      <c r="AB99" s="194"/>
      <c r="AC99" s="194"/>
      <c r="AD99" s="194"/>
      <c r="AE99" s="194"/>
      <c r="AF99" s="194"/>
      <c r="AG99" s="194"/>
      <c r="AH99" s="194"/>
      <c r="AI99" s="194"/>
      <c r="AJ99" s="194"/>
      <c r="AK99" s="194"/>
      <c r="AL99" s="194"/>
      <c r="AM99" s="194"/>
    </row>
    <row r="100" spans="1:39" ht="15.75" customHeight="1" x14ac:dyDescent="0.25">
      <c r="A100" s="194"/>
      <c r="B100" s="194" t="s">
        <v>1204</v>
      </c>
      <c r="C100" s="194">
        <v>2</v>
      </c>
      <c r="D100" s="194">
        <v>2.08</v>
      </c>
      <c r="E100" s="434">
        <f t="shared" si="3"/>
        <v>1.04</v>
      </c>
      <c r="F100" s="194"/>
      <c r="G100" s="194"/>
      <c r="H100" s="1" t="s">
        <v>1204</v>
      </c>
      <c r="I100" s="1" t="s">
        <v>1205</v>
      </c>
      <c r="J100" s="1">
        <v>7.3999999999999996E-2</v>
      </c>
      <c r="K100" s="1">
        <v>27</v>
      </c>
      <c r="L100" s="1"/>
      <c r="M100" s="1" t="s">
        <v>1206</v>
      </c>
      <c r="N100" s="1" t="s">
        <v>1207</v>
      </c>
      <c r="O100" s="1">
        <v>22</v>
      </c>
      <c r="P100" s="1">
        <v>6</v>
      </c>
      <c r="Q100" s="1">
        <v>2</v>
      </c>
      <c r="R100" s="1">
        <f t="shared" si="4"/>
        <v>3</v>
      </c>
      <c r="S100" s="194"/>
      <c r="T100" s="194"/>
      <c r="U100" s="194"/>
      <c r="V100" s="194"/>
      <c r="W100" s="194"/>
      <c r="X100" s="194"/>
      <c r="Y100" s="194"/>
      <c r="Z100" s="194"/>
      <c r="AA100" s="194"/>
      <c r="AB100" s="194"/>
      <c r="AC100" s="194"/>
      <c r="AD100" s="194"/>
      <c r="AE100" s="194"/>
      <c r="AF100" s="194"/>
      <c r="AG100" s="194"/>
      <c r="AH100" s="194"/>
      <c r="AI100" s="194"/>
      <c r="AJ100" s="194"/>
      <c r="AK100" s="194"/>
      <c r="AL100" s="194"/>
      <c r="AM100" s="194"/>
    </row>
    <row r="101" spans="1:39" ht="15.75" customHeight="1" x14ac:dyDescent="0.25">
      <c r="A101" s="194"/>
      <c r="B101" s="435" t="s">
        <v>1157</v>
      </c>
      <c r="C101" s="436"/>
      <c r="D101" s="436"/>
      <c r="E101" s="437">
        <f>AVERAGE(E91:E100)</f>
        <v>1.8064527199105882</v>
      </c>
      <c r="F101" s="194"/>
      <c r="G101" s="194"/>
      <c r="H101" s="194"/>
      <c r="I101" s="194"/>
      <c r="J101" s="194"/>
      <c r="K101" s="194"/>
      <c r="L101" s="194"/>
      <c r="M101" s="194"/>
      <c r="N101" s="194"/>
      <c r="O101" s="194"/>
      <c r="P101" s="194"/>
      <c r="Q101" s="194"/>
      <c r="R101" s="194"/>
      <c r="S101" s="194"/>
      <c r="T101" s="194"/>
      <c r="U101" s="194"/>
      <c r="V101" s="194"/>
      <c r="W101" s="194"/>
      <c r="X101" s="194"/>
      <c r="Y101" s="194"/>
      <c r="Z101" s="194"/>
      <c r="AA101" s="194"/>
      <c r="AB101" s="194"/>
      <c r="AC101" s="194"/>
      <c r="AD101" s="194"/>
      <c r="AE101" s="194"/>
      <c r="AF101" s="194"/>
      <c r="AG101" s="194"/>
      <c r="AH101" s="194"/>
      <c r="AI101" s="194"/>
      <c r="AJ101" s="194"/>
      <c r="AK101" s="194"/>
      <c r="AL101" s="194"/>
      <c r="AM101" s="194"/>
    </row>
    <row r="102" spans="1:39" ht="15.75" customHeight="1" x14ac:dyDescent="0.25">
      <c r="A102" s="194"/>
      <c r="B102" s="194"/>
      <c r="C102" s="194"/>
      <c r="D102" s="194"/>
      <c r="E102" s="194"/>
      <c r="F102" s="194"/>
      <c r="G102" s="194"/>
      <c r="H102" s="194"/>
      <c r="I102" s="194"/>
      <c r="J102" s="194"/>
      <c r="K102" s="194"/>
      <c r="L102" s="194"/>
      <c r="M102" s="194"/>
      <c r="N102" s="194"/>
      <c r="O102" s="194"/>
      <c r="P102" s="194"/>
      <c r="Q102" s="194"/>
      <c r="R102" s="194"/>
      <c r="S102" s="194"/>
      <c r="T102" s="194"/>
      <c r="U102" s="194"/>
      <c r="V102" s="194"/>
      <c r="W102" s="194"/>
      <c r="X102" s="194"/>
      <c r="Y102" s="194"/>
      <c r="Z102" s="194"/>
      <c r="AA102" s="194"/>
      <c r="AB102" s="194"/>
      <c r="AC102" s="194"/>
      <c r="AD102" s="194"/>
      <c r="AE102" s="194"/>
      <c r="AF102" s="194"/>
      <c r="AG102" s="194"/>
      <c r="AH102" s="194"/>
      <c r="AI102" s="194"/>
      <c r="AJ102" s="194"/>
      <c r="AK102" s="194"/>
      <c r="AL102" s="194"/>
      <c r="AM102" s="194"/>
    </row>
    <row r="103" spans="1:39" ht="15.75" customHeight="1" x14ac:dyDescent="0.25">
      <c r="A103" s="194"/>
      <c r="B103" s="1469" t="s">
        <v>1896</v>
      </c>
      <c r="C103" s="430"/>
      <c r="D103" s="430"/>
      <c r="E103" s="430"/>
      <c r="F103" s="430"/>
      <c r="G103" s="430"/>
      <c r="H103" s="430"/>
      <c r="I103" s="430"/>
      <c r="J103" s="430"/>
      <c r="K103" s="430"/>
      <c r="L103" s="430"/>
      <c r="M103" s="430"/>
      <c r="N103" s="430"/>
      <c r="O103" s="430"/>
      <c r="P103" s="430"/>
      <c r="Q103" s="430"/>
      <c r="R103" s="430"/>
      <c r="S103" s="430"/>
      <c r="T103" s="430"/>
      <c r="U103" s="430"/>
      <c r="V103" s="430"/>
      <c r="W103" s="430"/>
      <c r="X103" s="430"/>
      <c r="Y103" s="430"/>
      <c r="Z103" s="430"/>
      <c r="AA103" s="430"/>
      <c r="AB103" s="430"/>
      <c r="AC103" s="430"/>
      <c r="AD103" s="430"/>
      <c r="AE103" s="430"/>
      <c r="AF103" s="430"/>
      <c r="AG103" s="430"/>
      <c r="AH103" s="430"/>
      <c r="AI103" s="430"/>
      <c r="AJ103" s="430"/>
      <c r="AK103" s="430"/>
      <c r="AL103" s="430"/>
      <c r="AM103" s="431"/>
    </row>
    <row r="104" spans="1:39" ht="15.75" customHeight="1" x14ac:dyDescent="0.25">
      <c r="A104" s="194"/>
      <c r="B104" s="194"/>
      <c r="C104" s="194"/>
      <c r="D104" s="194"/>
      <c r="E104" s="194"/>
      <c r="F104" s="194"/>
      <c r="G104" s="194"/>
      <c r="H104" s="194"/>
      <c r="I104" s="194"/>
      <c r="J104" s="194"/>
      <c r="K104" s="194"/>
      <c r="L104" s="194"/>
      <c r="M104" s="194"/>
      <c r="N104" s="194"/>
      <c r="O104" s="194"/>
      <c r="P104" s="194"/>
      <c r="Q104" s="194"/>
      <c r="R104" s="194"/>
      <c r="S104" s="194"/>
      <c r="T104" s="194"/>
      <c r="U104" s="194"/>
      <c r="V104" s="194"/>
      <c r="W104" s="194"/>
      <c r="X104" s="194"/>
      <c r="Y104" s="194"/>
      <c r="Z104" s="194"/>
      <c r="AA104" s="194"/>
      <c r="AB104" s="194"/>
      <c r="AC104" s="194"/>
      <c r="AD104" s="194"/>
      <c r="AE104" s="194"/>
      <c r="AF104" s="194"/>
      <c r="AG104" s="194"/>
      <c r="AH104" s="194"/>
      <c r="AI104" s="194"/>
      <c r="AJ104" s="194"/>
      <c r="AK104" s="194"/>
      <c r="AL104" s="194"/>
      <c r="AM104" s="194"/>
    </row>
    <row r="105" spans="1:39" ht="15.75" customHeight="1" x14ac:dyDescent="0.25">
      <c r="A105" s="194"/>
      <c r="B105" s="432" t="str">
        <f t="shared" ref="B105:D105" si="5">B15</f>
        <v>sub_category_1</v>
      </c>
      <c r="C105" s="432" t="str">
        <f t="shared" si="5"/>
        <v>ghg_category</v>
      </c>
      <c r="D105" s="432" t="str">
        <f t="shared" si="5"/>
        <v>ghg</v>
      </c>
      <c r="E105" s="432" t="s">
        <v>1208</v>
      </c>
      <c r="F105" s="432" t="str">
        <f t="shared" ref="F105:AL105" si="6">F15</f>
        <v>Y1990</v>
      </c>
      <c r="G105" s="432" t="str">
        <f t="shared" si="6"/>
        <v>Y1991</v>
      </c>
      <c r="H105" s="432" t="str">
        <f t="shared" si="6"/>
        <v>Y1992</v>
      </c>
      <c r="I105" s="432" t="str">
        <f t="shared" si="6"/>
        <v>Y1993</v>
      </c>
      <c r="J105" s="432" t="str">
        <f t="shared" si="6"/>
        <v>Y1994</v>
      </c>
      <c r="K105" s="432" t="str">
        <f t="shared" si="6"/>
        <v>Y1995</v>
      </c>
      <c r="L105" s="432" t="str">
        <f t="shared" si="6"/>
        <v>Y1996</v>
      </c>
      <c r="M105" s="432" t="str">
        <f t="shared" si="6"/>
        <v>Y1997</v>
      </c>
      <c r="N105" s="432" t="str">
        <f t="shared" si="6"/>
        <v>Y1998</v>
      </c>
      <c r="O105" s="432" t="str">
        <f t="shared" si="6"/>
        <v>Y1999</v>
      </c>
      <c r="P105" s="432" t="str">
        <f t="shared" si="6"/>
        <v>Y2000</v>
      </c>
      <c r="Q105" s="432" t="str">
        <f t="shared" si="6"/>
        <v>Y2001</v>
      </c>
      <c r="R105" s="432" t="str">
        <f t="shared" si="6"/>
        <v>Y2002</v>
      </c>
      <c r="S105" s="432" t="str">
        <f t="shared" si="6"/>
        <v>Y2003</v>
      </c>
      <c r="T105" s="432" t="str">
        <f t="shared" si="6"/>
        <v>Y2004</v>
      </c>
      <c r="U105" s="432" t="str">
        <f t="shared" si="6"/>
        <v>Y2005</v>
      </c>
      <c r="V105" s="432" t="str">
        <f t="shared" si="6"/>
        <v>Y2006</v>
      </c>
      <c r="W105" s="432" t="str">
        <f t="shared" si="6"/>
        <v>Y2007</v>
      </c>
      <c r="X105" s="432" t="str">
        <f t="shared" si="6"/>
        <v>Y2008</v>
      </c>
      <c r="Y105" s="432" t="str">
        <f t="shared" si="6"/>
        <v>Y2009</v>
      </c>
      <c r="Z105" s="432" t="str">
        <f t="shared" si="6"/>
        <v>Y2010</v>
      </c>
      <c r="AA105" s="432" t="str">
        <f t="shared" si="6"/>
        <v>Y2011</v>
      </c>
      <c r="AB105" s="432" t="str">
        <f t="shared" si="6"/>
        <v>Y2012</v>
      </c>
      <c r="AC105" s="432" t="str">
        <f t="shared" si="6"/>
        <v>Y2013</v>
      </c>
      <c r="AD105" s="432" t="str">
        <f t="shared" si="6"/>
        <v>Y2014</v>
      </c>
      <c r="AE105" s="432" t="str">
        <f t="shared" si="6"/>
        <v>Y2015</v>
      </c>
      <c r="AF105" s="432" t="str">
        <f t="shared" si="6"/>
        <v>Y2016</v>
      </c>
      <c r="AG105" s="432" t="str">
        <f t="shared" si="6"/>
        <v>Y2017</v>
      </c>
      <c r="AH105" s="432" t="str">
        <f t="shared" si="6"/>
        <v>Y2018</v>
      </c>
      <c r="AI105" s="432" t="str">
        <f t="shared" si="6"/>
        <v>Y2019</v>
      </c>
      <c r="AJ105" s="432" t="str">
        <f t="shared" si="6"/>
        <v>Y2020</v>
      </c>
      <c r="AK105" s="432" t="str">
        <f t="shared" si="6"/>
        <v>Y2021</v>
      </c>
      <c r="AL105" s="432" t="str">
        <f t="shared" si="6"/>
        <v>Y2022</v>
      </c>
      <c r="AM105" s="432"/>
    </row>
    <row r="106" spans="1:39" ht="15.75" customHeight="1" x14ac:dyDescent="0.25">
      <c r="A106" s="194"/>
      <c r="B106" s="194" t="str">
        <f t="shared" ref="B106:D106" si="7">B16</f>
        <v>Fire protection</v>
      </c>
      <c r="C106" s="194" t="str">
        <f t="shared" si="7"/>
        <v>CO2</v>
      </c>
      <c r="D106" s="194" t="str">
        <f t="shared" si="7"/>
        <v>Carbon Dioxide</v>
      </c>
      <c r="E106" s="434">
        <f t="shared" ref="E106:E139" si="8">_xlfn.XLOOKUP(D106,B$73:B$101,E$73:E$101)</f>
        <v>1</v>
      </c>
      <c r="F106" s="433">
        <f t="shared" ref="F106:AL106" si="9">F16*$E106</f>
        <v>0</v>
      </c>
      <c r="G106" s="433">
        <f t="shared" si="9"/>
        <v>0</v>
      </c>
      <c r="H106" s="433">
        <f t="shared" si="9"/>
        <v>0</v>
      </c>
      <c r="I106" s="433">
        <f t="shared" si="9"/>
        <v>0</v>
      </c>
      <c r="J106" s="433">
        <f t="shared" si="9"/>
        <v>0</v>
      </c>
      <c r="K106" s="433">
        <f t="shared" si="9"/>
        <v>0</v>
      </c>
      <c r="L106" s="433">
        <f t="shared" si="9"/>
        <v>0</v>
      </c>
      <c r="M106" s="433">
        <f t="shared" si="9"/>
        <v>0</v>
      </c>
      <c r="N106" s="433">
        <f t="shared" si="9"/>
        <v>9.8519299213394535E-9</v>
      </c>
      <c r="O106" s="433">
        <f t="shared" si="9"/>
        <v>3.1540939323378811E-8</v>
      </c>
      <c r="P106" s="433">
        <f t="shared" si="9"/>
        <v>6.2501428747742371E-8</v>
      </c>
      <c r="Q106" s="433">
        <f t="shared" si="9"/>
        <v>1.018511703728463E-7</v>
      </c>
      <c r="R106" s="433">
        <f t="shared" si="9"/>
        <v>1.4894636659878889E-7</v>
      </c>
      <c r="S106" s="433">
        <f t="shared" si="9"/>
        <v>2.0074600781338119E-7</v>
      </c>
      <c r="T106" s="433">
        <f t="shared" si="9"/>
        <v>2.6107617905303778E-7</v>
      </c>
      <c r="U106" s="433">
        <f t="shared" si="9"/>
        <v>3.2987329132971848E-7</v>
      </c>
      <c r="V106" s="433">
        <f t="shared" si="9"/>
        <v>4.0711289923977971E-7</v>
      </c>
      <c r="W106" s="433">
        <f t="shared" si="9"/>
        <v>4.8314336560554063E-7</v>
      </c>
      <c r="X106" s="433">
        <f t="shared" si="9"/>
        <v>5.5882771452414812E-7</v>
      </c>
      <c r="Y106" s="433">
        <f t="shared" si="9"/>
        <v>6.3589657153355418E-7</v>
      </c>
      <c r="Z106" s="433">
        <f t="shared" si="9"/>
        <v>7.1660050457866461E-7</v>
      </c>
      <c r="AA106" s="433">
        <f t="shared" si="9"/>
        <v>7.9894555566048068E-7</v>
      </c>
      <c r="AB106" s="433">
        <f t="shared" si="9"/>
        <v>8.85221012763728E-7</v>
      </c>
      <c r="AC106" s="433">
        <f t="shared" si="9"/>
        <v>9.7440790019803123E-7</v>
      </c>
      <c r="AD106" s="433">
        <f t="shared" si="9"/>
        <v>1.0670013135791511E-6</v>
      </c>
      <c r="AE106" s="433">
        <f t="shared" si="9"/>
        <v>1.1630521332887881E-6</v>
      </c>
      <c r="AF106" s="433">
        <f t="shared" si="9"/>
        <v>1.261290134713085E-6</v>
      </c>
      <c r="AG106" s="433">
        <f t="shared" si="9"/>
        <v>1.3659550986162041E-6</v>
      </c>
      <c r="AH106" s="433">
        <f t="shared" si="9"/>
        <v>1.4755733918879199E-6</v>
      </c>
      <c r="AI106" s="433">
        <f t="shared" si="9"/>
        <v>1.5902747935584759E-6</v>
      </c>
      <c r="AJ106" s="433">
        <f t="shared" si="9"/>
        <v>1.668144611637901E-6</v>
      </c>
      <c r="AK106" s="433">
        <f t="shared" si="9"/>
        <v>1.7298704460152931E-6</v>
      </c>
      <c r="AL106" s="433">
        <f t="shared" si="9"/>
        <v>1.785639279141623E-6</v>
      </c>
      <c r="AM106" s="433"/>
    </row>
    <row r="107" spans="1:39" ht="15.75" customHeight="1" x14ac:dyDescent="0.25">
      <c r="A107" s="194"/>
      <c r="B107" s="194" t="str">
        <f t="shared" ref="B107:D107" si="10">B17</f>
        <v>Foam blowing agents</v>
      </c>
      <c r="C107" s="194" t="str">
        <f t="shared" si="10"/>
        <v>CO2</v>
      </c>
      <c r="D107" s="194" t="str">
        <f t="shared" si="10"/>
        <v>Carbon Dioxide</v>
      </c>
      <c r="E107" s="434">
        <f t="shared" si="8"/>
        <v>1</v>
      </c>
      <c r="F107" s="433">
        <f t="shared" ref="F107:AL107" si="11">F17*$E107</f>
        <v>2.6131014791080082E-7</v>
      </c>
      <c r="G107" s="433">
        <f t="shared" si="11"/>
        <v>4.1898124909234098E-7</v>
      </c>
      <c r="H107" s="433">
        <f t="shared" si="11"/>
        <v>5.8111866987456702E-7</v>
      </c>
      <c r="I107" s="433">
        <f t="shared" si="11"/>
        <v>7.4840461171582204E-7</v>
      </c>
      <c r="J107" s="433">
        <f t="shared" si="11"/>
        <v>9.2201719908830302E-7</v>
      </c>
      <c r="K107" s="433">
        <f t="shared" si="11"/>
        <v>2.3052706395561522E-6</v>
      </c>
      <c r="L107" s="433">
        <f t="shared" si="11"/>
        <v>4.4136082214367739E-6</v>
      </c>
      <c r="M107" s="433">
        <f t="shared" si="11"/>
        <v>6.5946290152229707E-6</v>
      </c>
      <c r="N107" s="433">
        <f t="shared" si="11"/>
        <v>8.8466612984224004E-6</v>
      </c>
      <c r="O107" s="433">
        <f t="shared" si="11"/>
        <v>1.147830442458914E-5</v>
      </c>
      <c r="P107" s="433">
        <f t="shared" si="11"/>
        <v>1.2507147924218111E-5</v>
      </c>
      <c r="Q107" s="433">
        <f t="shared" si="11"/>
        <v>1.314530607109544E-5</v>
      </c>
      <c r="R107" s="433">
        <f t="shared" si="11"/>
        <v>1.713973749358667E-5</v>
      </c>
      <c r="S107" s="433">
        <f t="shared" si="11"/>
        <v>2.1744247344928299E-5</v>
      </c>
      <c r="T107" s="433">
        <f t="shared" si="11"/>
        <v>2.306901239073155E-5</v>
      </c>
      <c r="U107" s="433">
        <f t="shared" si="11"/>
        <v>2.4384035920381919E-5</v>
      </c>
      <c r="V107" s="433">
        <f t="shared" si="11"/>
        <v>2.5685308896897321E-5</v>
      </c>
      <c r="W107" s="433">
        <f t="shared" si="11"/>
        <v>2.69879996666842E-5</v>
      </c>
      <c r="X107" s="433">
        <f t="shared" si="11"/>
        <v>2.8364564007057459E-5</v>
      </c>
      <c r="Y107" s="433">
        <f t="shared" si="11"/>
        <v>3.1166396877940423E-5</v>
      </c>
      <c r="Z107" s="433">
        <f t="shared" si="11"/>
        <v>3.4618545587236393E-5</v>
      </c>
      <c r="AA107" s="433">
        <f t="shared" si="11"/>
        <v>3.6918482212532093E-5</v>
      </c>
      <c r="AB107" s="433">
        <f t="shared" si="11"/>
        <v>3.867669343107176E-5</v>
      </c>
      <c r="AC107" s="433">
        <f t="shared" si="11"/>
        <v>4.0727676739808633E-5</v>
      </c>
      <c r="AD107" s="433">
        <f t="shared" si="11"/>
        <v>4.3031867101066257E-5</v>
      </c>
      <c r="AE107" s="433">
        <f t="shared" si="11"/>
        <v>4.5313001867797073E-5</v>
      </c>
      <c r="AF107" s="433">
        <f t="shared" si="11"/>
        <v>4.8376348474465388E-5</v>
      </c>
      <c r="AG107" s="433">
        <f t="shared" si="11"/>
        <v>5.1409482806971542E-5</v>
      </c>
      <c r="AH107" s="433">
        <f t="shared" si="11"/>
        <v>5.50670128350142E-5</v>
      </c>
      <c r="AI107" s="433">
        <f t="shared" si="11"/>
        <v>5.8640584864915532E-5</v>
      </c>
      <c r="AJ107" s="433">
        <f t="shared" si="11"/>
        <v>6.3052900975069188E-5</v>
      </c>
      <c r="AK107" s="433">
        <f t="shared" si="11"/>
        <v>6.6892769382864136E-5</v>
      </c>
      <c r="AL107" s="433">
        <f t="shared" si="11"/>
        <v>7.0764145343318397E-5</v>
      </c>
      <c r="AM107" s="433"/>
    </row>
    <row r="108" spans="1:39" ht="15.75" customHeight="1" x14ac:dyDescent="0.25">
      <c r="A108" s="194"/>
      <c r="B108" s="194" t="str">
        <f t="shared" ref="B108:D108" si="12">B18</f>
        <v>Refrigeration and air-conditioning</v>
      </c>
      <c r="C108" s="194" t="str">
        <f t="shared" si="12"/>
        <v>CO2</v>
      </c>
      <c r="D108" s="194" t="str">
        <f t="shared" si="12"/>
        <v>Carbon Dioxide</v>
      </c>
      <c r="E108" s="434">
        <f t="shared" si="8"/>
        <v>1</v>
      </c>
      <c r="F108" s="433">
        <f t="shared" ref="F108:AL108" si="13">F18*$E108</f>
        <v>0</v>
      </c>
      <c r="G108" s="433">
        <f t="shared" si="13"/>
        <v>0</v>
      </c>
      <c r="H108" s="433">
        <f t="shared" si="13"/>
        <v>0</v>
      </c>
      <c r="I108" s="433">
        <f t="shared" si="13"/>
        <v>0</v>
      </c>
      <c r="J108" s="433">
        <f t="shared" si="13"/>
        <v>0</v>
      </c>
      <c r="K108" s="433">
        <f t="shared" si="13"/>
        <v>0</v>
      </c>
      <c r="L108" s="433">
        <f t="shared" si="13"/>
        <v>0</v>
      </c>
      <c r="M108" s="433">
        <f t="shared" si="13"/>
        <v>0</v>
      </c>
      <c r="N108" s="433">
        <f t="shared" si="13"/>
        <v>0</v>
      </c>
      <c r="O108" s="433">
        <f t="shared" si="13"/>
        <v>0</v>
      </c>
      <c r="P108" s="433">
        <f t="shared" si="13"/>
        <v>0</v>
      </c>
      <c r="Q108" s="433">
        <f t="shared" si="13"/>
        <v>0</v>
      </c>
      <c r="R108" s="433">
        <f t="shared" si="13"/>
        <v>0</v>
      </c>
      <c r="S108" s="433">
        <f t="shared" si="13"/>
        <v>0</v>
      </c>
      <c r="T108" s="433">
        <f t="shared" si="13"/>
        <v>0</v>
      </c>
      <c r="U108" s="433">
        <f t="shared" si="13"/>
        <v>0</v>
      </c>
      <c r="V108" s="433">
        <f t="shared" si="13"/>
        <v>0</v>
      </c>
      <c r="W108" s="433">
        <f t="shared" si="13"/>
        <v>0</v>
      </c>
      <c r="X108" s="433">
        <f t="shared" si="13"/>
        <v>0</v>
      </c>
      <c r="Y108" s="433">
        <f t="shared" si="13"/>
        <v>0</v>
      </c>
      <c r="Z108" s="433">
        <f t="shared" si="13"/>
        <v>0</v>
      </c>
      <c r="AA108" s="433">
        <f t="shared" si="13"/>
        <v>0</v>
      </c>
      <c r="AB108" s="433">
        <f t="shared" si="13"/>
        <v>3.70462863680154E-10</v>
      </c>
      <c r="AC108" s="433">
        <f t="shared" si="13"/>
        <v>1.1108583319757149E-9</v>
      </c>
      <c r="AD108" s="433">
        <f t="shared" si="13"/>
        <v>1.2944556663871841E-9</v>
      </c>
      <c r="AE108" s="433">
        <f t="shared" si="13"/>
        <v>2.3984260362871581E-9</v>
      </c>
      <c r="AF108" s="433">
        <f t="shared" si="13"/>
        <v>2.940498638410223E-9</v>
      </c>
      <c r="AG108" s="433">
        <f t="shared" si="13"/>
        <v>6.4163774596117491E-9</v>
      </c>
      <c r="AH108" s="433">
        <f t="shared" si="13"/>
        <v>1.353233746433338E-8</v>
      </c>
      <c r="AI108" s="433">
        <f t="shared" si="13"/>
        <v>2.4263685619281551E-8</v>
      </c>
      <c r="AJ108" s="433">
        <f t="shared" si="13"/>
        <v>3.9230959730470671E-8</v>
      </c>
      <c r="AK108" s="433">
        <f t="shared" si="13"/>
        <v>5.8312306612808159E-8</v>
      </c>
      <c r="AL108" s="433">
        <f t="shared" si="13"/>
        <v>8.8385301478315641E-8</v>
      </c>
      <c r="AM108" s="433"/>
    </row>
    <row r="109" spans="1:39" ht="15.75" customHeight="1" x14ac:dyDescent="0.25">
      <c r="A109" s="194"/>
      <c r="B109" s="194" t="str">
        <f t="shared" ref="B109:D109" si="14">B19</f>
        <v>Fire protection</v>
      </c>
      <c r="C109" s="194" t="str">
        <f t="shared" si="14"/>
        <v>HFC</v>
      </c>
      <c r="D109" s="194" t="str">
        <f t="shared" si="14"/>
        <v>HFC-125</v>
      </c>
      <c r="E109" s="434">
        <f t="shared" si="8"/>
        <v>1.1798107255520505</v>
      </c>
      <c r="F109" s="433">
        <f t="shared" ref="F109:AL109" si="15">F19*$E109</f>
        <v>0</v>
      </c>
      <c r="G109" s="433">
        <f t="shared" si="15"/>
        <v>0</v>
      </c>
      <c r="H109" s="433">
        <f t="shared" si="15"/>
        <v>0</v>
      </c>
      <c r="I109" s="433">
        <f t="shared" si="15"/>
        <v>0</v>
      </c>
      <c r="J109" s="433">
        <f t="shared" si="15"/>
        <v>0</v>
      </c>
      <c r="K109" s="433">
        <f t="shared" si="15"/>
        <v>0</v>
      </c>
      <c r="L109" s="433">
        <f t="shared" si="15"/>
        <v>0</v>
      </c>
      <c r="M109" s="433">
        <f t="shared" si="15"/>
        <v>3.1946475215990909E-5</v>
      </c>
      <c r="N109" s="433">
        <f t="shared" si="15"/>
        <v>1.0256277632816709E-4</v>
      </c>
      <c r="O109" s="433">
        <f t="shared" si="15"/>
        <v>2.1980350749576158E-4</v>
      </c>
      <c r="P109" s="433">
        <f t="shared" si="15"/>
        <v>3.689686700700279E-4</v>
      </c>
      <c r="Q109" s="433">
        <f t="shared" si="15"/>
        <v>6.1330304098628375E-4</v>
      </c>
      <c r="R109" s="433">
        <f t="shared" si="15"/>
        <v>9.4595753497824149E-4</v>
      </c>
      <c r="S109" s="433">
        <f t="shared" si="15"/>
        <v>1.2782788799378239E-3</v>
      </c>
      <c r="T109" s="433">
        <f t="shared" si="15"/>
        <v>1.6446397897477325E-3</v>
      </c>
      <c r="U109" s="433">
        <f t="shared" si="15"/>
        <v>2.0443412015534318E-3</v>
      </c>
      <c r="V109" s="433">
        <f t="shared" si="15"/>
        <v>2.4719816496919138E-3</v>
      </c>
      <c r="W109" s="433">
        <f t="shared" si="15"/>
        <v>2.8927142775995217E-3</v>
      </c>
      <c r="X109" s="433">
        <f t="shared" si="15"/>
        <v>3.3066961149637798E-3</v>
      </c>
      <c r="Y109" s="433">
        <f t="shared" si="15"/>
        <v>3.0234678387744871E-3</v>
      </c>
      <c r="Z109" s="433">
        <f t="shared" si="15"/>
        <v>3.2472877167047721E-3</v>
      </c>
      <c r="AA109" s="433">
        <f t="shared" si="15"/>
        <v>3.8094184019628855E-3</v>
      </c>
      <c r="AB109" s="433">
        <f t="shared" si="15"/>
        <v>4.5121827611430592E-3</v>
      </c>
      <c r="AC109" s="433">
        <f t="shared" si="15"/>
        <v>5.0381896362217985E-3</v>
      </c>
      <c r="AD109" s="433">
        <f t="shared" si="15"/>
        <v>6.3127759146439462E-3</v>
      </c>
      <c r="AE109" s="433">
        <f t="shared" si="15"/>
        <v>6.1830728068949983E-3</v>
      </c>
      <c r="AF109" s="433">
        <f t="shared" si="15"/>
        <v>7.2826676975026637E-3</v>
      </c>
      <c r="AG109" s="433">
        <f t="shared" si="15"/>
        <v>6.5296994317880349E-3</v>
      </c>
      <c r="AH109" s="433">
        <f t="shared" si="15"/>
        <v>7.6412923002471657E-3</v>
      </c>
      <c r="AI109" s="433">
        <f t="shared" si="15"/>
        <v>7.2208612126688264E-3</v>
      </c>
      <c r="AJ109" s="433">
        <f t="shared" si="15"/>
        <v>8.2554155661532357E-3</v>
      </c>
      <c r="AK109" s="433">
        <f t="shared" si="15"/>
        <v>8.5682922965910398E-3</v>
      </c>
      <c r="AL109" s="433">
        <f t="shared" si="15"/>
        <v>8.8775184477080122E-3</v>
      </c>
      <c r="AM109" s="433"/>
    </row>
    <row r="110" spans="1:39" ht="15.75" customHeight="1" x14ac:dyDescent="0.25">
      <c r="A110" s="194"/>
      <c r="B110" s="194" t="str">
        <f t="shared" ref="B110:D110" si="16">B20</f>
        <v>Refrigeration and air-conditioning</v>
      </c>
      <c r="C110" s="194" t="str">
        <f t="shared" si="16"/>
        <v>HFC</v>
      </c>
      <c r="D110" s="194" t="str">
        <f t="shared" si="16"/>
        <v>HFC-125</v>
      </c>
      <c r="E110" s="434">
        <f t="shared" si="8"/>
        <v>1.1798107255520505</v>
      </c>
      <c r="F110" s="433">
        <f t="shared" ref="F110:AL110" si="17">F20*$E110</f>
        <v>2.4576398438319589E-6</v>
      </c>
      <c r="G110" s="433">
        <f t="shared" si="17"/>
        <v>6.0536431158403157E-6</v>
      </c>
      <c r="H110" s="433">
        <f t="shared" si="17"/>
        <v>1.1606811852281037E-5</v>
      </c>
      <c r="I110" s="433">
        <f t="shared" si="17"/>
        <v>2.1617437682942917E-3</v>
      </c>
      <c r="J110" s="433">
        <f t="shared" si="17"/>
        <v>5.7490643797077764E-3</v>
      </c>
      <c r="K110" s="433">
        <f t="shared" si="17"/>
        <v>1.2184976515315473E-2</v>
      </c>
      <c r="L110" s="433">
        <f t="shared" si="17"/>
        <v>2.0740879790053592E-2</v>
      </c>
      <c r="M110" s="433">
        <f t="shared" si="17"/>
        <v>3.2014457315250537E-2</v>
      </c>
      <c r="N110" s="433">
        <f t="shared" si="17"/>
        <v>4.1861990735237067E-2</v>
      </c>
      <c r="O110" s="433">
        <f t="shared" si="17"/>
        <v>5.4787804523189224E-2</v>
      </c>
      <c r="P110" s="433">
        <f t="shared" si="17"/>
        <v>6.5479250801520353E-2</v>
      </c>
      <c r="Q110" s="433">
        <f t="shared" si="17"/>
        <v>7.9670894655079857E-2</v>
      </c>
      <c r="R110" s="433">
        <f t="shared" si="17"/>
        <v>9.6705532779341324E-2</v>
      </c>
      <c r="S110" s="433">
        <f t="shared" si="17"/>
        <v>0.11542430003295015</v>
      </c>
      <c r="T110" s="433">
        <f t="shared" si="17"/>
        <v>0.13470181776690462</v>
      </c>
      <c r="U110" s="433">
        <f t="shared" si="17"/>
        <v>0.16934307250523503</v>
      </c>
      <c r="V110" s="433">
        <f t="shared" si="17"/>
        <v>0.21350795683054402</v>
      </c>
      <c r="W110" s="433">
        <f t="shared" si="17"/>
        <v>0.27051794842263538</v>
      </c>
      <c r="X110" s="433">
        <f t="shared" si="17"/>
        <v>0.33164669379912121</v>
      </c>
      <c r="Y110" s="433">
        <f t="shared" si="17"/>
        <v>0.32567146380175138</v>
      </c>
      <c r="Z110" s="433">
        <f t="shared" si="17"/>
        <v>0.37677464741556727</v>
      </c>
      <c r="AA110" s="433">
        <f t="shared" si="17"/>
        <v>0.46506681346363399</v>
      </c>
      <c r="AB110" s="433">
        <f t="shared" si="17"/>
        <v>0.56725215748617275</v>
      </c>
      <c r="AC110" s="433">
        <f t="shared" si="17"/>
        <v>0.6498209991017293</v>
      </c>
      <c r="AD110" s="433">
        <f t="shared" si="17"/>
        <v>0.83019459651631533</v>
      </c>
      <c r="AE110" s="433">
        <f t="shared" si="17"/>
        <v>0.82291558563957479</v>
      </c>
      <c r="AF110" s="433">
        <f t="shared" si="17"/>
        <v>0.98312321346849263</v>
      </c>
      <c r="AG110" s="433">
        <f t="shared" si="17"/>
        <v>0.8866544398575833</v>
      </c>
      <c r="AH110" s="433">
        <f t="shared" si="17"/>
        <v>1.0506353564364066</v>
      </c>
      <c r="AI110" s="433">
        <f t="shared" si="17"/>
        <v>1.0230481503270705</v>
      </c>
      <c r="AJ110" s="433">
        <f t="shared" si="17"/>
        <v>1.2291436637554276</v>
      </c>
      <c r="AK110" s="433">
        <f t="shared" si="17"/>
        <v>1.4133724253832689</v>
      </c>
      <c r="AL110" s="433">
        <f t="shared" si="17"/>
        <v>1.5369948658044745</v>
      </c>
      <c r="AM110" s="433"/>
    </row>
    <row r="111" spans="1:39" ht="15.75" customHeight="1" x14ac:dyDescent="0.25">
      <c r="A111" s="194"/>
      <c r="B111" s="194" t="str">
        <f t="shared" ref="B111:D111" si="18">B21</f>
        <v>Foam blowing agents</v>
      </c>
      <c r="C111" s="194" t="str">
        <f t="shared" si="18"/>
        <v>HFC</v>
      </c>
      <c r="D111" s="194" t="str">
        <f t="shared" si="18"/>
        <v>HFC-134a</v>
      </c>
      <c r="E111" s="434">
        <f t="shared" si="8"/>
        <v>1.176923076923077</v>
      </c>
      <c r="F111" s="433">
        <f t="shared" ref="F111:AL111" si="19">F21*$E111</f>
        <v>0</v>
      </c>
      <c r="G111" s="433">
        <f t="shared" si="19"/>
        <v>0</v>
      </c>
      <c r="H111" s="433">
        <f t="shared" si="19"/>
        <v>0</v>
      </c>
      <c r="I111" s="433">
        <f t="shared" si="19"/>
        <v>0</v>
      </c>
      <c r="J111" s="433">
        <f t="shared" si="19"/>
        <v>0</v>
      </c>
      <c r="K111" s="433">
        <f t="shared" si="19"/>
        <v>0</v>
      </c>
      <c r="L111" s="433">
        <f t="shared" si="19"/>
        <v>5.5413083579094037E-4</v>
      </c>
      <c r="M111" s="433">
        <f t="shared" si="19"/>
        <v>1.1463061570884396E-3</v>
      </c>
      <c r="N111" s="433">
        <f t="shared" si="19"/>
        <v>1.7856720966977861E-3</v>
      </c>
      <c r="O111" s="433">
        <f t="shared" si="19"/>
        <v>2.4586457562872912E-3</v>
      </c>
      <c r="P111" s="433">
        <f t="shared" si="19"/>
        <v>2.6595206133257373E-3</v>
      </c>
      <c r="Q111" s="433">
        <f t="shared" si="19"/>
        <v>2.8833806575471912E-3</v>
      </c>
      <c r="R111" s="433">
        <f t="shared" si="19"/>
        <v>1.1383121145561432E-2</v>
      </c>
      <c r="S111" s="433">
        <f t="shared" si="19"/>
        <v>2.1169450698678951E-2</v>
      </c>
      <c r="T111" s="433">
        <f t="shared" si="19"/>
        <v>2.3594539016459543E-2</v>
      </c>
      <c r="U111" s="433">
        <f t="shared" si="19"/>
        <v>2.6123064583799201E-2</v>
      </c>
      <c r="V111" s="433">
        <f t="shared" si="19"/>
        <v>2.868406791079426E-2</v>
      </c>
      <c r="W111" s="433">
        <f t="shared" si="19"/>
        <v>3.1332706697841356E-2</v>
      </c>
      <c r="X111" s="433">
        <f t="shared" si="19"/>
        <v>3.3929620508746872E-2</v>
      </c>
      <c r="Y111" s="433">
        <f t="shared" si="19"/>
        <v>5.8632859087559601E-2</v>
      </c>
      <c r="Z111" s="433">
        <f t="shared" si="19"/>
        <v>7.5932793843495647E-2</v>
      </c>
      <c r="AA111" s="433">
        <f t="shared" si="19"/>
        <v>8.2295308440702791E-2</v>
      </c>
      <c r="AB111" s="433">
        <f t="shared" si="19"/>
        <v>8.8848648400616528E-2</v>
      </c>
      <c r="AC111" s="433">
        <f t="shared" si="19"/>
        <v>0.12111814047733678</v>
      </c>
      <c r="AD111" s="433">
        <f t="shared" si="19"/>
        <v>0.14807868128829121</v>
      </c>
      <c r="AE111" s="433">
        <f t="shared" si="19"/>
        <v>0.14880304640774927</v>
      </c>
      <c r="AF111" s="433">
        <f t="shared" si="19"/>
        <v>0.14405920408081418</v>
      </c>
      <c r="AG111" s="433">
        <f t="shared" si="19"/>
        <v>0.12572341854477573</v>
      </c>
      <c r="AH111" s="433">
        <f t="shared" si="19"/>
        <v>0.14144205184399314</v>
      </c>
      <c r="AI111" s="433">
        <f t="shared" si="19"/>
        <v>0.13802719045858713</v>
      </c>
      <c r="AJ111" s="433">
        <f t="shared" si="19"/>
        <v>0.15151520143622044</v>
      </c>
      <c r="AK111" s="433">
        <f t="shared" si="19"/>
        <v>8.0621003838466834E-2</v>
      </c>
      <c r="AL111" s="433">
        <f t="shared" si="19"/>
        <v>8.6085049930413271E-2</v>
      </c>
      <c r="AM111" s="433"/>
    </row>
    <row r="112" spans="1:39" ht="15.75" customHeight="1" x14ac:dyDescent="0.25">
      <c r="A112" s="194"/>
      <c r="B112" s="194" t="str">
        <f t="shared" ref="B112:D112" si="20">B22</f>
        <v>Metered does inhalers</v>
      </c>
      <c r="C112" s="194" t="str">
        <f t="shared" si="20"/>
        <v>HFC</v>
      </c>
      <c r="D112" s="194" t="str">
        <f t="shared" si="20"/>
        <v>HFC-134a</v>
      </c>
      <c r="E112" s="434">
        <f t="shared" si="8"/>
        <v>1.176923076923077</v>
      </c>
      <c r="F112" s="433">
        <f t="shared" ref="F112:AL112" si="21">F22*$E112</f>
        <v>0</v>
      </c>
      <c r="G112" s="433">
        <f t="shared" si="21"/>
        <v>0</v>
      </c>
      <c r="H112" s="433">
        <f t="shared" si="21"/>
        <v>0</v>
      </c>
      <c r="I112" s="433">
        <f t="shared" si="21"/>
        <v>0</v>
      </c>
      <c r="J112" s="433">
        <f t="shared" si="21"/>
        <v>0</v>
      </c>
      <c r="K112" s="433">
        <f t="shared" si="21"/>
        <v>0</v>
      </c>
      <c r="L112" s="433">
        <f t="shared" si="21"/>
        <v>0</v>
      </c>
      <c r="M112" s="433">
        <f t="shared" si="21"/>
        <v>3.7939036037830295E-4</v>
      </c>
      <c r="N112" s="433">
        <f t="shared" si="21"/>
        <v>7.6818525378716414E-4</v>
      </c>
      <c r="O112" s="433">
        <f t="shared" si="21"/>
        <v>1.1657179727994503E-3</v>
      </c>
      <c r="P112" s="433">
        <f t="shared" si="21"/>
        <v>1.6142289629450435E-3</v>
      </c>
      <c r="Q112" s="433">
        <f t="shared" si="21"/>
        <v>3.6916787697975021E-3</v>
      </c>
      <c r="R112" s="433">
        <f t="shared" si="21"/>
        <v>5.8348546621775797E-3</v>
      </c>
      <c r="S112" s="433">
        <f t="shared" si="21"/>
        <v>8.03130355318501E-3</v>
      </c>
      <c r="T112" s="433">
        <f t="shared" si="21"/>
        <v>1.0296011981757487E-2</v>
      </c>
      <c r="U112" s="433">
        <f t="shared" si="21"/>
        <v>1.2626404141386645E-2</v>
      </c>
      <c r="V112" s="433">
        <f t="shared" si="21"/>
        <v>1.4994885263995329E-2</v>
      </c>
      <c r="W112" s="433">
        <f t="shared" si="21"/>
        <v>1.7386181158705091E-2</v>
      </c>
      <c r="X112" s="433">
        <f t="shared" si="21"/>
        <v>1.9365760686055535E-2</v>
      </c>
      <c r="Y112" s="433">
        <f t="shared" si="21"/>
        <v>2.1026160489749233E-2</v>
      </c>
      <c r="Z112" s="433">
        <f t="shared" si="21"/>
        <v>2.0054753069219337E-2</v>
      </c>
      <c r="AA112" s="433">
        <f t="shared" si="21"/>
        <v>2.1853456597257698E-2</v>
      </c>
      <c r="AB112" s="433">
        <f t="shared" si="21"/>
        <v>2.0501595810925019E-2</v>
      </c>
      <c r="AC112" s="433">
        <f t="shared" si="21"/>
        <v>2.4035971371955862E-2</v>
      </c>
      <c r="AD112" s="433">
        <f t="shared" si="21"/>
        <v>2.5064126442639573E-2</v>
      </c>
      <c r="AE112" s="433">
        <f t="shared" si="21"/>
        <v>2.1169957981648575E-2</v>
      </c>
      <c r="AF112" s="433">
        <f t="shared" si="21"/>
        <v>2.4705781188753502E-2</v>
      </c>
      <c r="AG112" s="433">
        <f t="shared" si="21"/>
        <v>2.6091015144450155E-2</v>
      </c>
      <c r="AH112" s="433">
        <f t="shared" si="21"/>
        <v>3.3694504212722486E-2</v>
      </c>
      <c r="AI112" s="433">
        <f t="shared" si="21"/>
        <v>3.3185100647580561E-2</v>
      </c>
      <c r="AJ112" s="433">
        <f t="shared" si="21"/>
        <v>3.7574578334229308E-2</v>
      </c>
      <c r="AK112" s="433">
        <f t="shared" si="21"/>
        <v>3.8179502919196036E-2</v>
      </c>
      <c r="AL112" s="433">
        <f t="shared" si="21"/>
        <v>2.3250553548915028E-2</v>
      </c>
      <c r="AM112" s="433"/>
    </row>
    <row r="113" spans="1:39" ht="15.75" customHeight="1" x14ac:dyDescent="0.25">
      <c r="A113" s="194"/>
      <c r="B113" s="194" t="str">
        <f t="shared" ref="B113:D113" si="22">B23</f>
        <v>Other Aerosols</v>
      </c>
      <c r="C113" s="194" t="str">
        <f t="shared" si="22"/>
        <v>HFC</v>
      </c>
      <c r="D113" s="194" t="str">
        <f t="shared" si="22"/>
        <v>HFC-134a</v>
      </c>
      <c r="E113" s="434">
        <f t="shared" si="8"/>
        <v>1.176923076923077</v>
      </c>
      <c r="F113" s="433">
        <f t="shared" ref="F113:AL113" si="23">F23*$E113</f>
        <v>0</v>
      </c>
      <c r="G113" s="433">
        <f t="shared" si="23"/>
        <v>0</v>
      </c>
      <c r="H113" s="433">
        <f t="shared" si="23"/>
        <v>0</v>
      </c>
      <c r="I113" s="433">
        <f t="shared" si="23"/>
        <v>0</v>
      </c>
      <c r="J113" s="433">
        <f t="shared" si="23"/>
        <v>1.4392277641115362E-2</v>
      </c>
      <c r="K113" s="433">
        <f t="shared" si="23"/>
        <v>0.15532565849276692</v>
      </c>
      <c r="L113" s="433">
        <f t="shared" si="23"/>
        <v>0.17915889959888123</v>
      </c>
      <c r="M113" s="433">
        <f t="shared" si="23"/>
        <v>0.19316540637696528</v>
      </c>
      <c r="N113" s="433">
        <f t="shared" si="23"/>
        <v>0.19302868042297985</v>
      </c>
      <c r="O113" s="433">
        <f t="shared" si="23"/>
        <v>0.19906500377413058</v>
      </c>
      <c r="P113" s="433">
        <f t="shared" si="23"/>
        <v>0.20217135137391629</v>
      </c>
      <c r="Q113" s="433">
        <f t="shared" si="23"/>
        <v>0.19213656787701691</v>
      </c>
      <c r="R113" s="433">
        <f t="shared" si="23"/>
        <v>0.18047922066590463</v>
      </c>
      <c r="S113" s="433">
        <f t="shared" si="23"/>
        <v>0.16830407734801775</v>
      </c>
      <c r="T113" s="433">
        <f t="shared" si="23"/>
        <v>0.15452631536444547</v>
      </c>
      <c r="U113" s="433">
        <f t="shared" si="23"/>
        <v>0.14029628361986682</v>
      </c>
      <c r="V113" s="433">
        <f t="shared" si="23"/>
        <v>0.15158670091208537</v>
      </c>
      <c r="W113" s="433">
        <f t="shared" si="23"/>
        <v>0.16404220354761878</v>
      </c>
      <c r="X113" s="433">
        <f t="shared" si="23"/>
        <v>0.17524568368641044</v>
      </c>
      <c r="Y113" s="433">
        <f t="shared" si="23"/>
        <v>0.19448558037881478</v>
      </c>
      <c r="Z113" s="433">
        <f t="shared" si="23"/>
        <v>0.18974199745809506</v>
      </c>
      <c r="AA113" s="433">
        <f t="shared" si="23"/>
        <v>0.20293791367416175</v>
      </c>
      <c r="AB113" s="433">
        <f t="shared" si="23"/>
        <v>0.21486612602467289</v>
      </c>
      <c r="AC113" s="433">
        <f t="shared" si="23"/>
        <v>0.28523314183452703</v>
      </c>
      <c r="AD113" s="433">
        <f t="shared" si="23"/>
        <v>0.33811556758831701</v>
      </c>
      <c r="AE113" s="433">
        <f t="shared" si="23"/>
        <v>0.32963722721891409</v>
      </c>
      <c r="AF113" s="433">
        <f t="shared" si="23"/>
        <v>0.27805089190582316</v>
      </c>
      <c r="AG113" s="433">
        <f t="shared" si="23"/>
        <v>0.21810526253959236</v>
      </c>
      <c r="AH113" s="433">
        <f t="shared" si="23"/>
        <v>0.2108220696276798</v>
      </c>
      <c r="AI113" s="433">
        <f t="shared" si="23"/>
        <v>0.20894778493336813</v>
      </c>
      <c r="AJ113" s="433">
        <f t="shared" si="23"/>
        <v>0.23808142435939184</v>
      </c>
      <c r="AK113" s="433">
        <f t="shared" si="23"/>
        <v>0.24344458357402818</v>
      </c>
      <c r="AL113" s="433">
        <f t="shared" si="23"/>
        <v>0.24861246121430072</v>
      </c>
      <c r="AM113" s="433"/>
    </row>
    <row r="114" spans="1:39" ht="15.75" customHeight="1" x14ac:dyDescent="0.25">
      <c r="A114" s="194"/>
      <c r="B114" s="194" t="str">
        <f t="shared" ref="B114:D114" si="24">B24</f>
        <v>Refrigeration and air-conditioning</v>
      </c>
      <c r="C114" s="194" t="str">
        <f t="shared" si="24"/>
        <v>HFC</v>
      </c>
      <c r="D114" s="194" t="str">
        <f t="shared" si="24"/>
        <v>HFC-134a</v>
      </c>
      <c r="E114" s="434">
        <f t="shared" si="8"/>
        <v>1.176923076923077</v>
      </c>
      <c r="F114" s="433">
        <f t="shared" ref="F114:AL114" si="25">F24*$E114</f>
        <v>8.6202583729934789E-8</v>
      </c>
      <c r="G114" s="433">
        <f t="shared" si="25"/>
        <v>2.1233366592507473E-7</v>
      </c>
      <c r="H114" s="433">
        <f t="shared" si="25"/>
        <v>2.0367205085037522E-2</v>
      </c>
      <c r="I114" s="433">
        <f t="shared" si="25"/>
        <v>8.8181790900263457E-2</v>
      </c>
      <c r="J114" s="433">
        <f t="shared" si="25"/>
        <v>0.21436911971480538</v>
      </c>
      <c r="K114" s="433">
        <f t="shared" si="25"/>
        <v>0.3394997679168319</v>
      </c>
      <c r="L114" s="433">
        <f t="shared" si="25"/>
        <v>0.49204988800476218</v>
      </c>
      <c r="M114" s="433">
        <f t="shared" si="25"/>
        <v>0.65106029740601701</v>
      </c>
      <c r="N114" s="433">
        <f t="shared" si="25"/>
        <v>0.76405529843479858</v>
      </c>
      <c r="O114" s="433">
        <f t="shared" si="25"/>
        <v>0.87820213530029922</v>
      </c>
      <c r="P114" s="433">
        <f t="shared" si="25"/>
        <v>0.98682787364386038</v>
      </c>
      <c r="Q114" s="433">
        <f t="shared" si="25"/>
        <v>1.0958117564988985</v>
      </c>
      <c r="R114" s="433">
        <f t="shared" si="25"/>
        <v>1.1475923262544248</v>
      </c>
      <c r="S114" s="433">
        <f t="shared" si="25"/>
        <v>1.1857539332921667</v>
      </c>
      <c r="T114" s="433">
        <f t="shared" si="25"/>
        <v>1.2283436353150234</v>
      </c>
      <c r="U114" s="433">
        <f t="shared" si="25"/>
        <v>1.2567529893196552</v>
      </c>
      <c r="V114" s="433">
        <f t="shared" si="25"/>
        <v>1.281985385227044</v>
      </c>
      <c r="W114" s="433">
        <f t="shared" si="25"/>
        <v>1.3014139289830522</v>
      </c>
      <c r="X114" s="433">
        <f t="shared" si="25"/>
        <v>1.3279400901108758</v>
      </c>
      <c r="Y114" s="433">
        <f t="shared" si="25"/>
        <v>1.3052967957333248</v>
      </c>
      <c r="Z114" s="433">
        <f t="shared" si="25"/>
        <v>1.0921574174323545</v>
      </c>
      <c r="AA114" s="433">
        <f t="shared" si="25"/>
        <v>1.0092036858033848</v>
      </c>
      <c r="AB114" s="433">
        <f t="shared" si="25"/>
        <v>0.93219382101798121</v>
      </c>
      <c r="AC114" s="433">
        <f t="shared" si="25"/>
        <v>1.0705183524784045</v>
      </c>
      <c r="AD114" s="433">
        <f t="shared" si="25"/>
        <v>1.1529505979471093</v>
      </c>
      <c r="AE114" s="433">
        <f t="shared" si="25"/>
        <v>1.029395761505185</v>
      </c>
      <c r="AF114" s="433">
        <f t="shared" si="25"/>
        <v>0.90630826307732093</v>
      </c>
      <c r="AG114" s="433">
        <f t="shared" si="25"/>
        <v>0.74133225938971381</v>
      </c>
      <c r="AH114" s="433">
        <f t="shared" si="25"/>
        <v>0.78925069301974504</v>
      </c>
      <c r="AI114" s="433">
        <f t="shared" si="25"/>
        <v>0.73911814735464931</v>
      </c>
      <c r="AJ114" s="433">
        <f t="shared" si="25"/>
        <v>0.79469839906395301</v>
      </c>
      <c r="AK114" s="433">
        <f t="shared" si="25"/>
        <v>0.77010381503740766</v>
      </c>
      <c r="AL114" s="433">
        <f t="shared" si="25"/>
        <v>0.73800505065024258</v>
      </c>
      <c r="AM114" s="433"/>
    </row>
    <row r="115" spans="1:39" ht="15.75" customHeight="1" x14ac:dyDescent="0.25">
      <c r="A115" s="194"/>
      <c r="B115" s="194" t="str">
        <f t="shared" ref="B115:D115" si="26">B25</f>
        <v>Refrigeration and air-conditioning</v>
      </c>
      <c r="C115" s="194" t="str">
        <f t="shared" si="26"/>
        <v>HFC</v>
      </c>
      <c r="D115" s="194" t="str">
        <f t="shared" si="26"/>
        <v>HFC-143a</v>
      </c>
      <c r="E115" s="434">
        <f t="shared" si="8"/>
        <v>1.2104166666666667</v>
      </c>
      <c r="F115" s="433">
        <f t="shared" ref="F115:AL115" si="27">F25*$E115</f>
        <v>4.5076940923130153E-6</v>
      </c>
      <c r="G115" s="433">
        <f t="shared" si="27"/>
        <v>1.1103323938505679E-5</v>
      </c>
      <c r="H115" s="433">
        <f t="shared" si="27"/>
        <v>2.1288699948621633E-5</v>
      </c>
      <c r="I115" s="433">
        <f t="shared" si="27"/>
        <v>1.5961701598265531E-3</v>
      </c>
      <c r="J115" s="433">
        <f t="shared" si="27"/>
        <v>4.4472267640225226E-3</v>
      </c>
      <c r="K115" s="433">
        <f t="shared" si="27"/>
        <v>1.1107737278983924E-2</v>
      </c>
      <c r="L115" s="433">
        <f t="shared" si="27"/>
        <v>2.0659970010604808E-2</v>
      </c>
      <c r="M115" s="433">
        <f t="shared" si="27"/>
        <v>3.4206585858856019E-2</v>
      </c>
      <c r="N115" s="433">
        <f t="shared" si="27"/>
        <v>4.9596095105295827E-2</v>
      </c>
      <c r="O115" s="433">
        <f t="shared" si="27"/>
        <v>7.082357343129618E-2</v>
      </c>
      <c r="P115" s="433">
        <f t="shared" si="27"/>
        <v>8.733230728730064E-2</v>
      </c>
      <c r="Q115" s="433">
        <f t="shared" si="27"/>
        <v>0.10817501738544939</v>
      </c>
      <c r="R115" s="433">
        <f t="shared" si="27"/>
        <v>0.13167252832941642</v>
      </c>
      <c r="S115" s="433">
        <f t="shared" si="27"/>
        <v>0.15591047969059296</v>
      </c>
      <c r="T115" s="433">
        <f t="shared" si="27"/>
        <v>0.17823636493764719</v>
      </c>
      <c r="U115" s="433">
        <f t="shared" si="27"/>
        <v>0.21575961040070421</v>
      </c>
      <c r="V115" s="433">
        <f t="shared" si="27"/>
        <v>0.25644128740352529</v>
      </c>
      <c r="W115" s="433">
        <f t="shared" si="27"/>
        <v>0.30218145073643815</v>
      </c>
      <c r="X115" s="433">
        <f t="shared" si="27"/>
        <v>0.35409892626905459</v>
      </c>
      <c r="Y115" s="433">
        <f t="shared" si="27"/>
        <v>0.39392619852708727</v>
      </c>
      <c r="Z115" s="433">
        <f t="shared" si="27"/>
        <v>0.40366959468879882</v>
      </c>
      <c r="AA115" s="433">
        <f t="shared" si="27"/>
        <v>0.50097650150941908</v>
      </c>
      <c r="AB115" s="433">
        <f t="shared" si="27"/>
        <v>0.60517065792466496</v>
      </c>
      <c r="AC115" s="433">
        <f t="shared" si="27"/>
        <v>0.68604492864480482</v>
      </c>
      <c r="AD115" s="433">
        <f t="shared" si="27"/>
        <v>0.79081708648338844</v>
      </c>
      <c r="AE115" s="433">
        <f t="shared" si="27"/>
        <v>0.79333137785513586</v>
      </c>
      <c r="AF115" s="433">
        <f t="shared" si="27"/>
        <v>0.81599223360901352</v>
      </c>
      <c r="AG115" s="433">
        <f t="shared" si="27"/>
        <v>0.61010995355122077</v>
      </c>
      <c r="AH115" s="433">
        <f t="shared" si="27"/>
        <v>0.7650968498605466</v>
      </c>
      <c r="AI115" s="433">
        <f t="shared" si="27"/>
        <v>0.67078830913150433</v>
      </c>
      <c r="AJ115" s="433">
        <f t="shared" si="27"/>
        <v>0.73767454020865331</v>
      </c>
      <c r="AK115" s="433">
        <f t="shared" si="27"/>
        <v>0.74022895886866802</v>
      </c>
      <c r="AL115" s="433">
        <f t="shared" si="27"/>
        <v>0.73678876833263518</v>
      </c>
      <c r="AM115" s="433"/>
    </row>
    <row r="116" spans="1:39" ht="15.75" customHeight="1" x14ac:dyDescent="0.25">
      <c r="A116" s="194"/>
      <c r="B116" s="194" t="str">
        <f t="shared" ref="B116:D116" si="28">B26</f>
        <v>Fire protection</v>
      </c>
      <c r="C116" s="194" t="str">
        <f t="shared" si="28"/>
        <v>HFC</v>
      </c>
      <c r="D116" s="194" t="str">
        <f t="shared" si="28"/>
        <v>HFC-23</v>
      </c>
      <c r="E116" s="434">
        <f t="shared" si="8"/>
        <v>1.1774193548387097</v>
      </c>
      <c r="F116" s="433">
        <f t="shared" ref="F116:AL116" si="29">F26*$E116</f>
        <v>0</v>
      </c>
      <c r="G116" s="433">
        <f t="shared" si="29"/>
        <v>0</v>
      </c>
      <c r="H116" s="433">
        <f t="shared" si="29"/>
        <v>0</v>
      </c>
      <c r="I116" s="433">
        <f t="shared" si="29"/>
        <v>0</v>
      </c>
      <c r="J116" s="433">
        <f t="shared" si="29"/>
        <v>0</v>
      </c>
      <c r="K116" s="433">
        <f t="shared" si="29"/>
        <v>1.0954255927589853E-5</v>
      </c>
      <c r="L116" s="433">
        <f t="shared" si="29"/>
        <v>2.456470499795807E-5</v>
      </c>
      <c r="M116" s="433">
        <f t="shared" si="29"/>
        <v>4.6255211710234037E-5</v>
      </c>
      <c r="N116" s="433">
        <f t="shared" si="29"/>
        <v>6.7848196628092475E-5</v>
      </c>
      <c r="O116" s="433">
        <f t="shared" si="29"/>
        <v>9.7517162990399424E-5</v>
      </c>
      <c r="P116" s="433">
        <f t="shared" si="29"/>
        <v>1.2726552049466115E-4</v>
      </c>
      <c r="Q116" s="433">
        <f t="shared" si="29"/>
        <v>1.5467252551876407E-4</v>
      </c>
      <c r="R116" s="433">
        <f t="shared" si="29"/>
        <v>1.7963043661400874E-4</v>
      </c>
      <c r="S116" s="433">
        <f t="shared" si="29"/>
        <v>1.9902799546744342E-4</v>
      </c>
      <c r="T116" s="433">
        <f t="shared" si="29"/>
        <v>2.1812373185547078E-4</v>
      </c>
      <c r="U116" s="433">
        <f t="shared" si="29"/>
        <v>2.3971787596177731E-4</v>
      </c>
      <c r="V116" s="433">
        <f t="shared" si="29"/>
        <v>2.5795595762703266E-4</v>
      </c>
      <c r="W116" s="433">
        <f t="shared" si="29"/>
        <v>2.7837202804506213E-4</v>
      </c>
      <c r="X116" s="433">
        <f t="shared" si="29"/>
        <v>2.9619713185669375E-4</v>
      </c>
      <c r="Y116" s="433">
        <f t="shared" si="29"/>
        <v>3.1754278650377024E-4</v>
      </c>
      <c r="Z116" s="433">
        <f t="shared" si="29"/>
        <v>3.4245377721385566E-4</v>
      </c>
      <c r="AA116" s="433">
        <f t="shared" si="29"/>
        <v>3.6468774668985826E-4</v>
      </c>
      <c r="AB116" s="433">
        <f t="shared" si="29"/>
        <v>3.9213494120544299E-4</v>
      </c>
      <c r="AC116" s="433">
        <f t="shared" si="29"/>
        <v>4.1627564560236629E-4</v>
      </c>
      <c r="AD116" s="433">
        <f t="shared" si="29"/>
        <v>4.427778067996393E-4</v>
      </c>
      <c r="AE116" s="433">
        <f t="shared" si="29"/>
        <v>4.7138296328566831E-4</v>
      </c>
      <c r="AF116" s="433">
        <f t="shared" si="29"/>
        <v>4.9907613140417507E-4</v>
      </c>
      <c r="AG116" s="433">
        <f t="shared" si="29"/>
        <v>5.2995611314987558E-4</v>
      </c>
      <c r="AH116" s="433">
        <f t="shared" si="29"/>
        <v>5.6067765764386708E-4</v>
      </c>
      <c r="AI116" s="433">
        <f t="shared" si="29"/>
        <v>5.9396772661095385E-4</v>
      </c>
      <c r="AJ116" s="433">
        <f t="shared" si="29"/>
        <v>6.2655342164842794E-4</v>
      </c>
      <c r="AK116" s="433">
        <f t="shared" si="29"/>
        <v>6.4993388556584808E-4</v>
      </c>
      <c r="AL116" s="433">
        <f t="shared" si="29"/>
        <v>6.7059373871104647E-4</v>
      </c>
      <c r="AM116" s="433"/>
    </row>
    <row r="117" spans="1:39" ht="15.75" customHeight="1" x14ac:dyDescent="0.25">
      <c r="A117" s="194"/>
      <c r="B117" s="194" t="str">
        <f t="shared" ref="B117:D117" si="30">B27</f>
        <v>Fire protection</v>
      </c>
      <c r="C117" s="194" t="str">
        <f t="shared" si="30"/>
        <v>HFC</v>
      </c>
      <c r="D117" s="194" t="str">
        <f t="shared" si="30"/>
        <v>HFC-236fa</v>
      </c>
      <c r="E117" s="434">
        <f t="shared" si="8"/>
        <v>1.0781637717121588</v>
      </c>
      <c r="F117" s="433">
        <f t="shared" ref="F117:AL117" si="31">F27*$E117</f>
        <v>0</v>
      </c>
      <c r="G117" s="433">
        <f t="shared" si="31"/>
        <v>0</v>
      </c>
      <c r="H117" s="433">
        <f t="shared" si="31"/>
        <v>0</v>
      </c>
      <c r="I117" s="433">
        <f t="shared" si="31"/>
        <v>0</v>
      </c>
      <c r="J117" s="433">
        <f t="shared" si="31"/>
        <v>0</v>
      </c>
      <c r="K117" s="433">
        <f t="shared" si="31"/>
        <v>0</v>
      </c>
      <c r="L117" s="433">
        <f t="shared" si="31"/>
        <v>0</v>
      </c>
      <c r="M117" s="433">
        <f t="shared" si="31"/>
        <v>2.1215338621600856E-4</v>
      </c>
      <c r="N117" s="433">
        <f t="shared" si="31"/>
        <v>6.4613789446369698E-4</v>
      </c>
      <c r="O117" s="433">
        <f t="shared" si="31"/>
        <v>1.3156356610567776E-3</v>
      </c>
      <c r="P117" s="433">
        <f t="shared" si="31"/>
        <v>2.0049345557194187E-3</v>
      </c>
      <c r="Q117" s="433">
        <f t="shared" si="31"/>
        <v>2.7214799997444497E-3</v>
      </c>
      <c r="R117" s="433">
        <f t="shared" si="31"/>
        <v>3.4667033805895345E-3</v>
      </c>
      <c r="S117" s="433">
        <f t="shared" si="31"/>
        <v>4.0196129443386477E-3</v>
      </c>
      <c r="T117" s="433">
        <f t="shared" si="31"/>
        <v>4.3654813084132455E-3</v>
      </c>
      <c r="U117" s="433">
        <f t="shared" si="31"/>
        <v>4.4928425093250608E-3</v>
      </c>
      <c r="V117" s="433">
        <f t="shared" si="31"/>
        <v>4.6125686904520688E-3</v>
      </c>
      <c r="W117" s="433">
        <f t="shared" si="31"/>
        <v>4.7293626783562115E-3</v>
      </c>
      <c r="X117" s="433">
        <f t="shared" si="31"/>
        <v>4.8530074181988639E-3</v>
      </c>
      <c r="Y117" s="433">
        <f t="shared" si="31"/>
        <v>4.9957711952082103E-3</v>
      </c>
      <c r="Z117" s="433">
        <f t="shared" si="31"/>
        <v>5.1551427659641668E-3</v>
      </c>
      <c r="AA117" s="433">
        <f t="shared" si="31"/>
        <v>5.3204833792459038E-3</v>
      </c>
      <c r="AB117" s="433">
        <f t="shared" si="31"/>
        <v>5.4857251742884373E-3</v>
      </c>
      <c r="AC117" s="433">
        <f t="shared" si="31"/>
        <v>5.6472149593483432E-3</v>
      </c>
      <c r="AD117" s="433">
        <f t="shared" si="31"/>
        <v>5.8092119090528936E-3</v>
      </c>
      <c r="AE117" s="433">
        <f t="shared" si="31"/>
        <v>5.9705236983745424E-3</v>
      </c>
      <c r="AF117" s="433">
        <f t="shared" si="31"/>
        <v>6.1263157269764133E-3</v>
      </c>
      <c r="AG117" s="433">
        <f t="shared" si="31"/>
        <v>6.2943177945722038E-3</v>
      </c>
      <c r="AH117" s="433">
        <f t="shared" si="31"/>
        <v>6.4661915557732074E-3</v>
      </c>
      <c r="AI117" s="433">
        <f t="shared" si="31"/>
        <v>6.644198006618451E-3</v>
      </c>
      <c r="AJ117" s="433">
        <f t="shared" si="31"/>
        <v>6.9095721217346485E-3</v>
      </c>
      <c r="AK117" s="433">
        <f t="shared" si="31"/>
        <v>7.1070634608603684E-3</v>
      </c>
      <c r="AL117" s="433">
        <f t="shared" si="31"/>
        <v>7.2831318341558138E-3</v>
      </c>
      <c r="AM117" s="433"/>
    </row>
    <row r="118" spans="1:39" ht="15.75" customHeight="1" x14ac:dyDescent="0.25">
      <c r="A118" s="194"/>
      <c r="B118" s="194" t="str">
        <f t="shared" ref="B118:D118" si="32">B28</f>
        <v>Refrigeration and air-conditioning</v>
      </c>
      <c r="C118" s="194" t="str">
        <f t="shared" si="32"/>
        <v>HFC</v>
      </c>
      <c r="D118" s="194" t="str">
        <f t="shared" si="32"/>
        <v>HFC-236fa</v>
      </c>
      <c r="E118" s="434">
        <f t="shared" si="8"/>
        <v>1.0781637717121588</v>
      </c>
      <c r="F118" s="433">
        <f t="shared" ref="F118:AL118" si="33">F28*$E118</f>
        <v>0</v>
      </c>
      <c r="G118" s="433">
        <f t="shared" si="33"/>
        <v>0</v>
      </c>
      <c r="H118" s="433">
        <f t="shared" si="33"/>
        <v>0</v>
      </c>
      <c r="I118" s="433">
        <f t="shared" si="33"/>
        <v>1.1805442121498914E-3</v>
      </c>
      <c r="J118" s="433">
        <f t="shared" si="33"/>
        <v>3.5608537412825923E-3</v>
      </c>
      <c r="K118" s="433">
        <f t="shared" si="33"/>
        <v>5.9022600103244317E-3</v>
      </c>
      <c r="L118" s="433">
        <f t="shared" si="33"/>
        <v>7.3446392843244121E-3</v>
      </c>
      <c r="M118" s="433">
        <f t="shared" si="33"/>
        <v>8.7808829012457883E-3</v>
      </c>
      <c r="N118" s="433">
        <f t="shared" si="33"/>
        <v>1.008944322205063E-2</v>
      </c>
      <c r="O118" s="433">
        <f t="shared" si="33"/>
        <v>1.127964103523678E-2</v>
      </c>
      <c r="P118" s="433">
        <f t="shared" si="33"/>
        <v>1.2366449233147192E-2</v>
      </c>
      <c r="Q118" s="433">
        <f t="shared" si="33"/>
        <v>1.3365131749486841E-2</v>
      </c>
      <c r="R118" s="433">
        <f t="shared" si="33"/>
        <v>1.4257222641387152E-2</v>
      </c>
      <c r="S118" s="433">
        <f t="shared" si="33"/>
        <v>1.501715712027043E-2</v>
      </c>
      <c r="T118" s="433">
        <f t="shared" si="33"/>
        <v>1.5631344224028391E-2</v>
      </c>
      <c r="U118" s="433">
        <f t="shared" si="33"/>
        <v>1.6105162268179658E-2</v>
      </c>
      <c r="V118" s="433">
        <f t="shared" si="33"/>
        <v>1.6420356655568676E-2</v>
      </c>
      <c r="W118" s="433">
        <f t="shared" si="33"/>
        <v>1.6583333282712314E-2</v>
      </c>
      <c r="X118" s="433">
        <f t="shared" si="33"/>
        <v>1.6639340493969819E-2</v>
      </c>
      <c r="Y118" s="433">
        <f t="shared" si="33"/>
        <v>1.6624273560457203E-2</v>
      </c>
      <c r="Z118" s="433">
        <f t="shared" si="33"/>
        <v>1.6657916179309496E-2</v>
      </c>
      <c r="AA118" s="433">
        <f t="shared" si="33"/>
        <v>1.6688213053246675E-2</v>
      </c>
      <c r="AB118" s="433">
        <f t="shared" si="33"/>
        <v>1.6706672999982301E-2</v>
      </c>
      <c r="AC118" s="433">
        <f t="shared" si="33"/>
        <v>1.697382274106126E-2</v>
      </c>
      <c r="AD118" s="433">
        <f t="shared" si="33"/>
        <v>1.6116344740218936E-2</v>
      </c>
      <c r="AE118" s="433">
        <f t="shared" si="33"/>
        <v>1.3773568499660492E-2</v>
      </c>
      <c r="AF118" s="433">
        <f t="shared" si="33"/>
        <v>1.229096085370451E-2</v>
      </c>
      <c r="AG118" s="433">
        <f t="shared" si="33"/>
        <v>1.0829858862946552E-2</v>
      </c>
      <c r="AH118" s="433">
        <f t="shared" si="33"/>
        <v>9.2567131512359142E-3</v>
      </c>
      <c r="AI118" s="433">
        <f t="shared" si="33"/>
        <v>7.8046735353334848E-3</v>
      </c>
      <c r="AJ118" s="433">
        <f t="shared" si="33"/>
        <v>6.5558506858061439E-3</v>
      </c>
      <c r="AK118" s="433">
        <f t="shared" si="33"/>
        <v>5.3422865690947712E-3</v>
      </c>
      <c r="AL118" s="433">
        <f t="shared" si="33"/>
        <v>4.2315313997136721E-3</v>
      </c>
      <c r="AM118" s="433"/>
    </row>
    <row r="119" spans="1:39" ht="15.75" customHeight="1" x14ac:dyDescent="0.25">
      <c r="A119" s="194"/>
      <c r="B119" s="194" t="str">
        <f t="shared" ref="B119:D119" si="34">B29</f>
        <v>Refrigeration and air-conditioning</v>
      </c>
      <c r="C119" s="194" t="str">
        <f t="shared" si="34"/>
        <v>HFC</v>
      </c>
      <c r="D119" s="194" t="str">
        <f t="shared" si="34"/>
        <v>HFC-32</v>
      </c>
      <c r="E119" s="434">
        <f t="shared" si="8"/>
        <v>1.138847858197932</v>
      </c>
      <c r="F119" s="433">
        <f t="shared" ref="F119:AL119" si="35">F29*$E119</f>
        <v>0</v>
      </c>
      <c r="G119" s="433">
        <f t="shared" si="35"/>
        <v>0</v>
      </c>
      <c r="H119" s="433">
        <f t="shared" si="35"/>
        <v>0</v>
      </c>
      <c r="I119" s="433">
        <f t="shared" si="35"/>
        <v>0</v>
      </c>
      <c r="J119" s="433">
        <f t="shared" si="35"/>
        <v>0</v>
      </c>
      <c r="K119" s="433">
        <f t="shared" si="35"/>
        <v>0</v>
      </c>
      <c r="L119" s="433">
        <f t="shared" si="35"/>
        <v>3.4699574710132322E-6</v>
      </c>
      <c r="M119" s="433">
        <f t="shared" si="35"/>
        <v>9.8530964477012256E-6</v>
      </c>
      <c r="N119" s="433">
        <f t="shared" si="35"/>
        <v>2.1006249081277239E-5</v>
      </c>
      <c r="O119" s="433">
        <f t="shared" si="35"/>
        <v>4.0755731526590407E-5</v>
      </c>
      <c r="P119" s="433">
        <f t="shared" si="35"/>
        <v>1.8813265014940163E-4</v>
      </c>
      <c r="Q119" s="433">
        <f t="shared" si="35"/>
        <v>4.7101518837129656E-4</v>
      </c>
      <c r="R119" s="433">
        <f t="shared" si="35"/>
        <v>9.2444346057260159E-4</v>
      </c>
      <c r="S119" s="433">
        <f t="shared" si="35"/>
        <v>1.537761171964018E-3</v>
      </c>
      <c r="T119" s="433">
        <f t="shared" si="35"/>
        <v>2.3546705905743183E-3</v>
      </c>
      <c r="U119" s="433">
        <f t="shared" si="35"/>
        <v>3.5082152252173455E-3</v>
      </c>
      <c r="V119" s="433">
        <f t="shared" si="35"/>
        <v>5.7079475264536998E-3</v>
      </c>
      <c r="W119" s="433">
        <f t="shared" si="35"/>
        <v>8.1877885455828563E-3</v>
      </c>
      <c r="X119" s="433">
        <f t="shared" si="35"/>
        <v>1.0787608531141897E-2</v>
      </c>
      <c r="Y119" s="433">
        <f t="shared" si="35"/>
        <v>1.3898326384363006E-2</v>
      </c>
      <c r="Z119" s="433">
        <f t="shared" si="35"/>
        <v>1.9427266566387942E-2</v>
      </c>
      <c r="AA119" s="433">
        <f t="shared" si="35"/>
        <v>3.5018027630221098E-2</v>
      </c>
      <c r="AB119" s="433">
        <f t="shared" si="35"/>
        <v>3.717862047248665E-2</v>
      </c>
      <c r="AC119" s="433">
        <f t="shared" si="35"/>
        <v>5.5618635620411951E-2</v>
      </c>
      <c r="AD119" s="433">
        <f t="shared" si="35"/>
        <v>6.9113497672989369E-2</v>
      </c>
      <c r="AE119" s="433">
        <f t="shared" si="35"/>
        <v>8.3766508008387711E-2</v>
      </c>
      <c r="AF119" s="433">
        <f t="shared" si="35"/>
        <v>9.5906930309458224E-2</v>
      </c>
      <c r="AG119" s="433">
        <f t="shared" si="35"/>
        <v>9.2206490198201735E-2</v>
      </c>
      <c r="AH119" s="433">
        <f t="shared" si="35"/>
        <v>0.11127142168724008</v>
      </c>
      <c r="AI119" s="433">
        <f t="shared" si="35"/>
        <v>0.11820118404832088</v>
      </c>
      <c r="AJ119" s="433">
        <f t="shared" si="35"/>
        <v>0.15730941336136001</v>
      </c>
      <c r="AK119" s="433">
        <f t="shared" si="35"/>
        <v>0.19206471100663988</v>
      </c>
      <c r="AL119" s="433">
        <f t="shared" si="35"/>
        <v>0.21467428733671656</v>
      </c>
      <c r="AM119" s="433"/>
    </row>
    <row r="120" spans="1:39" ht="15.75" customHeight="1" x14ac:dyDescent="0.25">
      <c r="A120" s="194"/>
      <c r="B120" s="194" t="str">
        <f t="shared" ref="B120:D120" si="36">B30</f>
        <v>Fire protection</v>
      </c>
      <c r="C120" s="194" t="str">
        <f t="shared" si="36"/>
        <v>HFC</v>
      </c>
      <c r="D120" s="194" t="str">
        <f t="shared" si="36"/>
        <v>Other HFC</v>
      </c>
      <c r="E120" s="434">
        <f t="shared" si="8"/>
        <v>1.0981515348160384</v>
      </c>
      <c r="F120" s="433">
        <f t="shared" ref="F120:AL120" si="37">F30*$E120</f>
        <v>0</v>
      </c>
      <c r="G120" s="433">
        <f t="shared" si="37"/>
        <v>0</v>
      </c>
      <c r="H120" s="433">
        <f t="shared" si="37"/>
        <v>0</v>
      </c>
      <c r="I120" s="433">
        <f t="shared" si="37"/>
        <v>0</v>
      </c>
      <c r="J120" s="433">
        <f t="shared" si="37"/>
        <v>7.6790445618466066E-5</v>
      </c>
      <c r="K120" s="433">
        <f t="shared" si="37"/>
        <v>6.4036132166029821E-4</v>
      </c>
      <c r="L120" s="433">
        <f t="shared" si="37"/>
        <v>1.5659803142893491E-3</v>
      </c>
      <c r="M120" s="433">
        <f t="shared" si="37"/>
        <v>2.9178811279373818E-3</v>
      </c>
      <c r="N120" s="433">
        <f t="shared" si="37"/>
        <v>4.5830748253314112E-3</v>
      </c>
      <c r="O120" s="433">
        <f t="shared" si="37"/>
        <v>6.8193305213767822E-3</v>
      </c>
      <c r="P120" s="433">
        <f t="shared" si="37"/>
        <v>8.9488768637416456E-3</v>
      </c>
      <c r="Q120" s="433">
        <f t="shared" si="37"/>
        <v>1.0923469418427752E-2</v>
      </c>
      <c r="R120" s="433">
        <f t="shared" si="37"/>
        <v>1.2749494472049124E-2</v>
      </c>
      <c r="S120" s="433">
        <f t="shared" si="37"/>
        <v>1.4203358573057927E-2</v>
      </c>
      <c r="T120" s="433">
        <f t="shared" si="37"/>
        <v>1.5631686026547929E-2</v>
      </c>
      <c r="U120" s="433">
        <f t="shared" si="37"/>
        <v>1.702113940334456E-2</v>
      </c>
      <c r="V120" s="433">
        <f t="shared" si="37"/>
        <v>1.834105848748421E-2</v>
      </c>
      <c r="W120" s="433">
        <f t="shared" si="37"/>
        <v>1.9597614077485514E-2</v>
      </c>
      <c r="X120" s="433">
        <f t="shared" si="37"/>
        <v>2.0834341419370947E-2</v>
      </c>
      <c r="Y120" s="433">
        <f t="shared" si="37"/>
        <v>2.2098298151015605E-2</v>
      </c>
      <c r="Z120" s="433">
        <f t="shared" si="37"/>
        <v>2.3419690315615818E-2</v>
      </c>
      <c r="AA120" s="433">
        <f t="shared" si="37"/>
        <v>2.4735833566491762E-2</v>
      </c>
      <c r="AB120" s="433">
        <f t="shared" si="37"/>
        <v>2.6027249670463416E-2</v>
      </c>
      <c r="AC120" s="433">
        <f t="shared" si="37"/>
        <v>2.7264660640233938E-2</v>
      </c>
      <c r="AD120" s="433">
        <f t="shared" si="37"/>
        <v>2.8461432568745594E-2</v>
      </c>
      <c r="AE120" s="433">
        <f t="shared" si="37"/>
        <v>2.959826032680021E-2</v>
      </c>
      <c r="AF120" s="433">
        <f t="shared" si="37"/>
        <v>3.0652820219309637E-2</v>
      </c>
      <c r="AG120" s="433">
        <f t="shared" si="37"/>
        <v>3.1707746728219369E-2</v>
      </c>
      <c r="AH120" s="433">
        <f t="shared" si="37"/>
        <v>3.2716088911436826E-2</v>
      </c>
      <c r="AI120" s="433">
        <f t="shared" si="37"/>
        <v>3.3675049741089924E-2</v>
      </c>
      <c r="AJ120" s="433">
        <f t="shared" si="37"/>
        <v>3.4661272139146014E-2</v>
      </c>
      <c r="AK120" s="433">
        <f t="shared" si="37"/>
        <v>3.5293575771840086E-2</v>
      </c>
      <c r="AL120" s="433">
        <f t="shared" si="37"/>
        <v>3.5795724799536605E-2</v>
      </c>
      <c r="AM120" s="433"/>
    </row>
    <row r="121" spans="1:39" ht="15.75" customHeight="1" x14ac:dyDescent="0.25">
      <c r="A121" s="194"/>
      <c r="B121" s="194" t="str">
        <f t="shared" ref="B121:D121" si="38">B31</f>
        <v>Foam blowing agents</v>
      </c>
      <c r="C121" s="194" t="str">
        <f t="shared" si="38"/>
        <v>HFC</v>
      </c>
      <c r="D121" s="194" t="str">
        <f t="shared" si="38"/>
        <v>Other HFC</v>
      </c>
      <c r="E121" s="434">
        <f t="shared" si="8"/>
        <v>1.0981515348160384</v>
      </c>
      <c r="F121" s="433">
        <f t="shared" ref="F121:AL121" si="39">F31*$E121</f>
        <v>0</v>
      </c>
      <c r="G121" s="433">
        <f t="shared" si="39"/>
        <v>0</v>
      </c>
      <c r="H121" s="433">
        <f t="shared" si="39"/>
        <v>0</v>
      </c>
      <c r="I121" s="433">
        <f t="shared" si="39"/>
        <v>0</v>
      </c>
      <c r="J121" s="433">
        <f t="shared" si="39"/>
        <v>0</v>
      </c>
      <c r="K121" s="433">
        <f t="shared" si="39"/>
        <v>0</v>
      </c>
      <c r="L121" s="433">
        <f t="shared" si="39"/>
        <v>0</v>
      </c>
      <c r="M121" s="433">
        <f t="shared" si="39"/>
        <v>0</v>
      </c>
      <c r="N121" s="433">
        <f t="shared" si="39"/>
        <v>0</v>
      </c>
      <c r="O121" s="433">
        <f t="shared" si="39"/>
        <v>0</v>
      </c>
      <c r="P121" s="433">
        <f t="shared" si="39"/>
        <v>0</v>
      </c>
      <c r="Q121" s="433">
        <f t="shared" si="39"/>
        <v>0</v>
      </c>
      <c r="R121" s="433">
        <f t="shared" si="39"/>
        <v>0</v>
      </c>
      <c r="S121" s="433">
        <f t="shared" si="39"/>
        <v>0</v>
      </c>
      <c r="T121" s="433">
        <f t="shared" si="39"/>
        <v>0</v>
      </c>
      <c r="U121" s="433">
        <f t="shared" si="39"/>
        <v>0</v>
      </c>
      <c r="V121" s="433">
        <f t="shared" si="39"/>
        <v>0</v>
      </c>
      <c r="W121" s="433">
        <f t="shared" si="39"/>
        <v>0</v>
      </c>
      <c r="X121" s="433">
        <f t="shared" si="39"/>
        <v>0</v>
      </c>
      <c r="Y121" s="433">
        <f t="shared" si="39"/>
        <v>0</v>
      </c>
      <c r="Z121" s="433">
        <f t="shared" si="39"/>
        <v>0</v>
      </c>
      <c r="AA121" s="433">
        <f t="shared" si="39"/>
        <v>0</v>
      </c>
      <c r="AB121" s="433">
        <f t="shared" si="39"/>
        <v>0</v>
      </c>
      <c r="AC121" s="433">
        <f t="shared" si="39"/>
        <v>0</v>
      </c>
      <c r="AD121" s="433">
        <f t="shared" si="39"/>
        <v>0</v>
      </c>
      <c r="AE121" s="433">
        <f t="shared" si="39"/>
        <v>0</v>
      </c>
      <c r="AF121" s="433">
        <f t="shared" si="39"/>
        <v>0</v>
      </c>
      <c r="AG121" s="433">
        <f t="shared" si="39"/>
        <v>5.4015822353606032E-6</v>
      </c>
      <c r="AH121" s="433">
        <f t="shared" si="39"/>
        <v>1.2458167355315753E-5</v>
      </c>
      <c r="AI121" s="433">
        <f t="shared" si="39"/>
        <v>2.1038091133605746E-5</v>
      </c>
      <c r="AJ121" s="433">
        <f t="shared" si="39"/>
        <v>3.1652390734460095E-5</v>
      </c>
      <c r="AK121" s="433">
        <f t="shared" si="39"/>
        <v>4.3663694584516963E-5</v>
      </c>
      <c r="AL121" s="433">
        <f t="shared" si="39"/>
        <v>4.9594877936176415E-5</v>
      </c>
      <c r="AM121" s="433"/>
    </row>
    <row r="122" spans="1:39" ht="15.75" customHeight="1" x14ac:dyDescent="0.25">
      <c r="A122" s="194"/>
      <c r="B122" s="194" t="str">
        <f t="shared" ref="B122:D122" si="40">B32</f>
        <v>Foam blowing agents</v>
      </c>
      <c r="C122" s="194" t="str">
        <f t="shared" si="40"/>
        <v>HFC</v>
      </c>
      <c r="D122" s="194" t="str">
        <f t="shared" si="40"/>
        <v>Other HFC</v>
      </c>
      <c r="E122" s="434">
        <f t="shared" si="8"/>
        <v>1.0981515348160384</v>
      </c>
      <c r="F122" s="433">
        <f t="shared" ref="F122:AL122" si="41">F32*$E122</f>
        <v>0</v>
      </c>
      <c r="G122" s="433">
        <f t="shared" si="41"/>
        <v>0</v>
      </c>
      <c r="H122" s="433">
        <f t="shared" si="41"/>
        <v>0</v>
      </c>
      <c r="I122" s="433">
        <f t="shared" si="41"/>
        <v>0</v>
      </c>
      <c r="J122" s="433">
        <f t="shared" si="41"/>
        <v>0</v>
      </c>
      <c r="K122" s="433">
        <f t="shared" si="41"/>
        <v>0</v>
      </c>
      <c r="L122" s="433">
        <f t="shared" si="41"/>
        <v>0</v>
      </c>
      <c r="M122" s="433">
        <f t="shared" si="41"/>
        <v>0</v>
      </c>
      <c r="N122" s="433">
        <f t="shared" si="41"/>
        <v>0</v>
      </c>
      <c r="O122" s="433">
        <f t="shared" si="41"/>
        <v>0</v>
      </c>
      <c r="P122" s="433">
        <f t="shared" si="41"/>
        <v>0</v>
      </c>
      <c r="Q122" s="433">
        <f t="shared" si="41"/>
        <v>0</v>
      </c>
      <c r="R122" s="433">
        <f t="shared" si="41"/>
        <v>0</v>
      </c>
      <c r="S122" s="433">
        <f t="shared" si="41"/>
        <v>0</v>
      </c>
      <c r="T122" s="433">
        <f t="shared" si="41"/>
        <v>0</v>
      </c>
      <c r="U122" s="433">
        <f t="shared" si="41"/>
        <v>0</v>
      </c>
      <c r="V122" s="433">
        <f t="shared" si="41"/>
        <v>0</v>
      </c>
      <c r="W122" s="433">
        <f t="shared" si="41"/>
        <v>0</v>
      </c>
      <c r="X122" s="433">
        <f t="shared" si="41"/>
        <v>0</v>
      </c>
      <c r="Y122" s="433">
        <f t="shared" si="41"/>
        <v>0</v>
      </c>
      <c r="Z122" s="433">
        <f t="shared" si="41"/>
        <v>0</v>
      </c>
      <c r="AA122" s="433">
        <f t="shared" si="41"/>
        <v>0</v>
      </c>
      <c r="AB122" s="433">
        <f t="shared" si="41"/>
        <v>0</v>
      </c>
      <c r="AC122" s="433">
        <f t="shared" si="41"/>
        <v>0</v>
      </c>
      <c r="AD122" s="433">
        <f t="shared" si="41"/>
        <v>0</v>
      </c>
      <c r="AE122" s="433">
        <f t="shared" si="41"/>
        <v>3.8210871147948842E-7</v>
      </c>
      <c r="AF122" s="433">
        <f t="shared" si="41"/>
        <v>3.2943008134574683E-6</v>
      </c>
      <c r="AG122" s="433">
        <f t="shared" si="41"/>
        <v>9.2928715286141188E-6</v>
      </c>
      <c r="AH122" s="433">
        <f t="shared" si="41"/>
        <v>1.4974019518176554E-5</v>
      </c>
      <c r="AI122" s="433">
        <f t="shared" si="41"/>
        <v>2.1794975187835376E-5</v>
      </c>
      <c r="AJ122" s="433">
        <f t="shared" si="41"/>
        <v>3.1153211216317763E-5</v>
      </c>
      <c r="AK122" s="433">
        <f t="shared" si="41"/>
        <v>3.6687434042228032E-5</v>
      </c>
      <c r="AL122" s="433">
        <f t="shared" si="41"/>
        <v>4.1037481676749139E-5</v>
      </c>
      <c r="AM122" s="433"/>
    </row>
    <row r="123" spans="1:39" ht="15.75" customHeight="1" x14ac:dyDescent="0.25">
      <c r="A123" s="194"/>
      <c r="B123" s="194" t="str">
        <f t="shared" ref="B123:D123" si="42">B33</f>
        <v>Foam blowing agents</v>
      </c>
      <c r="C123" s="194" t="str">
        <f t="shared" si="42"/>
        <v>HFC</v>
      </c>
      <c r="D123" s="194" t="str">
        <f t="shared" si="42"/>
        <v>Other HFC</v>
      </c>
      <c r="E123" s="434">
        <f t="shared" si="8"/>
        <v>1.0981515348160384</v>
      </c>
      <c r="F123" s="433">
        <f t="shared" ref="F123:AL123" si="43">F33*$E123</f>
        <v>1.3696512021782453E-4</v>
      </c>
      <c r="G123" s="433">
        <f t="shared" si="43"/>
        <v>2.1653023625906875E-4</v>
      </c>
      <c r="H123" s="433">
        <f t="shared" si="43"/>
        <v>3.0295819220777285E-4</v>
      </c>
      <c r="I123" s="433">
        <f t="shared" si="43"/>
        <v>3.9650232236480983E-4</v>
      </c>
      <c r="J123" s="433">
        <f t="shared" si="43"/>
        <v>4.2704656772299193E-4</v>
      </c>
      <c r="K123" s="433">
        <f t="shared" si="43"/>
        <v>7.7781283599894586E-4</v>
      </c>
      <c r="L123" s="433">
        <f t="shared" si="43"/>
        <v>1.2455315881938842E-3</v>
      </c>
      <c r="M123" s="433">
        <f t="shared" si="43"/>
        <v>1.7284860137259613E-3</v>
      </c>
      <c r="N123" s="433">
        <f t="shared" si="43"/>
        <v>2.2281340976874377E-3</v>
      </c>
      <c r="O123" s="433">
        <f t="shared" si="43"/>
        <v>2.7460346646637607E-3</v>
      </c>
      <c r="P123" s="433">
        <f t="shared" si="43"/>
        <v>2.9371210779821268E-3</v>
      </c>
      <c r="Q123" s="433">
        <f t="shared" si="43"/>
        <v>3.0253778841724953E-3</v>
      </c>
      <c r="R123" s="433">
        <f t="shared" si="43"/>
        <v>3.1183066273611309E-3</v>
      </c>
      <c r="S123" s="433">
        <f t="shared" si="43"/>
        <v>3.2094540542703014E-3</v>
      </c>
      <c r="T123" s="433">
        <f t="shared" si="43"/>
        <v>3.297063877406504E-3</v>
      </c>
      <c r="U123" s="433">
        <f t="shared" si="43"/>
        <v>3.309984057361077E-3</v>
      </c>
      <c r="V123" s="433">
        <f t="shared" si="43"/>
        <v>3.3090303675845059E-3</v>
      </c>
      <c r="W123" s="433">
        <f t="shared" si="43"/>
        <v>3.2967139361203177E-3</v>
      </c>
      <c r="X123" s="433">
        <f t="shared" si="43"/>
        <v>3.2810395796910499E-3</v>
      </c>
      <c r="Y123" s="433">
        <f t="shared" si="43"/>
        <v>3.5461339518855868E-3</v>
      </c>
      <c r="Z123" s="433">
        <f t="shared" si="43"/>
        <v>3.8323881879782631E-3</v>
      </c>
      <c r="AA123" s="433">
        <f t="shared" si="43"/>
        <v>3.9132714925824551E-3</v>
      </c>
      <c r="AB123" s="433">
        <f t="shared" si="43"/>
        <v>3.9878897094989402E-3</v>
      </c>
      <c r="AC123" s="433">
        <f t="shared" si="43"/>
        <v>4.0529602552922929E-3</v>
      </c>
      <c r="AD123" s="433">
        <f t="shared" si="43"/>
        <v>4.1166170672274792E-3</v>
      </c>
      <c r="AE123" s="433">
        <f t="shared" si="43"/>
        <v>4.1769608013276721E-3</v>
      </c>
      <c r="AF123" s="433">
        <f t="shared" si="43"/>
        <v>4.2320582630648636E-3</v>
      </c>
      <c r="AG123" s="433">
        <f t="shared" si="43"/>
        <v>4.2942331149106823E-3</v>
      </c>
      <c r="AH123" s="433">
        <f t="shared" si="43"/>
        <v>4.3577752472354287E-3</v>
      </c>
      <c r="AI123" s="433">
        <f t="shared" si="43"/>
        <v>4.4230621274215492E-3</v>
      </c>
      <c r="AJ123" s="433">
        <f t="shared" si="43"/>
        <v>4.5437358529622279E-3</v>
      </c>
      <c r="AK123" s="433">
        <f t="shared" si="43"/>
        <v>4.6178691556515604E-3</v>
      </c>
      <c r="AL123" s="433">
        <f t="shared" si="43"/>
        <v>4.6751802395254899E-3</v>
      </c>
      <c r="AM123" s="433"/>
    </row>
    <row r="124" spans="1:39" ht="15.75" customHeight="1" x14ac:dyDescent="0.25">
      <c r="A124" s="194"/>
      <c r="B124" s="194" t="str">
        <f t="shared" ref="B124:D124" si="44">B34</f>
        <v>Foam blowing agents</v>
      </c>
      <c r="C124" s="194" t="str">
        <f t="shared" si="44"/>
        <v>HFC</v>
      </c>
      <c r="D124" s="194" t="str">
        <f t="shared" si="44"/>
        <v>Other HFC</v>
      </c>
      <c r="E124" s="434">
        <f t="shared" si="8"/>
        <v>1.0981515348160384</v>
      </c>
      <c r="F124" s="433">
        <f t="shared" ref="F124:AL124" si="45">F34*$E124</f>
        <v>0</v>
      </c>
      <c r="G124" s="433">
        <f t="shared" si="45"/>
        <v>0</v>
      </c>
      <c r="H124" s="433">
        <f t="shared" si="45"/>
        <v>0</v>
      </c>
      <c r="I124" s="433">
        <f t="shared" si="45"/>
        <v>0</v>
      </c>
      <c r="J124" s="433">
        <f t="shared" si="45"/>
        <v>0</v>
      </c>
      <c r="K124" s="433">
        <f t="shared" si="45"/>
        <v>0</v>
      </c>
      <c r="L124" s="433">
        <f t="shared" si="45"/>
        <v>0</v>
      </c>
      <c r="M124" s="433">
        <f t="shared" si="45"/>
        <v>0</v>
      </c>
      <c r="N124" s="433">
        <f t="shared" si="45"/>
        <v>0</v>
      </c>
      <c r="O124" s="433">
        <f t="shared" si="45"/>
        <v>0</v>
      </c>
      <c r="P124" s="433">
        <f t="shared" si="45"/>
        <v>0</v>
      </c>
      <c r="Q124" s="433">
        <f t="shared" si="45"/>
        <v>0</v>
      </c>
      <c r="R124" s="433">
        <f t="shared" si="45"/>
        <v>0</v>
      </c>
      <c r="S124" s="433">
        <f t="shared" si="45"/>
        <v>0</v>
      </c>
      <c r="T124" s="433">
        <f t="shared" si="45"/>
        <v>0</v>
      </c>
      <c r="U124" s="433">
        <f t="shared" si="45"/>
        <v>0</v>
      </c>
      <c r="V124" s="433">
        <f t="shared" si="45"/>
        <v>0</v>
      </c>
      <c r="W124" s="433">
        <f t="shared" si="45"/>
        <v>0</v>
      </c>
      <c r="X124" s="433">
        <f t="shared" si="45"/>
        <v>0</v>
      </c>
      <c r="Y124" s="433">
        <f t="shared" si="45"/>
        <v>0</v>
      </c>
      <c r="Z124" s="433">
        <f t="shared" si="45"/>
        <v>0</v>
      </c>
      <c r="AA124" s="433">
        <f t="shared" si="45"/>
        <v>0</v>
      </c>
      <c r="AB124" s="433">
        <f t="shared" si="45"/>
        <v>0</v>
      </c>
      <c r="AC124" s="433">
        <f t="shared" si="45"/>
        <v>0</v>
      </c>
      <c r="AD124" s="433">
        <f t="shared" si="45"/>
        <v>0</v>
      </c>
      <c r="AE124" s="433">
        <f t="shared" si="45"/>
        <v>0</v>
      </c>
      <c r="AF124" s="433">
        <f t="shared" si="45"/>
        <v>1.4387515204960454E-5</v>
      </c>
      <c r="AG124" s="433">
        <f t="shared" si="45"/>
        <v>3.2028598417966526E-5</v>
      </c>
      <c r="AH124" s="433">
        <f t="shared" si="45"/>
        <v>5.3517886777637401E-5</v>
      </c>
      <c r="AI124" s="433">
        <f t="shared" si="45"/>
        <v>7.9356828905493713E-5</v>
      </c>
      <c r="AJ124" s="433">
        <f t="shared" si="45"/>
        <v>1.1161374905834666E-4</v>
      </c>
      <c r="AK124" s="433">
        <f t="shared" si="45"/>
        <v>1.2812422145107034E-4</v>
      </c>
      <c r="AL124" s="433">
        <f t="shared" si="45"/>
        <v>1.4506518877363962E-4</v>
      </c>
      <c r="AM124" s="433"/>
    </row>
    <row r="125" spans="1:39" ht="15.75" customHeight="1" x14ac:dyDescent="0.25">
      <c r="A125" s="194"/>
      <c r="B125" s="194" t="str">
        <f t="shared" ref="B125:D125" si="46">B35</f>
        <v>Foam blowing agents</v>
      </c>
      <c r="C125" s="194" t="str">
        <f t="shared" si="46"/>
        <v>HFC</v>
      </c>
      <c r="D125" s="194" t="str">
        <f t="shared" si="46"/>
        <v>Other HFC</v>
      </c>
      <c r="E125" s="434">
        <f t="shared" si="8"/>
        <v>1.0981515348160384</v>
      </c>
      <c r="F125" s="433">
        <f t="shared" ref="F125:AL125" si="47">F35*$E125</f>
        <v>0</v>
      </c>
      <c r="G125" s="433">
        <f t="shared" si="47"/>
        <v>0</v>
      </c>
      <c r="H125" s="433">
        <f t="shared" si="47"/>
        <v>0</v>
      </c>
      <c r="I125" s="433">
        <f t="shared" si="47"/>
        <v>0</v>
      </c>
      <c r="J125" s="433">
        <f t="shared" si="47"/>
        <v>0</v>
      </c>
      <c r="K125" s="433">
        <f t="shared" si="47"/>
        <v>0</v>
      </c>
      <c r="L125" s="433">
        <f t="shared" si="47"/>
        <v>0</v>
      </c>
      <c r="M125" s="433">
        <f t="shared" si="47"/>
        <v>0</v>
      </c>
      <c r="N125" s="433">
        <f t="shared" si="47"/>
        <v>0</v>
      </c>
      <c r="O125" s="433">
        <f t="shared" si="47"/>
        <v>0</v>
      </c>
      <c r="P125" s="433">
        <f t="shared" si="47"/>
        <v>0</v>
      </c>
      <c r="Q125" s="433">
        <f t="shared" si="47"/>
        <v>0</v>
      </c>
      <c r="R125" s="433">
        <f t="shared" si="47"/>
        <v>1.8753230115938857E-3</v>
      </c>
      <c r="S125" s="433">
        <f t="shared" si="47"/>
        <v>4.0780573217799624E-3</v>
      </c>
      <c r="T125" s="433">
        <f t="shared" si="47"/>
        <v>4.5894830782757618E-3</v>
      </c>
      <c r="U125" s="433">
        <f t="shared" si="47"/>
        <v>5.1164111860750308E-3</v>
      </c>
      <c r="V125" s="433">
        <f t="shared" si="47"/>
        <v>5.6505608089185665E-3</v>
      </c>
      <c r="W125" s="433">
        <f t="shared" si="47"/>
        <v>6.1940255282123746E-3</v>
      </c>
      <c r="X125" s="433">
        <f t="shared" si="47"/>
        <v>6.7617672902449445E-3</v>
      </c>
      <c r="Y125" s="433">
        <f t="shared" si="47"/>
        <v>7.3712029898112784E-3</v>
      </c>
      <c r="Z125" s="433">
        <f t="shared" si="47"/>
        <v>8.0255227198274427E-3</v>
      </c>
      <c r="AA125" s="433">
        <f t="shared" si="47"/>
        <v>8.7063463510986799E-3</v>
      </c>
      <c r="AB125" s="433">
        <f t="shared" si="47"/>
        <v>9.4095168544862957E-3</v>
      </c>
      <c r="AC125" s="433">
        <f t="shared" si="47"/>
        <v>1.0125862023638018E-2</v>
      </c>
      <c r="AD125" s="433">
        <f t="shared" si="47"/>
        <v>1.0862590748757582E-2</v>
      </c>
      <c r="AE125" s="433">
        <f t="shared" si="47"/>
        <v>1.1614261245614783E-2</v>
      </c>
      <c r="AF125" s="433">
        <f t="shared" si="47"/>
        <v>1.1157415618015915E-2</v>
      </c>
      <c r="AG125" s="433">
        <f t="shared" si="47"/>
        <v>1.051162216761262E-2</v>
      </c>
      <c r="AH125" s="433">
        <f t="shared" si="47"/>
        <v>9.7232261991208099E-3</v>
      </c>
      <c r="AI125" s="433">
        <f t="shared" si="47"/>
        <v>8.6189697871591336E-3</v>
      </c>
      <c r="AJ125" s="433">
        <f t="shared" si="47"/>
        <v>7.2492707389569941E-3</v>
      </c>
      <c r="AK125" s="433">
        <f t="shared" si="47"/>
        <v>7.2401230781544415E-3</v>
      </c>
      <c r="AL125" s="433">
        <f t="shared" si="47"/>
        <v>7.2024111144005087E-3</v>
      </c>
      <c r="AM125" s="433"/>
    </row>
    <row r="126" spans="1:39" ht="15.75" customHeight="1" x14ac:dyDescent="0.25">
      <c r="A126" s="194"/>
      <c r="B126" s="194" t="str">
        <f t="shared" ref="B126:D126" si="48">B36</f>
        <v>Foam blowing agents</v>
      </c>
      <c r="C126" s="194" t="str">
        <f t="shared" si="48"/>
        <v>HFC</v>
      </c>
      <c r="D126" s="194" t="str">
        <f t="shared" si="48"/>
        <v>Other HFC</v>
      </c>
      <c r="E126" s="434">
        <f t="shared" si="8"/>
        <v>1.0981515348160384</v>
      </c>
      <c r="F126" s="433">
        <f t="shared" ref="F126:AL126" si="49">F36*$E126</f>
        <v>0</v>
      </c>
      <c r="G126" s="433">
        <f t="shared" si="49"/>
        <v>0</v>
      </c>
      <c r="H126" s="433">
        <f t="shared" si="49"/>
        <v>0</v>
      </c>
      <c r="I126" s="433">
        <f t="shared" si="49"/>
        <v>0</v>
      </c>
      <c r="J126" s="433">
        <f t="shared" si="49"/>
        <v>0</v>
      </c>
      <c r="K126" s="433">
        <f t="shared" si="49"/>
        <v>0</v>
      </c>
      <c r="L126" s="433">
        <f t="shared" si="49"/>
        <v>0</v>
      </c>
      <c r="M126" s="433">
        <f t="shared" si="49"/>
        <v>0</v>
      </c>
      <c r="N126" s="433">
        <f t="shared" si="49"/>
        <v>0</v>
      </c>
      <c r="O126" s="433">
        <f t="shared" si="49"/>
        <v>0</v>
      </c>
      <c r="P126" s="433">
        <f t="shared" si="49"/>
        <v>0</v>
      </c>
      <c r="Q126" s="433">
        <f t="shared" si="49"/>
        <v>0</v>
      </c>
      <c r="R126" s="433">
        <f t="shared" si="49"/>
        <v>3.0120572678523335E-3</v>
      </c>
      <c r="S126" s="433">
        <f t="shared" si="49"/>
        <v>6.5499874522127414E-3</v>
      </c>
      <c r="T126" s="433">
        <f t="shared" si="49"/>
        <v>7.3714158980306074E-3</v>
      </c>
      <c r="U126" s="433">
        <f t="shared" si="49"/>
        <v>8.2177435050189707E-3</v>
      </c>
      <c r="V126" s="433">
        <f t="shared" si="49"/>
        <v>9.0756699761707447E-3</v>
      </c>
      <c r="W126" s="433">
        <f t="shared" si="49"/>
        <v>9.9485579253134129E-3</v>
      </c>
      <c r="X126" s="433">
        <f t="shared" si="49"/>
        <v>1.0860438540024189E-2</v>
      </c>
      <c r="Y126" s="433">
        <f t="shared" si="49"/>
        <v>1.1839286032866107E-2</v>
      </c>
      <c r="Z126" s="433">
        <f t="shared" si="49"/>
        <v>1.289022418384592E-2</v>
      </c>
      <c r="AA126" s="433">
        <f t="shared" si="49"/>
        <v>1.3983731677764647E-2</v>
      </c>
      <c r="AB126" s="433">
        <f t="shared" si="49"/>
        <v>1.5113131686282597E-2</v>
      </c>
      <c r="AC126" s="433">
        <f t="shared" si="49"/>
        <v>1.6263692234889375E-2</v>
      </c>
      <c r="AD126" s="433">
        <f t="shared" si="49"/>
        <v>1.7446991910312175E-2</v>
      </c>
      <c r="AE126" s="433">
        <f t="shared" si="49"/>
        <v>1.8654290369879735E-2</v>
      </c>
      <c r="AF126" s="433">
        <f t="shared" si="49"/>
        <v>1.7920526008013256E-2</v>
      </c>
      <c r="AG126" s="433">
        <f t="shared" si="49"/>
        <v>1.6883282373827038E-2</v>
      </c>
      <c r="AH126" s="433">
        <f t="shared" si="49"/>
        <v>1.5616997156741731E-2</v>
      </c>
      <c r="AI126" s="433">
        <f t="shared" si="49"/>
        <v>1.3843391473529433E-2</v>
      </c>
      <c r="AJ126" s="433">
        <f t="shared" si="49"/>
        <v>1.1643444079186308E-2</v>
      </c>
      <c r="AK126" s="433">
        <f t="shared" si="49"/>
        <v>1.1628751528604977E-2</v>
      </c>
      <c r="AL126" s="433">
        <f t="shared" si="49"/>
        <v>1.1568180312975589E-2</v>
      </c>
      <c r="AM126" s="433"/>
    </row>
    <row r="127" spans="1:39" ht="15.75" customHeight="1" x14ac:dyDescent="0.25">
      <c r="A127" s="194"/>
      <c r="B127" s="194" t="str">
        <f t="shared" ref="B127:D127" si="50">B37</f>
        <v>Foam blowing agents</v>
      </c>
      <c r="C127" s="194" t="str">
        <f t="shared" si="50"/>
        <v>HFC</v>
      </c>
      <c r="D127" s="194" t="str">
        <f t="shared" si="50"/>
        <v>Other HFC</v>
      </c>
      <c r="E127" s="434">
        <f t="shared" si="8"/>
        <v>1.0981515348160384</v>
      </c>
      <c r="F127" s="433">
        <f t="shared" ref="F127:AL127" si="51">F37*$E127</f>
        <v>0</v>
      </c>
      <c r="G127" s="433">
        <f t="shared" si="51"/>
        <v>0</v>
      </c>
      <c r="H127" s="433">
        <f t="shared" si="51"/>
        <v>0</v>
      </c>
      <c r="I127" s="433">
        <f t="shared" si="51"/>
        <v>0</v>
      </c>
      <c r="J127" s="433">
        <f t="shared" si="51"/>
        <v>0</v>
      </c>
      <c r="K127" s="433">
        <f t="shared" si="51"/>
        <v>0</v>
      </c>
      <c r="L127" s="433">
        <f t="shared" si="51"/>
        <v>0</v>
      </c>
      <c r="M127" s="433">
        <f t="shared" si="51"/>
        <v>0</v>
      </c>
      <c r="N127" s="433">
        <f t="shared" si="51"/>
        <v>0</v>
      </c>
      <c r="O127" s="433">
        <f t="shared" si="51"/>
        <v>0</v>
      </c>
      <c r="P127" s="433">
        <f t="shared" si="51"/>
        <v>0</v>
      </c>
      <c r="Q127" s="433">
        <f t="shared" si="51"/>
        <v>7.8681285112785723E-4</v>
      </c>
      <c r="R127" s="433">
        <f t="shared" si="51"/>
        <v>1.0193397072936428E-2</v>
      </c>
      <c r="S127" s="433">
        <f t="shared" si="51"/>
        <v>2.1458799873337313E-2</v>
      </c>
      <c r="T127" s="433">
        <f t="shared" si="51"/>
        <v>2.4523301489443042E-2</v>
      </c>
      <c r="U127" s="433">
        <f t="shared" si="51"/>
        <v>2.7660530177538348E-2</v>
      </c>
      <c r="V127" s="433">
        <f t="shared" si="51"/>
        <v>3.0886064364928918E-2</v>
      </c>
      <c r="W127" s="433">
        <f t="shared" si="51"/>
        <v>3.4122212098837271E-2</v>
      </c>
      <c r="X127" s="433">
        <f t="shared" si="51"/>
        <v>3.7170699080836762E-2</v>
      </c>
      <c r="Y127" s="433">
        <f t="shared" si="51"/>
        <v>4.0674428174255886E-2</v>
      </c>
      <c r="Z127" s="433">
        <f t="shared" si="51"/>
        <v>4.4869141885924689E-2</v>
      </c>
      <c r="AA127" s="433">
        <f t="shared" si="51"/>
        <v>4.9446320111651662E-2</v>
      </c>
      <c r="AB127" s="433">
        <f t="shared" si="51"/>
        <v>5.3783662762857731E-2</v>
      </c>
      <c r="AC127" s="433">
        <f t="shared" si="51"/>
        <v>5.8091461935890237E-2</v>
      </c>
      <c r="AD127" s="433">
        <f t="shared" si="51"/>
        <v>6.2545003660145371E-2</v>
      </c>
      <c r="AE127" s="433">
        <f t="shared" si="51"/>
        <v>8.0449883505061298E-2</v>
      </c>
      <c r="AF127" s="433">
        <f t="shared" si="51"/>
        <v>9.5203069659097653E-2</v>
      </c>
      <c r="AG127" s="433">
        <f t="shared" si="51"/>
        <v>0.11232449878897778</v>
      </c>
      <c r="AH127" s="433">
        <f t="shared" si="51"/>
        <v>0.11836329670611226</v>
      </c>
      <c r="AI127" s="433">
        <f t="shared" si="51"/>
        <v>0.11944378705285141</v>
      </c>
      <c r="AJ127" s="433">
        <f t="shared" si="51"/>
        <v>0.11780309977056137</v>
      </c>
      <c r="AK127" s="433">
        <f t="shared" si="51"/>
        <v>0.12210636356158981</v>
      </c>
      <c r="AL127" s="433">
        <f t="shared" si="51"/>
        <v>0.13483083704302787</v>
      </c>
      <c r="AM127" s="433"/>
    </row>
    <row r="128" spans="1:39" ht="15.75" customHeight="1" x14ac:dyDescent="0.25">
      <c r="A128" s="194"/>
      <c r="B128" s="194" t="str">
        <f t="shared" ref="B128:D128" si="52">B38</f>
        <v>Metered does inhalers</v>
      </c>
      <c r="C128" s="194" t="str">
        <f t="shared" si="52"/>
        <v>HFC</v>
      </c>
      <c r="D128" s="194" t="str">
        <f t="shared" si="52"/>
        <v>Other HFC</v>
      </c>
      <c r="E128" s="434">
        <f t="shared" si="8"/>
        <v>1.0981515348160384</v>
      </c>
      <c r="F128" s="433">
        <f t="shared" ref="F128:AL128" si="53">F38*$E128</f>
        <v>0</v>
      </c>
      <c r="G128" s="433">
        <f t="shared" si="53"/>
        <v>0</v>
      </c>
      <c r="H128" s="433">
        <f t="shared" si="53"/>
        <v>0</v>
      </c>
      <c r="I128" s="433">
        <f t="shared" si="53"/>
        <v>0</v>
      </c>
      <c r="J128" s="433">
        <f t="shared" si="53"/>
        <v>0</v>
      </c>
      <c r="K128" s="433">
        <f t="shared" si="53"/>
        <v>0</v>
      </c>
      <c r="L128" s="433">
        <f t="shared" si="53"/>
        <v>0</v>
      </c>
      <c r="M128" s="433">
        <f t="shared" si="53"/>
        <v>0</v>
      </c>
      <c r="N128" s="433">
        <f t="shared" si="53"/>
        <v>0</v>
      </c>
      <c r="O128" s="433">
        <f t="shared" si="53"/>
        <v>0</v>
      </c>
      <c r="P128" s="433">
        <f t="shared" si="53"/>
        <v>0</v>
      </c>
      <c r="Q128" s="433">
        <f t="shared" si="53"/>
        <v>0</v>
      </c>
      <c r="R128" s="433">
        <f t="shared" si="53"/>
        <v>0</v>
      </c>
      <c r="S128" s="433">
        <f t="shared" si="53"/>
        <v>0</v>
      </c>
      <c r="T128" s="433">
        <f t="shared" si="53"/>
        <v>0</v>
      </c>
      <c r="U128" s="433">
        <f t="shared" si="53"/>
        <v>0</v>
      </c>
      <c r="V128" s="433">
        <f t="shared" si="53"/>
        <v>0</v>
      </c>
      <c r="W128" s="433">
        <f t="shared" si="53"/>
        <v>1.2087624222509141E-3</v>
      </c>
      <c r="X128" s="433">
        <f t="shared" si="53"/>
        <v>2.432380694579244E-3</v>
      </c>
      <c r="Y128" s="433">
        <f t="shared" si="53"/>
        <v>3.6778511559100546E-3</v>
      </c>
      <c r="Z128" s="433">
        <f t="shared" si="53"/>
        <v>4.9551713560528664E-3</v>
      </c>
      <c r="AA128" s="433">
        <f t="shared" si="53"/>
        <v>6.249984144400862E-3</v>
      </c>
      <c r="AB128" s="433">
        <f t="shared" si="53"/>
        <v>7.5632005260498356E-3</v>
      </c>
      <c r="AC128" s="433">
        <f t="shared" si="53"/>
        <v>8.8802559437264617E-3</v>
      </c>
      <c r="AD128" s="433">
        <f t="shared" si="53"/>
        <v>8.9342924666045813E-3</v>
      </c>
      <c r="AE128" s="433">
        <f t="shared" si="53"/>
        <v>8.3855742240733916E-3</v>
      </c>
      <c r="AF128" s="433">
        <f t="shared" si="53"/>
        <v>1.0252989073753379E-2</v>
      </c>
      <c r="AG128" s="433">
        <f t="shared" si="53"/>
        <v>1.2085564636173369E-2</v>
      </c>
      <c r="AH128" s="433">
        <f t="shared" si="53"/>
        <v>1.3770344511282942E-2</v>
      </c>
      <c r="AI128" s="433">
        <f t="shared" si="53"/>
        <v>1.3924112264397173E-2</v>
      </c>
      <c r="AJ128" s="433">
        <f t="shared" si="53"/>
        <v>1.4248693027350235E-2</v>
      </c>
      <c r="AK128" s="433">
        <f t="shared" si="53"/>
        <v>1.4424254469010462E-2</v>
      </c>
      <c r="AL128" s="433">
        <f t="shared" si="53"/>
        <v>8.7279553913826944E-3</v>
      </c>
      <c r="AM128" s="433"/>
    </row>
    <row r="129" spans="1:39" ht="15.75" customHeight="1" x14ac:dyDescent="0.25">
      <c r="A129" s="194"/>
      <c r="B129" s="194" t="str">
        <f t="shared" ref="B129:D129" si="54">B39</f>
        <v>Other Aerosols</v>
      </c>
      <c r="C129" s="194" t="str">
        <f t="shared" si="54"/>
        <v>HFC</v>
      </c>
      <c r="D129" s="194" t="str">
        <f t="shared" si="54"/>
        <v>Other HFC</v>
      </c>
      <c r="E129" s="434">
        <f t="shared" si="8"/>
        <v>1.0981515348160384</v>
      </c>
      <c r="F129" s="433">
        <f t="shared" ref="F129:AL129" si="55">F39*$E129</f>
        <v>0</v>
      </c>
      <c r="G129" s="433">
        <f t="shared" si="55"/>
        <v>0</v>
      </c>
      <c r="H129" s="433">
        <f t="shared" si="55"/>
        <v>0</v>
      </c>
      <c r="I129" s="433">
        <f t="shared" si="55"/>
        <v>0</v>
      </c>
      <c r="J129" s="433">
        <f t="shared" si="55"/>
        <v>0</v>
      </c>
      <c r="K129" s="433">
        <f t="shared" si="55"/>
        <v>0</v>
      </c>
      <c r="L129" s="433">
        <f t="shared" si="55"/>
        <v>0</v>
      </c>
      <c r="M129" s="433">
        <f t="shared" si="55"/>
        <v>0</v>
      </c>
      <c r="N129" s="433">
        <f t="shared" si="55"/>
        <v>0</v>
      </c>
      <c r="O129" s="433">
        <f t="shared" si="55"/>
        <v>0</v>
      </c>
      <c r="P129" s="433">
        <f t="shared" si="55"/>
        <v>0</v>
      </c>
      <c r="Q129" s="433">
        <f t="shared" si="55"/>
        <v>0</v>
      </c>
      <c r="R129" s="433">
        <f t="shared" si="55"/>
        <v>0</v>
      </c>
      <c r="S129" s="433">
        <f t="shared" si="55"/>
        <v>0</v>
      </c>
      <c r="T129" s="433">
        <f t="shared" si="55"/>
        <v>0</v>
      </c>
      <c r="U129" s="433">
        <f t="shared" si="55"/>
        <v>0</v>
      </c>
      <c r="V129" s="433">
        <f t="shared" si="55"/>
        <v>0</v>
      </c>
      <c r="W129" s="433">
        <f t="shared" si="55"/>
        <v>0</v>
      </c>
      <c r="X129" s="433">
        <f t="shared" si="55"/>
        <v>0</v>
      </c>
      <c r="Y129" s="433">
        <f t="shared" si="55"/>
        <v>0</v>
      </c>
      <c r="Z129" s="433">
        <f t="shared" si="55"/>
        <v>0</v>
      </c>
      <c r="AA129" s="433">
        <f t="shared" si="55"/>
        <v>0</v>
      </c>
      <c r="AB129" s="433">
        <f t="shared" si="55"/>
        <v>1.6730651901343778E-6</v>
      </c>
      <c r="AC129" s="433">
        <f t="shared" si="55"/>
        <v>3.5401230500091604E-6</v>
      </c>
      <c r="AD129" s="433">
        <f t="shared" si="55"/>
        <v>5.5964788731395712E-6</v>
      </c>
      <c r="AE129" s="433">
        <f t="shared" si="55"/>
        <v>7.8342415988806261E-6</v>
      </c>
      <c r="AF129" s="433">
        <f t="shared" si="55"/>
        <v>3.4022137366306413E-5</v>
      </c>
      <c r="AG129" s="433">
        <f t="shared" si="55"/>
        <v>5.9108984329394771E-5</v>
      </c>
      <c r="AH129" s="433">
        <f t="shared" si="55"/>
        <v>8.506182916155237E-5</v>
      </c>
      <c r="AI129" s="433">
        <f t="shared" si="55"/>
        <v>8.6556443055004132E-5</v>
      </c>
      <c r="AJ129" s="433">
        <f t="shared" si="55"/>
        <v>8.9133883100124279E-5</v>
      </c>
      <c r="AK129" s="433">
        <f t="shared" si="55"/>
        <v>9.080208607327343E-5</v>
      </c>
      <c r="AL129" s="433">
        <f t="shared" si="55"/>
        <v>9.2135490460673903E-5</v>
      </c>
      <c r="AM129" s="433"/>
    </row>
    <row r="130" spans="1:39" ht="15.75" customHeight="1" x14ac:dyDescent="0.25">
      <c r="A130" s="194"/>
      <c r="B130" s="194" t="str">
        <f t="shared" ref="B130:D130" si="56">B40</f>
        <v>Other Aerosols</v>
      </c>
      <c r="C130" s="194" t="str">
        <f t="shared" si="56"/>
        <v>HFC</v>
      </c>
      <c r="D130" s="194" t="str">
        <f t="shared" si="56"/>
        <v>Other HFC</v>
      </c>
      <c r="E130" s="434">
        <f t="shared" si="8"/>
        <v>1.0981515348160384</v>
      </c>
      <c r="F130" s="433">
        <f t="shared" ref="F130:AL130" si="57">F40*$E130</f>
        <v>4.7932913787858741E-3</v>
      </c>
      <c r="G130" s="433">
        <f t="shared" si="57"/>
        <v>1.0507517401233844E-2</v>
      </c>
      <c r="H130" s="433">
        <f t="shared" si="57"/>
        <v>1.04822675048025E-2</v>
      </c>
      <c r="I130" s="433">
        <f t="shared" si="57"/>
        <v>1.0447719122476235E-2</v>
      </c>
      <c r="J130" s="433">
        <f t="shared" si="57"/>
        <v>1.1099790968463677E-2</v>
      </c>
      <c r="K130" s="433">
        <f t="shared" si="57"/>
        <v>1.1552892740490275E-2</v>
      </c>
      <c r="L130" s="433">
        <f t="shared" si="57"/>
        <v>1.3241436583176299E-2</v>
      </c>
      <c r="M130" s="433">
        <f t="shared" si="57"/>
        <v>2.1352995808661564E-2</v>
      </c>
      <c r="N130" s="433">
        <f t="shared" si="57"/>
        <v>3.3036814923744627E-2</v>
      </c>
      <c r="O130" s="433">
        <f t="shared" si="57"/>
        <v>3.3916627994142717E-2</v>
      </c>
      <c r="P130" s="433">
        <f t="shared" si="57"/>
        <v>3.4307325766276257E-2</v>
      </c>
      <c r="Q130" s="433">
        <f t="shared" si="57"/>
        <v>3.7239424033332282E-2</v>
      </c>
      <c r="R130" s="433">
        <f t="shared" si="57"/>
        <v>4.0171070051689774E-2</v>
      </c>
      <c r="S130" s="433">
        <f t="shared" si="57"/>
        <v>4.3311781974335072E-2</v>
      </c>
      <c r="T130" s="433">
        <f t="shared" si="57"/>
        <v>4.6322813545304257E-2</v>
      </c>
      <c r="U130" s="433">
        <f t="shared" si="57"/>
        <v>4.9546952099043508E-2</v>
      </c>
      <c r="V130" s="433">
        <f t="shared" si="57"/>
        <v>5.0569884698024786E-2</v>
      </c>
      <c r="W130" s="433">
        <f t="shared" si="57"/>
        <v>5.1859746885065644E-2</v>
      </c>
      <c r="X130" s="433">
        <f t="shared" si="57"/>
        <v>5.271086748703499E-2</v>
      </c>
      <c r="Y130" s="433">
        <f t="shared" si="57"/>
        <v>5.6865291659907599E-2</v>
      </c>
      <c r="Z130" s="433">
        <f t="shared" si="57"/>
        <v>6.1199957656589886E-2</v>
      </c>
      <c r="AA130" s="433">
        <f t="shared" si="57"/>
        <v>6.5367344662058208E-2</v>
      </c>
      <c r="AB130" s="433">
        <f t="shared" si="57"/>
        <v>6.9500188996119067E-2</v>
      </c>
      <c r="AC130" s="433">
        <f t="shared" si="57"/>
        <v>7.3525657350279966E-2</v>
      </c>
      <c r="AD130" s="433">
        <f t="shared" si="57"/>
        <v>7.7491779658696039E-2</v>
      </c>
      <c r="AE130" s="433">
        <f t="shared" si="57"/>
        <v>8.1356834739974668E-2</v>
      </c>
      <c r="AF130" s="433">
        <f t="shared" si="57"/>
        <v>8.2663207960127827E-2</v>
      </c>
      <c r="AG130" s="433">
        <f t="shared" si="57"/>
        <v>8.4107226679003097E-2</v>
      </c>
      <c r="AH130" s="433">
        <f t="shared" si="57"/>
        <v>8.55761172990607E-2</v>
      </c>
      <c r="AI130" s="433">
        <f t="shared" si="57"/>
        <v>8.7079699159283444E-2</v>
      </c>
      <c r="AJ130" s="433">
        <f t="shared" si="57"/>
        <v>8.9672910816640722E-2</v>
      </c>
      <c r="AK130" s="433">
        <f t="shared" si="57"/>
        <v>9.1350948396325252E-2</v>
      </c>
      <c r="AL130" s="433">
        <f t="shared" si="57"/>
        <v>9.2692623096045312E-2</v>
      </c>
      <c r="AM130" s="433"/>
    </row>
    <row r="131" spans="1:39" ht="15.75" customHeight="1" x14ac:dyDescent="0.25">
      <c r="A131" s="194"/>
      <c r="B131" s="194" t="str">
        <f t="shared" ref="B131:D131" si="58">B41</f>
        <v>Refrigeration and air-conditioning</v>
      </c>
      <c r="C131" s="194" t="str">
        <f t="shared" si="58"/>
        <v>HFC</v>
      </c>
      <c r="D131" s="194" t="str">
        <f t="shared" si="58"/>
        <v>Other HFC</v>
      </c>
      <c r="E131" s="434">
        <f t="shared" si="8"/>
        <v>1.0981515348160384</v>
      </c>
      <c r="F131" s="433">
        <f t="shared" ref="F131:AL131" si="59">F41*$E131</f>
        <v>0</v>
      </c>
      <c r="G131" s="433">
        <f t="shared" si="59"/>
        <v>0</v>
      </c>
      <c r="H131" s="433">
        <f t="shared" si="59"/>
        <v>0</v>
      </c>
      <c r="I131" s="433">
        <f t="shared" si="59"/>
        <v>0</v>
      </c>
      <c r="J131" s="433">
        <f t="shared" si="59"/>
        <v>0</v>
      </c>
      <c r="K131" s="433">
        <f t="shared" si="59"/>
        <v>0</v>
      </c>
      <c r="L131" s="433">
        <f t="shared" si="59"/>
        <v>0</v>
      </c>
      <c r="M131" s="433">
        <f t="shared" si="59"/>
        <v>0</v>
      </c>
      <c r="N131" s="433">
        <f t="shared" si="59"/>
        <v>0</v>
      </c>
      <c r="O131" s="433">
        <f t="shared" si="59"/>
        <v>0</v>
      </c>
      <c r="P131" s="433">
        <f t="shared" si="59"/>
        <v>0</v>
      </c>
      <c r="Q131" s="433">
        <f t="shared" si="59"/>
        <v>0</v>
      </c>
      <c r="R131" s="433">
        <f t="shared" si="59"/>
        <v>0</v>
      </c>
      <c r="S131" s="433">
        <f t="shared" si="59"/>
        <v>0</v>
      </c>
      <c r="T131" s="433">
        <f t="shared" si="59"/>
        <v>0</v>
      </c>
      <c r="U131" s="433">
        <f t="shared" si="59"/>
        <v>0</v>
      </c>
      <c r="V131" s="433">
        <f t="shared" si="59"/>
        <v>0</v>
      </c>
      <c r="W131" s="433">
        <f t="shared" si="59"/>
        <v>0</v>
      </c>
      <c r="X131" s="433">
        <f t="shared" si="59"/>
        <v>0</v>
      </c>
      <c r="Y131" s="433">
        <f t="shared" si="59"/>
        <v>0</v>
      </c>
      <c r="Z131" s="433">
        <f t="shared" si="59"/>
        <v>0</v>
      </c>
      <c r="AA131" s="433">
        <f t="shared" si="59"/>
        <v>0</v>
      </c>
      <c r="AB131" s="433">
        <f t="shared" si="59"/>
        <v>0</v>
      </c>
      <c r="AC131" s="433">
        <f t="shared" si="59"/>
        <v>0</v>
      </c>
      <c r="AD131" s="433">
        <f t="shared" si="59"/>
        <v>0</v>
      </c>
      <c r="AE131" s="433">
        <f t="shared" si="59"/>
        <v>0</v>
      </c>
      <c r="AF131" s="433">
        <f t="shared" si="59"/>
        <v>2.0181956830591605E-9</v>
      </c>
      <c r="AG131" s="433">
        <f t="shared" si="59"/>
        <v>3.6841323434497051E-8</v>
      </c>
      <c r="AH131" s="433">
        <f t="shared" si="59"/>
        <v>1.6788413219601152E-7</v>
      </c>
      <c r="AI131" s="433">
        <f t="shared" si="59"/>
        <v>3.8284950440254999E-7</v>
      </c>
      <c r="AJ131" s="433">
        <f t="shared" si="59"/>
        <v>6.9233852941701478E-7</v>
      </c>
      <c r="AK131" s="433">
        <f t="shared" si="59"/>
        <v>9.8194881992374261E-7</v>
      </c>
      <c r="AL131" s="433">
        <f t="shared" si="59"/>
        <v>1.2706278543199038E-6</v>
      </c>
      <c r="AM131" s="433"/>
    </row>
    <row r="132" spans="1:39" ht="15.75" customHeight="1" x14ac:dyDescent="0.25">
      <c r="A132" s="194"/>
      <c r="B132" s="194" t="str">
        <f t="shared" ref="B132:D132" si="60">B42</f>
        <v>Refrigeration and air-conditioning</v>
      </c>
      <c r="C132" s="194" t="str">
        <f t="shared" si="60"/>
        <v>HFC</v>
      </c>
      <c r="D132" s="194" t="str">
        <f t="shared" si="60"/>
        <v>Other HFC</v>
      </c>
      <c r="E132" s="434">
        <f t="shared" si="8"/>
        <v>1.0981515348160384</v>
      </c>
      <c r="F132" s="433">
        <f t="shared" ref="F132:AL132" si="61">F42*$E132</f>
        <v>0</v>
      </c>
      <c r="G132" s="433">
        <f t="shared" si="61"/>
        <v>0</v>
      </c>
      <c r="H132" s="433">
        <f t="shared" si="61"/>
        <v>0</v>
      </c>
      <c r="I132" s="433">
        <f t="shared" si="61"/>
        <v>0</v>
      </c>
      <c r="J132" s="433">
        <f t="shared" si="61"/>
        <v>0</v>
      </c>
      <c r="K132" s="433">
        <f t="shared" si="61"/>
        <v>0</v>
      </c>
      <c r="L132" s="433">
        <f t="shared" si="61"/>
        <v>0</v>
      </c>
      <c r="M132" s="433">
        <f t="shared" si="61"/>
        <v>0</v>
      </c>
      <c r="N132" s="433">
        <f t="shared" si="61"/>
        <v>0</v>
      </c>
      <c r="O132" s="433">
        <f t="shared" si="61"/>
        <v>0</v>
      </c>
      <c r="P132" s="433">
        <f t="shared" si="61"/>
        <v>0</v>
      </c>
      <c r="Q132" s="433">
        <f t="shared" si="61"/>
        <v>0</v>
      </c>
      <c r="R132" s="433">
        <f t="shared" si="61"/>
        <v>0</v>
      </c>
      <c r="S132" s="433">
        <f t="shared" si="61"/>
        <v>0</v>
      </c>
      <c r="T132" s="433">
        <f t="shared" si="61"/>
        <v>0</v>
      </c>
      <c r="U132" s="433">
        <f t="shared" si="61"/>
        <v>0</v>
      </c>
      <c r="V132" s="433">
        <f t="shared" si="61"/>
        <v>0</v>
      </c>
      <c r="W132" s="433">
        <f t="shared" si="61"/>
        <v>0</v>
      </c>
      <c r="X132" s="433">
        <f t="shared" si="61"/>
        <v>0</v>
      </c>
      <c r="Y132" s="433">
        <f t="shared" si="61"/>
        <v>0</v>
      </c>
      <c r="Z132" s="433">
        <f t="shared" si="61"/>
        <v>0</v>
      </c>
      <c r="AA132" s="433">
        <f t="shared" si="61"/>
        <v>0</v>
      </c>
      <c r="AB132" s="433">
        <f t="shared" si="61"/>
        <v>0</v>
      </c>
      <c r="AC132" s="433">
        <f t="shared" si="61"/>
        <v>0</v>
      </c>
      <c r="AD132" s="433">
        <f t="shared" si="61"/>
        <v>0</v>
      </c>
      <c r="AE132" s="433">
        <f t="shared" si="61"/>
        <v>0</v>
      </c>
      <c r="AF132" s="433">
        <f t="shared" si="61"/>
        <v>3.1604944396706465E-9</v>
      </c>
      <c r="AG132" s="433">
        <f t="shared" si="61"/>
        <v>1.4595606278694184E-8</v>
      </c>
      <c r="AH132" s="433">
        <f t="shared" si="61"/>
        <v>1.1880412991287131E-7</v>
      </c>
      <c r="AI132" s="433">
        <f t="shared" si="61"/>
        <v>3.0392160317310333E-7</v>
      </c>
      <c r="AJ132" s="433">
        <f t="shared" si="61"/>
        <v>5.7574734569012503E-7</v>
      </c>
      <c r="AK132" s="433">
        <f t="shared" si="61"/>
        <v>9.3530978607391876E-7</v>
      </c>
      <c r="AL132" s="433">
        <f t="shared" si="61"/>
        <v>1.3674672601394128E-6</v>
      </c>
      <c r="AM132" s="433"/>
    </row>
    <row r="133" spans="1:39" ht="15.75" customHeight="1" x14ac:dyDescent="0.25">
      <c r="A133" s="194"/>
      <c r="B133" s="194" t="str">
        <f t="shared" ref="B133:D133" si="62">B43</f>
        <v>Refrigeration and air-conditioning</v>
      </c>
      <c r="C133" s="194" t="str">
        <f t="shared" si="62"/>
        <v>HFC</v>
      </c>
      <c r="D133" s="194" t="str">
        <f t="shared" si="62"/>
        <v>Other HFC</v>
      </c>
      <c r="E133" s="434">
        <f t="shared" si="8"/>
        <v>1.0981515348160384</v>
      </c>
      <c r="F133" s="433">
        <f t="shared" ref="F133:AL133" si="63">F43*$E133</f>
        <v>0</v>
      </c>
      <c r="G133" s="433">
        <f t="shared" si="63"/>
        <v>0</v>
      </c>
      <c r="H133" s="433">
        <f t="shared" si="63"/>
        <v>0</v>
      </c>
      <c r="I133" s="433">
        <f t="shared" si="63"/>
        <v>0</v>
      </c>
      <c r="J133" s="433">
        <f t="shared" si="63"/>
        <v>0</v>
      </c>
      <c r="K133" s="433">
        <f t="shared" si="63"/>
        <v>0</v>
      </c>
      <c r="L133" s="433">
        <f t="shared" si="63"/>
        <v>0</v>
      </c>
      <c r="M133" s="433">
        <f t="shared" si="63"/>
        <v>0</v>
      </c>
      <c r="N133" s="433">
        <f t="shared" si="63"/>
        <v>0</v>
      </c>
      <c r="O133" s="433">
        <f t="shared" si="63"/>
        <v>0</v>
      </c>
      <c r="P133" s="433">
        <f t="shared" si="63"/>
        <v>0</v>
      </c>
      <c r="Q133" s="433">
        <f t="shared" si="63"/>
        <v>0</v>
      </c>
      <c r="R133" s="433">
        <f t="shared" si="63"/>
        <v>0</v>
      </c>
      <c r="S133" s="433">
        <f t="shared" si="63"/>
        <v>0</v>
      </c>
      <c r="T133" s="433">
        <f t="shared" si="63"/>
        <v>0</v>
      </c>
      <c r="U133" s="433">
        <f t="shared" si="63"/>
        <v>0</v>
      </c>
      <c r="V133" s="433">
        <f t="shared" si="63"/>
        <v>0</v>
      </c>
      <c r="W133" s="433">
        <f t="shared" si="63"/>
        <v>0</v>
      </c>
      <c r="X133" s="433">
        <f t="shared" si="63"/>
        <v>0</v>
      </c>
      <c r="Y133" s="433">
        <f t="shared" si="63"/>
        <v>0</v>
      </c>
      <c r="Z133" s="433">
        <f t="shared" si="63"/>
        <v>0</v>
      </c>
      <c r="AA133" s="433">
        <f t="shared" si="63"/>
        <v>0</v>
      </c>
      <c r="AB133" s="433">
        <f t="shared" si="63"/>
        <v>3.9461963147242475E-8</v>
      </c>
      <c r="AC133" s="433">
        <f t="shared" si="63"/>
        <v>1.1873603613630537E-7</v>
      </c>
      <c r="AD133" s="433">
        <f t="shared" si="63"/>
        <v>2.3861035146191792E-7</v>
      </c>
      <c r="AE133" s="433">
        <f t="shared" si="63"/>
        <v>3.9953254455861679E-7</v>
      </c>
      <c r="AF133" s="433">
        <f t="shared" si="63"/>
        <v>3.2707121423138724E-6</v>
      </c>
      <c r="AG133" s="433">
        <f t="shared" si="63"/>
        <v>8.8725784633999146E-6</v>
      </c>
      <c r="AH133" s="433">
        <f t="shared" si="63"/>
        <v>1.7341547255152221E-5</v>
      </c>
      <c r="AI133" s="433">
        <f t="shared" si="63"/>
        <v>2.8724376721488912E-5</v>
      </c>
      <c r="AJ133" s="433">
        <f t="shared" si="63"/>
        <v>4.3592213850155803E-5</v>
      </c>
      <c r="AK133" s="433">
        <f t="shared" si="63"/>
        <v>6.1147170705910144E-5</v>
      </c>
      <c r="AL133" s="433">
        <f t="shared" si="63"/>
        <v>7.8726749035898253E-5</v>
      </c>
      <c r="AM133" s="433"/>
    </row>
    <row r="134" spans="1:39" ht="15.75" customHeight="1" x14ac:dyDescent="0.25">
      <c r="A134" s="194"/>
      <c r="B134" s="194" t="str">
        <f t="shared" ref="B134:D134" si="64">B44</f>
        <v>Refrigeration and air-conditioning</v>
      </c>
      <c r="C134" s="194" t="str">
        <f t="shared" si="64"/>
        <v>HFC</v>
      </c>
      <c r="D134" s="194" t="str">
        <f t="shared" si="64"/>
        <v>Other HFC</v>
      </c>
      <c r="E134" s="434">
        <f t="shared" si="8"/>
        <v>1.0981515348160384</v>
      </c>
      <c r="F134" s="433">
        <f t="shared" ref="F134:AL134" si="65">F44*$E134</f>
        <v>3.1880475436748109E-4</v>
      </c>
      <c r="G134" s="433">
        <f t="shared" si="65"/>
        <v>3.2672172683532162E-4</v>
      </c>
      <c r="H134" s="433">
        <f t="shared" si="65"/>
        <v>3.3021211063908245E-4</v>
      </c>
      <c r="I134" s="433">
        <f t="shared" si="65"/>
        <v>4.4210694242231439E-4</v>
      </c>
      <c r="J134" s="433">
        <f t="shared" si="65"/>
        <v>5.3574010733982219E-4</v>
      </c>
      <c r="K134" s="433">
        <f t="shared" si="65"/>
        <v>6.1393318888522419E-4</v>
      </c>
      <c r="L134" s="433">
        <f t="shared" si="65"/>
        <v>6.6843745768559377E-4</v>
      </c>
      <c r="M134" s="433">
        <f t="shared" si="65"/>
        <v>7.0720078056476143E-4</v>
      </c>
      <c r="N134" s="433">
        <f t="shared" si="65"/>
        <v>6.5520821822645785E-4</v>
      </c>
      <c r="O134" s="433">
        <f t="shared" si="65"/>
        <v>5.9957972158250755E-4</v>
      </c>
      <c r="P134" s="433">
        <f t="shared" si="65"/>
        <v>5.4532963048725105E-4</v>
      </c>
      <c r="Q134" s="433">
        <f t="shared" si="65"/>
        <v>4.9300432708168467E-4</v>
      </c>
      <c r="R134" s="433">
        <f t="shared" si="65"/>
        <v>4.4142595047787925E-4</v>
      </c>
      <c r="S134" s="433">
        <f t="shared" si="65"/>
        <v>3.8962958995993014E-4</v>
      </c>
      <c r="T134" s="433">
        <f t="shared" si="65"/>
        <v>3.3669899325850091E-4</v>
      </c>
      <c r="U134" s="433">
        <f t="shared" si="65"/>
        <v>2.9039771031735595E-4</v>
      </c>
      <c r="V134" s="433">
        <f t="shared" si="65"/>
        <v>2.4722379565705004E-4</v>
      </c>
      <c r="W134" s="433">
        <f t="shared" si="65"/>
        <v>2.0273677009295668E-4</v>
      </c>
      <c r="X134" s="433">
        <f t="shared" si="65"/>
        <v>1.64312190401841E-4</v>
      </c>
      <c r="Y134" s="433">
        <f t="shared" si="65"/>
        <v>1.3953674258380177E-4</v>
      </c>
      <c r="Z134" s="433">
        <f t="shared" si="65"/>
        <v>1.2179003590024538E-4</v>
      </c>
      <c r="AA134" s="433">
        <f t="shared" si="65"/>
        <v>1.1103589958241942E-4</v>
      </c>
      <c r="AB134" s="433">
        <f t="shared" si="65"/>
        <v>1.0426900677180668E-4</v>
      </c>
      <c r="AC134" s="433">
        <f t="shared" si="65"/>
        <v>9.5304833483573793E-5</v>
      </c>
      <c r="AD134" s="433">
        <f t="shared" si="65"/>
        <v>8.5835624616892612E-5</v>
      </c>
      <c r="AE134" s="433">
        <f t="shared" si="65"/>
        <v>7.4696568062191149E-5</v>
      </c>
      <c r="AF134" s="433">
        <f t="shared" si="65"/>
        <v>6.3082463954375938E-5</v>
      </c>
      <c r="AG134" s="433">
        <f t="shared" si="65"/>
        <v>5.1000217094210277E-5</v>
      </c>
      <c r="AH134" s="433">
        <f t="shared" si="65"/>
        <v>3.8091146410250282E-5</v>
      </c>
      <c r="AI134" s="433">
        <f t="shared" si="65"/>
        <v>2.4260157370814644E-5</v>
      </c>
      <c r="AJ134" s="433">
        <f t="shared" si="65"/>
        <v>1.2449581679833548E-5</v>
      </c>
      <c r="AK134" s="433">
        <f t="shared" si="65"/>
        <v>5.0482027213327919E-6</v>
      </c>
      <c r="AL134" s="433">
        <f t="shared" si="65"/>
        <v>3.7781475192805661E-6</v>
      </c>
      <c r="AM134" s="433"/>
    </row>
    <row r="135" spans="1:39" ht="15.75" customHeight="1" x14ac:dyDescent="0.25">
      <c r="A135" s="194"/>
      <c r="B135" s="194" t="str">
        <f t="shared" ref="B135:D135" si="66">B45</f>
        <v>Refrigeration and air-conditioning</v>
      </c>
      <c r="C135" s="194" t="str">
        <f t="shared" si="66"/>
        <v>HFC</v>
      </c>
      <c r="D135" s="194" t="str">
        <f t="shared" si="66"/>
        <v>Other HFC</v>
      </c>
      <c r="E135" s="434">
        <f t="shared" si="8"/>
        <v>1.0981515348160384</v>
      </c>
      <c r="F135" s="433">
        <f t="shared" ref="F135:AL135" si="67">F45*$E135</f>
        <v>0</v>
      </c>
      <c r="G135" s="433">
        <f t="shared" si="67"/>
        <v>0</v>
      </c>
      <c r="H135" s="433">
        <f t="shared" si="67"/>
        <v>0</v>
      </c>
      <c r="I135" s="433">
        <f t="shared" si="67"/>
        <v>0</v>
      </c>
      <c r="J135" s="433">
        <f t="shared" si="67"/>
        <v>0</v>
      </c>
      <c r="K135" s="433">
        <f t="shared" si="67"/>
        <v>0</v>
      </c>
      <c r="L135" s="433">
        <f t="shared" si="67"/>
        <v>0</v>
      </c>
      <c r="M135" s="433">
        <f t="shared" si="67"/>
        <v>0</v>
      </c>
      <c r="N135" s="433">
        <f t="shared" si="67"/>
        <v>0</v>
      </c>
      <c r="O135" s="433">
        <f t="shared" si="67"/>
        <v>0</v>
      </c>
      <c r="P135" s="433">
        <f t="shared" si="67"/>
        <v>0</v>
      </c>
      <c r="Q135" s="433">
        <f t="shared" si="67"/>
        <v>0</v>
      </c>
      <c r="R135" s="433">
        <f t="shared" si="67"/>
        <v>0</v>
      </c>
      <c r="S135" s="433">
        <f t="shared" si="67"/>
        <v>0</v>
      </c>
      <c r="T135" s="433">
        <f t="shared" si="67"/>
        <v>0</v>
      </c>
      <c r="U135" s="433">
        <f t="shared" si="67"/>
        <v>0</v>
      </c>
      <c r="V135" s="433">
        <f t="shared" si="67"/>
        <v>0</v>
      </c>
      <c r="W135" s="433">
        <f t="shared" si="67"/>
        <v>0</v>
      </c>
      <c r="X135" s="433">
        <f t="shared" si="67"/>
        <v>0</v>
      </c>
      <c r="Y135" s="433">
        <f t="shared" si="67"/>
        <v>0</v>
      </c>
      <c r="Z135" s="433">
        <f t="shared" si="67"/>
        <v>0</v>
      </c>
      <c r="AA135" s="433">
        <f t="shared" si="67"/>
        <v>0</v>
      </c>
      <c r="AB135" s="433">
        <f t="shared" si="67"/>
        <v>0</v>
      </c>
      <c r="AC135" s="433">
        <f t="shared" si="67"/>
        <v>0</v>
      </c>
      <c r="AD135" s="433">
        <f t="shared" si="67"/>
        <v>0</v>
      </c>
      <c r="AE135" s="433">
        <f t="shared" si="67"/>
        <v>0</v>
      </c>
      <c r="AF135" s="433">
        <f t="shared" si="67"/>
        <v>0</v>
      </c>
      <c r="AG135" s="433">
        <f t="shared" si="67"/>
        <v>9.3238746095371387E-9</v>
      </c>
      <c r="AH135" s="433">
        <f t="shared" si="67"/>
        <v>1.8511394412681704E-7</v>
      </c>
      <c r="AI135" s="433">
        <f t="shared" si="67"/>
        <v>4.965516000726963E-7</v>
      </c>
      <c r="AJ135" s="433">
        <f t="shared" si="67"/>
        <v>9.6183115029702922E-7</v>
      </c>
      <c r="AK135" s="433">
        <f t="shared" si="67"/>
        <v>1.3942986424158094E-6</v>
      </c>
      <c r="AL135" s="433">
        <f t="shared" si="67"/>
        <v>1.8259639669936155E-6</v>
      </c>
      <c r="AM135" s="433"/>
    </row>
    <row r="136" spans="1:39" ht="15.75" customHeight="1" x14ac:dyDescent="0.25">
      <c r="A136" s="194"/>
      <c r="B136" s="194" t="str">
        <f t="shared" ref="B136:D136" si="68">B46</f>
        <v>Solvents</v>
      </c>
      <c r="C136" s="194" t="str">
        <f t="shared" si="68"/>
        <v>HFC</v>
      </c>
      <c r="D136" s="194" t="str">
        <f t="shared" si="68"/>
        <v>Other HFC</v>
      </c>
      <c r="E136" s="434">
        <f t="shared" si="8"/>
        <v>1.0981515348160384</v>
      </c>
      <c r="F136" s="433">
        <f t="shared" ref="F136:AL136" si="69">F46*$E136</f>
        <v>0</v>
      </c>
      <c r="G136" s="433">
        <f t="shared" si="69"/>
        <v>0</v>
      </c>
      <c r="H136" s="433">
        <f t="shared" si="69"/>
        <v>0</v>
      </c>
      <c r="I136" s="433">
        <f t="shared" si="69"/>
        <v>0</v>
      </c>
      <c r="J136" s="433">
        <f t="shared" si="69"/>
        <v>0</v>
      </c>
      <c r="K136" s="433">
        <f t="shared" si="69"/>
        <v>1.2858063146466956E-2</v>
      </c>
      <c r="L136" s="433">
        <f t="shared" si="69"/>
        <v>2.6142352744017917E-2</v>
      </c>
      <c r="M136" s="433">
        <f t="shared" si="69"/>
        <v>2.658181807889614E-2</v>
      </c>
      <c r="N136" s="433">
        <f t="shared" si="69"/>
        <v>2.7044238366872649E-2</v>
      </c>
      <c r="O136" s="433">
        <f t="shared" si="69"/>
        <v>2.7532808725192717E-2</v>
      </c>
      <c r="P136" s="433">
        <f t="shared" si="69"/>
        <v>2.8072761508890515E-2</v>
      </c>
      <c r="Q136" s="433">
        <f t="shared" si="69"/>
        <v>2.8695384880284908E-2</v>
      </c>
      <c r="R136" s="433">
        <f t="shared" si="69"/>
        <v>2.935716353734296E-2</v>
      </c>
      <c r="S136" s="433">
        <f t="shared" si="69"/>
        <v>2.9996342867321352E-2</v>
      </c>
      <c r="T136" s="433">
        <f t="shared" si="69"/>
        <v>3.0597786383249323E-2</v>
      </c>
      <c r="U136" s="433">
        <f t="shared" si="69"/>
        <v>3.1181531713213761E-2</v>
      </c>
      <c r="V136" s="433">
        <f t="shared" si="69"/>
        <v>3.1702884498197297E-2</v>
      </c>
      <c r="W136" s="433">
        <f t="shared" si="69"/>
        <v>3.2185696943230223E-2</v>
      </c>
      <c r="X136" s="433">
        <f t="shared" si="69"/>
        <v>3.2708616470076307E-2</v>
      </c>
      <c r="Y136" s="433">
        <f t="shared" si="69"/>
        <v>3.334236702262814E-2</v>
      </c>
      <c r="Z136" s="433">
        <f t="shared" si="69"/>
        <v>3.4078139361759671E-2</v>
      </c>
      <c r="AA136" s="433">
        <f t="shared" si="69"/>
        <v>3.4822707394172821E-2</v>
      </c>
      <c r="AB136" s="433">
        <f t="shared" si="69"/>
        <v>3.555866646152727E-2</v>
      </c>
      <c r="AC136" s="433">
        <f t="shared" si="69"/>
        <v>3.6252561779735001E-2</v>
      </c>
      <c r="AD136" s="433">
        <f t="shared" si="69"/>
        <v>3.693340986416873E-2</v>
      </c>
      <c r="AE136" s="433">
        <f t="shared" si="69"/>
        <v>3.7584727472006446E-2</v>
      </c>
      <c r="AF136" s="433">
        <f t="shared" si="69"/>
        <v>3.818836935169434E-2</v>
      </c>
      <c r="AG136" s="433">
        <f t="shared" si="69"/>
        <v>3.8855607694375148E-2</v>
      </c>
      <c r="AH136" s="433">
        <f t="shared" si="69"/>
        <v>3.9534062330073408E-2</v>
      </c>
      <c r="AI136" s="433">
        <f t="shared" si="69"/>
        <v>4.0228918382978436E-2</v>
      </c>
      <c r="AJ136" s="433">
        <f t="shared" si="69"/>
        <v>4.1426934504528709E-2</v>
      </c>
      <c r="AK136" s="433">
        <f t="shared" si="69"/>
        <v>4.2202265468569568E-2</v>
      </c>
      <c r="AL136" s="433">
        <f t="shared" si="69"/>
        <v>4.2821987365809965E-2</v>
      </c>
      <c r="AM136" s="433"/>
    </row>
    <row r="137" spans="1:39" ht="15.75" customHeight="1" x14ac:dyDescent="0.25">
      <c r="A137" s="194"/>
      <c r="B137" s="194" t="str">
        <f t="shared" ref="B137:D137" si="70">B47</f>
        <v>Fire protection</v>
      </c>
      <c r="C137" s="194" t="str">
        <f t="shared" si="70"/>
        <v>PFC</v>
      </c>
      <c r="D137" s="194" t="str">
        <f t="shared" si="70"/>
        <v>Other PFC</v>
      </c>
      <c r="E137" s="434">
        <f t="shared" si="8"/>
        <v>1.8064527199105882</v>
      </c>
      <c r="F137" s="433">
        <f t="shared" ref="F137:AL137" si="71">F47*$E137</f>
        <v>0</v>
      </c>
      <c r="G137" s="433">
        <f t="shared" si="71"/>
        <v>0</v>
      </c>
      <c r="H137" s="433">
        <f t="shared" si="71"/>
        <v>0</v>
      </c>
      <c r="I137" s="433">
        <f t="shared" si="71"/>
        <v>0</v>
      </c>
      <c r="J137" s="433">
        <f t="shared" si="71"/>
        <v>3.1252988760546909E-6</v>
      </c>
      <c r="K137" s="433">
        <f t="shared" si="71"/>
        <v>3.4290762945156283E-5</v>
      </c>
      <c r="L137" s="433">
        <f t="shared" si="71"/>
        <v>8.3886945009808717E-5</v>
      </c>
      <c r="M137" s="433">
        <f t="shared" si="71"/>
        <v>1.5795868102124581E-4</v>
      </c>
      <c r="N137" s="433">
        <f t="shared" si="71"/>
        <v>2.564117740052231E-4</v>
      </c>
      <c r="O137" s="433">
        <f t="shared" si="71"/>
        <v>3.8851757857311456E-4</v>
      </c>
      <c r="P137" s="433">
        <f t="shared" si="71"/>
        <v>5.1166128713824401E-4</v>
      </c>
      <c r="Q137" s="433">
        <f t="shared" si="71"/>
        <v>6.3321873099480652E-4</v>
      </c>
      <c r="R137" s="433">
        <f t="shared" si="71"/>
        <v>7.4664576035905717E-4</v>
      </c>
      <c r="S137" s="433">
        <f t="shared" si="71"/>
        <v>7.4794544611338253E-4</v>
      </c>
      <c r="T137" s="433">
        <f t="shared" si="71"/>
        <v>7.4798268724453874E-4</v>
      </c>
      <c r="U137" s="433">
        <f t="shared" si="71"/>
        <v>7.4730237457089051E-4</v>
      </c>
      <c r="V137" s="433">
        <f t="shared" si="71"/>
        <v>7.4490445346025438E-4</v>
      </c>
      <c r="W137" s="433">
        <f t="shared" si="71"/>
        <v>7.4142458402969751E-4</v>
      </c>
      <c r="X137" s="433">
        <f t="shared" si="71"/>
        <v>7.3869775156154994E-4</v>
      </c>
      <c r="Y137" s="433">
        <f t="shared" si="71"/>
        <v>7.382421839629181E-4</v>
      </c>
      <c r="Z137" s="433">
        <f t="shared" si="71"/>
        <v>7.3973616806546742E-4</v>
      </c>
      <c r="AA137" s="433">
        <f t="shared" si="71"/>
        <v>7.4108157604983965E-4</v>
      </c>
      <c r="AB137" s="433">
        <f t="shared" si="71"/>
        <v>7.4190133586336706E-4</v>
      </c>
      <c r="AC137" s="433">
        <f t="shared" si="71"/>
        <v>7.4154736434371975E-4</v>
      </c>
      <c r="AD137" s="433">
        <f t="shared" si="71"/>
        <v>7.4066293220973801E-4</v>
      </c>
      <c r="AE137" s="433">
        <f t="shared" si="71"/>
        <v>7.3894896804106681E-4</v>
      </c>
      <c r="AF137" s="433">
        <f t="shared" si="71"/>
        <v>7.3609262959230324E-4</v>
      </c>
      <c r="AG137" s="433">
        <f t="shared" si="71"/>
        <v>7.3426584885125372E-4</v>
      </c>
      <c r="AH137" s="433">
        <f t="shared" si="71"/>
        <v>7.3244086865830696E-4</v>
      </c>
      <c r="AI137" s="433">
        <f t="shared" si="71"/>
        <v>7.3069577891417281E-4</v>
      </c>
      <c r="AJ137" s="433">
        <f t="shared" si="71"/>
        <v>7.3770172409781253E-4</v>
      </c>
      <c r="AK137" s="433">
        <f t="shared" si="71"/>
        <v>7.3677083802823349E-4</v>
      </c>
      <c r="AL137" s="433">
        <f t="shared" si="71"/>
        <v>7.3293318570675375E-4</v>
      </c>
      <c r="AM137" s="433"/>
    </row>
    <row r="138" spans="1:39" ht="15.75" customHeight="1" x14ac:dyDescent="0.25">
      <c r="A138" s="194"/>
      <c r="B138" s="194" t="str">
        <f t="shared" ref="B138:D138" si="72">B48</f>
        <v>Solvents</v>
      </c>
      <c r="C138" s="194" t="str">
        <f t="shared" si="72"/>
        <v>PFC</v>
      </c>
      <c r="D138" s="194" t="str">
        <f t="shared" si="72"/>
        <v>Other PFC</v>
      </c>
      <c r="E138" s="434">
        <f t="shared" si="8"/>
        <v>1.8064527199105882</v>
      </c>
      <c r="F138" s="433">
        <f t="shared" ref="F138:AL138" si="73">F48*$E138</f>
        <v>0</v>
      </c>
      <c r="G138" s="433">
        <f t="shared" si="73"/>
        <v>0</v>
      </c>
      <c r="H138" s="433">
        <f t="shared" si="73"/>
        <v>0</v>
      </c>
      <c r="I138" s="433">
        <f t="shared" si="73"/>
        <v>0</v>
      </c>
      <c r="J138" s="433">
        <f t="shared" si="73"/>
        <v>0</v>
      </c>
      <c r="K138" s="433">
        <f t="shared" si="73"/>
        <v>1.5258586456165887E-2</v>
      </c>
      <c r="L138" s="433">
        <f t="shared" si="73"/>
        <v>3.6673991127994125E-2</v>
      </c>
      <c r="M138" s="433">
        <f t="shared" si="73"/>
        <v>4.3038495488241943E-2</v>
      </c>
      <c r="N138" s="433">
        <f t="shared" si="73"/>
        <v>4.3786222403491309E-2</v>
      </c>
      <c r="O138" s="433">
        <f t="shared" si="73"/>
        <v>4.4578521042203036E-2</v>
      </c>
      <c r="P138" s="433">
        <f t="shared" si="73"/>
        <v>3.5225199361285084E-2</v>
      </c>
      <c r="Q138" s="433">
        <f t="shared" si="73"/>
        <v>2.5553706405296576E-2</v>
      </c>
      <c r="R138" s="433">
        <f t="shared" si="73"/>
        <v>1.5449492239650383E-2</v>
      </c>
      <c r="S138" s="433">
        <f t="shared" si="73"/>
        <v>4.8563829295225841E-3</v>
      </c>
      <c r="T138" s="433">
        <f t="shared" si="73"/>
        <v>4.9553583146246093E-3</v>
      </c>
      <c r="U138" s="433">
        <f t="shared" si="73"/>
        <v>4.0390628274519442E-3</v>
      </c>
      <c r="V138" s="433">
        <f t="shared" si="73"/>
        <v>3.077377284284759E-3</v>
      </c>
      <c r="W138" s="433">
        <f t="shared" si="73"/>
        <v>2.0843220035286964E-3</v>
      </c>
      <c r="X138" s="433">
        <f t="shared" si="73"/>
        <v>1.0594109166383043E-3</v>
      </c>
      <c r="Y138" s="433">
        <f t="shared" si="73"/>
        <v>0</v>
      </c>
      <c r="Z138" s="433">
        <f t="shared" si="73"/>
        <v>0</v>
      </c>
      <c r="AA138" s="433">
        <f t="shared" si="73"/>
        <v>0</v>
      </c>
      <c r="AB138" s="433">
        <f t="shared" si="73"/>
        <v>0</v>
      </c>
      <c r="AC138" s="433">
        <f t="shared" si="73"/>
        <v>0</v>
      </c>
      <c r="AD138" s="433">
        <f t="shared" si="73"/>
        <v>0</v>
      </c>
      <c r="AE138" s="433">
        <f t="shared" si="73"/>
        <v>0</v>
      </c>
      <c r="AF138" s="433">
        <f t="shared" si="73"/>
        <v>0</v>
      </c>
      <c r="AG138" s="433">
        <f t="shared" si="73"/>
        <v>0</v>
      </c>
      <c r="AH138" s="433">
        <f t="shared" si="73"/>
        <v>0</v>
      </c>
      <c r="AI138" s="433">
        <f t="shared" si="73"/>
        <v>0</v>
      </c>
      <c r="AJ138" s="433">
        <f t="shared" si="73"/>
        <v>0</v>
      </c>
      <c r="AK138" s="433">
        <f t="shared" si="73"/>
        <v>0</v>
      </c>
      <c r="AL138" s="433">
        <f t="shared" si="73"/>
        <v>0</v>
      </c>
      <c r="AM138" s="433"/>
    </row>
    <row r="139" spans="1:39" ht="15.75" customHeight="1" x14ac:dyDescent="0.25">
      <c r="A139" s="194"/>
      <c r="B139" s="194" t="str">
        <f t="shared" ref="B139:D139" si="74">B49</f>
        <v>Fire protection</v>
      </c>
      <c r="C139" s="194" t="str">
        <f t="shared" si="74"/>
        <v>PFC</v>
      </c>
      <c r="D139" s="194" t="str">
        <f t="shared" si="74"/>
        <v>PFC-14 (Perfluoromethane)</v>
      </c>
      <c r="E139" s="434">
        <f t="shared" si="8"/>
        <v>1.1131221719457014</v>
      </c>
      <c r="F139" s="433">
        <f t="shared" ref="F139:AL139" si="75">F49*$E139</f>
        <v>0</v>
      </c>
      <c r="G139" s="433">
        <f t="shared" si="75"/>
        <v>0</v>
      </c>
      <c r="H139" s="433">
        <f t="shared" si="75"/>
        <v>0</v>
      </c>
      <c r="I139" s="433">
        <f t="shared" si="75"/>
        <v>0</v>
      </c>
      <c r="J139" s="433">
        <f t="shared" si="75"/>
        <v>4.9961560157817728E-7</v>
      </c>
      <c r="K139" s="433">
        <f t="shared" si="75"/>
        <v>1.6057738723443702E-6</v>
      </c>
      <c r="L139" s="433">
        <f t="shared" si="75"/>
        <v>1.4514039122903119E-5</v>
      </c>
      <c r="M139" s="433">
        <f t="shared" si="75"/>
        <v>3.9830321803897769E-5</v>
      </c>
      <c r="N139" s="433">
        <f t="shared" si="75"/>
        <v>7.8304328681815341E-5</v>
      </c>
      <c r="O139" s="433">
        <f t="shared" si="75"/>
        <v>1.3057147368950137E-4</v>
      </c>
      <c r="P139" s="433">
        <f t="shared" si="75"/>
        <v>1.9720599169831886E-4</v>
      </c>
      <c r="Q139" s="433">
        <f t="shared" si="75"/>
        <v>2.6593459534622149E-4</v>
      </c>
      <c r="R139" s="433">
        <f t="shared" si="75"/>
        <v>3.2555746089674354E-4</v>
      </c>
      <c r="S139" s="433">
        <f t="shared" si="75"/>
        <v>3.7457972570859206E-4</v>
      </c>
      <c r="T139" s="433">
        <f t="shared" si="75"/>
        <v>4.1203064988122872E-4</v>
      </c>
      <c r="U139" s="433">
        <f t="shared" si="75"/>
        <v>4.3726734755239298E-4</v>
      </c>
      <c r="V139" s="433">
        <f t="shared" si="75"/>
        <v>4.4898575349609749E-4</v>
      </c>
      <c r="W139" s="433">
        <f t="shared" si="75"/>
        <v>4.6027635671259091E-4</v>
      </c>
      <c r="X139" s="433">
        <f t="shared" si="75"/>
        <v>4.7235792308832932E-4</v>
      </c>
      <c r="Y139" s="433">
        <f t="shared" si="75"/>
        <v>4.8621337521845742E-4</v>
      </c>
      <c r="Z139" s="433">
        <f t="shared" si="75"/>
        <v>5.018088856264762E-4</v>
      </c>
      <c r="AA139" s="433">
        <f t="shared" si="75"/>
        <v>5.1779665162890985E-4</v>
      </c>
      <c r="AB139" s="433">
        <f t="shared" si="75"/>
        <v>5.339533119022976E-4</v>
      </c>
      <c r="AC139" s="433">
        <f t="shared" si="75"/>
        <v>5.497122446681777E-4</v>
      </c>
      <c r="AD139" s="433">
        <f t="shared" si="75"/>
        <v>5.6548791377722168E-4</v>
      </c>
      <c r="AE139" s="433">
        <f t="shared" si="75"/>
        <v>5.8111722725236214E-4</v>
      </c>
      <c r="AF139" s="433">
        <f t="shared" si="75"/>
        <v>5.9623167666656807E-4</v>
      </c>
      <c r="AG139" s="433">
        <f t="shared" si="75"/>
        <v>6.126107876341726E-4</v>
      </c>
      <c r="AH139" s="433">
        <f t="shared" si="75"/>
        <v>6.2938843028398513E-4</v>
      </c>
      <c r="AI139" s="433">
        <f t="shared" si="75"/>
        <v>6.4673792253906975E-4</v>
      </c>
      <c r="AJ139" s="433">
        <f t="shared" si="75"/>
        <v>6.0677807101771795E-4</v>
      </c>
      <c r="AK139" s="433">
        <f t="shared" si="75"/>
        <v>5.585522835768788E-4</v>
      </c>
      <c r="AL139" s="433">
        <f t="shared" si="75"/>
        <v>5.0697150155528466E-4</v>
      </c>
      <c r="AM139" s="433"/>
    </row>
    <row r="140" spans="1:39" ht="15.75" customHeight="1" x14ac:dyDescent="0.25">
      <c r="A140" s="194"/>
      <c r="B140" s="194"/>
      <c r="C140" s="194"/>
      <c r="D140" s="194"/>
      <c r="E140" s="194"/>
      <c r="F140" s="194"/>
      <c r="G140" s="194"/>
      <c r="H140" s="194"/>
      <c r="I140" s="194"/>
      <c r="J140" s="194"/>
      <c r="K140" s="194"/>
      <c r="L140" s="194"/>
      <c r="M140" s="194"/>
      <c r="N140" s="194"/>
      <c r="O140" s="194"/>
      <c r="P140" s="194"/>
      <c r="Q140" s="194"/>
      <c r="R140" s="194"/>
      <c r="S140" s="194"/>
      <c r="T140" s="194"/>
      <c r="U140" s="194"/>
      <c r="V140" s="194"/>
      <c r="W140" s="194"/>
      <c r="X140" s="194"/>
      <c r="Y140" s="194"/>
      <c r="Z140" s="194"/>
      <c r="AA140" s="194"/>
      <c r="AB140" s="194"/>
      <c r="AC140" s="194"/>
      <c r="AD140" s="194"/>
      <c r="AE140" s="194"/>
      <c r="AF140" s="194"/>
      <c r="AG140" s="194"/>
      <c r="AH140" s="194"/>
      <c r="AI140" s="194"/>
      <c r="AJ140" s="194"/>
      <c r="AK140" s="194"/>
      <c r="AL140" s="194"/>
      <c r="AM140" s="194"/>
    </row>
    <row r="141" spans="1:39" ht="15.75" customHeight="1" x14ac:dyDescent="0.25">
      <c r="A141" s="194"/>
      <c r="B141" s="1469" t="s">
        <v>1892</v>
      </c>
      <c r="C141" s="430"/>
      <c r="D141" s="430"/>
      <c r="E141" s="430"/>
      <c r="F141" s="430"/>
      <c r="G141" s="430"/>
      <c r="H141" s="430"/>
      <c r="I141" s="430"/>
      <c r="J141" s="430"/>
      <c r="K141" s="430"/>
      <c r="L141" s="430"/>
      <c r="M141" s="430"/>
      <c r="N141" s="430"/>
      <c r="O141" s="430"/>
      <c r="P141" s="430"/>
      <c r="Q141" s="430"/>
      <c r="R141" s="430"/>
      <c r="S141" s="430"/>
      <c r="T141" s="430"/>
      <c r="U141" s="430"/>
      <c r="V141" s="430"/>
      <c r="W141" s="430"/>
      <c r="X141" s="430"/>
      <c r="Y141" s="430"/>
      <c r="Z141" s="430"/>
      <c r="AA141" s="430"/>
      <c r="AB141" s="430"/>
      <c r="AC141" s="430"/>
      <c r="AD141" s="430"/>
      <c r="AE141" s="430"/>
      <c r="AF141" s="430"/>
      <c r="AG141" s="430"/>
      <c r="AH141" s="430"/>
      <c r="AI141" s="430"/>
      <c r="AJ141" s="430"/>
      <c r="AK141" s="430"/>
      <c r="AL141" s="430"/>
      <c r="AM141" s="431"/>
    </row>
    <row r="142" spans="1:39" ht="15.75" customHeight="1" x14ac:dyDescent="0.25">
      <c r="A142" s="194"/>
      <c r="B142" s="194"/>
      <c r="C142" s="194"/>
      <c r="D142" s="194"/>
      <c r="E142" s="194"/>
      <c r="F142" s="194"/>
      <c r="G142" s="194"/>
      <c r="H142" s="194"/>
      <c r="I142" s="194"/>
      <c r="J142" s="194"/>
      <c r="K142" s="194"/>
      <c r="L142" s="194"/>
      <c r="M142" s="194"/>
      <c r="N142" s="194"/>
      <c r="O142" s="194"/>
      <c r="P142" s="194"/>
      <c r="Q142" s="194"/>
      <c r="R142" s="194"/>
      <c r="S142" s="194"/>
      <c r="T142" s="194"/>
      <c r="U142" s="194"/>
      <c r="V142" s="194"/>
      <c r="W142" s="194"/>
      <c r="X142" s="194"/>
      <c r="Y142" s="194"/>
      <c r="Z142" s="194"/>
      <c r="AA142" s="194"/>
      <c r="AB142" s="194"/>
      <c r="AC142" s="194"/>
      <c r="AD142" s="194"/>
      <c r="AE142" s="194"/>
      <c r="AF142" s="194"/>
      <c r="AG142" s="194"/>
      <c r="AH142" s="194"/>
      <c r="AI142" s="194"/>
      <c r="AJ142" s="194"/>
      <c r="AK142" s="194"/>
      <c r="AL142" s="194"/>
      <c r="AM142" s="194"/>
    </row>
    <row r="143" spans="1:39" ht="15.75" customHeight="1" x14ac:dyDescent="0.25">
      <c r="A143" s="194"/>
      <c r="B143" s="435" t="s">
        <v>1171</v>
      </c>
      <c r="C143" s="436"/>
      <c r="D143" s="436"/>
      <c r="E143" s="436"/>
      <c r="F143" s="436"/>
      <c r="G143" s="436"/>
      <c r="H143" s="436"/>
      <c r="I143" s="436"/>
      <c r="J143" s="436"/>
      <c r="K143" s="436"/>
      <c r="L143" s="436"/>
      <c r="M143" s="436"/>
      <c r="N143" s="436"/>
      <c r="O143" s="436"/>
      <c r="P143" s="436"/>
      <c r="Q143" s="436"/>
      <c r="R143" s="436"/>
      <c r="S143" s="436"/>
      <c r="T143" s="436"/>
      <c r="U143" s="436"/>
      <c r="V143" s="436"/>
      <c r="W143" s="436"/>
      <c r="X143" s="436"/>
      <c r="Y143" s="436"/>
      <c r="Z143" s="436"/>
      <c r="AA143" s="436"/>
      <c r="AB143" s="436"/>
      <c r="AC143" s="436"/>
      <c r="AD143" s="436"/>
      <c r="AE143" s="436"/>
      <c r="AF143" s="436"/>
      <c r="AG143" s="436"/>
      <c r="AH143" s="436"/>
      <c r="AI143" s="436"/>
      <c r="AJ143" s="436"/>
      <c r="AK143" s="436"/>
      <c r="AL143" s="436"/>
      <c r="AM143" s="439"/>
    </row>
    <row r="144" spans="1:39" ht="15.75" customHeight="1" x14ac:dyDescent="0.25">
      <c r="A144" s="194"/>
      <c r="B144" s="194"/>
      <c r="C144" s="194"/>
      <c r="D144" s="432" t="s">
        <v>1216</v>
      </c>
      <c r="E144" s="432"/>
      <c r="F144" s="432" t="s">
        <v>1106</v>
      </c>
      <c r="G144" s="432" t="s">
        <v>1107</v>
      </c>
      <c r="H144" s="432" t="s">
        <v>1108</v>
      </c>
      <c r="I144" s="432" t="s">
        <v>1109</v>
      </c>
      <c r="J144" s="432" t="s">
        <v>1110</v>
      </c>
      <c r="K144" s="432" t="s">
        <v>1111</v>
      </c>
      <c r="L144" s="432" t="s">
        <v>1112</v>
      </c>
      <c r="M144" s="432" t="s">
        <v>1113</v>
      </c>
      <c r="N144" s="432" t="s">
        <v>1114</v>
      </c>
      <c r="O144" s="432" t="s">
        <v>1115</v>
      </c>
      <c r="P144" s="432" t="s">
        <v>1116</v>
      </c>
      <c r="Q144" s="432" t="s">
        <v>1117</v>
      </c>
      <c r="R144" s="432" t="s">
        <v>1118</v>
      </c>
      <c r="S144" s="432" t="s">
        <v>1119</v>
      </c>
      <c r="T144" s="432" t="s">
        <v>1120</v>
      </c>
      <c r="U144" s="432" t="s">
        <v>1121</v>
      </c>
      <c r="V144" s="432" t="s">
        <v>1122</v>
      </c>
      <c r="W144" s="432" t="s">
        <v>1123</v>
      </c>
      <c r="X144" s="432" t="s">
        <v>1124</v>
      </c>
      <c r="Y144" s="432" t="s">
        <v>1125</v>
      </c>
      <c r="Z144" s="432" t="s">
        <v>1126</v>
      </c>
      <c r="AA144" s="432" t="s">
        <v>1127</v>
      </c>
      <c r="AB144" s="432" t="s">
        <v>1128</v>
      </c>
      <c r="AC144" s="432" t="s">
        <v>1129</v>
      </c>
      <c r="AD144" s="432" t="s">
        <v>1130</v>
      </c>
      <c r="AE144" s="432" t="s">
        <v>1131</v>
      </c>
      <c r="AF144" s="432" t="s">
        <v>1132</v>
      </c>
      <c r="AG144" s="432" t="s">
        <v>1133</v>
      </c>
      <c r="AH144" s="432" t="s">
        <v>1134</v>
      </c>
      <c r="AI144" s="432" t="s">
        <v>1135</v>
      </c>
      <c r="AJ144" s="432" t="s">
        <v>1136</v>
      </c>
      <c r="AK144" s="432" t="s">
        <v>1137</v>
      </c>
      <c r="AL144" s="432" t="s">
        <v>1138</v>
      </c>
      <c r="AM144" s="432"/>
    </row>
    <row r="145" spans="1:39" ht="15.75" customHeight="1" x14ac:dyDescent="0.25">
      <c r="A145" s="194"/>
      <c r="B145" s="194"/>
      <c r="C145" s="194"/>
      <c r="D145" s="194" t="s">
        <v>1140</v>
      </c>
      <c r="E145" s="194"/>
      <c r="F145" s="433">
        <f t="shared" ref="F145:AL145" si="76">SUMIF($D$16:$D$49,$D145,F$16:F$49)</f>
        <v>2.6131014791080082E-7</v>
      </c>
      <c r="G145" s="433">
        <f t="shared" si="76"/>
        <v>4.1898124909234098E-7</v>
      </c>
      <c r="H145" s="433">
        <f t="shared" si="76"/>
        <v>5.8111866987456702E-7</v>
      </c>
      <c r="I145" s="433">
        <f t="shared" si="76"/>
        <v>7.4840461171582204E-7</v>
      </c>
      <c r="J145" s="433">
        <f t="shared" si="76"/>
        <v>9.2201719908830302E-7</v>
      </c>
      <c r="K145" s="433">
        <f t="shared" si="76"/>
        <v>2.3052706395561522E-6</v>
      </c>
      <c r="L145" s="433">
        <f t="shared" si="76"/>
        <v>4.4136082214367739E-6</v>
      </c>
      <c r="M145" s="433">
        <f t="shared" si="76"/>
        <v>6.5946290152229707E-6</v>
      </c>
      <c r="N145" s="433">
        <f t="shared" si="76"/>
        <v>8.8565132283437395E-6</v>
      </c>
      <c r="O145" s="433">
        <f t="shared" si="76"/>
        <v>1.1509845363912519E-5</v>
      </c>
      <c r="P145" s="433">
        <f t="shared" si="76"/>
        <v>1.2569649352965852E-5</v>
      </c>
      <c r="Q145" s="433">
        <f t="shared" si="76"/>
        <v>1.3247157241468287E-5</v>
      </c>
      <c r="R145" s="433">
        <f t="shared" si="76"/>
        <v>1.7288683860185458E-5</v>
      </c>
      <c r="S145" s="433">
        <f t="shared" si="76"/>
        <v>2.1944993352741679E-5</v>
      </c>
      <c r="T145" s="433">
        <f t="shared" si="76"/>
        <v>2.3330088569784589E-5</v>
      </c>
      <c r="U145" s="433">
        <f t="shared" si="76"/>
        <v>2.4713909211711638E-5</v>
      </c>
      <c r="V145" s="433">
        <f t="shared" si="76"/>
        <v>2.6092421796137101E-5</v>
      </c>
      <c r="W145" s="433">
        <f t="shared" si="76"/>
        <v>2.7471143032289743E-5</v>
      </c>
      <c r="X145" s="433">
        <f t="shared" si="76"/>
        <v>2.8923391721581608E-5</v>
      </c>
      <c r="Y145" s="433">
        <f t="shared" si="76"/>
        <v>3.1802293449473981E-5</v>
      </c>
      <c r="Z145" s="433">
        <f t="shared" si="76"/>
        <v>3.5335146091815057E-5</v>
      </c>
      <c r="AA145" s="433">
        <f t="shared" si="76"/>
        <v>3.771742776819257E-5</v>
      </c>
      <c r="AB145" s="433">
        <f t="shared" si="76"/>
        <v>3.956228490669917E-5</v>
      </c>
      <c r="AC145" s="433">
        <f t="shared" si="76"/>
        <v>4.1703195498338638E-5</v>
      </c>
      <c r="AD145" s="433">
        <f t="shared" si="76"/>
        <v>4.4100162870311796E-5</v>
      </c>
      <c r="AE145" s="433">
        <f t="shared" si="76"/>
        <v>4.6478452427122152E-5</v>
      </c>
      <c r="AF145" s="433">
        <f t="shared" si="76"/>
        <v>4.9640579107816882E-5</v>
      </c>
      <c r="AG145" s="433">
        <f t="shared" si="76"/>
        <v>5.2781854283047353E-5</v>
      </c>
      <c r="AH145" s="433">
        <f t="shared" si="76"/>
        <v>5.6556118564366453E-5</v>
      </c>
      <c r="AI145" s="433">
        <f t="shared" si="76"/>
        <v>6.0255123344093292E-5</v>
      </c>
      <c r="AJ145" s="433">
        <f t="shared" si="76"/>
        <v>6.4760276546437561E-5</v>
      </c>
      <c r="AK145" s="433">
        <f t="shared" si="76"/>
        <v>6.8680952135492248E-5</v>
      </c>
      <c r="AL145" s="433">
        <f t="shared" si="76"/>
        <v>7.2638169923938342E-5</v>
      </c>
      <c r="AM145" s="433"/>
    </row>
    <row r="146" spans="1:39" ht="15.75" customHeight="1" x14ac:dyDescent="0.25">
      <c r="A146" s="194"/>
      <c r="B146" s="194"/>
      <c r="C146" s="194"/>
      <c r="D146" s="194" t="s">
        <v>1144</v>
      </c>
      <c r="E146" s="194"/>
      <c r="F146" s="433">
        <f t="shared" ref="F146:AL146" si="77">SUMIF($D$16:$D$49,$D146,F$16:F$49)</f>
        <v>2.0830797606810991E-6</v>
      </c>
      <c r="G146" s="433">
        <f t="shared" si="77"/>
        <v>5.1310290580785562E-6</v>
      </c>
      <c r="H146" s="433">
        <f t="shared" si="77"/>
        <v>9.8378592437783122E-6</v>
      </c>
      <c r="I146" s="433">
        <f t="shared" si="77"/>
        <v>1.8322801458537179E-3</v>
      </c>
      <c r="J146" s="433">
        <f t="shared" si="77"/>
        <v>4.8728700758485701E-3</v>
      </c>
      <c r="K146" s="433">
        <f t="shared" si="77"/>
        <v>1.032790790201873E-2</v>
      </c>
      <c r="L146" s="433">
        <f t="shared" si="77"/>
        <v>1.7579836613494621E-2</v>
      </c>
      <c r="M146" s="433">
        <f t="shared" si="77"/>
        <v>2.7162326207427513E-2</v>
      </c>
      <c r="N146" s="433">
        <f t="shared" si="77"/>
        <v>3.5568886265150208E-2</v>
      </c>
      <c r="O146" s="433">
        <f t="shared" si="77"/>
        <v>4.6624095576810541E-2</v>
      </c>
      <c r="P146" s="433">
        <f t="shared" si="77"/>
        <v>5.5812528268700944E-2</v>
      </c>
      <c r="Q146" s="433">
        <f t="shared" si="77"/>
        <v>6.8048370774473177E-2</v>
      </c>
      <c r="R146" s="433">
        <f t="shared" si="77"/>
        <v>8.2768776549837705E-2</v>
      </c>
      <c r="S146" s="433">
        <f t="shared" si="77"/>
        <v>9.8916356993009324E-2</v>
      </c>
      <c r="T146" s="433">
        <f t="shared" si="77"/>
        <v>0.11556638247448875</v>
      </c>
      <c r="U146" s="433">
        <f t="shared" si="77"/>
        <v>0.14526687204559344</v>
      </c>
      <c r="V146" s="433">
        <f t="shared" si="77"/>
        <v>0.1830632098883283</v>
      </c>
      <c r="W146" s="433">
        <f t="shared" si="77"/>
        <v>0.23174112319779269</v>
      </c>
      <c r="X146" s="433">
        <f t="shared" si="77"/>
        <v>0.28390434385766028</v>
      </c>
      <c r="Y146" s="433">
        <f t="shared" si="77"/>
        <v>0.27859971478622109</v>
      </c>
      <c r="Z146" s="433">
        <f t="shared" si="77"/>
        <v>0.32210415357467981</v>
      </c>
      <c r="AA146" s="433">
        <f t="shared" si="77"/>
        <v>0.39741648529784546</v>
      </c>
      <c r="AB146" s="433">
        <f t="shared" si="77"/>
        <v>0.48462378571764464</v>
      </c>
      <c r="AC146" s="433">
        <f t="shared" si="77"/>
        <v>0.55505444606933285</v>
      </c>
      <c r="AD146" s="433">
        <f t="shared" si="77"/>
        <v>0.70901828091073293</v>
      </c>
      <c r="AE146" s="433">
        <f t="shared" si="77"/>
        <v>0.70273870248002923</v>
      </c>
      <c r="AF146" s="433">
        <f t="shared" si="77"/>
        <v>0.83946166933053612</v>
      </c>
      <c r="AG146" s="433">
        <f t="shared" si="77"/>
        <v>0.7570571447987452</v>
      </c>
      <c r="AH146" s="433">
        <f t="shared" si="77"/>
        <v>0.89698849638908895</v>
      </c>
      <c r="AI146" s="433">
        <f t="shared" si="77"/>
        <v>0.87324940282913732</v>
      </c>
      <c r="AJ146" s="433">
        <f t="shared" si="77"/>
        <v>1.0488115191041207</v>
      </c>
      <c r="AK146" s="433">
        <f t="shared" si="77"/>
        <v>1.2052278275521806</v>
      </c>
      <c r="AL146" s="433">
        <f t="shared" si="77"/>
        <v>1.3102715128554596</v>
      </c>
      <c r="AM146" s="433"/>
    </row>
    <row r="147" spans="1:39" ht="15.75" customHeight="1" x14ac:dyDescent="0.25">
      <c r="A147" s="194"/>
      <c r="B147" s="194"/>
      <c r="C147" s="194"/>
      <c r="D147" s="194" t="s">
        <v>1145</v>
      </c>
      <c r="E147" s="194"/>
      <c r="F147" s="433">
        <f t="shared" ref="F147:AL147" si="78">SUMIF($D$16:$D$49,$D147,F$16:F$49)</f>
        <v>7.3244025391447861E-8</v>
      </c>
      <c r="G147" s="433">
        <f t="shared" si="78"/>
        <v>1.8041422594940989E-7</v>
      </c>
      <c r="H147" s="433">
        <f t="shared" si="78"/>
        <v>1.7305468372907699E-2</v>
      </c>
      <c r="I147" s="433">
        <f t="shared" si="78"/>
        <v>7.4925704686498354E-2</v>
      </c>
      <c r="J147" s="433">
        <f t="shared" si="78"/>
        <v>0.19437242912594571</v>
      </c>
      <c r="K147" s="433">
        <f t="shared" si="78"/>
        <v>0.42043990479246957</v>
      </c>
      <c r="L147" s="433">
        <f t="shared" si="78"/>
        <v>0.57077895030801606</v>
      </c>
      <c r="M147" s="433">
        <f t="shared" si="78"/>
        <v>0.71861230090887829</v>
      </c>
      <c r="N147" s="433">
        <f t="shared" si="78"/>
        <v>0.81537855364100809</v>
      </c>
      <c r="O147" s="433">
        <f t="shared" si="78"/>
        <v>0.91840454486573297</v>
      </c>
      <c r="P147" s="433">
        <f t="shared" si="78"/>
        <v>1.0138920699165108</v>
      </c>
      <c r="Q147" s="433">
        <f t="shared" si="78"/>
        <v>1.099921829375319</v>
      </c>
      <c r="R147" s="433">
        <f t="shared" si="78"/>
        <v>1.1430564572199273</v>
      </c>
      <c r="S147" s="433">
        <f t="shared" si="78"/>
        <v>1.1753179048102371</v>
      </c>
      <c r="T147" s="433">
        <f t="shared" si="78"/>
        <v>1.2037834327980339</v>
      </c>
      <c r="U147" s="433">
        <f t="shared" si="78"/>
        <v>1.2199597151399479</v>
      </c>
      <c r="V147" s="433">
        <f t="shared" si="78"/>
        <v>1.2551806216392776</v>
      </c>
      <c r="W147" s="433">
        <f t="shared" si="78"/>
        <v>1.2865539388910998</v>
      </c>
      <c r="X147" s="433">
        <f t="shared" si="78"/>
        <v>1.3225003277710556</v>
      </c>
      <c r="Y147" s="433">
        <f t="shared" si="78"/>
        <v>1.3420090290171782</v>
      </c>
      <c r="Z147" s="433">
        <f t="shared" si="78"/>
        <v>1.1707536276758914</v>
      </c>
      <c r="AA147" s="433">
        <f t="shared" si="78"/>
        <v>1.1184166495883394</v>
      </c>
      <c r="AB147" s="433">
        <f t="shared" si="78"/>
        <v>1.0675380710002969</v>
      </c>
      <c r="AC147" s="433">
        <f t="shared" si="78"/>
        <v>1.2752792732097329</v>
      </c>
      <c r="AD147" s="433">
        <f t="shared" si="78"/>
        <v>1.4140337681348132</v>
      </c>
      <c r="AE147" s="433">
        <f t="shared" si="78"/>
        <v>1.2991554189853241</v>
      </c>
      <c r="AF147" s="433">
        <f t="shared" si="78"/>
        <v>1.14971332178335</v>
      </c>
      <c r="AG147" s="433">
        <f t="shared" si="78"/>
        <v>0.94420100804189</v>
      </c>
      <c r="AH147" s="433">
        <f t="shared" si="78"/>
        <v>0.99854386556560959</v>
      </c>
      <c r="AI147" s="433">
        <f t="shared" si="78"/>
        <v>0.9510207126878697</v>
      </c>
      <c r="AJ147" s="433">
        <f t="shared" si="78"/>
        <v>1.038189858922832</v>
      </c>
      <c r="AK147" s="433">
        <f t="shared" si="78"/>
        <v>0.96212652090184858</v>
      </c>
      <c r="AL147" s="433">
        <f t="shared" si="78"/>
        <v>0.93120199342943333</v>
      </c>
      <c r="AM147" s="433"/>
    </row>
    <row r="148" spans="1:39" ht="15.75" customHeight="1" x14ac:dyDescent="0.25">
      <c r="A148" s="194"/>
      <c r="B148" s="194"/>
      <c r="C148" s="194"/>
      <c r="D148" s="194" t="s">
        <v>1148</v>
      </c>
      <c r="E148" s="194"/>
      <c r="F148" s="433">
        <f t="shared" ref="F148:AL148" si="79">SUMIF($D$16:$D$49,$D148,F$16:F$49)</f>
        <v>3.7240846201553312E-6</v>
      </c>
      <c r="G148" s="433">
        <f t="shared" si="79"/>
        <v>9.1731419801768085E-6</v>
      </c>
      <c r="H148" s="433">
        <f t="shared" si="79"/>
        <v>1.7587910456692571E-5</v>
      </c>
      <c r="I148" s="433">
        <f t="shared" si="79"/>
        <v>1.318694796414364E-3</v>
      </c>
      <c r="J148" s="433">
        <f t="shared" si="79"/>
        <v>3.6741288239772992E-3</v>
      </c>
      <c r="K148" s="433">
        <f t="shared" si="79"/>
        <v>9.1767881134462714E-3</v>
      </c>
      <c r="L148" s="433">
        <f t="shared" si="79"/>
        <v>1.7068477805663181E-2</v>
      </c>
      <c r="M148" s="433">
        <f t="shared" si="79"/>
        <v>2.8260174203529932E-2</v>
      </c>
      <c r="N148" s="433">
        <f t="shared" si="79"/>
        <v>4.0974398710055072E-2</v>
      </c>
      <c r="O148" s="433">
        <f t="shared" si="79"/>
        <v>5.8511730201415091E-2</v>
      </c>
      <c r="P148" s="433">
        <f t="shared" si="79"/>
        <v>7.2150615314809471E-2</v>
      </c>
      <c r="Q148" s="433">
        <f t="shared" si="79"/>
        <v>8.9370065998305867E-2</v>
      </c>
      <c r="R148" s="433">
        <f t="shared" si="79"/>
        <v>0.1087828117007227</v>
      </c>
      <c r="S148" s="433">
        <f t="shared" si="79"/>
        <v>0.1288072809836224</v>
      </c>
      <c r="T148" s="433">
        <f t="shared" si="79"/>
        <v>0.1472520743030476</v>
      </c>
      <c r="U148" s="433">
        <f t="shared" si="79"/>
        <v>0.17825234594206199</v>
      </c>
      <c r="V148" s="433">
        <f t="shared" si="79"/>
        <v>0.2118619930356147</v>
      </c>
      <c r="W148" s="433">
        <f t="shared" si="79"/>
        <v>0.2496507682504136</v>
      </c>
      <c r="X148" s="433">
        <f t="shared" si="79"/>
        <v>0.29254300276961481</v>
      </c>
      <c r="Y148" s="433">
        <f t="shared" si="79"/>
        <v>0.32544677330981392</v>
      </c>
      <c r="Z148" s="433">
        <f t="shared" si="79"/>
        <v>0.33349639492362038</v>
      </c>
      <c r="AA148" s="433">
        <f t="shared" si="79"/>
        <v>0.41388764324358202</v>
      </c>
      <c r="AB148" s="433">
        <f t="shared" si="79"/>
        <v>0.49996887401693491</v>
      </c>
      <c r="AC148" s="433">
        <f t="shared" si="79"/>
        <v>0.56678410628142217</v>
      </c>
      <c r="AD148" s="433">
        <f t="shared" si="79"/>
        <v>0.65334285974531225</v>
      </c>
      <c r="AE148" s="433">
        <f t="shared" si="79"/>
        <v>0.65542007120561996</v>
      </c>
      <c r="AF148" s="433">
        <f t="shared" si="79"/>
        <v>0.6741416043585654</v>
      </c>
      <c r="AG148" s="433">
        <f t="shared" si="79"/>
        <v>0.50404953133319441</v>
      </c>
      <c r="AH148" s="433">
        <f t="shared" si="79"/>
        <v>0.632093783017319</v>
      </c>
      <c r="AI148" s="433">
        <f t="shared" si="79"/>
        <v>0.55417967019470238</v>
      </c>
      <c r="AJ148" s="433">
        <f t="shared" si="79"/>
        <v>0.60943851858890463</v>
      </c>
      <c r="AK148" s="433">
        <f t="shared" si="79"/>
        <v>0.61154888168151578</v>
      </c>
      <c r="AL148" s="433">
        <f t="shared" si="79"/>
        <v>0.60870672771026657</v>
      </c>
      <c r="AM148" s="433"/>
    </row>
    <row r="149" spans="1:39" ht="15.75" customHeight="1" x14ac:dyDescent="0.25">
      <c r="A149" s="194"/>
      <c r="B149" s="194"/>
      <c r="C149" s="194"/>
      <c r="D149" s="194" t="s">
        <v>1149</v>
      </c>
      <c r="E149" s="194"/>
      <c r="F149" s="433">
        <f t="shared" ref="F149:AL149" si="80">SUMIF($D$16:$D$49,$D149,F$16:F$49)</f>
        <v>0</v>
      </c>
      <c r="G149" s="433">
        <f t="shared" si="80"/>
        <v>0</v>
      </c>
      <c r="H149" s="433">
        <f t="shared" si="80"/>
        <v>0</v>
      </c>
      <c r="I149" s="433">
        <f t="shared" si="80"/>
        <v>0</v>
      </c>
      <c r="J149" s="433">
        <f t="shared" si="80"/>
        <v>0</v>
      </c>
      <c r="K149" s="433">
        <f t="shared" si="80"/>
        <v>9.3036146234324768E-6</v>
      </c>
      <c r="L149" s="433">
        <f t="shared" si="80"/>
        <v>2.0863174107854798E-5</v>
      </c>
      <c r="M149" s="433">
        <f t="shared" si="80"/>
        <v>3.9285248301842602E-5</v>
      </c>
      <c r="N149" s="433">
        <f t="shared" si="80"/>
        <v>5.762449576632511E-5</v>
      </c>
      <c r="O149" s="433">
        <f t="shared" si="80"/>
        <v>8.2822795964448826E-5</v>
      </c>
      <c r="P149" s="433">
        <f t="shared" si="80"/>
        <v>1.080885242557396E-4</v>
      </c>
      <c r="Q149" s="433">
        <f t="shared" si="80"/>
        <v>1.313657066049777E-4</v>
      </c>
      <c r="R149" s="433">
        <f t="shared" si="80"/>
        <v>1.5256283657628139E-4</v>
      </c>
      <c r="S149" s="433">
        <f t="shared" si="80"/>
        <v>1.6903747560248619E-4</v>
      </c>
      <c r="T149" s="433">
        <f t="shared" si="80"/>
        <v>1.852557722608108E-4</v>
      </c>
      <c r="U149" s="433">
        <f t="shared" si="80"/>
        <v>2.0359600424150949E-4</v>
      </c>
      <c r="V149" s="433">
        <f t="shared" si="80"/>
        <v>2.1908588182021951E-4</v>
      </c>
      <c r="W149" s="433">
        <f t="shared" si="80"/>
        <v>2.3642555806566921E-4</v>
      </c>
      <c r="X149" s="433">
        <f t="shared" si="80"/>
        <v>2.5156468733034262E-4</v>
      </c>
      <c r="Y149" s="433">
        <f t="shared" si="80"/>
        <v>2.6969387346895552E-4</v>
      </c>
      <c r="Z149" s="433">
        <f t="shared" si="80"/>
        <v>2.9085115325012397E-4</v>
      </c>
      <c r="AA149" s="433">
        <f t="shared" si="80"/>
        <v>3.0973479855850972E-4</v>
      </c>
      <c r="AB149" s="433">
        <f t="shared" si="80"/>
        <v>3.330461144484584E-4</v>
      </c>
      <c r="AC149" s="433">
        <f t="shared" si="80"/>
        <v>3.5354917845680422E-4</v>
      </c>
      <c r="AD149" s="433">
        <f t="shared" si="80"/>
        <v>3.7605786330928268E-4</v>
      </c>
      <c r="AE149" s="433">
        <f t="shared" si="80"/>
        <v>4.0035265374947169E-4</v>
      </c>
      <c r="AF149" s="433">
        <f t="shared" si="80"/>
        <v>4.2387287872683359E-4</v>
      </c>
      <c r="AG149" s="433">
        <f t="shared" si="80"/>
        <v>4.5009971253825049E-4</v>
      </c>
      <c r="AH149" s="433">
        <f t="shared" si="80"/>
        <v>4.7619198320438021E-4</v>
      </c>
      <c r="AI149" s="433">
        <f t="shared" si="80"/>
        <v>5.0446574040930326E-4</v>
      </c>
      <c r="AJ149" s="433">
        <f t="shared" si="80"/>
        <v>5.3214126222195246E-4</v>
      </c>
      <c r="AK149" s="433">
        <f t="shared" si="80"/>
        <v>5.5199864253537782E-4</v>
      </c>
      <c r="AL149" s="433">
        <f t="shared" si="80"/>
        <v>5.6954536712445038E-4</v>
      </c>
      <c r="AM149" s="433"/>
    </row>
    <row r="150" spans="1:39" ht="15.75" customHeight="1" x14ac:dyDescent="0.25">
      <c r="A150" s="194"/>
      <c r="B150" s="194"/>
      <c r="C150" s="194"/>
      <c r="D150" s="194" t="s">
        <v>1150</v>
      </c>
      <c r="E150" s="194"/>
      <c r="F150" s="433">
        <f t="shared" ref="F150:AL150" si="81">SUMIF($D$16:$D$49,$D150,F$16:F$49)</f>
        <v>0</v>
      </c>
      <c r="G150" s="433">
        <f t="shared" si="81"/>
        <v>0</v>
      </c>
      <c r="H150" s="433">
        <f t="shared" si="81"/>
        <v>0</v>
      </c>
      <c r="I150" s="433">
        <f t="shared" si="81"/>
        <v>1.094958153041211E-3</v>
      </c>
      <c r="J150" s="433">
        <f t="shared" si="81"/>
        <v>3.3027020891527839E-3</v>
      </c>
      <c r="K150" s="433">
        <f t="shared" si="81"/>
        <v>5.4743631396104624E-3</v>
      </c>
      <c r="L150" s="433">
        <f t="shared" si="81"/>
        <v>6.8121740657830568E-3</v>
      </c>
      <c r="M150" s="433">
        <f t="shared" si="81"/>
        <v>8.3410670284168095E-3</v>
      </c>
      <c r="N150" s="433">
        <f t="shared" si="81"/>
        <v>9.9572823704379143E-3</v>
      </c>
      <c r="O150" s="433">
        <f t="shared" si="81"/>
        <v>1.168215537078551E-2</v>
      </c>
      <c r="P150" s="433">
        <f t="shared" si="81"/>
        <v>1.3329499808776166E-2</v>
      </c>
      <c r="Q150" s="433">
        <f t="shared" si="81"/>
        <v>1.492037867650221E-2</v>
      </c>
      <c r="R150" s="433">
        <f t="shared" si="81"/>
        <v>1.6438992374813818E-2</v>
      </c>
      <c r="S150" s="433">
        <f t="shared" si="81"/>
        <v>1.765665900123696E-2</v>
      </c>
      <c r="T150" s="433">
        <f t="shared" si="81"/>
        <v>1.8547113209606399E-2</v>
      </c>
      <c r="U150" s="433">
        <f t="shared" si="81"/>
        <v>1.9104708688916918E-2</v>
      </c>
      <c r="V150" s="433">
        <f t="shared" si="81"/>
        <v>1.9508098767425455E-2</v>
      </c>
      <c r="W150" s="433">
        <f t="shared" si="81"/>
        <v>1.9767586817745951E-2</v>
      </c>
      <c r="X150" s="433">
        <f t="shared" si="81"/>
        <v>1.993421451922665E-2</v>
      </c>
      <c r="Y150" s="433">
        <f t="shared" si="81"/>
        <v>2.0052653708937083E-2</v>
      </c>
      <c r="Z150" s="433">
        <f t="shared" si="81"/>
        <v>2.0231674925075455E-2</v>
      </c>
      <c r="AA150" s="433">
        <f t="shared" si="81"/>
        <v>2.0413129257294611E-2</v>
      </c>
      <c r="AB150" s="433">
        <f t="shared" si="81"/>
        <v>2.0583513151279879E-2</v>
      </c>
      <c r="AC150" s="433">
        <f t="shared" si="81"/>
        <v>2.0981077544913854E-2</v>
      </c>
      <c r="AD150" s="433">
        <f t="shared" si="81"/>
        <v>2.0336016869175022E-2</v>
      </c>
      <c r="AE150" s="433">
        <f t="shared" si="81"/>
        <v>1.8312702314863333E-2</v>
      </c>
      <c r="AF150" s="433">
        <f t="shared" si="81"/>
        <v>1.7082077012691398E-2</v>
      </c>
      <c r="AG150" s="433">
        <f t="shared" si="81"/>
        <v>1.5882723113878155E-2</v>
      </c>
      <c r="AH150" s="433">
        <f t="shared" si="81"/>
        <v>1.4583039348503281E-2</v>
      </c>
      <c r="AI150" s="433">
        <f t="shared" si="81"/>
        <v>1.3401369922684994E-2</v>
      </c>
      <c r="AJ150" s="433">
        <f t="shared" si="81"/>
        <v>1.2489218392264533E-2</v>
      </c>
      <c r="AK150" s="433">
        <f t="shared" si="81"/>
        <v>1.1546807967944583E-2</v>
      </c>
      <c r="AL150" s="433">
        <f t="shared" si="81"/>
        <v>1.0679883275602767E-2</v>
      </c>
      <c r="AM150" s="433"/>
    </row>
    <row r="151" spans="1:39" ht="15.75" customHeight="1" x14ac:dyDescent="0.25">
      <c r="A151" s="194"/>
      <c r="B151" s="194"/>
      <c r="C151" s="194"/>
      <c r="D151" s="194" t="s">
        <v>1151</v>
      </c>
      <c r="E151" s="194"/>
      <c r="F151" s="433">
        <f t="shared" ref="F151:AL151" si="82">SUMIF($D$16:$D$49,$D151,F$16:F$49)</f>
        <v>0</v>
      </c>
      <c r="G151" s="433">
        <f t="shared" si="82"/>
        <v>0</v>
      </c>
      <c r="H151" s="433">
        <f t="shared" si="82"/>
        <v>0</v>
      </c>
      <c r="I151" s="433">
        <f t="shared" si="82"/>
        <v>0</v>
      </c>
      <c r="J151" s="433">
        <f t="shared" si="82"/>
        <v>0</v>
      </c>
      <c r="K151" s="433">
        <f t="shared" si="82"/>
        <v>0</v>
      </c>
      <c r="L151" s="433">
        <f t="shared" si="82"/>
        <v>3.0469016963371702E-6</v>
      </c>
      <c r="M151" s="433">
        <f t="shared" si="82"/>
        <v>8.6518110182798053E-6</v>
      </c>
      <c r="N151" s="433">
        <f t="shared" si="82"/>
        <v>1.844517591183488E-5</v>
      </c>
      <c r="O151" s="433">
        <f t="shared" si="82"/>
        <v>3.5786809654347221E-5</v>
      </c>
      <c r="P151" s="433">
        <f t="shared" si="82"/>
        <v>1.651955955267768E-4</v>
      </c>
      <c r="Q151" s="433">
        <f t="shared" si="82"/>
        <v>4.1358921209775327E-4</v>
      </c>
      <c r="R151" s="433">
        <f t="shared" si="82"/>
        <v>8.1173569754559188E-4</v>
      </c>
      <c r="S151" s="433">
        <f t="shared" si="82"/>
        <v>1.3502779681188589E-3</v>
      </c>
      <c r="T151" s="433">
        <f t="shared" si="82"/>
        <v>2.0675901294666841E-3</v>
      </c>
      <c r="U151" s="433">
        <f t="shared" si="82"/>
        <v>3.080495081027423E-3</v>
      </c>
      <c r="V151" s="433">
        <f t="shared" si="82"/>
        <v>5.012036933085804E-3</v>
      </c>
      <c r="W151" s="433">
        <f t="shared" si="82"/>
        <v>7.1895367644093308E-3</v>
      </c>
      <c r="X151" s="433">
        <f t="shared" si="82"/>
        <v>9.4723877763723281E-3</v>
      </c>
      <c r="Y151" s="433">
        <f t="shared" si="82"/>
        <v>1.2203848200017841E-2</v>
      </c>
      <c r="Z151" s="433">
        <f t="shared" si="82"/>
        <v>1.7058702289811462E-2</v>
      </c>
      <c r="AA151" s="433">
        <f t="shared" si="82"/>
        <v>3.0748644235615671E-2</v>
      </c>
      <c r="AB151" s="433">
        <f t="shared" si="82"/>
        <v>3.2645818495296318E-2</v>
      </c>
      <c r="AC151" s="433">
        <f t="shared" si="82"/>
        <v>4.8837634649829952E-2</v>
      </c>
      <c r="AD151" s="433">
        <f t="shared" si="82"/>
        <v>6.0687208721937488E-2</v>
      </c>
      <c r="AE151" s="433">
        <f t="shared" si="82"/>
        <v>7.3553730118908534E-2</v>
      </c>
      <c r="AF151" s="433">
        <f t="shared" si="82"/>
        <v>8.4213997171858915E-2</v>
      </c>
      <c r="AG151" s="433">
        <f t="shared" si="82"/>
        <v>8.0964713183116183E-2</v>
      </c>
      <c r="AH151" s="433">
        <f t="shared" si="82"/>
        <v>9.7705256137823007E-2</v>
      </c>
      <c r="AI151" s="433">
        <f t="shared" si="82"/>
        <v>0.1037901447480068</v>
      </c>
      <c r="AJ151" s="433">
        <f t="shared" si="82"/>
        <v>0.1381303149748907</v>
      </c>
      <c r="AK151" s="433">
        <f t="shared" si="82"/>
        <v>0.16864826115628431</v>
      </c>
      <c r="AL151" s="433">
        <f t="shared" si="82"/>
        <v>0.1885012873241986</v>
      </c>
      <c r="AM151" s="433"/>
    </row>
    <row r="152" spans="1:39" ht="15.75" customHeight="1" x14ac:dyDescent="0.25">
      <c r="A152" s="194"/>
      <c r="B152" s="194"/>
      <c r="C152" s="194"/>
      <c r="D152" s="194" t="s">
        <v>1152</v>
      </c>
      <c r="E152" s="194"/>
      <c r="F152" s="433">
        <f t="shared" ref="F152:AL152" si="83">SUMIF($D$16:$D$49,$D152,F$16:F$49)</f>
        <v>4.7799061303962012E-3</v>
      </c>
      <c r="G152" s="433">
        <f t="shared" si="83"/>
        <v>1.0063064170992987E-2</v>
      </c>
      <c r="H152" s="433">
        <f t="shared" si="83"/>
        <v>1.0121952622423285E-2</v>
      </c>
      <c r="I152" s="433">
        <f t="shared" si="83"/>
        <v>1.0277569196453418E-2</v>
      </c>
      <c r="J152" s="433">
        <f t="shared" si="83"/>
        <v>1.1054365180283189E-2</v>
      </c>
      <c r="K152" s="433">
        <f t="shared" si="83"/>
        <v>2.4079612325935897E-2</v>
      </c>
      <c r="L152" s="433">
        <f t="shared" si="83"/>
        <v>3.9032626489515901E-2</v>
      </c>
      <c r="M152" s="433">
        <f t="shared" si="83"/>
        <v>4.8525526869761776E-2</v>
      </c>
      <c r="N152" s="433">
        <f t="shared" si="83"/>
        <v>6.1510154373347108E-2</v>
      </c>
      <c r="O152" s="433">
        <f t="shared" si="83"/>
        <v>6.521356967274583E-2</v>
      </c>
      <c r="P152" s="433">
        <f t="shared" si="83"/>
        <v>6.8124855701185302E-2</v>
      </c>
      <c r="Q152" s="433">
        <f t="shared" si="83"/>
        <v>7.3909174482029411E-2</v>
      </c>
      <c r="R152" s="433">
        <f t="shared" si="83"/>
        <v>9.1898280694211548E-2</v>
      </c>
      <c r="S152" s="433">
        <f t="shared" si="83"/>
        <v>0.11218616720953045</v>
      </c>
      <c r="T152" s="433">
        <f t="shared" si="83"/>
        <v>0.12081233334864004</v>
      </c>
      <c r="U152" s="433">
        <f t="shared" si="83"/>
        <v>0.12962208341834908</v>
      </c>
      <c r="V152" s="433">
        <f t="shared" si="83"/>
        <v>0.13639499854822631</v>
      </c>
      <c r="W152" s="433">
        <f t="shared" si="83"/>
        <v>0.14443914301242577</v>
      </c>
      <c r="X152" s="433">
        <f t="shared" si="83"/>
        <v>0.15200494418124483</v>
      </c>
      <c r="Y152" s="433">
        <f t="shared" si="83"/>
        <v>0.16350602825587535</v>
      </c>
      <c r="Z152" s="433">
        <f t="shared" si="83"/>
        <v>0.1761068664680159</v>
      </c>
      <c r="AA152" s="433">
        <f t="shared" si="83"/>
        <v>0.18880506808610562</v>
      </c>
      <c r="AB152" s="433">
        <f t="shared" si="83"/>
        <v>0.20129233643355085</v>
      </c>
      <c r="AC152" s="433">
        <f t="shared" si="83"/>
        <v>0.21359172065041793</v>
      </c>
      <c r="AD152" s="433">
        <f t="shared" si="83"/>
        <v>0.22481759650762301</v>
      </c>
      <c r="AE152" s="433">
        <f t="shared" si="83"/>
        <v>0.24760162556363813</v>
      </c>
      <c r="AF152" s="433">
        <f t="shared" si="83"/>
        <v>0.26443392305588692</v>
      </c>
      <c r="AG152" s="433">
        <f t="shared" si="83"/>
        <v>0.28314448226679401</v>
      </c>
      <c r="AH152" s="433">
        <f t="shared" si="83"/>
        <v>0.29128932994965445</v>
      </c>
      <c r="AI152" s="433">
        <f t="shared" si="83"/>
        <v>0.29276460851793995</v>
      </c>
      <c r="AJ152" s="433">
        <f t="shared" si="83"/>
        <v>0.29282951913359256</v>
      </c>
      <c r="AK152" s="433">
        <f t="shared" si="83"/>
        <v>0.29980647056303189</v>
      </c>
      <c r="AL152" s="433">
        <f t="shared" si="83"/>
        <v>0.30845442602229906</v>
      </c>
      <c r="AM152" s="433"/>
    </row>
    <row r="153" spans="1:39" ht="15.75" customHeight="1" x14ac:dyDescent="0.25">
      <c r="A153" s="194"/>
      <c r="B153" s="194"/>
      <c r="C153" s="194"/>
      <c r="D153" s="194" t="s">
        <v>1159</v>
      </c>
      <c r="E153" s="194"/>
      <c r="F153" s="433">
        <f t="shared" ref="F153:AL153" si="84">SUMIF($D$16:$D$49,$D153,F$16:F$49)</f>
        <v>0</v>
      </c>
      <c r="G153" s="433">
        <f t="shared" si="84"/>
        <v>0</v>
      </c>
      <c r="H153" s="433">
        <f t="shared" si="84"/>
        <v>0</v>
      </c>
      <c r="I153" s="433">
        <f t="shared" si="84"/>
        <v>0</v>
      </c>
      <c r="J153" s="433">
        <f t="shared" si="84"/>
        <v>4.4884165832836251E-7</v>
      </c>
      <c r="K153" s="433">
        <f t="shared" si="84"/>
        <v>1.4425854706833569E-6</v>
      </c>
      <c r="L153" s="433">
        <f t="shared" si="84"/>
        <v>1.303903514699833E-5</v>
      </c>
      <c r="M153" s="433">
        <f t="shared" si="84"/>
        <v>3.5782524872607343E-5</v>
      </c>
      <c r="N153" s="433">
        <f t="shared" si="84"/>
        <v>7.034657170195606E-5</v>
      </c>
      <c r="O153" s="433">
        <f t="shared" si="84"/>
        <v>1.1730201498121869E-4</v>
      </c>
      <c r="P153" s="433">
        <f t="shared" si="84"/>
        <v>1.77164732379384E-4</v>
      </c>
      <c r="Q153" s="433">
        <f t="shared" si="84"/>
        <v>2.3890872183542661E-4</v>
      </c>
      <c r="R153" s="433">
        <f t="shared" si="84"/>
        <v>2.9247235308203383E-4</v>
      </c>
      <c r="S153" s="433">
        <f t="shared" si="84"/>
        <v>3.3651268041300341E-4</v>
      </c>
      <c r="T153" s="433">
        <f t="shared" si="84"/>
        <v>3.7015761635671358E-4</v>
      </c>
      <c r="U153" s="433">
        <f t="shared" si="84"/>
        <v>3.9282960897999531E-4</v>
      </c>
      <c r="V153" s="433">
        <f t="shared" si="84"/>
        <v>4.033571200107217E-4</v>
      </c>
      <c r="W153" s="433">
        <f t="shared" si="84"/>
        <v>4.1350030420114872E-4</v>
      </c>
      <c r="X153" s="433">
        <f t="shared" si="84"/>
        <v>4.2435406911593812E-4</v>
      </c>
      <c r="Y153" s="433">
        <f t="shared" si="84"/>
        <v>4.3680144684259792E-4</v>
      </c>
      <c r="Z153" s="433">
        <f t="shared" si="84"/>
        <v>4.508120476563058E-4</v>
      </c>
      <c r="AA153" s="433">
        <f t="shared" si="84"/>
        <v>4.6517504069101248E-4</v>
      </c>
      <c r="AB153" s="433">
        <f t="shared" si="84"/>
        <v>4.7968976394474697E-4</v>
      </c>
      <c r="AC153" s="433">
        <f t="shared" si="84"/>
        <v>4.9384717915311894E-4</v>
      </c>
      <c r="AD153" s="433">
        <f t="shared" si="84"/>
        <v>5.0801962985677228E-4</v>
      </c>
      <c r="AE153" s="433">
        <f t="shared" si="84"/>
        <v>5.2206059846655298E-4</v>
      </c>
      <c r="AF153" s="433">
        <f t="shared" si="84"/>
        <v>5.3563902659882739E-4</v>
      </c>
      <c r="AG153" s="433">
        <f t="shared" si="84"/>
        <v>5.5035359376891116E-4</v>
      </c>
      <c r="AH153" s="433">
        <f t="shared" si="84"/>
        <v>5.6542619143398667E-4</v>
      </c>
      <c r="AI153" s="433">
        <f t="shared" si="84"/>
        <v>5.8101252390705045E-4</v>
      </c>
      <c r="AJ153" s="433">
        <f t="shared" si="84"/>
        <v>5.4511363290616125E-4</v>
      </c>
      <c r="AK153" s="433">
        <f t="shared" si="84"/>
        <v>5.0178884012394391E-4</v>
      </c>
      <c r="AL153" s="433">
        <f t="shared" si="84"/>
        <v>4.5545000749478819E-4</v>
      </c>
      <c r="AM153" s="433"/>
    </row>
    <row r="154" spans="1:39" ht="15.75" customHeight="1" x14ac:dyDescent="0.25">
      <c r="A154" s="194"/>
      <c r="B154" s="194"/>
      <c r="C154" s="194"/>
      <c r="D154" s="194" t="s">
        <v>1157</v>
      </c>
      <c r="E154" s="194"/>
      <c r="F154" s="433">
        <f t="shared" ref="F154:AL154" si="85">SUMIF($D$16:$D$49,$D154,F$16:F$49)</f>
        <v>0</v>
      </c>
      <c r="G154" s="433">
        <f t="shared" si="85"/>
        <v>0</v>
      </c>
      <c r="H154" s="433">
        <f t="shared" si="85"/>
        <v>0</v>
      </c>
      <c r="I154" s="433">
        <f t="shared" si="85"/>
        <v>0</v>
      </c>
      <c r="J154" s="433">
        <f t="shared" si="85"/>
        <v>1.730075103327022E-6</v>
      </c>
      <c r="K154" s="433">
        <f t="shared" si="85"/>
        <v>8.4656947013083059E-3</v>
      </c>
      <c r="L154" s="433">
        <f t="shared" si="85"/>
        <v>2.0348098606656748E-2</v>
      </c>
      <c r="M154" s="433">
        <f t="shared" si="85"/>
        <v>2.3912308190053948E-2</v>
      </c>
      <c r="N154" s="433">
        <f t="shared" si="85"/>
        <v>2.4380728978988422E-2</v>
      </c>
      <c r="O154" s="433">
        <f t="shared" si="85"/>
        <v>2.4892452553644376E-2</v>
      </c>
      <c r="P154" s="433">
        <f t="shared" si="85"/>
        <v>1.9782892878697736E-2</v>
      </c>
      <c r="Q154" s="433">
        <f t="shared" si="85"/>
        <v>1.4496324674131257E-2</v>
      </c>
      <c r="R154" s="433">
        <f t="shared" si="85"/>
        <v>8.9657137557472757E-3</v>
      </c>
      <c r="S154" s="433">
        <f t="shared" si="85"/>
        <v>3.1023941639133279E-3</v>
      </c>
      <c r="T154" s="433">
        <f t="shared" si="85"/>
        <v>3.1572046912755293E-3</v>
      </c>
      <c r="U154" s="433">
        <f t="shared" si="85"/>
        <v>2.6495933988572584E-3</v>
      </c>
      <c r="V154" s="433">
        <f t="shared" si="85"/>
        <v>2.1159046653234301E-3</v>
      </c>
      <c r="W154" s="433">
        <f t="shared" si="85"/>
        <v>1.5642516166701867E-3</v>
      </c>
      <c r="X154" s="433">
        <f t="shared" si="85"/>
        <v>9.9538097420498938E-4</v>
      </c>
      <c r="Y154" s="433">
        <f t="shared" si="85"/>
        <v>4.0866952997223088E-4</v>
      </c>
      <c r="Z154" s="433">
        <f t="shared" si="85"/>
        <v>4.0949655637933401E-4</v>
      </c>
      <c r="AA154" s="433">
        <f t="shared" si="85"/>
        <v>4.102413353428481E-4</v>
      </c>
      <c r="AB154" s="433">
        <f t="shared" si="85"/>
        <v>4.1069513067581867E-4</v>
      </c>
      <c r="AC154" s="433">
        <f t="shared" si="85"/>
        <v>4.1049918227609259E-4</v>
      </c>
      <c r="AD154" s="433">
        <f t="shared" si="85"/>
        <v>4.1000958621623801E-4</v>
      </c>
      <c r="AE154" s="433">
        <f t="shared" si="85"/>
        <v>4.0906078520429898E-4</v>
      </c>
      <c r="AF154" s="433">
        <f t="shared" si="85"/>
        <v>4.0747959881769658E-4</v>
      </c>
      <c r="AG154" s="433">
        <f t="shared" si="85"/>
        <v>4.0646834581289058E-4</v>
      </c>
      <c r="AH154" s="433">
        <f t="shared" si="85"/>
        <v>4.0545808953945921E-4</v>
      </c>
      <c r="AI154" s="433">
        <f t="shared" si="85"/>
        <v>4.0449205830880489E-4</v>
      </c>
      <c r="AJ154" s="433">
        <f t="shared" si="85"/>
        <v>4.0837034701596048E-4</v>
      </c>
      <c r="AK154" s="433">
        <f t="shared" si="85"/>
        <v>4.0785503540037322E-4</v>
      </c>
      <c r="AL154" s="433">
        <f t="shared" si="85"/>
        <v>4.0573062202426801E-4</v>
      </c>
      <c r="AM154" s="433"/>
    </row>
    <row r="155" spans="1:39" ht="15.75" customHeight="1" x14ac:dyDescent="0.25">
      <c r="A155" s="194"/>
      <c r="B155" s="194"/>
      <c r="C155" s="194"/>
      <c r="D155" s="194"/>
      <c r="E155" s="194"/>
      <c r="F155" s="433"/>
      <c r="G155" s="433"/>
      <c r="H155" s="433"/>
      <c r="I155" s="433"/>
      <c r="J155" s="433"/>
      <c r="K155" s="433"/>
      <c r="L155" s="433"/>
      <c r="M155" s="433"/>
      <c r="N155" s="433"/>
      <c r="O155" s="433"/>
      <c r="P155" s="433"/>
      <c r="Q155" s="433"/>
      <c r="R155" s="433"/>
      <c r="S155" s="433"/>
      <c r="T155" s="433"/>
      <c r="U155" s="433"/>
      <c r="V155" s="433"/>
      <c r="W155" s="433"/>
      <c r="X155" s="433"/>
      <c r="Y155" s="433"/>
      <c r="Z155" s="433"/>
      <c r="AA155" s="433"/>
      <c r="AB155" s="433"/>
      <c r="AC155" s="433"/>
      <c r="AD155" s="433"/>
      <c r="AE155" s="433"/>
      <c r="AF155" s="433"/>
      <c r="AG155" s="433"/>
      <c r="AH155" s="433"/>
      <c r="AI155" s="433"/>
      <c r="AJ155" s="433"/>
      <c r="AK155" s="433"/>
      <c r="AL155" s="433"/>
      <c r="AM155" s="433"/>
    </row>
    <row r="156" spans="1:39" ht="15.75" customHeight="1" x14ac:dyDescent="0.25">
      <c r="A156" s="194"/>
      <c r="B156" s="194"/>
      <c r="C156" s="194"/>
      <c r="D156" s="194" t="s">
        <v>10</v>
      </c>
      <c r="E156" s="194"/>
      <c r="F156" s="433">
        <f t="shared" ref="F156:AL156" si="86">F145</f>
        <v>2.6131014791080082E-7</v>
      </c>
      <c r="G156" s="433">
        <f t="shared" si="86"/>
        <v>4.1898124909234098E-7</v>
      </c>
      <c r="H156" s="433">
        <f t="shared" si="86"/>
        <v>5.8111866987456702E-7</v>
      </c>
      <c r="I156" s="433">
        <f t="shared" si="86"/>
        <v>7.4840461171582204E-7</v>
      </c>
      <c r="J156" s="433">
        <f t="shared" si="86"/>
        <v>9.2201719908830302E-7</v>
      </c>
      <c r="K156" s="433">
        <f t="shared" si="86"/>
        <v>2.3052706395561522E-6</v>
      </c>
      <c r="L156" s="433">
        <f t="shared" si="86"/>
        <v>4.4136082214367739E-6</v>
      </c>
      <c r="M156" s="433">
        <f t="shared" si="86"/>
        <v>6.5946290152229707E-6</v>
      </c>
      <c r="N156" s="433">
        <f t="shared" si="86"/>
        <v>8.8565132283437395E-6</v>
      </c>
      <c r="O156" s="433">
        <f t="shared" si="86"/>
        <v>1.1509845363912519E-5</v>
      </c>
      <c r="P156" s="433">
        <f t="shared" si="86"/>
        <v>1.2569649352965852E-5</v>
      </c>
      <c r="Q156" s="433">
        <f t="shared" si="86"/>
        <v>1.3247157241468287E-5</v>
      </c>
      <c r="R156" s="433">
        <f t="shared" si="86"/>
        <v>1.7288683860185458E-5</v>
      </c>
      <c r="S156" s="433">
        <f t="shared" si="86"/>
        <v>2.1944993352741679E-5</v>
      </c>
      <c r="T156" s="433">
        <f t="shared" si="86"/>
        <v>2.3330088569784589E-5</v>
      </c>
      <c r="U156" s="433">
        <f t="shared" si="86"/>
        <v>2.4713909211711638E-5</v>
      </c>
      <c r="V156" s="433">
        <f t="shared" si="86"/>
        <v>2.6092421796137101E-5</v>
      </c>
      <c r="W156" s="433">
        <f t="shared" si="86"/>
        <v>2.7471143032289743E-5</v>
      </c>
      <c r="X156" s="433">
        <f t="shared" si="86"/>
        <v>2.8923391721581608E-5</v>
      </c>
      <c r="Y156" s="433">
        <f t="shared" si="86"/>
        <v>3.1802293449473981E-5</v>
      </c>
      <c r="Z156" s="433">
        <f t="shared" si="86"/>
        <v>3.5335146091815057E-5</v>
      </c>
      <c r="AA156" s="433">
        <f t="shared" si="86"/>
        <v>3.771742776819257E-5</v>
      </c>
      <c r="AB156" s="433">
        <f t="shared" si="86"/>
        <v>3.956228490669917E-5</v>
      </c>
      <c r="AC156" s="433">
        <f t="shared" si="86"/>
        <v>4.1703195498338638E-5</v>
      </c>
      <c r="AD156" s="433">
        <f t="shared" si="86"/>
        <v>4.4100162870311796E-5</v>
      </c>
      <c r="AE156" s="433">
        <f t="shared" si="86"/>
        <v>4.6478452427122152E-5</v>
      </c>
      <c r="AF156" s="433">
        <f t="shared" si="86"/>
        <v>4.9640579107816882E-5</v>
      </c>
      <c r="AG156" s="433">
        <f t="shared" si="86"/>
        <v>5.2781854283047353E-5</v>
      </c>
      <c r="AH156" s="433">
        <f t="shared" si="86"/>
        <v>5.6556118564366453E-5</v>
      </c>
      <c r="AI156" s="433">
        <f t="shared" si="86"/>
        <v>6.0255123344093292E-5</v>
      </c>
      <c r="AJ156" s="433">
        <f t="shared" si="86"/>
        <v>6.4760276546437561E-5</v>
      </c>
      <c r="AK156" s="433">
        <f t="shared" si="86"/>
        <v>6.8680952135492248E-5</v>
      </c>
      <c r="AL156" s="433">
        <f t="shared" si="86"/>
        <v>7.2638169923938342E-5</v>
      </c>
      <c r="AM156" s="433"/>
    </row>
    <row r="157" spans="1:39" ht="15.75" customHeight="1" x14ac:dyDescent="0.25">
      <c r="A157" s="194"/>
      <c r="B157" s="194"/>
      <c r="C157" s="194"/>
      <c r="D157" s="194" t="s">
        <v>1143</v>
      </c>
      <c r="E157" s="194"/>
      <c r="F157" s="433">
        <f t="shared" ref="F157:AL157" si="87">SUM(F146:F152)</f>
        <v>4.7857865388024291E-3</v>
      </c>
      <c r="G157" s="433">
        <f t="shared" si="87"/>
        <v>1.0077548756257193E-2</v>
      </c>
      <c r="H157" s="433">
        <f t="shared" si="87"/>
        <v>2.7454846765031453E-2</v>
      </c>
      <c r="I157" s="433">
        <f t="shared" si="87"/>
        <v>8.9449206978261073E-2</v>
      </c>
      <c r="J157" s="433">
        <f t="shared" si="87"/>
        <v>0.21727649529520757</v>
      </c>
      <c r="K157" s="433">
        <f t="shared" si="87"/>
        <v>0.46950787988810433</v>
      </c>
      <c r="L157" s="433">
        <f t="shared" si="87"/>
        <v>0.6512959753582771</v>
      </c>
      <c r="M157" s="433">
        <f t="shared" si="87"/>
        <v>0.83094933227733447</v>
      </c>
      <c r="N157" s="433">
        <f t="shared" si="87"/>
        <v>0.96346534503167647</v>
      </c>
      <c r="O157" s="433">
        <f t="shared" si="87"/>
        <v>1.1005547052931088</v>
      </c>
      <c r="P157" s="433">
        <f t="shared" si="87"/>
        <v>1.2235828531297652</v>
      </c>
      <c r="Q157" s="433">
        <f t="shared" si="87"/>
        <v>1.3467147742253325</v>
      </c>
      <c r="R157" s="433">
        <f t="shared" si="87"/>
        <v>1.4439096170736352</v>
      </c>
      <c r="S157" s="433">
        <f t="shared" si="87"/>
        <v>1.534403684441358</v>
      </c>
      <c r="T157" s="433">
        <f t="shared" si="87"/>
        <v>1.6082141820355442</v>
      </c>
      <c r="U157" s="433">
        <f t="shared" si="87"/>
        <v>1.6954898163201382</v>
      </c>
      <c r="V157" s="433">
        <f t="shared" si="87"/>
        <v>1.8112400446937782</v>
      </c>
      <c r="W157" s="433">
        <f t="shared" si="87"/>
        <v>1.9395785224919528</v>
      </c>
      <c r="X157" s="433">
        <f t="shared" si="87"/>
        <v>2.0806107855625049</v>
      </c>
      <c r="Y157" s="433">
        <f t="shared" si="87"/>
        <v>2.1420877411515127</v>
      </c>
      <c r="Z157" s="433">
        <f t="shared" si="87"/>
        <v>2.0400422710103445</v>
      </c>
      <c r="AA157" s="433">
        <f t="shared" si="87"/>
        <v>2.1699973545073417</v>
      </c>
      <c r="AB157" s="433">
        <f t="shared" si="87"/>
        <v>2.306985444929452</v>
      </c>
      <c r="AC157" s="433">
        <f t="shared" si="87"/>
        <v>2.6808818075841065</v>
      </c>
      <c r="AD157" s="433">
        <f t="shared" si="87"/>
        <v>3.0826117887529034</v>
      </c>
      <c r="AE157" s="433">
        <f t="shared" si="87"/>
        <v>2.9971826033221327</v>
      </c>
      <c r="AF157" s="433">
        <f t="shared" si="87"/>
        <v>3.0294704655916154</v>
      </c>
      <c r="AG157" s="433">
        <f t="shared" si="87"/>
        <v>2.5857497024501561</v>
      </c>
      <c r="AH157" s="433">
        <f t="shared" si="87"/>
        <v>2.9316799623912022</v>
      </c>
      <c r="AI157" s="433">
        <f t="shared" si="87"/>
        <v>2.7889103746407504</v>
      </c>
      <c r="AJ157" s="433">
        <f t="shared" si="87"/>
        <v>3.140421090378827</v>
      </c>
      <c r="AK157" s="433">
        <f t="shared" si="87"/>
        <v>3.2594567684653413</v>
      </c>
      <c r="AL157" s="433">
        <f t="shared" si="87"/>
        <v>3.3583853759843847</v>
      </c>
      <c r="AM157" s="433"/>
    </row>
    <row r="158" spans="1:39" ht="15.75" customHeight="1" x14ac:dyDescent="0.25">
      <c r="A158" s="194"/>
      <c r="B158" s="194"/>
      <c r="C158" s="194"/>
      <c r="D158" s="194" t="s">
        <v>1156</v>
      </c>
      <c r="E158" s="194"/>
      <c r="F158" s="433">
        <f t="shared" ref="F158:AL158" si="88">SUM(F153:F154)</f>
        <v>0</v>
      </c>
      <c r="G158" s="433">
        <f t="shared" si="88"/>
        <v>0</v>
      </c>
      <c r="H158" s="433">
        <f t="shared" si="88"/>
        <v>0</v>
      </c>
      <c r="I158" s="433">
        <f t="shared" si="88"/>
        <v>0</v>
      </c>
      <c r="J158" s="433">
        <f t="shared" si="88"/>
        <v>2.1789167616553847E-6</v>
      </c>
      <c r="K158" s="433">
        <f t="shared" si="88"/>
        <v>8.467137286778989E-3</v>
      </c>
      <c r="L158" s="433">
        <f t="shared" si="88"/>
        <v>2.0361137641803747E-2</v>
      </c>
      <c r="M158" s="433">
        <f t="shared" si="88"/>
        <v>2.3948090714926557E-2</v>
      </c>
      <c r="N158" s="433">
        <f t="shared" si="88"/>
        <v>2.4451075550690378E-2</v>
      </c>
      <c r="O158" s="433">
        <f t="shared" si="88"/>
        <v>2.5009754568625593E-2</v>
      </c>
      <c r="P158" s="433">
        <f t="shared" si="88"/>
        <v>1.9960057611077119E-2</v>
      </c>
      <c r="Q158" s="433">
        <f t="shared" si="88"/>
        <v>1.4735233395966683E-2</v>
      </c>
      <c r="R158" s="433">
        <f t="shared" si="88"/>
        <v>9.25818610882931E-3</v>
      </c>
      <c r="S158" s="433">
        <f t="shared" si="88"/>
        <v>3.4389068443263313E-3</v>
      </c>
      <c r="T158" s="433">
        <f t="shared" si="88"/>
        <v>3.5273623076322426E-3</v>
      </c>
      <c r="U158" s="433">
        <f t="shared" si="88"/>
        <v>3.0424230078372537E-3</v>
      </c>
      <c r="V158" s="433">
        <f t="shared" si="88"/>
        <v>2.5192617853341519E-3</v>
      </c>
      <c r="W158" s="433">
        <f t="shared" si="88"/>
        <v>1.9777519208713356E-3</v>
      </c>
      <c r="X158" s="433">
        <f t="shared" si="88"/>
        <v>1.4197350433209275E-3</v>
      </c>
      <c r="Y158" s="433">
        <f t="shared" si="88"/>
        <v>8.4547097681482875E-4</v>
      </c>
      <c r="Z158" s="433">
        <f t="shared" si="88"/>
        <v>8.6030860403563982E-4</v>
      </c>
      <c r="AA158" s="433">
        <f t="shared" si="88"/>
        <v>8.7541637603386058E-4</v>
      </c>
      <c r="AB158" s="433">
        <f t="shared" si="88"/>
        <v>8.903848946205657E-4</v>
      </c>
      <c r="AC158" s="433">
        <f t="shared" si="88"/>
        <v>9.0434636142921153E-4</v>
      </c>
      <c r="AD158" s="433">
        <f t="shared" si="88"/>
        <v>9.1802921607301029E-4</v>
      </c>
      <c r="AE158" s="433">
        <f t="shared" si="88"/>
        <v>9.3112138367085196E-4</v>
      </c>
      <c r="AF158" s="433">
        <f t="shared" si="88"/>
        <v>9.4311862541652397E-4</v>
      </c>
      <c r="AG158" s="433">
        <f t="shared" si="88"/>
        <v>9.5682193958180175E-4</v>
      </c>
      <c r="AH158" s="433">
        <f t="shared" si="88"/>
        <v>9.7088428097344588E-4</v>
      </c>
      <c r="AI158" s="433">
        <f t="shared" si="88"/>
        <v>9.8550458221585528E-4</v>
      </c>
      <c r="AJ158" s="433">
        <f t="shared" si="88"/>
        <v>9.5348397992212172E-4</v>
      </c>
      <c r="AK158" s="433">
        <f t="shared" si="88"/>
        <v>9.0964387552431713E-4</v>
      </c>
      <c r="AL158" s="433">
        <f t="shared" si="88"/>
        <v>8.6118062951905626E-4</v>
      </c>
      <c r="AM158" s="433"/>
    </row>
    <row r="159" spans="1:39" ht="15.75" customHeight="1" x14ac:dyDescent="0.25">
      <c r="A159" s="194"/>
      <c r="B159" s="194"/>
      <c r="C159" s="194"/>
      <c r="D159" s="194"/>
      <c r="E159" s="194"/>
      <c r="F159" s="433"/>
      <c r="G159" s="433"/>
      <c r="H159" s="433"/>
      <c r="I159" s="433"/>
      <c r="J159" s="433"/>
      <c r="K159" s="433"/>
      <c r="L159" s="433"/>
      <c r="M159" s="433"/>
      <c r="N159" s="433"/>
      <c r="O159" s="433"/>
      <c r="P159" s="433"/>
      <c r="Q159" s="433"/>
      <c r="R159" s="433"/>
      <c r="S159" s="433"/>
      <c r="T159" s="433"/>
      <c r="U159" s="433"/>
      <c r="V159" s="433"/>
      <c r="W159" s="433"/>
      <c r="X159" s="433"/>
      <c r="Y159" s="433"/>
      <c r="Z159" s="433"/>
      <c r="AA159" s="433"/>
      <c r="AB159" s="433"/>
      <c r="AC159" s="433"/>
      <c r="AD159" s="433"/>
      <c r="AE159" s="433"/>
      <c r="AF159" s="433"/>
      <c r="AG159" s="433"/>
      <c r="AH159" s="433"/>
      <c r="AI159" s="433"/>
      <c r="AJ159" s="433"/>
      <c r="AK159" s="433"/>
      <c r="AL159" s="433"/>
      <c r="AM159" s="433"/>
    </row>
    <row r="160" spans="1:39" ht="15.75" customHeight="1" x14ac:dyDescent="0.25">
      <c r="A160" s="194"/>
      <c r="B160" s="194"/>
      <c r="C160" s="194"/>
      <c r="D160" s="194" t="s">
        <v>1217</v>
      </c>
      <c r="E160" s="194"/>
      <c r="F160" s="433">
        <f t="shared" ref="F160:AL160" si="89">SUM(F156:F158)</f>
        <v>4.7860478489503396E-3</v>
      </c>
      <c r="G160" s="433">
        <f t="shared" si="89"/>
        <v>1.0077967737506285E-2</v>
      </c>
      <c r="H160" s="433">
        <f t="shared" si="89"/>
        <v>2.7455427883701328E-2</v>
      </c>
      <c r="I160" s="433">
        <f t="shared" si="89"/>
        <v>8.9449955382872787E-2</v>
      </c>
      <c r="J160" s="433">
        <f t="shared" si="89"/>
        <v>0.21727959622916831</v>
      </c>
      <c r="K160" s="433">
        <f t="shared" si="89"/>
        <v>0.47797732244552288</v>
      </c>
      <c r="L160" s="433">
        <f t="shared" si="89"/>
        <v>0.67166152660830225</v>
      </c>
      <c r="M160" s="433">
        <f t="shared" si="89"/>
        <v>0.85490401762127621</v>
      </c>
      <c r="N160" s="433">
        <f t="shared" si="89"/>
        <v>0.98792527709559519</v>
      </c>
      <c r="O160" s="433">
        <f t="shared" si="89"/>
        <v>1.1255759697070984</v>
      </c>
      <c r="P160" s="433">
        <f t="shared" si="89"/>
        <v>1.2435554803901954</v>
      </c>
      <c r="Q160" s="433">
        <f t="shared" si="89"/>
        <v>1.3614632547785406</v>
      </c>
      <c r="R160" s="433">
        <f t="shared" si="89"/>
        <v>1.4531850918663245</v>
      </c>
      <c r="S160" s="433">
        <f t="shared" si="89"/>
        <v>1.5378645362790371</v>
      </c>
      <c r="T160" s="433">
        <f t="shared" si="89"/>
        <v>1.6117648744317461</v>
      </c>
      <c r="U160" s="433">
        <f t="shared" si="89"/>
        <v>1.6985569532371871</v>
      </c>
      <c r="V160" s="433">
        <f t="shared" si="89"/>
        <v>1.8137853989009085</v>
      </c>
      <c r="W160" s="433">
        <f t="shared" si="89"/>
        <v>1.9415837455558564</v>
      </c>
      <c r="X160" s="433">
        <f t="shared" si="89"/>
        <v>2.0820594439975473</v>
      </c>
      <c r="Y160" s="433">
        <f t="shared" si="89"/>
        <v>2.1429650144217769</v>
      </c>
      <c r="Z160" s="433">
        <f t="shared" si="89"/>
        <v>2.0409379147604718</v>
      </c>
      <c r="AA160" s="433">
        <f t="shared" si="89"/>
        <v>2.1709104883111436</v>
      </c>
      <c r="AB160" s="433">
        <f t="shared" si="89"/>
        <v>2.3079153921089794</v>
      </c>
      <c r="AC160" s="433">
        <f t="shared" si="89"/>
        <v>2.6818278571410339</v>
      </c>
      <c r="AD160" s="433">
        <f t="shared" si="89"/>
        <v>3.0835739181318469</v>
      </c>
      <c r="AE160" s="433">
        <f t="shared" si="89"/>
        <v>2.9981602031582306</v>
      </c>
      <c r="AF160" s="433">
        <f t="shared" si="89"/>
        <v>3.0304632247961396</v>
      </c>
      <c r="AG160" s="433">
        <f t="shared" si="89"/>
        <v>2.5867593062440211</v>
      </c>
      <c r="AH160" s="433">
        <f t="shared" si="89"/>
        <v>2.93270740279074</v>
      </c>
      <c r="AI160" s="433">
        <f t="shared" si="89"/>
        <v>2.7899561343463106</v>
      </c>
      <c r="AJ160" s="433">
        <f t="shared" si="89"/>
        <v>3.1414393346352956</v>
      </c>
      <c r="AK160" s="433">
        <f t="shared" si="89"/>
        <v>3.2604350932930011</v>
      </c>
      <c r="AL160" s="433">
        <f t="shared" si="89"/>
        <v>3.3593191947838275</v>
      </c>
      <c r="AM160" s="433"/>
    </row>
    <row r="161" spans="1:39" ht="15.75" customHeight="1" x14ac:dyDescent="0.25">
      <c r="A161" s="194"/>
      <c r="B161" s="194"/>
      <c r="C161" s="194"/>
      <c r="D161" s="194"/>
      <c r="E161" s="194"/>
      <c r="F161" s="194"/>
      <c r="G161" s="194"/>
      <c r="H161" s="194"/>
      <c r="I161" s="194"/>
      <c r="J161" s="194"/>
      <c r="K161" s="194"/>
      <c r="L161" s="194"/>
      <c r="M161" s="194"/>
      <c r="N161" s="194"/>
      <c r="O161" s="194"/>
      <c r="P161" s="194"/>
      <c r="Q161" s="194"/>
      <c r="R161" s="194"/>
      <c r="S161" s="194"/>
      <c r="T161" s="194"/>
      <c r="U161" s="194"/>
      <c r="V161" s="194"/>
      <c r="W161" s="194"/>
      <c r="X161" s="194"/>
      <c r="Y161" s="194"/>
      <c r="Z161" s="194"/>
      <c r="AA161" s="194"/>
      <c r="AB161" s="194"/>
      <c r="AC161" s="194"/>
      <c r="AD161" s="194"/>
      <c r="AE161" s="194"/>
      <c r="AF161" s="194"/>
      <c r="AG161" s="194"/>
      <c r="AH161" s="194"/>
      <c r="AI161" s="194"/>
      <c r="AJ161" s="194"/>
      <c r="AK161" s="194"/>
      <c r="AL161" s="194"/>
      <c r="AM161" s="194"/>
    </row>
    <row r="162" spans="1:39" ht="15.75" customHeight="1" x14ac:dyDescent="0.25">
      <c r="A162" s="194"/>
      <c r="B162" s="435" t="s">
        <v>9</v>
      </c>
      <c r="C162" s="436"/>
      <c r="D162" s="436"/>
      <c r="E162" s="436"/>
      <c r="F162" s="436"/>
      <c r="G162" s="436"/>
      <c r="H162" s="436"/>
      <c r="I162" s="436"/>
      <c r="J162" s="436"/>
      <c r="K162" s="436"/>
      <c r="L162" s="436"/>
      <c r="M162" s="436"/>
      <c r="N162" s="436"/>
      <c r="O162" s="436"/>
      <c r="P162" s="436"/>
      <c r="Q162" s="436"/>
      <c r="R162" s="436"/>
      <c r="S162" s="436"/>
      <c r="T162" s="436"/>
      <c r="U162" s="436"/>
      <c r="V162" s="436"/>
      <c r="W162" s="436"/>
      <c r="X162" s="436"/>
      <c r="Y162" s="436"/>
      <c r="Z162" s="436"/>
      <c r="AA162" s="436"/>
      <c r="AB162" s="436"/>
      <c r="AC162" s="436"/>
      <c r="AD162" s="436"/>
      <c r="AE162" s="436"/>
      <c r="AF162" s="436"/>
      <c r="AG162" s="436"/>
      <c r="AH162" s="436"/>
      <c r="AI162" s="436"/>
      <c r="AJ162" s="436"/>
      <c r="AK162" s="436"/>
      <c r="AL162" s="436"/>
      <c r="AM162" s="439"/>
    </row>
    <row r="163" spans="1:39" ht="15.75" customHeight="1" x14ac:dyDescent="0.25">
      <c r="A163" s="194"/>
      <c r="B163" s="194"/>
      <c r="C163" s="194"/>
      <c r="D163" s="432" t="s">
        <v>1216</v>
      </c>
      <c r="E163" s="432"/>
      <c r="F163" s="432" t="s">
        <v>1106</v>
      </c>
      <c r="G163" s="432" t="s">
        <v>1107</v>
      </c>
      <c r="H163" s="432" t="s">
        <v>1108</v>
      </c>
      <c r="I163" s="432" t="s">
        <v>1109</v>
      </c>
      <c r="J163" s="432" t="s">
        <v>1110</v>
      </c>
      <c r="K163" s="432" t="s">
        <v>1111</v>
      </c>
      <c r="L163" s="432" t="s">
        <v>1112</v>
      </c>
      <c r="M163" s="432" t="s">
        <v>1113</v>
      </c>
      <c r="N163" s="432" t="s">
        <v>1114</v>
      </c>
      <c r="O163" s="432" t="s">
        <v>1115</v>
      </c>
      <c r="P163" s="432" t="s">
        <v>1116</v>
      </c>
      <c r="Q163" s="432" t="s">
        <v>1117</v>
      </c>
      <c r="R163" s="432" t="s">
        <v>1118</v>
      </c>
      <c r="S163" s="432" t="s">
        <v>1119</v>
      </c>
      <c r="T163" s="432" t="s">
        <v>1120</v>
      </c>
      <c r="U163" s="432" t="s">
        <v>1121</v>
      </c>
      <c r="V163" s="432" t="s">
        <v>1122</v>
      </c>
      <c r="W163" s="432" t="s">
        <v>1123</v>
      </c>
      <c r="X163" s="432" t="s">
        <v>1124</v>
      </c>
      <c r="Y163" s="432" t="s">
        <v>1125</v>
      </c>
      <c r="Z163" s="432" t="s">
        <v>1126</v>
      </c>
      <c r="AA163" s="432" t="s">
        <v>1127</v>
      </c>
      <c r="AB163" s="432" t="s">
        <v>1128</v>
      </c>
      <c r="AC163" s="432" t="s">
        <v>1129</v>
      </c>
      <c r="AD163" s="432" t="s">
        <v>1130</v>
      </c>
      <c r="AE163" s="432" t="s">
        <v>1131</v>
      </c>
      <c r="AF163" s="432" t="s">
        <v>1132</v>
      </c>
      <c r="AG163" s="432" t="s">
        <v>1133</v>
      </c>
      <c r="AH163" s="432" t="s">
        <v>1134</v>
      </c>
      <c r="AI163" s="432" t="s">
        <v>1135</v>
      </c>
      <c r="AJ163" s="432" t="s">
        <v>1136</v>
      </c>
      <c r="AK163" s="432" t="s">
        <v>1137</v>
      </c>
      <c r="AL163" s="432" t="s">
        <v>1138</v>
      </c>
      <c r="AM163" s="432"/>
    </row>
    <row r="164" spans="1:39" ht="15.75" customHeight="1" x14ac:dyDescent="0.25">
      <c r="A164" s="194"/>
      <c r="B164" s="194"/>
      <c r="C164" s="194"/>
      <c r="D164" s="194" t="s">
        <v>1140</v>
      </c>
      <c r="E164" s="194"/>
      <c r="F164" s="433">
        <f t="shared" ref="F164:AL164" si="90">SUMIF($D$16:$D$49,$D164,F$106:F$139)</f>
        <v>2.6131014791080082E-7</v>
      </c>
      <c r="G164" s="433">
        <f t="shared" si="90"/>
        <v>4.1898124909234098E-7</v>
      </c>
      <c r="H164" s="433">
        <f t="shared" si="90"/>
        <v>5.8111866987456702E-7</v>
      </c>
      <c r="I164" s="433">
        <f t="shared" si="90"/>
        <v>7.4840461171582204E-7</v>
      </c>
      <c r="J164" s="433">
        <f t="shared" si="90"/>
        <v>9.2201719908830302E-7</v>
      </c>
      <c r="K164" s="433">
        <f t="shared" si="90"/>
        <v>2.3052706395561522E-6</v>
      </c>
      <c r="L164" s="433">
        <f t="shared" si="90"/>
        <v>4.4136082214367739E-6</v>
      </c>
      <c r="M164" s="433">
        <f t="shared" si="90"/>
        <v>6.5946290152229707E-6</v>
      </c>
      <c r="N164" s="433">
        <f t="shared" si="90"/>
        <v>8.8565132283437395E-6</v>
      </c>
      <c r="O164" s="433">
        <f t="shared" si="90"/>
        <v>1.1509845363912519E-5</v>
      </c>
      <c r="P164" s="433">
        <f t="shared" si="90"/>
        <v>1.2569649352965852E-5</v>
      </c>
      <c r="Q164" s="433">
        <f t="shared" si="90"/>
        <v>1.3247157241468287E-5</v>
      </c>
      <c r="R164" s="433">
        <f t="shared" si="90"/>
        <v>1.7288683860185458E-5</v>
      </c>
      <c r="S164" s="433">
        <f t="shared" si="90"/>
        <v>2.1944993352741679E-5</v>
      </c>
      <c r="T164" s="433">
        <f t="shared" si="90"/>
        <v>2.3330088569784589E-5</v>
      </c>
      <c r="U164" s="433">
        <f t="shared" si="90"/>
        <v>2.4713909211711638E-5</v>
      </c>
      <c r="V164" s="433">
        <f t="shared" si="90"/>
        <v>2.6092421796137101E-5</v>
      </c>
      <c r="W164" s="433">
        <f t="shared" si="90"/>
        <v>2.7471143032289743E-5</v>
      </c>
      <c r="X164" s="433">
        <f t="shared" si="90"/>
        <v>2.8923391721581608E-5</v>
      </c>
      <c r="Y164" s="433">
        <f t="shared" si="90"/>
        <v>3.1802293449473981E-5</v>
      </c>
      <c r="Z164" s="433">
        <f t="shared" si="90"/>
        <v>3.5335146091815057E-5</v>
      </c>
      <c r="AA164" s="433">
        <f t="shared" si="90"/>
        <v>3.771742776819257E-5</v>
      </c>
      <c r="AB164" s="433">
        <f t="shared" si="90"/>
        <v>3.956228490669917E-5</v>
      </c>
      <c r="AC164" s="433">
        <f t="shared" si="90"/>
        <v>4.1703195498338638E-5</v>
      </c>
      <c r="AD164" s="433">
        <f t="shared" si="90"/>
        <v>4.4100162870311796E-5</v>
      </c>
      <c r="AE164" s="433">
        <f t="shared" si="90"/>
        <v>4.6478452427122152E-5</v>
      </c>
      <c r="AF164" s="433">
        <f t="shared" si="90"/>
        <v>4.9640579107816882E-5</v>
      </c>
      <c r="AG164" s="433">
        <f t="shared" si="90"/>
        <v>5.2781854283047353E-5</v>
      </c>
      <c r="AH164" s="433">
        <f t="shared" si="90"/>
        <v>5.6556118564366453E-5</v>
      </c>
      <c r="AI164" s="433">
        <f t="shared" si="90"/>
        <v>6.0255123344093292E-5</v>
      </c>
      <c r="AJ164" s="433">
        <f t="shared" si="90"/>
        <v>6.4760276546437561E-5</v>
      </c>
      <c r="AK164" s="433">
        <f t="shared" si="90"/>
        <v>6.8680952135492248E-5</v>
      </c>
      <c r="AL164" s="433">
        <f t="shared" si="90"/>
        <v>7.2638169923938342E-5</v>
      </c>
      <c r="AM164" s="433"/>
    </row>
    <row r="165" spans="1:39" ht="15.75" customHeight="1" x14ac:dyDescent="0.25">
      <c r="A165" s="194"/>
      <c r="B165" s="194"/>
      <c r="C165" s="194"/>
      <c r="D165" s="194" t="s">
        <v>1144</v>
      </c>
      <c r="E165" s="194"/>
      <c r="F165" s="433">
        <f t="shared" ref="F165:AL165" si="91">SUMIF($D$16:$D$49,$D165,F$106:F$139)</f>
        <v>2.4576398438319589E-6</v>
      </c>
      <c r="G165" s="433">
        <f t="shared" si="91"/>
        <v>6.0536431158403157E-6</v>
      </c>
      <c r="H165" s="433">
        <f t="shared" si="91"/>
        <v>1.1606811852281037E-5</v>
      </c>
      <c r="I165" s="433">
        <f t="shared" si="91"/>
        <v>2.1617437682942917E-3</v>
      </c>
      <c r="J165" s="433">
        <f t="shared" si="91"/>
        <v>5.7490643797077764E-3</v>
      </c>
      <c r="K165" s="433">
        <f t="shared" si="91"/>
        <v>1.2184976515315473E-2</v>
      </c>
      <c r="L165" s="433">
        <f t="shared" si="91"/>
        <v>2.0740879790053592E-2</v>
      </c>
      <c r="M165" s="433">
        <f t="shared" si="91"/>
        <v>3.2046403790466527E-2</v>
      </c>
      <c r="N165" s="433">
        <f t="shared" si="91"/>
        <v>4.1964553511565236E-2</v>
      </c>
      <c r="O165" s="433">
        <f t="shared" si="91"/>
        <v>5.5007608030684982E-2</v>
      </c>
      <c r="P165" s="433">
        <f t="shared" si="91"/>
        <v>6.5848219471590377E-2</v>
      </c>
      <c r="Q165" s="433">
        <f t="shared" si="91"/>
        <v>8.0284197696066137E-2</v>
      </c>
      <c r="R165" s="433">
        <f t="shared" si="91"/>
        <v>9.7651490314319564E-2</v>
      </c>
      <c r="S165" s="433">
        <f t="shared" si="91"/>
        <v>0.11670257891288797</v>
      </c>
      <c r="T165" s="433">
        <f t="shared" si="91"/>
        <v>0.13634645755665237</v>
      </c>
      <c r="U165" s="433">
        <f t="shared" si="91"/>
        <v>0.17138741370678845</v>
      </c>
      <c r="V165" s="433">
        <f t="shared" si="91"/>
        <v>0.21597993848023594</v>
      </c>
      <c r="W165" s="433">
        <f t="shared" si="91"/>
        <v>0.2734106627002349</v>
      </c>
      <c r="X165" s="433">
        <f t="shared" si="91"/>
        <v>0.33495338991408496</v>
      </c>
      <c r="Y165" s="433">
        <f t="shared" si="91"/>
        <v>0.32869493164052588</v>
      </c>
      <c r="Z165" s="433">
        <f t="shared" si="91"/>
        <v>0.38002193513227206</v>
      </c>
      <c r="AA165" s="433">
        <f t="shared" si="91"/>
        <v>0.46887623186559685</v>
      </c>
      <c r="AB165" s="433">
        <f t="shared" si="91"/>
        <v>0.57176434024731582</v>
      </c>
      <c r="AC165" s="433">
        <f t="shared" si="91"/>
        <v>0.65485918873795113</v>
      </c>
      <c r="AD165" s="433">
        <f t="shared" si="91"/>
        <v>0.8365073724309593</v>
      </c>
      <c r="AE165" s="433">
        <f t="shared" si="91"/>
        <v>0.82909865844646979</v>
      </c>
      <c r="AF165" s="433">
        <f t="shared" si="91"/>
        <v>0.99040588116599526</v>
      </c>
      <c r="AG165" s="433">
        <f t="shared" si="91"/>
        <v>0.89318413928937135</v>
      </c>
      <c r="AH165" s="433">
        <f t="shared" si="91"/>
        <v>1.0582766487366537</v>
      </c>
      <c r="AI165" s="433">
        <f t="shared" si="91"/>
        <v>1.0302690115397393</v>
      </c>
      <c r="AJ165" s="433">
        <f t="shared" si="91"/>
        <v>1.2373990793215808</v>
      </c>
      <c r="AK165" s="433">
        <f t="shared" si="91"/>
        <v>1.42194071767986</v>
      </c>
      <c r="AL165" s="433">
        <f t="shared" si="91"/>
        <v>1.5458723842521827</v>
      </c>
      <c r="AM165" s="433"/>
    </row>
    <row r="166" spans="1:39" ht="15.75" customHeight="1" x14ac:dyDescent="0.25">
      <c r="A166" s="194"/>
      <c r="B166" s="194"/>
      <c r="C166" s="194"/>
      <c r="D166" s="194" t="s">
        <v>1145</v>
      </c>
      <c r="E166" s="194"/>
      <c r="F166" s="433">
        <f t="shared" ref="F166:AL166" si="92">SUMIF($D$16:$D$49,$D166,F$106:F$139)</f>
        <v>8.6202583729934789E-8</v>
      </c>
      <c r="G166" s="433">
        <f t="shared" si="92"/>
        <v>2.1233366592507473E-7</v>
      </c>
      <c r="H166" s="433">
        <f t="shared" si="92"/>
        <v>2.0367205085037522E-2</v>
      </c>
      <c r="I166" s="433">
        <f t="shared" si="92"/>
        <v>8.8181790900263457E-2</v>
      </c>
      <c r="J166" s="433">
        <f t="shared" si="92"/>
        <v>0.22876139735592074</v>
      </c>
      <c r="K166" s="433">
        <f t="shared" si="92"/>
        <v>0.49482542640959881</v>
      </c>
      <c r="L166" s="433">
        <f t="shared" si="92"/>
        <v>0.67176291843943436</v>
      </c>
      <c r="M166" s="433">
        <f t="shared" si="92"/>
        <v>0.84575140030044904</v>
      </c>
      <c r="N166" s="433">
        <f t="shared" si="92"/>
        <v>0.95963783620826337</v>
      </c>
      <c r="O166" s="433">
        <f t="shared" si="92"/>
        <v>1.0808915028035166</v>
      </c>
      <c r="P166" s="433">
        <f t="shared" si="92"/>
        <v>1.1932729745940474</v>
      </c>
      <c r="Q166" s="433">
        <f t="shared" si="92"/>
        <v>1.2945233838032602</v>
      </c>
      <c r="R166" s="433">
        <f t="shared" si="92"/>
        <v>1.3452895227280683</v>
      </c>
      <c r="S166" s="433">
        <f t="shared" si="92"/>
        <v>1.3832587648920485</v>
      </c>
      <c r="T166" s="433">
        <f t="shared" si="92"/>
        <v>1.4167605016776859</v>
      </c>
      <c r="U166" s="433">
        <f t="shared" si="92"/>
        <v>1.4357987416647078</v>
      </c>
      <c r="V166" s="433">
        <f t="shared" si="92"/>
        <v>1.4772510393139189</v>
      </c>
      <c r="W166" s="433">
        <f t="shared" si="92"/>
        <v>1.5141750203872175</v>
      </c>
      <c r="X166" s="433">
        <f t="shared" si="92"/>
        <v>1.5564811549920887</v>
      </c>
      <c r="Y166" s="433">
        <f t="shared" si="92"/>
        <v>1.5794413956894484</v>
      </c>
      <c r="Z166" s="433">
        <f t="shared" si="92"/>
        <v>1.3778869618031646</v>
      </c>
      <c r="AA166" s="433">
        <f t="shared" si="92"/>
        <v>1.3162903645155071</v>
      </c>
      <c r="AB166" s="433">
        <f t="shared" si="92"/>
        <v>1.2564101912541956</v>
      </c>
      <c r="AC166" s="433">
        <f t="shared" si="92"/>
        <v>1.5009056061622243</v>
      </c>
      <c r="AD166" s="433">
        <f t="shared" si="92"/>
        <v>1.6642089732663572</v>
      </c>
      <c r="AE166" s="433">
        <f t="shared" si="92"/>
        <v>1.5290059931134969</v>
      </c>
      <c r="AF166" s="433">
        <f t="shared" si="92"/>
        <v>1.3531241402527119</v>
      </c>
      <c r="AG166" s="433">
        <f t="shared" si="92"/>
        <v>1.1112519556185321</v>
      </c>
      <c r="AH166" s="433">
        <f t="shared" si="92"/>
        <v>1.1752093187041406</v>
      </c>
      <c r="AI166" s="433">
        <f t="shared" si="92"/>
        <v>1.1192782233941851</v>
      </c>
      <c r="AJ166" s="433">
        <f t="shared" si="92"/>
        <v>1.2218696031937946</v>
      </c>
      <c r="AK166" s="433">
        <f t="shared" si="92"/>
        <v>1.1323489053690987</v>
      </c>
      <c r="AL166" s="433">
        <f t="shared" si="92"/>
        <v>1.0959531153438715</v>
      </c>
      <c r="AM166" s="433"/>
    </row>
    <row r="167" spans="1:39" ht="15.75" customHeight="1" x14ac:dyDescent="0.25">
      <c r="A167" s="194"/>
      <c r="B167" s="194"/>
      <c r="C167" s="194"/>
      <c r="D167" s="194" t="s">
        <v>1148</v>
      </c>
      <c r="E167" s="194"/>
      <c r="F167" s="433">
        <f t="shared" ref="F167:AL167" si="93">SUMIF($D$16:$D$49,$D167,F$106:F$139)</f>
        <v>4.5076940923130153E-6</v>
      </c>
      <c r="G167" s="433">
        <f t="shared" si="93"/>
        <v>1.1103323938505679E-5</v>
      </c>
      <c r="H167" s="433">
        <f t="shared" si="93"/>
        <v>2.1288699948621633E-5</v>
      </c>
      <c r="I167" s="433">
        <f t="shared" si="93"/>
        <v>1.5961701598265531E-3</v>
      </c>
      <c r="J167" s="433">
        <f t="shared" si="93"/>
        <v>4.4472267640225226E-3</v>
      </c>
      <c r="K167" s="433">
        <f t="shared" si="93"/>
        <v>1.1107737278983924E-2</v>
      </c>
      <c r="L167" s="433">
        <f t="shared" si="93"/>
        <v>2.0659970010604808E-2</v>
      </c>
      <c r="M167" s="433">
        <f t="shared" si="93"/>
        <v>3.4206585858856019E-2</v>
      </c>
      <c r="N167" s="433">
        <f t="shared" si="93"/>
        <v>4.9596095105295827E-2</v>
      </c>
      <c r="O167" s="433">
        <f t="shared" si="93"/>
        <v>7.082357343129618E-2</v>
      </c>
      <c r="P167" s="433">
        <f t="shared" si="93"/>
        <v>8.733230728730064E-2</v>
      </c>
      <c r="Q167" s="433">
        <f t="shared" si="93"/>
        <v>0.10817501738544939</v>
      </c>
      <c r="R167" s="433">
        <f t="shared" si="93"/>
        <v>0.13167252832941642</v>
      </c>
      <c r="S167" s="433">
        <f t="shared" si="93"/>
        <v>0.15591047969059296</v>
      </c>
      <c r="T167" s="433">
        <f t="shared" si="93"/>
        <v>0.17823636493764719</v>
      </c>
      <c r="U167" s="433">
        <f t="shared" si="93"/>
        <v>0.21575961040070421</v>
      </c>
      <c r="V167" s="433">
        <f t="shared" si="93"/>
        <v>0.25644128740352529</v>
      </c>
      <c r="W167" s="433">
        <f t="shared" si="93"/>
        <v>0.30218145073643815</v>
      </c>
      <c r="X167" s="433">
        <f t="shared" si="93"/>
        <v>0.35409892626905459</v>
      </c>
      <c r="Y167" s="433">
        <f t="shared" si="93"/>
        <v>0.39392619852708727</v>
      </c>
      <c r="Z167" s="433">
        <f t="shared" si="93"/>
        <v>0.40366959468879882</v>
      </c>
      <c r="AA167" s="433">
        <f t="shared" si="93"/>
        <v>0.50097650150941908</v>
      </c>
      <c r="AB167" s="433">
        <f t="shared" si="93"/>
        <v>0.60517065792466496</v>
      </c>
      <c r="AC167" s="433">
        <f t="shared" si="93"/>
        <v>0.68604492864480482</v>
      </c>
      <c r="AD167" s="433">
        <f t="shared" si="93"/>
        <v>0.79081708648338844</v>
      </c>
      <c r="AE167" s="433">
        <f t="shared" si="93"/>
        <v>0.79333137785513586</v>
      </c>
      <c r="AF167" s="433">
        <f t="shared" si="93"/>
        <v>0.81599223360901352</v>
      </c>
      <c r="AG167" s="433">
        <f t="shared" si="93"/>
        <v>0.61010995355122077</v>
      </c>
      <c r="AH167" s="433">
        <f t="shared" si="93"/>
        <v>0.7650968498605466</v>
      </c>
      <c r="AI167" s="433">
        <f t="shared" si="93"/>
        <v>0.67078830913150433</v>
      </c>
      <c r="AJ167" s="433">
        <f t="shared" si="93"/>
        <v>0.73767454020865331</v>
      </c>
      <c r="AK167" s="433">
        <f t="shared" si="93"/>
        <v>0.74022895886866802</v>
      </c>
      <c r="AL167" s="433">
        <f t="shared" si="93"/>
        <v>0.73678876833263518</v>
      </c>
      <c r="AM167" s="433"/>
    </row>
    <row r="168" spans="1:39" ht="15.75" customHeight="1" x14ac:dyDescent="0.25">
      <c r="A168" s="194"/>
      <c r="B168" s="194"/>
      <c r="C168" s="194"/>
      <c r="D168" s="194" t="s">
        <v>1149</v>
      </c>
      <c r="E168" s="194"/>
      <c r="F168" s="433">
        <f t="shared" ref="F168:AL168" si="94">SUMIF($D$16:$D$49,$D168,F$106:F$139)</f>
        <v>0</v>
      </c>
      <c r="G168" s="433">
        <f t="shared" si="94"/>
        <v>0</v>
      </c>
      <c r="H168" s="433">
        <f t="shared" si="94"/>
        <v>0</v>
      </c>
      <c r="I168" s="433">
        <f t="shared" si="94"/>
        <v>0</v>
      </c>
      <c r="J168" s="433">
        <f t="shared" si="94"/>
        <v>0</v>
      </c>
      <c r="K168" s="433">
        <f t="shared" si="94"/>
        <v>1.0954255927589853E-5</v>
      </c>
      <c r="L168" s="433">
        <f t="shared" si="94"/>
        <v>2.456470499795807E-5</v>
      </c>
      <c r="M168" s="433">
        <f t="shared" si="94"/>
        <v>4.6255211710234037E-5</v>
      </c>
      <c r="N168" s="433">
        <f t="shared" si="94"/>
        <v>6.7848196628092475E-5</v>
      </c>
      <c r="O168" s="433">
        <f t="shared" si="94"/>
        <v>9.7517162990399424E-5</v>
      </c>
      <c r="P168" s="433">
        <f t="shared" si="94"/>
        <v>1.2726552049466115E-4</v>
      </c>
      <c r="Q168" s="433">
        <f t="shared" si="94"/>
        <v>1.5467252551876407E-4</v>
      </c>
      <c r="R168" s="433">
        <f t="shared" si="94"/>
        <v>1.7963043661400874E-4</v>
      </c>
      <c r="S168" s="433">
        <f t="shared" si="94"/>
        <v>1.9902799546744342E-4</v>
      </c>
      <c r="T168" s="433">
        <f t="shared" si="94"/>
        <v>2.1812373185547078E-4</v>
      </c>
      <c r="U168" s="433">
        <f t="shared" si="94"/>
        <v>2.3971787596177731E-4</v>
      </c>
      <c r="V168" s="433">
        <f t="shared" si="94"/>
        <v>2.5795595762703266E-4</v>
      </c>
      <c r="W168" s="433">
        <f t="shared" si="94"/>
        <v>2.7837202804506213E-4</v>
      </c>
      <c r="X168" s="433">
        <f t="shared" si="94"/>
        <v>2.9619713185669375E-4</v>
      </c>
      <c r="Y168" s="433">
        <f t="shared" si="94"/>
        <v>3.1754278650377024E-4</v>
      </c>
      <c r="Z168" s="433">
        <f t="shared" si="94"/>
        <v>3.4245377721385566E-4</v>
      </c>
      <c r="AA168" s="433">
        <f t="shared" si="94"/>
        <v>3.6468774668985826E-4</v>
      </c>
      <c r="AB168" s="433">
        <f t="shared" si="94"/>
        <v>3.9213494120544299E-4</v>
      </c>
      <c r="AC168" s="433">
        <f t="shared" si="94"/>
        <v>4.1627564560236629E-4</v>
      </c>
      <c r="AD168" s="433">
        <f t="shared" si="94"/>
        <v>4.427778067996393E-4</v>
      </c>
      <c r="AE168" s="433">
        <f t="shared" si="94"/>
        <v>4.7138296328566831E-4</v>
      </c>
      <c r="AF168" s="433">
        <f t="shared" si="94"/>
        <v>4.9907613140417507E-4</v>
      </c>
      <c r="AG168" s="433">
        <f t="shared" si="94"/>
        <v>5.2995611314987558E-4</v>
      </c>
      <c r="AH168" s="433">
        <f t="shared" si="94"/>
        <v>5.6067765764386708E-4</v>
      </c>
      <c r="AI168" s="433">
        <f t="shared" si="94"/>
        <v>5.9396772661095385E-4</v>
      </c>
      <c r="AJ168" s="433">
        <f t="shared" si="94"/>
        <v>6.2655342164842794E-4</v>
      </c>
      <c r="AK168" s="433">
        <f t="shared" si="94"/>
        <v>6.4993388556584808E-4</v>
      </c>
      <c r="AL168" s="433">
        <f t="shared" si="94"/>
        <v>6.7059373871104647E-4</v>
      </c>
      <c r="AM168" s="433"/>
    </row>
    <row r="169" spans="1:39" ht="15.75" customHeight="1" x14ac:dyDescent="0.25">
      <c r="A169" s="194"/>
      <c r="B169" s="194"/>
      <c r="C169" s="194"/>
      <c r="D169" s="194" t="s">
        <v>1150</v>
      </c>
      <c r="E169" s="194"/>
      <c r="F169" s="433">
        <f t="shared" ref="F169:AL169" si="95">SUMIF($D$16:$D$49,$D169,F$106:F$139)</f>
        <v>0</v>
      </c>
      <c r="G169" s="433">
        <f t="shared" si="95"/>
        <v>0</v>
      </c>
      <c r="H169" s="433">
        <f t="shared" si="95"/>
        <v>0</v>
      </c>
      <c r="I169" s="433">
        <f t="shared" si="95"/>
        <v>1.1805442121498914E-3</v>
      </c>
      <c r="J169" s="433">
        <f t="shared" si="95"/>
        <v>3.5608537412825923E-3</v>
      </c>
      <c r="K169" s="433">
        <f t="shared" si="95"/>
        <v>5.9022600103244317E-3</v>
      </c>
      <c r="L169" s="433">
        <f t="shared" si="95"/>
        <v>7.3446392843244121E-3</v>
      </c>
      <c r="M169" s="433">
        <f t="shared" si="95"/>
        <v>8.9930362874617968E-3</v>
      </c>
      <c r="N169" s="433">
        <f t="shared" si="95"/>
        <v>1.0735581116514327E-2</v>
      </c>
      <c r="O169" s="433">
        <f t="shared" si="95"/>
        <v>1.2595276696293558E-2</v>
      </c>
      <c r="P169" s="433">
        <f t="shared" si="95"/>
        <v>1.4371383788866611E-2</v>
      </c>
      <c r="Q169" s="433">
        <f t="shared" si="95"/>
        <v>1.6086611749231292E-2</v>
      </c>
      <c r="R169" s="433">
        <f t="shared" si="95"/>
        <v>1.7723926021976685E-2</v>
      </c>
      <c r="S169" s="433">
        <f t="shared" si="95"/>
        <v>1.9036770064609077E-2</v>
      </c>
      <c r="T169" s="433">
        <f t="shared" si="95"/>
        <v>1.9996825532441635E-2</v>
      </c>
      <c r="U169" s="433">
        <f t="shared" si="95"/>
        <v>2.059800477750472E-2</v>
      </c>
      <c r="V169" s="433">
        <f t="shared" si="95"/>
        <v>2.1032925346020744E-2</v>
      </c>
      <c r="W169" s="433">
        <f t="shared" si="95"/>
        <v>2.1312695961068526E-2</v>
      </c>
      <c r="X169" s="433">
        <f t="shared" si="95"/>
        <v>2.1492347912168683E-2</v>
      </c>
      <c r="Y169" s="433">
        <f t="shared" si="95"/>
        <v>2.1620044755665414E-2</v>
      </c>
      <c r="Z169" s="433">
        <f t="shared" si="95"/>
        <v>2.1813058945273661E-2</v>
      </c>
      <c r="AA169" s="433">
        <f t="shared" si="95"/>
        <v>2.2008696432492578E-2</v>
      </c>
      <c r="AB169" s="433">
        <f t="shared" si="95"/>
        <v>2.2192398174270739E-2</v>
      </c>
      <c r="AC169" s="433">
        <f t="shared" si="95"/>
        <v>2.2621037700409602E-2</v>
      </c>
      <c r="AD169" s="433">
        <f t="shared" si="95"/>
        <v>2.192555664927183E-2</v>
      </c>
      <c r="AE169" s="433">
        <f t="shared" si="95"/>
        <v>1.9744092198035034E-2</v>
      </c>
      <c r="AF169" s="433">
        <f t="shared" si="95"/>
        <v>1.8417276580680923E-2</v>
      </c>
      <c r="AG169" s="433">
        <f t="shared" si="95"/>
        <v>1.7124176657518756E-2</v>
      </c>
      <c r="AH169" s="433">
        <f t="shared" si="95"/>
        <v>1.5722904707009121E-2</v>
      </c>
      <c r="AI169" s="433">
        <f t="shared" si="95"/>
        <v>1.4448871541951937E-2</v>
      </c>
      <c r="AJ169" s="433">
        <f t="shared" si="95"/>
        <v>1.3465422807540792E-2</v>
      </c>
      <c r="AK169" s="433">
        <f t="shared" si="95"/>
        <v>1.244935002995514E-2</v>
      </c>
      <c r="AL169" s="433">
        <f t="shared" si="95"/>
        <v>1.1514663233869486E-2</v>
      </c>
      <c r="AM169" s="433"/>
    </row>
    <row r="170" spans="1:39" ht="15.75" customHeight="1" x14ac:dyDescent="0.25">
      <c r="A170" s="194"/>
      <c r="B170" s="194"/>
      <c r="C170" s="194"/>
      <c r="D170" s="194" t="s">
        <v>1151</v>
      </c>
      <c r="E170" s="194"/>
      <c r="F170" s="433">
        <f t="shared" ref="F170:AL170" si="96">SUMIF($D$16:$D$49,$D170,F$106:F$139)</f>
        <v>0</v>
      </c>
      <c r="G170" s="433">
        <f t="shared" si="96"/>
        <v>0</v>
      </c>
      <c r="H170" s="433">
        <f t="shared" si="96"/>
        <v>0</v>
      </c>
      <c r="I170" s="433">
        <f t="shared" si="96"/>
        <v>0</v>
      </c>
      <c r="J170" s="433">
        <f t="shared" si="96"/>
        <v>0</v>
      </c>
      <c r="K170" s="433">
        <f t="shared" si="96"/>
        <v>0</v>
      </c>
      <c r="L170" s="433">
        <f t="shared" si="96"/>
        <v>3.4699574710132322E-6</v>
      </c>
      <c r="M170" s="433">
        <f t="shared" si="96"/>
        <v>9.8530964477012256E-6</v>
      </c>
      <c r="N170" s="433">
        <f t="shared" si="96"/>
        <v>2.1006249081277239E-5</v>
      </c>
      <c r="O170" s="433">
        <f t="shared" si="96"/>
        <v>4.0755731526590407E-5</v>
      </c>
      <c r="P170" s="433">
        <f t="shared" si="96"/>
        <v>1.8813265014940163E-4</v>
      </c>
      <c r="Q170" s="433">
        <f t="shared" si="96"/>
        <v>4.7101518837129656E-4</v>
      </c>
      <c r="R170" s="433">
        <f t="shared" si="96"/>
        <v>9.2444346057260159E-4</v>
      </c>
      <c r="S170" s="433">
        <f t="shared" si="96"/>
        <v>1.537761171964018E-3</v>
      </c>
      <c r="T170" s="433">
        <f t="shared" si="96"/>
        <v>2.3546705905743183E-3</v>
      </c>
      <c r="U170" s="433">
        <f t="shared" si="96"/>
        <v>3.5082152252173455E-3</v>
      </c>
      <c r="V170" s="433">
        <f t="shared" si="96"/>
        <v>5.7079475264536998E-3</v>
      </c>
      <c r="W170" s="433">
        <f t="shared" si="96"/>
        <v>8.1877885455828563E-3</v>
      </c>
      <c r="X170" s="433">
        <f t="shared" si="96"/>
        <v>1.0787608531141897E-2</v>
      </c>
      <c r="Y170" s="433">
        <f t="shared" si="96"/>
        <v>1.3898326384363006E-2</v>
      </c>
      <c r="Z170" s="433">
        <f t="shared" si="96"/>
        <v>1.9427266566387942E-2</v>
      </c>
      <c r="AA170" s="433">
        <f t="shared" si="96"/>
        <v>3.5018027630221098E-2</v>
      </c>
      <c r="AB170" s="433">
        <f t="shared" si="96"/>
        <v>3.717862047248665E-2</v>
      </c>
      <c r="AC170" s="433">
        <f t="shared" si="96"/>
        <v>5.5618635620411951E-2</v>
      </c>
      <c r="AD170" s="433">
        <f t="shared" si="96"/>
        <v>6.9113497672989369E-2</v>
      </c>
      <c r="AE170" s="433">
        <f t="shared" si="96"/>
        <v>8.3766508008387711E-2</v>
      </c>
      <c r="AF170" s="433">
        <f t="shared" si="96"/>
        <v>9.5906930309458224E-2</v>
      </c>
      <c r="AG170" s="433">
        <f t="shared" si="96"/>
        <v>9.2206490198201735E-2</v>
      </c>
      <c r="AH170" s="433">
        <f t="shared" si="96"/>
        <v>0.11127142168724008</v>
      </c>
      <c r="AI170" s="433">
        <f t="shared" si="96"/>
        <v>0.11820118404832088</v>
      </c>
      <c r="AJ170" s="433">
        <f t="shared" si="96"/>
        <v>0.15730941336136001</v>
      </c>
      <c r="AK170" s="433">
        <f t="shared" si="96"/>
        <v>0.19206471100663988</v>
      </c>
      <c r="AL170" s="433">
        <f t="shared" si="96"/>
        <v>0.21467428733671656</v>
      </c>
      <c r="AM170" s="433"/>
    </row>
    <row r="171" spans="1:39" ht="15.75" customHeight="1" x14ac:dyDescent="0.25">
      <c r="A171" s="194"/>
      <c r="B171" s="194"/>
      <c r="C171" s="194"/>
      <c r="D171" s="194" t="s">
        <v>1152</v>
      </c>
      <c r="E171" s="194"/>
      <c r="F171" s="433">
        <f t="shared" ref="F171:AL171" si="97">SUMIF($D$16:$D$49,$D171,F$106:F$139)</f>
        <v>5.2490612533711801E-3</v>
      </c>
      <c r="G171" s="433">
        <f t="shared" si="97"/>
        <v>1.1050769364328234E-2</v>
      </c>
      <c r="H171" s="433">
        <f t="shared" si="97"/>
        <v>1.1115437807649356E-2</v>
      </c>
      <c r="I171" s="433">
        <f t="shared" si="97"/>
        <v>1.128632838726336E-2</v>
      </c>
      <c r="J171" s="433">
        <f t="shared" si="97"/>
        <v>1.2139368089144958E-2</v>
      </c>
      <c r="K171" s="433">
        <f t="shared" si="97"/>
        <v>2.64430632335017E-2</v>
      </c>
      <c r="L171" s="433">
        <f t="shared" si="97"/>
        <v>4.286373868736304E-2</v>
      </c>
      <c r="M171" s="433">
        <f t="shared" si="97"/>
        <v>5.3288381809785804E-2</v>
      </c>
      <c r="N171" s="433">
        <f t="shared" si="97"/>
        <v>6.7547470431862572E-2</v>
      </c>
      <c r="O171" s="433">
        <f t="shared" si="97"/>
        <v>7.161438162695849E-2</v>
      </c>
      <c r="P171" s="433">
        <f t="shared" si="97"/>
        <v>7.48114148473778E-2</v>
      </c>
      <c r="Q171" s="433">
        <f t="shared" si="97"/>
        <v>8.1163473394426977E-2</v>
      </c>
      <c r="R171" s="433">
        <f t="shared" si="97"/>
        <v>0.10091823799130353</v>
      </c>
      <c r="S171" s="433">
        <f t="shared" si="97"/>
        <v>0.1231974117062746</v>
      </c>
      <c r="T171" s="433">
        <f t="shared" si="97"/>
        <v>0.13267024929151594</v>
      </c>
      <c r="U171" s="433">
        <f t="shared" si="97"/>
        <v>0.14234468985191259</v>
      </c>
      <c r="V171" s="433">
        <f t="shared" si="97"/>
        <v>0.14978237699696606</v>
      </c>
      <c r="W171" s="433">
        <f t="shared" si="97"/>
        <v>0.15861606658660865</v>
      </c>
      <c r="X171" s="433">
        <f t="shared" si="97"/>
        <v>0.16692446275226025</v>
      </c>
      <c r="Y171" s="433">
        <f t="shared" si="97"/>
        <v>0.17955439588086405</v>
      </c>
      <c r="Z171" s="433">
        <f t="shared" si="97"/>
        <v>0.19339202570349479</v>
      </c>
      <c r="AA171" s="433">
        <f t="shared" si="97"/>
        <v>0.20733657529980351</v>
      </c>
      <c r="AB171" s="433">
        <f t="shared" si="97"/>
        <v>0.22104948820121023</v>
      </c>
      <c r="AC171" s="433">
        <f t="shared" si="97"/>
        <v>0.23455607585625504</v>
      </c>
      <c r="AD171" s="433">
        <f t="shared" si="97"/>
        <v>0.24688378865849903</v>
      </c>
      <c r="AE171" s="433">
        <f t="shared" si="97"/>
        <v>0.27190410513565533</v>
      </c>
      <c r="AF171" s="433">
        <f t="shared" si="97"/>
        <v>0.29038851846124836</v>
      </c>
      <c r="AG171" s="433">
        <f t="shared" si="97"/>
        <v>0.31093554777597232</v>
      </c>
      <c r="AH171" s="433">
        <f t="shared" si="97"/>
        <v>0.31987982475974841</v>
      </c>
      <c r="AI171" s="433">
        <f t="shared" si="97"/>
        <v>0.32149990418379232</v>
      </c>
      <c r="AJ171" s="433">
        <f t="shared" si="97"/>
        <v>0.3215711858759972</v>
      </c>
      <c r="AK171" s="433">
        <f t="shared" si="97"/>
        <v>0.32923293579657298</v>
      </c>
      <c r="AL171" s="433">
        <f t="shared" si="97"/>
        <v>0.33872970135718788</v>
      </c>
      <c r="AM171" s="433"/>
    </row>
    <row r="172" spans="1:39" ht="15.75" customHeight="1" x14ac:dyDescent="0.25">
      <c r="A172" s="194"/>
      <c r="B172" s="194"/>
      <c r="C172" s="194"/>
      <c r="D172" s="194" t="s">
        <v>1159</v>
      </c>
      <c r="E172" s="194"/>
      <c r="F172" s="433">
        <f t="shared" ref="F172:AL172" si="98">SUMIF($D$16:$D$49,$D172,F$106:F$139)</f>
        <v>0</v>
      </c>
      <c r="G172" s="433">
        <f t="shared" si="98"/>
        <v>0</v>
      </c>
      <c r="H172" s="433">
        <f t="shared" si="98"/>
        <v>0</v>
      </c>
      <c r="I172" s="433">
        <f t="shared" si="98"/>
        <v>0</v>
      </c>
      <c r="J172" s="433">
        <f t="shared" si="98"/>
        <v>4.9961560157817728E-7</v>
      </c>
      <c r="K172" s="433">
        <f t="shared" si="98"/>
        <v>1.6057738723443702E-6</v>
      </c>
      <c r="L172" s="433">
        <f t="shared" si="98"/>
        <v>1.4514039122903119E-5</v>
      </c>
      <c r="M172" s="433">
        <f t="shared" si="98"/>
        <v>3.9830321803897769E-5</v>
      </c>
      <c r="N172" s="433">
        <f t="shared" si="98"/>
        <v>7.8304328681815341E-5</v>
      </c>
      <c r="O172" s="433">
        <f t="shared" si="98"/>
        <v>1.3057147368950137E-4</v>
      </c>
      <c r="P172" s="433">
        <f t="shared" si="98"/>
        <v>1.9720599169831886E-4</v>
      </c>
      <c r="Q172" s="433">
        <f t="shared" si="98"/>
        <v>2.6593459534622149E-4</v>
      </c>
      <c r="R172" s="433">
        <f t="shared" si="98"/>
        <v>3.2555746089674354E-4</v>
      </c>
      <c r="S172" s="433">
        <f t="shared" si="98"/>
        <v>3.7457972570859206E-4</v>
      </c>
      <c r="T172" s="433">
        <f t="shared" si="98"/>
        <v>4.1203064988122872E-4</v>
      </c>
      <c r="U172" s="433">
        <f t="shared" si="98"/>
        <v>4.3726734755239298E-4</v>
      </c>
      <c r="V172" s="433">
        <f t="shared" si="98"/>
        <v>4.4898575349609749E-4</v>
      </c>
      <c r="W172" s="433">
        <f t="shared" si="98"/>
        <v>4.6027635671259091E-4</v>
      </c>
      <c r="X172" s="433">
        <f t="shared" si="98"/>
        <v>4.7235792308832932E-4</v>
      </c>
      <c r="Y172" s="433">
        <f t="shared" si="98"/>
        <v>4.8621337521845742E-4</v>
      </c>
      <c r="Z172" s="433">
        <f t="shared" si="98"/>
        <v>5.018088856264762E-4</v>
      </c>
      <c r="AA172" s="433">
        <f t="shared" si="98"/>
        <v>5.1779665162890985E-4</v>
      </c>
      <c r="AB172" s="433">
        <f t="shared" si="98"/>
        <v>5.339533119022976E-4</v>
      </c>
      <c r="AC172" s="433">
        <f t="shared" si="98"/>
        <v>5.497122446681777E-4</v>
      </c>
      <c r="AD172" s="433">
        <f t="shared" si="98"/>
        <v>5.6548791377722168E-4</v>
      </c>
      <c r="AE172" s="433">
        <f t="shared" si="98"/>
        <v>5.8111722725236214E-4</v>
      </c>
      <c r="AF172" s="433">
        <f t="shared" si="98"/>
        <v>5.9623167666656807E-4</v>
      </c>
      <c r="AG172" s="433">
        <f t="shared" si="98"/>
        <v>6.126107876341726E-4</v>
      </c>
      <c r="AH172" s="433">
        <f t="shared" si="98"/>
        <v>6.2938843028398513E-4</v>
      </c>
      <c r="AI172" s="433">
        <f t="shared" si="98"/>
        <v>6.4673792253906975E-4</v>
      </c>
      <c r="AJ172" s="433">
        <f t="shared" si="98"/>
        <v>6.0677807101771795E-4</v>
      </c>
      <c r="AK172" s="433">
        <f t="shared" si="98"/>
        <v>5.585522835768788E-4</v>
      </c>
      <c r="AL172" s="433">
        <f t="shared" si="98"/>
        <v>5.0697150155528466E-4</v>
      </c>
      <c r="AM172" s="433"/>
    </row>
    <row r="173" spans="1:39" ht="15.75" customHeight="1" x14ac:dyDescent="0.25">
      <c r="A173" s="194"/>
      <c r="B173" s="194"/>
      <c r="C173" s="194"/>
      <c r="D173" s="194" t="s">
        <v>1157</v>
      </c>
      <c r="E173" s="194"/>
      <c r="F173" s="433">
        <f t="shared" ref="F173:AL173" si="99">SUMIF($D$16:$D$49,$D173,F$106:F$139)</f>
        <v>0</v>
      </c>
      <c r="G173" s="433">
        <f t="shared" si="99"/>
        <v>0</v>
      </c>
      <c r="H173" s="433">
        <f t="shared" si="99"/>
        <v>0</v>
      </c>
      <c r="I173" s="433">
        <f t="shared" si="99"/>
        <v>0</v>
      </c>
      <c r="J173" s="433">
        <f t="shared" si="99"/>
        <v>3.1252988760546909E-6</v>
      </c>
      <c r="K173" s="433">
        <f t="shared" si="99"/>
        <v>1.5292877219111043E-2</v>
      </c>
      <c r="L173" s="433">
        <f t="shared" si="99"/>
        <v>3.6757878073003937E-2</v>
      </c>
      <c r="M173" s="433">
        <f t="shared" si="99"/>
        <v>4.3196454169263189E-2</v>
      </c>
      <c r="N173" s="433">
        <f t="shared" si="99"/>
        <v>4.4042634177496535E-2</v>
      </c>
      <c r="O173" s="433">
        <f t="shared" si="99"/>
        <v>4.4967038620776154E-2</v>
      </c>
      <c r="P173" s="433">
        <f t="shared" si="99"/>
        <v>3.5736860648423331E-2</v>
      </c>
      <c r="Q173" s="433">
        <f t="shared" si="99"/>
        <v>2.6186925136291384E-2</v>
      </c>
      <c r="R173" s="433">
        <f t="shared" si="99"/>
        <v>1.6196138000009439E-2</v>
      </c>
      <c r="S173" s="433">
        <f t="shared" si="99"/>
        <v>5.6043283756359663E-3</v>
      </c>
      <c r="T173" s="433">
        <f t="shared" si="99"/>
        <v>5.7033410018691479E-3</v>
      </c>
      <c r="U173" s="433">
        <f t="shared" si="99"/>
        <v>4.786365202022835E-3</v>
      </c>
      <c r="V173" s="433">
        <f t="shared" si="99"/>
        <v>3.8222817377450134E-3</v>
      </c>
      <c r="W173" s="433">
        <f t="shared" si="99"/>
        <v>2.8257465875583939E-3</v>
      </c>
      <c r="X173" s="433">
        <f t="shared" si="99"/>
        <v>1.7981086681998543E-3</v>
      </c>
      <c r="Y173" s="433">
        <f t="shared" si="99"/>
        <v>7.382421839629181E-4</v>
      </c>
      <c r="Z173" s="433">
        <f t="shared" si="99"/>
        <v>7.3973616806546742E-4</v>
      </c>
      <c r="AA173" s="433">
        <f t="shared" si="99"/>
        <v>7.4108157604983965E-4</v>
      </c>
      <c r="AB173" s="433">
        <f t="shared" si="99"/>
        <v>7.4190133586336706E-4</v>
      </c>
      <c r="AC173" s="433">
        <f t="shared" si="99"/>
        <v>7.4154736434371975E-4</v>
      </c>
      <c r="AD173" s="433">
        <f t="shared" si="99"/>
        <v>7.4066293220973801E-4</v>
      </c>
      <c r="AE173" s="433">
        <f t="shared" si="99"/>
        <v>7.3894896804106681E-4</v>
      </c>
      <c r="AF173" s="433">
        <f t="shared" si="99"/>
        <v>7.3609262959230324E-4</v>
      </c>
      <c r="AG173" s="433">
        <f t="shared" si="99"/>
        <v>7.3426584885125372E-4</v>
      </c>
      <c r="AH173" s="433">
        <f t="shared" si="99"/>
        <v>7.3244086865830696E-4</v>
      </c>
      <c r="AI173" s="433">
        <f t="shared" si="99"/>
        <v>7.3069577891417281E-4</v>
      </c>
      <c r="AJ173" s="433">
        <f t="shared" si="99"/>
        <v>7.3770172409781253E-4</v>
      </c>
      <c r="AK173" s="433">
        <f t="shared" si="99"/>
        <v>7.3677083802823349E-4</v>
      </c>
      <c r="AL173" s="433">
        <f t="shared" si="99"/>
        <v>7.3293318570675375E-4</v>
      </c>
      <c r="AM173" s="433"/>
    </row>
    <row r="174" spans="1:39" ht="15.75" customHeight="1" x14ac:dyDescent="0.25">
      <c r="A174" s="194"/>
      <c r="B174" s="194"/>
      <c r="C174" s="194"/>
      <c r="D174" s="194"/>
      <c r="E174" s="194"/>
      <c r="F174" s="433"/>
      <c r="G174" s="433"/>
      <c r="H174" s="433"/>
      <c r="I174" s="433"/>
      <c r="J174" s="433"/>
      <c r="K174" s="433"/>
      <c r="L174" s="433"/>
      <c r="M174" s="433"/>
      <c r="N174" s="433"/>
      <c r="O174" s="433"/>
      <c r="P174" s="433"/>
      <c r="Q174" s="433"/>
      <c r="R174" s="433"/>
      <c r="S174" s="433"/>
      <c r="T174" s="433"/>
      <c r="U174" s="433"/>
      <c r="V174" s="433"/>
      <c r="W174" s="433"/>
      <c r="X174" s="433"/>
      <c r="Y174" s="433"/>
      <c r="Z174" s="433"/>
      <c r="AA174" s="433"/>
      <c r="AB174" s="433"/>
      <c r="AC174" s="433"/>
      <c r="AD174" s="433"/>
      <c r="AE174" s="433"/>
      <c r="AF174" s="433"/>
      <c r="AG174" s="433"/>
      <c r="AH174" s="433"/>
      <c r="AI174" s="433"/>
      <c r="AJ174" s="433"/>
      <c r="AK174" s="433"/>
      <c r="AL174" s="433"/>
      <c r="AM174" s="433"/>
    </row>
    <row r="175" spans="1:39" ht="15.75" customHeight="1" x14ac:dyDescent="0.25">
      <c r="A175" s="194"/>
      <c r="B175" s="194"/>
      <c r="C175" s="194"/>
      <c r="D175" s="194" t="s">
        <v>10</v>
      </c>
      <c r="E175" s="194"/>
      <c r="F175" s="433">
        <f t="shared" ref="F175:AL175" si="100">F164</f>
        <v>2.6131014791080082E-7</v>
      </c>
      <c r="G175" s="433">
        <f t="shared" si="100"/>
        <v>4.1898124909234098E-7</v>
      </c>
      <c r="H175" s="433">
        <f t="shared" si="100"/>
        <v>5.8111866987456702E-7</v>
      </c>
      <c r="I175" s="433">
        <f t="shared" si="100"/>
        <v>7.4840461171582204E-7</v>
      </c>
      <c r="J175" s="433">
        <f t="shared" si="100"/>
        <v>9.2201719908830302E-7</v>
      </c>
      <c r="K175" s="433">
        <f t="shared" si="100"/>
        <v>2.3052706395561522E-6</v>
      </c>
      <c r="L175" s="433">
        <f t="shared" si="100"/>
        <v>4.4136082214367739E-6</v>
      </c>
      <c r="M175" s="433">
        <f t="shared" si="100"/>
        <v>6.5946290152229707E-6</v>
      </c>
      <c r="N175" s="433">
        <f t="shared" si="100"/>
        <v>8.8565132283437395E-6</v>
      </c>
      <c r="O175" s="433">
        <f t="shared" si="100"/>
        <v>1.1509845363912519E-5</v>
      </c>
      <c r="P175" s="433">
        <f t="shared" si="100"/>
        <v>1.2569649352965852E-5</v>
      </c>
      <c r="Q175" s="433">
        <f t="shared" si="100"/>
        <v>1.3247157241468287E-5</v>
      </c>
      <c r="R175" s="433">
        <f t="shared" si="100"/>
        <v>1.7288683860185458E-5</v>
      </c>
      <c r="S175" s="433">
        <f t="shared" si="100"/>
        <v>2.1944993352741679E-5</v>
      </c>
      <c r="T175" s="433">
        <f t="shared" si="100"/>
        <v>2.3330088569784589E-5</v>
      </c>
      <c r="U175" s="433">
        <f t="shared" si="100"/>
        <v>2.4713909211711638E-5</v>
      </c>
      <c r="V175" s="433">
        <f t="shared" si="100"/>
        <v>2.6092421796137101E-5</v>
      </c>
      <c r="W175" s="433">
        <f t="shared" si="100"/>
        <v>2.7471143032289743E-5</v>
      </c>
      <c r="X175" s="433">
        <f t="shared" si="100"/>
        <v>2.8923391721581608E-5</v>
      </c>
      <c r="Y175" s="433">
        <f t="shared" si="100"/>
        <v>3.1802293449473981E-5</v>
      </c>
      <c r="Z175" s="433">
        <f t="shared" si="100"/>
        <v>3.5335146091815057E-5</v>
      </c>
      <c r="AA175" s="433">
        <f t="shared" si="100"/>
        <v>3.771742776819257E-5</v>
      </c>
      <c r="AB175" s="433">
        <f t="shared" si="100"/>
        <v>3.956228490669917E-5</v>
      </c>
      <c r="AC175" s="433">
        <f t="shared" si="100"/>
        <v>4.1703195498338638E-5</v>
      </c>
      <c r="AD175" s="433">
        <f t="shared" si="100"/>
        <v>4.4100162870311796E-5</v>
      </c>
      <c r="AE175" s="433">
        <f t="shared" si="100"/>
        <v>4.6478452427122152E-5</v>
      </c>
      <c r="AF175" s="433">
        <f t="shared" si="100"/>
        <v>4.9640579107816882E-5</v>
      </c>
      <c r="AG175" s="433">
        <f t="shared" si="100"/>
        <v>5.2781854283047353E-5</v>
      </c>
      <c r="AH175" s="433">
        <f t="shared" si="100"/>
        <v>5.6556118564366453E-5</v>
      </c>
      <c r="AI175" s="433">
        <f t="shared" si="100"/>
        <v>6.0255123344093292E-5</v>
      </c>
      <c r="AJ175" s="433">
        <f t="shared" si="100"/>
        <v>6.4760276546437561E-5</v>
      </c>
      <c r="AK175" s="433">
        <f t="shared" si="100"/>
        <v>6.8680952135492248E-5</v>
      </c>
      <c r="AL175" s="433">
        <f t="shared" si="100"/>
        <v>7.2638169923938342E-5</v>
      </c>
      <c r="AM175" s="433"/>
    </row>
    <row r="176" spans="1:39" ht="15.75" customHeight="1" x14ac:dyDescent="0.25">
      <c r="A176" s="194"/>
      <c r="B176" s="194"/>
      <c r="C176" s="194"/>
      <c r="D176" s="194" t="s">
        <v>1143</v>
      </c>
      <c r="E176" s="194"/>
      <c r="F176" s="433">
        <f t="shared" ref="F176:AL176" si="101">SUM(F165:F171)</f>
        <v>5.2561127898910548E-3</v>
      </c>
      <c r="G176" s="433">
        <f t="shared" si="101"/>
        <v>1.1068138665048506E-2</v>
      </c>
      <c r="H176" s="433">
        <f t="shared" si="101"/>
        <v>3.1515538404487779E-2</v>
      </c>
      <c r="I176" s="433">
        <f t="shared" si="101"/>
        <v>0.10440657742779755</v>
      </c>
      <c r="J176" s="433">
        <f t="shared" si="101"/>
        <v>0.25465791033007856</v>
      </c>
      <c r="K176" s="433">
        <f t="shared" si="101"/>
        <v>0.55047441770365191</v>
      </c>
      <c r="L176" s="433">
        <f t="shared" si="101"/>
        <v>0.76340018087424921</v>
      </c>
      <c r="M176" s="433">
        <f t="shared" si="101"/>
        <v>0.9743419163551772</v>
      </c>
      <c r="N176" s="433">
        <f t="shared" si="101"/>
        <v>1.1295703908192107</v>
      </c>
      <c r="O176" s="433">
        <f t="shared" si="101"/>
        <v>1.2910706154832667</v>
      </c>
      <c r="P176" s="433">
        <f t="shared" si="101"/>
        <v>1.4359516981598268</v>
      </c>
      <c r="Q176" s="433">
        <f t="shared" si="101"/>
        <v>1.5808583717423241</v>
      </c>
      <c r="R176" s="433">
        <f t="shared" si="101"/>
        <v>1.6943597792822711</v>
      </c>
      <c r="S176" s="433">
        <f t="shared" si="101"/>
        <v>1.7998427944338444</v>
      </c>
      <c r="T176" s="433">
        <f t="shared" si="101"/>
        <v>1.886583193318373</v>
      </c>
      <c r="U176" s="433">
        <f t="shared" si="101"/>
        <v>1.9896363935027968</v>
      </c>
      <c r="V176" s="433">
        <f t="shared" si="101"/>
        <v>2.1264534710247474</v>
      </c>
      <c r="W176" s="433">
        <f t="shared" si="101"/>
        <v>2.2781620569451952</v>
      </c>
      <c r="X176" s="433">
        <f t="shared" si="101"/>
        <v>2.4450340875026564</v>
      </c>
      <c r="Y176" s="433">
        <f t="shared" si="101"/>
        <v>2.5174528356644577</v>
      </c>
      <c r="Z176" s="433">
        <f t="shared" si="101"/>
        <v>2.3965532966166059</v>
      </c>
      <c r="AA176" s="433">
        <f t="shared" si="101"/>
        <v>2.5508710849997303</v>
      </c>
      <c r="AB176" s="433">
        <f t="shared" si="101"/>
        <v>2.7141578312153496</v>
      </c>
      <c r="AC176" s="433">
        <f t="shared" si="101"/>
        <v>3.155021748367659</v>
      </c>
      <c r="AD176" s="433">
        <f t="shared" si="101"/>
        <v>3.6298990529682649</v>
      </c>
      <c r="AE176" s="433">
        <f t="shared" si="101"/>
        <v>3.5273221177204666</v>
      </c>
      <c r="AF176" s="433">
        <f t="shared" si="101"/>
        <v>3.5647340565105123</v>
      </c>
      <c r="AG176" s="433">
        <f t="shared" si="101"/>
        <v>3.0353422192039665</v>
      </c>
      <c r="AH176" s="433">
        <f t="shared" si="101"/>
        <v>3.4460176461129821</v>
      </c>
      <c r="AI176" s="433">
        <f t="shared" si="101"/>
        <v>3.2750794715661051</v>
      </c>
      <c r="AJ176" s="433">
        <f t="shared" si="101"/>
        <v>3.689915798190575</v>
      </c>
      <c r="AK176" s="433">
        <f t="shared" si="101"/>
        <v>3.8289155126363608</v>
      </c>
      <c r="AL176" s="433">
        <f t="shared" si="101"/>
        <v>3.9442035135951743</v>
      </c>
      <c r="AM176" s="433"/>
    </row>
    <row r="177" spans="1:39" ht="15.75" customHeight="1" x14ac:dyDescent="0.25">
      <c r="A177" s="194"/>
      <c r="B177" s="194"/>
      <c r="C177" s="194"/>
      <c r="D177" s="194" t="s">
        <v>1156</v>
      </c>
      <c r="E177" s="194"/>
      <c r="F177" s="433">
        <f t="shared" ref="F177:AL177" si="102">SUM(F172:F173)</f>
        <v>0</v>
      </c>
      <c r="G177" s="433">
        <f t="shared" si="102"/>
        <v>0</v>
      </c>
      <c r="H177" s="433">
        <f t="shared" si="102"/>
        <v>0</v>
      </c>
      <c r="I177" s="433">
        <f t="shared" si="102"/>
        <v>0</v>
      </c>
      <c r="J177" s="433">
        <f t="shared" si="102"/>
        <v>3.624914477632868E-6</v>
      </c>
      <c r="K177" s="433">
        <f t="shared" si="102"/>
        <v>1.5294482992983388E-2</v>
      </c>
      <c r="L177" s="433">
        <f t="shared" si="102"/>
        <v>3.6772392112126843E-2</v>
      </c>
      <c r="M177" s="433">
        <f t="shared" si="102"/>
        <v>4.323628449106709E-2</v>
      </c>
      <c r="N177" s="433">
        <f t="shared" si="102"/>
        <v>4.4120938506178348E-2</v>
      </c>
      <c r="O177" s="433">
        <f t="shared" si="102"/>
        <v>4.5097610094465654E-2</v>
      </c>
      <c r="P177" s="433">
        <f t="shared" si="102"/>
        <v>3.5934066640121651E-2</v>
      </c>
      <c r="Q177" s="433">
        <f t="shared" si="102"/>
        <v>2.6452859731637607E-2</v>
      </c>
      <c r="R177" s="433">
        <f t="shared" si="102"/>
        <v>1.6521695460906184E-2</v>
      </c>
      <c r="S177" s="433">
        <f t="shared" si="102"/>
        <v>5.9789081013445584E-3</v>
      </c>
      <c r="T177" s="433">
        <f t="shared" si="102"/>
        <v>6.1153716517503764E-3</v>
      </c>
      <c r="U177" s="433">
        <f t="shared" si="102"/>
        <v>5.223632549575228E-3</v>
      </c>
      <c r="V177" s="433">
        <f t="shared" si="102"/>
        <v>4.2712674912411108E-3</v>
      </c>
      <c r="W177" s="433">
        <f t="shared" si="102"/>
        <v>3.2860229442709847E-3</v>
      </c>
      <c r="X177" s="433">
        <f t="shared" si="102"/>
        <v>2.2704665912881834E-3</v>
      </c>
      <c r="Y177" s="433">
        <f t="shared" si="102"/>
        <v>1.2244555591813754E-3</v>
      </c>
      <c r="Z177" s="433">
        <f t="shared" si="102"/>
        <v>1.2415450536919436E-3</v>
      </c>
      <c r="AA177" s="433">
        <f t="shared" si="102"/>
        <v>1.2588782276787495E-3</v>
      </c>
      <c r="AB177" s="433">
        <f t="shared" si="102"/>
        <v>1.2758546477656648E-3</v>
      </c>
      <c r="AC177" s="433">
        <f t="shared" si="102"/>
        <v>1.2912596090118974E-3</v>
      </c>
      <c r="AD177" s="433">
        <f t="shared" si="102"/>
        <v>1.3061508459869596E-3</v>
      </c>
      <c r="AE177" s="433">
        <f t="shared" si="102"/>
        <v>1.3200661952934289E-3</v>
      </c>
      <c r="AF177" s="433">
        <f t="shared" si="102"/>
        <v>1.3323243062588713E-3</v>
      </c>
      <c r="AG177" s="433">
        <f t="shared" si="102"/>
        <v>1.3468766364854263E-3</v>
      </c>
      <c r="AH177" s="433">
        <f t="shared" si="102"/>
        <v>1.3618292989422921E-3</v>
      </c>
      <c r="AI177" s="433">
        <f t="shared" si="102"/>
        <v>1.3774337014532427E-3</v>
      </c>
      <c r="AJ177" s="433">
        <f t="shared" si="102"/>
        <v>1.3444797951155305E-3</v>
      </c>
      <c r="AK177" s="433">
        <f t="shared" si="102"/>
        <v>1.2953231216051124E-3</v>
      </c>
      <c r="AL177" s="433">
        <f t="shared" si="102"/>
        <v>1.2399046872620385E-3</v>
      </c>
      <c r="AM177" s="433"/>
    </row>
    <row r="178" spans="1:39" ht="15.75" customHeight="1" x14ac:dyDescent="0.25">
      <c r="A178" s="194"/>
      <c r="B178" s="194"/>
      <c r="C178" s="194"/>
      <c r="D178" s="194"/>
      <c r="E178" s="194"/>
      <c r="F178" s="433"/>
      <c r="G178" s="433"/>
      <c r="H178" s="433"/>
      <c r="I178" s="433"/>
      <c r="J178" s="433"/>
      <c r="K178" s="433"/>
      <c r="L178" s="433"/>
      <c r="M178" s="433"/>
      <c r="N178" s="433"/>
      <c r="O178" s="433"/>
      <c r="P178" s="433"/>
      <c r="Q178" s="433"/>
      <c r="R178" s="433"/>
      <c r="S178" s="433"/>
      <c r="T178" s="433"/>
      <c r="U178" s="433"/>
      <c r="V178" s="433"/>
      <c r="W178" s="433"/>
      <c r="X178" s="433"/>
      <c r="Y178" s="433"/>
      <c r="Z178" s="433"/>
      <c r="AA178" s="433"/>
      <c r="AB178" s="433"/>
      <c r="AC178" s="433"/>
      <c r="AD178" s="433"/>
      <c r="AE178" s="433"/>
      <c r="AF178" s="433"/>
      <c r="AG178" s="433"/>
      <c r="AH178" s="433"/>
      <c r="AI178" s="433"/>
      <c r="AJ178" s="433"/>
      <c r="AK178" s="433"/>
      <c r="AL178" s="433"/>
      <c r="AM178" s="433"/>
    </row>
    <row r="179" spans="1:39" ht="15.75" customHeight="1" x14ac:dyDescent="0.25">
      <c r="A179" s="194"/>
      <c r="B179" s="194"/>
      <c r="C179" s="194"/>
      <c r="D179" s="194" t="s">
        <v>1217</v>
      </c>
      <c r="E179" s="194"/>
      <c r="F179" s="433">
        <f t="shared" ref="F179:AL179" si="103">SUM(F175:F177)</f>
        <v>5.2563741000389652E-3</v>
      </c>
      <c r="G179" s="433">
        <f t="shared" si="103"/>
        <v>1.1068557646297598E-2</v>
      </c>
      <c r="H179" s="433">
        <f t="shared" si="103"/>
        <v>3.1516119523157651E-2</v>
      </c>
      <c r="I179" s="433">
        <f t="shared" si="103"/>
        <v>0.10440732583240926</v>
      </c>
      <c r="J179" s="433">
        <f t="shared" si="103"/>
        <v>0.25466245726175529</v>
      </c>
      <c r="K179" s="433">
        <f t="shared" si="103"/>
        <v>0.56577120596727493</v>
      </c>
      <c r="L179" s="433">
        <f t="shared" si="103"/>
        <v>0.80017698659459746</v>
      </c>
      <c r="M179" s="433">
        <f t="shared" si="103"/>
        <v>1.0175847954752595</v>
      </c>
      <c r="N179" s="433">
        <f t="shared" si="103"/>
        <v>1.1737001858386173</v>
      </c>
      <c r="O179" s="433">
        <f t="shared" si="103"/>
        <v>1.3361797354230962</v>
      </c>
      <c r="P179" s="433">
        <f t="shared" si="103"/>
        <v>1.4718983344493013</v>
      </c>
      <c r="Q179" s="433">
        <f t="shared" si="103"/>
        <v>1.6073244786312031</v>
      </c>
      <c r="R179" s="433">
        <f t="shared" si="103"/>
        <v>1.7108987634270374</v>
      </c>
      <c r="S179" s="433">
        <f t="shared" si="103"/>
        <v>1.8058436475285418</v>
      </c>
      <c r="T179" s="433">
        <f t="shared" si="103"/>
        <v>1.892721895058693</v>
      </c>
      <c r="U179" s="433">
        <f t="shared" si="103"/>
        <v>1.9948847399615837</v>
      </c>
      <c r="V179" s="433">
        <f t="shared" si="103"/>
        <v>2.1307508309377847</v>
      </c>
      <c r="W179" s="433">
        <f t="shared" si="103"/>
        <v>2.2814755510324987</v>
      </c>
      <c r="X179" s="433">
        <f t="shared" si="103"/>
        <v>2.4473334774856661</v>
      </c>
      <c r="Y179" s="433">
        <f t="shared" si="103"/>
        <v>2.5187090935170882</v>
      </c>
      <c r="Z179" s="433">
        <f t="shared" si="103"/>
        <v>2.3978301768163894</v>
      </c>
      <c r="AA179" s="433">
        <f t="shared" si="103"/>
        <v>2.552167680655177</v>
      </c>
      <c r="AB179" s="433">
        <f t="shared" si="103"/>
        <v>2.7154732481480219</v>
      </c>
      <c r="AC179" s="433">
        <f t="shared" si="103"/>
        <v>3.156354711172169</v>
      </c>
      <c r="AD179" s="433">
        <f t="shared" si="103"/>
        <v>3.6312493039771221</v>
      </c>
      <c r="AE179" s="433">
        <f t="shared" si="103"/>
        <v>3.5286886623681872</v>
      </c>
      <c r="AF179" s="433">
        <f t="shared" si="103"/>
        <v>3.5661160213958789</v>
      </c>
      <c r="AG179" s="433">
        <f t="shared" si="103"/>
        <v>3.0367418776947352</v>
      </c>
      <c r="AH179" s="433">
        <f t="shared" si="103"/>
        <v>3.4474360315304886</v>
      </c>
      <c r="AI179" s="433">
        <f t="shared" si="103"/>
        <v>3.2765171603909025</v>
      </c>
      <c r="AJ179" s="433">
        <f t="shared" si="103"/>
        <v>3.6913250382622369</v>
      </c>
      <c r="AK179" s="433">
        <f t="shared" si="103"/>
        <v>3.8302795167101014</v>
      </c>
      <c r="AL179" s="433">
        <f t="shared" si="103"/>
        <v>3.9455160564523601</v>
      </c>
      <c r="AM179" s="433"/>
    </row>
    <row r="180" spans="1:39" ht="15.75" customHeight="1" x14ac:dyDescent="0.25">
      <c r="A180" s="194"/>
      <c r="B180" s="194"/>
      <c r="C180" s="194"/>
      <c r="D180" s="194"/>
      <c r="E180" s="194"/>
      <c r="F180" s="194"/>
      <c r="G180" s="194"/>
      <c r="H180" s="194"/>
      <c r="I180" s="194"/>
      <c r="J180" s="194"/>
      <c r="K180" s="194"/>
      <c r="L180" s="194"/>
      <c r="M180" s="194"/>
      <c r="N180" s="194"/>
      <c r="O180" s="194"/>
      <c r="P180" s="194"/>
      <c r="Q180" s="194"/>
      <c r="R180" s="194"/>
      <c r="S180" s="194"/>
      <c r="T180" s="194"/>
      <c r="U180" s="194"/>
      <c r="V180" s="194"/>
      <c r="W180" s="194"/>
      <c r="X180" s="194"/>
      <c r="Y180" s="194"/>
      <c r="Z180" s="194"/>
      <c r="AA180" s="194"/>
      <c r="AB180" s="194"/>
      <c r="AC180" s="194"/>
      <c r="AD180" s="194"/>
      <c r="AE180" s="194"/>
      <c r="AF180" s="194"/>
      <c r="AG180" s="194"/>
      <c r="AH180" s="194"/>
      <c r="AI180" s="194"/>
      <c r="AJ180" s="194"/>
      <c r="AK180" s="194"/>
      <c r="AL180" s="194"/>
      <c r="AM180" s="194"/>
    </row>
    <row r="181" spans="1:39" ht="15.75" customHeight="1" x14ac:dyDescent="0.25">
      <c r="A181" s="194"/>
      <c r="B181" s="1469" t="s">
        <v>1891</v>
      </c>
      <c r="C181" s="430"/>
      <c r="D181" s="430"/>
      <c r="E181" s="430"/>
      <c r="F181" s="430"/>
      <c r="G181" s="430"/>
      <c r="H181" s="430"/>
      <c r="I181" s="430"/>
      <c r="J181" s="430"/>
      <c r="K181" s="430"/>
      <c r="L181" s="430"/>
      <c r="M181" s="430"/>
      <c r="N181" s="430"/>
      <c r="O181" s="430"/>
      <c r="P181" s="430"/>
      <c r="Q181" s="430"/>
      <c r="R181" s="430"/>
      <c r="S181" s="430"/>
      <c r="T181" s="430"/>
      <c r="U181" s="430"/>
      <c r="V181" s="430"/>
      <c r="W181" s="430"/>
      <c r="X181" s="430"/>
      <c r="Y181" s="430"/>
      <c r="Z181" s="430"/>
      <c r="AA181" s="430"/>
      <c r="AB181" s="430"/>
      <c r="AC181" s="430"/>
      <c r="AD181" s="430"/>
      <c r="AE181" s="430"/>
      <c r="AF181" s="430"/>
      <c r="AG181" s="430"/>
      <c r="AH181" s="430"/>
      <c r="AI181" s="430"/>
      <c r="AJ181" s="430"/>
      <c r="AK181" s="430"/>
      <c r="AL181" s="430"/>
      <c r="AM181" s="431"/>
    </row>
    <row r="182" spans="1:39" ht="15.75" customHeight="1" x14ac:dyDescent="0.25">
      <c r="A182" s="194"/>
      <c r="B182" s="194"/>
      <c r="C182" s="194"/>
      <c r="D182" s="194"/>
      <c r="E182" s="194"/>
      <c r="F182" s="194"/>
      <c r="G182" s="194"/>
      <c r="H182" s="194"/>
      <c r="I182" s="194"/>
      <c r="J182" s="194"/>
      <c r="K182" s="194"/>
      <c r="L182" s="194"/>
      <c r="M182" s="194"/>
      <c r="N182" s="194"/>
      <c r="O182" s="194"/>
      <c r="P182" s="194"/>
      <c r="Q182" s="194"/>
      <c r="R182" s="194"/>
      <c r="S182" s="194"/>
      <c r="T182" s="194"/>
      <c r="U182" s="194"/>
      <c r="V182" s="194"/>
      <c r="W182" s="194"/>
      <c r="X182" s="194"/>
      <c r="Y182" s="194"/>
      <c r="Z182" s="194"/>
      <c r="AA182" s="194"/>
      <c r="AB182" s="194"/>
      <c r="AC182" s="194"/>
      <c r="AD182" s="194"/>
      <c r="AE182" s="194"/>
      <c r="AF182" s="194"/>
      <c r="AG182" s="194"/>
      <c r="AH182" s="194"/>
      <c r="AI182" s="194"/>
      <c r="AJ182" s="194"/>
      <c r="AK182" s="194"/>
      <c r="AL182" s="194"/>
      <c r="AM182" s="194"/>
    </row>
    <row r="183" spans="1:39" ht="15.75" customHeight="1" x14ac:dyDescent="0.25">
      <c r="A183" s="194"/>
      <c r="B183" s="435" t="s">
        <v>1171</v>
      </c>
      <c r="C183" s="436"/>
      <c r="D183" s="436"/>
      <c r="E183" s="436"/>
      <c r="F183" s="436"/>
      <c r="G183" s="436"/>
      <c r="H183" s="436"/>
      <c r="I183" s="436"/>
      <c r="J183" s="436"/>
      <c r="K183" s="436"/>
      <c r="L183" s="436"/>
      <c r="M183" s="436"/>
      <c r="N183" s="436"/>
      <c r="O183" s="436"/>
      <c r="P183" s="436"/>
      <c r="Q183" s="436"/>
      <c r="R183" s="436"/>
      <c r="S183" s="436"/>
      <c r="T183" s="436"/>
      <c r="U183" s="436"/>
      <c r="V183" s="436"/>
      <c r="W183" s="436"/>
      <c r="X183" s="436"/>
      <c r="Y183" s="436"/>
      <c r="Z183" s="436"/>
      <c r="AA183" s="436"/>
      <c r="AB183" s="436"/>
      <c r="AC183" s="436"/>
      <c r="AD183" s="436"/>
      <c r="AE183" s="436"/>
      <c r="AF183" s="436"/>
      <c r="AG183" s="436"/>
      <c r="AH183" s="436"/>
      <c r="AI183" s="436"/>
      <c r="AJ183" s="436"/>
      <c r="AK183" s="436"/>
      <c r="AL183" s="436"/>
      <c r="AM183" s="439"/>
    </row>
    <row r="184" spans="1:39" ht="15.75" customHeight="1" x14ac:dyDescent="0.25">
      <c r="A184" s="194"/>
      <c r="B184" s="432" t="s">
        <v>1102</v>
      </c>
      <c r="C184" s="194"/>
      <c r="D184" s="432"/>
      <c r="E184" s="432"/>
      <c r="F184" s="432" t="s">
        <v>1106</v>
      </c>
      <c r="G184" s="432" t="s">
        <v>1107</v>
      </c>
      <c r="H184" s="432" t="s">
        <v>1108</v>
      </c>
      <c r="I184" s="432" t="s">
        <v>1109</v>
      </c>
      <c r="J184" s="432" t="s">
        <v>1110</v>
      </c>
      <c r="K184" s="432" t="s">
        <v>1111</v>
      </c>
      <c r="L184" s="432" t="s">
        <v>1112</v>
      </c>
      <c r="M184" s="432" t="s">
        <v>1113</v>
      </c>
      <c r="N184" s="432" t="s">
        <v>1114</v>
      </c>
      <c r="O184" s="432" t="s">
        <v>1115</v>
      </c>
      <c r="P184" s="432" t="s">
        <v>1116</v>
      </c>
      <c r="Q184" s="432" t="s">
        <v>1117</v>
      </c>
      <c r="R184" s="432" t="s">
        <v>1118</v>
      </c>
      <c r="S184" s="432" t="s">
        <v>1119</v>
      </c>
      <c r="T184" s="432" t="s">
        <v>1120</v>
      </c>
      <c r="U184" s="432" t="s">
        <v>1121</v>
      </c>
      <c r="V184" s="432" t="s">
        <v>1122</v>
      </c>
      <c r="W184" s="432" t="s">
        <v>1123</v>
      </c>
      <c r="X184" s="432" t="s">
        <v>1124</v>
      </c>
      <c r="Y184" s="432" t="s">
        <v>1125</v>
      </c>
      <c r="Z184" s="432" t="s">
        <v>1126</v>
      </c>
      <c r="AA184" s="432" t="s">
        <v>1127</v>
      </c>
      <c r="AB184" s="432" t="s">
        <v>1128</v>
      </c>
      <c r="AC184" s="432" t="s">
        <v>1129</v>
      </c>
      <c r="AD184" s="432" t="s">
        <v>1130</v>
      </c>
      <c r="AE184" s="432" t="s">
        <v>1131</v>
      </c>
      <c r="AF184" s="432" t="s">
        <v>1132</v>
      </c>
      <c r="AG184" s="432" t="s">
        <v>1133</v>
      </c>
      <c r="AH184" s="432" t="s">
        <v>1134</v>
      </c>
      <c r="AI184" s="432" t="s">
        <v>1135</v>
      </c>
      <c r="AJ184" s="432" t="s">
        <v>1136</v>
      </c>
      <c r="AK184" s="432" t="s">
        <v>1137</v>
      </c>
      <c r="AL184" s="432" t="s">
        <v>1138</v>
      </c>
      <c r="AM184" s="432"/>
    </row>
    <row r="185" spans="1:39" ht="15.75" customHeight="1" x14ac:dyDescent="0.25">
      <c r="A185" s="194"/>
      <c r="B185" s="194" t="s">
        <v>1139</v>
      </c>
      <c r="C185" s="194"/>
      <c r="D185" s="194"/>
      <c r="E185" s="194"/>
      <c r="F185" s="433">
        <f t="shared" ref="F185:AL185" si="104">SUMIF($B$16:$B$49,$B185,F$16:F$49)</f>
        <v>0</v>
      </c>
      <c r="G185" s="433">
        <f t="shared" si="104"/>
        <v>0</v>
      </c>
      <c r="H185" s="433">
        <f t="shared" si="104"/>
        <v>0</v>
      </c>
      <c r="I185" s="433">
        <f t="shared" si="104"/>
        <v>0</v>
      </c>
      <c r="J185" s="433">
        <f t="shared" si="104"/>
        <v>7.2105919715150286E-5</v>
      </c>
      <c r="K185" s="433">
        <f t="shared" si="104"/>
        <v>6.1285513036061275E-4</v>
      </c>
      <c r="L185" s="433">
        <f t="shared" si="104"/>
        <v>1.5063543721975246E-3</v>
      </c>
      <c r="M185" s="433">
        <f t="shared" si="104"/>
        <v>3.0434438681324707E-3</v>
      </c>
      <c r="N185" s="433">
        <f t="shared" si="104"/>
        <v>5.1295941830848436E-3</v>
      </c>
      <c r="O185" s="433">
        <f t="shared" si="104"/>
        <v>8.0316148717966118E-3</v>
      </c>
      <c r="P185" s="433">
        <f t="shared" si="104"/>
        <v>1.0889911130349221E-2</v>
      </c>
      <c r="Q185" s="433">
        <f t="shared" si="104"/>
        <v>1.3712062262757939E-2</v>
      </c>
      <c r="R185" s="433">
        <f t="shared" si="104"/>
        <v>1.648562969924406E-2</v>
      </c>
      <c r="S185" s="433">
        <f t="shared" si="104"/>
        <v>1.8665333965892102E-2</v>
      </c>
      <c r="T185" s="433">
        <f t="shared" si="104"/>
        <v>2.0647262373855866E-2</v>
      </c>
      <c r="U185" s="433">
        <f t="shared" si="104"/>
        <v>2.2410144640867428E-2</v>
      </c>
      <c r="V185" s="433">
        <f t="shared" si="104"/>
        <v>2.4110369744410529E-2</v>
      </c>
      <c r="W185" s="433">
        <f t="shared" si="104"/>
        <v>2.574518539645845E-2</v>
      </c>
      <c r="X185" s="433">
        <f t="shared" si="104"/>
        <v>2.7361503739153973E-2</v>
      </c>
      <c r="Y185" s="433">
        <f t="shared" si="104"/>
        <v>2.843524224429549E-2</v>
      </c>
      <c r="Z185" s="433">
        <f t="shared" si="104"/>
        <v>3.0012131374129055E-2</v>
      </c>
      <c r="AA185" s="433">
        <f t="shared" si="104"/>
        <v>3.187452525702545E-2</v>
      </c>
      <c r="AB185" s="433">
        <f t="shared" si="104"/>
        <v>3.3837802970205E-2</v>
      </c>
      <c r="AC185" s="433">
        <f t="shared" si="104"/>
        <v>3.5594791565102715E-2</v>
      </c>
      <c r="AD185" s="433">
        <f t="shared" si="104"/>
        <v>3.7951465300442244E-2</v>
      </c>
      <c r="AE185" s="433">
        <f t="shared" si="104"/>
        <v>3.9063849322567672E-2</v>
      </c>
      <c r="AF185" s="433">
        <f t="shared" si="104"/>
        <v>4.1136276684157522E-2</v>
      </c>
      <c r="AG185" s="433">
        <f t="shared" si="104"/>
        <v>4.1654561205707652E-2</v>
      </c>
      <c r="AH185" s="433">
        <f t="shared" si="104"/>
        <v>4.371463553219207E-2</v>
      </c>
      <c r="AI185" s="433">
        <f t="shared" si="104"/>
        <v>4.4439641097130965E-2</v>
      </c>
      <c r="AJ185" s="433">
        <f t="shared" si="104"/>
        <v>4.6456465734988968E-2</v>
      </c>
      <c r="AK185" s="433">
        <f t="shared" si="104"/>
        <v>4.7456699884263986E-2</v>
      </c>
      <c r="AL185" s="433">
        <f t="shared" si="104"/>
        <v>4.8308508674681477E-2</v>
      </c>
      <c r="AM185" s="433"/>
    </row>
    <row r="186" spans="1:39" ht="15.75" customHeight="1" x14ac:dyDescent="0.25">
      <c r="A186" s="194"/>
      <c r="B186" s="194" t="s">
        <v>1141</v>
      </c>
      <c r="C186" s="194"/>
      <c r="D186" s="194"/>
      <c r="E186" s="194"/>
      <c r="F186" s="433">
        <f t="shared" ref="F186:AL186" si="105">SUMIF($B$16:$B$49,$B186,F$16:F$49)</f>
        <v>1.2498464374573599E-4</v>
      </c>
      <c r="G186" s="433">
        <f t="shared" si="105"/>
        <v>1.9759599133754223E-4</v>
      </c>
      <c r="H186" s="433">
        <f t="shared" si="105"/>
        <v>2.7646125233332587E-4</v>
      </c>
      <c r="I186" s="433">
        <f t="shared" si="105"/>
        <v>3.6181180050382433E-4</v>
      </c>
      <c r="J186" s="433">
        <f t="shared" si="105"/>
        <v>3.897996485494196E-4</v>
      </c>
      <c r="K186" s="433">
        <f t="shared" si="105"/>
        <v>7.1059808027374252E-4</v>
      </c>
      <c r="L186" s="433">
        <f t="shared" si="105"/>
        <v>1.6094511220163697E-3</v>
      </c>
      <c r="M186" s="433">
        <f t="shared" si="105"/>
        <v>2.5545761530009511E-3</v>
      </c>
      <c r="N186" s="433">
        <f t="shared" si="105"/>
        <v>3.5550703975006622E-3</v>
      </c>
      <c r="O186" s="433">
        <f t="shared" si="105"/>
        <v>4.6011209287602599E-3</v>
      </c>
      <c r="P186" s="433">
        <f t="shared" si="105"/>
        <v>4.9468350824592279E-3</v>
      </c>
      <c r="Q186" s="433">
        <f t="shared" si="105"/>
        <v>5.9345380482300741E-3</v>
      </c>
      <c r="R186" s="433">
        <f t="shared" si="105"/>
        <v>2.6261543295702759E-2</v>
      </c>
      <c r="S186" s="433">
        <f t="shared" si="105"/>
        <v>5.0150414900290999E-2</v>
      </c>
      <c r="T186" s="433">
        <f t="shared" si="105"/>
        <v>5.6296376737982094E-2</v>
      </c>
      <c r="U186" s="433">
        <f t="shared" si="105"/>
        <v>6.2565220005701597E-2</v>
      </c>
      <c r="V186" s="433">
        <f t="shared" si="105"/>
        <v>6.8946562255248575E-2</v>
      </c>
      <c r="W186" s="433">
        <f t="shared" si="105"/>
        <v>7.5423791953472971E-2</v>
      </c>
      <c r="X186" s="433">
        <f t="shared" si="105"/>
        <v>8.1740815288038171E-2</v>
      </c>
      <c r="Y186" s="433">
        <f t="shared" si="105"/>
        <v>0.10761159151881834</v>
      </c>
      <c r="Z186" s="433">
        <f t="shared" si="105"/>
        <v>0.12794764263886921</v>
      </c>
      <c r="AA186" s="433">
        <f t="shared" si="105"/>
        <v>0.1392134734480811</v>
      </c>
      <c r="AB186" s="433">
        <f t="shared" si="105"/>
        <v>0.15046983128053817</v>
      </c>
      <c r="AC186" s="433">
        <f t="shared" si="105"/>
        <v>0.18357247635046137</v>
      </c>
      <c r="AD186" s="433">
        <f t="shared" si="105"/>
        <v>0.21234430451263558</v>
      </c>
      <c r="AE186" s="433">
        <f t="shared" si="105"/>
        <v>0.23110579810893955</v>
      </c>
      <c r="AF186" s="433">
        <f t="shared" si="105"/>
        <v>0.23949444068247275</v>
      </c>
      <c r="AG186" s="433">
        <f t="shared" si="105"/>
        <v>0.23805963762431312</v>
      </c>
      <c r="AH186" s="433">
        <f t="shared" si="105"/>
        <v>0.25513604821928398</v>
      </c>
      <c r="AI186" s="433">
        <f t="shared" si="105"/>
        <v>0.25069838634141794</v>
      </c>
      <c r="AJ186" s="433">
        <f t="shared" si="105"/>
        <v>0.25757600940917913</v>
      </c>
      <c r="AK186" s="433">
        <f t="shared" si="105"/>
        <v>0.20133840239177225</v>
      </c>
      <c r="AL186" s="433">
        <f t="shared" si="105"/>
        <v>0.2175595808811642</v>
      </c>
      <c r="AM186" s="433"/>
    </row>
    <row r="187" spans="1:39" ht="15.75" customHeight="1" x14ac:dyDescent="0.25">
      <c r="A187" s="194"/>
      <c r="B187" s="194" t="s">
        <v>1146</v>
      </c>
      <c r="C187" s="194"/>
      <c r="D187" s="194"/>
      <c r="E187" s="194"/>
      <c r="F187" s="433">
        <f t="shared" ref="F187:AL187" si="106">SUMIF($B$16:$B$49,$B187,F$16:F$49)</f>
        <v>0</v>
      </c>
      <c r="G187" s="433">
        <f t="shared" si="106"/>
        <v>0</v>
      </c>
      <c r="H187" s="433">
        <f t="shared" si="106"/>
        <v>0</v>
      </c>
      <c r="I187" s="433">
        <f t="shared" si="106"/>
        <v>0</v>
      </c>
      <c r="J187" s="433">
        <f t="shared" si="106"/>
        <v>0</v>
      </c>
      <c r="K187" s="433">
        <f t="shared" si="106"/>
        <v>0</v>
      </c>
      <c r="L187" s="433">
        <f t="shared" si="106"/>
        <v>0</v>
      </c>
      <c r="M187" s="433">
        <f t="shared" si="106"/>
        <v>3.2235782254365608E-4</v>
      </c>
      <c r="N187" s="433">
        <f t="shared" si="106"/>
        <v>6.5270642478647929E-4</v>
      </c>
      <c r="O187" s="433">
        <f t="shared" si="106"/>
        <v>9.9047932329365059E-4</v>
      </c>
      <c r="P187" s="433">
        <f t="shared" si="106"/>
        <v>1.371567092698403E-3</v>
      </c>
      <c r="Q187" s="433">
        <f t="shared" si="106"/>
        <v>3.1367205233573548E-3</v>
      </c>
      <c r="R187" s="433">
        <f t="shared" si="106"/>
        <v>4.9577196476018647E-3</v>
      </c>
      <c r="S187" s="433">
        <f t="shared" si="106"/>
        <v>6.8239834112029498E-3</v>
      </c>
      <c r="T187" s="433">
        <f t="shared" si="106"/>
        <v>8.7482454746959041E-3</v>
      </c>
      <c r="U187" s="433">
        <f t="shared" si="106"/>
        <v>1.0728317244315449E-2</v>
      </c>
      <c r="V187" s="433">
        <f t="shared" si="106"/>
        <v>1.274075218509407E-2</v>
      </c>
      <c r="W187" s="433">
        <f t="shared" si="106"/>
        <v>1.5873296838508563E-2</v>
      </c>
      <c r="X187" s="433">
        <f t="shared" si="106"/>
        <v>1.866954517859909E-2</v>
      </c>
      <c r="Y187" s="433">
        <f t="shared" si="106"/>
        <v>2.1214494125891267E-2</v>
      </c>
      <c r="Z187" s="433">
        <f t="shared" si="106"/>
        <v>2.1552270045706118E-2</v>
      </c>
      <c r="AA187" s="433">
        <f t="shared" si="106"/>
        <v>2.4259664127360824E-2</v>
      </c>
      <c r="AB187" s="433">
        <f t="shared" si="106"/>
        <v>2.4306866839050797E-2</v>
      </c>
      <c r="AC187" s="433">
        <f t="shared" si="106"/>
        <v>2.8509269544091088E-2</v>
      </c>
      <c r="AD187" s="433">
        <f t="shared" si="106"/>
        <v>2.9432072155723694E-2</v>
      </c>
      <c r="AE187" s="433">
        <f t="shared" si="106"/>
        <v>2.5623627137663661E-2</v>
      </c>
      <c r="AF187" s="433">
        <f t="shared" si="106"/>
        <v>3.0328428800894203E-2</v>
      </c>
      <c r="AG187" s="433">
        <f t="shared" si="106"/>
        <v>3.3174207015971305E-2</v>
      </c>
      <c r="AH187" s="433">
        <f t="shared" si="106"/>
        <v>4.1168884090298202E-2</v>
      </c>
      <c r="AI187" s="433">
        <f t="shared" si="106"/>
        <v>4.0876081697963168E-2</v>
      </c>
      <c r="AJ187" s="433">
        <f t="shared" si="106"/>
        <v>4.4901273365417868E-2</v>
      </c>
      <c r="AK187" s="433">
        <f t="shared" si="106"/>
        <v>4.5575131534607419E-2</v>
      </c>
      <c r="AL187" s="433">
        <f t="shared" si="106"/>
        <v>2.7703232964750114E-2</v>
      </c>
      <c r="AM187" s="433"/>
    </row>
    <row r="188" spans="1:39" ht="15.75" customHeight="1" x14ac:dyDescent="0.25">
      <c r="A188" s="194"/>
      <c r="B188" s="194" t="s">
        <v>1147</v>
      </c>
      <c r="C188" s="194"/>
      <c r="D188" s="194"/>
      <c r="E188" s="194"/>
      <c r="F188" s="433">
        <f t="shared" ref="F188:AL188" si="107">SUMIF($B$16:$B$49,$B188,F$16:F$49)</f>
        <v>4.3648724486724348E-3</v>
      </c>
      <c r="G188" s="433">
        <f t="shared" si="107"/>
        <v>9.5683674503027998E-3</v>
      </c>
      <c r="H188" s="433">
        <f t="shared" si="107"/>
        <v>9.5453743608877092E-3</v>
      </c>
      <c r="I188" s="433">
        <f t="shared" si="107"/>
        <v>9.5139138736681089E-3</v>
      </c>
      <c r="J188" s="433">
        <f t="shared" si="107"/>
        <v>2.2336436916164441E-2</v>
      </c>
      <c r="K188" s="433">
        <f t="shared" si="107"/>
        <v>0.14249635803079547</v>
      </c>
      <c r="L188" s="433">
        <f t="shared" si="107"/>
        <v>0.16428444804518955</v>
      </c>
      <c r="M188" s="433">
        <f t="shared" si="107"/>
        <v>0.18357195880718782</v>
      </c>
      <c r="N188" s="433">
        <f t="shared" si="107"/>
        <v>0.19409531908322991</v>
      </c>
      <c r="O188" s="433">
        <f t="shared" si="107"/>
        <v>0.20002539765614638</v>
      </c>
      <c r="P188" s="433">
        <f t="shared" si="107"/>
        <v>0.20302055561944649</v>
      </c>
      <c r="Q188" s="433">
        <f t="shared" si="107"/>
        <v>0.19716429964788568</v>
      </c>
      <c r="R188" s="433">
        <f t="shared" si="107"/>
        <v>0.18992898294159932</v>
      </c>
      <c r="S188" s="433">
        <f t="shared" si="107"/>
        <v>0.18244408859058514</v>
      </c>
      <c r="T188" s="433">
        <f t="shared" si="107"/>
        <v>0.17347940243594798</v>
      </c>
      <c r="U188" s="433">
        <f t="shared" si="107"/>
        <v>0.16432449450813258</v>
      </c>
      <c r="V188" s="433">
        <f t="shared" si="107"/>
        <v>0.17484916357473831</v>
      </c>
      <c r="W188" s="433">
        <f t="shared" si="107"/>
        <v>0.18660684616148177</v>
      </c>
      <c r="X188" s="433">
        <f t="shared" si="107"/>
        <v>0.19690119142231979</v>
      </c>
      <c r="Y188" s="433">
        <f t="shared" si="107"/>
        <v>0.21703192252970996</v>
      </c>
      <c r="Z188" s="433">
        <f t="shared" si="107"/>
        <v>0.21694866571903881</v>
      </c>
      <c r="AA188" s="433">
        <f t="shared" si="107"/>
        <v>0.2319557928079265</v>
      </c>
      <c r="AB188" s="433">
        <f t="shared" si="107"/>
        <v>0.24585585413519162</v>
      </c>
      <c r="AC188" s="433">
        <f t="shared" si="107"/>
        <v>0.30931219857155656</v>
      </c>
      <c r="AD188" s="433">
        <f t="shared" si="107"/>
        <v>0.35785848599361852</v>
      </c>
      <c r="AE188" s="433">
        <f t="shared" si="107"/>
        <v>0.35417630598851529</v>
      </c>
      <c r="AF188" s="433">
        <f t="shared" si="107"/>
        <v>0.31155823757133505</v>
      </c>
      <c r="AG188" s="433">
        <f t="shared" si="107"/>
        <v>0.2619618412667587</v>
      </c>
      <c r="AH188" s="433">
        <f t="shared" si="107"/>
        <v>0.25713474347671533</v>
      </c>
      <c r="AI188" s="433">
        <f t="shared" si="107"/>
        <v>0.25691276844907202</v>
      </c>
      <c r="AJ188" s="433">
        <f t="shared" si="107"/>
        <v>0.28403062158509718</v>
      </c>
      <c r="AK188" s="433">
        <f t="shared" si="107"/>
        <v>0.29011712984193122</v>
      </c>
      <c r="AL188" s="433">
        <f t="shared" si="107"/>
        <v>0.29573110855496204</v>
      </c>
      <c r="AM188" s="433"/>
    </row>
    <row r="189" spans="1:39" ht="15.75" customHeight="1" x14ac:dyDescent="0.25">
      <c r="A189" s="194"/>
      <c r="B189" s="194" t="s">
        <v>1142</v>
      </c>
      <c r="C189" s="194"/>
      <c r="D189" s="194"/>
      <c r="E189" s="194"/>
      <c r="F189" s="433">
        <f t="shared" ref="F189:AL189" si="108">SUMIF($B$16:$B$49,$B189,F$16:F$49)</f>
        <v>2.9619075653216937E-4</v>
      </c>
      <c r="G189" s="433">
        <f t="shared" si="108"/>
        <v>3.1200429586594226E-4</v>
      </c>
      <c r="H189" s="433">
        <f t="shared" si="108"/>
        <v>1.7633592270480294E-2</v>
      </c>
      <c r="I189" s="433">
        <f t="shared" si="108"/>
        <v>7.9574229708700844E-2</v>
      </c>
      <c r="J189" s="433">
        <f t="shared" si="108"/>
        <v>0.19448125374473932</v>
      </c>
      <c r="K189" s="433">
        <f t="shared" si="108"/>
        <v>0.31400197478674224</v>
      </c>
      <c r="L189" s="433">
        <f t="shared" si="108"/>
        <v>0.46015383285188821</v>
      </c>
      <c r="M189" s="433">
        <f t="shared" si="108"/>
        <v>0.61738084871837051</v>
      </c>
      <c r="N189" s="433">
        <f t="shared" si="108"/>
        <v>0.7356267450632179</v>
      </c>
      <c r="O189" s="433">
        <f t="shared" si="108"/>
        <v>0.86217801886727308</v>
      </c>
      <c r="P189" s="433">
        <f t="shared" si="108"/>
        <v>0.97826330945906137</v>
      </c>
      <c r="Q189" s="433">
        <f t="shared" si="108"/>
        <v>1.1012392171784913</v>
      </c>
      <c r="R189" s="433">
        <f t="shared" si="108"/>
        <v>1.1802655703733531</v>
      </c>
      <c r="S189" s="433">
        <f t="shared" si="108"/>
        <v>1.2497770583538761</v>
      </c>
      <c r="T189" s="433">
        <f t="shared" si="108"/>
        <v>1.3219874532615901</v>
      </c>
      <c r="U189" s="433">
        <f t="shared" si="108"/>
        <v>1.4078983065449879</v>
      </c>
      <c r="V189" s="433">
        <f t="shared" si="108"/>
        <v>1.5025656872957627</v>
      </c>
      <c r="W189" s="433">
        <f t="shared" si="108"/>
        <v>1.6074718288358312</v>
      </c>
      <c r="X189" s="433">
        <f t="shared" si="108"/>
        <v>1.7270147715717168</v>
      </c>
      <c r="Y189" s="433">
        <f t="shared" si="108"/>
        <v>1.7383094998113409</v>
      </c>
      <c r="Z189" s="433">
        <f t="shared" si="108"/>
        <v>1.6134449309464605</v>
      </c>
      <c r="AA189" s="433">
        <f t="shared" si="108"/>
        <v>1.7118967392457112</v>
      </c>
      <c r="AB189" s="433">
        <f t="shared" si="108"/>
        <v>1.8210645635757408</v>
      </c>
      <c r="AC189" s="433">
        <f t="shared" si="108"/>
        <v>2.0918267720574595</v>
      </c>
      <c r="AD189" s="433">
        <f t="shared" si="108"/>
        <v>2.4123552464598168</v>
      </c>
      <c r="AE189" s="433">
        <f t="shared" si="108"/>
        <v>2.3139651753098818</v>
      </c>
      <c r="AF189" s="433">
        <f t="shared" si="108"/>
        <v>2.3731707047113733</v>
      </c>
      <c r="AG189" s="433">
        <f t="shared" si="108"/>
        <v>1.9765263214466349</v>
      </c>
      <c r="AH189" s="433">
        <f t="shared" si="108"/>
        <v>2.2995525386553797</v>
      </c>
      <c r="AI189" s="433">
        <f t="shared" si="108"/>
        <v>2.1603959533344215</v>
      </c>
      <c r="AJ189" s="433">
        <f t="shared" si="108"/>
        <v>2.4707507223107195</v>
      </c>
      <c r="AK189" s="433">
        <f t="shared" si="108"/>
        <v>2.6375174546459652</v>
      </c>
      <c r="AL189" s="433">
        <f t="shared" si="108"/>
        <v>2.7310221568546873</v>
      </c>
      <c r="AM189" s="433"/>
    </row>
    <row r="190" spans="1:39" ht="15.75" customHeight="1" x14ac:dyDescent="0.25">
      <c r="A190" s="194"/>
      <c r="B190" s="194" t="s">
        <v>1155</v>
      </c>
      <c r="C190" s="194"/>
      <c r="D190" s="194"/>
      <c r="E190" s="194"/>
      <c r="F190" s="433">
        <f t="shared" ref="F190:AL190" si="109">SUMIF($B$16:$B$49,$B190,F$16:F$49)</f>
        <v>0</v>
      </c>
      <c r="G190" s="433">
        <f t="shared" si="109"/>
        <v>0</v>
      </c>
      <c r="H190" s="433">
        <f t="shared" si="109"/>
        <v>0</v>
      </c>
      <c r="I190" s="433">
        <f t="shared" si="109"/>
        <v>0</v>
      </c>
      <c r="J190" s="433">
        <f t="shared" si="109"/>
        <v>0</v>
      </c>
      <c r="K190" s="433">
        <f t="shared" si="109"/>
        <v>2.0155536417350836E-2</v>
      </c>
      <c r="L190" s="433">
        <f t="shared" si="109"/>
        <v>4.4107440217010532E-2</v>
      </c>
      <c r="M190" s="433">
        <f t="shared" si="109"/>
        <v>4.803083225204071E-2</v>
      </c>
      <c r="N190" s="433">
        <f t="shared" si="109"/>
        <v>4.8865841943775495E-2</v>
      </c>
      <c r="O190" s="433">
        <f t="shared" si="109"/>
        <v>4.9749338059828216E-2</v>
      </c>
      <c r="P190" s="433">
        <f t="shared" si="109"/>
        <v>4.5063302006180542E-2</v>
      </c>
      <c r="Q190" s="433">
        <f t="shared" si="109"/>
        <v>4.0276417117818243E-2</v>
      </c>
      <c r="R190" s="433">
        <f t="shared" si="109"/>
        <v>3.5285645908823694E-2</v>
      </c>
      <c r="S190" s="433">
        <f t="shared" si="109"/>
        <v>3.0003657057189485E-2</v>
      </c>
      <c r="T190" s="433">
        <f t="shared" si="109"/>
        <v>3.0606134147674113E-2</v>
      </c>
      <c r="U190" s="433">
        <f t="shared" si="109"/>
        <v>3.0630470293182332E-2</v>
      </c>
      <c r="V190" s="433">
        <f t="shared" si="109"/>
        <v>3.057286384565408E-2</v>
      </c>
      <c r="W190" s="433">
        <f t="shared" si="109"/>
        <v>3.0462796370103348E-2</v>
      </c>
      <c r="X190" s="433">
        <f t="shared" si="109"/>
        <v>3.0371616797719554E-2</v>
      </c>
      <c r="Y190" s="433">
        <f t="shared" si="109"/>
        <v>3.0362264191720709E-2</v>
      </c>
      <c r="Z190" s="433">
        <f t="shared" si="109"/>
        <v>3.103227403626806E-2</v>
      </c>
      <c r="AA190" s="433">
        <f t="shared" si="109"/>
        <v>3.1710293425038373E-2</v>
      </c>
      <c r="AB190" s="433">
        <f t="shared" si="109"/>
        <v>3.2380473308252521E-2</v>
      </c>
      <c r="AC190" s="433">
        <f t="shared" si="109"/>
        <v>3.3012349052362798E-2</v>
      </c>
      <c r="AD190" s="433">
        <f t="shared" si="109"/>
        <v>3.3632343709609977E-2</v>
      </c>
      <c r="AE190" s="433">
        <f t="shared" si="109"/>
        <v>3.42254472906625E-2</v>
      </c>
      <c r="AF190" s="433">
        <f t="shared" si="109"/>
        <v>3.4775136345906607E-2</v>
      </c>
      <c r="AG190" s="433">
        <f t="shared" si="109"/>
        <v>3.5382737684634943E-2</v>
      </c>
      <c r="AH190" s="433">
        <f t="shared" si="109"/>
        <v>3.6000552816871603E-2</v>
      </c>
      <c r="AI190" s="433">
        <f t="shared" si="109"/>
        <v>3.6633303426304963E-2</v>
      </c>
      <c r="AJ190" s="433">
        <f t="shared" si="109"/>
        <v>3.7724242229892728E-2</v>
      </c>
      <c r="AK190" s="433">
        <f t="shared" si="109"/>
        <v>3.8430274994460813E-2</v>
      </c>
      <c r="AL190" s="433">
        <f t="shared" si="109"/>
        <v>3.8994606853582803E-2</v>
      </c>
      <c r="AM190" s="433"/>
    </row>
    <row r="191" spans="1:39" ht="15.75" customHeight="1" x14ac:dyDescent="0.25">
      <c r="A191" s="194"/>
      <c r="B191" s="194"/>
      <c r="C191" s="194"/>
      <c r="D191" s="194"/>
      <c r="E191" s="194"/>
      <c r="F191" s="433"/>
      <c r="G191" s="433"/>
      <c r="H191" s="433"/>
      <c r="I191" s="433"/>
      <c r="J191" s="433"/>
      <c r="K191" s="433"/>
      <c r="L191" s="433"/>
      <c r="M191" s="433"/>
      <c r="N191" s="433"/>
      <c r="O191" s="433"/>
      <c r="P191" s="433"/>
      <c r="Q191" s="433"/>
      <c r="R191" s="433"/>
      <c r="S191" s="433"/>
      <c r="T191" s="433"/>
      <c r="U191" s="433"/>
      <c r="V191" s="433"/>
      <c r="W191" s="433"/>
      <c r="X191" s="433"/>
      <c r="Y191" s="433"/>
      <c r="Z191" s="433"/>
      <c r="AA191" s="433"/>
      <c r="AB191" s="433"/>
      <c r="AC191" s="433"/>
      <c r="AD191" s="433"/>
      <c r="AE191" s="433"/>
      <c r="AF191" s="433"/>
      <c r="AG191" s="433"/>
      <c r="AH191" s="433"/>
      <c r="AI191" s="433"/>
      <c r="AJ191" s="433"/>
      <c r="AK191" s="433"/>
      <c r="AL191" s="433"/>
      <c r="AM191" s="433"/>
    </row>
    <row r="192" spans="1:39" ht="15.75" customHeight="1" x14ac:dyDescent="0.25">
      <c r="A192" s="194"/>
      <c r="B192" s="194" t="s">
        <v>1217</v>
      </c>
      <c r="C192" s="194"/>
      <c r="D192" s="194"/>
      <c r="E192" s="194"/>
      <c r="F192" s="433">
        <f t="shared" ref="F192:AL192" si="110">SUM(F185:F190)</f>
        <v>4.7860478489503405E-3</v>
      </c>
      <c r="G192" s="433">
        <f t="shared" si="110"/>
        <v>1.0077967737506284E-2</v>
      </c>
      <c r="H192" s="433">
        <f t="shared" si="110"/>
        <v>2.7455427883701332E-2</v>
      </c>
      <c r="I192" s="433">
        <f t="shared" si="110"/>
        <v>8.9449955382872773E-2</v>
      </c>
      <c r="J192" s="433">
        <f t="shared" si="110"/>
        <v>0.21727959622916831</v>
      </c>
      <c r="K192" s="433">
        <f t="shared" si="110"/>
        <v>0.47797732244552288</v>
      </c>
      <c r="L192" s="433">
        <f t="shared" si="110"/>
        <v>0.67166152660830214</v>
      </c>
      <c r="M192" s="433">
        <f t="shared" si="110"/>
        <v>0.85490401762127621</v>
      </c>
      <c r="N192" s="433">
        <f t="shared" si="110"/>
        <v>0.9879252770955953</v>
      </c>
      <c r="O192" s="433">
        <f t="shared" si="110"/>
        <v>1.1255759697070982</v>
      </c>
      <c r="P192" s="433">
        <f t="shared" si="110"/>
        <v>1.2435554803901954</v>
      </c>
      <c r="Q192" s="433">
        <f t="shared" si="110"/>
        <v>1.3614632547785406</v>
      </c>
      <c r="R192" s="433">
        <f t="shared" si="110"/>
        <v>1.4531850918663249</v>
      </c>
      <c r="S192" s="433">
        <f t="shared" si="110"/>
        <v>1.5378645362790369</v>
      </c>
      <c r="T192" s="433">
        <f t="shared" si="110"/>
        <v>1.6117648744317461</v>
      </c>
      <c r="U192" s="433">
        <f t="shared" si="110"/>
        <v>1.6985569532371874</v>
      </c>
      <c r="V192" s="433">
        <f t="shared" si="110"/>
        <v>1.8137853989009083</v>
      </c>
      <c r="W192" s="433">
        <f t="shared" si="110"/>
        <v>1.9415837455558564</v>
      </c>
      <c r="X192" s="433">
        <f t="shared" si="110"/>
        <v>2.0820594439975477</v>
      </c>
      <c r="Y192" s="433">
        <f t="shared" si="110"/>
        <v>2.1429650144217764</v>
      </c>
      <c r="Z192" s="433">
        <f t="shared" si="110"/>
        <v>2.0409379147604718</v>
      </c>
      <c r="AA192" s="433">
        <f t="shared" si="110"/>
        <v>2.1709104883111436</v>
      </c>
      <c r="AB192" s="433">
        <f t="shared" si="110"/>
        <v>2.307915392108979</v>
      </c>
      <c r="AC192" s="433">
        <f t="shared" si="110"/>
        <v>2.6818278571410339</v>
      </c>
      <c r="AD192" s="433">
        <f t="shared" si="110"/>
        <v>3.0835739181318469</v>
      </c>
      <c r="AE192" s="433">
        <f t="shared" si="110"/>
        <v>2.9981602031582302</v>
      </c>
      <c r="AF192" s="433">
        <f t="shared" si="110"/>
        <v>3.0304632247961396</v>
      </c>
      <c r="AG192" s="433">
        <f t="shared" si="110"/>
        <v>2.5867593062440206</v>
      </c>
      <c r="AH192" s="433">
        <f t="shared" si="110"/>
        <v>2.9327074027907405</v>
      </c>
      <c r="AI192" s="433">
        <f t="shared" si="110"/>
        <v>2.7899561343463106</v>
      </c>
      <c r="AJ192" s="433">
        <f t="shared" si="110"/>
        <v>3.1414393346352956</v>
      </c>
      <c r="AK192" s="433">
        <f t="shared" si="110"/>
        <v>3.2604350932930011</v>
      </c>
      <c r="AL192" s="433">
        <f t="shared" si="110"/>
        <v>3.3593191947838279</v>
      </c>
      <c r="AM192" s="433"/>
    </row>
    <row r="193" spans="1:39" ht="15.75" customHeight="1" x14ac:dyDescent="0.25">
      <c r="A193" s="194"/>
      <c r="B193" s="194"/>
      <c r="C193" s="194"/>
      <c r="D193" s="194"/>
      <c r="E193" s="194"/>
      <c r="F193" s="194"/>
      <c r="G193" s="194"/>
      <c r="H193" s="194"/>
      <c r="I193" s="194"/>
      <c r="J193" s="194"/>
      <c r="K193" s="194"/>
      <c r="L193" s="194"/>
      <c r="M193" s="194"/>
      <c r="N193" s="194"/>
      <c r="O193" s="194"/>
      <c r="P193" s="194"/>
      <c r="Q193" s="194"/>
      <c r="R193" s="194"/>
      <c r="S193" s="194"/>
      <c r="T193" s="194"/>
      <c r="U193" s="194"/>
      <c r="V193" s="194"/>
      <c r="W193" s="194"/>
      <c r="X193" s="194"/>
      <c r="Y193" s="194"/>
      <c r="Z193" s="194"/>
      <c r="AA193" s="194"/>
      <c r="AB193" s="194"/>
      <c r="AC193" s="194"/>
      <c r="AD193" s="194"/>
      <c r="AE193" s="194"/>
      <c r="AF193" s="194"/>
      <c r="AG193" s="194"/>
      <c r="AH193" s="194"/>
      <c r="AI193" s="194"/>
      <c r="AJ193" s="194"/>
      <c r="AK193" s="194"/>
      <c r="AL193" s="194"/>
      <c r="AM193" s="194"/>
    </row>
    <row r="194" spans="1:39" ht="15.75" customHeight="1" x14ac:dyDescent="0.25">
      <c r="A194" s="194"/>
      <c r="B194" s="435" t="s">
        <v>9</v>
      </c>
      <c r="C194" s="436"/>
      <c r="D194" s="436"/>
      <c r="E194" s="436"/>
      <c r="F194" s="436"/>
      <c r="G194" s="436"/>
      <c r="H194" s="436"/>
      <c r="I194" s="436"/>
      <c r="J194" s="436"/>
      <c r="K194" s="436"/>
      <c r="L194" s="436"/>
      <c r="M194" s="436"/>
      <c r="N194" s="436"/>
      <c r="O194" s="436"/>
      <c r="P194" s="436"/>
      <c r="Q194" s="436"/>
      <c r="R194" s="436"/>
      <c r="S194" s="436"/>
      <c r="T194" s="436"/>
      <c r="U194" s="436"/>
      <c r="V194" s="436"/>
      <c r="W194" s="436"/>
      <c r="X194" s="436"/>
      <c r="Y194" s="436"/>
      <c r="Z194" s="436"/>
      <c r="AA194" s="436"/>
      <c r="AB194" s="436"/>
      <c r="AC194" s="436"/>
      <c r="AD194" s="436"/>
      <c r="AE194" s="436"/>
      <c r="AF194" s="436"/>
      <c r="AG194" s="436"/>
      <c r="AH194" s="436"/>
      <c r="AI194" s="436"/>
      <c r="AJ194" s="436"/>
      <c r="AK194" s="436"/>
      <c r="AL194" s="436"/>
      <c r="AM194" s="439"/>
    </row>
    <row r="195" spans="1:39" ht="15.75" customHeight="1" x14ac:dyDescent="0.25">
      <c r="A195" s="194"/>
      <c r="B195" s="432" t="s">
        <v>1102</v>
      </c>
      <c r="C195" s="194"/>
      <c r="D195" s="432"/>
      <c r="E195" s="432"/>
      <c r="F195" s="432" t="s">
        <v>1106</v>
      </c>
      <c r="G195" s="432" t="s">
        <v>1107</v>
      </c>
      <c r="H195" s="432" t="s">
        <v>1108</v>
      </c>
      <c r="I195" s="432" t="s">
        <v>1109</v>
      </c>
      <c r="J195" s="432" t="s">
        <v>1110</v>
      </c>
      <c r="K195" s="432" t="s">
        <v>1111</v>
      </c>
      <c r="L195" s="432" t="s">
        <v>1112</v>
      </c>
      <c r="M195" s="432" t="s">
        <v>1113</v>
      </c>
      <c r="N195" s="432" t="s">
        <v>1114</v>
      </c>
      <c r="O195" s="432" t="s">
        <v>1115</v>
      </c>
      <c r="P195" s="432" t="s">
        <v>1116</v>
      </c>
      <c r="Q195" s="432" t="s">
        <v>1117</v>
      </c>
      <c r="R195" s="432" t="s">
        <v>1118</v>
      </c>
      <c r="S195" s="432" t="s">
        <v>1119</v>
      </c>
      <c r="T195" s="432" t="s">
        <v>1120</v>
      </c>
      <c r="U195" s="432" t="s">
        <v>1121</v>
      </c>
      <c r="V195" s="432" t="s">
        <v>1122</v>
      </c>
      <c r="W195" s="432" t="s">
        <v>1123</v>
      </c>
      <c r="X195" s="432" t="s">
        <v>1124</v>
      </c>
      <c r="Y195" s="432" t="s">
        <v>1125</v>
      </c>
      <c r="Z195" s="432" t="s">
        <v>1126</v>
      </c>
      <c r="AA195" s="432" t="s">
        <v>1127</v>
      </c>
      <c r="AB195" s="432" t="s">
        <v>1128</v>
      </c>
      <c r="AC195" s="432" t="s">
        <v>1129</v>
      </c>
      <c r="AD195" s="432" t="s">
        <v>1130</v>
      </c>
      <c r="AE195" s="432" t="s">
        <v>1131</v>
      </c>
      <c r="AF195" s="432" t="s">
        <v>1132</v>
      </c>
      <c r="AG195" s="432" t="s">
        <v>1133</v>
      </c>
      <c r="AH195" s="432" t="s">
        <v>1134</v>
      </c>
      <c r="AI195" s="432" t="s">
        <v>1135</v>
      </c>
      <c r="AJ195" s="432" t="s">
        <v>1136</v>
      </c>
      <c r="AK195" s="432" t="s">
        <v>1137</v>
      </c>
      <c r="AL195" s="432" t="s">
        <v>1138</v>
      </c>
      <c r="AM195" s="432"/>
    </row>
    <row r="196" spans="1:39" ht="15.75" customHeight="1" x14ac:dyDescent="0.25">
      <c r="A196" s="194"/>
      <c r="B196" s="194" t="s">
        <v>1139</v>
      </c>
      <c r="C196" s="194"/>
      <c r="D196" s="194"/>
      <c r="E196" s="194"/>
      <c r="F196" s="433">
        <f t="shared" ref="F196:AL196" si="111">SUMIF($B$106:$B$139,$B196,F$106:F$139)</f>
        <v>0</v>
      </c>
      <c r="G196" s="433">
        <f t="shared" si="111"/>
        <v>0</v>
      </c>
      <c r="H196" s="433">
        <f t="shared" si="111"/>
        <v>0</v>
      </c>
      <c r="I196" s="433">
        <f t="shared" si="111"/>
        <v>0</v>
      </c>
      <c r="J196" s="433">
        <f t="shared" si="111"/>
        <v>8.041536009609893E-5</v>
      </c>
      <c r="K196" s="433">
        <f t="shared" si="111"/>
        <v>6.8721211440538868E-4</v>
      </c>
      <c r="L196" s="433">
        <f t="shared" si="111"/>
        <v>1.688946003420019E-3</v>
      </c>
      <c r="M196" s="433">
        <f t="shared" si="111"/>
        <v>3.4060252039047586E-3</v>
      </c>
      <c r="N196" s="433">
        <f t="shared" si="111"/>
        <v>5.7343496473683279E-3</v>
      </c>
      <c r="O196" s="433">
        <f t="shared" si="111"/>
        <v>8.9714074461216611E-3</v>
      </c>
      <c r="P196" s="433">
        <f t="shared" si="111"/>
        <v>1.2158975390291064E-2</v>
      </c>
      <c r="Q196" s="433">
        <f t="shared" si="111"/>
        <v>1.531218016218865E-2</v>
      </c>
      <c r="R196" s="433">
        <f t="shared" si="111"/>
        <v>1.8414137991853308E-2</v>
      </c>
      <c r="S196" s="433">
        <f t="shared" si="111"/>
        <v>2.0823004310631631E-2</v>
      </c>
      <c r="T196" s="433">
        <f t="shared" si="111"/>
        <v>2.3020205269869202E-2</v>
      </c>
      <c r="U196" s="433">
        <f t="shared" si="111"/>
        <v>2.4982940585599439E-2</v>
      </c>
      <c r="V196" s="433">
        <f t="shared" si="111"/>
        <v>2.6877862105110815E-2</v>
      </c>
      <c r="W196" s="433">
        <f t="shared" si="111"/>
        <v>2.8700247145594205E-2</v>
      </c>
      <c r="X196" s="433">
        <f t="shared" si="111"/>
        <v>3.0501856586754684E-2</v>
      </c>
      <c r="Y196" s="433">
        <f t="shared" si="111"/>
        <v>3.1660171427254982E-2</v>
      </c>
      <c r="Z196" s="433">
        <f t="shared" si="111"/>
        <v>3.3406836229695133E-2</v>
      </c>
      <c r="AA196" s="433">
        <f t="shared" si="111"/>
        <v>3.5490100267624815E-2</v>
      </c>
      <c r="AB196" s="433">
        <f t="shared" si="111"/>
        <v>3.7694032415878785E-2</v>
      </c>
      <c r="AC196" s="433">
        <f t="shared" si="111"/>
        <v>3.965857489831854E-2</v>
      </c>
      <c r="AD196" s="433">
        <f t="shared" si="111"/>
        <v>4.2333416046542609E-2</v>
      </c>
      <c r="AE196" s="433">
        <f t="shared" si="111"/>
        <v>4.3544469042782141E-2</v>
      </c>
      <c r="AF196" s="433">
        <f t="shared" si="111"/>
        <v>4.5894465371586472E-2</v>
      </c>
      <c r="AG196" s="433">
        <f t="shared" si="111"/>
        <v>4.6409962659313526E-2</v>
      </c>
      <c r="AH196" s="433">
        <f t="shared" si="111"/>
        <v>4.8747555297435248E-2</v>
      </c>
      <c r="AI196" s="433">
        <f t="shared" si="111"/>
        <v>4.9513100663234957E-2</v>
      </c>
      <c r="AJ196" s="433">
        <f t="shared" si="111"/>
        <v>5.1798961188409487E-2</v>
      </c>
      <c r="AK196" s="433">
        <f t="shared" si="111"/>
        <v>5.2915918406908471E-2</v>
      </c>
      <c r="AL196" s="433">
        <f t="shared" si="111"/>
        <v>5.3868659146652662E-2</v>
      </c>
      <c r="AM196" s="433"/>
    </row>
    <row r="197" spans="1:39" ht="15.75" customHeight="1" x14ac:dyDescent="0.25">
      <c r="A197" s="194"/>
      <c r="B197" s="194" t="s">
        <v>1141</v>
      </c>
      <c r="C197" s="194"/>
      <c r="D197" s="194"/>
      <c r="E197" s="194"/>
      <c r="F197" s="433">
        <f t="shared" ref="F197:AL197" si="112">SUMIF($B$106:$B$139,$B197,F$106:F$139)</f>
        <v>1.3722643036573532E-4</v>
      </c>
      <c r="G197" s="433">
        <f t="shared" si="112"/>
        <v>2.1694921750816109E-4</v>
      </c>
      <c r="H197" s="433">
        <f t="shared" si="112"/>
        <v>3.0353931087764743E-4</v>
      </c>
      <c r="I197" s="433">
        <f t="shared" si="112"/>
        <v>3.9725072697652567E-4</v>
      </c>
      <c r="J197" s="433">
        <f t="shared" si="112"/>
        <v>4.2796858492208021E-4</v>
      </c>
      <c r="K197" s="433">
        <f t="shared" si="112"/>
        <v>7.8011810663850207E-4</v>
      </c>
      <c r="L197" s="433">
        <f t="shared" si="112"/>
        <v>1.8040760322062615E-3</v>
      </c>
      <c r="M197" s="433">
        <f t="shared" si="112"/>
        <v>2.8813867998296241E-3</v>
      </c>
      <c r="N197" s="433">
        <f t="shared" si="112"/>
        <v>4.0226528556836462E-3</v>
      </c>
      <c r="O197" s="433">
        <f t="shared" si="112"/>
        <v>5.2161587253756409E-3</v>
      </c>
      <c r="P197" s="433">
        <f t="shared" si="112"/>
        <v>5.6091488392320827E-3</v>
      </c>
      <c r="Q197" s="433">
        <f t="shared" si="112"/>
        <v>6.7087166989186391E-3</v>
      </c>
      <c r="R197" s="433">
        <f t="shared" si="112"/>
        <v>2.9599344862798797E-2</v>
      </c>
      <c r="S197" s="433">
        <f t="shared" si="112"/>
        <v>5.6487493647624197E-2</v>
      </c>
      <c r="T197" s="433">
        <f t="shared" si="112"/>
        <v>6.3398872372006185E-2</v>
      </c>
      <c r="U197" s="433">
        <f t="shared" si="112"/>
        <v>7.0452117545713011E-2</v>
      </c>
      <c r="V197" s="433">
        <f t="shared" si="112"/>
        <v>7.7631078737293899E-2</v>
      </c>
      <c r="W197" s="433">
        <f t="shared" si="112"/>
        <v>8.4921204185991417E-2</v>
      </c>
      <c r="X197" s="433">
        <f t="shared" si="112"/>
        <v>9.2031929563550885E-2</v>
      </c>
      <c r="Y197" s="433">
        <f t="shared" si="112"/>
        <v>0.12209507663325639</v>
      </c>
      <c r="Z197" s="433">
        <f t="shared" si="112"/>
        <v>0.14558468936665919</v>
      </c>
      <c r="AA197" s="433">
        <f t="shared" si="112"/>
        <v>0.15838189655601276</v>
      </c>
      <c r="AB197" s="433">
        <f t="shared" si="112"/>
        <v>0.17118152610717319</v>
      </c>
      <c r="AC197" s="433">
        <f t="shared" si="112"/>
        <v>0.20969284460378651</v>
      </c>
      <c r="AD197" s="433">
        <f t="shared" si="112"/>
        <v>0.2430929165418349</v>
      </c>
      <c r="AE197" s="433">
        <f t="shared" si="112"/>
        <v>0.26374413744021208</v>
      </c>
      <c r="AF197" s="433">
        <f t="shared" si="112"/>
        <v>0.27263833179349872</v>
      </c>
      <c r="AG197" s="433">
        <f t="shared" si="112"/>
        <v>0.26983518752509272</v>
      </c>
      <c r="AH197" s="433">
        <f t="shared" si="112"/>
        <v>0.2896393642396895</v>
      </c>
      <c r="AI197" s="433">
        <f t="shared" si="112"/>
        <v>0.28453723137964049</v>
      </c>
      <c r="AJ197" s="433">
        <f t="shared" si="112"/>
        <v>0.29299222412987153</v>
      </c>
      <c r="AK197" s="433">
        <f t="shared" si="112"/>
        <v>0.22648947928192831</v>
      </c>
      <c r="AL197" s="433">
        <f t="shared" si="112"/>
        <v>0.24466812033407259</v>
      </c>
      <c r="AM197" s="433"/>
    </row>
    <row r="198" spans="1:39" ht="15.75" customHeight="1" x14ac:dyDescent="0.25">
      <c r="A198" s="194"/>
      <c r="B198" s="194" t="s">
        <v>1146</v>
      </c>
      <c r="C198" s="194"/>
      <c r="D198" s="194"/>
      <c r="E198" s="194"/>
      <c r="F198" s="433">
        <f t="shared" ref="F198:AL198" si="113">SUMIF($B$106:$B$139,$B198,F$106:F$139)</f>
        <v>0</v>
      </c>
      <c r="G198" s="433">
        <f t="shared" si="113"/>
        <v>0</v>
      </c>
      <c r="H198" s="433">
        <f t="shared" si="113"/>
        <v>0</v>
      </c>
      <c r="I198" s="433">
        <f t="shared" si="113"/>
        <v>0</v>
      </c>
      <c r="J198" s="433">
        <f t="shared" si="113"/>
        <v>0</v>
      </c>
      <c r="K198" s="433">
        <f t="shared" si="113"/>
        <v>0</v>
      </c>
      <c r="L198" s="433">
        <f t="shared" si="113"/>
        <v>0</v>
      </c>
      <c r="M198" s="433">
        <f t="shared" si="113"/>
        <v>3.7939036037830295E-4</v>
      </c>
      <c r="N198" s="433">
        <f t="shared" si="113"/>
        <v>7.6818525378716414E-4</v>
      </c>
      <c r="O198" s="433">
        <f t="shared" si="113"/>
        <v>1.1657179727994503E-3</v>
      </c>
      <c r="P198" s="433">
        <f t="shared" si="113"/>
        <v>1.6142289629450435E-3</v>
      </c>
      <c r="Q198" s="433">
        <f t="shared" si="113"/>
        <v>3.6916787697975021E-3</v>
      </c>
      <c r="R198" s="433">
        <f t="shared" si="113"/>
        <v>5.8348546621775797E-3</v>
      </c>
      <c r="S198" s="433">
        <f t="shared" si="113"/>
        <v>8.03130355318501E-3</v>
      </c>
      <c r="T198" s="433">
        <f t="shared" si="113"/>
        <v>1.0296011981757487E-2</v>
      </c>
      <c r="U198" s="433">
        <f t="shared" si="113"/>
        <v>1.2626404141386645E-2</v>
      </c>
      <c r="V198" s="433">
        <f t="shared" si="113"/>
        <v>1.4994885263995329E-2</v>
      </c>
      <c r="W198" s="433">
        <f t="shared" si="113"/>
        <v>1.8594943580956005E-2</v>
      </c>
      <c r="X198" s="433">
        <f t="shared" si="113"/>
        <v>2.1798141380634777E-2</v>
      </c>
      <c r="Y198" s="433">
        <f t="shared" si="113"/>
        <v>2.4704011645659288E-2</v>
      </c>
      <c r="Z198" s="433">
        <f t="shared" si="113"/>
        <v>2.5009924425272202E-2</v>
      </c>
      <c r="AA198" s="433">
        <f t="shared" si="113"/>
        <v>2.8103440741658561E-2</v>
      </c>
      <c r="AB198" s="433">
        <f t="shared" si="113"/>
        <v>2.8064796336974854E-2</v>
      </c>
      <c r="AC198" s="433">
        <f t="shared" si="113"/>
        <v>3.291622731568232E-2</v>
      </c>
      <c r="AD198" s="433">
        <f t="shared" si="113"/>
        <v>3.3998418909244155E-2</v>
      </c>
      <c r="AE198" s="433">
        <f t="shared" si="113"/>
        <v>2.9555532205721966E-2</v>
      </c>
      <c r="AF198" s="433">
        <f t="shared" si="113"/>
        <v>3.4958770262506877E-2</v>
      </c>
      <c r="AG198" s="433">
        <f t="shared" si="113"/>
        <v>3.8176579780623526E-2</v>
      </c>
      <c r="AH198" s="433">
        <f t="shared" si="113"/>
        <v>4.7464848724005429E-2</v>
      </c>
      <c r="AI198" s="433">
        <f t="shared" si="113"/>
        <v>4.7109212911977734E-2</v>
      </c>
      <c r="AJ198" s="433">
        <f t="shared" si="113"/>
        <v>5.1823271361579541E-2</v>
      </c>
      <c r="AK198" s="433">
        <f t="shared" si="113"/>
        <v>5.2603757388206496E-2</v>
      </c>
      <c r="AL198" s="433">
        <f t="shared" si="113"/>
        <v>3.1978508940297724E-2</v>
      </c>
      <c r="AM198" s="433"/>
    </row>
    <row r="199" spans="1:39" ht="15.75" customHeight="1" x14ac:dyDescent="0.25">
      <c r="A199" s="194"/>
      <c r="B199" s="194" t="s">
        <v>1147</v>
      </c>
      <c r="C199" s="194"/>
      <c r="D199" s="194"/>
      <c r="E199" s="194"/>
      <c r="F199" s="433">
        <f t="shared" ref="F199:AL199" si="114">SUMIF($B$106:$B$139,$B199,F$106:F$139)</f>
        <v>4.7932913787858741E-3</v>
      </c>
      <c r="G199" s="433">
        <f t="shared" si="114"/>
        <v>1.0507517401233844E-2</v>
      </c>
      <c r="H199" s="433">
        <f t="shared" si="114"/>
        <v>1.04822675048025E-2</v>
      </c>
      <c r="I199" s="433">
        <f t="shared" si="114"/>
        <v>1.0447719122476235E-2</v>
      </c>
      <c r="J199" s="433">
        <f t="shared" si="114"/>
        <v>2.549206860957904E-2</v>
      </c>
      <c r="K199" s="433">
        <f t="shared" si="114"/>
        <v>0.16687855123325718</v>
      </c>
      <c r="L199" s="433">
        <f t="shared" si="114"/>
        <v>0.19240033618205754</v>
      </c>
      <c r="M199" s="433">
        <f t="shared" si="114"/>
        <v>0.21451840218562684</v>
      </c>
      <c r="N199" s="433">
        <f t="shared" si="114"/>
        <v>0.22606549534672449</v>
      </c>
      <c r="O199" s="433">
        <f t="shared" si="114"/>
        <v>0.2329816317682733</v>
      </c>
      <c r="P199" s="433">
        <f t="shared" si="114"/>
        <v>0.23647867714019255</v>
      </c>
      <c r="Q199" s="433">
        <f t="shared" si="114"/>
        <v>0.22937599191034919</v>
      </c>
      <c r="R199" s="433">
        <f t="shared" si="114"/>
        <v>0.2206502907175944</v>
      </c>
      <c r="S199" s="433">
        <f t="shared" si="114"/>
        <v>0.21161585932235283</v>
      </c>
      <c r="T199" s="433">
        <f t="shared" si="114"/>
        <v>0.20084912890974974</v>
      </c>
      <c r="U199" s="433">
        <f t="shared" si="114"/>
        <v>0.18984323571891032</v>
      </c>
      <c r="V199" s="433">
        <f t="shared" si="114"/>
        <v>0.20215658561011016</v>
      </c>
      <c r="W199" s="433">
        <f t="shared" si="114"/>
        <v>0.21590195043268443</v>
      </c>
      <c r="X199" s="433">
        <f t="shared" si="114"/>
        <v>0.22795655117344543</v>
      </c>
      <c r="Y199" s="433">
        <f t="shared" si="114"/>
        <v>0.25135087203872236</v>
      </c>
      <c r="Z199" s="433">
        <f t="shared" si="114"/>
        <v>0.25094195511468492</v>
      </c>
      <c r="AA199" s="433">
        <f t="shared" si="114"/>
        <v>0.26830525833621999</v>
      </c>
      <c r="AB199" s="433">
        <f t="shared" si="114"/>
        <v>0.28436798808598207</v>
      </c>
      <c r="AC199" s="433">
        <f t="shared" si="114"/>
        <v>0.35876233930785695</v>
      </c>
      <c r="AD199" s="433">
        <f t="shared" si="114"/>
        <v>0.4156129437258862</v>
      </c>
      <c r="AE199" s="433">
        <f t="shared" si="114"/>
        <v>0.41100189620048766</v>
      </c>
      <c r="AF199" s="433">
        <f t="shared" si="114"/>
        <v>0.3607481220033173</v>
      </c>
      <c r="AG199" s="433">
        <f t="shared" si="114"/>
        <v>0.30227159820292487</v>
      </c>
      <c r="AH199" s="433">
        <f t="shared" si="114"/>
        <v>0.29648324875590204</v>
      </c>
      <c r="AI199" s="433">
        <f t="shared" si="114"/>
        <v>0.29611404053570656</v>
      </c>
      <c r="AJ199" s="433">
        <f t="shared" si="114"/>
        <v>0.32784346905913264</v>
      </c>
      <c r="AK199" s="433">
        <f t="shared" si="114"/>
        <v>0.3348863340564267</v>
      </c>
      <c r="AL199" s="433">
        <f t="shared" si="114"/>
        <v>0.34139721980080673</v>
      </c>
      <c r="AM199" s="433"/>
    </row>
    <row r="200" spans="1:39" ht="15.75" customHeight="1" x14ac:dyDescent="0.25">
      <c r="A200" s="194"/>
      <c r="B200" s="194" t="s">
        <v>1142</v>
      </c>
      <c r="C200" s="194"/>
      <c r="D200" s="194"/>
      <c r="E200" s="194"/>
      <c r="F200" s="433">
        <f t="shared" ref="F200:AL200" si="115">SUMIF($B$106:$B$139,$B200,F$106:F$139)</f>
        <v>3.25856290887356E-4</v>
      </c>
      <c r="G200" s="433">
        <f t="shared" si="115"/>
        <v>3.4409102755559266E-4</v>
      </c>
      <c r="H200" s="433">
        <f t="shared" si="115"/>
        <v>2.0730312707477504E-2</v>
      </c>
      <c r="I200" s="433">
        <f t="shared" si="115"/>
        <v>9.3562355982956508E-2</v>
      </c>
      <c r="J200" s="433">
        <f t="shared" si="115"/>
        <v>0.22866200470715806</v>
      </c>
      <c r="K200" s="433">
        <f t="shared" si="115"/>
        <v>0.36930867491034097</v>
      </c>
      <c r="L200" s="433">
        <f t="shared" si="115"/>
        <v>0.54146728450490167</v>
      </c>
      <c r="M200" s="433">
        <f t="shared" si="115"/>
        <v>0.72677927735838188</v>
      </c>
      <c r="N200" s="433">
        <f t="shared" si="115"/>
        <v>0.86627904196468997</v>
      </c>
      <c r="O200" s="433">
        <f t="shared" si="115"/>
        <v>1.0157334897431303</v>
      </c>
      <c r="P200" s="433">
        <f t="shared" si="115"/>
        <v>1.1527393432464652</v>
      </c>
      <c r="Q200" s="433">
        <f t="shared" si="115"/>
        <v>1.2979868198043678</v>
      </c>
      <c r="R200" s="433">
        <f t="shared" si="115"/>
        <v>1.3915934794156202</v>
      </c>
      <c r="S200" s="433">
        <f t="shared" si="115"/>
        <v>1.4740332608979043</v>
      </c>
      <c r="T200" s="433">
        <f t="shared" si="115"/>
        <v>1.5596045318274365</v>
      </c>
      <c r="U200" s="433">
        <f t="shared" si="115"/>
        <v>1.6617594474293085</v>
      </c>
      <c r="V200" s="433">
        <f t="shared" si="115"/>
        <v>1.7743101574387927</v>
      </c>
      <c r="W200" s="433">
        <f t="shared" si="115"/>
        <v>1.8990871867405139</v>
      </c>
      <c r="X200" s="433">
        <f t="shared" si="115"/>
        <v>2.0412769713945651</v>
      </c>
      <c r="Y200" s="433">
        <f t="shared" si="115"/>
        <v>2.0555565947495671</v>
      </c>
      <c r="Z200" s="433">
        <f t="shared" si="115"/>
        <v>1.9088086323183184</v>
      </c>
      <c r="AA200" s="433">
        <f t="shared" si="115"/>
        <v>2.027064277359488</v>
      </c>
      <c r="AB200" s="433">
        <f t="shared" si="115"/>
        <v>2.1586062387404858</v>
      </c>
      <c r="AC200" s="433">
        <f t="shared" si="115"/>
        <v>2.4790721632667898</v>
      </c>
      <c r="AD200" s="433">
        <f t="shared" si="115"/>
        <v>2.8592781988894451</v>
      </c>
      <c r="AE200" s="433">
        <f t="shared" si="115"/>
        <v>2.7432579000069759</v>
      </c>
      <c r="AF200" s="433">
        <f t="shared" si="115"/>
        <v>2.8136879626132751</v>
      </c>
      <c r="AG200" s="433">
        <f t="shared" si="115"/>
        <v>2.3411929418324053</v>
      </c>
      <c r="AH200" s="433">
        <f t="shared" si="115"/>
        <v>2.7255669521833839</v>
      </c>
      <c r="AI200" s="433">
        <f t="shared" si="115"/>
        <v>2.5590146565173648</v>
      </c>
      <c r="AJ200" s="433">
        <f t="shared" si="115"/>
        <v>2.9254401780187158</v>
      </c>
      <c r="AK200" s="433">
        <f t="shared" si="115"/>
        <v>3.1211817621080615</v>
      </c>
      <c r="AL200" s="433">
        <f t="shared" si="115"/>
        <v>3.2307815608647212</v>
      </c>
      <c r="AM200" s="433"/>
    </row>
    <row r="201" spans="1:39" ht="15.75" customHeight="1" x14ac:dyDescent="0.25">
      <c r="A201" s="194"/>
      <c r="B201" s="194" t="s">
        <v>1155</v>
      </c>
      <c r="C201" s="194"/>
      <c r="D201" s="194"/>
      <c r="E201" s="194"/>
      <c r="F201" s="433">
        <f t="shared" ref="F201:AL201" si="116">SUMIF($B$106:$B$139,$B201,F$106:F$139)</f>
        <v>0</v>
      </c>
      <c r="G201" s="433">
        <f t="shared" si="116"/>
        <v>0</v>
      </c>
      <c r="H201" s="433">
        <f t="shared" si="116"/>
        <v>0</v>
      </c>
      <c r="I201" s="433">
        <f t="shared" si="116"/>
        <v>0</v>
      </c>
      <c r="J201" s="433">
        <f t="shared" si="116"/>
        <v>0</v>
      </c>
      <c r="K201" s="433">
        <f t="shared" si="116"/>
        <v>2.8116649602632843E-2</v>
      </c>
      <c r="L201" s="433">
        <f t="shared" si="116"/>
        <v>6.2816343872012043E-2</v>
      </c>
      <c r="M201" s="433">
        <f t="shared" si="116"/>
        <v>6.9620313567138076E-2</v>
      </c>
      <c r="N201" s="433">
        <f t="shared" si="116"/>
        <v>7.0830460770363951E-2</v>
      </c>
      <c r="O201" s="433">
        <f t="shared" si="116"/>
        <v>7.211132976739576E-2</v>
      </c>
      <c r="P201" s="433">
        <f t="shared" si="116"/>
        <v>6.3297960870175599E-2</v>
      </c>
      <c r="Q201" s="433">
        <f t="shared" si="116"/>
        <v>5.4249091285581488E-2</v>
      </c>
      <c r="R201" s="433">
        <f t="shared" si="116"/>
        <v>4.4806655776993345E-2</v>
      </c>
      <c r="S201" s="433">
        <f t="shared" si="116"/>
        <v>3.4852725796843939E-2</v>
      </c>
      <c r="T201" s="433">
        <f t="shared" si="116"/>
        <v>3.5553144697873934E-2</v>
      </c>
      <c r="U201" s="433">
        <f t="shared" si="116"/>
        <v>3.5220594540665708E-2</v>
      </c>
      <c r="V201" s="433">
        <f t="shared" si="116"/>
        <v>3.4780261782482058E-2</v>
      </c>
      <c r="W201" s="433">
        <f t="shared" si="116"/>
        <v>3.4270018946758921E-2</v>
      </c>
      <c r="X201" s="433">
        <f t="shared" si="116"/>
        <v>3.3768027386714611E-2</v>
      </c>
      <c r="Y201" s="433">
        <f t="shared" si="116"/>
        <v>3.334236702262814E-2</v>
      </c>
      <c r="Z201" s="433">
        <f t="shared" si="116"/>
        <v>3.4078139361759671E-2</v>
      </c>
      <c r="AA201" s="433">
        <f t="shared" si="116"/>
        <v>3.4822707394172821E-2</v>
      </c>
      <c r="AB201" s="433">
        <f t="shared" si="116"/>
        <v>3.555866646152727E-2</v>
      </c>
      <c r="AC201" s="433">
        <f t="shared" si="116"/>
        <v>3.6252561779735001E-2</v>
      </c>
      <c r="AD201" s="433">
        <f t="shared" si="116"/>
        <v>3.693340986416873E-2</v>
      </c>
      <c r="AE201" s="433">
        <f t="shared" si="116"/>
        <v>3.7584727472006446E-2</v>
      </c>
      <c r="AF201" s="433">
        <f t="shared" si="116"/>
        <v>3.818836935169434E-2</v>
      </c>
      <c r="AG201" s="433">
        <f t="shared" si="116"/>
        <v>3.8855607694375148E-2</v>
      </c>
      <c r="AH201" s="433">
        <f t="shared" si="116"/>
        <v>3.9534062330073408E-2</v>
      </c>
      <c r="AI201" s="433">
        <f t="shared" si="116"/>
        <v>4.0228918382978436E-2</v>
      </c>
      <c r="AJ201" s="433">
        <f t="shared" si="116"/>
        <v>4.1426934504528709E-2</v>
      </c>
      <c r="AK201" s="433">
        <f t="shared" si="116"/>
        <v>4.2202265468569568E-2</v>
      </c>
      <c r="AL201" s="433">
        <f t="shared" si="116"/>
        <v>4.2821987365809965E-2</v>
      </c>
      <c r="AM201" s="433"/>
    </row>
    <row r="202" spans="1:39" ht="15.75" customHeight="1" x14ac:dyDescent="0.25">
      <c r="A202" s="194"/>
      <c r="B202" s="194"/>
      <c r="C202" s="194"/>
      <c r="D202" s="194"/>
      <c r="E202" s="194"/>
      <c r="F202" s="433"/>
      <c r="G202" s="433"/>
      <c r="H202" s="433"/>
      <c r="I202" s="433"/>
      <c r="J202" s="433"/>
      <c r="K202" s="433"/>
      <c r="L202" s="433"/>
      <c r="M202" s="433"/>
      <c r="N202" s="433"/>
      <c r="O202" s="433"/>
      <c r="P202" s="433"/>
      <c r="Q202" s="433"/>
      <c r="R202" s="433"/>
      <c r="S202" s="433"/>
      <c r="T202" s="433"/>
      <c r="U202" s="433"/>
      <c r="V202" s="433"/>
      <c r="W202" s="433"/>
      <c r="X202" s="433"/>
      <c r="Y202" s="433"/>
      <c r="Z202" s="433"/>
      <c r="AA202" s="433"/>
      <c r="AB202" s="433"/>
      <c r="AC202" s="433"/>
      <c r="AD202" s="433"/>
      <c r="AE202" s="433"/>
      <c r="AF202" s="433"/>
      <c r="AG202" s="433"/>
      <c r="AH202" s="433"/>
      <c r="AI202" s="433"/>
      <c r="AJ202" s="433"/>
      <c r="AK202" s="433"/>
      <c r="AL202" s="433"/>
      <c r="AM202" s="433"/>
    </row>
    <row r="203" spans="1:39" ht="15.75" customHeight="1" x14ac:dyDescent="0.25">
      <c r="A203" s="194"/>
      <c r="B203" s="194" t="s">
        <v>1217</v>
      </c>
      <c r="C203" s="194"/>
      <c r="D203" s="194"/>
      <c r="E203" s="194"/>
      <c r="F203" s="433">
        <f t="shared" ref="F203:AL203" si="117">SUM(F196:F201)</f>
        <v>5.2563741000389652E-3</v>
      </c>
      <c r="G203" s="433">
        <f t="shared" si="117"/>
        <v>1.1068557646297598E-2</v>
      </c>
      <c r="H203" s="433">
        <f t="shared" si="117"/>
        <v>3.1516119523157651E-2</v>
      </c>
      <c r="I203" s="433">
        <f t="shared" si="117"/>
        <v>0.10440732583240928</v>
      </c>
      <c r="J203" s="433">
        <f t="shared" si="117"/>
        <v>0.25466245726175529</v>
      </c>
      <c r="K203" s="433">
        <f t="shared" si="117"/>
        <v>0.56577120596727482</v>
      </c>
      <c r="L203" s="433">
        <f t="shared" si="117"/>
        <v>0.80017698659459757</v>
      </c>
      <c r="M203" s="433">
        <f t="shared" si="117"/>
        <v>1.0175847954752595</v>
      </c>
      <c r="N203" s="433">
        <f t="shared" si="117"/>
        <v>1.1737001858386176</v>
      </c>
      <c r="O203" s="433">
        <f t="shared" si="117"/>
        <v>1.3361797354230962</v>
      </c>
      <c r="P203" s="433">
        <f t="shared" si="117"/>
        <v>1.4718983344493015</v>
      </c>
      <c r="Q203" s="433">
        <f t="shared" si="117"/>
        <v>1.6073244786312033</v>
      </c>
      <c r="R203" s="433">
        <f t="shared" si="117"/>
        <v>1.7108987634270376</v>
      </c>
      <c r="S203" s="433">
        <f t="shared" si="117"/>
        <v>1.8058436475285418</v>
      </c>
      <c r="T203" s="433">
        <f t="shared" si="117"/>
        <v>1.892721895058693</v>
      </c>
      <c r="U203" s="433">
        <f t="shared" si="117"/>
        <v>1.9948847399615834</v>
      </c>
      <c r="V203" s="433">
        <f t="shared" si="117"/>
        <v>2.1307508309377847</v>
      </c>
      <c r="W203" s="433">
        <f t="shared" si="117"/>
        <v>2.2814755510324991</v>
      </c>
      <c r="X203" s="433">
        <f t="shared" si="117"/>
        <v>2.4473334774856652</v>
      </c>
      <c r="Y203" s="433">
        <f t="shared" si="117"/>
        <v>2.5187090935170882</v>
      </c>
      <c r="Z203" s="433">
        <f t="shared" si="117"/>
        <v>2.3978301768163894</v>
      </c>
      <c r="AA203" s="433">
        <f t="shared" si="117"/>
        <v>2.552167680655177</v>
      </c>
      <c r="AB203" s="433">
        <f t="shared" si="117"/>
        <v>2.7154732481480219</v>
      </c>
      <c r="AC203" s="433">
        <f t="shared" si="117"/>
        <v>3.156354711172169</v>
      </c>
      <c r="AD203" s="433">
        <f t="shared" si="117"/>
        <v>3.6312493039771216</v>
      </c>
      <c r="AE203" s="433">
        <f t="shared" si="117"/>
        <v>3.5286886623681863</v>
      </c>
      <c r="AF203" s="433">
        <f t="shared" si="117"/>
        <v>3.5661160213958789</v>
      </c>
      <c r="AG203" s="433">
        <f t="shared" si="117"/>
        <v>3.0367418776947352</v>
      </c>
      <c r="AH203" s="433">
        <f t="shared" si="117"/>
        <v>3.4474360315304891</v>
      </c>
      <c r="AI203" s="433">
        <f t="shared" si="117"/>
        <v>3.2765171603909029</v>
      </c>
      <c r="AJ203" s="433">
        <f t="shared" si="117"/>
        <v>3.6913250382622378</v>
      </c>
      <c r="AK203" s="433">
        <f t="shared" si="117"/>
        <v>3.8302795167101009</v>
      </c>
      <c r="AL203" s="433">
        <f t="shared" si="117"/>
        <v>3.945516056452361</v>
      </c>
      <c r="AM203" s="433"/>
    </row>
    <row r="204" spans="1:39" ht="15.75" customHeight="1" x14ac:dyDescent="0.25">
      <c r="A204" s="194"/>
      <c r="B204" s="194"/>
      <c r="C204" s="194"/>
      <c r="D204" s="194"/>
      <c r="E204" s="194"/>
      <c r="F204" s="194"/>
      <c r="G204" s="194"/>
      <c r="H204" s="194"/>
      <c r="I204" s="194"/>
      <c r="J204" s="194"/>
      <c r="K204" s="194"/>
      <c r="L204" s="194"/>
      <c r="M204" s="194"/>
      <c r="N204" s="194"/>
      <c r="O204" s="194"/>
      <c r="P204" s="194"/>
      <c r="Q204" s="194"/>
      <c r="R204" s="194"/>
      <c r="S204" s="194"/>
      <c r="T204" s="194"/>
      <c r="U204" s="194"/>
      <c r="V204" s="194"/>
      <c r="W204" s="194"/>
      <c r="X204" s="194"/>
      <c r="Y204" s="194"/>
      <c r="Z204" s="194"/>
      <c r="AA204" s="194"/>
      <c r="AB204" s="194"/>
      <c r="AC204" s="194"/>
      <c r="AD204" s="194"/>
      <c r="AE204" s="194"/>
      <c r="AF204" s="194"/>
      <c r="AG204" s="194"/>
      <c r="AH204" s="194"/>
      <c r="AI204" s="194"/>
      <c r="AJ204" s="194"/>
      <c r="AK204" s="194"/>
      <c r="AL204" s="194"/>
      <c r="AM204" s="194"/>
    </row>
    <row r="205" spans="1:39" ht="15.75" customHeight="1" x14ac:dyDescent="0.25">
      <c r="A205" s="194"/>
      <c r="B205" s="194"/>
      <c r="C205" s="194"/>
      <c r="D205" s="194"/>
      <c r="E205" s="194"/>
      <c r="F205" s="194"/>
      <c r="G205" s="194"/>
      <c r="H205" s="194"/>
      <c r="I205" s="194"/>
      <c r="J205" s="194"/>
      <c r="K205" s="194"/>
      <c r="L205" s="194"/>
      <c r="M205" s="194"/>
      <c r="N205" s="194"/>
      <c r="O205" s="194"/>
      <c r="P205" s="194"/>
      <c r="Q205" s="194"/>
      <c r="R205" s="194"/>
      <c r="S205" s="194"/>
      <c r="T205" s="194"/>
      <c r="U205" s="194"/>
      <c r="V205" s="194"/>
      <c r="W205" s="194"/>
      <c r="X205" s="194"/>
      <c r="Y205" s="194"/>
      <c r="Z205" s="194"/>
      <c r="AA205" s="194"/>
      <c r="AB205" s="194"/>
      <c r="AC205" s="194"/>
      <c r="AD205" s="194"/>
      <c r="AE205" s="194"/>
      <c r="AF205" s="194"/>
      <c r="AG205" s="194"/>
      <c r="AH205" s="194"/>
      <c r="AI205" s="194"/>
      <c r="AJ205" s="194"/>
      <c r="AK205" s="194"/>
      <c r="AL205" s="194"/>
      <c r="AM205" s="194"/>
    </row>
    <row r="206" spans="1:39" ht="15.75" customHeight="1" x14ac:dyDescent="0.25">
      <c r="A206" s="194"/>
      <c r="B206" s="194"/>
      <c r="C206" s="194"/>
      <c r="D206" s="194"/>
      <c r="E206" s="194"/>
      <c r="F206" s="194"/>
      <c r="G206" s="194"/>
      <c r="H206" s="194"/>
      <c r="I206" s="194"/>
      <c r="J206" s="194"/>
      <c r="K206" s="194"/>
      <c r="L206" s="194"/>
      <c r="M206" s="194"/>
      <c r="N206" s="194"/>
      <c r="O206" s="194"/>
      <c r="P206" s="194"/>
      <c r="Q206" s="194"/>
      <c r="R206" s="194"/>
      <c r="S206" s="194"/>
      <c r="T206" s="194"/>
      <c r="U206" s="194"/>
      <c r="V206" s="194"/>
      <c r="W206" s="194"/>
      <c r="X206" s="194"/>
      <c r="Y206" s="194"/>
      <c r="Z206" s="194"/>
      <c r="AA206" s="194"/>
      <c r="AB206" s="194"/>
      <c r="AC206" s="194"/>
      <c r="AD206" s="194"/>
      <c r="AE206" s="194"/>
      <c r="AF206" s="194"/>
      <c r="AG206" s="194"/>
      <c r="AH206" s="194"/>
      <c r="AI206" s="194"/>
      <c r="AJ206" s="194"/>
      <c r="AK206" s="194"/>
      <c r="AL206" s="194"/>
      <c r="AM206" s="194"/>
    </row>
    <row r="207" spans="1:39" ht="15.75" customHeight="1" x14ac:dyDescent="0.25">
      <c r="A207" s="194"/>
      <c r="B207" s="194"/>
      <c r="C207" s="194"/>
      <c r="D207" s="194"/>
      <c r="E207" s="194"/>
      <c r="F207" s="194"/>
      <c r="G207" s="194"/>
      <c r="H207" s="194"/>
      <c r="I207" s="194"/>
      <c r="J207" s="194"/>
      <c r="K207" s="194"/>
      <c r="L207" s="194"/>
      <c r="M207" s="194"/>
      <c r="N207" s="194"/>
      <c r="O207" s="194"/>
      <c r="P207" s="194"/>
      <c r="Q207" s="194"/>
      <c r="R207" s="194"/>
      <c r="S207" s="194"/>
      <c r="T207" s="194"/>
      <c r="U207" s="194"/>
      <c r="V207" s="194"/>
      <c r="W207" s="194"/>
      <c r="X207" s="194"/>
      <c r="Y207" s="194"/>
      <c r="Z207" s="194"/>
      <c r="AA207" s="194"/>
      <c r="AB207" s="194"/>
      <c r="AC207" s="194"/>
      <c r="AD207" s="194"/>
      <c r="AE207" s="194"/>
      <c r="AF207" s="194"/>
      <c r="AG207" s="194"/>
      <c r="AH207" s="194"/>
      <c r="AI207" s="194"/>
      <c r="AJ207" s="194"/>
      <c r="AK207" s="194"/>
      <c r="AL207" s="194"/>
      <c r="AM207" s="194"/>
    </row>
    <row r="208" spans="1:39" ht="15.75" customHeight="1" x14ac:dyDescent="0.25">
      <c r="A208" s="194"/>
      <c r="B208" s="194"/>
      <c r="C208" s="194"/>
      <c r="D208" s="194"/>
      <c r="E208" s="194"/>
      <c r="F208" s="194"/>
      <c r="G208" s="194"/>
      <c r="H208" s="194"/>
      <c r="I208" s="194"/>
      <c r="J208" s="194"/>
      <c r="K208" s="194"/>
      <c r="L208" s="194"/>
      <c r="M208" s="194"/>
      <c r="N208" s="194"/>
      <c r="O208" s="194"/>
      <c r="P208" s="194"/>
      <c r="Q208" s="194"/>
      <c r="R208" s="194"/>
      <c r="S208" s="194"/>
      <c r="T208" s="194"/>
      <c r="U208" s="194"/>
      <c r="V208" s="194"/>
      <c r="W208" s="194"/>
      <c r="X208" s="194"/>
      <c r="Y208" s="194"/>
      <c r="Z208" s="194"/>
      <c r="AA208" s="194"/>
      <c r="AB208" s="194"/>
      <c r="AC208" s="194"/>
      <c r="AD208" s="194"/>
      <c r="AE208" s="194"/>
      <c r="AF208" s="194"/>
      <c r="AG208" s="194"/>
      <c r="AH208" s="194"/>
      <c r="AI208" s="194"/>
      <c r="AJ208" s="194"/>
      <c r="AK208" s="194"/>
      <c r="AL208" s="194"/>
      <c r="AM208" s="194"/>
    </row>
    <row r="209" spans="1:39" ht="15.75" customHeight="1" x14ac:dyDescent="0.25">
      <c r="A209" s="194"/>
      <c r="B209" s="194"/>
      <c r="C209" s="194"/>
      <c r="D209" s="194"/>
      <c r="E209" s="194"/>
      <c r="F209" s="194"/>
      <c r="G209" s="194"/>
      <c r="H209" s="194"/>
      <c r="I209" s="194"/>
      <c r="J209" s="194"/>
      <c r="K209" s="194"/>
      <c r="L209" s="194"/>
      <c r="M209" s="194"/>
      <c r="N209" s="194"/>
      <c r="O209" s="194"/>
      <c r="P209" s="194"/>
      <c r="Q209" s="194"/>
      <c r="R209" s="194"/>
      <c r="S209" s="194"/>
      <c r="T209" s="194"/>
      <c r="U209" s="194"/>
      <c r="V209" s="194"/>
      <c r="W209" s="194"/>
      <c r="X209" s="194"/>
      <c r="Y209" s="194"/>
      <c r="Z209" s="194"/>
      <c r="AA209" s="194"/>
      <c r="AB209" s="194"/>
      <c r="AC209" s="194"/>
      <c r="AD209" s="194"/>
      <c r="AE209" s="194"/>
      <c r="AF209" s="194"/>
      <c r="AG209" s="194"/>
      <c r="AH209" s="194"/>
      <c r="AI209" s="194"/>
      <c r="AJ209" s="194"/>
      <c r="AK209" s="194"/>
      <c r="AL209" s="194"/>
      <c r="AM209" s="194"/>
    </row>
    <row r="210" spans="1:39" ht="15.75" customHeight="1" x14ac:dyDescent="0.25">
      <c r="A210" s="194"/>
      <c r="B210" s="194"/>
      <c r="C210" s="194"/>
      <c r="D210" s="194"/>
      <c r="E210" s="194"/>
      <c r="F210" s="194"/>
      <c r="G210" s="194"/>
      <c r="H210" s="194"/>
      <c r="I210" s="194"/>
      <c r="J210" s="194"/>
      <c r="K210" s="194"/>
      <c r="L210" s="194"/>
      <c r="M210" s="194"/>
      <c r="N210" s="194"/>
      <c r="O210" s="194"/>
      <c r="P210" s="194"/>
      <c r="Q210" s="194"/>
      <c r="R210" s="194"/>
      <c r="S210" s="194"/>
      <c r="T210" s="194"/>
      <c r="U210" s="194"/>
      <c r="V210" s="194"/>
      <c r="W210" s="194"/>
      <c r="X210" s="194"/>
      <c r="Y210" s="194"/>
      <c r="Z210" s="194"/>
      <c r="AA210" s="194"/>
      <c r="AB210" s="194"/>
      <c r="AC210" s="194"/>
      <c r="AD210" s="194"/>
      <c r="AE210" s="194"/>
      <c r="AF210" s="194"/>
      <c r="AG210" s="194"/>
      <c r="AH210" s="194"/>
      <c r="AI210" s="194"/>
      <c r="AJ210" s="194"/>
      <c r="AK210" s="194"/>
      <c r="AL210" s="194"/>
      <c r="AM210" s="194"/>
    </row>
    <row r="211" spans="1:39" ht="15.75" customHeight="1" x14ac:dyDescent="0.25">
      <c r="A211" s="194"/>
      <c r="B211" s="194"/>
      <c r="C211" s="194"/>
      <c r="D211" s="194"/>
      <c r="E211" s="194"/>
      <c r="F211" s="194"/>
      <c r="G211" s="194"/>
      <c r="H211" s="194"/>
      <c r="I211" s="194"/>
      <c r="J211" s="194"/>
      <c r="K211" s="194"/>
      <c r="L211" s="194"/>
      <c r="M211" s="194"/>
      <c r="N211" s="194"/>
      <c r="O211" s="194"/>
      <c r="P211" s="194"/>
      <c r="Q211" s="194"/>
      <c r="R211" s="194"/>
      <c r="S211" s="194"/>
      <c r="T211" s="194"/>
      <c r="U211" s="194"/>
      <c r="V211" s="194"/>
      <c r="W211" s="194"/>
      <c r="X211" s="194"/>
      <c r="Y211" s="194"/>
      <c r="Z211" s="194"/>
      <c r="AA211" s="194"/>
      <c r="AB211" s="194"/>
      <c r="AC211" s="194"/>
      <c r="AD211" s="194"/>
      <c r="AE211" s="194"/>
      <c r="AF211" s="194"/>
      <c r="AG211" s="194"/>
      <c r="AH211" s="194"/>
      <c r="AI211" s="194"/>
      <c r="AJ211" s="194"/>
      <c r="AK211" s="194"/>
      <c r="AL211" s="194"/>
      <c r="AM211" s="194"/>
    </row>
    <row r="212" spans="1:39" ht="15.75" customHeight="1" x14ac:dyDescent="0.25">
      <c r="A212" s="194"/>
      <c r="B212" s="194"/>
      <c r="C212" s="194"/>
      <c r="D212" s="194"/>
      <c r="E212" s="194"/>
      <c r="F212" s="194"/>
      <c r="G212" s="194"/>
      <c r="H212" s="194"/>
      <c r="I212" s="194"/>
      <c r="J212" s="194"/>
      <c r="K212" s="194"/>
      <c r="L212" s="194"/>
      <c r="M212" s="194"/>
      <c r="N212" s="194"/>
      <c r="O212" s="194"/>
      <c r="P212" s="194"/>
      <c r="Q212" s="194"/>
      <c r="R212" s="194"/>
      <c r="S212" s="194"/>
      <c r="T212" s="194"/>
      <c r="U212" s="194"/>
      <c r="V212" s="194"/>
      <c r="W212" s="194"/>
      <c r="X212" s="194"/>
      <c r="Y212" s="194"/>
      <c r="Z212" s="194"/>
      <c r="AA212" s="194"/>
      <c r="AB212" s="194"/>
      <c r="AC212" s="194"/>
      <c r="AD212" s="194"/>
      <c r="AE212" s="194"/>
      <c r="AF212" s="194"/>
      <c r="AG212" s="194"/>
      <c r="AH212" s="194"/>
      <c r="AI212" s="194"/>
      <c r="AJ212" s="194"/>
      <c r="AK212" s="194"/>
      <c r="AL212" s="194"/>
      <c r="AM212" s="194"/>
    </row>
    <row r="213" spans="1:39" ht="15.75" customHeight="1" x14ac:dyDescent="0.25">
      <c r="A213" s="194"/>
      <c r="B213" s="194"/>
      <c r="C213" s="194"/>
      <c r="D213" s="194"/>
      <c r="E213" s="194"/>
      <c r="F213" s="194"/>
      <c r="G213" s="194"/>
      <c r="H213" s="194"/>
      <c r="I213" s="194"/>
      <c r="J213" s="194"/>
      <c r="K213" s="194"/>
      <c r="L213" s="194"/>
      <c r="M213" s="194"/>
      <c r="N213" s="194"/>
      <c r="O213" s="194"/>
      <c r="P213" s="194"/>
      <c r="Q213" s="194"/>
      <c r="R213" s="194"/>
      <c r="S213" s="194"/>
      <c r="T213" s="194"/>
      <c r="U213" s="194"/>
      <c r="V213" s="194"/>
      <c r="W213" s="194"/>
      <c r="X213" s="194"/>
      <c r="Y213" s="194"/>
      <c r="Z213" s="194"/>
      <c r="AA213" s="194"/>
      <c r="AB213" s="194"/>
      <c r="AC213" s="194"/>
      <c r="AD213" s="194"/>
      <c r="AE213" s="194"/>
      <c r="AF213" s="194"/>
      <c r="AG213" s="194"/>
      <c r="AH213" s="194"/>
      <c r="AI213" s="194"/>
      <c r="AJ213" s="194"/>
      <c r="AK213" s="194"/>
      <c r="AL213" s="194"/>
      <c r="AM213" s="194"/>
    </row>
    <row r="214" spans="1:39" ht="15.75" customHeight="1" x14ac:dyDescent="0.25">
      <c r="A214" s="194"/>
      <c r="B214" s="194"/>
      <c r="C214" s="194"/>
      <c r="D214" s="194"/>
      <c r="E214" s="194"/>
      <c r="F214" s="194"/>
      <c r="G214" s="194"/>
      <c r="H214" s="194"/>
      <c r="I214" s="194"/>
      <c r="J214" s="194"/>
      <c r="K214" s="194"/>
      <c r="L214" s="194"/>
      <c r="M214" s="194"/>
      <c r="N214" s="194"/>
      <c r="O214" s="194"/>
      <c r="P214" s="194"/>
      <c r="Q214" s="194"/>
      <c r="R214" s="194"/>
      <c r="S214" s="194"/>
      <c r="T214" s="194"/>
      <c r="U214" s="194"/>
      <c r="V214" s="194"/>
      <c r="W214" s="194"/>
      <c r="X214" s="194"/>
      <c r="Y214" s="194"/>
      <c r="Z214" s="194"/>
      <c r="AA214" s="194"/>
      <c r="AB214" s="194"/>
      <c r="AC214" s="194"/>
      <c r="AD214" s="194"/>
      <c r="AE214" s="194"/>
      <c r="AF214" s="194"/>
      <c r="AG214" s="194"/>
      <c r="AH214" s="194"/>
      <c r="AI214" s="194"/>
      <c r="AJ214" s="194"/>
      <c r="AK214" s="194"/>
      <c r="AL214" s="194"/>
      <c r="AM214" s="194"/>
    </row>
    <row r="215" spans="1:39" ht="15.75" customHeight="1" x14ac:dyDescent="0.25">
      <c r="A215" s="194"/>
      <c r="B215" s="194"/>
      <c r="C215" s="194"/>
      <c r="D215" s="194"/>
      <c r="E215" s="194"/>
      <c r="F215" s="194"/>
      <c r="G215" s="194"/>
      <c r="H215" s="194"/>
      <c r="I215" s="194"/>
      <c r="J215" s="194"/>
      <c r="K215" s="194"/>
      <c r="L215" s="194"/>
      <c r="M215" s="194"/>
      <c r="N215" s="194"/>
      <c r="O215" s="194"/>
      <c r="P215" s="194"/>
      <c r="Q215" s="194"/>
      <c r="R215" s="194"/>
      <c r="S215" s="194"/>
      <c r="T215" s="194"/>
      <c r="U215" s="194"/>
      <c r="V215" s="194"/>
      <c r="W215" s="194"/>
      <c r="X215" s="194"/>
      <c r="Y215" s="194"/>
      <c r="Z215" s="194"/>
      <c r="AA215" s="194"/>
      <c r="AB215" s="194"/>
      <c r="AC215" s="194"/>
      <c r="AD215" s="194"/>
      <c r="AE215" s="194"/>
      <c r="AF215" s="194"/>
      <c r="AG215" s="194"/>
      <c r="AH215" s="194"/>
      <c r="AI215" s="194"/>
      <c r="AJ215" s="194"/>
      <c r="AK215" s="194"/>
      <c r="AL215" s="194"/>
      <c r="AM215" s="194"/>
    </row>
    <row r="216" spans="1:39" ht="15.75" customHeight="1" x14ac:dyDescent="0.25">
      <c r="A216" s="194"/>
      <c r="B216" s="194"/>
      <c r="C216" s="194"/>
      <c r="D216" s="194"/>
      <c r="E216" s="194"/>
      <c r="F216" s="194"/>
      <c r="G216" s="194"/>
      <c r="H216" s="194"/>
      <c r="I216" s="194"/>
      <c r="J216" s="194"/>
      <c r="K216" s="194"/>
      <c r="L216" s="194"/>
      <c r="M216" s="194"/>
      <c r="N216" s="194"/>
      <c r="O216" s="194"/>
      <c r="P216" s="194"/>
      <c r="Q216" s="194"/>
      <c r="R216" s="194"/>
      <c r="S216" s="194"/>
      <c r="T216" s="194"/>
      <c r="U216" s="194"/>
      <c r="V216" s="194"/>
      <c r="W216" s="194"/>
      <c r="X216" s="194"/>
      <c r="Y216" s="194"/>
      <c r="Z216" s="194"/>
      <c r="AA216" s="194"/>
      <c r="AB216" s="194"/>
      <c r="AC216" s="194"/>
      <c r="AD216" s="194"/>
      <c r="AE216" s="194"/>
      <c r="AF216" s="194"/>
      <c r="AG216" s="194"/>
      <c r="AH216" s="194"/>
      <c r="AI216" s="194"/>
      <c r="AJ216" s="194"/>
      <c r="AK216" s="194"/>
      <c r="AL216" s="194"/>
      <c r="AM216" s="194"/>
    </row>
    <row r="217" spans="1:39" ht="15.75" customHeight="1" x14ac:dyDescent="0.25">
      <c r="A217" s="194"/>
      <c r="B217" s="194"/>
      <c r="C217" s="194"/>
      <c r="D217" s="194"/>
      <c r="E217" s="194"/>
      <c r="F217" s="194"/>
      <c r="G217" s="194"/>
      <c r="H217" s="194"/>
      <c r="I217" s="194"/>
      <c r="J217" s="194"/>
      <c r="K217" s="194"/>
      <c r="L217" s="194"/>
      <c r="M217" s="194"/>
      <c r="N217" s="194"/>
      <c r="O217" s="194"/>
      <c r="P217" s="194"/>
      <c r="Q217" s="194"/>
      <c r="R217" s="194"/>
      <c r="S217" s="194"/>
      <c r="T217" s="194"/>
      <c r="U217" s="194"/>
      <c r="V217" s="194"/>
      <c r="W217" s="194"/>
      <c r="X217" s="194"/>
      <c r="Y217" s="194"/>
      <c r="Z217" s="194"/>
      <c r="AA217" s="194"/>
      <c r="AB217" s="194"/>
      <c r="AC217" s="194"/>
      <c r="AD217" s="194"/>
      <c r="AE217" s="194"/>
      <c r="AF217" s="194"/>
      <c r="AG217" s="194"/>
      <c r="AH217" s="194"/>
      <c r="AI217" s="194"/>
      <c r="AJ217" s="194"/>
      <c r="AK217" s="194"/>
      <c r="AL217" s="194"/>
      <c r="AM217" s="194"/>
    </row>
    <row r="218" spans="1:39" ht="15.75" customHeight="1" x14ac:dyDescent="0.25">
      <c r="A218" s="194"/>
      <c r="B218" s="194"/>
      <c r="C218" s="194"/>
      <c r="D218" s="194"/>
      <c r="E218" s="194"/>
      <c r="F218" s="194"/>
      <c r="G218" s="194"/>
      <c r="H218" s="194"/>
      <c r="I218" s="194"/>
      <c r="J218" s="194"/>
      <c r="K218" s="194"/>
      <c r="L218" s="194"/>
      <c r="M218" s="194"/>
      <c r="N218" s="194"/>
      <c r="O218" s="194"/>
      <c r="P218" s="194"/>
      <c r="Q218" s="194"/>
      <c r="R218" s="194"/>
      <c r="S218" s="194"/>
      <c r="T218" s="194"/>
      <c r="U218" s="194"/>
      <c r="V218" s="194"/>
      <c r="W218" s="194"/>
      <c r="X218" s="194"/>
      <c r="Y218" s="194"/>
      <c r="Z218" s="194"/>
      <c r="AA218" s="194"/>
      <c r="AB218" s="194"/>
      <c r="AC218" s="194"/>
      <c r="AD218" s="194"/>
      <c r="AE218" s="194"/>
      <c r="AF218" s="194"/>
      <c r="AG218" s="194"/>
      <c r="AH218" s="194"/>
      <c r="AI218" s="194"/>
      <c r="AJ218" s="194"/>
      <c r="AK218" s="194"/>
      <c r="AL218" s="194"/>
      <c r="AM218" s="194"/>
    </row>
    <row r="219" spans="1:39" ht="15.75" customHeight="1" x14ac:dyDescent="0.25">
      <c r="A219" s="194"/>
      <c r="B219" s="194"/>
      <c r="C219" s="194"/>
      <c r="D219" s="194"/>
      <c r="E219" s="194"/>
      <c r="F219" s="194"/>
      <c r="G219" s="194"/>
      <c r="H219" s="194"/>
      <c r="I219" s="194"/>
      <c r="J219" s="194"/>
      <c r="K219" s="194"/>
      <c r="L219" s="194"/>
      <c r="M219" s="194"/>
      <c r="N219" s="194"/>
      <c r="O219" s="194"/>
      <c r="P219" s="194"/>
      <c r="Q219" s="194"/>
      <c r="R219" s="194"/>
      <c r="S219" s="194"/>
      <c r="T219" s="194"/>
      <c r="U219" s="194"/>
      <c r="V219" s="194"/>
      <c r="W219" s="194"/>
      <c r="X219" s="194"/>
      <c r="Y219" s="194"/>
      <c r="Z219" s="194"/>
      <c r="AA219" s="194"/>
      <c r="AB219" s="194"/>
      <c r="AC219" s="194"/>
      <c r="AD219" s="194"/>
      <c r="AE219" s="194"/>
      <c r="AF219" s="194"/>
      <c r="AG219" s="194"/>
      <c r="AH219" s="194"/>
      <c r="AI219" s="194"/>
      <c r="AJ219" s="194"/>
      <c r="AK219" s="194"/>
      <c r="AL219" s="194"/>
      <c r="AM219" s="194"/>
    </row>
    <row r="220" spans="1:39" ht="15.75" customHeight="1" x14ac:dyDescent="0.25">
      <c r="A220" s="194"/>
      <c r="B220" s="194"/>
      <c r="C220" s="194"/>
      <c r="D220" s="194"/>
      <c r="E220" s="194"/>
      <c r="F220" s="194"/>
      <c r="G220" s="194"/>
      <c r="H220" s="194"/>
      <c r="I220" s="194"/>
      <c r="J220" s="194"/>
      <c r="K220" s="194"/>
      <c r="L220" s="194"/>
      <c r="M220" s="194"/>
      <c r="N220" s="194"/>
      <c r="O220" s="194"/>
      <c r="P220" s="194"/>
      <c r="Q220" s="194"/>
      <c r="R220" s="194"/>
      <c r="S220" s="194"/>
      <c r="T220" s="194"/>
      <c r="U220" s="194"/>
      <c r="V220" s="194"/>
      <c r="W220" s="194"/>
      <c r="X220" s="194"/>
      <c r="Y220" s="194"/>
      <c r="Z220" s="194"/>
      <c r="AA220" s="194"/>
      <c r="AB220" s="194"/>
      <c r="AC220" s="194"/>
      <c r="AD220" s="194"/>
      <c r="AE220" s="194"/>
      <c r="AF220" s="194"/>
      <c r="AG220" s="194"/>
      <c r="AH220" s="194"/>
      <c r="AI220" s="194"/>
      <c r="AJ220" s="194"/>
      <c r="AK220" s="194"/>
      <c r="AL220" s="194"/>
      <c r="AM220" s="194"/>
    </row>
    <row r="221" spans="1:39" ht="15.75" customHeight="1" x14ac:dyDescent="0.25">
      <c r="A221" s="194"/>
      <c r="B221" s="194"/>
      <c r="C221" s="194"/>
      <c r="D221" s="194"/>
      <c r="E221" s="194"/>
      <c r="F221" s="194"/>
      <c r="G221" s="194"/>
      <c r="H221" s="194"/>
      <c r="I221" s="194"/>
      <c r="J221" s="194"/>
      <c r="K221" s="194"/>
      <c r="L221" s="194"/>
      <c r="M221" s="194"/>
      <c r="N221" s="194"/>
      <c r="O221" s="194"/>
      <c r="P221" s="194"/>
      <c r="Q221" s="194"/>
      <c r="R221" s="194"/>
      <c r="S221" s="194"/>
      <c r="T221" s="194"/>
      <c r="U221" s="194"/>
      <c r="V221" s="194"/>
      <c r="W221" s="194"/>
      <c r="X221" s="194"/>
      <c r="Y221" s="194"/>
      <c r="Z221" s="194"/>
      <c r="AA221" s="194"/>
      <c r="AB221" s="194"/>
      <c r="AC221" s="194"/>
      <c r="AD221" s="194"/>
      <c r="AE221" s="194"/>
      <c r="AF221" s="194"/>
      <c r="AG221" s="194"/>
      <c r="AH221" s="194"/>
      <c r="AI221" s="194"/>
      <c r="AJ221" s="194"/>
      <c r="AK221" s="194"/>
      <c r="AL221" s="194"/>
      <c r="AM221" s="194"/>
    </row>
    <row r="222" spans="1:39" ht="15.75" customHeight="1" x14ac:dyDescent="0.25">
      <c r="A222" s="194"/>
      <c r="B222" s="194"/>
      <c r="C222" s="194"/>
      <c r="D222" s="194"/>
      <c r="E222" s="194"/>
      <c r="F222" s="194"/>
      <c r="G222" s="194"/>
      <c r="H222" s="194"/>
      <c r="I222" s="194"/>
      <c r="J222" s="194"/>
      <c r="K222" s="194"/>
      <c r="L222" s="194"/>
      <c r="M222" s="194"/>
      <c r="N222" s="194"/>
      <c r="O222" s="194"/>
      <c r="P222" s="194"/>
      <c r="Q222" s="194"/>
      <c r="R222" s="194"/>
      <c r="S222" s="194"/>
      <c r="T222" s="194"/>
      <c r="U222" s="194"/>
      <c r="V222" s="194"/>
      <c r="W222" s="194"/>
      <c r="X222" s="194"/>
      <c r="Y222" s="194"/>
      <c r="Z222" s="194"/>
      <c r="AA222" s="194"/>
      <c r="AB222" s="194"/>
      <c r="AC222" s="194"/>
      <c r="AD222" s="194"/>
      <c r="AE222" s="194"/>
      <c r="AF222" s="194"/>
      <c r="AG222" s="194"/>
      <c r="AH222" s="194"/>
      <c r="AI222" s="194"/>
      <c r="AJ222" s="194"/>
      <c r="AK222" s="194"/>
      <c r="AL222" s="194"/>
      <c r="AM222" s="194"/>
    </row>
    <row r="223" spans="1:39" ht="15.75" customHeight="1" x14ac:dyDescent="0.25">
      <c r="A223" s="194"/>
      <c r="B223" s="194"/>
      <c r="C223" s="194"/>
      <c r="D223" s="194"/>
      <c r="E223" s="194"/>
      <c r="F223" s="194"/>
      <c r="G223" s="194"/>
      <c r="H223" s="194"/>
      <c r="I223" s="194"/>
      <c r="J223" s="194"/>
      <c r="K223" s="194"/>
      <c r="L223" s="194"/>
      <c r="M223" s="194"/>
      <c r="N223" s="194"/>
      <c r="O223" s="194"/>
      <c r="P223" s="194"/>
      <c r="Q223" s="194"/>
      <c r="R223" s="194"/>
      <c r="S223" s="194"/>
      <c r="T223" s="194"/>
      <c r="U223" s="194"/>
      <c r="V223" s="194"/>
      <c r="W223" s="194"/>
      <c r="X223" s="194"/>
      <c r="Y223" s="194"/>
      <c r="Z223" s="194"/>
      <c r="AA223" s="194"/>
      <c r="AB223" s="194"/>
      <c r="AC223" s="194"/>
      <c r="AD223" s="194"/>
      <c r="AE223" s="194"/>
      <c r="AF223" s="194"/>
      <c r="AG223" s="194"/>
      <c r="AH223" s="194"/>
      <c r="AI223" s="194"/>
      <c r="AJ223" s="194"/>
      <c r="AK223" s="194"/>
      <c r="AL223" s="194"/>
      <c r="AM223" s="194"/>
    </row>
    <row r="224" spans="1:39" ht="15.75" customHeight="1" x14ac:dyDescent="0.25">
      <c r="A224" s="194"/>
      <c r="B224" s="194"/>
      <c r="C224" s="194"/>
      <c r="D224" s="194"/>
      <c r="E224" s="194"/>
      <c r="F224" s="194"/>
      <c r="G224" s="194"/>
      <c r="H224" s="194"/>
      <c r="I224" s="194"/>
      <c r="J224" s="194"/>
      <c r="K224" s="194"/>
      <c r="L224" s="194"/>
      <c r="M224" s="194"/>
      <c r="N224" s="194"/>
      <c r="O224" s="194"/>
      <c r="P224" s="194"/>
      <c r="Q224" s="194"/>
      <c r="R224" s="194"/>
      <c r="S224" s="194"/>
      <c r="T224" s="194"/>
      <c r="U224" s="194"/>
      <c r="V224" s="194"/>
      <c r="W224" s="194"/>
      <c r="X224" s="194"/>
      <c r="Y224" s="194"/>
      <c r="Z224" s="194"/>
      <c r="AA224" s="194"/>
      <c r="AB224" s="194"/>
      <c r="AC224" s="194"/>
      <c r="AD224" s="194"/>
      <c r="AE224" s="194"/>
      <c r="AF224" s="194"/>
      <c r="AG224" s="194"/>
      <c r="AH224" s="194"/>
      <c r="AI224" s="194"/>
      <c r="AJ224" s="194"/>
      <c r="AK224" s="194"/>
      <c r="AL224" s="194"/>
      <c r="AM224" s="194"/>
    </row>
    <row r="225" spans="1:39" ht="15.75" customHeight="1" x14ac:dyDescent="0.25">
      <c r="A225" s="194"/>
      <c r="B225" s="194"/>
      <c r="C225" s="194"/>
      <c r="D225" s="194"/>
      <c r="E225" s="194"/>
      <c r="F225" s="194"/>
      <c r="G225" s="194"/>
      <c r="H225" s="194"/>
      <c r="I225" s="194"/>
      <c r="J225" s="194"/>
      <c r="K225" s="194"/>
      <c r="L225" s="194"/>
      <c r="M225" s="194"/>
      <c r="N225" s="194"/>
      <c r="O225" s="194"/>
      <c r="P225" s="194"/>
      <c r="Q225" s="194"/>
      <c r="R225" s="194"/>
      <c r="S225" s="194"/>
      <c r="T225" s="194"/>
      <c r="U225" s="194"/>
      <c r="V225" s="194"/>
      <c r="W225" s="194"/>
      <c r="X225" s="194"/>
      <c r="Y225" s="194"/>
      <c r="Z225" s="194"/>
      <c r="AA225" s="194"/>
      <c r="AB225" s="194"/>
      <c r="AC225" s="194"/>
      <c r="AD225" s="194"/>
      <c r="AE225" s="194"/>
      <c r="AF225" s="194"/>
      <c r="AG225" s="194"/>
      <c r="AH225" s="194"/>
      <c r="AI225" s="194"/>
      <c r="AJ225" s="194"/>
      <c r="AK225" s="194"/>
      <c r="AL225" s="194"/>
      <c r="AM225" s="194"/>
    </row>
    <row r="226" spans="1:39" ht="15.75" customHeight="1" x14ac:dyDescent="0.25">
      <c r="A226" s="194"/>
      <c r="B226" s="194"/>
      <c r="C226" s="194"/>
      <c r="D226" s="194"/>
      <c r="E226" s="194"/>
      <c r="F226" s="194"/>
      <c r="G226" s="194"/>
      <c r="H226" s="194"/>
      <c r="I226" s="194"/>
      <c r="J226" s="194"/>
      <c r="K226" s="194"/>
      <c r="L226" s="194"/>
      <c r="M226" s="194"/>
      <c r="N226" s="194"/>
      <c r="O226" s="194"/>
      <c r="P226" s="194"/>
      <c r="Q226" s="194"/>
      <c r="R226" s="194"/>
      <c r="S226" s="194"/>
      <c r="T226" s="194"/>
      <c r="U226" s="194"/>
      <c r="V226" s="194"/>
      <c r="W226" s="194"/>
      <c r="X226" s="194"/>
      <c r="Y226" s="194"/>
      <c r="Z226" s="194"/>
      <c r="AA226" s="194"/>
      <c r="AB226" s="194"/>
      <c r="AC226" s="194"/>
      <c r="AD226" s="194"/>
      <c r="AE226" s="194"/>
      <c r="AF226" s="194"/>
      <c r="AG226" s="194"/>
      <c r="AH226" s="194"/>
      <c r="AI226" s="194"/>
      <c r="AJ226" s="194"/>
      <c r="AK226" s="194"/>
      <c r="AL226" s="194"/>
      <c r="AM226" s="194"/>
    </row>
    <row r="227" spans="1:39" ht="15.75" customHeight="1" x14ac:dyDescent="0.25">
      <c r="A227" s="194"/>
      <c r="B227" s="194"/>
      <c r="C227" s="194"/>
      <c r="D227" s="194"/>
      <c r="E227" s="194"/>
      <c r="F227" s="194"/>
      <c r="G227" s="194"/>
      <c r="H227" s="194"/>
      <c r="I227" s="194"/>
      <c r="J227" s="194"/>
      <c r="K227" s="194"/>
      <c r="L227" s="194"/>
      <c r="M227" s="194"/>
      <c r="N227" s="194"/>
      <c r="O227" s="194"/>
      <c r="P227" s="194"/>
      <c r="Q227" s="194"/>
      <c r="R227" s="194"/>
      <c r="S227" s="194"/>
      <c r="T227" s="194"/>
      <c r="U227" s="194"/>
      <c r="V227" s="194"/>
      <c r="W227" s="194"/>
      <c r="X227" s="194"/>
      <c r="Y227" s="194"/>
      <c r="Z227" s="194"/>
      <c r="AA227" s="194"/>
      <c r="AB227" s="194"/>
      <c r="AC227" s="194"/>
      <c r="AD227" s="194"/>
      <c r="AE227" s="194"/>
      <c r="AF227" s="194"/>
      <c r="AG227" s="194"/>
      <c r="AH227" s="194"/>
      <c r="AI227" s="194"/>
      <c r="AJ227" s="194"/>
      <c r="AK227" s="194"/>
      <c r="AL227" s="194"/>
      <c r="AM227" s="194"/>
    </row>
    <row r="228" spans="1:39" ht="15.75" customHeight="1" x14ac:dyDescent="0.25">
      <c r="A228" s="194"/>
      <c r="B228" s="194"/>
      <c r="C228" s="194"/>
      <c r="D228" s="194"/>
      <c r="E228" s="194"/>
      <c r="F228" s="194"/>
      <c r="G228" s="194"/>
      <c r="H228" s="194"/>
      <c r="I228" s="194"/>
      <c r="J228" s="194"/>
      <c r="K228" s="194"/>
      <c r="L228" s="194"/>
      <c r="M228" s="194"/>
      <c r="N228" s="194"/>
      <c r="O228" s="194"/>
      <c r="P228" s="194"/>
      <c r="Q228" s="194"/>
      <c r="R228" s="194"/>
      <c r="S228" s="194"/>
      <c r="T228" s="194"/>
      <c r="U228" s="194"/>
      <c r="V228" s="194"/>
      <c r="W228" s="194"/>
      <c r="X228" s="194"/>
      <c r="Y228" s="194"/>
      <c r="Z228" s="194"/>
      <c r="AA228" s="194"/>
      <c r="AB228" s="194"/>
      <c r="AC228" s="194"/>
      <c r="AD228" s="194"/>
      <c r="AE228" s="194"/>
      <c r="AF228" s="194"/>
      <c r="AG228" s="194"/>
      <c r="AH228" s="194"/>
      <c r="AI228" s="194"/>
      <c r="AJ228" s="194"/>
      <c r="AK228" s="194"/>
      <c r="AL228" s="194"/>
      <c r="AM228" s="194"/>
    </row>
    <row r="229" spans="1:39" ht="15.75" customHeight="1" x14ac:dyDescent="0.25">
      <c r="A229" s="194"/>
      <c r="B229" s="194"/>
      <c r="C229" s="194"/>
      <c r="D229" s="194"/>
      <c r="E229" s="194"/>
      <c r="F229" s="194"/>
      <c r="G229" s="194"/>
      <c r="H229" s="194"/>
      <c r="I229" s="194"/>
      <c r="J229" s="194"/>
      <c r="K229" s="194"/>
      <c r="L229" s="194"/>
      <c r="M229" s="194"/>
      <c r="N229" s="194"/>
      <c r="O229" s="194"/>
      <c r="P229" s="194"/>
      <c r="Q229" s="194"/>
      <c r="R229" s="194"/>
      <c r="S229" s="194"/>
      <c r="T229" s="194"/>
      <c r="U229" s="194"/>
      <c r="V229" s="194"/>
      <c r="W229" s="194"/>
      <c r="X229" s="194"/>
      <c r="Y229" s="194"/>
      <c r="Z229" s="194"/>
      <c r="AA229" s="194"/>
      <c r="AB229" s="194"/>
      <c r="AC229" s="194"/>
      <c r="AD229" s="194"/>
      <c r="AE229" s="194"/>
      <c r="AF229" s="194"/>
      <c r="AG229" s="194"/>
      <c r="AH229" s="194"/>
      <c r="AI229" s="194"/>
      <c r="AJ229" s="194"/>
      <c r="AK229" s="194"/>
      <c r="AL229" s="194"/>
      <c r="AM229" s="194"/>
    </row>
    <row r="230" spans="1:39" ht="15.75" customHeight="1" x14ac:dyDescent="0.25">
      <c r="A230" s="194"/>
      <c r="B230" s="194"/>
      <c r="C230" s="194"/>
      <c r="D230" s="194"/>
      <c r="E230" s="194"/>
      <c r="F230" s="194"/>
      <c r="G230" s="194"/>
      <c r="H230" s="194"/>
      <c r="I230" s="194"/>
      <c r="J230" s="194"/>
      <c r="K230" s="194"/>
      <c r="L230" s="194"/>
      <c r="M230" s="194"/>
      <c r="N230" s="194"/>
      <c r="O230" s="194"/>
      <c r="P230" s="194"/>
      <c r="Q230" s="194"/>
      <c r="R230" s="194"/>
      <c r="S230" s="194"/>
      <c r="T230" s="194"/>
      <c r="U230" s="194"/>
      <c r="V230" s="194"/>
      <c r="W230" s="194"/>
      <c r="X230" s="194"/>
      <c r="Y230" s="194"/>
      <c r="Z230" s="194"/>
      <c r="AA230" s="194"/>
      <c r="AB230" s="194"/>
      <c r="AC230" s="194"/>
      <c r="AD230" s="194"/>
      <c r="AE230" s="194"/>
      <c r="AF230" s="194"/>
      <c r="AG230" s="194"/>
      <c r="AH230" s="194"/>
      <c r="AI230" s="194"/>
      <c r="AJ230" s="194"/>
      <c r="AK230" s="194"/>
      <c r="AL230" s="194"/>
      <c r="AM230" s="194"/>
    </row>
    <row r="231" spans="1:39" ht="15.75" customHeight="1" x14ac:dyDescent="0.25">
      <c r="A231" s="194"/>
      <c r="B231" s="194"/>
      <c r="C231" s="194"/>
      <c r="D231" s="194"/>
      <c r="E231" s="194"/>
      <c r="F231" s="194"/>
      <c r="G231" s="194"/>
      <c r="H231" s="194"/>
      <c r="I231" s="194"/>
      <c r="J231" s="194"/>
      <c r="K231" s="194"/>
      <c r="L231" s="194"/>
      <c r="M231" s="194"/>
      <c r="N231" s="194"/>
      <c r="O231" s="194"/>
      <c r="P231" s="194"/>
      <c r="Q231" s="194"/>
      <c r="R231" s="194"/>
      <c r="S231" s="194"/>
      <c r="T231" s="194"/>
      <c r="U231" s="194"/>
      <c r="V231" s="194"/>
      <c r="W231" s="194"/>
      <c r="X231" s="194"/>
      <c r="Y231" s="194"/>
      <c r="Z231" s="194"/>
      <c r="AA231" s="194"/>
      <c r="AB231" s="194"/>
      <c r="AC231" s="194"/>
      <c r="AD231" s="194"/>
      <c r="AE231" s="194"/>
      <c r="AF231" s="194"/>
      <c r="AG231" s="194"/>
      <c r="AH231" s="194"/>
      <c r="AI231" s="194"/>
      <c r="AJ231" s="194"/>
      <c r="AK231" s="194"/>
      <c r="AL231" s="194"/>
      <c r="AM231" s="194"/>
    </row>
    <row r="232" spans="1:39" ht="15.75" customHeight="1" x14ac:dyDescent="0.25">
      <c r="A232" s="194"/>
      <c r="B232" s="194"/>
      <c r="C232" s="194"/>
      <c r="D232" s="194"/>
      <c r="E232" s="194"/>
      <c r="F232" s="194"/>
      <c r="G232" s="194"/>
      <c r="H232" s="194"/>
      <c r="I232" s="194"/>
      <c r="J232" s="194"/>
      <c r="K232" s="194"/>
      <c r="L232" s="194"/>
      <c r="M232" s="194"/>
      <c r="N232" s="194"/>
      <c r="O232" s="194"/>
      <c r="P232" s="194"/>
      <c r="Q232" s="194"/>
      <c r="R232" s="194"/>
      <c r="S232" s="194"/>
      <c r="T232" s="194"/>
      <c r="U232" s="194"/>
      <c r="V232" s="194"/>
      <c r="W232" s="194"/>
      <c r="X232" s="194"/>
      <c r="Y232" s="194"/>
      <c r="Z232" s="194"/>
      <c r="AA232" s="194"/>
      <c r="AB232" s="194"/>
      <c r="AC232" s="194"/>
      <c r="AD232" s="194"/>
      <c r="AE232" s="194"/>
      <c r="AF232" s="194"/>
      <c r="AG232" s="194"/>
      <c r="AH232" s="194"/>
      <c r="AI232" s="194"/>
      <c r="AJ232" s="194"/>
      <c r="AK232" s="194"/>
      <c r="AL232" s="194"/>
      <c r="AM232" s="194"/>
    </row>
    <row r="233" spans="1:39" ht="15.75" customHeight="1" x14ac:dyDescent="0.25">
      <c r="A233" s="194"/>
      <c r="B233" s="194"/>
      <c r="C233" s="194"/>
      <c r="D233" s="194"/>
      <c r="E233" s="194"/>
      <c r="F233" s="194"/>
      <c r="G233" s="194"/>
      <c r="H233" s="194"/>
      <c r="I233" s="194"/>
      <c r="J233" s="194"/>
      <c r="K233" s="194"/>
      <c r="L233" s="194"/>
      <c r="M233" s="194"/>
      <c r="N233" s="194"/>
      <c r="O233" s="194"/>
      <c r="P233" s="194"/>
      <c r="Q233" s="194"/>
      <c r="R233" s="194"/>
      <c r="S233" s="194"/>
      <c r="T233" s="194"/>
      <c r="U233" s="194"/>
      <c r="V233" s="194"/>
      <c r="W233" s="194"/>
      <c r="X233" s="194"/>
      <c r="Y233" s="194"/>
      <c r="Z233" s="194"/>
      <c r="AA233" s="194"/>
      <c r="AB233" s="194"/>
      <c r="AC233" s="194"/>
      <c r="AD233" s="194"/>
      <c r="AE233" s="194"/>
      <c r="AF233" s="194"/>
      <c r="AG233" s="194"/>
      <c r="AH233" s="194"/>
      <c r="AI233" s="194"/>
      <c r="AJ233" s="194"/>
      <c r="AK233" s="194"/>
      <c r="AL233" s="194"/>
      <c r="AM233" s="194"/>
    </row>
    <row r="234" spans="1:39" ht="15.75" customHeight="1" x14ac:dyDescent="0.25">
      <c r="A234" s="194"/>
      <c r="B234" s="194"/>
      <c r="C234" s="194"/>
      <c r="D234" s="194"/>
      <c r="E234" s="194"/>
      <c r="F234" s="194"/>
      <c r="G234" s="194"/>
      <c r="H234" s="194"/>
      <c r="I234" s="194"/>
      <c r="J234" s="194"/>
      <c r="K234" s="194"/>
      <c r="L234" s="194"/>
      <c r="M234" s="194"/>
      <c r="N234" s="194"/>
      <c r="O234" s="194"/>
      <c r="P234" s="194"/>
      <c r="Q234" s="194"/>
      <c r="R234" s="194"/>
      <c r="S234" s="194"/>
      <c r="T234" s="194"/>
      <c r="U234" s="194"/>
      <c r="V234" s="194"/>
      <c r="W234" s="194"/>
      <c r="X234" s="194"/>
      <c r="Y234" s="194"/>
      <c r="Z234" s="194"/>
      <c r="AA234" s="194"/>
      <c r="AB234" s="194"/>
      <c r="AC234" s="194"/>
      <c r="AD234" s="194"/>
      <c r="AE234" s="194"/>
      <c r="AF234" s="194"/>
      <c r="AG234" s="194"/>
      <c r="AH234" s="194"/>
      <c r="AI234" s="194"/>
      <c r="AJ234" s="194"/>
      <c r="AK234" s="194"/>
      <c r="AL234" s="194"/>
      <c r="AM234" s="194"/>
    </row>
    <row r="235" spans="1:39" ht="15.75" customHeight="1" x14ac:dyDescent="0.25">
      <c r="A235" s="194"/>
      <c r="B235" s="194"/>
      <c r="C235" s="194"/>
      <c r="D235" s="194"/>
      <c r="E235" s="194"/>
      <c r="F235" s="194"/>
      <c r="G235" s="194"/>
      <c r="H235" s="194"/>
      <c r="I235" s="194"/>
      <c r="J235" s="194"/>
      <c r="K235" s="194"/>
      <c r="L235" s="194"/>
      <c r="M235" s="194"/>
      <c r="N235" s="194"/>
      <c r="O235" s="194"/>
      <c r="P235" s="194"/>
      <c r="Q235" s="194"/>
      <c r="R235" s="194"/>
      <c r="S235" s="194"/>
      <c r="T235" s="194"/>
      <c r="U235" s="194"/>
      <c r="V235" s="194"/>
      <c r="W235" s="194"/>
      <c r="X235" s="194"/>
      <c r="Y235" s="194"/>
      <c r="Z235" s="194"/>
      <c r="AA235" s="194"/>
      <c r="AB235" s="194"/>
      <c r="AC235" s="194"/>
      <c r="AD235" s="194"/>
      <c r="AE235" s="194"/>
      <c r="AF235" s="194"/>
      <c r="AG235" s="194"/>
      <c r="AH235" s="194"/>
      <c r="AI235" s="194"/>
      <c r="AJ235" s="194"/>
      <c r="AK235" s="194"/>
      <c r="AL235" s="194"/>
      <c r="AM235" s="194"/>
    </row>
    <row r="236" spans="1:39" ht="15.75" customHeight="1" x14ac:dyDescent="0.25">
      <c r="A236" s="194"/>
      <c r="B236" s="194"/>
      <c r="C236" s="194"/>
      <c r="D236" s="194"/>
      <c r="E236" s="194"/>
      <c r="F236" s="194"/>
      <c r="G236" s="194"/>
      <c r="H236" s="194"/>
      <c r="I236" s="194"/>
      <c r="J236" s="194"/>
      <c r="K236" s="194"/>
      <c r="L236" s="194"/>
      <c r="M236" s="194"/>
      <c r="N236" s="194"/>
      <c r="O236" s="194"/>
      <c r="P236" s="194"/>
      <c r="Q236" s="194"/>
      <c r="R236" s="194"/>
      <c r="S236" s="194"/>
      <c r="T236" s="194"/>
      <c r="U236" s="194"/>
      <c r="V236" s="194"/>
      <c r="W236" s="194"/>
      <c r="X236" s="194"/>
      <c r="Y236" s="194"/>
      <c r="Z236" s="194"/>
      <c r="AA236" s="194"/>
      <c r="AB236" s="194"/>
      <c r="AC236" s="194"/>
      <c r="AD236" s="194"/>
      <c r="AE236" s="194"/>
      <c r="AF236" s="194"/>
      <c r="AG236" s="194"/>
      <c r="AH236" s="194"/>
      <c r="AI236" s="194"/>
      <c r="AJ236" s="194"/>
      <c r="AK236" s="194"/>
      <c r="AL236" s="194"/>
      <c r="AM236" s="194"/>
    </row>
    <row r="237" spans="1:39" ht="15.75" customHeight="1" x14ac:dyDescent="0.25">
      <c r="A237" s="194"/>
      <c r="B237" s="194"/>
      <c r="C237" s="194"/>
      <c r="D237" s="194"/>
      <c r="E237" s="194"/>
      <c r="F237" s="194"/>
      <c r="G237" s="194"/>
      <c r="H237" s="194"/>
      <c r="I237" s="194"/>
      <c r="J237" s="194"/>
      <c r="K237" s="194"/>
      <c r="L237" s="194"/>
      <c r="M237" s="194"/>
      <c r="N237" s="194"/>
      <c r="O237" s="194"/>
      <c r="P237" s="194"/>
      <c r="Q237" s="194"/>
      <c r="R237" s="194"/>
      <c r="S237" s="194"/>
      <c r="T237" s="194"/>
      <c r="U237" s="194"/>
      <c r="V237" s="194"/>
      <c r="W237" s="194"/>
      <c r="X237" s="194"/>
      <c r="Y237" s="194"/>
      <c r="Z237" s="194"/>
      <c r="AA237" s="194"/>
      <c r="AB237" s="194"/>
      <c r="AC237" s="194"/>
      <c r="AD237" s="194"/>
      <c r="AE237" s="194"/>
      <c r="AF237" s="194"/>
      <c r="AG237" s="194"/>
      <c r="AH237" s="194"/>
      <c r="AI237" s="194"/>
      <c r="AJ237" s="194"/>
      <c r="AK237" s="194"/>
      <c r="AL237" s="194"/>
      <c r="AM237" s="194"/>
    </row>
    <row r="238" spans="1:39" ht="15.75" customHeight="1" x14ac:dyDescent="0.25">
      <c r="A238" s="194"/>
      <c r="B238" s="194"/>
      <c r="C238" s="194"/>
      <c r="D238" s="194"/>
      <c r="E238" s="194"/>
      <c r="F238" s="194"/>
      <c r="G238" s="194"/>
      <c r="H238" s="194"/>
      <c r="I238" s="194"/>
      <c r="J238" s="194"/>
      <c r="K238" s="194"/>
      <c r="L238" s="194"/>
      <c r="M238" s="194"/>
      <c r="N238" s="194"/>
      <c r="O238" s="194"/>
      <c r="P238" s="194"/>
      <c r="Q238" s="194"/>
      <c r="R238" s="194"/>
      <c r="S238" s="194"/>
      <c r="T238" s="194"/>
      <c r="U238" s="194"/>
      <c r="V238" s="194"/>
      <c r="W238" s="194"/>
      <c r="X238" s="194"/>
      <c r="Y238" s="194"/>
      <c r="Z238" s="194"/>
      <c r="AA238" s="194"/>
      <c r="AB238" s="194"/>
      <c r="AC238" s="194"/>
      <c r="AD238" s="194"/>
      <c r="AE238" s="194"/>
      <c r="AF238" s="194"/>
      <c r="AG238" s="194"/>
      <c r="AH238" s="194"/>
      <c r="AI238" s="194"/>
      <c r="AJ238" s="194"/>
      <c r="AK238" s="194"/>
      <c r="AL238" s="194"/>
      <c r="AM238" s="194"/>
    </row>
    <row r="239" spans="1:39" ht="15.75" customHeight="1" x14ac:dyDescent="0.25">
      <c r="A239" s="194"/>
      <c r="B239" s="194"/>
      <c r="C239" s="194"/>
      <c r="D239" s="194"/>
      <c r="E239" s="194"/>
      <c r="F239" s="194"/>
      <c r="G239" s="194"/>
      <c r="H239" s="194"/>
      <c r="I239" s="194"/>
      <c r="J239" s="194"/>
      <c r="K239" s="194"/>
      <c r="L239" s="194"/>
      <c r="M239" s="194"/>
      <c r="N239" s="194"/>
      <c r="O239" s="194"/>
      <c r="P239" s="194"/>
      <c r="Q239" s="194"/>
      <c r="R239" s="194"/>
      <c r="S239" s="194"/>
      <c r="T239" s="194"/>
      <c r="U239" s="194"/>
      <c r="V239" s="194"/>
      <c r="W239" s="194"/>
      <c r="X239" s="194"/>
      <c r="Y239" s="194"/>
      <c r="Z239" s="194"/>
      <c r="AA239" s="194"/>
      <c r="AB239" s="194"/>
      <c r="AC239" s="194"/>
      <c r="AD239" s="194"/>
      <c r="AE239" s="194"/>
      <c r="AF239" s="194"/>
      <c r="AG239" s="194"/>
      <c r="AH239" s="194"/>
      <c r="AI239" s="194"/>
      <c r="AJ239" s="194"/>
      <c r="AK239" s="194"/>
      <c r="AL239" s="194"/>
      <c r="AM239" s="194"/>
    </row>
    <row r="240" spans="1:39" ht="15.75" customHeight="1" x14ac:dyDescent="0.25">
      <c r="A240" s="194"/>
      <c r="B240" s="194"/>
      <c r="C240" s="194"/>
      <c r="D240" s="194"/>
      <c r="E240" s="194"/>
      <c r="F240" s="194"/>
      <c r="G240" s="194"/>
      <c r="H240" s="194"/>
      <c r="I240" s="194"/>
      <c r="J240" s="194"/>
      <c r="K240" s="194"/>
      <c r="L240" s="194"/>
      <c r="M240" s="194"/>
      <c r="N240" s="194"/>
      <c r="O240" s="194"/>
      <c r="P240" s="194"/>
      <c r="Q240" s="194"/>
      <c r="R240" s="194"/>
      <c r="S240" s="194"/>
      <c r="T240" s="194"/>
      <c r="U240" s="194"/>
      <c r="V240" s="194"/>
      <c r="W240" s="194"/>
      <c r="X240" s="194"/>
      <c r="Y240" s="194"/>
      <c r="Z240" s="194"/>
      <c r="AA240" s="194"/>
      <c r="AB240" s="194"/>
      <c r="AC240" s="194"/>
      <c r="AD240" s="194"/>
      <c r="AE240" s="194"/>
      <c r="AF240" s="194"/>
      <c r="AG240" s="194"/>
      <c r="AH240" s="194"/>
      <c r="AI240" s="194"/>
      <c r="AJ240" s="194"/>
      <c r="AK240" s="194"/>
      <c r="AL240" s="194"/>
      <c r="AM240" s="194"/>
    </row>
    <row r="241" spans="1:39" ht="15.75" customHeight="1" x14ac:dyDescent="0.25">
      <c r="A241" s="194"/>
      <c r="B241" s="194"/>
      <c r="C241" s="194"/>
      <c r="D241" s="194"/>
      <c r="E241" s="194"/>
      <c r="F241" s="194"/>
      <c r="G241" s="194"/>
      <c r="H241" s="194"/>
      <c r="I241" s="194"/>
      <c r="J241" s="194"/>
      <c r="K241" s="194"/>
      <c r="L241" s="194"/>
      <c r="M241" s="194"/>
      <c r="N241" s="194"/>
      <c r="O241" s="194"/>
      <c r="P241" s="194"/>
      <c r="Q241" s="194"/>
      <c r="R241" s="194"/>
      <c r="S241" s="194"/>
      <c r="T241" s="194"/>
      <c r="U241" s="194"/>
      <c r="V241" s="194"/>
      <c r="W241" s="194"/>
      <c r="X241" s="194"/>
      <c r="Y241" s="194"/>
      <c r="Z241" s="194"/>
      <c r="AA241" s="194"/>
      <c r="AB241" s="194"/>
      <c r="AC241" s="194"/>
      <c r="AD241" s="194"/>
      <c r="AE241" s="194"/>
      <c r="AF241" s="194"/>
      <c r="AG241" s="194"/>
      <c r="AH241" s="194"/>
      <c r="AI241" s="194"/>
      <c r="AJ241" s="194"/>
      <c r="AK241" s="194"/>
      <c r="AL241" s="194"/>
      <c r="AM241" s="194"/>
    </row>
    <row r="242" spans="1:39" ht="15.75" customHeight="1" x14ac:dyDescent="0.25">
      <c r="A242" s="194"/>
      <c r="B242" s="194"/>
      <c r="C242" s="194"/>
      <c r="D242" s="194"/>
      <c r="E242" s="194"/>
      <c r="F242" s="194"/>
      <c r="G242" s="194"/>
      <c r="H242" s="194"/>
      <c r="I242" s="194"/>
      <c r="J242" s="194"/>
      <c r="K242" s="194"/>
      <c r="L242" s="194"/>
      <c r="M242" s="194"/>
      <c r="N242" s="194"/>
      <c r="O242" s="194"/>
      <c r="P242" s="194"/>
      <c r="Q242" s="194"/>
      <c r="R242" s="194"/>
      <c r="S242" s="194"/>
      <c r="T242" s="194"/>
      <c r="U242" s="194"/>
      <c r="V242" s="194"/>
      <c r="W242" s="194"/>
      <c r="X242" s="194"/>
      <c r="Y242" s="194"/>
      <c r="Z242" s="194"/>
      <c r="AA242" s="194"/>
      <c r="AB242" s="194"/>
      <c r="AC242" s="194"/>
      <c r="AD242" s="194"/>
      <c r="AE242" s="194"/>
      <c r="AF242" s="194"/>
      <c r="AG242" s="194"/>
      <c r="AH242" s="194"/>
      <c r="AI242" s="194"/>
      <c r="AJ242" s="194"/>
      <c r="AK242" s="194"/>
      <c r="AL242" s="194"/>
      <c r="AM242" s="194"/>
    </row>
    <row r="243" spans="1:39" ht="15.75" customHeight="1" x14ac:dyDescent="0.25">
      <c r="A243" s="194"/>
      <c r="B243" s="194"/>
      <c r="C243" s="194"/>
      <c r="D243" s="194"/>
      <c r="E243" s="194"/>
      <c r="F243" s="194"/>
      <c r="G243" s="194"/>
      <c r="H243" s="194"/>
      <c r="I243" s="194"/>
      <c r="J243" s="194"/>
      <c r="K243" s="194"/>
      <c r="L243" s="194"/>
      <c r="M243" s="194"/>
      <c r="N243" s="194"/>
      <c r="O243" s="194"/>
      <c r="P243" s="194"/>
      <c r="Q243" s="194"/>
      <c r="R243" s="194"/>
      <c r="S243" s="194"/>
      <c r="T243" s="194"/>
      <c r="U243" s="194"/>
      <c r="V243" s="194"/>
      <c r="W243" s="194"/>
      <c r="X243" s="194"/>
      <c r="Y243" s="194"/>
      <c r="Z243" s="194"/>
      <c r="AA243" s="194"/>
      <c r="AB243" s="194"/>
      <c r="AC243" s="194"/>
      <c r="AD243" s="194"/>
      <c r="AE243" s="194"/>
      <c r="AF243" s="194"/>
      <c r="AG243" s="194"/>
      <c r="AH243" s="194"/>
      <c r="AI243" s="194"/>
      <c r="AJ243" s="194"/>
      <c r="AK243" s="194"/>
      <c r="AL243" s="194"/>
      <c r="AM243" s="194"/>
    </row>
    <row r="244" spans="1:39" ht="15.75" customHeight="1" x14ac:dyDescent="0.25">
      <c r="A244" s="194"/>
      <c r="B244" s="194"/>
      <c r="C244" s="194"/>
      <c r="D244" s="194"/>
      <c r="E244" s="194"/>
      <c r="F244" s="194"/>
      <c r="G244" s="194"/>
      <c r="H244" s="194"/>
      <c r="I244" s="194"/>
      <c r="J244" s="194"/>
      <c r="K244" s="194"/>
      <c r="L244" s="194"/>
      <c r="M244" s="194"/>
      <c r="N244" s="194"/>
      <c r="O244" s="194"/>
      <c r="P244" s="194"/>
      <c r="Q244" s="194"/>
      <c r="R244" s="194"/>
      <c r="S244" s="194"/>
      <c r="T244" s="194"/>
      <c r="U244" s="194"/>
      <c r="V244" s="194"/>
      <c r="W244" s="194"/>
      <c r="X244" s="194"/>
      <c r="Y244" s="194"/>
      <c r="Z244" s="194"/>
      <c r="AA244" s="194"/>
      <c r="AB244" s="194"/>
      <c r="AC244" s="194"/>
      <c r="AD244" s="194"/>
      <c r="AE244" s="194"/>
      <c r="AF244" s="194"/>
      <c r="AG244" s="194"/>
      <c r="AH244" s="194"/>
      <c r="AI244" s="194"/>
      <c r="AJ244" s="194"/>
      <c r="AK244" s="194"/>
      <c r="AL244" s="194"/>
      <c r="AM244" s="194"/>
    </row>
    <row r="245" spans="1:39" ht="15.75" customHeight="1" x14ac:dyDescent="0.25">
      <c r="A245" s="194"/>
      <c r="B245" s="194"/>
      <c r="C245" s="194"/>
      <c r="D245" s="194"/>
      <c r="E245" s="194"/>
      <c r="F245" s="194"/>
      <c r="G245" s="194"/>
      <c r="H245" s="194"/>
      <c r="I245" s="194"/>
      <c r="J245" s="194"/>
      <c r="K245" s="194"/>
      <c r="L245" s="194"/>
      <c r="M245" s="194"/>
      <c r="N245" s="194"/>
      <c r="O245" s="194"/>
      <c r="P245" s="194"/>
      <c r="Q245" s="194"/>
      <c r="R245" s="194"/>
      <c r="S245" s="194"/>
      <c r="T245" s="194"/>
      <c r="U245" s="194"/>
      <c r="V245" s="194"/>
      <c r="W245" s="194"/>
      <c r="X245" s="194"/>
      <c r="Y245" s="194"/>
      <c r="Z245" s="194"/>
      <c r="AA245" s="194"/>
      <c r="AB245" s="194"/>
      <c r="AC245" s="194"/>
      <c r="AD245" s="194"/>
      <c r="AE245" s="194"/>
      <c r="AF245" s="194"/>
      <c r="AG245" s="194"/>
      <c r="AH245" s="194"/>
      <c r="AI245" s="194"/>
      <c r="AJ245" s="194"/>
      <c r="AK245" s="194"/>
      <c r="AL245" s="194"/>
      <c r="AM245" s="194"/>
    </row>
    <row r="246" spans="1:39" ht="15.75" customHeight="1" x14ac:dyDescent="0.25">
      <c r="A246" s="194"/>
      <c r="B246" s="194"/>
      <c r="C246" s="194"/>
      <c r="D246" s="194"/>
      <c r="E246" s="194"/>
      <c r="F246" s="194"/>
      <c r="G246" s="194"/>
      <c r="H246" s="194"/>
      <c r="I246" s="194"/>
      <c r="J246" s="194"/>
      <c r="K246" s="194"/>
      <c r="L246" s="194"/>
      <c r="M246" s="194"/>
      <c r="N246" s="194"/>
      <c r="O246" s="194"/>
      <c r="P246" s="194"/>
      <c r="Q246" s="194"/>
      <c r="R246" s="194"/>
      <c r="S246" s="194"/>
      <c r="T246" s="194"/>
      <c r="U246" s="194"/>
      <c r="V246" s="194"/>
      <c r="W246" s="194"/>
      <c r="X246" s="194"/>
      <c r="Y246" s="194"/>
      <c r="Z246" s="194"/>
      <c r="AA246" s="194"/>
      <c r="AB246" s="194"/>
      <c r="AC246" s="194"/>
      <c r="AD246" s="194"/>
      <c r="AE246" s="194"/>
      <c r="AF246" s="194"/>
      <c r="AG246" s="194"/>
      <c r="AH246" s="194"/>
      <c r="AI246" s="194"/>
      <c r="AJ246" s="194"/>
      <c r="AK246" s="194"/>
      <c r="AL246" s="194"/>
      <c r="AM246" s="194"/>
    </row>
    <row r="247" spans="1:39" ht="15.75" customHeight="1" x14ac:dyDescent="0.25">
      <c r="A247" s="194"/>
      <c r="B247" s="194"/>
      <c r="C247" s="194"/>
      <c r="D247" s="194"/>
      <c r="E247" s="194"/>
      <c r="F247" s="194"/>
      <c r="G247" s="194"/>
      <c r="H247" s="194"/>
      <c r="I247" s="194"/>
      <c r="J247" s="194"/>
      <c r="K247" s="194"/>
      <c r="L247" s="194"/>
      <c r="M247" s="194"/>
      <c r="N247" s="194"/>
      <c r="O247" s="194"/>
      <c r="P247" s="194"/>
      <c r="Q247" s="194"/>
      <c r="R247" s="194"/>
      <c r="S247" s="194"/>
      <c r="T247" s="194"/>
      <c r="U247" s="194"/>
      <c r="V247" s="194"/>
      <c r="W247" s="194"/>
      <c r="X247" s="194"/>
      <c r="Y247" s="194"/>
      <c r="Z247" s="194"/>
      <c r="AA247" s="194"/>
      <c r="AB247" s="194"/>
      <c r="AC247" s="194"/>
      <c r="AD247" s="194"/>
      <c r="AE247" s="194"/>
      <c r="AF247" s="194"/>
      <c r="AG247" s="194"/>
      <c r="AH247" s="194"/>
      <c r="AI247" s="194"/>
      <c r="AJ247" s="194"/>
      <c r="AK247" s="194"/>
      <c r="AL247" s="194"/>
      <c r="AM247" s="194"/>
    </row>
    <row r="248" spans="1:39" ht="15.75" customHeight="1" x14ac:dyDescent="0.25">
      <c r="A248" s="194"/>
      <c r="B248" s="194"/>
      <c r="C248" s="194"/>
      <c r="D248" s="194"/>
      <c r="E248" s="194"/>
      <c r="F248" s="194"/>
      <c r="G248" s="194"/>
      <c r="H248" s="194"/>
      <c r="I248" s="194"/>
      <c r="J248" s="194"/>
      <c r="K248" s="194"/>
      <c r="L248" s="194"/>
      <c r="M248" s="194"/>
      <c r="N248" s="194"/>
      <c r="O248" s="194"/>
      <c r="P248" s="194"/>
      <c r="Q248" s="194"/>
      <c r="R248" s="194"/>
      <c r="S248" s="194"/>
      <c r="T248" s="194"/>
      <c r="U248" s="194"/>
      <c r="V248" s="194"/>
      <c r="W248" s="194"/>
      <c r="X248" s="194"/>
      <c r="Y248" s="194"/>
      <c r="Z248" s="194"/>
      <c r="AA248" s="194"/>
      <c r="AB248" s="194"/>
      <c r="AC248" s="194"/>
      <c r="AD248" s="194"/>
      <c r="AE248" s="194"/>
      <c r="AF248" s="194"/>
      <c r="AG248" s="194"/>
      <c r="AH248" s="194"/>
      <c r="AI248" s="194"/>
      <c r="AJ248" s="194"/>
      <c r="AK248" s="194"/>
      <c r="AL248" s="194"/>
      <c r="AM248" s="194"/>
    </row>
    <row r="249" spans="1:39" ht="15.75" customHeight="1" x14ac:dyDescent="0.25">
      <c r="A249" s="194"/>
      <c r="B249" s="194"/>
      <c r="C249" s="194"/>
      <c r="D249" s="194"/>
      <c r="E249" s="194"/>
      <c r="F249" s="194"/>
      <c r="G249" s="194"/>
      <c r="H249" s="194"/>
      <c r="I249" s="194"/>
      <c r="J249" s="194"/>
      <c r="K249" s="194"/>
      <c r="L249" s="194"/>
      <c r="M249" s="194"/>
      <c r="N249" s="194"/>
      <c r="O249" s="194"/>
      <c r="P249" s="194"/>
      <c r="Q249" s="194"/>
      <c r="R249" s="194"/>
      <c r="S249" s="194"/>
      <c r="T249" s="194"/>
      <c r="U249" s="194"/>
      <c r="V249" s="194"/>
      <c r="W249" s="194"/>
      <c r="X249" s="194"/>
      <c r="Y249" s="194"/>
      <c r="Z249" s="194"/>
      <c r="AA249" s="194"/>
      <c r="AB249" s="194"/>
      <c r="AC249" s="194"/>
      <c r="AD249" s="194"/>
      <c r="AE249" s="194"/>
      <c r="AF249" s="194"/>
      <c r="AG249" s="194"/>
      <c r="AH249" s="194"/>
      <c r="AI249" s="194"/>
      <c r="AJ249" s="194"/>
      <c r="AK249" s="194"/>
      <c r="AL249" s="194"/>
      <c r="AM249" s="194"/>
    </row>
    <row r="250" spans="1:39" ht="15.75" customHeight="1" x14ac:dyDescent="0.25">
      <c r="A250" s="194"/>
      <c r="B250" s="194"/>
      <c r="C250" s="194"/>
      <c r="D250" s="194"/>
      <c r="E250" s="194"/>
      <c r="F250" s="194"/>
      <c r="G250" s="194"/>
      <c r="H250" s="194"/>
      <c r="I250" s="194"/>
      <c r="J250" s="194"/>
      <c r="K250" s="194"/>
      <c r="L250" s="194"/>
      <c r="M250" s="194"/>
      <c r="N250" s="194"/>
      <c r="O250" s="194"/>
      <c r="P250" s="194"/>
      <c r="Q250" s="194"/>
      <c r="R250" s="194"/>
      <c r="S250" s="194"/>
      <c r="T250" s="194"/>
      <c r="U250" s="194"/>
      <c r="V250" s="194"/>
      <c r="W250" s="194"/>
      <c r="X250" s="194"/>
      <c r="Y250" s="194"/>
      <c r="Z250" s="194"/>
      <c r="AA250" s="194"/>
      <c r="AB250" s="194"/>
      <c r="AC250" s="194"/>
      <c r="AD250" s="194"/>
      <c r="AE250" s="194"/>
      <c r="AF250" s="194"/>
      <c r="AG250" s="194"/>
      <c r="AH250" s="194"/>
      <c r="AI250" s="194"/>
      <c r="AJ250" s="194"/>
      <c r="AK250" s="194"/>
      <c r="AL250" s="194"/>
      <c r="AM250" s="194"/>
    </row>
    <row r="251" spans="1:39" ht="15.75" customHeight="1" x14ac:dyDescent="0.25">
      <c r="A251" s="194"/>
      <c r="B251" s="194"/>
      <c r="C251" s="194"/>
      <c r="D251" s="194"/>
      <c r="E251" s="194"/>
      <c r="F251" s="194"/>
      <c r="G251" s="194"/>
      <c r="H251" s="194"/>
      <c r="I251" s="194"/>
      <c r="J251" s="194"/>
      <c r="K251" s="194"/>
      <c r="L251" s="194"/>
      <c r="M251" s="194"/>
      <c r="N251" s="194"/>
      <c r="O251" s="194"/>
      <c r="P251" s="194"/>
      <c r="Q251" s="194"/>
      <c r="R251" s="194"/>
      <c r="S251" s="194"/>
      <c r="T251" s="194"/>
      <c r="U251" s="194"/>
      <c r="V251" s="194"/>
      <c r="W251" s="194"/>
      <c r="X251" s="194"/>
      <c r="Y251" s="194"/>
      <c r="Z251" s="194"/>
      <c r="AA251" s="194"/>
      <c r="AB251" s="194"/>
      <c r="AC251" s="194"/>
      <c r="AD251" s="194"/>
      <c r="AE251" s="194"/>
      <c r="AF251" s="194"/>
      <c r="AG251" s="194"/>
      <c r="AH251" s="194"/>
      <c r="AI251" s="194"/>
      <c r="AJ251" s="194"/>
      <c r="AK251" s="194"/>
      <c r="AL251" s="194"/>
      <c r="AM251" s="194"/>
    </row>
    <row r="252" spans="1:39" ht="15.75" customHeight="1" x14ac:dyDescent="0.25">
      <c r="A252" s="194"/>
      <c r="B252" s="194"/>
      <c r="C252" s="194"/>
      <c r="D252" s="194"/>
      <c r="E252" s="194"/>
      <c r="F252" s="194"/>
      <c r="G252" s="194"/>
      <c r="H252" s="194"/>
      <c r="I252" s="194"/>
      <c r="J252" s="194"/>
      <c r="K252" s="194"/>
      <c r="L252" s="194"/>
      <c r="M252" s="194"/>
      <c r="N252" s="194"/>
      <c r="O252" s="194"/>
      <c r="P252" s="194"/>
      <c r="Q252" s="194"/>
      <c r="R252" s="194"/>
      <c r="S252" s="194"/>
      <c r="T252" s="194"/>
      <c r="U252" s="194"/>
      <c r="V252" s="194"/>
      <c r="W252" s="194"/>
      <c r="X252" s="194"/>
      <c r="Y252" s="194"/>
      <c r="Z252" s="194"/>
      <c r="AA252" s="194"/>
      <c r="AB252" s="194"/>
      <c r="AC252" s="194"/>
      <c r="AD252" s="194"/>
      <c r="AE252" s="194"/>
      <c r="AF252" s="194"/>
      <c r="AG252" s="194"/>
      <c r="AH252" s="194"/>
      <c r="AI252" s="194"/>
      <c r="AJ252" s="194"/>
      <c r="AK252" s="194"/>
      <c r="AL252" s="194"/>
      <c r="AM252" s="194"/>
    </row>
    <row r="253" spans="1:39" ht="15.75" customHeight="1" x14ac:dyDescent="0.25">
      <c r="A253" s="194"/>
      <c r="B253" s="194"/>
      <c r="C253" s="194"/>
      <c r="D253" s="194"/>
      <c r="E253" s="194"/>
      <c r="F253" s="194"/>
      <c r="G253" s="194"/>
      <c r="H253" s="194"/>
      <c r="I253" s="194"/>
      <c r="J253" s="194"/>
      <c r="K253" s="194"/>
      <c r="L253" s="194"/>
      <c r="M253" s="194"/>
      <c r="N253" s="194"/>
      <c r="O253" s="194"/>
      <c r="P253" s="194"/>
      <c r="Q253" s="194"/>
      <c r="R253" s="194"/>
      <c r="S253" s="194"/>
      <c r="T253" s="194"/>
      <c r="U253" s="194"/>
      <c r="V253" s="194"/>
      <c r="W253" s="194"/>
      <c r="X253" s="194"/>
      <c r="Y253" s="194"/>
      <c r="Z253" s="194"/>
      <c r="AA253" s="194"/>
      <c r="AB253" s="194"/>
      <c r="AC253" s="194"/>
      <c r="AD253" s="194"/>
      <c r="AE253" s="194"/>
      <c r="AF253" s="194"/>
      <c r="AG253" s="194"/>
      <c r="AH253" s="194"/>
      <c r="AI253" s="194"/>
      <c r="AJ253" s="194"/>
      <c r="AK253" s="194"/>
      <c r="AL253" s="194"/>
      <c r="AM253" s="194"/>
    </row>
    <row r="254" spans="1:39" ht="15.75" customHeight="1" x14ac:dyDescent="0.25">
      <c r="A254" s="194"/>
      <c r="B254" s="194"/>
      <c r="C254" s="194"/>
      <c r="D254" s="194"/>
      <c r="E254" s="194"/>
      <c r="F254" s="194"/>
      <c r="G254" s="194"/>
      <c r="H254" s="194"/>
      <c r="I254" s="194"/>
      <c r="J254" s="194"/>
      <c r="K254" s="194"/>
      <c r="L254" s="194"/>
      <c r="M254" s="194"/>
      <c r="N254" s="194"/>
      <c r="O254" s="194"/>
      <c r="P254" s="194"/>
      <c r="Q254" s="194"/>
      <c r="R254" s="194"/>
      <c r="S254" s="194"/>
      <c r="T254" s="194"/>
      <c r="U254" s="194"/>
      <c r="V254" s="194"/>
      <c r="W254" s="194"/>
      <c r="X254" s="194"/>
      <c r="Y254" s="194"/>
      <c r="Z254" s="194"/>
      <c r="AA254" s="194"/>
      <c r="AB254" s="194"/>
      <c r="AC254" s="194"/>
      <c r="AD254" s="194"/>
      <c r="AE254" s="194"/>
      <c r="AF254" s="194"/>
      <c r="AG254" s="194"/>
      <c r="AH254" s="194"/>
      <c r="AI254" s="194"/>
      <c r="AJ254" s="194"/>
      <c r="AK254" s="194"/>
      <c r="AL254" s="194"/>
      <c r="AM254" s="194"/>
    </row>
    <row r="255" spans="1:39" ht="15.75" customHeight="1" x14ac:dyDescent="0.25">
      <c r="A255" s="194"/>
      <c r="B255" s="194"/>
      <c r="C255" s="194"/>
      <c r="D255" s="194"/>
      <c r="E255" s="194"/>
      <c r="F255" s="194"/>
      <c r="G255" s="194"/>
      <c r="H255" s="194"/>
      <c r="I255" s="194"/>
      <c r="J255" s="194"/>
      <c r="K255" s="194"/>
      <c r="L255" s="194"/>
      <c r="M255" s="194"/>
      <c r="N255" s="194"/>
      <c r="O255" s="194"/>
      <c r="P255" s="194"/>
      <c r="Q255" s="194"/>
      <c r="R255" s="194"/>
      <c r="S255" s="194"/>
      <c r="T255" s="194"/>
      <c r="U255" s="194"/>
      <c r="V255" s="194"/>
      <c r="W255" s="194"/>
      <c r="X255" s="194"/>
      <c r="Y255" s="194"/>
      <c r="Z255" s="194"/>
      <c r="AA255" s="194"/>
      <c r="AB255" s="194"/>
      <c r="AC255" s="194"/>
      <c r="AD255" s="194"/>
      <c r="AE255" s="194"/>
      <c r="AF255" s="194"/>
      <c r="AG255" s="194"/>
      <c r="AH255" s="194"/>
      <c r="AI255" s="194"/>
      <c r="AJ255" s="194"/>
      <c r="AK255" s="194"/>
      <c r="AL255" s="194"/>
      <c r="AM255" s="194"/>
    </row>
    <row r="256" spans="1:39" ht="15.75" customHeight="1" x14ac:dyDescent="0.25">
      <c r="A256" s="194"/>
      <c r="B256" s="194"/>
      <c r="C256" s="194"/>
      <c r="D256" s="194"/>
      <c r="E256" s="194"/>
      <c r="F256" s="194"/>
      <c r="G256" s="194"/>
      <c r="H256" s="194"/>
      <c r="I256" s="194"/>
      <c r="J256" s="194"/>
      <c r="K256" s="194"/>
      <c r="L256" s="194"/>
      <c r="M256" s="194"/>
      <c r="N256" s="194"/>
      <c r="O256" s="194"/>
      <c r="P256" s="194"/>
      <c r="Q256" s="194"/>
      <c r="R256" s="194"/>
      <c r="S256" s="194"/>
      <c r="T256" s="194"/>
      <c r="U256" s="194"/>
      <c r="V256" s="194"/>
      <c r="W256" s="194"/>
      <c r="X256" s="194"/>
      <c r="Y256" s="194"/>
      <c r="Z256" s="194"/>
      <c r="AA256" s="194"/>
      <c r="AB256" s="194"/>
      <c r="AC256" s="194"/>
      <c r="AD256" s="194"/>
      <c r="AE256" s="194"/>
      <c r="AF256" s="194"/>
      <c r="AG256" s="194"/>
      <c r="AH256" s="194"/>
      <c r="AI256" s="194"/>
      <c r="AJ256" s="194"/>
      <c r="AK256" s="194"/>
      <c r="AL256" s="194"/>
      <c r="AM256" s="194"/>
    </row>
    <row r="257" spans="1:39" ht="15.75" customHeight="1" x14ac:dyDescent="0.25">
      <c r="A257" s="194"/>
      <c r="B257" s="194"/>
      <c r="C257" s="194"/>
      <c r="D257" s="194"/>
      <c r="E257" s="194"/>
      <c r="F257" s="194"/>
      <c r="G257" s="194"/>
      <c r="H257" s="194"/>
      <c r="I257" s="194"/>
      <c r="J257" s="194"/>
      <c r="K257" s="194"/>
      <c r="L257" s="194"/>
      <c r="M257" s="194"/>
      <c r="N257" s="194"/>
      <c r="O257" s="194"/>
      <c r="P257" s="194"/>
      <c r="Q257" s="194"/>
      <c r="R257" s="194"/>
      <c r="S257" s="194"/>
      <c r="T257" s="194"/>
      <c r="U257" s="194"/>
      <c r="V257" s="194"/>
      <c r="W257" s="194"/>
      <c r="X257" s="194"/>
      <c r="Y257" s="194"/>
      <c r="Z257" s="194"/>
      <c r="AA257" s="194"/>
      <c r="AB257" s="194"/>
      <c r="AC257" s="194"/>
      <c r="AD257" s="194"/>
      <c r="AE257" s="194"/>
      <c r="AF257" s="194"/>
      <c r="AG257" s="194"/>
      <c r="AH257" s="194"/>
      <c r="AI257" s="194"/>
      <c r="AJ257" s="194"/>
      <c r="AK257" s="194"/>
      <c r="AL257" s="194"/>
      <c r="AM257" s="194"/>
    </row>
    <row r="258" spans="1:39" ht="15.75" customHeight="1" x14ac:dyDescent="0.25">
      <c r="A258" s="194"/>
      <c r="B258" s="194"/>
      <c r="C258" s="194"/>
      <c r="D258" s="194"/>
      <c r="E258" s="194"/>
      <c r="F258" s="194"/>
      <c r="G258" s="194"/>
      <c r="H258" s="194"/>
      <c r="I258" s="194"/>
      <c r="J258" s="194"/>
      <c r="K258" s="194"/>
      <c r="L258" s="194"/>
      <c r="M258" s="194"/>
      <c r="N258" s="194"/>
      <c r="O258" s="194"/>
      <c r="P258" s="194"/>
      <c r="Q258" s="194"/>
      <c r="R258" s="194"/>
      <c r="S258" s="194"/>
      <c r="T258" s="194"/>
      <c r="U258" s="194"/>
      <c r="V258" s="194"/>
      <c r="W258" s="194"/>
      <c r="X258" s="194"/>
      <c r="Y258" s="194"/>
      <c r="Z258" s="194"/>
      <c r="AA258" s="194"/>
      <c r="AB258" s="194"/>
      <c r="AC258" s="194"/>
      <c r="AD258" s="194"/>
      <c r="AE258" s="194"/>
      <c r="AF258" s="194"/>
      <c r="AG258" s="194"/>
      <c r="AH258" s="194"/>
      <c r="AI258" s="194"/>
      <c r="AJ258" s="194"/>
      <c r="AK258" s="194"/>
      <c r="AL258" s="194"/>
      <c r="AM258" s="194"/>
    </row>
    <row r="259" spans="1:39" ht="15.75" customHeight="1" x14ac:dyDescent="0.25">
      <c r="A259" s="194"/>
      <c r="B259" s="194"/>
      <c r="C259" s="194"/>
      <c r="D259" s="194"/>
      <c r="E259" s="194"/>
      <c r="F259" s="194"/>
      <c r="G259" s="194"/>
      <c r="H259" s="194"/>
      <c r="I259" s="194"/>
      <c r="J259" s="194"/>
      <c r="K259" s="194"/>
      <c r="L259" s="194"/>
      <c r="M259" s="194"/>
      <c r="N259" s="194"/>
      <c r="O259" s="194"/>
      <c r="P259" s="194"/>
      <c r="Q259" s="194"/>
      <c r="R259" s="194"/>
      <c r="S259" s="194"/>
      <c r="T259" s="194"/>
      <c r="U259" s="194"/>
      <c r="V259" s="194"/>
      <c r="W259" s="194"/>
      <c r="X259" s="194"/>
      <c r="Y259" s="194"/>
      <c r="Z259" s="194"/>
      <c r="AA259" s="194"/>
      <c r="AB259" s="194"/>
      <c r="AC259" s="194"/>
      <c r="AD259" s="194"/>
      <c r="AE259" s="194"/>
      <c r="AF259" s="194"/>
      <c r="AG259" s="194"/>
      <c r="AH259" s="194"/>
      <c r="AI259" s="194"/>
      <c r="AJ259" s="194"/>
      <c r="AK259" s="194"/>
      <c r="AL259" s="194"/>
      <c r="AM259" s="194"/>
    </row>
    <row r="260" spans="1:39" ht="15.75" customHeight="1" x14ac:dyDescent="0.25">
      <c r="A260" s="194"/>
      <c r="B260" s="194"/>
      <c r="C260" s="194"/>
      <c r="D260" s="194"/>
      <c r="E260" s="194"/>
      <c r="F260" s="194"/>
      <c r="G260" s="194"/>
      <c r="H260" s="194"/>
      <c r="I260" s="194"/>
      <c r="J260" s="194"/>
      <c r="K260" s="194"/>
      <c r="L260" s="194"/>
      <c r="M260" s="194"/>
      <c r="N260" s="194"/>
      <c r="O260" s="194"/>
      <c r="P260" s="194"/>
      <c r="Q260" s="194"/>
      <c r="R260" s="194"/>
      <c r="S260" s="194"/>
      <c r="T260" s="194"/>
      <c r="U260" s="194"/>
      <c r="V260" s="194"/>
      <c r="W260" s="194"/>
      <c r="X260" s="194"/>
      <c r="Y260" s="194"/>
      <c r="Z260" s="194"/>
      <c r="AA260" s="194"/>
      <c r="AB260" s="194"/>
      <c r="AC260" s="194"/>
      <c r="AD260" s="194"/>
      <c r="AE260" s="194"/>
      <c r="AF260" s="194"/>
      <c r="AG260" s="194"/>
      <c r="AH260" s="194"/>
      <c r="AI260" s="194"/>
      <c r="AJ260" s="194"/>
      <c r="AK260" s="194"/>
      <c r="AL260" s="194"/>
      <c r="AM260" s="194"/>
    </row>
    <row r="261" spans="1:39" ht="15.75" customHeight="1" x14ac:dyDescent="0.25">
      <c r="A261" s="194"/>
      <c r="B261" s="194"/>
      <c r="C261" s="194"/>
      <c r="D261" s="194"/>
      <c r="E261" s="194"/>
      <c r="F261" s="194"/>
      <c r="G261" s="194"/>
      <c r="H261" s="194"/>
      <c r="I261" s="194"/>
      <c r="J261" s="194"/>
      <c r="K261" s="194"/>
      <c r="L261" s="194"/>
      <c r="M261" s="194"/>
      <c r="N261" s="194"/>
      <c r="O261" s="194"/>
      <c r="P261" s="194"/>
      <c r="Q261" s="194"/>
      <c r="R261" s="194"/>
      <c r="S261" s="194"/>
      <c r="T261" s="194"/>
      <c r="U261" s="194"/>
      <c r="V261" s="194"/>
      <c r="W261" s="194"/>
      <c r="X261" s="194"/>
      <c r="Y261" s="194"/>
      <c r="Z261" s="194"/>
      <c r="AA261" s="194"/>
      <c r="AB261" s="194"/>
      <c r="AC261" s="194"/>
      <c r="AD261" s="194"/>
      <c r="AE261" s="194"/>
      <c r="AF261" s="194"/>
      <c r="AG261" s="194"/>
      <c r="AH261" s="194"/>
      <c r="AI261" s="194"/>
      <c r="AJ261" s="194"/>
      <c r="AK261" s="194"/>
      <c r="AL261" s="194"/>
      <c r="AM261" s="194"/>
    </row>
    <row r="262" spans="1:39" ht="15.75" customHeight="1" x14ac:dyDescent="0.25">
      <c r="A262" s="194"/>
      <c r="B262" s="194"/>
      <c r="C262" s="194"/>
      <c r="D262" s="194"/>
      <c r="E262" s="194"/>
      <c r="F262" s="194"/>
      <c r="G262" s="194"/>
      <c r="H262" s="194"/>
      <c r="I262" s="194"/>
      <c r="J262" s="194"/>
      <c r="K262" s="194"/>
      <c r="L262" s="194"/>
      <c r="M262" s="194"/>
      <c r="N262" s="194"/>
      <c r="O262" s="194"/>
      <c r="P262" s="194"/>
      <c r="Q262" s="194"/>
      <c r="R262" s="194"/>
      <c r="S262" s="194"/>
      <c r="T262" s="194"/>
      <c r="U262" s="194"/>
      <c r="V262" s="194"/>
      <c r="W262" s="194"/>
      <c r="X262" s="194"/>
      <c r="Y262" s="194"/>
      <c r="Z262" s="194"/>
      <c r="AA262" s="194"/>
      <c r="AB262" s="194"/>
      <c r="AC262" s="194"/>
      <c r="AD262" s="194"/>
      <c r="AE262" s="194"/>
      <c r="AF262" s="194"/>
      <c r="AG262" s="194"/>
      <c r="AH262" s="194"/>
      <c r="AI262" s="194"/>
      <c r="AJ262" s="194"/>
      <c r="AK262" s="194"/>
      <c r="AL262" s="194"/>
      <c r="AM262" s="194"/>
    </row>
    <row r="263" spans="1:39" ht="15.75" customHeight="1" x14ac:dyDescent="0.25">
      <c r="A263" s="194"/>
      <c r="B263" s="194"/>
      <c r="C263" s="194"/>
      <c r="D263" s="194"/>
      <c r="E263" s="194"/>
      <c r="F263" s="194"/>
      <c r="G263" s="194"/>
      <c r="H263" s="194"/>
      <c r="I263" s="194"/>
      <c r="J263" s="194"/>
      <c r="K263" s="194"/>
      <c r="L263" s="194"/>
      <c r="M263" s="194"/>
      <c r="N263" s="194"/>
      <c r="O263" s="194"/>
      <c r="P263" s="194"/>
      <c r="Q263" s="194"/>
      <c r="R263" s="194"/>
      <c r="S263" s="194"/>
      <c r="T263" s="194"/>
      <c r="U263" s="194"/>
      <c r="V263" s="194"/>
      <c r="W263" s="194"/>
      <c r="X263" s="194"/>
      <c r="Y263" s="194"/>
      <c r="Z263" s="194"/>
      <c r="AA263" s="194"/>
      <c r="AB263" s="194"/>
      <c r="AC263" s="194"/>
      <c r="AD263" s="194"/>
      <c r="AE263" s="194"/>
      <c r="AF263" s="194"/>
      <c r="AG263" s="194"/>
      <c r="AH263" s="194"/>
      <c r="AI263" s="194"/>
      <c r="AJ263" s="194"/>
      <c r="AK263" s="194"/>
      <c r="AL263" s="194"/>
      <c r="AM263" s="194"/>
    </row>
    <row r="264" spans="1:39" ht="15.75" customHeight="1" x14ac:dyDescent="0.25">
      <c r="A264" s="194"/>
      <c r="B264" s="194"/>
      <c r="C264" s="194"/>
      <c r="D264" s="194"/>
      <c r="E264" s="194"/>
      <c r="F264" s="194"/>
      <c r="G264" s="194"/>
      <c r="H264" s="194"/>
      <c r="I264" s="194"/>
      <c r="J264" s="194"/>
      <c r="K264" s="194"/>
      <c r="L264" s="194"/>
      <c r="M264" s="194"/>
      <c r="N264" s="194"/>
      <c r="O264" s="194"/>
      <c r="P264" s="194"/>
      <c r="Q264" s="194"/>
      <c r="R264" s="194"/>
      <c r="S264" s="194"/>
      <c r="T264" s="194"/>
      <c r="U264" s="194"/>
      <c r="V264" s="194"/>
      <c r="W264" s="194"/>
      <c r="X264" s="194"/>
      <c r="Y264" s="194"/>
      <c r="Z264" s="194"/>
      <c r="AA264" s="194"/>
      <c r="AB264" s="194"/>
      <c r="AC264" s="194"/>
      <c r="AD264" s="194"/>
      <c r="AE264" s="194"/>
      <c r="AF264" s="194"/>
      <c r="AG264" s="194"/>
      <c r="AH264" s="194"/>
      <c r="AI264" s="194"/>
      <c r="AJ264" s="194"/>
      <c r="AK264" s="194"/>
      <c r="AL264" s="194"/>
      <c r="AM264" s="194"/>
    </row>
    <row r="265" spans="1:39" ht="15.75" customHeight="1" x14ac:dyDescent="0.25">
      <c r="A265" s="194"/>
      <c r="B265" s="194"/>
      <c r="C265" s="194"/>
      <c r="D265" s="194"/>
      <c r="E265" s="194"/>
      <c r="F265" s="194"/>
      <c r="G265" s="194"/>
      <c r="H265" s="194"/>
      <c r="I265" s="194"/>
      <c r="J265" s="194"/>
      <c r="K265" s="194"/>
      <c r="L265" s="194"/>
      <c r="M265" s="194"/>
      <c r="N265" s="194"/>
      <c r="O265" s="194"/>
      <c r="P265" s="194"/>
      <c r="Q265" s="194"/>
      <c r="R265" s="194"/>
      <c r="S265" s="194"/>
      <c r="T265" s="194"/>
      <c r="U265" s="194"/>
      <c r="V265" s="194"/>
      <c r="W265" s="194"/>
      <c r="X265" s="194"/>
      <c r="Y265" s="194"/>
      <c r="Z265" s="194"/>
      <c r="AA265" s="194"/>
      <c r="AB265" s="194"/>
      <c r="AC265" s="194"/>
      <c r="AD265" s="194"/>
      <c r="AE265" s="194"/>
      <c r="AF265" s="194"/>
      <c r="AG265" s="194"/>
      <c r="AH265" s="194"/>
      <c r="AI265" s="194"/>
      <c r="AJ265" s="194"/>
      <c r="AK265" s="194"/>
      <c r="AL265" s="194"/>
      <c r="AM265" s="194"/>
    </row>
    <row r="266" spans="1:39" ht="15.75" customHeight="1" x14ac:dyDescent="0.25">
      <c r="A266" s="194"/>
      <c r="B266" s="194"/>
      <c r="C266" s="194"/>
      <c r="D266" s="194"/>
      <c r="E266" s="194"/>
      <c r="F266" s="194"/>
      <c r="G266" s="194"/>
      <c r="H266" s="194"/>
      <c r="I266" s="194"/>
      <c r="J266" s="194"/>
      <c r="K266" s="194"/>
      <c r="L266" s="194"/>
      <c r="M266" s="194"/>
      <c r="N266" s="194"/>
      <c r="O266" s="194"/>
      <c r="P266" s="194"/>
      <c r="Q266" s="194"/>
      <c r="R266" s="194"/>
      <c r="S266" s="194"/>
      <c r="T266" s="194"/>
      <c r="U266" s="194"/>
      <c r="V266" s="194"/>
      <c r="W266" s="194"/>
      <c r="X266" s="194"/>
      <c r="Y266" s="194"/>
      <c r="Z266" s="194"/>
      <c r="AA266" s="194"/>
      <c r="AB266" s="194"/>
      <c r="AC266" s="194"/>
      <c r="AD266" s="194"/>
      <c r="AE266" s="194"/>
      <c r="AF266" s="194"/>
      <c r="AG266" s="194"/>
      <c r="AH266" s="194"/>
      <c r="AI266" s="194"/>
      <c r="AJ266" s="194"/>
      <c r="AK266" s="194"/>
      <c r="AL266" s="194"/>
      <c r="AM266" s="194"/>
    </row>
    <row r="267" spans="1:39" ht="15.75" customHeight="1" x14ac:dyDescent="0.25">
      <c r="A267" s="194"/>
      <c r="B267" s="194"/>
      <c r="C267" s="194"/>
      <c r="D267" s="194"/>
      <c r="E267" s="194"/>
      <c r="F267" s="194"/>
      <c r="G267" s="194"/>
      <c r="H267" s="194"/>
      <c r="I267" s="194"/>
      <c r="J267" s="194"/>
      <c r="K267" s="194"/>
      <c r="L267" s="194"/>
      <c r="M267" s="194"/>
      <c r="N267" s="194"/>
      <c r="O267" s="194"/>
      <c r="P267" s="194"/>
      <c r="Q267" s="194"/>
      <c r="R267" s="194"/>
      <c r="S267" s="194"/>
      <c r="T267" s="194"/>
      <c r="U267" s="194"/>
      <c r="V267" s="194"/>
      <c r="W267" s="194"/>
      <c r="X267" s="194"/>
      <c r="Y267" s="194"/>
      <c r="Z267" s="194"/>
      <c r="AA267" s="194"/>
      <c r="AB267" s="194"/>
      <c r="AC267" s="194"/>
      <c r="AD267" s="194"/>
      <c r="AE267" s="194"/>
      <c r="AF267" s="194"/>
      <c r="AG267" s="194"/>
      <c r="AH267" s="194"/>
      <c r="AI267" s="194"/>
      <c r="AJ267" s="194"/>
      <c r="AK267" s="194"/>
      <c r="AL267" s="194"/>
      <c r="AM267" s="194"/>
    </row>
    <row r="268" spans="1:39" ht="15.75" customHeight="1" x14ac:dyDescent="0.25">
      <c r="A268" s="194"/>
      <c r="B268" s="194"/>
      <c r="C268" s="194"/>
      <c r="D268" s="194"/>
      <c r="E268" s="194"/>
      <c r="F268" s="194"/>
      <c r="G268" s="194"/>
      <c r="H268" s="194"/>
      <c r="I268" s="194"/>
      <c r="J268" s="194"/>
      <c r="K268" s="194"/>
      <c r="L268" s="194"/>
      <c r="M268" s="194"/>
      <c r="N268" s="194"/>
      <c r="O268" s="194"/>
      <c r="P268" s="194"/>
      <c r="Q268" s="194"/>
      <c r="R268" s="194"/>
      <c r="S268" s="194"/>
      <c r="T268" s="194"/>
      <c r="U268" s="194"/>
      <c r="V268" s="194"/>
      <c r="W268" s="194"/>
      <c r="X268" s="194"/>
      <c r="Y268" s="194"/>
      <c r="Z268" s="194"/>
      <c r="AA268" s="194"/>
      <c r="AB268" s="194"/>
      <c r="AC268" s="194"/>
      <c r="AD268" s="194"/>
      <c r="AE268" s="194"/>
      <c r="AF268" s="194"/>
      <c r="AG268" s="194"/>
      <c r="AH268" s="194"/>
      <c r="AI268" s="194"/>
      <c r="AJ268" s="194"/>
      <c r="AK268" s="194"/>
      <c r="AL268" s="194"/>
      <c r="AM268" s="194"/>
    </row>
    <row r="269" spans="1:39" ht="15.75" customHeight="1" x14ac:dyDescent="0.25">
      <c r="A269" s="194"/>
      <c r="B269" s="194"/>
      <c r="C269" s="194"/>
      <c r="D269" s="194"/>
      <c r="E269" s="194"/>
      <c r="F269" s="194"/>
      <c r="G269" s="194"/>
      <c r="H269" s="194"/>
      <c r="I269" s="194"/>
      <c r="J269" s="194"/>
      <c r="K269" s="194"/>
      <c r="L269" s="194"/>
      <c r="M269" s="194"/>
      <c r="N269" s="194"/>
      <c r="O269" s="194"/>
      <c r="P269" s="194"/>
      <c r="Q269" s="194"/>
      <c r="R269" s="194"/>
      <c r="S269" s="194"/>
      <c r="T269" s="194"/>
      <c r="U269" s="194"/>
      <c r="V269" s="194"/>
      <c r="W269" s="194"/>
      <c r="X269" s="194"/>
      <c r="Y269" s="194"/>
      <c r="Z269" s="194"/>
      <c r="AA269" s="194"/>
      <c r="AB269" s="194"/>
      <c r="AC269" s="194"/>
      <c r="AD269" s="194"/>
      <c r="AE269" s="194"/>
      <c r="AF269" s="194"/>
      <c r="AG269" s="194"/>
      <c r="AH269" s="194"/>
      <c r="AI269" s="194"/>
      <c r="AJ269" s="194"/>
      <c r="AK269" s="194"/>
      <c r="AL269" s="194"/>
      <c r="AM269" s="194"/>
    </row>
    <row r="270" spans="1:39" ht="15.75" customHeight="1" x14ac:dyDescent="0.25">
      <c r="A270" s="194"/>
      <c r="B270" s="194"/>
      <c r="C270" s="194"/>
      <c r="D270" s="194"/>
      <c r="E270" s="194"/>
      <c r="F270" s="194"/>
      <c r="G270" s="194"/>
      <c r="H270" s="194"/>
      <c r="I270" s="194"/>
      <c r="J270" s="194"/>
      <c r="K270" s="194"/>
      <c r="L270" s="194"/>
      <c r="M270" s="194"/>
      <c r="N270" s="194"/>
      <c r="O270" s="194"/>
      <c r="P270" s="194"/>
      <c r="Q270" s="194"/>
      <c r="R270" s="194"/>
      <c r="S270" s="194"/>
      <c r="T270" s="194"/>
      <c r="U270" s="194"/>
      <c r="V270" s="194"/>
      <c r="W270" s="194"/>
      <c r="X270" s="194"/>
      <c r="Y270" s="194"/>
      <c r="Z270" s="194"/>
      <c r="AA270" s="194"/>
      <c r="AB270" s="194"/>
      <c r="AC270" s="194"/>
      <c r="AD270" s="194"/>
      <c r="AE270" s="194"/>
      <c r="AF270" s="194"/>
      <c r="AG270" s="194"/>
      <c r="AH270" s="194"/>
      <c r="AI270" s="194"/>
      <c r="AJ270" s="194"/>
      <c r="AK270" s="194"/>
      <c r="AL270" s="194"/>
      <c r="AM270" s="194"/>
    </row>
    <row r="271" spans="1:39" ht="15.75" customHeight="1" x14ac:dyDescent="0.25">
      <c r="A271" s="194"/>
      <c r="B271" s="194"/>
      <c r="C271" s="194"/>
      <c r="D271" s="194"/>
      <c r="E271" s="194"/>
      <c r="F271" s="194"/>
      <c r="G271" s="194"/>
      <c r="H271" s="194"/>
      <c r="I271" s="194"/>
      <c r="J271" s="194"/>
      <c r="K271" s="194"/>
      <c r="L271" s="194"/>
      <c r="M271" s="194"/>
      <c r="N271" s="194"/>
      <c r="O271" s="194"/>
      <c r="P271" s="194"/>
      <c r="Q271" s="194"/>
      <c r="R271" s="194"/>
      <c r="S271" s="194"/>
      <c r="T271" s="194"/>
      <c r="U271" s="194"/>
      <c r="V271" s="194"/>
      <c r="W271" s="194"/>
      <c r="X271" s="194"/>
      <c r="Y271" s="194"/>
      <c r="Z271" s="194"/>
      <c r="AA271" s="194"/>
      <c r="AB271" s="194"/>
      <c r="AC271" s="194"/>
      <c r="AD271" s="194"/>
      <c r="AE271" s="194"/>
      <c r="AF271" s="194"/>
      <c r="AG271" s="194"/>
      <c r="AH271" s="194"/>
      <c r="AI271" s="194"/>
      <c r="AJ271" s="194"/>
      <c r="AK271" s="194"/>
      <c r="AL271" s="194"/>
      <c r="AM271" s="194"/>
    </row>
    <row r="272" spans="1:39" ht="15.75" customHeight="1" x14ac:dyDescent="0.25">
      <c r="A272" s="194"/>
      <c r="B272" s="194"/>
      <c r="C272" s="194"/>
      <c r="D272" s="194"/>
      <c r="E272" s="194"/>
      <c r="F272" s="194"/>
      <c r="G272" s="194"/>
      <c r="H272" s="194"/>
      <c r="I272" s="194"/>
      <c r="J272" s="194"/>
      <c r="K272" s="194"/>
      <c r="L272" s="194"/>
      <c r="M272" s="194"/>
      <c r="N272" s="194"/>
      <c r="O272" s="194"/>
      <c r="P272" s="194"/>
      <c r="Q272" s="194"/>
      <c r="R272" s="194"/>
      <c r="S272" s="194"/>
      <c r="T272" s="194"/>
      <c r="U272" s="194"/>
      <c r="V272" s="194"/>
      <c r="W272" s="194"/>
      <c r="X272" s="194"/>
      <c r="Y272" s="194"/>
      <c r="Z272" s="194"/>
      <c r="AA272" s="194"/>
      <c r="AB272" s="194"/>
      <c r="AC272" s="194"/>
      <c r="AD272" s="194"/>
      <c r="AE272" s="194"/>
      <c r="AF272" s="194"/>
      <c r="AG272" s="194"/>
      <c r="AH272" s="194"/>
      <c r="AI272" s="194"/>
      <c r="AJ272" s="194"/>
      <c r="AK272" s="194"/>
      <c r="AL272" s="194"/>
      <c r="AM272" s="194"/>
    </row>
    <row r="273" spans="1:39" ht="15.75" customHeight="1" x14ac:dyDescent="0.25">
      <c r="A273" s="194"/>
      <c r="B273" s="194"/>
      <c r="C273" s="194"/>
      <c r="D273" s="194"/>
      <c r="E273" s="194"/>
      <c r="F273" s="194"/>
      <c r="G273" s="194"/>
      <c r="H273" s="194"/>
      <c r="I273" s="194"/>
      <c r="J273" s="194"/>
      <c r="K273" s="194"/>
      <c r="L273" s="194"/>
      <c r="M273" s="194"/>
      <c r="N273" s="194"/>
      <c r="O273" s="194"/>
      <c r="P273" s="194"/>
      <c r="Q273" s="194"/>
      <c r="R273" s="194"/>
      <c r="S273" s="194"/>
      <c r="T273" s="194"/>
      <c r="U273" s="194"/>
      <c r="V273" s="194"/>
      <c r="W273" s="194"/>
      <c r="X273" s="194"/>
      <c r="Y273" s="194"/>
      <c r="Z273" s="194"/>
      <c r="AA273" s="194"/>
      <c r="AB273" s="194"/>
      <c r="AC273" s="194"/>
      <c r="AD273" s="194"/>
      <c r="AE273" s="194"/>
      <c r="AF273" s="194"/>
      <c r="AG273" s="194"/>
      <c r="AH273" s="194"/>
      <c r="AI273" s="194"/>
      <c r="AJ273" s="194"/>
      <c r="AK273" s="194"/>
      <c r="AL273" s="194"/>
      <c r="AM273" s="194"/>
    </row>
    <row r="274" spans="1:39" ht="15.75" customHeight="1" x14ac:dyDescent="0.25">
      <c r="A274" s="194"/>
      <c r="B274" s="194"/>
      <c r="C274" s="194"/>
      <c r="D274" s="194"/>
      <c r="E274" s="194"/>
      <c r="F274" s="194"/>
      <c r="G274" s="194"/>
      <c r="H274" s="194"/>
      <c r="I274" s="194"/>
      <c r="J274" s="194"/>
      <c r="K274" s="194"/>
      <c r="L274" s="194"/>
      <c r="M274" s="194"/>
      <c r="N274" s="194"/>
      <c r="O274" s="194"/>
      <c r="P274" s="194"/>
      <c r="Q274" s="194"/>
      <c r="R274" s="194"/>
      <c r="S274" s="194"/>
      <c r="T274" s="194"/>
      <c r="U274" s="194"/>
      <c r="V274" s="194"/>
      <c r="W274" s="194"/>
      <c r="X274" s="194"/>
      <c r="Y274" s="194"/>
      <c r="Z274" s="194"/>
      <c r="AA274" s="194"/>
      <c r="AB274" s="194"/>
      <c r="AC274" s="194"/>
      <c r="AD274" s="194"/>
      <c r="AE274" s="194"/>
      <c r="AF274" s="194"/>
      <c r="AG274" s="194"/>
      <c r="AH274" s="194"/>
      <c r="AI274" s="194"/>
      <c r="AJ274" s="194"/>
      <c r="AK274" s="194"/>
      <c r="AL274" s="194"/>
      <c r="AM274" s="194"/>
    </row>
    <row r="275" spans="1:39" ht="15.75" customHeight="1" x14ac:dyDescent="0.25">
      <c r="A275" s="194"/>
      <c r="B275" s="194"/>
      <c r="C275" s="194"/>
      <c r="D275" s="194"/>
      <c r="E275" s="194"/>
      <c r="F275" s="194"/>
      <c r="G275" s="194"/>
      <c r="H275" s="194"/>
      <c r="I275" s="194"/>
      <c r="J275" s="194"/>
      <c r="K275" s="194"/>
      <c r="L275" s="194"/>
      <c r="M275" s="194"/>
      <c r="N275" s="194"/>
      <c r="O275" s="194"/>
      <c r="P275" s="194"/>
      <c r="Q275" s="194"/>
      <c r="R275" s="194"/>
      <c r="S275" s="194"/>
      <c r="T275" s="194"/>
      <c r="U275" s="194"/>
      <c r="V275" s="194"/>
      <c r="W275" s="194"/>
      <c r="X275" s="194"/>
      <c r="Y275" s="194"/>
      <c r="Z275" s="194"/>
      <c r="AA275" s="194"/>
      <c r="AB275" s="194"/>
      <c r="AC275" s="194"/>
      <c r="AD275" s="194"/>
      <c r="AE275" s="194"/>
      <c r="AF275" s="194"/>
      <c r="AG275" s="194"/>
      <c r="AH275" s="194"/>
      <c r="AI275" s="194"/>
      <c r="AJ275" s="194"/>
      <c r="AK275" s="194"/>
      <c r="AL275" s="194"/>
      <c r="AM275" s="194"/>
    </row>
    <row r="276" spans="1:39" ht="15.75" customHeight="1" x14ac:dyDescent="0.25">
      <c r="A276" s="194"/>
      <c r="B276" s="194"/>
      <c r="C276" s="194"/>
      <c r="D276" s="194"/>
      <c r="E276" s="194"/>
      <c r="F276" s="194"/>
      <c r="G276" s="194"/>
      <c r="H276" s="194"/>
      <c r="I276" s="194"/>
      <c r="J276" s="194"/>
      <c r="K276" s="194"/>
      <c r="L276" s="194"/>
      <c r="M276" s="194"/>
      <c r="N276" s="194"/>
      <c r="O276" s="194"/>
      <c r="P276" s="194"/>
      <c r="Q276" s="194"/>
      <c r="R276" s="194"/>
      <c r="S276" s="194"/>
      <c r="T276" s="194"/>
      <c r="U276" s="194"/>
      <c r="V276" s="194"/>
      <c r="W276" s="194"/>
      <c r="X276" s="194"/>
      <c r="Y276" s="194"/>
      <c r="Z276" s="194"/>
      <c r="AA276" s="194"/>
      <c r="AB276" s="194"/>
      <c r="AC276" s="194"/>
      <c r="AD276" s="194"/>
      <c r="AE276" s="194"/>
      <c r="AF276" s="194"/>
      <c r="AG276" s="194"/>
      <c r="AH276" s="194"/>
      <c r="AI276" s="194"/>
      <c r="AJ276" s="194"/>
      <c r="AK276" s="194"/>
      <c r="AL276" s="194"/>
      <c r="AM276" s="194"/>
    </row>
    <row r="277" spans="1:39" ht="15.75" customHeight="1" x14ac:dyDescent="0.25">
      <c r="A277" s="194"/>
      <c r="B277" s="194"/>
      <c r="C277" s="194"/>
      <c r="D277" s="194"/>
      <c r="E277" s="194"/>
      <c r="F277" s="194"/>
      <c r="G277" s="194"/>
      <c r="H277" s="194"/>
      <c r="I277" s="194"/>
      <c r="J277" s="194"/>
      <c r="K277" s="194"/>
      <c r="L277" s="194"/>
      <c r="M277" s="194"/>
      <c r="N277" s="194"/>
      <c r="O277" s="194"/>
      <c r="P277" s="194"/>
      <c r="Q277" s="194"/>
      <c r="R277" s="194"/>
      <c r="S277" s="194"/>
      <c r="T277" s="194"/>
      <c r="U277" s="194"/>
      <c r="V277" s="194"/>
      <c r="W277" s="194"/>
      <c r="X277" s="194"/>
      <c r="Y277" s="194"/>
      <c r="Z277" s="194"/>
      <c r="AA277" s="194"/>
      <c r="AB277" s="194"/>
      <c r="AC277" s="194"/>
      <c r="AD277" s="194"/>
      <c r="AE277" s="194"/>
      <c r="AF277" s="194"/>
      <c r="AG277" s="194"/>
      <c r="AH277" s="194"/>
      <c r="AI277" s="194"/>
      <c r="AJ277" s="194"/>
      <c r="AK277" s="194"/>
      <c r="AL277" s="194"/>
      <c r="AM277" s="194"/>
    </row>
    <row r="278" spans="1:39" ht="15.75" customHeight="1" x14ac:dyDescent="0.25">
      <c r="A278" s="194"/>
      <c r="B278" s="194"/>
      <c r="C278" s="194"/>
      <c r="D278" s="194"/>
      <c r="E278" s="194"/>
      <c r="F278" s="194"/>
      <c r="G278" s="194"/>
      <c r="H278" s="194"/>
      <c r="I278" s="194"/>
      <c r="J278" s="194"/>
      <c r="K278" s="194"/>
      <c r="L278" s="194"/>
      <c r="M278" s="194"/>
      <c r="N278" s="194"/>
      <c r="O278" s="194"/>
      <c r="P278" s="194"/>
      <c r="Q278" s="194"/>
      <c r="R278" s="194"/>
      <c r="S278" s="194"/>
      <c r="T278" s="194"/>
      <c r="U278" s="194"/>
      <c r="V278" s="194"/>
      <c r="W278" s="194"/>
      <c r="X278" s="194"/>
      <c r="Y278" s="194"/>
      <c r="Z278" s="194"/>
      <c r="AA278" s="194"/>
      <c r="AB278" s="194"/>
      <c r="AC278" s="194"/>
      <c r="AD278" s="194"/>
      <c r="AE278" s="194"/>
      <c r="AF278" s="194"/>
      <c r="AG278" s="194"/>
      <c r="AH278" s="194"/>
      <c r="AI278" s="194"/>
      <c r="AJ278" s="194"/>
      <c r="AK278" s="194"/>
      <c r="AL278" s="194"/>
      <c r="AM278" s="194"/>
    </row>
    <row r="279" spans="1:39" ht="15.75" customHeight="1" x14ac:dyDescent="0.25">
      <c r="A279" s="194"/>
      <c r="B279" s="194"/>
      <c r="C279" s="194"/>
      <c r="D279" s="194"/>
      <c r="E279" s="194"/>
      <c r="F279" s="194"/>
      <c r="G279" s="194"/>
      <c r="H279" s="194"/>
      <c r="I279" s="194"/>
      <c r="J279" s="194"/>
      <c r="K279" s="194"/>
      <c r="L279" s="194"/>
      <c r="M279" s="194"/>
      <c r="N279" s="194"/>
      <c r="O279" s="194"/>
      <c r="P279" s="194"/>
      <c r="Q279" s="194"/>
      <c r="R279" s="194"/>
      <c r="S279" s="194"/>
      <c r="T279" s="194"/>
      <c r="U279" s="194"/>
      <c r="V279" s="194"/>
      <c r="W279" s="194"/>
      <c r="X279" s="194"/>
      <c r="Y279" s="194"/>
      <c r="Z279" s="194"/>
      <c r="AA279" s="194"/>
      <c r="AB279" s="194"/>
      <c r="AC279" s="194"/>
      <c r="AD279" s="194"/>
      <c r="AE279" s="194"/>
      <c r="AF279" s="194"/>
      <c r="AG279" s="194"/>
      <c r="AH279" s="194"/>
      <c r="AI279" s="194"/>
      <c r="AJ279" s="194"/>
      <c r="AK279" s="194"/>
      <c r="AL279" s="194"/>
      <c r="AM279" s="194"/>
    </row>
    <row r="280" spans="1:39" ht="15.75" customHeight="1" x14ac:dyDescent="0.25">
      <c r="A280" s="194"/>
      <c r="B280" s="194"/>
      <c r="C280" s="194"/>
      <c r="D280" s="194"/>
      <c r="E280" s="194"/>
      <c r="F280" s="194"/>
      <c r="G280" s="194"/>
      <c r="H280" s="194"/>
      <c r="I280" s="194"/>
      <c r="J280" s="194"/>
      <c r="K280" s="194"/>
      <c r="L280" s="194"/>
      <c r="M280" s="194"/>
      <c r="N280" s="194"/>
      <c r="O280" s="194"/>
      <c r="P280" s="194"/>
      <c r="Q280" s="194"/>
      <c r="R280" s="194"/>
      <c r="S280" s="194"/>
      <c r="T280" s="194"/>
      <c r="U280" s="194"/>
      <c r="V280" s="194"/>
      <c r="W280" s="194"/>
      <c r="X280" s="194"/>
      <c r="Y280" s="194"/>
      <c r="Z280" s="194"/>
      <c r="AA280" s="194"/>
      <c r="AB280" s="194"/>
      <c r="AC280" s="194"/>
      <c r="AD280" s="194"/>
      <c r="AE280" s="194"/>
      <c r="AF280" s="194"/>
      <c r="AG280" s="194"/>
      <c r="AH280" s="194"/>
      <c r="AI280" s="194"/>
      <c r="AJ280" s="194"/>
      <c r="AK280" s="194"/>
      <c r="AL280" s="194"/>
      <c r="AM280" s="194"/>
    </row>
    <row r="281" spans="1:39" ht="15.75" customHeight="1" x14ac:dyDescent="0.25">
      <c r="A281" s="194"/>
      <c r="B281" s="194"/>
      <c r="C281" s="194"/>
      <c r="D281" s="194"/>
      <c r="E281" s="194"/>
      <c r="F281" s="194"/>
      <c r="G281" s="194"/>
      <c r="H281" s="194"/>
      <c r="I281" s="194"/>
      <c r="J281" s="194"/>
      <c r="K281" s="194"/>
      <c r="L281" s="194"/>
      <c r="M281" s="194"/>
      <c r="N281" s="194"/>
      <c r="O281" s="194"/>
      <c r="P281" s="194"/>
      <c r="Q281" s="194"/>
      <c r="R281" s="194"/>
      <c r="S281" s="194"/>
      <c r="T281" s="194"/>
      <c r="U281" s="194"/>
      <c r="V281" s="194"/>
      <c r="W281" s="194"/>
      <c r="X281" s="194"/>
      <c r="Y281" s="194"/>
      <c r="Z281" s="194"/>
      <c r="AA281" s="194"/>
      <c r="AB281" s="194"/>
      <c r="AC281" s="194"/>
      <c r="AD281" s="194"/>
      <c r="AE281" s="194"/>
      <c r="AF281" s="194"/>
      <c r="AG281" s="194"/>
      <c r="AH281" s="194"/>
      <c r="AI281" s="194"/>
      <c r="AJ281" s="194"/>
      <c r="AK281" s="194"/>
      <c r="AL281" s="194"/>
      <c r="AM281" s="194"/>
    </row>
    <row r="282" spans="1:39" ht="15.75" customHeight="1" x14ac:dyDescent="0.25">
      <c r="A282" s="194"/>
      <c r="B282" s="194"/>
      <c r="C282" s="194"/>
      <c r="D282" s="194"/>
      <c r="E282" s="194"/>
      <c r="F282" s="194"/>
      <c r="G282" s="194"/>
      <c r="H282" s="194"/>
      <c r="I282" s="194"/>
      <c r="J282" s="194"/>
      <c r="K282" s="194"/>
      <c r="L282" s="194"/>
      <c r="M282" s="194"/>
      <c r="N282" s="194"/>
      <c r="O282" s="194"/>
      <c r="P282" s="194"/>
      <c r="Q282" s="194"/>
      <c r="R282" s="194"/>
      <c r="S282" s="194"/>
      <c r="T282" s="194"/>
      <c r="U282" s="194"/>
      <c r="V282" s="194"/>
      <c r="W282" s="194"/>
      <c r="X282" s="194"/>
      <c r="Y282" s="194"/>
      <c r="Z282" s="194"/>
      <c r="AA282" s="194"/>
      <c r="AB282" s="194"/>
      <c r="AC282" s="194"/>
      <c r="AD282" s="194"/>
      <c r="AE282" s="194"/>
      <c r="AF282" s="194"/>
      <c r="AG282" s="194"/>
      <c r="AH282" s="194"/>
      <c r="AI282" s="194"/>
      <c r="AJ282" s="194"/>
      <c r="AK282" s="194"/>
      <c r="AL282" s="194"/>
      <c r="AM282" s="194"/>
    </row>
    <row r="283" spans="1:39" ht="15.75" customHeight="1" x14ac:dyDescent="0.25">
      <c r="A283" s="194"/>
      <c r="B283" s="194"/>
      <c r="C283" s="194"/>
      <c r="D283" s="194"/>
      <c r="E283" s="194"/>
      <c r="F283" s="194"/>
      <c r="G283" s="194"/>
      <c r="H283" s="194"/>
      <c r="I283" s="194"/>
      <c r="J283" s="194"/>
      <c r="K283" s="194"/>
      <c r="L283" s="194"/>
      <c r="M283" s="194"/>
      <c r="N283" s="194"/>
      <c r="O283" s="194"/>
      <c r="P283" s="194"/>
      <c r="Q283" s="194"/>
      <c r="R283" s="194"/>
      <c r="S283" s="194"/>
      <c r="T283" s="194"/>
      <c r="U283" s="194"/>
      <c r="V283" s="194"/>
      <c r="W283" s="194"/>
      <c r="X283" s="194"/>
      <c r="Y283" s="194"/>
      <c r="Z283" s="194"/>
      <c r="AA283" s="194"/>
      <c r="AB283" s="194"/>
      <c r="AC283" s="194"/>
      <c r="AD283" s="194"/>
      <c r="AE283" s="194"/>
      <c r="AF283" s="194"/>
      <c r="AG283" s="194"/>
      <c r="AH283" s="194"/>
      <c r="AI283" s="194"/>
      <c r="AJ283" s="194"/>
      <c r="AK283" s="194"/>
      <c r="AL283" s="194"/>
      <c r="AM283" s="194"/>
    </row>
    <row r="284" spans="1:39" ht="15.75" customHeight="1" x14ac:dyDescent="0.25">
      <c r="A284" s="194"/>
      <c r="B284" s="194"/>
      <c r="C284" s="194"/>
      <c r="D284" s="194"/>
      <c r="E284" s="194"/>
      <c r="F284" s="194"/>
      <c r="G284" s="194"/>
      <c r="H284" s="194"/>
      <c r="I284" s="194"/>
      <c r="J284" s="194"/>
      <c r="K284" s="194"/>
      <c r="L284" s="194"/>
      <c r="M284" s="194"/>
      <c r="N284" s="194"/>
      <c r="O284" s="194"/>
      <c r="P284" s="194"/>
      <c r="Q284" s="194"/>
      <c r="R284" s="194"/>
      <c r="S284" s="194"/>
      <c r="T284" s="194"/>
      <c r="U284" s="194"/>
      <c r="V284" s="194"/>
      <c r="W284" s="194"/>
      <c r="X284" s="194"/>
      <c r="Y284" s="194"/>
      <c r="Z284" s="194"/>
      <c r="AA284" s="194"/>
      <c r="AB284" s="194"/>
      <c r="AC284" s="194"/>
      <c r="AD284" s="194"/>
      <c r="AE284" s="194"/>
      <c r="AF284" s="194"/>
      <c r="AG284" s="194"/>
      <c r="AH284" s="194"/>
      <c r="AI284" s="194"/>
      <c r="AJ284" s="194"/>
      <c r="AK284" s="194"/>
      <c r="AL284" s="194"/>
      <c r="AM284" s="194"/>
    </row>
    <row r="285" spans="1:39" ht="15.75" customHeight="1" x14ac:dyDescent="0.25">
      <c r="A285" s="194"/>
      <c r="B285" s="194"/>
      <c r="C285" s="194"/>
      <c r="D285" s="194"/>
      <c r="E285" s="194"/>
      <c r="F285" s="194"/>
      <c r="G285" s="194"/>
      <c r="H285" s="194"/>
      <c r="I285" s="194"/>
      <c r="J285" s="194"/>
      <c r="K285" s="194"/>
      <c r="L285" s="194"/>
      <c r="M285" s="194"/>
      <c r="N285" s="194"/>
      <c r="O285" s="194"/>
      <c r="P285" s="194"/>
      <c r="Q285" s="194"/>
      <c r="R285" s="194"/>
      <c r="S285" s="194"/>
      <c r="T285" s="194"/>
      <c r="U285" s="194"/>
      <c r="V285" s="194"/>
      <c r="W285" s="194"/>
      <c r="X285" s="194"/>
      <c r="Y285" s="194"/>
      <c r="Z285" s="194"/>
      <c r="AA285" s="194"/>
      <c r="AB285" s="194"/>
      <c r="AC285" s="194"/>
      <c r="AD285" s="194"/>
      <c r="AE285" s="194"/>
      <c r="AF285" s="194"/>
      <c r="AG285" s="194"/>
      <c r="AH285" s="194"/>
      <c r="AI285" s="194"/>
      <c r="AJ285" s="194"/>
      <c r="AK285" s="194"/>
      <c r="AL285" s="194"/>
      <c r="AM285" s="194"/>
    </row>
    <row r="286" spans="1:39" ht="15.75" customHeight="1" x14ac:dyDescent="0.25">
      <c r="A286" s="194"/>
      <c r="B286" s="194"/>
      <c r="C286" s="194"/>
      <c r="D286" s="194"/>
      <c r="E286" s="194"/>
      <c r="F286" s="194"/>
      <c r="G286" s="194"/>
      <c r="H286" s="194"/>
      <c r="I286" s="194"/>
      <c r="J286" s="194"/>
      <c r="K286" s="194"/>
      <c r="L286" s="194"/>
      <c r="M286" s="194"/>
      <c r="N286" s="194"/>
      <c r="O286" s="194"/>
      <c r="P286" s="194"/>
      <c r="Q286" s="194"/>
      <c r="R286" s="194"/>
      <c r="S286" s="194"/>
      <c r="T286" s="194"/>
      <c r="U286" s="194"/>
      <c r="V286" s="194"/>
      <c r="W286" s="194"/>
      <c r="X286" s="194"/>
      <c r="Y286" s="194"/>
      <c r="Z286" s="194"/>
      <c r="AA286" s="194"/>
      <c r="AB286" s="194"/>
      <c r="AC286" s="194"/>
      <c r="AD286" s="194"/>
      <c r="AE286" s="194"/>
      <c r="AF286" s="194"/>
      <c r="AG286" s="194"/>
      <c r="AH286" s="194"/>
      <c r="AI286" s="194"/>
      <c r="AJ286" s="194"/>
      <c r="AK286" s="194"/>
      <c r="AL286" s="194"/>
      <c r="AM286" s="194"/>
    </row>
    <row r="287" spans="1:39" ht="15.75" customHeight="1" x14ac:dyDescent="0.25">
      <c r="A287" s="194"/>
      <c r="B287" s="194"/>
      <c r="C287" s="194"/>
      <c r="D287" s="194"/>
      <c r="E287" s="194"/>
      <c r="F287" s="194"/>
      <c r="G287" s="194"/>
      <c r="H287" s="194"/>
      <c r="I287" s="194"/>
      <c r="J287" s="194"/>
      <c r="K287" s="194"/>
      <c r="L287" s="194"/>
      <c r="M287" s="194"/>
      <c r="N287" s="194"/>
      <c r="O287" s="194"/>
      <c r="P287" s="194"/>
      <c r="Q287" s="194"/>
      <c r="R287" s="194"/>
      <c r="S287" s="194"/>
      <c r="T287" s="194"/>
      <c r="U287" s="194"/>
      <c r="V287" s="194"/>
      <c r="W287" s="194"/>
      <c r="X287" s="194"/>
      <c r="Y287" s="194"/>
      <c r="Z287" s="194"/>
      <c r="AA287" s="194"/>
      <c r="AB287" s="194"/>
      <c r="AC287" s="194"/>
      <c r="AD287" s="194"/>
      <c r="AE287" s="194"/>
      <c r="AF287" s="194"/>
      <c r="AG287" s="194"/>
      <c r="AH287" s="194"/>
      <c r="AI287" s="194"/>
      <c r="AJ287" s="194"/>
      <c r="AK287" s="194"/>
      <c r="AL287" s="194"/>
      <c r="AM287" s="194"/>
    </row>
    <row r="288" spans="1:39" ht="15.75" customHeight="1" x14ac:dyDescent="0.25">
      <c r="A288" s="194"/>
      <c r="B288" s="194"/>
      <c r="C288" s="194"/>
      <c r="D288" s="194"/>
      <c r="E288" s="194"/>
      <c r="F288" s="194"/>
      <c r="G288" s="194"/>
      <c r="H288" s="194"/>
      <c r="I288" s="194"/>
      <c r="J288" s="194"/>
      <c r="K288" s="194"/>
      <c r="L288" s="194"/>
      <c r="M288" s="194"/>
      <c r="N288" s="194"/>
      <c r="O288" s="194"/>
      <c r="P288" s="194"/>
      <c r="Q288" s="194"/>
      <c r="R288" s="194"/>
      <c r="S288" s="194"/>
      <c r="T288" s="194"/>
      <c r="U288" s="194"/>
      <c r="V288" s="194"/>
      <c r="W288" s="194"/>
      <c r="X288" s="194"/>
      <c r="Y288" s="194"/>
      <c r="Z288" s="194"/>
      <c r="AA288" s="194"/>
      <c r="AB288" s="194"/>
      <c r="AC288" s="194"/>
      <c r="AD288" s="194"/>
      <c r="AE288" s="194"/>
      <c r="AF288" s="194"/>
      <c r="AG288" s="194"/>
      <c r="AH288" s="194"/>
      <c r="AI288" s="194"/>
      <c r="AJ288" s="194"/>
      <c r="AK288" s="194"/>
      <c r="AL288" s="194"/>
      <c r="AM288" s="194"/>
    </row>
    <row r="289" spans="1:39" ht="15.75" customHeight="1" x14ac:dyDescent="0.25">
      <c r="A289" s="194"/>
      <c r="B289" s="194"/>
      <c r="C289" s="194"/>
      <c r="D289" s="194"/>
      <c r="E289" s="194"/>
      <c r="F289" s="194"/>
      <c r="G289" s="194"/>
      <c r="H289" s="194"/>
      <c r="I289" s="194"/>
      <c r="J289" s="194"/>
      <c r="K289" s="194"/>
      <c r="L289" s="194"/>
      <c r="M289" s="194"/>
      <c r="N289" s="194"/>
      <c r="O289" s="194"/>
      <c r="P289" s="194"/>
      <c r="Q289" s="194"/>
      <c r="R289" s="194"/>
      <c r="S289" s="194"/>
      <c r="T289" s="194"/>
      <c r="U289" s="194"/>
      <c r="V289" s="194"/>
      <c r="W289" s="194"/>
      <c r="X289" s="194"/>
      <c r="Y289" s="194"/>
      <c r="Z289" s="194"/>
      <c r="AA289" s="194"/>
      <c r="AB289" s="194"/>
      <c r="AC289" s="194"/>
      <c r="AD289" s="194"/>
      <c r="AE289" s="194"/>
      <c r="AF289" s="194"/>
      <c r="AG289" s="194"/>
      <c r="AH289" s="194"/>
      <c r="AI289" s="194"/>
      <c r="AJ289" s="194"/>
      <c r="AK289" s="194"/>
      <c r="AL289" s="194"/>
      <c r="AM289" s="194"/>
    </row>
    <row r="290" spans="1:39" ht="15.75" customHeight="1" x14ac:dyDescent="0.25">
      <c r="A290" s="194"/>
      <c r="B290" s="194"/>
      <c r="C290" s="194"/>
      <c r="D290" s="194"/>
      <c r="E290" s="194"/>
      <c r="F290" s="194"/>
      <c r="G290" s="194"/>
      <c r="H290" s="194"/>
      <c r="I290" s="194"/>
      <c r="J290" s="194"/>
      <c r="K290" s="194"/>
      <c r="L290" s="194"/>
      <c r="M290" s="194"/>
      <c r="N290" s="194"/>
      <c r="O290" s="194"/>
      <c r="P290" s="194"/>
      <c r="Q290" s="194"/>
      <c r="R290" s="194"/>
      <c r="S290" s="194"/>
      <c r="T290" s="194"/>
      <c r="U290" s="194"/>
      <c r="V290" s="194"/>
      <c r="W290" s="194"/>
      <c r="X290" s="194"/>
      <c r="Y290" s="194"/>
      <c r="Z290" s="194"/>
      <c r="AA290" s="194"/>
      <c r="AB290" s="194"/>
      <c r="AC290" s="194"/>
      <c r="AD290" s="194"/>
      <c r="AE290" s="194"/>
      <c r="AF290" s="194"/>
      <c r="AG290" s="194"/>
      <c r="AH290" s="194"/>
      <c r="AI290" s="194"/>
      <c r="AJ290" s="194"/>
      <c r="AK290" s="194"/>
      <c r="AL290" s="194"/>
      <c r="AM290" s="194"/>
    </row>
    <row r="291" spans="1:39" ht="15.75" customHeight="1" x14ac:dyDescent="0.25">
      <c r="A291" s="194"/>
      <c r="B291" s="194"/>
      <c r="C291" s="194"/>
      <c r="D291" s="194"/>
      <c r="E291" s="194"/>
      <c r="F291" s="194"/>
      <c r="G291" s="194"/>
      <c r="H291" s="194"/>
      <c r="I291" s="194"/>
      <c r="J291" s="194"/>
      <c r="K291" s="194"/>
      <c r="L291" s="194"/>
      <c r="M291" s="194"/>
      <c r="N291" s="194"/>
      <c r="O291" s="194"/>
      <c r="P291" s="194"/>
      <c r="Q291" s="194"/>
      <c r="R291" s="194"/>
      <c r="S291" s="194"/>
      <c r="T291" s="194"/>
      <c r="U291" s="194"/>
      <c r="V291" s="194"/>
      <c r="W291" s="194"/>
      <c r="X291" s="194"/>
      <c r="Y291" s="194"/>
      <c r="Z291" s="194"/>
      <c r="AA291" s="194"/>
      <c r="AB291" s="194"/>
      <c r="AC291" s="194"/>
      <c r="AD291" s="194"/>
      <c r="AE291" s="194"/>
      <c r="AF291" s="194"/>
      <c r="AG291" s="194"/>
      <c r="AH291" s="194"/>
      <c r="AI291" s="194"/>
      <c r="AJ291" s="194"/>
      <c r="AK291" s="194"/>
      <c r="AL291" s="194"/>
      <c r="AM291" s="194"/>
    </row>
    <row r="292" spans="1:39" ht="15.75" customHeight="1" x14ac:dyDescent="0.25">
      <c r="A292" s="194"/>
      <c r="B292" s="194"/>
      <c r="C292" s="194"/>
      <c r="D292" s="194"/>
      <c r="E292" s="194"/>
      <c r="F292" s="194"/>
      <c r="G292" s="194"/>
      <c r="H292" s="194"/>
      <c r="I292" s="194"/>
      <c r="J292" s="194"/>
      <c r="K292" s="194"/>
      <c r="L292" s="194"/>
      <c r="M292" s="194"/>
      <c r="N292" s="194"/>
      <c r="O292" s="194"/>
      <c r="P292" s="194"/>
      <c r="Q292" s="194"/>
      <c r="R292" s="194"/>
      <c r="S292" s="194"/>
      <c r="T292" s="194"/>
      <c r="U292" s="194"/>
      <c r="V292" s="194"/>
      <c r="W292" s="194"/>
      <c r="X292" s="194"/>
      <c r="Y292" s="194"/>
      <c r="Z292" s="194"/>
      <c r="AA292" s="194"/>
      <c r="AB292" s="194"/>
      <c r="AC292" s="194"/>
      <c r="AD292" s="194"/>
      <c r="AE292" s="194"/>
      <c r="AF292" s="194"/>
      <c r="AG292" s="194"/>
      <c r="AH292" s="194"/>
      <c r="AI292" s="194"/>
      <c r="AJ292" s="194"/>
      <c r="AK292" s="194"/>
      <c r="AL292" s="194"/>
      <c r="AM292" s="194"/>
    </row>
    <row r="293" spans="1:39" ht="15.75" customHeight="1" x14ac:dyDescent="0.25">
      <c r="A293" s="194"/>
      <c r="B293" s="194"/>
      <c r="C293" s="194"/>
      <c r="D293" s="194"/>
      <c r="E293" s="194"/>
      <c r="F293" s="194"/>
      <c r="G293" s="194"/>
      <c r="H293" s="194"/>
      <c r="I293" s="194"/>
      <c r="J293" s="194"/>
      <c r="K293" s="194"/>
      <c r="L293" s="194"/>
      <c r="M293" s="194"/>
      <c r="N293" s="194"/>
      <c r="O293" s="194"/>
      <c r="P293" s="194"/>
      <c r="Q293" s="194"/>
      <c r="R293" s="194"/>
      <c r="S293" s="194"/>
      <c r="T293" s="194"/>
      <c r="U293" s="194"/>
      <c r="V293" s="194"/>
      <c r="W293" s="194"/>
      <c r="X293" s="194"/>
      <c r="Y293" s="194"/>
      <c r="Z293" s="194"/>
      <c r="AA293" s="194"/>
      <c r="AB293" s="194"/>
      <c r="AC293" s="194"/>
      <c r="AD293" s="194"/>
      <c r="AE293" s="194"/>
      <c r="AF293" s="194"/>
      <c r="AG293" s="194"/>
      <c r="AH293" s="194"/>
      <c r="AI293" s="194"/>
      <c r="AJ293" s="194"/>
      <c r="AK293" s="194"/>
      <c r="AL293" s="194"/>
      <c r="AM293" s="194"/>
    </row>
    <row r="294" spans="1:39" ht="15.75" customHeight="1" x14ac:dyDescent="0.25">
      <c r="A294" s="194"/>
      <c r="B294" s="194"/>
      <c r="C294" s="194"/>
      <c r="D294" s="194"/>
      <c r="E294" s="194"/>
      <c r="F294" s="194"/>
      <c r="G294" s="194"/>
      <c r="H294" s="194"/>
      <c r="I294" s="194"/>
      <c r="J294" s="194"/>
      <c r="K294" s="194"/>
      <c r="L294" s="194"/>
      <c r="M294" s="194"/>
      <c r="N294" s="194"/>
      <c r="O294" s="194"/>
      <c r="P294" s="194"/>
      <c r="Q294" s="194"/>
      <c r="R294" s="194"/>
      <c r="S294" s="194"/>
      <c r="T294" s="194"/>
      <c r="U294" s="194"/>
      <c r="V294" s="194"/>
      <c r="W294" s="194"/>
      <c r="X294" s="194"/>
      <c r="Y294" s="194"/>
      <c r="Z294" s="194"/>
      <c r="AA294" s="194"/>
      <c r="AB294" s="194"/>
      <c r="AC294" s="194"/>
      <c r="AD294" s="194"/>
      <c r="AE294" s="194"/>
      <c r="AF294" s="194"/>
      <c r="AG294" s="194"/>
      <c r="AH294" s="194"/>
      <c r="AI294" s="194"/>
      <c r="AJ294" s="194"/>
      <c r="AK294" s="194"/>
      <c r="AL294" s="194"/>
      <c r="AM294" s="194"/>
    </row>
    <row r="295" spans="1:39" ht="15.75" customHeight="1" x14ac:dyDescent="0.25">
      <c r="A295" s="194"/>
      <c r="B295" s="194"/>
      <c r="C295" s="194"/>
      <c r="D295" s="194"/>
      <c r="E295" s="194"/>
      <c r="F295" s="194"/>
      <c r="G295" s="194"/>
      <c r="H295" s="194"/>
      <c r="I295" s="194"/>
      <c r="J295" s="194"/>
      <c r="K295" s="194"/>
      <c r="L295" s="194"/>
      <c r="M295" s="194"/>
      <c r="N295" s="194"/>
      <c r="O295" s="194"/>
      <c r="P295" s="194"/>
      <c r="Q295" s="194"/>
      <c r="R295" s="194"/>
      <c r="S295" s="194"/>
      <c r="T295" s="194"/>
      <c r="U295" s="194"/>
      <c r="V295" s="194"/>
      <c r="W295" s="194"/>
      <c r="X295" s="194"/>
      <c r="Y295" s="194"/>
      <c r="Z295" s="194"/>
      <c r="AA295" s="194"/>
      <c r="AB295" s="194"/>
      <c r="AC295" s="194"/>
      <c r="AD295" s="194"/>
      <c r="AE295" s="194"/>
      <c r="AF295" s="194"/>
      <c r="AG295" s="194"/>
      <c r="AH295" s="194"/>
      <c r="AI295" s="194"/>
      <c r="AJ295" s="194"/>
      <c r="AK295" s="194"/>
      <c r="AL295" s="194"/>
      <c r="AM295" s="194"/>
    </row>
    <row r="296" spans="1:39" ht="15.75" customHeight="1" x14ac:dyDescent="0.25">
      <c r="A296" s="194"/>
      <c r="B296" s="194"/>
      <c r="C296" s="194"/>
      <c r="D296" s="194"/>
      <c r="E296" s="194"/>
      <c r="F296" s="194"/>
      <c r="G296" s="194"/>
      <c r="H296" s="194"/>
      <c r="I296" s="194"/>
      <c r="J296" s="194"/>
      <c r="K296" s="194"/>
      <c r="L296" s="194"/>
      <c r="M296" s="194"/>
      <c r="N296" s="194"/>
      <c r="O296" s="194"/>
      <c r="P296" s="194"/>
      <c r="Q296" s="194"/>
      <c r="R296" s="194"/>
      <c r="S296" s="194"/>
      <c r="T296" s="194"/>
      <c r="U296" s="194"/>
      <c r="V296" s="194"/>
      <c r="W296" s="194"/>
      <c r="X296" s="194"/>
      <c r="Y296" s="194"/>
      <c r="Z296" s="194"/>
      <c r="AA296" s="194"/>
      <c r="AB296" s="194"/>
      <c r="AC296" s="194"/>
      <c r="AD296" s="194"/>
      <c r="AE296" s="194"/>
      <c r="AF296" s="194"/>
      <c r="AG296" s="194"/>
      <c r="AH296" s="194"/>
      <c r="AI296" s="194"/>
      <c r="AJ296" s="194"/>
      <c r="AK296" s="194"/>
      <c r="AL296" s="194"/>
      <c r="AM296" s="194"/>
    </row>
    <row r="297" spans="1:39" ht="15.75" customHeight="1" x14ac:dyDescent="0.25">
      <c r="A297" s="194"/>
      <c r="B297" s="194"/>
      <c r="C297" s="194"/>
      <c r="D297" s="194"/>
      <c r="E297" s="194"/>
      <c r="F297" s="194"/>
      <c r="G297" s="194"/>
      <c r="H297" s="194"/>
      <c r="I297" s="194"/>
      <c r="J297" s="194"/>
      <c r="K297" s="194"/>
      <c r="L297" s="194"/>
      <c r="M297" s="194"/>
      <c r="N297" s="194"/>
      <c r="O297" s="194"/>
      <c r="P297" s="194"/>
      <c r="Q297" s="194"/>
      <c r="R297" s="194"/>
      <c r="S297" s="194"/>
      <c r="T297" s="194"/>
      <c r="U297" s="194"/>
      <c r="V297" s="194"/>
      <c r="W297" s="194"/>
      <c r="X297" s="194"/>
      <c r="Y297" s="194"/>
      <c r="Z297" s="194"/>
      <c r="AA297" s="194"/>
      <c r="AB297" s="194"/>
      <c r="AC297" s="194"/>
      <c r="AD297" s="194"/>
      <c r="AE297" s="194"/>
      <c r="AF297" s="194"/>
      <c r="AG297" s="194"/>
      <c r="AH297" s="194"/>
      <c r="AI297" s="194"/>
      <c r="AJ297" s="194"/>
      <c r="AK297" s="194"/>
      <c r="AL297" s="194"/>
      <c r="AM297" s="194"/>
    </row>
    <row r="298" spans="1:39" ht="15.75" customHeight="1" x14ac:dyDescent="0.25">
      <c r="A298" s="194"/>
      <c r="B298" s="194"/>
      <c r="C298" s="194"/>
      <c r="D298" s="194"/>
      <c r="E298" s="194"/>
      <c r="F298" s="194"/>
      <c r="G298" s="194"/>
      <c r="H298" s="194"/>
      <c r="I298" s="194"/>
      <c r="J298" s="194"/>
      <c r="K298" s="194"/>
      <c r="L298" s="194"/>
      <c r="M298" s="194"/>
      <c r="N298" s="194"/>
      <c r="O298" s="194"/>
      <c r="P298" s="194"/>
      <c r="Q298" s="194"/>
      <c r="R298" s="194"/>
      <c r="S298" s="194"/>
      <c r="T298" s="194"/>
      <c r="U298" s="194"/>
      <c r="V298" s="194"/>
      <c r="W298" s="194"/>
      <c r="X298" s="194"/>
      <c r="Y298" s="194"/>
      <c r="Z298" s="194"/>
      <c r="AA298" s="194"/>
      <c r="AB298" s="194"/>
      <c r="AC298" s="194"/>
      <c r="AD298" s="194"/>
      <c r="AE298" s="194"/>
      <c r="AF298" s="194"/>
      <c r="AG298" s="194"/>
      <c r="AH298" s="194"/>
      <c r="AI298" s="194"/>
      <c r="AJ298" s="194"/>
      <c r="AK298" s="194"/>
      <c r="AL298" s="194"/>
      <c r="AM298" s="194"/>
    </row>
    <row r="299" spans="1:39" ht="15.75" customHeight="1" x14ac:dyDescent="0.25">
      <c r="A299" s="194"/>
      <c r="B299" s="194"/>
      <c r="C299" s="194"/>
      <c r="D299" s="194"/>
      <c r="E299" s="194"/>
      <c r="F299" s="194"/>
      <c r="G299" s="194"/>
      <c r="H299" s="194"/>
      <c r="I299" s="194"/>
      <c r="J299" s="194"/>
      <c r="K299" s="194"/>
      <c r="L299" s="194"/>
      <c r="M299" s="194"/>
      <c r="N299" s="194"/>
      <c r="O299" s="194"/>
      <c r="P299" s="194"/>
      <c r="Q299" s="194"/>
      <c r="R299" s="194"/>
      <c r="S299" s="194"/>
      <c r="T299" s="194"/>
      <c r="U299" s="194"/>
      <c r="V299" s="194"/>
      <c r="W299" s="194"/>
      <c r="X299" s="194"/>
      <c r="Y299" s="194"/>
      <c r="Z299" s="194"/>
      <c r="AA299" s="194"/>
      <c r="AB299" s="194"/>
      <c r="AC299" s="194"/>
      <c r="AD299" s="194"/>
      <c r="AE299" s="194"/>
      <c r="AF299" s="194"/>
      <c r="AG299" s="194"/>
      <c r="AH299" s="194"/>
      <c r="AI299" s="194"/>
      <c r="AJ299" s="194"/>
      <c r="AK299" s="194"/>
      <c r="AL299" s="194"/>
      <c r="AM299" s="194"/>
    </row>
    <row r="300" spans="1:39" ht="15.75" customHeight="1" x14ac:dyDescent="0.25">
      <c r="A300" s="194"/>
      <c r="B300" s="194"/>
      <c r="C300" s="194"/>
      <c r="D300" s="194"/>
      <c r="E300" s="194"/>
      <c r="F300" s="194"/>
      <c r="G300" s="194"/>
      <c r="H300" s="194"/>
      <c r="I300" s="194"/>
      <c r="J300" s="194"/>
      <c r="K300" s="194"/>
      <c r="L300" s="194"/>
      <c r="M300" s="194"/>
      <c r="N300" s="194"/>
      <c r="O300" s="194"/>
      <c r="P300" s="194"/>
      <c r="Q300" s="194"/>
      <c r="R300" s="194"/>
      <c r="S300" s="194"/>
      <c r="T300" s="194"/>
      <c r="U300" s="194"/>
      <c r="V300" s="194"/>
      <c r="W300" s="194"/>
      <c r="X300" s="194"/>
      <c r="Y300" s="194"/>
      <c r="Z300" s="194"/>
      <c r="AA300" s="194"/>
      <c r="AB300" s="194"/>
      <c r="AC300" s="194"/>
      <c r="AD300" s="194"/>
      <c r="AE300" s="194"/>
      <c r="AF300" s="194"/>
      <c r="AG300" s="194"/>
      <c r="AH300" s="194"/>
      <c r="AI300" s="194"/>
      <c r="AJ300" s="194"/>
      <c r="AK300" s="194"/>
      <c r="AL300" s="194"/>
      <c r="AM300" s="194"/>
    </row>
    <row r="301" spans="1:39" ht="15.75" customHeight="1" x14ac:dyDescent="0.25">
      <c r="A301" s="194"/>
      <c r="B301" s="194"/>
      <c r="C301" s="194"/>
      <c r="D301" s="194"/>
      <c r="E301" s="194"/>
      <c r="F301" s="194"/>
      <c r="G301" s="194"/>
      <c r="H301" s="194"/>
      <c r="I301" s="194"/>
      <c r="J301" s="194"/>
      <c r="K301" s="194"/>
      <c r="L301" s="194"/>
      <c r="M301" s="194"/>
      <c r="N301" s="194"/>
      <c r="O301" s="194"/>
      <c r="P301" s="194"/>
      <c r="Q301" s="194"/>
      <c r="R301" s="194"/>
      <c r="S301" s="194"/>
      <c r="T301" s="194"/>
      <c r="U301" s="194"/>
      <c r="V301" s="194"/>
      <c r="W301" s="194"/>
      <c r="X301" s="194"/>
      <c r="Y301" s="194"/>
      <c r="Z301" s="194"/>
      <c r="AA301" s="194"/>
      <c r="AB301" s="194"/>
      <c r="AC301" s="194"/>
      <c r="AD301" s="194"/>
      <c r="AE301" s="194"/>
      <c r="AF301" s="194"/>
      <c r="AG301" s="194"/>
      <c r="AH301" s="194"/>
      <c r="AI301" s="194"/>
      <c r="AJ301" s="194"/>
      <c r="AK301" s="194"/>
      <c r="AL301" s="194"/>
      <c r="AM301" s="194"/>
    </row>
    <row r="302" spans="1:39" ht="15.75" customHeight="1" x14ac:dyDescent="0.25">
      <c r="A302" s="194"/>
      <c r="B302" s="194"/>
      <c r="C302" s="194"/>
      <c r="D302" s="194"/>
      <c r="E302" s="194"/>
      <c r="F302" s="194"/>
      <c r="G302" s="194"/>
      <c r="H302" s="194"/>
      <c r="I302" s="194"/>
      <c r="J302" s="194"/>
      <c r="K302" s="194"/>
      <c r="L302" s="194"/>
      <c r="M302" s="194"/>
      <c r="N302" s="194"/>
      <c r="O302" s="194"/>
      <c r="P302" s="194"/>
      <c r="Q302" s="194"/>
      <c r="R302" s="194"/>
      <c r="S302" s="194"/>
      <c r="T302" s="194"/>
      <c r="U302" s="194"/>
      <c r="V302" s="194"/>
      <c r="W302" s="194"/>
      <c r="X302" s="194"/>
      <c r="Y302" s="194"/>
      <c r="Z302" s="194"/>
      <c r="AA302" s="194"/>
      <c r="AB302" s="194"/>
      <c r="AC302" s="194"/>
      <c r="AD302" s="194"/>
      <c r="AE302" s="194"/>
      <c r="AF302" s="194"/>
      <c r="AG302" s="194"/>
      <c r="AH302" s="194"/>
      <c r="AI302" s="194"/>
      <c r="AJ302" s="194"/>
      <c r="AK302" s="194"/>
      <c r="AL302" s="194"/>
      <c r="AM302" s="194"/>
    </row>
    <row r="303" spans="1:39" ht="15.75" customHeight="1" x14ac:dyDescent="0.25">
      <c r="A303" s="194"/>
      <c r="B303" s="194"/>
      <c r="C303" s="194"/>
      <c r="D303" s="194"/>
      <c r="E303" s="194"/>
      <c r="F303" s="194"/>
      <c r="G303" s="194"/>
      <c r="H303" s="194"/>
      <c r="I303" s="194"/>
      <c r="J303" s="194"/>
      <c r="K303" s="194"/>
      <c r="L303" s="194"/>
      <c r="M303" s="194"/>
      <c r="N303" s="194"/>
      <c r="O303" s="194"/>
      <c r="P303" s="194"/>
      <c r="Q303" s="194"/>
      <c r="R303" s="194"/>
      <c r="S303" s="194"/>
      <c r="T303" s="194"/>
      <c r="U303" s="194"/>
      <c r="V303" s="194"/>
      <c r="W303" s="194"/>
      <c r="X303" s="194"/>
      <c r="Y303" s="194"/>
      <c r="Z303" s="194"/>
      <c r="AA303" s="194"/>
      <c r="AB303" s="194"/>
      <c r="AC303" s="194"/>
      <c r="AD303" s="194"/>
      <c r="AE303" s="194"/>
      <c r="AF303" s="194"/>
      <c r="AG303" s="194"/>
      <c r="AH303" s="194"/>
      <c r="AI303" s="194"/>
      <c r="AJ303" s="194"/>
      <c r="AK303" s="194"/>
      <c r="AL303" s="194"/>
      <c r="AM303" s="194"/>
    </row>
    <row r="304" spans="1:39" ht="15.75" customHeight="1" x14ac:dyDescent="0.25">
      <c r="A304" s="194"/>
      <c r="B304" s="194"/>
      <c r="C304" s="194"/>
      <c r="D304" s="194"/>
      <c r="E304" s="194"/>
      <c r="F304" s="194"/>
      <c r="G304" s="194"/>
      <c r="H304" s="194"/>
      <c r="I304" s="194"/>
      <c r="J304" s="194"/>
      <c r="K304" s="194"/>
      <c r="L304" s="194"/>
      <c r="M304" s="194"/>
      <c r="N304" s="194"/>
      <c r="O304" s="194"/>
      <c r="P304" s="194"/>
      <c r="Q304" s="194"/>
      <c r="R304" s="194"/>
      <c r="S304" s="194"/>
      <c r="T304" s="194"/>
      <c r="U304" s="194"/>
      <c r="V304" s="194"/>
      <c r="W304" s="194"/>
      <c r="X304" s="194"/>
      <c r="Y304" s="194"/>
      <c r="Z304" s="194"/>
      <c r="AA304" s="194"/>
      <c r="AB304" s="194"/>
      <c r="AC304" s="194"/>
      <c r="AD304" s="194"/>
      <c r="AE304" s="194"/>
      <c r="AF304" s="194"/>
      <c r="AG304" s="194"/>
      <c r="AH304" s="194"/>
      <c r="AI304" s="194"/>
      <c r="AJ304" s="194"/>
      <c r="AK304" s="194"/>
      <c r="AL304" s="194"/>
      <c r="AM304" s="194"/>
    </row>
    <row r="305" spans="1:39" ht="15.75" customHeight="1" x14ac:dyDescent="0.25">
      <c r="A305" s="194"/>
      <c r="B305" s="194"/>
      <c r="C305" s="194"/>
      <c r="D305" s="194"/>
      <c r="E305" s="194"/>
      <c r="F305" s="194"/>
      <c r="G305" s="194"/>
      <c r="H305" s="194"/>
      <c r="I305" s="194"/>
      <c r="J305" s="194"/>
      <c r="K305" s="194"/>
      <c r="L305" s="194"/>
      <c r="M305" s="194"/>
      <c r="N305" s="194"/>
      <c r="O305" s="194"/>
      <c r="P305" s="194"/>
      <c r="Q305" s="194"/>
      <c r="R305" s="194"/>
      <c r="S305" s="194"/>
      <c r="T305" s="194"/>
      <c r="U305" s="194"/>
      <c r="V305" s="194"/>
      <c r="W305" s="194"/>
      <c r="X305" s="194"/>
      <c r="Y305" s="194"/>
      <c r="Z305" s="194"/>
      <c r="AA305" s="194"/>
      <c r="AB305" s="194"/>
      <c r="AC305" s="194"/>
      <c r="AD305" s="194"/>
      <c r="AE305" s="194"/>
      <c r="AF305" s="194"/>
      <c r="AG305" s="194"/>
      <c r="AH305" s="194"/>
      <c r="AI305" s="194"/>
      <c r="AJ305" s="194"/>
      <c r="AK305" s="194"/>
      <c r="AL305" s="194"/>
      <c r="AM305" s="194"/>
    </row>
    <row r="306" spans="1:39" ht="15.75" customHeight="1" x14ac:dyDescent="0.25">
      <c r="A306" s="194"/>
      <c r="B306" s="194"/>
      <c r="C306" s="194"/>
      <c r="D306" s="194"/>
      <c r="E306" s="194"/>
      <c r="F306" s="194"/>
      <c r="G306" s="194"/>
      <c r="H306" s="194"/>
      <c r="I306" s="194"/>
      <c r="J306" s="194"/>
      <c r="K306" s="194"/>
      <c r="L306" s="194"/>
      <c r="M306" s="194"/>
      <c r="N306" s="194"/>
      <c r="O306" s="194"/>
      <c r="P306" s="194"/>
      <c r="Q306" s="194"/>
      <c r="R306" s="194"/>
      <c r="S306" s="194"/>
      <c r="T306" s="194"/>
      <c r="U306" s="194"/>
      <c r="V306" s="194"/>
      <c r="W306" s="194"/>
      <c r="X306" s="194"/>
      <c r="Y306" s="194"/>
      <c r="Z306" s="194"/>
      <c r="AA306" s="194"/>
      <c r="AB306" s="194"/>
      <c r="AC306" s="194"/>
      <c r="AD306" s="194"/>
      <c r="AE306" s="194"/>
      <c r="AF306" s="194"/>
      <c r="AG306" s="194"/>
      <c r="AH306" s="194"/>
      <c r="AI306" s="194"/>
      <c r="AJ306" s="194"/>
      <c r="AK306" s="194"/>
      <c r="AL306" s="194"/>
      <c r="AM306" s="194"/>
    </row>
    <row r="307" spans="1:39" ht="15.75" customHeight="1" x14ac:dyDescent="0.25">
      <c r="A307" s="194"/>
      <c r="B307" s="194"/>
      <c r="C307" s="194"/>
      <c r="D307" s="194"/>
      <c r="E307" s="194"/>
      <c r="F307" s="194"/>
      <c r="G307" s="194"/>
      <c r="H307" s="194"/>
      <c r="I307" s="194"/>
      <c r="J307" s="194"/>
      <c r="K307" s="194"/>
      <c r="L307" s="194"/>
      <c r="M307" s="194"/>
      <c r="N307" s="194"/>
      <c r="O307" s="194"/>
      <c r="P307" s="194"/>
      <c r="Q307" s="194"/>
      <c r="R307" s="194"/>
      <c r="S307" s="194"/>
      <c r="T307" s="194"/>
      <c r="U307" s="194"/>
      <c r="V307" s="194"/>
      <c r="W307" s="194"/>
      <c r="X307" s="194"/>
      <c r="Y307" s="194"/>
      <c r="Z307" s="194"/>
      <c r="AA307" s="194"/>
      <c r="AB307" s="194"/>
      <c r="AC307" s="194"/>
      <c r="AD307" s="194"/>
      <c r="AE307" s="194"/>
      <c r="AF307" s="194"/>
      <c r="AG307" s="194"/>
      <c r="AH307" s="194"/>
      <c r="AI307" s="194"/>
      <c r="AJ307" s="194"/>
      <c r="AK307" s="194"/>
      <c r="AL307" s="194"/>
      <c r="AM307" s="194"/>
    </row>
    <row r="308" spans="1:39" ht="15.75" customHeight="1" x14ac:dyDescent="0.25">
      <c r="A308" s="194"/>
      <c r="B308" s="194"/>
      <c r="C308" s="194"/>
      <c r="D308" s="194"/>
      <c r="E308" s="194"/>
      <c r="F308" s="194"/>
      <c r="G308" s="194"/>
      <c r="H308" s="194"/>
      <c r="I308" s="194"/>
      <c r="J308" s="194"/>
      <c r="K308" s="194"/>
      <c r="L308" s="194"/>
      <c r="M308" s="194"/>
      <c r="N308" s="194"/>
      <c r="O308" s="194"/>
      <c r="P308" s="194"/>
      <c r="Q308" s="194"/>
      <c r="R308" s="194"/>
      <c r="S308" s="194"/>
      <c r="T308" s="194"/>
      <c r="U308" s="194"/>
      <c r="V308" s="194"/>
      <c r="W308" s="194"/>
      <c r="X308" s="194"/>
      <c r="Y308" s="194"/>
      <c r="Z308" s="194"/>
      <c r="AA308" s="194"/>
      <c r="AB308" s="194"/>
      <c r="AC308" s="194"/>
      <c r="AD308" s="194"/>
      <c r="AE308" s="194"/>
      <c r="AF308" s="194"/>
      <c r="AG308" s="194"/>
      <c r="AH308" s="194"/>
      <c r="AI308" s="194"/>
      <c r="AJ308" s="194"/>
      <c r="AK308" s="194"/>
      <c r="AL308" s="194"/>
      <c r="AM308" s="194"/>
    </row>
    <row r="309" spans="1:39" ht="15.75" customHeight="1" x14ac:dyDescent="0.25">
      <c r="A309" s="194"/>
      <c r="B309" s="194"/>
      <c r="C309" s="194"/>
      <c r="D309" s="194"/>
      <c r="E309" s="194"/>
      <c r="F309" s="194"/>
      <c r="G309" s="194"/>
      <c r="H309" s="194"/>
      <c r="I309" s="194"/>
      <c r="J309" s="194"/>
      <c r="K309" s="194"/>
      <c r="L309" s="194"/>
      <c r="M309" s="194"/>
      <c r="N309" s="194"/>
      <c r="O309" s="194"/>
      <c r="P309" s="194"/>
      <c r="Q309" s="194"/>
      <c r="R309" s="194"/>
      <c r="S309" s="194"/>
      <c r="T309" s="194"/>
      <c r="U309" s="194"/>
      <c r="V309" s="194"/>
      <c r="W309" s="194"/>
      <c r="X309" s="194"/>
      <c r="Y309" s="194"/>
      <c r="Z309" s="194"/>
      <c r="AA309" s="194"/>
      <c r="AB309" s="194"/>
      <c r="AC309" s="194"/>
      <c r="AD309" s="194"/>
      <c r="AE309" s="194"/>
      <c r="AF309" s="194"/>
      <c r="AG309" s="194"/>
      <c r="AH309" s="194"/>
      <c r="AI309" s="194"/>
      <c r="AJ309" s="194"/>
      <c r="AK309" s="194"/>
      <c r="AL309" s="194"/>
      <c r="AM309" s="194"/>
    </row>
    <row r="310" spans="1:39" ht="15.75" customHeight="1" x14ac:dyDescent="0.25">
      <c r="A310" s="194"/>
      <c r="B310" s="194"/>
      <c r="C310" s="194"/>
      <c r="D310" s="194"/>
      <c r="E310" s="194"/>
      <c r="F310" s="194"/>
      <c r="G310" s="194"/>
      <c r="H310" s="194"/>
      <c r="I310" s="194"/>
      <c r="J310" s="194"/>
      <c r="K310" s="194"/>
      <c r="L310" s="194"/>
      <c r="M310" s="194"/>
      <c r="N310" s="194"/>
      <c r="O310" s="194"/>
      <c r="P310" s="194"/>
      <c r="Q310" s="194"/>
      <c r="R310" s="194"/>
      <c r="S310" s="194"/>
      <c r="T310" s="194"/>
      <c r="U310" s="194"/>
      <c r="V310" s="194"/>
      <c r="W310" s="194"/>
      <c r="X310" s="194"/>
      <c r="Y310" s="194"/>
      <c r="Z310" s="194"/>
      <c r="AA310" s="194"/>
      <c r="AB310" s="194"/>
      <c r="AC310" s="194"/>
      <c r="AD310" s="194"/>
      <c r="AE310" s="194"/>
      <c r="AF310" s="194"/>
      <c r="AG310" s="194"/>
      <c r="AH310" s="194"/>
      <c r="AI310" s="194"/>
      <c r="AJ310" s="194"/>
      <c r="AK310" s="194"/>
      <c r="AL310" s="194"/>
      <c r="AM310" s="194"/>
    </row>
    <row r="311" spans="1:39" ht="15.75" customHeight="1" x14ac:dyDescent="0.25">
      <c r="A311" s="194"/>
      <c r="B311" s="194"/>
      <c r="C311" s="194"/>
      <c r="D311" s="194"/>
      <c r="E311" s="194"/>
      <c r="F311" s="194"/>
      <c r="G311" s="194"/>
      <c r="H311" s="194"/>
      <c r="I311" s="194"/>
      <c r="J311" s="194"/>
      <c r="K311" s="194"/>
      <c r="L311" s="194"/>
      <c r="M311" s="194"/>
      <c r="N311" s="194"/>
      <c r="O311" s="194"/>
      <c r="P311" s="194"/>
      <c r="Q311" s="194"/>
      <c r="R311" s="194"/>
      <c r="S311" s="194"/>
      <c r="T311" s="194"/>
      <c r="U311" s="194"/>
      <c r="V311" s="194"/>
      <c r="W311" s="194"/>
      <c r="X311" s="194"/>
      <c r="Y311" s="194"/>
      <c r="Z311" s="194"/>
      <c r="AA311" s="194"/>
      <c r="AB311" s="194"/>
      <c r="AC311" s="194"/>
      <c r="AD311" s="194"/>
      <c r="AE311" s="194"/>
      <c r="AF311" s="194"/>
      <c r="AG311" s="194"/>
      <c r="AH311" s="194"/>
      <c r="AI311" s="194"/>
      <c r="AJ311" s="194"/>
      <c r="AK311" s="194"/>
      <c r="AL311" s="194"/>
      <c r="AM311" s="194"/>
    </row>
    <row r="312" spans="1:39" ht="15.75" customHeight="1" x14ac:dyDescent="0.25">
      <c r="A312" s="194"/>
      <c r="B312" s="194"/>
      <c r="C312" s="194"/>
      <c r="D312" s="194"/>
      <c r="E312" s="194"/>
      <c r="F312" s="194"/>
      <c r="G312" s="194"/>
      <c r="H312" s="194"/>
      <c r="I312" s="194"/>
      <c r="J312" s="194"/>
      <c r="K312" s="194"/>
      <c r="L312" s="194"/>
      <c r="M312" s="194"/>
      <c r="N312" s="194"/>
      <c r="O312" s="194"/>
      <c r="P312" s="194"/>
      <c r="Q312" s="194"/>
      <c r="R312" s="194"/>
      <c r="S312" s="194"/>
      <c r="T312" s="194"/>
      <c r="U312" s="194"/>
      <c r="V312" s="194"/>
      <c r="W312" s="194"/>
      <c r="X312" s="194"/>
      <c r="Y312" s="194"/>
      <c r="Z312" s="194"/>
      <c r="AA312" s="194"/>
      <c r="AB312" s="194"/>
      <c r="AC312" s="194"/>
      <c r="AD312" s="194"/>
      <c r="AE312" s="194"/>
      <c r="AF312" s="194"/>
      <c r="AG312" s="194"/>
      <c r="AH312" s="194"/>
      <c r="AI312" s="194"/>
      <c r="AJ312" s="194"/>
      <c r="AK312" s="194"/>
      <c r="AL312" s="194"/>
      <c r="AM312" s="194"/>
    </row>
    <row r="313" spans="1:39" ht="15.75" customHeight="1" x14ac:dyDescent="0.25">
      <c r="A313" s="194"/>
      <c r="B313" s="194"/>
      <c r="C313" s="194"/>
      <c r="D313" s="194"/>
      <c r="E313" s="194"/>
      <c r="F313" s="194"/>
      <c r="G313" s="194"/>
      <c r="H313" s="194"/>
      <c r="I313" s="194"/>
      <c r="J313" s="194"/>
      <c r="K313" s="194"/>
      <c r="L313" s="194"/>
      <c r="M313" s="194"/>
      <c r="N313" s="194"/>
      <c r="O313" s="194"/>
      <c r="P313" s="194"/>
      <c r="Q313" s="194"/>
      <c r="R313" s="194"/>
      <c r="S313" s="194"/>
      <c r="T313" s="194"/>
      <c r="U313" s="194"/>
      <c r="V313" s="194"/>
      <c r="W313" s="194"/>
      <c r="X313" s="194"/>
      <c r="Y313" s="194"/>
      <c r="Z313" s="194"/>
      <c r="AA313" s="194"/>
      <c r="AB313" s="194"/>
      <c r="AC313" s="194"/>
      <c r="AD313" s="194"/>
      <c r="AE313" s="194"/>
      <c r="AF313" s="194"/>
      <c r="AG313" s="194"/>
      <c r="AH313" s="194"/>
      <c r="AI313" s="194"/>
      <c r="AJ313" s="194"/>
      <c r="AK313" s="194"/>
      <c r="AL313" s="194"/>
      <c r="AM313" s="194"/>
    </row>
    <row r="314" spans="1:39" ht="15.75" customHeight="1" x14ac:dyDescent="0.25">
      <c r="A314" s="194"/>
      <c r="B314" s="194"/>
      <c r="C314" s="194"/>
      <c r="D314" s="194"/>
      <c r="E314" s="194"/>
      <c r="F314" s="194"/>
      <c r="G314" s="194"/>
      <c r="H314" s="194"/>
      <c r="I314" s="194"/>
      <c r="J314" s="194"/>
      <c r="K314" s="194"/>
      <c r="L314" s="194"/>
      <c r="M314" s="194"/>
      <c r="N314" s="194"/>
      <c r="O314" s="194"/>
      <c r="P314" s="194"/>
      <c r="Q314" s="194"/>
      <c r="R314" s="194"/>
      <c r="S314" s="194"/>
      <c r="T314" s="194"/>
      <c r="U314" s="194"/>
      <c r="V314" s="194"/>
      <c r="W314" s="194"/>
      <c r="X314" s="194"/>
      <c r="Y314" s="194"/>
      <c r="Z314" s="194"/>
      <c r="AA314" s="194"/>
      <c r="AB314" s="194"/>
      <c r="AC314" s="194"/>
      <c r="AD314" s="194"/>
      <c r="AE314" s="194"/>
      <c r="AF314" s="194"/>
      <c r="AG314" s="194"/>
      <c r="AH314" s="194"/>
      <c r="AI314" s="194"/>
      <c r="AJ314" s="194"/>
      <c r="AK314" s="194"/>
      <c r="AL314" s="194"/>
      <c r="AM314" s="194"/>
    </row>
    <row r="315" spans="1:39" ht="15.75" customHeight="1" x14ac:dyDescent="0.25">
      <c r="A315" s="194"/>
      <c r="B315" s="194"/>
      <c r="C315" s="194"/>
      <c r="D315" s="194"/>
      <c r="E315" s="194"/>
      <c r="F315" s="194"/>
      <c r="G315" s="194"/>
      <c r="H315" s="194"/>
      <c r="I315" s="194"/>
      <c r="J315" s="194"/>
      <c r="K315" s="194"/>
      <c r="L315" s="194"/>
      <c r="M315" s="194"/>
      <c r="N315" s="194"/>
      <c r="O315" s="194"/>
      <c r="P315" s="194"/>
      <c r="Q315" s="194"/>
      <c r="R315" s="194"/>
      <c r="S315" s="194"/>
      <c r="T315" s="194"/>
      <c r="U315" s="194"/>
      <c r="V315" s="194"/>
      <c r="W315" s="194"/>
      <c r="X315" s="194"/>
      <c r="Y315" s="194"/>
      <c r="Z315" s="194"/>
      <c r="AA315" s="194"/>
      <c r="AB315" s="194"/>
      <c r="AC315" s="194"/>
      <c r="AD315" s="194"/>
      <c r="AE315" s="194"/>
      <c r="AF315" s="194"/>
      <c r="AG315" s="194"/>
      <c r="AH315" s="194"/>
      <c r="AI315" s="194"/>
      <c r="AJ315" s="194"/>
      <c r="AK315" s="194"/>
      <c r="AL315" s="194"/>
      <c r="AM315" s="194"/>
    </row>
    <row r="316" spans="1:39" ht="15.75" customHeight="1" x14ac:dyDescent="0.25">
      <c r="A316" s="194"/>
      <c r="B316" s="194"/>
      <c r="C316" s="194"/>
      <c r="D316" s="194"/>
      <c r="E316" s="194"/>
      <c r="F316" s="194"/>
      <c r="G316" s="194"/>
      <c r="H316" s="194"/>
      <c r="I316" s="194"/>
      <c r="J316" s="194"/>
      <c r="K316" s="194"/>
      <c r="L316" s="194"/>
      <c r="M316" s="194"/>
      <c r="N316" s="194"/>
      <c r="O316" s="194"/>
      <c r="P316" s="194"/>
      <c r="Q316" s="194"/>
      <c r="R316" s="194"/>
      <c r="S316" s="194"/>
      <c r="T316" s="194"/>
      <c r="U316" s="194"/>
      <c r="V316" s="194"/>
      <c r="W316" s="194"/>
      <c r="X316" s="194"/>
      <c r="Y316" s="194"/>
      <c r="Z316" s="194"/>
      <c r="AA316" s="194"/>
      <c r="AB316" s="194"/>
      <c r="AC316" s="194"/>
      <c r="AD316" s="194"/>
      <c r="AE316" s="194"/>
      <c r="AF316" s="194"/>
      <c r="AG316" s="194"/>
      <c r="AH316" s="194"/>
      <c r="AI316" s="194"/>
      <c r="AJ316" s="194"/>
      <c r="AK316" s="194"/>
      <c r="AL316" s="194"/>
      <c r="AM316" s="194"/>
    </row>
    <row r="317" spans="1:39" ht="15.75" customHeight="1" x14ac:dyDescent="0.25">
      <c r="A317" s="194"/>
      <c r="B317" s="194"/>
      <c r="C317" s="194"/>
      <c r="D317" s="194"/>
      <c r="E317" s="194"/>
      <c r="F317" s="194"/>
      <c r="G317" s="194"/>
      <c r="H317" s="194"/>
      <c r="I317" s="194"/>
      <c r="J317" s="194"/>
      <c r="K317" s="194"/>
      <c r="L317" s="194"/>
      <c r="M317" s="194"/>
      <c r="N317" s="194"/>
      <c r="O317" s="194"/>
      <c r="P317" s="194"/>
      <c r="Q317" s="194"/>
      <c r="R317" s="194"/>
      <c r="S317" s="194"/>
      <c r="T317" s="194"/>
      <c r="U317" s="194"/>
      <c r="V317" s="194"/>
      <c r="W317" s="194"/>
      <c r="X317" s="194"/>
      <c r="Y317" s="194"/>
      <c r="Z317" s="194"/>
      <c r="AA317" s="194"/>
      <c r="AB317" s="194"/>
      <c r="AC317" s="194"/>
      <c r="AD317" s="194"/>
      <c r="AE317" s="194"/>
      <c r="AF317" s="194"/>
      <c r="AG317" s="194"/>
      <c r="AH317" s="194"/>
      <c r="AI317" s="194"/>
      <c r="AJ317" s="194"/>
      <c r="AK317" s="194"/>
      <c r="AL317" s="194"/>
      <c r="AM317" s="194"/>
    </row>
    <row r="318" spans="1:39" ht="15.75" customHeight="1" x14ac:dyDescent="0.25">
      <c r="A318" s="194"/>
      <c r="B318" s="194"/>
      <c r="C318" s="194"/>
      <c r="D318" s="194"/>
      <c r="E318" s="194"/>
      <c r="F318" s="194"/>
      <c r="G318" s="194"/>
      <c r="H318" s="194"/>
      <c r="I318" s="194"/>
      <c r="J318" s="194"/>
      <c r="K318" s="194"/>
      <c r="L318" s="194"/>
      <c r="M318" s="194"/>
      <c r="N318" s="194"/>
      <c r="O318" s="194"/>
      <c r="P318" s="194"/>
      <c r="Q318" s="194"/>
      <c r="R318" s="194"/>
      <c r="S318" s="194"/>
      <c r="T318" s="194"/>
      <c r="U318" s="194"/>
      <c r="V318" s="194"/>
      <c r="W318" s="194"/>
      <c r="X318" s="194"/>
      <c r="Y318" s="194"/>
      <c r="Z318" s="194"/>
      <c r="AA318" s="194"/>
      <c r="AB318" s="194"/>
      <c r="AC318" s="194"/>
      <c r="AD318" s="194"/>
      <c r="AE318" s="194"/>
      <c r="AF318" s="194"/>
      <c r="AG318" s="194"/>
      <c r="AH318" s="194"/>
      <c r="AI318" s="194"/>
      <c r="AJ318" s="194"/>
      <c r="AK318" s="194"/>
      <c r="AL318" s="194"/>
      <c r="AM318" s="194"/>
    </row>
    <row r="319" spans="1:39" ht="15.75" customHeight="1" x14ac:dyDescent="0.25">
      <c r="A319" s="194"/>
      <c r="B319" s="194"/>
      <c r="C319" s="194"/>
      <c r="D319" s="194"/>
      <c r="E319" s="194"/>
      <c r="F319" s="194"/>
      <c r="G319" s="194"/>
      <c r="H319" s="194"/>
      <c r="I319" s="194"/>
      <c r="J319" s="194"/>
      <c r="K319" s="194"/>
      <c r="L319" s="194"/>
      <c r="M319" s="194"/>
      <c r="N319" s="194"/>
      <c r="O319" s="194"/>
      <c r="P319" s="194"/>
      <c r="Q319" s="194"/>
      <c r="R319" s="194"/>
      <c r="S319" s="194"/>
      <c r="T319" s="194"/>
      <c r="U319" s="194"/>
      <c r="V319" s="194"/>
      <c r="W319" s="194"/>
      <c r="X319" s="194"/>
      <c r="Y319" s="194"/>
      <c r="Z319" s="194"/>
      <c r="AA319" s="194"/>
      <c r="AB319" s="194"/>
      <c r="AC319" s="194"/>
      <c r="AD319" s="194"/>
      <c r="AE319" s="194"/>
      <c r="AF319" s="194"/>
      <c r="AG319" s="194"/>
      <c r="AH319" s="194"/>
      <c r="AI319" s="194"/>
      <c r="AJ319" s="194"/>
      <c r="AK319" s="194"/>
      <c r="AL319" s="194"/>
      <c r="AM319" s="194"/>
    </row>
    <row r="320" spans="1:39" ht="15.75" customHeight="1" x14ac:dyDescent="0.25">
      <c r="A320" s="194"/>
      <c r="B320" s="194"/>
      <c r="C320" s="194"/>
      <c r="D320" s="194"/>
      <c r="E320" s="194"/>
      <c r="F320" s="194"/>
      <c r="G320" s="194"/>
      <c r="H320" s="194"/>
      <c r="I320" s="194"/>
      <c r="J320" s="194"/>
      <c r="K320" s="194"/>
      <c r="L320" s="194"/>
      <c r="M320" s="194"/>
      <c r="N320" s="194"/>
      <c r="O320" s="194"/>
      <c r="P320" s="194"/>
      <c r="Q320" s="194"/>
      <c r="R320" s="194"/>
      <c r="S320" s="194"/>
      <c r="T320" s="194"/>
      <c r="U320" s="194"/>
      <c r="V320" s="194"/>
      <c r="W320" s="194"/>
      <c r="X320" s="194"/>
      <c r="Y320" s="194"/>
      <c r="Z320" s="194"/>
      <c r="AA320" s="194"/>
      <c r="AB320" s="194"/>
      <c r="AC320" s="194"/>
      <c r="AD320" s="194"/>
      <c r="AE320" s="194"/>
      <c r="AF320" s="194"/>
      <c r="AG320" s="194"/>
      <c r="AH320" s="194"/>
      <c r="AI320" s="194"/>
      <c r="AJ320" s="194"/>
      <c r="AK320" s="194"/>
      <c r="AL320" s="194"/>
      <c r="AM320" s="194"/>
    </row>
    <row r="321" spans="1:39" ht="15.75" customHeight="1" x14ac:dyDescent="0.25">
      <c r="A321" s="194"/>
      <c r="B321" s="194"/>
      <c r="C321" s="194"/>
      <c r="D321" s="194"/>
      <c r="E321" s="194"/>
      <c r="F321" s="194"/>
      <c r="G321" s="194"/>
      <c r="H321" s="194"/>
      <c r="I321" s="194"/>
      <c r="J321" s="194"/>
      <c r="K321" s="194"/>
      <c r="L321" s="194"/>
      <c r="M321" s="194"/>
      <c r="N321" s="194"/>
      <c r="O321" s="194"/>
      <c r="P321" s="194"/>
      <c r="Q321" s="194"/>
      <c r="R321" s="194"/>
      <c r="S321" s="194"/>
      <c r="T321" s="194"/>
      <c r="U321" s="194"/>
      <c r="V321" s="194"/>
      <c r="W321" s="194"/>
      <c r="X321" s="194"/>
      <c r="Y321" s="194"/>
      <c r="Z321" s="194"/>
      <c r="AA321" s="194"/>
      <c r="AB321" s="194"/>
      <c r="AC321" s="194"/>
      <c r="AD321" s="194"/>
      <c r="AE321" s="194"/>
      <c r="AF321" s="194"/>
      <c r="AG321" s="194"/>
      <c r="AH321" s="194"/>
      <c r="AI321" s="194"/>
      <c r="AJ321" s="194"/>
      <c r="AK321" s="194"/>
      <c r="AL321" s="194"/>
      <c r="AM321" s="194"/>
    </row>
    <row r="322" spans="1:39" ht="15.75" customHeight="1" x14ac:dyDescent="0.25">
      <c r="A322" s="194"/>
      <c r="B322" s="194"/>
      <c r="C322" s="194"/>
      <c r="D322" s="194"/>
      <c r="E322" s="194"/>
      <c r="F322" s="194"/>
      <c r="G322" s="194"/>
      <c r="H322" s="194"/>
      <c r="I322" s="194"/>
      <c r="J322" s="194"/>
      <c r="K322" s="194"/>
      <c r="L322" s="194"/>
      <c r="M322" s="194"/>
      <c r="N322" s="194"/>
      <c r="O322" s="194"/>
      <c r="P322" s="194"/>
      <c r="Q322" s="194"/>
      <c r="R322" s="194"/>
      <c r="S322" s="194"/>
      <c r="T322" s="194"/>
      <c r="U322" s="194"/>
      <c r="V322" s="194"/>
      <c r="W322" s="194"/>
      <c r="X322" s="194"/>
      <c r="Y322" s="194"/>
      <c r="Z322" s="194"/>
      <c r="AA322" s="194"/>
      <c r="AB322" s="194"/>
      <c r="AC322" s="194"/>
      <c r="AD322" s="194"/>
      <c r="AE322" s="194"/>
      <c r="AF322" s="194"/>
      <c r="AG322" s="194"/>
      <c r="AH322" s="194"/>
      <c r="AI322" s="194"/>
      <c r="AJ322" s="194"/>
      <c r="AK322" s="194"/>
      <c r="AL322" s="194"/>
      <c r="AM322" s="194"/>
    </row>
    <row r="323" spans="1:39" ht="15.75" customHeight="1" x14ac:dyDescent="0.25">
      <c r="A323" s="194"/>
      <c r="B323" s="194"/>
      <c r="C323" s="194"/>
      <c r="D323" s="194"/>
      <c r="E323" s="194"/>
      <c r="F323" s="194"/>
      <c r="G323" s="194"/>
      <c r="H323" s="194"/>
      <c r="I323" s="194"/>
      <c r="J323" s="194"/>
      <c r="K323" s="194"/>
      <c r="L323" s="194"/>
      <c r="M323" s="194"/>
      <c r="N323" s="194"/>
      <c r="O323" s="194"/>
      <c r="P323" s="194"/>
      <c r="Q323" s="194"/>
      <c r="R323" s="194"/>
      <c r="S323" s="194"/>
      <c r="T323" s="194"/>
      <c r="U323" s="194"/>
      <c r="V323" s="194"/>
      <c r="W323" s="194"/>
      <c r="X323" s="194"/>
      <c r="Y323" s="194"/>
      <c r="Z323" s="194"/>
      <c r="AA323" s="194"/>
      <c r="AB323" s="194"/>
      <c r="AC323" s="194"/>
      <c r="AD323" s="194"/>
      <c r="AE323" s="194"/>
      <c r="AF323" s="194"/>
      <c r="AG323" s="194"/>
      <c r="AH323" s="194"/>
      <c r="AI323" s="194"/>
      <c r="AJ323" s="194"/>
      <c r="AK323" s="194"/>
      <c r="AL323" s="194"/>
      <c r="AM323" s="194"/>
    </row>
    <row r="324" spans="1:39" ht="15.75" customHeight="1" x14ac:dyDescent="0.25">
      <c r="A324" s="194"/>
      <c r="B324" s="194"/>
      <c r="C324" s="194"/>
      <c r="D324" s="194"/>
      <c r="E324" s="194"/>
      <c r="F324" s="194"/>
      <c r="G324" s="194"/>
      <c r="H324" s="194"/>
      <c r="I324" s="194"/>
      <c r="J324" s="194"/>
      <c r="K324" s="194"/>
      <c r="L324" s="194"/>
      <c r="M324" s="194"/>
      <c r="N324" s="194"/>
      <c r="O324" s="194"/>
      <c r="P324" s="194"/>
      <c r="Q324" s="194"/>
      <c r="R324" s="194"/>
      <c r="S324" s="194"/>
      <c r="T324" s="194"/>
      <c r="U324" s="194"/>
      <c r="V324" s="194"/>
      <c r="W324" s="194"/>
      <c r="X324" s="194"/>
      <c r="Y324" s="194"/>
      <c r="Z324" s="194"/>
      <c r="AA324" s="194"/>
      <c r="AB324" s="194"/>
      <c r="AC324" s="194"/>
      <c r="AD324" s="194"/>
      <c r="AE324" s="194"/>
      <c r="AF324" s="194"/>
      <c r="AG324" s="194"/>
      <c r="AH324" s="194"/>
      <c r="AI324" s="194"/>
      <c r="AJ324" s="194"/>
      <c r="AK324" s="194"/>
      <c r="AL324" s="194"/>
      <c r="AM324" s="194"/>
    </row>
    <row r="325" spans="1:39" ht="15.75" customHeight="1" x14ac:dyDescent="0.25">
      <c r="A325" s="194"/>
      <c r="B325" s="194"/>
      <c r="C325" s="194"/>
      <c r="D325" s="194"/>
      <c r="E325" s="194"/>
      <c r="F325" s="194"/>
      <c r="G325" s="194"/>
      <c r="H325" s="194"/>
      <c r="I325" s="194"/>
      <c r="J325" s="194"/>
      <c r="K325" s="194"/>
      <c r="L325" s="194"/>
      <c r="M325" s="194"/>
      <c r="N325" s="194"/>
      <c r="O325" s="194"/>
      <c r="P325" s="194"/>
      <c r="Q325" s="194"/>
      <c r="R325" s="194"/>
      <c r="S325" s="194"/>
      <c r="T325" s="194"/>
      <c r="U325" s="194"/>
      <c r="V325" s="194"/>
      <c r="W325" s="194"/>
      <c r="X325" s="194"/>
      <c r="Y325" s="194"/>
      <c r="Z325" s="194"/>
      <c r="AA325" s="194"/>
      <c r="AB325" s="194"/>
      <c r="AC325" s="194"/>
      <c r="AD325" s="194"/>
      <c r="AE325" s="194"/>
      <c r="AF325" s="194"/>
      <c r="AG325" s="194"/>
      <c r="AH325" s="194"/>
      <c r="AI325" s="194"/>
      <c r="AJ325" s="194"/>
      <c r="AK325" s="194"/>
      <c r="AL325" s="194"/>
      <c r="AM325" s="194"/>
    </row>
    <row r="326" spans="1:39" ht="15.75" customHeight="1" x14ac:dyDescent="0.25">
      <c r="A326" s="194"/>
      <c r="B326" s="194"/>
      <c r="C326" s="194"/>
      <c r="D326" s="194"/>
      <c r="E326" s="194"/>
      <c r="F326" s="194"/>
      <c r="G326" s="194"/>
      <c r="H326" s="194"/>
      <c r="I326" s="194"/>
      <c r="J326" s="194"/>
      <c r="K326" s="194"/>
      <c r="L326" s="194"/>
      <c r="M326" s="194"/>
      <c r="N326" s="194"/>
      <c r="O326" s="194"/>
      <c r="P326" s="194"/>
      <c r="Q326" s="194"/>
      <c r="R326" s="194"/>
      <c r="S326" s="194"/>
      <c r="T326" s="194"/>
      <c r="U326" s="194"/>
      <c r="V326" s="194"/>
      <c r="W326" s="194"/>
      <c r="X326" s="194"/>
      <c r="Y326" s="194"/>
      <c r="Z326" s="194"/>
      <c r="AA326" s="194"/>
      <c r="AB326" s="194"/>
      <c r="AC326" s="194"/>
      <c r="AD326" s="194"/>
      <c r="AE326" s="194"/>
      <c r="AF326" s="194"/>
      <c r="AG326" s="194"/>
      <c r="AH326" s="194"/>
      <c r="AI326" s="194"/>
      <c r="AJ326" s="194"/>
      <c r="AK326" s="194"/>
      <c r="AL326" s="194"/>
      <c r="AM326" s="194"/>
    </row>
    <row r="327" spans="1:39" ht="15.75" customHeight="1" x14ac:dyDescent="0.25">
      <c r="A327" s="194"/>
      <c r="B327" s="194"/>
      <c r="C327" s="194"/>
      <c r="D327" s="194"/>
      <c r="E327" s="194"/>
      <c r="F327" s="194"/>
      <c r="G327" s="194"/>
      <c r="H327" s="194"/>
      <c r="I327" s="194"/>
      <c r="J327" s="194"/>
      <c r="K327" s="194"/>
      <c r="L327" s="194"/>
      <c r="M327" s="194"/>
      <c r="N327" s="194"/>
      <c r="O327" s="194"/>
      <c r="P327" s="194"/>
      <c r="Q327" s="194"/>
      <c r="R327" s="194"/>
      <c r="S327" s="194"/>
      <c r="T327" s="194"/>
      <c r="U327" s="194"/>
      <c r="V327" s="194"/>
      <c r="W327" s="194"/>
      <c r="X327" s="194"/>
      <c r="Y327" s="194"/>
      <c r="Z327" s="194"/>
      <c r="AA327" s="194"/>
      <c r="AB327" s="194"/>
      <c r="AC327" s="194"/>
      <c r="AD327" s="194"/>
      <c r="AE327" s="194"/>
      <c r="AF327" s="194"/>
      <c r="AG327" s="194"/>
      <c r="AH327" s="194"/>
      <c r="AI327" s="194"/>
      <c r="AJ327" s="194"/>
      <c r="AK327" s="194"/>
      <c r="AL327" s="194"/>
      <c r="AM327" s="194"/>
    </row>
    <row r="328" spans="1:39" ht="15.75" customHeight="1" x14ac:dyDescent="0.25">
      <c r="A328" s="194"/>
      <c r="B328" s="194"/>
      <c r="C328" s="194"/>
      <c r="D328" s="194"/>
      <c r="E328" s="194"/>
      <c r="F328" s="194"/>
      <c r="G328" s="194"/>
      <c r="H328" s="194"/>
      <c r="I328" s="194"/>
      <c r="J328" s="194"/>
      <c r="K328" s="194"/>
      <c r="L328" s="194"/>
      <c r="M328" s="194"/>
      <c r="N328" s="194"/>
      <c r="O328" s="194"/>
      <c r="P328" s="194"/>
      <c r="Q328" s="194"/>
      <c r="R328" s="194"/>
      <c r="S328" s="194"/>
      <c r="T328" s="194"/>
      <c r="U328" s="194"/>
      <c r="V328" s="194"/>
      <c r="W328" s="194"/>
      <c r="X328" s="194"/>
      <c r="Y328" s="194"/>
      <c r="Z328" s="194"/>
      <c r="AA328" s="194"/>
      <c r="AB328" s="194"/>
      <c r="AC328" s="194"/>
      <c r="AD328" s="194"/>
      <c r="AE328" s="194"/>
      <c r="AF328" s="194"/>
      <c r="AG328" s="194"/>
      <c r="AH328" s="194"/>
      <c r="AI328" s="194"/>
      <c r="AJ328" s="194"/>
      <c r="AK328" s="194"/>
      <c r="AL328" s="194"/>
      <c r="AM328" s="194"/>
    </row>
    <row r="329" spans="1:39" ht="15.75" customHeight="1" x14ac:dyDescent="0.25">
      <c r="A329" s="194"/>
      <c r="B329" s="194"/>
      <c r="C329" s="194"/>
      <c r="D329" s="194"/>
      <c r="E329" s="194"/>
      <c r="F329" s="194"/>
      <c r="G329" s="194"/>
      <c r="H329" s="194"/>
      <c r="I329" s="194"/>
      <c r="J329" s="194"/>
      <c r="K329" s="194"/>
      <c r="L329" s="194"/>
      <c r="M329" s="194"/>
      <c r="N329" s="194"/>
      <c r="O329" s="194"/>
      <c r="P329" s="194"/>
      <c r="Q329" s="194"/>
      <c r="R329" s="194"/>
      <c r="S329" s="194"/>
      <c r="T329" s="194"/>
      <c r="U329" s="194"/>
      <c r="V329" s="194"/>
      <c r="W329" s="194"/>
      <c r="X329" s="194"/>
      <c r="Y329" s="194"/>
      <c r="Z329" s="194"/>
      <c r="AA329" s="194"/>
      <c r="AB329" s="194"/>
      <c r="AC329" s="194"/>
      <c r="AD329" s="194"/>
      <c r="AE329" s="194"/>
      <c r="AF329" s="194"/>
      <c r="AG329" s="194"/>
      <c r="AH329" s="194"/>
      <c r="AI329" s="194"/>
      <c r="AJ329" s="194"/>
      <c r="AK329" s="194"/>
      <c r="AL329" s="194"/>
      <c r="AM329" s="194"/>
    </row>
    <row r="330" spans="1:39" ht="15.75" customHeight="1" x14ac:dyDescent="0.25">
      <c r="A330" s="194"/>
      <c r="B330" s="194"/>
      <c r="C330" s="194"/>
      <c r="D330" s="194"/>
      <c r="E330" s="194"/>
      <c r="F330" s="194"/>
      <c r="G330" s="194"/>
      <c r="H330" s="194"/>
      <c r="I330" s="194"/>
      <c r="J330" s="194"/>
      <c r="K330" s="194"/>
      <c r="L330" s="194"/>
      <c r="M330" s="194"/>
      <c r="N330" s="194"/>
      <c r="O330" s="194"/>
      <c r="P330" s="194"/>
      <c r="Q330" s="194"/>
      <c r="R330" s="194"/>
      <c r="S330" s="194"/>
      <c r="T330" s="194"/>
      <c r="U330" s="194"/>
      <c r="V330" s="194"/>
      <c r="W330" s="194"/>
      <c r="X330" s="194"/>
      <c r="Y330" s="194"/>
      <c r="Z330" s="194"/>
      <c r="AA330" s="194"/>
      <c r="AB330" s="194"/>
      <c r="AC330" s="194"/>
      <c r="AD330" s="194"/>
      <c r="AE330" s="194"/>
      <c r="AF330" s="194"/>
      <c r="AG330" s="194"/>
      <c r="AH330" s="194"/>
      <c r="AI330" s="194"/>
      <c r="AJ330" s="194"/>
      <c r="AK330" s="194"/>
      <c r="AL330" s="194"/>
      <c r="AM330" s="194"/>
    </row>
    <row r="331" spans="1:39" ht="15.75" customHeight="1" x14ac:dyDescent="0.25">
      <c r="A331" s="194"/>
      <c r="B331" s="194"/>
      <c r="C331" s="194"/>
      <c r="D331" s="194"/>
      <c r="E331" s="194"/>
      <c r="F331" s="194"/>
      <c r="G331" s="194"/>
      <c r="H331" s="194"/>
      <c r="I331" s="194"/>
      <c r="J331" s="194"/>
      <c r="K331" s="194"/>
      <c r="L331" s="194"/>
      <c r="M331" s="194"/>
      <c r="N331" s="194"/>
      <c r="O331" s="194"/>
      <c r="P331" s="194"/>
      <c r="Q331" s="194"/>
      <c r="R331" s="194"/>
      <c r="S331" s="194"/>
      <c r="T331" s="194"/>
      <c r="U331" s="194"/>
      <c r="V331" s="194"/>
      <c r="W331" s="194"/>
      <c r="X331" s="194"/>
      <c r="Y331" s="194"/>
      <c r="Z331" s="194"/>
      <c r="AA331" s="194"/>
      <c r="AB331" s="194"/>
      <c r="AC331" s="194"/>
      <c r="AD331" s="194"/>
      <c r="AE331" s="194"/>
      <c r="AF331" s="194"/>
      <c r="AG331" s="194"/>
      <c r="AH331" s="194"/>
      <c r="AI331" s="194"/>
      <c r="AJ331" s="194"/>
      <c r="AK331" s="194"/>
      <c r="AL331" s="194"/>
      <c r="AM331" s="194"/>
    </row>
    <row r="332" spans="1:39" ht="15.75" customHeight="1" x14ac:dyDescent="0.25">
      <c r="A332" s="194"/>
      <c r="B332" s="194"/>
      <c r="C332" s="194"/>
      <c r="D332" s="194"/>
      <c r="E332" s="194"/>
      <c r="F332" s="194"/>
      <c r="G332" s="194"/>
      <c r="H332" s="194"/>
      <c r="I332" s="194"/>
      <c r="J332" s="194"/>
      <c r="K332" s="194"/>
      <c r="L332" s="194"/>
      <c r="M332" s="194"/>
      <c r="N332" s="194"/>
      <c r="O332" s="194"/>
      <c r="P332" s="194"/>
      <c r="Q332" s="194"/>
      <c r="R332" s="194"/>
      <c r="S332" s="194"/>
      <c r="T332" s="194"/>
      <c r="U332" s="194"/>
      <c r="V332" s="194"/>
      <c r="W332" s="194"/>
      <c r="X332" s="194"/>
      <c r="Y332" s="194"/>
      <c r="Z332" s="194"/>
      <c r="AA332" s="194"/>
      <c r="AB332" s="194"/>
      <c r="AC332" s="194"/>
      <c r="AD332" s="194"/>
      <c r="AE332" s="194"/>
      <c r="AF332" s="194"/>
      <c r="AG332" s="194"/>
      <c r="AH332" s="194"/>
      <c r="AI332" s="194"/>
      <c r="AJ332" s="194"/>
      <c r="AK332" s="194"/>
      <c r="AL332" s="194"/>
      <c r="AM332" s="194"/>
    </row>
    <row r="333" spans="1:39" ht="15.75" customHeight="1" x14ac:dyDescent="0.25">
      <c r="A333" s="194"/>
      <c r="B333" s="194"/>
      <c r="C333" s="194"/>
      <c r="D333" s="194"/>
      <c r="E333" s="194"/>
      <c r="F333" s="194"/>
      <c r="G333" s="194"/>
      <c r="H333" s="194"/>
      <c r="I333" s="194"/>
      <c r="J333" s="194"/>
      <c r="K333" s="194"/>
      <c r="L333" s="194"/>
      <c r="M333" s="194"/>
      <c r="N333" s="194"/>
      <c r="O333" s="194"/>
      <c r="P333" s="194"/>
      <c r="Q333" s="194"/>
      <c r="R333" s="194"/>
      <c r="S333" s="194"/>
      <c r="T333" s="194"/>
      <c r="U333" s="194"/>
      <c r="V333" s="194"/>
      <c r="W333" s="194"/>
      <c r="X333" s="194"/>
      <c r="Y333" s="194"/>
      <c r="Z333" s="194"/>
      <c r="AA333" s="194"/>
      <c r="AB333" s="194"/>
      <c r="AC333" s="194"/>
      <c r="AD333" s="194"/>
      <c r="AE333" s="194"/>
      <c r="AF333" s="194"/>
      <c r="AG333" s="194"/>
      <c r="AH333" s="194"/>
      <c r="AI333" s="194"/>
      <c r="AJ333" s="194"/>
      <c r="AK333" s="194"/>
      <c r="AL333" s="194"/>
      <c r="AM333" s="194"/>
    </row>
    <row r="334" spans="1:39" ht="15.75" customHeight="1" x14ac:dyDescent="0.25">
      <c r="A334" s="194"/>
      <c r="B334" s="194"/>
      <c r="C334" s="194"/>
      <c r="D334" s="194"/>
      <c r="E334" s="194"/>
      <c r="F334" s="194"/>
      <c r="G334" s="194"/>
      <c r="H334" s="194"/>
      <c r="I334" s="194"/>
      <c r="J334" s="194"/>
      <c r="K334" s="194"/>
      <c r="L334" s="194"/>
      <c r="M334" s="194"/>
      <c r="N334" s="194"/>
      <c r="O334" s="194"/>
      <c r="P334" s="194"/>
      <c r="Q334" s="194"/>
      <c r="R334" s="194"/>
      <c r="S334" s="194"/>
      <c r="T334" s="194"/>
      <c r="U334" s="194"/>
      <c r="V334" s="194"/>
      <c r="W334" s="194"/>
      <c r="X334" s="194"/>
      <c r="Y334" s="194"/>
      <c r="Z334" s="194"/>
      <c r="AA334" s="194"/>
      <c r="AB334" s="194"/>
      <c r="AC334" s="194"/>
      <c r="AD334" s="194"/>
      <c r="AE334" s="194"/>
      <c r="AF334" s="194"/>
      <c r="AG334" s="194"/>
      <c r="AH334" s="194"/>
      <c r="AI334" s="194"/>
      <c r="AJ334" s="194"/>
      <c r="AK334" s="194"/>
      <c r="AL334" s="194"/>
      <c r="AM334" s="194"/>
    </row>
    <row r="335" spans="1:39" ht="15.75" customHeight="1" x14ac:dyDescent="0.25">
      <c r="A335" s="194"/>
      <c r="B335" s="194"/>
      <c r="C335" s="194"/>
      <c r="D335" s="194"/>
      <c r="E335" s="194"/>
      <c r="F335" s="194"/>
      <c r="G335" s="194"/>
      <c r="H335" s="194"/>
      <c r="I335" s="194"/>
      <c r="J335" s="194"/>
      <c r="K335" s="194"/>
      <c r="L335" s="194"/>
      <c r="M335" s="194"/>
      <c r="N335" s="194"/>
      <c r="O335" s="194"/>
      <c r="P335" s="194"/>
      <c r="Q335" s="194"/>
      <c r="R335" s="194"/>
      <c r="S335" s="194"/>
      <c r="T335" s="194"/>
      <c r="U335" s="194"/>
      <c r="V335" s="194"/>
      <c r="W335" s="194"/>
      <c r="X335" s="194"/>
      <c r="Y335" s="194"/>
      <c r="Z335" s="194"/>
      <c r="AA335" s="194"/>
      <c r="AB335" s="194"/>
      <c r="AC335" s="194"/>
      <c r="AD335" s="194"/>
      <c r="AE335" s="194"/>
      <c r="AF335" s="194"/>
      <c r="AG335" s="194"/>
      <c r="AH335" s="194"/>
      <c r="AI335" s="194"/>
      <c r="AJ335" s="194"/>
      <c r="AK335" s="194"/>
      <c r="AL335" s="194"/>
      <c r="AM335" s="194"/>
    </row>
    <row r="336" spans="1:39" ht="15.75" customHeight="1" x14ac:dyDescent="0.25">
      <c r="A336" s="194"/>
      <c r="B336" s="194"/>
      <c r="C336" s="194"/>
      <c r="D336" s="194"/>
      <c r="E336" s="194"/>
      <c r="F336" s="194"/>
      <c r="G336" s="194"/>
      <c r="H336" s="194"/>
      <c r="I336" s="194"/>
      <c r="J336" s="194"/>
      <c r="K336" s="194"/>
      <c r="L336" s="194"/>
      <c r="M336" s="194"/>
      <c r="N336" s="194"/>
      <c r="O336" s="194"/>
      <c r="P336" s="194"/>
      <c r="Q336" s="194"/>
      <c r="R336" s="194"/>
      <c r="S336" s="194"/>
      <c r="T336" s="194"/>
      <c r="U336" s="194"/>
      <c r="V336" s="194"/>
      <c r="W336" s="194"/>
      <c r="X336" s="194"/>
      <c r="Y336" s="194"/>
      <c r="Z336" s="194"/>
      <c r="AA336" s="194"/>
      <c r="AB336" s="194"/>
      <c r="AC336" s="194"/>
      <c r="AD336" s="194"/>
      <c r="AE336" s="194"/>
      <c r="AF336" s="194"/>
      <c r="AG336" s="194"/>
      <c r="AH336" s="194"/>
      <c r="AI336" s="194"/>
      <c r="AJ336" s="194"/>
      <c r="AK336" s="194"/>
      <c r="AL336" s="194"/>
      <c r="AM336" s="194"/>
    </row>
    <row r="337" spans="1:39" ht="15.75" customHeight="1" x14ac:dyDescent="0.25">
      <c r="A337" s="194"/>
      <c r="B337" s="194"/>
      <c r="C337" s="194"/>
      <c r="D337" s="194"/>
      <c r="E337" s="194"/>
      <c r="F337" s="194"/>
      <c r="G337" s="194"/>
      <c r="H337" s="194"/>
      <c r="I337" s="194"/>
      <c r="J337" s="194"/>
      <c r="K337" s="194"/>
      <c r="L337" s="194"/>
      <c r="M337" s="194"/>
      <c r="N337" s="194"/>
      <c r="O337" s="194"/>
      <c r="P337" s="194"/>
      <c r="Q337" s="194"/>
      <c r="R337" s="194"/>
      <c r="S337" s="194"/>
      <c r="T337" s="194"/>
      <c r="U337" s="194"/>
      <c r="V337" s="194"/>
      <c r="W337" s="194"/>
      <c r="X337" s="194"/>
      <c r="Y337" s="194"/>
      <c r="Z337" s="194"/>
      <c r="AA337" s="194"/>
      <c r="AB337" s="194"/>
      <c r="AC337" s="194"/>
      <c r="AD337" s="194"/>
      <c r="AE337" s="194"/>
      <c r="AF337" s="194"/>
      <c r="AG337" s="194"/>
      <c r="AH337" s="194"/>
      <c r="AI337" s="194"/>
      <c r="AJ337" s="194"/>
      <c r="AK337" s="194"/>
      <c r="AL337" s="194"/>
      <c r="AM337" s="194"/>
    </row>
    <row r="338" spans="1:39" ht="15.75" customHeight="1" x14ac:dyDescent="0.25">
      <c r="A338" s="194"/>
      <c r="B338" s="194"/>
      <c r="C338" s="194"/>
      <c r="D338" s="194"/>
      <c r="E338" s="194"/>
      <c r="F338" s="194"/>
      <c r="G338" s="194"/>
      <c r="H338" s="194"/>
      <c r="I338" s="194"/>
      <c r="J338" s="194"/>
      <c r="K338" s="194"/>
      <c r="L338" s="194"/>
      <c r="M338" s="194"/>
      <c r="N338" s="194"/>
      <c r="O338" s="194"/>
      <c r="P338" s="194"/>
      <c r="Q338" s="194"/>
      <c r="R338" s="194"/>
      <c r="S338" s="194"/>
      <c r="T338" s="194"/>
      <c r="U338" s="194"/>
      <c r="V338" s="194"/>
      <c r="W338" s="194"/>
      <c r="X338" s="194"/>
      <c r="Y338" s="194"/>
      <c r="Z338" s="194"/>
      <c r="AA338" s="194"/>
      <c r="AB338" s="194"/>
      <c r="AC338" s="194"/>
      <c r="AD338" s="194"/>
      <c r="AE338" s="194"/>
      <c r="AF338" s="194"/>
      <c r="AG338" s="194"/>
      <c r="AH338" s="194"/>
      <c r="AI338" s="194"/>
      <c r="AJ338" s="194"/>
      <c r="AK338" s="194"/>
      <c r="AL338" s="194"/>
      <c r="AM338" s="194"/>
    </row>
    <row r="339" spans="1:39" ht="15.75" customHeight="1" x14ac:dyDescent="0.25">
      <c r="A339" s="194"/>
      <c r="B339" s="194"/>
      <c r="C339" s="194"/>
      <c r="D339" s="194"/>
      <c r="E339" s="194"/>
      <c r="F339" s="194"/>
      <c r="G339" s="194"/>
      <c r="H339" s="194"/>
      <c r="I339" s="194"/>
      <c r="J339" s="194"/>
      <c r="K339" s="194"/>
      <c r="L339" s="194"/>
      <c r="M339" s="194"/>
      <c r="N339" s="194"/>
      <c r="O339" s="194"/>
      <c r="P339" s="194"/>
      <c r="Q339" s="194"/>
      <c r="R339" s="194"/>
      <c r="S339" s="194"/>
      <c r="T339" s="194"/>
      <c r="U339" s="194"/>
      <c r="V339" s="194"/>
      <c r="W339" s="194"/>
      <c r="X339" s="194"/>
      <c r="Y339" s="194"/>
      <c r="Z339" s="194"/>
      <c r="AA339" s="194"/>
      <c r="AB339" s="194"/>
      <c r="AC339" s="194"/>
      <c r="AD339" s="194"/>
      <c r="AE339" s="194"/>
      <c r="AF339" s="194"/>
      <c r="AG339" s="194"/>
      <c r="AH339" s="194"/>
      <c r="AI339" s="194"/>
      <c r="AJ339" s="194"/>
      <c r="AK339" s="194"/>
      <c r="AL339" s="194"/>
      <c r="AM339" s="194"/>
    </row>
    <row r="340" spans="1:39" ht="15.75" customHeight="1" x14ac:dyDescent="0.25">
      <c r="A340" s="194"/>
      <c r="B340" s="194"/>
      <c r="C340" s="194"/>
      <c r="D340" s="194"/>
      <c r="E340" s="194"/>
      <c r="F340" s="194"/>
      <c r="G340" s="194"/>
      <c r="H340" s="194"/>
      <c r="I340" s="194"/>
      <c r="J340" s="194"/>
      <c r="K340" s="194"/>
      <c r="L340" s="194"/>
      <c r="M340" s="194"/>
      <c r="N340" s="194"/>
      <c r="O340" s="194"/>
      <c r="P340" s="194"/>
      <c r="Q340" s="194"/>
      <c r="R340" s="194"/>
      <c r="S340" s="194"/>
      <c r="T340" s="194"/>
      <c r="U340" s="194"/>
      <c r="V340" s="194"/>
      <c r="W340" s="194"/>
      <c r="X340" s="194"/>
      <c r="Y340" s="194"/>
      <c r="Z340" s="194"/>
      <c r="AA340" s="194"/>
      <c r="AB340" s="194"/>
      <c r="AC340" s="194"/>
      <c r="AD340" s="194"/>
      <c r="AE340" s="194"/>
      <c r="AF340" s="194"/>
      <c r="AG340" s="194"/>
      <c r="AH340" s="194"/>
      <c r="AI340" s="194"/>
      <c r="AJ340" s="194"/>
      <c r="AK340" s="194"/>
      <c r="AL340" s="194"/>
      <c r="AM340" s="194"/>
    </row>
    <row r="341" spans="1:39" ht="15.75" customHeight="1" x14ac:dyDescent="0.25">
      <c r="A341" s="194"/>
      <c r="B341" s="194"/>
      <c r="C341" s="194"/>
      <c r="D341" s="194"/>
      <c r="E341" s="194"/>
      <c r="F341" s="194"/>
      <c r="G341" s="194"/>
      <c r="H341" s="194"/>
      <c r="I341" s="194"/>
      <c r="J341" s="194"/>
      <c r="K341" s="194"/>
      <c r="L341" s="194"/>
      <c r="M341" s="194"/>
      <c r="N341" s="194"/>
      <c r="O341" s="194"/>
      <c r="P341" s="194"/>
      <c r="Q341" s="194"/>
      <c r="R341" s="194"/>
      <c r="S341" s="194"/>
      <c r="T341" s="194"/>
      <c r="U341" s="194"/>
      <c r="V341" s="194"/>
      <c r="W341" s="194"/>
      <c r="X341" s="194"/>
      <c r="Y341" s="194"/>
      <c r="Z341" s="194"/>
      <c r="AA341" s="194"/>
      <c r="AB341" s="194"/>
      <c r="AC341" s="194"/>
      <c r="AD341" s="194"/>
      <c r="AE341" s="194"/>
      <c r="AF341" s="194"/>
      <c r="AG341" s="194"/>
      <c r="AH341" s="194"/>
      <c r="AI341" s="194"/>
      <c r="AJ341" s="194"/>
      <c r="AK341" s="194"/>
      <c r="AL341" s="194"/>
      <c r="AM341" s="194"/>
    </row>
    <row r="342" spans="1:39" ht="15.75" customHeight="1" x14ac:dyDescent="0.25">
      <c r="A342" s="194"/>
      <c r="B342" s="194"/>
      <c r="C342" s="194"/>
      <c r="D342" s="194"/>
      <c r="E342" s="194"/>
      <c r="F342" s="194"/>
      <c r="G342" s="194"/>
      <c r="H342" s="194"/>
      <c r="I342" s="194"/>
      <c r="J342" s="194"/>
      <c r="K342" s="194"/>
      <c r="L342" s="194"/>
      <c r="M342" s="194"/>
      <c r="N342" s="194"/>
      <c r="O342" s="194"/>
      <c r="P342" s="194"/>
      <c r="Q342" s="194"/>
      <c r="R342" s="194"/>
      <c r="S342" s="194"/>
      <c r="T342" s="194"/>
      <c r="U342" s="194"/>
      <c r="V342" s="194"/>
      <c r="W342" s="194"/>
      <c r="X342" s="194"/>
      <c r="Y342" s="194"/>
      <c r="Z342" s="194"/>
      <c r="AA342" s="194"/>
      <c r="AB342" s="194"/>
      <c r="AC342" s="194"/>
      <c r="AD342" s="194"/>
      <c r="AE342" s="194"/>
      <c r="AF342" s="194"/>
      <c r="AG342" s="194"/>
      <c r="AH342" s="194"/>
      <c r="AI342" s="194"/>
      <c r="AJ342" s="194"/>
      <c r="AK342" s="194"/>
      <c r="AL342" s="194"/>
      <c r="AM342" s="194"/>
    </row>
    <row r="343" spans="1:39" ht="15.75" customHeight="1" x14ac:dyDescent="0.25">
      <c r="A343" s="194"/>
      <c r="B343" s="194"/>
      <c r="C343" s="194"/>
      <c r="D343" s="194"/>
      <c r="E343" s="194"/>
      <c r="F343" s="194"/>
      <c r="G343" s="194"/>
      <c r="H343" s="194"/>
      <c r="I343" s="194"/>
      <c r="J343" s="194"/>
      <c r="K343" s="194"/>
      <c r="L343" s="194"/>
      <c r="M343" s="194"/>
      <c r="N343" s="194"/>
      <c r="O343" s="194"/>
      <c r="P343" s="194"/>
      <c r="Q343" s="194"/>
      <c r="R343" s="194"/>
      <c r="S343" s="194"/>
      <c r="T343" s="194"/>
      <c r="U343" s="194"/>
      <c r="V343" s="194"/>
      <c r="W343" s="194"/>
      <c r="X343" s="194"/>
      <c r="Y343" s="194"/>
      <c r="Z343" s="194"/>
      <c r="AA343" s="194"/>
      <c r="AB343" s="194"/>
      <c r="AC343" s="194"/>
      <c r="AD343" s="194"/>
      <c r="AE343" s="194"/>
      <c r="AF343" s="194"/>
      <c r="AG343" s="194"/>
      <c r="AH343" s="194"/>
      <c r="AI343" s="194"/>
      <c r="AJ343" s="194"/>
      <c r="AK343" s="194"/>
      <c r="AL343" s="194"/>
      <c r="AM343" s="194"/>
    </row>
    <row r="344" spans="1:39" ht="15.75" customHeight="1" x14ac:dyDescent="0.25">
      <c r="A344" s="194"/>
      <c r="B344" s="194"/>
      <c r="C344" s="194"/>
      <c r="D344" s="194"/>
      <c r="E344" s="194"/>
      <c r="F344" s="194"/>
      <c r="G344" s="194"/>
      <c r="H344" s="194"/>
      <c r="I344" s="194"/>
      <c r="J344" s="194"/>
      <c r="K344" s="194"/>
      <c r="L344" s="194"/>
      <c r="M344" s="194"/>
      <c r="N344" s="194"/>
      <c r="O344" s="194"/>
      <c r="P344" s="194"/>
      <c r="Q344" s="194"/>
      <c r="R344" s="194"/>
      <c r="S344" s="194"/>
      <c r="T344" s="194"/>
      <c r="U344" s="194"/>
      <c r="V344" s="194"/>
      <c r="W344" s="194"/>
      <c r="X344" s="194"/>
      <c r="Y344" s="194"/>
      <c r="Z344" s="194"/>
      <c r="AA344" s="194"/>
      <c r="AB344" s="194"/>
      <c r="AC344" s="194"/>
      <c r="AD344" s="194"/>
      <c r="AE344" s="194"/>
      <c r="AF344" s="194"/>
      <c r="AG344" s="194"/>
      <c r="AH344" s="194"/>
      <c r="AI344" s="194"/>
      <c r="AJ344" s="194"/>
      <c r="AK344" s="194"/>
      <c r="AL344" s="194"/>
      <c r="AM344" s="194"/>
    </row>
    <row r="345" spans="1:39" ht="15.75" customHeight="1" x14ac:dyDescent="0.25">
      <c r="A345" s="194"/>
      <c r="B345" s="194"/>
      <c r="C345" s="194"/>
      <c r="D345" s="194"/>
      <c r="E345" s="194"/>
      <c r="F345" s="194"/>
      <c r="G345" s="194"/>
      <c r="H345" s="194"/>
      <c r="I345" s="194"/>
      <c r="J345" s="194"/>
      <c r="K345" s="194"/>
      <c r="L345" s="194"/>
      <c r="M345" s="194"/>
      <c r="N345" s="194"/>
      <c r="O345" s="194"/>
      <c r="P345" s="194"/>
      <c r="Q345" s="194"/>
      <c r="R345" s="194"/>
      <c r="S345" s="194"/>
      <c r="T345" s="194"/>
      <c r="U345" s="194"/>
      <c r="V345" s="194"/>
      <c r="W345" s="194"/>
      <c r="X345" s="194"/>
      <c r="Y345" s="194"/>
      <c r="Z345" s="194"/>
      <c r="AA345" s="194"/>
      <c r="AB345" s="194"/>
      <c r="AC345" s="194"/>
      <c r="AD345" s="194"/>
      <c r="AE345" s="194"/>
      <c r="AF345" s="194"/>
      <c r="AG345" s="194"/>
      <c r="AH345" s="194"/>
      <c r="AI345" s="194"/>
      <c r="AJ345" s="194"/>
      <c r="AK345" s="194"/>
      <c r="AL345" s="194"/>
      <c r="AM345" s="194"/>
    </row>
    <row r="346" spans="1:39" ht="15.75" customHeight="1" x14ac:dyDescent="0.25">
      <c r="A346" s="194"/>
      <c r="B346" s="194"/>
      <c r="C346" s="194"/>
      <c r="D346" s="194"/>
      <c r="E346" s="194"/>
      <c r="F346" s="194"/>
      <c r="G346" s="194"/>
      <c r="H346" s="194"/>
      <c r="I346" s="194"/>
      <c r="J346" s="194"/>
      <c r="K346" s="194"/>
      <c r="L346" s="194"/>
      <c r="M346" s="194"/>
      <c r="N346" s="194"/>
      <c r="O346" s="194"/>
      <c r="P346" s="194"/>
      <c r="Q346" s="194"/>
      <c r="R346" s="194"/>
      <c r="S346" s="194"/>
      <c r="T346" s="194"/>
      <c r="U346" s="194"/>
      <c r="V346" s="194"/>
      <c r="W346" s="194"/>
      <c r="X346" s="194"/>
      <c r="Y346" s="194"/>
      <c r="Z346" s="194"/>
      <c r="AA346" s="194"/>
      <c r="AB346" s="194"/>
      <c r="AC346" s="194"/>
      <c r="AD346" s="194"/>
      <c r="AE346" s="194"/>
      <c r="AF346" s="194"/>
      <c r="AG346" s="194"/>
      <c r="AH346" s="194"/>
      <c r="AI346" s="194"/>
      <c r="AJ346" s="194"/>
      <c r="AK346" s="194"/>
      <c r="AL346" s="194"/>
      <c r="AM346" s="194"/>
    </row>
    <row r="347" spans="1:39" ht="15.75" customHeight="1" x14ac:dyDescent="0.25">
      <c r="A347" s="194"/>
      <c r="B347" s="194"/>
      <c r="C347" s="194"/>
      <c r="D347" s="194"/>
      <c r="E347" s="194"/>
      <c r="F347" s="194"/>
      <c r="G347" s="194"/>
      <c r="H347" s="194"/>
      <c r="I347" s="194"/>
      <c r="J347" s="194"/>
      <c r="K347" s="194"/>
      <c r="L347" s="194"/>
      <c r="M347" s="194"/>
      <c r="N347" s="194"/>
      <c r="O347" s="194"/>
      <c r="P347" s="194"/>
      <c r="Q347" s="194"/>
      <c r="R347" s="194"/>
      <c r="S347" s="194"/>
      <c r="T347" s="194"/>
      <c r="U347" s="194"/>
      <c r="V347" s="194"/>
      <c r="W347" s="194"/>
      <c r="X347" s="194"/>
      <c r="Y347" s="194"/>
      <c r="Z347" s="194"/>
      <c r="AA347" s="194"/>
      <c r="AB347" s="194"/>
      <c r="AC347" s="194"/>
      <c r="AD347" s="194"/>
      <c r="AE347" s="194"/>
      <c r="AF347" s="194"/>
      <c r="AG347" s="194"/>
      <c r="AH347" s="194"/>
      <c r="AI347" s="194"/>
      <c r="AJ347" s="194"/>
      <c r="AK347" s="194"/>
      <c r="AL347" s="194"/>
      <c r="AM347" s="194"/>
    </row>
    <row r="348" spans="1:39" ht="15.75" customHeight="1" x14ac:dyDescent="0.25">
      <c r="A348" s="194"/>
      <c r="B348" s="194"/>
      <c r="C348" s="194"/>
      <c r="D348" s="194"/>
      <c r="E348" s="194"/>
      <c r="F348" s="194"/>
      <c r="G348" s="194"/>
      <c r="H348" s="194"/>
      <c r="I348" s="194"/>
      <c r="J348" s="194"/>
      <c r="K348" s="194"/>
      <c r="L348" s="194"/>
      <c r="M348" s="194"/>
      <c r="N348" s="194"/>
      <c r="O348" s="194"/>
      <c r="P348" s="194"/>
      <c r="Q348" s="194"/>
      <c r="R348" s="194"/>
      <c r="S348" s="194"/>
      <c r="T348" s="194"/>
      <c r="U348" s="194"/>
      <c r="V348" s="194"/>
      <c r="W348" s="194"/>
      <c r="X348" s="194"/>
      <c r="Y348" s="194"/>
      <c r="Z348" s="194"/>
      <c r="AA348" s="194"/>
      <c r="AB348" s="194"/>
      <c r="AC348" s="194"/>
      <c r="AD348" s="194"/>
      <c r="AE348" s="194"/>
      <c r="AF348" s="194"/>
      <c r="AG348" s="194"/>
      <c r="AH348" s="194"/>
      <c r="AI348" s="194"/>
      <c r="AJ348" s="194"/>
      <c r="AK348" s="194"/>
      <c r="AL348" s="194"/>
      <c r="AM348" s="194"/>
    </row>
    <row r="349" spans="1:39" ht="15.75" customHeight="1" x14ac:dyDescent="0.25">
      <c r="A349" s="194"/>
      <c r="B349" s="194"/>
      <c r="C349" s="194"/>
      <c r="D349" s="194"/>
      <c r="E349" s="194"/>
      <c r="F349" s="194"/>
      <c r="G349" s="194"/>
      <c r="H349" s="194"/>
      <c r="I349" s="194"/>
      <c r="J349" s="194"/>
      <c r="K349" s="194"/>
      <c r="L349" s="194"/>
      <c r="M349" s="194"/>
      <c r="N349" s="194"/>
      <c r="O349" s="194"/>
      <c r="P349" s="194"/>
      <c r="Q349" s="194"/>
      <c r="R349" s="194"/>
      <c r="S349" s="194"/>
      <c r="T349" s="194"/>
      <c r="U349" s="194"/>
      <c r="V349" s="194"/>
      <c r="W349" s="194"/>
      <c r="X349" s="194"/>
      <c r="Y349" s="194"/>
      <c r="Z349" s="194"/>
      <c r="AA349" s="194"/>
      <c r="AB349" s="194"/>
      <c r="AC349" s="194"/>
      <c r="AD349" s="194"/>
      <c r="AE349" s="194"/>
      <c r="AF349" s="194"/>
      <c r="AG349" s="194"/>
      <c r="AH349" s="194"/>
      <c r="AI349" s="194"/>
      <c r="AJ349" s="194"/>
      <c r="AK349" s="194"/>
      <c r="AL349" s="194"/>
      <c r="AM349" s="194"/>
    </row>
    <row r="350" spans="1:39" ht="15.75" customHeight="1" x14ac:dyDescent="0.25">
      <c r="A350" s="194"/>
      <c r="B350" s="194"/>
      <c r="C350" s="194"/>
      <c r="D350" s="194"/>
      <c r="E350" s="194"/>
      <c r="F350" s="194"/>
      <c r="G350" s="194"/>
      <c r="H350" s="194"/>
      <c r="I350" s="194"/>
      <c r="J350" s="194"/>
      <c r="K350" s="194"/>
      <c r="L350" s="194"/>
      <c r="M350" s="194"/>
      <c r="N350" s="194"/>
      <c r="O350" s="194"/>
      <c r="P350" s="194"/>
      <c r="Q350" s="194"/>
      <c r="R350" s="194"/>
      <c r="S350" s="194"/>
      <c r="T350" s="194"/>
      <c r="U350" s="194"/>
      <c r="V350" s="194"/>
      <c r="W350" s="194"/>
      <c r="X350" s="194"/>
      <c r="Y350" s="194"/>
      <c r="Z350" s="194"/>
      <c r="AA350" s="194"/>
      <c r="AB350" s="194"/>
      <c r="AC350" s="194"/>
      <c r="AD350" s="194"/>
      <c r="AE350" s="194"/>
      <c r="AF350" s="194"/>
      <c r="AG350" s="194"/>
      <c r="AH350" s="194"/>
      <c r="AI350" s="194"/>
      <c r="AJ350" s="194"/>
      <c r="AK350" s="194"/>
      <c r="AL350" s="194"/>
      <c r="AM350" s="194"/>
    </row>
    <row r="351" spans="1:39" ht="15.75" customHeight="1" x14ac:dyDescent="0.25">
      <c r="A351" s="194"/>
      <c r="B351" s="194"/>
      <c r="C351" s="194"/>
      <c r="D351" s="194"/>
      <c r="E351" s="194"/>
      <c r="F351" s="194"/>
      <c r="G351" s="194"/>
      <c r="H351" s="194"/>
      <c r="I351" s="194"/>
      <c r="J351" s="194"/>
      <c r="K351" s="194"/>
      <c r="L351" s="194"/>
      <c r="M351" s="194"/>
      <c r="N351" s="194"/>
      <c r="O351" s="194"/>
      <c r="P351" s="194"/>
      <c r="Q351" s="194"/>
      <c r="R351" s="194"/>
      <c r="S351" s="194"/>
      <c r="T351" s="194"/>
      <c r="U351" s="194"/>
      <c r="V351" s="194"/>
      <c r="W351" s="194"/>
      <c r="X351" s="194"/>
      <c r="Y351" s="194"/>
      <c r="Z351" s="194"/>
      <c r="AA351" s="194"/>
      <c r="AB351" s="194"/>
      <c r="AC351" s="194"/>
      <c r="AD351" s="194"/>
      <c r="AE351" s="194"/>
      <c r="AF351" s="194"/>
      <c r="AG351" s="194"/>
      <c r="AH351" s="194"/>
      <c r="AI351" s="194"/>
      <c r="AJ351" s="194"/>
      <c r="AK351" s="194"/>
      <c r="AL351" s="194"/>
      <c r="AM351" s="194"/>
    </row>
    <row r="352" spans="1:39" ht="15.75" customHeight="1" x14ac:dyDescent="0.25">
      <c r="A352" s="194"/>
      <c r="B352" s="194"/>
      <c r="C352" s="194"/>
      <c r="D352" s="194"/>
      <c r="E352" s="194"/>
      <c r="F352" s="194"/>
      <c r="G352" s="194"/>
      <c r="H352" s="194"/>
      <c r="I352" s="194"/>
      <c r="J352" s="194"/>
      <c r="K352" s="194"/>
      <c r="L352" s="194"/>
      <c r="M352" s="194"/>
      <c r="N352" s="194"/>
      <c r="O352" s="194"/>
      <c r="P352" s="194"/>
      <c r="Q352" s="194"/>
      <c r="R352" s="194"/>
      <c r="S352" s="194"/>
      <c r="T352" s="194"/>
      <c r="U352" s="194"/>
      <c r="V352" s="194"/>
      <c r="W352" s="194"/>
      <c r="X352" s="194"/>
      <c r="Y352" s="194"/>
      <c r="Z352" s="194"/>
      <c r="AA352" s="194"/>
      <c r="AB352" s="194"/>
      <c r="AC352" s="194"/>
      <c r="AD352" s="194"/>
      <c r="AE352" s="194"/>
      <c r="AF352" s="194"/>
      <c r="AG352" s="194"/>
      <c r="AH352" s="194"/>
      <c r="AI352" s="194"/>
      <c r="AJ352" s="194"/>
      <c r="AK352" s="194"/>
      <c r="AL352" s="194"/>
      <c r="AM352" s="194"/>
    </row>
    <row r="353" spans="1:39" ht="15.75" customHeight="1" x14ac:dyDescent="0.25">
      <c r="A353" s="194"/>
      <c r="B353" s="194"/>
      <c r="C353" s="194"/>
      <c r="D353" s="194"/>
      <c r="E353" s="194"/>
      <c r="F353" s="194"/>
      <c r="G353" s="194"/>
      <c r="H353" s="194"/>
      <c r="I353" s="194"/>
      <c r="J353" s="194"/>
      <c r="K353" s="194"/>
      <c r="L353" s="194"/>
      <c r="M353" s="194"/>
      <c r="N353" s="194"/>
      <c r="O353" s="194"/>
      <c r="P353" s="194"/>
      <c r="Q353" s="194"/>
      <c r="R353" s="194"/>
      <c r="S353" s="194"/>
      <c r="T353" s="194"/>
      <c r="U353" s="194"/>
      <c r="V353" s="194"/>
      <c r="W353" s="194"/>
      <c r="X353" s="194"/>
      <c r="Y353" s="194"/>
      <c r="Z353" s="194"/>
      <c r="AA353" s="194"/>
      <c r="AB353" s="194"/>
      <c r="AC353" s="194"/>
      <c r="AD353" s="194"/>
      <c r="AE353" s="194"/>
      <c r="AF353" s="194"/>
      <c r="AG353" s="194"/>
      <c r="AH353" s="194"/>
      <c r="AI353" s="194"/>
      <c r="AJ353" s="194"/>
      <c r="AK353" s="194"/>
      <c r="AL353" s="194"/>
      <c r="AM353" s="194"/>
    </row>
    <row r="354" spans="1:39" ht="15.75" customHeight="1" x14ac:dyDescent="0.25">
      <c r="A354" s="194"/>
      <c r="B354" s="194"/>
      <c r="C354" s="194"/>
      <c r="D354" s="194"/>
      <c r="E354" s="194"/>
      <c r="F354" s="194"/>
      <c r="G354" s="194"/>
      <c r="H354" s="194"/>
      <c r="I354" s="194"/>
      <c r="J354" s="194"/>
      <c r="K354" s="194"/>
      <c r="L354" s="194"/>
      <c r="M354" s="194"/>
      <c r="N354" s="194"/>
      <c r="O354" s="194"/>
      <c r="P354" s="194"/>
      <c r="Q354" s="194"/>
      <c r="R354" s="194"/>
      <c r="S354" s="194"/>
      <c r="T354" s="194"/>
      <c r="U354" s="194"/>
      <c r="V354" s="194"/>
      <c r="W354" s="194"/>
      <c r="X354" s="194"/>
      <c r="Y354" s="194"/>
      <c r="Z354" s="194"/>
      <c r="AA354" s="194"/>
      <c r="AB354" s="194"/>
      <c r="AC354" s="194"/>
      <c r="AD354" s="194"/>
      <c r="AE354" s="194"/>
      <c r="AF354" s="194"/>
      <c r="AG354" s="194"/>
      <c r="AH354" s="194"/>
      <c r="AI354" s="194"/>
      <c r="AJ354" s="194"/>
      <c r="AK354" s="194"/>
      <c r="AL354" s="194"/>
      <c r="AM354" s="194"/>
    </row>
    <row r="355" spans="1:39" ht="15.75" customHeight="1" x14ac:dyDescent="0.25">
      <c r="A355" s="194"/>
      <c r="B355" s="194"/>
      <c r="C355" s="194"/>
      <c r="D355" s="194"/>
      <c r="E355" s="194"/>
      <c r="F355" s="194"/>
      <c r="G355" s="194"/>
      <c r="H355" s="194"/>
      <c r="I355" s="194"/>
      <c r="J355" s="194"/>
      <c r="K355" s="194"/>
      <c r="L355" s="194"/>
      <c r="M355" s="194"/>
      <c r="N355" s="194"/>
      <c r="O355" s="194"/>
      <c r="P355" s="194"/>
      <c r="Q355" s="194"/>
      <c r="R355" s="194"/>
      <c r="S355" s="194"/>
      <c r="T355" s="194"/>
      <c r="U355" s="194"/>
      <c r="V355" s="194"/>
      <c r="W355" s="194"/>
      <c r="X355" s="194"/>
      <c r="Y355" s="194"/>
      <c r="Z355" s="194"/>
      <c r="AA355" s="194"/>
      <c r="AB355" s="194"/>
      <c r="AC355" s="194"/>
      <c r="AD355" s="194"/>
      <c r="AE355" s="194"/>
      <c r="AF355" s="194"/>
      <c r="AG355" s="194"/>
      <c r="AH355" s="194"/>
      <c r="AI355" s="194"/>
      <c r="AJ355" s="194"/>
      <c r="AK355" s="194"/>
      <c r="AL355" s="194"/>
      <c r="AM355" s="194"/>
    </row>
    <row r="356" spans="1:39" ht="15.75" customHeight="1" x14ac:dyDescent="0.25">
      <c r="A356" s="194"/>
      <c r="B356" s="194"/>
      <c r="C356" s="194"/>
      <c r="D356" s="194"/>
      <c r="E356" s="194"/>
      <c r="F356" s="194"/>
      <c r="G356" s="194"/>
      <c r="H356" s="194"/>
      <c r="I356" s="194"/>
      <c r="J356" s="194"/>
      <c r="K356" s="194"/>
      <c r="L356" s="194"/>
      <c r="M356" s="194"/>
      <c r="N356" s="194"/>
      <c r="O356" s="194"/>
      <c r="P356" s="194"/>
      <c r="Q356" s="194"/>
      <c r="R356" s="194"/>
      <c r="S356" s="194"/>
      <c r="T356" s="194"/>
      <c r="U356" s="194"/>
      <c r="V356" s="194"/>
      <c r="W356" s="194"/>
      <c r="X356" s="194"/>
      <c r="Y356" s="194"/>
      <c r="Z356" s="194"/>
      <c r="AA356" s="194"/>
      <c r="AB356" s="194"/>
      <c r="AC356" s="194"/>
      <c r="AD356" s="194"/>
      <c r="AE356" s="194"/>
      <c r="AF356" s="194"/>
      <c r="AG356" s="194"/>
      <c r="AH356" s="194"/>
      <c r="AI356" s="194"/>
      <c r="AJ356" s="194"/>
      <c r="AK356" s="194"/>
      <c r="AL356" s="194"/>
      <c r="AM356" s="194"/>
    </row>
    <row r="357" spans="1:39" ht="15.75" customHeight="1" x14ac:dyDescent="0.25">
      <c r="A357" s="194"/>
      <c r="B357" s="194"/>
      <c r="C357" s="194"/>
      <c r="D357" s="194"/>
      <c r="E357" s="194"/>
      <c r="F357" s="194"/>
      <c r="G357" s="194"/>
      <c r="H357" s="194"/>
      <c r="I357" s="194"/>
      <c r="J357" s="194"/>
      <c r="K357" s="194"/>
      <c r="L357" s="194"/>
      <c r="M357" s="194"/>
      <c r="N357" s="194"/>
      <c r="O357" s="194"/>
      <c r="P357" s="194"/>
      <c r="Q357" s="194"/>
      <c r="R357" s="194"/>
      <c r="S357" s="194"/>
      <c r="T357" s="194"/>
      <c r="U357" s="194"/>
      <c r="V357" s="194"/>
      <c r="W357" s="194"/>
      <c r="X357" s="194"/>
      <c r="Y357" s="194"/>
      <c r="Z357" s="194"/>
      <c r="AA357" s="194"/>
      <c r="AB357" s="194"/>
      <c r="AC357" s="194"/>
      <c r="AD357" s="194"/>
      <c r="AE357" s="194"/>
      <c r="AF357" s="194"/>
      <c r="AG357" s="194"/>
      <c r="AH357" s="194"/>
      <c r="AI357" s="194"/>
      <c r="AJ357" s="194"/>
      <c r="AK357" s="194"/>
      <c r="AL357" s="194"/>
      <c r="AM357" s="194"/>
    </row>
    <row r="358" spans="1:39" ht="15.75" customHeight="1" x14ac:dyDescent="0.25">
      <c r="A358" s="194"/>
      <c r="B358" s="194"/>
      <c r="C358" s="194"/>
      <c r="D358" s="194"/>
      <c r="E358" s="194"/>
      <c r="F358" s="194"/>
      <c r="G358" s="194"/>
      <c r="H358" s="194"/>
      <c r="I358" s="194"/>
      <c r="J358" s="194"/>
      <c r="K358" s="194"/>
      <c r="L358" s="194"/>
      <c r="M358" s="194"/>
      <c r="N358" s="194"/>
      <c r="O358" s="194"/>
      <c r="P358" s="194"/>
      <c r="Q358" s="194"/>
      <c r="R358" s="194"/>
      <c r="S358" s="194"/>
      <c r="T358" s="194"/>
      <c r="U358" s="194"/>
      <c r="V358" s="194"/>
      <c r="W358" s="194"/>
      <c r="X358" s="194"/>
      <c r="Y358" s="194"/>
      <c r="Z358" s="194"/>
      <c r="AA358" s="194"/>
      <c r="AB358" s="194"/>
      <c r="AC358" s="194"/>
      <c r="AD358" s="194"/>
      <c r="AE358" s="194"/>
      <c r="AF358" s="194"/>
      <c r="AG358" s="194"/>
      <c r="AH358" s="194"/>
      <c r="AI358" s="194"/>
      <c r="AJ358" s="194"/>
      <c r="AK358" s="194"/>
      <c r="AL358" s="194"/>
      <c r="AM358" s="194"/>
    </row>
    <row r="359" spans="1:39" ht="15.75" customHeight="1" x14ac:dyDescent="0.25">
      <c r="A359" s="194"/>
      <c r="B359" s="194"/>
      <c r="C359" s="194"/>
      <c r="D359" s="194"/>
      <c r="E359" s="194"/>
      <c r="F359" s="194"/>
      <c r="G359" s="194"/>
      <c r="H359" s="194"/>
      <c r="I359" s="194"/>
      <c r="J359" s="194"/>
      <c r="K359" s="194"/>
      <c r="L359" s="194"/>
      <c r="M359" s="194"/>
      <c r="N359" s="194"/>
      <c r="O359" s="194"/>
      <c r="P359" s="194"/>
      <c r="Q359" s="194"/>
      <c r="R359" s="194"/>
      <c r="S359" s="194"/>
      <c r="T359" s="194"/>
      <c r="U359" s="194"/>
      <c r="V359" s="194"/>
      <c r="W359" s="194"/>
      <c r="X359" s="194"/>
      <c r="Y359" s="194"/>
      <c r="Z359" s="194"/>
      <c r="AA359" s="194"/>
      <c r="AB359" s="194"/>
      <c r="AC359" s="194"/>
      <c r="AD359" s="194"/>
      <c r="AE359" s="194"/>
      <c r="AF359" s="194"/>
      <c r="AG359" s="194"/>
      <c r="AH359" s="194"/>
      <c r="AI359" s="194"/>
      <c r="AJ359" s="194"/>
      <c r="AK359" s="194"/>
      <c r="AL359" s="194"/>
      <c r="AM359" s="194"/>
    </row>
    <row r="360" spans="1:39" ht="15.75" customHeight="1" x14ac:dyDescent="0.25">
      <c r="A360" s="194"/>
      <c r="B360" s="194"/>
      <c r="C360" s="194"/>
      <c r="D360" s="194"/>
      <c r="E360" s="194"/>
      <c r="F360" s="194"/>
      <c r="G360" s="194"/>
      <c r="H360" s="194"/>
      <c r="I360" s="194"/>
      <c r="J360" s="194"/>
      <c r="K360" s="194"/>
      <c r="L360" s="194"/>
      <c r="M360" s="194"/>
      <c r="N360" s="194"/>
      <c r="O360" s="194"/>
      <c r="P360" s="194"/>
      <c r="Q360" s="194"/>
      <c r="R360" s="194"/>
      <c r="S360" s="194"/>
      <c r="T360" s="194"/>
      <c r="U360" s="194"/>
      <c r="V360" s="194"/>
      <c r="W360" s="194"/>
      <c r="X360" s="194"/>
      <c r="Y360" s="194"/>
      <c r="Z360" s="194"/>
      <c r="AA360" s="194"/>
      <c r="AB360" s="194"/>
      <c r="AC360" s="194"/>
      <c r="AD360" s="194"/>
      <c r="AE360" s="194"/>
      <c r="AF360" s="194"/>
      <c r="AG360" s="194"/>
      <c r="AH360" s="194"/>
      <c r="AI360" s="194"/>
      <c r="AJ360" s="194"/>
      <c r="AK360" s="194"/>
      <c r="AL360" s="194"/>
      <c r="AM360" s="194"/>
    </row>
    <row r="361" spans="1:39" ht="15.75" customHeight="1" x14ac:dyDescent="0.25">
      <c r="A361" s="194"/>
      <c r="B361" s="194"/>
      <c r="C361" s="194"/>
      <c r="D361" s="194"/>
      <c r="E361" s="194"/>
      <c r="F361" s="194"/>
      <c r="G361" s="194"/>
      <c r="H361" s="194"/>
      <c r="I361" s="194"/>
      <c r="J361" s="194"/>
      <c r="K361" s="194"/>
      <c r="L361" s="194"/>
      <c r="M361" s="194"/>
      <c r="N361" s="194"/>
      <c r="O361" s="194"/>
      <c r="P361" s="194"/>
      <c r="Q361" s="194"/>
      <c r="R361" s="194"/>
      <c r="S361" s="194"/>
      <c r="T361" s="194"/>
      <c r="U361" s="194"/>
      <c r="V361" s="194"/>
      <c r="W361" s="194"/>
      <c r="X361" s="194"/>
      <c r="Y361" s="194"/>
      <c r="Z361" s="194"/>
      <c r="AA361" s="194"/>
      <c r="AB361" s="194"/>
      <c r="AC361" s="194"/>
      <c r="AD361" s="194"/>
      <c r="AE361" s="194"/>
      <c r="AF361" s="194"/>
      <c r="AG361" s="194"/>
      <c r="AH361" s="194"/>
      <c r="AI361" s="194"/>
      <c r="AJ361" s="194"/>
      <c r="AK361" s="194"/>
      <c r="AL361" s="194"/>
      <c r="AM361" s="194"/>
    </row>
    <row r="362" spans="1:39" ht="15.75" customHeight="1" x14ac:dyDescent="0.25">
      <c r="A362" s="194"/>
      <c r="B362" s="194"/>
      <c r="C362" s="194"/>
      <c r="D362" s="194"/>
      <c r="E362" s="194"/>
      <c r="F362" s="194"/>
      <c r="G362" s="194"/>
      <c r="H362" s="194"/>
      <c r="I362" s="194"/>
      <c r="J362" s="194"/>
      <c r="K362" s="194"/>
      <c r="L362" s="194"/>
      <c r="M362" s="194"/>
      <c r="N362" s="194"/>
      <c r="O362" s="194"/>
      <c r="P362" s="194"/>
      <c r="Q362" s="194"/>
      <c r="R362" s="194"/>
      <c r="S362" s="194"/>
      <c r="T362" s="194"/>
      <c r="U362" s="194"/>
      <c r="V362" s="194"/>
      <c r="W362" s="194"/>
      <c r="X362" s="194"/>
      <c r="Y362" s="194"/>
      <c r="Z362" s="194"/>
      <c r="AA362" s="194"/>
      <c r="AB362" s="194"/>
      <c r="AC362" s="194"/>
      <c r="AD362" s="194"/>
      <c r="AE362" s="194"/>
      <c r="AF362" s="194"/>
      <c r="AG362" s="194"/>
      <c r="AH362" s="194"/>
      <c r="AI362" s="194"/>
      <c r="AJ362" s="194"/>
      <c r="AK362" s="194"/>
      <c r="AL362" s="194"/>
      <c r="AM362" s="194"/>
    </row>
    <row r="363" spans="1:39" ht="15.75" customHeight="1" x14ac:dyDescent="0.25">
      <c r="A363" s="194"/>
      <c r="B363" s="194"/>
      <c r="C363" s="194"/>
      <c r="D363" s="194"/>
      <c r="E363" s="194"/>
      <c r="F363" s="194"/>
      <c r="G363" s="194"/>
      <c r="H363" s="194"/>
      <c r="I363" s="194"/>
      <c r="J363" s="194"/>
      <c r="K363" s="194"/>
      <c r="L363" s="194"/>
      <c r="M363" s="194"/>
      <c r="N363" s="194"/>
      <c r="O363" s="194"/>
      <c r="P363" s="194"/>
      <c r="Q363" s="194"/>
      <c r="R363" s="194"/>
      <c r="S363" s="194"/>
      <c r="T363" s="194"/>
      <c r="U363" s="194"/>
      <c r="V363" s="194"/>
      <c r="W363" s="194"/>
      <c r="X363" s="194"/>
      <c r="Y363" s="194"/>
      <c r="Z363" s="194"/>
      <c r="AA363" s="194"/>
      <c r="AB363" s="194"/>
      <c r="AC363" s="194"/>
      <c r="AD363" s="194"/>
      <c r="AE363" s="194"/>
      <c r="AF363" s="194"/>
      <c r="AG363" s="194"/>
      <c r="AH363" s="194"/>
      <c r="AI363" s="194"/>
      <c r="AJ363" s="194"/>
      <c r="AK363" s="194"/>
      <c r="AL363" s="194"/>
      <c r="AM363" s="194"/>
    </row>
    <row r="364" spans="1:39" ht="15.75" customHeight="1" x14ac:dyDescent="0.25">
      <c r="A364" s="194"/>
      <c r="B364" s="194"/>
      <c r="C364" s="194"/>
      <c r="D364" s="194"/>
      <c r="E364" s="194"/>
      <c r="F364" s="194"/>
      <c r="G364" s="194"/>
      <c r="H364" s="194"/>
      <c r="I364" s="194"/>
      <c r="J364" s="194"/>
      <c r="K364" s="194"/>
      <c r="L364" s="194"/>
      <c r="M364" s="194"/>
      <c r="N364" s="194"/>
      <c r="O364" s="194"/>
      <c r="P364" s="194"/>
      <c r="Q364" s="194"/>
      <c r="R364" s="194"/>
      <c r="S364" s="194"/>
      <c r="T364" s="194"/>
      <c r="U364" s="194"/>
      <c r="V364" s="194"/>
      <c r="W364" s="194"/>
      <c r="X364" s="194"/>
      <c r="Y364" s="194"/>
      <c r="Z364" s="194"/>
      <c r="AA364" s="194"/>
      <c r="AB364" s="194"/>
      <c r="AC364" s="194"/>
      <c r="AD364" s="194"/>
      <c r="AE364" s="194"/>
      <c r="AF364" s="194"/>
      <c r="AG364" s="194"/>
      <c r="AH364" s="194"/>
      <c r="AI364" s="194"/>
      <c r="AJ364" s="194"/>
      <c r="AK364" s="194"/>
      <c r="AL364" s="194"/>
      <c r="AM364" s="194"/>
    </row>
    <row r="365" spans="1:39" ht="15.75" customHeight="1" x14ac:dyDescent="0.25">
      <c r="A365" s="194"/>
      <c r="B365" s="194"/>
      <c r="C365" s="194"/>
      <c r="D365" s="194"/>
      <c r="E365" s="194"/>
      <c r="F365" s="194"/>
      <c r="G365" s="194"/>
      <c r="H365" s="194"/>
      <c r="I365" s="194"/>
      <c r="J365" s="194"/>
      <c r="K365" s="194"/>
      <c r="L365" s="194"/>
      <c r="M365" s="194"/>
      <c r="N365" s="194"/>
      <c r="O365" s="194"/>
      <c r="P365" s="194"/>
      <c r="Q365" s="194"/>
      <c r="R365" s="194"/>
      <c r="S365" s="194"/>
      <c r="T365" s="194"/>
      <c r="U365" s="194"/>
      <c r="V365" s="194"/>
      <c r="W365" s="194"/>
      <c r="X365" s="194"/>
      <c r="Y365" s="194"/>
      <c r="Z365" s="194"/>
      <c r="AA365" s="194"/>
      <c r="AB365" s="194"/>
      <c r="AC365" s="194"/>
      <c r="AD365" s="194"/>
      <c r="AE365" s="194"/>
      <c r="AF365" s="194"/>
      <c r="AG365" s="194"/>
      <c r="AH365" s="194"/>
      <c r="AI365" s="194"/>
      <c r="AJ365" s="194"/>
      <c r="AK365" s="194"/>
      <c r="AL365" s="194"/>
      <c r="AM365" s="194"/>
    </row>
    <row r="366" spans="1:39" ht="15.75" customHeight="1" x14ac:dyDescent="0.25">
      <c r="A366" s="194"/>
      <c r="B366" s="194"/>
      <c r="C366" s="194"/>
      <c r="D366" s="194"/>
      <c r="E366" s="194"/>
      <c r="F366" s="194"/>
      <c r="G366" s="194"/>
      <c r="H366" s="194"/>
      <c r="I366" s="194"/>
      <c r="J366" s="194"/>
      <c r="K366" s="194"/>
      <c r="L366" s="194"/>
      <c r="M366" s="194"/>
      <c r="N366" s="194"/>
      <c r="O366" s="194"/>
      <c r="P366" s="194"/>
      <c r="Q366" s="194"/>
      <c r="R366" s="194"/>
      <c r="S366" s="194"/>
      <c r="T366" s="194"/>
      <c r="U366" s="194"/>
      <c r="V366" s="194"/>
      <c r="W366" s="194"/>
      <c r="X366" s="194"/>
      <c r="Y366" s="194"/>
      <c r="Z366" s="194"/>
      <c r="AA366" s="194"/>
      <c r="AB366" s="194"/>
      <c r="AC366" s="194"/>
      <c r="AD366" s="194"/>
      <c r="AE366" s="194"/>
      <c r="AF366" s="194"/>
      <c r="AG366" s="194"/>
      <c r="AH366" s="194"/>
      <c r="AI366" s="194"/>
      <c r="AJ366" s="194"/>
      <c r="AK366" s="194"/>
      <c r="AL366" s="194"/>
      <c r="AM366" s="194"/>
    </row>
    <row r="367" spans="1:39" ht="15.75" customHeight="1" x14ac:dyDescent="0.25">
      <c r="A367" s="194"/>
      <c r="B367" s="194"/>
      <c r="C367" s="194"/>
      <c r="D367" s="194"/>
      <c r="E367" s="194"/>
      <c r="F367" s="194"/>
      <c r="G367" s="194"/>
      <c r="H367" s="194"/>
      <c r="I367" s="194"/>
      <c r="J367" s="194"/>
      <c r="K367" s="194"/>
      <c r="L367" s="194"/>
      <c r="M367" s="194"/>
      <c r="N367" s="194"/>
      <c r="O367" s="194"/>
      <c r="P367" s="194"/>
      <c r="Q367" s="194"/>
      <c r="R367" s="194"/>
      <c r="S367" s="194"/>
      <c r="T367" s="194"/>
      <c r="U367" s="194"/>
      <c r="V367" s="194"/>
      <c r="W367" s="194"/>
      <c r="X367" s="194"/>
      <c r="Y367" s="194"/>
      <c r="Z367" s="194"/>
      <c r="AA367" s="194"/>
      <c r="AB367" s="194"/>
      <c r="AC367" s="194"/>
      <c r="AD367" s="194"/>
      <c r="AE367" s="194"/>
      <c r="AF367" s="194"/>
      <c r="AG367" s="194"/>
      <c r="AH367" s="194"/>
      <c r="AI367" s="194"/>
      <c r="AJ367" s="194"/>
      <c r="AK367" s="194"/>
      <c r="AL367" s="194"/>
      <c r="AM367" s="194"/>
    </row>
    <row r="368" spans="1:39" ht="15.75" customHeight="1" x14ac:dyDescent="0.25">
      <c r="A368" s="194"/>
      <c r="B368" s="194"/>
      <c r="C368" s="194"/>
      <c r="D368" s="194"/>
      <c r="E368" s="194"/>
      <c r="F368" s="194"/>
      <c r="G368" s="194"/>
      <c r="H368" s="194"/>
      <c r="I368" s="194"/>
      <c r="J368" s="194"/>
      <c r="K368" s="194"/>
      <c r="L368" s="194"/>
      <c r="M368" s="194"/>
      <c r="N368" s="194"/>
      <c r="O368" s="194"/>
      <c r="P368" s="194"/>
      <c r="Q368" s="194"/>
      <c r="R368" s="194"/>
      <c r="S368" s="194"/>
      <c r="T368" s="194"/>
      <c r="U368" s="194"/>
      <c r="V368" s="194"/>
      <c r="W368" s="194"/>
      <c r="X368" s="194"/>
      <c r="Y368" s="194"/>
      <c r="Z368" s="194"/>
      <c r="AA368" s="194"/>
      <c r="AB368" s="194"/>
      <c r="AC368" s="194"/>
      <c r="AD368" s="194"/>
      <c r="AE368" s="194"/>
      <c r="AF368" s="194"/>
      <c r="AG368" s="194"/>
      <c r="AH368" s="194"/>
      <c r="AI368" s="194"/>
      <c r="AJ368" s="194"/>
      <c r="AK368" s="194"/>
      <c r="AL368" s="194"/>
      <c r="AM368" s="194"/>
    </row>
    <row r="369" spans="1:39" ht="15.75" customHeight="1" x14ac:dyDescent="0.25">
      <c r="A369" s="194"/>
      <c r="B369" s="194"/>
      <c r="C369" s="194"/>
      <c r="D369" s="194"/>
      <c r="E369" s="194"/>
      <c r="F369" s="194"/>
      <c r="G369" s="194"/>
      <c r="H369" s="194"/>
      <c r="I369" s="194"/>
      <c r="J369" s="194"/>
      <c r="K369" s="194"/>
      <c r="L369" s="194"/>
      <c r="M369" s="194"/>
      <c r="N369" s="194"/>
      <c r="O369" s="194"/>
      <c r="P369" s="194"/>
      <c r="Q369" s="194"/>
      <c r="R369" s="194"/>
      <c r="S369" s="194"/>
      <c r="T369" s="194"/>
      <c r="U369" s="194"/>
      <c r="V369" s="194"/>
      <c r="W369" s="194"/>
      <c r="X369" s="194"/>
      <c r="Y369" s="194"/>
      <c r="Z369" s="194"/>
      <c r="AA369" s="194"/>
      <c r="AB369" s="194"/>
      <c r="AC369" s="194"/>
      <c r="AD369" s="194"/>
      <c r="AE369" s="194"/>
      <c r="AF369" s="194"/>
      <c r="AG369" s="194"/>
      <c r="AH369" s="194"/>
      <c r="AI369" s="194"/>
      <c r="AJ369" s="194"/>
      <c r="AK369" s="194"/>
      <c r="AL369" s="194"/>
      <c r="AM369" s="194"/>
    </row>
    <row r="370" spans="1:39" ht="15.75" customHeight="1" x14ac:dyDescent="0.25">
      <c r="A370" s="194"/>
      <c r="B370" s="194"/>
      <c r="C370" s="194"/>
      <c r="D370" s="194"/>
      <c r="E370" s="194"/>
      <c r="F370" s="194"/>
      <c r="G370" s="194"/>
      <c r="H370" s="194"/>
      <c r="I370" s="194"/>
      <c r="J370" s="194"/>
      <c r="K370" s="194"/>
      <c r="L370" s="194"/>
      <c r="M370" s="194"/>
      <c r="N370" s="194"/>
      <c r="O370" s="194"/>
      <c r="P370" s="194"/>
      <c r="Q370" s="194"/>
      <c r="R370" s="194"/>
      <c r="S370" s="194"/>
      <c r="T370" s="194"/>
      <c r="U370" s="194"/>
      <c r="V370" s="194"/>
      <c r="W370" s="194"/>
      <c r="X370" s="194"/>
      <c r="Y370" s="194"/>
      <c r="Z370" s="194"/>
      <c r="AA370" s="194"/>
      <c r="AB370" s="194"/>
      <c r="AC370" s="194"/>
      <c r="AD370" s="194"/>
      <c r="AE370" s="194"/>
      <c r="AF370" s="194"/>
      <c r="AG370" s="194"/>
      <c r="AH370" s="194"/>
      <c r="AI370" s="194"/>
      <c r="AJ370" s="194"/>
      <c r="AK370" s="194"/>
      <c r="AL370" s="194"/>
      <c r="AM370" s="194"/>
    </row>
    <row r="371" spans="1:39" ht="15.75" customHeight="1" x14ac:dyDescent="0.25">
      <c r="A371" s="194"/>
      <c r="B371" s="194"/>
      <c r="C371" s="194"/>
      <c r="D371" s="194"/>
      <c r="E371" s="194"/>
      <c r="F371" s="194"/>
      <c r="G371" s="194"/>
      <c r="H371" s="194"/>
      <c r="I371" s="194"/>
      <c r="J371" s="194"/>
      <c r="K371" s="194"/>
      <c r="L371" s="194"/>
      <c r="M371" s="194"/>
      <c r="N371" s="194"/>
      <c r="O371" s="194"/>
      <c r="P371" s="194"/>
      <c r="Q371" s="194"/>
      <c r="R371" s="194"/>
      <c r="S371" s="194"/>
      <c r="T371" s="194"/>
      <c r="U371" s="194"/>
      <c r="V371" s="194"/>
      <c r="W371" s="194"/>
      <c r="X371" s="194"/>
      <c r="Y371" s="194"/>
      <c r="Z371" s="194"/>
      <c r="AA371" s="194"/>
      <c r="AB371" s="194"/>
      <c r="AC371" s="194"/>
      <c r="AD371" s="194"/>
      <c r="AE371" s="194"/>
      <c r="AF371" s="194"/>
      <c r="AG371" s="194"/>
      <c r="AH371" s="194"/>
      <c r="AI371" s="194"/>
      <c r="AJ371" s="194"/>
      <c r="AK371" s="194"/>
      <c r="AL371" s="194"/>
      <c r="AM371" s="194"/>
    </row>
    <row r="372" spans="1:39" ht="15.75" customHeight="1" x14ac:dyDescent="0.25">
      <c r="A372" s="194"/>
      <c r="B372" s="194"/>
      <c r="C372" s="194"/>
      <c r="D372" s="194"/>
      <c r="E372" s="194"/>
      <c r="F372" s="194"/>
      <c r="G372" s="194"/>
      <c r="H372" s="194"/>
      <c r="I372" s="194"/>
      <c r="J372" s="194"/>
      <c r="K372" s="194"/>
      <c r="L372" s="194"/>
      <c r="M372" s="194"/>
      <c r="N372" s="194"/>
      <c r="O372" s="194"/>
      <c r="P372" s="194"/>
      <c r="Q372" s="194"/>
      <c r="R372" s="194"/>
      <c r="S372" s="194"/>
      <c r="T372" s="194"/>
      <c r="U372" s="194"/>
      <c r="V372" s="194"/>
      <c r="W372" s="194"/>
      <c r="X372" s="194"/>
      <c r="Y372" s="194"/>
      <c r="Z372" s="194"/>
      <c r="AA372" s="194"/>
      <c r="AB372" s="194"/>
      <c r="AC372" s="194"/>
      <c r="AD372" s="194"/>
      <c r="AE372" s="194"/>
      <c r="AF372" s="194"/>
      <c r="AG372" s="194"/>
      <c r="AH372" s="194"/>
      <c r="AI372" s="194"/>
      <c r="AJ372" s="194"/>
      <c r="AK372" s="194"/>
      <c r="AL372" s="194"/>
      <c r="AM372" s="194"/>
    </row>
    <row r="373" spans="1:39" ht="15.75" customHeight="1" x14ac:dyDescent="0.25">
      <c r="A373" s="194"/>
      <c r="B373" s="194"/>
      <c r="C373" s="194"/>
      <c r="D373" s="194"/>
      <c r="E373" s="194"/>
      <c r="F373" s="194"/>
      <c r="G373" s="194"/>
      <c r="H373" s="194"/>
      <c r="I373" s="194"/>
      <c r="J373" s="194"/>
      <c r="K373" s="194"/>
      <c r="L373" s="194"/>
      <c r="M373" s="194"/>
      <c r="N373" s="194"/>
      <c r="O373" s="194"/>
      <c r="P373" s="194"/>
      <c r="Q373" s="194"/>
      <c r="R373" s="194"/>
      <c r="S373" s="194"/>
      <c r="T373" s="194"/>
      <c r="U373" s="194"/>
      <c r="V373" s="194"/>
      <c r="W373" s="194"/>
      <c r="X373" s="194"/>
      <c r="Y373" s="194"/>
      <c r="Z373" s="194"/>
      <c r="AA373" s="194"/>
      <c r="AB373" s="194"/>
      <c r="AC373" s="194"/>
      <c r="AD373" s="194"/>
      <c r="AE373" s="194"/>
      <c r="AF373" s="194"/>
      <c r="AG373" s="194"/>
      <c r="AH373" s="194"/>
      <c r="AI373" s="194"/>
      <c r="AJ373" s="194"/>
      <c r="AK373" s="194"/>
      <c r="AL373" s="194"/>
      <c r="AM373" s="194"/>
    </row>
    <row r="374" spans="1:39" ht="15.75" customHeight="1" x14ac:dyDescent="0.25">
      <c r="A374" s="194"/>
      <c r="B374" s="194"/>
      <c r="C374" s="194"/>
      <c r="D374" s="194"/>
      <c r="E374" s="194"/>
      <c r="F374" s="194"/>
      <c r="G374" s="194"/>
      <c r="H374" s="194"/>
      <c r="I374" s="194"/>
      <c r="J374" s="194"/>
      <c r="K374" s="194"/>
      <c r="L374" s="194"/>
      <c r="M374" s="194"/>
      <c r="N374" s="194"/>
      <c r="O374" s="194"/>
      <c r="P374" s="194"/>
      <c r="Q374" s="194"/>
      <c r="R374" s="194"/>
      <c r="S374" s="194"/>
      <c r="T374" s="194"/>
      <c r="U374" s="194"/>
      <c r="V374" s="194"/>
      <c r="W374" s="194"/>
      <c r="X374" s="194"/>
      <c r="Y374" s="194"/>
      <c r="Z374" s="194"/>
      <c r="AA374" s="194"/>
      <c r="AB374" s="194"/>
      <c r="AC374" s="194"/>
      <c r="AD374" s="194"/>
      <c r="AE374" s="194"/>
      <c r="AF374" s="194"/>
      <c r="AG374" s="194"/>
      <c r="AH374" s="194"/>
      <c r="AI374" s="194"/>
      <c r="AJ374" s="194"/>
      <c r="AK374" s="194"/>
      <c r="AL374" s="194"/>
      <c r="AM374" s="194"/>
    </row>
    <row r="375" spans="1:39" ht="15.75" customHeight="1" x14ac:dyDescent="0.25">
      <c r="A375" s="194"/>
      <c r="B375" s="194"/>
      <c r="C375" s="194"/>
      <c r="D375" s="194"/>
      <c r="E375" s="194"/>
      <c r="F375" s="194"/>
      <c r="G375" s="194"/>
      <c r="H375" s="194"/>
      <c r="I375" s="194"/>
      <c r="J375" s="194"/>
      <c r="K375" s="194"/>
      <c r="L375" s="194"/>
      <c r="M375" s="194"/>
      <c r="N375" s="194"/>
      <c r="O375" s="194"/>
      <c r="P375" s="194"/>
      <c r="Q375" s="194"/>
      <c r="R375" s="194"/>
      <c r="S375" s="194"/>
      <c r="T375" s="194"/>
      <c r="U375" s="194"/>
      <c r="V375" s="194"/>
      <c r="W375" s="194"/>
      <c r="X375" s="194"/>
      <c r="Y375" s="194"/>
      <c r="Z375" s="194"/>
      <c r="AA375" s="194"/>
      <c r="AB375" s="194"/>
      <c r="AC375" s="194"/>
      <c r="AD375" s="194"/>
      <c r="AE375" s="194"/>
      <c r="AF375" s="194"/>
      <c r="AG375" s="194"/>
      <c r="AH375" s="194"/>
      <c r="AI375" s="194"/>
      <c r="AJ375" s="194"/>
      <c r="AK375" s="194"/>
      <c r="AL375" s="194"/>
      <c r="AM375" s="194"/>
    </row>
    <row r="376" spans="1:39" ht="15.75" customHeight="1" x14ac:dyDescent="0.25">
      <c r="A376" s="194"/>
      <c r="B376" s="194"/>
      <c r="C376" s="194"/>
      <c r="D376" s="194"/>
      <c r="E376" s="194"/>
      <c r="F376" s="194"/>
      <c r="G376" s="194"/>
      <c r="H376" s="194"/>
      <c r="I376" s="194"/>
      <c r="J376" s="194"/>
      <c r="K376" s="194"/>
      <c r="L376" s="194"/>
      <c r="M376" s="194"/>
      <c r="N376" s="194"/>
      <c r="O376" s="194"/>
      <c r="P376" s="194"/>
      <c r="Q376" s="194"/>
      <c r="R376" s="194"/>
      <c r="S376" s="194"/>
      <c r="T376" s="194"/>
      <c r="U376" s="194"/>
      <c r="V376" s="194"/>
      <c r="W376" s="194"/>
      <c r="X376" s="194"/>
      <c r="Y376" s="194"/>
      <c r="Z376" s="194"/>
      <c r="AA376" s="194"/>
      <c r="AB376" s="194"/>
      <c r="AC376" s="194"/>
      <c r="AD376" s="194"/>
      <c r="AE376" s="194"/>
      <c r="AF376" s="194"/>
      <c r="AG376" s="194"/>
      <c r="AH376" s="194"/>
      <c r="AI376" s="194"/>
      <c r="AJ376" s="194"/>
      <c r="AK376" s="194"/>
      <c r="AL376" s="194"/>
      <c r="AM376" s="194"/>
    </row>
    <row r="377" spans="1:39" ht="15.75" customHeight="1" x14ac:dyDescent="0.25">
      <c r="A377" s="194"/>
      <c r="B377" s="194"/>
      <c r="C377" s="194"/>
      <c r="D377" s="194"/>
      <c r="E377" s="194"/>
      <c r="F377" s="194"/>
      <c r="G377" s="194"/>
      <c r="H377" s="194"/>
      <c r="I377" s="194"/>
      <c r="J377" s="194"/>
      <c r="K377" s="194"/>
      <c r="L377" s="194"/>
      <c r="M377" s="194"/>
      <c r="N377" s="194"/>
      <c r="O377" s="194"/>
      <c r="P377" s="194"/>
      <c r="Q377" s="194"/>
      <c r="R377" s="194"/>
      <c r="S377" s="194"/>
      <c r="T377" s="194"/>
      <c r="U377" s="194"/>
      <c r="V377" s="194"/>
      <c r="W377" s="194"/>
      <c r="X377" s="194"/>
      <c r="Y377" s="194"/>
      <c r="Z377" s="194"/>
      <c r="AA377" s="194"/>
      <c r="AB377" s="194"/>
      <c r="AC377" s="194"/>
      <c r="AD377" s="194"/>
      <c r="AE377" s="194"/>
      <c r="AF377" s="194"/>
      <c r="AG377" s="194"/>
      <c r="AH377" s="194"/>
      <c r="AI377" s="194"/>
      <c r="AJ377" s="194"/>
      <c r="AK377" s="194"/>
      <c r="AL377" s="194"/>
      <c r="AM377" s="194"/>
    </row>
    <row r="378" spans="1:39" ht="15.75" customHeight="1" x14ac:dyDescent="0.25">
      <c r="A378" s="194"/>
      <c r="B378" s="194"/>
      <c r="C378" s="194"/>
      <c r="D378" s="194"/>
      <c r="E378" s="194"/>
      <c r="F378" s="194"/>
      <c r="G378" s="194"/>
      <c r="H378" s="194"/>
      <c r="I378" s="194"/>
      <c r="J378" s="194"/>
      <c r="K378" s="194"/>
      <c r="L378" s="194"/>
      <c r="M378" s="194"/>
      <c r="N378" s="194"/>
      <c r="O378" s="194"/>
      <c r="P378" s="194"/>
      <c r="Q378" s="194"/>
      <c r="R378" s="194"/>
      <c r="S378" s="194"/>
      <c r="T378" s="194"/>
      <c r="U378" s="194"/>
      <c r="V378" s="194"/>
      <c r="W378" s="194"/>
      <c r="X378" s="194"/>
      <c r="Y378" s="194"/>
      <c r="Z378" s="194"/>
      <c r="AA378" s="194"/>
      <c r="AB378" s="194"/>
      <c r="AC378" s="194"/>
      <c r="AD378" s="194"/>
      <c r="AE378" s="194"/>
      <c r="AF378" s="194"/>
      <c r="AG378" s="194"/>
      <c r="AH378" s="194"/>
      <c r="AI378" s="194"/>
      <c r="AJ378" s="194"/>
      <c r="AK378" s="194"/>
      <c r="AL378" s="194"/>
      <c r="AM378" s="194"/>
    </row>
    <row r="379" spans="1:39" ht="15.75" customHeight="1" x14ac:dyDescent="0.25">
      <c r="A379" s="194"/>
      <c r="B379" s="194"/>
      <c r="C379" s="194"/>
      <c r="D379" s="194"/>
      <c r="E379" s="194"/>
      <c r="F379" s="194"/>
      <c r="G379" s="194"/>
      <c r="H379" s="194"/>
      <c r="I379" s="194"/>
      <c r="J379" s="194"/>
      <c r="K379" s="194"/>
      <c r="L379" s="194"/>
      <c r="M379" s="194"/>
      <c r="N379" s="194"/>
      <c r="O379" s="194"/>
      <c r="P379" s="194"/>
      <c r="Q379" s="194"/>
      <c r="R379" s="194"/>
      <c r="S379" s="194"/>
      <c r="T379" s="194"/>
      <c r="U379" s="194"/>
      <c r="V379" s="194"/>
      <c r="W379" s="194"/>
      <c r="X379" s="194"/>
      <c r="Y379" s="194"/>
      <c r="Z379" s="194"/>
      <c r="AA379" s="194"/>
      <c r="AB379" s="194"/>
      <c r="AC379" s="194"/>
      <c r="AD379" s="194"/>
      <c r="AE379" s="194"/>
      <c r="AF379" s="194"/>
      <c r="AG379" s="194"/>
      <c r="AH379" s="194"/>
      <c r="AI379" s="194"/>
      <c r="AJ379" s="194"/>
      <c r="AK379" s="194"/>
      <c r="AL379" s="194"/>
      <c r="AM379" s="194"/>
    </row>
    <row r="380" spans="1:39" ht="15.75" customHeight="1" x14ac:dyDescent="0.25">
      <c r="A380" s="194"/>
      <c r="B380" s="194"/>
      <c r="C380" s="194"/>
      <c r="D380" s="194"/>
      <c r="E380" s="194"/>
      <c r="F380" s="194"/>
      <c r="G380" s="194"/>
      <c r="H380" s="194"/>
      <c r="I380" s="194"/>
      <c r="J380" s="194"/>
      <c r="K380" s="194"/>
      <c r="L380" s="194"/>
      <c r="M380" s="194"/>
      <c r="N380" s="194"/>
      <c r="O380" s="194"/>
      <c r="P380" s="194"/>
      <c r="Q380" s="194"/>
      <c r="R380" s="194"/>
      <c r="S380" s="194"/>
      <c r="T380" s="194"/>
      <c r="U380" s="194"/>
      <c r="V380" s="194"/>
      <c r="W380" s="194"/>
      <c r="X380" s="194"/>
      <c r="Y380" s="194"/>
      <c r="Z380" s="194"/>
      <c r="AA380" s="194"/>
      <c r="AB380" s="194"/>
      <c r="AC380" s="194"/>
      <c r="AD380" s="194"/>
      <c r="AE380" s="194"/>
      <c r="AF380" s="194"/>
      <c r="AG380" s="194"/>
      <c r="AH380" s="194"/>
      <c r="AI380" s="194"/>
      <c r="AJ380" s="194"/>
      <c r="AK380" s="194"/>
      <c r="AL380" s="194"/>
      <c r="AM380" s="194"/>
    </row>
    <row r="381" spans="1:39" ht="15.75" customHeight="1" x14ac:dyDescent="0.25">
      <c r="A381" s="194"/>
      <c r="B381" s="194"/>
      <c r="C381" s="194"/>
      <c r="D381" s="194"/>
      <c r="E381" s="194"/>
      <c r="F381" s="194"/>
      <c r="G381" s="194"/>
      <c r="H381" s="194"/>
      <c r="I381" s="194"/>
      <c r="J381" s="194"/>
      <c r="K381" s="194"/>
      <c r="L381" s="194"/>
      <c r="M381" s="194"/>
      <c r="N381" s="194"/>
      <c r="O381" s="194"/>
      <c r="P381" s="194"/>
      <c r="Q381" s="194"/>
      <c r="R381" s="194"/>
      <c r="S381" s="194"/>
      <c r="T381" s="194"/>
      <c r="U381" s="194"/>
      <c r="V381" s="194"/>
      <c r="W381" s="194"/>
      <c r="X381" s="194"/>
      <c r="Y381" s="194"/>
      <c r="Z381" s="194"/>
      <c r="AA381" s="194"/>
      <c r="AB381" s="194"/>
      <c r="AC381" s="194"/>
      <c r="AD381" s="194"/>
      <c r="AE381" s="194"/>
      <c r="AF381" s="194"/>
      <c r="AG381" s="194"/>
      <c r="AH381" s="194"/>
      <c r="AI381" s="194"/>
      <c r="AJ381" s="194"/>
      <c r="AK381" s="194"/>
      <c r="AL381" s="194"/>
      <c r="AM381" s="194"/>
    </row>
    <row r="382" spans="1:39" ht="15.75" customHeight="1" x14ac:dyDescent="0.25">
      <c r="A382" s="194"/>
      <c r="B382" s="194"/>
      <c r="C382" s="194"/>
      <c r="D382" s="194"/>
      <c r="E382" s="194"/>
      <c r="F382" s="194"/>
      <c r="G382" s="194"/>
      <c r="H382" s="194"/>
      <c r="I382" s="194"/>
      <c r="J382" s="194"/>
      <c r="K382" s="194"/>
      <c r="L382" s="194"/>
      <c r="M382" s="194"/>
      <c r="N382" s="194"/>
      <c r="O382" s="194"/>
      <c r="P382" s="194"/>
      <c r="Q382" s="194"/>
      <c r="R382" s="194"/>
      <c r="S382" s="194"/>
      <c r="T382" s="194"/>
      <c r="U382" s="194"/>
      <c r="V382" s="194"/>
      <c r="W382" s="194"/>
      <c r="X382" s="194"/>
      <c r="Y382" s="194"/>
      <c r="Z382" s="194"/>
      <c r="AA382" s="194"/>
      <c r="AB382" s="194"/>
      <c r="AC382" s="194"/>
      <c r="AD382" s="194"/>
      <c r="AE382" s="194"/>
      <c r="AF382" s="194"/>
      <c r="AG382" s="194"/>
      <c r="AH382" s="194"/>
      <c r="AI382" s="194"/>
      <c r="AJ382" s="194"/>
      <c r="AK382" s="194"/>
      <c r="AL382" s="194"/>
      <c r="AM382" s="194"/>
    </row>
    <row r="383" spans="1:39" ht="15.75" customHeight="1" x14ac:dyDescent="0.25">
      <c r="A383" s="194"/>
      <c r="B383" s="194"/>
      <c r="C383" s="194"/>
      <c r="D383" s="194"/>
      <c r="E383" s="194"/>
      <c r="F383" s="194"/>
      <c r="G383" s="194"/>
      <c r="H383" s="194"/>
      <c r="I383" s="194"/>
      <c r="J383" s="194"/>
      <c r="K383" s="194"/>
      <c r="L383" s="194"/>
      <c r="M383" s="194"/>
      <c r="N383" s="194"/>
      <c r="O383" s="194"/>
      <c r="P383" s="194"/>
      <c r="Q383" s="194"/>
      <c r="R383" s="194"/>
      <c r="S383" s="194"/>
      <c r="T383" s="194"/>
      <c r="U383" s="194"/>
      <c r="V383" s="194"/>
      <c r="W383" s="194"/>
      <c r="X383" s="194"/>
      <c r="Y383" s="194"/>
      <c r="Z383" s="194"/>
      <c r="AA383" s="194"/>
      <c r="AB383" s="194"/>
      <c r="AC383" s="194"/>
      <c r="AD383" s="194"/>
      <c r="AE383" s="194"/>
      <c r="AF383" s="194"/>
      <c r="AG383" s="194"/>
      <c r="AH383" s="194"/>
      <c r="AI383" s="194"/>
      <c r="AJ383" s="194"/>
      <c r="AK383" s="194"/>
      <c r="AL383" s="194"/>
      <c r="AM383" s="194"/>
    </row>
    <row r="384" spans="1:39" ht="15.75" customHeight="1" x14ac:dyDescent="0.25">
      <c r="A384" s="194"/>
      <c r="B384" s="194"/>
      <c r="C384" s="194"/>
      <c r="D384" s="194"/>
      <c r="E384" s="194"/>
      <c r="F384" s="194"/>
      <c r="G384" s="194"/>
      <c r="H384" s="194"/>
      <c r="I384" s="194"/>
      <c r="J384" s="194"/>
      <c r="K384" s="194"/>
      <c r="L384" s="194"/>
      <c r="M384" s="194"/>
      <c r="N384" s="194"/>
      <c r="O384" s="194"/>
      <c r="P384" s="194"/>
      <c r="Q384" s="194"/>
      <c r="R384" s="194"/>
      <c r="S384" s="194"/>
      <c r="T384" s="194"/>
      <c r="U384" s="194"/>
      <c r="V384" s="194"/>
      <c r="W384" s="194"/>
      <c r="X384" s="194"/>
      <c r="Y384" s="194"/>
      <c r="Z384" s="194"/>
      <c r="AA384" s="194"/>
      <c r="AB384" s="194"/>
      <c r="AC384" s="194"/>
      <c r="AD384" s="194"/>
      <c r="AE384" s="194"/>
      <c r="AF384" s="194"/>
      <c r="AG384" s="194"/>
      <c r="AH384" s="194"/>
      <c r="AI384" s="194"/>
      <c r="AJ384" s="194"/>
      <c r="AK384" s="194"/>
      <c r="AL384" s="194"/>
      <c r="AM384" s="194"/>
    </row>
    <row r="385" spans="1:39" ht="15.75" customHeight="1" x14ac:dyDescent="0.25">
      <c r="A385" s="194"/>
      <c r="B385" s="194"/>
      <c r="C385" s="194"/>
      <c r="D385" s="194"/>
      <c r="E385" s="194"/>
      <c r="F385" s="194"/>
      <c r="G385" s="194"/>
      <c r="H385" s="194"/>
      <c r="I385" s="194"/>
      <c r="J385" s="194"/>
      <c r="K385" s="194"/>
      <c r="L385" s="194"/>
      <c r="M385" s="194"/>
      <c r="N385" s="194"/>
      <c r="O385" s="194"/>
      <c r="P385" s="194"/>
      <c r="Q385" s="194"/>
      <c r="R385" s="194"/>
      <c r="S385" s="194"/>
      <c r="T385" s="194"/>
      <c r="U385" s="194"/>
      <c r="V385" s="194"/>
      <c r="W385" s="194"/>
      <c r="X385" s="194"/>
      <c r="Y385" s="194"/>
      <c r="Z385" s="194"/>
      <c r="AA385" s="194"/>
      <c r="AB385" s="194"/>
      <c r="AC385" s="194"/>
      <c r="AD385" s="194"/>
      <c r="AE385" s="194"/>
      <c r="AF385" s="194"/>
      <c r="AG385" s="194"/>
      <c r="AH385" s="194"/>
      <c r="AI385" s="194"/>
      <c r="AJ385" s="194"/>
      <c r="AK385" s="194"/>
      <c r="AL385" s="194"/>
      <c r="AM385" s="194"/>
    </row>
    <row r="386" spans="1:39" ht="15.75" customHeight="1" x14ac:dyDescent="0.25">
      <c r="A386" s="194"/>
      <c r="B386" s="194"/>
      <c r="C386" s="194"/>
      <c r="D386" s="194"/>
      <c r="E386" s="194"/>
      <c r="F386" s="194"/>
      <c r="G386" s="194"/>
      <c r="H386" s="194"/>
      <c r="I386" s="194"/>
      <c r="J386" s="194"/>
      <c r="K386" s="194"/>
      <c r="L386" s="194"/>
      <c r="M386" s="194"/>
      <c r="N386" s="194"/>
      <c r="O386" s="194"/>
      <c r="P386" s="194"/>
      <c r="Q386" s="194"/>
      <c r="R386" s="194"/>
      <c r="S386" s="194"/>
      <c r="T386" s="194"/>
      <c r="U386" s="194"/>
      <c r="V386" s="194"/>
      <c r="W386" s="194"/>
      <c r="X386" s="194"/>
      <c r="Y386" s="194"/>
      <c r="Z386" s="194"/>
      <c r="AA386" s="194"/>
      <c r="AB386" s="194"/>
      <c r="AC386" s="194"/>
      <c r="AD386" s="194"/>
      <c r="AE386" s="194"/>
      <c r="AF386" s="194"/>
      <c r="AG386" s="194"/>
      <c r="AH386" s="194"/>
      <c r="AI386" s="194"/>
      <c r="AJ386" s="194"/>
      <c r="AK386" s="194"/>
      <c r="AL386" s="194"/>
      <c r="AM386" s="194"/>
    </row>
    <row r="387" spans="1:39" ht="15.75" customHeight="1" x14ac:dyDescent="0.25">
      <c r="A387" s="194"/>
      <c r="B387" s="194"/>
      <c r="C387" s="194"/>
      <c r="D387" s="194"/>
      <c r="E387" s="194"/>
      <c r="F387" s="194"/>
      <c r="G387" s="194"/>
      <c r="H387" s="194"/>
      <c r="I387" s="194"/>
      <c r="J387" s="194"/>
      <c r="K387" s="194"/>
      <c r="L387" s="194"/>
      <c r="M387" s="194"/>
      <c r="N387" s="194"/>
      <c r="O387" s="194"/>
      <c r="P387" s="194"/>
      <c r="Q387" s="194"/>
      <c r="R387" s="194"/>
      <c r="S387" s="194"/>
      <c r="T387" s="194"/>
      <c r="U387" s="194"/>
      <c r="V387" s="194"/>
      <c r="W387" s="194"/>
      <c r="X387" s="194"/>
      <c r="Y387" s="194"/>
      <c r="Z387" s="194"/>
      <c r="AA387" s="194"/>
      <c r="AB387" s="194"/>
      <c r="AC387" s="194"/>
      <c r="AD387" s="194"/>
      <c r="AE387" s="194"/>
      <c r="AF387" s="194"/>
      <c r="AG387" s="194"/>
      <c r="AH387" s="194"/>
      <c r="AI387" s="194"/>
      <c r="AJ387" s="194"/>
      <c r="AK387" s="194"/>
      <c r="AL387" s="194"/>
      <c r="AM387" s="194"/>
    </row>
    <row r="388" spans="1:39" ht="15.75" customHeight="1" x14ac:dyDescent="0.25">
      <c r="A388" s="194"/>
      <c r="B388" s="194"/>
      <c r="C388" s="194"/>
      <c r="D388" s="194"/>
      <c r="E388" s="194"/>
      <c r="F388" s="194"/>
      <c r="G388" s="194"/>
      <c r="H388" s="194"/>
      <c r="I388" s="194"/>
      <c r="J388" s="194"/>
      <c r="K388" s="194"/>
      <c r="L388" s="194"/>
      <c r="M388" s="194"/>
      <c r="N388" s="194"/>
      <c r="O388" s="194"/>
      <c r="P388" s="194"/>
      <c r="Q388" s="194"/>
      <c r="R388" s="194"/>
      <c r="S388" s="194"/>
      <c r="T388" s="194"/>
      <c r="U388" s="194"/>
      <c r="V388" s="194"/>
      <c r="W388" s="194"/>
      <c r="X388" s="194"/>
      <c r="Y388" s="194"/>
      <c r="Z388" s="194"/>
      <c r="AA388" s="194"/>
      <c r="AB388" s="194"/>
      <c r="AC388" s="194"/>
      <c r="AD388" s="194"/>
      <c r="AE388" s="194"/>
      <c r="AF388" s="194"/>
      <c r="AG388" s="194"/>
      <c r="AH388" s="194"/>
      <c r="AI388" s="194"/>
      <c r="AJ388" s="194"/>
      <c r="AK388" s="194"/>
      <c r="AL388" s="194"/>
      <c r="AM388" s="194"/>
    </row>
    <row r="389" spans="1:39" ht="15.75" customHeight="1" x14ac:dyDescent="0.25">
      <c r="A389" s="194"/>
      <c r="B389" s="194"/>
      <c r="C389" s="194"/>
      <c r="D389" s="194"/>
      <c r="E389" s="194"/>
      <c r="F389" s="194"/>
      <c r="G389" s="194"/>
      <c r="H389" s="194"/>
      <c r="I389" s="194"/>
      <c r="J389" s="194"/>
      <c r="K389" s="194"/>
      <c r="L389" s="194"/>
      <c r="M389" s="194"/>
      <c r="N389" s="194"/>
      <c r="O389" s="194"/>
      <c r="P389" s="194"/>
      <c r="Q389" s="194"/>
      <c r="R389" s="194"/>
      <c r="S389" s="194"/>
      <c r="T389" s="194"/>
      <c r="U389" s="194"/>
      <c r="V389" s="194"/>
      <c r="W389" s="194"/>
      <c r="X389" s="194"/>
      <c r="Y389" s="194"/>
      <c r="Z389" s="194"/>
      <c r="AA389" s="194"/>
      <c r="AB389" s="194"/>
      <c r="AC389" s="194"/>
      <c r="AD389" s="194"/>
      <c r="AE389" s="194"/>
      <c r="AF389" s="194"/>
      <c r="AG389" s="194"/>
      <c r="AH389" s="194"/>
      <c r="AI389" s="194"/>
      <c r="AJ389" s="194"/>
      <c r="AK389" s="194"/>
      <c r="AL389" s="194"/>
      <c r="AM389" s="194"/>
    </row>
    <row r="390" spans="1:39" ht="15.75" customHeight="1" x14ac:dyDescent="0.25">
      <c r="A390" s="194"/>
      <c r="B390" s="194"/>
      <c r="C390" s="194"/>
      <c r="D390" s="194"/>
      <c r="E390" s="194"/>
      <c r="F390" s="194"/>
      <c r="G390" s="194"/>
      <c r="H390" s="194"/>
      <c r="I390" s="194"/>
      <c r="J390" s="194"/>
      <c r="K390" s="194"/>
      <c r="L390" s="194"/>
      <c r="M390" s="194"/>
      <c r="N390" s="194"/>
      <c r="O390" s="194"/>
      <c r="P390" s="194"/>
      <c r="Q390" s="194"/>
      <c r="R390" s="194"/>
      <c r="S390" s="194"/>
      <c r="T390" s="194"/>
      <c r="U390" s="194"/>
      <c r="V390" s="194"/>
      <c r="W390" s="194"/>
      <c r="X390" s="194"/>
      <c r="Y390" s="194"/>
      <c r="Z390" s="194"/>
      <c r="AA390" s="194"/>
      <c r="AB390" s="194"/>
      <c r="AC390" s="194"/>
      <c r="AD390" s="194"/>
      <c r="AE390" s="194"/>
      <c r="AF390" s="194"/>
      <c r="AG390" s="194"/>
      <c r="AH390" s="194"/>
      <c r="AI390" s="194"/>
      <c r="AJ390" s="194"/>
      <c r="AK390" s="194"/>
      <c r="AL390" s="194"/>
      <c r="AM390" s="194"/>
    </row>
    <row r="391" spans="1:39" ht="15.75" customHeight="1" x14ac:dyDescent="0.25">
      <c r="A391" s="194"/>
      <c r="B391" s="194"/>
      <c r="C391" s="194"/>
      <c r="D391" s="194"/>
      <c r="E391" s="194"/>
      <c r="F391" s="194"/>
      <c r="G391" s="194"/>
      <c r="H391" s="194"/>
      <c r="I391" s="194"/>
      <c r="J391" s="194"/>
      <c r="K391" s="194"/>
      <c r="L391" s="194"/>
      <c r="M391" s="194"/>
      <c r="N391" s="194"/>
      <c r="O391" s="194"/>
      <c r="P391" s="194"/>
      <c r="Q391" s="194"/>
      <c r="R391" s="194"/>
      <c r="S391" s="194"/>
      <c r="T391" s="194"/>
      <c r="U391" s="194"/>
      <c r="V391" s="194"/>
      <c r="W391" s="194"/>
      <c r="X391" s="194"/>
      <c r="Y391" s="194"/>
      <c r="Z391" s="194"/>
      <c r="AA391" s="194"/>
      <c r="AB391" s="194"/>
      <c r="AC391" s="194"/>
      <c r="AD391" s="194"/>
      <c r="AE391" s="194"/>
      <c r="AF391" s="194"/>
      <c r="AG391" s="194"/>
      <c r="AH391" s="194"/>
      <c r="AI391" s="194"/>
      <c r="AJ391" s="194"/>
      <c r="AK391" s="194"/>
      <c r="AL391" s="194"/>
      <c r="AM391" s="194"/>
    </row>
    <row r="392" spans="1:39" ht="15.75" customHeight="1" x14ac:dyDescent="0.25">
      <c r="A392" s="194"/>
      <c r="B392" s="194"/>
      <c r="C392" s="194"/>
      <c r="D392" s="194"/>
      <c r="E392" s="194"/>
      <c r="F392" s="194"/>
      <c r="G392" s="194"/>
      <c r="H392" s="194"/>
      <c r="I392" s="194"/>
      <c r="J392" s="194"/>
      <c r="K392" s="194"/>
      <c r="L392" s="194"/>
      <c r="M392" s="194"/>
      <c r="N392" s="194"/>
      <c r="O392" s="194"/>
      <c r="P392" s="194"/>
      <c r="Q392" s="194"/>
      <c r="R392" s="194"/>
      <c r="S392" s="194"/>
      <c r="T392" s="194"/>
      <c r="U392" s="194"/>
      <c r="V392" s="194"/>
      <c r="W392" s="194"/>
      <c r="X392" s="194"/>
      <c r="Y392" s="194"/>
      <c r="Z392" s="194"/>
      <c r="AA392" s="194"/>
      <c r="AB392" s="194"/>
      <c r="AC392" s="194"/>
      <c r="AD392" s="194"/>
      <c r="AE392" s="194"/>
      <c r="AF392" s="194"/>
      <c r="AG392" s="194"/>
      <c r="AH392" s="194"/>
      <c r="AI392" s="194"/>
      <c r="AJ392" s="194"/>
      <c r="AK392" s="194"/>
      <c r="AL392" s="194"/>
      <c r="AM392" s="194"/>
    </row>
    <row r="393" spans="1:39" ht="15.75" customHeight="1" x14ac:dyDescent="0.25">
      <c r="A393" s="194"/>
      <c r="B393" s="194"/>
      <c r="C393" s="194"/>
      <c r="D393" s="194"/>
      <c r="E393" s="194"/>
      <c r="F393" s="194"/>
      <c r="G393" s="194"/>
      <c r="H393" s="194"/>
      <c r="I393" s="194"/>
      <c r="J393" s="194"/>
      <c r="K393" s="194"/>
      <c r="L393" s="194"/>
      <c r="M393" s="194"/>
      <c r="N393" s="194"/>
      <c r="O393" s="194"/>
      <c r="P393" s="194"/>
      <c r="Q393" s="194"/>
      <c r="R393" s="194"/>
      <c r="S393" s="194"/>
      <c r="T393" s="194"/>
      <c r="U393" s="194"/>
      <c r="V393" s="194"/>
      <c r="W393" s="194"/>
      <c r="X393" s="194"/>
      <c r="Y393" s="194"/>
      <c r="Z393" s="194"/>
      <c r="AA393" s="194"/>
      <c r="AB393" s="194"/>
      <c r="AC393" s="194"/>
      <c r="AD393" s="194"/>
      <c r="AE393" s="194"/>
      <c r="AF393" s="194"/>
      <c r="AG393" s="194"/>
      <c r="AH393" s="194"/>
      <c r="AI393" s="194"/>
      <c r="AJ393" s="194"/>
      <c r="AK393" s="194"/>
      <c r="AL393" s="194"/>
      <c r="AM393" s="194"/>
    </row>
    <row r="394" spans="1:39" ht="15.75" customHeight="1" x14ac:dyDescent="0.25">
      <c r="A394" s="194"/>
      <c r="B394" s="194"/>
      <c r="C394" s="194"/>
      <c r="D394" s="194"/>
      <c r="E394" s="194"/>
      <c r="F394" s="194"/>
      <c r="G394" s="194"/>
      <c r="H394" s="194"/>
      <c r="I394" s="194"/>
      <c r="J394" s="194"/>
      <c r="K394" s="194"/>
      <c r="L394" s="194"/>
      <c r="M394" s="194"/>
      <c r="N394" s="194"/>
      <c r="O394" s="194"/>
      <c r="P394" s="194"/>
      <c r="Q394" s="194"/>
      <c r="R394" s="194"/>
      <c r="S394" s="194"/>
      <c r="T394" s="194"/>
      <c r="U394" s="194"/>
      <c r="V394" s="194"/>
      <c r="W394" s="194"/>
      <c r="X394" s="194"/>
      <c r="Y394" s="194"/>
      <c r="Z394" s="194"/>
      <c r="AA394" s="194"/>
      <c r="AB394" s="194"/>
      <c r="AC394" s="194"/>
      <c r="AD394" s="194"/>
      <c r="AE394" s="194"/>
      <c r="AF394" s="194"/>
      <c r="AG394" s="194"/>
      <c r="AH394" s="194"/>
      <c r="AI394" s="194"/>
      <c r="AJ394" s="194"/>
      <c r="AK394" s="194"/>
      <c r="AL394" s="194"/>
      <c r="AM394" s="194"/>
    </row>
    <row r="395" spans="1:39" ht="15.75" customHeight="1" x14ac:dyDescent="0.25">
      <c r="A395" s="194"/>
      <c r="B395" s="194"/>
      <c r="C395" s="194"/>
      <c r="D395" s="194"/>
      <c r="E395" s="194"/>
      <c r="F395" s="194"/>
      <c r="G395" s="194"/>
      <c r="H395" s="194"/>
      <c r="I395" s="194"/>
      <c r="J395" s="194"/>
      <c r="K395" s="194"/>
      <c r="L395" s="194"/>
      <c r="M395" s="194"/>
      <c r="N395" s="194"/>
      <c r="O395" s="194"/>
      <c r="P395" s="194"/>
      <c r="Q395" s="194"/>
      <c r="R395" s="194"/>
      <c r="S395" s="194"/>
      <c r="T395" s="194"/>
      <c r="U395" s="194"/>
      <c r="V395" s="194"/>
      <c r="W395" s="194"/>
      <c r="X395" s="194"/>
      <c r="Y395" s="194"/>
      <c r="Z395" s="194"/>
      <c r="AA395" s="194"/>
      <c r="AB395" s="194"/>
      <c r="AC395" s="194"/>
      <c r="AD395" s="194"/>
      <c r="AE395" s="194"/>
      <c r="AF395" s="194"/>
      <c r="AG395" s="194"/>
      <c r="AH395" s="194"/>
      <c r="AI395" s="194"/>
      <c r="AJ395" s="194"/>
      <c r="AK395" s="194"/>
      <c r="AL395" s="194"/>
      <c r="AM395" s="194"/>
    </row>
    <row r="396" spans="1:39" ht="15.75" customHeight="1" x14ac:dyDescent="0.25">
      <c r="A396" s="194"/>
      <c r="B396" s="194"/>
      <c r="C396" s="194"/>
      <c r="D396" s="194"/>
      <c r="E396" s="194"/>
      <c r="F396" s="194"/>
      <c r="G396" s="194"/>
      <c r="H396" s="194"/>
      <c r="I396" s="194"/>
      <c r="J396" s="194"/>
      <c r="K396" s="194"/>
      <c r="L396" s="194"/>
      <c r="M396" s="194"/>
      <c r="N396" s="194"/>
      <c r="O396" s="194"/>
      <c r="P396" s="194"/>
      <c r="Q396" s="194"/>
      <c r="R396" s="194"/>
      <c r="S396" s="194"/>
      <c r="T396" s="194"/>
      <c r="U396" s="194"/>
      <c r="V396" s="194"/>
      <c r="W396" s="194"/>
      <c r="X396" s="194"/>
      <c r="Y396" s="194"/>
      <c r="Z396" s="194"/>
      <c r="AA396" s="194"/>
      <c r="AB396" s="194"/>
      <c r="AC396" s="194"/>
      <c r="AD396" s="194"/>
      <c r="AE396" s="194"/>
      <c r="AF396" s="194"/>
      <c r="AG396" s="194"/>
      <c r="AH396" s="194"/>
      <c r="AI396" s="194"/>
      <c r="AJ396" s="194"/>
      <c r="AK396" s="194"/>
      <c r="AL396" s="194"/>
      <c r="AM396" s="194"/>
    </row>
    <row r="397" spans="1:39" ht="15.75" customHeight="1" x14ac:dyDescent="0.25">
      <c r="A397" s="194"/>
      <c r="B397" s="194"/>
      <c r="C397" s="194"/>
      <c r="D397" s="194"/>
      <c r="E397" s="194"/>
      <c r="F397" s="194"/>
      <c r="G397" s="194"/>
      <c r="H397" s="194"/>
      <c r="I397" s="194"/>
      <c r="J397" s="194"/>
      <c r="K397" s="194"/>
      <c r="L397" s="194"/>
      <c r="M397" s="194"/>
      <c r="N397" s="194"/>
      <c r="O397" s="194"/>
      <c r="P397" s="194"/>
      <c r="Q397" s="194"/>
      <c r="R397" s="194"/>
      <c r="S397" s="194"/>
      <c r="T397" s="194"/>
      <c r="U397" s="194"/>
      <c r="V397" s="194"/>
      <c r="W397" s="194"/>
      <c r="X397" s="194"/>
      <c r="Y397" s="194"/>
      <c r="Z397" s="194"/>
      <c r="AA397" s="194"/>
      <c r="AB397" s="194"/>
      <c r="AC397" s="194"/>
      <c r="AD397" s="194"/>
      <c r="AE397" s="194"/>
      <c r="AF397" s="194"/>
      <c r="AG397" s="194"/>
      <c r="AH397" s="194"/>
      <c r="AI397" s="194"/>
      <c r="AJ397" s="194"/>
      <c r="AK397" s="194"/>
      <c r="AL397" s="194"/>
      <c r="AM397" s="194"/>
    </row>
    <row r="398" spans="1:39" ht="15.75" customHeight="1" x14ac:dyDescent="0.25">
      <c r="A398" s="194"/>
      <c r="B398" s="194"/>
      <c r="C398" s="194"/>
      <c r="D398" s="194"/>
      <c r="E398" s="194"/>
      <c r="F398" s="194"/>
      <c r="G398" s="194"/>
      <c r="H398" s="194"/>
      <c r="I398" s="194"/>
      <c r="J398" s="194"/>
      <c r="K398" s="194"/>
      <c r="L398" s="194"/>
      <c r="M398" s="194"/>
      <c r="N398" s="194"/>
      <c r="O398" s="194"/>
      <c r="P398" s="194"/>
      <c r="Q398" s="194"/>
      <c r="R398" s="194"/>
      <c r="S398" s="194"/>
      <c r="T398" s="194"/>
      <c r="U398" s="194"/>
      <c r="V398" s="194"/>
      <c r="W398" s="194"/>
      <c r="X398" s="194"/>
      <c r="Y398" s="194"/>
      <c r="Z398" s="194"/>
      <c r="AA398" s="194"/>
      <c r="AB398" s="194"/>
      <c r="AC398" s="194"/>
      <c r="AD398" s="194"/>
      <c r="AE398" s="194"/>
      <c r="AF398" s="194"/>
      <c r="AG398" s="194"/>
      <c r="AH398" s="194"/>
      <c r="AI398" s="194"/>
      <c r="AJ398" s="194"/>
      <c r="AK398" s="194"/>
      <c r="AL398" s="194"/>
      <c r="AM398" s="194"/>
    </row>
    <row r="399" spans="1:39" ht="15.75" customHeight="1" x14ac:dyDescent="0.25">
      <c r="A399" s="194"/>
      <c r="B399" s="194"/>
      <c r="C399" s="194"/>
      <c r="D399" s="194"/>
      <c r="E399" s="194"/>
      <c r="F399" s="194"/>
      <c r="G399" s="194"/>
      <c r="H399" s="194"/>
      <c r="I399" s="194"/>
      <c r="J399" s="194"/>
      <c r="K399" s="194"/>
      <c r="L399" s="194"/>
      <c r="M399" s="194"/>
      <c r="N399" s="194"/>
      <c r="O399" s="194"/>
      <c r="P399" s="194"/>
      <c r="Q399" s="194"/>
      <c r="R399" s="194"/>
      <c r="S399" s="194"/>
      <c r="T399" s="194"/>
      <c r="U399" s="194"/>
      <c r="V399" s="194"/>
      <c r="W399" s="194"/>
      <c r="X399" s="194"/>
      <c r="Y399" s="194"/>
      <c r="Z399" s="194"/>
      <c r="AA399" s="194"/>
      <c r="AB399" s="194"/>
      <c r="AC399" s="194"/>
      <c r="AD399" s="194"/>
      <c r="AE399" s="194"/>
      <c r="AF399" s="194"/>
      <c r="AG399" s="194"/>
      <c r="AH399" s="194"/>
      <c r="AI399" s="194"/>
      <c r="AJ399" s="194"/>
      <c r="AK399" s="194"/>
      <c r="AL399" s="194"/>
      <c r="AM399" s="194"/>
    </row>
    <row r="400" spans="1:39" ht="15.75" customHeight="1" x14ac:dyDescent="0.25">
      <c r="A400" s="194"/>
      <c r="B400" s="194"/>
      <c r="C400" s="194"/>
      <c r="D400" s="194"/>
      <c r="E400" s="194"/>
      <c r="F400" s="194"/>
      <c r="G400" s="194"/>
      <c r="H400" s="194"/>
      <c r="I400" s="194"/>
      <c r="J400" s="194"/>
      <c r="K400" s="194"/>
      <c r="L400" s="194"/>
      <c r="M400" s="194"/>
      <c r="N400" s="194"/>
      <c r="O400" s="194"/>
      <c r="P400" s="194"/>
      <c r="Q400" s="194"/>
      <c r="R400" s="194"/>
      <c r="S400" s="194"/>
      <c r="T400" s="194"/>
      <c r="U400" s="194"/>
      <c r="V400" s="194"/>
      <c r="W400" s="194"/>
      <c r="X400" s="194"/>
      <c r="Y400" s="194"/>
      <c r="Z400" s="194"/>
      <c r="AA400" s="194"/>
      <c r="AB400" s="194"/>
      <c r="AC400" s="194"/>
      <c r="AD400" s="194"/>
      <c r="AE400" s="194"/>
      <c r="AF400" s="194"/>
      <c r="AG400" s="194"/>
      <c r="AH400" s="194"/>
      <c r="AI400" s="194"/>
      <c r="AJ400" s="194"/>
      <c r="AK400" s="194"/>
      <c r="AL400" s="194"/>
      <c r="AM400" s="194"/>
    </row>
    <row r="401" spans="1:39" ht="15.75" customHeight="1" x14ac:dyDescent="0.25">
      <c r="A401" s="194"/>
      <c r="B401" s="194"/>
      <c r="C401" s="194"/>
      <c r="D401" s="194"/>
      <c r="E401" s="194"/>
      <c r="F401" s="194"/>
      <c r="G401" s="194"/>
      <c r="H401" s="194"/>
      <c r="I401" s="194"/>
      <c r="J401" s="194"/>
      <c r="K401" s="194"/>
      <c r="L401" s="194"/>
      <c r="M401" s="194"/>
      <c r="N401" s="194"/>
      <c r="O401" s="194"/>
      <c r="P401" s="194"/>
      <c r="Q401" s="194"/>
      <c r="R401" s="194"/>
      <c r="S401" s="194"/>
      <c r="T401" s="194"/>
      <c r="U401" s="194"/>
      <c r="V401" s="194"/>
      <c r="W401" s="194"/>
      <c r="X401" s="194"/>
      <c r="Y401" s="194"/>
      <c r="Z401" s="194"/>
      <c r="AA401" s="194"/>
      <c r="AB401" s="194"/>
      <c r="AC401" s="194"/>
      <c r="AD401" s="194"/>
      <c r="AE401" s="194"/>
      <c r="AF401" s="194"/>
      <c r="AG401" s="194"/>
      <c r="AH401" s="194"/>
      <c r="AI401" s="194"/>
      <c r="AJ401" s="194"/>
      <c r="AK401" s="194"/>
      <c r="AL401" s="194"/>
      <c r="AM401" s="194"/>
    </row>
    <row r="402" spans="1:39" ht="15.75" customHeight="1" x14ac:dyDescent="0.25">
      <c r="A402" s="194"/>
      <c r="B402" s="194"/>
      <c r="C402" s="194"/>
      <c r="D402" s="194"/>
      <c r="E402" s="194"/>
      <c r="F402" s="194"/>
      <c r="G402" s="194"/>
      <c r="H402" s="194"/>
      <c r="I402" s="194"/>
      <c r="J402" s="194"/>
      <c r="K402" s="194"/>
      <c r="L402" s="194"/>
      <c r="M402" s="194"/>
      <c r="N402" s="194"/>
      <c r="O402" s="194"/>
      <c r="P402" s="194"/>
      <c r="Q402" s="194"/>
      <c r="R402" s="194"/>
      <c r="S402" s="194"/>
      <c r="T402" s="194"/>
      <c r="U402" s="194"/>
      <c r="V402" s="194"/>
      <c r="W402" s="194"/>
      <c r="X402" s="194"/>
      <c r="Y402" s="194"/>
      <c r="Z402" s="194"/>
      <c r="AA402" s="194"/>
      <c r="AB402" s="194"/>
      <c r="AC402" s="194"/>
      <c r="AD402" s="194"/>
      <c r="AE402" s="194"/>
      <c r="AF402" s="194"/>
      <c r="AG402" s="194"/>
      <c r="AH402" s="194"/>
      <c r="AI402" s="194"/>
      <c r="AJ402" s="194"/>
      <c r="AK402" s="194"/>
      <c r="AL402" s="194"/>
      <c r="AM402" s="194"/>
    </row>
    <row r="403" spans="1:39" ht="15.75" customHeight="1" x14ac:dyDescent="0.25">
      <c r="A403" s="194"/>
      <c r="B403" s="194"/>
      <c r="C403" s="194"/>
      <c r="D403" s="194"/>
      <c r="E403" s="194"/>
      <c r="F403" s="194"/>
      <c r="G403" s="194"/>
      <c r="H403" s="194"/>
      <c r="I403" s="194"/>
      <c r="J403" s="194"/>
      <c r="K403" s="194"/>
      <c r="L403" s="194"/>
      <c r="M403" s="194"/>
      <c r="N403" s="194"/>
      <c r="O403" s="194"/>
      <c r="P403" s="194"/>
      <c r="Q403" s="194"/>
      <c r="R403" s="194"/>
      <c r="S403" s="194"/>
      <c r="T403" s="194"/>
      <c r="U403" s="194"/>
      <c r="V403" s="194"/>
      <c r="W403" s="194"/>
      <c r="X403" s="194"/>
      <c r="Y403" s="194"/>
      <c r="Z403" s="194"/>
      <c r="AA403" s="194"/>
      <c r="AB403" s="194"/>
      <c r="AC403" s="194"/>
      <c r="AD403" s="194"/>
      <c r="AE403" s="194"/>
      <c r="AF403" s="194"/>
      <c r="AG403" s="194"/>
      <c r="AH403" s="194"/>
      <c r="AI403" s="194"/>
      <c r="AJ403" s="194"/>
      <c r="AK403" s="194"/>
      <c r="AL403" s="194"/>
      <c r="AM403" s="194"/>
    </row>
    <row r="404" spans="1:39" ht="15.75" customHeight="1" x14ac:dyDescent="0.25">
      <c r="A404" s="194"/>
      <c r="B404" s="194"/>
      <c r="C404" s="194"/>
      <c r="D404" s="194"/>
      <c r="E404" s="194"/>
      <c r="F404" s="194"/>
      <c r="G404" s="194"/>
      <c r="H404" s="194"/>
      <c r="I404" s="194"/>
      <c r="J404" s="194"/>
      <c r="K404" s="194"/>
      <c r="L404" s="194"/>
      <c r="M404" s="194"/>
      <c r="N404" s="194"/>
      <c r="O404" s="194"/>
      <c r="P404" s="194"/>
      <c r="Q404" s="194"/>
      <c r="R404" s="194"/>
      <c r="S404" s="194"/>
      <c r="T404" s="194"/>
      <c r="U404" s="194"/>
      <c r="V404" s="194"/>
      <c r="W404" s="194"/>
      <c r="X404" s="194"/>
      <c r="Y404" s="194"/>
      <c r="Z404" s="194"/>
      <c r="AA404" s="194"/>
      <c r="AB404" s="194"/>
      <c r="AC404" s="194"/>
      <c r="AD404" s="194"/>
      <c r="AE404" s="194"/>
      <c r="AF404" s="194"/>
      <c r="AG404" s="194"/>
      <c r="AH404" s="194"/>
      <c r="AI404" s="194"/>
      <c r="AJ404" s="194"/>
      <c r="AK404" s="194"/>
      <c r="AL404" s="194"/>
      <c r="AM404" s="194"/>
    </row>
    <row r="405" spans="1:39" ht="15.75" customHeight="1" x14ac:dyDescent="0.25">
      <c r="A405" s="194"/>
      <c r="B405" s="194"/>
      <c r="C405" s="194"/>
      <c r="D405" s="194"/>
      <c r="E405" s="194"/>
      <c r="F405" s="194"/>
      <c r="G405" s="194"/>
      <c r="H405" s="194"/>
      <c r="I405" s="194"/>
      <c r="J405" s="194"/>
      <c r="K405" s="194"/>
      <c r="L405" s="194"/>
      <c r="M405" s="194"/>
      <c r="N405" s="194"/>
      <c r="O405" s="194"/>
      <c r="P405" s="194"/>
      <c r="Q405" s="194"/>
      <c r="R405" s="194"/>
      <c r="S405" s="194"/>
      <c r="T405" s="194"/>
      <c r="U405" s="194"/>
      <c r="V405" s="194"/>
      <c r="W405" s="194"/>
      <c r="X405" s="194"/>
      <c r="Y405" s="194"/>
      <c r="Z405" s="194"/>
      <c r="AA405" s="194"/>
      <c r="AB405" s="194"/>
      <c r="AC405" s="194"/>
      <c r="AD405" s="194"/>
      <c r="AE405" s="194"/>
      <c r="AF405" s="194"/>
      <c r="AG405" s="194"/>
      <c r="AH405" s="194"/>
      <c r="AI405" s="194"/>
      <c r="AJ405" s="194"/>
      <c r="AK405" s="194"/>
      <c r="AL405" s="194"/>
      <c r="AM405" s="194"/>
    </row>
    <row r="406" spans="1:39" ht="15.75" customHeight="1" x14ac:dyDescent="0.25">
      <c r="A406" s="194"/>
      <c r="B406" s="194"/>
      <c r="C406" s="194"/>
      <c r="D406" s="194"/>
      <c r="E406" s="194"/>
      <c r="F406" s="194"/>
      <c r="G406" s="194"/>
      <c r="H406" s="194"/>
      <c r="I406" s="194"/>
      <c r="J406" s="194"/>
      <c r="K406" s="194"/>
      <c r="L406" s="194"/>
      <c r="M406" s="194"/>
      <c r="N406" s="194"/>
      <c r="O406" s="194"/>
      <c r="P406" s="194"/>
      <c r="Q406" s="194"/>
      <c r="R406" s="194"/>
      <c r="S406" s="194"/>
      <c r="T406" s="194"/>
      <c r="U406" s="194"/>
      <c r="V406" s="194"/>
      <c r="W406" s="194"/>
      <c r="X406" s="194"/>
      <c r="Y406" s="194"/>
      <c r="Z406" s="194"/>
      <c r="AA406" s="194"/>
      <c r="AB406" s="194"/>
      <c r="AC406" s="194"/>
      <c r="AD406" s="194"/>
      <c r="AE406" s="194"/>
      <c r="AF406" s="194"/>
      <c r="AG406" s="194"/>
      <c r="AH406" s="194"/>
      <c r="AI406" s="194"/>
      <c r="AJ406" s="194"/>
      <c r="AK406" s="194"/>
      <c r="AL406" s="194"/>
      <c r="AM406" s="194"/>
    </row>
    <row r="407" spans="1:39" ht="15.75" customHeight="1" x14ac:dyDescent="0.25">
      <c r="A407" s="194"/>
      <c r="B407" s="194"/>
      <c r="C407" s="194"/>
      <c r="D407" s="194"/>
      <c r="E407" s="194"/>
      <c r="F407" s="194"/>
      <c r="G407" s="194"/>
      <c r="H407" s="194"/>
      <c r="I407" s="194"/>
      <c r="J407" s="194"/>
      <c r="K407" s="194"/>
      <c r="L407" s="194"/>
      <c r="M407" s="194"/>
      <c r="N407" s="194"/>
      <c r="O407" s="194"/>
      <c r="P407" s="194"/>
      <c r="Q407" s="194"/>
      <c r="R407" s="194"/>
      <c r="S407" s="194"/>
      <c r="T407" s="194"/>
      <c r="U407" s="194"/>
      <c r="V407" s="194"/>
      <c r="W407" s="194"/>
      <c r="X407" s="194"/>
      <c r="Y407" s="194"/>
      <c r="Z407" s="194"/>
      <c r="AA407" s="194"/>
      <c r="AB407" s="194"/>
      <c r="AC407" s="194"/>
      <c r="AD407" s="194"/>
      <c r="AE407" s="194"/>
      <c r="AF407" s="194"/>
      <c r="AG407" s="194"/>
      <c r="AH407" s="194"/>
      <c r="AI407" s="194"/>
      <c r="AJ407" s="194"/>
      <c r="AK407" s="194"/>
      <c r="AL407" s="194"/>
      <c r="AM407" s="194"/>
    </row>
    <row r="408" spans="1:39" ht="15.75" customHeight="1" x14ac:dyDescent="0.25">
      <c r="A408" s="194"/>
      <c r="B408" s="194"/>
      <c r="C408" s="194"/>
      <c r="D408" s="194"/>
      <c r="E408" s="194"/>
      <c r="F408" s="194"/>
      <c r="G408" s="194"/>
      <c r="H408" s="194"/>
      <c r="I408" s="194"/>
      <c r="J408" s="194"/>
      <c r="K408" s="194"/>
      <c r="L408" s="194"/>
      <c r="M408" s="194"/>
      <c r="N408" s="194"/>
      <c r="O408" s="194"/>
      <c r="P408" s="194"/>
      <c r="Q408" s="194"/>
      <c r="R408" s="194"/>
      <c r="S408" s="194"/>
      <c r="T408" s="194"/>
      <c r="U408" s="194"/>
      <c r="V408" s="194"/>
      <c r="W408" s="194"/>
      <c r="X408" s="194"/>
      <c r="Y408" s="194"/>
      <c r="Z408" s="194"/>
      <c r="AA408" s="194"/>
      <c r="AB408" s="194"/>
      <c r="AC408" s="194"/>
      <c r="AD408" s="194"/>
      <c r="AE408" s="194"/>
      <c r="AF408" s="194"/>
      <c r="AG408" s="194"/>
      <c r="AH408" s="194"/>
      <c r="AI408" s="194"/>
      <c r="AJ408" s="194"/>
      <c r="AK408" s="194"/>
      <c r="AL408" s="194"/>
      <c r="AM408" s="194"/>
    </row>
    <row r="409" spans="1:39" ht="15.75" customHeight="1" x14ac:dyDescent="0.25">
      <c r="A409" s="194"/>
      <c r="B409" s="194"/>
      <c r="C409" s="194"/>
      <c r="D409" s="194"/>
      <c r="E409" s="194"/>
      <c r="F409" s="194"/>
      <c r="G409" s="194"/>
      <c r="H409" s="194"/>
      <c r="I409" s="194"/>
      <c r="J409" s="194"/>
      <c r="K409" s="194"/>
      <c r="L409" s="194"/>
      <c r="M409" s="194"/>
      <c r="N409" s="194"/>
      <c r="O409" s="194"/>
      <c r="P409" s="194"/>
      <c r="Q409" s="194"/>
      <c r="R409" s="194"/>
      <c r="S409" s="194"/>
      <c r="T409" s="194"/>
      <c r="U409" s="194"/>
      <c r="V409" s="194"/>
      <c r="W409" s="194"/>
      <c r="X409" s="194"/>
      <c r="Y409" s="194"/>
      <c r="Z409" s="194"/>
      <c r="AA409" s="194"/>
      <c r="AB409" s="194"/>
      <c r="AC409" s="194"/>
      <c r="AD409" s="194"/>
      <c r="AE409" s="194"/>
      <c r="AF409" s="194"/>
      <c r="AG409" s="194"/>
      <c r="AH409" s="194"/>
      <c r="AI409" s="194"/>
      <c r="AJ409" s="194"/>
      <c r="AK409" s="194"/>
      <c r="AL409" s="194"/>
      <c r="AM409" s="194"/>
    </row>
    <row r="410" spans="1:39" ht="15.75" customHeight="1" x14ac:dyDescent="0.25">
      <c r="A410" s="194"/>
      <c r="B410" s="194"/>
      <c r="C410" s="194"/>
      <c r="D410" s="194"/>
      <c r="E410" s="194"/>
      <c r="F410" s="194"/>
      <c r="G410" s="194"/>
      <c r="H410" s="194"/>
      <c r="I410" s="194"/>
      <c r="J410" s="194"/>
      <c r="K410" s="194"/>
      <c r="L410" s="194"/>
      <c r="M410" s="194"/>
      <c r="N410" s="194"/>
      <c r="O410" s="194"/>
      <c r="P410" s="194"/>
      <c r="Q410" s="194"/>
      <c r="R410" s="194"/>
      <c r="S410" s="194"/>
      <c r="T410" s="194"/>
      <c r="U410" s="194"/>
      <c r="V410" s="194"/>
      <c r="W410" s="194"/>
      <c r="X410" s="194"/>
      <c r="Y410" s="194"/>
      <c r="Z410" s="194"/>
      <c r="AA410" s="194"/>
      <c r="AB410" s="194"/>
      <c r="AC410" s="194"/>
      <c r="AD410" s="194"/>
      <c r="AE410" s="194"/>
      <c r="AF410" s="194"/>
      <c r="AG410" s="194"/>
      <c r="AH410" s="194"/>
      <c r="AI410" s="194"/>
      <c r="AJ410" s="194"/>
      <c r="AK410" s="194"/>
      <c r="AL410" s="194"/>
      <c r="AM410" s="194"/>
    </row>
    <row r="411" spans="1:39" ht="15.75" customHeight="1" x14ac:dyDescent="0.25">
      <c r="A411" s="194"/>
      <c r="B411" s="194"/>
      <c r="C411" s="194"/>
      <c r="D411" s="194"/>
      <c r="E411" s="194"/>
      <c r="F411" s="194"/>
      <c r="G411" s="194"/>
      <c r="H411" s="194"/>
      <c r="I411" s="194"/>
      <c r="J411" s="194"/>
      <c r="K411" s="194"/>
      <c r="L411" s="194"/>
      <c r="M411" s="194"/>
      <c r="N411" s="194"/>
      <c r="O411" s="194"/>
      <c r="P411" s="194"/>
      <c r="Q411" s="194"/>
      <c r="R411" s="194"/>
      <c r="S411" s="194"/>
      <c r="T411" s="194"/>
      <c r="U411" s="194"/>
      <c r="V411" s="194"/>
      <c r="W411" s="194"/>
      <c r="X411" s="194"/>
      <c r="Y411" s="194"/>
      <c r="Z411" s="194"/>
      <c r="AA411" s="194"/>
      <c r="AB411" s="194"/>
      <c r="AC411" s="194"/>
      <c r="AD411" s="194"/>
      <c r="AE411" s="194"/>
      <c r="AF411" s="194"/>
      <c r="AG411" s="194"/>
      <c r="AH411" s="194"/>
      <c r="AI411" s="194"/>
      <c r="AJ411" s="194"/>
      <c r="AK411" s="194"/>
      <c r="AL411" s="194"/>
      <c r="AM411" s="194"/>
    </row>
    <row r="412" spans="1:39" ht="15.75" customHeight="1" x14ac:dyDescent="0.25">
      <c r="A412" s="194"/>
      <c r="B412" s="194"/>
      <c r="C412" s="194"/>
      <c r="D412" s="194"/>
      <c r="E412" s="194"/>
      <c r="F412" s="194"/>
      <c r="G412" s="194"/>
      <c r="H412" s="194"/>
      <c r="I412" s="194"/>
      <c r="J412" s="194"/>
      <c r="K412" s="194"/>
      <c r="L412" s="194"/>
      <c r="M412" s="194"/>
      <c r="N412" s="194"/>
      <c r="O412" s="194"/>
      <c r="P412" s="194"/>
      <c r="Q412" s="194"/>
      <c r="R412" s="194"/>
      <c r="S412" s="194"/>
      <c r="T412" s="194"/>
      <c r="U412" s="194"/>
      <c r="V412" s="194"/>
      <c r="W412" s="194"/>
      <c r="X412" s="194"/>
      <c r="Y412" s="194"/>
      <c r="Z412" s="194"/>
      <c r="AA412" s="194"/>
      <c r="AB412" s="194"/>
      <c r="AC412" s="194"/>
      <c r="AD412" s="194"/>
      <c r="AE412" s="194"/>
      <c r="AF412" s="194"/>
      <c r="AG412" s="194"/>
      <c r="AH412" s="194"/>
      <c r="AI412" s="194"/>
      <c r="AJ412" s="194"/>
      <c r="AK412" s="194"/>
      <c r="AL412" s="194"/>
      <c r="AM412" s="194"/>
    </row>
    <row r="413" spans="1:39" ht="15.75" customHeight="1" x14ac:dyDescent="0.25">
      <c r="A413" s="194"/>
      <c r="B413" s="194"/>
      <c r="C413" s="194"/>
      <c r="D413" s="194"/>
      <c r="E413" s="194"/>
      <c r="F413" s="194"/>
      <c r="G413" s="194"/>
      <c r="H413" s="194"/>
      <c r="I413" s="194"/>
      <c r="J413" s="194"/>
      <c r="K413" s="194"/>
      <c r="L413" s="194"/>
      <c r="M413" s="194"/>
      <c r="N413" s="194"/>
      <c r="O413" s="194"/>
      <c r="P413" s="194"/>
      <c r="Q413" s="194"/>
      <c r="R413" s="194"/>
      <c r="S413" s="194"/>
      <c r="T413" s="194"/>
      <c r="U413" s="194"/>
      <c r="V413" s="194"/>
      <c r="W413" s="194"/>
      <c r="X413" s="194"/>
      <c r="Y413" s="194"/>
      <c r="Z413" s="194"/>
      <c r="AA413" s="194"/>
      <c r="AB413" s="194"/>
      <c r="AC413" s="194"/>
      <c r="AD413" s="194"/>
      <c r="AE413" s="194"/>
      <c r="AF413" s="194"/>
      <c r="AG413" s="194"/>
      <c r="AH413" s="194"/>
      <c r="AI413" s="194"/>
      <c r="AJ413" s="194"/>
      <c r="AK413" s="194"/>
      <c r="AL413" s="194"/>
      <c r="AM413" s="194"/>
    </row>
    <row r="414" spans="1:39" ht="15.75" customHeight="1" x14ac:dyDescent="0.25">
      <c r="A414" s="194"/>
      <c r="B414" s="194"/>
      <c r="C414" s="194"/>
      <c r="D414" s="194"/>
      <c r="E414" s="194"/>
      <c r="F414" s="194"/>
      <c r="G414" s="194"/>
      <c r="H414" s="194"/>
      <c r="I414" s="194"/>
      <c r="J414" s="194"/>
      <c r="K414" s="194"/>
      <c r="L414" s="194"/>
      <c r="M414" s="194"/>
      <c r="N414" s="194"/>
      <c r="O414" s="194"/>
      <c r="P414" s="194"/>
      <c r="Q414" s="194"/>
      <c r="R414" s="194"/>
      <c r="S414" s="194"/>
      <c r="T414" s="194"/>
      <c r="U414" s="194"/>
      <c r="V414" s="194"/>
      <c r="W414" s="194"/>
      <c r="X414" s="194"/>
      <c r="Y414" s="194"/>
      <c r="Z414" s="194"/>
      <c r="AA414" s="194"/>
      <c r="AB414" s="194"/>
      <c r="AC414" s="194"/>
      <c r="AD414" s="194"/>
      <c r="AE414" s="194"/>
      <c r="AF414" s="194"/>
      <c r="AG414" s="194"/>
      <c r="AH414" s="194"/>
      <c r="AI414" s="194"/>
      <c r="AJ414" s="194"/>
      <c r="AK414" s="194"/>
      <c r="AL414" s="194"/>
      <c r="AM414" s="194"/>
    </row>
    <row r="415" spans="1:39" ht="15.75" customHeight="1" x14ac:dyDescent="0.25">
      <c r="A415" s="194"/>
      <c r="B415" s="194"/>
      <c r="C415" s="194"/>
      <c r="D415" s="194"/>
      <c r="E415" s="194"/>
      <c r="F415" s="194"/>
      <c r="G415" s="194"/>
      <c r="H415" s="194"/>
      <c r="I415" s="194"/>
      <c r="J415" s="194"/>
      <c r="K415" s="194"/>
      <c r="L415" s="194"/>
      <c r="M415" s="194"/>
      <c r="N415" s="194"/>
      <c r="O415" s="194"/>
      <c r="P415" s="194"/>
      <c r="Q415" s="194"/>
      <c r="R415" s="194"/>
      <c r="S415" s="194"/>
      <c r="T415" s="194"/>
      <c r="U415" s="194"/>
      <c r="V415" s="194"/>
      <c r="W415" s="194"/>
      <c r="X415" s="194"/>
      <c r="Y415" s="194"/>
      <c r="Z415" s="194"/>
      <c r="AA415" s="194"/>
      <c r="AB415" s="194"/>
      <c r="AC415" s="194"/>
      <c r="AD415" s="194"/>
      <c r="AE415" s="194"/>
      <c r="AF415" s="194"/>
      <c r="AG415" s="194"/>
      <c r="AH415" s="194"/>
      <c r="AI415" s="194"/>
      <c r="AJ415" s="194"/>
      <c r="AK415" s="194"/>
      <c r="AL415" s="194"/>
      <c r="AM415" s="194"/>
    </row>
    <row r="416" spans="1:39" ht="15.75" customHeight="1" x14ac:dyDescent="0.25">
      <c r="A416" s="194"/>
      <c r="B416" s="194"/>
      <c r="C416" s="194"/>
      <c r="D416" s="194"/>
      <c r="E416" s="194"/>
      <c r="F416" s="194"/>
      <c r="G416" s="194"/>
      <c r="H416" s="194"/>
      <c r="I416" s="194"/>
      <c r="J416" s="194"/>
      <c r="K416" s="194"/>
      <c r="L416" s="194"/>
      <c r="M416" s="194"/>
      <c r="N416" s="194"/>
      <c r="O416" s="194"/>
      <c r="P416" s="194"/>
      <c r="Q416" s="194"/>
      <c r="R416" s="194"/>
      <c r="S416" s="194"/>
      <c r="T416" s="194"/>
      <c r="U416" s="194"/>
      <c r="V416" s="194"/>
      <c r="W416" s="194"/>
      <c r="X416" s="194"/>
      <c r="Y416" s="194"/>
      <c r="Z416" s="194"/>
      <c r="AA416" s="194"/>
      <c r="AB416" s="194"/>
      <c r="AC416" s="194"/>
      <c r="AD416" s="194"/>
      <c r="AE416" s="194"/>
      <c r="AF416" s="194"/>
      <c r="AG416" s="194"/>
      <c r="AH416" s="194"/>
      <c r="AI416" s="194"/>
      <c r="AJ416" s="194"/>
      <c r="AK416" s="194"/>
      <c r="AL416" s="194"/>
      <c r="AM416" s="194"/>
    </row>
    <row r="417" spans="1:39" ht="15.75" customHeight="1" x14ac:dyDescent="0.25">
      <c r="A417" s="194"/>
      <c r="B417" s="194"/>
      <c r="C417" s="194"/>
      <c r="D417" s="194"/>
      <c r="E417" s="194"/>
      <c r="F417" s="194"/>
      <c r="G417" s="194"/>
      <c r="H417" s="194"/>
      <c r="I417" s="194"/>
      <c r="J417" s="194"/>
      <c r="K417" s="194"/>
      <c r="L417" s="194"/>
      <c r="M417" s="194"/>
      <c r="N417" s="194"/>
      <c r="O417" s="194"/>
      <c r="P417" s="194"/>
      <c r="Q417" s="194"/>
      <c r="R417" s="194"/>
      <c r="S417" s="194"/>
      <c r="T417" s="194"/>
      <c r="U417" s="194"/>
      <c r="V417" s="194"/>
      <c r="W417" s="194"/>
      <c r="X417" s="194"/>
      <c r="Y417" s="194"/>
      <c r="Z417" s="194"/>
      <c r="AA417" s="194"/>
      <c r="AB417" s="194"/>
      <c r="AC417" s="194"/>
      <c r="AD417" s="194"/>
      <c r="AE417" s="194"/>
      <c r="AF417" s="194"/>
      <c r="AG417" s="194"/>
      <c r="AH417" s="194"/>
      <c r="AI417" s="194"/>
      <c r="AJ417" s="194"/>
      <c r="AK417" s="194"/>
      <c r="AL417" s="194"/>
      <c r="AM417" s="194"/>
    </row>
    <row r="418" spans="1:39" ht="15.75" customHeight="1" x14ac:dyDescent="0.25">
      <c r="A418" s="194"/>
      <c r="B418" s="194"/>
      <c r="C418" s="194"/>
      <c r="D418" s="194"/>
      <c r="E418" s="194"/>
      <c r="F418" s="194"/>
      <c r="G418" s="194"/>
      <c r="H418" s="194"/>
      <c r="I418" s="194"/>
      <c r="J418" s="194"/>
      <c r="K418" s="194"/>
      <c r="L418" s="194"/>
      <c r="M418" s="194"/>
      <c r="N418" s="194"/>
      <c r="O418" s="194"/>
      <c r="P418" s="194"/>
      <c r="Q418" s="194"/>
      <c r="R418" s="194"/>
      <c r="S418" s="194"/>
      <c r="T418" s="194"/>
      <c r="U418" s="194"/>
      <c r="V418" s="194"/>
      <c r="W418" s="194"/>
      <c r="X418" s="194"/>
      <c r="Y418" s="194"/>
      <c r="Z418" s="194"/>
      <c r="AA418" s="194"/>
      <c r="AB418" s="194"/>
      <c r="AC418" s="194"/>
      <c r="AD418" s="194"/>
      <c r="AE418" s="194"/>
      <c r="AF418" s="194"/>
      <c r="AG418" s="194"/>
      <c r="AH418" s="194"/>
      <c r="AI418" s="194"/>
      <c r="AJ418" s="194"/>
      <c r="AK418" s="194"/>
      <c r="AL418" s="194"/>
      <c r="AM418" s="194"/>
    </row>
    <row r="419" spans="1:39" ht="15.75" customHeight="1" x14ac:dyDescent="0.25">
      <c r="A419" s="194"/>
      <c r="B419" s="194"/>
      <c r="C419" s="194"/>
      <c r="D419" s="194"/>
      <c r="E419" s="194"/>
      <c r="F419" s="194"/>
      <c r="G419" s="194"/>
      <c r="H419" s="194"/>
      <c r="I419" s="194"/>
      <c r="J419" s="194"/>
      <c r="K419" s="194"/>
      <c r="L419" s="194"/>
      <c r="M419" s="194"/>
      <c r="N419" s="194"/>
      <c r="O419" s="194"/>
      <c r="P419" s="194"/>
      <c r="Q419" s="194"/>
      <c r="R419" s="194"/>
      <c r="S419" s="194"/>
      <c r="T419" s="194"/>
      <c r="U419" s="194"/>
      <c r="V419" s="194"/>
      <c r="W419" s="194"/>
      <c r="X419" s="194"/>
      <c r="Y419" s="194"/>
      <c r="Z419" s="194"/>
      <c r="AA419" s="194"/>
      <c r="AB419" s="194"/>
      <c r="AC419" s="194"/>
      <c r="AD419" s="194"/>
      <c r="AE419" s="194"/>
      <c r="AF419" s="194"/>
      <c r="AG419" s="194"/>
      <c r="AH419" s="194"/>
      <c r="AI419" s="194"/>
      <c r="AJ419" s="194"/>
      <c r="AK419" s="194"/>
      <c r="AL419" s="194"/>
      <c r="AM419" s="194"/>
    </row>
    <row r="420" spans="1:39" ht="15.75" customHeight="1" x14ac:dyDescent="0.25">
      <c r="A420" s="194"/>
      <c r="B420" s="194"/>
      <c r="C420" s="194"/>
      <c r="D420" s="194"/>
      <c r="E420" s="194"/>
      <c r="F420" s="194"/>
      <c r="G420" s="194"/>
      <c r="H420" s="194"/>
      <c r="I420" s="194"/>
      <c r="J420" s="194"/>
      <c r="K420" s="194"/>
      <c r="L420" s="194"/>
      <c r="M420" s="194"/>
      <c r="N420" s="194"/>
      <c r="O420" s="194"/>
      <c r="P420" s="194"/>
      <c r="Q420" s="194"/>
      <c r="R420" s="194"/>
      <c r="S420" s="194"/>
      <c r="T420" s="194"/>
      <c r="U420" s="194"/>
      <c r="V420" s="194"/>
      <c r="W420" s="194"/>
      <c r="X420" s="194"/>
      <c r="Y420" s="194"/>
      <c r="Z420" s="194"/>
      <c r="AA420" s="194"/>
      <c r="AB420" s="194"/>
      <c r="AC420" s="194"/>
      <c r="AD420" s="194"/>
      <c r="AE420" s="194"/>
      <c r="AF420" s="194"/>
      <c r="AG420" s="194"/>
      <c r="AH420" s="194"/>
      <c r="AI420" s="194"/>
      <c r="AJ420" s="194"/>
      <c r="AK420" s="194"/>
      <c r="AL420" s="194"/>
      <c r="AM420" s="194"/>
    </row>
    <row r="421" spans="1:39" ht="15.75" customHeight="1" x14ac:dyDescent="0.25">
      <c r="A421" s="194"/>
      <c r="B421" s="194"/>
      <c r="C421" s="194"/>
      <c r="D421" s="194"/>
      <c r="E421" s="194"/>
      <c r="F421" s="194"/>
      <c r="G421" s="194"/>
      <c r="H421" s="194"/>
      <c r="I421" s="194"/>
      <c r="J421" s="194"/>
      <c r="K421" s="194"/>
      <c r="L421" s="194"/>
      <c r="M421" s="194"/>
      <c r="N421" s="194"/>
      <c r="O421" s="194"/>
      <c r="P421" s="194"/>
      <c r="Q421" s="194"/>
      <c r="R421" s="194"/>
      <c r="S421" s="194"/>
      <c r="T421" s="194"/>
      <c r="U421" s="194"/>
      <c r="V421" s="194"/>
      <c r="W421" s="194"/>
      <c r="X421" s="194"/>
      <c r="Y421" s="194"/>
      <c r="Z421" s="194"/>
      <c r="AA421" s="194"/>
      <c r="AB421" s="194"/>
      <c r="AC421" s="194"/>
      <c r="AD421" s="194"/>
      <c r="AE421" s="194"/>
      <c r="AF421" s="194"/>
      <c r="AG421" s="194"/>
      <c r="AH421" s="194"/>
      <c r="AI421" s="194"/>
      <c r="AJ421" s="194"/>
      <c r="AK421" s="194"/>
      <c r="AL421" s="194"/>
      <c r="AM421" s="194"/>
    </row>
    <row r="422" spans="1:39" ht="15.75" customHeight="1" x14ac:dyDescent="0.25">
      <c r="A422" s="194"/>
      <c r="B422" s="194"/>
      <c r="C422" s="194"/>
      <c r="D422" s="194"/>
      <c r="E422" s="194"/>
      <c r="F422" s="194"/>
      <c r="G422" s="194"/>
      <c r="H422" s="194"/>
      <c r="I422" s="194"/>
      <c r="J422" s="194"/>
      <c r="K422" s="194"/>
      <c r="L422" s="194"/>
      <c r="M422" s="194"/>
      <c r="N422" s="194"/>
      <c r="O422" s="194"/>
      <c r="P422" s="194"/>
      <c r="Q422" s="194"/>
      <c r="R422" s="194"/>
      <c r="S422" s="194"/>
      <c r="T422" s="194"/>
      <c r="U422" s="194"/>
      <c r="V422" s="194"/>
      <c r="W422" s="194"/>
      <c r="X422" s="194"/>
      <c r="Y422" s="194"/>
      <c r="Z422" s="194"/>
      <c r="AA422" s="194"/>
      <c r="AB422" s="194"/>
      <c r="AC422" s="194"/>
      <c r="AD422" s="194"/>
      <c r="AE422" s="194"/>
      <c r="AF422" s="194"/>
      <c r="AG422" s="194"/>
      <c r="AH422" s="194"/>
      <c r="AI422" s="194"/>
      <c r="AJ422" s="194"/>
      <c r="AK422" s="194"/>
      <c r="AL422" s="194"/>
      <c r="AM422" s="194"/>
    </row>
    <row r="423" spans="1:39" ht="15.75" customHeight="1" x14ac:dyDescent="0.25">
      <c r="A423" s="194"/>
      <c r="B423" s="194"/>
      <c r="C423" s="194"/>
      <c r="D423" s="194"/>
      <c r="E423" s="194"/>
      <c r="F423" s="194"/>
      <c r="G423" s="194"/>
      <c r="H423" s="194"/>
      <c r="I423" s="194"/>
      <c r="J423" s="194"/>
      <c r="K423" s="194"/>
      <c r="L423" s="194"/>
      <c r="M423" s="194"/>
      <c r="N423" s="194"/>
      <c r="O423" s="194"/>
      <c r="P423" s="194"/>
      <c r="Q423" s="194"/>
      <c r="R423" s="194"/>
      <c r="S423" s="194"/>
      <c r="T423" s="194"/>
      <c r="U423" s="194"/>
      <c r="V423" s="194"/>
      <c r="W423" s="194"/>
      <c r="X423" s="194"/>
      <c r="Y423" s="194"/>
      <c r="Z423" s="194"/>
      <c r="AA423" s="194"/>
      <c r="AB423" s="194"/>
      <c r="AC423" s="194"/>
      <c r="AD423" s="194"/>
      <c r="AE423" s="194"/>
      <c r="AF423" s="194"/>
      <c r="AG423" s="194"/>
      <c r="AH423" s="194"/>
      <c r="AI423" s="194"/>
      <c r="AJ423" s="194"/>
      <c r="AK423" s="194"/>
      <c r="AL423" s="194"/>
      <c r="AM423" s="194"/>
    </row>
    <row r="424" spans="1:39" ht="15.75" customHeight="1" x14ac:dyDescent="0.25">
      <c r="A424" s="194"/>
      <c r="B424" s="194"/>
      <c r="C424" s="194"/>
      <c r="D424" s="194"/>
      <c r="E424" s="194"/>
      <c r="F424" s="194"/>
      <c r="G424" s="194"/>
      <c r="H424" s="194"/>
      <c r="I424" s="194"/>
      <c r="J424" s="194"/>
      <c r="K424" s="194"/>
      <c r="L424" s="194"/>
      <c r="M424" s="194"/>
      <c r="N424" s="194"/>
      <c r="O424" s="194"/>
      <c r="P424" s="194"/>
      <c r="Q424" s="194"/>
      <c r="R424" s="194"/>
      <c r="S424" s="194"/>
      <c r="T424" s="194"/>
      <c r="U424" s="194"/>
      <c r="V424" s="194"/>
      <c r="W424" s="194"/>
      <c r="X424" s="194"/>
      <c r="Y424" s="194"/>
      <c r="Z424" s="194"/>
      <c r="AA424" s="194"/>
      <c r="AB424" s="194"/>
      <c r="AC424" s="194"/>
      <c r="AD424" s="194"/>
      <c r="AE424" s="194"/>
      <c r="AF424" s="194"/>
      <c r="AG424" s="194"/>
      <c r="AH424" s="194"/>
      <c r="AI424" s="194"/>
      <c r="AJ424" s="194"/>
      <c r="AK424" s="194"/>
      <c r="AL424" s="194"/>
      <c r="AM424" s="194"/>
    </row>
    <row r="425" spans="1:39" ht="15.75" customHeight="1" x14ac:dyDescent="0.25">
      <c r="A425" s="194"/>
      <c r="B425" s="194"/>
      <c r="C425" s="194"/>
      <c r="D425" s="194"/>
      <c r="E425" s="194"/>
      <c r="F425" s="194"/>
      <c r="G425" s="194"/>
      <c r="H425" s="194"/>
      <c r="I425" s="194"/>
      <c r="J425" s="194"/>
      <c r="K425" s="194"/>
      <c r="L425" s="194"/>
      <c r="M425" s="194"/>
      <c r="N425" s="194"/>
      <c r="O425" s="194"/>
      <c r="P425" s="194"/>
      <c r="Q425" s="194"/>
      <c r="R425" s="194"/>
      <c r="S425" s="194"/>
      <c r="T425" s="194"/>
      <c r="U425" s="194"/>
      <c r="V425" s="194"/>
      <c r="W425" s="194"/>
      <c r="X425" s="194"/>
      <c r="Y425" s="194"/>
      <c r="Z425" s="194"/>
      <c r="AA425" s="194"/>
      <c r="AB425" s="194"/>
      <c r="AC425" s="194"/>
      <c r="AD425" s="194"/>
      <c r="AE425" s="194"/>
      <c r="AF425" s="194"/>
      <c r="AG425" s="194"/>
      <c r="AH425" s="194"/>
      <c r="AI425" s="194"/>
      <c r="AJ425" s="194"/>
      <c r="AK425" s="194"/>
      <c r="AL425" s="194"/>
      <c r="AM425" s="194"/>
    </row>
    <row r="426" spans="1:39" ht="15.75" customHeight="1" x14ac:dyDescent="0.25">
      <c r="A426" s="194"/>
      <c r="B426" s="194"/>
      <c r="C426" s="194"/>
      <c r="D426" s="194"/>
      <c r="E426" s="194"/>
      <c r="F426" s="194"/>
      <c r="G426" s="194"/>
      <c r="H426" s="194"/>
      <c r="I426" s="194"/>
      <c r="J426" s="194"/>
      <c r="K426" s="194"/>
      <c r="L426" s="194"/>
      <c r="M426" s="194"/>
      <c r="N426" s="194"/>
      <c r="O426" s="194"/>
      <c r="P426" s="194"/>
      <c r="Q426" s="194"/>
      <c r="R426" s="194"/>
      <c r="S426" s="194"/>
      <c r="T426" s="194"/>
      <c r="U426" s="194"/>
      <c r="V426" s="194"/>
      <c r="W426" s="194"/>
      <c r="X426" s="194"/>
      <c r="Y426" s="194"/>
      <c r="Z426" s="194"/>
      <c r="AA426" s="194"/>
      <c r="AB426" s="194"/>
      <c r="AC426" s="194"/>
      <c r="AD426" s="194"/>
      <c r="AE426" s="194"/>
      <c r="AF426" s="194"/>
      <c r="AG426" s="194"/>
      <c r="AH426" s="194"/>
      <c r="AI426" s="194"/>
      <c r="AJ426" s="194"/>
      <c r="AK426" s="194"/>
      <c r="AL426" s="194"/>
      <c r="AM426" s="194"/>
    </row>
    <row r="427" spans="1:39" ht="15.75" customHeight="1" x14ac:dyDescent="0.25">
      <c r="A427" s="194"/>
      <c r="B427" s="194"/>
      <c r="C427" s="194"/>
      <c r="D427" s="194"/>
      <c r="E427" s="194"/>
      <c r="F427" s="194"/>
      <c r="G427" s="194"/>
      <c r="H427" s="194"/>
      <c r="I427" s="194"/>
      <c r="J427" s="194"/>
      <c r="K427" s="194"/>
      <c r="L427" s="194"/>
      <c r="M427" s="194"/>
      <c r="N427" s="194"/>
      <c r="O427" s="194"/>
      <c r="P427" s="194"/>
      <c r="Q427" s="194"/>
      <c r="R427" s="194"/>
      <c r="S427" s="194"/>
      <c r="T427" s="194"/>
      <c r="U427" s="194"/>
      <c r="V427" s="194"/>
      <c r="W427" s="194"/>
      <c r="X427" s="194"/>
      <c r="Y427" s="194"/>
      <c r="Z427" s="194"/>
      <c r="AA427" s="194"/>
      <c r="AB427" s="194"/>
      <c r="AC427" s="194"/>
      <c r="AD427" s="194"/>
      <c r="AE427" s="194"/>
      <c r="AF427" s="194"/>
      <c r="AG427" s="194"/>
      <c r="AH427" s="194"/>
      <c r="AI427" s="194"/>
      <c r="AJ427" s="194"/>
      <c r="AK427" s="194"/>
      <c r="AL427" s="194"/>
      <c r="AM427" s="194"/>
    </row>
    <row r="428" spans="1:39" ht="15.75" customHeight="1" x14ac:dyDescent="0.25">
      <c r="A428" s="194"/>
      <c r="B428" s="194"/>
      <c r="C428" s="194"/>
      <c r="D428" s="194"/>
      <c r="E428" s="194"/>
      <c r="F428" s="194"/>
      <c r="G428" s="194"/>
      <c r="H428" s="194"/>
      <c r="I428" s="194"/>
      <c r="J428" s="194"/>
      <c r="K428" s="194"/>
      <c r="L428" s="194"/>
      <c r="M428" s="194"/>
      <c r="N428" s="194"/>
      <c r="O428" s="194"/>
      <c r="P428" s="194"/>
      <c r="Q428" s="194"/>
      <c r="R428" s="194"/>
      <c r="S428" s="194"/>
      <c r="T428" s="194"/>
      <c r="U428" s="194"/>
      <c r="V428" s="194"/>
      <c r="W428" s="194"/>
      <c r="X428" s="194"/>
      <c r="Y428" s="194"/>
      <c r="Z428" s="194"/>
      <c r="AA428" s="194"/>
      <c r="AB428" s="194"/>
      <c r="AC428" s="194"/>
      <c r="AD428" s="194"/>
      <c r="AE428" s="194"/>
      <c r="AF428" s="194"/>
      <c r="AG428" s="194"/>
      <c r="AH428" s="194"/>
      <c r="AI428" s="194"/>
      <c r="AJ428" s="194"/>
      <c r="AK428" s="194"/>
      <c r="AL428" s="194"/>
      <c r="AM428" s="194"/>
    </row>
    <row r="429" spans="1:39" ht="15.75" customHeight="1" x14ac:dyDescent="0.25">
      <c r="A429" s="194"/>
      <c r="B429" s="194"/>
      <c r="C429" s="194"/>
      <c r="D429" s="194"/>
      <c r="E429" s="194"/>
      <c r="F429" s="194"/>
      <c r="G429" s="194"/>
      <c r="H429" s="194"/>
      <c r="I429" s="194"/>
      <c r="J429" s="194"/>
      <c r="K429" s="194"/>
      <c r="L429" s="194"/>
      <c r="M429" s="194"/>
      <c r="N429" s="194"/>
      <c r="O429" s="194"/>
      <c r="P429" s="194"/>
      <c r="Q429" s="194"/>
      <c r="R429" s="194"/>
      <c r="S429" s="194"/>
      <c r="T429" s="194"/>
      <c r="U429" s="194"/>
      <c r="V429" s="194"/>
      <c r="W429" s="194"/>
      <c r="X429" s="194"/>
      <c r="Y429" s="194"/>
      <c r="Z429" s="194"/>
      <c r="AA429" s="194"/>
      <c r="AB429" s="194"/>
      <c r="AC429" s="194"/>
      <c r="AD429" s="194"/>
      <c r="AE429" s="194"/>
      <c r="AF429" s="194"/>
      <c r="AG429" s="194"/>
      <c r="AH429" s="194"/>
      <c r="AI429" s="194"/>
      <c r="AJ429" s="194"/>
      <c r="AK429" s="194"/>
      <c r="AL429" s="194"/>
      <c r="AM429" s="194"/>
    </row>
    <row r="430" spans="1:39" ht="15.75" customHeight="1" x14ac:dyDescent="0.25">
      <c r="A430" s="194"/>
      <c r="B430" s="194"/>
      <c r="C430" s="194"/>
      <c r="D430" s="194"/>
      <c r="E430" s="194"/>
      <c r="F430" s="194"/>
      <c r="G430" s="194"/>
      <c r="H430" s="194"/>
      <c r="I430" s="194"/>
      <c r="J430" s="194"/>
      <c r="K430" s="194"/>
      <c r="L430" s="194"/>
      <c r="M430" s="194"/>
      <c r="N430" s="194"/>
      <c r="O430" s="194"/>
      <c r="P430" s="194"/>
      <c r="Q430" s="194"/>
      <c r="R430" s="194"/>
      <c r="S430" s="194"/>
      <c r="T430" s="194"/>
      <c r="U430" s="194"/>
      <c r="V430" s="194"/>
      <c r="W430" s="194"/>
      <c r="X430" s="194"/>
      <c r="Y430" s="194"/>
      <c r="Z430" s="194"/>
      <c r="AA430" s="194"/>
      <c r="AB430" s="194"/>
      <c r="AC430" s="194"/>
      <c r="AD430" s="194"/>
      <c r="AE430" s="194"/>
      <c r="AF430" s="194"/>
      <c r="AG430" s="194"/>
      <c r="AH430" s="194"/>
      <c r="AI430" s="194"/>
      <c r="AJ430" s="194"/>
      <c r="AK430" s="194"/>
      <c r="AL430" s="194"/>
      <c r="AM430" s="194"/>
    </row>
    <row r="431" spans="1:39" ht="15.75" customHeight="1" x14ac:dyDescent="0.25">
      <c r="A431" s="194"/>
      <c r="B431" s="194"/>
      <c r="C431" s="194"/>
      <c r="D431" s="194"/>
      <c r="E431" s="194"/>
      <c r="F431" s="194"/>
      <c r="G431" s="194"/>
      <c r="H431" s="194"/>
      <c r="I431" s="194"/>
      <c r="J431" s="194"/>
      <c r="K431" s="194"/>
      <c r="L431" s="194"/>
      <c r="M431" s="194"/>
      <c r="N431" s="194"/>
      <c r="O431" s="194"/>
      <c r="P431" s="194"/>
      <c r="Q431" s="194"/>
      <c r="R431" s="194"/>
      <c r="S431" s="194"/>
      <c r="T431" s="194"/>
      <c r="U431" s="194"/>
      <c r="V431" s="194"/>
      <c r="W431" s="194"/>
      <c r="X431" s="194"/>
      <c r="Y431" s="194"/>
      <c r="Z431" s="194"/>
      <c r="AA431" s="194"/>
      <c r="AB431" s="194"/>
      <c r="AC431" s="194"/>
      <c r="AD431" s="194"/>
      <c r="AE431" s="194"/>
      <c r="AF431" s="194"/>
      <c r="AG431" s="194"/>
      <c r="AH431" s="194"/>
      <c r="AI431" s="194"/>
      <c r="AJ431" s="194"/>
      <c r="AK431" s="194"/>
      <c r="AL431" s="194"/>
      <c r="AM431" s="194"/>
    </row>
    <row r="432" spans="1:39" ht="15.75" customHeight="1" x14ac:dyDescent="0.25">
      <c r="A432" s="194"/>
      <c r="B432" s="194"/>
      <c r="C432" s="194"/>
      <c r="D432" s="194"/>
      <c r="E432" s="194"/>
      <c r="F432" s="194"/>
      <c r="G432" s="194"/>
      <c r="H432" s="194"/>
      <c r="I432" s="194"/>
      <c r="J432" s="194"/>
      <c r="K432" s="194"/>
      <c r="L432" s="194"/>
      <c r="M432" s="194"/>
      <c r="N432" s="194"/>
      <c r="O432" s="194"/>
      <c r="P432" s="194"/>
      <c r="Q432" s="194"/>
      <c r="R432" s="194"/>
      <c r="S432" s="194"/>
      <c r="T432" s="194"/>
      <c r="U432" s="194"/>
      <c r="V432" s="194"/>
      <c r="W432" s="194"/>
      <c r="X432" s="194"/>
      <c r="Y432" s="194"/>
      <c r="Z432" s="194"/>
      <c r="AA432" s="194"/>
      <c r="AB432" s="194"/>
      <c r="AC432" s="194"/>
      <c r="AD432" s="194"/>
      <c r="AE432" s="194"/>
      <c r="AF432" s="194"/>
      <c r="AG432" s="194"/>
      <c r="AH432" s="194"/>
      <c r="AI432" s="194"/>
      <c r="AJ432" s="194"/>
      <c r="AK432" s="194"/>
      <c r="AL432" s="194"/>
      <c r="AM432" s="194"/>
    </row>
    <row r="433" spans="1:39" ht="15.75" customHeight="1" x14ac:dyDescent="0.25">
      <c r="A433" s="194"/>
      <c r="B433" s="194"/>
      <c r="C433" s="194"/>
      <c r="D433" s="194"/>
      <c r="E433" s="194"/>
      <c r="F433" s="194"/>
      <c r="G433" s="194"/>
      <c r="H433" s="194"/>
      <c r="I433" s="194"/>
      <c r="J433" s="194"/>
      <c r="K433" s="194"/>
      <c r="L433" s="194"/>
      <c r="M433" s="194"/>
      <c r="N433" s="194"/>
      <c r="O433" s="194"/>
      <c r="P433" s="194"/>
      <c r="Q433" s="194"/>
      <c r="R433" s="194"/>
      <c r="S433" s="194"/>
      <c r="T433" s="194"/>
      <c r="U433" s="194"/>
      <c r="V433" s="194"/>
      <c r="W433" s="194"/>
      <c r="X433" s="194"/>
      <c r="Y433" s="194"/>
      <c r="Z433" s="194"/>
      <c r="AA433" s="194"/>
      <c r="AB433" s="194"/>
      <c r="AC433" s="194"/>
      <c r="AD433" s="194"/>
      <c r="AE433" s="194"/>
      <c r="AF433" s="194"/>
      <c r="AG433" s="194"/>
      <c r="AH433" s="194"/>
      <c r="AI433" s="194"/>
      <c r="AJ433" s="194"/>
      <c r="AK433" s="194"/>
      <c r="AL433" s="194"/>
      <c r="AM433" s="194"/>
    </row>
    <row r="434" spans="1:39" ht="15.75" customHeight="1" x14ac:dyDescent="0.25">
      <c r="A434" s="194"/>
      <c r="B434" s="194"/>
      <c r="C434" s="194"/>
      <c r="D434" s="194"/>
      <c r="E434" s="194"/>
      <c r="F434" s="194"/>
      <c r="G434" s="194"/>
      <c r="H434" s="194"/>
      <c r="I434" s="194"/>
      <c r="J434" s="194"/>
      <c r="K434" s="194"/>
      <c r="L434" s="194"/>
      <c r="M434" s="194"/>
      <c r="N434" s="194"/>
      <c r="O434" s="194"/>
      <c r="P434" s="194"/>
      <c r="Q434" s="194"/>
      <c r="R434" s="194"/>
      <c r="S434" s="194"/>
      <c r="T434" s="194"/>
      <c r="U434" s="194"/>
      <c r="V434" s="194"/>
      <c r="W434" s="194"/>
      <c r="X434" s="194"/>
      <c r="Y434" s="194"/>
      <c r="Z434" s="194"/>
      <c r="AA434" s="194"/>
      <c r="AB434" s="194"/>
      <c r="AC434" s="194"/>
      <c r="AD434" s="194"/>
      <c r="AE434" s="194"/>
      <c r="AF434" s="194"/>
      <c r="AG434" s="194"/>
      <c r="AH434" s="194"/>
      <c r="AI434" s="194"/>
      <c r="AJ434" s="194"/>
      <c r="AK434" s="194"/>
      <c r="AL434" s="194"/>
      <c r="AM434" s="194"/>
    </row>
    <row r="435" spans="1:39" ht="15.75" customHeight="1" x14ac:dyDescent="0.25">
      <c r="A435" s="194"/>
      <c r="B435" s="194"/>
      <c r="C435" s="194"/>
      <c r="D435" s="194"/>
      <c r="E435" s="194"/>
      <c r="F435" s="194"/>
      <c r="G435" s="194"/>
      <c r="H435" s="194"/>
      <c r="I435" s="194"/>
      <c r="J435" s="194"/>
      <c r="K435" s="194"/>
      <c r="L435" s="194"/>
      <c r="M435" s="194"/>
      <c r="N435" s="194"/>
      <c r="O435" s="194"/>
      <c r="P435" s="194"/>
      <c r="Q435" s="194"/>
      <c r="R435" s="194"/>
      <c r="S435" s="194"/>
      <c r="T435" s="194"/>
      <c r="U435" s="194"/>
      <c r="V435" s="194"/>
      <c r="W435" s="194"/>
      <c r="X435" s="194"/>
      <c r="Y435" s="194"/>
      <c r="Z435" s="194"/>
      <c r="AA435" s="194"/>
      <c r="AB435" s="194"/>
      <c r="AC435" s="194"/>
      <c r="AD435" s="194"/>
      <c r="AE435" s="194"/>
      <c r="AF435" s="194"/>
      <c r="AG435" s="194"/>
      <c r="AH435" s="194"/>
      <c r="AI435" s="194"/>
      <c r="AJ435" s="194"/>
      <c r="AK435" s="194"/>
      <c r="AL435" s="194"/>
      <c r="AM435" s="194"/>
    </row>
    <row r="436" spans="1:39" ht="15.75" customHeight="1" x14ac:dyDescent="0.25">
      <c r="A436" s="194"/>
      <c r="B436" s="194"/>
      <c r="C436" s="194"/>
      <c r="D436" s="194"/>
      <c r="E436" s="194"/>
      <c r="F436" s="194"/>
      <c r="G436" s="194"/>
      <c r="H436" s="194"/>
      <c r="I436" s="194"/>
      <c r="J436" s="194"/>
      <c r="K436" s="194"/>
      <c r="L436" s="194"/>
      <c r="M436" s="194"/>
      <c r="N436" s="194"/>
      <c r="O436" s="194"/>
      <c r="P436" s="194"/>
      <c r="Q436" s="194"/>
      <c r="R436" s="194"/>
      <c r="S436" s="194"/>
      <c r="T436" s="194"/>
      <c r="U436" s="194"/>
      <c r="V436" s="194"/>
      <c r="W436" s="194"/>
      <c r="X436" s="194"/>
      <c r="Y436" s="194"/>
      <c r="Z436" s="194"/>
      <c r="AA436" s="194"/>
      <c r="AB436" s="194"/>
      <c r="AC436" s="194"/>
      <c r="AD436" s="194"/>
      <c r="AE436" s="194"/>
      <c r="AF436" s="194"/>
      <c r="AG436" s="194"/>
      <c r="AH436" s="194"/>
      <c r="AI436" s="194"/>
      <c r="AJ436" s="194"/>
      <c r="AK436" s="194"/>
      <c r="AL436" s="194"/>
      <c r="AM436" s="194"/>
    </row>
    <row r="437" spans="1:39" ht="15.75" customHeight="1" x14ac:dyDescent="0.25">
      <c r="A437" s="194"/>
      <c r="B437" s="194"/>
      <c r="C437" s="194"/>
      <c r="D437" s="194"/>
      <c r="E437" s="194"/>
      <c r="F437" s="194"/>
      <c r="G437" s="194"/>
      <c r="H437" s="194"/>
      <c r="I437" s="194"/>
      <c r="J437" s="194"/>
      <c r="K437" s="194"/>
      <c r="L437" s="194"/>
      <c r="M437" s="194"/>
      <c r="N437" s="194"/>
      <c r="O437" s="194"/>
      <c r="P437" s="194"/>
      <c r="Q437" s="194"/>
      <c r="R437" s="194"/>
      <c r="S437" s="194"/>
      <c r="T437" s="194"/>
      <c r="U437" s="194"/>
      <c r="V437" s="194"/>
      <c r="W437" s="194"/>
      <c r="X437" s="194"/>
      <c r="Y437" s="194"/>
      <c r="Z437" s="194"/>
      <c r="AA437" s="194"/>
      <c r="AB437" s="194"/>
      <c r="AC437" s="194"/>
      <c r="AD437" s="194"/>
      <c r="AE437" s="194"/>
      <c r="AF437" s="194"/>
      <c r="AG437" s="194"/>
      <c r="AH437" s="194"/>
      <c r="AI437" s="194"/>
      <c r="AJ437" s="194"/>
      <c r="AK437" s="194"/>
      <c r="AL437" s="194"/>
      <c r="AM437" s="194"/>
    </row>
    <row r="438" spans="1:39" ht="15.75" customHeight="1" x14ac:dyDescent="0.25">
      <c r="A438" s="194"/>
      <c r="B438" s="194"/>
      <c r="C438" s="194"/>
      <c r="D438" s="194"/>
      <c r="E438" s="194"/>
      <c r="F438" s="194"/>
      <c r="G438" s="194"/>
      <c r="H438" s="194"/>
      <c r="I438" s="194"/>
      <c r="J438" s="194"/>
      <c r="K438" s="194"/>
      <c r="L438" s="194"/>
      <c r="M438" s="194"/>
      <c r="N438" s="194"/>
      <c r="O438" s="194"/>
      <c r="P438" s="194"/>
      <c r="Q438" s="194"/>
      <c r="R438" s="194"/>
      <c r="S438" s="194"/>
      <c r="T438" s="194"/>
      <c r="U438" s="194"/>
      <c r="V438" s="194"/>
      <c r="W438" s="194"/>
      <c r="X438" s="194"/>
      <c r="Y438" s="194"/>
      <c r="Z438" s="194"/>
      <c r="AA438" s="194"/>
      <c r="AB438" s="194"/>
      <c r="AC438" s="194"/>
      <c r="AD438" s="194"/>
      <c r="AE438" s="194"/>
      <c r="AF438" s="194"/>
      <c r="AG438" s="194"/>
      <c r="AH438" s="194"/>
      <c r="AI438" s="194"/>
      <c r="AJ438" s="194"/>
      <c r="AK438" s="194"/>
      <c r="AL438" s="194"/>
      <c r="AM438" s="194"/>
    </row>
    <row r="439" spans="1:39" ht="15.75" customHeight="1" x14ac:dyDescent="0.25">
      <c r="A439" s="194"/>
      <c r="B439" s="194"/>
      <c r="C439" s="194"/>
      <c r="D439" s="194"/>
      <c r="E439" s="194"/>
      <c r="F439" s="194"/>
      <c r="G439" s="194"/>
      <c r="H439" s="194"/>
      <c r="I439" s="194"/>
      <c r="J439" s="194"/>
      <c r="K439" s="194"/>
      <c r="L439" s="194"/>
      <c r="M439" s="194"/>
      <c r="N439" s="194"/>
      <c r="O439" s="194"/>
      <c r="P439" s="194"/>
      <c r="Q439" s="194"/>
      <c r="R439" s="194"/>
      <c r="S439" s="194"/>
      <c r="T439" s="194"/>
      <c r="U439" s="194"/>
      <c r="V439" s="194"/>
      <c r="W439" s="194"/>
      <c r="X439" s="194"/>
      <c r="Y439" s="194"/>
      <c r="Z439" s="194"/>
      <c r="AA439" s="194"/>
      <c r="AB439" s="194"/>
      <c r="AC439" s="194"/>
      <c r="AD439" s="194"/>
      <c r="AE439" s="194"/>
      <c r="AF439" s="194"/>
      <c r="AG439" s="194"/>
      <c r="AH439" s="194"/>
      <c r="AI439" s="194"/>
      <c r="AJ439" s="194"/>
      <c r="AK439" s="194"/>
      <c r="AL439" s="194"/>
      <c r="AM439" s="194"/>
    </row>
    <row r="440" spans="1:39" ht="15.75" customHeight="1" x14ac:dyDescent="0.25">
      <c r="A440" s="194"/>
      <c r="B440" s="194"/>
      <c r="C440" s="194"/>
      <c r="D440" s="194"/>
      <c r="E440" s="194"/>
      <c r="F440" s="194"/>
      <c r="G440" s="194"/>
      <c r="H440" s="194"/>
      <c r="I440" s="194"/>
      <c r="J440" s="194"/>
      <c r="K440" s="194"/>
      <c r="L440" s="194"/>
      <c r="M440" s="194"/>
      <c r="N440" s="194"/>
      <c r="O440" s="194"/>
      <c r="P440" s="194"/>
      <c r="Q440" s="194"/>
      <c r="R440" s="194"/>
      <c r="S440" s="194"/>
      <c r="T440" s="194"/>
      <c r="U440" s="194"/>
      <c r="V440" s="194"/>
      <c r="W440" s="194"/>
      <c r="X440" s="194"/>
      <c r="Y440" s="194"/>
      <c r="Z440" s="194"/>
      <c r="AA440" s="194"/>
      <c r="AB440" s="194"/>
      <c r="AC440" s="194"/>
      <c r="AD440" s="194"/>
      <c r="AE440" s="194"/>
      <c r="AF440" s="194"/>
      <c r="AG440" s="194"/>
      <c r="AH440" s="194"/>
      <c r="AI440" s="194"/>
      <c r="AJ440" s="194"/>
      <c r="AK440" s="194"/>
      <c r="AL440" s="194"/>
      <c r="AM440" s="194"/>
    </row>
    <row r="441" spans="1:39" ht="15.75" customHeight="1" x14ac:dyDescent="0.25">
      <c r="A441" s="194"/>
      <c r="B441" s="194"/>
      <c r="C441" s="194"/>
      <c r="D441" s="194"/>
      <c r="E441" s="194"/>
      <c r="F441" s="194"/>
      <c r="G441" s="194"/>
      <c r="H441" s="194"/>
      <c r="I441" s="194"/>
      <c r="J441" s="194"/>
      <c r="K441" s="194"/>
      <c r="L441" s="194"/>
      <c r="M441" s="194"/>
      <c r="N441" s="194"/>
      <c r="O441" s="194"/>
      <c r="P441" s="194"/>
      <c r="Q441" s="194"/>
      <c r="R441" s="194"/>
      <c r="S441" s="194"/>
      <c r="T441" s="194"/>
      <c r="U441" s="194"/>
      <c r="V441" s="194"/>
      <c r="W441" s="194"/>
      <c r="X441" s="194"/>
      <c r="Y441" s="194"/>
      <c r="Z441" s="194"/>
      <c r="AA441" s="194"/>
      <c r="AB441" s="194"/>
      <c r="AC441" s="194"/>
      <c r="AD441" s="194"/>
      <c r="AE441" s="194"/>
      <c r="AF441" s="194"/>
      <c r="AG441" s="194"/>
      <c r="AH441" s="194"/>
      <c r="AI441" s="194"/>
      <c r="AJ441" s="194"/>
      <c r="AK441" s="194"/>
      <c r="AL441" s="194"/>
      <c r="AM441" s="194"/>
    </row>
    <row r="442" spans="1:39" ht="15.75" customHeight="1" x14ac:dyDescent="0.25">
      <c r="A442" s="194"/>
      <c r="B442" s="194"/>
      <c r="C442" s="194"/>
      <c r="D442" s="194"/>
      <c r="E442" s="194"/>
      <c r="F442" s="194"/>
      <c r="G442" s="194"/>
      <c r="H442" s="194"/>
      <c r="I442" s="194"/>
      <c r="J442" s="194"/>
      <c r="K442" s="194"/>
      <c r="L442" s="194"/>
      <c r="M442" s="194"/>
      <c r="N442" s="194"/>
      <c r="O442" s="194"/>
      <c r="P442" s="194"/>
      <c r="Q442" s="194"/>
      <c r="R442" s="194"/>
      <c r="S442" s="194"/>
      <c r="T442" s="194"/>
      <c r="U442" s="194"/>
      <c r="V442" s="194"/>
      <c r="W442" s="194"/>
      <c r="X442" s="194"/>
      <c r="Y442" s="194"/>
      <c r="Z442" s="194"/>
      <c r="AA442" s="194"/>
      <c r="AB442" s="194"/>
      <c r="AC442" s="194"/>
      <c r="AD442" s="194"/>
      <c r="AE442" s="194"/>
      <c r="AF442" s="194"/>
      <c r="AG442" s="194"/>
      <c r="AH442" s="194"/>
      <c r="AI442" s="194"/>
      <c r="AJ442" s="194"/>
      <c r="AK442" s="194"/>
      <c r="AL442" s="194"/>
      <c r="AM442" s="194"/>
    </row>
    <row r="443" spans="1:39" ht="15.75" customHeight="1" x14ac:dyDescent="0.25">
      <c r="A443" s="194"/>
      <c r="B443" s="194"/>
      <c r="C443" s="194"/>
      <c r="D443" s="194"/>
      <c r="E443" s="194"/>
      <c r="F443" s="194"/>
      <c r="G443" s="194"/>
      <c r="H443" s="194"/>
      <c r="I443" s="194"/>
      <c r="J443" s="194"/>
      <c r="K443" s="194"/>
      <c r="L443" s="194"/>
      <c r="M443" s="194"/>
      <c r="N443" s="194"/>
      <c r="O443" s="194"/>
      <c r="P443" s="194"/>
      <c r="Q443" s="194"/>
      <c r="R443" s="194"/>
      <c r="S443" s="194"/>
      <c r="T443" s="194"/>
      <c r="U443" s="194"/>
      <c r="V443" s="194"/>
      <c r="W443" s="194"/>
      <c r="X443" s="194"/>
      <c r="Y443" s="194"/>
      <c r="Z443" s="194"/>
      <c r="AA443" s="194"/>
      <c r="AB443" s="194"/>
      <c r="AC443" s="194"/>
      <c r="AD443" s="194"/>
      <c r="AE443" s="194"/>
      <c r="AF443" s="194"/>
      <c r="AG443" s="194"/>
      <c r="AH443" s="194"/>
      <c r="AI443" s="194"/>
      <c r="AJ443" s="194"/>
      <c r="AK443" s="194"/>
      <c r="AL443" s="194"/>
      <c r="AM443" s="194"/>
    </row>
    <row r="444" spans="1:39" ht="15.75" customHeight="1" x14ac:dyDescent="0.25">
      <c r="A444" s="194"/>
      <c r="B444" s="194"/>
      <c r="C444" s="194"/>
      <c r="D444" s="194"/>
      <c r="E444" s="194"/>
      <c r="F444" s="194"/>
      <c r="G444" s="194"/>
      <c r="H444" s="194"/>
      <c r="I444" s="194"/>
      <c r="J444" s="194"/>
      <c r="K444" s="194"/>
      <c r="L444" s="194"/>
      <c r="M444" s="194"/>
      <c r="N444" s="194"/>
      <c r="O444" s="194"/>
      <c r="P444" s="194"/>
      <c r="Q444" s="194"/>
      <c r="R444" s="194"/>
      <c r="S444" s="194"/>
      <c r="T444" s="194"/>
      <c r="U444" s="194"/>
      <c r="V444" s="194"/>
      <c r="W444" s="194"/>
      <c r="X444" s="194"/>
      <c r="Y444" s="194"/>
      <c r="Z444" s="194"/>
      <c r="AA444" s="194"/>
      <c r="AB444" s="194"/>
      <c r="AC444" s="194"/>
      <c r="AD444" s="194"/>
      <c r="AE444" s="194"/>
      <c r="AF444" s="194"/>
      <c r="AG444" s="194"/>
      <c r="AH444" s="194"/>
      <c r="AI444" s="194"/>
      <c r="AJ444" s="194"/>
      <c r="AK444" s="194"/>
      <c r="AL444" s="194"/>
      <c r="AM444" s="194"/>
    </row>
    <row r="445" spans="1:39" ht="15.75" customHeight="1" x14ac:dyDescent="0.25">
      <c r="A445" s="194"/>
      <c r="B445" s="194"/>
      <c r="C445" s="194"/>
      <c r="D445" s="194"/>
      <c r="E445" s="194"/>
      <c r="F445" s="194"/>
      <c r="G445" s="194"/>
      <c r="H445" s="194"/>
      <c r="I445" s="194"/>
      <c r="J445" s="194"/>
      <c r="K445" s="194"/>
      <c r="L445" s="194"/>
      <c r="M445" s="194"/>
      <c r="N445" s="194"/>
      <c r="O445" s="194"/>
      <c r="P445" s="194"/>
      <c r="Q445" s="194"/>
      <c r="R445" s="194"/>
      <c r="S445" s="194"/>
      <c r="T445" s="194"/>
      <c r="U445" s="194"/>
      <c r="V445" s="194"/>
      <c r="W445" s="194"/>
      <c r="X445" s="194"/>
      <c r="Y445" s="194"/>
      <c r="Z445" s="194"/>
      <c r="AA445" s="194"/>
      <c r="AB445" s="194"/>
      <c r="AC445" s="194"/>
      <c r="AD445" s="194"/>
      <c r="AE445" s="194"/>
      <c r="AF445" s="194"/>
      <c r="AG445" s="194"/>
      <c r="AH445" s="194"/>
      <c r="AI445" s="194"/>
      <c r="AJ445" s="194"/>
      <c r="AK445" s="194"/>
      <c r="AL445" s="194"/>
      <c r="AM445" s="194"/>
    </row>
    <row r="446" spans="1:39" ht="15.75" customHeight="1" x14ac:dyDescent="0.25">
      <c r="A446" s="194"/>
      <c r="B446" s="194"/>
      <c r="C446" s="194"/>
      <c r="D446" s="194"/>
      <c r="E446" s="194"/>
      <c r="F446" s="194"/>
      <c r="G446" s="194"/>
      <c r="H446" s="194"/>
      <c r="I446" s="194"/>
      <c r="J446" s="194"/>
      <c r="K446" s="194"/>
      <c r="L446" s="194"/>
      <c r="M446" s="194"/>
      <c r="N446" s="194"/>
      <c r="O446" s="194"/>
      <c r="P446" s="194"/>
      <c r="Q446" s="194"/>
      <c r="R446" s="194"/>
      <c r="S446" s="194"/>
      <c r="T446" s="194"/>
      <c r="U446" s="194"/>
      <c r="V446" s="194"/>
      <c r="W446" s="194"/>
      <c r="X446" s="194"/>
      <c r="Y446" s="194"/>
      <c r="Z446" s="194"/>
      <c r="AA446" s="194"/>
      <c r="AB446" s="194"/>
      <c r="AC446" s="194"/>
      <c r="AD446" s="194"/>
      <c r="AE446" s="194"/>
      <c r="AF446" s="194"/>
      <c r="AG446" s="194"/>
      <c r="AH446" s="194"/>
      <c r="AI446" s="194"/>
      <c r="AJ446" s="194"/>
      <c r="AK446" s="194"/>
      <c r="AL446" s="194"/>
      <c r="AM446" s="194"/>
    </row>
    <row r="447" spans="1:39" ht="15.75" customHeight="1" x14ac:dyDescent="0.25">
      <c r="A447" s="194"/>
      <c r="B447" s="194"/>
      <c r="C447" s="194"/>
      <c r="D447" s="194"/>
      <c r="E447" s="194"/>
      <c r="F447" s="194"/>
      <c r="G447" s="194"/>
      <c r="H447" s="194"/>
      <c r="I447" s="194"/>
      <c r="J447" s="194"/>
      <c r="K447" s="194"/>
      <c r="L447" s="194"/>
      <c r="M447" s="194"/>
      <c r="N447" s="194"/>
      <c r="O447" s="194"/>
      <c r="P447" s="194"/>
      <c r="Q447" s="194"/>
      <c r="R447" s="194"/>
      <c r="S447" s="194"/>
      <c r="T447" s="194"/>
      <c r="U447" s="194"/>
      <c r="V447" s="194"/>
      <c r="W447" s="194"/>
      <c r="X447" s="194"/>
      <c r="Y447" s="194"/>
      <c r="Z447" s="194"/>
      <c r="AA447" s="194"/>
      <c r="AB447" s="194"/>
      <c r="AC447" s="194"/>
      <c r="AD447" s="194"/>
      <c r="AE447" s="194"/>
      <c r="AF447" s="194"/>
      <c r="AG447" s="194"/>
      <c r="AH447" s="194"/>
      <c r="AI447" s="194"/>
      <c r="AJ447" s="194"/>
      <c r="AK447" s="194"/>
      <c r="AL447" s="194"/>
      <c r="AM447" s="194"/>
    </row>
    <row r="448" spans="1:39" ht="15.75" customHeight="1" x14ac:dyDescent="0.25">
      <c r="A448" s="194"/>
      <c r="B448" s="194"/>
      <c r="C448" s="194"/>
      <c r="D448" s="194"/>
      <c r="E448" s="194"/>
      <c r="F448" s="194"/>
      <c r="G448" s="194"/>
      <c r="H448" s="194"/>
      <c r="I448" s="194"/>
      <c r="J448" s="194"/>
      <c r="K448" s="194"/>
      <c r="L448" s="194"/>
      <c r="M448" s="194"/>
      <c r="N448" s="194"/>
      <c r="O448" s="194"/>
      <c r="P448" s="194"/>
      <c r="Q448" s="194"/>
      <c r="R448" s="194"/>
      <c r="S448" s="194"/>
      <c r="T448" s="194"/>
      <c r="U448" s="194"/>
      <c r="V448" s="194"/>
      <c r="W448" s="194"/>
      <c r="X448" s="194"/>
      <c r="Y448" s="194"/>
      <c r="Z448" s="194"/>
      <c r="AA448" s="194"/>
      <c r="AB448" s="194"/>
      <c r="AC448" s="194"/>
      <c r="AD448" s="194"/>
      <c r="AE448" s="194"/>
      <c r="AF448" s="194"/>
      <c r="AG448" s="194"/>
      <c r="AH448" s="194"/>
      <c r="AI448" s="194"/>
      <c r="AJ448" s="194"/>
      <c r="AK448" s="194"/>
      <c r="AL448" s="194"/>
      <c r="AM448" s="194"/>
    </row>
    <row r="449" spans="1:39" ht="15.75" customHeight="1" x14ac:dyDescent="0.25">
      <c r="A449" s="194"/>
      <c r="B449" s="194"/>
      <c r="C449" s="194"/>
      <c r="D449" s="194"/>
      <c r="E449" s="194"/>
      <c r="F449" s="194"/>
      <c r="G449" s="194"/>
      <c r="H449" s="194"/>
      <c r="I449" s="194"/>
      <c r="J449" s="194"/>
      <c r="K449" s="194"/>
      <c r="L449" s="194"/>
      <c r="M449" s="194"/>
      <c r="N449" s="194"/>
      <c r="O449" s="194"/>
      <c r="P449" s="194"/>
      <c r="Q449" s="194"/>
      <c r="R449" s="194"/>
      <c r="S449" s="194"/>
      <c r="T449" s="194"/>
      <c r="U449" s="194"/>
      <c r="V449" s="194"/>
      <c r="W449" s="194"/>
      <c r="X449" s="194"/>
      <c r="Y449" s="194"/>
      <c r="Z449" s="194"/>
      <c r="AA449" s="194"/>
      <c r="AB449" s="194"/>
      <c r="AC449" s="194"/>
      <c r="AD449" s="194"/>
      <c r="AE449" s="194"/>
      <c r="AF449" s="194"/>
      <c r="AG449" s="194"/>
      <c r="AH449" s="194"/>
      <c r="AI449" s="194"/>
      <c r="AJ449" s="194"/>
      <c r="AK449" s="194"/>
      <c r="AL449" s="194"/>
      <c r="AM449" s="194"/>
    </row>
    <row r="450" spans="1:39" ht="15.75" customHeight="1" x14ac:dyDescent="0.25">
      <c r="A450" s="194"/>
      <c r="B450" s="194"/>
      <c r="C450" s="194"/>
      <c r="D450" s="194"/>
      <c r="E450" s="194"/>
      <c r="F450" s="194"/>
      <c r="G450" s="194"/>
      <c r="H450" s="194"/>
      <c r="I450" s="194"/>
      <c r="J450" s="194"/>
      <c r="K450" s="194"/>
      <c r="L450" s="194"/>
      <c r="M450" s="194"/>
      <c r="N450" s="194"/>
      <c r="O450" s="194"/>
      <c r="P450" s="194"/>
      <c r="Q450" s="194"/>
      <c r="R450" s="194"/>
      <c r="S450" s="194"/>
      <c r="T450" s="194"/>
      <c r="U450" s="194"/>
      <c r="V450" s="194"/>
      <c r="W450" s="194"/>
      <c r="X450" s="194"/>
      <c r="Y450" s="194"/>
      <c r="Z450" s="194"/>
      <c r="AA450" s="194"/>
      <c r="AB450" s="194"/>
      <c r="AC450" s="194"/>
      <c r="AD450" s="194"/>
      <c r="AE450" s="194"/>
      <c r="AF450" s="194"/>
      <c r="AG450" s="194"/>
      <c r="AH450" s="194"/>
      <c r="AI450" s="194"/>
      <c r="AJ450" s="194"/>
      <c r="AK450" s="194"/>
      <c r="AL450" s="194"/>
      <c r="AM450" s="194"/>
    </row>
    <row r="451" spans="1:39" ht="15.75" customHeight="1" x14ac:dyDescent="0.25">
      <c r="A451" s="194"/>
      <c r="B451" s="194"/>
      <c r="C451" s="194"/>
      <c r="D451" s="194"/>
      <c r="E451" s="194"/>
      <c r="F451" s="194"/>
      <c r="G451" s="194"/>
      <c r="H451" s="194"/>
      <c r="I451" s="194"/>
      <c r="J451" s="194"/>
      <c r="K451" s="194"/>
      <c r="L451" s="194"/>
      <c r="M451" s="194"/>
      <c r="N451" s="194"/>
      <c r="O451" s="194"/>
      <c r="P451" s="194"/>
      <c r="Q451" s="194"/>
      <c r="R451" s="194"/>
      <c r="S451" s="194"/>
      <c r="T451" s="194"/>
      <c r="U451" s="194"/>
      <c r="V451" s="194"/>
      <c r="W451" s="194"/>
      <c r="X451" s="194"/>
      <c r="Y451" s="194"/>
      <c r="Z451" s="194"/>
      <c r="AA451" s="194"/>
      <c r="AB451" s="194"/>
      <c r="AC451" s="194"/>
      <c r="AD451" s="194"/>
      <c r="AE451" s="194"/>
      <c r="AF451" s="194"/>
      <c r="AG451" s="194"/>
      <c r="AH451" s="194"/>
      <c r="AI451" s="194"/>
      <c r="AJ451" s="194"/>
      <c r="AK451" s="194"/>
      <c r="AL451" s="194"/>
      <c r="AM451" s="194"/>
    </row>
    <row r="452" spans="1:39" ht="15.75" customHeight="1" x14ac:dyDescent="0.25">
      <c r="A452" s="194"/>
      <c r="B452" s="194"/>
      <c r="C452" s="194"/>
      <c r="D452" s="194"/>
      <c r="E452" s="194"/>
      <c r="F452" s="194"/>
      <c r="G452" s="194"/>
      <c r="H452" s="194"/>
      <c r="I452" s="194"/>
      <c r="J452" s="194"/>
      <c r="K452" s="194"/>
      <c r="L452" s="194"/>
      <c r="M452" s="194"/>
      <c r="N452" s="194"/>
      <c r="O452" s="194"/>
      <c r="P452" s="194"/>
      <c r="Q452" s="194"/>
      <c r="R452" s="194"/>
      <c r="S452" s="194"/>
      <c r="T452" s="194"/>
      <c r="U452" s="194"/>
      <c r="V452" s="194"/>
      <c r="W452" s="194"/>
      <c r="X452" s="194"/>
      <c r="Y452" s="194"/>
      <c r="Z452" s="194"/>
      <c r="AA452" s="194"/>
      <c r="AB452" s="194"/>
      <c r="AC452" s="194"/>
      <c r="AD452" s="194"/>
      <c r="AE452" s="194"/>
      <c r="AF452" s="194"/>
      <c r="AG452" s="194"/>
      <c r="AH452" s="194"/>
      <c r="AI452" s="194"/>
      <c r="AJ452" s="194"/>
      <c r="AK452" s="194"/>
      <c r="AL452" s="194"/>
      <c r="AM452" s="194"/>
    </row>
    <row r="453" spans="1:39" ht="15.75" customHeight="1" x14ac:dyDescent="0.25">
      <c r="A453" s="194"/>
      <c r="B453" s="194"/>
      <c r="C453" s="194"/>
      <c r="D453" s="194"/>
      <c r="E453" s="194"/>
      <c r="F453" s="194"/>
      <c r="G453" s="194"/>
      <c r="H453" s="194"/>
      <c r="I453" s="194"/>
      <c r="J453" s="194"/>
      <c r="K453" s="194"/>
      <c r="L453" s="194"/>
      <c r="M453" s="194"/>
      <c r="N453" s="194"/>
      <c r="O453" s="194"/>
      <c r="P453" s="194"/>
      <c r="Q453" s="194"/>
      <c r="R453" s="194"/>
      <c r="S453" s="194"/>
      <c r="T453" s="194"/>
      <c r="U453" s="194"/>
      <c r="V453" s="194"/>
      <c r="W453" s="194"/>
      <c r="X453" s="194"/>
      <c r="Y453" s="194"/>
      <c r="Z453" s="194"/>
      <c r="AA453" s="194"/>
      <c r="AB453" s="194"/>
      <c r="AC453" s="194"/>
      <c r="AD453" s="194"/>
      <c r="AE453" s="194"/>
      <c r="AF453" s="194"/>
      <c r="AG453" s="194"/>
      <c r="AH453" s="194"/>
      <c r="AI453" s="194"/>
      <c r="AJ453" s="194"/>
      <c r="AK453" s="194"/>
      <c r="AL453" s="194"/>
      <c r="AM453" s="194"/>
    </row>
    <row r="454" spans="1:39" ht="15.75" customHeight="1" x14ac:dyDescent="0.25">
      <c r="A454" s="194"/>
      <c r="B454" s="194"/>
      <c r="C454" s="194"/>
      <c r="D454" s="194"/>
      <c r="E454" s="194"/>
      <c r="F454" s="194"/>
      <c r="G454" s="194"/>
      <c r="H454" s="194"/>
      <c r="I454" s="194"/>
      <c r="J454" s="194"/>
      <c r="K454" s="194"/>
      <c r="L454" s="194"/>
      <c r="M454" s="194"/>
      <c r="N454" s="194"/>
      <c r="O454" s="194"/>
      <c r="P454" s="194"/>
      <c r="Q454" s="194"/>
      <c r="R454" s="194"/>
      <c r="S454" s="194"/>
      <c r="T454" s="194"/>
      <c r="U454" s="194"/>
      <c r="V454" s="194"/>
      <c r="W454" s="194"/>
      <c r="X454" s="194"/>
      <c r="Y454" s="194"/>
      <c r="Z454" s="194"/>
      <c r="AA454" s="194"/>
      <c r="AB454" s="194"/>
      <c r="AC454" s="194"/>
      <c r="AD454" s="194"/>
      <c r="AE454" s="194"/>
      <c r="AF454" s="194"/>
      <c r="AG454" s="194"/>
      <c r="AH454" s="194"/>
      <c r="AI454" s="194"/>
      <c r="AJ454" s="194"/>
      <c r="AK454" s="194"/>
      <c r="AL454" s="194"/>
      <c r="AM454" s="194"/>
    </row>
    <row r="455" spans="1:39" ht="15.75" customHeight="1" x14ac:dyDescent="0.25">
      <c r="A455" s="194"/>
      <c r="B455" s="194"/>
      <c r="C455" s="194"/>
      <c r="D455" s="194"/>
      <c r="E455" s="194"/>
      <c r="F455" s="194"/>
      <c r="G455" s="194"/>
      <c r="H455" s="194"/>
      <c r="I455" s="194"/>
      <c r="J455" s="194"/>
      <c r="K455" s="194"/>
      <c r="L455" s="194"/>
      <c r="M455" s="194"/>
      <c r="N455" s="194"/>
      <c r="O455" s="194"/>
      <c r="P455" s="194"/>
      <c r="Q455" s="194"/>
      <c r="R455" s="194"/>
      <c r="S455" s="194"/>
      <c r="T455" s="194"/>
      <c r="U455" s="194"/>
      <c r="V455" s="194"/>
      <c r="W455" s="194"/>
      <c r="X455" s="194"/>
      <c r="Y455" s="194"/>
      <c r="Z455" s="194"/>
      <c r="AA455" s="194"/>
      <c r="AB455" s="194"/>
      <c r="AC455" s="194"/>
      <c r="AD455" s="194"/>
      <c r="AE455" s="194"/>
      <c r="AF455" s="194"/>
      <c r="AG455" s="194"/>
      <c r="AH455" s="194"/>
      <c r="AI455" s="194"/>
      <c r="AJ455" s="194"/>
      <c r="AK455" s="194"/>
      <c r="AL455" s="194"/>
      <c r="AM455" s="194"/>
    </row>
    <row r="456" spans="1:39" ht="15.75" customHeight="1" x14ac:dyDescent="0.25">
      <c r="A456" s="194"/>
      <c r="B456" s="194"/>
      <c r="C456" s="194"/>
      <c r="D456" s="194"/>
      <c r="E456" s="194"/>
      <c r="F456" s="194"/>
      <c r="G456" s="194"/>
      <c r="H456" s="194"/>
      <c r="I456" s="194"/>
      <c r="J456" s="194"/>
      <c r="K456" s="194"/>
      <c r="L456" s="194"/>
      <c r="M456" s="194"/>
      <c r="N456" s="194"/>
      <c r="O456" s="194"/>
      <c r="P456" s="194"/>
      <c r="Q456" s="194"/>
      <c r="R456" s="194"/>
      <c r="S456" s="194"/>
      <c r="T456" s="194"/>
      <c r="U456" s="194"/>
      <c r="V456" s="194"/>
      <c r="W456" s="194"/>
      <c r="X456" s="194"/>
      <c r="Y456" s="194"/>
      <c r="Z456" s="194"/>
      <c r="AA456" s="194"/>
      <c r="AB456" s="194"/>
      <c r="AC456" s="194"/>
      <c r="AD456" s="194"/>
      <c r="AE456" s="194"/>
      <c r="AF456" s="194"/>
      <c r="AG456" s="194"/>
      <c r="AH456" s="194"/>
      <c r="AI456" s="194"/>
      <c r="AJ456" s="194"/>
      <c r="AK456" s="194"/>
      <c r="AL456" s="194"/>
      <c r="AM456" s="194"/>
    </row>
    <row r="457" spans="1:39" ht="15.75" customHeight="1" x14ac:dyDescent="0.25">
      <c r="A457" s="194"/>
      <c r="B457" s="194"/>
      <c r="C457" s="194"/>
      <c r="D457" s="194"/>
      <c r="E457" s="194"/>
      <c r="F457" s="194"/>
      <c r="G457" s="194"/>
      <c r="H457" s="194"/>
      <c r="I457" s="194"/>
      <c r="J457" s="194"/>
      <c r="K457" s="194"/>
      <c r="L457" s="194"/>
      <c r="M457" s="194"/>
      <c r="N457" s="194"/>
      <c r="O457" s="194"/>
      <c r="P457" s="194"/>
      <c r="Q457" s="194"/>
      <c r="R457" s="194"/>
      <c r="S457" s="194"/>
      <c r="T457" s="194"/>
      <c r="U457" s="194"/>
      <c r="V457" s="194"/>
      <c r="W457" s="194"/>
      <c r="X457" s="194"/>
      <c r="Y457" s="194"/>
      <c r="Z457" s="194"/>
      <c r="AA457" s="194"/>
      <c r="AB457" s="194"/>
      <c r="AC457" s="194"/>
      <c r="AD457" s="194"/>
      <c r="AE457" s="194"/>
      <c r="AF457" s="194"/>
      <c r="AG457" s="194"/>
      <c r="AH457" s="194"/>
      <c r="AI457" s="194"/>
      <c r="AJ457" s="194"/>
      <c r="AK457" s="194"/>
      <c r="AL457" s="194"/>
      <c r="AM457" s="194"/>
    </row>
    <row r="458" spans="1:39" ht="15.75" customHeight="1" x14ac:dyDescent="0.25">
      <c r="A458" s="194"/>
      <c r="B458" s="194"/>
      <c r="C458" s="194"/>
      <c r="D458" s="194"/>
      <c r="E458" s="194"/>
      <c r="F458" s="194"/>
      <c r="G458" s="194"/>
      <c r="H458" s="194"/>
      <c r="I458" s="194"/>
      <c r="J458" s="194"/>
      <c r="K458" s="194"/>
      <c r="L458" s="194"/>
      <c r="M458" s="194"/>
      <c r="N458" s="194"/>
      <c r="O458" s="194"/>
      <c r="P458" s="194"/>
      <c r="Q458" s="194"/>
      <c r="R458" s="194"/>
      <c r="S458" s="194"/>
      <c r="T458" s="194"/>
      <c r="U458" s="194"/>
      <c r="V458" s="194"/>
      <c r="W458" s="194"/>
      <c r="X458" s="194"/>
      <c r="Y458" s="194"/>
      <c r="Z458" s="194"/>
      <c r="AA458" s="194"/>
      <c r="AB458" s="194"/>
      <c r="AC458" s="194"/>
      <c r="AD458" s="194"/>
      <c r="AE458" s="194"/>
      <c r="AF458" s="194"/>
      <c r="AG458" s="194"/>
      <c r="AH458" s="194"/>
      <c r="AI458" s="194"/>
      <c r="AJ458" s="194"/>
      <c r="AK458" s="194"/>
      <c r="AL458" s="194"/>
      <c r="AM458" s="194"/>
    </row>
    <row r="459" spans="1:39" ht="15.75" customHeight="1" x14ac:dyDescent="0.25">
      <c r="A459" s="194"/>
      <c r="B459" s="194"/>
      <c r="C459" s="194"/>
      <c r="D459" s="194"/>
      <c r="E459" s="194"/>
      <c r="F459" s="194"/>
      <c r="G459" s="194"/>
      <c r="H459" s="194"/>
      <c r="I459" s="194"/>
      <c r="J459" s="194"/>
      <c r="K459" s="194"/>
      <c r="L459" s="194"/>
      <c r="M459" s="194"/>
      <c r="N459" s="194"/>
      <c r="O459" s="194"/>
      <c r="P459" s="194"/>
      <c r="Q459" s="194"/>
      <c r="R459" s="194"/>
      <c r="S459" s="194"/>
      <c r="T459" s="194"/>
      <c r="U459" s="194"/>
      <c r="V459" s="194"/>
      <c r="W459" s="194"/>
      <c r="X459" s="194"/>
      <c r="Y459" s="194"/>
      <c r="Z459" s="194"/>
      <c r="AA459" s="194"/>
      <c r="AB459" s="194"/>
      <c r="AC459" s="194"/>
      <c r="AD459" s="194"/>
      <c r="AE459" s="194"/>
      <c r="AF459" s="194"/>
      <c r="AG459" s="194"/>
      <c r="AH459" s="194"/>
      <c r="AI459" s="194"/>
      <c r="AJ459" s="194"/>
      <c r="AK459" s="194"/>
      <c r="AL459" s="194"/>
      <c r="AM459" s="194"/>
    </row>
    <row r="460" spans="1:39" ht="15.75" customHeight="1" x14ac:dyDescent="0.25">
      <c r="A460" s="194"/>
      <c r="B460" s="194"/>
      <c r="C460" s="194"/>
      <c r="D460" s="194"/>
      <c r="E460" s="194"/>
      <c r="F460" s="194"/>
      <c r="G460" s="194"/>
      <c r="H460" s="194"/>
      <c r="I460" s="194"/>
      <c r="J460" s="194"/>
      <c r="K460" s="194"/>
      <c r="L460" s="194"/>
      <c r="M460" s="194"/>
      <c r="N460" s="194"/>
      <c r="O460" s="194"/>
      <c r="P460" s="194"/>
      <c r="Q460" s="194"/>
      <c r="R460" s="194"/>
      <c r="S460" s="194"/>
      <c r="T460" s="194"/>
      <c r="U460" s="194"/>
      <c r="V460" s="194"/>
      <c r="W460" s="194"/>
      <c r="X460" s="194"/>
      <c r="Y460" s="194"/>
      <c r="Z460" s="194"/>
      <c r="AA460" s="194"/>
      <c r="AB460" s="194"/>
      <c r="AC460" s="194"/>
      <c r="AD460" s="194"/>
      <c r="AE460" s="194"/>
      <c r="AF460" s="194"/>
      <c r="AG460" s="194"/>
      <c r="AH460" s="194"/>
      <c r="AI460" s="194"/>
      <c r="AJ460" s="194"/>
      <c r="AK460" s="194"/>
      <c r="AL460" s="194"/>
      <c r="AM460" s="194"/>
    </row>
    <row r="461" spans="1:39" ht="15.75" customHeight="1" x14ac:dyDescent="0.25">
      <c r="A461" s="194"/>
      <c r="B461" s="194"/>
      <c r="C461" s="194"/>
      <c r="D461" s="194"/>
      <c r="E461" s="194"/>
      <c r="F461" s="194"/>
      <c r="G461" s="194"/>
      <c r="H461" s="194"/>
      <c r="I461" s="194"/>
      <c r="J461" s="194"/>
      <c r="K461" s="194"/>
      <c r="L461" s="194"/>
      <c r="M461" s="194"/>
      <c r="N461" s="194"/>
      <c r="O461" s="194"/>
      <c r="P461" s="194"/>
      <c r="Q461" s="194"/>
      <c r="R461" s="194"/>
      <c r="S461" s="194"/>
      <c r="T461" s="194"/>
      <c r="U461" s="194"/>
      <c r="V461" s="194"/>
      <c r="W461" s="194"/>
      <c r="X461" s="194"/>
      <c r="Y461" s="194"/>
      <c r="Z461" s="194"/>
      <c r="AA461" s="194"/>
      <c r="AB461" s="194"/>
      <c r="AC461" s="194"/>
      <c r="AD461" s="194"/>
      <c r="AE461" s="194"/>
      <c r="AF461" s="194"/>
      <c r="AG461" s="194"/>
      <c r="AH461" s="194"/>
      <c r="AI461" s="194"/>
      <c r="AJ461" s="194"/>
      <c r="AK461" s="194"/>
      <c r="AL461" s="194"/>
      <c r="AM461" s="194"/>
    </row>
    <row r="462" spans="1:39" ht="15.75" customHeight="1" x14ac:dyDescent="0.25">
      <c r="A462" s="194"/>
      <c r="B462" s="194"/>
      <c r="C462" s="194"/>
      <c r="D462" s="194"/>
      <c r="E462" s="194"/>
      <c r="F462" s="194"/>
      <c r="G462" s="194"/>
      <c r="H462" s="194"/>
      <c r="I462" s="194"/>
      <c r="J462" s="194"/>
      <c r="K462" s="194"/>
      <c r="L462" s="194"/>
      <c r="M462" s="194"/>
      <c r="N462" s="194"/>
      <c r="O462" s="194"/>
      <c r="P462" s="194"/>
      <c r="Q462" s="194"/>
      <c r="R462" s="194"/>
      <c r="S462" s="194"/>
      <c r="T462" s="194"/>
      <c r="U462" s="194"/>
      <c r="V462" s="194"/>
      <c r="W462" s="194"/>
      <c r="X462" s="194"/>
      <c r="Y462" s="194"/>
      <c r="Z462" s="194"/>
      <c r="AA462" s="194"/>
      <c r="AB462" s="194"/>
      <c r="AC462" s="194"/>
      <c r="AD462" s="194"/>
      <c r="AE462" s="194"/>
      <c r="AF462" s="194"/>
      <c r="AG462" s="194"/>
      <c r="AH462" s="194"/>
      <c r="AI462" s="194"/>
      <c r="AJ462" s="194"/>
      <c r="AK462" s="194"/>
      <c r="AL462" s="194"/>
      <c r="AM462" s="194"/>
    </row>
    <row r="463" spans="1:39" ht="15.75" customHeight="1" x14ac:dyDescent="0.25">
      <c r="A463" s="194"/>
      <c r="B463" s="194"/>
      <c r="C463" s="194"/>
      <c r="D463" s="194"/>
      <c r="E463" s="194"/>
      <c r="F463" s="194"/>
      <c r="G463" s="194"/>
      <c r="H463" s="194"/>
      <c r="I463" s="194"/>
      <c r="J463" s="194"/>
      <c r="K463" s="194"/>
      <c r="L463" s="194"/>
      <c r="M463" s="194"/>
      <c r="N463" s="194"/>
      <c r="O463" s="194"/>
      <c r="P463" s="194"/>
      <c r="Q463" s="194"/>
      <c r="R463" s="194"/>
      <c r="S463" s="194"/>
      <c r="T463" s="194"/>
      <c r="U463" s="194"/>
      <c r="V463" s="194"/>
      <c r="W463" s="194"/>
      <c r="X463" s="194"/>
      <c r="Y463" s="194"/>
      <c r="Z463" s="194"/>
      <c r="AA463" s="194"/>
      <c r="AB463" s="194"/>
      <c r="AC463" s="194"/>
      <c r="AD463" s="194"/>
      <c r="AE463" s="194"/>
      <c r="AF463" s="194"/>
      <c r="AG463" s="194"/>
      <c r="AH463" s="194"/>
      <c r="AI463" s="194"/>
      <c r="AJ463" s="194"/>
      <c r="AK463" s="194"/>
      <c r="AL463" s="194"/>
      <c r="AM463" s="194"/>
    </row>
    <row r="464" spans="1:39" ht="15.75" customHeight="1" x14ac:dyDescent="0.25">
      <c r="A464" s="194"/>
      <c r="B464" s="194"/>
      <c r="C464" s="194"/>
      <c r="D464" s="194"/>
      <c r="E464" s="194"/>
      <c r="F464" s="194"/>
      <c r="G464" s="194"/>
      <c r="H464" s="194"/>
      <c r="I464" s="194"/>
      <c r="J464" s="194"/>
      <c r="K464" s="194"/>
      <c r="L464" s="194"/>
      <c r="M464" s="194"/>
      <c r="N464" s="194"/>
      <c r="O464" s="194"/>
      <c r="P464" s="194"/>
      <c r="Q464" s="194"/>
      <c r="R464" s="194"/>
      <c r="S464" s="194"/>
      <c r="T464" s="194"/>
      <c r="U464" s="194"/>
      <c r="V464" s="194"/>
      <c r="W464" s="194"/>
      <c r="X464" s="194"/>
      <c r="Y464" s="194"/>
      <c r="Z464" s="194"/>
      <c r="AA464" s="194"/>
      <c r="AB464" s="194"/>
      <c r="AC464" s="194"/>
      <c r="AD464" s="194"/>
      <c r="AE464" s="194"/>
      <c r="AF464" s="194"/>
      <c r="AG464" s="194"/>
      <c r="AH464" s="194"/>
      <c r="AI464" s="194"/>
      <c r="AJ464" s="194"/>
      <c r="AK464" s="194"/>
      <c r="AL464" s="194"/>
      <c r="AM464" s="194"/>
    </row>
    <row r="465" spans="1:39" ht="15.75" customHeight="1" x14ac:dyDescent="0.25">
      <c r="A465" s="194"/>
      <c r="B465" s="194"/>
      <c r="C465" s="194"/>
      <c r="D465" s="194"/>
      <c r="E465" s="194"/>
      <c r="F465" s="194"/>
      <c r="G465" s="194"/>
      <c r="H465" s="194"/>
      <c r="I465" s="194"/>
      <c r="J465" s="194"/>
      <c r="K465" s="194"/>
      <c r="L465" s="194"/>
      <c r="M465" s="194"/>
      <c r="N465" s="194"/>
      <c r="O465" s="194"/>
      <c r="P465" s="194"/>
      <c r="Q465" s="194"/>
      <c r="R465" s="194"/>
      <c r="S465" s="194"/>
      <c r="T465" s="194"/>
      <c r="U465" s="194"/>
      <c r="V465" s="194"/>
      <c r="W465" s="194"/>
      <c r="X465" s="194"/>
      <c r="Y465" s="194"/>
      <c r="Z465" s="194"/>
      <c r="AA465" s="194"/>
      <c r="AB465" s="194"/>
      <c r="AC465" s="194"/>
      <c r="AD465" s="194"/>
      <c r="AE465" s="194"/>
      <c r="AF465" s="194"/>
      <c r="AG465" s="194"/>
      <c r="AH465" s="194"/>
      <c r="AI465" s="194"/>
      <c r="AJ465" s="194"/>
      <c r="AK465" s="194"/>
      <c r="AL465" s="194"/>
      <c r="AM465" s="194"/>
    </row>
    <row r="466" spans="1:39" ht="15.75" customHeight="1" x14ac:dyDescent="0.25">
      <c r="A466" s="194"/>
      <c r="B466" s="194"/>
      <c r="C466" s="194"/>
      <c r="D466" s="194"/>
      <c r="E466" s="194"/>
      <c r="F466" s="194"/>
      <c r="G466" s="194"/>
      <c r="H466" s="194"/>
      <c r="I466" s="194"/>
      <c r="J466" s="194"/>
      <c r="K466" s="194"/>
      <c r="L466" s="194"/>
      <c r="M466" s="194"/>
      <c r="N466" s="194"/>
      <c r="O466" s="194"/>
      <c r="P466" s="194"/>
      <c r="Q466" s="194"/>
      <c r="R466" s="194"/>
      <c r="S466" s="194"/>
      <c r="T466" s="194"/>
      <c r="U466" s="194"/>
      <c r="V466" s="194"/>
      <c r="W466" s="194"/>
      <c r="X466" s="194"/>
      <c r="Y466" s="194"/>
      <c r="Z466" s="194"/>
      <c r="AA466" s="194"/>
      <c r="AB466" s="194"/>
      <c r="AC466" s="194"/>
      <c r="AD466" s="194"/>
      <c r="AE466" s="194"/>
      <c r="AF466" s="194"/>
      <c r="AG466" s="194"/>
      <c r="AH466" s="194"/>
      <c r="AI466" s="194"/>
      <c r="AJ466" s="194"/>
      <c r="AK466" s="194"/>
      <c r="AL466" s="194"/>
      <c r="AM466" s="194"/>
    </row>
    <row r="467" spans="1:39" ht="15.75" customHeight="1" x14ac:dyDescent="0.25">
      <c r="A467" s="194"/>
      <c r="B467" s="194"/>
      <c r="C467" s="194"/>
      <c r="D467" s="194"/>
      <c r="E467" s="194"/>
      <c r="F467" s="194"/>
      <c r="G467" s="194"/>
      <c r="H467" s="194"/>
      <c r="I467" s="194"/>
      <c r="J467" s="194"/>
      <c r="K467" s="194"/>
      <c r="L467" s="194"/>
      <c r="M467" s="194"/>
      <c r="N467" s="194"/>
      <c r="O467" s="194"/>
      <c r="P467" s="194"/>
      <c r="Q467" s="194"/>
      <c r="R467" s="194"/>
      <c r="S467" s="194"/>
      <c r="T467" s="194"/>
      <c r="U467" s="194"/>
      <c r="V467" s="194"/>
      <c r="W467" s="194"/>
      <c r="X467" s="194"/>
      <c r="Y467" s="194"/>
      <c r="Z467" s="194"/>
      <c r="AA467" s="194"/>
      <c r="AB467" s="194"/>
      <c r="AC467" s="194"/>
      <c r="AD467" s="194"/>
      <c r="AE467" s="194"/>
      <c r="AF467" s="194"/>
      <c r="AG467" s="194"/>
      <c r="AH467" s="194"/>
      <c r="AI467" s="194"/>
      <c r="AJ467" s="194"/>
      <c r="AK467" s="194"/>
      <c r="AL467" s="194"/>
      <c r="AM467" s="194"/>
    </row>
    <row r="468" spans="1:39" ht="15.75" customHeight="1" x14ac:dyDescent="0.25">
      <c r="A468" s="194"/>
      <c r="B468" s="194"/>
      <c r="C468" s="194"/>
      <c r="D468" s="194"/>
      <c r="E468" s="194"/>
      <c r="F468" s="194"/>
      <c r="G468" s="194"/>
      <c r="H468" s="194"/>
      <c r="I468" s="194"/>
      <c r="J468" s="194"/>
      <c r="K468" s="194"/>
      <c r="L468" s="194"/>
      <c r="M468" s="194"/>
      <c r="N468" s="194"/>
      <c r="O468" s="194"/>
      <c r="P468" s="194"/>
      <c r="Q468" s="194"/>
      <c r="R468" s="194"/>
      <c r="S468" s="194"/>
      <c r="T468" s="194"/>
      <c r="U468" s="194"/>
      <c r="V468" s="194"/>
      <c r="W468" s="194"/>
      <c r="X468" s="194"/>
      <c r="Y468" s="194"/>
      <c r="Z468" s="194"/>
      <c r="AA468" s="194"/>
      <c r="AB468" s="194"/>
      <c r="AC468" s="194"/>
      <c r="AD468" s="194"/>
      <c r="AE468" s="194"/>
      <c r="AF468" s="194"/>
      <c r="AG468" s="194"/>
      <c r="AH468" s="194"/>
      <c r="AI468" s="194"/>
      <c r="AJ468" s="194"/>
      <c r="AK468" s="194"/>
      <c r="AL468" s="194"/>
      <c r="AM468" s="194"/>
    </row>
    <row r="469" spans="1:39" ht="15.75" customHeight="1" x14ac:dyDescent="0.25">
      <c r="A469" s="194"/>
      <c r="B469" s="194"/>
      <c r="C469" s="194"/>
      <c r="D469" s="194"/>
      <c r="E469" s="194"/>
      <c r="F469" s="194"/>
      <c r="G469" s="194"/>
      <c r="H469" s="194"/>
      <c r="I469" s="194"/>
      <c r="J469" s="194"/>
      <c r="K469" s="194"/>
      <c r="L469" s="194"/>
      <c r="M469" s="194"/>
      <c r="N469" s="194"/>
      <c r="O469" s="194"/>
      <c r="P469" s="194"/>
      <c r="Q469" s="194"/>
      <c r="R469" s="194"/>
      <c r="S469" s="194"/>
      <c r="T469" s="194"/>
      <c r="U469" s="194"/>
      <c r="V469" s="194"/>
      <c r="W469" s="194"/>
      <c r="X469" s="194"/>
      <c r="Y469" s="194"/>
      <c r="Z469" s="194"/>
      <c r="AA469" s="194"/>
      <c r="AB469" s="194"/>
      <c r="AC469" s="194"/>
      <c r="AD469" s="194"/>
      <c r="AE469" s="194"/>
      <c r="AF469" s="194"/>
      <c r="AG469" s="194"/>
      <c r="AH469" s="194"/>
      <c r="AI469" s="194"/>
      <c r="AJ469" s="194"/>
      <c r="AK469" s="194"/>
      <c r="AL469" s="194"/>
      <c r="AM469" s="194"/>
    </row>
    <row r="470" spans="1:39" ht="15.75" customHeight="1" x14ac:dyDescent="0.25">
      <c r="A470" s="194"/>
      <c r="B470" s="194"/>
      <c r="C470" s="194"/>
      <c r="D470" s="194"/>
      <c r="E470" s="194"/>
      <c r="F470" s="194"/>
      <c r="G470" s="194"/>
      <c r="H470" s="194"/>
      <c r="I470" s="194"/>
      <c r="J470" s="194"/>
      <c r="K470" s="194"/>
      <c r="L470" s="194"/>
      <c r="M470" s="194"/>
      <c r="N470" s="194"/>
      <c r="O470" s="194"/>
      <c r="P470" s="194"/>
      <c r="Q470" s="194"/>
      <c r="R470" s="194"/>
      <c r="S470" s="194"/>
      <c r="T470" s="194"/>
      <c r="U470" s="194"/>
      <c r="V470" s="194"/>
      <c r="W470" s="194"/>
      <c r="X470" s="194"/>
      <c r="Y470" s="194"/>
      <c r="Z470" s="194"/>
      <c r="AA470" s="194"/>
      <c r="AB470" s="194"/>
      <c r="AC470" s="194"/>
      <c r="AD470" s="194"/>
      <c r="AE470" s="194"/>
      <c r="AF470" s="194"/>
      <c r="AG470" s="194"/>
      <c r="AH470" s="194"/>
      <c r="AI470" s="194"/>
      <c r="AJ470" s="194"/>
      <c r="AK470" s="194"/>
      <c r="AL470" s="194"/>
      <c r="AM470" s="194"/>
    </row>
    <row r="471" spans="1:39" ht="15.75" customHeight="1" x14ac:dyDescent="0.25">
      <c r="A471" s="194"/>
      <c r="B471" s="194"/>
      <c r="C471" s="194"/>
      <c r="D471" s="194"/>
      <c r="E471" s="194"/>
      <c r="F471" s="194"/>
      <c r="G471" s="194"/>
      <c r="H471" s="194"/>
      <c r="I471" s="194"/>
      <c r="J471" s="194"/>
      <c r="K471" s="194"/>
      <c r="L471" s="194"/>
      <c r="M471" s="194"/>
      <c r="N471" s="194"/>
      <c r="O471" s="194"/>
      <c r="P471" s="194"/>
      <c r="Q471" s="194"/>
      <c r="R471" s="194"/>
      <c r="S471" s="194"/>
      <c r="T471" s="194"/>
      <c r="U471" s="194"/>
      <c r="V471" s="194"/>
      <c r="W471" s="194"/>
      <c r="X471" s="194"/>
      <c r="Y471" s="194"/>
      <c r="Z471" s="194"/>
      <c r="AA471" s="194"/>
      <c r="AB471" s="194"/>
      <c r="AC471" s="194"/>
      <c r="AD471" s="194"/>
      <c r="AE471" s="194"/>
      <c r="AF471" s="194"/>
      <c r="AG471" s="194"/>
      <c r="AH471" s="194"/>
      <c r="AI471" s="194"/>
      <c r="AJ471" s="194"/>
      <c r="AK471" s="194"/>
      <c r="AL471" s="194"/>
      <c r="AM471" s="194"/>
    </row>
    <row r="472" spans="1:39" ht="15.75" customHeight="1" x14ac:dyDescent="0.25">
      <c r="A472" s="194"/>
      <c r="B472" s="194"/>
      <c r="C472" s="194"/>
      <c r="D472" s="194"/>
      <c r="E472" s="194"/>
      <c r="F472" s="194"/>
      <c r="G472" s="194"/>
      <c r="H472" s="194"/>
      <c r="I472" s="194"/>
      <c r="J472" s="194"/>
      <c r="K472" s="194"/>
      <c r="L472" s="194"/>
      <c r="M472" s="194"/>
      <c r="N472" s="194"/>
      <c r="O472" s="194"/>
      <c r="P472" s="194"/>
      <c r="Q472" s="194"/>
      <c r="R472" s="194"/>
      <c r="S472" s="194"/>
      <c r="T472" s="194"/>
      <c r="U472" s="194"/>
      <c r="V472" s="194"/>
      <c r="W472" s="194"/>
      <c r="X472" s="194"/>
      <c r="Y472" s="194"/>
      <c r="Z472" s="194"/>
      <c r="AA472" s="194"/>
      <c r="AB472" s="194"/>
      <c r="AC472" s="194"/>
      <c r="AD472" s="194"/>
      <c r="AE472" s="194"/>
      <c r="AF472" s="194"/>
      <c r="AG472" s="194"/>
      <c r="AH472" s="194"/>
      <c r="AI472" s="194"/>
      <c r="AJ472" s="194"/>
      <c r="AK472" s="194"/>
      <c r="AL472" s="194"/>
      <c r="AM472" s="194"/>
    </row>
    <row r="473" spans="1:39" ht="15.75" customHeight="1" x14ac:dyDescent="0.25">
      <c r="A473" s="194"/>
      <c r="B473" s="194"/>
      <c r="C473" s="194"/>
      <c r="D473" s="194"/>
      <c r="E473" s="194"/>
      <c r="F473" s="194"/>
      <c r="G473" s="194"/>
      <c r="H473" s="194"/>
      <c r="I473" s="194"/>
      <c r="J473" s="194"/>
      <c r="K473" s="194"/>
      <c r="L473" s="194"/>
      <c r="M473" s="194"/>
      <c r="N473" s="194"/>
      <c r="O473" s="194"/>
      <c r="P473" s="194"/>
      <c r="Q473" s="194"/>
      <c r="R473" s="194"/>
      <c r="S473" s="194"/>
      <c r="T473" s="194"/>
      <c r="U473" s="194"/>
      <c r="V473" s="194"/>
      <c r="W473" s="194"/>
      <c r="X473" s="194"/>
      <c r="Y473" s="194"/>
      <c r="Z473" s="194"/>
      <c r="AA473" s="194"/>
      <c r="AB473" s="194"/>
      <c r="AC473" s="194"/>
      <c r="AD473" s="194"/>
      <c r="AE473" s="194"/>
      <c r="AF473" s="194"/>
      <c r="AG473" s="194"/>
      <c r="AH473" s="194"/>
      <c r="AI473" s="194"/>
      <c r="AJ473" s="194"/>
      <c r="AK473" s="194"/>
      <c r="AL473" s="194"/>
      <c r="AM473" s="194"/>
    </row>
    <row r="474" spans="1:39" ht="15.75" customHeight="1" x14ac:dyDescent="0.25">
      <c r="A474" s="194"/>
      <c r="B474" s="194"/>
      <c r="C474" s="194"/>
      <c r="D474" s="194"/>
      <c r="E474" s="194"/>
      <c r="F474" s="194"/>
      <c r="G474" s="194"/>
      <c r="H474" s="194"/>
      <c r="I474" s="194"/>
      <c r="J474" s="194"/>
      <c r="K474" s="194"/>
      <c r="L474" s="194"/>
      <c r="M474" s="194"/>
      <c r="N474" s="194"/>
      <c r="O474" s="194"/>
      <c r="P474" s="194"/>
      <c r="Q474" s="194"/>
      <c r="R474" s="194"/>
      <c r="S474" s="194"/>
      <c r="T474" s="194"/>
      <c r="U474" s="194"/>
      <c r="V474" s="194"/>
      <c r="W474" s="194"/>
      <c r="X474" s="194"/>
      <c r="Y474" s="194"/>
      <c r="Z474" s="194"/>
      <c r="AA474" s="194"/>
      <c r="AB474" s="194"/>
      <c r="AC474" s="194"/>
      <c r="AD474" s="194"/>
      <c r="AE474" s="194"/>
      <c r="AF474" s="194"/>
      <c r="AG474" s="194"/>
      <c r="AH474" s="194"/>
      <c r="AI474" s="194"/>
      <c r="AJ474" s="194"/>
      <c r="AK474" s="194"/>
      <c r="AL474" s="194"/>
      <c r="AM474" s="194"/>
    </row>
    <row r="475" spans="1:39" ht="15.75" customHeight="1" x14ac:dyDescent="0.25">
      <c r="A475" s="194"/>
      <c r="B475" s="194"/>
      <c r="C475" s="194"/>
      <c r="D475" s="194"/>
      <c r="E475" s="194"/>
      <c r="F475" s="194"/>
      <c r="G475" s="194"/>
      <c r="H475" s="194"/>
      <c r="I475" s="194"/>
      <c r="J475" s="194"/>
      <c r="K475" s="194"/>
      <c r="L475" s="194"/>
      <c r="M475" s="194"/>
      <c r="N475" s="194"/>
      <c r="O475" s="194"/>
      <c r="P475" s="194"/>
      <c r="Q475" s="194"/>
      <c r="R475" s="194"/>
      <c r="S475" s="194"/>
      <c r="T475" s="194"/>
      <c r="U475" s="194"/>
      <c r="V475" s="194"/>
      <c r="W475" s="194"/>
      <c r="X475" s="194"/>
      <c r="Y475" s="194"/>
      <c r="Z475" s="194"/>
      <c r="AA475" s="194"/>
      <c r="AB475" s="194"/>
      <c r="AC475" s="194"/>
      <c r="AD475" s="194"/>
      <c r="AE475" s="194"/>
      <c r="AF475" s="194"/>
      <c r="AG475" s="194"/>
      <c r="AH475" s="194"/>
      <c r="AI475" s="194"/>
      <c r="AJ475" s="194"/>
      <c r="AK475" s="194"/>
      <c r="AL475" s="194"/>
      <c r="AM475" s="194"/>
    </row>
    <row r="476" spans="1:39" ht="15.75" customHeight="1" x14ac:dyDescent="0.25">
      <c r="A476" s="194"/>
      <c r="B476" s="194"/>
      <c r="C476" s="194"/>
      <c r="D476" s="194"/>
      <c r="E476" s="194"/>
      <c r="F476" s="194"/>
      <c r="G476" s="194"/>
      <c r="H476" s="194"/>
      <c r="I476" s="194"/>
      <c r="J476" s="194"/>
      <c r="K476" s="194"/>
      <c r="L476" s="194"/>
      <c r="M476" s="194"/>
      <c r="N476" s="194"/>
      <c r="O476" s="194"/>
      <c r="P476" s="194"/>
      <c r="Q476" s="194"/>
      <c r="R476" s="194"/>
      <c r="S476" s="194"/>
      <c r="T476" s="194"/>
      <c r="U476" s="194"/>
      <c r="V476" s="194"/>
      <c r="W476" s="194"/>
      <c r="X476" s="194"/>
      <c r="Y476" s="194"/>
      <c r="Z476" s="194"/>
      <c r="AA476" s="194"/>
      <c r="AB476" s="194"/>
      <c r="AC476" s="194"/>
      <c r="AD476" s="194"/>
      <c r="AE476" s="194"/>
      <c r="AF476" s="194"/>
      <c r="AG476" s="194"/>
      <c r="AH476" s="194"/>
      <c r="AI476" s="194"/>
      <c r="AJ476" s="194"/>
      <c r="AK476" s="194"/>
      <c r="AL476" s="194"/>
      <c r="AM476" s="194"/>
    </row>
    <row r="477" spans="1:39" ht="15.75" customHeight="1" x14ac:dyDescent="0.25">
      <c r="A477" s="194"/>
      <c r="B477" s="194"/>
      <c r="C477" s="194"/>
      <c r="D477" s="194"/>
      <c r="E477" s="194"/>
      <c r="F477" s="194"/>
      <c r="G477" s="194"/>
      <c r="H477" s="194"/>
      <c r="I477" s="194"/>
      <c r="J477" s="194"/>
      <c r="K477" s="194"/>
      <c r="L477" s="194"/>
      <c r="M477" s="194"/>
      <c r="N477" s="194"/>
      <c r="O477" s="194"/>
      <c r="P477" s="194"/>
      <c r="Q477" s="194"/>
      <c r="R477" s="194"/>
      <c r="S477" s="194"/>
      <c r="T477" s="194"/>
      <c r="U477" s="194"/>
      <c r="V477" s="194"/>
      <c r="W477" s="194"/>
      <c r="X477" s="194"/>
      <c r="Y477" s="194"/>
      <c r="Z477" s="194"/>
      <c r="AA477" s="194"/>
      <c r="AB477" s="194"/>
      <c r="AC477" s="194"/>
      <c r="AD477" s="194"/>
      <c r="AE477" s="194"/>
      <c r="AF477" s="194"/>
      <c r="AG477" s="194"/>
      <c r="AH477" s="194"/>
      <c r="AI477" s="194"/>
      <c r="AJ477" s="194"/>
      <c r="AK477" s="194"/>
      <c r="AL477" s="194"/>
      <c r="AM477" s="194"/>
    </row>
    <row r="478" spans="1:39" ht="15.75" customHeight="1" x14ac:dyDescent="0.25">
      <c r="A478" s="194"/>
      <c r="B478" s="194"/>
      <c r="C478" s="194"/>
      <c r="D478" s="194"/>
      <c r="E478" s="194"/>
      <c r="F478" s="194"/>
      <c r="G478" s="194"/>
      <c r="H478" s="194"/>
      <c r="I478" s="194"/>
      <c r="J478" s="194"/>
      <c r="K478" s="194"/>
      <c r="L478" s="194"/>
      <c r="M478" s="194"/>
      <c r="N478" s="194"/>
      <c r="O478" s="194"/>
      <c r="P478" s="194"/>
      <c r="Q478" s="194"/>
      <c r="R478" s="194"/>
      <c r="S478" s="194"/>
      <c r="T478" s="194"/>
      <c r="U478" s="194"/>
      <c r="V478" s="194"/>
      <c r="W478" s="194"/>
      <c r="X478" s="194"/>
      <c r="Y478" s="194"/>
      <c r="Z478" s="194"/>
      <c r="AA478" s="194"/>
      <c r="AB478" s="194"/>
      <c r="AC478" s="194"/>
      <c r="AD478" s="194"/>
      <c r="AE478" s="194"/>
      <c r="AF478" s="194"/>
      <c r="AG478" s="194"/>
      <c r="AH478" s="194"/>
      <c r="AI478" s="194"/>
      <c r="AJ478" s="194"/>
      <c r="AK478" s="194"/>
      <c r="AL478" s="194"/>
      <c r="AM478" s="194"/>
    </row>
    <row r="479" spans="1:39" ht="15.75" customHeight="1" x14ac:dyDescent="0.25">
      <c r="A479" s="194"/>
      <c r="B479" s="194"/>
      <c r="C479" s="194"/>
      <c r="D479" s="194"/>
      <c r="E479" s="194"/>
      <c r="F479" s="194"/>
      <c r="G479" s="194"/>
      <c r="H479" s="194"/>
      <c r="I479" s="194"/>
      <c r="J479" s="194"/>
      <c r="K479" s="194"/>
      <c r="L479" s="194"/>
      <c r="M479" s="194"/>
      <c r="N479" s="194"/>
      <c r="O479" s="194"/>
      <c r="P479" s="194"/>
      <c r="Q479" s="194"/>
      <c r="R479" s="194"/>
      <c r="S479" s="194"/>
      <c r="T479" s="194"/>
      <c r="U479" s="194"/>
      <c r="V479" s="194"/>
      <c r="W479" s="194"/>
      <c r="X479" s="194"/>
      <c r="Y479" s="194"/>
      <c r="Z479" s="194"/>
      <c r="AA479" s="194"/>
      <c r="AB479" s="194"/>
      <c r="AC479" s="194"/>
      <c r="AD479" s="194"/>
      <c r="AE479" s="194"/>
      <c r="AF479" s="194"/>
      <c r="AG479" s="194"/>
      <c r="AH479" s="194"/>
      <c r="AI479" s="194"/>
      <c r="AJ479" s="194"/>
      <c r="AK479" s="194"/>
      <c r="AL479" s="194"/>
      <c r="AM479" s="194"/>
    </row>
    <row r="480" spans="1:39" ht="15.75" customHeight="1" x14ac:dyDescent="0.25">
      <c r="A480" s="194"/>
      <c r="B480" s="194"/>
      <c r="C480" s="194"/>
      <c r="D480" s="194"/>
      <c r="E480" s="194"/>
      <c r="F480" s="194"/>
      <c r="G480" s="194"/>
      <c r="H480" s="194"/>
      <c r="I480" s="194"/>
      <c r="J480" s="194"/>
      <c r="K480" s="194"/>
      <c r="L480" s="194"/>
      <c r="M480" s="194"/>
      <c r="N480" s="194"/>
      <c r="O480" s="194"/>
      <c r="P480" s="194"/>
      <c r="Q480" s="194"/>
      <c r="R480" s="194"/>
      <c r="S480" s="194"/>
      <c r="T480" s="194"/>
      <c r="U480" s="194"/>
      <c r="V480" s="194"/>
      <c r="W480" s="194"/>
      <c r="X480" s="194"/>
      <c r="Y480" s="194"/>
      <c r="Z480" s="194"/>
      <c r="AA480" s="194"/>
      <c r="AB480" s="194"/>
      <c r="AC480" s="194"/>
      <c r="AD480" s="194"/>
      <c r="AE480" s="194"/>
      <c r="AF480" s="194"/>
      <c r="AG480" s="194"/>
      <c r="AH480" s="194"/>
      <c r="AI480" s="194"/>
      <c r="AJ480" s="194"/>
      <c r="AK480" s="194"/>
      <c r="AL480" s="194"/>
      <c r="AM480" s="194"/>
    </row>
    <row r="481" spans="1:39" ht="15.75" customHeight="1" x14ac:dyDescent="0.25">
      <c r="A481" s="194"/>
      <c r="B481" s="194"/>
      <c r="C481" s="194"/>
      <c r="D481" s="194"/>
      <c r="E481" s="194"/>
      <c r="F481" s="194"/>
      <c r="G481" s="194"/>
      <c r="H481" s="194"/>
      <c r="I481" s="194"/>
      <c r="J481" s="194"/>
      <c r="K481" s="194"/>
      <c r="L481" s="194"/>
      <c r="M481" s="194"/>
      <c r="N481" s="194"/>
      <c r="O481" s="194"/>
      <c r="P481" s="194"/>
      <c r="Q481" s="194"/>
      <c r="R481" s="194"/>
      <c r="S481" s="194"/>
      <c r="T481" s="194"/>
      <c r="U481" s="194"/>
      <c r="V481" s="194"/>
      <c r="W481" s="194"/>
      <c r="X481" s="194"/>
      <c r="Y481" s="194"/>
      <c r="Z481" s="194"/>
      <c r="AA481" s="194"/>
      <c r="AB481" s="194"/>
      <c r="AC481" s="194"/>
      <c r="AD481" s="194"/>
      <c r="AE481" s="194"/>
      <c r="AF481" s="194"/>
      <c r="AG481" s="194"/>
      <c r="AH481" s="194"/>
      <c r="AI481" s="194"/>
      <c r="AJ481" s="194"/>
      <c r="AK481" s="194"/>
      <c r="AL481" s="194"/>
      <c r="AM481" s="194"/>
    </row>
    <row r="482" spans="1:39" ht="15.75" customHeight="1" x14ac:dyDescent="0.25">
      <c r="A482" s="194"/>
      <c r="B482" s="194"/>
      <c r="C482" s="194"/>
      <c r="D482" s="194"/>
      <c r="E482" s="194"/>
      <c r="F482" s="194"/>
      <c r="G482" s="194"/>
      <c r="H482" s="194"/>
      <c r="I482" s="194"/>
      <c r="J482" s="194"/>
      <c r="K482" s="194"/>
      <c r="L482" s="194"/>
      <c r="M482" s="194"/>
      <c r="N482" s="194"/>
      <c r="O482" s="194"/>
      <c r="P482" s="194"/>
      <c r="Q482" s="194"/>
      <c r="R482" s="194"/>
      <c r="S482" s="194"/>
      <c r="T482" s="194"/>
      <c r="U482" s="194"/>
      <c r="V482" s="194"/>
      <c r="W482" s="194"/>
      <c r="X482" s="194"/>
      <c r="Y482" s="194"/>
      <c r="Z482" s="194"/>
      <c r="AA482" s="194"/>
      <c r="AB482" s="194"/>
      <c r="AC482" s="194"/>
      <c r="AD482" s="194"/>
      <c r="AE482" s="194"/>
      <c r="AF482" s="194"/>
      <c r="AG482" s="194"/>
      <c r="AH482" s="194"/>
      <c r="AI482" s="194"/>
      <c r="AJ482" s="194"/>
      <c r="AK482" s="194"/>
      <c r="AL482" s="194"/>
      <c r="AM482" s="194"/>
    </row>
    <row r="483" spans="1:39" ht="15.75" customHeight="1" x14ac:dyDescent="0.25">
      <c r="A483" s="194"/>
      <c r="B483" s="194"/>
      <c r="C483" s="194"/>
      <c r="D483" s="194"/>
      <c r="E483" s="194"/>
      <c r="F483" s="194"/>
      <c r="G483" s="194"/>
      <c r="H483" s="194"/>
      <c r="I483" s="194"/>
      <c r="J483" s="194"/>
      <c r="K483" s="194"/>
      <c r="L483" s="194"/>
      <c r="M483" s="194"/>
      <c r="N483" s="194"/>
      <c r="O483" s="194"/>
      <c r="P483" s="194"/>
      <c r="Q483" s="194"/>
      <c r="R483" s="194"/>
      <c r="S483" s="194"/>
      <c r="T483" s="194"/>
      <c r="U483" s="194"/>
      <c r="V483" s="194"/>
      <c r="W483" s="194"/>
      <c r="X483" s="194"/>
      <c r="Y483" s="194"/>
      <c r="Z483" s="194"/>
      <c r="AA483" s="194"/>
      <c r="AB483" s="194"/>
      <c r="AC483" s="194"/>
      <c r="AD483" s="194"/>
      <c r="AE483" s="194"/>
      <c r="AF483" s="194"/>
      <c r="AG483" s="194"/>
      <c r="AH483" s="194"/>
      <c r="AI483" s="194"/>
      <c r="AJ483" s="194"/>
      <c r="AK483" s="194"/>
      <c r="AL483" s="194"/>
      <c r="AM483" s="194"/>
    </row>
    <row r="484" spans="1:39" ht="15.75" customHeight="1" x14ac:dyDescent="0.25">
      <c r="A484" s="194"/>
      <c r="B484" s="194"/>
      <c r="C484" s="194"/>
      <c r="D484" s="194"/>
      <c r="E484" s="194"/>
      <c r="F484" s="194"/>
      <c r="G484" s="194"/>
      <c r="H484" s="194"/>
      <c r="I484" s="194"/>
      <c r="J484" s="194"/>
      <c r="K484" s="194"/>
      <c r="L484" s="194"/>
      <c r="M484" s="194"/>
      <c r="N484" s="194"/>
      <c r="O484" s="194"/>
      <c r="P484" s="194"/>
      <c r="Q484" s="194"/>
      <c r="R484" s="194"/>
      <c r="S484" s="194"/>
      <c r="T484" s="194"/>
      <c r="U484" s="194"/>
      <c r="V484" s="194"/>
      <c r="W484" s="194"/>
      <c r="X484" s="194"/>
      <c r="Y484" s="194"/>
      <c r="Z484" s="194"/>
      <c r="AA484" s="194"/>
      <c r="AB484" s="194"/>
      <c r="AC484" s="194"/>
      <c r="AD484" s="194"/>
      <c r="AE484" s="194"/>
      <c r="AF484" s="194"/>
      <c r="AG484" s="194"/>
      <c r="AH484" s="194"/>
      <c r="AI484" s="194"/>
      <c r="AJ484" s="194"/>
      <c r="AK484" s="194"/>
      <c r="AL484" s="194"/>
      <c r="AM484" s="194"/>
    </row>
    <row r="485" spans="1:39" ht="15.75" customHeight="1" x14ac:dyDescent="0.25">
      <c r="A485" s="194"/>
      <c r="B485" s="194"/>
      <c r="C485" s="194"/>
      <c r="D485" s="194"/>
      <c r="E485" s="194"/>
      <c r="F485" s="194"/>
      <c r="G485" s="194"/>
      <c r="H485" s="194"/>
      <c r="I485" s="194"/>
      <c r="J485" s="194"/>
      <c r="K485" s="194"/>
      <c r="L485" s="194"/>
      <c r="M485" s="194"/>
      <c r="N485" s="194"/>
      <c r="O485" s="194"/>
      <c r="P485" s="194"/>
      <c r="Q485" s="194"/>
      <c r="R485" s="194"/>
      <c r="S485" s="194"/>
      <c r="T485" s="194"/>
      <c r="U485" s="194"/>
      <c r="V485" s="194"/>
      <c r="W485" s="194"/>
      <c r="X485" s="194"/>
      <c r="Y485" s="194"/>
      <c r="Z485" s="194"/>
      <c r="AA485" s="194"/>
      <c r="AB485" s="194"/>
      <c r="AC485" s="194"/>
      <c r="AD485" s="194"/>
      <c r="AE485" s="194"/>
      <c r="AF485" s="194"/>
      <c r="AG485" s="194"/>
      <c r="AH485" s="194"/>
      <c r="AI485" s="194"/>
      <c r="AJ485" s="194"/>
      <c r="AK485" s="194"/>
      <c r="AL485" s="194"/>
      <c r="AM485" s="194"/>
    </row>
    <row r="486" spans="1:39" ht="15.75" customHeight="1" x14ac:dyDescent="0.25">
      <c r="A486" s="194"/>
      <c r="B486" s="194"/>
      <c r="C486" s="194"/>
      <c r="D486" s="194"/>
      <c r="E486" s="194"/>
      <c r="F486" s="194"/>
      <c r="G486" s="194"/>
      <c r="H486" s="194"/>
      <c r="I486" s="194"/>
      <c r="J486" s="194"/>
      <c r="K486" s="194"/>
      <c r="L486" s="194"/>
      <c r="M486" s="194"/>
      <c r="N486" s="194"/>
      <c r="O486" s="194"/>
      <c r="P486" s="194"/>
      <c r="Q486" s="194"/>
      <c r="R486" s="194"/>
      <c r="S486" s="194"/>
      <c r="T486" s="194"/>
      <c r="U486" s="194"/>
      <c r="V486" s="194"/>
      <c r="W486" s="194"/>
      <c r="X486" s="194"/>
      <c r="Y486" s="194"/>
      <c r="Z486" s="194"/>
      <c r="AA486" s="194"/>
      <c r="AB486" s="194"/>
      <c r="AC486" s="194"/>
      <c r="AD486" s="194"/>
      <c r="AE486" s="194"/>
      <c r="AF486" s="194"/>
      <c r="AG486" s="194"/>
      <c r="AH486" s="194"/>
      <c r="AI486" s="194"/>
      <c r="AJ486" s="194"/>
      <c r="AK486" s="194"/>
      <c r="AL486" s="194"/>
      <c r="AM486" s="194"/>
    </row>
    <row r="487" spans="1:39" ht="15.75" customHeight="1" x14ac:dyDescent="0.25">
      <c r="A487" s="194"/>
      <c r="B487" s="194"/>
      <c r="C487" s="194"/>
      <c r="D487" s="194"/>
      <c r="E487" s="194"/>
      <c r="F487" s="194"/>
      <c r="G487" s="194"/>
      <c r="H487" s="194"/>
      <c r="I487" s="194"/>
      <c r="J487" s="194"/>
      <c r="K487" s="194"/>
      <c r="L487" s="194"/>
      <c r="M487" s="194"/>
      <c r="N487" s="194"/>
      <c r="O487" s="194"/>
      <c r="P487" s="194"/>
      <c r="Q487" s="194"/>
      <c r="R487" s="194"/>
      <c r="S487" s="194"/>
      <c r="T487" s="194"/>
      <c r="U487" s="194"/>
      <c r="V487" s="194"/>
      <c r="W487" s="194"/>
      <c r="X487" s="194"/>
      <c r="Y487" s="194"/>
      <c r="Z487" s="194"/>
      <c r="AA487" s="194"/>
      <c r="AB487" s="194"/>
      <c r="AC487" s="194"/>
      <c r="AD487" s="194"/>
      <c r="AE487" s="194"/>
      <c r="AF487" s="194"/>
      <c r="AG487" s="194"/>
      <c r="AH487" s="194"/>
      <c r="AI487" s="194"/>
      <c r="AJ487" s="194"/>
      <c r="AK487" s="194"/>
      <c r="AL487" s="194"/>
      <c r="AM487" s="194"/>
    </row>
    <row r="488" spans="1:39" ht="15.75" customHeight="1" x14ac:dyDescent="0.25">
      <c r="A488" s="194"/>
      <c r="B488" s="194"/>
      <c r="C488" s="194"/>
      <c r="D488" s="194"/>
      <c r="E488" s="194"/>
      <c r="F488" s="194"/>
      <c r="G488" s="194"/>
      <c r="H488" s="194"/>
      <c r="I488" s="194"/>
      <c r="J488" s="194"/>
      <c r="K488" s="194"/>
      <c r="L488" s="194"/>
      <c r="M488" s="194"/>
      <c r="N488" s="194"/>
      <c r="O488" s="194"/>
      <c r="P488" s="194"/>
      <c r="Q488" s="194"/>
      <c r="R488" s="194"/>
      <c r="S488" s="194"/>
      <c r="T488" s="194"/>
      <c r="U488" s="194"/>
      <c r="V488" s="194"/>
      <c r="W488" s="194"/>
      <c r="X488" s="194"/>
      <c r="Y488" s="194"/>
      <c r="Z488" s="194"/>
      <c r="AA488" s="194"/>
      <c r="AB488" s="194"/>
      <c r="AC488" s="194"/>
      <c r="AD488" s="194"/>
      <c r="AE488" s="194"/>
      <c r="AF488" s="194"/>
      <c r="AG488" s="194"/>
      <c r="AH488" s="194"/>
      <c r="AI488" s="194"/>
      <c r="AJ488" s="194"/>
      <c r="AK488" s="194"/>
      <c r="AL488" s="194"/>
      <c r="AM488" s="194"/>
    </row>
    <row r="489" spans="1:39" ht="15.75" customHeight="1" x14ac:dyDescent="0.25">
      <c r="A489" s="194"/>
      <c r="B489" s="194"/>
      <c r="C489" s="194"/>
      <c r="D489" s="194"/>
      <c r="E489" s="194"/>
      <c r="F489" s="194"/>
      <c r="G489" s="194"/>
      <c r="H489" s="194"/>
      <c r="I489" s="194"/>
      <c r="J489" s="194"/>
      <c r="K489" s="194"/>
      <c r="L489" s="194"/>
      <c r="M489" s="194"/>
      <c r="N489" s="194"/>
      <c r="O489" s="194"/>
      <c r="P489" s="194"/>
      <c r="Q489" s="194"/>
      <c r="R489" s="194"/>
      <c r="S489" s="194"/>
      <c r="T489" s="194"/>
      <c r="U489" s="194"/>
      <c r="V489" s="194"/>
      <c r="W489" s="194"/>
      <c r="X489" s="194"/>
      <c r="Y489" s="194"/>
      <c r="Z489" s="194"/>
      <c r="AA489" s="194"/>
      <c r="AB489" s="194"/>
      <c r="AC489" s="194"/>
      <c r="AD489" s="194"/>
      <c r="AE489" s="194"/>
      <c r="AF489" s="194"/>
      <c r="AG489" s="194"/>
      <c r="AH489" s="194"/>
      <c r="AI489" s="194"/>
      <c r="AJ489" s="194"/>
      <c r="AK489" s="194"/>
      <c r="AL489" s="194"/>
      <c r="AM489" s="194"/>
    </row>
    <row r="490" spans="1:39" ht="15.75" customHeight="1" x14ac:dyDescent="0.25">
      <c r="A490" s="194"/>
      <c r="B490" s="194"/>
      <c r="C490" s="194"/>
      <c r="D490" s="194"/>
      <c r="E490" s="194"/>
      <c r="F490" s="194"/>
      <c r="G490" s="194"/>
      <c r="H490" s="194"/>
      <c r="I490" s="194"/>
      <c r="J490" s="194"/>
      <c r="K490" s="194"/>
      <c r="L490" s="194"/>
      <c r="M490" s="194"/>
      <c r="N490" s="194"/>
      <c r="O490" s="194"/>
      <c r="P490" s="194"/>
      <c r="Q490" s="194"/>
      <c r="R490" s="194"/>
      <c r="S490" s="194"/>
      <c r="T490" s="194"/>
      <c r="U490" s="194"/>
      <c r="V490" s="194"/>
      <c r="W490" s="194"/>
      <c r="X490" s="194"/>
      <c r="Y490" s="194"/>
      <c r="Z490" s="194"/>
      <c r="AA490" s="194"/>
      <c r="AB490" s="194"/>
      <c r="AC490" s="194"/>
      <c r="AD490" s="194"/>
      <c r="AE490" s="194"/>
      <c r="AF490" s="194"/>
      <c r="AG490" s="194"/>
      <c r="AH490" s="194"/>
      <c r="AI490" s="194"/>
      <c r="AJ490" s="194"/>
      <c r="AK490" s="194"/>
      <c r="AL490" s="194"/>
      <c r="AM490" s="194"/>
    </row>
    <row r="491" spans="1:39" ht="15.75" customHeight="1" x14ac:dyDescent="0.25">
      <c r="A491" s="194"/>
      <c r="B491" s="194"/>
      <c r="C491" s="194"/>
      <c r="D491" s="194"/>
      <c r="E491" s="194"/>
      <c r="F491" s="194"/>
      <c r="G491" s="194"/>
      <c r="H491" s="194"/>
      <c r="I491" s="194"/>
      <c r="J491" s="194"/>
      <c r="K491" s="194"/>
      <c r="L491" s="194"/>
      <c r="M491" s="194"/>
      <c r="N491" s="194"/>
      <c r="O491" s="194"/>
      <c r="P491" s="194"/>
      <c r="Q491" s="194"/>
      <c r="R491" s="194"/>
      <c r="S491" s="194"/>
      <c r="T491" s="194"/>
      <c r="U491" s="194"/>
      <c r="V491" s="194"/>
      <c r="W491" s="194"/>
      <c r="X491" s="194"/>
      <c r="Y491" s="194"/>
      <c r="Z491" s="194"/>
      <c r="AA491" s="194"/>
      <c r="AB491" s="194"/>
      <c r="AC491" s="194"/>
      <c r="AD491" s="194"/>
      <c r="AE491" s="194"/>
      <c r="AF491" s="194"/>
      <c r="AG491" s="194"/>
      <c r="AH491" s="194"/>
      <c r="AI491" s="194"/>
      <c r="AJ491" s="194"/>
      <c r="AK491" s="194"/>
      <c r="AL491" s="194"/>
      <c r="AM491" s="194"/>
    </row>
    <row r="492" spans="1:39" ht="15.75" customHeight="1" x14ac:dyDescent="0.25">
      <c r="A492" s="194"/>
      <c r="B492" s="194"/>
      <c r="C492" s="194"/>
      <c r="D492" s="194"/>
      <c r="E492" s="194"/>
      <c r="F492" s="194"/>
      <c r="G492" s="194"/>
      <c r="H492" s="194"/>
      <c r="I492" s="194"/>
      <c r="J492" s="194"/>
      <c r="K492" s="194"/>
      <c r="L492" s="194"/>
      <c r="M492" s="194"/>
      <c r="N492" s="194"/>
      <c r="O492" s="194"/>
      <c r="P492" s="194"/>
      <c r="Q492" s="194"/>
      <c r="R492" s="194"/>
      <c r="S492" s="194"/>
      <c r="T492" s="194"/>
      <c r="U492" s="194"/>
      <c r="V492" s="194"/>
      <c r="W492" s="194"/>
      <c r="X492" s="194"/>
      <c r="Y492" s="194"/>
      <c r="Z492" s="194"/>
      <c r="AA492" s="194"/>
      <c r="AB492" s="194"/>
      <c r="AC492" s="194"/>
      <c r="AD492" s="194"/>
      <c r="AE492" s="194"/>
      <c r="AF492" s="194"/>
      <c r="AG492" s="194"/>
      <c r="AH492" s="194"/>
      <c r="AI492" s="194"/>
      <c r="AJ492" s="194"/>
      <c r="AK492" s="194"/>
      <c r="AL492" s="194"/>
      <c r="AM492" s="194"/>
    </row>
    <row r="493" spans="1:39" ht="15.75" customHeight="1" x14ac:dyDescent="0.25">
      <c r="A493" s="194"/>
      <c r="B493" s="194"/>
      <c r="C493" s="194"/>
      <c r="D493" s="194"/>
      <c r="E493" s="194"/>
      <c r="F493" s="194"/>
      <c r="G493" s="194"/>
      <c r="H493" s="194"/>
      <c r="I493" s="194"/>
      <c r="J493" s="194"/>
      <c r="K493" s="194"/>
      <c r="L493" s="194"/>
      <c r="M493" s="194"/>
      <c r="N493" s="194"/>
      <c r="O493" s="194"/>
      <c r="P493" s="194"/>
      <c r="Q493" s="194"/>
      <c r="R493" s="194"/>
      <c r="S493" s="194"/>
      <c r="T493" s="194"/>
      <c r="U493" s="194"/>
      <c r="V493" s="194"/>
      <c r="W493" s="194"/>
      <c r="X493" s="194"/>
      <c r="Y493" s="194"/>
      <c r="Z493" s="194"/>
      <c r="AA493" s="194"/>
      <c r="AB493" s="194"/>
      <c r="AC493" s="194"/>
      <c r="AD493" s="194"/>
      <c r="AE493" s="194"/>
      <c r="AF493" s="194"/>
      <c r="AG493" s="194"/>
      <c r="AH493" s="194"/>
      <c r="AI493" s="194"/>
      <c r="AJ493" s="194"/>
      <c r="AK493" s="194"/>
      <c r="AL493" s="194"/>
      <c r="AM493" s="194"/>
    </row>
    <row r="494" spans="1:39" ht="15.75" customHeight="1" x14ac:dyDescent="0.25">
      <c r="A494" s="194"/>
      <c r="B494" s="194"/>
      <c r="C494" s="194"/>
      <c r="D494" s="194"/>
      <c r="E494" s="194"/>
      <c r="F494" s="194"/>
      <c r="G494" s="194"/>
      <c r="H494" s="194"/>
      <c r="I494" s="194"/>
      <c r="J494" s="194"/>
      <c r="K494" s="194"/>
      <c r="L494" s="194"/>
      <c r="M494" s="194"/>
      <c r="N494" s="194"/>
      <c r="O494" s="194"/>
      <c r="P494" s="194"/>
      <c r="Q494" s="194"/>
      <c r="R494" s="194"/>
      <c r="S494" s="194"/>
      <c r="T494" s="194"/>
      <c r="U494" s="194"/>
      <c r="V494" s="194"/>
      <c r="W494" s="194"/>
      <c r="X494" s="194"/>
      <c r="Y494" s="194"/>
      <c r="Z494" s="194"/>
      <c r="AA494" s="194"/>
      <c r="AB494" s="194"/>
      <c r="AC494" s="194"/>
      <c r="AD494" s="194"/>
      <c r="AE494" s="194"/>
      <c r="AF494" s="194"/>
      <c r="AG494" s="194"/>
      <c r="AH494" s="194"/>
      <c r="AI494" s="194"/>
      <c r="AJ494" s="194"/>
      <c r="AK494" s="194"/>
      <c r="AL494" s="194"/>
      <c r="AM494" s="194"/>
    </row>
    <row r="495" spans="1:39" ht="15.75" customHeight="1" x14ac:dyDescent="0.25">
      <c r="A495" s="194"/>
      <c r="B495" s="194"/>
      <c r="C495" s="194"/>
      <c r="D495" s="194"/>
      <c r="E495" s="194"/>
      <c r="F495" s="194"/>
      <c r="G495" s="194"/>
      <c r="H495" s="194"/>
      <c r="I495" s="194"/>
      <c r="J495" s="194"/>
      <c r="K495" s="194"/>
      <c r="L495" s="194"/>
      <c r="M495" s="194"/>
      <c r="N495" s="194"/>
      <c r="O495" s="194"/>
      <c r="P495" s="194"/>
      <c r="Q495" s="194"/>
      <c r="R495" s="194"/>
      <c r="S495" s="194"/>
      <c r="T495" s="194"/>
      <c r="U495" s="194"/>
      <c r="V495" s="194"/>
      <c r="W495" s="194"/>
      <c r="X495" s="194"/>
      <c r="Y495" s="194"/>
      <c r="Z495" s="194"/>
      <c r="AA495" s="194"/>
      <c r="AB495" s="194"/>
      <c r="AC495" s="194"/>
      <c r="AD495" s="194"/>
      <c r="AE495" s="194"/>
      <c r="AF495" s="194"/>
      <c r="AG495" s="194"/>
      <c r="AH495" s="194"/>
      <c r="AI495" s="194"/>
      <c r="AJ495" s="194"/>
      <c r="AK495" s="194"/>
      <c r="AL495" s="194"/>
      <c r="AM495" s="194"/>
    </row>
    <row r="496" spans="1:39" ht="15.75" customHeight="1" x14ac:dyDescent="0.25">
      <c r="A496" s="194"/>
      <c r="B496" s="194"/>
      <c r="C496" s="194"/>
      <c r="D496" s="194"/>
      <c r="E496" s="194"/>
      <c r="F496" s="194"/>
      <c r="G496" s="194"/>
      <c r="H496" s="194"/>
      <c r="I496" s="194"/>
      <c r="J496" s="194"/>
      <c r="K496" s="194"/>
      <c r="L496" s="194"/>
      <c r="M496" s="194"/>
      <c r="N496" s="194"/>
      <c r="O496" s="194"/>
      <c r="P496" s="194"/>
      <c r="Q496" s="194"/>
      <c r="R496" s="194"/>
      <c r="S496" s="194"/>
      <c r="T496" s="194"/>
      <c r="U496" s="194"/>
      <c r="V496" s="194"/>
      <c r="W496" s="194"/>
      <c r="X496" s="194"/>
      <c r="Y496" s="194"/>
      <c r="Z496" s="194"/>
      <c r="AA496" s="194"/>
      <c r="AB496" s="194"/>
      <c r="AC496" s="194"/>
      <c r="AD496" s="194"/>
      <c r="AE496" s="194"/>
      <c r="AF496" s="194"/>
      <c r="AG496" s="194"/>
      <c r="AH496" s="194"/>
      <c r="AI496" s="194"/>
      <c r="AJ496" s="194"/>
      <c r="AK496" s="194"/>
      <c r="AL496" s="194"/>
      <c r="AM496" s="194"/>
    </row>
    <row r="497" spans="1:39" ht="15.75" customHeight="1" x14ac:dyDescent="0.25">
      <c r="A497" s="194"/>
      <c r="B497" s="194"/>
      <c r="C497" s="194"/>
      <c r="D497" s="194"/>
      <c r="E497" s="194"/>
      <c r="F497" s="194"/>
      <c r="G497" s="194"/>
      <c r="H497" s="194"/>
      <c r="I497" s="194"/>
      <c r="J497" s="194"/>
      <c r="K497" s="194"/>
      <c r="L497" s="194"/>
      <c r="M497" s="194"/>
      <c r="N497" s="194"/>
      <c r="O497" s="194"/>
      <c r="P497" s="194"/>
      <c r="Q497" s="194"/>
      <c r="R497" s="194"/>
      <c r="S497" s="194"/>
      <c r="T497" s="194"/>
      <c r="U497" s="194"/>
      <c r="V497" s="194"/>
      <c r="W497" s="194"/>
      <c r="X497" s="194"/>
      <c r="Y497" s="194"/>
      <c r="Z497" s="194"/>
      <c r="AA497" s="194"/>
      <c r="AB497" s="194"/>
      <c r="AC497" s="194"/>
      <c r="AD497" s="194"/>
      <c r="AE497" s="194"/>
      <c r="AF497" s="194"/>
      <c r="AG497" s="194"/>
      <c r="AH497" s="194"/>
      <c r="AI497" s="194"/>
      <c r="AJ497" s="194"/>
      <c r="AK497" s="194"/>
      <c r="AL497" s="194"/>
      <c r="AM497" s="194"/>
    </row>
    <row r="498" spans="1:39" ht="15.75" customHeight="1" x14ac:dyDescent="0.25">
      <c r="A498" s="194"/>
      <c r="B498" s="194"/>
      <c r="C498" s="194"/>
      <c r="D498" s="194"/>
      <c r="E498" s="194"/>
      <c r="F498" s="194"/>
      <c r="G498" s="194"/>
      <c r="H498" s="194"/>
      <c r="I498" s="194"/>
      <c r="J498" s="194"/>
      <c r="K498" s="194"/>
      <c r="L498" s="194"/>
      <c r="M498" s="194"/>
      <c r="N498" s="194"/>
      <c r="O498" s="194"/>
      <c r="P498" s="194"/>
      <c r="Q498" s="194"/>
      <c r="R498" s="194"/>
      <c r="S498" s="194"/>
      <c r="T498" s="194"/>
      <c r="U498" s="194"/>
      <c r="V498" s="194"/>
      <c r="W498" s="194"/>
      <c r="X498" s="194"/>
      <c r="Y498" s="194"/>
      <c r="Z498" s="194"/>
      <c r="AA498" s="194"/>
      <c r="AB498" s="194"/>
      <c r="AC498" s="194"/>
      <c r="AD498" s="194"/>
      <c r="AE498" s="194"/>
      <c r="AF498" s="194"/>
      <c r="AG498" s="194"/>
      <c r="AH498" s="194"/>
      <c r="AI498" s="194"/>
      <c r="AJ498" s="194"/>
      <c r="AK498" s="194"/>
      <c r="AL498" s="194"/>
      <c r="AM498" s="194"/>
    </row>
    <row r="499" spans="1:39" ht="15.75" customHeight="1" x14ac:dyDescent="0.25">
      <c r="A499" s="194"/>
      <c r="B499" s="194"/>
      <c r="C499" s="194"/>
      <c r="D499" s="194"/>
      <c r="E499" s="194"/>
      <c r="F499" s="194"/>
      <c r="G499" s="194"/>
      <c r="H499" s="194"/>
      <c r="I499" s="194"/>
      <c r="J499" s="194"/>
      <c r="K499" s="194"/>
      <c r="L499" s="194"/>
      <c r="M499" s="194"/>
      <c r="N499" s="194"/>
      <c r="O499" s="194"/>
      <c r="P499" s="194"/>
      <c r="Q499" s="194"/>
      <c r="R499" s="194"/>
      <c r="S499" s="194"/>
      <c r="T499" s="194"/>
      <c r="U499" s="194"/>
      <c r="V499" s="194"/>
      <c r="W499" s="194"/>
      <c r="X499" s="194"/>
      <c r="Y499" s="194"/>
      <c r="Z499" s="194"/>
      <c r="AA499" s="194"/>
      <c r="AB499" s="194"/>
      <c r="AC499" s="194"/>
      <c r="AD499" s="194"/>
      <c r="AE499" s="194"/>
      <c r="AF499" s="194"/>
      <c r="AG499" s="194"/>
      <c r="AH499" s="194"/>
      <c r="AI499" s="194"/>
      <c r="AJ499" s="194"/>
      <c r="AK499" s="194"/>
      <c r="AL499" s="194"/>
      <c r="AM499" s="194"/>
    </row>
    <row r="500" spans="1:39" ht="15.75" customHeight="1" x14ac:dyDescent="0.25">
      <c r="A500" s="194"/>
      <c r="B500" s="194"/>
      <c r="C500" s="194"/>
      <c r="D500" s="194"/>
      <c r="E500" s="194"/>
      <c r="F500" s="194"/>
      <c r="G500" s="194"/>
      <c r="H500" s="194"/>
      <c r="I500" s="194"/>
      <c r="J500" s="194"/>
      <c r="K500" s="194"/>
      <c r="L500" s="194"/>
      <c r="M500" s="194"/>
      <c r="N500" s="194"/>
      <c r="O500" s="194"/>
      <c r="P500" s="194"/>
      <c r="Q500" s="194"/>
      <c r="R500" s="194"/>
      <c r="S500" s="194"/>
      <c r="T500" s="194"/>
      <c r="U500" s="194"/>
      <c r="V500" s="194"/>
      <c r="W500" s="194"/>
      <c r="X500" s="194"/>
      <c r="Y500" s="194"/>
      <c r="Z500" s="194"/>
      <c r="AA500" s="194"/>
      <c r="AB500" s="194"/>
      <c r="AC500" s="194"/>
      <c r="AD500" s="194"/>
      <c r="AE500" s="194"/>
      <c r="AF500" s="194"/>
      <c r="AG500" s="194"/>
      <c r="AH500" s="194"/>
      <c r="AI500" s="194"/>
      <c r="AJ500" s="194"/>
      <c r="AK500" s="194"/>
      <c r="AL500" s="194"/>
      <c r="AM500" s="194"/>
    </row>
    <row r="501" spans="1:39" ht="15.75" customHeight="1" x14ac:dyDescent="0.25">
      <c r="A501" s="194"/>
      <c r="B501" s="194"/>
      <c r="C501" s="194"/>
      <c r="D501" s="194"/>
      <c r="E501" s="194"/>
      <c r="F501" s="194"/>
      <c r="G501" s="194"/>
      <c r="H501" s="194"/>
      <c r="I501" s="194"/>
      <c r="J501" s="194"/>
      <c r="K501" s="194"/>
      <c r="L501" s="194"/>
      <c r="M501" s="194"/>
      <c r="N501" s="194"/>
      <c r="O501" s="194"/>
      <c r="P501" s="194"/>
      <c r="Q501" s="194"/>
      <c r="R501" s="194"/>
      <c r="S501" s="194"/>
      <c r="T501" s="194"/>
      <c r="U501" s="194"/>
      <c r="V501" s="194"/>
      <c r="W501" s="194"/>
      <c r="X501" s="194"/>
      <c r="Y501" s="194"/>
      <c r="Z501" s="194"/>
      <c r="AA501" s="194"/>
      <c r="AB501" s="194"/>
      <c r="AC501" s="194"/>
      <c r="AD501" s="194"/>
      <c r="AE501" s="194"/>
      <c r="AF501" s="194"/>
      <c r="AG501" s="194"/>
      <c r="AH501" s="194"/>
      <c r="AI501" s="194"/>
      <c r="AJ501" s="194"/>
      <c r="AK501" s="194"/>
      <c r="AL501" s="194"/>
      <c r="AM501" s="194"/>
    </row>
    <row r="502" spans="1:39" ht="15.75" customHeight="1" x14ac:dyDescent="0.25">
      <c r="A502" s="194"/>
      <c r="B502" s="194"/>
      <c r="C502" s="194"/>
      <c r="D502" s="194"/>
      <c r="E502" s="194"/>
      <c r="F502" s="194"/>
      <c r="G502" s="194"/>
      <c r="H502" s="194"/>
      <c r="I502" s="194"/>
      <c r="J502" s="194"/>
      <c r="K502" s="194"/>
      <c r="L502" s="194"/>
      <c r="M502" s="194"/>
      <c r="N502" s="194"/>
      <c r="O502" s="194"/>
      <c r="P502" s="194"/>
      <c r="Q502" s="194"/>
      <c r="R502" s="194"/>
      <c r="S502" s="194"/>
      <c r="T502" s="194"/>
      <c r="U502" s="194"/>
      <c r="V502" s="194"/>
      <c r="W502" s="194"/>
      <c r="X502" s="194"/>
      <c r="Y502" s="194"/>
      <c r="Z502" s="194"/>
      <c r="AA502" s="194"/>
      <c r="AB502" s="194"/>
      <c r="AC502" s="194"/>
      <c r="AD502" s="194"/>
      <c r="AE502" s="194"/>
      <c r="AF502" s="194"/>
      <c r="AG502" s="194"/>
      <c r="AH502" s="194"/>
      <c r="AI502" s="194"/>
      <c r="AJ502" s="194"/>
      <c r="AK502" s="194"/>
      <c r="AL502" s="194"/>
      <c r="AM502" s="194"/>
    </row>
    <row r="503" spans="1:39" ht="15.75" customHeight="1" x14ac:dyDescent="0.25">
      <c r="A503" s="194"/>
      <c r="B503" s="194"/>
      <c r="C503" s="194"/>
      <c r="D503" s="194"/>
      <c r="E503" s="194"/>
      <c r="F503" s="194"/>
      <c r="G503" s="194"/>
      <c r="H503" s="194"/>
      <c r="I503" s="194"/>
      <c r="J503" s="194"/>
      <c r="K503" s="194"/>
      <c r="L503" s="194"/>
      <c r="M503" s="194"/>
      <c r="N503" s="194"/>
      <c r="O503" s="194"/>
      <c r="P503" s="194"/>
      <c r="Q503" s="194"/>
      <c r="R503" s="194"/>
      <c r="S503" s="194"/>
      <c r="T503" s="194"/>
      <c r="U503" s="194"/>
      <c r="V503" s="194"/>
      <c r="W503" s="194"/>
      <c r="X503" s="194"/>
      <c r="Y503" s="194"/>
      <c r="Z503" s="194"/>
      <c r="AA503" s="194"/>
      <c r="AB503" s="194"/>
      <c r="AC503" s="194"/>
      <c r="AD503" s="194"/>
      <c r="AE503" s="194"/>
      <c r="AF503" s="194"/>
      <c r="AG503" s="194"/>
      <c r="AH503" s="194"/>
      <c r="AI503" s="194"/>
      <c r="AJ503" s="194"/>
      <c r="AK503" s="194"/>
      <c r="AL503" s="194"/>
      <c r="AM503" s="194"/>
    </row>
    <row r="504" spans="1:39" ht="15.75" customHeight="1" x14ac:dyDescent="0.25">
      <c r="A504" s="194"/>
      <c r="B504" s="194"/>
      <c r="C504" s="194"/>
      <c r="D504" s="194"/>
      <c r="E504" s="194"/>
      <c r="F504" s="194"/>
      <c r="G504" s="194"/>
      <c r="H504" s="194"/>
      <c r="I504" s="194"/>
      <c r="J504" s="194"/>
      <c r="K504" s="194"/>
      <c r="L504" s="194"/>
      <c r="M504" s="194"/>
      <c r="N504" s="194"/>
      <c r="O504" s="194"/>
      <c r="P504" s="194"/>
      <c r="Q504" s="194"/>
      <c r="R504" s="194"/>
      <c r="S504" s="194"/>
      <c r="T504" s="194"/>
      <c r="U504" s="194"/>
      <c r="V504" s="194"/>
      <c r="W504" s="194"/>
      <c r="X504" s="194"/>
      <c r="Y504" s="194"/>
      <c r="Z504" s="194"/>
      <c r="AA504" s="194"/>
      <c r="AB504" s="194"/>
      <c r="AC504" s="194"/>
      <c r="AD504" s="194"/>
      <c r="AE504" s="194"/>
      <c r="AF504" s="194"/>
      <c r="AG504" s="194"/>
      <c r="AH504" s="194"/>
      <c r="AI504" s="194"/>
      <c r="AJ504" s="194"/>
      <c r="AK504" s="194"/>
      <c r="AL504" s="194"/>
      <c r="AM504" s="194"/>
    </row>
    <row r="505" spans="1:39" ht="15.75" customHeight="1" x14ac:dyDescent="0.25">
      <c r="A505" s="194"/>
      <c r="B505" s="194"/>
      <c r="C505" s="194"/>
      <c r="D505" s="194"/>
      <c r="E505" s="194"/>
      <c r="F505" s="194"/>
      <c r="G505" s="194"/>
      <c r="H505" s="194"/>
      <c r="I505" s="194"/>
      <c r="J505" s="194"/>
      <c r="K505" s="194"/>
      <c r="L505" s="194"/>
      <c r="M505" s="194"/>
      <c r="N505" s="194"/>
      <c r="O505" s="194"/>
      <c r="P505" s="194"/>
      <c r="Q505" s="194"/>
      <c r="R505" s="194"/>
      <c r="S505" s="194"/>
      <c r="T505" s="194"/>
      <c r="U505" s="194"/>
      <c r="V505" s="194"/>
      <c r="W505" s="194"/>
      <c r="X505" s="194"/>
      <c r="Y505" s="194"/>
      <c r="Z505" s="194"/>
      <c r="AA505" s="194"/>
      <c r="AB505" s="194"/>
      <c r="AC505" s="194"/>
      <c r="AD505" s="194"/>
      <c r="AE505" s="194"/>
      <c r="AF505" s="194"/>
      <c r="AG505" s="194"/>
      <c r="AH505" s="194"/>
      <c r="AI505" s="194"/>
      <c r="AJ505" s="194"/>
      <c r="AK505" s="194"/>
      <c r="AL505" s="194"/>
      <c r="AM505" s="194"/>
    </row>
    <row r="506" spans="1:39" ht="15.75" customHeight="1" x14ac:dyDescent="0.25">
      <c r="A506" s="194"/>
      <c r="B506" s="194"/>
      <c r="C506" s="194"/>
      <c r="D506" s="194"/>
      <c r="E506" s="194"/>
      <c r="F506" s="194"/>
      <c r="G506" s="194"/>
      <c r="H506" s="194"/>
      <c r="I506" s="194"/>
      <c r="J506" s="194"/>
      <c r="K506" s="194"/>
      <c r="L506" s="194"/>
      <c r="M506" s="194"/>
      <c r="N506" s="194"/>
      <c r="O506" s="194"/>
      <c r="P506" s="194"/>
      <c r="Q506" s="194"/>
      <c r="R506" s="194"/>
      <c r="S506" s="194"/>
      <c r="T506" s="194"/>
      <c r="U506" s="194"/>
      <c r="V506" s="194"/>
      <c r="W506" s="194"/>
      <c r="X506" s="194"/>
      <c r="Y506" s="194"/>
      <c r="Z506" s="194"/>
      <c r="AA506" s="194"/>
      <c r="AB506" s="194"/>
      <c r="AC506" s="194"/>
      <c r="AD506" s="194"/>
      <c r="AE506" s="194"/>
      <c r="AF506" s="194"/>
      <c r="AG506" s="194"/>
      <c r="AH506" s="194"/>
      <c r="AI506" s="194"/>
      <c r="AJ506" s="194"/>
      <c r="AK506" s="194"/>
      <c r="AL506" s="194"/>
      <c r="AM506" s="194"/>
    </row>
    <row r="507" spans="1:39" ht="15.75" customHeight="1" x14ac:dyDescent="0.25">
      <c r="A507" s="194"/>
      <c r="B507" s="194"/>
      <c r="C507" s="194"/>
      <c r="D507" s="194"/>
      <c r="E507" s="194"/>
      <c r="F507" s="194"/>
      <c r="G507" s="194"/>
      <c r="H507" s="194"/>
      <c r="I507" s="194"/>
      <c r="J507" s="194"/>
      <c r="K507" s="194"/>
      <c r="L507" s="194"/>
      <c r="M507" s="194"/>
      <c r="N507" s="194"/>
      <c r="O507" s="194"/>
      <c r="P507" s="194"/>
      <c r="Q507" s="194"/>
      <c r="R507" s="194"/>
      <c r="S507" s="194"/>
      <c r="T507" s="194"/>
      <c r="U507" s="194"/>
      <c r="V507" s="194"/>
      <c r="W507" s="194"/>
      <c r="X507" s="194"/>
      <c r="Y507" s="194"/>
      <c r="Z507" s="194"/>
      <c r="AA507" s="194"/>
      <c r="AB507" s="194"/>
      <c r="AC507" s="194"/>
      <c r="AD507" s="194"/>
      <c r="AE507" s="194"/>
      <c r="AF507" s="194"/>
      <c r="AG507" s="194"/>
      <c r="AH507" s="194"/>
      <c r="AI507" s="194"/>
      <c r="AJ507" s="194"/>
      <c r="AK507" s="194"/>
      <c r="AL507" s="194"/>
      <c r="AM507" s="194"/>
    </row>
    <row r="508" spans="1:39" ht="15.75" customHeight="1" x14ac:dyDescent="0.25">
      <c r="A508" s="194"/>
      <c r="B508" s="194"/>
      <c r="C508" s="194"/>
      <c r="D508" s="194"/>
      <c r="E508" s="194"/>
      <c r="F508" s="194"/>
      <c r="G508" s="194"/>
      <c r="H508" s="194"/>
      <c r="I508" s="194"/>
      <c r="J508" s="194"/>
      <c r="K508" s="194"/>
      <c r="L508" s="194"/>
      <c r="M508" s="194"/>
      <c r="N508" s="194"/>
      <c r="O508" s="194"/>
      <c r="P508" s="194"/>
      <c r="Q508" s="194"/>
      <c r="R508" s="194"/>
      <c r="S508" s="194"/>
      <c r="T508" s="194"/>
      <c r="U508" s="194"/>
      <c r="V508" s="194"/>
      <c r="W508" s="194"/>
      <c r="X508" s="194"/>
      <c r="Y508" s="194"/>
      <c r="Z508" s="194"/>
      <c r="AA508" s="194"/>
      <c r="AB508" s="194"/>
      <c r="AC508" s="194"/>
      <c r="AD508" s="194"/>
      <c r="AE508" s="194"/>
      <c r="AF508" s="194"/>
      <c r="AG508" s="194"/>
      <c r="AH508" s="194"/>
      <c r="AI508" s="194"/>
      <c r="AJ508" s="194"/>
      <c r="AK508" s="194"/>
      <c r="AL508" s="194"/>
      <c r="AM508" s="194"/>
    </row>
    <row r="509" spans="1:39" ht="15.75" customHeight="1" x14ac:dyDescent="0.25">
      <c r="A509" s="194"/>
      <c r="B509" s="194"/>
      <c r="C509" s="194"/>
      <c r="D509" s="194"/>
      <c r="E509" s="194"/>
      <c r="F509" s="194"/>
      <c r="G509" s="194"/>
      <c r="H509" s="194"/>
      <c r="I509" s="194"/>
      <c r="J509" s="194"/>
      <c r="K509" s="194"/>
      <c r="L509" s="194"/>
      <c r="M509" s="194"/>
      <c r="N509" s="194"/>
      <c r="O509" s="194"/>
      <c r="P509" s="194"/>
      <c r="Q509" s="194"/>
      <c r="R509" s="194"/>
      <c r="S509" s="194"/>
      <c r="T509" s="194"/>
      <c r="U509" s="194"/>
      <c r="V509" s="194"/>
      <c r="W509" s="194"/>
      <c r="X509" s="194"/>
      <c r="Y509" s="194"/>
      <c r="Z509" s="194"/>
      <c r="AA509" s="194"/>
      <c r="AB509" s="194"/>
      <c r="AC509" s="194"/>
      <c r="AD509" s="194"/>
      <c r="AE509" s="194"/>
      <c r="AF509" s="194"/>
      <c r="AG509" s="194"/>
      <c r="AH509" s="194"/>
      <c r="AI509" s="194"/>
      <c r="AJ509" s="194"/>
      <c r="AK509" s="194"/>
      <c r="AL509" s="194"/>
      <c r="AM509" s="194"/>
    </row>
    <row r="510" spans="1:39" ht="15.75" customHeight="1" x14ac:dyDescent="0.25">
      <c r="A510" s="194"/>
      <c r="B510" s="194"/>
      <c r="C510" s="194"/>
      <c r="D510" s="194"/>
      <c r="E510" s="194"/>
      <c r="F510" s="194"/>
      <c r="G510" s="194"/>
      <c r="H510" s="194"/>
      <c r="I510" s="194"/>
      <c r="J510" s="194"/>
      <c r="K510" s="194"/>
      <c r="L510" s="194"/>
      <c r="M510" s="194"/>
      <c r="N510" s="194"/>
      <c r="O510" s="194"/>
      <c r="P510" s="194"/>
      <c r="Q510" s="194"/>
      <c r="R510" s="194"/>
      <c r="S510" s="194"/>
      <c r="T510" s="194"/>
      <c r="U510" s="194"/>
      <c r="V510" s="194"/>
      <c r="W510" s="194"/>
      <c r="X510" s="194"/>
      <c r="Y510" s="194"/>
      <c r="Z510" s="194"/>
      <c r="AA510" s="194"/>
      <c r="AB510" s="194"/>
      <c r="AC510" s="194"/>
      <c r="AD510" s="194"/>
      <c r="AE510" s="194"/>
      <c r="AF510" s="194"/>
      <c r="AG510" s="194"/>
      <c r="AH510" s="194"/>
      <c r="AI510" s="194"/>
      <c r="AJ510" s="194"/>
      <c r="AK510" s="194"/>
      <c r="AL510" s="194"/>
      <c r="AM510" s="194"/>
    </row>
    <row r="511" spans="1:39" ht="15.75" customHeight="1" x14ac:dyDescent="0.25">
      <c r="A511" s="194"/>
      <c r="B511" s="194"/>
      <c r="C511" s="194"/>
      <c r="D511" s="194"/>
      <c r="E511" s="194"/>
      <c r="F511" s="194"/>
      <c r="G511" s="194"/>
      <c r="H511" s="194"/>
      <c r="I511" s="194"/>
      <c r="J511" s="194"/>
      <c r="K511" s="194"/>
      <c r="L511" s="194"/>
      <c r="M511" s="194"/>
      <c r="N511" s="194"/>
      <c r="O511" s="194"/>
      <c r="P511" s="194"/>
      <c r="Q511" s="194"/>
      <c r="R511" s="194"/>
      <c r="S511" s="194"/>
      <c r="T511" s="194"/>
      <c r="U511" s="194"/>
      <c r="V511" s="194"/>
      <c r="W511" s="194"/>
      <c r="X511" s="194"/>
      <c r="Y511" s="194"/>
      <c r="Z511" s="194"/>
      <c r="AA511" s="194"/>
      <c r="AB511" s="194"/>
      <c r="AC511" s="194"/>
      <c r="AD511" s="194"/>
      <c r="AE511" s="194"/>
      <c r="AF511" s="194"/>
      <c r="AG511" s="194"/>
      <c r="AH511" s="194"/>
      <c r="AI511" s="194"/>
      <c r="AJ511" s="194"/>
      <c r="AK511" s="194"/>
      <c r="AL511" s="194"/>
      <c r="AM511" s="194"/>
    </row>
    <row r="512" spans="1:39" ht="15.75" customHeight="1" x14ac:dyDescent="0.25">
      <c r="A512" s="194"/>
      <c r="B512" s="194"/>
      <c r="C512" s="194"/>
      <c r="D512" s="194"/>
      <c r="E512" s="194"/>
      <c r="F512" s="194"/>
      <c r="G512" s="194"/>
      <c r="H512" s="194"/>
      <c r="I512" s="194"/>
      <c r="J512" s="194"/>
      <c r="K512" s="194"/>
      <c r="L512" s="194"/>
      <c r="M512" s="194"/>
      <c r="N512" s="194"/>
      <c r="O512" s="194"/>
      <c r="P512" s="194"/>
      <c r="Q512" s="194"/>
      <c r="R512" s="194"/>
      <c r="S512" s="194"/>
      <c r="T512" s="194"/>
      <c r="U512" s="194"/>
      <c r="V512" s="194"/>
      <c r="W512" s="194"/>
      <c r="X512" s="194"/>
      <c r="Y512" s="194"/>
      <c r="Z512" s="194"/>
      <c r="AA512" s="194"/>
      <c r="AB512" s="194"/>
      <c r="AC512" s="194"/>
      <c r="AD512" s="194"/>
      <c r="AE512" s="194"/>
      <c r="AF512" s="194"/>
      <c r="AG512" s="194"/>
      <c r="AH512" s="194"/>
      <c r="AI512" s="194"/>
      <c r="AJ512" s="194"/>
      <c r="AK512" s="194"/>
      <c r="AL512" s="194"/>
      <c r="AM512" s="194"/>
    </row>
    <row r="513" spans="1:39" ht="15.75" customHeight="1" x14ac:dyDescent="0.25">
      <c r="A513" s="194"/>
      <c r="B513" s="194"/>
      <c r="C513" s="194"/>
      <c r="D513" s="194"/>
      <c r="E513" s="194"/>
      <c r="F513" s="194"/>
      <c r="G513" s="194"/>
      <c r="H513" s="194"/>
      <c r="I513" s="194"/>
      <c r="J513" s="194"/>
      <c r="K513" s="194"/>
      <c r="L513" s="194"/>
      <c r="M513" s="194"/>
      <c r="N513" s="194"/>
      <c r="O513" s="194"/>
      <c r="P513" s="194"/>
      <c r="Q513" s="194"/>
      <c r="R513" s="194"/>
      <c r="S513" s="194"/>
      <c r="T513" s="194"/>
      <c r="U513" s="194"/>
      <c r="V513" s="194"/>
      <c r="W513" s="194"/>
      <c r="X513" s="194"/>
      <c r="Y513" s="194"/>
      <c r="Z513" s="194"/>
      <c r="AA513" s="194"/>
      <c r="AB513" s="194"/>
      <c r="AC513" s="194"/>
      <c r="AD513" s="194"/>
      <c r="AE513" s="194"/>
      <c r="AF513" s="194"/>
      <c r="AG513" s="194"/>
      <c r="AH513" s="194"/>
      <c r="AI513" s="194"/>
      <c r="AJ513" s="194"/>
      <c r="AK513" s="194"/>
      <c r="AL513" s="194"/>
      <c r="AM513" s="194"/>
    </row>
    <row r="514" spans="1:39" ht="15.75" customHeight="1" x14ac:dyDescent="0.25">
      <c r="A514" s="194"/>
      <c r="B514" s="194"/>
      <c r="C514" s="194"/>
      <c r="D514" s="194"/>
      <c r="E514" s="194"/>
      <c r="F514" s="194"/>
      <c r="G514" s="194"/>
      <c r="H514" s="194"/>
      <c r="I514" s="194"/>
      <c r="J514" s="194"/>
      <c r="K514" s="194"/>
      <c r="L514" s="194"/>
      <c r="M514" s="194"/>
      <c r="N514" s="194"/>
      <c r="O514" s="194"/>
      <c r="P514" s="194"/>
      <c r="Q514" s="194"/>
      <c r="R514" s="194"/>
      <c r="S514" s="194"/>
      <c r="T514" s="194"/>
      <c r="U514" s="194"/>
      <c r="V514" s="194"/>
      <c r="W514" s="194"/>
      <c r="X514" s="194"/>
      <c r="Y514" s="194"/>
      <c r="Z514" s="194"/>
      <c r="AA514" s="194"/>
      <c r="AB514" s="194"/>
      <c r="AC514" s="194"/>
      <c r="AD514" s="194"/>
      <c r="AE514" s="194"/>
      <c r="AF514" s="194"/>
      <c r="AG514" s="194"/>
      <c r="AH514" s="194"/>
      <c r="AI514" s="194"/>
      <c r="AJ514" s="194"/>
      <c r="AK514" s="194"/>
      <c r="AL514" s="194"/>
      <c r="AM514" s="194"/>
    </row>
    <row r="515" spans="1:39" ht="15.75" customHeight="1" x14ac:dyDescent="0.25">
      <c r="A515" s="194"/>
      <c r="B515" s="194"/>
      <c r="C515" s="194"/>
      <c r="D515" s="194"/>
      <c r="E515" s="194"/>
      <c r="F515" s="194"/>
      <c r="G515" s="194"/>
      <c r="H515" s="194"/>
      <c r="I515" s="194"/>
      <c r="J515" s="194"/>
      <c r="K515" s="194"/>
      <c r="L515" s="194"/>
      <c r="M515" s="194"/>
      <c r="N515" s="194"/>
      <c r="O515" s="194"/>
      <c r="P515" s="194"/>
      <c r="Q515" s="194"/>
      <c r="R515" s="194"/>
      <c r="S515" s="194"/>
      <c r="T515" s="194"/>
      <c r="U515" s="194"/>
      <c r="V515" s="194"/>
      <c r="W515" s="194"/>
      <c r="X515" s="194"/>
      <c r="Y515" s="194"/>
      <c r="Z515" s="194"/>
      <c r="AA515" s="194"/>
      <c r="AB515" s="194"/>
      <c r="AC515" s="194"/>
      <c r="AD515" s="194"/>
      <c r="AE515" s="194"/>
      <c r="AF515" s="194"/>
      <c r="AG515" s="194"/>
      <c r="AH515" s="194"/>
      <c r="AI515" s="194"/>
      <c r="AJ515" s="194"/>
      <c r="AK515" s="194"/>
      <c r="AL515" s="194"/>
      <c r="AM515" s="194"/>
    </row>
    <row r="516" spans="1:39" ht="15.75" customHeight="1" x14ac:dyDescent="0.25">
      <c r="A516" s="194"/>
      <c r="B516" s="194"/>
      <c r="C516" s="194"/>
      <c r="D516" s="194"/>
      <c r="E516" s="194"/>
      <c r="F516" s="194"/>
      <c r="G516" s="194"/>
      <c r="H516" s="194"/>
      <c r="I516" s="194"/>
      <c r="J516" s="194"/>
      <c r="K516" s="194"/>
      <c r="L516" s="194"/>
      <c r="M516" s="194"/>
      <c r="N516" s="194"/>
      <c r="O516" s="194"/>
      <c r="P516" s="194"/>
      <c r="Q516" s="194"/>
      <c r="R516" s="194"/>
      <c r="S516" s="194"/>
      <c r="T516" s="194"/>
      <c r="U516" s="194"/>
      <c r="V516" s="194"/>
      <c r="W516" s="194"/>
      <c r="X516" s="194"/>
      <c r="Y516" s="194"/>
      <c r="Z516" s="194"/>
      <c r="AA516" s="194"/>
      <c r="AB516" s="194"/>
      <c r="AC516" s="194"/>
      <c r="AD516" s="194"/>
      <c r="AE516" s="194"/>
      <c r="AF516" s="194"/>
      <c r="AG516" s="194"/>
      <c r="AH516" s="194"/>
      <c r="AI516" s="194"/>
      <c r="AJ516" s="194"/>
      <c r="AK516" s="194"/>
      <c r="AL516" s="194"/>
      <c r="AM516" s="194"/>
    </row>
    <row r="517" spans="1:39" ht="15.75" customHeight="1" x14ac:dyDescent="0.25">
      <c r="A517" s="194"/>
      <c r="B517" s="194"/>
      <c r="C517" s="194"/>
      <c r="D517" s="194"/>
      <c r="E517" s="194"/>
      <c r="F517" s="194"/>
      <c r="G517" s="194"/>
      <c r="H517" s="194"/>
      <c r="I517" s="194"/>
      <c r="J517" s="194"/>
      <c r="K517" s="194"/>
      <c r="L517" s="194"/>
      <c r="M517" s="194"/>
      <c r="N517" s="194"/>
      <c r="O517" s="194"/>
      <c r="P517" s="194"/>
      <c r="Q517" s="194"/>
      <c r="R517" s="194"/>
      <c r="S517" s="194"/>
      <c r="T517" s="194"/>
      <c r="U517" s="194"/>
      <c r="V517" s="194"/>
      <c r="W517" s="194"/>
      <c r="X517" s="194"/>
      <c r="Y517" s="194"/>
      <c r="Z517" s="194"/>
      <c r="AA517" s="194"/>
      <c r="AB517" s="194"/>
      <c r="AC517" s="194"/>
      <c r="AD517" s="194"/>
      <c r="AE517" s="194"/>
      <c r="AF517" s="194"/>
      <c r="AG517" s="194"/>
      <c r="AH517" s="194"/>
      <c r="AI517" s="194"/>
      <c r="AJ517" s="194"/>
      <c r="AK517" s="194"/>
      <c r="AL517" s="194"/>
      <c r="AM517" s="194"/>
    </row>
    <row r="518" spans="1:39" ht="15.75" customHeight="1" x14ac:dyDescent="0.25">
      <c r="A518" s="194"/>
      <c r="B518" s="194"/>
      <c r="C518" s="194"/>
      <c r="D518" s="194"/>
      <c r="E518" s="194"/>
      <c r="F518" s="194"/>
      <c r="G518" s="194"/>
      <c r="H518" s="194"/>
      <c r="I518" s="194"/>
      <c r="J518" s="194"/>
      <c r="K518" s="194"/>
      <c r="L518" s="194"/>
      <c r="M518" s="194"/>
      <c r="N518" s="194"/>
      <c r="O518" s="194"/>
      <c r="P518" s="194"/>
      <c r="Q518" s="194"/>
      <c r="R518" s="194"/>
      <c r="S518" s="194"/>
      <c r="T518" s="194"/>
      <c r="U518" s="194"/>
      <c r="V518" s="194"/>
      <c r="W518" s="194"/>
      <c r="X518" s="194"/>
      <c r="Y518" s="194"/>
      <c r="Z518" s="194"/>
      <c r="AA518" s="194"/>
      <c r="AB518" s="194"/>
      <c r="AC518" s="194"/>
      <c r="AD518" s="194"/>
      <c r="AE518" s="194"/>
      <c r="AF518" s="194"/>
      <c r="AG518" s="194"/>
      <c r="AH518" s="194"/>
      <c r="AI518" s="194"/>
      <c r="AJ518" s="194"/>
      <c r="AK518" s="194"/>
      <c r="AL518" s="194"/>
      <c r="AM518" s="194"/>
    </row>
    <row r="519" spans="1:39" ht="15.75" customHeight="1" x14ac:dyDescent="0.25">
      <c r="A519" s="194"/>
      <c r="B519" s="194"/>
      <c r="C519" s="194"/>
      <c r="D519" s="194"/>
      <c r="E519" s="194"/>
      <c r="F519" s="194"/>
      <c r="G519" s="194"/>
      <c r="H519" s="194"/>
      <c r="I519" s="194"/>
      <c r="J519" s="194"/>
      <c r="K519" s="194"/>
      <c r="L519" s="194"/>
      <c r="M519" s="194"/>
      <c r="N519" s="194"/>
      <c r="O519" s="194"/>
      <c r="P519" s="194"/>
      <c r="Q519" s="194"/>
      <c r="R519" s="194"/>
      <c r="S519" s="194"/>
      <c r="T519" s="194"/>
      <c r="U519" s="194"/>
      <c r="V519" s="194"/>
      <c r="W519" s="194"/>
      <c r="X519" s="194"/>
      <c r="Y519" s="194"/>
      <c r="Z519" s="194"/>
      <c r="AA519" s="194"/>
      <c r="AB519" s="194"/>
      <c r="AC519" s="194"/>
      <c r="AD519" s="194"/>
      <c r="AE519" s="194"/>
      <c r="AF519" s="194"/>
      <c r="AG519" s="194"/>
      <c r="AH519" s="194"/>
      <c r="AI519" s="194"/>
      <c r="AJ519" s="194"/>
      <c r="AK519" s="194"/>
      <c r="AL519" s="194"/>
      <c r="AM519" s="194"/>
    </row>
    <row r="520" spans="1:39" ht="15.75" customHeight="1" x14ac:dyDescent="0.25">
      <c r="A520" s="194"/>
      <c r="B520" s="194"/>
      <c r="C520" s="194"/>
      <c r="D520" s="194"/>
      <c r="E520" s="194"/>
      <c r="F520" s="194"/>
      <c r="G520" s="194"/>
      <c r="H520" s="194"/>
      <c r="I520" s="194"/>
      <c r="J520" s="194"/>
      <c r="K520" s="194"/>
      <c r="L520" s="194"/>
      <c r="M520" s="194"/>
      <c r="N520" s="194"/>
      <c r="O520" s="194"/>
      <c r="P520" s="194"/>
      <c r="Q520" s="194"/>
      <c r="R520" s="194"/>
      <c r="S520" s="194"/>
      <c r="T520" s="194"/>
      <c r="U520" s="194"/>
      <c r="V520" s="194"/>
      <c r="W520" s="194"/>
      <c r="X520" s="194"/>
      <c r="Y520" s="194"/>
      <c r="Z520" s="194"/>
      <c r="AA520" s="194"/>
      <c r="AB520" s="194"/>
      <c r="AC520" s="194"/>
      <c r="AD520" s="194"/>
      <c r="AE520" s="194"/>
      <c r="AF520" s="194"/>
      <c r="AG520" s="194"/>
      <c r="AH520" s="194"/>
      <c r="AI520" s="194"/>
      <c r="AJ520" s="194"/>
      <c r="AK520" s="194"/>
      <c r="AL520" s="194"/>
      <c r="AM520" s="194"/>
    </row>
    <row r="521" spans="1:39" ht="15.75" customHeight="1" x14ac:dyDescent="0.25">
      <c r="A521" s="194"/>
      <c r="B521" s="194"/>
      <c r="C521" s="194"/>
      <c r="D521" s="194"/>
      <c r="E521" s="194"/>
      <c r="F521" s="194"/>
      <c r="G521" s="194"/>
      <c r="H521" s="194"/>
      <c r="I521" s="194"/>
      <c r="J521" s="194"/>
      <c r="K521" s="194"/>
      <c r="L521" s="194"/>
      <c r="M521" s="194"/>
      <c r="N521" s="194"/>
      <c r="O521" s="194"/>
      <c r="P521" s="194"/>
      <c r="Q521" s="194"/>
      <c r="R521" s="194"/>
      <c r="S521" s="194"/>
      <c r="T521" s="194"/>
      <c r="U521" s="194"/>
      <c r="V521" s="194"/>
      <c r="W521" s="194"/>
      <c r="X521" s="194"/>
      <c r="Y521" s="194"/>
      <c r="Z521" s="194"/>
      <c r="AA521" s="194"/>
      <c r="AB521" s="194"/>
      <c r="AC521" s="194"/>
      <c r="AD521" s="194"/>
      <c r="AE521" s="194"/>
      <c r="AF521" s="194"/>
      <c r="AG521" s="194"/>
      <c r="AH521" s="194"/>
      <c r="AI521" s="194"/>
      <c r="AJ521" s="194"/>
      <c r="AK521" s="194"/>
      <c r="AL521" s="194"/>
      <c r="AM521" s="194"/>
    </row>
    <row r="522" spans="1:39" ht="15.75" customHeight="1" x14ac:dyDescent="0.25">
      <c r="A522" s="194"/>
      <c r="B522" s="194"/>
      <c r="C522" s="194"/>
      <c r="D522" s="194"/>
      <c r="E522" s="194"/>
      <c r="F522" s="194"/>
      <c r="G522" s="194"/>
      <c r="H522" s="194"/>
      <c r="I522" s="194"/>
      <c r="J522" s="194"/>
      <c r="K522" s="194"/>
      <c r="L522" s="194"/>
      <c r="M522" s="194"/>
      <c r="N522" s="194"/>
      <c r="O522" s="194"/>
      <c r="P522" s="194"/>
      <c r="Q522" s="194"/>
      <c r="R522" s="194"/>
      <c r="S522" s="194"/>
      <c r="T522" s="194"/>
      <c r="U522" s="194"/>
      <c r="V522" s="194"/>
      <c r="W522" s="194"/>
      <c r="X522" s="194"/>
      <c r="Y522" s="194"/>
      <c r="Z522" s="194"/>
      <c r="AA522" s="194"/>
      <c r="AB522" s="194"/>
      <c r="AC522" s="194"/>
      <c r="AD522" s="194"/>
      <c r="AE522" s="194"/>
      <c r="AF522" s="194"/>
      <c r="AG522" s="194"/>
      <c r="AH522" s="194"/>
      <c r="AI522" s="194"/>
      <c r="AJ522" s="194"/>
      <c r="AK522" s="194"/>
      <c r="AL522" s="194"/>
      <c r="AM522" s="194"/>
    </row>
    <row r="523" spans="1:39" ht="15.75" customHeight="1" x14ac:dyDescent="0.25">
      <c r="A523" s="194"/>
      <c r="B523" s="194"/>
      <c r="C523" s="194"/>
      <c r="D523" s="194"/>
      <c r="E523" s="194"/>
      <c r="F523" s="194"/>
      <c r="G523" s="194"/>
      <c r="H523" s="194"/>
      <c r="I523" s="194"/>
      <c r="J523" s="194"/>
      <c r="K523" s="194"/>
      <c r="L523" s="194"/>
      <c r="M523" s="194"/>
      <c r="N523" s="194"/>
      <c r="O523" s="194"/>
      <c r="P523" s="194"/>
      <c r="Q523" s="194"/>
      <c r="R523" s="194"/>
      <c r="S523" s="194"/>
      <c r="T523" s="194"/>
      <c r="U523" s="194"/>
      <c r="V523" s="194"/>
      <c r="W523" s="194"/>
      <c r="X523" s="194"/>
      <c r="Y523" s="194"/>
      <c r="Z523" s="194"/>
      <c r="AA523" s="194"/>
      <c r="AB523" s="194"/>
      <c r="AC523" s="194"/>
      <c r="AD523" s="194"/>
      <c r="AE523" s="194"/>
      <c r="AF523" s="194"/>
      <c r="AG523" s="194"/>
      <c r="AH523" s="194"/>
      <c r="AI523" s="194"/>
      <c r="AJ523" s="194"/>
      <c r="AK523" s="194"/>
      <c r="AL523" s="194"/>
      <c r="AM523" s="194"/>
    </row>
    <row r="524" spans="1:39" ht="15.75" customHeight="1" x14ac:dyDescent="0.25">
      <c r="A524" s="194"/>
      <c r="B524" s="194"/>
      <c r="C524" s="194"/>
      <c r="D524" s="194"/>
      <c r="E524" s="194"/>
      <c r="F524" s="194"/>
      <c r="G524" s="194"/>
      <c r="H524" s="194"/>
      <c r="I524" s="194"/>
      <c r="J524" s="194"/>
      <c r="K524" s="194"/>
      <c r="L524" s="194"/>
      <c r="M524" s="194"/>
      <c r="N524" s="194"/>
      <c r="O524" s="194"/>
      <c r="P524" s="194"/>
      <c r="Q524" s="194"/>
      <c r="R524" s="194"/>
      <c r="S524" s="194"/>
      <c r="T524" s="194"/>
      <c r="U524" s="194"/>
      <c r="V524" s="194"/>
      <c r="W524" s="194"/>
      <c r="X524" s="194"/>
      <c r="Y524" s="194"/>
      <c r="Z524" s="194"/>
      <c r="AA524" s="194"/>
      <c r="AB524" s="194"/>
      <c r="AC524" s="194"/>
      <c r="AD524" s="194"/>
      <c r="AE524" s="194"/>
      <c r="AF524" s="194"/>
      <c r="AG524" s="194"/>
      <c r="AH524" s="194"/>
      <c r="AI524" s="194"/>
      <c r="AJ524" s="194"/>
      <c r="AK524" s="194"/>
      <c r="AL524" s="194"/>
      <c r="AM524" s="194"/>
    </row>
    <row r="525" spans="1:39" ht="15.75" customHeight="1" x14ac:dyDescent="0.25">
      <c r="A525" s="194"/>
      <c r="B525" s="194"/>
      <c r="C525" s="194"/>
      <c r="D525" s="194"/>
      <c r="E525" s="194"/>
      <c r="F525" s="194"/>
      <c r="G525" s="194"/>
      <c r="H525" s="194"/>
      <c r="I525" s="194"/>
      <c r="J525" s="194"/>
      <c r="K525" s="194"/>
      <c r="L525" s="194"/>
      <c r="M525" s="194"/>
      <c r="N525" s="194"/>
      <c r="O525" s="194"/>
      <c r="P525" s="194"/>
      <c r="Q525" s="194"/>
      <c r="R525" s="194"/>
      <c r="S525" s="194"/>
      <c r="T525" s="194"/>
      <c r="U525" s="194"/>
      <c r="V525" s="194"/>
      <c r="W525" s="194"/>
      <c r="X525" s="194"/>
      <c r="Y525" s="194"/>
      <c r="Z525" s="194"/>
      <c r="AA525" s="194"/>
      <c r="AB525" s="194"/>
      <c r="AC525" s="194"/>
      <c r="AD525" s="194"/>
      <c r="AE525" s="194"/>
      <c r="AF525" s="194"/>
      <c r="AG525" s="194"/>
      <c r="AH525" s="194"/>
      <c r="AI525" s="194"/>
      <c r="AJ525" s="194"/>
      <c r="AK525" s="194"/>
      <c r="AL525" s="194"/>
      <c r="AM525" s="194"/>
    </row>
    <row r="526" spans="1:39" ht="15.75" customHeight="1" x14ac:dyDescent="0.25">
      <c r="A526" s="194"/>
      <c r="B526" s="194"/>
      <c r="C526" s="194"/>
      <c r="D526" s="194"/>
      <c r="E526" s="194"/>
      <c r="F526" s="194"/>
      <c r="G526" s="194"/>
      <c r="H526" s="194"/>
      <c r="I526" s="194"/>
      <c r="J526" s="194"/>
      <c r="K526" s="194"/>
      <c r="L526" s="194"/>
      <c r="M526" s="194"/>
      <c r="N526" s="194"/>
      <c r="O526" s="194"/>
      <c r="P526" s="194"/>
      <c r="Q526" s="194"/>
      <c r="R526" s="194"/>
      <c r="S526" s="194"/>
      <c r="T526" s="194"/>
      <c r="U526" s="194"/>
      <c r="V526" s="194"/>
      <c r="W526" s="194"/>
      <c r="X526" s="194"/>
      <c r="Y526" s="194"/>
      <c r="Z526" s="194"/>
      <c r="AA526" s="194"/>
      <c r="AB526" s="194"/>
      <c r="AC526" s="194"/>
      <c r="AD526" s="194"/>
      <c r="AE526" s="194"/>
      <c r="AF526" s="194"/>
      <c r="AG526" s="194"/>
      <c r="AH526" s="194"/>
      <c r="AI526" s="194"/>
      <c r="AJ526" s="194"/>
      <c r="AK526" s="194"/>
      <c r="AL526" s="194"/>
      <c r="AM526" s="194"/>
    </row>
    <row r="527" spans="1:39" ht="15.75" customHeight="1" x14ac:dyDescent="0.25">
      <c r="A527" s="194"/>
      <c r="B527" s="194"/>
      <c r="C527" s="194"/>
      <c r="D527" s="194"/>
      <c r="E527" s="194"/>
      <c r="F527" s="194"/>
      <c r="G527" s="194"/>
      <c r="H527" s="194"/>
      <c r="I527" s="194"/>
      <c r="J527" s="194"/>
      <c r="K527" s="194"/>
      <c r="L527" s="194"/>
      <c r="M527" s="194"/>
      <c r="N527" s="194"/>
      <c r="O527" s="194"/>
      <c r="P527" s="194"/>
      <c r="Q527" s="194"/>
      <c r="R527" s="194"/>
      <c r="S527" s="194"/>
      <c r="T527" s="194"/>
      <c r="U527" s="194"/>
      <c r="V527" s="194"/>
      <c r="W527" s="194"/>
      <c r="X527" s="194"/>
      <c r="Y527" s="194"/>
      <c r="Z527" s="194"/>
      <c r="AA527" s="194"/>
      <c r="AB527" s="194"/>
      <c r="AC527" s="194"/>
      <c r="AD527" s="194"/>
      <c r="AE527" s="194"/>
      <c r="AF527" s="194"/>
      <c r="AG527" s="194"/>
      <c r="AH527" s="194"/>
      <c r="AI527" s="194"/>
      <c r="AJ527" s="194"/>
      <c r="AK527" s="194"/>
      <c r="AL527" s="194"/>
      <c r="AM527" s="194"/>
    </row>
    <row r="528" spans="1:39" ht="15.75" customHeight="1" x14ac:dyDescent="0.25">
      <c r="A528" s="194"/>
      <c r="B528" s="194"/>
      <c r="C528" s="194"/>
      <c r="D528" s="194"/>
      <c r="E528" s="194"/>
      <c r="F528" s="194"/>
      <c r="G528" s="194"/>
      <c r="H528" s="194"/>
      <c r="I528" s="194"/>
      <c r="J528" s="194"/>
      <c r="K528" s="194"/>
      <c r="L528" s="194"/>
      <c r="M528" s="194"/>
      <c r="N528" s="194"/>
      <c r="O528" s="194"/>
      <c r="P528" s="194"/>
      <c r="Q528" s="194"/>
      <c r="R528" s="194"/>
      <c r="S528" s="194"/>
      <c r="T528" s="194"/>
      <c r="U528" s="194"/>
      <c r="V528" s="194"/>
      <c r="W528" s="194"/>
      <c r="X528" s="194"/>
      <c r="Y528" s="194"/>
      <c r="Z528" s="194"/>
      <c r="AA528" s="194"/>
      <c r="AB528" s="194"/>
      <c r="AC528" s="194"/>
      <c r="AD528" s="194"/>
      <c r="AE528" s="194"/>
      <c r="AF528" s="194"/>
      <c r="AG528" s="194"/>
      <c r="AH528" s="194"/>
      <c r="AI528" s="194"/>
      <c r="AJ528" s="194"/>
      <c r="AK528" s="194"/>
      <c r="AL528" s="194"/>
      <c r="AM528" s="194"/>
    </row>
    <row r="529" spans="1:39" ht="15.75" customHeight="1" x14ac:dyDescent="0.25">
      <c r="A529" s="194"/>
      <c r="B529" s="194"/>
      <c r="C529" s="194"/>
      <c r="D529" s="194"/>
      <c r="E529" s="194"/>
      <c r="F529" s="194"/>
      <c r="G529" s="194"/>
      <c r="H529" s="194"/>
      <c r="I529" s="194"/>
      <c r="J529" s="194"/>
      <c r="K529" s="194"/>
      <c r="L529" s="194"/>
      <c r="M529" s="194"/>
      <c r="N529" s="194"/>
      <c r="O529" s="194"/>
      <c r="P529" s="194"/>
      <c r="Q529" s="194"/>
      <c r="R529" s="194"/>
      <c r="S529" s="194"/>
      <c r="T529" s="194"/>
      <c r="U529" s="194"/>
      <c r="V529" s="194"/>
      <c r="W529" s="194"/>
      <c r="X529" s="194"/>
      <c r="Y529" s="194"/>
      <c r="Z529" s="194"/>
      <c r="AA529" s="194"/>
      <c r="AB529" s="194"/>
      <c r="AC529" s="194"/>
      <c r="AD529" s="194"/>
      <c r="AE529" s="194"/>
      <c r="AF529" s="194"/>
      <c r="AG529" s="194"/>
      <c r="AH529" s="194"/>
      <c r="AI529" s="194"/>
      <c r="AJ529" s="194"/>
      <c r="AK529" s="194"/>
      <c r="AL529" s="194"/>
      <c r="AM529" s="194"/>
    </row>
    <row r="530" spans="1:39" ht="15.75" customHeight="1" x14ac:dyDescent="0.25">
      <c r="A530" s="194"/>
      <c r="B530" s="194"/>
      <c r="C530" s="194"/>
      <c r="D530" s="194"/>
      <c r="E530" s="194"/>
      <c r="F530" s="194"/>
      <c r="G530" s="194"/>
      <c r="H530" s="194"/>
      <c r="I530" s="194"/>
      <c r="J530" s="194"/>
      <c r="K530" s="194"/>
      <c r="L530" s="194"/>
      <c r="M530" s="194"/>
      <c r="N530" s="194"/>
      <c r="O530" s="194"/>
      <c r="P530" s="194"/>
      <c r="Q530" s="194"/>
      <c r="R530" s="194"/>
      <c r="S530" s="194"/>
      <c r="T530" s="194"/>
      <c r="U530" s="194"/>
      <c r="V530" s="194"/>
      <c r="W530" s="194"/>
      <c r="X530" s="194"/>
      <c r="Y530" s="194"/>
      <c r="Z530" s="194"/>
      <c r="AA530" s="194"/>
      <c r="AB530" s="194"/>
      <c r="AC530" s="194"/>
      <c r="AD530" s="194"/>
      <c r="AE530" s="194"/>
      <c r="AF530" s="194"/>
      <c r="AG530" s="194"/>
      <c r="AH530" s="194"/>
      <c r="AI530" s="194"/>
      <c r="AJ530" s="194"/>
      <c r="AK530" s="194"/>
      <c r="AL530" s="194"/>
      <c r="AM530" s="194"/>
    </row>
    <row r="531" spans="1:39" ht="15.75" customHeight="1" x14ac:dyDescent="0.25">
      <c r="A531" s="194"/>
      <c r="B531" s="194"/>
      <c r="C531" s="194"/>
      <c r="D531" s="194"/>
      <c r="E531" s="194"/>
      <c r="F531" s="194"/>
      <c r="G531" s="194"/>
      <c r="H531" s="194"/>
      <c r="I531" s="194"/>
      <c r="J531" s="194"/>
      <c r="K531" s="194"/>
      <c r="L531" s="194"/>
      <c r="M531" s="194"/>
      <c r="N531" s="194"/>
      <c r="O531" s="194"/>
      <c r="P531" s="194"/>
      <c r="Q531" s="194"/>
      <c r="R531" s="194"/>
      <c r="S531" s="194"/>
      <c r="T531" s="194"/>
      <c r="U531" s="194"/>
      <c r="V531" s="194"/>
      <c r="W531" s="194"/>
      <c r="X531" s="194"/>
      <c r="Y531" s="194"/>
      <c r="Z531" s="194"/>
      <c r="AA531" s="194"/>
      <c r="AB531" s="194"/>
      <c r="AC531" s="194"/>
      <c r="AD531" s="194"/>
      <c r="AE531" s="194"/>
      <c r="AF531" s="194"/>
      <c r="AG531" s="194"/>
      <c r="AH531" s="194"/>
      <c r="AI531" s="194"/>
      <c r="AJ531" s="194"/>
      <c r="AK531" s="194"/>
      <c r="AL531" s="194"/>
      <c r="AM531" s="194"/>
    </row>
    <row r="532" spans="1:39" ht="15.75" customHeight="1" x14ac:dyDescent="0.25">
      <c r="A532" s="194"/>
      <c r="B532" s="194"/>
      <c r="C532" s="194"/>
      <c r="D532" s="194"/>
      <c r="E532" s="194"/>
      <c r="F532" s="194"/>
      <c r="G532" s="194"/>
      <c r="H532" s="194"/>
      <c r="I532" s="194"/>
      <c r="J532" s="194"/>
      <c r="K532" s="194"/>
      <c r="L532" s="194"/>
      <c r="M532" s="194"/>
      <c r="N532" s="194"/>
      <c r="O532" s="194"/>
      <c r="P532" s="194"/>
      <c r="Q532" s="194"/>
      <c r="R532" s="194"/>
      <c r="S532" s="194"/>
      <c r="T532" s="194"/>
      <c r="U532" s="194"/>
      <c r="V532" s="194"/>
      <c r="W532" s="194"/>
      <c r="X532" s="194"/>
      <c r="Y532" s="194"/>
      <c r="Z532" s="194"/>
      <c r="AA532" s="194"/>
      <c r="AB532" s="194"/>
      <c r="AC532" s="194"/>
      <c r="AD532" s="194"/>
      <c r="AE532" s="194"/>
      <c r="AF532" s="194"/>
      <c r="AG532" s="194"/>
      <c r="AH532" s="194"/>
      <c r="AI532" s="194"/>
      <c r="AJ532" s="194"/>
      <c r="AK532" s="194"/>
      <c r="AL532" s="194"/>
      <c r="AM532" s="194"/>
    </row>
    <row r="533" spans="1:39" ht="15.75" customHeight="1" x14ac:dyDescent="0.25">
      <c r="A533" s="194"/>
      <c r="B533" s="194"/>
      <c r="C533" s="194"/>
      <c r="D533" s="194"/>
      <c r="E533" s="194"/>
      <c r="F533" s="194"/>
      <c r="G533" s="194"/>
      <c r="H533" s="194"/>
      <c r="I533" s="194"/>
      <c r="J533" s="194"/>
      <c r="K533" s="194"/>
      <c r="L533" s="194"/>
      <c r="M533" s="194"/>
      <c r="N533" s="194"/>
      <c r="O533" s="194"/>
      <c r="P533" s="194"/>
      <c r="Q533" s="194"/>
      <c r="R533" s="194"/>
      <c r="S533" s="194"/>
      <c r="T533" s="194"/>
      <c r="U533" s="194"/>
      <c r="V533" s="194"/>
      <c r="W533" s="194"/>
      <c r="X533" s="194"/>
      <c r="Y533" s="194"/>
      <c r="Z533" s="194"/>
      <c r="AA533" s="194"/>
      <c r="AB533" s="194"/>
      <c r="AC533" s="194"/>
      <c r="AD533" s="194"/>
      <c r="AE533" s="194"/>
      <c r="AF533" s="194"/>
      <c r="AG533" s="194"/>
      <c r="AH533" s="194"/>
      <c r="AI533" s="194"/>
      <c r="AJ533" s="194"/>
      <c r="AK533" s="194"/>
      <c r="AL533" s="194"/>
      <c r="AM533" s="194"/>
    </row>
    <row r="534" spans="1:39" ht="15.75" customHeight="1" x14ac:dyDescent="0.25">
      <c r="A534" s="194"/>
      <c r="B534" s="194"/>
      <c r="C534" s="194"/>
      <c r="D534" s="194"/>
      <c r="E534" s="194"/>
      <c r="F534" s="194"/>
      <c r="G534" s="194"/>
      <c r="H534" s="194"/>
      <c r="I534" s="194"/>
      <c r="J534" s="194"/>
      <c r="K534" s="194"/>
      <c r="L534" s="194"/>
      <c r="M534" s="194"/>
      <c r="N534" s="194"/>
      <c r="O534" s="194"/>
      <c r="P534" s="194"/>
      <c r="Q534" s="194"/>
      <c r="R534" s="194"/>
      <c r="S534" s="194"/>
      <c r="T534" s="194"/>
      <c r="U534" s="194"/>
      <c r="V534" s="194"/>
      <c r="W534" s="194"/>
      <c r="X534" s="194"/>
      <c r="Y534" s="194"/>
      <c r="Z534" s="194"/>
      <c r="AA534" s="194"/>
      <c r="AB534" s="194"/>
      <c r="AC534" s="194"/>
      <c r="AD534" s="194"/>
      <c r="AE534" s="194"/>
      <c r="AF534" s="194"/>
      <c r="AG534" s="194"/>
      <c r="AH534" s="194"/>
      <c r="AI534" s="194"/>
      <c r="AJ534" s="194"/>
      <c r="AK534" s="194"/>
      <c r="AL534" s="194"/>
      <c r="AM534" s="194"/>
    </row>
    <row r="535" spans="1:39" ht="15.75" customHeight="1" x14ac:dyDescent="0.25">
      <c r="A535" s="194"/>
      <c r="B535" s="194"/>
      <c r="C535" s="194"/>
      <c r="D535" s="194"/>
      <c r="E535" s="194"/>
      <c r="F535" s="194"/>
      <c r="G535" s="194"/>
      <c r="H535" s="194"/>
      <c r="I535" s="194"/>
      <c r="J535" s="194"/>
      <c r="K535" s="194"/>
      <c r="L535" s="194"/>
      <c r="M535" s="194"/>
      <c r="N535" s="194"/>
      <c r="O535" s="194"/>
      <c r="P535" s="194"/>
      <c r="Q535" s="194"/>
      <c r="R535" s="194"/>
      <c r="S535" s="194"/>
      <c r="T535" s="194"/>
      <c r="U535" s="194"/>
      <c r="V535" s="194"/>
      <c r="W535" s="194"/>
      <c r="X535" s="194"/>
      <c r="Y535" s="194"/>
      <c r="Z535" s="194"/>
      <c r="AA535" s="194"/>
      <c r="AB535" s="194"/>
      <c r="AC535" s="194"/>
      <c r="AD535" s="194"/>
      <c r="AE535" s="194"/>
      <c r="AF535" s="194"/>
      <c r="AG535" s="194"/>
      <c r="AH535" s="194"/>
      <c r="AI535" s="194"/>
      <c r="AJ535" s="194"/>
      <c r="AK535" s="194"/>
      <c r="AL535" s="194"/>
      <c r="AM535" s="194"/>
    </row>
    <row r="536" spans="1:39" ht="15.75" customHeight="1" x14ac:dyDescent="0.25">
      <c r="A536" s="194"/>
      <c r="B536" s="194"/>
      <c r="C536" s="194"/>
      <c r="D536" s="194"/>
      <c r="E536" s="194"/>
      <c r="F536" s="194"/>
      <c r="G536" s="194"/>
      <c r="H536" s="194"/>
      <c r="I536" s="194"/>
      <c r="J536" s="194"/>
      <c r="K536" s="194"/>
      <c r="L536" s="194"/>
      <c r="M536" s="194"/>
      <c r="N536" s="194"/>
      <c r="O536" s="194"/>
      <c r="P536" s="194"/>
      <c r="Q536" s="194"/>
      <c r="R536" s="194"/>
      <c r="S536" s="194"/>
      <c r="T536" s="194"/>
      <c r="U536" s="194"/>
      <c r="V536" s="194"/>
      <c r="W536" s="194"/>
      <c r="X536" s="194"/>
      <c r="Y536" s="194"/>
      <c r="Z536" s="194"/>
      <c r="AA536" s="194"/>
      <c r="AB536" s="194"/>
      <c r="AC536" s="194"/>
      <c r="AD536" s="194"/>
      <c r="AE536" s="194"/>
      <c r="AF536" s="194"/>
      <c r="AG536" s="194"/>
      <c r="AH536" s="194"/>
      <c r="AI536" s="194"/>
      <c r="AJ536" s="194"/>
      <c r="AK536" s="194"/>
      <c r="AL536" s="194"/>
      <c r="AM536" s="194"/>
    </row>
    <row r="537" spans="1:39" ht="15.75" customHeight="1" x14ac:dyDescent="0.25">
      <c r="A537" s="194"/>
      <c r="B537" s="194"/>
      <c r="C537" s="194"/>
      <c r="D537" s="194"/>
      <c r="E537" s="194"/>
      <c r="F537" s="194"/>
      <c r="G537" s="194"/>
      <c r="H537" s="194"/>
      <c r="I537" s="194"/>
      <c r="J537" s="194"/>
      <c r="K537" s="194"/>
      <c r="L537" s="194"/>
      <c r="M537" s="194"/>
      <c r="N537" s="194"/>
      <c r="O537" s="194"/>
      <c r="P537" s="194"/>
      <c r="Q537" s="194"/>
      <c r="R537" s="194"/>
      <c r="S537" s="194"/>
      <c r="T537" s="194"/>
      <c r="U537" s="194"/>
      <c r="V537" s="194"/>
      <c r="W537" s="194"/>
      <c r="X537" s="194"/>
      <c r="Y537" s="194"/>
      <c r="Z537" s="194"/>
      <c r="AA537" s="194"/>
      <c r="AB537" s="194"/>
      <c r="AC537" s="194"/>
      <c r="AD537" s="194"/>
      <c r="AE537" s="194"/>
      <c r="AF537" s="194"/>
      <c r="AG537" s="194"/>
      <c r="AH537" s="194"/>
      <c r="AI537" s="194"/>
      <c r="AJ537" s="194"/>
      <c r="AK537" s="194"/>
      <c r="AL537" s="194"/>
      <c r="AM537" s="194"/>
    </row>
    <row r="538" spans="1:39" ht="15.75" customHeight="1" x14ac:dyDescent="0.25">
      <c r="A538" s="194"/>
      <c r="B538" s="194"/>
      <c r="C538" s="194"/>
      <c r="D538" s="194"/>
      <c r="E538" s="194"/>
      <c r="F538" s="194"/>
      <c r="G538" s="194"/>
      <c r="H538" s="194"/>
      <c r="I538" s="194"/>
      <c r="J538" s="194"/>
      <c r="K538" s="194"/>
      <c r="L538" s="194"/>
      <c r="M538" s="194"/>
      <c r="N538" s="194"/>
      <c r="O538" s="194"/>
      <c r="P538" s="194"/>
      <c r="Q538" s="194"/>
      <c r="R538" s="194"/>
      <c r="S538" s="194"/>
      <c r="T538" s="194"/>
      <c r="U538" s="194"/>
      <c r="V538" s="194"/>
      <c r="W538" s="194"/>
      <c r="X538" s="194"/>
      <c r="Y538" s="194"/>
      <c r="Z538" s="194"/>
      <c r="AA538" s="194"/>
      <c r="AB538" s="194"/>
      <c r="AC538" s="194"/>
      <c r="AD538" s="194"/>
      <c r="AE538" s="194"/>
      <c r="AF538" s="194"/>
      <c r="AG538" s="194"/>
      <c r="AH538" s="194"/>
      <c r="AI538" s="194"/>
      <c r="AJ538" s="194"/>
      <c r="AK538" s="194"/>
      <c r="AL538" s="194"/>
      <c r="AM538" s="194"/>
    </row>
    <row r="539" spans="1:39" ht="15.75" customHeight="1" x14ac:dyDescent="0.25">
      <c r="A539" s="194"/>
      <c r="B539" s="194"/>
      <c r="C539" s="194"/>
      <c r="D539" s="194"/>
      <c r="E539" s="194"/>
      <c r="F539" s="194"/>
      <c r="G539" s="194"/>
      <c r="H539" s="194"/>
      <c r="I539" s="194"/>
      <c r="J539" s="194"/>
      <c r="K539" s="194"/>
      <c r="L539" s="194"/>
      <c r="M539" s="194"/>
      <c r="N539" s="194"/>
      <c r="O539" s="194"/>
      <c r="P539" s="194"/>
      <c r="Q539" s="194"/>
      <c r="R539" s="194"/>
      <c r="S539" s="194"/>
      <c r="T539" s="194"/>
      <c r="U539" s="194"/>
      <c r="V539" s="194"/>
      <c r="W539" s="194"/>
      <c r="X539" s="194"/>
      <c r="Y539" s="194"/>
      <c r="Z539" s="194"/>
      <c r="AA539" s="194"/>
      <c r="AB539" s="194"/>
      <c r="AC539" s="194"/>
      <c r="AD539" s="194"/>
      <c r="AE539" s="194"/>
      <c r="AF539" s="194"/>
      <c r="AG539" s="194"/>
      <c r="AH539" s="194"/>
      <c r="AI539" s="194"/>
      <c r="AJ539" s="194"/>
      <c r="AK539" s="194"/>
      <c r="AL539" s="194"/>
      <c r="AM539" s="194"/>
    </row>
    <row r="540" spans="1:39" ht="15.75" customHeight="1" x14ac:dyDescent="0.25">
      <c r="A540" s="194"/>
      <c r="B540" s="194"/>
      <c r="C540" s="194"/>
      <c r="D540" s="194"/>
      <c r="E540" s="194"/>
      <c r="F540" s="194"/>
      <c r="G540" s="194"/>
      <c r="H540" s="194"/>
      <c r="I540" s="194"/>
      <c r="J540" s="194"/>
      <c r="K540" s="194"/>
      <c r="L540" s="194"/>
      <c r="M540" s="194"/>
      <c r="N540" s="194"/>
      <c r="O540" s="194"/>
      <c r="P540" s="194"/>
      <c r="Q540" s="194"/>
      <c r="R540" s="194"/>
      <c r="S540" s="194"/>
      <c r="T540" s="194"/>
      <c r="U540" s="194"/>
      <c r="V540" s="194"/>
      <c r="W540" s="194"/>
      <c r="X540" s="194"/>
      <c r="Y540" s="194"/>
      <c r="Z540" s="194"/>
      <c r="AA540" s="194"/>
      <c r="AB540" s="194"/>
      <c r="AC540" s="194"/>
      <c r="AD540" s="194"/>
      <c r="AE540" s="194"/>
      <c r="AF540" s="194"/>
      <c r="AG540" s="194"/>
      <c r="AH540" s="194"/>
      <c r="AI540" s="194"/>
      <c r="AJ540" s="194"/>
      <c r="AK540" s="194"/>
      <c r="AL540" s="194"/>
      <c r="AM540" s="194"/>
    </row>
    <row r="541" spans="1:39" ht="15.75" customHeight="1" x14ac:dyDescent="0.25">
      <c r="A541" s="194"/>
      <c r="B541" s="194"/>
      <c r="C541" s="194"/>
      <c r="D541" s="194"/>
      <c r="E541" s="194"/>
      <c r="F541" s="194"/>
      <c r="G541" s="194"/>
      <c r="H541" s="194"/>
      <c r="I541" s="194"/>
      <c r="J541" s="194"/>
      <c r="K541" s="194"/>
      <c r="L541" s="194"/>
      <c r="M541" s="194"/>
      <c r="N541" s="194"/>
      <c r="O541" s="194"/>
      <c r="P541" s="194"/>
      <c r="Q541" s="194"/>
      <c r="R541" s="194"/>
      <c r="S541" s="194"/>
      <c r="T541" s="194"/>
      <c r="U541" s="194"/>
      <c r="V541" s="194"/>
      <c r="W541" s="194"/>
      <c r="X541" s="194"/>
      <c r="Y541" s="194"/>
      <c r="Z541" s="194"/>
      <c r="AA541" s="194"/>
      <c r="AB541" s="194"/>
      <c r="AC541" s="194"/>
      <c r="AD541" s="194"/>
      <c r="AE541" s="194"/>
      <c r="AF541" s="194"/>
      <c r="AG541" s="194"/>
      <c r="AH541" s="194"/>
      <c r="AI541" s="194"/>
      <c r="AJ541" s="194"/>
      <c r="AK541" s="194"/>
      <c r="AL541" s="194"/>
      <c r="AM541" s="194"/>
    </row>
    <row r="542" spans="1:39" ht="15.75" customHeight="1" x14ac:dyDescent="0.25">
      <c r="A542" s="194"/>
      <c r="B542" s="194"/>
      <c r="C542" s="194"/>
      <c r="D542" s="194"/>
      <c r="E542" s="194"/>
      <c r="F542" s="194"/>
      <c r="G542" s="194"/>
      <c r="H542" s="194"/>
      <c r="I542" s="194"/>
      <c r="J542" s="194"/>
      <c r="K542" s="194"/>
      <c r="L542" s="194"/>
      <c r="M542" s="194"/>
      <c r="N542" s="194"/>
      <c r="O542" s="194"/>
      <c r="P542" s="194"/>
      <c r="Q542" s="194"/>
      <c r="R542" s="194"/>
      <c r="S542" s="194"/>
      <c r="T542" s="194"/>
      <c r="U542" s="194"/>
      <c r="V542" s="194"/>
      <c r="W542" s="194"/>
      <c r="X542" s="194"/>
      <c r="Y542" s="194"/>
      <c r="Z542" s="194"/>
      <c r="AA542" s="194"/>
      <c r="AB542" s="194"/>
      <c r="AC542" s="194"/>
      <c r="AD542" s="194"/>
      <c r="AE542" s="194"/>
      <c r="AF542" s="194"/>
      <c r="AG542" s="194"/>
      <c r="AH542" s="194"/>
      <c r="AI542" s="194"/>
      <c r="AJ542" s="194"/>
      <c r="AK542" s="194"/>
      <c r="AL542" s="194"/>
      <c r="AM542" s="194"/>
    </row>
    <row r="543" spans="1:39" ht="15.75" customHeight="1" x14ac:dyDescent="0.25">
      <c r="A543" s="194"/>
      <c r="B543" s="194"/>
      <c r="C543" s="194"/>
      <c r="D543" s="194"/>
      <c r="E543" s="194"/>
      <c r="F543" s="194"/>
      <c r="G543" s="194"/>
      <c r="H543" s="194"/>
      <c r="I543" s="194"/>
      <c r="J543" s="194"/>
      <c r="K543" s="194"/>
      <c r="L543" s="194"/>
      <c r="M543" s="194"/>
      <c r="N543" s="194"/>
      <c r="O543" s="194"/>
      <c r="P543" s="194"/>
      <c r="Q543" s="194"/>
      <c r="R543" s="194"/>
      <c r="S543" s="194"/>
      <c r="T543" s="194"/>
      <c r="U543" s="194"/>
      <c r="V543" s="194"/>
      <c r="W543" s="194"/>
      <c r="X543" s="194"/>
      <c r="Y543" s="194"/>
      <c r="Z543" s="194"/>
      <c r="AA543" s="194"/>
      <c r="AB543" s="194"/>
      <c r="AC543" s="194"/>
      <c r="AD543" s="194"/>
      <c r="AE543" s="194"/>
      <c r="AF543" s="194"/>
      <c r="AG543" s="194"/>
      <c r="AH543" s="194"/>
      <c r="AI543" s="194"/>
      <c r="AJ543" s="194"/>
      <c r="AK543" s="194"/>
      <c r="AL543" s="194"/>
      <c r="AM543" s="194"/>
    </row>
    <row r="544" spans="1:39" ht="15.75" customHeight="1" x14ac:dyDescent="0.25">
      <c r="A544" s="194"/>
      <c r="B544" s="194"/>
      <c r="C544" s="194"/>
      <c r="D544" s="194"/>
      <c r="E544" s="194"/>
      <c r="F544" s="194"/>
      <c r="G544" s="194"/>
      <c r="H544" s="194"/>
      <c r="I544" s="194"/>
      <c r="J544" s="194"/>
      <c r="K544" s="194"/>
      <c r="L544" s="194"/>
      <c r="M544" s="194"/>
      <c r="N544" s="194"/>
      <c r="O544" s="194"/>
      <c r="P544" s="194"/>
      <c r="Q544" s="194"/>
      <c r="R544" s="194"/>
      <c r="S544" s="194"/>
      <c r="T544" s="194"/>
      <c r="U544" s="194"/>
      <c r="V544" s="194"/>
      <c r="W544" s="194"/>
      <c r="X544" s="194"/>
      <c r="Y544" s="194"/>
      <c r="Z544" s="194"/>
      <c r="AA544" s="194"/>
      <c r="AB544" s="194"/>
      <c r="AC544" s="194"/>
      <c r="AD544" s="194"/>
      <c r="AE544" s="194"/>
      <c r="AF544" s="194"/>
      <c r="AG544" s="194"/>
      <c r="AH544" s="194"/>
      <c r="AI544" s="194"/>
      <c r="AJ544" s="194"/>
      <c r="AK544" s="194"/>
      <c r="AL544" s="194"/>
      <c r="AM544" s="194"/>
    </row>
    <row r="545" spans="1:39" ht="15.75" customHeight="1" x14ac:dyDescent="0.25">
      <c r="A545" s="194"/>
      <c r="B545" s="194"/>
      <c r="C545" s="194"/>
      <c r="D545" s="194"/>
      <c r="E545" s="194"/>
      <c r="F545" s="194"/>
      <c r="G545" s="194"/>
      <c r="H545" s="194"/>
      <c r="I545" s="194"/>
      <c r="J545" s="194"/>
      <c r="K545" s="194"/>
      <c r="L545" s="194"/>
      <c r="M545" s="194"/>
      <c r="N545" s="194"/>
      <c r="O545" s="194"/>
      <c r="P545" s="194"/>
      <c r="Q545" s="194"/>
      <c r="R545" s="194"/>
      <c r="S545" s="194"/>
      <c r="T545" s="194"/>
      <c r="U545" s="194"/>
      <c r="V545" s="194"/>
      <c r="W545" s="194"/>
      <c r="X545" s="194"/>
      <c r="Y545" s="194"/>
      <c r="Z545" s="194"/>
      <c r="AA545" s="194"/>
      <c r="AB545" s="194"/>
      <c r="AC545" s="194"/>
      <c r="AD545" s="194"/>
      <c r="AE545" s="194"/>
      <c r="AF545" s="194"/>
      <c r="AG545" s="194"/>
      <c r="AH545" s="194"/>
      <c r="AI545" s="194"/>
      <c r="AJ545" s="194"/>
      <c r="AK545" s="194"/>
      <c r="AL545" s="194"/>
      <c r="AM545" s="194"/>
    </row>
    <row r="546" spans="1:39" ht="15.75" customHeight="1" x14ac:dyDescent="0.25">
      <c r="A546" s="194"/>
      <c r="B546" s="194"/>
      <c r="C546" s="194"/>
      <c r="D546" s="194"/>
      <c r="E546" s="194"/>
      <c r="F546" s="194"/>
      <c r="G546" s="194"/>
      <c r="H546" s="194"/>
      <c r="I546" s="194"/>
      <c r="J546" s="194"/>
      <c r="K546" s="194"/>
      <c r="L546" s="194"/>
      <c r="M546" s="194"/>
      <c r="N546" s="194"/>
      <c r="O546" s="194"/>
      <c r="P546" s="194"/>
      <c r="Q546" s="194"/>
      <c r="R546" s="194"/>
      <c r="S546" s="194"/>
      <c r="T546" s="194"/>
      <c r="U546" s="194"/>
      <c r="V546" s="194"/>
      <c r="W546" s="194"/>
      <c r="X546" s="194"/>
      <c r="Y546" s="194"/>
      <c r="Z546" s="194"/>
      <c r="AA546" s="194"/>
      <c r="AB546" s="194"/>
      <c r="AC546" s="194"/>
      <c r="AD546" s="194"/>
      <c r="AE546" s="194"/>
      <c r="AF546" s="194"/>
      <c r="AG546" s="194"/>
      <c r="AH546" s="194"/>
      <c r="AI546" s="194"/>
      <c r="AJ546" s="194"/>
      <c r="AK546" s="194"/>
      <c r="AL546" s="194"/>
      <c r="AM546" s="194"/>
    </row>
    <row r="547" spans="1:39" ht="15.75" customHeight="1" x14ac:dyDescent="0.25">
      <c r="A547" s="194"/>
      <c r="B547" s="194"/>
      <c r="C547" s="194"/>
      <c r="D547" s="194"/>
      <c r="E547" s="194"/>
      <c r="F547" s="194"/>
      <c r="G547" s="194"/>
      <c r="H547" s="194"/>
      <c r="I547" s="194"/>
      <c r="J547" s="194"/>
      <c r="K547" s="194"/>
      <c r="L547" s="194"/>
      <c r="M547" s="194"/>
      <c r="N547" s="194"/>
      <c r="O547" s="194"/>
      <c r="P547" s="194"/>
      <c r="Q547" s="194"/>
      <c r="R547" s="194"/>
      <c r="S547" s="194"/>
      <c r="T547" s="194"/>
      <c r="U547" s="194"/>
      <c r="V547" s="194"/>
      <c r="W547" s="194"/>
      <c r="X547" s="194"/>
      <c r="Y547" s="194"/>
      <c r="Z547" s="194"/>
      <c r="AA547" s="194"/>
      <c r="AB547" s="194"/>
      <c r="AC547" s="194"/>
      <c r="AD547" s="194"/>
      <c r="AE547" s="194"/>
      <c r="AF547" s="194"/>
      <c r="AG547" s="194"/>
      <c r="AH547" s="194"/>
      <c r="AI547" s="194"/>
      <c r="AJ547" s="194"/>
      <c r="AK547" s="194"/>
      <c r="AL547" s="194"/>
      <c r="AM547" s="194"/>
    </row>
    <row r="548" spans="1:39" ht="15.75" customHeight="1" x14ac:dyDescent="0.25">
      <c r="A548" s="194"/>
      <c r="B548" s="194"/>
      <c r="C548" s="194"/>
      <c r="D548" s="194"/>
      <c r="E548" s="194"/>
      <c r="F548" s="194"/>
      <c r="G548" s="194"/>
      <c r="H548" s="194"/>
      <c r="I548" s="194"/>
      <c r="J548" s="194"/>
      <c r="K548" s="194"/>
      <c r="L548" s="194"/>
      <c r="M548" s="194"/>
      <c r="N548" s="194"/>
      <c r="O548" s="194"/>
      <c r="P548" s="194"/>
      <c r="Q548" s="194"/>
      <c r="R548" s="194"/>
      <c r="S548" s="194"/>
      <c r="T548" s="194"/>
      <c r="U548" s="194"/>
      <c r="V548" s="194"/>
      <c r="W548" s="194"/>
      <c r="X548" s="194"/>
      <c r="Y548" s="194"/>
      <c r="Z548" s="194"/>
      <c r="AA548" s="194"/>
      <c r="AB548" s="194"/>
      <c r="AC548" s="194"/>
      <c r="AD548" s="194"/>
      <c r="AE548" s="194"/>
      <c r="AF548" s="194"/>
      <c r="AG548" s="194"/>
      <c r="AH548" s="194"/>
      <c r="AI548" s="194"/>
      <c r="AJ548" s="194"/>
      <c r="AK548" s="194"/>
      <c r="AL548" s="194"/>
      <c r="AM548" s="194"/>
    </row>
    <row r="549" spans="1:39" ht="15.75" customHeight="1" x14ac:dyDescent="0.25">
      <c r="A549" s="194"/>
      <c r="B549" s="194"/>
      <c r="C549" s="194"/>
      <c r="D549" s="194"/>
      <c r="E549" s="194"/>
      <c r="F549" s="194"/>
      <c r="G549" s="194"/>
      <c r="H549" s="194"/>
      <c r="I549" s="194"/>
      <c r="J549" s="194"/>
      <c r="K549" s="194"/>
      <c r="L549" s="194"/>
      <c r="M549" s="194"/>
      <c r="N549" s="194"/>
      <c r="O549" s="194"/>
      <c r="P549" s="194"/>
      <c r="Q549" s="194"/>
      <c r="R549" s="194"/>
      <c r="S549" s="194"/>
      <c r="T549" s="194"/>
      <c r="U549" s="194"/>
      <c r="V549" s="194"/>
      <c r="W549" s="194"/>
      <c r="X549" s="194"/>
      <c r="Y549" s="194"/>
      <c r="Z549" s="194"/>
      <c r="AA549" s="194"/>
      <c r="AB549" s="194"/>
      <c r="AC549" s="194"/>
      <c r="AD549" s="194"/>
      <c r="AE549" s="194"/>
      <c r="AF549" s="194"/>
      <c r="AG549" s="194"/>
      <c r="AH549" s="194"/>
      <c r="AI549" s="194"/>
      <c r="AJ549" s="194"/>
      <c r="AK549" s="194"/>
      <c r="AL549" s="194"/>
      <c r="AM549" s="194"/>
    </row>
    <row r="550" spans="1:39" ht="15.75" customHeight="1" x14ac:dyDescent="0.25">
      <c r="A550" s="194"/>
      <c r="B550" s="194"/>
      <c r="C550" s="194"/>
      <c r="D550" s="194"/>
      <c r="E550" s="194"/>
      <c r="F550" s="194"/>
      <c r="G550" s="194"/>
      <c r="H550" s="194"/>
      <c r="I550" s="194"/>
      <c r="J550" s="194"/>
      <c r="K550" s="194"/>
      <c r="L550" s="194"/>
      <c r="M550" s="194"/>
      <c r="N550" s="194"/>
      <c r="O550" s="194"/>
      <c r="P550" s="194"/>
      <c r="Q550" s="194"/>
      <c r="R550" s="194"/>
      <c r="S550" s="194"/>
      <c r="T550" s="194"/>
      <c r="U550" s="194"/>
      <c r="V550" s="194"/>
      <c r="W550" s="194"/>
      <c r="X550" s="194"/>
      <c r="Y550" s="194"/>
      <c r="Z550" s="194"/>
      <c r="AA550" s="194"/>
      <c r="AB550" s="194"/>
      <c r="AC550" s="194"/>
      <c r="AD550" s="194"/>
      <c r="AE550" s="194"/>
      <c r="AF550" s="194"/>
      <c r="AG550" s="194"/>
      <c r="AH550" s="194"/>
      <c r="AI550" s="194"/>
      <c r="AJ550" s="194"/>
      <c r="AK550" s="194"/>
      <c r="AL550" s="194"/>
      <c r="AM550" s="194"/>
    </row>
    <row r="551" spans="1:39" ht="15.75" customHeight="1" x14ac:dyDescent="0.25">
      <c r="A551" s="194"/>
      <c r="B551" s="194"/>
      <c r="C551" s="194"/>
      <c r="D551" s="194"/>
      <c r="E551" s="194"/>
      <c r="F551" s="194"/>
      <c r="G551" s="194"/>
      <c r="H551" s="194"/>
      <c r="I551" s="194"/>
      <c r="J551" s="194"/>
      <c r="K551" s="194"/>
      <c r="L551" s="194"/>
      <c r="M551" s="194"/>
      <c r="N551" s="194"/>
      <c r="O551" s="194"/>
      <c r="P551" s="194"/>
      <c r="Q551" s="194"/>
      <c r="R551" s="194"/>
      <c r="S551" s="194"/>
      <c r="T551" s="194"/>
      <c r="U551" s="194"/>
      <c r="V551" s="194"/>
      <c r="W551" s="194"/>
      <c r="X551" s="194"/>
      <c r="Y551" s="194"/>
      <c r="Z551" s="194"/>
      <c r="AA551" s="194"/>
      <c r="AB551" s="194"/>
      <c r="AC551" s="194"/>
      <c r="AD551" s="194"/>
      <c r="AE551" s="194"/>
      <c r="AF551" s="194"/>
      <c r="AG551" s="194"/>
      <c r="AH551" s="194"/>
      <c r="AI551" s="194"/>
      <c r="AJ551" s="194"/>
      <c r="AK551" s="194"/>
      <c r="AL551" s="194"/>
      <c r="AM551" s="194"/>
    </row>
    <row r="552" spans="1:39" ht="15.75" customHeight="1" x14ac:dyDescent="0.25">
      <c r="A552" s="194"/>
      <c r="B552" s="194"/>
      <c r="C552" s="194"/>
      <c r="D552" s="194"/>
      <c r="E552" s="194"/>
      <c r="F552" s="194"/>
      <c r="G552" s="194"/>
      <c r="H552" s="194"/>
      <c r="I552" s="194"/>
      <c r="J552" s="194"/>
      <c r="K552" s="194"/>
      <c r="L552" s="194"/>
      <c r="M552" s="194"/>
      <c r="N552" s="194"/>
      <c r="O552" s="194"/>
      <c r="P552" s="194"/>
      <c r="Q552" s="194"/>
      <c r="R552" s="194"/>
      <c r="S552" s="194"/>
      <c r="T552" s="194"/>
      <c r="U552" s="194"/>
      <c r="V552" s="194"/>
      <c r="W552" s="194"/>
      <c r="X552" s="194"/>
      <c r="Y552" s="194"/>
      <c r="Z552" s="194"/>
      <c r="AA552" s="194"/>
      <c r="AB552" s="194"/>
      <c r="AC552" s="194"/>
      <c r="AD552" s="194"/>
      <c r="AE552" s="194"/>
      <c r="AF552" s="194"/>
      <c r="AG552" s="194"/>
      <c r="AH552" s="194"/>
      <c r="AI552" s="194"/>
      <c r="AJ552" s="194"/>
      <c r="AK552" s="194"/>
      <c r="AL552" s="194"/>
      <c r="AM552" s="194"/>
    </row>
    <row r="553" spans="1:39" ht="15.75" customHeight="1" x14ac:dyDescent="0.25">
      <c r="A553" s="194"/>
      <c r="B553" s="194"/>
      <c r="C553" s="194"/>
      <c r="D553" s="194"/>
      <c r="E553" s="194"/>
      <c r="F553" s="194"/>
      <c r="G553" s="194"/>
      <c r="H553" s="194"/>
      <c r="I553" s="194"/>
      <c r="J553" s="194"/>
      <c r="K553" s="194"/>
      <c r="L553" s="194"/>
      <c r="M553" s="194"/>
      <c r="N553" s="194"/>
      <c r="O553" s="194"/>
      <c r="P553" s="194"/>
      <c r="Q553" s="194"/>
      <c r="R553" s="194"/>
      <c r="S553" s="194"/>
      <c r="T553" s="194"/>
      <c r="U553" s="194"/>
      <c r="V553" s="194"/>
      <c r="W553" s="194"/>
      <c r="X553" s="194"/>
      <c r="Y553" s="194"/>
      <c r="Z553" s="194"/>
      <c r="AA553" s="194"/>
      <c r="AB553" s="194"/>
      <c r="AC553" s="194"/>
      <c r="AD553" s="194"/>
      <c r="AE553" s="194"/>
      <c r="AF553" s="194"/>
      <c r="AG553" s="194"/>
      <c r="AH553" s="194"/>
      <c r="AI553" s="194"/>
      <c r="AJ553" s="194"/>
      <c r="AK553" s="194"/>
      <c r="AL553" s="194"/>
      <c r="AM553" s="194"/>
    </row>
    <row r="554" spans="1:39" ht="15.75" customHeight="1" x14ac:dyDescent="0.25">
      <c r="A554" s="194"/>
      <c r="B554" s="194"/>
      <c r="C554" s="194"/>
      <c r="D554" s="194"/>
      <c r="E554" s="194"/>
      <c r="F554" s="194"/>
      <c r="G554" s="194"/>
      <c r="H554" s="194"/>
      <c r="I554" s="194"/>
      <c r="J554" s="194"/>
      <c r="K554" s="194"/>
      <c r="L554" s="194"/>
      <c r="M554" s="194"/>
      <c r="N554" s="194"/>
      <c r="O554" s="194"/>
      <c r="P554" s="194"/>
      <c r="Q554" s="194"/>
      <c r="R554" s="194"/>
      <c r="S554" s="194"/>
      <c r="T554" s="194"/>
      <c r="U554" s="194"/>
      <c r="V554" s="194"/>
      <c r="W554" s="194"/>
      <c r="X554" s="194"/>
      <c r="Y554" s="194"/>
      <c r="Z554" s="194"/>
      <c r="AA554" s="194"/>
      <c r="AB554" s="194"/>
      <c r="AC554" s="194"/>
      <c r="AD554" s="194"/>
      <c r="AE554" s="194"/>
      <c r="AF554" s="194"/>
      <c r="AG554" s="194"/>
      <c r="AH554" s="194"/>
      <c r="AI554" s="194"/>
      <c r="AJ554" s="194"/>
      <c r="AK554" s="194"/>
      <c r="AL554" s="194"/>
      <c r="AM554" s="194"/>
    </row>
    <row r="555" spans="1:39" ht="15.75" customHeight="1" x14ac:dyDescent="0.25">
      <c r="A555" s="194"/>
      <c r="B555" s="194"/>
      <c r="C555" s="194"/>
      <c r="D555" s="194"/>
      <c r="E555" s="194"/>
      <c r="F555" s="194"/>
      <c r="G555" s="194"/>
      <c r="H555" s="194"/>
      <c r="I555" s="194"/>
      <c r="J555" s="194"/>
      <c r="K555" s="194"/>
      <c r="L555" s="194"/>
      <c r="M555" s="194"/>
      <c r="N555" s="194"/>
      <c r="O555" s="194"/>
      <c r="P555" s="194"/>
      <c r="Q555" s="194"/>
      <c r="R555" s="194"/>
      <c r="S555" s="194"/>
      <c r="T555" s="194"/>
      <c r="U555" s="194"/>
      <c r="V555" s="194"/>
      <c r="W555" s="194"/>
      <c r="X555" s="194"/>
      <c r="Y555" s="194"/>
      <c r="Z555" s="194"/>
      <c r="AA555" s="194"/>
      <c r="AB555" s="194"/>
      <c r="AC555" s="194"/>
      <c r="AD555" s="194"/>
      <c r="AE555" s="194"/>
      <c r="AF555" s="194"/>
      <c r="AG555" s="194"/>
      <c r="AH555" s="194"/>
      <c r="AI555" s="194"/>
      <c r="AJ555" s="194"/>
      <c r="AK555" s="194"/>
      <c r="AL555" s="194"/>
      <c r="AM555" s="194"/>
    </row>
    <row r="556" spans="1:39" ht="15.75" customHeight="1" x14ac:dyDescent="0.25">
      <c r="A556" s="194"/>
      <c r="B556" s="194"/>
      <c r="C556" s="194"/>
      <c r="D556" s="194"/>
      <c r="E556" s="194"/>
      <c r="F556" s="194"/>
      <c r="G556" s="194"/>
      <c r="H556" s="194"/>
      <c r="I556" s="194"/>
      <c r="J556" s="194"/>
      <c r="K556" s="194"/>
      <c r="L556" s="194"/>
      <c r="M556" s="194"/>
      <c r="N556" s="194"/>
      <c r="O556" s="194"/>
      <c r="P556" s="194"/>
      <c r="Q556" s="194"/>
      <c r="R556" s="194"/>
      <c r="S556" s="194"/>
      <c r="T556" s="194"/>
      <c r="U556" s="194"/>
      <c r="V556" s="194"/>
      <c r="W556" s="194"/>
      <c r="X556" s="194"/>
      <c r="Y556" s="194"/>
      <c r="Z556" s="194"/>
      <c r="AA556" s="194"/>
      <c r="AB556" s="194"/>
      <c r="AC556" s="194"/>
      <c r="AD556" s="194"/>
      <c r="AE556" s="194"/>
      <c r="AF556" s="194"/>
      <c r="AG556" s="194"/>
      <c r="AH556" s="194"/>
      <c r="AI556" s="194"/>
      <c r="AJ556" s="194"/>
      <c r="AK556" s="194"/>
      <c r="AL556" s="194"/>
      <c r="AM556" s="194"/>
    </row>
    <row r="557" spans="1:39" ht="15.75" customHeight="1" x14ac:dyDescent="0.25">
      <c r="A557" s="194"/>
      <c r="B557" s="194"/>
      <c r="C557" s="194"/>
      <c r="D557" s="194"/>
      <c r="E557" s="194"/>
      <c r="F557" s="194"/>
      <c r="G557" s="194"/>
      <c r="H557" s="194"/>
      <c r="I557" s="194"/>
      <c r="J557" s="194"/>
      <c r="K557" s="194"/>
      <c r="L557" s="194"/>
      <c r="M557" s="194"/>
      <c r="N557" s="194"/>
      <c r="O557" s="194"/>
      <c r="P557" s="194"/>
      <c r="Q557" s="194"/>
      <c r="R557" s="194"/>
      <c r="S557" s="194"/>
      <c r="T557" s="194"/>
      <c r="U557" s="194"/>
      <c r="V557" s="194"/>
      <c r="W557" s="194"/>
      <c r="X557" s="194"/>
      <c r="Y557" s="194"/>
      <c r="Z557" s="194"/>
      <c r="AA557" s="194"/>
      <c r="AB557" s="194"/>
      <c r="AC557" s="194"/>
      <c r="AD557" s="194"/>
      <c r="AE557" s="194"/>
      <c r="AF557" s="194"/>
      <c r="AG557" s="194"/>
      <c r="AH557" s="194"/>
      <c r="AI557" s="194"/>
      <c r="AJ557" s="194"/>
      <c r="AK557" s="194"/>
      <c r="AL557" s="194"/>
      <c r="AM557" s="194"/>
    </row>
    <row r="558" spans="1:39" ht="15.75" customHeight="1" x14ac:dyDescent="0.25">
      <c r="A558" s="194"/>
      <c r="B558" s="194"/>
      <c r="C558" s="194"/>
      <c r="D558" s="194"/>
      <c r="E558" s="194"/>
      <c r="F558" s="194"/>
      <c r="G558" s="194"/>
      <c r="H558" s="194"/>
      <c r="I558" s="194"/>
      <c r="J558" s="194"/>
      <c r="K558" s="194"/>
      <c r="L558" s="194"/>
      <c r="M558" s="194"/>
      <c r="N558" s="194"/>
      <c r="O558" s="194"/>
      <c r="P558" s="194"/>
      <c r="Q558" s="194"/>
      <c r="R558" s="194"/>
      <c r="S558" s="194"/>
      <c r="T558" s="194"/>
      <c r="U558" s="194"/>
      <c r="V558" s="194"/>
      <c r="W558" s="194"/>
      <c r="X558" s="194"/>
      <c r="Y558" s="194"/>
      <c r="Z558" s="194"/>
      <c r="AA558" s="194"/>
      <c r="AB558" s="194"/>
      <c r="AC558" s="194"/>
      <c r="AD558" s="194"/>
      <c r="AE558" s="194"/>
      <c r="AF558" s="194"/>
      <c r="AG558" s="194"/>
      <c r="AH558" s="194"/>
      <c r="AI558" s="194"/>
      <c r="AJ558" s="194"/>
      <c r="AK558" s="194"/>
      <c r="AL558" s="194"/>
      <c r="AM558" s="194"/>
    </row>
    <row r="559" spans="1:39" ht="15.75" customHeight="1" x14ac:dyDescent="0.25">
      <c r="A559" s="194"/>
      <c r="B559" s="194"/>
      <c r="C559" s="194"/>
      <c r="D559" s="194"/>
      <c r="E559" s="194"/>
      <c r="F559" s="194"/>
      <c r="G559" s="194"/>
      <c r="H559" s="194"/>
      <c r="I559" s="194"/>
      <c r="J559" s="194"/>
      <c r="K559" s="194"/>
      <c r="L559" s="194"/>
      <c r="M559" s="194"/>
      <c r="N559" s="194"/>
      <c r="O559" s="194"/>
      <c r="P559" s="194"/>
      <c r="Q559" s="194"/>
      <c r="R559" s="194"/>
      <c r="S559" s="194"/>
      <c r="T559" s="194"/>
      <c r="U559" s="194"/>
      <c r="V559" s="194"/>
      <c r="W559" s="194"/>
      <c r="X559" s="194"/>
      <c r="Y559" s="194"/>
      <c r="Z559" s="194"/>
      <c r="AA559" s="194"/>
      <c r="AB559" s="194"/>
      <c r="AC559" s="194"/>
      <c r="AD559" s="194"/>
      <c r="AE559" s="194"/>
      <c r="AF559" s="194"/>
      <c r="AG559" s="194"/>
      <c r="AH559" s="194"/>
      <c r="AI559" s="194"/>
      <c r="AJ559" s="194"/>
      <c r="AK559" s="194"/>
      <c r="AL559" s="194"/>
      <c r="AM559" s="194"/>
    </row>
    <row r="560" spans="1:39" ht="15.75" customHeight="1" x14ac:dyDescent="0.25">
      <c r="A560" s="194"/>
      <c r="B560" s="194"/>
      <c r="C560" s="194"/>
      <c r="D560" s="194"/>
      <c r="E560" s="194"/>
      <c r="F560" s="194"/>
      <c r="G560" s="194"/>
      <c r="H560" s="194"/>
      <c r="I560" s="194"/>
      <c r="J560" s="194"/>
      <c r="K560" s="194"/>
      <c r="L560" s="194"/>
      <c r="M560" s="194"/>
      <c r="N560" s="194"/>
      <c r="O560" s="194"/>
      <c r="P560" s="194"/>
      <c r="Q560" s="194"/>
      <c r="R560" s="194"/>
      <c r="S560" s="194"/>
      <c r="T560" s="194"/>
      <c r="U560" s="194"/>
      <c r="V560" s="194"/>
      <c r="W560" s="194"/>
      <c r="X560" s="194"/>
      <c r="Y560" s="194"/>
      <c r="Z560" s="194"/>
      <c r="AA560" s="194"/>
      <c r="AB560" s="194"/>
      <c r="AC560" s="194"/>
      <c r="AD560" s="194"/>
      <c r="AE560" s="194"/>
      <c r="AF560" s="194"/>
      <c r="AG560" s="194"/>
      <c r="AH560" s="194"/>
      <c r="AI560" s="194"/>
      <c r="AJ560" s="194"/>
      <c r="AK560" s="194"/>
      <c r="AL560" s="194"/>
      <c r="AM560" s="194"/>
    </row>
    <row r="561" spans="1:39" ht="15.75" customHeight="1" x14ac:dyDescent="0.25">
      <c r="A561" s="194"/>
      <c r="B561" s="194"/>
      <c r="C561" s="194"/>
      <c r="D561" s="194"/>
      <c r="E561" s="194"/>
      <c r="F561" s="194"/>
      <c r="G561" s="194"/>
      <c r="H561" s="194"/>
      <c r="I561" s="194"/>
      <c r="J561" s="194"/>
      <c r="K561" s="194"/>
      <c r="L561" s="194"/>
      <c r="M561" s="194"/>
      <c r="N561" s="194"/>
      <c r="O561" s="194"/>
      <c r="P561" s="194"/>
      <c r="Q561" s="194"/>
      <c r="R561" s="194"/>
      <c r="S561" s="194"/>
      <c r="T561" s="194"/>
      <c r="U561" s="194"/>
      <c r="V561" s="194"/>
      <c r="W561" s="194"/>
      <c r="X561" s="194"/>
      <c r="Y561" s="194"/>
      <c r="Z561" s="194"/>
      <c r="AA561" s="194"/>
      <c r="AB561" s="194"/>
      <c r="AC561" s="194"/>
      <c r="AD561" s="194"/>
      <c r="AE561" s="194"/>
      <c r="AF561" s="194"/>
      <c r="AG561" s="194"/>
      <c r="AH561" s="194"/>
      <c r="AI561" s="194"/>
      <c r="AJ561" s="194"/>
      <c r="AK561" s="194"/>
      <c r="AL561" s="194"/>
      <c r="AM561" s="194"/>
    </row>
    <row r="562" spans="1:39" ht="15.75" customHeight="1" x14ac:dyDescent="0.25">
      <c r="A562" s="194"/>
      <c r="B562" s="194"/>
      <c r="C562" s="194"/>
      <c r="D562" s="194"/>
      <c r="E562" s="194"/>
      <c r="F562" s="194"/>
      <c r="G562" s="194"/>
      <c r="H562" s="194"/>
      <c r="I562" s="194"/>
      <c r="J562" s="194"/>
      <c r="K562" s="194"/>
      <c r="L562" s="194"/>
      <c r="M562" s="194"/>
      <c r="N562" s="194"/>
      <c r="O562" s="194"/>
      <c r="P562" s="194"/>
      <c r="Q562" s="194"/>
      <c r="R562" s="194"/>
      <c r="S562" s="194"/>
      <c r="T562" s="194"/>
      <c r="U562" s="194"/>
      <c r="V562" s="194"/>
      <c r="W562" s="194"/>
      <c r="X562" s="194"/>
      <c r="Y562" s="194"/>
      <c r="Z562" s="194"/>
      <c r="AA562" s="194"/>
      <c r="AB562" s="194"/>
      <c r="AC562" s="194"/>
      <c r="AD562" s="194"/>
      <c r="AE562" s="194"/>
      <c r="AF562" s="194"/>
      <c r="AG562" s="194"/>
      <c r="AH562" s="194"/>
      <c r="AI562" s="194"/>
      <c r="AJ562" s="194"/>
      <c r="AK562" s="194"/>
      <c r="AL562" s="194"/>
      <c r="AM562" s="194"/>
    </row>
    <row r="563" spans="1:39" ht="15.75" customHeight="1" x14ac:dyDescent="0.25">
      <c r="A563" s="194"/>
      <c r="B563" s="194"/>
      <c r="C563" s="194"/>
      <c r="D563" s="194"/>
      <c r="E563" s="194"/>
      <c r="F563" s="194"/>
      <c r="G563" s="194"/>
      <c r="H563" s="194"/>
      <c r="I563" s="194"/>
      <c r="J563" s="194"/>
      <c r="K563" s="194"/>
      <c r="L563" s="194"/>
      <c r="M563" s="194"/>
      <c r="N563" s="194"/>
      <c r="O563" s="194"/>
      <c r="P563" s="194"/>
      <c r="Q563" s="194"/>
      <c r="R563" s="194"/>
      <c r="S563" s="194"/>
      <c r="T563" s="194"/>
      <c r="U563" s="194"/>
      <c r="V563" s="194"/>
      <c r="W563" s="194"/>
      <c r="X563" s="194"/>
      <c r="Y563" s="194"/>
      <c r="Z563" s="194"/>
      <c r="AA563" s="194"/>
      <c r="AB563" s="194"/>
      <c r="AC563" s="194"/>
      <c r="AD563" s="194"/>
      <c r="AE563" s="194"/>
      <c r="AF563" s="194"/>
      <c r="AG563" s="194"/>
      <c r="AH563" s="194"/>
      <c r="AI563" s="194"/>
      <c r="AJ563" s="194"/>
      <c r="AK563" s="194"/>
      <c r="AL563" s="194"/>
      <c r="AM563" s="194"/>
    </row>
    <row r="564" spans="1:39" ht="15.75" customHeight="1" x14ac:dyDescent="0.25">
      <c r="A564" s="194"/>
      <c r="B564" s="194"/>
      <c r="C564" s="194"/>
      <c r="D564" s="194"/>
      <c r="E564" s="194"/>
      <c r="F564" s="194"/>
      <c r="G564" s="194"/>
      <c r="H564" s="194"/>
      <c r="I564" s="194"/>
      <c r="J564" s="194"/>
      <c r="K564" s="194"/>
      <c r="L564" s="194"/>
      <c r="M564" s="194"/>
      <c r="N564" s="194"/>
      <c r="O564" s="194"/>
      <c r="P564" s="194"/>
      <c r="Q564" s="194"/>
      <c r="R564" s="194"/>
      <c r="S564" s="194"/>
      <c r="T564" s="194"/>
      <c r="U564" s="194"/>
      <c r="V564" s="194"/>
      <c r="W564" s="194"/>
      <c r="X564" s="194"/>
      <c r="Y564" s="194"/>
      <c r="Z564" s="194"/>
      <c r="AA564" s="194"/>
      <c r="AB564" s="194"/>
      <c r="AC564" s="194"/>
      <c r="AD564" s="194"/>
      <c r="AE564" s="194"/>
      <c r="AF564" s="194"/>
      <c r="AG564" s="194"/>
      <c r="AH564" s="194"/>
      <c r="AI564" s="194"/>
      <c r="AJ564" s="194"/>
      <c r="AK564" s="194"/>
      <c r="AL564" s="194"/>
      <c r="AM564" s="194"/>
    </row>
    <row r="565" spans="1:39" ht="15.75" customHeight="1" x14ac:dyDescent="0.25">
      <c r="A565" s="194"/>
      <c r="B565" s="194"/>
      <c r="C565" s="194"/>
      <c r="D565" s="194"/>
      <c r="E565" s="194"/>
      <c r="F565" s="194"/>
      <c r="G565" s="194"/>
      <c r="H565" s="194"/>
      <c r="I565" s="194"/>
      <c r="J565" s="194"/>
      <c r="K565" s="194"/>
      <c r="L565" s="194"/>
      <c r="M565" s="194"/>
      <c r="N565" s="194"/>
      <c r="O565" s="194"/>
      <c r="P565" s="194"/>
      <c r="Q565" s="194"/>
      <c r="R565" s="194"/>
      <c r="S565" s="194"/>
      <c r="T565" s="194"/>
      <c r="U565" s="194"/>
      <c r="V565" s="194"/>
      <c r="W565" s="194"/>
      <c r="X565" s="194"/>
      <c r="Y565" s="194"/>
      <c r="Z565" s="194"/>
      <c r="AA565" s="194"/>
      <c r="AB565" s="194"/>
      <c r="AC565" s="194"/>
      <c r="AD565" s="194"/>
      <c r="AE565" s="194"/>
      <c r="AF565" s="194"/>
      <c r="AG565" s="194"/>
      <c r="AH565" s="194"/>
      <c r="AI565" s="194"/>
      <c r="AJ565" s="194"/>
      <c r="AK565" s="194"/>
      <c r="AL565" s="194"/>
      <c r="AM565" s="194"/>
    </row>
    <row r="566" spans="1:39" ht="15.75" customHeight="1" x14ac:dyDescent="0.25">
      <c r="A566" s="194"/>
      <c r="B566" s="194"/>
      <c r="C566" s="194"/>
      <c r="D566" s="194"/>
      <c r="E566" s="194"/>
      <c r="F566" s="194"/>
      <c r="G566" s="194"/>
      <c r="H566" s="194"/>
      <c r="I566" s="194"/>
      <c r="J566" s="194"/>
      <c r="K566" s="194"/>
      <c r="L566" s="194"/>
      <c r="M566" s="194"/>
      <c r="N566" s="194"/>
      <c r="O566" s="194"/>
      <c r="P566" s="194"/>
      <c r="Q566" s="194"/>
      <c r="R566" s="194"/>
      <c r="S566" s="194"/>
      <c r="T566" s="194"/>
      <c r="U566" s="194"/>
      <c r="V566" s="194"/>
      <c r="W566" s="194"/>
      <c r="X566" s="194"/>
      <c r="Y566" s="194"/>
      <c r="Z566" s="194"/>
      <c r="AA566" s="194"/>
      <c r="AB566" s="194"/>
      <c r="AC566" s="194"/>
      <c r="AD566" s="194"/>
      <c r="AE566" s="194"/>
      <c r="AF566" s="194"/>
      <c r="AG566" s="194"/>
      <c r="AH566" s="194"/>
      <c r="AI566" s="194"/>
      <c r="AJ566" s="194"/>
      <c r="AK566" s="194"/>
      <c r="AL566" s="194"/>
      <c r="AM566" s="194"/>
    </row>
    <row r="567" spans="1:39" ht="15.75" customHeight="1" x14ac:dyDescent="0.25">
      <c r="A567" s="194"/>
      <c r="B567" s="194"/>
      <c r="C567" s="194"/>
      <c r="D567" s="194"/>
      <c r="E567" s="194"/>
      <c r="F567" s="194"/>
      <c r="G567" s="194"/>
      <c r="H567" s="194"/>
      <c r="I567" s="194"/>
      <c r="J567" s="194"/>
      <c r="K567" s="194"/>
      <c r="L567" s="194"/>
      <c r="M567" s="194"/>
      <c r="N567" s="194"/>
      <c r="O567" s="194"/>
      <c r="P567" s="194"/>
      <c r="Q567" s="194"/>
      <c r="R567" s="194"/>
      <c r="S567" s="194"/>
      <c r="T567" s="194"/>
      <c r="U567" s="194"/>
      <c r="V567" s="194"/>
      <c r="W567" s="194"/>
      <c r="X567" s="194"/>
      <c r="Y567" s="194"/>
      <c r="Z567" s="194"/>
      <c r="AA567" s="194"/>
      <c r="AB567" s="194"/>
      <c r="AC567" s="194"/>
      <c r="AD567" s="194"/>
      <c r="AE567" s="194"/>
      <c r="AF567" s="194"/>
      <c r="AG567" s="194"/>
      <c r="AH567" s="194"/>
      <c r="AI567" s="194"/>
      <c r="AJ567" s="194"/>
      <c r="AK567" s="194"/>
      <c r="AL567" s="194"/>
      <c r="AM567" s="194"/>
    </row>
    <row r="568" spans="1:39" ht="15.75" customHeight="1" x14ac:dyDescent="0.25">
      <c r="A568" s="194"/>
      <c r="B568" s="194"/>
      <c r="C568" s="194"/>
      <c r="D568" s="194"/>
      <c r="E568" s="194"/>
      <c r="F568" s="194"/>
      <c r="G568" s="194"/>
      <c r="H568" s="194"/>
      <c r="I568" s="194"/>
      <c r="J568" s="194"/>
      <c r="K568" s="194"/>
      <c r="L568" s="194"/>
      <c r="M568" s="194"/>
      <c r="N568" s="194"/>
      <c r="O568" s="194"/>
      <c r="P568" s="194"/>
      <c r="Q568" s="194"/>
      <c r="R568" s="194"/>
      <c r="S568" s="194"/>
      <c r="T568" s="194"/>
      <c r="U568" s="194"/>
      <c r="V568" s="194"/>
      <c r="W568" s="194"/>
      <c r="X568" s="194"/>
      <c r="Y568" s="194"/>
      <c r="Z568" s="194"/>
      <c r="AA568" s="194"/>
      <c r="AB568" s="194"/>
      <c r="AC568" s="194"/>
      <c r="AD568" s="194"/>
      <c r="AE568" s="194"/>
      <c r="AF568" s="194"/>
      <c r="AG568" s="194"/>
      <c r="AH568" s="194"/>
      <c r="AI568" s="194"/>
      <c r="AJ568" s="194"/>
      <c r="AK568" s="194"/>
      <c r="AL568" s="194"/>
      <c r="AM568" s="194"/>
    </row>
    <row r="569" spans="1:39" ht="15.75" customHeight="1" x14ac:dyDescent="0.25">
      <c r="A569" s="194"/>
      <c r="B569" s="194"/>
      <c r="C569" s="194"/>
      <c r="D569" s="194"/>
      <c r="E569" s="194"/>
      <c r="F569" s="194"/>
      <c r="G569" s="194"/>
      <c r="H569" s="194"/>
      <c r="I569" s="194"/>
      <c r="J569" s="194"/>
      <c r="K569" s="194"/>
      <c r="L569" s="194"/>
      <c r="M569" s="194"/>
      <c r="N569" s="194"/>
      <c r="O569" s="194"/>
      <c r="P569" s="194"/>
      <c r="Q569" s="194"/>
      <c r="R569" s="194"/>
      <c r="S569" s="194"/>
      <c r="T569" s="194"/>
      <c r="U569" s="194"/>
      <c r="V569" s="194"/>
      <c r="W569" s="194"/>
      <c r="X569" s="194"/>
      <c r="Y569" s="194"/>
      <c r="Z569" s="194"/>
      <c r="AA569" s="194"/>
      <c r="AB569" s="194"/>
      <c r="AC569" s="194"/>
      <c r="AD569" s="194"/>
      <c r="AE569" s="194"/>
      <c r="AF569" s="194"/>
      <c r="AG569" s="194"/>
      <c r="AH569" s="194"/>
      <c r="AI569" s="194"/>
      <c r="AJ569" s="194"/>
      <c r="AK569" s="194"/>
      <c r="AL569" s="194"/>
      <c r="AM569" s="194"/>
    </row>
    <row r="570" spans="1:39" ht="15.75" customHeight="1" x14ac:dyDescent="0.25">
      <c r="A570" s="194"/>
      <c r="B570" s="194"/>
      <c r="C570" s="194"/>
      <c r="D570" s="194"/>
      <c r="E570" s="194"/>
      <c r="F570" s="194"/>
      <c r="G570" s="194"/>
      <c r="H570" s="194"/>
      <c r="I570" s="194"/>
      <c r="J570" s="194"/>
      <c r="K570" s="194"/>
      <c r="L570" s="194"/>
      <c r="M570" s="194"/>
      <c r="N570" s="194"/>
      <c r="O570" s="194"/>
      <c r="P570" s="194"/>
      <c r="Q570" s="194"/>
      <c r="R570" s="194"/>
      <c r="S570" s="194"/>
      <c r="T570" s="194"/>
      <c r="U570" s="194"/>
      <c r="V570" s="194"/>
      <c r="W570" s="194"/>
      <c r="X570" s="194"/>
      <c r="Y570" s="194"/>
      <c r="Z570" s="194"/>
      <c r="AA570" s="194"/>
      <c r="AB570" s="194"/>
      <c r="AC570" s="194"/>
      <c r="AD570" s="194"/>
      <c r="AE570" s="194"/>
      <c r="AF570" s="194"/>
      <c r="AG570" s="194"/>
      <c r="AH570" s="194"/>
      <c r="AI570" s="194"/>
      <c r="AJ570" s="194"/>
      <c r="AK570" s="194"/>
      <c r="AL570" s="194"/>
      <c r="AM570" s="194"/>
    </row>
    <row r="571" spans="1:39" ht="15.75" customHeight="1" x14ac:dyDescent="0.25">
      <c r="A571" s="194"/>
      <c r="B571" s="194"/>
      <c r="C571" s="194"/>
      <c r="D571" s="194"/>
      <c r="E571" s="194"/>
      <c r="F571" s="194"/>
      <c r="G571" s="194"/>
      <c r="H571" s="194"/>
      <c r="I571" s="194"/>
      <c r="J571" s="194"/>
      <c r="K571" s="194"/>
      <c r="L571" s="194"/>
      <c r="M571" s="194"/>
      <c r="N571" s="194"/>
      <c r="O571" s="194"/>
      <c r="P571" s="194"/>
      <c r="Q571" s="194"/>
      <c r="R571" s="194"/>
      <c r="S571" s="194"/>
      <c r="T571" s="194"/>
      <c r="U571" s="194"/>
      <c r="V571" s="194"/>
      <c r="W571" s="194"/>
      <c r="X571" s="194"/>
      <c r="Y571" s="194"/>
      <c r="Z571" s="194"/>
      <c r="AA571" s="194"/>
      <c r="AB571" s="194"/>
      <c r="AC571" s="194"/>
      <c r="AD571" s="194"/>
      <c r="AE571" s="194"/>
      <c r="AF571" s="194"/>
      <c r="AG571" s="194"/>
      <c r="AH571" s="194"/>
      <c r="AI571" s="194"/>
      <c r="AJ571" s="194"/>
      <c r="AK571" s="194"/>
      <c r="AL571" s="194"/>
      <c r="AM571" s="194"/>
    </row>
    <row r="572" spans="1:39" ht="15.75" customHeight="1" x14ac:dyDescent="0.25">
      <c r="A572" s="194"/>
      <c r="B572" s="194"/>
      <c r="C572" s="194"/>
      <c r="D572" s="194"/>
      <c r="E572" s="194"/>
      <c r="F572" s="194"/>
      <c r="G572" s="194"/>
      <c r="H572" s="194"/>
      <c r="I572" s="194"/>
      <c r="J572" s="194"/>
      <c r="K572" s="194"/>
      <c r="L572" s="194"/>
      <c r="M572" s="194"/>
      <c r="N572" s="194"/>
      <c r="O572" s="194"/>
      <c r="P572" s="194"/>
      <c r="Q572" s="194"/>
      <c r="R572" s="194"/>
      <c r="S572" s="194"/>
      <c r="T572" s="194"/>
      <c r="U572" s="194"/>
      <c r="V572" s="194"/>
      <c r="W572" s="194"/>
      <c r="X572" s="194"/>
      <c r="Y572" s="194"/>
      <c r="Z572" s="194"/>
      <c r="AA572" s="194"/>
      <c r="AB572" s="194"/>
      <c r="AC572" s="194"/>
      <c r="AD572" s="194"/>
      <c r="AE572" s="194"/>
      <c r="AF572" s="194"/>
      <c r="AG572" s="194"/>
      <c r="AH572" s="194"/>
      <c r="AI572" s="194"/>
      <c r="AJ572" s="194"/>
      <c r="AK572" s="194"/>
      <c r="AL572" s="194"/>
      <c r="AM572" s="194"/>
    </row>
    <row r="573" spans="1:39" ht="15.75" customHeight="1" x14ac:dyDescent="0.25">
      <c r="A573" s="194"/>
      <c r="B573" s="194"/>
      <c r="C573" s="194"/>
      <c r="D573" s="194"/>
      <c r="E573" s="194"/>
      <c r="F573" s="194"/>
      <c r="G573" s="194"/>
      <c r="H573" s="194"/>
      <c r="I573" s="194"/>
      <c r="J573" s="194"/>
      <c r="K573" s="194"/>
      <c r="L573" s="194"/>
      <c r="M573" s="194"/>
      <c r="N573" s="194"/>
      <c r="O573" s="194"/>
      <c r="P573" s="194"/>
      <c r="Q573" s="194"/>
      <c r="R573" s="194"/>
      <c r="S573" s="194"/>
      <c r="T573" s="194"/>
      <c r="U573" s="194"/>
      <c r="V573" s="194"/>
      <c r="W573" s="194"/>
      <c r="X573" s="194"/>
      <c r="Y573" s="194"/>
      <c r="Z573" s="194"/>
      <c r="AA573" s="194"/>
      <c r="AB573" s="194"/>
      <c r="AC573" s="194"/>
      <c r="AD573" s="194"/>
      <c r="AE573" s="194"/>
      <c r="AF573" s="194"/>
      <c r="AG573" s="194"/>
      <c r="AH573" s="194"/>
      <c r="AI573" s="194"/>
      <c r="AJ573" s="194"/>
      <c r="AK573" s="194"/>
      <c r="AL573" s="194"/>
      <c r="AM573" s="194"/>
    </row>
    <row r="574" spans="1:39" ht="15.75" customHeight="1" x14ac:dyDescent="0.25">
      <c r="A574" s="194"/>
      <c r="B574" s="194"/>
      <c r="C574" s="194"/>
      <c r="D574" s="194"/>
      <c r="E574" s="194"/>
      <c r="F574" s="194"/>
      <c r="G574" s="194"/>
      <c r="H574" s="194"/>
      <c r="I574" s="194"/>
      <c r="J574" s="194"/>
      <c r="K574" s="194"/>
      <c r="L574" s="194"/>
      <c r="M574" s="194"/>
      <c r="N574" s="194"/>
      <c r="O574" s="194"/>
      <c r="P574" s="194"/>
      <c r="Q574" s="194"/>
      <c r="R574" s="194"/>
      <c r="S574" s="194"/>
      <c r="T574" s="194"/>
      <c r="U574" s="194"/>
      <c r="V574" s="194"/>
      <c r="W574" s="194"/>
      <c r="X574" s="194"/>
      <c r="Y574" s="194"/>
      <c r="Z574" s="194"/>
      <c r="AA574" s="194"/>
      <c r="AB574" s="194"/>
      <c r="AC574" s="194"/>
      <c r="AD574" s="194"/>
      <c r="AE574" s="194"/>
      <c r="AF574" s="194"/>
      <c r="AG574" s="194"/>
      <c r="AH574" s="194"/>
      <c r="AI574" s="194"/>
      <c r="AJ574" s="194"/>
      <c r="AK574" s="194"/>
      <c r="AL574" s="194"/>
      <c r="AM574" s="194"/>
    </row>
    <row r="575" spans="1:39" ht="15.75" customHeight="1" x14ac:dyDescent="0.25">
      <c r="A575" s="194"/>
      <c r="B575" s="194"/>
      <c r="C575" s="194"/>
      <c r="D575" s="194"/>
      <c r="E575" s="194"/>
      <c r="F575" s="194"/>
      <c r="G575" s="194"/>
      <c r="H575" s="194"/>
      <c r="I575" s="194"/>
      <c r="J575" s="194"/>
      <c r="K575" s="194"/>
      <c r="L575" s="194"/>
      <c r="M575" s="194"/>
      <c r="N575" s="194"/>
      <c r="O575" s="194"/>
      <c r="P575" s="194"/>
      <c r="Q575" s="194"/>
      <c r="R575" s="194"/>
      <c r="S575" s="194"/>
      <c r="T575" s="194"/>
      <c r="U575" s="194"/>
      <c r="V575" s="194"/>
      <c r="W575" s="194"/>
      <c r="X575" s="194"/>
      <c r="Y575" s="194"/>
      <c r="Z575" s="194"/>
      <c r="AA575" s="194"/>
      <c r="AB575" s="194"/>
      <c r="AC575" s="194"/>
      <c r="AD575" s="194"/>
      <c r="AE575" s="194"/>
      <c r="AF575" s="194"/>
      <c r="AG575" s="194"/>
      <c r="AH575" s="194"/>
      <c r="AI575" s="194"/>
      <c r="AJ575" s="194"/>
      <c r="AK575" s="194"/>
      <c r="AL575" s="194"/>
      <c r="AM575" s="194"/>
    </row>
    <row r="576" spans="1:39" ht="15.75" customHeight="1" x14ac:dyDescent="0.25">
      <c r="A576" s="194"/>
      <c r="B576" s="194"/>
      <c r="C576" s="194"/>
      <c r="D576" s="194"/>
      <c r="E576" s="194"/>
      <c r="F576" s="194"/>
      <c r="G576" s="194"/>
      <c r="H576" s="194"/>
      <c r="I576" s="194"/>
      <c r="J576" s="194"/>
      <c r="K576" s="194"/>
      <c r="L576" s="194"/>
      <c r="M576" s="194"/>
      <c r="N576" s="194"/>
      <c r="O576" s="194"/>
      <c r="P576" s="194"/>
      <c r="Q576" s="194"/>
      <c r="R576" s="194"/>
      <c r="S576" s="194"/>
      <c r="T576" s="194"/>
      <c r="U576" s="194"/>
      <c r="V576" s="194"/>
      <c r="W576" s="194"/>
      <c r="X576" s="194"/>
      <c r="Y576" s="194"/>
      <c r="Z576" s="194"/>
      <c r="AA576" s="194"/>
      <c r="AB576" s="194"/>
      <c r="AC576" s="194"/>
      <c r="AD576" s="194"/>
      <c r="AE576" s="194"/>
      <c r="AF576" s="194"/>
      <c r="AG576" s="194"/>
      <c r="AH576" s="194"/>
      <c r="AI576" s="194"/>
      <c r="AJ576" s="194"/>
      <c r="AK576" s="194"/>
      <c r="AL576" s="194"/>
      <c r="AM576" s="194"/>
    </row>
    <row r="577" spans="1:39" ht="15.75" customHeight="1" x14ac:dyDescent="0.25">
      <c r="A577" s="194"/>
      <c r="B577" s="194"/>
      <c r="C577" s="194"/>
      <c r="D577" s="194"/>
      <c r="E577" s="194"/>
      <c r="F577" s="194"/>
      <c r="G577" s="194"/>
      <c r="H577" s="194"/>
      <c r="I577" s="194"/>
      <c r="J577" s="194"/>
      <c r="K577" s="194"/>
      <c r="L577" s="194"/>
      <c r="M577" s="194"/>
      <c r="N577" s="194"/>
      <c r="O577" s="194"/>
      <c r="P577" s="194"/>
      <c r="Q577" s="194"/>
      <c r="R577" s="194"/>
      <c r="S577" s="194"/>
      <c r="T577" s="194"/>
      <c r="U577" s="194"/>
      <c r="V577" s="194"/>
      <c r="W577" s="194"/>
      <c r="X577" s="194"/>
      <c r="Y577" s="194"/>
      <c r="Z577" s="194"/>
      <c r="AA577" s="194"/>
      <c r="AB577" s="194"/>
      <c r="AC577" s="194"/>
      <c r="AD577" s="194"/>
      <c r="AE577" s="194"/>
      <c r="AF577" s="194"/>
      <c r="AG577" s="194"/>
      <c r="AH577" s="194"/>
      <c r="AI577" s="194"/>
      <c r="AJ577" s="194"/>
      <c r="AK577" s="194"/>
      <c r="AL577" s="194"/>
      <c r="AM577" s="194"/>
    </row>
    <row r="578" spans="1:39" ht="15.75" customHeight="1" x14ac:dyDescent="0.25">
      <c r="A578" s="194"/>
      <c r="B578" s="194"/>
      <c r="C578" s="194"/>
      <c r="D578" s="194"/>
      <c r="E578" s="194"/>
      <c r="F578" s="194"/>
      <c r="G578" s="194"/>
      <c r="H578" s="194"/>
      <c r="I578" s="194"/>
      <c r="J578" s="194"/>
      <c r="K578" s="194"/>
      <c r="L578" s="194"/>
      <c r="M578" s="194"/>
      <c r="N578" s="194"/>
      <c r="O578" s="194"/>
      <c r="P578" s="194"/>
      <c r="Q578" s="194"/>
      <c r="R578" s="194"/>
      <c r="S578" s="194"/>
      <c r="T578" s="194"/>
      <c r="U578" s="194"/>
      <c r="V578" s="194"/>
      <c r="W578" s="194"/>
      <c r="X578" s="194"/>
      <c r="Y578" s="194"/>
      <c r="Z578" s="194"/>
      <c r="AA578" s="194"/>
      <c r="AB578" s="194"/>
      <c r="AC578" s="194"/>
      <c r="AD578" s="194"/>
      <c r="AE578" s="194"/>
      <c r="AF578" s="194"/>
      <c r="AG578" s="194"/>
      <c r="AH578" s="194"/>
      <c r="AI578" s="194"/>
      <c r="AJ578" s="194"/>
      <c r="AK578" s="194"/>
      <c r="AL578" s="194"/>
      <c r="AM578" s="194"/>
    </row>
    <row r="579" spans="1:39" ht="15.75" customHeight="1" x14ac:dyDescent="0.25">
      <c r="A579" s="194"/>
      <c r="B579" s="194"/>
      <c r="C579" s="194"/>
      <c r="D579" s="194"/>
      <c r="E579" s="194"/>
      <c r="F579" s="194"/>
      <c r="G579" s="194"/>
      <c r="H579" s="194"/>
      <c r="I579" s="194"/>
      <c r="J579" s="194"/>
      <c r="K579" s="194"/>
      <c r="L579" s="194"/>
      <c r="M579" s="194"/>
      <c r="N579" s="194"/>
      <c r="O579" s="194"/>
      <c r="P579" s="194"/>
      <c r="Q579" s="194"/>
      <c r="R579" s="194"/>
      <c r="S579" s="194"/>
      <c r="T579" s="194"/>
      <c r="U579" s="194"/>
      <c r="V579" s="194"/>
      <c r="W579" s="194"/>
      <c r="X579" s="194"/>
      <c r="Y579" s="194"/>
      <c r="Z579" s="194"/>
      <c r="AA579" s="194"/>
      <c r="AB579" s="194"/>
      <c r="AC579" s="194"/>
      <c r="AD579" s="194"/>
      <c r="AE579" s="194"/>
      <c r="AF579" s="194"/>
      <c r="AG579" s="194"/>
      <c r="AH579" s="194"/>
      <c r="AI579" s="194"/>
      <c r="AJ579" s="194"/>
      <c r="AK579" s="194"/>
      <c r="AL579" s="194"/>
      <c r="AM579" s="194"/>
    </row>
    <row r="580" spans="1:39" ht="15.75" customHeight="1" x14ac:dyDescent="0.25">
      <c r="A580" s="194"/>
      <c r="B580" s="194"/>
      <c r="C580" s="194"/>
      <c r="D580" s="194"/>
      <c r="E580" s="194"/>
      <c r="F580" s="194"/>
      <c r="G580" s="194"/>
      <c r="H580" s="194"/>
      <c r="I580" s="194"/>
      <c r="J580" s="194"/>
      <c r="K580" s="194"/>
      <c r="L580" s="194"/>
      <c r="M580" s="194"/>
      <c r="N580" s="194"/>
      <c r="O580" s="194"/>
      <c r="P580" s="194"/>
      <c r="Q580" s="194"/>
      <c r="R580" s="194"/>
      <c r="S580" s="194"/>
      <c r="T580" s="194"/>
      <c r="U580" s="194"/>
      <c r="V580" s="194"/>
      <c r="W580" s="194"/>
      <c r="X580" s="194"/>
      <c r="Y580" s="194"/>
      <c r="Z580" s="194"/>
      <c r="AA580" s="194"/>
      <c r="AB580" s="194"/>
      <c r="AC580" s="194"/>
      <c r="AD580" s="194"/>
      <c r="AE580" s="194"/>
      <c r="AF580" s="194"/>
      <c r="AG580" s="194"/>
      <c r="AH580" s="194"/>
      <c r="AI580" s="194"/>
      <c r="AJ580" s="194"/>
      <c r="AK580" s="194"/>
      <c r="AL580" s="194"/>
      <c r="AM580" s="194"/>
    </row>
    <row r="581" spans="1:39" ht="15.75" customHeight="1" x14ac:dyDescent="0.25">
      <c r="A581" s="194"/>
      <c r="B581" s="194"/>
      <c r="C581" s="194"/>
      <c r="D581" s="194"/>
      <c r="E581" s="194"/>
      <c r="F581" s="194"/>
      <c r="G581" s="194"/>
      <c r="H581" s="194"/>
      <c r="I581" s="194"/>
      <c r="J581" s="194"/>
      <c r="K581" s="194"/>
      <c r="L581" s="194"/>
      <c r="M581" s="194"/>
      <c r="N581" s="194"/>
      <c r="O581" s="194"/>
      <c r="P581" s="194"/>
      <c r="Q581" s="194"/>
      <c r="R581" s="194"/>
      <c r="S581" s="194"/>
      <c r="T581" s="194"/>
      <c r="U581" s="194"/>
      <c r="V581" s="194"/>
      <c r="W581" s="194"/>
      <c r="X581" s="194"/>
      <c r="Y581" s="194"/>
      <c r="Z581" s="194"/>
      <c r="AA581" s="194"/>
      <c r="AB581" s="194"/>
      <c r="AC581" s="194"/>
      <c r="AD581" s="194"/>
      <c r="AE581" s="194"/>
      <c r="AF581" s="194"/>
      <c r="AG581" s="194"/>
      <c r="AH581" s="194"/>
      <c r="AI581" s="194"/>
      <c r="AJ581" s="194"/>
      <c r="AK581" s="194"/>
      <c r="AL581" s="194"/>
      <c r="AM581" s="194"/>
    </row>
    <row r="582" spans="1:39" ht="15.75" customHeight="1" x14ac:dyDescent="0.25">
      <c r="A582" s="194"/>
      <c r="B582" s="194"/>
      <c r="C582" s="194"/>
      <c r="D582" s="194"/>
      <c r="E582" s="194"/>
      <c r="F582" s="194"/>
      <c r="G582" s="194"/>
      <c r="H582" s="194"/>
      <c r="I582" s="194"/>
      <c r="J582" s="194"/>
      <c r="K582" s="194"/>
      <c r="L582" s="194"/>
      <c r="M582" s="194"/>
      <c r="N582" s="194"/>
      <c r="O582" s="194"/>
      <c r="P582" s="194"/>
      <c r="Q582" s="194"/>
      <c r="R582" s="194"/>
      <c r="S582" s="194"/>
      <c r="T582" s="194"/>
      <c r="U582" s="194"/>
      <c r="V582" s="194"/>
      <c r="W582" s="194"/>
      <c r="X582" s="194"/>
      <c r="Y582" s="194"/>
      <c r="Z582" s="194"/>
      <c r="AA582" s="194"/>
      <c r="AB582" s="194"/>
      <c r="AC582" s="194"/>
      <c r="AD582" s="194"/>
      <c r="AE582" s="194"/>
      <c r="AF582" s="194"/>
      <c r="AG582" s="194"/>
      <c r="AH582" s="194"/>
      <c r="AI582" s="194"/>
      <c r="AJ582" s="194"/>
      <c r="AK582" s="194"/>
      <c r="AL582" s="194"/>
      <c r="AM582" s="194"/>
    </row>
    <row r="583" spans="1:39" ht="15.75" customHeight="1" x14ac:dyDescent="0.25">
      <c r="A583" s="194"/>
      <c r="B583" s="194"/>
      <c r="C583" s="194"/>
      <c r="D583" s="194"/>
      <c r="E583" s="194"/>
      <c r="F583" s="194"/>
      <c r="G583" s="194"/>
      <c r="H583" s="194"/>
      <c r="I583" s="194"/>
      <c r="J583" s="194"/>
      <c r="K583" s="194"/>
      <c r="L583" s="194"/>
      <c r="M583" s="194"/>
      <c r="N583" s="194"/>
      <c r="O583" s="194"/>
      <c r="P583" s="194"/>
      <c r="Q583" s="194"/>
      <c r="R583" s="194"/>
      <c r="S583" s="194"/>
      <c r="T583" s="194"/>
      <c r="U583" s="194"/>
      <c r="V583" s="194"/>
      <c r="W583" s="194"/>
      <c r="X583" s="194"/>
      <c r="Y583" s="194"/>
      <c r="Z583" s="194"/>
      <c r="AA583" s="194"/>
      <c r="AB583" s="194"/>
      <c r="AC583" s="194"/>
      <c r="AD583" s="194"/>
      <c r="AE583" s="194"/>
      <c r="AF583" s="194"/>
      <c r="AG583" s="194"/>
      <c r="AH583" s="194"/>
      <c r="AI583" s="194"/>
      <c r="AJ583" s="194"/>
      <c r="AK583" s="194"/>
      <c r="AL583" s="194"/>
      <c r="AM583" s="194"/>
    </row>
    <row r="584" spans="1:39" ht="15.75" customHeight="1" x14ac:dyDescent="0.25">
      <c r="A584" s="194"/>
      <c r="B584" s="194"/>
      <c r="C584" s="194"/>
      <c r="D584" s="194"/>
      <c r="E584" s="194"/>
      <c r="F584" s="194"/>
      <c r="G584" s="194"/>
      <c r="H584" s="194"/>
      <c r="I584" s="194"/>
      <c r="J584" s="194"/>
      <c r="K584" s="194"/>
      <c r="L584" s="194"/>
      <c r="M584" s="194"/>
      <c r="N584" s="194"/>
      <c r="O584" s="194"/>
      <c r="P584" s="194"/>
      <c r="Q584" s="194"/>
      <c r="R584" s="194"/>
      <c r="S584" s="194"/>
      <c r="T584" s="194"/>
      <c r="U584" s="194"/>
      <c r="V584" s="194"/>
      <c r="W584" s="194"/>
      <c r="X584" s="194"/>
      <c r="Y584" s="194"/>
      <c r="Z584" s="194"/>
      <c r="AA584" s="194"/>
      <c r="AB584" s="194"/>
      <c r="AC584" s="194"/>
      <c r="AD584" s="194"/>
      <c r="AE584" s="194"/>
      <c r="AF584" s="194"/>
      <c r="AG584" s="194"/>
      <c r="AH584" s="194"/>
      <c r="AI584" s="194"/>
      <c r="AJ584" s="194"/>
      <c r="AK584" s="194"/>
      <c r="AL584" s="194"/>
      <c r="AM584" s="194"/>
    </row>
    <row r="585" spans="1:39" ht="15.75" customHeight="1" x14ac:dyDescent="0.25">
      <c r="A585" s="194"/>
      <c r="B585" s="194"/>
      <c r="C585" s="194"/>
      <c r="D585" s="194"/>
      <c r="E585" s="194"/>
      <c r="F585" s="194"/>
      <c r="G585" s="194"/>
      <c r="H585" s="194"/>
      <c r="I585" s="194"/>
      <c r="J585" s="194"/>
      <c r="K585" s="194"/>
      <c r="L585" s="194"/>
      <c r="M585" s="194"/>
      <c r="N585" s="194"/>
      <c r="O585" s="194"/>
      <c r="P585" s="194"/>
      <c r="Q585" s="194"/>
      <c r="R585" s="194"/>
      <c r="S585" s="194"/>
      <c r="T585" s="194"/>
      <c r="U585" s="194"/>
      <c r="V585" s="194"/>
      <c r="W585" s="194"/>
      <c r="X585" s="194"/>
      <c r="Y585" s="194"/>
      <c r="Z585" s="194"/>
      <c r="AA585" s="194"/>
      <c r="AB585" s="194"/>
      <c r="AC585" s="194"/>
      <c r="AD585" s="194"/>
      <c r="AE585" s="194"/>
      <c r="AF585" s="194"/>
      <c r="AG585" s="194"/>
      <c r="AH585" s="194"/>
      <c r="AI585" s="194"/>
      <c r="AJ585" s="194"/>
      <c r="AK585" s="194"/>
      <c r="AL585" s="194"/>
      <c r="AM585" s="194"/>
    </row>
    <row r="586" spans="1:39" ht="15.75" customHeight="1" x14ac:dyDescent="0.25">
      <c r="A586" s="194"/>
      <c r="B586" s="194"/>
      <c r="C586" s="194"/>
      <c r="D586" s="194"/>
      <c r="E586" s="194"/>
      <c r="F586" s="194"/>
      <c r="G586" s="194"/>
      <c r="H586" s="194"/>
      <c r="I586" s="194"/>
      <c r="J586" s="194"/>
      <c r="K586" s="194"/>
      <c r="L586" s="194"/>
      <c r="M586" s="194"/>
      <c r="N586" s="194"/>
      <c r="O586" s="194"/>
      <c r="P586" s="194"/>
      <c r="Q586" s="194"/>
      <c r="R586" s="194"/>
      <c r="S586" s="194"/>
      <c r="T586" s="194"/>
      <c r="U586" s="194"/>
      <c r="V586" s="194"/>
      <c r="W586" s="194"/>
      <c r="X586" s="194"/>
      <c r="Y586" s="194"/>
      <c r="Z586" s="194"/>
      <c r="AA586" s="194"/>
      <c r="AB586" s="194"/>
      <c r="AC586" s="194"/>
      <c r="AD586" s="194"/>
      <c r="AE586" s="194"/>
      <c r="AF586" s="194"/>
      <c r="AG586" s="194"/>
      <c r="AH586" s="194"/>
      <c r="AI586" s="194"/>
      <c r="AJ586" s="194"/>
      <c r="AK586" s="194"/>
      <c r="AL586" s="194"/>
      <c r="AM586" s="194"/>
    </row>
    <row r="587" spans="1:39" ht="15.75" customHeight="1" x14ac:dyDescent="0.25">
      <c r="A587" s="194"/>
      <c r="B587" s="194"/>
      <c r="C587" s="194"/>
      <c r="D587" s="194"/>
      <c r="E587" s="194"/>
      <c r="F587" s="194"/>
      <c r="G587" s="194"/>
      <c r="H587" s="194"/>
      <c r="I587" s="194"/>
      <c r="J587" s="194"/>
      <c r="K587" s="194"/>
      <c r="L587" s="194"/>
      <c r="M587" s="194"/>
      <c r="N587" s="194"/>
      <c r="O587" s="194"/>
      <c r="P587" s="194"/>
      <c r="Q587" s="194"/>
      <c r="R587" s="194"/>
      <c r="S587" s="194"/>
      <c r="T587" s="194"/>
      <c r="U587" s="194"/>
      <c r="V587" s="194"/>
      <c r="W587" s="194"/>
      <c r="X587" s="194"/>
      <c r="Y587" s="194"/>
      <c r="Z587" s="194"/>
      <c r="AA587" s="194"/>
      <c r="AB587" s="194"/>
      <c r="AC587" s="194"/>
      <c r="AD587" s="194"/>
      <c r="AE587" s="194"/>
      <c r="AF587" s="194"/>
      <c r="AG587" s="194"/>
      <c r="AH587" s="194"/>
      <c r="AI587" s="194"/>
      <c r="AJ587" s="194"/>
      <c r="AK587" s="194"/>
      <c r="AL587" s="194"/>
      <c r="AM587" s="194"/>
    </row>
    <row r="588" spans="1:39" ht="15.75" customHeight="1" x14ac:dyDescent="0.25">
      <c r="A588" s="194"/>
      <c r="B588" s="194"/>
      <c r="C588" s="194"/>
      <c r="D588" s="194"/>
      <c r="E588" s="194"/>
      <c r="F588" s="194"/>
      <c r="G588" s="194"/>
      <c r="H588" s="194"/>
      <c r="I588" s="194"/>
      <c r="J588" s="194"/>
      <c r="K588" s="194"/>
      <c r="L588" s="194"/>
      <c r="M588" s="194"/>
      <c r="N588" s="194"/>
      <c r="O588" s="194"/>
      <c r="P588" s="194"/>
      <c r="Q588" s="194"/>
      <c r="R588" s="194"/>
      <c r="S588" s="194"/>
      <c r="T588" s="194"/>
      <c r="U588" s="194"/>
      <c r="V588" s="194"/>
      <c r="W588" s="194"/>
      <c r="X588" s="194"/>
      <c r="Y588" s="194"/>
      <c r="Z588" s="194"/>
      <c r="AA588" s="194"/>
      <c r="AB588" s="194"/>
      <c r="AC588" s="194"/>
      <c r="AD588" s="194"/>
      <c r="AE588" s="194"/>
      <c r="AF588" s="194"/>
      <c r="AG588" s="194"/>
      <c r="AH588" s="194"/>
      <c r="AI588" s="194"/>
      <c r="AJ588" s="194"/>
      <c r="AK588" s="194"/>
      <c r="AL588" s="194"/>
      <c r="AM588" s="194"/>
    </row>
    <row r="589" spans="1:39" ht="15.75" customHeight="1" x14ac:dyDescent="0.25">
      <c r="A589" s="194"/>
      <c r="B589" s="194"/>
      <c r="C589" s="194"/>
      <c r="D589" s="194"/>
      <c r="E589" s="194"/>
      <c r="F589" s="194"/>
      <c r="G589" s="194"/>
      <c r="H589" s="194"/>
      <c r="I589" s="194"/>
      <c r="J589" s="194"/>
      <c r="K589" s="194"/>
      <c r="L589" s="194"/>
      <c r="M589" s="194"/>
      <c r="N589" s="194"/>
      <c r="O589" s="194"/>
      <c r="P589" s="194"/>
      <c r="Q589" s="194"/>
      <c r="R589" s="194"/>
      <c r="S589" s="194"/>
      <c r="T589" s="194"/>
      <c r="U589" s="194"/>
      <c r="V589" s="194"/>
      <c r="W589" s="194"/>
      <c r="X589" s="194"/>
      <c r="Y589" s="194"/>
      <c r="Z589" s="194"/>
      <c r="AA589" s="194"/>
      <c r="AB589" s="194"/>
      <c r="AC589" s="194"/>
      <c r="AD589" s="194"/>
      <c r="AE589" s="194"/>
      <c r="AF589" s="194"/>
      <c r="AG589" s="194"/>
      <c r="AH589" s="194"/>
      <c r="AI589" s="194"/>
      <c r="AJ589" s="194"/>
      <c r="AK589" s="194"/>
      <c r="AL589" s="194"/>
      <c r="AM589" s="194"/>
    </row>
    <row r="590" spans="1:39" ht="15.75" customHeight="1" x14ac:dyDescent="0.25">
      <c r="A590" s="194"/>
      <c r="B590" s="194"/>
      <c r="C590" s="194"/>
      <c r="D590" s="194"/>
      <c r="E590" s="194"/>
      <c r="F590" s="194"/>
      <c r="G590" s="194"/>
      <c r="H590" s="194"/>
      <c r="I590" s="194"/>
      <c r="J590" s="194"/>
      <c r="K590" s="194"/>
      <c r="L590" s="194"/>
      <c r="M590" s="194"/>
      <c r="N590" s="194"/>
      <c r="O590" s="194"/>
      <c r="P590" s="194"/>
      <c r="Q590" s="194"/>
      <c r="R590" s="194"/>
      <c r="S590" s="194"/>
      <c r="T590" s="194"/>
      <c r="U590" s="194"/>
      <c r="V590" s="194"/>
      <c r="W590" s="194"/>
      <c r="X590" s="194"/>
      <c r="Y590" s="194"/>
      <c r="Z590" s="194"/>
      <c r="AA590" s="194"/>
      <c r="AB590" s="194"/>
      <c r="AC590" s="194"/>
      <c r="AD590" s="194"/>
      <c r="AE590" s="194"/>
      <c r="AF590" s="194"/>
      <c r="AG590" s="194"/>
      <c r="AH590" s="194"/>
      <c r="AI590" s="194"/>
      <c r="AJ590" s="194"/>
      <c r="AK590" s="194"/>
      <c r="AL590" s="194"/>
      <c r="AM590" s="194"/>
    </row>
    <row r="591" spans="1:39" ht="15.75" customHeight="1" x14ac:dyDescent="0.25">
      <c r="A591" s="194"/>
      <c r="B591" s="194"/>
      <c r="C591" s="194"/>
      <c r="D591" s="194"/>
      <c r="E591" s="194"/>
      <c r="F591" s="194"/>
      <c r="G591" s="194"/>
      <c r="H591" s="194"/>
      <c r="I591" s="194"/>
      <c r="J591" s="194"/>
      <c r="K591" s="194"/>
      <c r="L591" s="194"/>
      <c r="M591" s="194"/>
      <c r="N591" s="194"/>
      <c r="O591" s="194"/>
      <c r="P591" s="194"/>
      <c r="Q591" s="194"/>
      <c r="R591" s="194"/>
      <c r="S591" s="194"/>
      <c r="T591" s="194"/>
      <c r="U591" s="194"/>
      <c r="V591" s="194"/>
      <c r="W591" s="194"/>
      <c r="X591" s="194"/>
      <c r="Y591" s="194"/>
      <c r="Z591" s="194"/>
      <c r="AA591" s="194"/>
      <c r="AB591" s="194"/>
      <c r="AC591" s="194"/>
      <c r="AD591" s="194"/>
      <c r="AE591" s="194"/>
      <c r="AF591" s="194"/>
      <c r="AG591" s="194"/>
      <c r="AH591" s="194"/>
      <c r="AI591" s="194"/>
      <c r="AJ591" s="194"/>
      <c r="AK591" s="194"/>
      <c r="AL591" s="194"/>
      <c r="AM591" s="194"/>
    </row>
    <row r="592" spans="1:39" ht="15.75" customHeight="1" x14ac:dyDescent="0.25">
      <c r="A592" s="194"/>
      <c r="B592" s="194"/>
      <c r="C592" s="194"/>
      <c r="D592" s="194"/>
      <c r="E592" s="194"/>
      <c r="F592" s="194"/>
      <c r="G592" s="194"/>
      <c r="H592" s="194"/>
      <c r="I592" s="194"/>
      <c r="J592" s="194"/>
      <c r="K592" s="194"/>
      <c r="L592" s="194"/>
      <c r="M592" s="194"/>
      <c r="N592" s="194"/>
      <c r="O592" s="194"/>
      <c r="P592" s="194"/>
      <c r="Q592" s="194"/>
      <c r="R592" s="194"/>
      <c r="S592" s="194"/>
      <c r="T592" s="194"/>
      <c r="U592" s="194"/>
      <c r="V592" s="194"/>
      <c r="W592" s="194"/>
      <c r="X592" s="194"/>
      <c r="Y592" s="194"/>
      <c r="Z592" s="194"/>
      <c r="AA592" s="194"/>
      <c r="AB592" s="194"/>
      <c r="AC592" s="194"/>
      <c r="AD592" s="194"/>
      <c r="AE592" s="194"/>
      <c r="AF592" s="194"/>
      <c r="AG592" s="194"/>
      <c r="AH592" s="194"/>
      <c r="AI592" s="194"/>
      <c r="AJ592" s="194"/>
      <c r="AK592" s="194"/>
      <c r="AL592" s="194"/>
      <c r="AM592" s="194"/>
    </row>
    <row r="593" spans="1:39" ht="15.75" customHeight="1" x14ac:dyDescent="0.25">
      <c r="A593" s="194"/>
      <c r="B593" s="194"/>
      <c r="C593" s="194"/>
      <c r="D593" s="194"/>
      <c r="E593" s="194"/>
      <c r="F593" s="194"/>
      <c r="G593" s="194"/>
      <c r="H593" s="194"/>
      <c r="I593" s="194"/>
      <c r="J593" s="194"/>
      <c r="K593" s="194"/>
      <c r="L593" s="194"/>
      <c r="M593" s="194"/>
      <c r="N593" s="194"/>
      <c r="O593" s="194"/>
      <c r="P593" s="194"/>
      <c r="Q593" s="194"/>
      <c r="R593" s="194"/>
      <c r="S593" s="194"/>
      <c r="T593" s="194"/>
      <c r="U593" s="194"/>
      <c r="V593" s="194"/>
      <c r="W593" s="194"/>
      <c r="X593" s="194"/>
      <c r="Y593" s="194"/>
      <c r="Z593" s="194"/>
      <c r="AA593" s="194"/>
      <c r="AB593" s="194"/>
      <c r="AC593" s="194"/>
      <c r="AD593" s="194"/>
      <c r="AE593" s="194"/>
      <c r="AF593" s="194"/>
      <c r="AG593" s="194"/>
      <c r="AH593" s="194"/>
      <c r="AI593" s="194"/>
      <c r="AJ593" s="194"/>
      <c r="AK593" s="194"/>
      <c r="AL593" s="194"/>
      <c r="AM593" s="194"/>
    </row>
    <row r="594" spans="1:39" ht="15.75" customHeight="1" x14ac:dyDescent="0.25">
      <c r="A594" s="194"/>
      <c r="B594" s="194"/>
      <c r="C594" s="194"/>
      <c r="D594" s="194"/>
      <c r="E594" s="194"/>
      <c r="F594" s="194"/>
      <c r="G594" s="194"/>
      <c r="H594" s="194"/>
      <c r="I594" s="194"/>
      <c r="J594" s="194"/>
      <c r="K594" s="194"/>
      <c r="L594" s="194"/>
      <c r="M594" s="194"/>
      <c r="N594" s="194"/>
      <c r="O594" s="194"/>
      <c r="P594" s="194"/>
      <c r="Q594" s="194"/>
      <c r="R594" s="194"/>
      <c r="S594" s="194"/>
      <c r="T594" s="194"/>
      <c r="U594" s="194"/>
      <c r="V594" s="194"/>
      <c r="W594" s="194"/>
      <c r="X594" s="194"/>
      <c r="Y594" s="194"/>
      <c r="Z594" s="194"/>
      <c r="AA594" s="194"/>
      <c r="AB594" s="194"/>
      <c r="AC594" s="194"/>
      <c r="AD594" s="194"/>
      <c r="AE594" s="194"/>
      <c r="AF594" s="194"/>
      <c r="AG594" s="194"/>
      <c r="AH594" s="194"/>
      <c r="AI594" s="194"/>
      <c r="AJ594" s="194"/>
      <c r="AK594" s="194"/>
      <c r="AL594" s="194"/>
      <c r="AM594" s="194"/>
    </row>
    <row r="595" spans="1:39" ht="15.75" customHeight="1" x14ac:dyDescent="0.25">
      <c r="A595" s="194"/>
      <c r="B595" s="194"/>
      <c r="C595" s="194"/>
      <c r="D595" s="194"/>
      <c r="E595" s="194"/>
      <c r="F595" s="194"/>
      <c r="G595" s="194"/>
      <c r="H595" s="194"/>
      <c r="I595" s="194"/>
      <c r="J595" s="194"/>
      <c r="K595" s="194"/>
      <c r="L595" s="194"/>
      <c r="M595" s="194"/>
      <c r="N595" s="194"/>
      <c r="O595" s="194"/>
      <c r="P595" s="194"/>
      <c r="Q595" s="194"/>
      <c r="R595" s="194"/>
      <c r="S595" s="194"/>
      <c r="T595" s="194"/>
      <c r="U595" s="194"/>
      <c r="V595" s="194"/>
      <c r="W595" s="194"/>
      <c r="X595" s="194"/>
      <c r="Y595" s="194"/>
      <c r="Z595" s="194"/>
      <c r="AA595" s="194"/>
      <c r="AB595" s="194"/>
      <c r="AC595" s="194"/>
      <c r="AD595" s="194"/>
      <c r="AE595" s="194"/>
      <c r="AF595" s="194"/>
      <c r="AG595" s="194"/>
      <c r="AH595" s="194"/>
      <c r="AI595" s="194"/>
      <c r="AJ595" s="194"/>
      <c r="AK595" s="194"/>
      <c r="AL595" s="194"/>
      <c r="AM595" s="194"/>
    </row>
    <row r="596" spans="1:39" ht="15.75" customHeight="1" x14ac:dyDescent="0.25">
      <c r="A596" s="194"/>
      <c r="B596" s="194"/>
      <c r="C596" s="194"/>
      <c r="D596" s="194"/>
      <c r="E596" s="194"/>
      <c r="F596" s="194"/>
      <c r="G596" s="194"/>
      <c r="H596" s="194"/>
      <c r="I596" s="194"/>
      <c r="J596" s="194"/>
      <c r="K596" s="194"/>
      <c r="L596" s="194"/>
      <c r="M596" s="194"/>
      <c r="N596" s="194"/>
      <c r="O596" s="194"/>
      <c r="P596" s="194"/>
      <c r="Q596" s="194"/>
      <c r="R596" s="194"/>
      <c r="S596" s="194"/>
      <c r="T596" s="194"/>
      <c r="U596" s="194"/>
      <c r="V596" s="194"/>
      <c r="W596" s="194"/>
      <c r="X596" s="194"/>
      <c r="Y596" s="194"/>
      <c r="Z596" s="194"/>
      <c r="AA596" s="194"/>
      <c r="AB596" s="194"/>
      <c r="AC596" s="194"/>
      <c r="AD596" s="194"/>
      <c r="AE596" s="194"/>
      <c r="AF596" s="194"/>
      <c r="AG596" s="194"/>
      <c r="AH596" s="194"/>
      <c r="AI596" s="194"/>
      <c r="AJ596" s="194"/>
      <c r="AK596" s="194"/>
      <c r="AL596" s="194"/>
      <c r="AM596" s="194"/>
    </row>
    <row r="597" spans="1:39" ht="15.75" customHeight="1" x14ac:dyDescent="0.25">
      <c r="A597" s="194"/>
      <c r="B597" s="194"/>
      <c r="C597" s="194"/>
      <c r="D597" s="194"/>
      <c r="E597" s="194"/>
      <c r="F597" s="194"/>
      <c r="G597" s="194"/>
      <c r="H597" s="194"/>
      <c r="I597" s="194"/>
      <c r="J597" s="194"/>
      <c r="K597" s="194"/>
      <c r="L597" s="194"/>
      <c r="M597" s="194"/>
      <c r="N597" s="194"/>
      <c r="O597" s="194"/>
      <c r="P597" s="194"/>
      <c r="Q597" s="194"/>
      <c r="R597" s="194"/>
      <c r="S597" s="194"/>
      <c r="T597" s="194"/>
      <c r="U597" s="194"/>
      <c r="V597" s="194"/>
      <c r="W597" s="194"/>
      <c r="X597" s="194"/>
      <c r="Y597" s="194"/>
      <c r="Z597" s="194"/>
      <c r="AA597" s="194"/>
      <c r="AB597" s="194"/>
      <c r="AC597" s="194"/>
      <c r="AD597" s="194"/>
      <c r="AE597" s="194"/>
      <c r="AF597" s="194"/>
      <c r="AG597" s="194"/>
      <c r="AH597" s="194"/>
      <c r="AI597" s="194"/>
      <c r="AJ597" s="194"/>
      <c r="AK597" s="194"/>
      <c r="AL597" s="194"/>
      <c r="AM597" s="194"/>
    </row>
    <row r="598" spans="1:39" ht="15.75" customHeight="1" x14ac:dyDescent="0.25">
      <c r="A598" s="194"/>
      <c r="B598" s="194"/>
      <c r="C598" s="194"/>
      <c r="D598" s="194"/>
      <c r="E598" s="194"/>
      <c r="F598" s="194"/>
      <c r="G598" s="194"/>
      <c r="H598" s="194"/>
      <c r="I598" s="194"/>
      <c r="J598" s="194"/>
      <c r="K598" s="194"/>
      <c r="L598" s="194"/>
      <c r="M598" s="194"/>
      <c r="N598" s="194"/>
      <c r="O598" s="194"/>
      <c r="P598" s="194"/>
      <c r="Q598" s="194"/>
      <c r="R598" s="194"/>
      <c r="S598" s="194"/>
      <c r="T598" s="194"/>
      <c r="U598" s="194"/>
      <c r="V598" s="194"/>
      <c r="W598" s="194"/>
      <c r="X598" s="194"/>
      <c r="Y598" s="194"/>
      <c r="Z598" s="194"/>
      <c r="AA598" s="194"/>
      <c r="AB598" s="194"/>
      <c r="AC598" s="194"/>
      <c r="AD598" s="194"/>
      <c r="AE598" s="194"/>
      <c r="AF598" s="194"/>
      <c r="AG598" s="194"/>
      <c r="AH598" s="194"/>
      <c r="AI598" s="194"/>
      <c r="AJ598" s="194"/>
      <c r="AK598" s="194"/>
      <c r="AL598" s="194"/>
      <c r="AM598" s="194"/>
    </row>
    <row r="599" spans="1:39" ht="15.75" customHeight="1" x14ac:dyDescent="0.25">
      <c r="A599" s="194"/>
      <c r="B599" s="194"/>
      <c r="C599" s="194"/>
      <c r="D599" s="194"/>
      <c r="E599" s="194"/>
      <c r="F599" s="194"/>
      <c r="G599" s="194"/>
      <c r="H599" s="194"/>
      <c r="I599" s="194"/>
      <c r="J599" s="194"/>
      <c r="K599" s="194"/>
      <c r="L599" s="194"/>
      <c r="M599" s="194"/>
      <c r="N599" s="194"/>
      <c r="O599" s="194"/>
      <c r="P599" s="194"/>
      <c r="Q599" s="194"/>
      <c r="R599" s="194"/>
      <c r="S599" s="194"/>
      <c r="T599" s="194"/>
      <c r="U599" s="194"/>
      <c r="V599" s="194"/>
      <c r="W599" s="194"/>
      <c r="X599" s="194"/>
      <c r="Y599" s="194"/>
      <c r="Z599" s="194"/>
      <c r="AA599" s="194"/>
      <c r="AB599" s="194"/>
      <c r="AC599" s="194"/>
      <c r="AD599" s="194"/>
      <c r="AE599" s="194"/>
      <c r="AF599" s="194"/>
      <c r="AG599" s="194"/>
      <c r="AH599" s="194"/>
      <c r="AI599" s="194"/>
      <c r="AJ599" s="194"/>
      <c r="AK599" s="194"/>
      <c r="AL599" s="194"/>
      <c r="AM599" s="194"/>
    </row>
    <row r="600" spans="1:39" ht="15.75" customHeight="1" x14ac:dyDescent="0.25">
      <c r="A600" s="194"/>
      <c r="B600" s="194"/>
      <c r="C600" s="194"/>
      <c r="D600" s="194"/>
      <c r="E600" s="194"/>
      <c r="F600" s="194"/>
      <c r="G600" s="194"/>
      <c r="H600" s="194"/>
      <c r="I600" s="194"/>
      <c r="J600" s="194"/>
      <c r="K600" s="194"/>
      <c r="L600" s="194"/>
      <c r="M600" s="194"/>
      <c r="N600" s="194"/>
      <c r="O600" s="194"/>
      <c r="P600" s="194"/>
      <c r="Q600" s="194"/>
      <c r="R600" s="194"/>
      <c r="S600" s="194"/>
      <c r="T600" s="194"/>
      <c r="U600" s="194"/>
      <c r="V600" s="194"/>
      <c r="W600" s="194"/>
      <c r="X600" s="194"/>
      <c r="Y600" s="194"/>
      <c r="Z600" s="194"/>
      <c r="AA600" s="194"/>
      <c r="AB600" s="194"/>
      <c r="AC600" s="194"/>
      <c r="AD600" s="194"/>
      <c r="AE600" s="194"/>
      <c r="AF600" s="194"/>
      <c r="AG600" s="194"/>
      <c r="AH600" s="194"/>
      <c r="AI600" s="194"/>
      <c r="AJ600" s="194"/>
      <c r="AK600" s="194"/>
      <c r="AL600" s="194"/>
      <c r="AM600" s="194"/>
    </row>
    <row r="601" spans="1:39" ht="15.75" customHeight="1" x14ac:dyDescent="0.25">
      <c r="A601" s="194"/>
      <c r="B601" s="194"/>
      <c r="C601" s="194"/>
      <c r="D601" s="194"/>
      <c r="E601" s="194"/>
      <c r="F601" s="194"/>
      <c r="G601" s="194"/>
      <c r="H601" s="194"/>
      <c r="I601" s="194"/>
      <c r="J601" s="194"/>
      <c r="K601" s="194"/>
      <c r="L601" s="194"/>
      <c r="M601" s="194"/>
      <c r="N601" s="194"/>
      <c r="O601" s="194"/>
      <c r="P601" s="194"/>
      <c r="Q601" s="194"/>
      <c r="R601" s="194"/>
      <c r="S601" s="194"/>
      <c r="T601" s="194"/>
      <c r="U601" s="194"/>
      <c r="V601" s="194"/>
      <c r="W601" s="194"/>
      <c r="X601" s="194"/>
      <c r="Y601" s="194"/>
      <c r="Z601" s="194"/>
      <c r="AA601" s="194"/>
      <c r="AB601" s="194"/>
      <c r="AC601" s="194"/>
      <c r="AD601" s="194"/>
      <c r="AE601" s="194"/>
      <c r="AF601" s="194"/>
      <c r="AG601" s="194"/>
      <c r="AH601" s="194"/>
      <c r="AI601" s="194"/>
      <c r="AJ601" s="194"/>
      <c r="AK601" s="194"/>
      <c r="AL601" s="194"/>
      <c r="AM601" s="194"/>
    </row>
    <row r="602" spans="1:39" ht="15.75" customHeight="1" x14ac:dyDescent="0.25">
      <c r="A602" s="194"/>
      <c r="B602" s="194"/>
      <c r="C602" s="194"/>
      <c r="D602" s="194"/>
      <c r="E602" s="194"/>
      <c r="F602" s="194"/>
      <c r="G602" s="194"/>
      <c r="H602" s="194"/>
      <c r="I602" s="194"/>
      <c r="J602" s="194"/>
      <c r="K602" s="194"/>
      <c r="L602" s="194"/>
      <c r="M602" s="194"/>
      <c r="N602" s="194"/>
      <c r="O602" s="194"/>
      <c r="P602" s="194"/>
      <c r="Q602" s="194"/>
      <c r="R602" s="194"/>
      <c r="S602" s="194"/>
      <c r="T602" s="194"/>
      <c r="U602" s="194"/>
      <c r="V602" s="194"/>
      <c r="W602" s="194"/>
      <c r="X602" s="194"/>
      <c r="Y602" s="194"/>
      <c r="Z602" s="194"/>
      <c r="AA602" s="194"/>
      <c r="AB602" s="194"/>
      <c r="AC602" s="194"/>
      <c r="AD602" s="194"/>
      <c r="AE602" s="194"/>
      <c r="AF602" s="194"/>
      <c r="AG602" s="194"/>
      <c r="AH602" s="194"/>
      <c r="AI602" s="194"/>
      <c r="AJ602" s="194"/>
      <c r="AK602" s="194"/>
      <c r="AL602" s="194"/>
      <c r="AM602" s="194"/>
    </row>
    <row r="603" spans="1:39" ht="15.75" customHeight="1" x14ac:dyDescent="0.25">
      <c r="A603" s="194"/>
      <c r="B603" s="194"/>
      <c r="C603" s="194"/>
      <c r="D603" s="194"/>
      <c r="E603" s="194"/>
      <c r="F603" s="194"/>
      <c r="G603" s="194"/>
      <c r="H603" s="194"/>
      <c r="I603" s="194"/>
      <c r="J603" s="194"/>
      <c r="K603" s="194"/>
      <c r="L603" s="194"/>
      <c r="M603" s="194"/>
      <c r="N603" s="194"/>
      <c r="O603" s="194"/>
      <c r="P603" s="194"/>
      <c r="Q603" s="194"/>
      <c r="R603" s="194"/>
      <c r="S603" s="194"/>
      <c r="T603" s="194"/>
      <c r="U603" s="194"/>
      <c r="V603" s="194"/>
      <c r="W603" s="194"/>
      <c r="X603" s="194"/>
      <c r="Y603" s="194"/>
      <c r="Z603" s="194"/>
      <c r="AA603" s="194"/>
      <c r="AB603" s="194"/>
      <c r="AC603" s="194"/>
      <c r="AD603" s="194"/>
      <c r="AE603" s="194"/>
      <c r="AF603" s="194"/>
      <c r="AG603" s="194"/>
      <c r="AH603" s="194"/>
      <c r="AI603" s="194"/>
      <c r="AJ603" s="194"/>
      <c r="AK603" s="194"/>
      <c r="AL603" s="194"/>
      <c r="AM603" s="194"/>
    </row>
    <row r="604" spans="1:39" ht="15.75" customHeight="1" x14ac:dyDescent="0.25">
      <c r="A604" s="194"/>
      <c r="B604" s="194"/>
      <c r="C604" s="194"/>
      <c r="D604" s="194"/>
      <c r="E604" s="194"/>
      <c r="F604" s="194"/>
      <c r="G604" s="194"/>
      <c r="H604" s="194"/>
      <c r="I604" s="194"/>
      <c r="J604" s="194"/>
      <c r="K604" s="194"/>
      <c r="L604" s="194"/>
      <c r="M604" s="194"/>
      <c r="N604" s="194"/>
      <c r="O604" s="194"/>
      <c r="P604" s="194"/>
      <c r="Q604" s="194"/>
      <c r="R604" s="194"/>
      <c r="S604" s="194"/>
      <c r="T604" s="194"/>
      <c r="U604" s="194"/>
      <c r="V604" s="194"/>
      <c r="W604" s="194"/>
      <c r="X604" s="194"/>
      <c r="Y604" s="194"/>
      <c r="Z604" s="194"/>
      <c r="AA604" s="194"/>
      <c r="AB604" s="194"/>
      <c r="AC604" s="194"/>
      <c r="AD604" s="194"/>
      <c r="AE604" s="194"/>
      <c r="AF604" s="194"/>
      <c r="AG604" s="194"/>
      <c r="AH604" s="194"/>
      <c r="AI604" s="194"/>
      <c r="AJ604" s="194"/>
      <c r="AK604" s="194"/>
      <c r="AL604" s="194"/>
      <c r="AM604" s="194"/>
    </row>
    <row r="605" spans="1:39" ht="15.75" customHeight="1" x14ac:dyDescent="0.25">
      <c r="A605" s="194"/>
      <c r="B605" s="194"/>
      <c r="C605" s="194"/>
      <c r="D605" s="194"/>
      <c r="E605" s="194"/>
      <c r="F605" s="194"/>
      <c r="G605" s="194"/>
      <c r="H605" s="194"/>
      <c r="I605" s="194"/>
      <c r="J605" s="194"/>
      <c r="K605" s="194"/>
      <c r="L605" s="194"/>
      <c r="M605" s="194"/>
      <c r="N605" s="194"/>
      <c r="O605" s="194"/>
      <c r="P605" s="194"/>
      <c r="Q605" s="194"/>
      <c r="R605" s="194"/>
      <c r="S605" s="194"/>
      <c r="T605" s="194"/>
      <c r="U605" s="194"/>
      <c r="V605" s="194"/>
      <c r="W605" s="194"/>
      <c r="X605" s="194"/>
      <c r="Y605" s="194"/>
      <c r="Z605" s="194"/>
      <c r="AA605" s="194"/>
      <c r="AB605" s="194"/>
      <c r="AC605" s="194"/>
      <c r="AD605" s="194"/>
      <c r="AE605" s="194"/>
      <c r="AF605" s="194"/>
      <c r="AG605" s="194"/>
      <c r="AH605" s="194"/>
      <c r="AI605" s="194"/>
      <c r="AJ605" s="194"/>
      <c r="AK605" s="194"/>
      <c r="AL605" s="194"/>
      <c r="AM605" s="194"/>
    </row>
    <row r="606" spans="1:39" ht="15.75" customHeight="1" x14ac:dyDescent="0.25">
      <c r="A606" s="194"/>
      <c r="B606" s="194"/>
      <c r="C606" s="194"/>
      <c r="D606" s="194"/>
      <c r="E606" s="194"/>
      <c r="F606" s="194"/>
      <c r="G606" s="194"/>
      <c r="H606" s="194"/>
      <c r="I606" s="194"/>
      <c r="J606" s="194"/>
      <c r="K606" s="194"/>
      <c r="L606" s="194"/>
      <c r="M606" s="194"/>
      <c r="N606" s="194"/>
      <c r="O606" s="194"/>
      <c r="P606" s="194"/>
      <c r="Q606" s="194"/>
      <c r="R606" s="194"/>
      <c r="S606" s="194"/>
      <c r="T606" s="194"/>
      <c r="U606" s="194"/>
      <c r="V606" s="194"/>
      <c r="W606" s="194"/>
      <c r="X606" s="194"/>
      <c r="Y606" s="194"/>
      <c r="Z606" s="194"/>
      <c r="AA606" s="194"/>
      <c r="AB606" s="194"/>
      <c r="AC606" s="194"/>
      <c r="AD606" s="194"/>
      <c r="AE606" s="194"/>
      <c r="AF606" s="194"/>
      <c r="AG606" s="194"/>
      <c r="AH606" s="194"/>
      <c r="AI606" s="194"/>
      <c r="AJ606" s="194"/>
      <c r="AK606" s="194"/>
      <c r="AL606" s="194"/>
      <c r="AM606" s="194"/>
    </row>
    <row r="607" spans="1:39" ht="15.75" customHeight="1" x14ac:dyDescent="0.25">
      <c r="A607" s="194"/>
      <c r="B607" s="194"/>
      <c r="C607" s="194"/>
      <c r="D607" s="194"/>
      <c r="E607" s="194"/>
      <c r="F607" s="194"/>
      <c r="G607" s="194"/>
      <c r="H607" s="194"/>
      <c r="I607" s="194"/>
      <c r="J607" s="194"/>
      <c r="K607" s="194"/>
      <c r="L607" s="194"/>
      <c r="M607" s="194"/>
      <c r="N607" s="194"/>
      <c r="O607" s="194"/>
      <c r="P607" s="194"/>
      <c r="Q607" s="194"/>
      <c r="R607" s="194"/>
      <c r="S607" s="194"/>
      <c r="T607" s="194"/>
      <c r="U607" s="194"/>
      <c r="V607" s="194"/>
      <c r="W607" s="194"/>
      <c r="X607" s="194"/>
      <c r="Y607" s="194"/>
      <c r="Z607" s="194"/>
      <c r="AA607" s="194"/>
      <c r="AB607" s="194"/>
      <c r="AC607" s="194"/>
      <c r="AD607" s="194"/>
      <c r="AE607" s="194"/>
      <c r="AF607" s="194"/>
      <c r="AG607" s="194"/>
      <c r="AH607" s="194"/>
      <c r="AI607" s="194"/>
      <c r="AJ607" s="194"/>
      <c r="AK607" s="194"/>
      <c r="AL607" s="194"/>
      <c r="AM607" s="194"/>
    </row>
    <row r="608" spans="1:39" ht="15.75" customHeight="1" x14ac:dyDescent="0.25">
      <c r="A608" s="194"/>
      <c r="B608" s="194"/>
      <c r="C608" s="194"/>
      <c r="D608" s="194"/>
      <c r="E608" s="194"/>
      <c r="F608" s="194"/>
      <c r="G608" s="194"/>
      <c r="H608" s="194"/>
      <c r="I608" s="194"/>
      <c r="J608" s="194"/>
      <c r="K608" s="194"/>
      <c r="L608" s="194"/>
      <c r="M608" s="194"/>
      <c r="N608" s="194"/>
      <c r="O608" s="194"/>
      <c r="P608" s="194"/>
      <c r="Q608" s="194"/>
      <c r="R608" s="194"/>
      <c r="S608" s="194"/>
      <c r="T608" s="194"/>
      <c r="U608" s="194"/>
      <c r="V608" s="194"/>
      <c r="W608" s="194"/>
      <c r="X608" s="194"/>
      <c r="Y608" s="194"/>
      <c r="Z608" s="194"/>
      <c r="AA608" s="194"/>
      <c r="AB608" s="194"/>
      <c r="AC608" s="194"/>
      <c r="AD608" s="194"/>
      <c r="AE608" s="194"/>
      <c r="AF608" s="194"/>
      <c r="AG608" s="194"/>
      <c r="AH608" s="194"/>
      <c r="AI608" s="194"/>
      <c r="AJ608" s="194"/>
      <c r="AK608" s="194"/>
      <c r="AL608" s="194"/>
      <c r="AM608" s="194"/>
    </row>
    <row r="609" spans="1:39" ht="15.75" customHeight="1" x14ac:dyDescent="0.25">
      <c r="A609" s="194"/>
      <c r="B609" s="194"/>
      <c r="C609" s="194"/>
      <c r="D609" s="194"/>
      <c r="E609" s="194"/>
      <c r="F609" s="194"/>
      <c r="G609" s="194"/>
      <c r="H609" s="194"/>
      <c r="I609" s="194"/>
      <c r="J609" s="194"/>
      <c r="K609" s="194"/>
      <c r="L609" s="194"/>
      <c r="M609" s="194"/>
      <c r="N609" s="194"/>
      <c r="O609" s="194"/>
      <c r="P609" s="194"/>
      <c r="Q609" s="194"/>
      <c r="R609" s="194"/>
      <c r="S609" s="194"/>
      <c r="T609" s="194"/>
      <c r="U609" s="194"/>
      <c r="V609" s="194"/>
      <c r="W609" s="194"/>
      <c r="X609" s="194"/>
      <c r="Y609" s="194"/>
      <c r="Z609" s="194"/>
      <c r="AA609" s="194"/>
      <c r="AB609" s="194"/>
      <c r="AC609" s="194"/>
      <c r="AD609" s="194"/>
      <c r="AE609" s="194"/>
      <c r="AF609" s="194"/>
      <c r="AG609" s="194"/>
      <c r="AH609" s="194"/>
      <c r="AI609" s="194"/>
      <c r="AJ609" s="194"/>
      <c r="AK609" s="194"/>
      <c r="AL609" s="194"/>
      <c r="AM609" s="194"/>
    </row>
    <row r="610" spans="1:39" ht="15.75" customHeight="1" x14ac:dyDescent="0.25">
      <c r="A610" s="194"/>
      <c r="B610" s="194"/>
      <c r="C610" s="194"/>
      <c r="D610" s="194"/>
      <c r="E610" s="194"/>
      <c r="F610" s="194"/>
      <c r="G610" s="194"/>
      <c r="H610" s="194"/>
      <c r="I610" s="194"/>
      <c r="J610" s="194"/>
      <c r="K610" s="194"/>
      <c r="L610" s="194"/>
      <c r="M610" s="194"/>
      <c r="N610" s="194"/>
      <c r="O610" s="194"/>
      <c r="P610" s="194"/>
      <c r="Q610" s="194"/>
      <c r="R610" s="194"/>
      <c r="S610" s="194"/>
      <c r="T610" s="194"/>
      <c r="U610" s="194"/>
      <c r="V610" s="194"/>
      <c r="W610" s="194"/>
      <c r="X610" s="194"/>
      <c r="Y610" s="194"/>
      <c r="Z610" s="194"/>
      <c r="AA610" s="194"/>
      <c r="AB610" s="194"/>
      <c r="AC610" s="194"/>
      <c r="AD610" s="194"/>
      <c r="AE610" s="194"/>
      <c r="AF610" s="194"/>
      <c r="AG610" s="194"/>
      <c r="AH610" s="194"/>
      <c r="AI610" s="194"/>
      <c r="AJ610" s="194"/>
      <c r="AK610" s="194"/>
      <c r="AL610" s="194"/>
      <c r="AM610" s="194"/>
    </row>
    <row r="611" spans="1:39" ht="15.75" customHeight="1" x14ac:dyDescent="0.25">
      <c r="A611" s="194"/>
      <c r="B611" s="194"/>
      <c r="C611" s="194"/>
      <c r="D611" s="194"/>
      <c r="E611" s="194"/>
      <c r="F611" s="194"/>
      <c r="G611" s="194"/>
      <c r="H611" s="194"/>
      <c r="I611" s="194"/>
      <c r="J611" s="194"/>
      <c r="K611" s="194"/>
      <c r="L611" s="194"/>
      <c r="M611" s="194"/>
      <c r="N611" s="194"/>
      <c r="O611" s="194"/>
      <c r="P611" s="194"/>
      <c r="Q611" s="194"/>
      <c r="R611" s="194"/>
      <c r="S611" s="194"/>
      <c r="T611" s="194"/>
      <c r="U611" s="194"/>
      <c r="V611" s="194"/>
      <c r="W611" s="194"/>
      <c r="X611" s="194"/>
      <c r="Y611" s="194"/>
      <c r="Z611" s="194"/>
      <c r="AA611" s="194"/>
      <c r="AB611" s="194"/>
      <c r="AC611" s="194"/>
      <c r="AD611" s="194"/>
      <c r="AE611" s="194"/>
      <c r="AF611" s="194"/>
      <c r="AG611" s="194"/>
      <c r="AH611" s="194"/>
      <c r="AI611" s="194"/>
      <c r="AJ611" s="194"/>
      <c r="AK611" s="194"/>
      <c r="AL611" s="194"/>
      <c r="AM611" s="194"/>
    </row>
    <row r="612" spans="1:39" ht="15.75" customHeight="1" x14ac:dyDescent="0.25">
      <c r="A612" s="194"/>
      <c r="B612" s="194"/>
      <c r="C612" s="194"/>
      <c r="D612" s="194"/>
      <c r="E612" s="194"/>
      <c r="F612" s="194"/>
      <c r="G612" s="194"/>
      <c r="H612" s="194"/>
      <c r="I612" s="194"/>
      <c r="J612" s="194"/>
      <c r="K612" s="194"/>
      <c r="L612" s="194"/>
      <c r="M612" s="194"/>
      <c r="N612" s="194"/>
      <c r="O612" s="194"/>
      <c r="P612" s="194"/>
      <c r="Q612" s="194"/>
      <c r="R612" s="194"/>
      <c r="S612" s="194"/>
      <c r="T612" s="194"/>
      <c r="U612" s="194"/>
      <c r="V612" s="194"/>
      <c r="W612" s="194"/>
      <c r="X612" s="194"/>
      <c r="Y612" s="194"/>
      <c r="Z612" s="194"/>
      <c r="AA612" s="194"/>
      <c r="AB612" s="194"/>
      <c r="AC612" s="194"/>
      <c r="AD612" s="194"/>
      <c r="AE612" s="194"/>
      <c r="AF612" s="194"/>
      <c r="AG612" s="194"/>
      <c r="AH612" s="194"/>
      <c r="AI612" s="194"/>
      <c r="AJ612" s="194"/>
      <c r="AK612" s="194"/>
      <c r="AL612" s="194"/>
      <c r="AM612" s="194"/>
    </row>
    <row r="613" spans="1:39" ht="15.75" customHeight="1" x14ac:dyDescent="0.25">
      <c r="A613" s="194"/>
      <c r="B613" s="194"/>
      <c r="C613" s="194"/>
      <c r="D613" s="194"/>
      <c r="E613" s="194"/>
      <c r="F613" s="194"/>
      <c r="G613" s="194"/>
      <c r="H613" s="194"/>
      <c r="I613" s="194"/>
      <c r="J613" s="194"/>
      <c r="K613" s="194"/>
      <c r="L613" s="194"/>
      <c r="M613" s="194"/>
      <c r="N613" s="194"/>
      <c r="O613" s="194"/>
      <c r="P613" s="194"/>
      <c r="Q613" s="194"/>
      <c r="R613" s="194"/>
      <c r="S613" s="194"/>
      <c r="T613" s="194"/>
      <c r="U613" s="194"/>
      <c r="V613" s="194"/>
      <c r="W613" s="194"/>
      <c r="X613" s="194"/>
      <c r="Y613" s="194"/>
      <c r="Z613" s="194"/>
      <c r="AA613" s="194"/>
      <c r="AB613" s="194"/>
      <c r="AC613" s="194"/>
      <c r="AD613" s="194"/>
      <c r="AE613" s="194"/>
      <c r="AF613" s="194"/>
      <c r="AG613" s="194"/>
      <c r="AH613" s="194"/>
      <c r="AI613" s="194"/>
      <c r="AJ613" s="194"/>
      <c r="AK613" s="194"/>
      <c r="AL613" s="194"/>
      <c r="AM613" s="194"/>
    </row>
    <row r="614" spans="1:39" ht="15.75" customHeight="1" x14ac:dyDescent="0.25">
      <c r="A614" s="194"/>
      <c r="B614" s="194"/>
      <c r="C614" s="194"/>
      <c r="D614" s="194"/>
      <c r="E614" s="194"/>
      <c r="F614" s="194"/>
      <c r="G614" s="194"/>
      <c r="H614" s="194"/>
      <c r="I614" s="194"/>
      <c r="J614" s="194"/>
      <c r="K614" s="194"/>
      <c r="L614" s="194"/>
      <c r="M614" s="194"/>
      <c r="N614" s="194"/>
      <c r="O614" s="194"/>
      <c r="P614" s="194"/>
      <c r="Q614" s="194"/>
      <c r="R614" s="194"/>
      <c r="S614" s="194"/>
      <c r="T614" s="194"/>
      <c r="U614" s="194"/>
      <c r="V614" s="194"/>
      <c r="W614" s="194"/>
      <c r="X614" s="194"/>
      <c r="Y614" s="194"/>
      <c r="Z614" s="194"/>
      <c r="AA614" s="194"/>
      <c r="AB614" s="194"/>
      <c r="AC614" s="194"/>
      <c r="AD614" s="194"/>
      <c r="AE614" s="194"/>
      <c r="AF614" s="194"/>
      <c r="AG614" s="194"/>
      <c r="AH614" s="194"/>
      <c r="AI614" s="194"/>
      <c r="AJ614" s="194"/>
      <c r="AK614" s="194"/>
      <c r="AL614" s="194"/>
      <c r="AM614" s="194"/>
    </row>
    <row r="615" spans="1:39" ht="15.75" customHeight="1" x14ac:dyDescent="0.25">
      <c r="A615" s="194"/>
      <c r="B615" s="194"/>
      <c r="C615" s="194"/>
      <c r="D615" s="194"/>
      <c r="E615" s="194"/>
      <c r="F615" s="194"/>
      <c r="G615" s="194"/>
      <c r="H615" s="194"/>
      <c r="I615" s="194"/>
      <c r="J615" s="194"/>
      <c r="K615" s="194"/>
      <c r="L615" s="194"/>
      <c r="M615" s="194"/>
      <c r="N615" s="194"/>
      <c r="O615" s="194"/>
      <c r="P615" s="194"/>
      <c r="Q615" s="194"/>
      <c r="R615" s="194"/>
      <c r="S615" s="194"/>
      <c r="T615" s="194"/>
      <c r="U615" s="194"/>
      <c r="V615" s="194"/>
      <c r="W615" s="194"/>
      <c r="X615" s="194"/>
      <c r="Y615" s="194"/>
      <c r="Z615" s="194"/>
      <c r="AA615" s="194"/>
      <c r="AB615" s="194"/>
      <c r="AC615" s="194"/>
      <c r="AD615" s="194"/>
      <c r="AE615" s="194"/>
      <c r="AF615" s="194"/>
      <c r="AG615" s="194"/>
      <c r="AH615" s="194"/>
      <c r="AI615" s="194"/>
      <c r="AJ615" s="194"/>
      <c r="AK615" s="194"/>
      <c r="AL615" s="194"/>
      <c r="AM615" s="194"/>
    </row>
    <row r="616" spans="1:39" ht="15.75" customHeight="1" x14ac:dyDescent="0.25">
      <c r="A616" s="194"/>
      <c r="B616" s="194"/>
      <c r="C616" s="194"/>
      <c r="D616" s="194"/>
      <c r="E616" s="194"/>
      <c r="F616" s="194"/>
      <c r="G616" s="194"/>
      <c r="H616" s="194"/>
      <c r="I616" s="194"/>
      <c r="J616" s="194"/>
      <c r="K616" s="194"/>
      <c r="L616" s="194"/>
      <c r="M616" s="194"/>
      <c r="N616" s="194"/>
      <c r="O616" s="194"/>
      <c r="P616" s="194"/>
      <c r="Q616" s="194"/>
      <c r="R616" s="194"/>
      <c r="S616" s="194"/>
      <c r="T616" s="194"/>
      <c r="U616" s="194"/>
      <c r="V616" s="194"/>
      <c r="W616" s="194"/>
      <c r="X616" s="194"/>
      <c r="Y616" s="194"/>
      <c r="Z616" s="194"/>
      <c r="AA616" s="194"/>
      <c r="AB616" s="194"/>
      <c r="AC616" s="194"/>
      <c r="AD616" s="194"/>
      <c r="AE616" s="194"/>
      <c r="AF616" s="194"/>
      <c r="AG616" s="194"/>
      <c r="AH616" s="194"/>
      <c r="AI616" s="194"/>
      <c r="AJ616" s="194"/>
      <c r="AK616" s="194"/>
      <c r="AL616" s="194"/>
      <c r="AM616" s="194"/>
    </row>
    <row r="617" spans="1:39" ht="15.75" customHeight="1" x14ac:dyDescent="0.25">
      <c r="A617" s="194"/>
      <c r="B617" s="194"/>
      <c r="C617" s="194"/>
      <c r="D617" s="194"/>
      <c r="E617" s="194"/>
      <c r="F617" s="194"/>
      <c r="G617" s="194"/>
      <c r="H617" s="194"/>
      <c r="I617" s="194"/>
      <c r="J617" s="194"/>
      <c r="K617" s="194"/>
      <c r="L617" s="194"/>
      <c r="M617" s="194"/>
      <c r="N617" s="194"/>
      <c r="O617" s="194"/>
      <c r="P617" s="194"/>
      <c r="Q617" s="194"/>
      <c r="R617" s="194"/>
      <c r="S617" s="194"/>
      <c r="T617" s="194"/>
      <c r="U617" s="194"/>
      <c r="V617" s="194"/>
      <c r="W617" s="194"/>
      <c r="X617" s="194"/>
      <c r="Y617" s="194"/>
      <c r="Z617" s="194"/>
      <c r="AA617" s="194"/>
      <c r="AB617" s="194"/>
      <c r="AC617" s="194"/>
      <c r="AD617" s="194"/>
      <c r="AE617" s="194"/>
      <c r="AF617" s="194"/>
      <c r="AG617" s="194"/>
      <c r="AH617" s="194"/>
      <c r="AI617" s="194"/>
      <c r="AJ617" s="194"/>
      <c r="AK617" s="194"/>
      <c r="AL617" s="194"/>
      <c r="AM617" s="194"/>
    </row>
    <row r="618" spans="1:39" ht="15.75" customHeight="1" x14ac:dyDescent="0.25">
      <c r="A618" s="194"/>
      <c r="B618" s="194"/>
      <c r="C618" s="194"/>
      <c r="D618" s="194"/>
      <c r="E618" s="194"/>
      <c r="F618" s="194"/>
      <c r="G618" s="194"/>
      <c r="H618" s="194"/>
      <c r="I618" s="194"/>
      <c r="J618" s="194"/>
      <c r="K618" s="194"/>
      <c r="L618" s="194"/>
      <c r="M618" s="194"/>
      <c r="N618" s="194"/>
      <c r="O618" s="194"/>
      <c r="P618" s="194"/>
      <c r="Q618" s="194"/>
      <c r="R618" s="194"/>
      <c r="S618" s="194"/>
      <c r="T618" s="194"/>
      <c r="U618" s="194"/>
      <c r="V618" s="194"/>
      <c r="W618" s="194"/>
      <c r="X618" s="194"/>
      <c r="Y618" s="194"/>
      <c r="Z618" s="194"/>
      <c r="AA618" s="194"/>
      <c r="AB618" s="194"/>
      <c r="AC618" s="194"/>
      <c r="AD618" s="194"/>
      <c r="AE618" s="194"/>
      <c r="AF618" s="194"/>
      <c r="AG618" s="194"/>
      <c r="AH618" s="194"/>
      <c r="AI618" s="194"/>
      <c r="AJ618" s="194"/>
      <c r="AK618" s="194"/>
      <c r="AL618" s="194"/>
      <c r="AM618" s="194"/>
    </row>
    <row r="619" spans="1:39" ht="15.75" customHeight="1" x14ac:dyDescent="0.25">
      <c r="A619" s="194"/>
      <c r="B619" s="194"/>
      <c r="C619" s="194"/>
      <c r="D619" s="194"/>
      <c r="E619" s="194"/>
      <c r="F619" s="194"/>
      <c r="G619" s="194"/>
      <c r="H619" s="194"/>
      <c r="I619" s="194"/>
      <c r="J619" s="194"/>
      <c r="K619" s="194"/>
      <c r="L619" s="194"/>
      <c r="M619" s="194"/>
      <c r="N619" s="194"/>
      <c r="O619" s="194"/>
      <c r="P619" s="194"/>
      <c r="Q619" s="194"/>
      <c r="R619" s="194"/>
      <c r="S619" s="194"/>
      <c r="T619" s="194"/>
      <c r="U619" s="194"/>
      <c r="V619" s="194"/>
      <c r="W619" s="194"/>
      <c r="X619" s="194"/>
      <c r="Y619" s="194"/>
      <c r="Z619" s="194"/>
      <c r="AA619" s="194"/>
      <c r="AB619" s="194"/>
      <c r="AC619" s="194"/>
      <c r="AD619" s="194"/>
      <c r="AE619" s="194"/>
      <c r="AF619" s="194"/>
      <c r="AG619" s="194"/>
      <c r="AH619" s="194"/>
      <c r="AI619" s="194"/>
      <c r="AJ619" s="194"/>
      <c r="AK619" s="194"/>
      <c r="AL619" s="194"/>
      <c r="AM619" s="194"/>
    </row>
    <row r="620" spans="1:39" ht="15.75" customHeight="1" x14ac:dyDescent="0.25">
      <c r="A620" s="194"/>
      <c r="B620" s="194"/>
      <c r="C620" s="194"/>
      <c r="D620" s="194"/>
      <c r="E620" s="194"/>
      <c r="F620" s="194"/>
      <c r="G620" s="194"/>
      <c r="H620" s="194"/>
      <c r="I620" s="194"/>
      <c r="J620" s="194"/>
      <c r="K620" s="194"/>
      <c r="L620" s="194"/>
      <c r="M620" s="194"/>
      <c r="N620" s="194"/>
      <c r="O620" s="194"/>
      <c r="P620" s="194"/>
      <c r="Q620" s="194"/>
      <c r="R620" s="194"/>
      <c r="S620" s="194"/>
      <c r="T620" s="194"/>
      <c r="U620" s="194"/>
      <c r="V620" s="194"/>
      <c r="W620" s="194"/>
      <c r="X620" s="194"/>
      <c r="Y620" s="194"/>
      <c r="Z620" s="194"/>
      <c r="AA620" s="194"/>
      <c r="AB620" s="194"/>
      <c r="AC620" s="194"/>
      <c r="AD620" s="194"/>
      <c r="AE620" s="194"/>
      <c r="AF620" s="194"/>
      <c r="AG620" s="194"/>
      <c r="AH620" s="194"/>
      <c r="AI620" s="194"/>
      <c r="AJ620" s="194"/>
      <c r="AK620" s="194"/>
      <c r="AL620" s="194"/>
      <c r="AM620" s="194"/>
    </row>
    <row r="621" spans="1:39" ht="15.75" customHeight="1" x14ac:dyDescent="0.25">
      <c r="A621" s="194"/>
      <c r="B621" s="194"/>
      <c r="C621" s="194"/>
      <c r="D621" s="194"/>
      <c r="E621" s="194"/>
      <c r="F621" s="194"/>
      <c r="G621" s="194"/>
      <c r="H621" s="194"/>
      <c r="I621" s="194"/>
      <c r="J621" s="194"/>
      <c r="K621" s="194"/>
      <c r="L621" s="194"/>
      <c r="M621" s="194"/>
      <c r="N621" s="194"/>
      <c r="O621" s="194"/>
      <c r="P621" s="194"/>
      <c r="Q621" s="194"/>
      <c r="R621" s="194"/>
      <c r="S621" s="194"/>
      <c r="T621" s="194"/>
      <c r="U621" s="194"/>
      <c r="V621" s="194"/>
      <c r="W621" s="194"/>
      <c r="X621" s="194"/>
      <c r="Y621" s="194"/>
      <c r="Z621" s="194"/>
      <c r="AA621" s="194"/>
      <c r="AB621" s="194"/>
      <c r="AC621" s="194"/>
      <c r="AD621" s="194"/>
      <c r="AE621" s="194"/>
      <c r="AF621" s="194"/>
      <c r="AG621" s="194"/>
      <c r="AH621" s="194"/>
      <c r="AI621" s="194"/>
      <c r="AJ621" s="194"/>
      <c r="AK621" s="194"/>
      <c r="AL621" s="194"/>
      <c r="AM621" s="194"/>
    </row>
    <row r="622" spans="1:39" ht="15.75" customHeight="1" x14ac:dyDescent="0.25">
      <c r="A622" s="194"/>
      <c r="B622" s="194"/>
      <c r="C622" s="194"/>
      <c r="D622" s="194"/>
      <c r="E622" s="194"/>
      <c r="F622" s="194"/>
      <c r="G622" s="194"/>
      <c r="H622" s="194"/>
      <c r="I622" s="194"/>
      <c r="J622" s="194"/>
      <c r="K622" s="194"/>
      <c r="L622" s="194"/>
      <c r="M622" s="194"/>
      <c r="N622" s="194"/>
      <c r="O622" s="194"/>
      <c r="P622" s="194"/>
      <c r="Q622" s="194"/>
      <c r="R622" s="194"/>
      <c r="S622" s="194"/>
      <c r="T622" s="194"/>
      <c r="U622" s="194"/>
      <c r="V622" s="194"/>
      <c r="W622" s="194"/>
      <c r="X622" s="194"/>
      <c r="Y622" s="194"/>
      <c r="Z622" s="194"/>
      <c r="AA622" s="194"/>
      <c r="AB622" s="194"/>
      <c r="AC622" s="194"/>
      <c r="AD622" s="194"/>
      <c r="AE622" s="194"/>
      <c r="AF622" s="194"/>
      <c r="AG622" s="194"/>
      <c r="AH622" s="194"/>
      <c r="AI622" s="194"/>
      <c r="AJ622" s="194"/>
      <c r="AK622" s="194"/>
      <c r="AL622" s="194"/>
      <c r="AM622" s="194"/>
    </row>
    <row r="623" spans="1:39" ht="15.75" customHeight="1" x14ac:dyDescent="0.25">
      <c r="A623" s="194"/>
      <c r="B623" s="194"/>
      <c r="C623" s="194"/>
      <c r="D623" s="194"/>
      <c r="E623" s="194"/>
      <c r="F623" s="194"/>
      <c r="G623" s="194"/>
      <c r="H623" s="194"/>
      <c r="I623" s="194"/>
      <c r="J623" s="194"/>
      <c r="K623" s="194"/>
      <c r="L623" s="194"/>
      <c r="M623" s="194"/>
      <c r="N623" s="194"/>
      <c r="O623" s="194"/>
      <c r="P623" s="194"/>
      <c r="Q623" s="194"/>
      <c r="R623" s="194"/>
      <c r="S623" s="194"/>
      <c r="T623" s="194"/>
      <c r="U623" s="194"/>
      <c r="V623" s="194"/>
      <c r="W623" s="194"/>
      <c r="X623" s="194"/>
      <c r="Y623" s="194"/>
      <c r="Z623" s="194"/>
      <c r="AA623" s="194"/>
      <c r="AB623" s="194"/>
      <c r="AC623" s="194"/>
      <c r="AD623" s="194"/>
      <c r="AE623" s="194"/>
      <c r="AF623" s="194"/>
      <c r="AG623" s="194"/>
      <c r="AH623" s="194"/>
      <c r="AI623" s="194"/>
      <c r="AJ623" s="194"/>
      <c r="AK623" s="194"/>
      <c r="AL623" s="194"/>
      <c r="AM623" s="194"/>
    </row>
    <row r="624" spans="1:39" ht="15.75" customHeight="1" x14ac:dyDescent="0.25">
      <c r="A624" s="194"/>
      <c r="B624" s="194"/>
      <c r="C624" s="194"/>
      <c r="D624" s="194"/>
      <c r="E624" s="194"/>
      <c r="F624" s="194"/>
      <c r="G624" s="194"/>
      <c r="H624" s="194"/>
      <c r="I624" s="194"/>
      <c r="J624" s="194"/>
      <c r="K624" s="194"/>
      <c r="L624" s="194"/>
      <c r="M624" s="194"/>
      <c r="N624" s="194"/>
      <c r="O624" s="194"/>
      <c r="P624" s="194"/>
      <c r="Q624" s="194"/>
      <c r="R624" s="194"/>
      <c r="S624" s="194"/>
      <c r="T624" s="194"/>
      <c r="U624" s="194"/>
      <c r="V624" s="194"/>
      <c r="W624" s="194"/>
      <c r="X624" s="194"/>
      <c r="Y624" s="194"/>
      <c r="Z624" s="194"/>
      <c r="AA624" s="194"/>
      <c r="AB624" s="194"/>
      <c r="AC624" s="194"/>
      <c r="AD624" s="194"/>
      <c r="AE624" s="194"/>
      <c r="AF624" s="194"/>
      <c r="AG624" s="194"/>
      <c r="AH624" s="194"/>
      <c r="AI624" s="194"/>
      <c r="AJ624" s="194"/>
      <c r="AK624" s="194"/>
      <c r="AL624" s="194"/>
      <c r="AM624" s="194"/>
    </row>
    <row r="625" spans="1:39" ht="15.75" customHeight="1" x14ac:dyDescent="0.25">
      <c r="A625" s="194"/>
      <c r="B625" s="194"/>
      <c r="C625" s="194"/>
      <c r="D625" s="194"/>
      <c r="E625" s="194"/>
      <c r="F625" s="194"/>
      <c r="G625" s="194"/>
      <c r="H625" s="194"/>
      <c r="I625" s="194"/>
      <c r="J625" s="194"/>
      <c r="K625" s="194"/>
      <c r="L625" s="194"/>
      <c r="M625" s="194"/>
      <c r="N625" s="194"/>
      <c r="O625" s="194"/>
      <c r="P625" s="194"/>
      <c r="Q625" s="194"/>
      <c r="R625" s="194"/>
      <c r="S625" s="194"/>
      <c r="T625" s="194"/>
      <c r="U625" s="194"/>
      <c r="V625" s="194"/>
      <c r="W625" s="194"/>
      <c r="X625" s="194"/>
      <c r="Y625" s="194"/>
      <c r="Z625" s="194"/>
      <c r="AA625" s="194"/>
      <c r="AB625" s="194"/>
      <c r="AC625" s="194"/>
      <c r="AD625" s="194"/>
      <c r="AE625" s="194"/>
      <c r="AF625" s="194"/>
      <c r="AG625" s="194"/>
      <c r="AH625" s="194"/>
      <c r="AI625" s="194"/>
      <c r="AJ625" s="194"/>
      <c r="AK625" s="194"/>
      <c r="AL625" s="194"/>
      <c r="AM625" s="194"/>
    </row>
    <row r="626" spans="1:39" ht="15.75" customHeight="1" x14ac:dyDescent="0.25">
      <c r="A626" s="194"/>
      <c r="B626" s="194"/>
      <c r="C626" s="194"/>
      <c r="D626" s="194"/>
      <c r="E626" s="194"/>
      <c r="F626" s="194"/>
      <c r="G626" s="194"/>
      <c r="H626" s="194"/>
      <c r="I626" s="194"/>
      <c r="J626" s="194"/>
      <c r="K626" s="194"/>
      <c r="L626" s="194"/>
      <c r="M626" s="194"/>
      <c r="N626" s="194"/>
      <c r="O626" s="194"/>
      <c r="P626" s="194"/>
      <c r="Q626" s="194"/>
      <c r="R626" s="194"/>
      <c r="S626" s="194"/>
      <c r="T626" s="194"/>
      <c r="U626" s="194"/>
      <c r="V626" s="194"/>
      <c r="W626" s="194"/>
      <c r="X626" s="194"/>
      <c r="Y626" s="194"/>
      <c r="Z626" s="194"/>
      <c r="AA626" s="194"/>
      <c r="AB626" s="194"/>
      <c r="AC626" s="194"/>
      <c r="AD626" s="194"/>
      <c r="AE626" s="194"/>
      <c r="AF626" s="194"/>
      <c r="AG626" s="194"/>
      <c r="AH626" s="194"/>
      <c r="AI626" s="194"/>
      <c r="AJ626" s="194"/>
      <c r="AK626" s="194"/>
      <c r="AL626" s="194"/>
      <c r="AM626" s="194"/>
    </row>
    <row r="627" spans="1:39" ht="15.75" customHeight="1" x14ac:dyDescent="0.25">
      <c r="A627" s="194"/>
      <c r="B627" s="194"/>
      <c r="C627" s="194"/>
      <c r="D627" s="194"/>
      <c r="E627" s="194"/>
      <c r="F627" s="194"/>
      <c r="G627" s="194"/>
      <c r="H627" s="194"/>
      <c r="I627" s="194"/>
      <c r="J627" s="194"/>
      <c r="K627" s="194"/>
      <c r="L627" s="194"/>
      <c r="M627" s="194"/>
      <c r="N627" s="194"/>
      <c r="O627" s="194"/>
      <c r="P627" s="194"/>
      <c r="Q627" s="194"/>
      <c r="R627" s="194"/>
      <c r="S627" s="194"/>
      <c r="T627" s="194"/>
      <c r="U627" s="194"/>
      <c r="V627" s="194"/>
      <c r="W627" s="194"/>
      <c r="X627" s="194"/>
      <c r="Y627" s="194"/>
      <c r="Z627" s="194"/>
      <c r="AA627" s="194"/>
      <c r="AB627" s="194"/>
      <c r="AC627" s="194"/>
      <c r="AD627" s="194"/>
      <c r="AE627" s="194"/>
      <c r="AF627" s="194"/>
      <c r="AG627" s="194"/>
      <c r="AH627" s="194"/>
      <c r="AI627" s="194"/>
      <c r="AJ627" s="194"/>
      <c r="AK627" s="194"/>
      <c r="AL627" s="194"/>
      <c r="AM627" s="194"/>
    </row>
    <row r="628" spans="1:39" ht="15.75" customHeight="1" x14ac:dyDescent="0.25">
      <c r="A628" s="194"/>
      <c r="B628" s="194"/>
      <c r="C628" s="194"/>
      <c r="D628" s="194"/>
      <c r="E628" s="194"/>
      <c r="F628" s="194"/>
      <c r="G628" s="194"/>
      <c r="H628" s="194"/>
      <c r="I628" s="194"/>
      <c r="J628" s="194"/>
      <c r="K628" s="194"/>
      <c r="L628" s="194"/>
      <c r="M628" s="194"/>
      <c r="N628" s="194"/>
      <c r="O628" s="194"/>
      <c r="P628" s="194"/>
      <c r="Q628" s="194"/>
      <c r="R628" s="194"/>
      <c r="S628" s="194"/>
      <c r="T628" s="194"/>
      <c r="U628" s="194"/>
      <c r="V628" s="194"/>
      <c r="W628" s="194"/>
      <c r="X628" s="194"/>
      <c r="Y628" s="194"/>
      <c r="Z628" s="194"/>
      <c r="AA628" s="194"/>
      <c r="AB628" s="194"/>
      <c r="AC628" s="194"/>
      <c r="AD628" s="194"/>
      <c r="AE628" s="194"/>
      <c r="AF628" s="194"/>
      <c r="AG628" s="194"/>
      <c r="AH628" s="194"/>
      <c r="AI628" s="194"/>
      <c r="AJ628" s="194"/>
      <c r="AK628" s="194"/>
      <c r="AL628" s="194"/>
      <c r="AM628" s="194"/>
    </row>
    <row r="629" spans="1:39" ht="15.75" customHeight="1" x14ac:dyDescent="0.25">
      <c r="A629" s="194"/>
      <c r="B629" s="194"/>
      <c r="C629" s="194"/>
      <c r="D629" s="194"/>
      <c r="E629" s="194"/>
      <c r="F629" s="194"/>
      <c r="G629" s="194"/>
      <c r="H629" s="194"/>
      <c r="I629" s="194"/>
      <c r="J629" s="194"/>
      <c r="K629" s="194"/>
      <c r="L629" s="194"/>
      <c r="M629" s="194"/>
      <c r="N629" s="194"/>
      <c r="O629" s="194"/>
      <c r="P629" s="194"/>
      <c r="Q629" s="194"/>
      <c r="R629" s="194"/>
      <c r="S629" s="194"/>
      <c r="T629" s="194"/>
      <c r="U629" s="194"/>
      <c r="V629" s="194"/>
      <c r="W629" s="194"/>
      <c r="X629" s="194"/>
      <c r="Y629" s="194"/>
      <c r="Z629" s="194"/>
      <c r="AA629" s="194"/>
      <c r="AB629" s="194"/>
      <c r="AC629" s="194"/>
      <c r="AD629" s="194"/>
      <c r="AE629" s="194"/>
      <c r="AF629" s="194"/>
      <c r="AG629" s="194"/>
      <c r="AH629" s="194"/>
      <c r="AI629" s="194"/>
      <c r="AJ629" s="194"/>
      <c r="AK629" s="194"/>
      <c r="AL629" s="194"/>
      <c r="AM629" s="194"/>
    </row>
    <row r="630" spans="1:39" ht="15.75" customHeight="1" x14ac:dyDescent="0.25">
      <c r="A630" s="194"/>
      <c r="B630" s="194"/>
      <c r="C630" s="194"/>
      <c r="D630" s="194"/>
      <c r="E630" s="194"/>
      <c r="F630" s="194"/>
      <c r="G630" s="194"/>
      <c r="H630" s="194"/>
      <c r="I630" s="194"/>
      <c r="J630" s="194"/>
      <c r="K630" s="194"/>
      <c r="L630" s="194"/>
      <c r="M630" s="194"/>
      <c r="N630" s="194"/>
      <c r="O630" s="194"/>
      <c r="P630" s="194"/>
      <c r="Q630" s="194"/>
      <c r="R630" s="194"/>
      <c r="S630" s="194"/>
      <c r="T630" s="194"/>
      <c r="U630" s="194"/>
      <c r="V630" s="194"/>
      <c r="W630" s="194"/>
      <c r="X630" s="194"/>
      <c r="Y630" s="194"/>
      <c r="Z630" s="194"/>
      <c r="AA630" s="194"/>
      <c r="AB630" s="194"/>
      <c r="AC630" s="194"/>
      <c r="AD630" s="194"/>
      <c r="AE630" s="194"/>
      <c r="AF630" s="194"/>
      <c r="AG630" s="194"/>
      <c r="AH630" s="194"/>
      <c r="AI630" s="194"/>
      <c r="AJ630" s="194"/>
      <c r="AK630" s="194"/>
      <c r="AL630" s="194"/>
      <c r="AM630" s="194"/>
    </row>
    <row r="631" spans="1:39" ht="15.75" customHeight="1" x14ac:dyDescent="0.25">
      <c r="A631" s="194"/>
      <c r="B631" s="194"/>
      <c r="C631" s="194"/>
      <c r="D631" s="194"/>
      <c r="E631" s="194"/>
      <c r="F631" s="194"/>
      <c r="G631" s="194"/>
      <c r="H631" s="194"/>
      <c r="I631" s="194"/>
      <c r="J631" s="194"/>
      <c r="K631" s="194"/>
      <c r="L631" s="194"/>
      <c r="M631" s="194"/>
      <c r="N631" s="194"/>
      <c r="O631" s="194"/>
      <c r="P631" s="194"/>
      <c r="Q631" s="194"/>
      <c r="R631" s="194"/>
      <c r="S631" s="194"/>
      <c r="T631" s="194"/>
      <c r="U631" s="194"/>
      <c r="V631" s="194"/>
      <c r="W631" s="194"/>
      <c r="X631" s="194"/>
      <c r="Y631" s="194"/>
      <c r="Z631" s="194"/>
      <c r="AA631" s="194"/>
      <c r="AB631" s="194"/>
      <c r="AC631" s="194"/>
      <c r="AD631" s="194"/>
      <c r="AE631" s="194"/>
      <c r="AF631" s="194"/>
      <c r="AG631" s="194"/>
      <c r="AH631" s="194"/>
      <c r="AI631" s="194"/>
      <c r="AJ631" s="194"/>
      <c r="AK631" s="194"/>
      <c r="AL631" s="194"/>
      <c r="AM631" s="194"/>
    </row>
    <row r="632" spans="1:39" ht="15.75" customHeight="1" x14ac:dyDescent="0.25">
      <c r="A632" s="194"/>
      <c r="B632" s="194"/>
      <c r="C632" s="194"/>
      <c r="D632" s="194"/>
      <c r="E632" s="194"/>
      <c r="F632" s="194"/>
      <c r="G632" s="194"/>
      <c r="H632" s="194"/>
      <c r="I632" s="194"/>
      <c r="J632" s="194"/>
      <c r="K632" s="194"/>
      <c r="L632" s="194"/>
      <c r="M632" s="194"/>
      <c r="N632" s="194"/>
      <c r="O632" s="194"/>
      <c r="P632" s="194"/>
      <c r="Q632" s="194"/>
      <c r="R632" s="194"/>
      <c r="S632" s="194"/>
      <c r="T632" s="194"/>
      <c r="U632" s="194"/>
      <c r="V632" s="194"/>
      <c r="W632" s="194"/>
      <c r="X632" s="194"/>
      <c r="Y632" s="194"/>
      <c r="Z632" s="194"/>
      <c r="AA632" s="194"/>
      <c r="AB632" s="194"/>
      <c r="AC632" s="194"/>
      <c r="AD632" s="194"/>
      <c r="AE632" s="194"/>
      <c r="AF632" s="194"/>
      <c r="AG632" s="194"/>
      <c r="AH632" s="194"/>
      <c r="AI632" s="194"/>
      <c r="AJ632" s="194"/>
      <c r="AK632" s="194"/>
      <c r="AL632" s="194"/>
      <c r="AM632" s="194"/>
    </row>
    <row r="633" spans="1:39" ht="15.75" customHeight="1" x14ac:dyDescent="0.25">
      <c r="A633" s="194"/>
      <c r="B633" s="194"/>
      <c r="C633" s="194"/>
      <c r="D633" s="194"/>
      <c r="E633" s="194"/>
      <c r="F633" s="194"/>
      <c r="G633" s="194"/>
      <c r="H633" s="194"/>
      <c r="I633" s="194"/>
      <c r="J633" s="194"/>
      <c r="K633" s="194"/>
      <c r="L633" s="194"/>
      <c r="M633" s="194"/>
      <c r="N633" s="194"/>
      <c r="O633" s="194"/>
      <c r="P633" s="194"/>
      <c r="Q633" s="194"/>
      <c r="R633" s="194"/>
      <c r="S633" s="194"/>
      <c r="T633" s="194"/>
      <c r="U633" s="194"/>
      <c r="V633" s="194"/>
      <c r="W633" s="194"/>
      <c r="X633" s="194"/>
      <c r="Y633" s="194"/>
      <c r="Z633" s="194"/>
      <c r="AA633" s="194"/>
      <c r="AB633" s="194"/>
      <c r="AC633" s="194"/>
      <c r="AD633" s="194"/>
      <c r="AE633" s="194"/>
      <c r="AF633" s="194"/>
      <c r="AG633" s="194"/>
      <c r="AH633" s="194"/>
      <c r="AI633" s="194"/>
      <c r="AJ633" s="194"/>
      <c r="AK633" s="194"/>
      <c r="AL633" s="194"/>
      <c r="AM633" s="194"/>
    </row>
    <row r="634" spans="1:39" ht="15.75" customHeight="1" x14ac:dyDescent="0.25">
      <c r="A634" s="194"/>
      <c r="B634" s="194"/>
      <c r="C634" s="194"/>
      <c r="D634" s="194"/>
      <c r="E634" s="194"/>
      <c r="F634" s="194"/>
      <c r="G634" s="194"/>
      <c r="H634" s="194"/>
      <c r="I634" s="194"/>
      <c r="J634" s="194"/>
      <c r="K634" s="194"/>
      <c r="L634" s="194"/>
      <c r="M634" s="194"/>
      <c r="N634" s="194"/>
      <c r="O634" s="194"/>
      <c r="P634" s="194"/>
      <c r="Q634" s="194"/>
      <c r="R634" s="194"/>
      <c r="S634" s="194"/>
      <c r="T634" s="194"/>
      <c r="U634" s="194"/>
      <c r="V634" s="194"/>
      <c r="W634" s="194"/>
      <c r="X634" s="194"/>
      <c r="Y634" s="194"/>
      <c r="Z634" s="194"/>
      <c r="AA634" s="194"/>
      <c r="AB634" s="194"/>
      <c r="AC634" s="194"/>
      <c r="AD634" s="194"/>
      <c r="AE634" s="194"/>
      <c r="AF634" s="194"/>
      <c r="AG634" s="194"/>
      <c r="AH634" s="194"/>
      <c r="AI634" s="194"/>
      <c r="AJ634" s="194"/>
      <c r="AK634" s="194"/>
      <c r="AL634" s="194"/>
      <c r="AM634" s="194"/>
    </row>
    <row r="635" spans="1:39" ht="15.75" customHeight="1" x14ac:dyDescent="0.25">
      <c r="A635" s="194"/>
      <c r="B635" s="194"/>
      <c r="C635" s="194"/>
      <c r="D635" s="194"/>
      <c r="E635" s="194"/>
      <c r="F635" s="194"/>
      <c r="G635" s="194"/>
      <c r="H635" s="194"/>
      <c r="I635" s="194"/>
      <c r="J635" s="194"/>
      <c r="K635" s="194"/>
      <c r="L635" s="194"/>
      <c r="M635" s="194"/>
      <c r="N635" s="194"/>
      <c r="O635" s="194"/>
      <c r="P635" s="194"/>
      <c r="Q635" s="194"/>
      <c r="R635" s="194"/>
      <c r="S635" s="194"/>
      <c r="T635" s="194"/>
      <c r="U635" s="194"/>
      <c r="V635" s="194"/>
      <c r="W635" s="194"/>
      <c r="X635" s="194"/>
      <c r="Y635" s="194"/>
      <c r="Z635" s="194"/>
      <c r="AA635" s="194"/>
      <c r="AB635" s="194"/>
      <c r="AC635" s="194"/>
      <c r="AD635" s="194"/>
      <c r="AE635" s="194"/>
      <c r="AF635" s="194"/>
      <c r="AG635" s="194"/>
      <c r="AH635" s="194"/>
      <c r="AI635" s="194"/>
      <c r="AJ635" s="194"/>
      <c r="AK635" s="194"/>
      <c r="AL635" s="194"/>
      <c r="AM635" s="194"/>
    </row>
    <row r="636" spans="1:39" ht="15.75" customHeight="1" x14ac:dyDescent="0.25">
      <c r="A636" s="194"/>
      <c r="B636" s="194"/>
      <c r="C636" s="194"/>
      <c r="D636" s="194"/>
      <c r="E636" s="194"/>
      <c r="F636" s="194"/>
      <c r="G636" s="194"/>
      <c r="H636" s="194"/>
      <c r="I636" s="194"/>
      <c r="J636" s="194"/>
      <c r="K636" s="194"/>
      <c r="L636" s="194"/>
      <c r="M636" s="194"/>
      <c r="N636" s="194"/>
      <c r="O636" s="194"/>
      <c r="P636" s="194"/>
      <c r="Q636" s="194"/>
      <c r="R636" s="194"/>
      <c r="S636" s="194"/>
      <c r="T636" s="194"/>
      <c r="U636" s="194"/>
      <c r="V636" s="194"/>
      <c r="W636" s="194"/>
      <c r="X636" s="194"/>
      <c r="Y636" s="194"/>
      <c r="Z636" s="194"/>
      <c r="AA636" s="194"/>
      <c r="AB636" s="194"/>
      <c r="AC636" s="194"/>
      <c r="AD636" s="194"/>
      <c r="AE636" s="194"/>
      <c r="AF636" s="194"/>
      <c r="AG636" s="194"/>
      <c r="AH636" s="194"/>
      <c r="AI636" s="194"/>
      <c r="AJ636" s="194"/>
      <c r="AK636" s="194"/>
      <c r="AL636" s="194"/>
      <c r="AM636" s="194"/>
    </row>
    <row r="637" spans="1:39" ht="15.75" customHeight="1" x14ac:dyDescent="0.25">
      <c r="A637" s="194"/>
      <c r="B637" s="194"/>
      <c r="C637" s="194"/>
      <c r="D637" s="194"/>
      <c r="E637" s="194"/>
      <c r="F637" s="194"/>
      <c r="G637" s="194"/>
      <c r="H637" s="194"/>
      <c r="I637" s="194"/>
      <c r="J637" s="194"/>
      <c r="K637" s="194"/>
      <c r="L637" s="194"/>
      <c r="M637" s="194"/>
      <c r="N637" s="194"/>
      <c r="O637" s="194"/>
      <c r="P637" s="194"/>
      <c r="Q637" s="194"/>
      <c r="R637" s="194"/>
      <c r="S637" s="194"/>
      <c r="T637" s="194"/>
      <c r="U637" s="194"/>
      <c r="V637" s="194"/>
      <c r="W637" s="194"/>
      <c r="X637" s="194"/>
      <c r="Y637" s="194"/>
      <c r="Z637" s="194"/>
      <c r="AA637" s="194"/>
      <c r="AB637" s="194"/>
      <c r="AC637" s="194"/>
      <c r="AD637" s="194"/>
      <c r="AE637" s="194"/>
      <c r="AF637" s="194"/>
      <c r="AG637" s="194"/>
      <c r="AH637" s="194"/>
      <c r="AI637" s="194"/>
      <c r="AJ637" s="194"/>
      <c r="AK637" s="194"/>
      <c r="AL637" s="194"/>
      <c r="AM637" s="194"/>
    </row>
    <row r="638" spans="1:39" ht="15.75" customHeight="1" x14ac:dyDescent="0.25">
      <c r="A638" s="194"/>
      <c r="B638" s="194"/>
      <c r="C638" s="194"/>
      <c r="D638" s="194"/>
      <c r="E638" s="194"/>
      <c r="F638" s="194"/>
      <c r="G638" s="194"/>
      <c r="H638" s="194"/>
      <c r="I638" s="194"/>
      <c r="J638" s="194"/>
      <c r="K638" s="194"/>
      <c r="L638" s="194"/>
      <c r="M638" s="194"/>
      <c r="N638" s="194"/>
      <c r="O638" s="194"/>
      <c r="P638" s="194"/>
      <c r="Q638" s="194"/>
      <c r="R638" s="194"/>
      <c r="S638" s="194"/>
      <c r="T638" s="194"/>
      <c r="U638" s="194"/>
      <c r="V638" s="194"/>
      <c r="W638" s="194"/>
      <c r="X638" s="194"/>
      <c r="Y638" s="194"/>
      <c r="Z638" s="194"/>
      <c r="AA638" s="194"/>
      <c r="AB638" s="194"/>
      <c r="AC638" s="194"/>
      <c r="AD638" s="194"/>
      <c r="AE638" s="194"/>
      <c r="AF638" s="194"/>
      <c r="AG638" s="194"/>
      <c r="AH638" s="194"/>
      <c r="AI638" s="194"/>
      <c r="AJ638" s="194"/>
      <c r="AK638" s="194"/>
      <c r="AL638" s="194"/>
      <c r="AM638" s="194"/>
    </row>
    <row r="639" spans="1:39" ht="15.75" customHeight="1" x14ac:dyDescent="0.25">
      <c r="A639" s="194"/>
      <c r="B639" s="194"/>
      <c r="C639" s="194"/>
      <c r="D639" s="194"/>
      <c r="E639" s="194"/>
      <c r="F639" s="194"/>
      <c r="G639" s="194"/>
      <c r="H639" s="194"/>
      <c r="I639" s="194"/>
      <c r="J639" s="194"/>
      <c r="K639" s="194"/>
      <c r="L639" s="194"/>
      <c r="M639" s="194"/>
      <c r="N639" s="194"/>
      <c r="O639" s="194"/>
      <c r="P639" s="194"/>
      <c r="Q639" s="194"/>
      <c r="R639" s="194"/>
      <c r="S639" s="194"/>
      <c r="T639" s="194"/>
      <c r="U639" s="194"/>
      <c r="V639" s="194"/>
      <c r="W639" s="194"/>
      <c r="X639" s="194"/>
      <c r="Y639" s="194"/>
      <c r="Z639" s="194"/>
      <c r="AA639" s="194"/>
      <c r="AB639" s="194"/>
      <c r="AC639" s="194"/>
      <c r="AD639" s="194"/>
      <c r="AE639" s="194"/>
      <c r="AF639" s="194"/>
      <c r="AG639" s="194"/>
      <c r="AH639" s="194"/>
      <c r="AI639" s="194"/>
      <c r="AJ639" s="194"/>
      <c r="AK639" s="194"/>
      <c r="AL639" s="194"/>
      <c r="AM639" s="194"/>
    </row>
    <row r="640" spans="1:39" ht="15.75" customHeight="1" x14ac:dyDescent="0.25">
      <c r="A640" s="194"/>
      <c r="B640" s="194"/>
      <c r="C640" s="194"/>
      <c r="D640" s="194"/>
      <c r="E640" s="194"/>
      <c r="F640" s="194"/>
      <c r="G640" s="194"/>
      <c r="H640" s="194"/>
      <c r="I640" s="194"/>
      <c r="J640" s="194"/>
      <c r="K640" s="194"/>
      <c r="L640" s="194"/>
      <c r="M640" s="194"/>
      <c r="N640" s="194"/>
      <c r="O640" s="194"/>
      <c r="P640" s="194"/>
      <c r="Q640" s="194"/>
      <c r="R640" s="194"/>
      <c r="S640" s="194"/>
      <c r="T640" s="194"/>
      <c r="U640" s="194"/>
      <c r="V640" s="194"/>
      <c r="W640" s="194"/>
      <c r="X640" s="194"/>
      <c r="Y640" s="194"/>
      <c r="Z640" s="194"/>
      <c r="AA640" s="194"/>
      <c r="AB640" s="194"/>
      <c r="AC640" s="194"/>
      <c r="AD640" s="194"/>
      <c r="AE640" s="194"/>
      <c r="AF640" s="194"/>
      <c r="AG640" s="194"/>
      <c r="AH640" s="194"/>
      <c r="AI640" s="194"/>
      <c r="AJ640" s="194"/>
      <c r="AK640" s="194"/>
      <c r="AL640" s="194"/>
      <c r="AM640" s="194"/>
    </row>
    <row r="641" spans="1:39" ht="15.75" customHeight="1" x14ac:dyDescent="0.25">
      <c r="A641" s="194"/>
      <c r="B641" s="194"/>
      <c r="C641" s="194"/>
      <c r="D641" s="194"/>
      <c r="E641" s="194"/>
      <c r="F641" s="194"/>
      <c r="G641" s="194"/>
      <c r="H641" s="194"/>
      <c r="I641" s="194"/>
      <c r="J641" s="194"/>
      <c r="K641" s="194"/>
      <c r="L641" s="194"/>
      <c r="M641" s="194"/>
      <c r="N641" s="194"/>
      <c r="O641" s="194"/>
      <c r="P641" s="194"/>
      <c r="Q641" s="194"/>
      <c r="R641" s="194"/>
      <c r="S641" s="194"/>
      <c r="T641" s="194"/>
      <c r="U641" s="194"/>
      <c r="V641" s="194"/>
      <c r="W641" s="194"/>
      <c r="X641" s="194"/>
      <c r="Y641" s="194"/>
      <c r="Z641" s="194"/>
      <c r="AA641" s="194"/>
      <c r="AB641" s="194"/>
      <c r="AC641" s="194"/>
      <c r="AD641" s="194"/>
      <c r="AE641" s="194"/>
      <c r="AF641" s="194"/>
      <c r="AG641" s="194"/>
      <c r="AH641" s="194"/>
      <c r="AI641" s="194"/>
      <c r="AJ641" s="194"/>
      <c r="AK641" s="194"/>
      <c r="AL641" s="194"/>
      <c r="AM641" s="194"/>
    </row>
    <row r="642" spans="1:39" ht="15.75" customHeight="1" x14ac:dyDescent="0.25">
      <c r="A642" s="194"/>
      <c r="B642" s="194"/>
      <c r="C642" s="194"/>
      <c r="D642" s="194"/>
      <c r="E642" s="194"/>
      <c r="F642" s="194"/>
      <c r="G642" s="194"/>
      <c r="H642" s="194"/>
      <c r="I642" s="194"/>
      <c r="J642" s="194"/>
      <c r="K642" s="194"/>
      <c r="L642" s="194"/>
      <c r="M642" s="194"/>
      <c r="N642" s="194"/>
      <c r="O642" s="194"/>
      <c r="P642" s="194"/>
      <c r="Q642" s="194"/>
      <c r="R642" s="194"/>
      <c r="S642" s="194"/>
      <c r="T642" s="194"/>
      <c r="U642" s="194"/>
      <c r="V642" s="194"/>
      <c r="W642" s="194"/>
      <c r="X642" s="194"/>
      <c r="Y642" s="194"/>
      <c r="Z642" s="194"/>
      <c r="AA642" s="194"/>
      <c r="AB642" s="194"/>
      <c r="AC642" s="194"/>
      <c r="AD642" s="194"/>
      <c r="AE642" s="194"/>
      <c r="AF642" s="194"/>
      <c r="AG642" s="194"/>
      <c r="AH642" s="194"/>
      <c r="AI642" s="194"/>
      <c r="AJ642" s="194"/>
      <c r="AK642" s="194"/>
      <c r="AL642" s="194"/>
      <c r="AM642" s="194"/>
    </row>
    <row r="643" spans="1:39" ht="15.75" customHeight="1" x14ac:dyDescent="0.25">
      <c r="A643" s="194"/>
      <c r="B643" s="194"/>
      <c r="C643" s="194"/>
      <c r="D643" s="194"/>
      <c r="E643" s="194"/>
      <c r="F643" s="194"/>
      <c r="G643" s="194"/>
      <c r="H643" s="194"/>
      <c r="I643" s="194"/>
      <c r="J643" s="194"/>
      <c r="K643" s="194"/>
      <c r="L643" s="194"/>
      <c r="M643" s="194"/>
      <c r="N643" s="194"/>
      <c r="O643" s="194"/>
      <c r="P643" s="194"/>
      <c r="Q643" s="194"/>
      <c r="R643" s="194"/>
      <c r="S643" s="194"/>
      <c r="T643" s="194"/>
      <c r="U643" s="194"/>
      <c r="V643" s="194"/>
      <c r="W643" s="194"/>
      <c r="X643" s="194"/>
      <c r="Y643" s="194"/>
      <c r="Z643" s="194"/>
      <c r="AA643" s="194"/>
      <c r="AB643" s="194"/>
      <c r="AC643" s="194"/>
      <c r="AD643" s="194"/>
      <c r="AE643" s="194"/>
      <c r="AF643" s="194"/>
      <c r="AG643" s="194"/>
      <c r="AH643" s="194"/>
      <c r="AI643" s="194"/>
      <c r="AJ643" s="194"/>
      <c r="AK643" s="194"/>
      <c r="AL643" s="194"/>
      <c r="AM643" s="194"/>
    </row>
    <row r="644" spans="1:39" ht="15.75" customHeight="1" x14ac:dyDescent="0.25">
      <c r="A644" s="194"/>
      <c r="B644" s="194"/>
      <c r="C644" s="194"/>
      <c r="D644" s="194"/>
      <c r="E644" s="194"/>
      <c r="F644" s="194"/>
      <c r="G644" s="194"/>
      <c r="H644" s="194"/>
      <c r="I644" s="194"/>
      <c r="J644" s="194"/>
      <c r="K644" s="194"/>
      <c r="L644" s="194"/>
      <c r="M644" s="194"/>
      <c r="N644" s="194"/>
      <c r="O644" s="194"/>
      <c r="P644" s="194"/>
      <c r="Q644" s="194"/>
      <c r="R644" s="194"/>
      <c r="S644" s="194"/>
      <c r="T644" s="194"/>
      <c r="U644" s="194"/>
      <c r="V644" s="194"/>
      <c r="W644" s="194"/>
      <c r="X644" s="194"/>
      <c r="Y644" s="194"/>
      <c r="Z644" s="194"/>
      <c r="AA644" s="194"/>
      <c r="AB644" s="194"/>
      <c r="AC644" s="194"/>
      <c r="AD644" s="194"/>
      <c r="AE644" s="194"/>
      <c r="AF644" s="194"/>
      <c r="AG644" s="194"/>
      <c r="AH644" s="194"/>
      <c r="AI644" s="194"/>
      <c r="AJ644" s="194"/>
      <c r="AK644" s="194"/>
      <c r="AL644" s="194"/>
      <c r="AM644" s="194"/>
    </row>
    <row r="645" spans="1:39" ht="15.75" customHeight="1" x14ac:dyDescent="0.25">
      <c r="A645" s="194"/>
      <c r="B645" s="194"/>
      <c r="C645" s="194"/>
      <c r="D645" s="194"/>
      <c r="E645" s="194"/>
      <c r="F645" s="194"/>
      <c r="G645" s="194"/>
      <c r="H645" s="194"/>
      <c r="I645" s="194"/>
      <c r="J645" s="194"/>
      <c r="K645" s="194"/>
      <c r="L645" s="194"/>
      <c r="M645" s="194"/>
      <c r="N645" s="194"/>
      <c r="O645" s="194"/>
      <c r="P645" s="194"/>
      <c r="Q645" s="194"/>
      <c r="R645" s="194"/>
      <c r="S645" s="194"/>
      <c r="T645" s="194"/>
      <c r="U645" s="194"/>
      <c r="V645" s="194"/>
      <c r="W645" s="194"/>
      <c r="X645" s="194"/>
      <c r="Y645" s="194"/>
      <c r="Z645" s="194"/>
      <c r="AA645" s="194"/>
      <c r="AB645" s="194"/>
      <c r="AC645" s="194"/>
      <c r="AD645" s="194"/>
      <c r="AE645" s="194"/>
      <c r="AF645" s="194"/>
      <c r="AG645" s="194"/>
      <c r="AH645" s="194"/>
      <c r="AI645" s="194"/>
      <c r="AJ645" s="194"/>
      <c r="AK645" s="194"/>
      <c r="AL645" s="194"/>
      <c r="AM645" s="194"/>
    </row>
    <row r="646" spans="1:39" ht="15.75" customHeight="1" x14ac:dyDescent="0.25">
      <c r="A646" s="194"/>
      <c r="B646" s="194"/>
      <c r="C646" s="194"/>
      <c r="D646" s="194"/>
      <c r="E646" s="194"/>
      <c r="F646" s="194"/>
      <c r="G646" s="194"/>
      <c r="H646" s="194"/>
      <c r="I646" s="194"/>
      <c r="J646" s="194"/>
      <c r="K646" s="194"/>
      <c r="L646" s="194"/>
      <c r="M646" s="194"/>
      <c r="N646" s="194"/>
      <c r="O646" s="194"/>
      <c r="P646" s="194"/>
      <c r="Q646" s="194"/>
      <c r="R646" s="194"/>
      <c r="S646" s="194"/>
      <c r="T646" s="194"/>
      <c r="U646" s="194"/>
      <c r="V646" s="194"/>
      <c r="W646" s="194"/>
      <c r="X646" s="194"/>
      <c r="Y646" s="194"/>
      <c r="Z646" s="194"/>
      <c r="AA646" s="194"/>
      <c r="AB646" s="194"/>
      <c r="AC646" s="194"/>
      <c r="AD646" s="194"/>
      <c r="AE646" s="194"/>
      <c r="AF646" s="194"/>
      <c r="AG646" s="194"/>
      <c r="AH646" s="194"/>
      <c r="AI646" s="194"/>
      <c r="AJ646" s="194"/>
      <c r="AK646" s="194"/>
      <c r="AL646" s="194"/>
      <c r="AM646" s="194"/>
    </row>
    <row r="647" spans="1:39" ht="15.75" customHeight="1" x14ac:dyDescent="0.25">
      <c r="A647" s="194"/>
      <c r="B647" s="194"/>
      <c r="C647" s="194"/>
      <c r="D647" s="194"/>
      <c r="E647" s="194"/>
      <c r="F647" s="194"/>
      <c r="G647" s="194"/>
      <c r="H647" s="194"/>
      <c r="I647" s="194"/>
      <c r="J647" s="194"/>
      <c r="K647" s="194"/>
      <c r="L647" s="194"/>
      <c r="M647" s="194"/>
      <c r="N647" s="194"/>
      <c r="O647" s="194"/>
      <c r="P647" s="194"/>
      <c r="Q647" s="194"/>
      <c r="R647" s="194"/>
      <c r="S647" s="194"/>
      <c r="T647" s="194"/>
      <c r="U647" s="194"/>
      <c r="V647" s="194"/>
      <c r="W647" s="194"/>
      <c r="X647" s="194"/>
      <c r="Y647" s="194"/>
      <c r="Z647" s="194"/>
      <c r="AA647" s="194"/>
      <c r="AB647" s="194"/>
      <c r="AC647" s="194"/>
      <c r="AD647" s="194"/>
      <c r="AE647" s="194"/>
      <c r="AF647" s="194"/>
      <c r="AG647" s="194"/>
      <c r="AH647" s="194"/>
      <c r="AI647" s="194"/>
      <c r="AJ647" s="194"/>
      <c r="AK647" s="194"/>
      <c r="AL647" s="194"/>
      <c r="AM647" s="194"/>
    </row>
    <row r="648" spans="1:39" ht="15.75" customHeight="1" x14ac:dyDescent="0.25">
      <c r="A648" s="194"/>
      <c r="B648" s="194"/>
      <c r="C648" s="194"/>
      <c r="D648" s="194"/>
      <c r="E648" s="194"/>
      <c r="F648" s="194"/>
      <c r="G648" s="194"/>
      <c r="H648" s="194"/>
      <c r="I648" s="194"/>
      <c r="J648" s="194"/>
      <c r="K648" s="194"/>
      <c r="L648" s="194"/>
      <c r="M648" s="194"/>
      <c r="N648" s="194"/>
      <c r="O648" s="194"/>
      <c r="P648" s="194"/>
      <c r="Q648" s="194"/>
      <c r="R648" s="194"/>
      <c r="S648" s="194"/>
      <c r="T648" s="194"/>
      <c r="U648" s="194"/>
      <c r="V648" s="194"/>
      <c r="W648" s="194"/>
      <c r="X648" s="194"/>
      <c r="Y648" s="194"/>
      <c r="Z648" s="194"/>
      <c r="AA648" s="194"/>
      <c r="AB648" s="194"/>
      <c r="AC648" s="194"/>
      <c r="AD648" s="194"/>
      <c r="AE648" s="194"/>
      <c r="AF648" s="194"/>
      <c r="AG648" s="194"/>
      <c r="AH648" s="194"/>
      <c r="AI648" s="194"/>
      <c r="AJ648" s="194"/>
      <c r="AK648" s="194"/>
      <c r="AL648" s="194"/>
      <c r="AM648" s="194"/>
    </row>
    <row r="649" spans="1:39" ht="15.75" customHeight="1" x14ac:dyDescent="0.25">
      <c r="A649" s="194"/>
      <c r="B649" s="194"/>
      <c r="C649" s="194"/>
      <c r="D649" s="194"/>
      <c r="E649" s="194"/>
      <c r="F649" s="194"/>
      <c r="G649" s="194"/>
      <c r="H649" s="194"/>
      <c r="I649" s="194"/>
      <c r="J649" s="194"/>
      <c r="K649" s="194"/>
      <c r="L649" s="194"/>
      <c r="M649" s="194"/>
      <c r="N649" s="194"/>
      <c r="O649" s="194"/>
      <c r="P649" s="194"/>
      <c r="Q649" s="194"/>
      <c r="R649" s="194"/>
      <c r="S649" s="194"/>
      <c r="T649" s="194"/>
      <c r="U649" s="194"/>
      <c r="V649" s="194"/>
      <c r="W649" s="194"/>
      <c r="X649" s="194"/>
      <c r="Y649" s="194"/>
      <c r="Z649" s="194"/>
      <c r="AA649" s="194"/>
      <c r="AB649" s="194"/>
      <c r="AC649" s="194"/>
      <c r="AD649" s="194"/>
      <c r="AE649" s="194"/>
      <c r="AF649" s="194"/>
      <c r="AG649" s="194"/>
      <c r="AH649" s="194"/>
      <c r="AI649" s="194"/>
      <c r="AJ649" s="194"/>
      <c r="AK649" s="194"/>
      <c r="AL649" s="194"/>
      <c r="AM649" s="194"/>
    </row>
    <row r="650" spans="1:39" ht="15.75" customHeight="1" x14ac:dyDescent="0.25">
      <c r="A650" s="194"/>
      <c r="B650" s="194"/>
      <c r="C650" s="194"/>
      <c r="D650" s="194"/>
      <c r="E650" s="194"/>
      <c r="F650" s="194"/>
      <c r="G650" s="194"/>
      <c r="H650" s="194"/>
      <c r="I650" s="194"/>
      <c r="J650" s="194"/>
      <c r="K650" s="194"/>
      <c r="L650" s="194"/>
      <c r="M650" s="194"/>
      <c r="N650" s="194"/>
      <c r="O650" s="194"/>
      <c r="P650" s="194"/>
      <c r="Q650" s="194"/>
      <c r="R650" s="194"/>
      <c r="S650" s="194"/>
      <c r="T650" s="194"/>
      <c r="U650" s="194"/>
      <c r="V650" s="194"/>
      <c r="W650" s="194"/>
      <c r="X650" s="194"/>
      <c r="Y650" s="194"/>
      <c r="Z650" s="194"/>
      <c r="AA650" s="194"/>
      <c r="AB650" s="194"/>
      <c r="AC650" s="194"/>
      <c r="AD650" s="194"/>
      <c r="AE650" s="194"/>
      <c r="AF650" s="194"/>
      <c r="AG650" s="194"/>
      <c r="AH650" s="194"/>
      <c r="AI650" s="194"/>
      <c r="AJ650" s="194"/>
      <c r="AK650" s="194"/>
      <c r="AL650" s="194"/>
      <c r="AM650" s="194"/>
    </row>
    <row r="651" spans="1:39" ht="15.75" customHeight="1" x14ac:dyDescent="0.25">
      <c r="A651" s="194"/>
      <c r="B651" s="194"/>
      <c r="C651" s="194"/>
      <c r="D651" s="194"/>
      <c r="E651" s="194"/>
      <c r="F651" s="194"/>
      <c r="G651" s="194"/>
      <c r="H651" s="194"/>
      <c r="I651" s="194"/>
      <c r="J651" s="194"/>
      <c r="K651" s="194"/>
      <c r="L651" s="194"/>
      <c r="M651" s="194"/>
      <c r="N651" s="194"/>
      <c r="O651" s="194"/>
      <c r="P651" s="194"/>
      <c r="Q651" s="194"/>
      <c r="R651" s="194"/>
      <c r="S651" s="194"/>
      <c r="T651" s="194"/>
      <c r="U651" s="194"/>
      <c r="V651" s="194"/>
      <c r="W651" s="194"/>
      <c r="X651" s="194"/>
      <c r="Y651" s="194"/>
      <c r="Z651" s="194"/>
      <c r="AA651" s="194"/>
      <c r="AB651" s="194"/>
      <c r="AC651" s="194"/>
      <c r="AD651" s="194"/>
      <c r="AE651" s="194"/>
      <c r="AF651" s="194"/>
      <c r="AG651" s="194"/>
      <c r="AH651" s="194"/>
      <c r="AI651" s="194"/>
      <c r="AJ651" s="194"/>
      <c r="AK651" s="194"/>
      <c r="AL651" s="194"/>
      <c r="AM651" s="194"/>
    </row>
    <row r="652" spans="1:39" ht="15.75" customHeight="1" x14ac:dyDescent="0.25">
      <c r="A652" s="194"/>
      <c r="B652" s="194"/>
      <c r="C652" s="194"/>
      <c r="D652" s="194"/>
      <c r="E652" s="194"/>
      <c r="F652" s="194"/>
      <c r="G652" s="194"/>
      <c r="H652" s="194"/>
      <c r="I652" s="194"/>
      <c r="J652" s="194"/>
      <c r="K652" s="194"/>
      <c r="L652" s="194"/>
      <c r="M652" s="194"/>
      <c r="N652" s="194"/>
      <c r="O652" s="194"/>
      <c r="P652" s="194"/>
      <c r="Q652" s="194"/>
      <c r="R652" s="194"/>
      <c r="S652" s="194"/>
      <c r="T652" s="194"/>
      <c r="U652" s="194"/>
      <c r="V652" s="194"/>
      <c r="W652" s="194"/>
      <c r="X652" s="194"/>
      <c r="Y652" s="194"/>
      <c r="Z652" s="194"/>
      <c r="AA652" s="194"/>
      <c r="AB652" s="194"/>
      <c r="AC652" s="194"/>
      <c r="AD652" s="194"/>
      <c r="AE652" s="194"/>
      <c r="AF652" s="194"/>
      <c r="AG652" s="194"/>
      <c r="AH652" s="194"/>
      <c r="AI652" s="194"/>
      <c r="AJ652" s="194"/>
      <c r="AK652" s="194"/>
      <c r="AL652" s="194"/>
      <c r="AM652" s="194"/>
    </row>
    <row r="653" spans="1:39" ht="15.75" customHeight="1" x14ac:dyDescent="0.25">
      <c r="A653" s="194"/>
      <c r="B653" s="194"/>
      <c r="C653" s="194"/>
      <c r="D653" s="194"/>
      <c r="E653" s="194"/>
      <c r="F653" s="194"/>
      <c r="G653" s="194"/>
      <c r="H653" s="194"/>
      <c r="I653" s="194"/>
      <c r="J653" s="194"/>
      <c r="K653" s="194"/>
      <c r="L653" s="194"/>
      <c r="M653" s="194"/>
      <c r="N653" s="194"/>
      <c r="O653" s="194"/>
      <c r="P653" s="194"/>
      <c r="Q653" s="194"/>
      <c r="R653" s="194"/>
      <c r="S653" s="194"/>
      <c r="T653" s="194"/>
      <c r="U653" s="194"/>
      <c r="V653" s="194"/>
      <c r="W653" s="194"/>
      <c r="X653" s="194"/>
      <c r="Y653" s="194"/>
      <c r="Z653" s="194"/>
      <c r="AA653" s="194"/>
      <c r="AB653" s="194"/>
      <c r="AC653" s="194"/>
      <c r="AD653" s="194"/>
      <c r="AE653" s="194"/>
      <c r="AF653" s="194"/>
      <c r="AG653" s="194"/>
      <c r="AH653" s="194"/>
      <c r="AI653" s="194"/>
      <c r="AJ653" s="194"/>
      <c r="AK653" s="194"/>
      <c r="AL653" s="194"/>
      <c r="AM653" s="194"/>
    </row>
    <row r="654" spans="1:39" ht="15.75" customHeight="1" x14ac:dyDescent="0.25">
      <c r="A654" s="194"/>
      <c r="B654" s="194"/>
      <c r="C654" s="194"/>
      <c r="D654" s="194"/>
      <c r="E654" s="194"/>
      <c r="F654" s="194"/>
      <c r="G654" s="194"/>
      <c r="H654" s="194"/>
      <c r="I654" s="194"/>
      <c r="J654" s="194"/>
      <c r="K654" s="194"/>
      <c r="L654" s="194"/>
      <c r="M654" s="194"/>
      <c r="N654" s="194"/>
      <c r="O654" s="194"/>
      <c r="P654" s="194"/>
      <c r="Q654" s="194"/>
      <c r="R654" s="194"/>
      <c r="S654" s="194"/>
      <c r="T654" s="194"/>
      <c r="U654" s="194"/>
      <c r="V654" s="194"/>
      <c r="W654" s="194"/>
      <c r="X654" s="194"/>
      <c r="Y654" s="194"/>
      <c r="Z654" s="194"/>
      <c r="AA654" s="194"/>
      <c r="AB654" s="194"/>
      <c r="AC654" s="194"/>
      <c r="AD654" s="194"/>
      <c r="AE654" s="194"/>
      <c r="AF654" s="194"/>
      <c r="AG654" s="194"/>
      <c r="AH654" s="194"/>
      <c r="AI654" s="194"/>
      <c r="AJ654" s="194"/>
      <c r="AK654" s="194"/>
      <c r="AL654" s="194"/>
      <c r="AM654" s="194"/>
    </row>
    <row r="655" spans="1:39" ht="15.75" customHeight="1" x14ac:dyDescent="0.25">
      <c r="A655" s="194"/>
      <c r="B655" s="194"/>
      <c r="C655" s="194"/>
      <c r="D655" s="194"/>
      <c r="E655" s="194"/>
      <c r="F655" s="194"/>
      <c r="G655" s="194"/>
      <c r="H655" s="194"/>
      <c r="I655" s="194"/>
      <c r="J655" s="194"/>
      <c r="K655" s="194"/>
      <c r="L655" s="194"/>
      <c r="M655" s="194"/>
      <c r="N655" s="194"/>
      <c r="O655" s="194"/>
      <c r="P655" s="194"/>
      <c r="Q655" s="194"/>
      <c r="R655" s="194"/>
      <c r="S655" s="194"/>
      <c r="T655" s="194"/>
      <c r="U655" s="194"/>
      <c r="V655" s="194"/>
      <c r="W655" s="194"/>
      <c r="X655" s="194"/>
      <c r="Y655" s="194"/>
      <c r="Z655" s="194"/>
      <c r="AA655" s="194"/>
      <c r="AB655" s="194"/>
      <c r="AC655" s="194"/>
      <c r="AD655" s="194"/>
      <c r="AE655" s="194"/>
      <c r="AF655" s="194"/>
      <c r="AG655" s="194"/>
      <c r="AH655" s="194"/>
      <c r="AI655" s="194"/>
      <c r="AJ655" s="194"/>
      <c r="AK655" s="194"/>
      <c r="AL655" s="194"/>
      <c r="AM655" s="194"/>
    </row>
    <row r="656" spans="1:39" ht="15.75" customHeight="1" x14ac:dyDescent="0.25">
      <c r="A656" s="194"/>
      <c r="B656" s="194"/>
      <c r="C656" s="194"/>
      <c r="D656" s="194"/>
      <c r="E656" s="194"/>
      <c r="F656" s="194"/>
      <c r="G656" s="194"/>
      <c r="H656" s="194"/>
      <c r="I656" s="194"/>
      <c r="J656" s="194"/>
      <c r="K656" s="194"/>
      <c r="L656" s="194"/>
      <c r="M656" s="194"/>
      <c r="N656" s="194"/>
      <c r="O656" s="194"/>
      <c r="P656" s="194"/>
      <c r="Q656" s="194"/>
      <c r="R656" s="194"/>
      <c r="S656" s="194"/>
      <c r="T656" s="194"/>
      <c r="U656" s="194"/>
      <c r="V656" s="194"/>
      <c r="W656" s="194"/>
      <c r="X656" s="194"/>
      <c r="Y656" s="194"/>
      <c r="Z656" s="194"/>
      <c r="AA656" s="194"/>
      <c r="AB656" s="194"/>
      <c r="AC656" s="194"/>
      <c r="AD656" s="194"/>
      <c r="AE656" s="194"/>
      <c r="AF656" s="194"/>
      <c r="AG656" s="194"/>
      <c r="AH656" s="194"/>
      <c r="AI656" s="194"/>
      <c r="AJ656" s="194"/>
      <c r="AK656" s="194"/>
      <c r="AL656" s="194"/>
      <c r="AM656" s="194"/>
    </row>
    <row r="657" spans="1:39" ht="15.75" customHeight="1" x14ac:dyDescent="0.25">
      <c r="A657" s="194"/>
      <c r="B657" s="194"/>
      <c r="C657" s="194"/>
      <c r="D657" s="194"/>
      <c r="E657" s="194"/>
      <c r="F657" s="194"/>
      <c r="G657" s="194"/>
      <c r="H657" s="194"/>
      <c r="I657" s="194"/>
      <c r="J657" s="194"/>
      <c r="K657" s="194"/>
      <c r="L657" s="194"/>
      <c r="M657" s="194"/>
      <c r="N657" s="194"/>
      <c r="O657" s="194"/>
      <c r="P657" s="194"/>
      <c r="Q657" s="194"/>
      <c r="R657" s="194"/>
      <c r="S657" s="194"/>
      <c r="T657" s="194"/>
      <c r="U657" s="194"/>
      <c r="V657" s="194"/>
      <c r="W657" s="194"/>
      <c r="X657" s="194"/>
      <c r="Y657" s="194"/>
      <c r="Z657" s="194"/>
      <c r="AA657" s="194"/>
      <c r="AB657" s="194"/>
      <c r="AC657" s="194"/>
      <c r="AD657" s="194"/>
      <c r="AE657" s="194"/>
      <c r="AF657" s="194"/>
      <c r="AG657" s="194"/>
      <c r="AH657" s="194"/>
      <c r="AI657" s="194"/>
      <c r="AJ657" s="194"/>
      <c r="AK657" s="194"/>
      <c r="AL657" s="194"/>
      <c r="AM657" s="194"/>
    </row>
    <row r="658" spans="1:39" ht="15.75" customHeight="1" x14ac:dyDescent="0.25">
      <c r="A658" s="194"/>
      <c r="B658" s="194"/>
      <c r="C658" s="194"/>
      <c r="D658" s="194"/>
      <c r="E658" s="194"/>
      <c r="F658" s="194"/>
      <c r="G658" s="194"/>
      <c r="H658" s="194"/>
      <c r="I658" s="194"/>
      <c r="J658" s="194"/>
      <c r="K658" s="194"/>
      <c r="L658" s="194"/>
      <c r="M658" s="194"/>
      <c r="N658" s="194"/>
      <c r="O658" s="194"/>
      <c r="P658" s="194"/>
      <c r="Q658" s="194"/>
      <c r="R658" s="194"/>
      <c r="S658" s="194"/>
      <c r="T658" s="194"/>
      <c r="U658" s="194"/>
      <c r="V658" s="194"/>
      <c r="W658" s="194"/>
      <c r="X658" s="194"/>
      <c r="Y658" s="194"/>
      <c r="Z658" s="194"/>
      <c r="AA658" s="194"/>
      <c r="AB658" s="194"/>
      <c r="AC658" s="194"/>
      <c r="AD658" s="194"/>
      <c r="AE658" s="194"/>
      <c r="AF658" s="194"/>
      <c r="AG658" s="194"/>
      <c r="AH658" s="194"/>
      <c r="AI658" s="194"/>
      <c r="AJ658" s="194"/>
      <c r="AK658" s="194"/>
      <c r="AL658" s="194"/>
      <c r="AM658" s="194"/>
    </row>
    <row r="659" spans="1:39" ht="15.75" customHeight="1" x14ac:dyDescent="0.25">
      <c r="A659" s="194"/>
      <c r="B659" s="194"/>
      <c r="C659" s="194"/>
      <c r="D659" s="194"/>
      <c r="E659" s="194"/>
      <c r="F659" s="194"/>
      <c r="G659" s="194"/>
      <c r="H659" s="194"/>
      <c r="I659" s="194"/>
      <c r="J659" s="194"/>
      <c r="K659" s="194"/>
      <c r="L659" s="194"/>
      <c r="M659" s="194"/>
      <c r="N659" s="194"/>
      <c r="O659" s="194"/>
      <c r="P659" s="194"/>
      <c r="Q659" s="194"/>
      <c r="R659" s="194"/>
      <c r="S659" s="194"/>
      <c r="T659" s="194"/>
      <c r="U659" s="194"/>
      <c r="V659" s="194"/>
      <c r="W659" s="194"/>
      <c r="X659" s="194"/>
      <c r="Y659" s="194"/>
      <c r="Z659" s="194"/>
      <c r="AA659" s="194"/>
      <c r="AB659" s="194"/>
      <c r="AC659" s="194"/>
      <c r="AD659" s="194"/>
      <c r="AE659" s="194"/>
      <c r="AF659" s="194"/>
      <c r="AG659" s="194"/>
      <c r="AH659" s="194"/>
      <c r="AI659" s="194"/>
      <c r="AJ659" s="194"/>
      <c r="AK659" s="194"/>
      <c r="AL659" s="194"/>
      <c r="AM659" s="194"/>
    </row>
    <row r="660" spans="1:39" ht="15.75" customHeight="1" x14ac:dyDescent="0.25">
      <c r="A660" s="194"/>
      <c r="B660" s="194"/>
      <c r="C660" s="194"/>
      <c r="D660" s="194"/>
      <c r="E660" s="194"/>
      <c r="F660" s="194"/>
      <c r="G660" s="194"/>
      <c r="H660" s="194"/>
      <c r="I660" s="194"/>
      <c r="J660" s="194"/>
      <c r="K660" s="194"/>
      <c r="L660" s="194"/>
      <c r="M660" s="194"/>
      <c r="N660" s="194"/>
      <c r="O660" s="194"/>
      <c r="P660" s="194"/>
      <c r="Q660" s="194"/>
      <c r="R660" s="194"/>
      <c r="S660" s="194"/>
      <c r="T660" s="194"/>
      <c r="U660" s="194"/>
      <c r="V660" s="194"/>
      <c r="W660" s="194"/>
      <c r="X660" s="194"/>
      <c r="Y660" s="194"/>
      <c r="Z660" s="194"/>
      <c r="AA660" s="194"/>
      <c r="AB660" s="194"/>
      <c r="AC660" s="194"/>
      <c r="AD660" s="194"/>
      <c r="AE660" s="194"/>
      <c r="AF660" s="194"/>
      <c r="AG660" s="194"/>
      <c r="AH660" s="194"/>
      <c r="AI660" s="194"/>
      <c r="AJ660" s="194"/>
      <c r="AK660" s="194"/>
      <c r="AL660" s="194"/>
      <c r="AM660" s="194"/>
    </row>
    <row r="661" spans="1:39" ht="15.75" customHeight="1" x14ac:dyDescent="0.25">
      <c r="A661" s="194"/>
      <c r="B661" s="194"/>
      <c r="C661" s="194"/>
      <c r="D661" s="194"/>
      <c r="E661" s="194"/>
      <c r="F661" s="194"/>
      <c r="G661" s="194"/>
      <c r="H661" s="194"/>
      <c r="I661" s="194"/>
      <c r="J661" s="194"/>
      <c r="K661" s="194"/>
      <c r="L661" s="194"/>
      <c r="M661" s="194"/>
      <c r="N661" s="194"/>
      <c r="O661" s="194"/>
      <c r="P661" s="194"/>
      <c r="Q661" s="194"/>
      <c r="R661" s="194"/>
      <c r="S661" s="194"/>
      <c r="T661" s="194"/>
      <c r="U661" s="194"/>
      <c r="V661" s="194"/>
      <c r="W661" s="194"/>
      <c r="X661" s="194"/>
      <c r="Y661" s="194"/>
      <c r="Z661" s="194"/>
      <c r="AA661" s="194"/>
      <c r="AB661" s="194"/>
      <c r="AC661" s="194"/>
      <c r="AD661" s="194"/>
      <c r="AE661" s="194"/>
      <c r="AF661" s="194"/>
      <c r="AG661" s="194"/>
      <c r="AH661" s="194"/>
      <c r="AI661" s="194"/>
      <c r="AJ661" s="194"/>
      <c r="AK661" s="194"/>
      <c r="AL661" s="194"/>
      <c r="AM661" s="194"/>
    </row>
    <row r="662" spans="1:39" ht="15.75" customHeight="1" x14ac:dyDescent="0.25">
      <c r="A662" s="194"/>
      <c r="B662" s="194"/>
      <c r="C662" s="194"/>
      <c r="D662" s="194"/>
      <c r="E662" s="194"/>
      <c r="F662" s="194"/>
      <c r="G662" s="194"/>
      <c r="H662" s="194"/>
      <c r="I662" s="194"/>
      <c r="J662" s="194"/>
      <c r="K662" s="194"/>
      <c r="L662" s="194"/>
      <c r="M662" s="194"/>
      <c r="N662" s="194"/>
      <c r="O662" s="194"/>
      <c r="P662" s="194"/>
      <c r="Q662" s="194"/>
      <c r="R662" s="194"/>
      <c r="S662" s="194"/>
      <c r="T662" s="194"/>
      <c r="U662" s="194"/>
      <c r="V662" s="194"/>
      <c r="W662" s="194"/>
      <c r="X662" s="194"/>
      <c r="Y662" s="194"/>
      <c r="Z662" s="194"/>
      <c r="AA662" s="194"/>
      <c r="AB662" s="194"/>
      <c r="AC662" s="194"/>
      <c r="AD662" s="194"/>
      <c r="AE662" s="194"/>
      <c r="AF662" s="194"/>
      <c r="AG662" s="194"/>
      <c r="AH662" s="194"/>
      <c r="AI662" s="194"/>
      <c r="AJ662" s="194"/>
      <c r="AK662" s="194"/>
      <c r="AL662" s="194"/>
      <c r="AM662" s="194"/>
    </row>
    <row r="663" spans="1:39" ht="15.75" customHeight="1" x14ac:dyDescent="0.25">
      <c r="A663" s="194"/>
      <c r="B663" s="194"/>
      <c r="C663" s="194"/>
      <c r="D663" s="194"/>
      <c r="E663" s="194"/>
      <c r="F663" s="194"/>
      <c r="G663" s="194"/>
      <c r="H663" s="194"/>
      <c r="I663" s="194"/>
      <c r="J663" s="194"/>
      <c r="K663" s="194"/>
      <c r="L663" s="194"/>
      <c r="M663" s="194"/>
      <c r="N663" s="194"/>
      <c r="O663" s="194"/>
      <c r="P663" s="194"/>
      <c r="Q663" s="194"/>
      <c r="R663" s="194"/>
      <c r="S663" s="194"/>
      <c r="T663" s="194"/>
      <c r="U663" s="194"/>
      <c r="V663" s="194"/>
      <c r="W663" s="194"/>
      <c r="X663" s="194"/>
      <c r="Y663" s="194"/>
      <c r="Z663" s="194"/>
      <c r="AA663" s="194"/>
      <c r="AB663" s="194"/>
      <c r="AC663" s="194"/>
      <c r="AD663" s="194"/>
      <c r="AE663" s="194"/>
      <c r="AF663" s="194"/>
      <c r="AG663" s="194"/>
      <c r="AH663" s="194"/>
      <c r="AI663" s="194"/>
      <c r="AJ663" s="194"/>
      <c r="AK663" s="194"/>
      <c r="AL663" s="194"/>
      <c r="AM663" s="194"/>
    </row>
    <row r="664" spans="1:39" ht="15.75" customHeight="1" x14ac:dyDescent="0.25">
      <c r="A664" s="194"/>
      <c r="B664" s="194"/>
      <c r="C664" s="194"/>
      <c r="D664" s="194"/>
      <c r="E664" s="194"/>
      <c r="F664" s="194"/>
      <c r="G664" s="194"/>
      <c r="H664" s="194"/>
      <c r="I664" s="194"/>
      <c r="J664" s="194"/>
      <c r="K664" s="194"/>
      <c r="L664" s="194"/>
      <c r="M664" s="194"/>
      <c r="N664" s="194"/>
      <c r="O664" s="194"/>
      <c r="P664" s="194"/>
      <c r="Q664" s="194"/>
      <c r="R664" s="194"/>
      <c r="S664" s="194"/>
      <c r="T664" s="194"/>
      <c r="U664" s="194"/>
      <c r="V664" s="194"/>
      <c r="W664" s="194"/>
      <c r="X664" s="194"/>
      <c r="Y664" s="194"/>
      <c r="Z664" s="194"/>
      <c r="AA664" s="194"/>
      <c r="AB664" s="194"/>
      <c r="AC664" s="194"/>
      <c r="AD664" s="194"/>
      <c r="AE664" s="194"/>
      <c r="AF664" s="194"/>
      <c r="AG664" s="194"/>
      <c r="AH664" s="194"/>
      <c r="AI664" s="194"/>
      <c r="AJ664" s="194"/>
      <c r="AK664" s="194"/>
      <c r="AL664" s="194"/>
      <c r="AM664" s="194"/>
    </row>
    <row r="665" spans="1:39" ht="15.75" customHeight="1" x14ac:dyDescent="0.25">
      <c r="A665" s="194"/>
      <c r="B665" s="194"/>
      <c r="C665" s="194"/>
      <c r="D665" s="194"/>
      <c r="E665" s="194"/>
      <c r="F665" s="194"/>
      <c r="G665" s="194"/>
      <c r="H665" s="194"/>
      <c r="I665" s="194"/>
      <c r="J665" s="194"/>
      <c r="K665" s="194"/>
      <c r="L665" s="194"/>
      <c r="M665" s="194"/>
      <c r="N665" s="194"/>
      <c r="O665" s="194"/>
      <c r="P665" s="194"/>
      <c r="Q665" s="194"/>
      <c r="R665" s="194"/>
      <c r="S665" s="194"/>
      <c r="T665" s="194"/>
      <c r="U665" s="194"/>
      <c r="V665" s="194"/>
      <c r="W665" s="194"/>
      <c r="X665" s="194"/>
      <c r="Y665" s="194"/>
      <c r="Z665" s="194"/>
      <c r="AA665" s="194"/>
      <c r="AB665" s="194"/>
      <c r="AC665" s="194"/>
      <c r="AD665" s="194"/>
      <c r="AE665" s="194"/>
      <c r="AF665" s="194"/>
      <c r="AG665" s="194"/>
      <c r="AH665" s="194"/>
      <c r="AI665" s="194"/>
      <c r="AJ665" s="194"/>
      <c r="AK665" s="194"/>
      <c r="AL665" s="194"/>
      <c r="AM665" s="194"/>
    </row>
    <row r="666" spans="1:39" ht="15.75" customHeight="1" x14ac:dyDescent="0.25">
      <c r="A666" s="194"/>
      <c r="B666" s="194"/>
      <c r="C666" s="194"/>
      <c r="D666" s="194"/>
      <c r="E666" s="194"/>
      <c r="F666" s="194"/>
      <c r="G666" s="194"/>
      <c r="H666" s="194"/>
      <c r="I666" s="194"/>
      <c r="J666" s="194"/>
      <c r="K666" s="194"/>
      <c r="L666" s="194"/>
      <c r="M666" s="194"/>
      <c r="N666" s="194"/>
      <c r="O666" s="194"/>
      <c r="P666" s="194"/>
      <c r="Q666" s="194"/>
      <c r="R666" s="194"/>
      <c r="S666" s="194"/>
      <c r="T666" s="194"/>
      <c r="U666" s="194"/>
      <c r="V666" s="194"/>
      <c r="W666" s="194"/>
      <c r="X666" s="194"/>
      <c r="Y666" s="194"/>
      <c r="Z666" s="194"/>
      <c r="AA666" s="194"/>
      <c r="AB666" s="194"/>
      <c r="AC666" s="194"/>
      <c r="AD666" s="194"/>
      <c r="AE666" s="194"/>
      <c r="AF666" s="194"/>
      <c r="AG666" s="194"/>
      <c r="AH666" s="194"/>
      <c r="AI666" s="194"/>
      <c r="AJ666" s="194"/>
      <c r="AK666" s="194"/>
      <c r="AL666" s="194"/>
      <c r="AM666" s="194"/>
    </row>
    <row r="667" spans="1:39" ht="15.75" customHeight="1" x14ac:dyDescent="0.25">
      <c r="A667" s="194"/>
      <c r="B667" s="194"/>
      <c r="C667" s="194"/>
      <c r="D667" s="194"/>
      <c r="E667" s="194"/>
      <c r="F667" s="194"/>
      <c r="G667" s="194"/>
      <c r="H667" s="194"/>
      <c r="I667" s="194"/>
      <c r="J667" s="194"/>
      <c r="K667" s="194"/>
      <c r="L667" s="194"/>
      <c r="M667" s="194"/>
      <c r="N667" s="194"/>
      <c r="O667" s="194"/>
      <c r="P667" s="194"/>
      <c r="Q667" s="194"/>
      <c r="R667" s="194"/>
      <c r="S667" s="194"/>
      <c r="T667" s="194"/>
      <c r="U667" s="194"/>
      <c r="V667" s="194"/>
      <c r="W667" s="194"/>
      <c r="X667" s="194"/>
      <c r="Y667" s="194"/>
      <c r="Z667" s="194"/>
      <c r="AA667" s="194"/>
      <c r="AB667" s="194"/>
      <c r="AC667" s="194"/>
      <c r="AD667" s="194"/>
      <c r="AE667" s="194"/>
      <c r="AF667" s="194"/>
      <c r="AG667" s="194"/>
      <c r="AH667" s="194"/>
      <c r="AI667" s="194"/>
      <c r="AJ667" s="194"/>
      <c r="AK667" s="194"/>
      <c r="AL667" s="194"/>
      <c r="AM667" s="194"/>
    </row>
    <row r="668" spans="1:39" ht="15.75" customHeight="1" x14ac:dyDescent="0.25">
      <c r="A668" s="194"/>
      <c r="B668" s="194"/>
      <c r="C668" s="194"/>
      <c r="D668" s="194"/>
      <c r="E668" s="194"/>
      <c r="F668" s="194"/>
      <c r="G668" s="194"/>
      <c r="H668" s="194"/>
      <c r="I668" s="194"/>
      <c r="J668" s="194"/>
      <c r="K668" s="194"/>
      <c r="L668" s="194"/>
      <c r="M668" s="194"/>
      <c r="N668" s="194"/>
      <c r="O668" s="194"/>
      <c r="P668" s="194"/>
      <c r="Q668" s="194"/>
      <c r="R668" s="194"/>
      <c r="S668" s="194"/>
      <c r="T668" s="194"/>
      <c r="U668" s="194"/>
      <c r="V668" s="194"/>
      <c r="W668" s="194"/>
      <c r="X668" s="194"/>
      <c r="Y668" s="194"/>
      <c r="Z668" s="194"/>
      <c r="AA668" s="194"/>
      <c r="AB668" s="194"/>
      <c r="AC668" s="194"/>
      <c r="AD668" s="194"/>
      <c r="AE668" s="194"/>
      <c r="AF668" s="194"/>
      <c r="AG668" s="194"/>
      <c r="AH668" s="194"/>
      <c r="AI668" s="194"/>
      <c r="AJ668" s="194"/>
      <c r="AK668" s="194"/>
      <c r="AL668" s="194"/>
      <c r="AM668" s="194"/>
    </row>
    <row r="669" spans="1:39" ht="15.75" customHeight="1" x14ac:dyDescent="0.25">
      <c r="A669" s="194"/>
      <c r="B669" s="194"/>
      <c r="C669" s="194"/>
      <c r="D669" s="194"/>
      <c r="E669" s="194"/>
      <c r="F669" s="194"/>
      <c r="G669" s="194"/>
      <c r="H669" s="194"/>
      <c r="I669" s="194"/>
      <c r="J669" s="194"/>
      <c r="K669" s="194"/>
      <c r="L669" s="194"/>
      <c r="M669" s="194"/>
      <c r="N669" s="194"/>
      <c r="O669" s="194"/>
      <c r="P669" s="194"/>
      <c r="Q669" s="194"/>
      <c r="R669" s="194"/>
      <c r="S669" s="194"/>
      <c r="T669" s="194"/>
      <c r="U669" s="194"/>
      <c r="V669" s="194"/>
      <c r="W669" s="194"/>
      <c r="X669" s="194"/>
      <c r="Y669" s="194"/>
      <c r="Z669" s="194"/>
      <c r="AA669" s="194"/>
      <c r="AB669" s="194"/>
      <c r="AC669" s="194"/>
      <c r="AD669" s="194"/>
      <c r="AE669" s="194"/>
      <c r="AF669" s="194"/>
      <c r="AG669" s="194"/>
      <c r="AH669" s="194"/>
      <c r="AI669" s="194"/>
      <c r="AJ669" s="194"/>
      <c r="AK669" s="194"/>
      <c r="AL669" s="194"/>
      <c r="AM669" s="194"/>
    </row>
    <row r="670" spans="1:39" ht="15.75" customHeight="1" x14ac:dyDescent="0.25">
      <c r="A670" s="194"/>
      <c r="B670" s="194"/>
      <c r="C670" s="194"/>
      <c r="D670" s="194"/>
      <c r="E670" s="194"/>
      <c r="F670" s="194"/>
      <c r="G670" s="194"/>
      <c r="H670" s="194"/>
      <c r="I670" s="194"/>
      <c r="J670" s="194"/>
      <c r="K670" s="194"/>
      <c r="L670" s="194"/>
      <c r="M670" s="194"/>
      <c r="N670" s="194"/>
      <c r="O670" s="194"/>
      <c r="P670" s="194"/>
      <c r="Q670" s="194"/>
      <c r="R670" s="194"/>
      <c r="S670" s="194"/>
      <c r="T670" s="194"/>
      <c r="U670" s="194"/>
      <c r="V670" s="194"/>
      <c r="W670" s="194"/>
      <c r="X670" s="194"/>
      <c r="Y670" s="194"/>
      <c r="Z670" s="194"/>
      <c r="AA670" s="194"/>
      <c r="AB670" s="194"/>
      <c r="AC670" s="194"/>
      <c r="AD670" s="194"/>
      <c r="AE670" s="194"/>
      <c r="AF670" s="194"/>
      <c r="AG670" s="194"/>
      <c r="AH670" s="194"/>
      <c r="AI670" s="194"/>
      <c r="AJ670" s="194"/>
      <c r="AK670" s="194"/>
      <c r="AL670" s="194"/>
      <c r="AM670" s="194"/>
    </row>
    <row r="671" spans="1:39" ht="15.75" customHeight="1" x14ac:dyDescent="0.25">
      <c r="A671" s="194"/>
      <c r="B671" s="194"/>
      <c r="C671" s="194"/>
      <c r="D671" s="194"/>
      <c r="E671" s="194"/>
      <c r="F671" s="194"/>
      <c r="G671" s="194"/>
      <c r="H671" s="194"/>
      <c r="I671" s="194"/>
      <c r="J671" s="194"/>
      <c r="K671" s="194"/>
      <c r="L671" s="194"/>
      <c r="M671" s="194"/>
      <c r="N671" s="194"/>
      <c r="O671" s="194"/>
      <c r="P671" s="194"/>
      <c r="Q671" s="194"/>
      <c r="R671" s="194"/>
      <c r="S671" s="194"/>
      <c r="T671" s="194"/>
      <c r="U671" s="194"/>
      <c r="V671" s="194"/>
      <c r="W671" s="194"/>
      <c r="X671" s="194"/>
      <c r="Y671" s="194"/>
      <c r="Z671" s="194"/>
      <c r="AA671" s="194"/>
      <c r="AB671" s="194"/>
      <c r="AC671" s="194"/>
      <c r="AD671" s="194"/>
      <c r="AE671" s="194"/>
      <c r="AF671" s="194"/>
      <c r="AG671" s="194"/>
      <c r="AH671" s="194"/>
      <c r="AI671" s="194"/>
      <c r="AJ671" s="194"/>
      <c r="AK671" s="194"/>
      <c r="AL671" s="194"/>
      <c r="AM671" s="194"/>
    </row>
    <row r="672" spans="1:39" ht="15.75" customHeight="1" x14ac:dyDescent="0.25">
      <c r="A672" s="194"/>
      <c r="B672" s="194"/>
      <c r="C672" s="194"/>
      <c r="D672" s="194"/>
      <c r="E672" s="194"/>
      <c r="F672" s="194"/>
      <c r="G672" s="194"/>
      <c r="H672" s="194"/>
      <c r="I672" s="194"/>
      <c r="J672" s="194"/>
      <c r="K672" s="194"/>
      <c r="L672" s="194"/>
      <c r="M672" s="194"/>
      <c r="N672" s="194"/>
      <c r="O672" s="194"/>
      <c r="P672" s="194"/>
      <c r="Q672" s="194"/>
      <c r="R672" s="194"/>
      <c r="S672" s="194"/>
      <c r="T672" s="194"/>
      <c r="U672" s="194"/>
      <c r="V672" s="194"/>
      <c r="W672" s="194"/>
      <c r="X672" s="194"/>
      <c r="Y672" s="194"/>
      <c r="Z672" s="194"/>
      <c r="AA672" s="194"/>
      <c r="AB672" s="194"/>
      <c r="AC672" s="194"/>
      <c r="AD672" s="194"/>
      <c r="AE672" s="194"/>
      <c r="AF672" s="194"/>
      <c r="AG672" s="194"/>
      <c r="AH672" s="194"/>
      <c r="AI672" s="194"/>
      <c r="AJ672" s="194"/>
      <c r="AK672" s="194"/>
      <c r="AL672" s="194"/>
      <c r="AM672" s="194"/>
    </row>
    <row r="673" spans="1:39" ht="15.75" customHeight="1" x14ac:dyDescent="0.25">
      <c r="A673" s="194"/>
      <c r="B673" s="194"/>
      <c r="C673" s="194"/>
      <c r="D673" s="194"/>
      <c r="E673" s="194"/>
      <c r="F673" s="194"/>
      <c r="G673" s="194"/>
      <c r="H673" s="194"/>
      <c r="I673" s="194"/>
      <c r="J673" s="194"/>
      <c r="K673" s="194"/>
      <c r="L673" s="194"/>
      <c r="M673" s="194"/>
      <c r="N673" s="194"/>
      <c r="O673" s="194"/>
      <c r="P673" s="194"/>
      <c r="Q673" s="194"/>
      <c r="R673" s="194"/>
      <c r="S673" s="194"/>
      <c r="T673" s="194"/>
      <c r="U673" s="194"/>
      <c r="V673" s="194"/>
      <c r="W673" s="194"/>
      <c r="X673" s="194"/>
      <c r="Y673" s="194"/>
      <c r="Z673" s="194"/>
      <c r="AA673" s="194"/>
      <c r="AB673" s="194"/>
      <c r="AC673" s="194"/>
      <c r="AD673" s="194"/>
      <c r="AE673" s="194"/>
      <c r="AF673" s="194"/>
      <c r="AG673" s="194"/>
      <c r="AH673" s="194"/>
      <c r="AI673" s="194"/>
      <c r="AJ673" s="194"/>
      <c r="AK673" s="194"/>
      <c r="AL673" s="194"/>
      <c r="AM673" s="194"/>
    </row>
    <row r="674" spans="1:39" ht="15.75" customHeight="1" x14ac:dyDescent="0.25">
      <c r="A674" s="194"/>
      <c r="B674" s="194"/>
      <c r="C674" s="194"/>
      <c r="D674" s="194"/>
      <c r="E674" s="194"/>
      <c r="F674" s="194"/>
      <c r="G674" s="194"/>
      <c r="H674" s="194"/>
      <c r="I674" s="194"/>
      <c r="J674" s="194"/>
      <c r="K674" s="194"/>
      <c r="L674" s="194"/>
      <c r="M674" s="194"/>
      <c r="N674" s="194"/>
      <c r="O674" s="194"/>
      <c r="P674" s="194"/>
      <c r="Q674" s="194"/>
      <c r="R674" s="194"/>
      <c r="S674" s="194"/>
      <c r="T674" s="194"/>
      <c r="U674" s="194"/>
      <c r="V674" s="194"/>
      <c r="W674" s="194"/>
      <c r="X674" s="194"/>
      <c r="Y674" s="194"/>
      <c r="Z674" s="194"/>
      <c r="AA674" s="194"/>
      <c r="AB674" s="194"/>
      <c r="AC674" s="194"/>
      <c r="AD674" s="194"/>
      <c r="AE674" s="194"/>
      <c r="AF674" s="194"/>
      <c r="AG674" s="194"/>
      <c r="AH674" s="194"/>
      <c r="AI674" s="194"/>
      <c r="AJ674" s="194"/>
      <c r="AK674" s="194"/>
      <c r="AL674" s="194"/>
      <c r="AM674" s="194"/>
    </row>
    <row r="675" spans="1:39" ht="15.75" customHeight="1" x14ac:dyDescent="0.25">
      <c r="A675" s="194"/>
      <c r="B675" s="194"/>
      <c r="C675" s="194"/>
      <c r="D675" s="194"/>
      <c r="E675" s="194"/>
      <c r="F675" s="194"/>
      <c r="G675" s="194"/>
      <c r="H675" s="194"/>
      <c r="I675" s="194"/>
      <c r="J675" s="194"/>
      <c r="K675" s="194"/>
      <c r="L675" s="194"/>
      <c r="M675" s="194"/>
      <c r="N675" s="194"/>
      <c r="O675" s="194"/>
      <c r="P675" s="194"/>
      <c r="Q675" s="194"/>
      <c r="R675" s="194"/>
      <c r="S675" s="194"/>
      <c r="T675" s="194"/>
      <c r="U675" s="194"/>
      <c r="V675" s="194"/>
      <c r="W675" s="194"/>
      <c r="X675" s="194"/>
      <c r="Y675" s="194"/>
      <c r="Z675" s="194"/>
      <c r="AA675" s="194"/>
      <c r="AB675" s="194"/>
      <c r="AC675" s="194"/>
      <c r="AD675" s="194"/>
      <c r="AE675" s="194"/>
      <c r="AF675" s="194"/>
      <c r="AG675" s="194"/>
      <c r="AH675" s="194"/>
      <c r="AI675" s="194"/>
      <c r="AJ675" s="194"/>
      <c r="AK675" s="194"/>
      <c r="AL675" s="194"/>
      <c r="AM675" s="194"/>
    </row>
    <row r="676" spans="1:39" ht="15.75" customHeight="1" x14ac:dyDescent="0.25">
      <c r="A676" s="194"/>
      <c r="B676" s="194"/>
      <c r="C676" s="194"/>
      <c r="D676" s="194"/>
      <c r="E676" s="194"/>
      <c r="F676" s="194"/>
      <c r="G676" s="194"/>
      <c r="H676" s="194"/>
      <c r="I676" s="194"/>
      <c r="J676" s="194"/>
      <c r="K676" s="194"/>
      <c r="L676" s="194"/>
      <c r="M676" s="194"/>
      <c r="N676" s="194"/>
      <c r="O676" s="194"/>
      <c r="P676" s="194"/>
      <c r="Q676" s="194"/>
      <c r="R676" s="194"/>
      <c r="S676" s="194"/>
      <c r="T676" s="194"/>
      <c r="U676" s="194"/>
      <c r="V676" s="194"/>
      <c r="W676" s="194"/>
      <c r="X676" s="194"/>
      <c r="Y676" s="194"/>
      <c r="Z676" s="194"/>
      <c r="AA676" s="194"/>
      <c r="AB676" s="194"/>
      <c r="AC676" s="194"/>
      <c r="AD676" s="194"/>
      <c r="AE676" s="194"/>
      <c r="AF676" s="194"/>
      <c r="AG676" s="194"/>
      <c r="AH676" s="194"/>
      <c r="AI676" s="194"/>
      <c r="AJ676" s="194"/>
      <c r="AK676" s="194"/>
      <c r="AL676" s="194"/>
      <c r="AM676" s="194"/>
    </row>
    <row r="677" spans="1:39" ht="15.75" customHeight="1" x14ac:dyDescent="0.25">
      <c r="A677" s="194"/>
      <c r="B677" s="194"/>
      <c r="C677" s="194"/>
      <c r="D677" s="194"/>
      <c r="E677" s="194"/>
      <c r="F677" s="194"/>
      <c r="G677" s="194"/>
      <c r="H677" s="194"/>
      <c r="I677" s="194"/>
      <c r="J677" s="194"/>
      <c r="K677" s="194"/>
      <c r="L677" s="194"/>
      <c r="M677" s="194"/>
      <c r="N677" s="194"/>
      <c r="O677" s="194"/>
      <c r="P677" s="194"/>
      <c r="Q677" s="194"/>
      <c r="R677" s="194"/>
      <c r="S677" s="194"/>
      <c r="T677" s="194"/>
      <c r="U677" s="194"/>
      <c r="V677" s="194"/>
      <c r="W677" s="194"/>
      <c r="X677" s="194"/>
      <c r="Y677" s="194"/>
      <c r="Z677" s="194"/>
      <c r="AA677" s="194"/>
      <c r="AB677" s="194"/>
      <c r="AC677" s="194"/>
      <c r="AD677" s="194"/>
      <c r="AE677" s="194"/>
      <c r="AF677" s="194"/>
      <c r="AG677" s="194"/>
      <c r="AH677" s="194"/>
      <c r="AI677" s="194"/>
      <c r="AJ677" s="194"/>
      <c r="AK677" s="194"/>
      <c r="AL677" s="194"/>
      <c r="AM677" s="194"/>
    </row>
    <row r="678" spans="1:39" ht="15.75" customHeight="1" x14ac:dyDescent="0.25">
      <c r="A678" s="194"/>
      <c r="B678" s="194"/>
      <c r="C678" s="194"/>
      <c r="D678" s="194"/>
      <c r="E678" s="194"/>
      <c r="F678" s="194"/>
      <c r="G678" s="194"/>
      <c r="H678" s="194"/>
      <c r="I678" s="194"/>
      <c r="J678" s="194"/>
      <c r="K678" s="194"/>
      <c r="L678" s="194"/>
      <c r="M678" s="194"/>
      <c r="N678" s="194"/>
      <c r="O678" s="194"/>
      <c r="P678" s="194"/>
      <c r="Q678" s="194"/>
      <c r="R678" s="194"/>
      <c r="S678" s="194"/>
      <c r="T678" s="194"/>
      <c r="U678" s="194"/>
      <c r="V678" s="194"/>
      <c r="W678" s="194"/>
      <c r="X678" s="194"/>
      <c r="Y678" s="194"/>
      <c r="Z678" s="194"/>
      <c r="AA678" s="194"/>
      <c r="AB678" s="194"/>
      <c r="AC678" s="194"/>
      <c r="AD678" s="194"/>
      <c r="AE678" s="194"/>
      <c r="AF678" s="194"/>
      <c r="AG678" s="194"/>
      <c r="AH678" s="194"/>
      <c r="AI678" s="194"/>
      <c r="AJ678" s="194"/>
      <c r="AK678" s="194"/>
      <c r="AL678" s="194"/>
      <c r="AM678" s="194"/>
    </row>
    <row r="679" spans="1:39" ht="15.75" customHeight="1" x14ac:dyDescent="0.25">
      <c r="A679" s="194"/>
      <c r="B679" s="194"/>
      <c r="C679" s="194"/>
      <c r="D679" s="194"/>
      <c r="E679" s="194"/>
      <c r="F679" s="194"/>
      <c r="G679" s="194"/>
      <c r="H679" s="194"/>
      <c r="I679" s="194"/>
      <c r="J679" s="194"/>
      <c r="K679" s="194"/>
      <c r="L679" s="194"/>
      <c r="M679" s="194"/>
      <c r="N679" s="194"/>
      <c r="O679" s="194"/>
      <c r="P679" s="194"/>
      <c r="Q679" s="194"/>
      <c r="R679" s="194"/>
      <c r="S679" s="194"/>
      <c r="T679" s="194"/>
      <c r="U679" s="194"/>
      <c r="V679" s="194"/>
      <c r="W679" s="194"/>
      <c r="X679" s="194"/>
      <c r="Y679" s="194"/>
      <c r="Z679" s="194"/>
      <c r="AA679" s="194"/>
      <c r="AB679" s="194"/>
      <c r="AC679" s="194"/>
      <c r="AD679" s="194"/>
      <c r="AE679" s="194"/>
      <c r="AF679" s="194"/>
      <c r="AG679" s="194"/>
      <c r="AH679" s="194"/>
      <c r="AI679" s="194"/>
      <c r="AJ679" s="194"/>
      <c r="AK679" s="194"/>
      <c r="AL679" s="194"/>
      <c r="AM679" s="194"/>
    </row>
    <row r="680" spans="1:39" ht="15.75" customHeight="1" x14ac:dyDescent="0.25">
      <c r="A680" s="194"/>
      <c r="B680" s="194"/>
      <c r="C680" s="194"/>
      <c r="D680" s="194"/>
      <c r="E680" s="194"/>
      <c r="F680" s="194"/>
      <c r="G680" s="194"/>
      <c r="H680" s="194"/>
      <c r="I680" s="194"/>
      <c r="J680" s="194"/>
      <c r="K680" s="194"/>
      <c r="L680" s="194"/>
      <c r="M680" s="194"/>
      <c r="N680" s="194"/>
      <c r="O680" s="194"/>
      <c r="P680" s="194"/>
      <c r="Q680" s="194"/>
      <c r="R680" s="194"/>
      <c r="S680" s="194"/>
      <c r="T680" s="194"/>
      <c r="U680" s="194"/>
      <c r="V680" s="194"/>
      <c r="W680" s="194"/>
      <c r="X680" s="194"/>
      <c r="Y680" s="194"/>
      <c r="Z680" s="194"/>
      <c r="AA680" s="194"/>
      <c r="AB680" s="194"/>
      <c r="AC680" s="194"/>
      <c r="AD680" s="194"/>
      <c r="AE680" s="194"/>
      <c r="AF680" s="194"/>
      <c r="AG680" s="194"/>
      <c r="AH680" s="194"/>
      <c r="AI680" s="194"/>
      <c r="AJ680" s="194"/>
      <c r="AK680" s="194"/>
      <c r="AL680" s="194"/>
      <c r="AM680" s="194"/>
    </row>
    <row r="681" spans="1:39" ht="15.75" customHeight="1" x14ac:dyDescent="0.25">
      <c r="A681" s="194"/>
      <c r="B681" s="194"/>
      <c r="C681" s="194"/>
      <c r="D681" s="194"/>
      <c r="E681" s="194"/>
      <c r="F681" s="194"/>
      <c r="G681" s="194"/>
      <c r="H681" s="194"/>
      <c r="I681" s="194"/>
      <c r="J681" s="194"/>
      <c r="K681" s="194"/>
      <c r="L681" s="194"/>
      <c r="M681" s="194"/>
      <c r="N681" s="194"/>
      <c r="O681" s="194"/>
      <c r="P681" s="194"/>
      <c r="Q681" s="194"/>
      <c r="R681" s="194"/>
      <c r="S681" s="194"/>
      <c r="T681" s="194"/>
      <c r="U681" s="194"/>
      <c r="V681" s="194"/>
      <c r="W681" s="194"/>
      <c r="X681" s="194"/>
      <c r="Y681" s="194"/>
      <c r="Z681" s="194"/>
      <c r="AA681" s="194"/>
      <c r="AB681" s="194"/>
      <c r="AC681" s="194"/>
      <c r="AD681" s="194"/>
      <c r="AE681" s="194"/>
      <c r="AF681" s="194"/>
      <c r="AG681" s="194"/>
      <c r="AH681" s="194"/>
      <c r="AI681" s="194"/>
      <c r="AJ681" s="194"/>
      <c r="AK681" s="194"/>
      <c r="AL681" s="194"/>
      <c r="AM681" s="194"/>
    </row>
    <row r="682" spans="1:39" ht="15.75" customHeight="1" x14ac:dyDescent="0.25">
      <c r="A682" s="194"/>
      <c r="B682" s="194"/>
      <c r="C682" s="194"/>
      <c r="D682" s="194"/>
      <c r="E682" s="194"/>
      <c r="F682" s="194"/>
      <c r="G682" s="194"/>
      <c r="H682" s="194"/>
      <c r="I682" s="194"/>
      <c r="J682" s="194"/>
      <c r="K682" s="194"/>
      <c r="L682" s="194"/>
      <c r="M682" s="194"/>
      <c r="N682" s="194"/>
      <c r="O682" s="194"/>
      <c r="P682" s="194"/>
      <c r="Q682" s="194"/>
      <c r="R682" s="194"/>
      <c r="S682" s="194"/>
      <c r="T682" s="194"/>
      <c r="U682" s="194"/>
      <c r="V682" s="194"/>
      <c r="W682" s="194"/>
      <c r="X682" s="194"/>
      <c r="Y682" s="194"/>
      <c r="Z682" s="194"/>
      <c r="AA682" s="194"/>
      <c r="AB682" s="194"/>
      <c r="AC682" s="194"/>
      <c r="AD682" s="194"/>
      <c r="AE682" s="194"/>
      <c r="AF682" s="194"/>
      <c r="AG682" s="194"/>
      <c r="AH682" s="194"/>
      <c r="AI682" s="194"/>
      <c r="AJ682" s="194"/>
      <c r="AK682" s="194"/>
      <c r="AL682" s="194"/>
      <c r="AM682" s="194"/>
    </row>
    <row r="683" spans="1:39" ht="15.75" customHeight="1" x14ac:dyDescent="0.25">
      <c r="A683" s="194"/>
      <c r="B683" s="194"/>
      <c r="C683" s="194"/>
      <c r="D683" s="194"/>
      <c r="E683" s="194"/>
      <c r="F683" s="194"/>
      <c r="G683" s="194"/>
      <c r="H683" s="194"/>
      <c r="I683" s="194"/>
      <c r="J683" s="194"/>
      <c r="K683" s="194"/>
      <c r="L683" s="194"/>
      <c r="M683" s="194"/>
      <c r="N683" s="194"/>
      <c r="O683" s="194"/>
      <c r="P683" s="194"/>
      <c r="Q683" s="194"/>
      <c r="R683" s="194"/>
      <c r="S683" s="194"/>
      <c r="T683" s="194"/>
      <c r="U683" s="194"/>
      <c r="V683" s="194"/>
      <c r="W683" s="194"/>
      <c r="X683" s="194"/>
      <c r="Y683" s="194"/>
      <c r="Z683" s="194"/>
      <c r="AA683" s="194"/>
      <c r="AB683" s="194"/>
      <c r="AC683" s="194"/>
      <c r="AD683" s="194"/>
      <c r="AE683" s="194"/>
      <c r="AF683" s="194"/>
      <c r="AG683" s="194"/>
      <c r="AH683" s="194"/>
      <c r="AI683" s="194"/>
      <c r="AJ683" s="194"/>
      <c r="AK683" s="194"/>
      <c r="AL683" s="194"/>
      <c r="AM683" s="194"/>
    </row>
    <row r="684" spans="1:39" ht="15.75" customHeight="1" x14ac:dyDescent="0.25">
      <c r="A684" s="194"/>
      <c r="B684" s="194"/>
      <c r="C684" s="194"/>
      <c r="D684" s="194"/>
      <c r="E684" s="194"/>
      <c r="F684" s="194"/>
      <c r="G684" s="194"/>
      <c r="H684" s="194"/>
      <c r="I684" s="194"/>
      <c r="J684" s="194"/>
      <c r="K684" s="194"/>
      <c r="L684" s="194"/>
      <c r="M684" s="194"/>
      <c r="N684" s="194"/>
      <c r="O684" s="194"/>
      <c r="P684" s="194"/>
      <c r="Q684" s="194"/>
      <c r="R684" s="194"/>
      <c r="S684" s="194"/>
      <c r="T684" s="194"/>
      <c r="U684" s="194"/>
      <c r="V684" s="194"/>
      <c r="W684" s="194"/>
      <c r="X684" s="194"/>
      <c r="Y684" s="194"/>
      <c r="Z684" s="194"/>
      <c r="AA684" s="194"/>
      <c r="AB684" s="194"/>
      <c r="AC684" s="194"/>
      <c r="AD684" s="194"/>
      <c r="AE684" s="194"/>
      <c r="AF684" s="194"/>
      <c r="AG684" s="194"/>
      <c r="AH684" s="194"/>
      <c r="AI684" s="194"/>
      <c r="AJ684" s="194"/>
      <c r="AK684" s="194"/>
      <c r="AL684" s="194"/>
      <c r="AM684" s="194"/>
    </row>
    <row r="685" spans="1:39" ht="15.75" customHeight="1" x14ac:dyDescent="0.25">
      <c r="A685" s="194"/>
      <c r="B685" s="194"/>
      <c r="C685" s="194"/>
      <c r="D685" s="194"/>
      <c r="E685" s="194"/>
      <c r="F685" s="194"/>
      <c r="G685" s="194"/>
      <c r="H685" s="194"/>
      <c r="I685" s="194"/>
      <c r="J685" s="194"/>
      <c r="K685" s="194"/>
      <c r="L685" s="194"/>
      <c r="M685" s="194"/>
      <c r="N685" s="194"/>
      <c r="O685" s="194"/>
      <c r="P685" s="194"/>
      <c r="Q685" s="194"/>
      <c r="R685" s="194"/>
      <c r="S685" s="194"/>
      <c r="T685" s="194"/>
      <c r="U685" s="194"/>
      <c r="V685" s="194"/>
      <c r="W685" s="194"/>
      <c r="X685" s="194"/>
      <c r="Y685" s="194"/>
      <c r="Z685" s="194"/>
      <c r="AA685" s="194"/>
      <c r="AB685" s="194"/>
      <c r="AC685" s="194"/>
      <c r="AD685" s="194"/>
      <c r="AE685" s="194"/>
      <c r="AF685" s="194"/>
      <c r="AG685" s="194"/>
      <c r="AH685" s="194"/>
      <c r="AI685" s="194"/>
      <c r="AJ685" s="194"/>
      <c r="AK685" s="194"/>
      <c r="AL685" s="194"/>
      <c r="AM685" s="194"/>
    </row>
    <row r="686" spans="1:39" ht="15.75" customHeight="1" x14ac:dyDescent="0.25">
      <c r="A686" s="194"/>
      <c r="B686" s="194"/>
      <c r="C686" s="194"/>
      <c r="D686" s="194"/>
      <c r="E686" s="194"/>
      <c r="F686" s="194"/>
      <c r="G686" s="194"/>
      <c r="H686" s="194"/>
      <c r="I686" s="194"/>
      <c r="J686" s="194"/>
      <c r="K686" s="194"/>
      <c r="L686" s="194"/>
      <c r="M686" s="194"/>
      <c r="N686" s="194"/>
      <c r="O686" s="194"/>
      <c r="P686" s="194"/>
      <c r="Q686" s="194"/>
      <c r="R686" s="194"/>
      <c r="S686" s="194"/>
      <c r="T686" s="194"/>
      <c r="U686" s="194"/>
      <c r="V686" s="194"/>
      <c r="W686" s="194"/>
      <c r="X686" s="194"/>
      <c r="Y686" s="194"/>
      <c r="Z686" s="194"/>
      <c r="AA686" s="194"/>
      <c r="AB686" s="194"/>
      <c r="AC686" s="194"/>
      <c r="AD686" s="194"/>
      <c r="AE686" s="194"/>
      <c r="AF686" s="194"/>
      <c r="AG686" s="194"/>
      <c r="AH686" s="194"/>
      <c r="AI686" s="194"/>
      <c r="AJ686" s="194"/>
      <c r="AK686" s="194"/>
      <c r="AL686" s="194"/>
      <c r="AM686" s="194"/>
    </row>
    <row r="687" spans="1:39" ht="15.75" customHeight="1" x14ac:dyDescent="0.25">
      <c r="A687" s="194"/>
      <c r="B687" s="194"/>
      <c r="C687" s="194"/>
      <c r="D687" s="194"/>
      <c r="E687" s="194"/>
      <c r="F687" s="194"/>
      <c r="G687" s="194"/>
      <c r="H687" s="194"/>
      <c r="I687" s="194"/>
      <c r="J687" s="194"/>
      <c r="K687" s="194"/>
      <c r="L687" s="194"/>
      <c r="M687" s="194"/>
      <c r="N687" s="194"/>
      <c r="O687" s="194"/>
      <c r="P687" s="194"/>
      <c r="Q687" s="194"/>
      <c r="R687" s="194"/>
      <c r="S687" s="194"/>
      <c r="T687" s="194"/>
      <c r="U687" s="194"/>
      <c r="V687" s="194"/>
      <c r="W687" s="194"/>
      <c r="X687" s="194"/>
      <c r="Y687" s="194"/>
      <c r="Z687" s="194"/>
      <c r="AA687" s="194"/>
      <c r="AB687" s="194"/>
      <c r="AC687" s="194"/>
      <c r="AD687" s="194"/>
      <c r="AE687" s="194"/>
      <c r="AF687" s="194"/>
      <c r="AG687" s="194"/>
      <c r="AH687" s="194"/>
      <c r="AI687" s="194"/>
      <c r="AJ687" s="194"/>
      <c r="AK687" s="194"/>
      <c r="AL687" s="194"/>
      <c r="AM687" s="194"/>
    </row>
    <row r="688" spans="1:39" ht="15.75" customHeight="1" x14ac:dyDescent="0.25">
      <c r="A688" s="194"/>
      <c r="B688" s="194"/>
      <c r="C688" s="194"/>
      <c r="D688" s="194"/>
      <c r="E688" s="194"/>
      <c r="F688" s="194"/>
      <c r="G688" s="194"/>
      <c r="H688" s="194"/>
      <c r="I688" s="194"/>
      <c r="J688" s="194"/>
      <c r="K688" s="194"/>
      <c r="L688" s="194"/>
      <c r="M688" s="194"/>
      <c r="N688" s="194"/>
      <c r="O688" s="194"/>
      <c r="P688" s="194"/>
      <c r="Q688" s="194"/>
      <c r="R688" s="194"/>
      <c r="S688" s="194"/>
      <c r="T688" s="194"/>
      <c r="U688" s="194"/>
      <c r="V688" s="194"/>
      <c r="W688" s="194"/>
      <c r="X688" s="194"/>
      <c r="Y688" s="194"/>
      <c r="Z688" s="194"/>
      <c r="AA688" s="194"/>
      <c r="AB688" s="194"/>
      <c r="AC688" s="194"/>
      <c r="AD688" s="194"/>
      <c r="AE688" s="194"/>
      <c r="AF688" s="194"/>
      <c r="AG688" s="194"/>
      <c r="AH688" s="194"/>
      <c r="AI688" s="194"/>
      <c r="AJ688" s="194"/>
      <c r="AK688" s="194"/>
      <c r="AL688" s="194"/>
      <c r="AM688" s="194"/>
    </row>
    <row r="689" spans="1:39" ht="15.75" customHeight="1" x14ac:dyDescent="0.25">
      <c r="A689" s="194"/>
      <c r="B689" s="194"/>
      <c r="C689" s="194"/>
      <c r="D689" s="194"/>
      <c r="E689" s="194"/>
      <c r="F689" s="194"/>
      <c r="G689" s="194"/>
      <c r="H689" s="194"/>
      <c r="I689" s="194"/>
      <c r="J689" s="194"/>
      <c r="K689" s="194"/>
      <c r="L689" s="194"/>
      <c r="M689" s="194"/>
      <c r="N689" s="194"/>
      <c r="O689" s="194"/>
      <c r="P689" s="194"/>
      <c r="Q689" s="194"/>
      <c r="R689" s="194"/>
      <c r="S689" s="194"/>
      <c r="T689" s="194"/>
      <c r="U689" s="194"/>
      <c r="V689" s="194"/>
      <c r="W689" s="194"/>
      <c r="X689" s="194"/>
      <c r="Y689" s="194"/>
      <c r="Z689" s="194"/>
      <c r="AA689" s="194"/>
      <c r="AB689" s="194"/>
      <c r="AC689" s="194"/>
      <c r="AD689" s="194"/>
      <c r="AE689" s="194"/>
      <c r="AF689" s="194"/>
      <c r="AG689" s="194"/>
      <c r="AH689" s="194"/>
      <c r="AI689" s="194"/>
      <c r="AJ689" s="194"/>
      <c r="AK689" s="194"/>
      <c r="AL689" s="194"/>
      <c r="AM689" s="194"/>
    </row>
    <row r="690" spans="1:39" ht="15.75" customHeight="1" x14ac:dyDescent="0.25">
      <c r="A690" s="194"/>
      <c r="B690" s="194"/>
      <c r="C690" s="194"/>
      <c r="D690" s="194"/>
      <c r="E690" s="194"/>
      <c r="F690" s="194"/>
      <c r="G690" s="194"/>
      <c r="H690" s="194"/>
      <c r="I690" s="194"/>
      <c r="J690" s="194"/>
      <c r="K690" s="194"/>
      <c r="L690" s="194"/>
      <c r="M690" s="194"/>
      <c r="N690" s="194"/>
      <c r="O690" s="194"/>
      <c r="P690" s="194"/>
      <c r="Q690" s="194"/>
      <c r="R690" s="194"/>
      <c r="S690" s="194"/>
      <c r="T690" s="194"/>
      <c r="U690" s="194"/>
      <c r="V690" s="194"/>
      <c r="W690" s="194"/>
      <c r="X690" s="194"/>
      <c r="Y690" s="194"/>
      <c r="Z690" s="194"/>
      <c r="AA690" s="194"/>
      <c r="AB690" s="194"/>
      <c r="AC690" s="194"/>
      <c r="AD690" s="194"/>
      <c r="AE690" s="194"/>
      <c r="AF690" s="194"/>
      <c r="AG690" s="194"/>
      <c r="AH690" s="194"/>
      <c r="AI690" s="194"/>
      <c r="AJ690" s="194"/>
      <c r="AK690" s="194"/>
      <c r="AL690" s="194"/>
      <c r="AM690" s="194"/>
    </row>
    <row r="691" spans="1:39" ht="15.75" customHeight="1" x14ac:dyDescent="0.25">
      <c r="A691" s="194"/>
      <c r="B691" s="194"/>
      <c r="C691" s="194"/>
      <c r="D691" s="194"/>
      <c r="E691" s="194"/>
      <c r="F691" s="194"/>
      <c r="G691" s="194"/>
      <c r="H691" s="194"/>
      <c r="I691" s="194"/>
      <c r="J691" s="194"/>
      <c r="K691" s="194"/>
      <c r="L691" s="194"/>
      <c r="M691" s="194"/>
      <c r="N691" s="194"/>
      <c r="O691" s="194"/>
      <c r="P691" s="194"/>
      <c r="Q691" s="194"/>
      <c r="R691" s="194"/>
      <c r="S691" s="194"/>
      <c r="T691" s="194"/>
      <c r="U691" s="194"/>
      <c r="V691" s="194"/>
      <c r="W691" s="194"/>
      <c r="X691" s="194"/>
      <c r="Y691" s="194"/>
      <c r="Z691" s="194"/>
      <c r="AA691" s="194"/>
      <c r="AB691" s="194"/>
      <c r="AC691" s="194"/>
      <c r="AD691" s="194"/>
      <c r="AE691" s="194"/>
      <c r="AF691" s="194"/>
      <c r="AG691" s="194"/>
      <c r="AH691" s="194"/>
      <c r="AI691" s="194"/>
      <c r="AJ691" s="194"/>
      <c r="AK691" s="194"/>
      <c r="AL691" s="194"/>
      <c r="AM691" s="194"/>
    </row>
    <row r="692" spans="1:39" ht="15.75" customHeight="1" x14ac:dyDescent="0.25">
      <c r="A692" s="194"/>
      <c r="B692" s="194"/>
      <c r="C692" s="194"/>
      <c r="D692" s="194"/>
      <c r="E692" s="194"/>
      <c r="F692" s="194"/>
      <c r="G692" s="194"/>
      <c r="H692" s="194"/>
      <c r="I692" s="194"/>
      <c r="J692" s="194"/>
      <c r="K692" s="194"/>
      <c r="L692" s="194"/>
      <c r="M692" s="194"/>
      <c r="N692" s="194"/>
      <c r="O692" s="194"/>
      <c r="P692" s="194"/>
      <c r="Q692" s="194"/>
      <c r="R692" s="194"/>
      <c r="S692" s="194"/>
      <c r="T692" s="194"/>
      <c r="U692" s="194"/>
      <c r="V692" s="194"/>
      <c r="W692" s="194"/>
      <c r="X692" s="194"/>
      <c r="Y692" s="194"/>
      <c r="Z692" s="194"/>
      <c r="AA692" s="194"/>
      <c r="AB692" s="194"/>
      <c r="AC692" s="194"/>
      <c r="AD692" s="194"/>
      <c r="AE692" s="194"/>
      <c r="AF692" s="194"/>
      <c r="AG692" s="194"/>
      <c r="AH692" s="194"/>
      <c r="AI692" s="194"/>
      <c r="AJ692" s="194"/>
      <c r="AK692" s="194"/>
      <c r="AL692" s="194"/>
      <c r="AM692" s="194"/>
    </row>
    <row r="693" spans="1:39" ht="15.75" customHeight="1" x14ac:dyDescent="0.25">
      <c r="A693" s="194"/>
      <c r="B693" s="194"/>
      <c r="C693" s="194"/>
      <c r="D693" s="194"/>
      <c r="E693" s="194"/>
      <c r="F693" s="194"/>
      <c r="G693" s="194"/>
      <c r="H693" s="194"/>
      <c r="I693" s="194"/>
      <c r="J693" s="194"/>
      <c r="K693" s="194"/>
      <c r="L693" s="194"/>
      <c r="M693" s="194"/>
      <c r="N693" s="194"/>
      <c r="O693" s="194"/>
      <c r="P693" s="194"/>
      <c r="Q693" s="194"/>
      <c r="R693" s="194"/>
      <c r="S693" s="194"/>
      <c r="T693" s="194"/>
      <c r="U693" s="194"/>
      <c r="V693" s="194"/>
      <c r="W693" s="194"/>
      <c r="X693" s="194"/>
      <c r="Y693" s="194"/>
      <c r="Z693" s="194"/>
      <c r="AA693" s="194"/>
      <c r="AB693" s="194"/>
      <c r="AC693" s="194"/>
      <c r="AD693" s="194"/>
      <c r="AE693" s="194"/>
      <c r="AF693" s="194"/>
      <c r="AG693" s="194"/>
      <c r="AH693" s="194"/>
      <c r="AI693" s="194"/>
      <c r="AJ693" s="194"/>
      <c r="AK693" s="194"/>
      <c r="AL693" s="194"/>
      <c r="AM693" s="194"/>
    </row>
    <row r="694" spans="1:39" ht="15.75" customHeight="1" x14ac:dyDescent="0.25">
      <c r="A694" s="194"/>
      <c r="B694" s="194"/>
      <c r="C694" s="194"/>
      <c r="D694" s="194"/>
      <c r="E694" s="194"/>
      <c r="F694" s="194"/>
      <c r="G694" s="194"/>
      <c r="H694" s="194"/>
      <c r="I694" s="194"/>
      <c r="J694" s="194"/>
      <c r="K694" s="194"/>
      <c r="L694" s="194"/>
      <c r="M694" s="194"/>
      <c r="N694" s="194"/>
      <c r="O694" s="194"/>
      <c r="P694" s="194"/>
      <c r="Q694" s="194"/>
      <c r="R694" s="194"/>
      <c r="S694" s="194"/>
      <c r="T694" s="194"/>
      <c r="U694" s="194"/>
      <c r="V694" s="194"/>
      <c r="W694" s="194"/>
      <c r="X694" s="194"/>
      <c r="Y694" s="194"/>
      <c r="Z694" s="194"/>
      <c r="AA694" s="194"/>
      <c r="AB694" s="194"/>
      <c r="AC694" s="194"/>
      <c r="AD694" s="194"/>
      <c r="AE694" s="194"/>
      <c r="AF694" s="194"/>
      <c r="AG694" s="194"/>
      <c r="AH694" s="194"/>
      <c r="AI694" s="194"/>
      <c r="AJ694" s="194"/>
      <c r="AK694" s="194"/>
      <c r="AL694" s="194"/>
      <c r="AM694" s="194"/>
    </row>
    <row r="695" spans="1:39" ht="15.75" customHeight="1" x14ac:dyDescent="0.25">
      <c r="A695" s="194"/>
      <c r="B695" s="194"/>
      <c r="C695" s="194"/>
      <c r="D695" s="194"/>
      <c r="E695" s="194"/>
      <c r="F695" s="194"/>
      <c r="G695" s="194"/>
      <c r="H695" s="194"/>
      <c r="I695" s="194"/>
      <c r="J695" s="194"/>
      <c r="K695" s="194"/>
      <c r="L695" s="194"/>
      <c r="M695" s="194"/>
      <c r="N695" s="194"/>
      <c r="O695" s="194"/>
      <c r="P695" s="194"/>
      <c r="Q695" s="194"/>
      <c r="R695" s="194"/>
      <c r="S695" s="194"/>
      <c r="T695" s="194"/>
      <c r="U695" s="194"/>
      <c r="V695" s="194"/>
      <c r="W695" s="194"/>
      <c r="X695" s="194"/>
      <c r="Y695" s="194"/>
      <c r="Z695" s="194"/>
      <c r="AA695" s="194"/>
      <c r="AB695" s="194"/>
      <c r="AC695" s="194"/>
      <c r="AD695" s="194"/>
      <c r="AE695" s="194"/>
      <c r="AF695" s="194"/>
      <c r="AG695" s="194"/>
      <c r="AH695" s="194"/>
      <c r="AI695" s="194"/>
      <c r="AJ695" s="194"/>
      <c r="AK695" s="194"/>
      <c r="AL695" s="194"/>
      <c r="AM695" s="194"/>
    </row>
    <row r="696" spans="1:39" ht="15.75" customHeight="1" x14ac:dyDescent="0.25">
      <c r="A696" s="194"/>
      <c r="B696" s="194"/>
      <c r="C696" s="194"/>
      <c r="D696" s="194"/>
      <c r="E696" s="194"/>
      <c r="F696" s="194"/>
      <c r="G696" s="194"/>
      <c r="H696" s="194"/>
      <c r="I696" s="194"/>
      <c r="J696" s="194"/>
      <c r="K696" s="194"/>
      <c r="L696" s="194"/>
      <c r="M696" s="194"/>
      <c r="N696" s="194"/>
      <c r="O696" s="194"/>
      <c r="P696" s="194"/>
      <c r="Q696" s="194"/>
      <c r="R696" s="194"/>
      <c r="S696" s="194"/>
      <c r="T696" s="194"/>
      <c r="U696" s="194"/>
      <c r="V696" s="194"/>
      <c r="W696" s="194"/>
      <c r="X696" s="194"/>
      <c r="Y696" s="194"/>
      <c r="Z696" s="194"/>
      <c r="AA696" s="194"/>
      <c r="AB696" s="194"/>
      <c r="AC696" s="194"/>
      <c r="AD696" s="194"/>
      <c r="AE696" s="194"/>
      <c r="AF696" s="194"/>
      <c r="AG696" s="194"/>
      <c r="AH696" s="194"/>
      <c r="AI696" s="194"/>
      <c r="AJ696" s="194"/>
      <c r="AK696" s="194"/>
      <c r="AL696" s="194"/>
      <c r="AM696" s="194"/>
    </row>
    <row r="697" spans="1:39" ht="15.75" customHeight="1" x14ac:dyDescent="0.25">
      <c r="A697" s="194"/>
      <c r="B697" s="194"/>
      <c r="C697" s="194"/>
      <c r="D697" s="194"/>
      <c r="E697" s="194"/>
      <c r="F697" s="194"/>
      <c r="G697" s="194"/>
      <c r="H697" s="194"/>
      <c r="I697" s="194"/>
      <c r="J697" s="194"/>
      <c r="K697" s="194"/>
      <c r="L697" s="194"/>
      <c r="M697" s="194"/>
      <c r="N697" s="194"/>
      <c r="O697" s="194"/>
      <c r="P697" s="194"/>
      <c r="Q697" s="194"/>
      <c r="R697" s="194"/>
      <c r="S697" s="194"/>
      <c r="T697" s="194"/>
      <c r="U697" s="194"/>
      <c r="V697" s="194"/>
      <c r="W697" s="194"/>
      <c r="X697" s="194"/>
      <c r="Y697" s="194"/>
      <c r="Z697" s="194"/>
      <c r="AA697" s="194"/>
      <c r="AB697" s="194"/>
      <c r="AC697" s="194"/>
      <c r="AD697" s="194"/>
      <c r="AE697" s="194"/>
      <c r="AF697" s="194"/>
      <c r="AG697" s="194"/>
      <c r="AH697" s="194"/>
      <c r="AI697" s="194"/>
      <c r="AJ697" s="194"/>
      <c r="AK697" s="194"/>
      <c r="AL697" s="194"/>
      <c r="AM697" s="194"/>
    </row>
    <row r="698" spans="1:39" ht="15.75" customHeight="1" x14ac:dyDescent="0.25">
      <c r="A698" s="194"/>
      <c r="B698" s="194"/>
      <c r="C698" s="194"/>
      <c r="D698" s="194"/>
      <c r="E698" s="194"/>
      <c r="F698" s="194"/>
      <c r="G698" s="194"/>
      <c r="H698" s="194"/>
      <c r="I698" s="194"/>
      <c r="J698" s="194"/>
      <c r="K698" s="194"/>
      <c r="L698" s="194"/>
      <c r="M698" s="194"/>
      <c r="N698" s="194"/>
      <c r="O698" s="194"/>
      <c r="P698" s="194"/>
      <c r="Q698" s="194"/>
      <c r="R698" s="194"/>
      <c r="S698" s="194"/>
      <c r="T698" s="194"/>
      <c r="U698" s="194"/>
      <c r="V698" s="194"/>
      <c r="W698" s="194"/>
      <c r="X698" s="194"/>
      <c r="Y698" s="194"/>
      <c r="Z698" s="194"/>
      <c r="AA698" s="194"/>
      <c r="AB698" s="194"/>
      <c r="AC698" s="194"/>
      <c r="AD698" s="194"/>
      <c r="AE698" s="194"/>
      <c r="AF698" s="194"/>
      <c r="AG698" s="194"/>
      <c r="AH698" s="194"/>
      <c r="AI698" s="194"/>
      <c r="AJ698" s="194"/>
      <c r="AK698" s="194"/>
      <c r="AL698" s="194"/>
      <c r="AM698" s="194"/>
    </row>
    <row r="699" spans="1:39" ht="15.75" customHeight="1" x14ac:dyDescent="0.25">
      <c r="A699" s="194"/>
      <c r="B699" s="194"/>
      <c r="C699" s="194"/>
      <c r="D699" s="194"/>
      <c r="E699" s="194"/>
      <c r="F699" s="194"/>
      <c r="G699" s="194"/>
      <c r="H699" s="194"/>
      <c r="I699" s="194"/>
      <c r="J699" s="194"/>
      <c r="K699" s="194"/>
      <c r="L699" s="194"/>
      <c r="M699" s="194"/>
      <c r="N699" s="194"/>
      <c r="O699" s="194"/>
      <c r="P699" s="194"/>
      <c r="Q699" s="194"/>
      <c r="R699" s="194"/>
      <c r="S699" s="194"/>
      <c r="T699" s="194"/>
      <c r="U699" s="194"/>
      <c r="V699" s="194"/>
      <c r="W699" s="194"/>
      <c r="X699" s="194"/>
      <c r="Y699" s="194"/>
      <c r="Z699" s="194"/>
      <c r="AA699" s="194"/>
      <c r="AB699" s="194"/>
      <c r="AC699" s="194"/>
      <c r="AD699" s="194"/>
      <c r="AE699" s="194"/>
      <c r="AF699" s="194"/>
      <c r="AG699" s="194"/>
      <c r="AH699" s="194"/>
      <c r="AI699" s="194"/>
      <c r="AJ699" s="194"/>
      <c r="AK699" s="194"/>
      <c r="AL699" s="194"/>
      <c r="AM699" s="194"/>
    </row>
    <row r="700" spans="1:39" ht="15.75" customHeight="1" x14ac:dyDescent="0.25">
      <c r="A700" s="194"/>
      <c r="B700" s="194"/>
      <c r="C700" s="194"/>
      <c r="D700" s="194"/>
      <c r="E700" s="194"/>
      <c r="F700" s="194"/>
      <c r="G700" s="194"/>
      <c r="H700" s="194"/>
      <c r="I700" s="194"/>
      <c r="J700" s="194"/>
      <c r="K700" s="194"/>
      <c r="L700" s="194"/>
      <c r="M700" s="194"/>
      <c r="N700" s="194"/>
      <c r="O700" s="194"/>
      <c r="P700" s="194"/>
      <c r="Q700" s="194"/>
      <c r="R700" s="194"/>
      <c r="S700" s="194"/>
      <c r="T700" s="194"/>
      <c r="U700" s="194"/>
      <c r="V700" s="194"/>
      <c r="W700" s="194"/>
      <c r="X700" s="194"/>
      <c r="Y700" s="194"/>
      <c r="Z700" s="194"/>
      <c r="AA700" s="194"/>
      <c r="AB700" s="194"/>
      <c r="AC700" s="194"/>
      <c r="AD700" s="194"/>
      <c r="AE700" s="194"/>
      <c r="AF700" s="194"/>
      <c r="AG700" s="194"/>
      <c r="AH700" s="194"/>
      <c r="AI700" s="194"/>
      <c r="AJ700" s="194"/>
      <c r="AK700" s="194"/>
      <c r="AL700" s="194"/>
      <c r="AM700" s="194"/>
    </row>
    <row r="701" spans="1:39" ht="15.75" customHeight="1" x14ac:dyDescent="0.25">
      <c r="A701" s="194"/>
      <c r="B701" s="194"/>
      <c r="C701" s="194"/>
      <c r="D701" s="194"/>
      <c r="E701" s="194"/>
      <c r="F701" s="194"/>
      <c r="G701" s="194"/>
      <c r="H701" s="194"/>
      <c r="I701" s="194"/>
      <c r="J701" s="194"/>
      <c r="K701" s="194"/>
      <c r="L701" s="194"/>
      <c r="M701" s="194"/>
      <c r="N701" s="194"/>
      <c r="O701" s="194"/>
      <c r="P701" s="194"/>
      <c r="Q701" s="194"/>
      <c r="R701" s="194"/>
      <c r="S701" s="194"/>
      <c r="T701" s="194"/>
      <c r="U701" s="194"/>
      <c r="V701" s="194"/>
      <c r="W701" s="194"/>
      <c r="X701" s="194"/>
      <c r="Y701" s="194"/>
      <c r="Z701" s="194"/>
      <c r="AA701" s="194"/>
      <c r="AB701" s="194"/>
      <c r="AC701" s="194"/>
      <c r="AD701" s="194"/>
      <c r="AE701" s="194"/>
      <c r="AF701" s="194"/>
      <c r="AG701" s="194"/>
      <c r="AH701" s="194"/>
      <c r="AI701" s="194"/>
      <c r="AJ701" s="194"/>
      <c r="AK701" s="194"/>
      <c r="AL701" s="194"/>
      <c r="AM701" s="194"/>
    </row>
    <row r="702" spans="1:39" ht="15.75" customHeight="1" x14ac:dyDescent="0.25">
      <c r="A702" s="194"/>
      <c r="B702" s="194"/>
      <c r="C702" s="194"/>
      <c r="D702" s="194"/>
      <c r="E702" s="194"/>
      <c r="F702" s="194"/>
      <c r="G702" s="194"/>
      <c r="H702" s="194"/>
      <c r="I702" s="194"/>
      <c r="J702" s="194"/>
      <c r="K702" s="194"/>
      <c r="L702" s="194"/>
      <c r="M702" s="194"/>
      <c r="N702" s="194"/>
      <c r="O702" s="194"/>
      <c r="P702" s="194"/>
      <c r="Q702" s="194"/>
      <c r="R702" s="194"/>
      <c r="S702" s="194"/>
      <c r="T702" s="194"/>
      <c r="U702" s="194"/>
      <c r="V702" s="194"/>
      <c r="W702" s="194"/>
      <c r="X702" s="194"/>
      <c r="Y702" s="194"/>
      <c r="Z702" s="194"/>
      <c r="AA702" s="194"/>
      <c r="AB702" s="194"/>
      <c r="AC702" s="194"/>
      <c r="AD702" s="194"/>
      <c r="AE702" s="194"/>
      <c r="AF702" s="194"/>
      <c r="AG702" s="194"/>
      <c r="AH702" s="194"/>
      <c r="AI702" s="194"/>
      <c r="AJ702" s="194"/>
      <c r="AK702" s="194"/>
      <c r="AL702" s="194"/>
      <c r="AM702" s="194"/>
    </row>
    <row r="703" spans="1:39" ht="15.75" customHeight="1" x14ac:dyDescent="0.25">
      <c r="A703" s="194"/>
      <c r="B703" s="194"/>
      <c r="C703" s="194"/>
      <c r="D703" s="194"/>
      <c r="E703" s="194"/>
      <c r="F703" s="194"/>
      <c r="G703" s="194"/>
      <c r="H703" s="194"/>
      <c r="I703" s="194"/>
      <c r="J703" s="194"/>
      <c r="K703" s="194"/>
      <c r="L703" s="194"/>
      <c r="M703" s="194"/>
      <c r="N703" s="194"/>
      <c r="O703" s="194"/>
      <c r="P703" s="194"/>
      <c r="Q703" s="194"/>
      <c r="R703" s="194"/>
      <c r="S703" s="194"/>
      <c r="T703" s="194"/>
      <c r="U703" s="194"/>
      <c r="V703" s="194"/>
      <c r="W703" s="194"/>
      <c r="X703" s="194"/>
      <c r="Y703" s="194"/>
      <c r="Z703" s="194"/>
      <c r="AA703" s="194"/>
      <c r="AB703" s="194"/>
      <c r="AC703" s="194"/>
      <c r="AD703" s="194"/>
      <c r="AE703" s="194"/>
      <c r="AF703" s="194"/>
      <c r="AG703" s="194"/>
      <c r="AH703" s="194"/>
      <c r="AI703" s="194"/>
      <c r="AJ703" s="194"/>
      <c r="AK703" s="194"/>
      <c r="AL703" s="194"/>
      <c r="AM703" s="194"/>
    </row>
    <row r="704" spans="1:39" ht="15.75" customHeight="1" x14ac:dyDescent="0.25">
      <c r="A704" s="194"/>
      <c r="B704" s="194"/>
      <c r="C704" s="194"/>
      <c r="D704" s="194"/>
      <c r="E704" s="194"/>
      <c r="F704" s="194"/>
      <c r="G704" s="194"/>
      <c r="H704" s="194"/>
      <c r="I704" s="194"/>
      <c r="J704" s="194"/>
      <c r="K704" s="194"/>
      <c r="L704" s="194"/>
      <c r="M704" s="194"/>
      <c r="N704" s="194"/>
      <c r="O704" s="194"/>
      <c r="P704" s="194"/>
      <c r="Q704" s="194"/>
      <c r="R704" s="194"/>
      <c r="S704" s="194"/>
      <c r="T704" s="194"/>
      <c r="U704" s="194"/>
      <c r="V704" s="194"/>
      <c r="W704" s="194"/>
      <c r="X704" s="194"/>
      <c r="Y704" s="194"/>
      <c r="Z704" s="194"/>
      <c r="AA704" s="194"/>
      <c r="AB704" s="194"/>
      <c r="AC704" s="194"/>
      <c r="AD704" s="194"/>
      <c r="AE704" s="194"/>
      <c r="AF704" s="194"/>
      <c r="AG704" s="194"/>
      <c r="AH704" s="194"/>
      <c r="AI704" s="194"/>
      <c r="AJ704" s="194"/>
      <c r="AK704" s="194"/>
      <c r="AL704" s="194"/>
      <c r="AM704" s="194"/>
    </row>
    <row r="705" spans="1:39" ht="15.75" customHeight="1" x14ac:dyDescent="0.25">
      <c r="A705" s="194"/>
      <c r="B705" s="194"/>
      <c r="C705" s="194"/>
      <c r="D705" s="194"/>
      <c r="E705" s="194"/>
      <c r="F705" s="194"/>
      <c r="G705" s="194"/>
      <c r="H705" s="194"/>
      <c r="I705" s="194"/>
      <c r="J705" s="194"/>
      <c r="K705" s="194"/>
      <c r="L705" s="194"/>
      <c r="M705" s="194"/>
      <c r="N705" s="194"/>
      <c r="O705" s="194"/>
      <c r="P705" s="194"/>
      <c r="Q705" s="194"/>
      <c r="R705" s="194"/>
      <c r="S705" s="194"/>
      <c r="T705" s="194"/>
      <c r="U705" s="194"/>
      <c r="V705" s="194"/>
      <c r="W705" s="194"/>
      <c r="X705" s="194"/>
      <c r="Y705" s="194"/>
      <c r="Z705" s="194"/>
      <c r="AA705" s="194"/>
      <c r="AB705" s="194"/>
      <c r="AC705" s="194"/>
      <c r="AD705" s="194"/>
      <c r="AE705" s="194"/>
      <c r="AF705" s="194"/>
      <c r="AG705" s="194"/>
      <c r="AH705" s="194"/>
      <c r="AI705" s="194"/>
      <c r="AJ705" s="194"/>
      <c r="AK705" s="194"/>
      <c r="AL705" s="194"/>
      <c r="AM705" s="194"/>
    </row>
    <row r="706" spans="1:39" ht="15.75" customHeight="1" x14ac:dyDescent="0.25">
      <c r="A706" s="194"/>
      <c r="B706" s="194"/>
      <c r="C706" s="194"/>
      <c r="D706" s="194"/>
      <c r="E706" s="194"/>
      <c r="F706" s="194"/>
      <c r="G706" s="194"/>
      <c r="H706" s="194"/>
      <c r="I706" s="194"/>
      <c r="J706" s="194"/>
      <c r="K706" s="194"/>
      <c r="L706" s="194"/>
      <c r="M706" s="194"/>
      <c r="N706" s="194"/>
      <c r="O706" s="194"/>
      <c r="P706" s="194"/>
      <c r="Q706" s="194"/>
      <c r="R706" s="194"/>
      <c r="S706" s="194"/>
      <c r="T706" s="194"/>
      <c r="U706" s="194"/>
      <c r="V706" s="194"/>
      <c r="W706" s="194"/>
      <c r="X706" s="194"/>
      <c r="Y706" s="194"/>
      <c r="Z706" s="194"/>
      <c r="AA706" s="194"/>
      <c r="AB706" s="194"/>
      <c r="AC706" s="194"/>
      <c r="AD706" s="194"/>
      <c r="AE706" s="194"/>
      <c r="AF706" s="194"/>
      <c r="AG706" s="194"/>
      <c r="AH706" s="194"/>
      <c r="AI706" s="194"/>
      <c r="AJ706" s="194"/>
      <c r="AK706" s="194"/>
      <c r="AL706" s="194"/>
      <c r="AM706" s="194"/>
    </row>
    <row r="707" spans="1:39" ht="15.75" customHeight="1" x14ac:dyDescent="0.25">
      <c r="A707" s="194"/>
      <c r="B707" s="194"/>
      <c r="C707" s="194"/>
      <c r="D707" s="194"/>
      <c r="E707" s="194"/>
      <c r="F707" s="194"/>
      <c r="G707" s="194"/>
      <c r="H707" s="194"/>
      <c r="I707" s="194"/>
      <c r="J707" s="194"/>
      <c r="K707" s="194"/>
      <c r="L707" s="194"/>
      <c r="M707" s="194"/>
      <c r="N707" s="194"/>
      <c r="O707" s="194"/>
      <c r="P707" s="194"/>
      <c r="Q707" s="194"/>
      <c r="R707" s="194"/>
      <c r="S707" s="194"/>
      <c r="T707" s="194"/>
      <c r="U707" s="194"/>
      <c r="V707" s="194"/>
      <c r="W707" s="194"/>
      <c r="X707" s="194"/>
      <c r="Y707" s="194"/>
      <c r="Z707" s="194"/>
      <c r="AA707" s="194"/>
      <c r="AB707" s="194"/>
      <c r="AC707" s="194"/>
      <c r="AD707" s="194"/>
      <c r="AE707" s="194"/>
      <c r="AF707" s="194"/>
      <c r="AG707" s="194"/>
      <c r="AH707" s="194"/>
      <c r="AI707" s="194"/>
      <c r="AJ707" s="194"/>
      <c r="AK707" s="194"/>
      <c r="AL707" s="194"/>
      <c r="AM707" s="194"/>
    </row>
    <row r="708" spans="1:39" ht="15.75" customHeight="1" x14ac:dyDescent="0.25">
      <c r="A708" s="194"/>
      <c r="B708" s="194"/>
      <c r="C708" s="194"/>
      <c r="D708" s="194"/>
      <c r="E708" s="194"/>
      <c r="F708" s="194"/>
      <c r="G708" s="194"/>
      <c r="H708" s="194"/>
      <c r="I708" s="194"/>
      <c r="J708" s="194"/>
      <c r="K708" s="194"/>
      <c r="L708" s="194"/>
      <c r="M708" s="194"/>
      <c r="N708" s="194"/>
      <c r="O708" s="194"/>
      <c r="P708" s="194"/>
      <c r="Q708" s="194"/>
      <c r="R708" s="194"/>
      <c r="S708" s="194"/>
      <c r="T708" s="194"/>
      <c r="U708" s="194"/>
      <c r="V708" s="194"/>
      <c r="W708" s="194"/>
      <c r="X708" s="194"/>
      <c r="Y708" s="194"/>
      <c r="Z708" s="194"/>
      <c r="AA708" s="194"/>
      <c r="AB708" s="194"/>
      <c r="AC708" s="194"/>
      <c r="AD708" s="194"/>
      <c r="AE708" s="194"/>
      <c r="AF708" s="194"/>
      <c r="AG708" s="194"/>
      <c r="AH708" s="194"/>
      <c r="AI708" s="194"/>
      <c r="AJ708" s="194"/>
      <c r="AK708" s="194"/>
      <c r="AL708" s="194"/>
      <c r="AM708" s="194"/>
    </row>
    <row r="709" spans="1:39" ht="15.75" customHeight="1" x14ac:dyDescent="0.25">
      <c r="A709" s="194"/>
      <c r="B709" s="194"/>
      <c r="C709" s="194"/>
      <c r="D709" s="194"/>
      <c r="E709" s="194"/>
      <c r="F709" s="194"/>
      <c r="G709" s="194"/>
      <c r="H709" s="194"/>
      <c r="I709" s="194"/>
      <c r="J709" s="194"/>
      <c r="K709" s="194"/>
      <c r="L709" s="194"/>
      <c r="M709" s="194"/>
      <c r="N709" s="194"/>
      <c r="O709" s="194"/>
      <c r="P709" s="194"/>
      <c r="Q709" s="194"/>
      <c r="R709" s="194"/>
      <c r="S709" s="194"/>
      <c r="T709" s="194"/>
      <c r="U709" s="194"/>
      <c r="V709" s="194"/>
      <c r="W709" s="194"/>
      <c r="X709" s="194"/>
      <c r="Y709" s="194"/>
      <c r="Z709" s="194"/>
      <c r="AA709" s="194"/>
      <c r="AB709" s="194"/>
      <c r="AC709" s="194"/>
      <c r="AD709" s="194"/>
      <c r="AE709" s="194"/>
      <c r="AF709" s="194"/>
      <c r="AG709" s="194"/>
      <c r="AH709" s="194"/>
      <c r="AI709" s="194"/>
      <c r="AJ709" s="194"/>
      <c r="AK709" s="194"/>
      <c r="AL709" s="194"/>
      <c r="AM709" s="194"/>
    </row>
    <row r="710" spans="1:39" ht="15.75" customHeight="1" x14ac:dyDescent="0.25">
      <c r="A710" s="194"/>
      <c r="B710" s="194"/>
      <c r="C710" s="194"/>
      <c r="D710" s="194"/>
      <c r="E710" s="194"/>
      <c r="F710" s="194"/>
      <c r="G710" s="194"/>
      <c r="H710" s="194"/>
      <c r="I710" s="194"/>
      <c r="J710" s="194"/>
      <c r="K710" s="194"/>
      <c r="L710" s="194"/>
      <c r="M710" s="194"/>
      <c r="N710" s="194"/>
      <c r="O710" s="194"/>
      <c r="P710" s="194"/>
      <c r="Q710" s="194"/>
      <c r="R710" s="194"/>
      <c r="S710" s="194"/>
      <c r="T710" s="194"/>
      <c r="U710" s="194"/>
      <c r="V710" s="194"/>
      <c r="W710" s="194"/>
      <c r="X710" s="194"/>
      <c r="Y710" s="194"/>
      <c r="Z710" s="194"/>
      <c r="AA710" s="194"/>
      <c r="AB710" s="194"/>
      <c r="AC710" s="194"/>
      <c r="AD710" s="194"/>
      <c r="AE710" s="194"/>
      <c r="AF710" s="194"/>
      <c r="AG710" s="194"/>
      <c r="AH710" s="194"/>
      <c r="AI710" s="194"/>
      <c r="AJ710" s="194"/>
      <c r="AK710" s="194"/>
      <c r="AL710" s="194"/>
      <c r="AM710" s="194"/>
    </row>
    <row r="711" spans="1:39" ht="15.75" customHeight="1" x14ac:dyDescent="0.25">
      <c r="A711" s="194"/>
      <c r="B711" s="194"/>
      <c r="C711" s="194"/>
      <c r="D711" s="194"/>
      <c r="E711" s="194"/>
      <c r="F711" s="194"/>
      <c r="G711" s="194"/>
      <c r="H711" s="194"/>
      <c r="I711" s="194"/>
      <c r="J711" s="194"/>
      <c r="K711" s="194"/>
      <c r="L711" s="194"/>
      <c r="M711" s="194"/>
      <c r="N711" s="194"/>
      <c r="O711" s="194"/>
      <c r="P711" s="194"/>
      <c r="Q711" s="194"/>
      <c r="R711" s="194"/>
      <c r="S711" s="194"/>
      <c r="T711" s="194"/>
      <c r="U711" s="194"/>
      <c r="V711" s="194"/>
      <c r="W711" s="194"/>
      <c r="X711" s="194"/>
      <c r="Y711" s="194"/>
      <c r="Z711" s="194"/>
      <c r="AA711" s="194"/>
      <c r="AB711" s="194"/>
      <c r="AC711" s="194"/>
      <c r="AD711" s="194"/>
      <c r="AE711" s="194"/>
      <c r="AF711" s="194"/>
      <c r="AG711" s="194"/>
      <c r="AH711" s="194"/>
      <c r="AI711" s="194"/>
      <c r="AJ711" s="194"/>
      <c r="AK711" s="194"/>
      <c r="AL711" s="194"/>
      <c r="AM711" s="194"/>
    </row>
    <row r="712" spans="1:39" ht="15.75" customHeight="1" x14ac:dyDescent="0.25">
      <c r="A712" s="194"/>
      <c r="B712" s="194"/>
      <c r="C712" s="194"/>
      <c r="D712" s="194"/>
      <c r="E712" s="194"/>
      <c r="F712" s="194"/>
      <c r="G712" s="194"/>
      <c r="H712" s="194"/>
      <c r="I712" s="194"/>
      <c r="J712" s="194"/>
      <c r="K712" s="194"/>
      <c r="L712" s="194"/>
      <c r="M712" s="194"/>
      <c r="N712" s="194"/>
      <c r="O712" s="194"/>
      <c r="P712" s="194"/>
      <c r="Q712" s="194"/>
      <c r="R712" s="194"/>
      <c r="S712" s="194"/>
      <c r="T712" s="194"/>
      <c r="U712" s="194"/>
      <c r="V712" s="194"/>
      <c r="W712" s="194"/>
      <c r="X712" s="194"/>
      <c r="Y712" s="194"/>
      <c r="Z712" s="194"/>
      <c r="AA712" s="194"/>
      <c r="AB712" s="194"/>
      <c r="AC712" s="194"/>
      <c r="AD712" s="194"/>
      <c r="AE712" s="194"/>
      <c r="AF712" s="194"/>
      <c r="AG712" s="194"/>
      <c r="AH712" s="194"/>
      <c r="AI712" s="194"/>
      <c r="AJ712" s="194"/>
      <c r="AK712" s="194"/>
      <c r="AL712" s="194"/>
      <c r="AM712" s="194"/>
    </row>
    <row r="713" spans="1:39" ht="15.75" customHeight="1" x14ac:dyDescent="0.25">
      <c r="A713" s="194"/>
      <c r="B713" s="194"/>
      <c r="C713" s="194"/>
      <c r="D713" s="194"/>
      <c r="E713" s="194"/>
      <c r="F713" s="194"/>
      <c r="G713" s="194"/>
      <c r="H713" s="194"/>
      <c r="I713" s="194"/>
      <c r="J713" s="194"/>
      <c r="K713" s="194"/>
      <c r="L713" s="194"/>
      <c r="M713" s="194"/>
      <c r="N713" s="194"/>
      <c r="O713" s="194"/>
      <c r="P713" s="194"/>
      <c r="Q713" s="194"/>
      <c r="R713" s="194"/>
      <c r="S713" s="194"/>
      <c r="T713" s="194"/>
      <c r="U713" s="194"/>
      <c r="V713" s="194"/>
      <c r="W713" s="194"/>
      <c r="X713" s="194"/>
      <c r="Y713" s="194"/>
      <c r="Z713" s="194"/>
      <c r="AA713" s="194"/>
      <c r="AB713" s="194"/>
      <c r="AC713" s="194"/>
      <c r="AD713" s="194"/>
      <c r="AE713" s="194"/>
      <c r="AF713" s="194"/>
      <c r="AG713" s="194"/>
      <c r="AH713" s="194"/>
      <c r="AI713" s="194"/>
      <c r="AJ713" s="194"/>
      <c r="AK713" s="194"/>
      <c r="AL713" s="194"/>
      <c r="AM713" s="194"/>
    </row>
    <row r="714" spans="1:39" ht="15.75" customHeight="1" x14ac:dyDescent="0.25">
      <c r="A714" s="194"/>
      <c r="B714" s="194"/>
      <c r="C714" s="194"/>
      <c r="D714" s="194"/>
      <c r="E714" s="194"/>
      <c r="F714" s="194"/>
      <c r="G714" s="194"/>
      <c r="H714" s="194"/>
      <c r="I714" s="194"/>
      <c r="J714" s="194"/>
      <c r="K714" s="194"/>
      <c r="L714" s="194"/>
      <c r="M714" s="194"/>
      <c r="N714" s="194"/>
      <c r="O714" s="194"/>
      <c r="P714" s="194"/>
      <c r="Q714" s="194"/>
      <c r="R714" s="194"/>
      <c r="S714" s="194"/>
      <c r="T714" s="194"/>
      <c r="U714" s="194"/>
      <c r="V714" s="194"/>
      <c r="W714" s="194"/>
      <c r="X714" s="194"/>
      <c r="Y714" s="194"/>
      <c r="Z714" s="194"/>
      <c r="AA714" s="194"/>
      <c r="AB714" s="194"/>
      <c r="AC714" s="194"/>
      <c r="AD714" s="194"/>
      <c r="AE714" s="194"/>
      <c r="AF714" s="194"/>
      <c r="AG714" s="194"/>
      <c r="AH714" s="194"/>
      <c r="AI714" s="194"/>
      <c r="AJ714" s="194"/>
      <c r="AK714" s="194"/>
      <c r="AL714" s="194"/>
      <c r="AM714" s="194"/>
    </row>
    <row r="715" spans="1:39" ht="15.75" customHeight="1" x14ac:dyDescent="0.25">
      <c r="A715" s="194"/>
      <c r="B715" s="194"/>
      <c r="C715" s="194"/>
      <c r="D715" s="194"/>
      <c r="E715" s="194"/>
      <c r="F715" s="194"/>
      <c r="G715" s="194"/>
      <c r="H715" s="194"/>
      <c r="I715" s="194"/>
      <c r="J715" s="194"/>
      <c r="K715" s="194"/>
      <c r="L715" s="194"/>
      <c r="M715" s="194"/>
      <c r="N715" s="194"/>
      <c r="O715" s="194"/>
      <c r="P715" s="194"/>
      <c r="Q715" s="194"/>
      <c r="R715" s="194"/>
      <c r="S715" s="194"/>
      <c r="T715" s="194"/>
      <c r="U715" s="194"/>
      <c r="V715" s="194"/>
      <c r="W715" s="194"/>
      <c r="X715" s="194"/>
      <c r="Y715" s="194"/>
      <c r="Z715" s="194"/>
      <c r="AA715" s="194"/>
      <c r="AB715" s="194"/>
      <c r="AC715" s="194"/>
      <c r="AD715" s="194"/>
      <c r="AE715" s="194"/>
      <c r="AF715" s="194"/>
      <c r="AG715" s="194"/>
      <c r="AH715" s="194"/>
      <c r="AI715" s="194"/>
      <c r="AJ715" s="194"/>
      <c r="AK715" s="194"/>
      <c r="AL715" s="194"/>
      <c r="AM715" s="194"/>
    </row>
    <row r="716" spans="1:39" ht="15.75" customHeight="1" x14ac:dyDescent="0.25">
      <c r="A716" s="194"/>
      <c r="B716" s="194"/>
      <c r="C716" s="194"/>
      <c r="D716" s="194"/>
      <c r="E716" s="194"/>
      <c r="F716" s="194"/>
      <c r="G716" s="194"/>
      <c r="H716" s="194"/>
      <c r="I716" s="194"/>
      <c r="J716" s="194"/>
      <c r="K716" s="194"/>
      <c r="L716" s="194"/>
      <c r="M716" s="194"/>
      <c r="N716" s="194"/>
      <c r="O716" s="194"/>
      <c r="P716" s="194"/>
      <c r="Q716" s="194"/>
      <c r="R716" s="194"/>
      <c r="S716" s="194"/>
      <c r="T716" s="194"/>
      <c r="U716" s="194"/>
      <c r="V716" s="194"/>
      <c r="W716" s="194"/>
      <c r="X716" s="194"/>
      <c r="Y716" s="194"/>
      <c r="Z716" s="194"/>
      <c r="AA716" s="194"/>
      <c r="AB716" s="194"/>
      <c r="AC716" s="194"/>
      <c r="AD716" s="194"/>
      <c r="AE716" s="194"/>
      <c r="AF716" s="194"/>
      <c r="AG716" s="194"/>
      <c r="AH716" s="194"/>
      <c r="AI716" s="194"/>
      <c r="AJ716" s="194"/>
      <c r="AK716" s="194"/>
      <c r="AL716" s="194"/>
      <c r="AM716" s="194"/>
    </row>
    <row r="717" spans="1:39" ht="15.75" customHeight="1" x14ac:dyDescent="0.25">
      <c r="A717" s="194"/>
      <c r="B717" s="194"/>
      <c r="C717" s="194"/>
      <c r="D717" s="194"/>
      <c r="E717" s="194"/>
      <c r="F717" s="194"/>
      <c r="G717" s="194"/>
      <c r="H717" s="194"/>
      <c r="I717" s="194"/>
      <c r="J717" s="194"/>
      <c r="K717" s="194"/>
      <c r="L717" s="194"/>
      <c r="M717" s="194"/>
      <c r="N717" s="194"/>
      <c r="O717" s="194"/>
      <c r="P717" s="194"/>
      <c r="Q717" s="194"/>
      <c r="R717" s="194"/>
      <c r="S717" s="194"/>
      <c r="T717" s="194"/>
      <c r="U717" s="194"/>
      <c r="V717" s="194"/>
      <c r="W717" s="194"/>
      <c r="X717" s="194"/>
      <c r="Y717" s="194"/>
      <c r="Z717" s="194"/>
      <c r="AA717" s="194"/>
      <c r="AB717" s="194"/>
      <c r="AC717" s="194"/>
      <c r="AD717" s="194"/>
      <c r="AE717" s="194"/>
      <c r="AF717" s="194"/>
      <c r="AG717" s="194"/>
      <c r="AH717" s="194"/>
      <c r="AI717" s="194"/>
      <c r="AJ717" s="194"/>
      <c r="AK717" s="194"/>
      <c r="AL717" s="194"/>
      <c r="AM717" s="194"/>
    </row>
    <row r="718" spans="1:39" ht="15.75" customHeight="1" x14ac:dyDescent="0.25">
      <c r="A718" s="194"/>
      <c r="B718" s="194"/>
      <c r="C718" s="194"/>
      <c r="D718" s="194"/>
      <c r="E718" s="194"/>
      <c r="F718" s="194"/>
      <c r="G718" s="194"/>
      <c r="H718" s="194"/>
      <c r="I718" s="194"/>
      <c r="J718" s="194"/>
      <c r="K718" s="194"/>
      <c r="L718" s="194"/>
      <c r="M718" s="194"/>
      <c r="N718" s="194"/>
      <c r="O718" s="194"/>
      <c r="P718" s="194"/>
      <c r="Q718" s="194"/>
      <c r="R718" s="194"/>
      <c r="S718" s="194"/>
      <c r="T718" s="194"/>
      <c r="U718" s="194"/>
      <c r="V718" s="194"/>
      <c r="W718" s="194"/>
      <c r="X718" s="194"/>
      <c r="Y718" s="194"/>
      <c r="Z718" s="194"/>
      <c r="AA718" s="194"/>
      <c r="AB718" s="194"/>
      <c r="AC718" s="194"/>
      <c r="AD718" s="194"/>
      <c r="AE718" s="194"/>
      <c r="AF718" s="194"/>
      <c r="AG718" s="194"/>
      <c r="AH718" s="194"/>
      <c r="AI718" s="194"/>
      <c r="AJ718" s="194"/>
      <c r="AK718" s="194"/>
      <c r="AL718" s="194"/>
      <c r="AM718" s="194"/>
    </row>
    <row r="719" spans="1:39" ht="15.75" customHeight="1" x14ac:dyDescent="0.25">
      <c r="A719" s="194"/>
      <c r="B719" s="194"/>
      <c r="C719" s="194"/>
      <c r="D719" s="194"/>
      <c r="E719" s="194"/>
      <c r="F719" s="194"/>
      <c r="G719" s="194"/>
      <c r="H719" s="194"/>
      <c r="I719" s="194"/>
      <c r="J719" s="194"/>
      <c r="K719" s="194"/>
      <c r="L719" s="194"/>
      <c r="M719" s="194"/>
      <c r="N719" s="194"/>
      <c r="O719" s="194"/>
      <c r="P719" s="194"/>
      <c r="Q719" s="194"/>
      <c r="R719" s="194"/>
      <c r="S719" s="194"/>
      <c r="T719" s="194"/>
      <c r="U719" s="194"/>
      <c r="V719" s="194"/>
      <c r="W719" s="194"/>
      <c r="X719" s="194"/>
      <c r="Y719" s="194"/>
      <c r="Z719" s="194"/>
      <c r="AA719" s="194"/>
      <c r="AB719" s="194"/>
      <c r="AC719" s="194"/>
      <c r="AD719" s="194"/>
      <c r="AE719" s="194"/>
      <c r="AF719" s="194"/>
      <c r="AG719" s="194"/>
      <c r="AH719" s="194"/>
      <c r="AI719" s="194"/>
      <c r="AJ719" s="194"/>
      <c r="AK719" s="194"/>
      <c r="AL719" s="194"/>
      <c r="AM719" s="194"/>
    </row>
    <row r="720" spans="1:39" ht="15.75" customHeight="1" x14ac:dyDescent="0.25">
      <c r="A720" s="194"/>
      <c r="B720" s="194"/>
      <c r="C720" s="194"/>
      <c r="D720" s="194"/>
      <c r="E720" s="194"/>
      <c r="F720" s="194"/>
      <c r="G720" s="194"/>
      <c r="H720" s="194"/>
      <c r="I720" s="194"/>
      <c r="J720" s="194"/>
      <c r="K720" s="194"/>
      <c r="L720" s="194"/>
      <c r="M720" s="194"/>
      <c r="N720" s="194"/>
      <c r="O720" s="194"/>
      <c r="P720" s="194"/>
      <c r="Q720" s="194"/>
      <c r="R720" s="194"/>
      <c r="S720" s="194"/>
      <c r="T720" s="194"/>
      <c r="U720" s="194"/>
      <c r="V720" s="194"/>
      <c r="W720" s="194"/>
      <c r="X720" s="194"/>
      <c r="Y720" s="194"/>
      <c r="Z720" s="194"/>
      <c r="AA720" s="194"/>
      <c r="AB720" s="194"/>
      <c r="AC720" s="194"/>
      <c r="AD720" s="194"/>
      <c r="AE720" s="194"/>
      <c r="AF720" s="194"/>
      <c r="AG720" s="194"/>
      <c r="AH720" s="194"/>
      <c r="AI720" s="194"/>
      <c r="AJ720" s="194"/>
      <c r="AK720" s="194"/>
      <c r="AL720" s="194"/>
      <c r="AM720" s="194"/>
    </row>
    <row r="721" spans="1:39" ht="15.75" customHeight="1" x14ac:dyDescent="0.25">
      <c r="A721" s="194"/>
      <c r="B721" s="194"/>
      <c r="C721" s="194"/>
      <c r="D721" s="194"/>
      <c r="E721" s="194"/>
      <c r="F721" s="194"/>
      <c r="G721" s="194"/>
      <c r="H721" s="194"/>
      <c r="I721" s="194"/>
      <c r="J721" s="194"/>
      <c r="K721" s="194"/>
      <c r="L721" s="194"/>
      <c r="M721" s="194"/>
      <c r="N721" s="194"/>
      <c r="O721" s="194"/>
      <c r="P721" s="194"/>
      <c r="Q721" s="194"/>
      <c r="R721" s="194"/>
      <c r="S721" s="194"/>
      <c r="T721" s="194"/>
      <c r="U721" s="194"/>
      <c r="V721" s="194"/>
      <c r="W721" s="194"/>
      <c r="X721" s="194"/>
      <c r="Y721" s="194"/>
      <c r="Z721" s="194"/>
      <c r="AA721" s="194"/>
      <c r="AB721" s="194"/>
      <c r="AC721" s="194"/>
      <c r="AD721" s="194"/>
      <c r="AE721" s="194"/>
      <c r="AF721" s="194"/>
      <c r="AG721" s="194"/>
      <c r="AH721" s="194"/>
      <c r="AI721" s="194"/>
      <c r="AJ721" s="194"/>
      <c r="AK721" s="194"/>
      <c r="AL721" s="194"/>
      <c r="AM721" s="194"/>
    </row>
    <row r="722" spans="1:39" ht="15.75" customHeight="1" x14ac:dyDescent="0.25">
      <c r="A722" s="194"/>
      <c r="B722" s="194"/>
      <c r="C722" s="194"/>
      <c r="D722" s="194"/>
      <c r="E722" s="194"/>
      <c r="F722" s="194"/>
      <c r="G722" s="194"/>
      <c r="H722" s="194"/>
      <c r="I722" s="194"/>
      <c r="J722" s="194"/>
      <c r="K722" s="194"/>
      <c r="L722" s="194"/>
      <c r="M722" s="194"/>
      <c r="N722" s="194"/>
      <c r="O722" s="194"/>
      <c r="P722" s="194"/>
      <c r="Q722" s="194"/>
      <c r="R722" s="194"/>
      <c r="S722" s="194"/>
      <c r="T722" s="194"/>
      <c r="U722" s="194"/>
      <c r="V722" s="194"/>
      <c r="W722" s="194"/>
      <c r="X722" s="194"/>
      <c r="Y722" s="194"/>
      <c r="Z722" s="194"/>
      <c r="AA722" s="194"/>
      <c r="AB722" s="194"/>
      <c r="AC722" s="194"/>
      <c r="AD722" s="194"/>
      <c r="AE722" s="194"/>
      <c r="AF722" s="194"/>
      <c r="AG722" s="194"/>
      <c r="AH722" s="194"/>
      <c r="AI722" s="194"/>
      <c r="AJ722" s="194"/>
      <c r="AK722" s="194"/>
      <c r="AL722" s="194"/>
      <c r="AM722" s="194"/>
    </row>
    <row r="723" spans="1:39" ht="15.75" customHeight="1" x14ac:dyDescent="0.25">
      <c r="A723" s="194"/>
      <c r="B723" s="194"/>
      <c r="C723" s="194"/>
      <c r="D723" s="194"/>
      <c r="E723" s="194"/>
      <c r="F723" s="194"/>
      <c r="G723" s="194"/>
      <c r="H723" s="194"/>
      <c r="I723" s="194"/>
      <c r="J723" s="194"/>
      <c r="K723" s="194"/>
      <c r="L723" s="194"/>
      <c r="M723" s="194"/>
      <c r="N723" s="194"/>
      <c r="O723" s="194"/>
      <c r="P723" s="194"/>
      <c r="Q723" s="194"/>
      <c r="R723" s="194"/>
      <c r="S723" s="194"/>
      <c r="T723" s="194"/>
      <c r="U723" s="194"/>
      <c r="V723" s="194"/>
      <c r="W723" s="194"/>
      <c r="X723" s="194"/>
      <c r="Y723" s="194"/>
      <c r="Z723" s="194"/>
      <c r="AA723" s="194"/>
      <c r="AB723" s="194"/>
      <c r="AC723" s="194"/>
      <c r="AD723" s="194"/>
      <c r="AE723" s="194"/>
      <c r="AF723" s="194"/>
      <c r="AG723" s="194"/>
      <c r="AH723" s="194"/>
      <c r="AI723" s="194"/>
      <c r="AJ723" s="194"/>
      <c r="AK723" s="194"/>
      <c r="AL723" s="194"/>
      <c r="AM723" s="194"/>
    </row>
    <row r="724" spans="1:39" ht="15.75" customHeight="1" x14ac:dyDescent="0.25">
      <c r="A724" s="194"/>
      <c r="B724" s="194"/>
      <c r="C724" s="194"/>
      <c r="D724" s="194"/>
      <c r="E724" s="194"/>
      <c r="F724" s="194"/>
      <c r="G724" s="194"/>
      <c r="H724" s="194"/>
      <c r="I724" s="194"/>
      <c r="J724" s="194"/>
      <c r="K724" s="194"/>
      <c r="L724" s="194"/>
      <c r="M724" s="194"/>
      <c r="N724" s="194"/>
      <c r="O724" s="194"/>
      <c r="P724" s="194"/>
      <c r="Q724" s="194"/>
      <c r="R724" s="194"/>
      <c r="S724" s="194"/>
      <c r="T724" s="194"/>
      <c r="U724" s="194"/>
      <c r="V724" s="194"/>
      <c r="W724" s="194"/>
      <c r="X724" s="194"/>
      <c r="Y724" s="194"/>
      <c r="Z724" s="194"/>
      <c r="AA724" s="194"/>
      <c r="AB724" s="194"/>
      <c r="AC724" s="194"/>
      <c r="AD724" s="194"/>
      <c r="AE724" s="194"/>
      <c r="AF724" s="194"/>
      <c r="AG724" s="194"/>
      <c r="AH724" s="194"/>
      <c r="AI724" s="194"/>
      <c r="AJ724" s="194"/>
      <c r="AK724" s="194"/>
      <c r="AL724" s="194"/>
      <c r="AM724" s="194"/>
    </row>
    <row r="725" spans="1:39" ht="15.75" customHeight="1" x14ac:dyDescent="0.25">
      <c r="A725" s="194"/>
      <c r="B725" s="194"/>
      <c r="C725" s="194"/>
      <c r="D725" s="194"/>
      <c r="E725" s="194"/>
      <c r="F725" s="194"/>
      <c r="G725" s="194"/>
      <c r="H725" s="194"/>
      <c r="I725" s="194"/>
      <c r="J725" s="194"/>
      <c r="K725" s="194"/>
      <c r="L725" s="194"/>
      <c r="M725" s="194"/>
      <c r="N725" s="194"/>
      <c r="O725" s="194"/>
      <c r="P725" s="194"/>
      <c r="Q725" s="194"/>
      <c r="R725" s="194"/>
      <c r="S725" s="194"/>
      <c r="T725" s="194"/>
      <c r="U725" s="194"/>
      <c r="V725" s="194"/>
      <c r="W725" s="194"/>
      <c r="X725" s="194"/>
      <c r="Y725" s="194"/>
      <c r="Z725" s="194"/>
      <c r="AA725" s="194"/>
      <c r="AB725" s="194"/>
      <c r="AC725" s="194"/>
      <c r="AD725" s="194"/>
      <c r="AE725" s="194"/>
      <c r="AF725" s="194"/>
      <c r="AG725" s="194"/>
      <c r="AH725" s="194"/>
      <c r="AI725" s="194"/>
      <c r="AJ725" s="194"/>
      <c r="AK725" s="194"/>
      <c r="AL725" s="194"/>
      <c r="AM725" s="194"/>
    </row>
    <row r="726" spans="1:39" ht="15.75" customHeight="1" x14ac:dyDescent="0.25">
      <c r="A726" s="194"/>
      <c r="B726" s="194"/>
      <c r="C726" s="194"/>
      <c r="D726" s="194"/>
      <c r="E726" s="194"/>
      <c r="F726" s="194"/>
      <c r="G726" s="194"/>
      <c r="H726" s="194"/>
      <c r="I726" s="194"/>
      <c r="J726" s="194"/>
      <c r="K726" s="194"/>
      <c r="L726" s="194"/>
      <c r="M726" s="194"/>
      <c r="N726" s="194"/>
      <c r="O726" s="194"/>
      <c r="P726" s="194"/>
      <c r="Q726" s="194"/>
      <c r="R726" s="194"/>
      <c r="S726" s="194"/>
      <c r="T726" s="194"/>
      <c r="U726" s="194"/>
      <c r="V726" s="194"/>
      <c r="W726" s="194"/>
      <c r="X726" s="194"/>
      <c r="Y726" s="194"/>
      <c r="Z726" s="194"/>
      <c r="AA726" s="194"/>
      <c r="AB726" s="194"/>
      <c r="AC726" s="194"/>
      <c r="AD726" s="194"/>
      <c r="AE726" s="194"/>
      <c r="AF726" s="194"/>
      <c r="AG726" s="194"/>
      <c r="AH726" s="194"/>
      <c r="AI726" s="194"/>
      <c r="AJ726" s="194"/>
      <c r="AK726" s="194"/>
      <c r="AL726" s="194"/>
      <c r="AM726" s="194"/>
    </row>
    <row r="727" spans="1:39" ht="15.75" customHeight="1" x14ac:dyDescent="0.25">
      <c r="A727" s="194"/>
      <c r="B727" s="194"/>
      <c r="C727" s="194"/>
      <c r="D727" s="194"/>
      <c r="E727" s="194"/>
      <c r="F727" s="194"/>
      <c r="G727" s="194"/>
      <c r="H727" s="194"/>
      <c r="I727" s="194"/>
      <c r="J727" s="194"/>
      <c r="K727" s="194"/>
      <c r="L727" s="194"/>
      <c r="M727" s="194"/>
      <c r="N727" s="194"/>
      <c r="O727" s="194"/>
      <c r="P727" s="194"/>
      <c r="Q727" s="194"/>
      <c r="R727" s="194"/>
      <c r="S727" s="194"/>
      <c r="T727" s="194"/>
      <c r="U727" s="194"/>
      <c r="V727" s="194"/>
      <c r="W727" s="194"/>
      <c r="X727" s="194"/>
      <c r="Y727" s="194"/>
      <c r="Z727" s="194"/>
      <c r="AA727" s="194"/>
      <c r="AB727" s="194"/>
      <c r="AC727" s="194"/>
      <c r="AD727" s="194"/>
      <c r="AE727" s="194"/>
      <c r="AF727" s="194"/>
      <c r="AG727" s="194"/>
      <c r="AH727" s="194"/>
      <c r="AI727" s="194"/>
      <c r="AJ727" s="194"/>
      <c r="AK727" s="194"/>
      <c r="AL727" s="194"/>
      <c r="AM727" s="194"/>
    </row>
    <row r="728" spans="1:39" ht="15.75" customHeight="1" x14ac:dyDescent="0.25">
      <c r="A728" s="194"/>
      <c r="B728" s="194"/>
      <c r="C728" s="194"/>
      <c r="D728" s="194"/>
      <c r="E728" s="194"/>
      <c r="F728" s="194"/>
      <c r="G728" s="194"/>
      <c r="H728" s="194"/>
      <c r="I728" s="194"/>
      <c r="J728" s="194"/>
      <c r="K728" s="194"/>
      <c r="L728" s="194"/>
      <c r="M728" s="194"/>
      <c r="N728" s="194"/>
      <c r="O728" s="194"/>
      <c r="P728" s="194"/>
      <c r="Q728" s="194"/>
      <c r="R728" s="194"/>
      <c r="S728" s="194"/>
      <c r="T728" s="194"/>
      <c r="U728" s="194"/>
      <c r="V728" s="194"/>
      <c r="W728" s="194"/>
      <c r="X728" s="194"/>
      <c r="Y728" s="194"/>
      <c r="Z728" s="194"/>
      <c r="AA728" s="194"/>
      <c r="AB728" s="194"/>
      <c r="AC728" s="194"/>
      <c r="AD728" s="194"/>
      <c r="AE728" s="194"/>
      <c r="AF728" s="194"/>
      <c r="AG728" s="194"/>
      <c r="AH728" s="194"/>
      <c r="AI728" s="194"/>
      <c r="AJ728" s="194"/>
      <c r="AK728" s="194"/>
      <c r="AL728" s="194"/>
      <c r="AM728" s="194"/>
    </row>
    <row r="729" spans="1:39" ht="15.75" customHeight="1" x14ac:dyDescent="0.25">
      <c r="A729" s="194"/>
      <c r="B729" s="194"/>
      <c r="C729" s="194"/>
      <c r="D729" s="194"/>
      <c r="E729" s="194"/>
      <c r="F729" s="194"/>
      <c r="G729" s="194"/>
      <c r="H729" s="194"/>
      <c r="I729" s="194"/>
      <c r="J729" s="194"/>
      <c r="K729" s="194"/>
      <c r="L729" s="194"/>
      <c r="M729" s="194"/>
      <c r="N729" s="194"/>
      <c r="O729" s="194"/>
      <c r="P729" s="194"/>
      <c r="Q729" s="194"/>
      <c r="R729" s="194"/>
      <c r="S729" s="194"/>
      <c r="T729" s="194"/>
      <c r="U729" s="194"/>
      <c r="V729" s="194"/>
      <c r="W729" s="194"/>
      <c r="X729" s="194"/>
      <c r="Y729" s="194"/>
      <c r="Z729" s="194"/>
      <c r="AA729" s="194"/>
      <c r="AB729" s="194"/>
      <c r="AC729" s="194"/>
      <c r="AD729" s="194"/>
      <c r="AE729" s="194"/>
      <c r="AF729" s="194"/>
      <c r="AG729" s="194"/>
      <c r="AH729" s="194"/>
      <c r="AI729" s="194"/>
      <c r="AJ729" s="194"/>
      <c r="AK729" s="194"/>
      <c r="AL729" s="194"/>
      <c r="AM729" s="194"/>
    </row>
    <row r="730" spans="1:39" ht="15.75" customHeight="1" x14ac:dyDescent="0.25">
      <c r="A730" s="194"/>
      <c r="B730" s="194"/>
      <c r="C730" s="194"/>
      <c r="D730" s="194"/>
      <c r="E730" s="194"/>
      <c r="F730" s="194"/>
      <c r="G730" s="194"/>
      <c r="H730" s="194"/>
      <c r="I730" s="194"/>
      <c r="J730" s="194"/>
      <c r="K730" s="194"/>
      <c r="L730" s="194"/>
      <c r="M730" s="194"/>
      <c r="N730" s="194"/>
      <c r="O730" s="194"/>
      <c r="P730" s="194"/>
      <c r="Q730" s="194"/>
      <c r="R730" s="194"/>
      <c r="S730" s="194"/>
      <c r="T730" s="194"/>
      <c r="U730" s="194"/>
      <c r="V730" s="194"/>
      <c r="W730" s="194"/>
      <c r="X730" s="194"/>
      <c r="Y730" s="194"/>
      <c r="Z730" s="194"/>
      <c r="AA730" s="194"/>
      <c r="AB730" s="194"/>
      <c r="AC730" s="194"/>
      <c r="AD730" s="194"/>
      <c r="AE730" s="194"/>
      <c r="AF730" s="194"/>
      <c r="AG730" s="194"/>
      <c r="AH730" s="194"/>
      <c r="AI730" s="194"/>
      <c r="AJ730" s="194"/>
      <c r="AK730" s="194"/>
      <c r="AL730" s="194"/>
      <c r="AM730" s="194"/>
    </row>
    <row r="731" spans="1:39" ht="15.75" customHeight="1" x14ac:dyDescent="0.25">
      <c r="A731" s="194"/>
      <c r="B731" s="194"/>
      <c r="C731" s="194"/>
      <c r="D731" s="194"/>
      <c r="E731" s="194"/>
      <c r="F731" s="194"/>
      <c r="G731" s="194"/>
      <c r="H731" s="194"/>
      <c r="I731" s="194"/>
      <c r="J731" s="194"/>
      <c r="K731" s="194"/>
      <c r="L731" s="194"/>
      <c r="M731" s="194"/>
      <c r="N731" s="194"/>
      <c r="O731" s="194"/>
      <c r="P731" s="194"/>
      <c r="Q731" s="194"/>
      <c r="R731" s="194"/>
      <c r="S731" s="194"/>
      <c r="T731" s="194"/>
      <c r="U731" s="194"/>
      <c r="V731" s="194"/>
      <c r="W731" s="194"/>
      <c r="X731" s="194"/>
      <c r="Y731" s="194"/>
      <c r="Z731" s="194"/>
      <c r="AA731" s="194"/>
      <c r="AB731" s="194"/>
      <c r="AC731" s="194"/>
      <c r="AD731" s="194"/>
      <c r="AE731" s="194"/>
      <c r="AF731" s="194"/>
      <c r="AG731" s="194"/>
      <c r="AH731" s="194"/>
      <c r="AI731" s="194"/>
      <c r="AJ731" s="194"/>
      <c r="AK731" s="194"/>
      <c r="AL731" s="194"/>
      <c r="AM731" s="194"/>
    </row>
    <row r="732" spans="1:39" ht="15.75" customHeight="1" x14ac:dyDescent="0.25">
      <c r="A732" s="194"/>
      <c r="B732" s="194"/>
      <c r="C732" s="194"/>
      <c r="D732" s="194"/>
      <c r="E732" s="194"/>
      <c r="F732" s="194"/>
      <c r="G732" s="194"/>
      <c r="H732" s="194"/>
      <c r="I732" s="194"/>
      <c r="J732" s="194"/>
      <c r="K732" s="194"/>
      <c r="L732" s="194"/>
      <c r="M732" s="194"/>
      <c r="N732" s="194"/>
      <c r="O732" s="194"/>
      <c r="P732" s="194"/>
      <c r="Q732" s="194"/>
      <c r="R732" s="194"/>
      <c r="S732" s="194"/>
      <c r="T732" s="194"/>
      <c r="U732" s="194"/>
      <c r="V732" s="194"/>
      <c r="W732" s="194"/>
      <c r="X732" s="194"/>
      <c r="Y732" s="194"/>
      <c r="Z732" s="194"/>
      <c r="AA732" s="194"/>
      <c r="AB732" s="194"/>
      <c r="AC732" s="194"/>
      <c r="AD732" s="194"/>
      <c r="AE732" s="194"/>
      <c r="AF732" s="194"/>
      <c r="AG732" s="194"/>
      <c r="AH732" s="194"/>
      <c r="AI732" s="194"/>
      <c r="AJ732" s="194"/>
      <c r="AK732" s="194"/>
      <c r="AL732" s="194"/>
      <c r="AM732" s="194"/>
    </row>
    <row r="733" spans="1:39" ht="15.75" customHeight="1" x14ac:dyDescent="0.25">
      <c r="A733" s="194"/>
      <c r="B733" s="194"/>
      <c r="C733" s="194"/>
      <c r="D733" s="194"/>
      <c r="E733" s="194"/>
      <c r="F733" s="194"/>
      <c r="G733" s="194"/>
      <c r="H733" s="194"/>
      <c r="I733" s="194"/>
      <c r="J733" s="194"/>
      <c r="K733" s="194"/>
      <c r="L733" s="194"/>
      <c r="M733" s="194"/>
      <c r="N733" s="194"/>
      <c r="O733" s="194"/>
      <c r="P733" s="194"/>
      <c r="Q733" s="194"/>
      <c r="R733" s="194"/>
      <c r="S733" s="194"/>
      <c r="T733" s="194"/>
      <c r="U733" s="194"/>
      <c r="V733" s="194"/>
      <c r="W733" s="194"/>
      <c r="X733" s="194"/>
      <c r="Y733" s="194"/>
      <c r="Z733" s="194"/>
      <c r="AA733" s="194"/>
      <c r="AB733" s="194"/>
      <c r="AC733" s="194"/>
      <c r="AD733" s="194"/>
      <c r="AE733" s="194"/>
      <c r="AF733" s="194"/>
      <c r="AG733" s="194"/>
      <c r="AH733" s="194"/>
      <c r="AI733" s="194"/>
      <c r="AJ733" s="194"/>
      <c r="AK733" s="194"/>
      <c r="AL733" s="194"/>
      <c r="AM733" s="194"/>
    </row>
    <row r="734" spans="1:39" ht="15.75" customHeight="1" x14ac:dyDescent="0.25">
      <c r="A734" s="194"/>
      <c r="B734" s="194"/>
      <c r="C734" s="194"/>
      <c r="D734" s="194"/>
      <c r="E734" s="194"/>
      <c r="F734" s="194"/>
      <c r="G734" s="194"/>
      <c r="H734" s="194"/>
      <c r="I734" s="194"/>
      <c r="J734" s="194"/>
      <c r="K734" s="194"/>
      <c r="L734" s="194"/>
      <c r="M734" s="194"/>
      <c r="N734" s="194"/>
      <c r="O734" s="194"/>
      <c r="P734" s="194"/>
      <c r="Q734" s="194"/>
      <c r="R734" s="194"/>
      <c r="S734" s="194"/>
      <c r="T734" s="194"/>
      <c r="U734" s="194"/>
      <c r="V734" s="194"/>
      <c r="W734" s="194"/>
      <c r="X734" s="194"/>
      <c r="Y734" s="194"/>
      <c r="Z734" s="194"/>
      <c r="AA734" s="194"/>
      <c r="AB734" s="194"/>
      <c r="AC734" s="194"/>
      <c r="AD734" s="194"/>
      <c r="AE734" s="194"/>
      <c r="AF734" s="194"/>
      <c r="AG734" s="194"/>
      <c r="AH734" s="194"/>
      <c r="AI734" s="194"/>
      <c r="AJ734" s="194"/>
      <c r="AK734" s="194"/>
      <c r="AL734" s="194"/>
      <c r="AM734" s="194"/>
    </row>
    <row r="735" spans="1:39" ht="15.75" customHeight="1" x14ac:dyDescent="0.25">
      <c r="A735" s="194"/>
      <c r="B735" s="194"/>
      <c r="C735" s="194"/>
      <c r="D735" s="194"/>
      <c r="E735" s="194"/>
      <c r="F735" s="194"/>
      <c r="G735" s="194"/>
      <c r="H735" s="194"/>
      <c r="I735" s="194"/>
      <c r="J735" s="194"/>
      <c r="K735" s="194"/>
      <c r="L735" s="194"/>
      <c r="M735" s="194"/>
      <c r="N735" s="194"/>
      <c r="O735" s="194"/>
      <c r="P735" s="194"/>
      <c r="Q735" s="194"/>
      <c r="R735" s="194"/>
      <c r="S735" s="194"/>
      <c r="T735" s="194"/>
      <c r="U735" s="194"/>
      <c r="V735" s="194"/>
      <c r="W735" s="194"/>
      <c r="X735" s="194"/>
      <c r="Y735" s="194"/>
      <c r="Z735" s="194"/>
      <c r="AA735" s="194"/>
      <c r="AB735" s="194"/>
      <c r="AC735" s="194"/>
      <c r="AD735" s="194"/>
      <c r="AE735" s="194"/>
      <c r="AF735" s="194"/>
      <c r="AG735" s="194"/>
      <c r="AH735" s="194"/>
      <c r="AI735" s="194"/>
      <c r="AJ735" s="194"/>
      <c r="AK735" s="194"/>
      <c r="AL735" s="194"/>
      <c r="AM735" s="194"/>
    </row>
    <row r="736" spans="1:39" ht="15.75" customHeight="1" x14ac:dyDescent="0.25">
      <c r="A736" s="194"/>
      <c r="B736" s="194"/>
      <c r="C736" s="194"/>
      <c r="D736" s="194"/>
      <c r="E736" s="194"/>
      <c r="F736" s="194"/>
      <c r="G736" s="194"/>
      <c r="H736" s="194"/>
      <c r="I736" s="194"/>
      <c r="J736" s="194"/>
      <c r="K736" s="194"/>
      <c r="L736" s="194"/>
      <c r="M736" s="194"/>
      <c r="N736" s="194"/>
      <c r="O736" s="194"/>
      <c r="P736" s="194"/>
      <c r="Q736" s="194"/>
      <c r="R736" s="194"/>
      <c r="S736" s="194"/>
      <c r="T736" s="194"/>
      <c r="U736" s="194"/>
      <c r="V736" s="194"/>
      <c r="W736" s="194"/>
      <c r="X736" s="194"/>
      <c r="Y736" s="194"/>
      <c r="Z736" s="194"/>
      <c r="AA736" s="194"/>
      <c r="AB736" s="194"/>
      <c r="AC736" s="194"/>
      <c r="AD736" s="194"/>
      <c r="AE736" s="194"/>
      <c r="AF736" s="194"/>
      <c r="AG736" s="194"/>
      <c r="AH736" s="194"/>
      <c r="AI736" s="194"/>
      <c r="AJ736" s="194"/>
      <c r="AK736" s="194"/>
      <c r="AL736" s="194"/>
      <c r="AM736" s="194"/>
    </row>
    <row r="737" spans="1:39" ht="15.75" customHeight="1" x14ac:dyDescent="0.25">
      <c r="A737" s="194"/>
      <c r="B737" s="194"/>
      <c r="C737" s="194"/>
      <c r="D737" s="194"/>
      <c r="E737" s="194"/>
      <c r="F737" s="194"/>
      <c r="G737" s="194"/>
      <c r="H737" s="194"/>
      <c r="I737" s="194"/>
      <c r="J737" s="194"/>
      <c r="K737" s="194"/>
      <c r="L737" s="194"/>
      <c r="M737" s="194"/>
      <c r="N737" s="194"/>
      <c r="O737" s="194"/>
      <c r="P737" s="194"/>
      <c r="Q737" s="194"/>
      <c r="R737" s="194"/>
      <c r="S737" s="194"/>
      <c r="T737" s="194"/>
      <c r="U737" s="194"/>
      <c r="V737" s="194"/>
      <c r="W737" s="194"/>
      <c r="X737" s="194"/>
      <c r="Y737" s="194"/>
      <c r="Z737" s="194"/>
      <c r="AA737" s="194"/>
      <c r="AB737" s="194"/>
      <c r="AC737" s="194"/>
      <c r="AD737" s="194"/>
      <c r="AE737" s="194"/>
      <c r="AF737" s="194"/>
      <c r="AG737" s="194"/>
      <c r="AH737" s="194"/>
      <c r="AI737" s="194"/>
      <c r="AJ737" s="194"/>
      <c r="AK737" s="194"/>
      <c r="AL737" s="194"/>
      <c r="AM737" s="194"/>
    </row>
    <row r="738" spans="1:39" ht="15.75" customHeight="1" x14ac:dyDescent="0.25">
      <c r="A738" s="194"/>
      <c r="B738" s="194"/>
      <c r="C738" s="194"/>
      <c r="D738" s="194"/>
      <c r="E738" s="194"/>
      <c r="F738" s="194"/>
      <c r="G738" s="194"/>
      <c r="H738" s="194"/>
      <c r="I738" s="194"/>
      <c r="J738" s="194"/>
      <c r="K738" s="194"/>
      <c r="L738" s="194"/>
      <c r="M738" s="194"/>
      <c r="N738" s="194"/>
      <c r="O738" s="194"/>
      <c r="P738" s="194"/>
      <c r="Q738" s="194"/>
      <c r="R738" s="194"/>
      <c r="S738" s="194"/>
      <c r="T738" s="194"/>
      <c r="U738" s="194"/>
      <c r="V738" s="194"/>
      <c r="W738" s="194"/>
      <c r="X738" s="194"/>
      <c r="Y738" s="194"/>
      <c r="Z738" s="194"/>
      <c r="AA738" s="194"/>
      <c r="AB738" s="194"/>
      <c r="AC738" s="194"/>
      <c r="AD738" s="194"/>
      <c r="AE738" s="194"/>
      <c r="AF738" s="194"/>
      <c r="AG738" s="194"/>
      <c r="AH738" s="194"/>
      <c r="AI738" s="194"/>
      <c r="AJ738" s="194"/>
      <c r="AK738" s="194"/>
      <c r="AL738" s="194"/>
      <c r="AM738" s="194"/>
    </row>
    <row r="739" spans="1:39" ht="15.75" customHeight="1" x14ac:dyDescent="0.25">
      <c r="A739" s="194"/>
      <c r="B739" s="194"/>
      <c r="C739" s="194"/>
      <c r="D739" s="194"/>
      <c r="E739" s="194"/>
      <c r="F739" s="194"/>
      <c r="G739" s="194"/>
      <c r="H739" s="194"/>
      <c r="I739" s="194"/>
      <c r="J739" s="194"/>
      <c r="K739" s="194"/>
      <c r="L739" s="194"/>
      <c r="M739" s="194"/>
      <c r="N739" s="194"/>
      <c r="O739" s="194"/>
      <c r="P739" s="194"/>
      <c r="Q739" s="194"/>
      <c r="R739" s="194"/>
      <c r="S739" s="194"/>
      <c r="T739" s="194"/>
      <c r="U739" s="194"/>
      <c r="V739" s="194"/>
      <c r="W739" s="194"/>
      <c r="X739" s="194"/>
      <c r="Y739" s="194"/>
      <c r="Z739" s="194"/>
      <c r="AA739" s="194"/>
      <c r="AB739" s="194"/>
      <c r="AC739" s="194"/>
      <c r="AD739" s="194"/>
      <c r="AE739" s="194"/>
      <c r="AF739" s="194"/>
      <c r="AG739" s="194"/>
      <c r="AH739" s="194"/>
      <c r="AI739" s="194"/>
      <c r="AJ739" s="194"/>
      <c r="AK739" s="194"/>
      <c r="AL739" s="194"/>
      <c r="AM739" s="194"/>
    </row>
    <row r="740" spans="1:39" ht="15.75" customHeight="1" x14ac:dyDescent="0.25">
      <c r="A740" s="194"/>
      <c r="B740" s="194"/>
      <c r="C740" s="194"/>
      <c r="D740" s="194"/>
      <c r="E740" s="194"/>
      <c r="F740" s="194"/>
      <c r="G740" s="194"/>
      <c r="H740" s="194"/>
      <c r="I740" s="194"/>
      <c r="J740" s="194"/>
      <c r="K740" s="194"/>
      <c r="L740" s="194"/>
      <c r="M740" s="194"/>
      <c r="N740" s="194"/>
      <c r="O740" s="194"/>
      <c r="P740" s="194"/>
      <c r="Q740" s="194"/>
      <c r="R740" s="194"/>
      <c r="S740" s="194"/>
      <c r="T740" s="194"/>
      <c r="U740" s="194"/>
      <c r="V740" s="194"/>
      <c r="W740" s="194"/>
      <c r="X740" s="194"/>
      <c r="Y740" s="194"/>
      <c r="Z740" s="194"/>
      <c r="AA740" s="194"/>
      <c r="AB740" s="194"/>
      <c r="AC740" s="194"/>
      <c r="AD740" s="194"/>
      <c r="AE740" s="194"/>
      <c r="AF740" s="194"/>
      <c r="AG740" s="194"/>
      <c r="AH740" s="194"/>
      <c r="AI740" s="194"/>
      <c r="AJ740" s="194"/>
      <c r="AK740" s="194"/>
      <c r="AL740" s="194"/>
      <c r="AM740" s="194"/>
    </row>
    <row r="741" spans="1:39" ht="15.75" customHeight="1" x14ac:dyDescent="0.25">
      <c r="A741" s="194"/>
      <c r="B741" s="194"/>
      <c r="C741" s="194"/>
      <c r="D741" s="194"/>
      <c r="E741" s="194"/>
      <c r="F741" s="194"/>
      <c r="G741" s="194"/>
      <c r="H741" s="194"/>
      <c r="I741" s="194"/>
      <c r="J741" s="194"/>
      <c r="K741" s="194"/>
      <c r="L741" s="194"/>
      <c r="M741" s="194"/>
      <c r="N741" s="194"/>
      <c r="O741" s="194"/>
      <c r="P741" s="194"/>
      <c r="Q741" s="194"/>
      <c r="R741" s="194"/>
      <c r="S741" s="194"/>
      <c r="T741" s="194"/>
      <c r="U741" s="194"/>
      <c r="V741" s="194"/>
      <c r="W741" s="194"/>
      <c r="X741" s="194"/>
      <c r="Y741" s="194"/>
      <c r="Z741" s="194"/>
      <c r="AA741" s="194"/>
      <c r="AB741" s="194"/>
      <c r="AC741" s="194"/>
      <c r="AD741" s="194"/>
      <c r="AE741" s="194"/>
      <c r="AF741" s="194"/>
      <c r="AG741" s="194"/>
      <c r="AH741" s="194"/>
      <c r="AI741" s="194"/>
      <c r="AJ741" s="194"/>
      <c r="AK741" s="194"/>
      <c r="AL741" s="194"/>
      <c r="AM741" s="194"/>
    </row>
    <row r="742" spans="1:39" ht="15.75" customHeight="1" x14ac:dyDescent="0.25">
      <c r="A742" s="194"/>
      <c r="B742" s="194"/>
      <c r="C742" s="194"/>
      <c r="D742" s="194"/>
      <c r="E742" s="194"/>
      <c r="F742" s="194"/>
      <c r="G742" s="194"/>
      <c r="H742" s="194"/>
      <c r="I742" s="194"/>
      <c r="J742" s="194"/>
      <c r="K742" s="194"/>
      <c r="L742" s="194"/>
      <c r="M742" s="194"/>
      <c r="N742" s="194"/>
      <c r="O742" s="194"/>
      <c r="P742" s="194"/>
      <c r="Q742" s="194"/>
      <c r="R742" s="194"/>
      <c r="S742" s="194"/>
      <c r="T742" s="194"/>
      <c r="U742" s="194"/>
      <c r="V742" s="194"/>
      <c r="W742" s="194"/>
      <c r="X742" s="194"/>
      <c r="Y742" s="194"/>
      <c r="Z742" s="194"/>
      <c r="AA742" s="194"/>
      <c r="AB742" s="194"/>
      <c r="AC742" s="194"/>
      <c r="AD742" s="194"/>
      <c r="AE742" s="194"/>
      <c r="AF742" s="194"/>
      <c r="AG742" s="194"/>
      <c r="AH742" s="194"/>
      <c r="AI742" s="194"/>
      <c r="AJ742" s="194"/>
      <c r="AK742" s="194"/>
      <c r="AL742" s="194"/>
      <c r="AM742" s="194"/>
    </row>
    <row r="743" spans="1:39" ht="15.75" customHeight="1" x14ac:dyDescent="0.25">
      <c r="A743" s="194"/>
      <c r="B743" s="194"/>
      <c r="C743" s="194"/>
      <c r="D743" s="194"/>
      <c r="E743" s="194"/>
      <c r="F743" s="194"/>
      <c r="G743" s="194"/>
      <c r="H743" s="194"/>
      <c r="I743" s="194"/>
      <c r="J743" s="194"/>
      <c r="K743" s="194"/>
      <c r="L743" s="194"/>
      <c r="M743" s="194"/>
      <c r="N743" s="194"/>
      <c r="O743" s="194"/>
      <c r="P743" s="194"/>
      <c r="Q743" s="194"/>
      <c r="R743" s="194"/>
      <c r="S743" s="194"/>
      <c r="T743" s="194"/>
      <c r="U743" s="194"/>
      <c r="V743" s="194"/>
      <c r="W743" s="194"/>
      <c r="X743" s="194"/>
      <c r="Y743" s="194"/>
      <c r="Z743" s="194"/>
      <c r="AA743" s="194"/>
      <c r="AB743" s="194"/>
      <c r="AC743" s="194"/>
      <c r="AD743" s="194"/>
      <c r="AE743" s="194"/>
      <c r="AF743" s="194"/>
      <c r="AG743" s="194"/>
      <c r="AH743" s="194"/>
      <c r="AI743" s="194"/>
      <c r="AJ743" s="194"/>
      <c r="AK743" s="194"/>
      <c r="AL743" s="194"/>
      <c r="AM743" s="194"/>
    </row>
    <row r="744" spans="1:39" ht="15.75" customHeight="1" x14ac:dyDescent="0.25">
      <c r="A744" s="194"/>
      <c r="B744" s="194"/>
      <c r="C744" s="194"/>
      <c r="D744" s="194"/>
      <c r="E744" s="194"/>
      <c r="F744" s="194"/>
      <c r="G744" s="194"/>
      <c r="H744" s="194"/>
      <c r="I744" s="194"/>
      <c r="J744" s="194"/>
      <c r="K744" s="194"/>
      <c r="L744" s="194"/>
      <c r="M744" s="194"/>
      <c r="N744" s="194"/>
      <c r="O744" s="194"/>
      <c r="P744" s="194"/>
      <c r="Q744" s="194"/>
      <c r="R744" s="194"/>
      <c r="S744" s="194"/>
      <c r="T744" s="194"/>
      <c r="U744" s="194"/>
      <c r="V744" s="194"/>
      <c r="W744" s="194"/>
      <c r="X744" s="194"/>
      <c r="Y744" s="194"/>
      <c r="Z744" s="194"/>
      <c r="AA744" s="194"/>
      <c r="AB744" s="194"/>
      <c r="AC744" s="194"/>
      <c r="AD744" s="194"/>
      <c r="AE744" s="194"/>
      <c r="AF744" s="194"/>
      <c r="AG744" s="194"/>
      <c r="AH744" s="194"/>
      <c r="AI744" s="194"/>
      <c r="AJ744" s="194"/>
      <c r="AK744" s="194"/>
      <c r="AL744" s="194"/>
      <c r="AM744" s="194"/>
    </row>
    <row r="745" spans="1:39" ht="15.75" customHeight="1" x14ac:dyDescent="0.25">
      <c r="A745" s="194"/>
      <c r="B745" s="194"/>
      <c r="C745" s="194"/>
      <c r="D745" s="194"/>
      <c r="E745" s="194"/>
      <c r="F745" s="194"/>
      <c r="G745" s="194"/>
      <c r="H745" s="194"/>
      <c r="I745" s="194"/>
      <c r="J745" s="194"/>
      <c r="K745" s="194"/>
      <c r="L745" s="194"/>
      <c r="M745" s="194"/>
      <c r="N745" s="194"/>
      <c r="O745" s="194"/>
      <c r="P745" s="194"/>
      <c r="Q745" s="194"/>
      <c r="R745" s="194"/>
      <c r="S745" s="194"/>
      <c r="T745" s="194"/>
      <c r="U745" s="194"/>
      <c r="V745" s="194"/>
      <c r="W745" s="194"/>
      <c r="X745" s="194"/>
      <c r="Y745" s="194"/>
      <c r="Z745" s="194"/>
      <c r="AA745" s="194"/>
      <c r="AB745" s="194"/>
      <c r="AC745" s="194"/>
      <c r="AD745" s="194"/>
      <c r="AE745" s="194"/>
      <c r="AF745" s="194"/>
      <c r="AG745" s="194"/>
      <c r="AH745" s="194"/>
      <c r="AI745" s="194"/>
      <c r="AJ745" s="194"/>
      <c r="AK745" s="194"/>
      <c r="AL745" s="194"/>
      <c r="AM745" s="194"/>
    </row>
    <row r="746" spans="1:39" ht="15.75" customHeight="1" x14ac:dyDescent="0.25">
      <c r="A746" s="194"/>
      <c r="B746" s="194"/>
      <c r="C746" s="194"/>
      <c r="D746" s="194"/>
      <c r="E746" s="194"/>
      <c r="F746" s="194"/>
      <c r="G746" s="194"/>
      <c r="H746" s="194"/>
      <c r="I746" s="194"/>
      <c r="J746" s="194"/>
      <c r="K746" s="194"/>
      <c r="L746" s="194"/>
      <c r="M746" s="194"/>
      <c r="N746" s="194"/>
      <c r="O746" s="194"/>
      <c r="P746" s="194"/>
      <c r="Q746" s="194"/>
      <c r="R746" s="194"/>
      <c r="S746" s="194"/>
      <c r="T746" s="194"/>
      <c r="U746" s="194"/>
      <c r="V746" s="194"/>
      <c r="W746" s="194"/>
      <c r="X746" s="194"/>
      <c r="Y746" s="194"/>
      <c r="Z746" s="194"/>
      <c r="AA746" s="194"/>
      <c r="AB746" s="194"/>
      <c r="AC746" s="194"/>
      <c r="AD746" s="194"/>
      <c r="AE746" s="194"/>
      <c r="AF746" s="194"/>
      <c r="AG746" s="194"/>
      <c r="AH746" s="194"/>
      <c r="AI746" s="194"/>
      <c r="AJ746" s="194"/>
      <c r="AK746" s="194"/>
      <c r="AL746" s="194"/>
      <c r="AM746" s="194"/>
    </row>
    <row r="747" spans="1:39" ht="15.75" customHeight="1" x14ac:dyDescent="0.25">
      <c r="A747" s="194"/>
      <c r="B747" s="194"/>
      <c r="C747" s="194"/>
      <c r="D747" s="194"/>
      <c r="E747" s="194"/>
      <c r="F747" s="194"/>
      <c r="G747" s="194"/>
      <c r="H747" s="194"/>
      <c r="I747" s="194"/>
      <c r="J747" s="194"/>
      <c r="K747" s="194"/>
      <c r="L747" s="194"/>
      <c r="M747" s="194"/>
      <c r="N747" s="194"/>
      <c r="O747" s="194"/>
      <c r="P747" s="194"/>
      <c r="Q747" s="194"/>
      <c r="R747" s="194"/>
      <c r="S747" s="194"/>
      <c r="T747" s="194"/>
      <c r="U747" s="194"/>
      <c r="V747" s="194"/>
      <c r="W747" s="194"/>
      <c r="X747" s="194"/>
      <c r="Y747" s="194"/>
      <c r="Z747" s="194"/>
      <c r="AA747" s="194"/>
      <c r="AB747" s="194"/>
      <c r="AC747" s="194"/>
      <c r="AD747" s="194"/>
      <c r="AE747" s="194"/>
      <c r="AF747" s="194"/>
      <c r="AG747" s="194"/>
      <c r="AH747" s="194"/>
      <c r="AI747" s="194"/>
      <c r="AJ747" s="194"/>
      <c r="AK747" s="194"/>
      <c r="AL747" s="194"/>
      <c r="AM747" s="194"/>
    </row>
    <row r="748" spans="1:39" ht="15.75" customHeight="1" x14ac:dyDescent="0.25">
      <c r="A748" s="194"/>
      <c r="B748" s="194"/>
      <c r="C748" s="194"/>
      <c r="D748" s="194"/>
      <c r="E748" s="194"/>
      <c r="F748" s="194"/>
      <c r="G748" s="194"/>
      <c r="H748" s="194"/>
      <c r="I748" s="194"/>
      <c r="J748" s="194"/>
      <c r="K748" s="194"/>
      <c r="L748" s="194"/>
      <c r="M748" s="194"/>
      <c r="N748" s="194"/>
      <c r="O748" s="194"/>
      <c r="P748" s="194"/>
      <c r="Q748" s="194"/>
      <c r="R748" s="194"/>
      <c r="S748" s="194"/>
      <c r="T748" s="194"/>
      <c r="U748" s="194"/>
      <c r="V748" s="194"/>
      <c r="W748" s="194"/>
      <c r="X748" s="194"/>
      <c r="Y748" s="194"/>
      <c r="Z748" s="194"/>
      <c r="AA748" s="194"/>
      <c r="AB748" s="194"/>
      <c r="AC748" s="194"/>
      <c r="AD748" s="194"/>
      <c r="AE748" s="194"/>
      <c r="AF748" s="194"/>
      <c r="AG748" s="194"/>
      <c r="AH748" s="194"/>
      <c r="AI748" s="194"/>
      <c r="AJ748" s="194"/>
      <c r="AK748" s="194"/>
      <c r="AL748" s="194"/>
      <c r="AM748" s="194"/>
    </row>
    <row r="749" spans="1:39" ht="15.75" customHeight="1" x14ac:dyDescent="0.25">
      <c r="A749" s="194"/>
      <c r="B749" s="194"/>
      <c r="C749" s="194"/>
      <c r="D749" s="194"/>
      <c r="E749" s="194"/>
      <c r="F749" s="194"/>
      <c r="G749" s="194"/>
      <c r="H749" s="194"/>
      <c r="I749" s="194"/>
      <c r="J749" s="194"/>
      <c r="K749" s="194"/>
      <c r="L749" s="194"/>
      <c r="M749" s="194"/>
      <c r="N749" s="194"/>
      <c r="O749" s="194"/>
      <c r="P749" s="194"/>
      <c r="Q749" s="194"/>
      <c r="R749" s="194"/>
      <c r="S749" s="194"/>
      <c r="T749" s="194"/>
      <c r="U749" s="194"/>
      <c r="V749" s="194"/>
      <c r="W749" s="194"/>
      <c r="X749" s="194"/>
      <c r="Y749" s="194"/>
      <c r="Z749" s="194"/>
      <c r="AA749" s="194"/>
      <c r="AB749" s="194"/>
      <c r="AC749" s="194"/>
      <c r="AD749" s="194"/>
      <c r="AE749" s="194"/>
      <c r="AF749" s="194"/>
      <c r="AG749" s="194"/>
      <c r="AH749" s="194"/>
      <c r="AI749" s="194"/>
      <c r="AJ749" s="194"/>
      <c r="AK749" s="194"/>
      <c r="AL749" s="194"/>
      <c r="AM749" s="194"/>
    </row>
    <row r="750" spans="1:39" ht="15.75" customHeight="1" x14ac:dyDescent="0.25">
      <c r="A750" s="194"/>
      <c r="B750" s="194"/>
      <c r="C750" s="194"/>
      <c r="D750" s="194"/>
      <c r="E750" s="194"/>
      <c r="F750" s="194"/>
      <c r="G750" s="194"/>
      <c r="H750" s="194"/>
      <c r="I750" s="194"/>
      <c r="J750" s="194"/>
      <c r="K750" s="194"/>
      <c r="L750" s="194"/>
      <c r="M750" s="194"/>
      <c r="N750" s="194"/>
      <c r="O750" s="194"/>
      <c r="P750" s="194"/>
      <c r="Q750" s="194"/>
      <c r="R750" s="194"/>
      <c r="S750" s="194"/>
      <c r="T750" s="194"/>
      <c r="U750" s="194"/>
      <c r="V750" s="194"/>
      <c r="W750" s="194"/>
      <c r="X750" s="194"/>
      <c r="Y750" s="194"/>
      <c r="Z750" s="194"/>
      <c r="AA750" s="194"/>
      <c r="AB750" s="194"/>
      <c r="AC750" s="194"/>
      <c r="AD750" s="194"/>
      <c r="AE750" s="194"/>
      <c r="AF750" s="194"/>
      <c r="AG750" s="194"/>
      <c r="AH750" s="194"/>
      <c r="AI750" s="194"/>
      <c r="AJ750" s="194"/>
      <c r="AK750" s="194"/>
      <c r="AL750" s="194"/>
      <c r="AM750" s="194"/>
    </row>
    <row r="751" spans="1:39" ht="15.75" customHeight="1" x14ac:dyDescent="0.25">
      <c r="A751" s="194"/>
      <c r="B751" s="194"/>
      <c r="C751" s="194"/>
      <c r="D751" s="194"/>
      <c r="E751" s="194"/>
      <c r="F751" s="194"/>
      <c r="G751" s="194"/>
      <c r="H751" s="194"/>
      <c r="I751" s="194"/>
      <c r="J751" s="194"/>
      <c r="K751" s="194"/>
      <c r="L751" s="194"/>
      <c r="M751" s="194"/>
      <c r="N751" s="194"/>
      <c r="O751" s="194"/>
      <c r="P751" s="194"/>
      <c r="Q751" s="194"/>
      <c r="R751" s="194"/>
      <c r="S751" s="194"/>
      <c r="T751" s="194"/>
      <c r="U751" s="194"/>
      <c r="V751" s="194"/>
      <c r="W751" s="194"/>
      <c r="X751" s="194"/>
      <c r="Y751" s="194"/>
      <c r="Z751" s="194"/>
      <c r="AA751" s="194"/>
      <c r="AB751" s="194"/>
      <c r="AC751" s="194"/>
      <c r="AD751" s="194"/>
      <c r="AE751" s="194"/>
      <c r="AF751" s="194"/>
      <c r="AG751" s="194"/>
      <c r="AH751" s="194"/>
      <c r="AI751" s="194"/>
      <c r="AJ751" s="194"/>
      <c r="AK751" s="194"/>
      <c r="AL751" s="194"/>
      <c r="AM751" s="194"/>
    </row>
    <row r="752" spans="1:39" ht="15.75" customHeight="1" x14ac:dyDescent="0.25">
      <c r="A752" s="194"/>
      <c r="B752" s="194"/>
      <c r="C752" s="194"/>
      <c r="D752" s="194"/>
      <c r="E752" s="194"/>
      <c r="F752" s="194"/>
      <c r="G752" s="194"/>
      <c r="H752" s="194"/>
      <c r="I752" s="194"/>
      <c r="J752" s="194"/>
      <c r="K752" s="194"/>
      <c r="L752" s="194"/>
      <c r="M752" s="194"/>
      <c r="N752" s="194"/>
      <c r="O752" s="194"/>
      <c r="P752" s="194"/>
      <c r="Q752" s="194"/>
      <c r="R752" s="194"/>
      <c r="S752" s="194"/>
      <c r="T752" s="194"/>
      <c r="U752" s="194"/>
      <c r="V752" s="194"/>
      <c r="W752" s="194"/>
      <c r="X752" s="194"/>
      <c r="Y752" s="194"/>
      <c r="Z752" s="194"/>
      <c r="AA752" s="194"/>
      <c r="AB752" s="194"/>
      <c r="AC752" s="194"/>
      <c r="AD752" s="194"/>
      <c r="AE752" s="194"/>
      <c r="AF752" s="194"/>
      <c r="AG752" s="194"/>
      <c r="AH752" s="194"/>
      <c r="AI752" s="194"/>
      <c r="AJ752" s="194"/>
      <c r="AK752" s="194"/>
      <c r="AL752" s="194"/>
      <c r="AM752" s="194"/>
    </row>
    <row r="753" spans="1:39" ht="15.75" customHeight="1" x14ac:dyDescent="0.25">
      <c r="A753" s="194"/>
      <c r="B753" s="194"/>
      <c r="C753" s="194"/>
      <c r="D753" s="194"/>
      <c r="E753" s="194"/>
      <c r="F753" s="194"/>
      <c r="G753" s="194"/>
      <c r="H753" s="194"/>
      <c r="I753" s="194"/>
      <c r="J753" s="194"/>
      <c r="K753" s="194"/>
      <c r="L753" s="194"/>
      <c r="M753" s="194"/>
      <c r="N753" s="194"/>
      <c r="O753" s="194"/>
      <c r="P753" s="194"/>
      <c r="Q753" s="194"/>
      <c r="R753" s="194"/>
      <c r="S753" s="194"/>
      <c r="T753" s="194"/>
      <c r="U753" s="194"/>
      <c r="V753" s="194"/>
      <c r="W753" s="194"/>
      <c r="X753" s="194"/>
      <c r="Y753" s="194"/>
      <c r="Z753" s="194"/>
      <c r="AA753" s="194"/>
      <c r="AB753" s="194"/>
      <c r="AC753" s="194"/>
      <c r="AD753" s="194"/>
      <c r="AE753" s="194"/>
      <c r="AF753" s="194"/>
      <c r="AG753" s="194"/>
      <c r="AH753" s="194"/>
      <c r="AI753" s="194"/>
      <c r="AJ753" s="194"/>
      <c r="AK753" s="194"/>
      <c r="AL753" s="194"/>
      <c r="AM753" s="194"/>
    </row>
    <row r="754" spans="1:39" ht="15.75" customHeight="1" x14ac:dyDescent="0.25">
      <c r="A754" s="194"/>
      <c r="B754" s="194"/>
      <c r="C754" s="194"/>
      <c r="D754" s="194"/>
      <c r="E754" s="194"/>
      <c r="F754" s="194"/>
      <c r="G754" s="194"/>
      <c r="H754" s="194"/>
      <c r="I754" s="194"/>
      <c r="J754" s="194"/>
      <c r="K754" s="194"/>
      <c r="L754" s="194"/>
      <c r="M754" s="194"/>
      <c r="N754" s="194"/>
      <c r="O754" s="194"/>
      <c r="P754" s="194"/>
      <c r="Q754" s="194"/>
      <c r="R754" s="194"/>
      <c r="S754" s="194"/>
      <c r="T754" s="194"/>
      <c r="U754" s="194"/>
      <c r="V754" s="194"/>
      <c r="W754" s="194"/>
      <c r="X754" s="194"/>
      <c r="Y754" s="194"/>
      <c r="Z754" s="194"/>
      <c r="AA754" s="194"/>
      <c r="AB754" s="194"/>
      <c r="AC754" s="194"/>
      <c r="AD754" s="194"/>
      <c r="AE754" s="194"/>
      <c r="AF754" s="194"/>
      <c r="AG754" s="194"/>
      <c r="AH754" s="194"/>
      <c r="AI754" s="194"/>
      <c r="AJ754" s="194"/>
      <c r="AK754" s="194"/>
      <c r="AL754" s="194"/>
      <c r="AM754" s="194"/>
    </row>
    <row r="755" spans="1:39" ht="15.75" customHeight="1" x14ac:dyDescent="0.25">
      <c r="A755" s="194"/>
      <c r="B755" s="194"/>
      <c r="C755" s="194"/>
      <c r="D755" s="194"/>
      <c r="E755" s="194"/>
      <c r="F755" s="194"/>
      <c r="G755" s="194"/>
      <c r="H755" s="194"/>
      <c r="I755" s="194"/>
      <c r="J755" s="194"/>
      <c r="K755" s="194"/>
      <c r="L755" s="194"/>
      <c r="M755" s="194"/>
      <c r="N755" s="194"/>
      <c r="O755" s="194"/>
      <c r="P755" s="194"/>
      <c r="Q755" s="194"/>
      <c r="R755" s="194"/>
      <c r="S755" s="194"/>
      <c r="T755" s="194"/>
      <c r="U755" s="194"/>
      <c r="V755" s="194"/>
      <c r="W755" s="194"/>
      <c r="X755" s="194"/>
      <c r="Y755" s="194"/>
      <c r="Z755" s="194"/>
      <c r="AA755" s="194"/>
      <c r="AB755" s="194"/>
      <c r="AC755" s="194"/>
      <c r="AD755" s="194"/>
      <c r="AE755" s="194"/>
      <c r="AF755" s="194"/>
      <c r="AG755" s="194"/>
      <c r="AH755" s="194"/>
      <c r="AI755" s="194"/>
      <c r="AJ755" s="194"/>
      <c r="AK755" s="194"/>
      <c r="AL755" s="194"/>
      <c r="AM755" s="194"/>
    </row>
    <row r="756" spans="1:39" ht="15.75" customHeight="1" x14ac:dyDescent="0.25">
      <c r="A756" s="194"/>
      <c r="B756" s="194"/>
      <c r="C756" s="194"/>
      <c r="D756" s="194"/>
      <c r="E756" s="194"/>
      <c r="F756" s="194"/>
      <c r="G756" s="194"/>
      <c r="H756" s="194"/>
      <c r="I756" s="194"/>
      <c r="J756" s="194"/>
      <c r="K756" s="194"/>
      <c r="L756" s="194"/>
      <c r="M756" s="194"/>
      <c r="N756" s="194"/>
      <c r="O756" s="194"/>
      <c r="P756" s="194"/>
      <c r="Q756" s="194"/>
      <c r="R756" s="194"/>
      <c r="S756" s="194"/>
      <c r="T756" s="194"/>
      <c r="U756" s="194"/>
      <c r="V756" s="194"/>
      <c r="W756" s="194"/>
      <c r="X756" s="194"/>
      <c r="Y756" s="194"/>
      <c r="Z756" s="194"/>
      <c r="AA756" s="194"/>
      <c r="AB756" s="194"/>
      <c r="AC756" s="194"/>
      <c r="AD756" s="194"/>
      <c r="AE756" s="194"/>
      <c r="AF756" s="194"/>
      <c r="AG756" s="194"/>
      <c r="AH756" s="194"/>
      <c r="AI756" s="194"/>
      <c r="AJ756" s="194"/>
      <c r="AK756" s="194"/>
      <c r="AL756" s="194"/>
      <c r="AM756" s="194"/>
    </row>
    <row r="757" spans="1:39" ht="15.75" customHeight="1" x14ac:dyDescent="0.25">
      <c r="A757" s="194"/>
      <c r="B757" s="194"/>
      <c r="C757" s="194"/>
      <c r="D757" s="194"/>
      <c r="E757" s="194"/>
      <c r="F757" s="194"/>
      <c r="G757" s="194"/>
      <c r="H757" s="194"/>
      <c r="I757" s="194"/>
      <c r="J757" s="194"/>
      <c r="K757" s="194"/>
      <c r="L757" s="194"/>
      <c r="M757" s="194"/>
      <c r="N757" s="194"/>
      <c r="O757" s="194"/>
      <c r="P757" s="194"/>
      <c r="Q757" s="194"/>
      <c r="R757" s="194"/>
      <c r="S757" s="194"/>
      <c r="T757" s="194"/>
      <c r="U757" s="194"/>
      <c r="V757" s="194"/>
      <c r="W757" s="194"/>
      <c r="X757" s="194"/>
      <c r="Y757" s="194"/>
      <c r="Z757" s="194"/>
      <c r="AA757" s="194"/>
      <c r="AB757" s="194"/>
      <c r="AC757" s="194"/>
      <c r="AD757" s="194"/>
      <c r="AE757" s="194"/>
      <c r="AF757" s="194"/>
      <c r="AG757" s="194"/>
      <c r="AH757" s="194"/>
      <c r="AI757" s="194"/>
      <c r="AJ757" s="194"/>
      <c r="AK757" s="194"/>
      <c r="AL757" s="194"/>
      <c r="AM757" s="194"/>
    </row>
    <row r="758" spans="1:39" ht="15.75" customHeight="1" x14ac:dyDescent="0.25">
      <c r="A758" s="194"/>
      <c r="B758" s="194"/>
      <c r="C758" s="194"/>
      <c r="D758" s="194"/>
      <c r="E758" s="194"/>
      <c r="F758" s="194"/>
      <c r="G758" s="194"/>
      <c r="H758" s="194"/>
      <c r="I758" s="194"/>
      <c r="J758" s="194"/>
      <c r="K758" s="194"/>
      <c r="L758" s="194"/>
      <c r="M758" s="194"/>
      <c r="N758" s="194"/>
      <c r="O758" s="194"/>
      <c r="P758" s="194"/>
      <c r="Q758" s="194"/>
      <c r="R758" s="194"/>
      <c r="S758" s="194"/>
      <c r="T758" s="194"/>
      <c r="U758" s="194"/>
      <c r="V758" s="194"/>
      <c r="W758" s="194"/>
      <c r="X758" s="194"/>
      <c r="Y758" s="194"/>
      <c r="Z758" s="194"/>
      <c r="AA758" s="194"/>
      <c r="AB758" s="194"/>
      <c r="AC758" s="194"/>
      <c r="AD758" s="194"/>
      <c r="AE758" s="194"/>
      <c r="AF758" s="194"/>
      <c r="AG758" s="194"/>
      <c r="AH758" s="194"/>
      <c r="AI758" s="194"/>
      <c r="AJ758" s="194"/>
      <c r="AK758" s="194"/>
      <c r="AL758" s="194"/>
      <c r="AM758" s="194"/>
    </row>
    <row r="759" spans="1:39" ht="15.75" customHeight="1" x14ac:dyDescent="0.25">
      <c r="A759" s="194"/>
      <c r="B759" s="194"/>
      <c r="C759" s="194"/>
      <c r="D759" s="194"/>
      <c r="E759" s="194"/>
      <c r="F759" s="194"/>
      <c r="G759" s="194"/>
      <c r="H759" s="194"/>
      <c r="I759" s="194"/>
      <c r="J759" s="194"/>
      <c r="K759" s="194"/>
      <c r="L759" s="194"/>
      <c r="M759" s="194"/>
      <c r="N759" s="194"/>
      <c r="O759" s="194"/>
      <c r="P759" s="194"/>
      <c r="Q759" s="194"/>
      <c r="R759" s="194"/>
      <c r="S759" s="194"/>
      <c r="T759" s="194"/>
      <c r="U759" s="194"/>
      <c r="V759" s="194"/>
      <c r="W759" s="194"/>
      <c r="X759" s="194"/>
      <c r="Y759" s="194"/>
      <c r="Z759" s="194"/>
      <c r="AA759" s="194"/>
      <c r="AB759" s="194"/>
      <c r="AC759" s="194"/>
      <c r="AD759" s="194"/>
      <c r="AE759" s="194"/>
      <c r="AF759" s="194"/>
      <c r="AG759" s="194"/>
      <c r="AH759" s="194"/>
      <c r="AI759" s="194"/>
      <c r="AJ759" s="194"/>
      <c r="AK759" s="194"/>
      <c r="AL759" s="194"/>
      <c r="AM759" s="194"/>
    </row>
    <row r="760" spans="1:39" ht="15.75" customHeight="1" x14ac:dyDescent="0.25">
      <c r="A760" s="194"/>
      <c r="B760" s="194"/>
      <c r="C760" s="194"/>
      <c r="D760" s="194"/>
      <c r="E760" s="194"/>
      <c r="F760" s="194"/>
      <c r="G760" s="194"/>
      <c r="H760" s="194"/>
      <c r="I760" s="194"/>
      <c r="J760" s="194"/>
      <c r="K760" s="194"/>
      <c r="L760" s="194"/>
      <c r="M760" s="194"/>
      <c r="N760" s="194"/>
      <c r="O760" s="194"/>
      <c r="P760" s="194"/>
      <c r="Q760" s="194"/>
      <c r="R760" s="194"/>
      <c r="S760" s="194"/>
      <c r="T760" s="194"/>
      <c r="U760" s="194"/>
      <c r="V760" s="194"/>
      <c r="W760" s="194"/>
      <c r="X760" s="194"/>
      <c r="Y760" s="194"/>
      <c r="Z760" s="194"/>
      <c r="AA760" s="194"/>
      <c r="AB760" s="194"/>
      <c r="AC760" s="194"/>
      <c r="AD760" s="194"/>
      <c r="AE760" s="194"/>
      <c r="AF760" s="194"/>
      <c r="AG760" s="194"/>
      <c r="AH760" s="194"/>
      <c r="AI760" s="194"/>
      <c r="AJ760" s="194"/>
      <c r="AK760" s="194"/>
      <c r="AL760" s="194"/>
      <c r="AM760" s="194"/>
    </row>
    <row r="761" spans="1:39" ht="15.75" customHeight="1" x14ac:dyDescent="0.25">
      <c r="A761" s="194"/>
      <c r="B761" s="194"/>
      <c r="C761" s="194"/>
      <c r="D761" s="194"/>
      <c r="E761" s="194"/>
      <c r="F761" s="194"/>
      <c r="G761" s="194"/>
      <c r="H761" s="194"/>
      <c r="I761" s="194"/>
      <c r="J761" s="194"/>
      <c r="K761" s="194"/>
      <c r="L761" s="194"/>
      <c r="M761" s="194"/>
      <c r="N761" s="194"/>
      <c r="O761" s="194"/>
      <c r="P761" s="194"/>
      <c r="Q761" s="194"/>
      <c r="R761" s="194"/>
      <c r="S761" s="194"/>
      <c r="T761" s="194"/>
      <c r="U761" s="194"/>
      <c r="V761" s="194"/>
      <c r="W761" s="194"/>
      <c r="X761" s="194"/>
      <c r="Y761" s="194"/>
      <c r="Z761" s="194"/>
      <c r="AA761" s="194"/>
      <c r="AB761" s="194"/>
      <c r="AC761" s="194"/>
      <c r="AD761" s="194"/>
      <c r="AE761" s="194"/>
      <c r="AF761" s="194"/>
      <c r="AG761" s="194"/>
      <c r="AH761" s="194"/>
      <c r="AI761" s="194"/>
      <c r="AJ761" s="194"/>
      <c r="AK761" s="194"/>
      <c r="AL761" s="194"/>
      <c r="AM761" s="194"/>
    </row>
    <row r="762" spans="1:39" ht="15.75" customHeight="1" x14ac:dyDescent="0.25">
      <c r="A762" s="194"/>
      <c r="B762" s="194"/>
      <c r="C762" s="194"/>
      <c r="D762" s="194"/>
      <c r="E762" s="194"/>
      <c r="F762" s="194"/>
      <c r="G762" s="194"/>
      <c r="H762" s="194"/>
      <c r="I762" s="194"/>
      <c r="J762" s="194"/>
      <c r="K762" s="194"/>
      <c r="L762" s="194"/>
      <c r="M762" s="194"/>
      <c r="N762" s="194"/>
      <c r="O762" s="194"/>
      <c r="P762" s="194"/>
      <c r="Q762" s="194"/>
      <c r="R762" s="194"/>
      <c r="S762" s="194"/>
      <c r="T762" s="194"/>
      <c r="U762" s="194"/>
      <c r="V762" s="194"/>
      <c r="W762" s="194"/>
      <c r="X762" s="194"/>
      <c r="Y762" s="194"/>
      <c r="Z762" s="194"/>
      <c r="AA762" s="194"/>
      <c r="AB762" s="194"/>
      <c r="AC762" s="194"/>
      <c r="AD762" s="194"/>
      <c r="AE762" s="194"/>
      <c r="AF762" s="194"/>
      <c r="AG762" s="194"/>
      <c r="AH762" s="194"/>
      <c r="AI762" s="194"/>
      <c r="AJ762" s="194"/>
      <c r="AK762" s="194"/>
      <c r="AL762" s="194"/>
      <c r="AM762" s="194"/>
    </row>
    <row r="763" spans="1:39" ht="15.75" customHeight="1" x14ac:dyDescent="0.25">
      <c r="A763" s="194"/>
      <c r="B763" s="194"/>
      <c r="C763" s="194"/>
      <c r="D763" s="194"/>
      <c r="E763" s="194"/>
      <c r="F763" s="194"/>
      <c r="G763" s="194"/>
      <c r="H763" s="194"/>
      <c r="I763" s="194"/>
      <c r="J763" s="194"/>
      <c r="K763" s="194"/>
      <c r="L763" s="194"/>
      <c r="M763" s="194"/>
      <c r="N763" s="194"/>
      <c r="O763" s="194"/>
      <c r="P763" s="194"/>
      <c r="Q763" s="194"/>
      <c r="R763" s="194"/>
      <c r="S763" s="194"/>
      <c r="T763" s="194"/>
      <c r="U763" s="194"/>
      <c r="V763" s="194"/>
      <c r="W763" s="194"/>
      <c r="X763" s="194"/>
      <c r="Y763" s="194"/>
      <c r="Z763" s="194"/>
      <c r="AA763" s="194"/>
      <c r="AB763" s="194"/>
      <c r="AC763" s="194"/>
      <c r="AD763" s="194"/>
      <c r="AE763" s="194"/>
      <c r="AF763" s="194"/>
      <c r="AG763" s="194"/>
      <c r="AH763" s="194"/>
      <c r="AI763" s="194"/>
      <c r="AJ763" s="194"/>
      <c r="AK763" s="194"/>
      <c r="AL763" s="194"/>
      <c r="AM763" s="194"/>
    </row>
    <row r="764" spans="1:39" ht="15.75" customHeight="1" x14ac:dyDescent="0.25">
      <c r="A764" s="194"/>
      <c r="B764" s="194"/>
      <c r="C764" s="194"/>
      <c r="D764" s="194"/>
      <c r="E764" s="194"/>
      <c r="F764" s="194"/>
      <c r="G764" s="194"/>
      <c r="H764" s="194"/>
      <c r="I764" s="194"/>
      <c r="J764" s="194"/>
      <c r="K764" s="194"/>
      <c r="L764" s="194"/>
      <c r="M764" s="194"/>
      <c r="N764" s="194"/>
      <c r="O764" s="194"/>
      <c r="P764" s="194"/>
      <c r="Q764" s="194"/>
      <c r="R764" s="194"/>
      <c r="S764" s="194"/>
      <c r="T764" s="194"/>
      <c r="U764" s="194"/>
      <c r="V764" s="194"/>
      <c r="W764" s="194"/>
      <c r="X764" s="194"/>
      <c r="Y764" s="194"/>
      <c r="Z764" s="194"/>
      <c r="AA764" s="194"/>
      <c r="AB764" s="194"/>
      <c r="AC764" s="194"/>
      <c r="AD764" s="194"/>
      <c r="AE764" s="194"/>
      <c r="AF764" s="194"/>
      <c r="AG764" s="194"/>
      <c r="AH764" s="194"/>
      <c r="AI764" s="194"/>
      <c r="AJ764" s="194"/>
      <c r="AK764" s="194"/>
      <c r="AL764" s="194"/>
      <c r="AM764" s="194"/>
    </row>
    <row r="765" spans="1:39" ht="15.75" customHeight="1" x14ac:dyDescent="0.25">
      <c r="A765" s="194"/>
      <c r="B765" s="194"/>
      <c r="C765" s="194"/>
      <c r="D765" s="194"/>
      <c r="E765" s="194"/>
      <c r="F765" s="194"/>
      <c r="G765" s="194"/>
      <c r="H765" s="194"/>
      <c r="I765" s="194"/>
      <c r="J765" s="194"/>
      <c r="K765" s="194"/>
      <c r="L765" s="194"/>
      <c r="M765" s="194"/>
      <c r="N765" s="194"/>
      <c r="O765" s="194"/>
      <c r="P765" s="194"/>
      <c r="Q765" s="194"/>
      <c r="R765" s="194"/>
      <c r="S765" s="194"/>
      <c r="T765" s="194"/>
      <c r="U765" s="194"/>
      <c r="V765" s="194"/>
      <c r="W765" s="194"/>
      <c r="X765" s="194"/>
      <c r="Y765" s="194"/>
      <c r="Z765" s="194"/>
      <c r="AA765" s="194"/>
      <c r="AB765" s="194"/>
      <c r="AC765" s="194"/>
      <c r="AD765" s="194"/>
      <c r="AE765" s="194"/>
      <c r="AF765" s="194"/>
      <c r="AG765" s="194"/>
      <c r="AH765" s="194"/>
      <c r="AI765" s="194"/>
      <c r="AJ765" s="194"/>
      <c r="AK765" s="194"/>
      <c r="AL765" s="194"/>
      <c r="AM765" s="194"/>
    </row>
    <row r="766" spans="1:39" ht="15.75" customHeight="1" x14ac:dyDescent="0.25">
      <c r="A766" s="194"/>
      <c r="B766" s="194"/>
      <c r="C766" s="194"/>
      <c r="D766" s="194"/>
      <c r="E766" s="194"/>
      <c r="F766" s="194"/>
      <c r="G766" s="194"/>
      <c r="H766" s="194"/>
      <c r="I766" s="194"/>
      <c r="J766" s="194"/>
      <c r="K766" s="194"/>
      <c r="L766" s="194"/>
      <c r="M766" s="194"/>
      <c r="N766" s="194"/>
      <c r="O766" s="194"/>
      <c r="P766" s="194"/>
      <c r="Q766" s="194"/>
      <c r="R766" s="194"/>
      <c r="S766" s="194"/>
      <c r="T766" s="194"/>
      <c r="U766" s="194"/>
      <c r="V766" s="194"/>
      <c r="W766" s="194"/>
      <c r="X766" s="194"/>
      <c r="Y766" s="194"/>
      <c r="Z766" s="194"/>
      <c r="AA766" s="194"/>
      <c r="AB766" s="194"/>
      <c r="AC766" s="194"/>
      <c r="AD766" s="194"/>
      <c r="AE766" s="194"/>
      <c r="AF766" s="194"/>
      <c r="AG766" s="194"/>
      <c r="AH766" s="194"/>
      <c r="AI766" s="194"/>
      <c r="AJ766" s="194"/>
      <c r="AK766" s="194"/>
      <c r="AL766" s="194"/>
      <c r="AM766" s="194"/>
    </row>
    <row r="767" spans="1:39" ht="15.75" customHeight="1" x14ac:dyDescent="0.25">
      <c r="A767" s="194"/>
      <c r="B767" s="194"/>
      <c r="C767" s="194"/>
      <c r="D767" s="194"/>
      <c r="E767" s="194"/>
      <c r="F767" s="194"/>
      <c r="G767" s="194"/>
      <c r="H767" s="194"/>
      <c r="I767" s="194"/>
      <c r="J767" s="194"/>
      <c r="K767" s="194"/>
      <c r="L767" s="194"/>
      <c r="M767" s="194"/>
      <c r="N767" s="194"/>
      <c r="O767" s="194"/>
      <c r="P767" s="194"/>
      <c r="Q767" s="194"/>
      <c r="R767" s="194"/>
      <c r="S767" s="194"/>
      <c r="T767" s="194"/>
      <c r="U767" s="194"/>
      <c r="V767" s="194"/>
      <c r="W767" s="194"/>
      <c r="X767" s="194"/>
      <c r="Y767" s="194"/>
      <c r="Z767" s="194"/>
      <c r="AA767" s="194"/>
      <c r="AB767" s="194"/>
      <c r="AC767" s="194"/>
      <c r="AD767" s="194"/>
      <c r="AE767" s="194"/>
      <c r="AF767" s="194"/>
      <c r="AG767" s="194"/>
      <c r="AH767" s="194"/>
      <c r="AI767" s="194"/>
      <c r="AJ767" s="194"/>
      <c r="AK767" s="194"/>
      <c r="AL767" s="194"/>
      <c r="AM767" s="194"/>
    </row>
    <row r="768" spans="1:39" ht="15.75" customHeight="1" x14ac:dyDescent="0.25">
      <c r="A768" s="194"/>
      <c r="B768" s="194"/>
      <c r="C768" s="194"/>
      <c r="D768" s="194"/>
      <c r="E768" s="194"/>
      <c r="F768" s="194"/>
      <c r="G768" s="194"/>
      <c r="H768" s="194"/>
      <c r="I768" s="194"/>
      <c r="J768" s="194"/>
      <c r="K768" s="194"/>
      <c r="L768" s="194"/>
      <c r="M768" s="194"/>
      <c r="N768" s="194"/>
      <c r="O768" s="194"/>
      <c r="P768" s="194"/>
      <c r="Q768" s="194"/>
      <c r="R768" s="194"/>
      <c r="S768" s="194"/>
      <c r="T768" s="194"/>
      <c r="U768" s="194"/>
      <c r="V768" s="194"/>
      <c r="W768" s="194"/>
      <c r="X768" s="194"/>
      <c r="Y768" s="194"/>
      <c r="Z768" s="194"/>
      <c r="AA768" s="194"/>
      <c r="AB768" s="194"/>
      <c r="AC768" s="194"/>
      <c r="AD768" s="194"/>
      <c r="AE768" s="194"/>
      <c r="AF768" s="194"/>
      <c r="AG768" s="194"/>
      <c r="AH768" s="194"/>
      <c r="AI768" s="194"/>
      <c r="AJ768" s="194"/>
      <c r="AK768" s="194"/>
      <c r="AL768" s="194"/>
      <c r="AM768" s="194"/>
    </row>
    <row r="769" spans="1:39" ht="15.75" customHeight="1" x14ac:dyDescent="0.25">
      <c r="A769" s="194"/>
      <c r="B769" s="194"/>
      <c r="C769" s="194"/>
      <c r="D769" s="194"/>
      <c r="E769" s="194"/>
      <c r="F769" s="194"/>
      <c r="G769" s="194"/>
      <c r="H769" s="194"/>
      <c r="I769" s="194"/>
      <c r="J769" s="194"/>
      <c r="K769" s="194"/>
      <c r="L769" s="194"/>
      <c r="M769" s="194"/>
      <c r="N769" s="194"/>
      <c r="O769" s="194"/>
      <c r="P769" s="194"/>
      <c r="Q769" s="194"/>
      <c r="R769" s="194"/>
      <c r="S769" s="194"/>
      <c r="T769" s="194"/>
      <c r="U769" s="194"/>
      <c r="V769" s="194"/>
      <c r="W769" s="194"/>
      <c r="X769" s="194"/>
      <c r="Y769" s="194"/>
      <c r="Z769" s="194"/>
      <c r="AA769" s="194"/>
      <c r="AB769" s="194"/>
      <c r="AC769" s="194"/>
      <c r="AD769" s="194"/>
      <c r="AE769" s="194"/>
      <c r="AF769" s="194"/>
      <c r="AG769" s="194"/>
      <c r="AH769" s="194"/>
      <c r="AI769" s="194"/>
      <c r="AJ769" s="194"/>
      <c r="AK769" s="194"/>
      <c r="AL769" s="194"/>
      <c r="AM769" s="194"/>
    </row>
    <row r="770" spans="1:39" ht="15.75" customHeight="1" x14ac:dyDescent="0.25">
      <c r="A770" s="194"/>
      <c r="B770" s="194"/>
      <c r="C770" s="194"/>
      <c r="D770" s="194"/>
      <c r="E770" s="194"/>
      <c r="F770" s="194"/>
      <c r="G770" s="194"/>
      <c r="H770" s="194"/>
      <c r="I770" s="194"/>
      <c r="J770" s="194"/>
      <c r="K770" s="194"/>
      <c r="L770" s="194"/>
      <c r="M770" s="194"/>
      <c r="N770" s="194"/>
      <c r="O770" s="194"/>
      <c r="P770" s="194"/>
      <c r="Q770" s="194"/>
      <c r="R770" s="194"/>
      <c r="S770" s="194"/>
      <c r="T770" s="194"/>
      <c r="U770" s="194"/>
      <c r="V770" s="194"/>
      <c r="W770" s="194"/>
      <c r="X770" s="194"/>
      <c r="Y770" s="194"/>
      <c r="Z770" s="194"/>
      <c r="AA770" s="194"/>
      <c r="AB770" s="194"/>
      <c r="AC770" s="194"/>
      <c r="AD770" s="194"/>
      <c r="AE770" s="194"/>
      <c r="AF770" s="194"/>
      <c r="AG770" s="194"/>
      <c r="AH770" s="194"/>
      <c r="AI770" s="194"/>
      <c r="AJ770" s="194"/>
      <c r="AK770" s="194"/>
      <c r="AL770" s="194"/>
      <c r="AM770" s="194"/>
    </row>
    <row r="771" spans="1:39" ht="15.75" customHeight="1" x14ac:dyDescent="0.25">
      <c r="A771" s="194"/>
      <c r="B771" s="194"/>
      <c r="C771" s="194"/>
      <c r="D771" s="194"/>
      <c r="E771" s="194"/>
      <c r="F771" s="194"/>
      <c r="G771" s="194"/>
      <c r="H771" s="194"/>
      <c r="I771" s="194"/>
      <c r="J771" s="194"/>
      <c r="K771" s="194"/>
      <c r="L771" s="194"/>
      <c r="M771" s="194"/>
      <c r="N771" s="194"/>
      <c r="O771" s="194"/>
      <c r="P771" s="194"/>
      <c r="Q771" s="194"/>
      <c r="R771" s="194"/>
      <c r="S771" s="194"/>
      <c r="T771" s="194"/>
      <c r="U771" s="194"/>
      <c r="V771" s="194"/>
      <c r="W771" s="194"/>
      <c r="X771" s="194"/>
      <c r="Y771" s="194"/>
      <c r="Z771" s="194"/>
      <c r="AA771" s="194"/>
      <c r="AB771" s="194"/>
      <c r="AC771" s="194"/>
      <c r="AD771" s="194"/>
      <c r="AE771" s="194"/>
      <c r="AF771" s="194"/>
      <c r="AG771" s="194"/>
      <c r="AH771" s="194"/>
      <c r="AI771" s="194"/>
      <c r="AJ771" s="194"/>
      <c r="AK771" s="194"/>
      <c r="AL771" s="194"/>
      <c r="AM771" s="194"/>
    </row>
    <row r="772" spans="1:39" ht="15.75" customHeight="1" x14ac:dyDescent="0.25">
      <c r="A772" s="194"/>
      <c r="B772" s="194"/>
      <c r="C772" s="194"/>
      <c r="D772" s="194"/>
      <c r="E772" s="194"/>
      <c r="F772" s="194"/>
      <c r="G772" s="194"/>
      <c r="H772" s="194"/>
      <c r="I772" s="194"/>
      <c r="J772" s="194"/>
      <c r="K772" s="194"/>
      <c r="L772" s="194"/>
      <c r="M772" s="194"/>
      <c r="N772" s="194"/>
      <c r="O772" s="194"/>
      <c r="P772" s="194"/>
      <c r="Q772" s="194"/>
      <c r="R772" s="194"/>
      <c r="S772" s="194"/>
      <c r="T772" s="194"/>
      <c r="U772" s="194"/>
      <c r="V772" s="194"/>
      <c r="W772" s="194"/>
      <c r="X772" s="194"/>
      <c r="Y772" s="194"/>
      <c r="Z772" s="194"/>
      <c r="AA772" s="194"/>
      <c r="AB772" s="194"/>
      <c r="AC772" s="194"/>
      <c r="AD772" s="194"/>
      <c r="AE772" s="194"/>
      <c r="AF772" s="194"/>
      <c r="AG772" s="194"/>
      <c r="AH772" s="194"/>
      <c r="AI772" s="194"/>
      <c r="AJ772" s="194"/>
      <c r="AK772" s="194"/>
      <c r="AL772" s="194"/>
      <c r="AM772" s="194"/>
    </row>
    <row r="773" spans="1:39" ht="15.75" customHeight="1" x14ac:dyDescent="0.25">
      <c r="A773" s="194"/>
      <c r="B773" s="194"/>
      <c r="C773" s="194"/>
      <c r="D773" s="194"/>
      <c r="E773" s="194"/>
      <c r="F773" s="194"/>
      <c r="G773" s="194"/>
      <c r="H773" s="194"/>
      <c r="I773" s="194"/>
      <c r="J773" s="194"/>
      <c r="K773" s="194"/>
      <c r="L773" s="194"/>
      <c r="M773" s="194"/>
      <c r="N773" s="194"/>
      <c r="O773" s="194"/>
      <c r="P773" s="194"/>
      <c r="Q773" s="194"/>
      <c r="R773" s="194"/>
      <c r="S773" s="194"/>
      <c r="T773" s="194"/>
      <c r="U773" s="194"/>
      <c r="V773" s="194"/>
      <c r="W773" s="194"/>
      <c r="X773" s="194"/>
      <c r="Y773" s="194"/>
      <c r="Z773" s="194"/>
      <c r="AA773" s="194"/>
      <c r="AB773" s="194"/>
      <c r="AC773" s="194"/>
      <c r="AD773" s="194"/>
      <c r="AE773" s="194"/>
      <c r="AF773" s="194"/>
      <c r="AG773" s="194"/>
      <c r="AH773" s="194"/>
      <c r="AI773" s="194"/>
      <c r="AJ773" s="194"/>
      <c r="AK773" s="194"/>
      <c r="AL773" s="194"/>
      <c r="AM773" s="194"/>
    </row>
    <row r="774" spans="1:39" ht="15.75" customHeight="1" x14ac:dyDescent="0.25">
      <c r="A774" s="194"/>
      <c r="B774" s="194"/>
      <c r="C774" s="194"/>
      <c r="D774" s="194"/>
      <c r="E774" s="194"/>
      <c r="F774" s="194"/>
      <c r="G774" s="194"/>
      <c r="H774" s="194"/>
      <c r="I774" s="194"/>
      <c r="J774" s="194"/>
      <c r="K774" s="194"/>
      <c r="L774" s="194"/>
      <c r="M774" s="194"/>
      <c r="N774" s="194"/>
      <c r="O774" s="194"/>
      <c r="P774" s="194"/>
      <c r="Q774" s="194"/>
      <c r="R774" s="194"/>
      <c r="S774" s="194"/>
      <c r="T774" s="194"/>
      <c r="U774" s="194"/>
      <c r="V774" s="194"/>
      <c r="W774" s="194"/>
      <c r="X774" s="194"/>
      <c r="Y774" s="194"/>
      <c r="Z774" s="194"/>
      <c r="AA774" s="194"/>
      <c r="AB774" s="194"/>
      <c r="AC774" s="194"/>
      <c r="AD774" s="194"/>
      <c r="AE774" s="194"/>
      <c r="AF774" s="194"/>
      <c r="AG774" s="194"/>
      <c r="AH774" s="194"/>
      <c r="AI774" s="194"/>
      <c r="AJ774" s="194"/>
      <c r="AK774" s="194"/>
      <c r="AL774" s="194"/>
      <c r="AM774" s="194"/>
    </row>
    <row r="775" spans="1:39" ht="15.75" customHeight="1" x14ac:dyDescent="0.25">
      <c r="A775" s="194"/>
      <c r="B775" s="194"/>
      <c r="C775" s="194"/>
      <c r="D775" s="194"/>
      <c r="E775" s="194"/>
      <c r="F775" s="194"/>
      <c r="G775" s="194"/>
      <c r="H775" s="194"/>
      <c r="I775" s="194"/>
      <c r="J775" s="194"/>
      <c r="K775" s="194"/>
      <c r="L775" s="194"/>
      <c r="M775" s="194"/>
      <c r="N775" s="194"/>
      <c r="O775" s="194"/>
      <c r="P775" s="194"/>
      <c r="Q775" s="194"/>
      <c r="R775" s="194"/>
      <c r="S775" s="194"/>
      <c r="T775" s="194"/>
      <c r="U775" s="194"/>
      <c r="V775" s="194"/>
      <c r="W775" s="194"/>
      <c r="X775" s="194"/>
      <c r="Y775" s="194"/>
      <c r="Z775" s="194"/>
      <c r="AA775" s="194"/>
      <c r="AB775" s="194"/>
      <c r="AC775" s="194"/>
      <c r="AD775" s="194"/>
      <c r="AE775" s="194"/>
      <c r="AF775" s="194"/>
      <c r="AG775" s="194"/>
      <c r="AH775" s="194"/>
      <c r="AI775" s="194"/>
      <c r="AJ775" s="194"/>
      <c r="AK775" s="194"/>
      <c r="AL775" s="194"/>
      <c r="AM775" s="194"/>
    </row>
    <row r="776" spans="1:39" ht="15.75" customHeight="1" x14ac:dyDescent="0.25">
      <c r="A776" s="194"/>
      <c r="B776" s="194"/>
      <c r="C776" s="194"/>
      <c r="D776" s="194"/>
      <c r="E776" s="194"/>
      <c r="F776" s="194"/>
      <c r="G776" s="194"/>
      <c r="H776" s="194"/>
      <c r="I776" s="194"/>
      <c r="J776" s="194"/>
      <c r="K776" s="194"/>
      <c r="L776" s="194"/>
      <c r="M776" s="194"/>
      <c r="N776" s="194"/>
      <c r="O776" s="194"/>
      <c r="P776" s="194"/>
      <c r="Q776" s="194"/>
      <c r="R776" s="194"/>
      <c r="S776" s="194"/>
      <c r="T776" s="194"/>
      <c r="U776" s="194"/>
      <c r="V776" s="194"/>
      <c r="W776" s="194"/>
      <c r="X776" s="194"/>
      <c r="Y776" s="194"/>
      <c r="Z776" s="194"/>
      <c r="AA776" s="194"/>
      <c r="AB776" s="194"/>
      <c r="AC776" s="194"/>
      <c r="AD776" s="194"/>
      <c r="AE776" s="194"/>
      <c r="AF776" s="194"/>
      <c r="AG776" s="194"/>
      <c r="AH776" s="194"/>
      <c r="AI776" s="194"/>
      <c r="AJ776" s="194"/>
      <c r="AK776" s="194"/>
      <c r="AL776" s="194"/>
      <c r="AM776" s="194"/>
    </row>
    <row r="777" spans="1:39" ht="15.75" customHeight="1" x14ac:dyDescent="0.25">
      <c r="A777" s="194"/>
      <c r="B777" s="194"/>
      <c r="C777" s="194"/>
      <c r="D777" s="194"/>
      <c r="E777" s="194"/>
      <c r="F777" s="194"/>
      <c r="G777" s="194"/>
      <c r="H777" s="194"/>
      <c r="I777" s="194"/>
      <c r="J777" s="194"/>
      <c r="K777" s="194"/>
      <c r="L777" s="194"/>
      <c r="M777" s="194"/>
      <c r="N777" s="194"/>
      <c r="O777" s="194"/>
      <c r="P777" s="194"/>
      <c r="Q777" s="194"/>
      <c r="R777" s="194"/>
      <c r="S777" s="194"/>
      <c r="T777" s="194"/>
      <c r="U777" s="194"/>
      <c r="V777" s="194"/>
      <c r="W777" s="194"/>
      <c r="X777" s="194"/>
      <c r="Y777" s="194"/>
      <c r="Z777" s="194"/>
      <c r="AA777" s="194"/>
      <c r="AB777" s="194"/>
      <c r="AC777" s="194"/>
      <c r="AD777" s="194"/>
      <c r="AE777" s="194"/>
      <c r="AF777" s="194"/>
      <c r="AG777" s="194"/>
      <c r="AH777" s="194"/>
      <c r="AI777" s="194"/>
      <c r="AJ777" s="194"/>
      <c r="AK777" s="194"/>
      <c r="AL777" s="194"/>
      <c r="AM777" s="194"/>
    </row>
    <row r="778" spans="1:39" ht="15.75" customHeight="1" x14ac:dyDescent="0.25">
      <c r="A778" s="194"/>
      <c r="B778" s="194"/>
      <c r="C778" s="194"/>
      <c r="D778" s="194"/>
      <c r="E778" s="194"/>
      <c r="F778" s="194"/>
      <c r="G778" s="194"/>
      <c r="H778" s="194"/>
      <c r="I778" s="194"/>
      <c r="J778" s="194"/>
      <c r="K778" s="194"/>
      <c r="L778" s="194"/>
      <c r="M778" s="194"/>
      <c r="N778" s="194"/>
      <c r="O778" s="194"/>
      <c r="P778" s="194"/>
      <c r="Q778" s="194"/>
      <c r="R778" s="194"/>
      <c r="S778" s="194"/>
      <c r="T778" s="194"/>
      <c r="U778" s="194"/>
      <c r="V778" s="194"/>
      <c r="W778" s="194"/>
      <c r="X778" s="194"/>
      <c r="Y778" s="194"/>
      <c r="Z778" s="194"/>
      <c r="AA778" s="194"/>
      <c r="AB778" s="194"/>
      <c r="AC778" s="194"/>
      <c r="AD778" s="194"/>
      <c r="AE778" s="194"/>
      <c r="AF778" s="194"/>
      <c r="AG778" s="194"/>
      <c r="AH778" s="194"/>
      <c r="AI778" s="194"/>
      <c r="AJ778" s="194"/>
      <c r="AK778" s="194"/>
      <c r="AL778" s="194"/>
      <c r="AM778" s="194"/>
    </row>
    <row r="779" spans="1:39" ht="15.75" customHeight="1" x14ac:dyDescent="0.25">
      <c r="A779" s="194"/>
      <c r="B779" s="194"/>
      <c r="C779" s="194"/>
      <c r="D779" s="194"/>
      <c r="E779" s="194"/>
      <c r="F779" s="194"/>
      <c r="G779" s="194"/>
      <c r="H779" s="194"/>
      <c r="I779" s="194"/>
      <c r="J779" s="194"/>
      <c r="K779" s="194"/>
      <c r="L779" s="194"/>
      <c r="M779" s="194"/>
      <c r="N779" s="194"/>
      <c r="O779" s="194"/>
      <c r="P779" s="194"/>
      <c r="Q779" s="194"/>
      <c r="R779" s="194"/>
      <c r="S779" s="194"/>
      <c r="T779" s="194"/>
      <c r="U779" s="194"/>
      <c r="V779" s="194"/>
      <c r="W779" s="194"/>
      <c r="X779" s="194"/>
      <c r="Y779" s="194"/>
      <c r="Z779" s="194"/>
      <c r="AA779" s="194"/>
      <c r="AB779" s="194"/>
      <c r="AC779" s="194"/>
      <c r="AD779" s="194"/>
      <c r="AE779" s="194"/>
      <c r="AF779" s="194"/>
      <c r="AG779" s="194"/>
      <c r="AH779" s="194"/>
      <c r="AI779" s="194"/>
      <c r="AJ779" s="194"/>
      <c r="AK779" s="194"/>
      <c r="AL779" s="194"/>
      <c r="AM779" s="194"/>
    </row>
    <row r="780" spans="1:39" ht="15.75" customHeight="1" x14ac:dyDescent="0.25">
      <c r="A780" s="194"/>
      <c r="B780" s="194"/>
      <c r="C780" s="194"/>
      <c r="D780" s="194"/>
      <c r="E780" s="194"/>
      <c r="F780" s="194"/>
      <c r="G780" s="194"/>
      <c r="H780" s="194"/>
      <c r="I780" s="194"/>
      <c r="J780" s="194"/>
      <c r="K780" s="194"/>
      <c r="L780" s="194"/>
      <c r="M780" s="194"/>
      <c r="N780" s="194"/>
      <c r="O780" s="194"/>
      <c r="P780" s="194"/>
      <c r="Q780" s="194"/>
      <c r="R780" s="194"/>
      <c r="S780" s="194"/>
      <c r="T780" s="194"/>
      <c r="U780" s="194"/>
      <c r="V780" s="194"/>
      <c r="W780" s="194"/>
      <c r="X780" s="194"/>
      <c r="Y780" s="194"/>
      <c r="Z780" s="194"/>
      <c r="AA780" s="194"/>
      <c r="AB780" s="194"/>
      <c r="AC780" s="194"/>
      <c r="AD780" s="194"/>
      <c r="AE780" s="194"/>
      <c r="AF780" s="194"/>
      <c r="AG780" s="194"/>
      <c r="AH780" s="194"/>
      <c r="AI780" s="194"/>
      <c r="AJ780" s="194"/>
      <c r="AK780" s="194"/>
      <c r="AL780" s="194"/>
      <c r="AM780" s="194"/>
    </row>
    <row r="781" spans="1:39" ht="15.75" customHeight="1" x14ac:dyDescent="0.25">
      <c r="A781" s="194"/>
      <c r="B781" s="194"/>
      <c r="C781" s="194"/>
      <c r="D781" s="194"/>
      <c r="E781" s="194"/>
      <c r="F781" s="194"/>
      <c r="G781" s="194"/>
      <c r="H781" s="194"/>
      <c r="I781" s="194"/>
      <c r="J781" s="194"/>
      <c r="K781" s="194"/>
      <c r="L781" s="194"/>
      <c r="M781" s="194"/>
      <c r="N781" s="194"/>
      <c r="O781" s="194"/>
      <c r="P781" s="194"/>
      <c r="Q781" s="194"/>
      <c r="R781" s="194"/>
      <c r="S781" s="194"/>
      <c r="T781" s="194"/>
      <c r="U781" s="194"/>
      <c r="V781" s="194"/>
      <c r="W781" s="194"/>
      <c r="X781" s="194"/>
      <c r="Y781" s="194"/>
      <c r="Z781" s="194"/>
      <c r="AA781" s="194"/>
      <c r="AB781" s="194"/>
      <c r="AC781" s="194"/>
      <c r="AD781" s="194"/>
      <c r="AE781" s="194"/>
      <c r="AF781" s="194"/>
      <c r="AG781" s="194"/>
      <c r="AH781" s="194"/>
      <c r="AI781" s="194"/>
      <c r="AJ781" s="194"/>
      <c r="AK781" s="194"/>
      <c r="AL781" s="194"/>
      <c r="AM781" s="194"/>
    </row>
    <row r="782" spans="1:39" ht="15.75" customHeight="1" x14ac:dyDescent="0.25">
      <c r="A782" s="194"/>
      <c r="B782" s="194"/>
      <c r="C782" s="194"/>
      <c r="D782" s="194"/>
      <c r="E782" s="194"/>
      <c r="F782" s="194"/>
      <c r="G782" s="194"/>
      <c r="H782" s="194"/>
      <c r="I782" s="194"/>
      <c r="J782" s="194"/>
      <c r="K782" s="194"/>
      <c r="L782" s="194"/>
      <c r="M782" s="194"/>
      <c r="N782" s="194"/>
      <c r="O782" s="194"/>
      <c r="P782" s="194"/>
      <c r="Q782" s="194"/>
      <c r="R782" s="194"/>
      <c r="S782" s="194"/>
      <c r="T782" s="194"/>
      <c r="U782" s="194"/>
      <c r="V782" s="194"/>
      <c r="W782" s="194"/>
      <c r="X782" s="194"/>
      <c r="Y782" s="194"/>
      <c r="Z782" s="194"/>
      <c r="AA782" s="194"/>
      <c r="AB782" s="194"/>
      <c r="AC782" s="194"/>
      <c r="AD782" s="194"/>
      <c r="AE782" s="194"/>
      <c r="AF782" s="194"/>
      <c r="AG782" s="194"/>
      <c r="AH782" s="194"/>
      <c r="AI782" s="194"/>
      <c r="AJ782" s="194"/>
      <c r="AK782" s="194"/>
      <c r="AL782" s="194"/>
      <c r="AM782" s="194"/>
    </row>
    <row r="783" spans="1:39" ht="15.75" customHeight="1" x14ac:dyDescent="0.25">
      <c r="A783" s="194"/>
      <c r="B783" s="194"/>
      <c r="C783" s="194"/>
      <c r="D783" s="194"/>
      <c r="E783" s="194"/>
      <c r="F783" s="194"/>
      <c r="G783" s="194"/>
      <c r="H783" s="194"/>
      <c r="I783" s="194"/>
      <c r="J783" s="194"/>
      <c r="K783" s="194"/>
      <c r="L783" s="194"/>
      <c r="M783" s="194"/>
      <c r="N783" s="194"/>
      <c r="O783" s="194"/>
      <c r="P783" s="194"/>
      <c r="Q783" s="194"/>
      <c r="R783" s="194"/>
      <c r="S783" s="194"/>
      <c r="T783" s="194"/>
      <c r="U783" s="194"/>
      <c r="V783" s="194"/>
      <c r="W783" s="194"/>
      <c r="X783" s="194"/>
      <c r="Y783" s="194"/>
      <c r="Z783" s="194"/>
      <c r="AA783" s="194"/>
      <c r="AB783" s="194"/>
      <c r="AC783" s="194"/>
      <c r="AD783" s="194"/>
      <c r="AE783" s="194"/>
      <c r="AF783" s="194"/>
      <c r="AG783" s="194"/>
      <c r="AH783" s="194"/>
      <c r="AI783" s="194"/>
      <c r="AJ783" s="194"/>
      <c r="AK783" s="194"/>
      <c r="AL783" s="194"/>
      <c r="AM783" s="194"/>
    </row>
    <row r="784" spans="1:39" ht="15.75" customHeight="1" x14ac:dyDescent="0.25">
      <c r="A784" s="194"/>
      <c r="B784" s="194"/>
      <c r="C784" s="194"/>
      <c r="D784" s="194"/>
      <c r="E784" s="194"/>
      <c r="F784" s="194"/>
      <c r="G784" s="194"/>
      <c r="H784" s="194"/>
      <c r="I784" s="194"/>
      <c r="J784" s="194"/>
      <c r="K784" s="194"/>
      <c r="L784" s="194"/>
      <c r="M784" s="194"/>
      <c r="N784" s="194"/>
      <c r="O784" s="194"/>
      <c r="P784" s="194"/>
      <c r="Q784" s="194"/>
      <c r="R784" s="194"/>
      <c r="S784" s="194"/>
      <c r="T784" s="194"/>
      <c r="U784" s="194"/>
      <c r="V784" s="194"/>
      <c r="W784" s="194"/>
      <c r="X784" s="194"/>
      <c r="Y784" s="194"/>
      <c r="Z784" s="194"/>
      <c r="AA784" s="194"/>
      <c r="AB784" s="194"/>
      <c r="AC784" s="194"/>
      <c r="AD784" s="194"/>
      <c r="AE784" s="194"/>
      <c r="AF784" s="194"/>
      <c r="AG784" s="194"/>
      <c r="AH784" s="194"/>
      <c r="AI784" s="194"/>
      <c r="AJ784" s="194"/>
      <c r="AK784" s="194"/>
      <c r="AL784" s="194"/>
      <c r="AM784" s="194"/>
    </row>
    <row r="785" spans="1:39" ht="15.75" customHeight="1" x14ac:dyDescent="0.25">
      <c r="A785" s="194"/>
      <c r="B785" s="194"/>
      <c r="C785" s="194"/>
      <c r="D785" s="194"/>
      <c r="E785" s="194"/>
      <c r="F785" s="194"/>
      <c r="G785" s="194"/>
      <c r="H785" s="194"/>
      <c r="I785" s="194"/>
      <c r="J785" s="194"/>
      <c r="K785" s="194"/>
      <c r="L785" s="194"/>
      <c r="M785" s="194"/>
      <c r="N785" s="194"/>
      <c r="O785" s="194"/>
      <c r="P785" s="194"/>
      <c r="Q785" s="194"/>
      <c r="R785" s="194"/>
      <c r="S785" s="194"/>
      <c r="T785" s="194"/>
      <c r="U785" s="194"/>
      <c r="V785" s="194"/>
      <c r="W785" s="194"/>
      <c r="X785" s="194"/>
      <c r="Y785" s="194"/>
      <c r="Z785" s="194"/>
      <c r="AA785" s="194"/>
      <c r="AB785" s="194"/>
      <c r="AC785" s="194"/>
      <c r="AD785" s="194"/>
      <c r="AE785" s="194"/>
      <c r="AF785" s="194"/>
      <c r="AG785" s="194"/>
      <c r="AH785" s="194"/>
      <c r="AI785" s="194"/>
      <c r="AJ785" s="194"/>
      <c r="AK785" s="194"/>
      <c r="AL785" s="194"/>
      <c r="AM785" s="194"/>
    </row>
    <row r="786" spans="1:39" ht="15.75" customHeight="1" x14ac:dyDescent="0.25">
      <c r="A786" s="194"/>
      <c r="B786" s="194"/>
      <c r="C786" s="194"/>
      <c r="D786" s="194"/>
      <c r="E786" s="194"/>
      <c r="F786" s="194"/>
      <c r="G786" s="194"/>
      <c r="H786" s="194"/>
      <c r="I786" s="194"/>
      <c r="J786" s="194"/>
      <c r="K786" s="194"/>
      <c r="L786" s="194"/>
      <c r="M786" s="194"/>
      <c r="N786" s="194"/>
      <c r="O786" s="194"/>
      <c r="P786" s="194"/>
      <c r="Q786" s="194"/>
      <c r="R786" s="194"/>
      <c r="S786" s="194"/>
      <c r="T786" s="194"/>
      <c r="U786" s="194"/>
      <c r="V786" s="194"/>
      <c r="W786" s="194"/>
      <c r="X786" s="194"/>
      <c r="Y786" s="194"/>
      <c r="Z786" s="194"/>
      <c r="AA786" s="194"/>
      <c r="AB786" s="194"/>
      <c r="AC786" s="194"/>
      <c r="AD786" s="194"/>
      <c r="AE786" s="194"/>
      <c r="AF786" s="194"/>
      <c r="AG786" s="194"/>
      <c r="AH786" s="194"/>
      <c r="AI786" s="194"/>
      <c r="AJ786" s="194"/>
      <c r="AK786" s="194"/>
      <c r="AL786" s="194"/>
      <c r="AM786" s="194"/>
    </row>
    <row r="787" spans="1:39" ht="15.75" customHeight="1" x14ac:dyDescent="0.25">
      <c r="A787" s="194"/>
      <c r="B787" s="194"/>
      <c r="C787" s="194"/>
      <c r="D787" s="194"/>
      <c r="E787" s="194"/>
      <c r="F787" s="194"/>
      <c r="G787" s="194"/>
      <c r="H787" s="194"/>
      <c r="I787" s="194"/>
      <c r="J787" s="194"/>
      <c r="K787" s="194"/>
      <c r="L787" s="194"/>
      <c r="M787" s="194"/>
      <c r="N787" s="194"/>
      <c r="O787" s="194"/>
      <c r="P787" s="194"/>
      <c r="Q787" s="194"/>
      <c r="R787" s="194"/>
      <c r="S787" s="194"/>
      <c r="T787" s="194"/>
      <c r="U787" s="194"/>
      <c r="V787" s="194"/>
      <c r="W787" s="194"/>
      <c r="X787" s="194"/>
      <c r="Y787" s="194"/>
      <c r="Z787" s="194"/>
      <c r="AA787" s="194"/>
      <c r="AB787" s="194"/>
      <c r="AC787" s="194"/>
      <c r="AD787" s="194"/>
      <c r="AE787" s="194"/>
      <c r="AF787" s="194"/>
      <c r="AG787" s="194"/>
      <c r="AH787" s="194"/>
      <c r="AI787" s="194"/>
      <c r="AJ787" s="194"/>
      <c r="AK787" s="194"/>
      <c r="AL787" s="194"/>
      <c r="AM787" s="194"/>
    </row>
    <row r="788" spans="1:39" ht="15.75" customHeight="1" x14ac:dyDescent="0.25">
      <c r="A788" s="194"/>
      <c r="B788" s="194"/>
      <c r="C788" s="194"/>
      <c r="D788" s="194"/>
      <c r="E788" s="194"/>
      <c r="F788" s="194"/>
      <c r="G788" s="194"/>
      <c r="H788" s="194"/>
      <c r="I788" s="194"/>
      <c r="J788" s="194"/>
      <c r="K788" s="194"/>
      <c r="L788" s="194"/>
      <c r="M788" s="194"/>
      <c r="N788" s="194"/>
      <c r="O788" s="194"/>
      <c r="P788" s="194"/>
      <c r="Q788" s="194"/>
      <c r="R788" s="194"/>
      <c r="S788" s="194"/>
      <c r="T788" s="194"/>
      <c r="U788" s="194"/>
      <c r="V788" s="194"/>
      <c r="W788" s="194"/>
      <c r="X788" s="194"/>
      <c r="Y788" s="194"/>
      <c r="Z788" s="194"/>
      <c r="AA788" s="194"/>
      <c r="AB788" s="194"/>
      <c r="AC788" s="194"/>
      <c r="AD788" s="194"/>
      <c r="AE788" s="194"/>
      <c r="AF788" s="194"/>
      <c r="AG788" s="194"/>
      <c r="AH788" s="194"/>
      <c r="AI788" s="194"/>
      <c r="AJ788" s="194"/>
      <c r="AK788" s="194"/>
      <c r="AL788" s="194"/>
      <c r="AM788" s="194"/>
    </row>
    <row r="789" spans="1:39" ht="15.75" customHeight="1" x14ac:dyDescent="0.25">
      <c r="A789" s="194"/>
      <c r="B789" s="194"/>
      <c r="C789" s="194"/>
      <c r="D789" s="194"/>
      <c r="E789" s="194"/>
      <c r="F789" s="194"/>
      <c r="G789" s="194"/>
      <c r="H789" s="194"/>
      <c r="I789" s="194"/>
      <c r="J789" s="194"/>
      <c r="K789" s="194"/>
      <c r="L789" s="194"/>
      <c r="M789" s="194"/>
      <c r="N789" s="194"/>
      <c r="O789" s="194"/>
      <c r="P789" s="194"/>
      <c r="Q789" s="194"/>
      <c r="R789" s="194"/>
      <c r="S789" s="194"/>
      <c r="T789" s="194"/>
      <c r="U789" s="194"/>
      <c r="V789" s="194"/>
      <c r="W789" s="194"/>
      <c r="X789" s="194"/>
      <c r="Y789" s="194"/>
      <c r="Z789" s="194"/>
      <c r="AA789" s="194"/>
      <c r="AB789" s="194"/>
      <c r="AC789" s="194"/>
      <c r="AD789" s="194"/>
      <c r="AE789" s="194"/>
      <c r="AF789" s="194"/>
      <c r="AG789" s="194"/>
      <c r="AH789" s="194"/>
      <c r="AI789" s="194"/>
      <c r="AJ789" s="194"/>
      <c r="AK789" s="194"/>
      <c r="AL789" s="194"/>
      <c r="AM789" s="194"/>
    </row>
    <row r="790" spans="1:39" ht="15.75" customHeight="1" x14ac:dyDescent="0.25">
      <c r="A790" s="194"/>
      <c r="B790" s="194"/>
      <c r="C790" s="194"/>
      <c r="D790" s="194"/>
      <c r="E790" s="194"/>
      <c r="F790" s="194"/>
      <c r="G790" s="194"/>
      <c r="H790" s="194"/>
      <c r="I790" s="194"/>
      <c r="J790" s="194"/>
      <c r="K790" s="194"/>
      <c r="L790" s="194"/>
      <c r="M790" s="194"/>
      <c r="N790" s="194"/>
      <c r="O790" s="194"/>
      <c r="P790" s="194"/>
      <c r="Q790" s="194"/>
      <c r="R790" s="194"/>
      <c r="S790" s="194"/>
      <c r="T790" s="194"/>
      <c r="U790" s="194"/>
      <c r="V790" s="194"/>
      <c r="W790" s="194"/>
      <c r="X790" s="194"/>
      <c r="Y790" s="194"/>
      <c r="Z790" s="194"/>
      <c r="AA790" s="194"/>
      <c r="AB790" s="194"/>
      <c r="AC790" s="194"/>
      <c r="AD790" s="194"/>
      <c r="AE790" s="194"/>
      <c r="AF790" s="194"/>
      <c r="AG790" s="194"/>
      <c r="AH790" s="194"/>
      <c r="AI790" s="194"/>
      <c r="AJ790" s="194"/>
      <c r="AK790" s="194"/>
      <c r="AL790" s="194"/>
      <c r="AM790" s="194"/>
    </row>
    <row r="791" spans="1:39" ht="15.75" customHeight="1" x14ac:dyDescent="0.25">
      <c r="A791" s="194"/>
      <c r="B791" s="194"/>
      <c r="C791" s="194"/>
      <c r="D791" s="194"/>
      <c r="E791" s="194"/>
      <c r="F791" s="194"/>
      <c r="G791" s="194"/>
      <c r="H791" s="194"/>
      <c r="I791" s="194"/>
      <c r="J791" s="194"/>
      <c r="K791" s="194"/>
      <c r="L791" s="194"/>
      <c r="M791" s="194"/>
      <c r="N791" s="194"/>
      <c r="O791" s="194"/>
      <c r="P791" s="194"/>
      <c r="Q791" s="194"/>
      <c r="R791" s="194"/>
      <c r="S791" s="194"/>
      <c r="T791" s="194"/>
      <c r="U791" s="194"/>
      <c r="V791" s="194"/>
      <c r="W791" s="194"/>
      <c r="X791" s="194"/>
      <c r="Y791" s="194"/>
      <c r="Z791" s="194"/>
      <c r="AA791" s="194"/>
      <c r="AB791" s="194"/>
      <c r="AC791" s="194"/>
      <c r="AD791" s="194"/>
      <c r="AE791" s="194"/>
      <c r="AF791" s="194"/>
      <c r="AG791" s="194"/>
      <c r="AH791" s="194"/>
      <c r="AI791" s="194"/>
      <c r="AJ791" s="194"/>
      <c r="AK791" s="194"/>
      <c r="AL791" s="194"/>
      <c r="AM791" s="194"/>
    </row>
    <row r="792" spans="1:39" ht="15.75" customHeight="1" x14ac:dyDescent="0.25">
      <c r="A792" s="194"/>
      <c r="B792" s="194"/>
      <c r="C792" s="194"/>
      <c r="D792" s="194"/>
      <c r="E792" s="194"/>
      <c r="F792" s="194"/>
      <c r="G792" s="194"/>
      <c r="H792" s="194"/>
      <c r="I792" s="194"/>
      <c r="J792" s="194"/>
      <c r="K792" s="194"/>
      <c r="L792" s="194"/>
      <c r="M792" s="194"/>
      <c r="N792" s="194"/>
      <c r="O792" s="194"/>
      <c r="P792" s="194"/>
      <c r="Q792" s="194"/>
      <c r="R792" s="194"/>
      <c r="S792" s="194"/>
      <c r="T792" s="194"/>
      <c r="U792" s="194"/>
      <c r="V792" s="194"/>
      <c r="W792" s="194"/>
      <c r="X792" s="194"/>
      <c r="Y792" s="194"/>
      <c r="Z792" s="194"/>
      <c r="AA792" s="194"/>
      <c r="AB792" s="194"/>
      <c r="AC792" s="194"/>
      <c r="AD792" s="194"/>
      <c r="AE792" s="194"/>
      <c r="AF792" s="194"/>
      <c r="AG792" s="194"/>
      <c r="AH792" s="194"/>
      <c r="AI792" s="194"/>
      <c r="AJ792" s="194"/>
      <c r="AK792" s="194"/>
      <c r="AL792" s="194"/>
      <c r="AM792" s="194"/>
    </row>
    <row r="793" spans="1:39" ht="15.75" customHeight="1" x14ac:dyDescent="0.25">
      <c r="A793" s="194"/>
      <c r="B793" s="194"/>
      <c r="C793" s="194"/>
      <c r="D793" s="194"/>
      <c r="E793" s="194"/>
      <c r="F793" s="194"/>
      <c r="G793" s="194"/>
      <c r="H793" s="194"/>
      <c r="I793" s="194"/>
      <c r="J793" s="194"/>
      <c r="K793" s="194"/>
      <c r="L793" s="194"/>
      <c r="M793" s="194"/>
      <c r="N793" s="194"/>
      <c r="O793" s="194"/>
      <c r="P793" s="194"/>
      <c r="Q793" s="194"/>
      <c r="R793" s="194"/>
      <c r="S793" s="194"/>
      <c r="T793" s="194"/>
      <c r="U793" s="194"/>
      <c r="V793" s="194"/>
      <c r="W793" s="194"/>
      <c r="X793" s="194"/>
      <c r="Y793" s="194"/>
      <c r="Z793" s="194"/>
      <c r="AA793" s="194"/>
      <c r="AB793" s="194"/>
      <c r="AC793" s="194"/>
      <c r="AD793" s="194"/>
      <c r="AE793" s="194"/>
      <c r="AF793" s="194"/>
      <c r="AG793" s="194"/>
      <c r="AH793" s="194"/>
      <c r="AI793" s="194"/>
      <c r="AJ793" s="194"/>
      <c r="AK793" s="194"/>
      <c r="AL793" s="194"/>
      <c r="AM793" s="194"/>
    </row>
    <row r="794" spans="1:39" ht="15.75" customHeight="1" x14ac:dyDescent="0.25">
      <c r="A794" s="194"/>
      <c r="B794" s="194"/>
      <c r="C794" s="194"/>
      <c r="D794" s="194"/>
      <c r="E794" s="194"/>
      <c r="F794" s="194"/>
      <c r="G794" s="194"/>
      <c r="H794" s="194"/>
      <c r="I794" s="194"/>
      <c r="J794" s="194"/>
      <c r="K794" s="194"/>
      <c r="L794" s="194"/>
      <c r="M794" s="194"/>
      <c r="N794" s="194"/>
      <c r="O794" s="194"/>
      <c r="P794" s="194"/>
      <c r="Q794" s="194"/>
      <c r="R794" s="194"/>
      <c r="S794" s="194"/>
      <c r="T794" s="194"/>
      <c r="U794" s="194"/>
      <c r="V794" s="194"/>
      <c r="W794" s="194"/>
      <c r="X794" s="194"/>
      <c r="Y794" s="194"/>
      <c r="Z794" s="194"/>
      <c r="AA794" s="194"/>
      <c r="AB794" s="194"/>
      <c r="AC794" s="194"/>
      <c r="AD794" s="194"/>
      <c r="AE794" s="194"/>
      <c r="AF794" s="194"/>
      <c r="AG794" s="194"/>
      <c r="AH794" s="194"/>
      <c r="AI794" s="194"/>
      <c r="AJ794" s="194"/>
      <c r="AK794" s="194"/>
      <c r="AL794" s="194"/>
      <c r="AM794" s="194"/>
    </row>
    <row r="795" spans="1:39" ht="15.75" customHeight="1" x14ac:dyDescent="0.25">
      <c r="A795" s="194"/>
      <c r="B795" s="194"/>
      <c r="C795" s="194"/>
      <c r="D795" s="194"/>
      <c r="E795" s="194"/>
      <c r="F795" s="194"/>
      <c r="G795" s="194"/>
      <c r="H795" s="194"/>
      <c r="I795" s="194"/>
      <c r="J795" s="194"/>
      <c r="K795" s="194"/>
      <c r="L795" s="194"/>
      <c r="M795" s="194"/>
      <c r="N795" s="194"/>
      <c r="O795" s="194"/>
      <c r="P795" s="194"/>
      <c r="Q795" s="194"/>
      <c r="R795" s="194"/>
      <c r="S795" s="194"/>
      <c r="T795" s="194"/>
      <c r="U795" s="194"/>
      <c r="V795" s="194"/>
      <c r="W795" s="194"/>
      <c r="X795" s="194"/>
      <c r="Y795" s="194"/>
      <c r="Z795" s="194"/>
      <c r="AA795" s="194"/>
      <c r="AB795" s="194"/>
      <c r="AC795" s="194"/>
      <c r="AD795" s="194"/>
      <c r="AE795" s="194"/>
      <c r="AF795" s="194"/>
      <c r="AG795" s="194"/>
      <c r="AH795" s="194"/>
      <c r="AI795" s="194"/>
      <c r="AJ795" s="194"/>
      <c r="AK795" s="194"/>
      <c r="AL795" s="194"/>
      <c r="AM795" s="194"/>
    </row>
    <row r="796" spans="1:39" ht="15.75" customHeight="1" x14ac:dyDescent="0.25">
      <c r="A796" s="194"/>
      <c r="B796" s="194"/>
      <c r="C796" s="194"/>
      <c r="D796" s="194"/>
      <c r="E796" s="194"/>
      <c r="F796" s="194"/>
      <c r="G796" s="194"/>
      <c r="H796" s="194"/>
      <c r="I796" s="194"/>
      <c r="J796" s="194"/>
      <c r="K796" s="194"/>
      <c r="L796" s="194"/>
      <c r="M796" s="194"/>
      <c r="N796" s="194"/>
      <c r="O796" s="194"/>
      <c r="P796" s="194"/>
      <c r="Q796" s="194"/>
      <c r="R796" s="194"/>
      <c r="S796" s="194"/>
      <c r="T796" s="194"/>
      <c r="U796" s="194"/>
      <c r="V796" s="194"/>
      <c r="W796" s="194"/>
      <c r="X796" s="194"/>
      <c r="Y796" s="194"/>
      <c r="Z796" s="194"/>
      <c r="AA796" s="194"/>
      <c r="AB796" s="194"/>
      <c r="AC796" s="194"/>
      <c r="AD796" s="194"/>
      <c r="AE796" s="194"/>
      <c r="AF796" s="194"/>
      <c r="AG796" s="194"/>
      <c r="AH796" s="194"/>
      <c r="AI796" s="194"/>
      <c r="AJ796" s="194"/>
      <c r="AK796" s="194"/>
      <c r="AL796" s="194"/>
      <c r="AM796" s="194"/>
    </row>
    <row r="797" spans="1:39" ht="15.75" customHeight="1" x14ac:dyDescent="0.25">
      <c r="A797" s="194"/>
      <c r="B797" s="194"/>
      <c r="C797" s="194"/>
      <c r="D797" s="194"/>
      <c r="E797" s="194"/>
      <c r="F797" s="194"/>
      <c r="G797" s="194"/>
      <c r="H797" s="194"/>
      <c r="I797" s="194"/>
      <c r="J797" s="194"/>
      <c r="K797" s="194"/>
      <c r="L797" s="194"/>
      <c r="M797" s="194"/>
      <c r="N797" s="194"/>
      <c r="O797" s="194"/>
      <c r="P797" s="194"/>
      <c r="Q797" s="194"/>
      <c r="R797" s="194"/>
      <c r="S797" s="194"/>
      <c r="T797" s="194"/>
      <c r="U797" s="194"/>
      <c r="V797" s="194"/>
      <c r="W797" s="194"/>
      <c r="X797" s="194"/>
      <c r="Y797" s="194"/>
      <c r="Z797" s="194"/>
      <c r="AA797" s="194"/>
      <c r="AB797" s="194"/>
      <c r="AC797" s="194"/>
      <c r="AD797" s="194"/>
      <c r="AE797" s="194"/>
      <c r="AF797" s="194"/>
      <c r="AG797" s="194"/>
      <c r="AH797" s="194"/>
      <c r="AI797" s="194"/>
      <c r="AJ797" s="194"/>
      <c r="AK797" s="194"/>
      <c r="AL797" s="194"/>
      <c r="AM797" s="194"/>
    </row>
    <row r="798" spans="1:39" ht="15.75" customHeight="1" x14ac:dyDescent="0.25">
      <c r="A798" s="194"/>
      <c r="B798" s="194"/>
      <c r="C798" s="194"/>
      <c r="D798" s="194"/>
      <c r="E798" s="194"/>
      <c r="F798" s="194"/>
      <c r="G798" s="194"/>
      <c r="H798" s="194"/>
      <c r="I798" s="194"/>
      <c r="J798" s="194"/>
      <c r="K798" s="194"/>
      <c r="L798" s="194"/>
      <c r="M798" s="194"/>
      <c r="N798" s="194"/>
      <c r="O798" s="194"/>
      <c r="P798" s="194"/>
      <c r="Q798" s="194"/>
      <c r="R798" s="194"/>
      <c r="S798" s="194"/>
      <c r="T798" s="194"/>
      <c r="U798" s="194"/>
      <c r="V798" s="194"/>
      <c r="W798" s="194"/>
      <c r="X798" s="194"/>
      <c r="Y798" s="194"/>
      <c r="Z798" s="194"/>
      <c r="AA798" s="194"/>
      <c r="AB798" s="194"/>
      <c r="AC798" s="194"/>
      <c r="AD798" s="194"/>
      <c r="AE798" s="194"/>
      <c r="AF798" s="194"/>
      <c r="AG798" s="194"/>
      <c r="AH798" s="194"/>
      <c r="AI798" s="194"/>
      <c r="AJ798" s="194"/>
      <c r="AK798" s="194"/>
      <c r="AL798" s="194"/>
      <c r="AM798" s="194"/>
    </row>
    <row r="799" spans="1:39" ht="15.75" customHeight="1" x14ac:dyDescent="0.25">
      <c r="A799" s="194"/>
      <c r="B799" s="194"/>
      <c r="C799" s="194"/>
      <c r="D799" s="194"/>
      <c r="E799" s="194"/>
      <c r="F799" s="194"/>
      <c r="G799" s="194"/>
      <c r="H799" s="194"/>
      <c r="I799" s="194"/>
      <c r="J799" s="194"/>
      <c r="K799" s="194"/>
      <c r="L799" s="194"/>
      <c r="M799" s="194"/>
      <c r="N799" s="194"/>
      <c r="O799" s="194"/>
      <c r="P799" s="194"/>
      <c r="Q799" s="194"/>
      <c r="R799" s="194"/>
      <c r="S799" s="194"/>
      <c r="T799" s="194"/>
      <c r="U799" s="194"/>
      <c r="V799" s="194"/>
      <c r="W799" s="194"/>
      <c r="X799" s="194"/>
      <c r="Y799" s="194"/>
      <c r="Z799" s="194"/>
      <c r="AA799" s="194"/>
      <c r="AB799" s="194"/>
      <c r="AC799" s="194"/>
      <c r="AD799" s="194"/>
      <c r="AE799" s="194"/>
      <c r="AF799" s="194"/>
      <c r="AG799" s="194"/>
      <c r="AH799" s="194"/>
      <c r="AI799" s="194"/>
      <c r="AJ799" s="194"/>
      <c r="AK799" s="194"/>
      <c r="AL799" s="194"/>
      <c r="AM799" s="194"/>
    </row>
    <row r="800" spans="1:39" ht="15.75" customHeight="1" x14ac:dyDescent="0.25">
      <c r="A800" s="194"/>
      <c r="B800" s="194"/>
      <c r="C800" s="194"/>
      <c r="D800" s="194"/>
      <c r="E800" s="194"/>
      <c r="F800" s="194"/>
      <c r="G800" s="194"/>
      <c r="H800" s="194"/>
      <c r="I800" s="194"/>
      <c r="J800" s="194"/>
      <c r="K800" s="194"/>
      <c r="L800" s="194"/>
      <c r="M800" s="194"/>
      <c r="N800" s="194"/>
      <c r="O800" s="194"/>
      <c r="P800" s="194"/>
      <c r="Q800" s="194"/>
      <c r="R800" s="194"/>
      <c r="S800" s="194"/>
      <c r="T800" s="194"/>
      <c r="U800" s="194"/>
      <c r="V800" s="194"/>
      <c r="W800" s="194"/>
      <c r="X800" s="194"/>
      <c r="Y800" s="194"/>
      <c r="Z800" s="194"/>
      <c r="AA800" s="194"/>
      <c r="AB800" s="194"/>
      <c r="AC800" s="194"/>
      <c r="AD800" s="194"/>
      <c r="AE800" s="194"/>
      <c r="AF800" s="194"/>
      <c r="AG800" s="194"/>
      <c r="AH800" s="194"/>
      <c r="AI800" s="194"/>
      <c r="AJ800" s="194"/>
      <c r="AK800" s="194"/>
      <c r="AL800" s="194"/>
      <c r="AM800" s="194"/>
    </row>
    <row r="801" spans="1:39" ht="15.75" customHeight="1" x14ac:dyDescent="0.25">
      <c r="A801" s="194"/>
      <c r="B801" s="194"/>
      <c r="C801" s="194"/>
      <c r="D801" s="194"/>
      <c r="E801" s="194"/>
      <c r="F801" s="194"/>
      <c r="G801" s="194"/>
      <c r="H801" s="194"/>
      <c r="I801" s="194"/>
      <c r="J801" s="194"/>
      <c r="K801" s="194"/>
      <c r="L801" s="194"/>
      <c r="M801" s="194"/>
      <c r="N801" s="194"/>
      <c r="O801" s="194"/>
      <c r="P801" s="194"/>
      <c r="Q801" s="194"/>
      <c r="R801" s="194"/>
      <c r="S801" s="194"/>
      <c r="T801" s="194"/>
      <c r="U801" s="194"/>
      <c r="V801" s="194"/>
      <c r="W801" s="194"/>
      <c r="X801" s="194"/>
      <c r="Y801" s="194"/>
      <c r="Z801" s="194"/>
      <c r="AA801" s="194"/>
      <c r="AB801" s="194"/>
      <c r="AC801" s="194"/>
      <c r="AD801" s="194"/>
      <c r="AE801" s="194"/>
      <c r="AF801" s="194"/>
      <c r="AG801" s="194"/>
      <c r="AH801" s="194"/>
      <c r="AI801" s="194"/>
      <c r="AJ801" s="194"/>
      <c r="AK801" s="194"/>
      <c r="AL801" s="194"/>
      <c r="AM801" s="194"/>
    </row>
    <row r="802" spans="1:39" ht="15.75" customHeight="1" x14ac:dyDescent="0.25">
      <c r="A802" s="194"/>
      <c r="B802" s="194"/>
      <c r="C802" s="194"/>
      <c r="D802" s="194"/>
      <c r="E802" s="194"/>
      <c r="F802" s="194"/>
      <c r="G802" s="194"/>
      <c r="H802" s="194"/>
      <c r="I802" s="194"/>
      <c r="J802" s="194"/>
      <c r="K802" s="194"/>
      <c r="L802" s="194"/>
      <c r="M802" s="194"/>
      <c r="N802" s="194"/>
      <c r="O802" s="194"/>
      <c r="P802" s="194"/>
      <c r="Q802" s="194"/>
      <c r="R802" s="194"/>
      <c r="S802" s="194"/>
      <c r="T802" s="194"/>
      <c r="U802" s="194"/>
      <c r="V802" s="194"/>
      <c r="W802" s="194"/>
      <c r="X802" s="194"/>
      <c r="Y802" s="194"/>
      <c r="Z802" s="194"/>
      <c r="AA802" s="194"/>
      <c r="AB802" s="194"/>
      <c r="AC802" s="194"/>
      <c r="AD802" s="194"/>
      <c r="AE802" s="194"/>
      <c r="AF802" s="194"/>
      <c r="AG802" s="194"/>
      <c r="AH802" s="194"/>
      <c r="AI802" s="194"/>
      <c r="AJ802" s="194"/>
      <c r="AK802" s="194"/>
      <c r="AL802" s="194"/>
      <c r="AM802" s="194"/>
    </row>
    <row r="803" spans="1:39" ht="15.75" customHeight="1" x14ac:dyDescent="0.25">
      <c r="A803" s="194"/>
      <c r="B803" s="194"/>
      <c r="C803" s="194"/>
      <c r="D803" s="194"/>
      <c r="E803" s="194"/>
      <c r="F803" s="194"/>
      <c r="G803" s="194"/>
      <c r="H803" s="194"/>
      <c r="I803" s="194"/>
      <c r="J803" s="194"/>
      <c r="K803" s="194"/>
      <c r="L803" s="194"/>
      <c r="M803" s="194"/>
      <c r="N803" s="194"/>
      <c r="O803" s="194"/>
      <c r="P803" s="194"/>
      <c r="Q803" s="194"/>
      <c r="R803" s="194"/>
      <c r="S803" s="194"/>
      <c r="T803" s="194"/>
      <c r="U803" s="194"/>
      <c r="V803" s="194"/>
      <c r="W803" s="194"/>
      <c r="X803" s="194"/>
      <c r="Y803" s="194"/>
      <c r="Z803" s="194"/>
      <c r="AA803" s="194"/>
      <c r="AB803" s="194"/>
      <c r="AC803" s="194"/>
      <c r="AD803" s="194"/>
      <c r="AE803" s="194"/>
      <c r="AF803" s="194"/>
      <c r="AG803" s="194"/>
      <c r="AH803" s="194"/>
      <c r="AI803" s="194"/>
      <c r="AJ803" s="194"/>
      <c r="AK803" s="194"/>
      <c r="AL803" s="194"/>
      <c r="AM803" s="194"/>
    </row>
    <row r="804" spans="1:39" ht="15.75" customHeight="1" x14ac:dyDescent="0.25">
      <c r="A804" s="194"/>
      <c r="B804" s="194"/>
      <c r="C804" s="194"/>
      <c r="D804" s="194"/>
      <c r="E804" s="194"/>
      <c r="F804" s="194"/>
      <c r="G804" s="194"/>
      <c r="H804" s="194"/>
      <c r="I804" s="194"/>
      <c r="J804" s="194"/>
      <c r="K804" s="194"/>
      <c r="L804" s="194"/>
      <c r="M804" s="194"/>
      <c r="N804" s="194"/>
      <c r="O804" s="194"/>
      <c r="P804" s="194"/>
      <c r="Q804" s="194"/>
      <c r="R804" s="194"/>
      <c r="S804" s="194"/>
      <c r="T804" s="194"/>
      <c r="U804" s="194"/>
      <c r="V804" s="194"/>
      <c r="W804" s="194"/>
      <c r="X804" s="194"/>
      <c r="Y804" s="194"/>
      <c r="Z804" s="194"/>
      <c r="AA804" s="194"/>
      <c r="AB804" s="194"/>
      <c r="AC804" s="194"/>
      <c r="AD804" s="194"/>
      <c r="AE804" s="194"/>
      <c r="AF804" s="194"/>
      <c r="AG804" s="194"/>
      <c r="AH804" s="194"/>
      <c r="AI804" s="194"/>
      <c r="AJ804" s="194"/>
      <c r="AK804" s="194"/>
      <c r="AL804" s="194"/>
      <c r="AM804" s="194"/>
    </row>
    <row r="805" spans="1:39" ht="15.75" customHeight="1" x14ac:dyDescent="0.25">
      <c r="A805" s="194"/>
      <c r="B805" s="194"/>
      <c r="C805" s="194"/>
      <c r="D805" s="194"/>
      <c r="E805" s="194"/>
      <c r="F805" s="194"/>
      <c r="G805" s="194"/>
      <c r="H805" s="194"/>
      <c r="I805" s="194"/>
      <c r="J805" s="194"/>
      <c r="K805" s="194"/>
      <c r="L805" s="194"/>
      <c r="M805" s="194"/>
      <c r="N805" s="194"/>
      <c r="O805" s="194"/>
      <c r="P805" s="194"/>
      <c r="Q805" s="194"/>
      <c r="R805" s="194"/>
      <c r="S805" s="194"/>
      <c r="T805" s="194"/>
      <c r="U805" s="194"/>
      <c r="V805" s="194"/>
      <c r="W805" s="194"/>
      <c r="X805" s="194"/>
      <c r="Y805" s="194"/>
      <c r="Z805" s="194"/>
      <c r="AA805" s="194"/>
      <c r="AB805" s="194"/>
      <c r="AC805" s="194"/>
      <c r="AD805" s="194"/>
      <c r="AE805" s="194"/>
      <c r="AF805" s="194"/>
      <c r="AG805" s="194"/>
      <c r="AH805" s="194"/>
      <c r="AI805" s="194"/>
      <c r="AJ805" s="194"/>
      <c r="AK805" s="194"/>
      <c r="AL805" s="194"/>
      <c r="AM805" s="194"/>
    </row>
    <row r="806" spans="1:39" ht="15.75" customHeight="1" x14ac:dyDescent="0.25">
      <c r="A806" s="194"/>
      <c r="B806" s="194"/>
      <c r="C806" s="194"/>
      <c r="D806" s="194"/>
      <c r="E806" s="194"/>
      <c r="F806" s="194"/>
      <c r="G806" s="194"/>
      <c r="H806" s="194"/>
      <c r="I806" s="194"/>
      <c r="J806" s="194"/>
      <c r="K806" s="194"/>
      <c r="L806" s="194"/>
      <c r="M806" s="194"/>
      <c r="N806" s="194"/>
      <c r="O806" s="194"/>
      <c r="P806" s="194"/>
      <c r="Q806" s="194"/>
      <c r="R806" s="194"/>
      <c r="S806" s="194"/>
      <c r="T806" s="194"/>
      <c r="U806" s="194"/>
      <c r="V806" s="194"/>
      <c r="W806" s="194"/>
      <c r="X806" s="194"/>
      <c r="Y806" s="194"/>
      <c r="Z806" s="194"/>
      <c r="AA806" s="194"/>
      <c r="AB806" s="194"/>
      <c r="AC806" s="194"/>
      <c r="AD806" s="194"/>
      <c r="AE806" s="194"/>
      <c r="AF806" s="194"/>
      <c r="AG806" s="194"/>
      <c r="AH806" s="194"/>
      <c r="AI806" s="194"/>
      <c r="AJ806" s="194"/>
      <c r="AK806" s="194"/>
      <c r="AL806" s="194"/>
      <c r="AM806" s="194"/>
    </row>
    <row r="807" spans="1:39" ht="15.75" customHeight="1" x14ac:dyDescent="0.25">
      <c r="A807" s="194"/>
      <c r="B807" s="194"/>
      <c r="C807" s="194"/>
      <c r="D807" s="194"/>
      <c r="E807" s="194"/>
      <c r="F807" s="194"/>
      <c r="G807" s="194"/>
      <c r="H807" s="194"/>
      <c r="I807" s="194"/>
      <c r="J807" s="194"/>
      <c r="K807" s="194"/>
      <c r="L807" s="194"/>
      <c r="M807" s="194"/>
      <c r="N807" s="194"/>
      <c r="O807" s="194"/>
      <c r="P807" s="194"/>
      <c r="Q807" s="194"/>
      <c r="R807" s="194"/>
      <c r="S807" s="194"/>
      <c r="T807" s="194"/>
      <c r="U807" s="194"/>
      <c r="V807" s="194"/>
      <c r="W807" s="194"/>
      <c r="X807" s="194"/>
      <c r="Y807" s="194"/>
      <c r="Z807" s="194"/>
      <c r="AA807" s="194"/>
      <c r="AB807" s="194"/>
      <c r="AC807" s="194"/>
      <c r="AD807" s="194"/>
      <c r="AE807" s="194"/>
      <c r="AF807" s="194"/>
      <c r="AG807" s="194"/>
      <c r="AH807" s="194"/>
      <c r="AI807" s="194"/>
      <c r="AJ807" s="194"/>
      <c r="AK807" s="194"/>
      <c r="AL807" s="194"/>
      <c r="AM807" s="194"/>
    </row>
    <row r="808" spans="1:39" ht="15.75" customHeight="1" x14ac:dyDescent="0.25">
      <c r="A808" s="194"/>
      <c r="B808" s="194"/>
      <c r="C808" s="194"/>
      <c r="D808" s="194"/>
      <c r="E808" s="194"/>
      <c r="F808" s="194"/>
      <c r="G808" s="194"/>
      <c r="H808" s="194"/>
      <c r="I808" s="194"/>
      <c r="J808" s="194"/>
      <c r="K808" s="194"/>
      <c r="L808" s="194"/>
      <c r="M808" s="194"/>
      <c r="N808" s="194"/>
      <c r="O808" s="194"/>
      <c r="P808" s="194"/>
      <c r="Q808" s="194"/>
      <c r="R808" s="194"/>
      <c r="S808" s="194"/>
      <c r="T808" s="194"/>
      <c r="U808" s="194"/>
      <c r="V808" s="194"/>
      <c r="W808" s="194"/>
      <c r="X808" s="194"/>
      <c r="Y808" s="194"/>
      <c r="Z808" s="194"/>
      <c r="AA808" s="194"/>
      <c r="AB808" s="194"/>
      <c r="AC808" s="194"/>
      <c r="AD808" s="194"/>
      <c r="AE808" s="194"/>
      <c r="AF808" s="194"/>
      <c r="AG808" s="194"/>
      <c r="AH808" s="194"/>
      <c r="AI808" s="194"/>
      <c r="AJ808" s="194"/>
      <c r="AK808" s="194"/>
      <c r="AL808" s="194"/>
      <c r="AM808" s="194"/>
    </row>
    <row r="809" spans="1:39" ht="15.75" customHeight="1" x14ac:dyDescent="0.25">
      <c r="A809" s="194"/>
      <c r="B809" s="194"/>
      <c r="C809" s="194"/>
      <c r="D809" s="194"/>
      <c r="E809" s="194"/>
      <c r="F809" s="194"/>
      <c r="G809" s="194"/>
      <c r="H809" s="194"/>
      <c r="I809" s="194"/>
      <c r="J809" s="194"/>
      <c r="K809" s="194"/>
      <c r="L809" s="194"/>
      <c r="M809" s="194"/>
      <c r="N809" s="194"/>
      <c r="O809" s="194"/>
      <c r="P809" s="194"/>
      <c r="Q809" s="194"/>
      <c r="R809" s="194"/>
      <c r="S809" s="194"/>
      <c r="T809" s="194"/>
      <c r="U809" s="194"/>
      <c r="V809" s="194"/>
      <c r="W809" s="194"/>
      <c r="X809" s="194"/>
      <c r="Y809" s="194"/>
      <c r="Z809" s="194"/>
      <c r="AA809" s="194"/>
      <c r="AB809" s="194"/>
      <c r="AC809" s="194"/>
      <c r="AD809" s="194"/>
      <c r="AE809" s="194"/>
      <c r="AF809" s="194"/>
      <c r="AG809" s="194"/>
      <c r="AH809" s="194"/>
      <c r="AI809" s="194"/>
      <c r="AJ809" s="194"/>
      <c r="AK809" s="194"/>
      <c r="AL809" s="194"/>
      <c r="AM809" s="194"/>
    </row>
    <row r="810" spans="1:39" ht="15.75" customHeight="1" x14ac:dyDescent="0.25">
      <c r="A810" s="194"/>
      <c r="B810" s="194"/>
      <c r="C810" s="194"/>
      <c r="D810" s="194"/>
      <c r="E810" s="194"/>
      <c r="F810" s="194"/>
      <c r="G810" s="194"/>
      <c r="H810" s="194"/>
      <c r="I810" s="194"/>
      <c r="J810" s="194"/>
      <c r="K810" s="194"/>
      <c r="L810" s="194"/>
      <c r="M810" s="194"/>
      <c r="N810" s="194"/>
      <c r="O810" s="194"/>
      <c r="P810" s="194"/>
      <c r="Q810" s="194"/>
      <c r="R810" s="194"/>
      <c r="S810" s="194"/>
      <c r="T810" s="194"/>
      <c r="U810" s="194"/>
      <c r="V810" s="194"/>
      <c r="W810" s="194"/>
      <c r="X810" s="194"/>
      <c r="Y810" s="194"/>
      <c r="Z810" s="194"/>
      <c r="AA810" s="194"/>
      <c r="AB810" s="194"/>
      <c r="AC810" s="194"/>
      <c r="AD810" s="194"/>
      <c r="AE810" s="194"/>
      <c r="AF810" s="194"/>
      <c r="AG810" s="194"/>
      <c r="AH810" s="194"/>
      <c r="AI810" s="194"/>
      <c r="AJ810" s="194"/>
      <c r="AK810" s="194"/>
      <c r="AL810" s="194"/>
      <c r="AM810" s="194"/>
    </row>
    <row r="811" spans="1:39" ht="15.75" customHeight="1" x14ac:dyDescent="0.25">
      <c r="A811" s="194"/>
      <c r="B811" s="194"/>
      <c r="C811" s="194"/>
      <c r="D811" s="194"/>
      <c r="E811" s="194"/>
      <c r="F811" s="194"/>
      <c r="G811" s="194"/>
      <c r="H811" s="194"/>
      <c r="I811" s="194"/>
      <c r="J811" s="194"/>
      <c r="K811" s="194"/>
      <c r="L811" s="194"/>
      <c r="M811" s="194"/>
      <c r="N811" s="194"/>
      <c r="O811" s="194"/>
      <c r="P811" s="194"/>
      <c r="Q811" s="194"/>
      <c r="R811" s="194"/>
      <c r="S811" s="194"/>
      <c r="T811" s="194"/>
      <c r="U811" s="194"/>
      <c r="V811" s="194"/>
      <c r="W811" s="194"/>
      <c r="X811" s="194"/>
      <c r="Y811" s="194"/>
      <c r="Z811" s="194"/>
      <c r="AA811" s="194"/>
      <c r="AB811" s="194"/>
      <c r="AC811" s="194"/>
      <c r="AD811" s="194"/>
      <c r="AE811" s="194"/>
      <c r="AF811" s="194"/>
      <c r="AG811" s="194"/>
      <c r="AH811" s="194"/>
      <c r="AI811" s="194"/>
      <c r="AJ811" s="194"/>
      <c r="AK811" s="194"/>
      <c r="AL811" s="194"/>
      <c r="AM811" s="194"/>
    </row>
    <row r="812" spans="1:39" ht="15.75" customHeight="1" x14ac:dyDescent="0.25">
      <c r="A812" s="194"/>
      <c r="B812" s="194"/>
      <c r="C812" s="194"/>
      <c r="D812" s="194"/>
      <c r="E812" s="194"/>
      <c r="F812" s="194"/>
      <c r="G812" s="194"/>
      <c r="H812" s="194"/>
      <c r="I812" s="194"/>
      <c r="J812" s="194"/>
      <c r="K812" s="194"/>
      <c r="L812" s="194"/>
      <c r="M812" s="194"/>
      <c r="N812" s="194"/>
      <c r="O812" s="194"/>
      <c r="P812" s="194"/>
      <c r="Q812" s="194"/>
      <c r="R812" s="194"/>
      <c r="S812" s="194"/>
      <c r="T812" s="194"/>
      <c r="U812" s="194"/>
      <c r="V812" s="194"/>
      <c r="W812" s="194"/>
      <c r="X812" s="194"/>
      <c r="Y812" s="194"/>
      <c r="Z812" s="194"/>
      <c r="AA812" s="194"/>
      <c r="AB812" s="194"/>
      <c r="AC812" s="194"/>
      <c r="AD812" s="194"/>
      <c r="AE812" s="194"/>
      <c r="AF812" s="194"/>
      <c r="AG812" s="194"/>
      <c r="AH812" s="194"/>
      <c r="AI812" s="194"/>
      <c r="AJ812" s="194"/>
      <c r="AK812" s="194"/>
      <c r="AL812" s="194"/>
      <c r="AM812" s="194"/>
    </row>
    <row r="813" spans="1:39" ht="15.75" customHeight="1" x14ac:dyDescent="0.25">
      <c r="A813" s="194"/>
      <c r="B813" s="194"/>
      <c r="C813" s="194"/>
      <c r="D813" s="194"/>
      <c r="E813" s="194"/>
      <c r="F813" s="194"/>
      <c r="G813" s="194"/>
      <c r="H813" s="194"/>
      <c r="I813" s="194"/>
      <c r="J813" s="194"/>
      <c r="K813" s="194"/>
      <c r="L813" s="194"/>
      <c r="M813" s="194"/>
      <c r="N813" s="194"/>
      <c r="O813" s="194"/>
      <c r="P813" s="194"/>
      <c r="Q813" s="194"/>
      <c r="R813" s="194"/>
      <c r="S813" s="194"/>
      <c r="T813" s="194"/>
      <c r="U813" s="194"/>
      <c r="V813" s="194"/>
      <c r="W813" s="194"/>
      <c r="X813" s="194"/>
      <c r="Y813" s="194"/>
      <c r="Z813" s="194"/>
      <c r="AA813" s="194"/>
      <c r="AB813" s="194"/>
      <c r="AC813" s="194"/>
      <c r="AD813" s="194"/>
      <c r="AE813" s="194"/>
      <c r="AF813" s="194"/>
      <c r="AG813" s="194"/>
      <c r="AH813" s="194"/>
      <c r="AI813" s="194"/>
      <c r="AJ813" s="194"/>
      <c r="AK813" s="194"/>
      <c r="AL813" s="194"/>
      <c r="AM813" s="194"/>
    </row>
    <row r="814" spans="1:39" ht="15.75" customHeight="1" x14ac:dyDescent="0.25">
      <c r="A814" s="194"/>
      <c r="B814" s="194"/>
      <c r="C814" s="194"/>
      <c r="D814" s="194"/>
      <c r="E814" s="194"/>
      <c r="F814" s="194"/>
      <c r="G814" s="194"/>
      <c r="H814" s="194"/>
      <c r="I814" s="194"/>
      <c r="J814" s="194"/>
      <c r="K814" s="194"/>
      <c r="L814" s="194"/>
      <c r="M814" s="194"/>
      <c r="N814" s="194"/>
      <c r="O814" s="194"/>
      <c r="P814" s="194"/>
      <c r="Q814" s="194"/>
      <c r="R814" s="194"/>
      <c r="S814" s="194"/>
      <c r="T814" s="194"/>
      <c r="U814" s="194"/>
      <c r="V814" s="194"/>
      <c r="W814" s="194"/>
      <c r="X814" s="194"/>
      <c r="Y814" s="194"/>
      <c r="Z814" s="194"/>
      <c r="AA814" s="194"/>
      <c r="AB814" s="194"/>
      <c r="AC814" s="194"/>
      <c r="AD814" s="194"/>
      <c r="AE814" s="194"/>
      <c r="AF814" s="194"/>
      <c r="AG814" s="194"/>
      <c r="AH814" s="194"/>
      <c r="AI814" s="194"/>
      <c r="AJ814" s="194"/>
      <c r="AK814" s="194"/>
      <c r="AL814" s="194"/>
      <c r="AM814" s="194"/>
    </row>
    <row r="815" spans="1:39" ht="15.75" customHeight="1" x14ac:dyDescent="0.25">
      <c r="A815" s="194"/>
      <c r="B815" s="194"/>
      <c r="C815" s="194"/>
      <c r="D815" s="194"/>
      <c r="E815" s="194"/>
      <c r="F815" s="194"/>
      <c r="G815" s="194"/>
      <c r="H815" s="194"/>
      <c r="I815" s="194"/>
      <c r="J815" s="194"/>
      <c r="K815" s="194"/>
      <c r="L815" s="194"/>
      <c r="M815" s="194"/>
      <c r="N815" s="194"/>
      <c r="O815" s="194"/>
      <c r="P815" s="194"/>
      <c r="Q815" s="194"/>
      <c r="R815" s="194"/>
      <c r="S815" s="194"/>
      <c r="T815" s="194"/>
      <c r="U815" s="194"/>
      <c r="V815" s="194"/>
      <c r="W815" s="194"/>
      <c r="X815" s="194"/>
      <c r="Y815" s="194"/>
      <c r="Z815" s="194"/>
      <c r="AA815" s="194"/>
      <c r="AB815" s="194"/>
      <c r="AC815" s="194"/>
      <c r="AD815" s="194"/>
      <c r="AE815" s="194"/>
      <c r="AF815" s="194"/>
      <c r="AG815" s="194"/>
      <c r="AH815" s="194"/>
      <c r="AI815" s="194"/>
      <c r="AJ815" s="194"/>
      <c r="AK815" s="194"/>
      <c r="AL815" s="194"/>
      <c r="AM815" s="194"/>
    </row>
    <row r="816" spans="1:39" ht="15.75" customHeight="1" x14ac:dyDescent="0.25">
      <c r="A816" s="194"/>
      <c r="B816" s="194"/>
      <c r="C816" s="194"/>
      <c r="D816" s="194"/>
      <c r="E816" s="194"/>
      <c r="F816" s="194"/>
      <c r="G816" s="194"/>
      <c r="H816" s="194"/>
      <c r="I816" s="194"/>
      <c r="J816" s="194"/>
      <c r="K816" s="194"/>
      <c r="L816" s="194"/>
      <c r="M816" s="194"/>
      <c r="N816" s="194"/>
      <c r="O816" s="194"/>
      <c r="P816" s="194"/>
      <c r="Q816" s="194"/>
      <c r="R816" s="194"/>
      <c r="S816" s="194"/>
      <c r="T816" s="194"/>
      <c r="U816" s="194"/>
      <c r="V816" s="194"/>
      <c r="W816" s="194"/>
      <c r="X816" s="194"/>
      <c r="Y816" s="194"/>
      <c r="Z816" s="194"/>
      <c r="AA816" s="194"/>
      <c r="AB816" s="194"/>
      <c r="AC816" s="194"/>
      <c r="AD816" s="194"/>
      <c r="AE816" s="194"/>
      <c r="AF816" s="194"/>
      <c r="AG816" s="194"/>
      <c r="AH816" s="194"/>
      <c r="AI816" s="194"/>
      <c r="AJ816" s="194"/>
      <c r="AK816" s="194"/>
      <c r="AL816" s="194"/>
      <c r="AM816" s="194"/>
    </row>
    <row r="817" spans="1:39" ht="15.75" customHeight="1" x14ac:dyDescent="0.25">
      <c r="A817" s="194"/>
      <c r="B817" s="194"/>
      <c r="C817" s="194"/>
      <c r="D817" s="194"/>
      <c r="E817" s="194"/>
      <c r="F817" s="194"/>
      <c r="G817" s="194"/>
      <c r="H817" s="194"/>
      <c r="I817" s="194"/>
      <c r="J817" s="194"/>
      <c r="K817" s="194"/>
      <c r="L817" s="194"/>
      <c r="M817" s="194"/>
      <c r="N817" s="194"/>
      <c r="O817" s="194"/>
      <c r="P817" s="194"/>
      <c r="Q817" s="194"/>
      <c r="R817" s="194"/>
      <c r="S817" s="194"/>
      <c r="T817" s="194"/>
      <c r="U817" s="194"/>
      <c r="V817" s="194"/>
      <c r="W817" s="194"/>
      <c r="X817" s="194"/>
      <c r="Y817" s="194"/>
      <c r="Z817" s="194"/>
      <c r="AA817" s="194"/>
      <c r="AB817" s="194"/>
      <c r="AC817" s="194"/>
      <c r="AD817" s="194"/>
      <c r="AE817" s="194"/>
      <c r="AF817" s="194"/>
      <c r="AG817" s="194"/>
      <c r="AH817" s="194"/>
      <c r="AI817" s="194"/>
      <c r="AJ817" s="194"/>
      <c r="AK817" s="194"/>
      <c r="AL817" s="194"/>
      <c r="AM817" s="194"/>
    </row>
    <row r="818" spans="1:39" ht="15.75" customHeight="1" x14ac:dyDescent="0.25">
      <c r="A818" s="194"/>
      <c r="B818" s="194"/>
      <c r="C818" s="194"/>
      <c r="D818" s="194"/>
      <c r="E818" s="194"/>
      <c r="F818" s="194"/>
      <c r="G818" s="194"/>
      <c r="H818" s="194"/>
      <c r="I818" s="194"/>
      <c r="J818" s="194"/>
      <c r="K818" s="194"/>
      <c r="L818" s="194"/>
      <c r="M818" s="194"/>
      <c r="N818" s="194"/>
      <c r="O818" s="194"/>
      <c r="P818" s="194"/>
      <c r="Q818" s="194"/>
      <c r="R818" s="194"/>
      <c r="S818" s="194"/>
      <c r="T818" s="194"/>
      <c r="U818" s="194"/>
      <c r="V818" s="194"/>
      <c r="W818" s="194"/>
      <c r="X818" s="194"/>
      <c r="Y818" s="194"/>
      <c r="Z818" s="194"/>
      <c r="AA818" s="194"/>
      <c r="AB818" s="194"/>
      <c r="AC818" s="194"/>
      <c r="AD818" s="194"/>
      <c r="AE818" s="194"/>
      <c r="AF818" s="194"/>
      <c r="AG818" s="194"/>
      <c r="AH818" s="194"/>
      <c r="AI818" s="194"/>
      <c r="AJ818" s="194"/>
      <c r="AK818" s="194"/>
      <c r="AL818" s="194"/>
      <c r="AM818" s="194"/>
    </row>
    <row r="819" spans="1:39" ht="15.75" customHeight="1" x14ac:dyDescent="0.25">
      <c r="A819" s="194"/>
      <c r="B819" s="194"/>
      <c r="C819" s="194"/>
      <c r="D819" s="194"/>
      <c r="E819" s="194"/>
      <c r="F819" s="194"/>
      <c r="G819" s="194"/>
      <c r="H819" s="194"/>
      <c r="I819" s="194"/>
      <c r="J819" s="194"/>
      <c r="K819" s="194"/>
      <c r="L819" s="194"/>
      <c r="M819" s="194"/>
      <c r="N819" s="194"/>
      <c r="O819" s="194"/>
      <c r="P819" s="194"/>
      <c r="Q819" s="194"/>
      <c r="R819" s="194"/>
      <c r="S819" s="194"/>
      <c r="T819" s="194"/>
      <c r="U819" s="194"/>
      <c r="V819" s="194"/>
      <c r="W819" s="194"/>
      <c r="X819" s="194"/>
      <c r="Y819" s="194"/>
      <c r="Z819" s="194"/>
      <c r="AA819" s="194"/>
      <c r="AB819" s="194"/>
      <c r="AC819" s="194"/>
      <c r="AD819" s="194"/>
      <c r="AE819" s="194"/>
      <c r="AF819" s="194"/>
      <c r="AG819" s="194"/>
      <c r="AH819" s="194"/>
      <c r="AI819" s="194"/>
      <c r="AJ819" s="194"/>
      <c r="AK819" s="194"/>
      <c r="AL819" s="194"/>
      <c r="AM819" s="194"/>
    </row>
    <row r="820" spans="1:39" ht="15.75" customHeight="1" x14ac:dyDescent="0.25">
      <c r="A820" s="194"/>
      <c r="B820" s="194"/>
      <c r="C820" s="194"/>
      <c r="D820" s="194"/>
      <c r="E820" s="194"/>
      <c r="F820" s="194"/>
      <c r="G820" s="194"/>
      <c r="H820" s="194"/>
      <c r="I820" s="194"/>
      <c r="J820" s="194"/>
      <c r="K820" s="194"/>
      <c r="L820" s="194"/>
      <c r="M820" s="194"/>
      <c r="N820" s="194"/>
      <c r="O820" s="194"/>
      <c r="P820" s="194"/>
      <c r="Q820" s="194"/>
      <c r="R820" s="194"/>
      <c r="S820" s="194"/>
      <c r="T820" s="194"/>
      <c r="U820" s="194"/>
      <c r="V820" s="194"/>
      <c r="W820" s="194"/>
      <c r="X820" s="194"/>
      <c r="Y820" s="194"/>
      <c r="Z820" s="194"/>
      <c r="AA820" s="194"/>
      <c r="AB820" s="194"/>
      <c r="AC820" s="194"/>
      <c r="AD820" s="194"/>
      <c r="AE820" s="194"/>
      <c r="AF820" s="194"/>
      <c r="AG820" s="194"/>
      <c r="AH820" s="194"/>
      <c r="AI820" s="194"/>
      <c r="AJ820" s="194"/>
      <c r="AK820" s="194"/>
      <c r="AL820" s="194"/>
      <c r="AM820" s="194"/>
    </row>
    <row r="821" spans="1:39" ht="15.75" customHeight="1" x14ac:dyDescent="0.25">
      <c r="A821" s="194"/>
      <c r="B821" s="194"/>
      <c r="C821" s="194"/>
      <c r="D821" s="194"/>
      <c r="E821" s="194"/>
      <c r="F821" s="194"/>
      <c r="G821" s="194"/>
      <c r="H821" s="194"/>
      <c r="I821" s="194"/>
      <c r="J821" s="194"/>
      <c r="K821" s="194"/>
      <c r="L821" s="194"/>
      <c r="M821" s="194"/>
      <c r="N821" s="194"/>
      <c r="O821" s="194"/>
      <c r="P821" s="194"/>
      <c r="Q821" s="194"/>
      <c r="R821" s="194"/>
      <c r="S821" s="194"/>
      <c r="T821" s="194"/>
      <c r="U821" s="194"/>
      <c r="V821" s="194"/>
      <c r="W821" s="194"/>
      <c r="X821" s="194"/>
      <c r="Y821" s="194"/>
      <c r="Z821" s="194"/>
      <c r="AA821" s="194"/>
      <c r="AB821" s="194"/>
      <c r="AC821" s="194"/>
      <c r="AD821" s="194"/>
      <c r="AE821" s="194"/>
      <c r="AF821" s="194"/>
      <c r="AG821" s="194"/>
      <c r="AH821" s="194"/>
      <c r="AI821" s="194"/>
      <c r="AJ821" s="194"/>
      <c r="AK821" s="194"/>
      <c r="AL821" s="194"/>
      <c r="AM821" s="194"/>
    </row>
    <row r="822" spans="1:39" ht="15.75" customHeight="1" x14ac:dyDescent="0.25">
      <c r="A822" s="194"/>
      <c r="B822" s="194"/>
      <c r="C822" s="194"/>
      <c r="D822" s="194"/>
      <c r="E822" s="194"/>
      <c r="F822" s="194"/>
      <c r="G822" s="194"/>
      <c r="H822" s="194"/>
      <c r="I822" s="194"/>
      <c r="J822" s="194"/>
      <c r="K822" s="194"/>
      <c r="L822" s="194"/>
      <c r="M822" s="194"/>
      <c r="N822" s="194"/>
      <c r="O822" s="194"/>
      <c r="P822" s="194"/>
      <c r="Q822" s="194"/>
      <c r="R822" s="194"/>
      <c r="S822" s="194"/>
      <c r="T822" s="194"/>
      <c r="U822" s="194"/>
      <c r="V822" s="194"/>
      <c r="W822" s="194"/>
      <c r="X822" s="194"/>
      <c r="Y822" s="194"/>
      <c r="Z822" s="194"/>
      <c r="AA822" s="194"/>
      <c r="AB822" s="194"/>
      <c r="AC822" s="194"/>
      <c r="AD822" s="194"/>
      <c r="AE822" s="194"/>
      <c r="AF822" s="194"/>
      <c r="AG822" s="194"/>
      <c r="AH822" s="194"/>
      <c r="AI822" s="194"/>
      <c r="AJ822" s="194"/>
      <c r="AK822" s="194"/>
      <c r="AL822" s="194"/>
      <c r="AM822" s="194"/>
    </row>
    <row r="823" spans="1:39" ht="15.75" customHeight="1" x14ac:dyDescent="0.25">
      <c r="A823" s="194"/>
      <c r="B823" s="194"/>
      <c r="C823" s="194"/>
      <c r="D823" s="194"/>
      <c r="E823" s="194"/>
      <c r="F823" s="194"/>
      <c r="G823" s="194"/>
      <c r="H823" s="194"/>
      <c r="I823" s="194"/>
      <c r="J823" s="194"/>
      <c r="K823" s="194"/>
      <c r="L823" s="194"/>
      <c r="M823" s="194"/>
      <c r="N823" s="194"/>
      <c r="O823" s="194"/>
      <c r="P823" s="194"/>
      <c r="Q823" s="194"/>
      <c r="R823" s="194"/>
      <c r="S823" s="194"/>
      <c r="T823" s="194"/>
      <c r="U823" s="194"/>
      <c r="V823" s="194"/>
      <c r="W823" s="194"/>
      <c r="X823" s="194"/>
      <c r="Y823" s="194"/>
      <c r="Z823" s="194"/>
      <c r="AA823" s="194"/>
      <c r="AB823" s="194"/>
      <c r="AC823" s="194"/>
      <c r="AD823" s="194"/>
      <c r="AE823" s="194"/>
      <c r="AF823" s="194"/>
      <c r="AG823" s="194"/>
      <c r="AH823" s="194"/>
      <c r="AI823" s="194"/>
      <c r="AJ823" s="194"/>
      <c r="AK823" s="194"/>
      <c r="AL823" s="194"/>
      <c r="AM823" s="194"/>
    </row>
    <row r="824" spans="1:39" ht="15.75" customHeight="1" x14ac:dyDescent="0.25">
      <c r="A824" s="194"/>
      <c r="B824" s="194"/>
      <c r="C824" s="194"/>
      <c r="D824" s="194"/>
      <c r="E824" s="194"/>
      <c r="F824" s="194"/>
      <c r="G824" s="194"/>
      <c r="H824" s="194"/>
      <c r="I824" s="194"/>
      <c r="J824" s="194"/>
      <c r="K824" s="194"/>
      <c r="L824" s="194"/>
      <c r="M824" s="194"/>
      <c r="N824" s="194"/>
      <c r="O824" s="194"/>
      <c r="P824" s="194"/>
      <c r="Q824" s="194"/>
      <c r="R824" s="194"/>
      <c r="S824" s="194"/>
      <c r="T824" s="194"/>
      <c r="U824" s="194"/>
      <c r="V824" s="194"/>
      <c r="W824" s="194"/>
      <c r="X824" s="194"/>
      <c r="Y824" s="194"/>
      <c r="Z824" s="194"/>
      <c r="AA824" s="194"/>
      <c r="AB824" s="194"/>
      <c r="AC824" s="194"/>
      <c r="AD824" s="194"/>
      <c r="AE824" s="194"/>
      <c r="AF824" s="194"/>
      <c r="AG824" s="194"/>
      <c r="AH824" s="194"/>
      <c r="AI824" s="194"/>
      <c r="AJ824" s="194"/>
      <c r="AK824" s="194"/>
      <c r="AL824" s="194"/>
      <c r="AM824" s="194"/>
    </row>
    <row r="825" spans="1:39" ht="15.75" customHeight="1" x14ac:dyDescent="0.25">
      <c r="A825" s="194"/>
      <c r="B825" s="194"/>
      <c r="C825" s="194"/>
      <c r="D825" s="194"/>
      <c r="E825" s="194"/>
      <c r="F825" s="194"/>
      <c r="G825" s="194"/>
      <c r="H825" s="194"/>
      <c r="I825" s="194"/>
      <c r="J825" s="194"/>
      <c r="K825" s="194"/>
      <c r="L825" s="194"/>
      <c r="M825" s="194"/>
      <c r="N825" s="194"/>
      <c r="O825" s="194"/>
      <c r="P825" s="194"/>
      <c r="Q825" s="194"/>
      <c r="R825" s="194"/>
      <c r="S825" s="194"/>
      <c r="T825" s="194"/>
      <c r="U825" s="194"/>
      <c r="V825" s="194"/>
      <c r="W825" s="194"/>
      <c r="X825" s="194"/>
      <c r="Y825" s="194"/>
      <c r="Z825" s="194"/>
      <c r="AA825" s="194"/>
      <c r="AB825" s="194"/>
      <c r="AC825" s="194"/>
      <c r="AD825" s="194"/>
      <c r="AE825" s="194"/>
      <c r="AF825" s="194"/>
      <c r="AG825" s="194"/>
      <c r="AH825" s="194"/>
      <c r="AI825" s="194"/>
      <c r="AJ825" s="194"/>
      <c r="AK825" s="194"/>
      <c r="AL825" s="194"/>
      <c r="AM825" s="194"/>
    </row>
    <row r="826" spans="1:39" ht="15.75" customHeight="1" x14ac:dyDescent="0.25">
      <c r="A826" s="194"/>
      <c r="B826" s="194"/>
      <c r="C826" s="194"/>
      <c r="D826" s="194"/>
      <c r="E826" s="194"/>
      <c r="F826" s="194"/>
      <c r="G826" s="194"/>
      <c r="H826" s="194"/>
      <c r="I826" s="194"/>
      <c r="J826" s="194"/>
      <c r="K826" s="194"/>
      <c r="L826" s="194"/>
      <c r="M826" s="194"/>
      <c r="N826" s="194"/>
      <c r="O826" s="194"/>
      <c r="P826" s="194"/>
      <c r="Q826" s="194"/>
      <c r="R826" s="194"/>
      <c r="S826" s="194"/>
      <c r="T826" s="194"/>
      <c r="U826" s="194"/>
      <c r="V826" s="194"/>
      <c r="W826" s="194"/>
      <c r="X826" s="194"/>
      <c r="Y826" s="194"/>
      <c r="Z826" s="194"/>
      <c r="AA826" s="194"/>
      <c r="AB826" s="194"/>
      <c r="AC826" s="194"/>
      <c r="AD826" s="194"/>
      <c r="AE826" s="194"/>
      <c r="AF826" s="194"/>
      <c r="AG826" s="194"/>
      <c r="AH826" s="194"/>
      <c r="AI826" s="194"/>
      <c r="AJ826" s="194"/>
      <c r="AK826" s="194"/>
      <c r="AL826" s="194"/>
      <c r="AM826" s="194"/>
    </row>
    <row r="827" spans="1:39" ht="15.75" customHeight="1" x14ac:dyDescent="0.25">
      <c r="A827" s="194"/>
      <c r="B827" s="194"/>
      <c r="C827" s="194"/>
      <c r="D827" s="194"/>
      <c r="E827" s="194"/>
      <c r="F827" s="194"/>
      <c r="G827" s="194"/>
      <c r="H827" s="194"/>
      <c r="I827" s="194"/>
      <c r="J827" s="194"/>
      <c r="K827" s="194"/>
      <c r="L827" s="194"/>
      <c r="M827" s="194"/>
      <c r="N827" s="194"/>
      <c r="O827" s="194"/>
      <c r="P827" s="194"/>
      <c r="Q827" s="194"/>
      <c r="R827" s="194"/>
      <c r="S827" s="194"/>
      <c r="T827" s="194"/>
      <c r="U827" s="194"/>
      <c r="V827" s="194"/>
      <c r="W827" s="194"/>
      <c r="X827" s="194"/>
      <c r="Y827" s="194"/>
      <c r="Z827" s="194"/>
      <c r="AA827" s="194"/>
      <c r="AB827" s="194"/>
      <c r="AC827" s="194"/>
      <c r="AD827" s="194"/>
      <c r="AE827" s="194"/>
      <c r="AF827" s="194"/>
      <c r="AG827" s="194"/>
      <c r="AH827" s="194"/>
      <c r="AI827" s="194"/>
      <c r="AJ827" s="194"/>
      <c r="AK827" s="194"/>
      <c r="AL827" s="194"/>
      <c r="AM827" s="194"/>
    </row>
    <row r="828" spans="1:39" ht="15.75" customHeight="1" x14ac:dyDescent="0.25">
      <c r="A828" s="194"/>
      <c r="B828" s="194"/>
      <c r="C828" s="194"/>
      <c r="D828" s="194"/>
      <c r="E828" s="194"/>
      <c r="F828" s="194"/>
      <c r="G828" s="194"/>
      <c r="H828" s="194"/>
      <c r="I828" s="194"/>
      <c r="J828" s="194"/>
      <c r="K828" s="194"/>
      <c r="L828" s="194"/>
      <c r="M828" s="194"/>
      <c r="N828" s="194"/>
      <c r="O828" s="194"/>
      <c r="P828" s="194"/>
      <c r="Q828" s="194"/>
      <c r="R828" s="194"/>
      <c r="S828" s="194"/>
      <c r="T828" s="194"/>
      <c r="U828" s="194"/>
      <c r="V828" s="194"/>
      <c r="W828" s="194"/>
      <c r="X828" s="194"/>
      <c r="Y828" s="194"/>
      <c r="Z828" s="194"/>
      <c r="AA828" s="194"/>
      <c r="AB828" s="194"/>
      <c r="AC828" s="194"/>
      <c r="AD828" s="194"/>
      <c r="AE828" s="194"/>
      <c r="AF828" s="194"/>
      <c r="AG828" s="194"/>
      <c r="AH828" s="194"/>
      <c r="AI828" s="194"/>
      <c r="AJ828" s="194"/>
      <c r="AK828" s="194"/>
      <c r="AL828" s="194"/>
      <c r="AM828" s="194"/>
    </row>
    <row r="829" spans="1:39" ht="15.75" customHeight="1" x14ac:dyDescent="0.25">
      <c r="A829" s="194"/>
      <c r="B829" s="194"/>
      <c r="C829" s="194"/>
      <c r="D829" s="194"/>
      <c r="E829" s="194"/>
      <c r="F829" s="194"/>
      <c r="G829" s="194"/>
      <c r="H829" s="194"/>
      <c r="I829" s="194"/>
      <c r="J829" s="194"/>
      <c r="K829" s="194"/>
      <c r="L829" s="194"/>
      <c r="M829" s="194"/>
      <c r="N829" s="194"/>
      <c r="O829" s="194"/>
      <c r="P829" s="194"/>
      <c r="Q829" s="194"/>
      <c r="R829" s="194"/>
      <c r="S829" s="194"/>
      <c r="T829" s="194"/>
      <c r="U829" s="194"/>
      <c r="V829" s="194"/>
      <c r="W829" s="194"/>
      <c r="X829" s="194"/>
      <c r="Y829" s="194"/>
      <c r="Z829" s="194"/>
      <c r="AA829" s="194"/>
      <c r="AB829" s="194"/>
      <c r="AC829" s="194"/>
      <c r="AD829" s="194"/>
      <c r="AE829" s="194"/>
      <c r="AF829" s="194"/>
      <c r="AG829" s="194"/>
      <c r="AH829" s="194"/>
      <c r="AI829" s="194"/>
      <c r="AJ829" s="194"/>
      <c r="AK829" s="194"/>
      <c r="AL829" s="194"/>
      <c r="AM829" s="194"/>
    </row>
    <row r="830" spans="1:39" ht="15.75" customHeight="1" x14ac:dyDescent="0.25">
      <c r="A830" s="194"/>
      <c r="B830" s="194"/>
      <c r="C830" s="194"/>
      <c r="D830" s="194"/>
      <c r="E830" s="194"/>
      <c r="F830" s="194"/>
      <c r="G830" s="194"/>
      <c r="H830" s="194"/>
      <c r="I830" s="194"/>
      <c r="J830" s="194"/>
      <c r="K830" s="194"/>
      <c r="L830" s="194"/>
      <c r="M830" s="194"/>
      <c r="N830" s="194"/>
      <c r="O830" s="194"/>
      <c r="P830" s="194"/>
      <c r="Q830" s="194"/>
      <c r="R830" s="194"/>
      <c r="S830" s="194"/>
      <c r="T830" s="194"/>
      <c r="U830" s="194"/>
      <c r="V830" s="194"/>
      <c r="W830" s="194"/>
      <c r="X830" s="194"/>
      <c r="Y830" s="194"/>
      <c r="Z830" s="194"/>
      <c r="AA830" s="194"/>
      <c r="AB830" s="194"/>
      <c r="AC830" s="194"/>
      <c r="AD830" s="194"/>
      <c r="AE830" s="194"/>
      <c r="AF830" s="194"/>
      <c r="AG830" s="194"/>
      <c r="AH830" s="194"/>
      <c r="AI830" s="194"/>
      <c r="AJ830" s="194"/>
      <c r="AK830" s="194"/>
      <c r="AL830" s="194"/>
      <c r="AM830" s="194"/>
    </row>
    <row r="831" spans="1:39" ht="15.75" customHeight="1" x14ac:dyDescent="0.25">
      <c r="A831" s="194"/>
      <c r="B831" s="194"/>
      <c r="C831" s="194"/>
      <c r="D831" s="194"/>
      <c r="E831" s="194"/>
      <c r="F831" s="194"/>
      <c r="G831" s="194"/>
      <c r="H831" s="194"/>
      <c r="I831" s="194"/>
      <c r="J831" s="194"/>
      <c r="K831" s="194"/>
      <c r="L831" s="194"/>
      <c r="M831" s="194"/>
      <c r="N831" s="194"/>
      <c r="O831" s="194"/>
      <c r="P831" s="194"/>
      <c r="Q831" s="194"/>
      <c r="R831" s="194"/>
      <c r="S831" s="194"/>
      <c r="T831" s="194"/>
      <c r="U831" s="194"/>
      <c r="V831" s="194"/>
      <c r="W831" s="194"/>
      <c r="X831" s="194"/>
      <c r="Y831" s="194"/>
      <c r="Z831" s="194"/>
      <c r="AA831" s="194"/>
      <c r="AB831" s="194"/>
      <c r="AC831" s="194"/>
      <c r="AD831" s="194"/>
      <c r="AE831" s="194"/>
      <c r="AF831" s="194"/>
      <c r="AG831" s="194"/>
      <c r="AH831" s="194"/>
      <c r="AI831" s="194"/>
      <c r="AJ831" s="194"/>
      <c r="AK831" s="194"/>
      <c r="AL831" s="194"/>
      <c r="AM831" s="194"/>
    </row>
    <row r="832" spans="1:39" ht="15.75" customHeight="1" x14ac:dyDescent="0.25">
      <c r="A832" s="194"/>
      <c r="B832" s="194"/>
      <c r="C832" s="194"/>
      <c r="D832" s="194"/>
      <c r="E832" s="194"/>
      <c r="F832" s="194"/>
      <c r="G832" s="194"/>
      <c r="H832" s="194"/>
      <c r="I832" s="194"/>
      <c r="J832" s="194"/>
      <c r="K832" s="194"/>
      <c r="L832" s="194"/>
      <c r="M832" s="194"/>
      <c r="N832" s="194"/>
      <c r="O832" s="194"/>
      <c r="P832" s="194"/>
      <c r="Q832" s="194"/>
      <c r="R832" s="194"/>
      <c r="S832" s="194"/>
      <c r="T832" s="194"/>
      <c r="U832" s="194"/>
      <c r="V832" s="194"/>
      <c r="W832" s="194"/>
      <c r="X832" s="194"/>
      <c r="Y832" s="194"/>
      <c r="Z832" s="194"/>
      <c r="AA832" s="194"/>
      <c r="AB832" s="194"/>
      <c r="AC832" s="194"/>
      <c r="AD832" s="194"/>
      <c r="AE832" s="194"/>
      <c r="AF832" s="194"/>
      <c r="AG832" s="194"/>
      <c r="AH832" s="194"/>
      <c r="AI832" s="194"/>
      <c r="AJ832" s="194"/>
      <c r="AK832" s="194"/>
      <c r="AL832" s="194"/>
      <c r="AM832" s="194"/>
    </row>
    <row r="833" spans="1:39" ht="15.75" customHeight="1" x14ac:dyDescent="0.25">
      <c r="A833" s="194"/>
      <c r="B833" s="194"/>
      <c r="C833" s="194"/>
      <c r="D833" s="194"/>
      <c r="E833" s="194"/>
      <c r="F833" s="194"/>
      <c r="G833" s="194"/>
      <c r="H833" s="194"/>
      <c r="I833" s="194"/>
      <c r="J833" s="194"/>
      <c r="K833" s="194"/>
      <c r="L833" s="194"/>
      <c r="M833" s="194"/>
      <c r="N833" s="194"/>
      <c r="O833" s="194"/>
      <c r="P833" s="194"/>
      <c r="Q833" s="194"/>
      <c r="R833" s="194"/>
      <c r="S833" s="194"/>
      <c r="T833" s="194"/>
      <c r="U833" s="194"/>
      <c r="V833" s="194"/>
      <c r="W833" s="194"/>
      <c r="X833" s="194"/>
      <c r="Y833" s="194"/>
      <c r="Z833" s="194"/>
      <c r="AA833" s="194"/>
      <c r="AB833" s="194"/>
      <c r="AC833" s="194"/>
      <c r="AD833" s="194"/>
      <c r="AE833" s="194"/>
      <c r="AF833" s="194"/>
      <c r="AG833" s="194"/>
      <c r="AH833" s="194"/>
      <c r="AI833" s="194"/>
      <c r="AJ833" s="194"/>
      <c r="AK833" s="194"/>
      <c r="AL833" s="194"/>
      <c r="AM833" s="194"/>
    </row>
    <row r="834" spans="1:39" ht="15.75" customHeight="1" x14ac:dyDescent="0.25">
      <c r="A834" s="194"/>
      <c r="B834" s="194"/>
      <c r="C834" s="194"/>
      <c r="D834" s="194"/>
      <c r="E834" s="194"/>
      <c r="F834" s="194"/>
      <c r="G834" s="194"/>
      <c r="H834" s="194"/>
      <c r="I834" s="194"/>
      <c r="J834" s="194"/>
      <c r="K834" s="194"/>
      <c r="L834" s="194"/>
      <c r="M834" s="194"/>
      <c r="N834" s="194"/>
      <c r="O834" s="194"/>
      <c r="P834" s="194"/>
      <c r="Q834" s="194"/>
      <c r="R834" s="194"/>
      <c r="S834" s="194"/>
      <c r="T834" s="194"/>
      <c r="U834" s="194"/>
      <c r="V834" s="194"/>
      <c r="W834" s="194"/>
      <c r="X834" s="194"/>
      <c r="Y834" s="194"/>
      <c r="Z834" s="194"/>
      <c r="AA834" s="194"/>
      <c r="AB834" s="194"/>
      <c r="AC834" s="194"/>
      <c r="AD834" s="194"/>
      <c r="AE834" s="194"/>
      <c r="AF834" s="194"/>
      <c r="AG834" s="194"/>
      <c r="AH834" s="194"/>
      <c r="AI834" s="194"/>
      <c r="AJ834" s="194"/>
      <c r="AK834" s="194"/>
      <c r="AL834" s="194"/>
      <c r="AM834" s="194"/>
    </row>
    <row r="835" spans="1:39" ht="15.75" customHeight="1" x14ac:dyDescent="0.25">
      <c r="A835" s="194"/>
      <c r="B835" s="194"/>
      <c r="C835" s="194"/>
      <c r="D835" s="194"/>
      <c r="E835" s="194"/>
      <c r="F835" s="194"/>
      <c r="G835" s="194"/>
      <c r="H835" s="194"/>
      <c r="I835" s="194"/>
      <c r="J835" s="194"/>
      <c r="K835" s="194"/>
      <c r="L835" s="194"/>
      <c r="M835" s="194"/>
      <c r="N835" s="194"/>
      <c r="O835" s="194"/>
      <c r="P835" s="194"/>
      <c r="Q835" s="194"/>
      <c r="R835" s="194"/>
      <c r="S835" s="194"/>
      <c r="T835" s="194"/>
      <c r="U835" s="194"/>
      <c r="V835" s="194"/>
      <c r="W835" s="194"/>
      <c r="X835" s="194"/>
      <c r="Y835" s="194"/>
      <c r="Z835" s="194"/>
      <c r="AA835" s="194"/>
      <c r="AB835" s="194"/>
      <c r="AC835" s="194"/>
      <c r="AD835" s="194"/>
      <c r="AE835" s="194"/>
      <c r="AF835" s="194"/>
      <c r="AG835" s="194"/>
      <c r="AH835" s="194"/>
      <c r="AI835" s="194"/>
      <c r="AJ835" s="194"/>
      <c r="AK835" s="194"/>
      <c r="AL835" s="194"/>
      <c r="AM835" s="194"/>
    </row>
    <row r="836" spans="1:39" ht="15.75" customHeight="1" x14ac:dyDescent="0.25">
      <c r="A836" s="194"/>
      <c r="B836" s="194"/>
      <c r="C836" s="194"/>
      <c r="D836" s="194"/>
      <c r="E836" s="194"/>
      <c r="F836" s="194"/>
      <c r="G836" s="194"/>
      <c r="H836" s="194"/>
      <c r="I836" s="194"/>
      <c r="J836" s="194"/>
      <c r="K836" s="194"/>
      <c r="L836" s="194"/>
      <c r="M836" s="194"/>
      <c r="N836" s="194"/>
      <c r="O836" s="194"/>
      <c r="P836" s="194"/>
      <c r="Q836" s="194"/>
      <c r="R836" s="194"/>
      <c r="S836" s="194"/>
      <c r="T836" s="194"/>
      <c r="U836" s="194"/>
      <c r="V836" s="194"/>
      <c r="W836" s="194"/>
      <c r="X836" s="194"/>
      <c r="Y836" s="194"/>
      <c r="Z836" s="194"/>
      <c r="AA836" s="194"/>
      <c r="AB836" s="194"/>
      <c r="AC836" s="194"/>
      <c r="AD836" s="194"/>
      <c r="AE836" s="194"/>
      <c r="AF836" s="194"/>
      <c r="AG836" s="194"/>
      <c r="AH836" s="194"/>
      <c r="AI836" s="194"/>
      <c r="AJ836" s="194"/>
      <c r="AK836" s="194"/>
      <c r="AL836" s="194"/>
      <c r="AM836" s="194"/>
    </row>
    <row r="837" spans="1:39" ht="15.75" customHeight="1" x14ac:dyDescent="0.25">
      <c r="A837" s="194"/>
      <c r="B837" s="194"/>
      <c r="C837" s="194"/>
      <c r="D837" s="194"/>
      <c r="E837" s="194"/>
      <c r="F837" s="194"/>
      <c r="G837" s="194"/>
      <c r="H837" s="194"/>
      <c r="I837" s="194"/>
      <c r="J837" s="194"/>
      <c r="K837" s="194"/>
      <c r="L837" s="194"/>
      <c r="M837" s="194"/>
      <c r="N837" s="194"/>
      <c r="O837" s="194"/>
      <c r="P837" s="194"/>
      <c r="Q837" s="194"/>
      <c r="R837" s="194"/>
      <c r="S837" s="194"/>
      <c r="T837" s="194"/>
      <c r="U837" s="194"/>
      <c r="V837" s="194"/>
      <c r="W837" s="194"/>
      <c r="X837" s="194"/>
      <c r="Y837" s="194"/>
      <c r="Z837" s="194"/>
      <c r="AA837" s="194"/>
      <c r="AB837" s="194"/>
      <c r="AC837" s="194"/>
      <c r="AD837" s="194"/>
      <c r="AE837" s="194"/>
      <c r="AF837" s="194"/>
      <c r="AG837" s="194"/>
      <c r="AH837" s="194"/>
      <c r="AI837" s="194"/>
      <c r="AJ837" s="194"/>
      <c r="AK837" s="194"/>
      <c r="AL837" s="194"/>
      <c r="AM837" s="194"/>
    </row>
    <row r="838" spans="1:39" ht="15.75" customHeight="1" x14ac:dyDescent="0.25">
      <c r="A838" s="194"/>
      <c r="B838" s="194"/>
      <c r="C838" s="194"/>
      <c r="D838" s="194"/>
      <c r="E838" s="194"/>
      <c r="F838" s="194"/>
      <c r="G838" s="194"/>
      <c r="H838" s="194"/>
      <c r="I838" s="194"/>
      <c r="J838" s="194"/>
      <c r="K838" s="194"/>
      <c r="L838" s="194"/>
      <c r="M838" s="194"/>
      <c r="N838" s="194"/>
      <c r="O838" s="194"/>
      <c r="P838" s="194"/>
      <c r="Q838" s="194"/>
      <c r="R838" s="194"/>
      <c r="S838" s="194"/>
      <c r="T838" s="194"/>
      <c r="U838" s="194"/>
      <c r="V838" s="194"/>
      <c r="W838" s="194"/>
      <c r="X838" s="194"/>
      <c r="Y838" s="194"/>
      <c r="Z838" s="194"/>
      <c r="AA838" s="194"/>
      <c r="AB838" s="194"/>
      <c r="AC838" s="194"/>
      <c r="AD838" s="194"/>
      <c r="AE838" s="194"/>
      <c r="AF838" s="194"/>
      <c r="AG838" s="194"/>
      <c r="AH838" s="194"/>
      <c r="AI838" s="194"/>
      <c r="AJ838" s="194"/>
      <c r="AK838" s="194"/>
      <c r="AL838" s="194"/>
      <c r="AM838" s="194"/>
    </row>
    <row r="839" spans="1:39" ht="15.75" customHeight="1" x14ac:dyDescent="0.25">
      <c r="A839" s="194"/>
      <c r="B839" s="194"/>
      <c r="C839" s="194"/>
      <c r="D839" s="194"/>
      <c r="E839" s="194"/>
      <c r="F839" s="194"/>
      <c r="G839" s="194"/>
      <c r="H839" s="194"/>
      <c r="I839" s="194"/>
      <c r="J839" s="194"/>
      <c r="K839" s="194"/>
      <c r="L839" s="194"/>
      <c r="M839" s="194"/>
      <c r="N839" s="194"/>
      <c r="O839" s="194"/>
      <c r="P839" s="194"/>
      <c r="Q839" s="194"/>
      <c r="R839" s="194"/>
      <c r="S839" s="194"/>
      <c r="T839" s="194"/>
      <c r="U839" s="194"/>
      <c r="V839" s="194"/>
      <c r="W839" s="194"/>
      <c r="X839" s="194"/>
      <c r="Y839" s="194"/>
      <c r="Z839" s="194"/>
      <c r="AA839" s="194"/>
      <c r="AB839" s="194"/>
      <c r="AC839" s="194"/>
      <c r="AD839" s="194"/>
      <c r="AE839" s="194"/>
      <c r="AF839" s="194"/>
      <c r="AG839" s="194"/>
      <c r="AH839" s="194"/>
      <c r="AI839" s="194"/>
      <c r="AJ839" s="194"/>
      <c r="AK839" s="194"/>
      <c r="AL839" s="194"/>
      <c r="AM839" s="194"/>
    </row>
    <row r="840" spans="1:39" ht="15.75" customHeight="1" x14ac:dyDescent="0.25">
      <c r="A840" s="194"/>
      <c r="B840" s="194"/>
      <c r="C840" s="194"/>
      <c r="D840" s="194"/>
      <c r="E840" s="194"/>
      <c r="F840" s="194"/>
      <c r="G840" s="194"/>
      <c r="H840" s="194"/>
      <c r="I840" s="194"/>
      <c r="J840" s="194"/>
      <c r="K840" s="194"/>
      <c r="L840" s="194"/>
      <c r="M840" s="194"/>
      <c r="N840" s="194"/>
      <c r="O840" s="194"/>
      <c r="P840" s="194"/>
      <c r="Q840" s="194"/>
      <c r="R840" s="194"/>
      <c r="S840" s="194"/>
      <c r="T840" s="194"/>
      <c r="U840" s="194"/>
      <c r="V840" s="194"/>
      <c r="W840" s="194"/>
      <c r="X840" s="194"/>
      <c r="Y840" s="194"/>
      <c r="Z840" s="194"/>
      <c r="AA840" s="194"/>
      <c r="AB840" s="194"/>
      <c r="AC840" s="194"/>
      <c r="AD840" s="194"/>
      <c r="AE840" s="194"/>
      <c r="AF840" s="194"/>
      <c r="AG840" s="194"/>
      <c r="AH840" s="194"/>
      <c r="AI840" s="194"/>
      <c r="AJ840" s="194"/>
      <c r="AK840" s="194"/>
      <c r="AL840" s="194"/>
      <c r="AM840" s="194"/>
    </row>
    <row r="841" spans="1:39" ht="15.75" customHeight="1" x14ac:dyDescent="0.25">
      <c r="A841" s="194"/>
      <c r="B841" s="194"/>
      <c r="C841" s="194"/>
      <c r="D841" s="194"/>
      <c r="E841" s="194"/>
      <c r="F841" s="194"/>
      <c r="G841" s="194"/>
      <c r="H841" s="194"/>
      <c r="I841" s="194"/>
      <c r="J841" s="194"/>
      <c r="K841" s="194"/>
      <c r="L841" s="194"/>
      <c r="M841" s="194"/>
      <c r="N841" s="194"/>
      <c r="O841" s="194"/>
      <c r="P841" s="194"/>
      <c r="Q841" s="194"/>
      <c r="R841" s="194"/>
      <c r="S841" s="194"/>
      <c r="T841" s="194"/>
      <c r="U841" s="194"/>
      <c r="V841" s="194"/>
      <c r="W841" s="194"/>
      <c r="X841" s="194"/>
      <c r="Y841" s="194"/>
      <c r="Z841" s="194"/>
      <c r="AA841" s="194"/>
      <c r="AB841" s="194"/>
      <c r="AC841" s="194"/>
      <c r="AD841" s="194"/>
      <c r="AE841" s="194"/>
      <c r="AF841" s="194"/>
      <c r="AG841" s="194"/>
      <c r="AH841" s="194"/>
      <c r="AI841" s="194"/>
      <c r="AJ841" s="194"/>
      <c r="AK841" s="194"/>
      <c r="AL841" s="194"/>
      <c r="AM841" s="194"/>
    </row>
    <row r="842" spans="1:39" ht="15.75" customHeight="1" x14ac:dyDescent="0.25">
      <c r="A842" s="194"/>
      <c r="B842" s="194"/>
      <c r="C842" s="194"/>
      <c r="D842" s="194"/>
      <c r="E842" s="194"/>
      <c r="F842" s="194"/>
      <c r="G842" s="194"/>
      <c r="H842" s="194"/>
      <c r="I842" s="194"/>
      <c r="J842" s="194"/>
      <c r="K842" s="194"/>
      <c r="L842" s="194"/>
      <c r="M842" s="194"/>
      <c r="N842" s="194"/>
      <c r="O842" s="194"/>
      <c r="P842" s="194"/>
      <c r="Q842" s="194"/>
      <c r="R842" s="194"/>
      <c r="S842" s="194"/>
      <c r="T842" s="194"/>
      <c r="U842" s="194"/>
      <c r="V842" s="194"/>
      <c r="W842" s="194"/>
      <c r="X842" s="194"/>
      <c r="Y842" s="194"/>
      <c r="Z842" s="194"/>
      <c r="AA842" s="194"/>
      <c r="AB842" s="194"/>
      <c r="AC842" s="194"/>
      <c r="AD842" s="194"/>
      <c r="AE842" s="194"/>
      <c r="AF842" s="194"/>
      <c r="AG842" s="194"/>
      <c r="AH842" s="194"/>
      <c r="AI842" s="194"/>
      <c r="AJ842" s="194"/>
      <c r="AK842" s="194"/>
      <c r="AL842" s="194"/>
      <c r="AM842" s="194"/>
    </row>
    <row r="843" spans="1:39" ht="15.75" customHeight="1" x14ac:dyDescent="0.25">
      <c r="A843" s="194"/>
      <c r="B843" s="194"/>
      <c r="C843" s="194"/>
      <c r="D843" s="194"/>
      <c r="E843" s="194"/>
      <c r="F843" s="194"/>
      <c r="G843" s="194"/>
      <c r="H843" s="194"/>
      <c r="I843" s="194"/>
      <c r="J843" s="194"/>
      <c r="K843" s="194"/>
      <c r="L843" s="194"/>
      <c r="M843" s="194"/>
      <c r="N843" s="194"/>
      <c r="O843" s="194"/>
      <c r="P843" s="194"/>
      <c r="Q843" s="194"/>
      <c r="R843" s="194"/>
      <c r="S843" s="194"/>
      <c r="T843" s="194"/>
      <c r="U843" s="194"/>
      <c r="V843" s="194"/>
      <c r="W843" s="194"/>
      <c r="X843" s="194"/>
      <c r="Y843" s="194"/>
      <c r="Z843" s="194"/>
      <c r="AA843" s="194"/>
      <c r="AB843" s="194"/>
      <c r="AC843" s="194"/>
      <c r="AD843" s="194"/>
      <c r="AE843" s="194"/>
      <c r="AF843" s="194"/>
      <c r="AG843" s="194"/>
      <c r="AH843" s="194"/>
      <c r="AI843" s="194"/>
      <c r="AJ843" s="194"/>
      <c r="AK843" s="194"/>
      <c r="AL843" s="194"/>
      <c r="AM843" s="194"/>
    </row>
    <row r="844" spans="1:39" ht="15.75" customHeight="1" x14ac:dyDescent="0.25">
      <c r="A844" s="194"/>
      <c r="B844" s="194"/>
      <c r="C844" s="194"/>
      <c r="D844" s="194"/>
      <c r="E844" s="194"/>
      <c r="F844" s="194"/>
      <c r="G844" s="194"/>
      <c r="H844" s="194"/>
      <c r="I844" s="194"/>
      <c r="J844" s="194"/>
      <c r="K844" s="194"/>
      <c r="L844" s="194"/>
      <c r="M844" s="194"/>
      <c r="N844" s="194"/>
      <c r="O844" s="194"/>
      <c r="P844" s="194"/>
      <c r="Q844" s="194"/>
      <c r="R844" s="194"/>
      <c r="S844" s="194"/>
      <c r="T844" s="194"/>
      <c r="U844" s="194"/>
      <c r="V844" s="194"/>
      <c r="W844" s="194"/>
      <c r="X844" s="194"/>
      <c r="Y844" s="194"/>
      <c r="Z844" s="194"/>
      <c r="AA844" s="194"/>
      <c r="AB844" s="194"/>
      <c r="AC844" s="194"/>
      <c r="AD844" s="194"/>
      <c r="AE844" s="194"/>
      <c r="AF844" s="194"/>
      <c r="AG844" s="194"/>
      <c r="AH844" s="194"/>
      <c r="AI844" s="194"/>
      <c r="AJ844" s="194"/>
      <c r="AK844" s="194"/>
      <c r="AL844" s="194"/>
      <c r="AM844" s="194"/>
    </row>
    <row r="845" spans="1:39" ht="15.75" customHeight="1" x14ac:dyDescent="0.25">
      <c r="A845" s="194"/>
      <c r="B845" s="194"/>
      <c r="C845" s="194"/>
      <c r="D845" s="194"/>
      <c r="E845" s="194"/>
      <c r="F845" s="194"/>
      <c r="G845" s="194"/>
      <c r="H845" s="194"/>
      <c r="I845" s="194"/>
      <c r="J845" s="194"/>
      <c r="K845" s="194"/>
      <c r="L845" s="194"/>
      <c r="M845" s="194"/>
      <c r="N845" s="194"/>
      <c r="O845" s="194"/>
      <c r="P845" s="194"/>
      <c r="Q845" s="194"/>
      <c r="R845" s="194"/>
      <c r="S845" s="194"/>
      <c r="T845" s="194"/>
      <c r="U845" s="194"/>
      <c r="V845" s="194"/>
      <c r="W845" s="194"/>
      <c r="X845" s="194"/>
      <c r="Y845" s="194"/>
      <c r="Z845" s="194"/>
      <c r="AA845" s="194"/>
      <c r="AB845" s="194"/>
      <c r="AC845" s="194"/>
      <c r="AD845" s="194"/>
      <c r="AE845" s="194"/>
      <c r="AF845" s="194"/>
      <c r="AG845" s="194"/>
      <c r="AH845" s="194"/>
      <c r="AI845" s="194"/>
      <c r="AJ845" s="194"/>
      <c r="AK845" s="194"/>
      <c r="AL845" s="194"/>
      <c r="AM845" s="194"/>
    </row>
    <row r="846" spans="1:39" ht="15.75" customHeight="1" x14ac:dyDescent="0.25">
      <c r="A846" s="194"/>
      <c r="B846" s="194"/>
      <c r="C846" s="194"/>
      <c r="D846" s="194"/>
      <c r="E846" s="194"/>
      <c r="F846" s="194"/>
      <c r="G846" s="194"/>
      <c r="H846" s="194"/>
      <c r="I846" s="194"/>
      <c r="J846" s="194"/>
      <c r="K846" s="194"/>
      <c r="L846" s="194"/>
      <c r="M846" s="194"/>
      <c r="N846" s="194"/>
      <c r="O846" s="194"/>
      <c r="P846" s="194"/>
      <c r="Q846" s="194"/>
      <c r="R846" s="194"/>
      <c r="S846" s="194"/>
      <c r="T846" s="194"/>
      <c r="U846" s="194"/>
      <c r="V846" s="194"/>
      <c r="W846" s="194"/>
      <c r="X846" s="194"/>
      <c r="Y846" s="194"/>
      <c r="Z846" s="194"/>
      <c r="AA846" s="194"/>
      <c r="AB846" s="194"/>
      <c r="AC846" s="194"/>
      <c r="AD846" s="194"/>
      <c r="AE846" s="194"/>
      <c r="AF846" s="194"/>
      <c r="AG846" s="194"/>
      <c r="AH846" s="194"/>
      <c r="AI846" s="194"/>
      <c r="AJ846" s="194"/>
      <c r="AK846" s="194"/>
      <c r="AL846" s="194"/>
      <c r="AM846" s="194"/>
    </row>
    <row r="847" spans="1:39" ht="15.75" customHeight="1" x14ac:dyDescent="0.25">
      <c r="A847" s="194"/>
      <c r="B847" s="194"/>
      <c r="C847" s="194"/>
      <c r="D847" s="194"/>
      <c r="E847" s="194"/>
      <c r="F847" s="194"/>
      <c r="G847" s="194"/>
      <c r="H847" s="194"/>
      <c r="I847" s="194"/>
      <c r="J847" s="194"/>
      <c r="K847" s="194"/>
      <c r="L847" s="194"/>
      <c r="M847" s="194"/>
      <c r="N847" s="194"/>
      <c r="O847" s="194"/>
      <c r="P847" s="194"/>
      <c r="Q847" s="194"/>
      <c r="R847" s="194"/>
      <c r="S847" s="194"/>
      <c r="T847" s="194"/>
      <c r="U847" s="194"/>
      <c r="V847" s="194"/>
      <c r="W847" s="194"/>
      <c r="X847" s="194"/>
      <c r="Y847" s="194"/>
      <c r="Z847" s="194"/>
      <c r="AA847" s="194"/>
      <c r="AB847" s="194"/>
      <c r="AC847" s="194"/>
      <c r="AD847" s="194"/>
      <c r="AE847" s="194"/>
      <c r="AF847" s="194"/>
      <c r="AG847" s="194"/>
      <c r="AH847" s="194"/>
      <c r="AI847" s="194"/>
      <c r="AJ847" s="194"/>
      <c r="AK847" s="194"/>
      <c r="AL847" s="194"/>
      <c r="AM847" s="194"/>
    </row>
    <row r="848" spans="1:39" ht="15.75" customHeight="1" x14ac:dyDescent="0.25">
      <c r="A848" s="194"/>
      <c r="B848" s="194"/>
      <c r="C848" s="194"/>
      <c r="D848" s="194"/>
      <c r="E848" s="194"/>
      <c r="F848" s="194"/>
      <c r="G848" s="194"/>
      <c r="H848" s="194"/>
      <c r="I848" s="194"/>
      <c r="J848" s="194"/>
      <c r="K848" s="194"/>
      <c r="L848" s="194"/>
      <c r="M848" s="194"/>
      <c r="N848" s="194"/>
      <c r="O848" s="194"/>
      <c r="P848" s="194"/>
      <c r="Q848" s="194"/>
      <c r="R848" s="194"/>
      <c r="S848" s="194"/>
      <c r="T848" s="194"/>
      <c r="U848" s="194"/>
      <c r="V848" s="194"/>
      <c r="W848" s="194"/>
      <c r="X848" s="194"/>
      <c r="Y848" s="194"/>
      <c r="Z848" s="194"/>
      <c r="AA848" s="194"/>
      <c r="AB848" s="194"/>
      <c r="AC848" s="194"/>
      <c r="AD848" s="194"/>
      <c r="AE848" s="194"/>
      <c r="AF848" s="194"/>
      <c r="AG848" s="194"/>
      <c r="AH848" s="194"/>
      <c r="AI848" s="194"/>
      <c r="AJ848" s="194"/>
      <c r="AK848" s="194"/>
      <c r="AL848" s="194"/>
      <c r="AM848" s="194"/>
    </row>
    <row r="849" spans="1:39" ht="15.75" customHeight="1" x14ac:dyDescent="0.25">
      <c r="A849" s="194"/>
      <c r="B849" s="194"/>
      <c r="C849" s="194"/>
      <c r="D849" s="194"/>
      <c r="E849" s="194"/>
      <c r="F849" s="194"/>
      <c r="G849" s="194"/>
      <c r="H849" s="194"/>
      <c r="I849" s="194"/>
      <c r="J849" s="194"/>
      <c r="K849" s="194"/>
      <c r="L849" s="194"/>
      <c r="M849" s="194"/>
      <c r="N849" s="194"/>
      <c r="O849" s="194"/>
      <c r="P849" s="194"/>
      <c r="Q849" s="194"/>
      <c r="R849" s="194"/>
      <c r="S849" s="194"/>
      <c r="T849" s="194"/>
      <c r="U849" s="194"/>
      <c r="V849" s="194"/>
      <c r="W849" s="194"/>
      <c r="X849" s="194"/>
      <c r="Y849" s="194"/>
      <c r="Z849" s="194"/>
      <c r="AA849" s="194"/>
      <c r="AB849" s="194"/>
      <c r="AC849" s="194"/>
      <c r="AD849" s="194"/>
      <c r="AE849" s="194"/>
      <c r="AF849" s="194"/>
      <c r="AG849" s="194"/>
      <c r="AH849" s="194"/>
      <c r="AI849" s="194"/>
      <c r="AJ849" s="194"/>
      <c r="AK849" s="194"/>
      <c r="AL849" s="194"/>
      <c r="AM849" s="194"/>
    </row>
    <row r="850" spans="1:39" ht="15.75" customHeight="1" x14ac:dyDescent="0.25">
      <c r="A850" s="194"/>
      <c r="B850" s="194"/>
      <c r="C850" s="194"/>
      <c r="D850" s="194"/>
      <c r="E850" s="194"/>
      <c r="F850" s="194"/>
      <c r="G850" s="194"/>
      <c r="H850" s="194"/>
      <c r="I850" s="194"/>
      <c r="J850" s="194"/>
      <c r="K850" s="194"/>
      <c r="L850" s="194"/>
      <c r="M850" s="194"/>
      <c r="N850" s="194"/>
      <c r="O850" s="194"/>
      <c r="P850" s="194"/>
      <c r="Q850" s="194"/>
      <c r="R850" s="194"/>
      <c r="S850" s="194"/>
      <c r="T850" s="194"/>
      <c r="U850" s="194"/>
      <c r="V850" s="194"/>
      <c r="W850" s="194"/>
      <c r="X850" s="194"/>
      <c r="Y850" s="194"/>
      <c r="Z850" s="194"/>
      <c r="AA850" s="194"/>
      <c r="AB850" s="194"/>
      <c r="AC850" s="194"/>
      <c r="AD850" s="194"/>
      <c r="AE850" s="194"/>
      <c r="AF850" s="194"/>
      <c r="AG850" s="194"/>
      <c r="AH850" s="194"/>
      <c r="AI850" s="194"/>
      <c r="AJ850" s="194"/>
      <c r="AK850" s="194"/>
      <c r="AL850" s="194"/>
      <c r="AM850" s="194"/>
    </row>
    <row r="851" spans="1:39" ht="15.75" customHeight="1" x14ac:dyDescent="0.25">
      <c r="A851" s="194"/>
      <c r="B851" s="194"/>
      <c r="C851" s="194"/>
      <c r="D851" s="194"/>
      <c r="E851" s="194"/>
      <c r="F851" s="194"/>
      <c r="G851" s="194"/>
      <c r="H851" s="194"/>
      <c r="I851" s="194"/>
      <c r="J851" s="194"/>
      <c r="K851" s="194"/>
      <c r="L851" s="194"/>
      <c r="M851" s="194"/>
      <c r="N851" s="194"/>
      <c r="O851" s="194"/>
      <c r="P851" s="194"/>
      <c r="Q851" s="194"/>
      <c r="R851" s="194"/>
      <c r="S851" s="194"/>
      <c r="T851" s="194"/>
      <c r="U851" s="194"/>
      <c r="V851" s="194"/>
      <c r="W851" s="194"/>
      <c r="X851" s="194"/>
      <c r="Y851" s="194"/>
      <c r="Z851" s="194"/>
      <c r="AA851" s="194"/>
      <c r="AB851" s="194"/>
      <c r="AC851" s="194"/>
      <c r="AD851" s="194"/>
      <c r="AE851" s="194"/>
      <c r="AF851" s="194"/>
      <c r="AG851" s="194"/>
      <c r="AH851" s="194"/>
      <c r="AI851" s="194"/>
      <c r="AJ851" s="194"/>
      <c r="AK851" s="194"/>
      <c r="AL851" s="194"/>
      <c r="AM851" s="194"/>
    </row>
    <row r="852" spans="1:39" ht="15.75" customHeight="1" x14ac:dyDescent="0.25">
      <c r="A852" s="194"/>
      <c r="B852" s="194"/>
      <c r="C852" s="194"/>
      <c r="D852" s="194"/>
      <c r="E852" s="194"/>
      <c r="F852" s="194"/>
      <c r="G852" s="194"/>
      <c r="H852" s="194"/>
      <c r="I852" s="194"/>
      <c r="J852" s="194"/>
      <c r="K852" s="194"/>
      <c r="L852" s="194"/>
      <c r="M852" s="194"/>
      <c r="N852" s="194"/>
      <c r="O852" s="194"/>
      <c r="P852" s="194"/>
      <c r="Q852" s="194"/>
      <c r="R852" s="194"/>
      <c r="S852" s="194"/>
      <c r="T852" s="194"/>
      <c r="U852" s="194"/>
      <c r="V852" s="194"/>
      <c r="W852" s="194"/>
      <c r="X852" s="194"/>
      <c r="Y852" s="194"/>
      <c r="Z852" s="194"/>
      <c r="AA852" s="194"/>
      <c r="AB852" s="194"/>
      <c r="AC852" s="194"/>
      <c r="AD852" s="194"/>
      <c r="AE852" s="194"/>
      <c r="AF852" s="194"/>
      <c r="AG852" s="194"/>
      <c r="AH852" s="194"/>
      <c r="AI852" s="194"/>
      <c r="AJ852" s="194"/>
      <c r="AK852" s="194"/>
      <c r="AL852" s="194"/>
      <c r="AM852" s="194"/>
    </row>
    <row r="853" spans="1:39" ht="15.75" customHeight="1" x14ac:dyDescent="0.25">
      <c r="A853" s="194"/>
      <c r="B853" s="194"/>
      <c r="C853" s="194"/>
      <c r="D853" s="194"/>
      <c r="E853" s="194"/>
      <c r="F853" s="194"/>
      <c r="G853" s="194"/>
      <c r="H853" s="194"/>
      <c r="I853" s="194"/>
      <c r="J853" s="194"/>
      <c r="K853" s="194"/>
      <c r="L853" s="194"/>
      <c r="M853" s="194"/>
      <c r="N853" s="194"/>
      <c r="O853" s="194"/>
      <c r="P853" s="194"/>
      <c r="Q853" s="194"/>
      <c r="R853" s="194"/>
      <c r="S853" s="194"/>
      <c r="T853" s="194"/>
      <c r="U853" s="194"/>
      <c r="V853" s="194"/>
      <c r="W853" s="194"/>
      <c r="X853" s="194"/>
      <c r="Y853" s="194"/>
      <c r="Z853" s="194"/>
      <c r="AA853" s="194"/>
      <c r="AB853" s="194"/>
      <c r="AC853" s="194"/>
      <c r="AD853" s="194"/>
      <c r="AE853" s="194"/>
      <c r="AF853" s="194"/>
      <c r="AG853" s="194"/>
      <c r="AH853" s="194"/>
      <c r="AI853" s="194"/>
      <c r="AJ853" s="194"/>
      <c r="AK853" s="194"/>
      <c r="AL853" s="194"/>
      <c r="AM853" s="194"/>
    </row>
    <row r="854" spans="1:39" ht="15.75" customHeight="1" x14ac:dyDescent="0.25">
      <c r="A854" s="194"/>
      <c r="B854" s="194"/>
      <c r="C854" s="194"/>
      <c r="D854" s="194"/>
      <c r="E854" s="194"/>
      <c r="F854" s="194"/>
      <c r="G854" s="194"/>
      <c r="H854" s="194"/>
      <c r="I854" s="194"/>
      <c r="J854" s="194"/>
      <c r="K854" s="194"/>
      <c r="L854" s="194"/>
      <c r="M854" s="194"/>
      <c r="N854" s="194"/>
      <c r="O854" s="194"/>
      <c r="P854" s="194"/>
      <c r="Q854" s="194"/>
      <c r="R854" s="194"/>
      <c r="S854" s="194"/>
      <c r="T854" s="194"/>
      <c r="U854" s="194"/>
      <c r="V854" s="194"/>
      <c r="W854" s="194"/>
      <c r="X854" s="194"/>
      <c r="Y854" s="194"/>
      <c r="Z854" s="194"/>
      <c r="AA854" s="194"/>
      <c r="AB854" s="194"/>
      <c r="AC854" s="194"/>
      <c r="AD854" s="194"/>
      <c r="AE854" s="194"/>
      <c r="AF854" s="194"/>
      <c r="AG854" s="194"/>
      <c r="AH854" s="194"/>
      <c r="AI854" s="194"/>
      <c r="AJ854" s="194"/>
      <c r="AK854" s="194"/>
      <c r="AL854" s="194"/>
      <c r="AM854" s="194"/>
    </row>
    <row r="855" spans="1:39" ht="15.75" customHeight="1" x14ac:dyDescent="0.25">
      <c r="A855" s="194"/>
      <c r="B855" s="194"/>
      <c r="C855" s="194"/>
      <c r="D855" s="194"/>
      <c r="E855" s="194"/>
      <c r="F855" s="194"/>
      <c r="G855" s="194"/>
      <c r="H855" s="194"/>
      <c r="I855" s="194"/>
      <c r="J855" s="194"/>
      <c r="K855" s="194"/>
      <c r="L855" s="194"/>
      <c r="M855" s="194"/>
      <c r="N855" s="194"/>
      <c r="O855" s="194"/>
      <c r="P855" s="194"/>
      <c r="Q855" s="194"/>
      <c r="R855" s="194"/>
      <c r="S855" s="194"/>
      <c r="T855" s="194"/>
      <c r="U855" s="194"/>
      <c r="V855" s="194"/>
      <c r="W855" s="194"/>
      <c r="X855" s="194"/>
      <c r="Y855" s="194"/>
      <c r="Z855" s="194"/>
      <c r="AA855" s="194"/>
      <c r="AB855" s="194"/>
      <c r="AC855" s="194"/>
      <c r="AD855" s="194"/>
      <c r="AE855" s="194"/>
      <c r="AF855" s="194"/>
      <c r="AG855" s="194"/>
      <c r="AH855" s="194"/>
      <c r="AI855" s="194"/>
      <c r="AJ855" s="194"/>
      <c r="AK855" s="194"/>
      <c r="AL855" s="194"/>
      <c r="AM855" s="194"/>
    </row>
    <row r="856" spans="1:39" ht="15.75" customHeight="1" x14ac:dyDescent="0.25">
      <c r="A856" s="194"/>
      <c r="B856" s="194"/>
      <c r="C856" s="194"/>
      <c r="D856" s="194"/>
      <c r="E856" s="194"/>
      <c r="F856" s="194"/>
      <c r="G856" s="194"/>
      <c r="H856" s="194"/>
      <c r="I856" s="194"/>
      <c r="J856" s="194"/>
      <c r="K856" s="194"/>
      <c r="L856" s="194"/>
      <c r="M856" s="194"/>
      <c r="N856" s="194"/>
      <c r="O856" s="194"/>
      <c r="P856" s="194"/>
      <c r="Q856" s="194"/>
      <c r="R856" s="194"/>
      <c r="S856" s="194"/>
      <c r="T856" s="194"/>
      <c r="U856" s="194"/>
      <c r="V856" s="194"/>
      <c r="W856" s="194"/>
      <c r="X856" s="194"/>
      <c r="Y856" s="194"/>
      <c r="Z856" s="194"/>
      <c r="AA856" s="194"/>
      <c r="AB856" s="194"/>
      <c r="AC856" s="194"/>
      <c r="AD856" s="194"/>
      <c r="AE856" s="194"/>
      <c r="AF856" s="194"/>
      <c r="AG856" s="194"/>
      <c r="AH856" s="194"/>
      <c r="AI856" s="194"/>
      <c r="AJ856" s="194"/>
      <c r="AK856" s="194"/>
      <c r="AL856" s="194"/>
      <c r="AM856" s="194"/>
    </row>
    <row r="857" spans="1:39" ht="15.75" customHeight="1" x14ac:dyDescent="0.25">
      <c r="A857" s="194"/>
      <c r="B857" s="194"/>
      <c r="C857" s="194"/>
      <c r="D857" s="194"/>
      <c r="E857" s="194"/>
      <c r="F857" s="194"/>
      <c r="G857" s="194"/>
      <c r="H857" s="194"/>
      <c r="I857" s="194"/>
      <c r="J857" s="194"/>
      <c r="K857" s="194"/>
      <c r="L857" s="194"/>
      <c r="M857" s="194"/>
      <c r="N857" s="194"/>
      <c r="O857" s="194"/>
      <c r="P857" s="194"/>
      <c r="Q857" s="194"/>
      <c r="R857" s="194"/>
      <c r="S857" s="194"/>
      <c r="T857" s="194"/>
      <c r="U857" s="194"/>
      <c r="V857" s="194"/>
      <c r="W857" s="194"/>
      <c r="X857" s="194"/>
      <c r="Y857" s="194"/>
      <c r="Z857" s="194"/>
      <c r="AA857" s="194"/>
      <c r="AB857" s="194"/>
      <c r="AC857" s="194"/>
      <c r="AD857" s="194"/>
      <c r="AE857" s="194"/>
      <c r="AF857" s="194"/>
      <c r="AG857" s="194"/>
      <c r="AH857" s="194"/>
      <c r="AI857" s="194"/>
      <c r="AJ857" s="194"/>
      <c r="AK857" s="194"/>
      <c r="AL857" s="194"/>
      <c r="AM857" s="194"/>
    </row>
    <row r="858" spans="1:39" ht="15.75" customHeight="1" x14ac:dyDescent="0.25">
      <c r="A858" s="194"/>
      <c r="B858" s="194"/>
      <c r="C858" s="194"/>
      <c r="D858" s="194"/>
      <c r="E858" s="194"/>
      <c r="F858" s="194"/>
      <c r="G858" s="194"/>
      <c r="H858" s="194"/>
      <c r="I858" s="194"/>
      <c r="J858" s="194"/>
      <c r="K858" s="194"/>
      <c r="L858" s="194"/>
      <c r="M858" s="194"/>
      <c r="N858" s="194"/>
      <c r="O858" s="194"/>
      <c r="P858" s="194"/>
      <c r="Q858" s="194"/>
      <c r="R858" s="194"/>
      <c r="S858" s="194"/>
      <c r="T858" s="194"/>
      <c r="U858" s="194"/>
      <c r="V858" s="194"/>
      <c r="W858" s="194"/>
      <c r="X858" s="194"/>
      <c r="Y858" s="194"/>
      <c r="Z858" s="194"/>
      <c r="AA858" s="194"/>
      <c r="AB858" s="194"/>
      <c r="AC858" s="194"/>
      <c r="AD858" s="194"/>
      <c r="AE858" s="194"/>
      <c r="AF858" s="194"/>
      <c r="AG858" s="194"/>
      <c r="AH858" s="194"/>
      <c r="AI858" s="194"/>
      <c r="AJ858" s="194"/>
      <c r="AK858" s="194"/>
      <c r="AL858" s="194"/>
      <c r="AM858" s="194"/>
    </row>
    <row r="859" spans="1:39" ht="15.75" customHeight="1" x14ac:dyDescent="0.25">
      <c r="A859" s="194"/>
      <c r="B859" s="194"/>
      <c r="C859" s="194"/>
      <c r="D859" s="194"/>
      <c r="E859" s="194"/>
      <c r="F859" s="194"/>
      <c r="G859" s="194"/>
      <c r="H859" s="194"/>
      <c r="I859" s="194"/>
      <c r="J859" s="194"/>
      <c r="K859" s="194"/>
      <c r="L859" s="194"/>
      <c r="M859" s="194"/>
      <c r="N859" s="194"/>
      <c r="O859" s="194"/>
      <c r="P859" s="194"/>
      <c r="Q859" s="194"/>
      <c r="R859" s="194"/>
      <c r="S859" s="194"/>
      <c r="T859" s="194"/>
      <c r="U859" s="194"/>
      <c r="V859" s="194"/>
      <c r="W859" s="194"/>
      <c r="X859" s="194"/>
      <c r="Y859" s="194"/>
      <c r="Z859" s="194"/>
      <c r="AA859" s="194"/>
      <c r="AB859" s="194"/>
      <c r="AC859" s="194"/>
      <c r="AD859" s="194"/>
      <c r="AE859" s="194"/>
      <c r="AF859" s="194"/>
      <c r="AG859" s="194"/>
      <c r="AH859" s="194"/>
      <c r="AI859" s="194"/>
      <c r="AJ859" s="194"/>
      <c r="AK859" s="194"/>
      <c r="AL859" s="194"/>
      <c r="AM859" s="194"/>
    </row>
    <row r="860" spans="1:39" ht="15.75" customHeight="1" x14ac:dyDescent="0.25">
      <c r="A860" s="194"/>
      <c r="B860" s="194"/>
      <c r="C860" s="194"/>
      <c r="D860" s="194"/>
      <c r="E860" s="194"/>
      <c r="F860" s="194"/>
      <c r="G860" s="194"/>
      <c r="H860" s="194"/>
      <c r="I860" s="194"/>
      <c r="J860" s="194"/>
      <c r="K860" s="194"/>
      <c r="L860" s="194"/>
      <c r="M860" s="194"/>
      <c r="N860" s="194"/>
      <c r="O860" s="194"/>
      <c r="P860" s="194"/>
      <c r="Q860" s="194"/>
      <c r="R860" s="194"/>
      <c r="S860" s="194"/>
      <c r="T860" s="194"/>
      <c r="U860" s="194"/>
      <c r="V860" s="194"/>
      <c r="W860" s="194"/>
      <c r="X860" s="194"/>
      <c r="Y860" s="194"/>
      <c r="Z860" s="194"/>
      <c r="AA860" s="194"/>
      <c r="AB860" s="194"/>
      <c r="AC860" s="194"/>
      <c r="AD860" s="194"/>
      <c r="AE860" s="194"/>
      <c r="AF860" s="194"/>
      <c r="AG860" s="194"/>
      <c r="AH860" s="194"/>
      <c r="AI860" s="194"/>
      <c r="AJ860" s="194"/>
      <c r="AK860" s="194"/>
      <c r="AL860" s="194"/>
      <c r="AM860" s="194"/>
    </row>
    <row r="861" spans="1:39" ht="15.75" customHeight="1" x14ac:dyDescent="0.25">
      <c r="A861" s="194"/>
      <c r="B861" s="194"/>
      <c r="C861" s="194"/>
      <c r="D861" s="194"/>
      <c r="E861" s="194"/>
      <c r="F861" s="194"/>
      <c r="G861" s="194"/>
      <c r="H861" s="194"/>
      <c r="I861" s="194"/>
      <c r="J861" s="194"/>
      <c r="K861" s="194"/>
      <c r="L861" s="194"/>
      <c r="M861" s="194"/>
      <c r="N861" s="194"/>
      <c r="O861" s="194"/>
      <c r="P861" s="194"/>
      <c r="Q861" s="194"/>
      <c r="R861" s="194"/>
      <c r="S861" s="194"/>
      <c r="T861" s="194"/>
      <c r="U861" s="194"/>
      <c r="V861" s="194"/>
      <c r="W861" s="194"/>
      <c r="X861" s="194"/>
      <c r="Y861" s="194"/>
      <c r="Z861" s="194"/>
      <c r="AA861" s="194"/>
      <c r="AB861" s="194"/>
      <c r="AC861" s="194"/>
      <c r="AD861" s="194"/>
      <c r="AE861" s="194"/>
      <c r="AF861" s="194"/>
      <c r="AG861" s="194"/>
      <c r="AH861" s="194"/>
      <c r="AI861" s="194"/>
      <c r="AJ861" s="194"/>
      <c r="AK861" s="194"/>
      <c r="AL861" s="194"/>
      <c r="AM861" s="194"/>
    </row>
    <row r="862" spans="1:39" ht="15.75" customHeight="1" x14ac:dyDescent="0.25">
      <c r="A862" s="194"/>
      <c r="B862" s="194"/>
      <c r="C862" s="194"/>
      <c r="D862" s="194"/>
      <c r="E862" s="194"/>
      <c r="F862" s="194"/>
      <c r="G862" s="194"/>
      <c r="H862" s="194"/>
      <c r="I862" s="194"/>
      <c r="J862" s="194"/>
      <c r="K862" s="194"/>
      <c r="L862" s="194"/>
      <c r="M862" s="194"/>
      <c r="N862" s="194"/>
      <c r="O862" s="194"/>
      <c r="P862" s="194"/>
      <c r="Q862" s="194"/>
      <c r="R862" s="194"/>
      <c r="S862" s="194"/>
      <c r="T862" s="194"/>
      <c r="U862" s="194"/>
      <c r="V862" s="194"/>
      <c r="W862" s="194"/>
      <c r="X862" s="194"/>
      <c r="Y862" s="194"/>
      <c r="Z862" s="194"/>
      <c r="AA862" s="194"/>
      <c r="AB862" s="194"/>
      <c r="AC862" s="194"/>
      <c r="AD862" s="194"/>
      <c r="AE862" s="194"/>
      <c r="AF862" s="194"/>
      <c r="AG862" s="194"/>
      <c r="AH862" s="194"/>
      <c r="AI862" s="194"/>
      <c r="AJ862" s="194"/>
      <c r="AK862" s="194"/>
      <c r="AL862" s="194"/>
      <c r="AM862" s="194"/>
    </row>
    <row r="863" spans="1:39" ht="15.75" customHeight="1" x14ac:dyDescent="0.25">
      <c r="A863" s="194"/>
      <c r="B863" s="194"/>
      <c r="C863" s="194"/>
      <c r="D863" s="194"/>
      <c r="E863" s="194"/>
      <c r="F863" s="194"/>
      <c r="G863" s="194"/>
      <c r="H863" s="194"/>
      <c r="I863" s="194"/>
      <c r="J863" s="194"/>
      <c r="K863" s="194"/>
      <c r="L863" s="194"/>
      <c r="M863" s="194"/>
      <c r="N863" s="194"/>
      <c r="O863" s="194"/>
      <c r="P863" s="194"/>
      <c r="Q863" s="194"/>
      <c r="R863" s="194"/>
      <c r="S863" s="194"/>
      <c r="T863" s="194"/>
      <c r="U863" s="194"/>
      <c r="V863" s="194"/>
      <c r="W863" s="194"/>
      <c r="X863" s="194"/>
      <c r="Y863" s="194"/>
      <c r="Z863" s="194"/>
      <c r="AA863" s="194"/>
      <c r="AB863" s="194"/>
      <c r="AC863" s="194"/>
      <c r="AD863" s="194"/>
      <c r="AE863" s="194"/>
      <c r="AF863" s="194"/>
      <c r="AG863" s="194"/>
      <c r="AH863" s="194"/>
      <c r="AI863" s="194"/>
      <c r="AJ863" s="194"/>
      <c r="AK863" s="194"/>
      <c r="AL863" s="194"/>
      <c r="AM863" s="194"/>
    </row>
    <row r="864" spans="1:39" ht="15.75" customHeight="1" x14ac:dyDescent="0.25">
      <c r="A864" s="194"/>
      <c r="B864" s="194"/>
      <c r="C864" s="194"/>
      <c r="D864" s="194"/>
      <c r="E864" s="194"/>
      <c r="F864" s="194"/>
      <c r="G864" s="194"/>
      <c r="H864" s="194"/>
      <c r="I864" s="194"/>
      <c r="J864" s="194"/>
      <c r="K864" s="194"/>
      <c r="L864" s="194"/>
      <c r="M864" s="194"/>
      <c r="N864" s="194"/>
      <c r="O864" s="194"/>
      <c r="P864" s="194"/>
      <c r="Q864" s="194"/>
      <c r="R864" s="194"/>
      <c r="S864" s="194"/>
      <c r="T864" s="194"/>
      <c r="U864" s="194"/>
      <c r="V864" s="194"/>
      <c r="W864" s="194"/>
      <c r="X864" s="194"/>
      <c r="Y864" s="194"/>
      <c r="Z864" s="194"/>
      <c r="AA864" s="194"/>
      <c r="AB864" s="194"/>
      <c r="AC864" s="194"/>
      <c r="AD864" s="194"/>
      <c r="AE864" s="194"/>
      <c r="AF864" s="194"/>
      <c r="AG864" s="194"/>
      <c r="AH864" s="194"/>
      <c r="AI864" s="194"/>
      <c r="AJ864" s="194"/>
      <c r="AK864" s="194"/>
      <c r="AL864" s="194"/>
      <c r="AM864" s="194"/>
    </row>
    <row r="865" spans="1:39" ht="15.75" customHeight="1" x14ac:dyDescent="0.25">
      <c r="A865" s="194"/>
      <c r="B865" s="194"/>
      <c r="C865" s="194"/>
      <c r="D865" s="194"/>
      <c r="E865" s="194"/>
      <c r="F865" s="194"/>
      <c r="G865" s="194"/>
      <c r="H865" s="194"/>
      <c r="I865" s="194"/>
      <c r="J865" s="194"/>
      <c r="K865" s="194"/>
      <c r="L865" s="194"/>
      <c r="M865" s="194"/>
      <c r="N865" s="194"/>
      <c r="O865" s="194"/>
      <c r="P865" s="194"/>
      <c r="Q865" s="194"/>
      <c r="R865" s="194"/>
      <c r="S865" s="194"/>
      <c r="T865" s="194"/>
      <c r="U865" s="194"/>
      <c r="V865" s="194"/>
      <c r="W865" s="194"/>
      <c r="X865" s="194"/>
      <c r="Y865" s="194"/>
      <c r="Z865" s="194"/>
      <c r="AA865" s="194"/>
      <c r="AB865" s="194"/>
      <c r="AC865" s="194"/>
      <c r="AD865" s="194"/>
      <c r="AE865" s="194"/>
      <c r="AF865" s="194"/>
      <c r="AG865" s="194"/>
      <c r="AH865" s="194"/>
      <c r="AI865" s="194"/>
      <c r="AJ865" s="194"/>
      <c r="AK865" s="194"/>
      <c r="AL865" s="194"/>
      <c r="AM865" s="194"/>
    </row>
    <row r="866" spans="1:39" ht="15.75" customHeight="1" x14ac:dyDescent="0.25">
      <c r="A866" s="194"/>
      <c r="B866" s="194"/>
      <c r="C866" s="194"/>
      <c r="D866" s="194"/>
      <c r="E866" s="194"/>
      <c r="F866" s="194"/>
      <c r="G866" s="194"/>
      <c r="H866" s="194"/>
      <c r="I866" s="194"/>
      <c r="J866" s="194"/>
      <c r="K866" s="194"/>
      <c r="L866" s="194"/>
      <c r="M866" s="194"/>
      <c r="N866" s="194"/>
      <c r="O866" s="194"/>
      <c r="P866" s="194"/>
      <c r="Q866" s="194"/>
      <c r="R866" s="194"/>
      <c r="S866" s="194"/>
      <c r="T866" s="194"/>
      <c r="U866" s="194"/>
      <c r="V866" s="194"/>
      <c r="W866" s="194"/>
      <c r="X866" s="194"/>
      <c r="Y866" s="194"/>
      <c r="Z866" s="194"/>
      <c r="AA866" s="194"/>
      <c r="AB866" s="194"/>
      <c r="AC866" s="194"/>
      <c r="AD866" s="194"/>
      <c r="AE866" s="194"/>
      <c r="AF866" s="194"/>
      <c r="AG866" s="194"/>
      <c r="AH866" s="194"/>
      <c r="AI866" s="194"/>
      <c r="AJ866" s="194"/>
      <c r="AK866" s="194"/>
      <c r="AL866" s="194"/>
      <c r="AM866" s="194"/>
    </row>
    <row r="867" spans="1:39" ht="15.75" customHeight="1" x14ac:dyDescent="0.25">
      <c r="A867" s="194"/>
      <c r="B867" s="194"/>
      <c r="C867" s="194"/>
      <c r="D867" s="194"/>
      <c r="E867" s="194"/>
      <c r="F867" s="194"/>
      <c r="G867" s="194"/>
      <c r="H867" s="194"/>
      <c r="I867" s="194"/>
      <c r="J867" s="194"/>
      <c r="K867" s="194"/>
      <c r="L867" s="194"/>
      <c r="M867" s="194"/>
      <c r="N867" s="194"/>
      <c r="O867" s="194"/>
      <c r="P867" s="194"/>
      <c r="Q867" s="194"/>
      <c r="R867" s="194"/>
      <c r="S867" s="194"/>
      <c r="T867" s="194"/>
      <c r="U867" s="194"/>
      <c r="V867" s="194"/>
      <c r="W867" s="194"/>
      <c r="X867" s="194"/>
      <c r="Y867" s="194"/>
      <c r="Z867" s="194"/>
      <c r="AA867" s="194"/>
      <c r="AB867" s="194"/>
      <c r="AC867" s="194"/>
      <c r="AD867" s="194"/>
      <c r="AE867" s="194"/>
      <c r="AF867" s="194"/>
      <c r="AG867" s="194"/>
      <c r="AH867" s="194"/>
      <c r="AI867" s="194"/>
      <c r="AJ867" s="194"/>
      <c r="AK867" s="194"/>
      <c r="AL867" s="194"/>
      <c r="AM867" s="194"/>
    </row>
    <row r="868" spans="1:39" ht="15.75" customHeight="1" x14ac:dyDescent="0.25">
      <c r="A868" s="194"/>
      <c r="B868" s="194"/>
      <c r="C868" s="194"/>
      <c r="D868" s="194"/>
      <c r="E868" s="194"/>
      <c r="F868" s="194"/>
      <c r="G868" s="194"/>
      <c r="H868" s="194"/>
      <c r="I868" s="194"/>
      <c r="J868" s="194"/>
      <c r="K868" s="194"/>
      <c r="L868" s="194"/>
      <c r="M868" s="194"/>
      <c r="N868" s="194"/>
      <c r="O868" s="194"/>
      <c r="P868" s="194"/>
      <c r="Q868" s="194"/>
      <c r="R868" s="194"/>
      <c r="S868" s="194"/>
      <c r="T868" s="194"/>
      <c r="U868" s="194"/>
      <c r="V868" s="194"/>
      <c r="W868" s="194"/>
      <c r="X868" s="194"/>
      <c r="Y868" s="194"/>
      <c r="Z868" s="194"/>
      <c r="AA868" s="194"/>
      <c r="AB868" s="194"/>
      <c r="AC868" s="194"/>
      <c r="AD868" s="194"/>
      <c r="AE868" s="194"/>
      <c r="AF868" s="194"/>
      <c r="AG868" s="194"/>
      <c r="AH868" s="194"/>
      <c r="AI868" s="194"/>
      <c r="AJ868" s="194"/>
      <c r="AK868" s="194"/>
      <c r="AL868" s="194"/>
      <c r="AM868" s="194"/>
    </row>
    <row r="869" spans="1:39" ht="15.75" customHeight="1" x14ac:dyDescent="0.25">
      <c r="A869" s="194"/>
      <c r="B869" s="194"/>
      <c r="C869" s="194"/>
      <c r="D869" s="194"/>
      <c r="E869" s="194"/>
      <c r="F869" s="194"/>
      <c r="G869" s="194"/>
      <c r="H869" s="194"/>
      <c r="I869" s="194"/>
      <c r="J869" s="194"/>
      <c r="K869" s="194"/>
      <c r="L869" s="194"/>
      <c r="M869" s="194"/>
      <c r="N869" s="194"/>
      <c r="O869" s="194"/>
      <c r="P869" s="194"/>
      <c r="Q869" s="194"/>
      <c r="R869" s="194"/>
      <c r="S869" s="194"/>
      <c r="T869" s="194"/>
      <c r="U869" s="194"/>
      <c r="V869" s="194"/>
      <c r="W869" s="194"/>
      <c r="X869" s="194"/>
      <c r="Y869" s="194"/>
      <c r="Z869" s="194"/>
      <c r="AA869" s="194"/>
      <c r="AB869" s="194"/>
      <c r="AC869" s="194"/>
      <c r="AD869" s="194"/>
      <c r="AE869" s="194"/>
      <c r="AF869" s="194"/>
      <c r="AG869" s="194"/>
      <c r="AH869" s="194"/>
      <c r="AI869" s="194"/>
      <c r="AJ869" s="194"/>
      <c r="AK869" s="194"/>
      <c r="AL869" s="194"/>
      <c r="AM869" s="194"/>
    </row>
    <row r="870" spans="1:39" ht="15.75" customHeight="1" x14ac:dyDescent="0.25">
      <c r="A870" s="194"/>
      <c r="B870" s="194"/>
      <c r="C870" s="194"/>
      <c r="D870" s="194"/>
      <c r="E870" s="194"/>
      <c r="F870" s="194"/>
      <c r="G870" s="194"/>
      <c r="H870" s="194"/>
      <c r="I870" s="194"/>
      <c r="J870" s="194"/>
      <c r="K870" s="194"/>
      <c r="L870" s="194"/>
      <c r="M870" s="194"/>
      <c r="N870" s="194"/>
      <c r="O870" s="194"/>
      <c r="P870" s="194"/>
      <c r="Q870" s="194"/>
      <c r="R870" s="194"/>
      <c r="S870" s="194"/>
      <c r="T870" s="194"/>
      <c r="U870" s="194"/>
      <c r="V870" s="194"/>
      <c r="W870" s="194"/>
      <c r="X870" s="194"/>
      <c r="Y870" s="194"/>
      <c r="Z870" s="194"/>
      <c r="AA870" s="194"/>
      <c r="AB870" s="194"/>
      <c r="AC870" s="194"/>
      <c r="AD870" s="194"/>
      <c r="AE870" s="194"/>
      <c r="AF870" s="194"/>
      <c r="AG870" s="194"/>
      <c r="AH870" s="194"/>
      <c r="AI870" s="194"/>
      <c r="AJ870" s="194"/>
      <c r="AK870" s="194"/>
      <c r="AL870" s="194"/>
      <c r="AM870" s="194"/>
    </row>
    <row r="871" spans="1:39" ht="15.75" customHeight="1" x14ac:dyDescent="0.25">
      <c r="A871" s="194"/>
      <c r="B871" s="194"/>
      <c r="C871" s="194"/>
      <c r="D871" s="194"/>
      <c r="E871" s="194"/>
      <c r="F871" s="194"/>
      <c r="G871" s="194"/>
      <c r="H871" s="194"/>
      <c r="I871" s="194"/>
      <c r="J871" s="194"/>
      <c r="K871" s="194"/>
      <c r="L871" s="194"/>
      <c r="M871" s="194"/>
      <c r="N871" s="194"/>
      <c r="O871" s="194"/>
      <c r="P871" s="194"/>
      <c r="Q871" s="194"/>
      <c r="R871" s="194"/>
      <c r="S871" s="194"/>
      <c r="T871" s="194"/>
      <c r="U871" s="194"/>
      <c r="V871" s="194"/>
      <c r="W871" s="194"/>
      <c r="X871" s="194"/>
      <c r="Y871" s="194"/>
      <c r="Z871" s="194"/>
      <c r="AA871" s="194"/>
      <c r="AB871" s="194"/>
      <c r="AC871" s="194"/>
      <c r="AD871" s="194"/>
      <c r="AE871" s="194"/>
      <c r="AF871" s="194"/>
      <c r="AG871" s="194"/>
      <c r="AH871" s="194"/>
      <c r="AI871" s="194"/>
      <c r="AJ871" s="194"/>
      <c r="AK871" s="194"/>
      <c r="AL871" s="194"/>
      <c r="AM871" s="194"/>
    </row>
    <row r="872" spans="1:39" ht="15.75" customHeight="1" x14ac:dyDescent="0.25">
      <c r="A872" s="194"/>
      <c r="B872" s="194"/>
      <c r="C872" s="194"/>
      <c r="D872" s="194"/>
      <c r="E872" s="194"/>
      <c r="F872" s="194"/>
      <c r="G872" s="194"/>
      <c r="H872" s="194"/>
      <c r="I872" s="194"/>
      <c r="J872" s="194"/>
      <c r="K872" s="194"/>
      <c r="L872" s="194"/>
      <c r="M872" s="194"/>
      <c r="N872" s="194"/>
      <c r="O872" s="194"/>
      <c r="P872" s="194"/>
      <c r="Q872" s="194"/>
      <c r="R872" s="194"/>
      <c r="S872" s="194"/>
      <c r="T872" s="194"/>
      <c r="U872" s="194"/>
      <c r="V872" s="194"/>
      <c r="W872" s="194"/>
      <c r="X872" s="194"/>
      <c r="Y872" s="194"/>
      <c r="Z872" s="194"/>
      <c r="AA872" s="194"/>
      <c r="AB872" s="194"/>
      <c r="AC872" s="194"/>
      <c r="AD872" s="194"/>
      <c r="AE872" s="194"/>
      <c r="AF872" s="194"/>
      <c r="AG872" s="194"/>
      <c r="AH872" s="194"/>
      <c r="AI872" s="194"/>
      <c r="AJ872" s="194"/>
      <c r="AK872" s="194"/>
      <c r="AL872" s="194"/>
      <c r="AM872" s="194"/>
    </row>
    <row r="873" spans="1:39" ht="15.75" customHeight="1" x14ac:dyDescent="0.25">
      <c r="A873" s="194"/>
      <c r="B873" s="194"/>
      <c r="C873" s="194"/>
      <c r="D873" s="194"/>
      <c r="E873" s="194"/>
      <c r="F873" s="194"/>
      <c r="G873" s="194"/>
      <c r="H873" s="194"/>
      <c r="I873" s="194"/>
      <c r="J873" s="194"/>
      <c r="K873" s="194"/>
      <c r="L873" s="194"/>
      <c r="M873" s="194"/>
      <c r="N873" s="194"/>
      <c r="O873" s="194"/>
      <c r="P873" s="194"/>
      <c r="Q873" s="194"/>
      <c r="R873" s="194"/>
      <c r="S873" s="194"/>
      <c r="T873" s="194"/>
      <c r="U873" s="194"/>
      <c r="V873" s="194"/>
      <c r="W873" s="194"/>
      <c r="X873" s="194"/>
      <c r="Y873" s="194"/>
      <c r="Z873" s="194"/>
      <c r="AA873" s="194"/>
      <c r="AB873" s="194"/>
      <c r="AC873" s="194"/>
      <c r="AD873" s="194"/>
      <c r="AE873" s="194"/>
      <c r="AF873" s="194"/>
      <c r="AG873" s="194"/>
      <c r="AH873" s="194"/>
      <c r="AI873" s="194"/>
      <c r="AJ873" s="194"/>
      <c r="AK873" s="194"/>
      <c r="AL873" s="194"/>
      <c r="AM873" s="194"/>
    </row>
    <row r="874" spans="1:39" ht="15.75" customHeight="1" x14ac:dyDescent="0.25">
      <c r="A874" s="194"/>
      <c r="B874" s="194"/>
      <c r="C874" s="194"/>
      <c r="D874" s="194"/>
      <c r="E874" s="194"/>
      <c r="F874" s="194"/>
      <c r="G874" s="194"/>
      <c r="H874" s="194"/>
      <c r="I874" s="194"/>
      <c r="J874" s="194"/>
      <c r="K874" s="194"/>
      <c r="L874" s="194"/>
      <c r="M874" s="194"/>
      <c r="N874" s="194"/>
      <c r="O874" s="194"/>
      <c r="P874" s="194"/>
      <c r="Q874" s="194"/>
      <c r="R874" s="194"/>
      <c r="S874" s="194"/>
      <c r="T874" s="194"/>
      <c r="U874" s="194"/>
      <c r="V874" s="194"/>
      <c r="W874" s="194"/>
      <c r="X874" s="194"/>
      <c r="Y874" s="194"/>
      <c r="Z874" s="194"/>
      <c r="AA874" s="194"/>
      <c r="AB874" s="194"/>
      <c r="AC874" s="194"/>
      <c r="AD874" s="194"/>
      <c r="AE874" s="194"/>
      <c r="AF874" s="194"/>
      <c r="AG874" s="194"/>
      <c r="AH874" s="194"/>
      <c r="AI874" s="194"/>
      <c r="AJ874" s="194"/>
      <c r="AK874" s="194"/>
      <c r="AL874" s="194"/>
      <c r="AM874" s="194"/>
    </row>
    <row r="875" spans="1:39" ht="15.75" customHeight="1" x14ac:dyDescent="0.25">
      <c r="A875" s="194"/>
      <c r="B875" s="194"/>
      <c r="C875" s="194"/>
      <c r="D875" s="194"/>
      <c r="E875" s="194"/>
      <c r="F875" s="194"/>
      <c r="G875" s="194"/>
      <c r="H875" s="194"/>
      <c r="I875" s="194"/>
      <c r="J875" s="194"/>
      <c r="K875" s="194"/>
      <c r="L875" s="194"/>
      <c r="M875" s="194"/>
      <c r="N875" s="194"/>
      <c r="O875" s="194"/>
      <c r="P875" s="194"/>
      <c r="Q875" s="194"/>
      <c r="R875" s="194"/>
      <c r="S875" s="194"/>
      <c r="T875" s="194"/>
      <c r="U875" s="194"/>
      <c r="V875" s="194"/>
      <c r="W875" s="194"/>
      <c r="X875" s="194"/>
      <c r="Y875" s="194"/>
      <c r="Z875" s="194"/>
      <c r="AA875" s="194"/>
      <c r="AB875" s="194"/>
      <c r="AC875" s="194"/>
      <c r="AD875" s="194"/>
      <c r="AE875" s="194"/>
      <c r="AF875" s="194"/>
      <c r="AG875" s="194"/>
      <c r="AH875" s="194"/>
      <c r="AI875" s="194"/>
      <c r="AJ875" s="194"/>
      <c r="AK875" s="194"/>
      <c r="AL875" s="194"/>
      <c r="AM875" s="194"/>
    </row>
    <row r="876" spans="1:39" ht="15.75" customHeight="1" x14ac:dyDescent="0.25">
      <c r="A876" s="194"/>
      <c r="B876" s="194"/>
      <c r="C876" s="194"/>
      <c r="D876" s="194"/>
      <c r="E876" s="194"/>
      <c r="F876" s="194"/>
      <c r="G876" s="194"/>
      <c r="H876" s="194"/>
      <c r="I876" s="194"/>
      <c r="J876" s="194"/>
      <c r="K876" s="194"/>
      <c r="L876" s="194"/>
      <c r="M876" s="194"/>
      <c r="N876" s="194"/>
      <c r="O876" s="194"/>
      <c r="P876" s="194"/>
      <c r="Q876" s="194"/>
      <c r="R876" s="194"/>
      <c r="S876" s="194"/>
      <c r="T876" s="194"/>
      <c r="U876" s="194"/>
      <c r="V876" s="194"/>
      <c r="W876" s="194"/>
      <c r="X876" s="194"/>
      <c r="Y876" s="194"/>
      <c r="Z876" s="194"/>
      <c r="AA876" s="194"/>
      <c r="AB876" s="194"/>
      <c r="AC876" s="194"/>
      <c r="AD876" s="194"/>
      <c r="AE876" s="194"/>
      <c r="AF876" s="194"/>
      <c r="AG876" s="194"/>
      <c r="AH876" s="194"/>
      <c r="AI876" s="194"/>
      <c r="AJ876" s="194"/>
      <c r="AK876" s="194"/>
      <c r="AL876" s="194"/>
      <c r="AM876" s="194"/>
    </row>
    <row r="877" spans="1:39" ht="15.75" customHeight="1" x14ac:dyDescent="0.25">
      <c r="A877" s="194"/>
      <c r="B877" s="194"/>
      <c r="C877" s="194"/>
      <c r="D877" s="194"/>
      <c r="E877" s="194"/>
      <c r="F877" s="194"/>
      <c r="G877" s="194"/>
      <c r="H877" s="194"/>
      <c r="I877" s="194"/>
      <c r="J877" s="194"/>
      <c r="K877" s="194"/>
      <c r="L877" s="194"/>
      <c r="M877" s="194"/>
      <c r="N877" s="194"/>
      <c r="O877" s="194"/>
      <c r="P877" s="194"/>
      <c r="Q877" s="194"/>
      <c r="R877" s="194"/>
      <c r="S877" s="194"/>
      <c r="T877" s="194"/>
      <c r="U877" s="194"/>
      <c r="V877" s="194"/>
      <c r="W877" s="194"/>
      <c r="X877" s="194"/>
      <c r="Y877" s="194"/>
      <c r="Z877" s="194"/>
      <c r="AA877" s="194"/>
      <c r="AB877" s="194"/>
      <c r="AC877" s="194"/>
      <c r="AD877" s="194"/>
      <c r="AE877" s="194"/>
      <c r="AF877" s="194"/>
      <c r="AG877" s="194"/>
      <c r="AH877" s="194"/>
      <c r="AI877" s="194"/>
      <c r="AJ877" s="194"/>
      <c r="AK877" s="194"/>
      <c r="AL877" s="194"/>
      <c r="AM877" s="194"/>
    </row>
    <row r="878" spans="1:39" ht="15.75" customHeight="1" x14ac:dyDescent="0.25">
      <c r="A878" s="194"/>
      <c r="B878" s="194"/>
      <c r="C878" s="194"/>
      <c r="D878" s="194"/>
      <c r="E878" s="194"/>
      <c r="F878" s="194"/>
      <c r="G878" s="194"/>
      <c r="H878" s="194"/>
      <c r="I878" s="194"/>
      <c r="J878" s="194"/>
      <c r="K878" s="194"/>
      <c r="L878" s="194"/>
      <c r="M878" s="194"/>
      <c r="N878" s="194"/>
      <c r="O878" s="194"/>
      <c r="P878" s="194"/>
      <c r="Q878" s="194"/>
      <c r="R878" s="194"/>
      <c r="S878" s="194"/>
      <c r="T878" s="194"/>
      <c r="U878" s="194"/>
      <c r="V878" s="194"/>
      <c r="W878" s="194"/>
      <c r="X878" s="194"/>
      <c r="Y878" s="194"/>
      <c r="Z878" s="194"/>
      <c r="AA878" s="194"/>
      <c r="AB878" s="194"/>
      <c r="AC878" s="194"/>
      <c r="AD878" s="194"/>
      <c r="AE878" s="194"/>
      <c r="AF878" s="194"/>
      <c r="AG878" s="194"/>
      <c r="AH878" s="194"/>
      <c r="AI878" s="194"/>
      <c r="AJ878" s="194"/>
      <c r="AK878" s="194"/>
      <c r="AL878" s="194"/>
      <c r="AM878" s="194"/>
    </row>
    <row r="879" spans="1:39" ht="15.75" customHeight="1" x14ac:dyDescent="0.25">
      <c r="A879" s="194"/>
      <c r="B879" s="194"/>
      <c r="C879" s="194"/>
      <c r="D879" s="194"/>
      <c r="E879" s="194"/>
      <c r="F879" s="194"/>
      <c r="G879" s="194"/>
      <c r="H879" s="194"/>
      <c r="I879" s="194"/>
      <c r="J879" s="194"/>
      <c r="K879" s="194"/>
      <c r="L879" s="194"/>
      <c r="M879" s="194"/>
      <c r="N879" s="194"/>
      <c r="O879" s="194"/>
      <c r="P879" s="194"/>
      <c r="Q879" s="194"/>
      <c r="R879" s="194"/>
      <c r="S879" s="194"/>
      <c r="T879" s="194"/>
      <c r="U879" s="194"/>
      <c r="V879" s="194"/>
      <c r="W879" s="194"/>
      <c r="X879" s="194"/>
      <c r="Y879" s="194"/>
      <c r="Z879" s="194"/>
      <c r="AA879" s="194"/>
      <c r="AB879" s="194"/>
      <c r="AC879" s="194"/>
      <c r="AD879" s="194"/>
      <c r="AE879" s="194"/>
      <c r="AF879" s="194"/>
      <c r="AG879" s="194"/>
      <c r="AH879" s="194"/>
      <c r="AI879" s="194"/>
      <c r="AJ879" s="194"/>
      <c r="AK879" s="194"/>
      <c r="AL879" s="194"/>
      <c r="AM879" s="194"/>
    </row>
    <row r="880" spans="1:39" ht="15.75" customHeight="1" x14ac:dyDescent="0.25">
      <c r="A880" s="194"/>
      <c r="B880" s="194"/>
      <c r="C880" s="194"/>
      <c r="D880" s="194"/>
      <c r="E880" s="194"/>
      <c r="F880" s="194"/>
      <c r="G880" s="194"/>
      <c r="H880" s="194"/>
      <c r="I880" s="194"/>
      <c r="J880" s="194"/>
      <c r="K880" s="194"/>
      <c r="L880" s="194"/>
      <c r="M880" s="194"/>
      <c r="N880" s="194"/>
      <c r="O880" s="194"/>
      <c r="P880" s="194"/>
      <c r="Q880" s="194"/>
      <c r="R880" s="194"/>
      <c r="S880" s="194"/>
      <c r="T880" s="194"/>
      <c r="U880" s="194"/>
      <c r="V880" s="194"/>
      <c r="W880" s="194"/>
      <c r="X880" s="194"/>
      <c r="Y880" s="194"/>
      <c r="Z880" s="194"/>
      <c r="AA880" s="194"/>
      <c r="AB880" s="194"/>
      <c r="AC880" s="194"/>
      <c r="AD880" s="194"/>
      <c r="AE880" s="194"/>
      <c r="AF880" s="194"/>
      <c r="AG880" s="194"/>
      <c r="AH880" s="194"/>
      <c r="AI880" s="194"/>
      <c r="AJ880" s="194"/>
      <c r="AK880" s="194"/>
      <c r="AL880" s="194"/>
      <c r="AM880" s="194"/>
    </row>
    <row r="881" spans="1:39" ht="15.75" customHeight="1" x14ac:dyDescent="0.25">
      <c r="A881" s="194"/>
      <c r="B881" s="194"/>
      <c r="C881" s="194"/>
      <c r="D881" s="194"/>
      <c r="E881" s="194"/>
      <c r="F881" s="194"/>
      <c r="G881" s="194"/>
      <c r="H881" s="194"/>
      <c r="I881" s="194"/>
      <c r="J881" s="194"/>
      <c r="K881" s="194"/>
      <c r="L881" s="194"/>
      <c r="M881" s="194"/>
      <c r="N881" s="194"/>
      <c r="O881" s="194"/>
      <c r="P881" s="194"/>
      <c r="Q881" s="194"/>
      <c r="R881" s="194"/>
      <c r="S881" s="194"/>
      <c r="T881" s="194"/>
      <c r="U881" s="194"/>
      <c r="V881" s="194"/>
      <c r="W881" s="194"/>
      <c r="X881" s="194"/>
      <c r="Y881" s="194"/>
      <c r="Z881" s="194"/>
      <c r="AA881" s="194"/>
      <c r="AB881" s="194"/>
      <c r="AC881" s="194"/>
      <c r="AD881" s="194"/>
      <c r="AE881" s="194"/>
      <c r="AF881" s="194"/>
      <c r="AG881" s="194"/>
      <c r="AH881" s="194"/>
      <c r="AI881" s="194"/>
      <c r="AJ881" s="194"/>
      <c r="AK881" s="194"/>
      <c r="AL881" s="194"/>
      <c r="AM881" s="194"/>
    </row>
    <row r="882" spans="1:39" ht="15.75" customHeight="1" x14ac:dyDescent="0.25">
      <c r="A882" s="194"/>
      <c r="B882" s="194"/>
      <c r="C882" s="194"/>
      <c r="D882" s="194"/>
      <c r="E882" s="194"/>
      <c r="F882" s="194"/>
      <c r="G882" s="194"/>
      <c r="H882" s="194"/>
      <c r="I882" s="194"/>
      <c r="J882" s="194"/>
      <c r="K882" s="194"/>
      <c r="L882" s="194"/>
      <c r="M882" s="194"/>
      <c r="N882" s="194"/>
      <c r="O882" s="194"/>
      <c r="P882" s="194"/>
      <c r="Q882" s="194"/>
      <c r="R882" s="194"/>
      <c r="S882" s="194"/>
      <c r="T882" s="194"/>
      <c r="U882" s="194"/>
      <c r="V882" s="194"/>
      <c r="W882" s="194"/>
      <c r="X882" s="194"/>
      <c r="Y882" s="194"/>
      <c r="Z882" s="194"/>
      <c r="AA882" s="194"/>
      <c r="AB882" s="194"/>
      <c r="AC882" s="194"/>
      <c r="AD882" s="194"/>
      <c r="AE882" s="194"/>
      <c r="AF882" s="194"/>
      <c r="AG882" s="194"/>
      <c r="AH882" s="194"/>
      <c r="AI882" s="194"/>
      <c r="AJ882" s="194"/>
      <c r="AK882" s="194"/>
      <c r="AL882" s="194"/>
      <c r="AM882" s="194"/>
    </row>
    <row r="883" spans="1:39" ht="15.75" customHeight="1" x14ac:dyDescent="0.25">
      <c r="A883" s="194"/>
      <c r="B883" s="194"/>
      <c r="C883" s="194"/>
      <c r="D883" s="194"/>
      <c r="E883" s="194"/>
      <c r="F883" s="194"/>
      <c r="G883" s="194"/>
      <c r="H883" s="194"/>
      <c r="I883" s="194"/>
      <c r="J883" s="194"/>
      <c r="K883" s="194"/>
      <c r="L883" s="194"/>
      <c r="M883" s="194"/>
      <c r="N883" s="194"/>
      <c r="O883" s="194"/>
      <c r="P883" s="194"/>
      <c r="Q883" s="194"/>
      <c r="R883" s="194"/>
      <c r="S883" s="194"/>
      <c r="T883" s="194"/>
      <c r="U883" s="194"/>
      <c r="V883" s="194"/>
      <c r="W883" s="194"/>
      <c r="X883" s="194"/>
      <c r="Y883" s="194"/>
      <c r="Z883" s="194"/>
      <c r="AA883" s="194"/>
      <c r="AB883" s="194"/>
      <c r="AC883" s="194"/>
      <c r="AD883" s="194"/>
      <c r="AE883" s="194"/>
      <c r="AF883" s="194"/>
      <c r="AG883" s="194"/>
      <c r="AH883" s="194"/>
      <c r="AI883" s="194"/>
      <c r="AJ883" s="194"/>
      <c r="AK883" s="194"/>
      <c r="AL883" s="194"/>
      <c r="AM883" s="194"/>
    </row>
    <row r="884" spans="1:39" ht="15.75" customHeight="1" x14ac:dyDescent="0.25">
      <c r="A884" s="194"/>
      <c r="B884" s="194"/>
      <c r="C884" s="194"/>
      <c r="D884" s="194"/>
      <c r="E884" s="194"/>
      <c r="F884" s="194"/>
      <c r="G884" s="194"/>
      <c r="H884" s="194"/>
      <c r="I884" s="194"/>
      <c r="J884" s="194"/>
      <c r="K884" s="194"/>
      <c r="L884" s="194"/>
      <c r="M884" s="194"/>
      <c r="N884" s="194"/>
      <c r="O884" s="194"/>
      <c r="P884" s="194"/>
      <c r="Q884" s="194"/>
      <c r="R884" s="194"/>
      <c r="S884" s="194"/>
      <c r="T884" s="194"/>
      <c r="U884" s="194"/>
      <c r="V884" s="194"/>
      <c r="W884" s="194"/>
      <c r="X884" s="194"/>
      <c r="Y884" s="194"/>
      <c r="Z884" s="194"/>
      <c r="AA884" s="194"/>
      <c r="AB884" s="194"/>
      <c r="AC884" s="194"/>
      <c r="AD884" s="194"/>
      <c r="AE884" s="194"/>
      <c r="AF884" s="194"/>
      <c r="AG884" s="194"/>
      <c r="AH884" s="194"/>
      <c r="AI884" s="194"/>
      <c r="AJ884" s="194"/>
      <c r="AK884" s="194"/>
      <c r="AL884" s="194"/>
      <c r="AM884" s="194"/>
    </row>
    <row r="885" spans="1:39" ht="15.75" customHeight="1" x14ac:dyDescent="0.25">
      <c r="A885" s="194"/>
      <c r="B885" s="194"/>
      <c r="C885" s="194"/>
      <c r="D885" s="194"/>
      <c r="E885" s="194"/>
      <c r="F885" s="194"/>
      <c r="G885" s="194"/>
      <c r="H885" s="194"/>
      <c r="I885" s="194"/>
      <c r="J885" s="194"/>
      <c r="K885" s="194"/>
      <c r="L885" s="194"/>
      <c r="M885" s="194"/>
      <c r="N885" s="194"/>
      <c r="O885" s="194"/>
      <c r="P885" s="194"/>
      <c r="Q885" s="194"/>
      <c r="R885" s="194"/>
      <c r="S885" s="194"/>
      <c r="T885" s="194"/>
      <c r="U885" s="194"/>
      <c r="V885" s="194"/>
      <c r="W885" s="194"/>
      <c r="X885" s="194"/>
      <c r="Y885" s="194"/>
      <c r="Z885" s="194"/>
      <c r="AA885" s="194"/>
      <c r="AB885" s="194"/>
      <c r="AC885" s="194"/>
      <c r="AD885" s="194"/>
      <c r="AE885" s="194"/>
      <c r="AF885" s="194"/>
      <c r="AG885" s="194"/>
      <c r="AH885" s="194"/>
      <c r="AI885" s="194"/>
      <c r="AJ885" s="194"/>
      <c r="AK885" s="194"/>
      <c r="AL885" s="194"/>
      <c r="AM885" s="194"/>
    </row>
    <row r="886" spans="1:39" ht="15.75" customHeight="1" x14ac:dyDescent="0.25">
      <c r="A886" s="194"/>
      <c r="B886" s="194"/>
      <c r="C886" s="194"/>
      <c r="D886" s="194"/>
      <c r="E886" s="194"/>
      <c r="F886" s="194"/>
      <c r="G886" s="194"/>
      <c r="H886" s="194"/>
      <c r="I886" s="194"/>
      <c r="J886" s="194"/>
      <c r="K886" s="194"/>
      <c r="L886" s="194"/>
      <c r="M886" s="194"/>
      <c r="N886" s="194"/>
      <c r="O886" s="194"/>
      <c r="P886" s="194"/>
      <c r="Q886" s="194"/>
      <c r="R886" s="194"/>
      <c r="S886" s="194"/>
      <c r="T886" s="194"/>
      <c r="U886" s="194"/>
      <c r="V886" s="194"/>
      <c r="W886" s="194"/>
      <c r="X886" s="194"/>
      <c r="Y886" s="194"/>
      <c r="Z886" s="194"/>
      <c r="AA886" s="194"/>
      <c r="AB886" s="194"/>
      <c r="AC886" s="194"/>
      <c r="AD886" s="194"/>
      <c r="AE886" s="194"/>
      <c r="AF886" s="194"/>
      <c r="AG886" s="194"/>
      <c r="AH886" s="194"/>
      <c r="AI886" s="194"/>
      <c r="AJ886" s="194"/>
      <c r="AK886" s="194"/>
      <c r="AL886" s="194"/>
      <c r="AM886" s="194"/>
    </row>
    <row r="887" spans="1:39" ht="15.75" customHeight="1" x14ac:dyDescent="0.25">
      <c r="A887" s="194"/>
      <c r="B887" s="194"/>
      <c r="C887" s="194"/>
      <c r="D887" s="194"/>
      <c r="E887" s="194"/>
      <c r="F887" s="194"/>
      <c r="G887" s="194"/>
      <c r="H887" s="194"/>
      <c r="I887" s="194"/>
      <c r="J887" s="194"/>
      <c r="K887" s="194"/>
      <c r="L887" s="194"/>
      <c r="M887" s="194"/>
      <c r="N887" s="194"/>
      <c r="O887" s="194"/>
      <c r="P887" s="194"/>
      <c r="Q887" s="194"/>
      <c r="R887" s="194"/>
      <c r="S887" s="194"/>
      <c r="T887" s="194"/>
      <c r="U887" s="194"/>
      <c r="V887" s="194"/>
      <c r="W887" s="194"/>
      <c r="X887" s="194"/>
      <c r="Y887" s="194"/>
      <c r="Z887" s="194"/>
      <c r="AA887" s="194"/>
      <c r="AB887" s="194"/>
      <c r="AC887" s="194"/>
      <c r="AD887" s="194"/>
      <c r="AE887" s="194"/>
      <c r="AF887" s="194"/>
      <c r="AG887" s="194"/>
      <c r="AH887" s="194"/>
      <c r="AI887" s="194"/>
      <c r="AJ887" s="194"/>
      <c r="AK887" s="194"/>
      <c r="AL887" s="194"/>
      <c r="AM887" s="194"/>
    </row>
    <row r="888" spans="1:39" ht="15.75" customHeight="1" x14ac:dyDescent="0.25">
      <c r="A888" s="194"/>
      <c r="B888" s="194"/>
      <c r="C888" s="194"/>
      <c r="D888" s="194"/>
      <c r="E888" s="194"/>
      <c r="F888" s="194"/>
      <c r="G888" s="194"/>
      <c r="H888" s="194"/>
      <c r="I888" s="194"/>
      <c r="J888" s="194"/>
      <c r="K888" s="194"/>
      <c r="L888" s="194"/>
      <c r="M888" s="194"/>
      <c r="N888" s="194"/>
      <c r="O888" s="194"/>
      <c r="P888" s="194"/>
      <c r="Q888" s="194"/>
      <c r="R888" s="194"/>
      <c r="S888" s="194"/>
      <c r="T888" s="194"/>
      <c r="U888" s="194"/>
      <c r="V888" s="194"/>
      <c r="W888" s="194"/>
      <c r="X888" s="194"/>
      <c r="Y888" s="194"/>
      <c r="Z888" s="194"/>
      <c r="AA888" s="194"/>
      <c r="AB888" s="194"/>
      <c r="AC888" s="194"/>
      <c r="AD888" s="194"/>
      <c r="AE888" s="194"/>
      <c r="AF888" s="194"/>
      <c r="AG888" s="194"/>
      <c r="AH888" s="194"/>
      <c r="AI888" s="194"/>
      <c r="AJ888" s="194"/>
      <c r="AK888" s="194"/>
      <c r="AL888" s="194"/>
      <c r="AM888" s="194"/>
    </row>
    <row r="889" spans="1:39" ht="15.75" customHeight="1" x14ac:dyDescent="0.25">
      <c r="A889" s="194"/>
      <c r="B889" s="194"/>
      <c r="C889" s="194"/>
      <c r="D889" s="194"/>
      <c r="E889" s="194"/>
      <c r="F889" s="194"/>
      <c r="G889" s="194"/>
      <c r="H889" s="194"/>
      <c r="I889" s="194"/>
      <c r="J889" s="194"/>
      <c r="K889" s="194"/>
      <c r="L889" s="194"/>
      <c r="M889" s="194"/>
      <c r="N889" s="194"/>
      <c r="O889" s="194"/>
      <c r="P889" s="194"/>
      <c r="Q889" s="194"/>
      <c r="R889" s="194"/>
      <c r="S889" s="194"/>
      <c r="T889" s="194"/>
      <c r="U889" s="194"/>
      <c r="V889" s="194"/>
      <c r="W889" s="194"/>
      <c r="X889" s="194"/>
      <c r="Y889" s="194"/>
      <c r="Z889" s="194"/>
      <c r="AA889" s="194"/>
      <c r="AB889" s="194"/>
      <c r="AC889" s="194"/>
      <c r="AD889" s="194"/>
      <c r="AE889" s="194"/>
      <c r="AF889" s="194"/>
      <c r="AG889" s="194"/>
      <c r="AH889" s="194"/>
      <c r="AI889" s="194"/>
      <c r="AJ889" s="194"/>
      <c r="AK889" s="194"/>
      <c r="AL889" s="194"/>
      <c r="AM889" s="194"/>
    </row>
    <row r="890" spans="1:39" ht="15.75" customHeight="1" x14ac:dyDescent="0.25">
      <c r="A890" s="194"/>
      <c r="B890" s="194"/>
      <c r="C890" s="194"/>
      <c r="D890" s="194"/>
      <c r="E890" s="194"/>
      <c r="F890" s="194"/>
      <c r="G890" s="194"/>
      <c r="H890" s="194"/>
      <c r="I890" s="194"/>
      <c r="J890" s="194"/>
      <c r="K890" s="194"/>
      <c r="L890" s="194"/>
      <c r="M890" s="194"/>
      <c r="N890" s="194"/>
      <c r="O890" s="194"/>
      <c r="P890" s="194"/>
      <c r="Q890" s="194"/>
      <c r="R890" s="194"/>
      <c r="S890" s="194"/>
      <c r="T890" s="194"/>
      <c r="U890" s="194"/>
      <c r="V890" s="194"/>
      <c r="W890" s="194"/>
      <c r="X890" s="194"/>
      <c r="Y890" s="194"/>
      <c r="Z890" s="194"/>
      <c r="AA890" s="194"/>
      <c r="AB890" s="194"/>
      <c r="AC890" s="194"/>
      <c r="AD890" s="194"/>
      <c r="AE890" s="194"/>
      <c r="AF890" s="194"/>
      <c r="AG890" s="194"/>
      <c r="AH890" s="194"/>
      <c r="AI890" s="194"/>
      <c r="AJ890" s="194"/>
      <c r="AK890" s="194"/>
      <c r="AL890" s="194"/>
      <c r="AM890" s="194"/>
    </row>
    <row r="891" spans="1:39" ht="15.75" customHeight="1" x14ac:dyDescent="0.25">
      <c r="A891" s="194"/>
      <c r="B891" s="194"/>
      <c r="C891" s="194"/>
      <c r="D891" s="194"/>
      <c r="E891" s="194"/>
      <c r="F891" s="194"/>
      <c r="G891" s="194"/>
      <c r="H891" s="194"/>
      <c r="I891" s="194"/>
      <c r="J891" s="194"/>
      <c r="K891" s="194"/>
      <c r="L891" s="194"/>
      <c r="M891" s="194"/>
      <c r="N891" s="194"/>
      <c r="O891" s="194"/>
      <c r="P891" s="194"/>
      <c r="Q891" s="194"/>
      <c r="R891" s="194"/>
      <c r="S891" s="194"/>
      <c r="T891" s="194"/>
      <c r="U891" s="194"/>
      <c r="V891" s="194"/>
      <c r="W891" s="194"/>
      <c r="X891" s="194"/>
      <c r="Y891" s="194"/>
      <c r="Z891" s="194"/>
      <c r="AA891" s="194"/>
      <c r="AB891" s="194"/>
      <c r="AC891" s="194"/>
      <c r="AD891" s="194"/>
      <c r="AE891" s="194"/>
      <c r="AF891" s="194"/>
      <c r="AG891" s="194"/>
      <c r="AH891" s="194"/>
      <c r="AI891" s="194"/>
      <c r="AJ891" s="194"/>
      <c r="AK891" s="194"/>
      <c r="AL891" s="194"/>
      <c r="AM891" s="194"/>
    </row>
    <row r="892" spans="1:39" ht="15.75" customHeight="1" x14ac:dyDescent="0.25">
      <c r="A892" s="194"/>
      <c r="B892" s="194"/>
      <c r="C892" s="194"/>
      <c r="D892" s="194"/>
      <c r="E892" s="194"/>
      <c r="F892" s="194"/>
      <c r="G892" s="194"/>
      <c r="H892" s="194"/>
      <c r="I892" s="194"/>
      <c r="J892" s="194"/>
      <c r="K892" s="194"/>
      <c r="L892" s="194"/>
      <c r="M892" s="194"/>
      <c r="N892" s="194"/>
      <c r="O892" s="194"/>
      <c r="P892" s="194"/>
      <c r="Q892" s="194"/>
      <c r="R892" s="194"/>
      <c r="S892" s="194"/>
      <c r="T892" s="194"/>
      <c r="U892" s="194"/>
      <c r="V892" s="194"/>
      <c r="W892" s="194"/>
      <c r="X892" s="194"/>
      <c r="Y892" s="194"/>
      <c r="Z892" s="194"/>
      <c r="AA892" s="194"/>
      <c r="AB892" s="194"/>
      <c r="AC892" s="194"/>
      <c r="AD892" s="194"/>
      <c r="AE892" s="194"/>
      <c r="AF892" s="194"/>
      <c r="AG892" s="194"/>
      <c r="AH892" s="194"/>
      <c r="AI892" s="194"/>
      <c r="AJ892" s="194"/>
      <c r="AK892" s="194"/>
      <c r="AL892" s="194"/>
      <c r="AM892" s="194"/>
    </row>
    <row r="893" spans="1:39" ht="15.75" customHeight="1" x14ac:dyDescent="0.25">
      <c r="A893" s="194"/>
      <c r="B893" s="194"/>
      <c r="C893" s="194"/>
      <c r="D893" s="194"/>
      <c r="E893" s="194"/>
      <c r="F893" s="194"/>
      <c r="G893" s="194"/>
      <c r="H893" s="194"/>
      <c r="I893" s="194"/>
      <c r="J893" s="194"/>
      <c r="K893" s="194"/>
      <c r="L893" s="194"/>
      <c r="M893" s="194"/>
      <c r="N893" s="194"/>
      <c r="O893" s="194"/>
      <c r="P893" s="194"/>
      <c r="Q893" s="194"/>
      <c r="R893" s="194"/>
      <c r="S893" s="194"/>
      <c r="T893" s="194"/>
      <c r="U893" s="194"/>
      <c r="V893" s="194"/>
      <c r="W893" s="194"/>
      <c r="X893" s="194"/>
      <c r="Y893" s="194"/>
      <c r="Z893" s="194"/>
      <c r="AA893" s="194"/>
      <c r="AB893" s="194"/>
      <c r="AC893" s="194"/>
      <c r="AD893" s="194"/>
      <c r="AE893" s="194"/>
      <c r="AF893" s="194"/>
      <c r="AG893" s="194"/>
      <c r="AH893" s="194"/>
      <c r="AI893" s="194"/>
      <c r="AJ893" s="194"/>
      <c r="AK893" s="194"/>
      <c r="AL893" s="194"/>
      <c r="AM893" s="194"/>
    </row>
    <row r="894" spans="1:39" ht="15.75" customHeight="1" x14ac:dyDescent="0.25">
      <c r="A894" s="194"/>
      <c r="B894" s="194"/>
      <c r="C894" s="194"/>
      <c r="D894" s="194"/>
      <c r="E894" s="194"/>
      <c r="F894" s="194"/>
      <c r="G894" s="194"/>
      <c r="H894" s="194"/>
      <c r="I894" s="194"/>
      <c r="J894" s="194"/>
      <c r="K894" s="194"/>
      <c r="L894" s="194"/>
      <c r="M894" s="194"/>
      <c r="N894" s="194"/>
      <c r="O894" s="194"/>
      <c r="P894" s="194"/>
      <c r="Q894" s="194"/>
      <c r="R894" s="194"/>
      <c r="S894" s="194"/>
      <c r="T894" s="194"/>
      <c r="U894" s="194"/>
      <c r="V894" s="194"/>
      <c r="W894" s="194"/>
      <c r="X894" s="194"/>
      <c r="Y894" s="194"/>
      <c r="Z894" s="194"/>
      <c r="AA894" s="194"/>
      <c r="AB894" s="194"/>
      <c r="AC894" s="194"/>
      <c r="AD894" s="194"/>
      <c r="AE894" s="194"/>
      <c r="AF894" s="194"/>
      <c r="AG894" s="194"/>
      <c r="AH894" s="194"/>
      <c r="AI894" s="194"/>
      <c r="AJ894" s="194"/>
      <c r="AK894" s="194"/>
      <c r="AL894" s="194"/>
      <c r="AM894" s="194"/>
    </row>
    <row r="895" spans="1:39" ht="15.75" customHeight="1" x14ac:dyDescent="0.25">
      <c r="A895" s="194"/>
      <c r="B895" s="194"/>
      <c r="C895" s="194"/>
      <c r="D895" s="194"/>
      <c r="E895" s="194"/>
      <c r="F895" s="194"/>
      <c r="G895" s="194"/>
      <c r="H895" s="194"/>
      <c r="I895" s="194"/>
      <c r="J895" s="194"/>
      <c r="K895" s="194"/>
      <c r="L895" s="194"/>
      <c r="M895" s="194"/>
      <c r="N895" s="194"/>
      <c r="O895" s="194"/>
      <c r="P895" s="194"/>
      <c r="Q895" s="194"/>
      <c r="R895" s="194"/>
      <c r="S895" s="194"/>
      <c r="T895" s="194"/>
      <c r="U895" s="194"/>
      <c r="V895" s="194"/>
      <c r="W895" s="194"/>
      <c r="X895" s="194"/>
      <c r="Y895" s="194"/>
      <c r="Z895" s="194"/>
      <c r="AA895" s="194"/>
      <c r="AB895" s="194"/>
      <c r="AC895" s="194"/>
      <c r="AD895" s="194"/>
      <c r="AE895" s="194"/>
      <c r="AF895" s="194"/>
      <c r="AG895" s="194"/>
      <c r="AH895" s="194"/>
      <c r="AI895" s="194"/>
      <c r="AJ895" s="194"/>
      <c r="AK895" s="194"/>
      <c r="AL895" s="194"/>
      <c r="AM895" s="194"/>
    </row>
    <row r="896" spans="1:39" ht="15.75" customHeight="1" x14ac:dyDescent="0.25">
      <c r="A896" s="194"/>
      <c r="B896" s="194"/>
      <c r="C896" s="194"/>
      <c r="D896" s="194"/>
      <c r="E896" s="194"/>
      <c r="F896" s="194"/>
      <c r="G896" s="194"/>
      <c r="H896" s="194"/>
      <c r="I896" s="194"/>
      <c r="J896" s="194"/>
      <c r="K896" s="194"/>
      <c r="L896" s="194"/>
      <c r="M896" s="194"/>
      <c r="N896" s="194"/>
      <c r="O896" s="194"/>
      <c r="P896" s="194"/>
      <c r="Q896" s="194"/>
      <c r="R896" s="194"/>
      <c r="S896" s="194"/>
      <c r="T896" s="194"/>
      <c r="U896" s="194"/>
      <c r="V896" s="194"/>
      <c r="W896" s="194"/>
      <c r="X896" s="194"/>
      <c r="Y896" s="194"/>
      <c r="Z896" s="194"/>
      <c r="AA896" s="194"/>
      <c r="AB896" s="194"/>
      <c r="AC896" s="194"/>
      <c r="AD896" s="194"/>
      <c r="AE896" s="194"/>
      <c r="AF896" s="194"/>
      <c r="AG896" s="194"/>
      <c r="AH896" s="194"/>
      <c r="AI896" s="194"/>
      <c r="AJ896" s="194"/>
      <c r="AK896" s="194"/>
      <c r="AL896" s="194"/>
      <c r="AM896" s="194"/>
    </row>
    <row r="897" spans="1:39" ht="15.75" customHeight="1" x14ac:dyDescent="0.25">
      <c r="A897" s="194"/>
      <c r="B897" s="194"/>
      <c r="C897" s="194"/>
      <c r="D897" s="194"/>
      <c r="E897" s="194"/>
      <c r="F897" s="194"/>
      <c r="G897" s="194"/>
      <c r="H897" s="194"/>
      <c r="I897" s="194"/>
      <c r="J897" s="194"/>
      <c r="K897" s="194"/>
      <c r="L897" s="194"/>
      <c r="M897" s="194"/>
      <c r="N897" s="194"/>
      <c r="O897" s="194"/>
      <c r="P897" s="194"/>
      <c r="Q897" s="194"/>
      <c r="R897" s="194"/>
      <c r="S897" s="194"/>
      <c r="T897" s="194"/>
      <c r="U897" s="194"/>
      <c r="V897" s="194"/>
      <c r="W897" s="194"/>
      <c r="X897" s="194"/>
      <c r="Y897" s="194"/>
      <c r="Z897" s="194"/>
      <c r="AA897" s="194"/>
      <c r="AB897" s="194"/>
      <c r="AC897" s="194"/>
      <c r="AD897" s="194"/>
      <c r="AE897" s="194"/>
      <c r="AF897" s="194"/>
      <c r="AG897" s="194"/>
      <c r="AH897" s="194"/>
      <c r="AI897" s="194"/>
      <c r="AJ897" s="194"/>
      <c r="AK897" s="194"/>
      <c r="AL897" s="194"/>
      <c r="AM897" s="194"/>
    </row>
    <row r="898" spans="1:39" ht="15.75" customHeight="1" x14ac:dyDescent="0.25">
      <c r="A898" s="194"/>
      <c r="B898" s="194"/>
      <c r="C898" s="194"/>
      <c r="D898" s="194"/>
      <c r="E898" s="194"/>
      <c r="F898" s="194"/>
      <c r="G898" s="194"/>
      <c r="H898" s="194"/>
      <c r="I898" s="194"/>
      <c r="J898" s="194"/>
      <c r="K898" s="194"/>
      <c r="L898" s="194"/>
      <c r="M898" s="194"/>
      <c r="N898" s="194"/>
      <c r="O898" s="194"/>
      <c r="P898" s="194"/>
      <c r="Q898" s="194"/>
      <c r="R898" s="194"/>
      <c r="S898" s="194"/>
      <c r="T898" s="194"/>
      <c r="U898" s="194"/>
      <c r="V898" s="194"/>
      <c r="W898" s="194"/>
      <c r="X898" s="194"/>
      <c r="Y898" s="194"/>
      <c r="Z898" s="194"/>
      <c r="AA898" s="194"/>
      <c r="AB898" s="194"/>
      <c r="AC898" s="194"/>
      <c r="AD898" s="194"/>
      <c r="AE898" s="194"/>
      <c r="AF898" s="194"/>
      <c r="AG898" s="194"/>
      <c r="AH898" s="194"/>
      <c r="AI898" s="194"/>
      <c r="AJ898" s="194"/>
      <c r="AK898" s="194"/>
      <c r="AL898" s="194"/>
      <c r="AM898" s="194"/>
    </row>
    <row r="899" spans="1:39" ht="15.75" customHeight="1" x14ac:dyDescent="0.25">
      <c r="A899" s="194"/>
      <c r="B899" s="194"/>
      <c r="C899" s="194"/>
      <c r="D899" s="194"/>
      <c r="E899" s="194"/>
      <c r="F899" s="194"/>
      <c r="G899" s="194"/>
      <c r="H899" s="194"/>
      <c r="I899" s="194"/>
      <c r="J899" s="194"/>
      <c r="K899" s="194"/>
      <c r="L899" s="194"/>
      <c r="M899" s="194"/>
      <c r="N899" s="194"/>
      <c r="O899" s="194"/>
      <c r="P899" s="194"/>
      <c r="Q899" s="194"/>
      <c r="R899" s="194"/>
      <c r="S899" s="194"/>
      <c r="T899" s="194"/>
      <c r="U899" s="194"/>
      <c r="V899" s="194"/>
      <c r="W899" s="194"/>
      <c r="X899" s="194"/>
      <c r="Y899" s="194"/>
      <c r="Z899" s="194"/>
      <c r="AA899" s="194"/>
      <c r="AB899" s="194"/>
      <c r="AC899" s="194"/>
      <c r="AD899" s="194"/>
      <c r="AE899" s="194"/>
      <c r="AF899" s="194"/>
      <c r="AG899" s="194"/>
      <c r="AH899" s="194"/>
      <c r="AI899" s="194"/>
      <c r="AJ899" s="194"/>
      <c r="AK899" s="194"/>
      <c r="AL899" s="194"/>
      <c r="AM899" s="194"/>
    </row>
    <row r="900" spans="1:39" ht="15.75" customHeight="1" x14ac:dyDescent="0.25">
      <c r="A900" s="194"/>
      <c r="B900" s="194"/>
      <c r="C900" s="194"/>
      <c r="D900" s="194"/>
      <c r="E900" s="194"/>
      <c r="F900" s="194"/>
      <c r="G900" s="194"/>
      <c r="H900" s="194"/>
      <c r="I900" s="194"/>
      <c r="J900" s="194"/>
      <c r="K900" s="194"/>
      <c r="L900" s="194"/>
      <c r="M900" s="194"/>
      <c r="N900" s="194"/>
      <c r="O900" s="194"/>
      <c r="P900" s="194"/>
      <c r="Q900" s="194"/>
      <c r="R900" s="194"/>
      <c r="S900" s="194"/>
      <c r="T900" s="194"/>
      <c r="U900" s="194"/>
      <c r="V900" s="194"/>
      <c r="W900" s="194"/>
      <c r="X900" s="194"/>
      <c r="Y900" s="194"/>
      <c r="Z900" s="194"/>
      <c r="AA900" s="194"/>
      <c r="AB900" s="194"/>
      <c r="AC900" s="194"/>
      <c r="AD900" s="194"/>
      <c r="AE900" s="194"/>
      <c r="AF900" s="194"/>
      <c r="AG900" s="194"/>
      <c r="AH900" s="194"/>
      <c r="AI900" s="194"/>
      <c r="AJ900" s="194"/>
      <c r="AK900" s="194"/>
      <c r="AL900" s="194"/>
      <c r="AM900" s="194"/>
    </row>
    <row r="901" spans="1:39" ht="15.75" customHeight="1" x14ac:dyDescent="0.25">
      <c r="A901" s="194"/>
      <c r="B901" s="194"/>
      <c r="C901" s="194"/>
      <c r="D901" s="194"/>
      <c r="E901" s="194"/>
      <c r="F901" s="194"/>
      <c r="G901" s="194"/>
      <c r="H901" s="194"/>
      <c r="I901" s="194"/>
      <c r="J901" s="194"/>
      <c r="K901" s="194"/>
      <c r="L901" s="194"/>
      <c r="M901" s="194"/>
      <c r="N901" s="194"/>
      <c r="O901" s="194"/>
      <c r="P901" s="194"/>
      <c r="Q901" s="194"/>
      <c r="R901" s="194"/>
      <c r="S901" s="194"/>
      <c r="T901" s="194"/>
      <c r="U901" s="194"/>
      <c r="V901" s="194"/>
      <c r="W901" s="194"/>
      <c r="X901" s="194"/>
      <c r="Y901" s="194"/>
      <c r="Z901" s="194"/>
      <c r="AA901" s="194"/>
      <c r="AB901" s="194"/>
      <c r="AC901" s="194"/>
      <c r="AD901" s="194"/>
      <c r="AE901" s="194"/>
      <c r="AF901" s="194"/>
      <c r="AG901" s="194"/>
      <c r="AH901" s="194"/>
      <c r="AI901" s="194"/>
      <c r="AJ901" s="194"/>
      <c r="AK901" s="194"/>
      <c r="AL901" s="194"/>
      <c r="AM901" s="194"/>
    </row>
    <row r="902" spans="1:39" ht="15.75" customHeight="1" x14ac:dyDescent="0.25">
      <c r="A902" s="194"/>
      <c r="B902" s="194"/>
      <c r="C902" s="194"/>
      <c r="D902" s="194"/>
      <c r="E902" s="194"/>
      <c r="F902" s="194"/>
      <c r="G902" s="194"/>
      <c r="H902" s="194"/>
      <c r="I902" s="194"/>
      <c r="J902" s="194"/>
      <c r="K902" s="194"/>
      <c r="L902" s="194"/>
      <c r="M902" s="194"/>
      <c r="N902" s="194"/>
      <c r="O902" s="194"/>
      <c r="P902" s="194"/>
      <c r="Q902" s="194"/>
      <c r="R902" s="194"/>
      <c r="S902" s="194"/>
      <c r="T902" s="194"/>
      <c r="U902" s="194"/>
      <c r="V902" s="194"/>
      <c r="W902" s="194"/>
      <c r="X902" s="194"/>
      <c r="Y902" s="194"/>
      <c r="Z902" s="194"/>
      <c r="AA902" s="194"/>
      <c r="AB902" s="194"/>
      <c r="AC902" s="194"/>
      <c r="AD902" s="194"/>
      <c r="AE902" s="194"/>
      <c r="AF902" s="194"/>
      <c r="AG902" s="194"/>
      <c r="AH902" s="194"/>
      <c r="AI902" s="194"/>
      <c r="AJ902" s="194"/>
      <c r="AK902" s="194"/>
      <c r="AL902" s="194"/>
      <c r="AM902" s="194"/>
    </row>
    <row r="903" spans="1:39" ht="15.75" customHeight="1" x14ac:dyDescent="0.25">
      <c r="A903" s="194"/>
      <c r="B903" s="194"/>
      <c r="C903" s="194"/>
      <c r="D903" s="194"/>
      <c r="E903" s="194"/>
      <c r="F903" s="194"/>
      <c r="G903" s="194"/>
      <c r="H903" s="194"/>
      <c r="I903" s="194"/>
      <c r="J903" s="194"/>
      <c r="K903" s="194"/>
      <c r="L903" s="194"/>
      <c r="M903" s="194"/>
      <c r="N903" s="194"/>
      <c r="O903" s="194"/>
      <c r="P903" s="194"/>
      <c r="Q903" s="194"/>
      <c r="R903" s="194"/>
      <c r="S903" s="194"/>
      <c r="T903" s="194"/>
      <c r="U903" s="194"/>
      <c r="V903" s="194"/>
      <c r="W903" s="194"/>
      <c r="X903" s="194"/>
      <c r="Y903" s="194"/>
      <c r="Z903" s="194"/>
      <c r="AA903" s="194"/>
      <c r="AB903" s="194"/>
      <c r="AC903" s="194"/>
      <c r="AD903" s="194"/>
      <c r="AE903" s="194"/>
      <c r="AF903" s="194"/>
      <c r="AG903" s="194"/>
      <c r="AH903" s="194"/>
      <c r="AI903" s="194"/>
      <c r="AJ903" s="194"/>
      <c r="AK903" s="194"/>
      <c r="AL903" s="194"/>
      <c r="AM903" s="194"/>
    </row>
    <row r="904" spans="1:39" ht="15.75" customHeight="1" x14ac:dyDescent="0.25">
      <c r="A904" s="194"/>
      <c r="B904" s="194"/>
      <c r="C904" s="194"/>
      <c r="D904" s="194"/>
      <c r="E904" s="194"/>
      <c r="F904" s="194"/>
      <c r="G904" s="194"/>
      <c r="H904" s="194"/>
      <c r="I904" s="194"/>
      <c r="J904" s="194"/>
      <c r="K904" s="194"/>
      <c r="L904" s="194"/>
      <c r="M904" s="194"/>
      <c r="N904" s="194"/>
      <c r="O904" s="194"/>
      <c r="P904" s="194"/>
      <c r="Q904" s="194"/>
      <c r="R904" s="194"/>
      <c r="S904" s="194"/>
      <c r="T904" s="194"/>
      <c r="U904" s="194"/>
      <c r="V904" s="194"/>
      <c r="W904" s="194"/>
      <c r="X904" s="194"/>
      <c r="Y904" s="194"/>
      <c r="Z904" s="194"/>
      <c r="AA904" s="194"/>
      <c r="AB904" s="194"/>
      <c r="AC904" s="194"/>
      <c r="AD904" s="194"/>
      <c r="AE904" s="194"/>
      <c r="AF904" s="194"/>
      <c r="AG904" s="194"/>
      <c r="AH904" s="194"/>
      <c r="AI904" s="194"/>
      <c r="AJ904" s="194"/>
      <c r="AK904" s="194"/>
      <c r="AL904" s="194"/>
      <c r="AM904" s="194"/>
    </row>
    <row r="905" spans="1:39" ht="15.75" customHeight="1" x14ac:dyDescent="0.25">
      <c r="A905" s="194"/>
      <c r="B905" s="194"/>
      <c r="C905" s="194"/>
      <c r="D905" s="194"/>
      <c r="E905" s="194"/>
      <c r="F905" s="194"/>
      <c r="G905" s="194"/>
      <c r="H905" s="194"/>
      <c r="I905" s="194"/>
      <c r="J905" s="194"/>
      <c r="K905" s="194"/>
      <c r="L905" s="194"/>
      <c r="M905" s="194"/>
      <c r="N905" s="194"/>
      <c r="O905" s="194"/>
      <c r="P905" s="194"/>
      <c r="Q905" s="194"/>
      <c r="R905" s="194"/>
      <c r="S905" s="194"/>
      <c r="T905" s="194"/>
      <c r="U905" s="194"/>
      <c r="V905" s="194"/>
      <c r="W905" s="194"/>
      <c r="X905" s="194"/>
      <c r="Y905" s="194"/>
      <c r="Z905" s="194"/>
      <c r="AA905" s="194"/>
      <c r="AB905" s="194"/>
      <c r="AC905" s="194"/>
      <c r="AD905" s="194"/>
      <c r="AE905" s="194"/>
      <c r="AF905" s="194"/>
      <c r="AG905" s="194"/>
      <c r="AH905" s="194"/>
      <c r="AI905" s="194"/>
      <c r="AJ905" s="194"/>
      <c r="AK905" s="194"/>
      <c r="AL905" s="194"/>
      <c r="AM905" s="194"/>
    </row>
    <row r="906" spans="1:39" ht="15.75" customHeight="1" x14ac:dyDescent="0.25">
      <c r="A906" s="194"/>
      <c r="B906" s="194"/>
      <c r="C906" s="194"/>
      <c r="D906" s="194"/>
      <c r="E906" s="194"/>
      <c r="F906" s="194"/>
      <c r="G906" s="194"/>
      <c r="H906" s="194"/>
      <c r="I906" s="194"/>
      <c r="J906" s="194"/>
      <c r="K906" s="194"/>
      <c r="L906" s="194"/>
      <c r="M906" s="194"/>
      <c r="N906" s="194"/>
      <c r="O906" s="194"/>
      <c r="P906" s="194"/>
      <c r="Q906" s="194"/>
      <c r="R906" s="194"/>
      <c r="S906" s="194"/>
      <c r="T906" s="194"/>
      <c r="U906" s="194"/>
      <c r="V906" s="194"/>
      <c r="W906" s="194"/>
      <c r="X906" s="194"/>
      <c r="Y906" s="194"/>
      <c r="Z906" s="194"/>
      <c r="AA906" s="194"/>
      <c r="AB906" s="194"/>
      <c r="AC906" s="194"/>
      <c r="AD906" s="194"/>
      <c r="AE906" s="194"/>
      <c r="AF906" s="194"/>
      <c r="AG906" s="194"/>
      <c r="AH906" s="194"/>
      <c r="AI906" s="194"/>
      <c r="AJ906" s="194"/>
      <c r="AK906" s="194"/>
      <c r="AL906" s="194"/>
      <c r="AM906" s="194"/>
    </row>
    <row r="907" spans="1:39" ht="15.75" customHeight="1" x14ac:dyDescent="0.25">
      <c r="A907" s="194"/>
      <c r="B907" s="194"/>
      <c r="C907" s="194"/>
      <c r="D907" s="194"/>
      <c r="E907" s="194"/>
      <c r="F907" s="194"/>
      <c r="G907" s="194"/>
      <c r="H907" s="194"/>
      <c r="I907" s="194"/>
      <c r="J907" s="194"/>
      <c r="K907" s="194"/>
      <c r="L907" s="194"/>
      <c r="M907" s="194"/>
      <c r="N907" s="194"/>
      <c r="O907" s="194"/>
      <c r="P907" s="194"/>
      <c r="Q907" s="194"/>
      <c r="R907" s="194"/>
      <c r="S907" s="194"/>
      <c r="T907" s="194"/>
      <c r="U907" s="194"/>
      <c r="V907" s="194"/>
      <c r="W907" s="194"/>
      <c r="X907" s="194"/>
      <c r="Y907" s="194"/>
      <c r="Z907" s="194"/>
      <c r="AA907" s="194"/>
      <c r="AB907" s="194"/>
      <c r="AC907" s="194"/>
      <c r="AD907" s="194"/>
      <c r="AE907" s="194"/>
      <c r="AF907" s="194"/>
      <c r="AG907" s="194"/>
      <c r="AH907" s="194"/>
      <c r="AI907" s="194"/>
      <c r="AJ907" s="194"/>
      <c r="AK907" s="194"/>
      <c r="AL907" s="194"/>
      <c r="AM907" s="194"/>
    </row>
    <row r="908" spans="1:39" ht="15.75" customHeight="1" x14ac:dyDescent="0.25">
      <c r="A908" s="194"/>
      <c r="B908" s="194"/>
      <c r="C908" s="194"/>
      <c r="D908" s="194"/>
      <c r="E908" s="194"/>
      <c r="F908" s="194"/>
      <c r="G908" s="194"/>
      <c r="H908" s="194"/>
      <c r="I908" s="194"/>
      <c r="J908" s="194"/>
      <c r="K908" s="194"/>
      <c r="L908" s="194"/>
      <c r="M908" s="194"/>
      <c r="N908" s="194"/>
      <c r="O908" s="194"/>
      <c r="P908" s="194"/>
      <c r="Q908" s="194"/>
      <c r="R908" s="194"/>
      <c r="S908" s="194"/>
      <c r="T908" s="194"/>
      <c r="U908" s="194"/>
      <c r="V908" s="194"/>
      <c r="W908" s="194"/>
      <c r="X908" s="194"/>
      <c r="Y908" s="194"/>
      <c r="Z908" s="194"/>
      <c r="AA908" s="194"/>
      <c r="AB908" s="194"/>
      <c r="AC908" s="194"/>
      <c r="AD908" s="194"/>
      <c r="AE908" s="194"/>
      <c r="AF908" s="194"/>
      <c r="AG908" s="194"/>
      <c r="AH908" s="194"/>
      <c r="AI908" s="194"/>
      <c r="AJ908" s="194"/>
      <c r="AK908" s="194"/>
      <c r="AL908" s="194"/>
      <c r="AM908" s="194"/>
    </row>
    <row r="909" spans="1:39" ht="15.75" customHeight="1" x14ac:dyDescent="0.25">
      <c r="A909" s="194"/>
      <c r="B909" s="194"/>
      <c r="C909" s="194"/>
      <c r="D909" s="194"/>
      <c r="E909" s="194"/>
      <c r="F909" s="194"/>
      <c r="G909" s="194"/>
      <c r="H909" s="194"/>
      <c r="I909" s="194"/>
      <c r="J909" s="194"/>
      <c r="K909" s="194"/>
      <c r="L909" s="194"/>
      <c r="M909" s="194"/>
      <c r="N909" s="194"/>
      <c r="O909" s="194"/>
      <c r="P909" s="194"/>
      <c r="Q909" s="194"/>
      <c r="R909" s="194"/>
      <c r="S909" s="194"/>
      <c r="T909" s="194"/>
      <c r="U909" s="194"/>
      <c r="V909" s="194"/>
      <c r="W909" s="194"/>
      <c r="X909" s="194"/>
      <c r="Y909" s="194"/>
      <c r="Z909" s="194"/>
      <c r="AA909" s="194"/>
      <c r="AB909" s="194"/>
      <c r="AC909" s="194"/>
      <c r="AD909" s="194"/>
      <c r="AE909" s="194"/>
      <c r="AF909" s="194"/>
      <c r="AG909" s="194"/>
      <c r="AH909" s="194"/>
      <c r="AI909" s="194"/>
      <c r="AJ909" s="194"/>
      <c r="AK909" s="194"/>
      <c r="AL909" s="194"/>
      <c r="AM909" s="194"/>
    </row>
    <row r="910" spans="1:39" ht="15.75" customHeight="1" x14ac:dyDescent="0.25">
      <c r="A910" s="194"/>
      <c r="B910" s="194"/>
      <c r="C910" s="194"/>
      <c r="D910" s="194"/>
      <c r="E910" s="194"/>
      <c r="F910" s="194"/>
      <c r="G910" s="194"/>
      <c r="H910" s="194"/>
      <c r="I910" s="194"/>
      <c r="J910" s="194"/>
      <c r="K910" s="194"/>
      <c r="L910" s="194"/>
      <c r="M910" s="194"/>
      <c r="N910" s="194"/>
      <c r="O910" s="194"/>
      <c r="P910" s="194"/>
      <c r="Q910" s="194"/>
      <c r="R910" s="194"/>
      <c r="S910" s="194"/>
      <c r="T910" s="194"/>
      <c r="U910" s="194"/>
      <c r="V910" s="194"/>
      <c r="W910" s="194"/>
      <c r="X910" s="194"/>
      <c r="Y910" s="194"/>
      <c r="Z910" s="194"/>
      <c r="AA910" s="194"/>
      <c r="AB910" s="194"/>
      <c r="AC910" s="194"/>
      <c r="AD910" s="194"/>
      <c r="AE910" s="194"/>
      <c r="AF910" s="194"/>
      <c r="AG910" s="194"/>
      <c r="AH910" s="194"/>
      <c r="AI910" s="194"/>
      <c r="AJ910" s="194"/>
      <c r="AK910" s="194"/>
      <c r="AL910" s="194"/>
      <c r="AM910" s="194"/>
    </row>
    <row r="911" spans="1:39" ht="15.75" customHeight="1" x14ac:dyDescent="0.25">
      <c r="A911" s="194"/>
      <c r="B911" s="194"/>
      <c r="C911" s="194"/>
      <c r="D911" s="194"/>
      <c r="E911" s="194"/>
      <c r="F911" s="194"/>
      <c r="G911" s="194"/>
      <c r="H911" s="194"/>
      <c r="I911" s="194"/>
      <c r="J911" s="194"/>
      <c r="K911" s="194"/>
      <c r="L911" s="194"/>
      <c r="M911" s="194"/>
      <c r="N911" s="194"/>
      <c r="O911" s="194"/>
      <c r="P911" s="194"/>
      <c r="Q911" s="194"/>
      <c r="R911" s="194"/>
      <c r="S911" s="194"/>
      <c r="T911" s="194"/>
      <c r="U911" s="194"/>
      <c r="V911" s="194"/>
      <c r="W911" s="194"/>
      <c r="X911" s="194"/>
      <c r="Y911" s="194"/>
      <c r="Z911" s="194"/>
      <c r="AA911" s="194"/>
      <c r="AB911" s="194"/>
      <c r="AC911" s="194"/>
      <c r="AD911" s="194"/>
      <c r="AE911" s="194"/>
      <c r="AF911" s="194"/>
      <c r="AG911" s="194"/>
      <c r="AH911" s="194"/>
      <c r="AI911" s="194"/>
      <c r="AJ911" s="194"/>
      <c r="AK911" s="194"/>
      <c r="AL911" s="194"/>
      <c r="AM911" s="194"/>
    </row>
    <row r="912" spans="1:39" ht="15.75" customHeight="1" x14ac:dyDescent="0.25">
      <c r="A912" s="194"/>
      <c r="B912" s="194"/>
      <c r="C912" s="194"/>
      <c r="D912" s="194"/>
      <c r="E912" s="194"/>
      <c r="F912" s="194"/>
      <c r="G912" s="194"/>
      <c r="H912" s="194"/>
      <c r="I912" s="194"/>
      <c r="J912" s="194"/>
      <c r="K912" s="194"/>
      <c r="L912" s="194"/>
      <c r="M912" s="194"/>
      <c r="N912" s="194"/>
      <c r="O912" s="194"/>
      <c r="P912" s="194"/>
      <c r="Q912" s="194"/>
      <c r="R912" s="194"/>
      <c r="S912" s="194"/>
      <c r="T912" s="194"/>
      <c r="U912" s="194"/>
      <c r="V912" s="194"/>
      <c r="W912" s="194"/>
      <c r="X912" s="194"/>
      <c r="Y912" s="194"/>
      <c r="Z912" s="194"/>
      <c r="AA912" s="194"/>
      <c r="AB912" s="194"/>
      <c r="AC912" s="194"/>
      <c r="AD912" s="194"/>
      <c r="AE912" s="194"/>
      <c r="AF912" s="194"/>
      <c r="AG912" s="194"/>
      <c r="AH912" s="194"/>
      <c r="AI912" s="194"/>
      <c r="AJ912" s="194"/>
      <c r="AK912" s="194"/>
      <c r="AL912" s="194"/>
      <c r="AM912" s="194"/>
    </row>
    <row r="913" spans="1:39" ht="15.75" customHeight="1" x14ac:dyDescent="0.25">
      <c r="A913" s="194"/>
      <c r="B913" s="194"/>
      <c r="C913" s="194"/>
      <c r="D913" s="194"/>
      <c r="E913" s="194"/>
      <c r="F913" s="194"/>
      <c r="G913" s="194"/>
      <c r="H913" s="194"/>
      <c r="I913" s="194"/>
      <c r="J913" s="194"/>
      <c r="K913" s="194"/>
      <c r="L913" s="194"/>
      <c r="M913" s="194"/>
      <c r="N913" s="194"/>
      <c r="O913" s="194"/>
      <c r="P913" s="194"/>
      <c r="Q913" s="194"/>
      <c r="R913" s="194"/>
      <c r="S913" s="194"/>
      <c r="T913" s="194"/>
      <c r="U913" s="194"/>
      <c r="V913" s="194"/>
      <c r="W913" s="194"/>
      <c r="X913" s="194"/>
      <c r="Y913" s="194"/>
      <c r="Z913" s="194"/>
      <c r="AA913" s="194"/>
      <c r="AB913" s="194"/>
      <c r="AC913" s="194"/>
      <c r="AD913" s="194"/>
      <c r="AE913" s="194"/>
      <c r="AF913" s="194"/>
      <c r="AG913" s="194"/>
      <c r="AH913" s="194"/>
      <c r="AI913" s="194"/>
      <c r="AJ913" s="194"/>
      <c r="AK913" s="194"/>
      <c r="AL913" s="194"/>
      <c r="AM913" s="194"/>
    </row>
    <row r="914" spans="1:39" ht="15.75" customHeight="1" x14ac:dyDescent="0.25">
      <c r="A914" s="194"/>
      <c r="B914" s="194"/>
      <c r="C914" s="194"/>
      <c r="D914" s="194"/>
      <c r="E914" s="194"/>
      <c r="F914" s="194"/>
      <c r="G914" s="194"/>
      <c r="H914" s="194"/>
      <c r="I914" s="194"/>
      <c r="J914" s="194"/>
      <c r="K914" s="194"/>
      <c r="L914" s="194"/>
      <c r="M914" s="194"/>
      <c r="N914" s="194"/>
      <c r="O914" s="194"/>
      <c r="P914" s="194"/>
      <c r="Q914" s="194"/>
      <c r="R914" s="194"/>
      <c r="S914" s="194"/>
      <c r="T914" s="194"/>
      <c r="U914" s="194"/>
      <c r="V914" s="194"/>
      <c r="W914" s="194"/>
      <c r="X914" s="194"/>
      <c r="Y914" s="194"/>
      <c r="Z914" s="194"/>
      <c r="AA914" s="194"/>
      <c r="AB914" s="194"/>
      <c r="AC914" s="194"/>
      <c r="AD914" s="194"/>
      <c r="AE914" s="194"/>
      <c r="AF914" s="194"/>
      <c r="AG914" s="194"/>
      <c r="AH914" s="194"/>
      <c r="AI914" s="194"/>
      <c r="AJ914" s="194"/>
      <c r="AK914" s="194"/>
      <c r="AL914" s="194"/>
      <c r="AM914" s="194"/>
    </row>
    <row r="915" spans="1:39" ht="15.75" customHeight="1" x14ac:dyDescent="0.25">
      <c r="A915" s="194"/>
      <c r="B915" s="194"/>
      <c r="C915" s="194"/>
      <c r="D915" s="194"/>
      <c r="E915" s="194"/>
      <c r="F915" s="194"/>
      <c r="G915" s="194"/>
      <c r="H915" s="194"/>
      <c r="I915" s="194"/>
      <c r="J915" s="194"/>
      <c r="K915" s="194"/>
      <c r="L915" s="194"/>
      <c r="M915" s="194"/>
      <c r="N915" s="194"/>
      <c r="O915" s="194"/>
      <c r="P915" s="194"/>
      <c r="Q915" s="194"/>
      <c r="R915" s="194"/>
      <c r="S915" s="194"/>
      <c r="T915" s="194"/>
      <c r="U915" s="194"/>
      <c r="V915" s="194"/>
      <c r="W915" s="194"/>
      <c r="X915" s="194"/>
      <c r="Y915" s="194"/>
      <c r="Z915" s="194"/>
      <c r="AA915" s="194"/>
      <c r="AB915" s="194"/>
      <c r="AC915" s="194"/>
      <c r="AD915" s="194"/>
      <c r="AE915" s="194"/>
      <c r="AF915" s="194"/>
      <c r="AG915" s="194"/>
      <c r="AH915" s="194"/>
      <c r="AI915" s="194"/>
      <c r="AJ915" s="194"/>
      <c r="AK915" s="194"/>
      <c r="AL915" s="194"/>
      <c r="AM915" s="194"/>
    </row>
    <row r="916" spans="1:39" ht="15.75" customHeight="1" x14ac:dyDescent="0.25">
      <c r="A916" s="194"/>
      <c r="B916" s="194"/>
      <c r="C916" s="194"/>
      <c r="D916" s="194"/>
      <c r="E916" s="194"/>
      <c r="F916" s="194"/>
      <c r="G916" s="194"/>
      <c r="H916" s="194"/>
      <c r="I916" s="194"/>
      <c r="J916" s="194"/>
      <c r="K916" s="194"/>
      <c r="L916" s="194"/>
      <c r="M916" s="194"/>
      <c r="N916" s="194"/>
      <c r="O916" s="194"/>
      <c r="P916" s="194"/>
      <c r="Q916" s="194"/>
      <c r="R916" s="194"/>
      <c r="S916" s="194"/>
      <c r="T916" s="194"/>
      <c r="U916" s="194"/>
      <c r="V916" s="194"/>
      <c r="W916" s="194"/>
      <c r="X916" s="194"/>
      <c r="Y916" s="194"/>
      <c r="Z916" s="194"/>
      <c r="AA916" s="194"/>
      <c r="AB916" s="194"/>
      <c r="AC916" s="194"/>
      <c r="AD916" s="194"/>
      <c r="AE916" s="194"/>
      <c r="AF916" s="194"/>
      <c r="AG916" s="194"/>
      <c r="AH916" s="194"/>
      <c r="AI916" s="194"/>
      <c r="AJ916" s="194"/>
      <c r="AK916" s="194"/>
      <c r="AL916" s="194"/>
      <c r="AM916" s="194"/>
    </row>
    <row r="917" spans="1:39" ht="15.75" customHeight="1" x14ac:dyDescent="0.25">
      <c r="A917" s="194"/>
      <c r="B917" s="194"/>
      <c r="C917" s="194"/>
      <c r="D917" s="194"/>
      <c r="E917" s="194"/>
      <c r="F917" s="194"/>
      <c r="G917" s="194"/>
      <c r="H917" s="194"/>
      <c r="I917" s="194"/>
      <c r="J917" s="194"/>
      <c r="K917" s="194"/>
      <c r="L917" s="194"/>
      <c r="M917" s="194"/>
      <c r="N917" s="194"/>
      <c r="O917" s="194"/>
      <c r="P917" s="194"/>
      <c r="Q917" s="194"/>
      <c r="R917" s="194"/>
      <c r="S917" s="194"/>
      <c r="T917" s="194"/>
      <c r="U917" s="194"/>
      <c r="V917" s="194"/>
      <c r="W917" s="194"/>
      <c r="X917" s="194"/>
      <c r="Y917" s="194"/>
      <c r="Z917" s="194"/>
      <c r="AA917" s="194"/>
      <c r="AB917" s="194"/>
      <c r="AC917" s="194"/>
      <c r="AD917" s="194"/>
      <c r="AE917" s="194"/>
      <c r="AF917" s="194"/>
      <c r="AG917" s="194"/>
      <c r="AH917" s="194"/>
      <c r="AI917" s="194"/>
      <c r="AJ917" s="194"/>
      <c r="AK917" s="194"/>
      <c r="AL917" s="194"/>
      <c r="AM917" s="194"/>
    </row>
    <row r="918" spans="1:39" ht="15.75" customHeight="1" x14ac:dyDescent="0.25">
      <c r="A918" s="194"/>
      <c r="B918" s="194"/>
      <c r="C918" s="194"/>
      <c r="D918" s="194"/>
      <c r="E918" s="194"/>
      <c r="F918" s="194"/>
      <c r="G918" s="194"/>
      <c r="H918" s="194"/>
      <c r="I918" s="194"/>
      <c r="J918" s="194"/>
      <c r="K918" s="194"/>
      <c r="L918" s="194"/>
      <c r="M918" s="194"/>
      <c r="N918" s="194"/>
      <c r="O918" s="194"/>
      <c r="P918" s="194"/>
      <c r="Q918" s="194"/>
      <c r="R918" s="194"/>
      <c r="S918" s="194"/>
      <c r="T918" s="194"/>
      <c r="U918" s="194"/>
      <c r="V918" s="194"/>
      <c r="W918" s="194"/>
      <c r="X918" s="194"/>
      <c r="Y918" s="194"/>
      <c r="Z918" s="194"/>
      <c r="AA918" s="194"/>
      <c r="AB918" s="194"/>
      <c r="AC918" s="194"/>
      <c r="AD918" s="194"/>
      <c r="AE918" s="194"/>
      <c r="AF918" s="194"/>
      <c r="AG918" s="194"/>
      <c r="AH918" s="194"/>
      <c r="AI918" s="194"/>
      <c r="AJ918" s="194"/>
      <c r="AK918" s="194"/>
      <c r="AL918" s="194"/>
      <c r="AM918" s="194"/>
    </row>
    <row r="919" spans="1:39" ht="15.75" customHeight="1" x14ac:dyDescent="0.25">
      <c r="A919" s="194"/>
      <c r="B919" s="194"/>
      <c r="C919" s="194"/>
      <c r="D919" s="194"/>
      <c r="E919" s="194"/>
      <c r="F919" s="194"/>
      <c r="G919" s="194"/>
      <c r="H919" s="194"/>
      <c r="I919" s="194"/>
      <c r="J919" s="194"/>
      <c r="K919" s="194"/>
      <c r="L919" s="194"/>
      <c r="M919" s="194"/>
      <c r="N919" s="194"/>
      <c r="O919" s="194"/>
      <c r="P919" s="194"/>
      <c r="Q919" s="194"/>
      <c r="R919" s="194"/>
      <c r="S919" s="194"/>
      <c r="T919" s="194"/>
      <c r="U919" s="194"/>
      <c r="V919" s="194"/>
      <c r="W919" s="194"/>
      <c r="X919" s="194"/>
      <c r="Y919" s="194"/>
      <c r="Z919" s="194"/>
      <c r="AA919" s="194"/>
      <c r="AB919" s="194"/>
      <c r="AC919" s="194"/>
      <c r="AD919" s="194"/>
      <c r="AE919" s="194"/>
      <c r="AF919" s="194"/>
      <c r="AG919" s="194"/>
      <c r="AH919" s="194"/>
      <c r="AI919" s="194"/>
      <c r="AJ919" s="194"/>
      <c r="AK919" s="194"/>
      <c r="AL919" s="194"/>
      <c r="AM919" s="194"/>
    </row>
    <row r="920" spans="1:39" ht="15.75" customHeight="1" x14ac:dyDescent="0.25">
      <c r="A920" s="194"/>
      <c r="B920" s="194"/>
      <c r="C920" s="194"/>
      <c r="D920" s="194"/>
      <c r="E920" s="194"/>
      <c r="F920" s="194"/>
      <c r="G920" s="194"/>
      <c r="H920" s="194"/>
      <c r="I920" s="194"/>
      <c r="J920" s="194"/>
      <c r="K920" s="194"/>
      <c r="L920" s="194"/>
      <c r="M920" s="194"/>
      <c r="N920" s="194"/>
      <c r="O920" s="194"/>
      <c r="P920" s="194"/>
      <c r="Q920" s="194"/>
      <c r="R920" s="194"/>
      <c r="S920" s="194"/>
      <c r="T920" s="194"/>
      <c r="U920" s="194"/>
      <c r="V920" s="194"/>
      <c r="W920" s="194"/>
      <c r="X920" s="194"/>
      <c r="Y920" s="194"/>
      <c r="Z920" s="194"/>
      <c r="AA920" s="194"/>
      <c r="AB920" s="194"/>
      <c r="AC920" s="194"/>
      <c r="AD920" s="194"/>
      <c r="AE920" s="194"/>
      <c r="AF920" s="194"/>
      <c r="AG920" s="194"/>
      <c r="AH920" s="194"/>
      <c r="AI920" s="194"/>
      <c r="AJ920" s="194"/>
      <c r="AK920" s="194"/>
      <c r="AL920" s="194"/>
      <c r="AM920" s="194"/>
    </row>
    <row r="921" spans="1:39" ht="15.75" customHeight="1" x14ac:dyDescent="0.25">
      <c r="A921" s="194"/>
      <c r="B921" s="194"/>
      <c r="C921" s="194"/>
      <c r="D921" s="194"/>
      <c r="E921" s="194"/>
      <c r="F921" s="194"/>
      <c r="G921" s="194"/>
      <c r="H921" s="194"/>
      <c r="I921" s="194"/>
      <c r="J921" s="194"/>
      <c r="K921" s="194"/>
      <c r="L921" s="194"/>
      <c r="M921" s="194"/>
      <c r="N921" s="194"/>
      <c r="O921" s="194"/>
      <c r="P921" s="194"/>
      <c r="Q921" s="194"/>
      <c r="R921" s="194"/>
      <c r="S921" s="194"/>
      <c r="T921" s="194"/>
      <c r="U921" s="194"/>
      <c r="V921" s="194"/>
      <c r="W921" s="194"/>
      <c r="X921" s="194"/>
      <c r="Y921" s="194"/>
      <c r="Z921" s="194"/>
      <c r="AA921" s="194"/>
      <c r="AB921" s="194"/>
      <c r="AC921" s="194"/>
      <c r="AD921" s="194"/>
      <c r="AE921" s="194"/>
      <c r="AF921" s="194"/>
      <c r="AG921" s="194"/>
      <c r="AH921" s="194"/>
      <c r="AI921" s="194"/>
      <c r="AJ921" s="194"/>
      <c r="AK921" s="194"/>
      <c r="AL921" s="194"/>
      <c r="AM921" s="194"/>
    </row>
    <row r="922" spans="1:39" ht="15.75" customHeight="1" x14ac:dyDescent="0.25">
      <c r="A922" s="194"/>
      <c r="B922" s="194"/>
      <c r="C922" s="194"/>
      <c r="D922" s="194"/>
      <c r="E922" s="194"/>
      <c r="F922" s="194"/>
      <c r="G922" s="194"/>
      <c r="H922" s="194"/>
      <c r="I922" s="194"/>
      <c r="J922" s="194"/>
      <c r="K922" s="194"/>
      <c r="L922" s="194"/>
      <c r="M922" s="194"/>
      <c r="N922" s="194"/>
      <c r="O922" s="194"/>
      <c r="P922" s="194"/>
      <c r="Q922" s="194"/>
      <c r="R922" s="194"/>
      <c r="S922" s="194"/>
      <c r="T922" s="194"/>
      <c r="U922" s="194"/>
      <c r="V922" s="194"/>
      <c r="W922" s="194"/>
      <c r="X922" s="194"/>
      <c r="Y922" s="194"/>
      <c r="Z922" s="194"/>
      <c r="AA922" s="194"/>
      <c r="AB922" s="194"/>
      <c r="AC922" s="194"/>
      <c r="AD922" s="194"/>
      <c r="AE922" s="194"/>
      <c r="AF922" s="194"/>
      <c r="AG922" s="194"/>
      <c r="AH922" s="194"/>
      <c r="AI922" s="194"/>
      <c r="AJ922" s="194"/>
      <c r="AK922" s="194"/>
      <c r="AL922" s="194"/>
      <c r="AM922" s="194"/>
    </row>
    <row r="923" spans="1:39" ht="15.75" customHeight="1" x14ac:dyDescent="0.25">
      <c r="A923" s="194"/>
      <c r="B923" s="194"/>
      <c r="C923" s="194"/>
      <c r="D923" s="194"/>
      <c r="E923" s="194"/>
      <c r="F923" s="194"/>
      <c r="G923" s="194"/>
      <c r="H923" s="194"/>
      <c r="I923" s="194"/>
      <c r="J923" s="194"/>
      <c r="K923" s="194"/>
      <c r="L923" s="194"/>
      <c r="M923" s="194"/>
      <c r="N923" s="194"/>
      <c r="O923" s="194"/>
      <c r="P923" s="194"/>
      <c r="Q923" s="194"/>
      <c r="R923" s="194"/>
      <c r="S923" s="194"/>
      <c r="T923" s="194"/>
      <c r="U923" s="194"/>
      <c r="V923" s="194"/>
      <c r="W923" s="194"/>
      <c r="X923" s="194"/>
      <c r="Y923" s="194"/>
      <c r="Z923" s="194"/>
      <c r="AA923" s="194"/>
      <c r="AB923" s="194"/>
      <c r="AC923" s="194"/>
      <c r="AD923" s="194"/>
      <c r="AE923" s="194"/>
      <c r="AF923" s="194"/>
      <c r="AG923" s="194"/>
      <c r="AH923" s="194"/>
      <c r="AI923" s="194"/>
      <c r="AJ923" s="194"/>
      <c r="AK923" s="194"/>
      <c r="AL923" s="194"/>
      <c r="AM923" s="194"/>
    </row>
    <row r="924" spans="1:39" ht="15.75" customHeight="1" x14ac:dyDescent="0.25">
      <c r="A924" s="194"/>
      <c r="B924" s="194"/>
      <c r="C924" s="194"/>
      <c r="D924" s="194"/>
      <c r="E924" s="194"/>
      <c r="F924" s="194"/>
      <c r="G924" s="194"/>
      <c r="H924" s="194"/>
      <c r="I924" s="194"/>
      <c r="J924" s="194"/>
      <c r="K924" s="194"/>
      <c r="L924" s="194"/>
      <c r="M924" s="194"/>
      <c r="N924" s="194"/>
      <c r="O924" s="194"/>
      <c r="P924" s="194"/>
      <c r="Q924" s="194"/>
      <c r="R924" s="194"/>
      <c r="S924" s="194"/>
      <c r="T924" s="194"/>
      <c r="U924" s="194"/>
      <c r="V924" s="194"/>
      <c r="W924" s="194"/>
      <c r="X924" s="194"/>
      <c r="Y924" s="194"/>
      <c r="Z924" s="194"/>
      <c r="AA924" s="194"/>
      <c r="AB924" s="194"/>
      <c r="AC924" s="194"/>
      <c r="AD924" s="194"/>
      <c r="AE924" s="194"/>
      <c r="AF924" s="194"/>
      <c r="AG924" s="194"/>
      <c r="AH924" s="194"/>
      <c r="AI924" s="194"/>
      <c r="AJ924" s="194"/>
      <c r="AK924" s="194"/>
      <c r="AL924" s="194"/>
      <c r="AM924" s="194"/>
    </row>
    <row r="925" spans="1:39" ht="15.75" customHeight="1" x14ac:dyDescent="0.25">
      <c r="A925" s="194"/>
      <c r="B925" s="194"/>
      <c r="C925" s="194"/>
      <c r="D925" s="194"/>
      <c r="E925" s="194"/>
      <c r="F925" s="194"/>
      <c r="G925" s="194"/>
      <c r="H925" s="194"/>
      <c r="I925" s="194"/>
      <c r="J925" s="194"/>
      <c r="K925" s="194"/>
      <c r="L925" s="194"/>
      <c r="M925" s="194"/>
      <c r="N925" s="194"/>
      <c r="O925" s="194"/>
      <c r="P925" s="194"/>
      <c r="Q925" s="194"/>
      <c r="R925" s="194"/>
      <c r="S925" s="194"/>
      <c r="T925" s="194"/>
      <c r="U925" s="194"/>
      <c r="V925" s="194"/>
      <c r="W925" s="194"/>
      <c r="X925" s="194"/>
      <c r="Y925" s="194"/>
      <c r="Z925" s="194"/>
      <c r="AA925" s="194"/>
      <c r="AB925" s="194"/>
      <c r="AC925" s="194"/>
      <c r="AD925" s="194"/>
      <c r="AE925" s="194"/>
      <c r="AF925" s="194"/>
      <c r="AG925" s="194"/>
      <c r="AH925" s="194"/>
      <c r="AI925" s="194"/>
      <c r="AJ925" s="194"/>
      <c r="AK925" s="194"/>
      <c r="AL925" s="194"/>
      <c r="AM925" s="194"/>
    </row>
    <row r="926" spans="1:39" ht="15.75" customHeight="1" x14ac:dyDescent="0.25">
      <c r="A926" s="194"/>
      <c r="B926" s="194"/>
      <c r="C926" s="194"/>
      <c r="D926" s="194"/>
      <c r="E926" s="194"/>
      <c r="F926" s="194"/>
      <c r="G926" s="194"/>
      <c r="H926" s="194"/>
      <c r="I926" s="194"/>
      <c r="J926" s="194"/>
      <c r="K926" s="194"/>
      <c r="L926" s="194"/>
      <c r="M926" s="194"/>
      <c r="N926" s="194"/>
      <c r="O926" s="194"/>
      <c r="P926" s="194"/>
      <c r="Q926" s="194"/>
      <c r="R926" s="194"/>
      <c r="S926" s="194"/>
      <c r="T926" s="194"/>
      <c r="U926" s="194"/>
      <c r="V926" s="194"/>
      <c r="W926" s="194"/>
      <c r="X926" s="194"/>
      <c r="Y926" s="194"/>
      <c r="Z926" s="194"/>
      <c r="AA926" s="194"/>
      <c r="AB926" s="194"/>
      <c r="AC926" s="194"/>
      <c r="AD926" s="194"/>
      <c r="AE926" s="194"/>
      <c r="AF926" s="194"/>
      <c r="AG926" s="194"/>
      <c r="AH926" s="194"/>
      <c r="AI926" s="194"/>
      <c r="AJ926" s="194"/>
      <c r="AK926" s="194"/>
      <c r="AL926" s="194"/>
      <c r="AM926" s="194"/>
    </row>
    <row r="927" spans="1:39" ht="15.75" customHeight="1" x14ac:dyDescent="0.25">
      <c r="A927" s="194"/>
      <c r="B927" s="194"/>
      <c r="C927" s="194"/>
      <c r="D927" s="194"/>
      <c r="E927" s="194"/>
      <c r="F927" s="194"/>
      <c r="G927" s="194"/>
      <c r="H927" s="194"/>
      <c r="I927" s="194"/>
      <c r="J927" s="194"/>
      <c r="K927" s="194"/>
      <c r="L927" s="194"/>
      <c r="M927" s="194"/>
      <c r="N927" s="194"/>
      <c r="O927" s="194"/>
      <c r="P927" s="194"/>
      <c r="Q927" s="194"/>
      <c r="R927" s="194"/>
      <c r="S927" s="194"/>
      <c r="T927" s="194"/>
      <c r="U927" s="194"/>
      <c r="V927" s="194"/>
      <c r="W927" s="194"/>
      <c r="X927" s="194"/>
      <c r="Y927" s="194"/>
      <c r="Z927" s="194"/>
      <c r="AA927" s="194"/>
      <c r="AB927" s="194"/>
      <c r="AC927" s="194"/>
      <c r="AD927" s="194"/>
      <c r="AE927" s="194"/>
      <c r="AF927" s="194"/>
      <c r="AG927" s="194"/>
      <c r="AH927" s="194"/>
      <c r="AI927" s="194"/>
      <c r="AJ927" s="194"/>
      <c r="AK927" s="194"/>
      <c r="AL927" s="194"/>
      <c r="AM927" s="194"/>
    </row>
    <row r="928" spans="1:39" ht="15.75" customHeight="1" x14ac:dyDescent="0.25">
      <c r="A928" s="194"/>
      <c r="B928" s="194"/>
      <c r="C928" s="194"/>
      <c r="D928" s="194"/>
      <c r="E928" s="194"/>
      <c r="F928" s="194"/>
      <c r="G928" s="194"/>
      <c r="H928" s="194"/>
      <c r="I928" s="194"/>
      <c r="J928" s="194"/>
      <c r="K928" s="194"/>
      <c r="L928" s="194"/>
      <c r="M928" s="194"/>
      <c r="N928" s="194"/>
      <c r="O928" s="194"/>
      <c r="P928" s="194"/>
      <c r="Q928" s="194"/>
      <c r="R928" s="194"/>
      <c r="S928" s="194"/>
      <c r="T928" s="194"/>
      <c r="U928" s="194"/>
      <c r="V928" s="194"/>
      <c r="W928" s="194"/>
      <c r="X928" s="194"/>
      <c r="Y928" s="194"/>
      <c r="Z928" s="194"/>
      <c r="AA928" s="194"/>
      <c r="AB928" s="194"/>
      <c r="AC928" s="194"/>
      <c r="AD928" s="194"/>
      <c r="AE928" s="194"/>
      <c r="AF928" s="194"/>
      <c r="AG928" s="194"/>
      <c r="AH928" s="194"/>
      <c r="AI928" s="194"/>
      <c r="AJ928" s="194"/>
      <c r="AK928" s="194"/>
      <c r="AL928" s="194"/>
      <c r="AM928" s="194"/>
    </row>
    <row r="929" spans="1:39" ht="15.75" customHeight="1" x14ac:dyDescent="0.25">
      <c r="A929" s="194"/>
      <c r="B929" s="194"/>
      <c r="C929" s="194"/>
      <c r="D929" s="194"/>
      <c r="E929" s="194"/>
      <c r="F929" s="194"/>
      <c r="G929" s="194"/>
      <c r="H929" s="194"/>
      <c r="I929" s="194"/>
      <c r="J929" s="194"/>
      <c r="K929" s="194"/>
      <c r="L929" s="194"/>
      <c r="M929" s="194"/>
      <c r="N929" s="194"/>
      <c r="O929" s="194"/>
      <c r="P929" s="194"/>
      <c r="Q929" s="194"/>
      <c r="R929" s="194"/>
      <c r="S929" s="194"/>
      <c r="T929" s="194"/>
      <c r="U929" s="194"/>
      <c r="V929" s="194"/>
      <c r="W929" s="194"/>
      <c r="X929" s="194"/>
      <c r="Y929" s="194"/>
      <c r="Z929" s="194"/>
      <c r="AA929" s="194"/>
      <c r="AB929" s="194"/>
      <c r="AC929" s="194"/>
      <c r="AD929" s="194"/>
      <c r="AE929" s="194"/>
      <c r="AF929" s="194"/>
      <c r="AG929" s="194"/>
      <c r="AH929" s="194"/>
      <c r="AI929" s="194"/>
      <c r="AJ929" s="194"/>
      <c r="AK929" s="194"/>
      <c r="AL929" s="194"/>
      <c r="AM929" s="194"/>
    </row>
    <row r="930" spans="1:39" ht="15.75" customHeight="1" x14ac:dyDescent="0.25">
      <c r="A930" s="194"/>
      <c r="B930" s="194"/>
      <c r="C930" s="194"/>
      <c r="D930" s="194"/>
      <c r="E930" s="194"/>
      <c r="F930" s="194"/>
      <c r="G930" s="194"/>
      <c r="H930" s="194"/>
      <c r="I930" s="194"/>
      <c r="J930" s="194"/>
      <c r="K930" s="194"/>
      <c r="L930" s="194"/>
      <c r="M930" s="194"/>
      <c r="N930" s="194"/>
      <c r="O930" s="194"/>
      <c r="P930" s="194"/>
      <c r="Q930" s="194"/>
      <c r="R930" s="194"/>
      <c r="S930" s="194"/>
      <c r="T930" s="194"/>
      <c r="U930" s="194"/>
      <c r="V930" s="194"/>
      <c r="W930" s="194"/>
      <c r="X930" s="194"/>
      <c r="Y930" s="194"/>
      <c r="Z930" s="194"/>
      <c r="AA930" s="194"/>
      <c r="AB930" s="194"/>
      <c r="AC930" s="194"/>
      <c r="AD930" s="194"/>
      <c r="AE930" s="194"/>
      <c r="AF930" s="194"/>
      <c r="AG930" s="194"/>
      <c r="AH930" s="194"/>
      <c r="AI930" s="194"/>
      <c r="AJ930" s="194"/>
      <c r="AK930" s="194"/>
      <c r="AL930" s="194"/>
      <c r="AM930" s="194"/>
    </row>
    <row r="931" spans="1:39" ht="15.75" customHeight="1" x14ac:dyDescent="0.25">
      <c r="A931" s="194"/>
      <c r="B931" s="194"/>
      <c r="C931" s="194"/>
      <c r="D931" s="194"/>
      <c r="E931" s="194"/>
      <c r="F931" s="194"/>
      <c r="G931" s="194"/>
      <c r="H931" s="194"/>
      <c r="I931" s="194"/>
      <c r="J931" s="194"/>
      <c r="K931" s="194"/>
      <c r="L931" s="194"/>
      <c r="M931" s="194"/>
      <c r="N931" s="194"/>
      <c r="O931" s="194"/>
      <c r="P931" s="194"/>
      <c r="Q931" s="194"/>
      <c r="R931" s="194"/>
      <c r="S931" s="194"/>
      <c r="T931" s="194"/>
      <c r="U931" s="194"/>
      <c r="V931" s="194"/>
      <c r="W931" s="194"/>
      <c r="X931" s="194"/>
      <c r="Y931" s="194"/>
      <c r="Z931" s="194"/>
      <c r="AA931" s="194"/>
      <c r="AB931" s="194"/>
      <c r="AC931" s="194"/>
      <c r="AD931" s="194"/>
      <c r="AE931" s="194"/>
      <c r="AF931" s="194"/>
      <c r="AG931" s="194"/>
      <c r="AH931" s="194"/>
      <c r="AI931" s="194"/>
      <c r="AJ931" s="194"/>
      <c r="AK931" s="194"/>
      <c r="AL931" s="194"/>
      <c r="AM931" s="194"/>
    </row>
    <row r="932" spans="1:39" ht="15.75" customHeight="1" x14ac:dyDescent="0.25">
      <c r="A932" s="194"/>
      <c r="B932" s="194"/>
      <c r="C932" s="194"/>
      <c r="D932" s="194"/>
      <c r="E932" s="194"/>
      <c r="F932" s="194"/>
      <c r="G932" s="194"/>
      <c r="H932" s="194"/>
      <c r="I932" s="194"/>
      <c r="J932" s="194"/>
      <c r="K932" s="194"/>
      <c r="L932" s="194"/>
      <c r="M932" s="194"/>
      <c r="N932" s="194"/>
      <c r="O932" s="194"/>
      <c r="P932" s="194"/>
      <c r="Q932" s="194"/>
      <c r="R932" s="194"/>
      <c r="S932" s="194"/>
      <c r="T932" s="194"/>
      <c r="U932" s="194"/>
      <c r="V932" s="194"/>
      <c r="W932" s="194"/>
      <c r="X932" s="194"/>
      <c r="Y932" s="194"/>
      <c r="Z932" s="194"/>
      <c r="AA932" s="194"/>
      <c r="AB932" s="194"/>
      <c r="AC932" s="194"/>
      <c r="AD932" s="194"/>
      <c r="AE932" s="194"/>
      <c r="AF932" s="194"/>
      <c r="AG932" s="194"/>
      <c r="AH932" s="194"/>
      <c r="AI932" s="194"/>
      <c r="AJ932" s="194"/>
      <c r="AK932" s="194"/>
      <c r="AL932" s="194"/>
      <c r="AM932" s="194"/>
    </row>
    <row r="933" spans="1:39" ht="15.75" customHeight="1" x14ac:dyDescent="0.25">
      <c r="A933" s="194"/>
      <c r="B933" s="194"/>
      <c r="C933" s="194"/>
      <c r="D933" s="194"/>
      <c r="E933" s="194"/>
      <c r="F933" s="194"/>
      <c r="G933" s="194"/>
      <c r="H933" s="194"/>
      <c r="I933" s="194"/>
      <c r="J933" s="194"/>
      <c r="K933" s="194"/>
      <c r="L933" s="194"/>
      <c r="M933" s="194"/>
      <c r="N933" s="194"/>
      <c r="O933" s="194"/>
      <c r="P933" s="194"/>
      <c r="Q933" s="194"/>
      <c r="R933" s="194"/>
      <c r="S933" s="194"/>
      <c r="T933" s="194"/>
      <c r="U933" s="194"/>
      <c r="V933" s="194"/>
      <c r="W933" s="194"/>
      <c r="X933" s="194"/>
      <c r="Y933" s="194"/>
      <c r="Z933" s="194"/>
      <c r="AA933" s="194"/>
      <c r="AB933" s="194"/>
      <c r="AC933" s="194"/>
      <c r="AD933" s="194"/>
      <c r="AE933" s="194"/>
      <c r="AF933" s="194"/>
      <c r="AG933" s="194"/>
      <c r="AH933" s="194"/>
      <c r="AI933" s="194"/>
      <c r="AJ933" s="194"/>
      <c r="AK933" s="194"/>
      <c r="AL933" s="194"/>
      <c r="AM933" s="194"/>
    </row>
    <row r="934" spans="1:39" ht="15.75" customHeight="1" x14ac:dyDescent="0.25">
      <c r="A934" s="194"/>
      <c r="B934" s="194"/>
      <c r="C934" s="194"/>
      <c r="D934" s="194"/>
      <c r="E934" s="194"/>
      <c r="F934" s="194"/>
      <c r="G934" s="194"/>
      <c r="H934" s="194"/>
      <c r="I934" s="194"/>
      <c r="J934" s="194"/>
      <c r="K934" s="194"/>
      <c r="L934" s="194"/>
      <c r="M934" s="194"/>
      <c r="N934" s="194"/>
      <c r="O934" s="194"/>
      <c r="P934" s="194"/>
      <c r="Q934" s="194"/>
      <c r="R934" s="194"/>
      <c r="S934" s="194"/>
      <c r="T934" s="194"/>
      <c r="U934" s="194"/>
      <c r="V934" s="194"/>
      <c r="W934" s="194"/>
      <c r="X934" s="194"/>
      <c r="Y934" s="194"/>
      <c r="Z934" s="194"/>
      <c r="AA934" s="194"/>
      <c r="AB934" s="194"/>
      <c r="AC934" s="194"/>
      <c r="AD934" s="194"/>
      <c r="AE934" s="194"/>
      <c r="AF934" s="194"/>
      <c r="AG934" s="194"/>
      <c r="AH934" s="194"/>
      <c r="AI934" s="194"/>
      <c r="AJ934" s="194"/>
      <c r="AK934" s="194"/>
      <c r="AL934" s="194"/>
      <c r="AM934" s="194"/>
    </row>
    <row r="935" spans="1:39" ht="15.75" customHeight="1" x14ac:dyDescent="0.25">
      <c r="A935" s="194"/>
      <c r="B935" s="194"/>
      <c r="C935" s="194"/>
      <c r="D935" s="194"/>
      <c r="E935" s="194"/>
      <c r="F935" s="194"/>
      <c r="G935" s="194"/>
      <c r="H935" s="194"/>
      <c r="I935" s="194"/>
      <c r="J935" s="194"/>
      <c r="K935" s="194"/>
      <c r="L935" s="194"/>
      <c r="M935" s="194"/>
      <c r="N935" s="194"/>
      <c r="O935" s="194"/>
      <c r="P935" s="194"/>
      <c r="Q935" s="194"/>
      <c r="R935" s="194"/>
      <c r="S935" s="194"/>
      <c r="T935" s="194"/>
      <c r="U935" s="194"/>
      <c r="V935" s="194"/>
      <c r="W935" s="194"/>
      <c r="X935" s="194"/>
      <c r="Y935" s="194"/>
      <c r="Z935" s="194"/>
      <c r="AA935" s="194"/>
      <c r="AB935" s="194"/>
      <c r="AC935" s="194"/>
      <c r="AD935" s="194"/>
      <c r="AE935" s="194"/>
      <c r="AF935" s="194"/>
      <c r="AG935" s="194"/>
      <c r="AH935" s="194"/>
      <c r="AI935" s="194"/>
      <c r="AJ935" s="194"/>
      <c r="AK935" s="194"/>
      <c r="AL935" s="194"/>
      <c r="AM935" s="194"/>
    </row>
    <row r="936" spans="1:39" ht="15.75" customHeight="1" x14ac:dyDescent="0.25">
      <c r="A936" s="194"/>
      <c r="B936" s="194"/>
      <c r="C936" s="194"/>
      <c r="D936" s="194"/>
      <c r="E936" s="194"/>
      <c r="F936" s="194"/>
      <c r="G936" s="194"/>
      <c r="H936" s="194"/>
      <c r="I936" s="194"/>
      <c r="J936" s="194"/>
      <c r="K936" s="194"/>
      <c r="L936" s="194"/>
      <c r="M936" s="194"/>
      <c r="N936" s="194"/>
      <c r="O936" s="194"/>
      <c r="P936" s="194"/>
      <c r="Q936" s="194"/>
      <c r="R936" s="194"/>
      <c r="S936" s="194"/>
      <c r="T936" s="194"/>
      <c r="U936" s="194"/>
      <c r="V936" s="194"/>
      <c r="W936" s="194"/>
      <c r="X936" s="194"/>
      <c r="Y936" s="194"/>
      <c r="Z936" s="194"/>
      <c r="AA936" s="194"/>
      <c r="AB936" s="194"/>
      <c r="AC936" s="194"/>
      <c r="AD936" s="194"/>
      <c r="AE936" s="194"/>
      <c r="AF936" s="194"/>
      <c r="AG936" s="194"/>
      <c r="AH936" s="194"/>
      <c r="AI936" s="194"/>
      <c r="AJ936" s="194"/>
      <c r="AK936" s="194"/>
      <c r="AL936" s="194"/>
      <c r="AM936" s="194"/>
    </row>
    <row r="937" spans="1:39" ht="15.75" customHeight="1" x14ac:dyDescent="0.25">
      <c r="A937" s="194"/>
      <c r="B937" s="194"/>
      <c r="C937" s="194"/>
      <c r="D937" s="194"/>
      <c r="E937" s="194"/>
      <c r="F937" s="194"/>
      <c r="G937" s="194"/>
      <c r="H937" s="194"/>
      <c r="I937" s="194"/>
      <c r="J937" s="194"/>
      <c r="K937" s="194"/>
      <c r="L937" s="194"/>
      <c r="M937" s="194"/>
      <c r="N937" s="194"/>
      <c r="O937" s="194"/>
      <c r="P937" s="194"/>
      <c r="Q937" s="194"/>
      <c r="R937" s="194"/>
      <c r="S937" s="194"/>
      <c r="T937" s="194"/>
      <c r="U937" s="194"/>
      <c r="V937" s="194"/>
      <c r="W937" s="194"/>
      <c r="X937" s="194"/>
      <c r="Y937" s="194"/>
      <c r="Z937" s="194"/>
      <c r="AA937" s="194"/>
      <c r="AB937" s="194"/>
      <c r="AC937" s="194"/>
      <c r="AD937" s="194"/>
      <c r="AE937" s="194"/>
      <c r="AF937" s="194"/>
      <c r="AG937" s="194"/>
      <c r="AH937" s="194"/>
      <c r="AI937" s="194"/>
      <c r="AJ937" s="194"/>
      <c r="AK937" s="194"/>
      <c r="AL937" s="194"/>
      <c r="AM937" s="194"/>
    </row>
    <row r="938" spans="1:39" ht="15.75" customHeight="1" x14ac:dyDescent="0.25">
      <c r="A938" s="194"/>
      <c r="B938" s="194"/>
      <c r="C938" s="194"/>
      <c r="D938" s="194"/>
      <c r="E938" s="194"/>
      <c r="F938" s="194"/>
      <c r="G938" s="194"/>
      <c r="H938" s="194"/>
      <c r="I938" s="194"/>
      <c r="J938" s="194"/>
      <c r="K938" s="194"/>
      <c r="L938" s="194"/>
      <c r="M938" s="194"/>
      <c r="N938" s="194"/>
      <c r="O938" s="194"/>
      <c r="P938" s="194"/>
      <c r="Q938" s="194"/>
      <c r="R938" s="194"/>
      <c r="S938" s="194"/>
      <c r="T938" s="194"/>
      <c r="U938" s="194"/>
      <c r="V938" s="194"/>
      <c r="W938" s="194"/>
      <c r="X938" s="194"/>
      <c r="Y938" s="194"/>
      <c r="Z938" s="194"/>
      <c r="AA938" s="194"/>
      <c r="AB938" s="194"/>
      <c r="AC938" s="194"/>
      <c r="AD938" s="194"/>
      <c r="AE938" s="194"/>
      <c r="AF938" s="194"/>
      <c r="AG938" s="194"/>
      <c r="AH938" s="194"/>
      <c r="AI938" s="194"/>
      <c r="AJ938" s="194"/>
      <c r="AK938" s="194"/>
      <c r="AL938" s="194"/>
      <c r="AM938" s="194"/>
    </row>
    <row r="939" spans="1:39" ht="15.75" customHeight="1" x14ac:dyDescent="0.25">
      <c r="A939" s="194"/>
      <c r="B939" s="194"/>
      <c r="C939" s="194"/>
      <c r="D939" s="194"/>
      <c r="E939" s="194"/>
      <c r="F939" s="194"/>
      <c r="G939" s="194"/>
      <c r="H939" s="194"/>
      <c r="I939" s="194"/>
      <c r="J939" s="194"/>
      <c r="K939" s="194"/>
      <c r="L939" s="194"/>
      <c r="M939" s="194"/>
      <c r="N939" s="194"/>
      <c r="O939" s="194"/>
      <c r="P939" s="194"/>
      <c r="Q939" s="194"/>
      <c r="R939" s="194"/>
      <c r="S939" s="194"/>
      <c r="T939" s="194"/>
      <c r="U939" s="194"/>
      <c r="V939" s="194"/>
      <c r="W939" s="194"/>
      <c r="X939" s="194"/>
      <c r="Y939" s="194"/>
      <c r="Z939" s="194"/>
      <c r="AA939" s="194"/>
      <c r="AB939" s="194"/>
      <c r="AC939" s="194"/>
      <c r="AD939" s="194"/>
      <c r="AE939" s="194"/>
      <c r="AF939" s="194"/>
      <c r="AG939" s="194"/>
      <c r="AH939" s="194"/>
      <c r="AI939" s="194"/>
      <c r="AJ939" s="194"/>
      <c r="AK939" s="194"/>
      <c r="AL939" s="194"/>
      <c r="AM939" s="194"/>
    </row>
    <row r="940" spans="1:39" ht="15.75" customHeight="1" x14ac:dyDescent="0.25">
      <c r="A940" s="194"/>
      <c r="B940" s="194"/>
      <c r="C940" s="194"/>
      <c r="D940" s="194"/>
      <c r="E940" s="194"/>
      <c r="F940" s="194"/>
      <c r="G940" s="194"/>
      <c r="H940" s="194"/>
      <c r="I940" s="194"/>
      <c r="J940" s="194"/>
      <c r="K940" s="194"/>
      <c r="L940" s="194"/>
      <c r="M940" s="194"/>
      <c r="N940" s="194"/>
      <c r="O940" s="194"/>
      <c r="P940" s="194"/>
      <c r="Q940" s="194"/>
      <c r="R940" s="194"/>
      <c r="S940" s="194"/>
      <c r="T940" s="194"/>
      <c r="U940" s="194"/>
      <c r="V940" s="194"/>
      <c r="W940" s="194"/>
      <c r="X940" s="194"/>
      <c r="Y940" s="194"/>
      <c r="Z940" s="194"/>
      <c r="AA940" s="194"/>
      <c r="AB940" s="194"/>
      <c r="AC940" s="194"/>
      <c r="AD940" s="194"/>
      <c r="AE940" s="194"/>
      <c r="AF940" s="194"/>
      <c r="AG940" s="194"/>
      <c r="AH940" s="194"/>
      <c r="AI940" s="194"/>
      <c r="AJ940" s="194"/>
      <c r="AK940" s="194"/>
      <c r="AL940" s="194"/>
      <c r="AM940" s="194"/>
    </row>
    <row r="941" spans="1:39" ht="15.75" customHeight="1" x14ac:dyDescent="0.25">
      <c r="A941" s="194"/>
      <c r="B941" s="194"/>
      <c r="C941" s="194"/>
      <c r="D941" s="194"/>
      <c r="E941" s="194"/>
      <c r="F941" s="194"/>
      <c r="G941" s="194"/>
      <c r="H941" s="194"/>
      <c r="I941" s="194"/>
      <c r="J941" s="194"/>
      <c r="K941" s="194"/>
      <c r="L941" s="194"/>
      <c r="M941" s="194"/>
      <c r="N941" s="194"/>
      <c r="O941" s="194"/>
      <c r="P941" s="194"/>
      <c r="Q941" s="194"/>
      <c r="R941" s="194"/>
      <c r="S941" s="194"/>
      <c r="T941" s="194"/>
      <c r="U941" s="194"/>
      <c r="V941" s="194"/>
      <c r="W941" s="194"/>
      <c r="X941" s="194"/>
      <c r="Y941" s="194"/>
      <c r="Z941" s="194"/>
      <c r="AA941" s="194"/>
      <c r="AB941" s="194"/>
      <c r="AC941" s="194"/>
      <c r="AD941" s="194"/>
      <c r="AE941" s="194"/>
      <c r="AF941" s="194"/>
      <c r="AG941" s="194"/>
      <c r="AH941" s="194"/>
      <c r="AI941" s="194"/>
      <c r="AJ941" s="194"/>
      <c r="AK941" s="194"/>
      <c r="AL941" s="194"/>
      <c r="AM941" s="194"/>
    </row>
    <row r="942" spans="1:39" ht="15.75" customHeight="1" x14ac:dyDescent="0.25">
      <c r="A942" s="194"/>
      <c r="B942" s="194"/>
      <c r="C942" s="194"/>
      <c r="D942" s="194"/>
      <c r="E942" s="194"/>
      <c r="F942" s="194"/>
      <c r="G942" s="194"/>
      <c r="H942" s="194"/>
      <c r="I942" s="194"/>
      <c r="J942" s="194"/>
      <c r="K942" s="194"/>
      <c r="L942" s="194"/>
      <c r="M942" s="194"/>
      <c r="N942" s="194"/>
      <c r="O942" s="194"/>
      <c r="P942" s="194"/>
      <c r="Q942" s="194"/>
      <c r="R942" s="194"/>
      <c r="S942" s="194"/>
      <c r="T942" s="194"/>
      <c r="U942" s="194"/>
      <c r="V942" s="194"/>
      <c r="W942" s="194"/>
      <c r="X942" s="194"/>
      <c r="Y942" s="194"/>
      <c r="Z942" s="194"/>
      <c r="AA942" s="194"/>
      <c r="AB942" s="194"/>
      <c r="AC942" s="194"/>
      <c r="AD942" s="194"/>
      <c r="AE942" s="194"/>
      <c r="AF942" s="194"/>
      <c r="AG942" s="194"/>
      <c r="AH942" s="194"/>
      <c r="AI942" s="194"/>
      <c r="AJ942" s="194"/>
      <c r="AK942" s="194"/>
      <c r="AL942" s="194"/>
      <c r="AM942" s="194"/>
    </row>
    <row r="943" spans="1:39" ht="15.75" customHeight="1" x14ac:dyDescent="0.25">
      <c r="A943" s="194"/>
      <c r="B943" s="194"/>
      <c r="C943" s="194"/>
      <c r="D943" s="194"/>
      <c r="E943" s="194"/>
      <c r="F943" s="194"/>
      <c r="G943" s="194"/>
      <c r="H943" s="194"/>
      <c r="I943" s="194"/>
      <c r="J943" s="194"/>
      <c r="K943" s="194"/>
      <c r="L943" s="194"/>
      <c r="M943" s="194"/>
      <c r="N943" s="194"/>
      <c r="O943" s="194"/>
      <c r="P943" s="194"/>
      <c r="Q943" s="194"/>
      <c r="R943" s="194"/>
      <c r="S943" s="194"/>
      <c r="T943" s="194"/>
      <c r="U943" s="194"/>
      <c r="V943" s="194"/>
      <c r="W943" s="194"/>
      <c r="X943" s="194"/>
      <c r="Y943" s="194"/>
      <c r="Z943" s="194"/>
      <c r="AA943" s="194"/>
      <c r="AB943" s="194"/>
      <c r="AC943" s="194"/>
      <c r="AD943" s="194"/>
      <c r="AE943" s="194"/>
      <c r="AF943" s="194"/>
      <c r="AG943" s="194"/>
      <c r="AH943" s="194"/>
      <c r="AI943" s="194"/>
      <c r="AJ943" s="194"/>
      <c r="AK943" s="194"/>
      <c r="AL943" s="194"/>
      <c r="AM943" s="194"/>
    </row>
    <row r="944" spans="1:39" ht="15.75" customHeight="1" x14ac:dyDescent="0.25">
      <c r="A944" s="194"/>
      <c r="B944" s="194"/>
      <c r="C944" s="194"/>
      <c r="D944" s="194"/>
      <c r="E944" s="194"/>
      <c r="F944" s="194"/>
      <c r="G944" s="194"/>
      <c r="H944" s="194"/>
      <c r="I944" s="194"/>
      <c r="J944" s="194"/>
      <c r="K944" s="194"/>
      <c r="L944" s="194"/>
      <c r="M944" s="194"/>
      <c r="N944" s="194"/>
      <c r="O944" s="194"/>
      <c r="P944" s="194"/>
      <c r="Q944" s="194"/>
      <c r="R944" s="194"/>
      <c r="S944" s="194"/>
      <c r="T944" s="194"/>
      <c r="U944" s="194"/>
      <c r="V944" s="194"/>
      <c r="W944" s="194"/>
      <c r="X944" s="194"/>
      <c r="Y944" s="194"/>
      <c r="Z944" s="194"/>
      <c r="AA944" s="194"/>
      <c r="AB944" s="194"/>
      <c r="AC944" s="194"/>
      <c r="AD944" s="194"/>
      <c r="AE944" s="194"/>
      <c r="AF944" s="194"/>
      <c r="AG944" s="194"/>
      <c r="AH944" s="194"/>
      <c r="AI944" s="194"/>
      <c r="AJ944" s="194"/>
      <c r="AK944" s="194"/>
      <c r="AL944" s="194"/>
      <c r="AM944" s="194"/>
    </row>
    <row r="945" spans="1:39" ht="15.75" customHeight="1" x14ac:dyDescent="0.25">
      <c r="A945" s="194"/>
      <c r="B945" s="194"/>
      <c r="C945" s="194"/>
      <c r="D945" s="194"/>
      <c r="E945" s="194"/>
      <c r="F945" s="194"/>
      <c r="G945" s="194"/>
      <c r="H945" s="194"/>
      <c r="I945" s="194"/>
      <c r="J945" s="194"/>
      <c r="K945" s="194"/>
      <c r="L945" s="194"/>
      <c r="M945" s="194"/>
      <c r="N945" s="194"/>
      <c r="O945" s="194"/>
      <c r="P945" s="194"/>
      <c r="Q945" s="194"/>
      <c r="R945" s="194"/>
      <c r="S945" s="194"/>
      <c r="T945" s="194"/>
      <c r="U945" s="194"/>
      <c r="V945" s="194"/>
      <c r="W945" s="194"/>
      <c r="X945" s="194"/>
      <c r="Y945" s="194"/>
      <c r="Z945" s="194"/>
      <c r="AA945" s="194"/>
      <c r="AB945" s="194"/>
      <c r="AC945" s="194"/>
      <c r="AD945" s="194"/>
      <c r="AE945" s="194"/>
      <c r="AF945" s="194"/>
      <c r="AG945" s="194"/>
      <c r="AH945" s="194"/>
      <c r="AI945" s="194"/>
      <c r="AJ945" s="194"/>
      <c r="AK945" s="194"/>
      <c r="AL945" s="194"/>
      <c r="AM945" s="194"/>
    </row>
    <row r="946" spans="1:39" ht="15.75" customHeight="1" x14ac:dyDescent="0.25">
      <c r="A946" s="194"/>
      <c r="B946" s="194"/>
      <c r="C946" s="194"/>
      <c r="D946" s="194"/>
      <c r="E946" s="194"/>
      <c r="F946" s="194"/>
      <c r="G946" s="194"/>
      <c r="H946" s="194"/>
      <c r="I946" s="194"/>
      <c r="J946" s="194"/>
      <c r="K946" s="194"/>
      <c r="L946" s="194"/>
      <c r="M946" s="194"/>
      <c r="N946" s="194"/>
      <c r="O946" s="194"/>
      <c r="P946" s="194"/>
      <c r="Q946" s="194"/>
      <c r="R946" s="194"/>
      <c r="S946" s="194"/>
      <c r="T946" s="194"/>
      <c r="U946" s="194"/>
      <c r="V946" s="194"/>
      <c r="W946" s="194"/>
      <c r="X946" s="194"/>
      <c r="Y946" s="194"/>
      <c r="Z946" s="194"/>
      <c r="AA946" s="194"/>
      <c r="AB946" s="194"/>
      <c r="AC946" s="194"/>
      <c r="AD946" s="194"/>
      <c r="AE946" s="194"/>
      <c r="AF946" s="194"/>
      <c r="AG946" s="194"/>
      <c r="AH946" s="194"/>
      <c r="AI946" s="194"/>
      <c r="AJ946" s="194"/>
      <c r="AK946" s="194"/>
      <c r="AL946" s="194"/>
      <c r="AM946" s="194"/>
    </row>
    <row r="947" spans="1:39" ht="15.75" customHeight="1" x14ac:dyDescent="0.25">
      <c r="A947" s="194"/>
      <c r="B947" s="194"/>
      <c r="C947" s="194"/>
      <c r="D947" s="194"/>
      <c r="E947" s="194"/>
      <c r="F947" s="194"/>
      <c r="G947" s="194"/>
      <c r="H947" s="194"/>
      <c r="I947" s="194"/>
      <c r="J947" s="194"/>
      <c r="K947" s="194"/>
      <c r="L947" s="194"/>
      <c r="M947" s="194"/>
      <c r="N947" s="194"/>
      <c r="O947" s="194"/>
      <c r="P947" s="194"/>
      <c r="Q947" s="194"/>
      <c r="R947" s="194"/>
      <c r="S947" s="194"/>
      <c r="T947" s="194"/>
      <c r="U947" s="194"/>
      <c r="V947" s="194"/>
      <c r="W947" s="194"/>
      <c r="X947" s="194"/>
      <c r="Y947" s="194"/>
      <c r="Z947" s="194"/>
      <c r="AA947" s="194"/>
      <c r="AB947" s="194"/>
      <c r="AC947" s="194"/>
      <c r="AD947" s="194"/>
      <c r="AE947" s="194"/>
      <c r="AF947" s="194"/>
      <c r="AG947" s="194"/>
      <c r="AH947" s="194"/>
      <c r="AI947" s="194"/>
      <c r="AJ947" s="194"/>
      <c r="AK947" s="194"/>
      <c r="AL947" s="194"/>
      <c r="AM947" s="194"/>
    </row>
    <row r="948" spans="1:39" ht="15.75" customHeight="1" x14ac:dyDescent="0.25">
      <c r="A948" s="194"/>
      <c r="B948" s="194"/>
      <c r="C948" s="194"/>
      <c r="D948" s="194"/>
      <c r="E948" s="194"/>
      <c r="F948" s="194"/>
      <c r="G948" s="194"/>
      <c r="H948" s="194"/>
      <c r="I948" s="194"/>
      <c r="J948" s="194"/>
      <c r="K948" s="194"/>
      <c r="L948" s="194"/>
      <c r="M948" s="194"/>
      <c r="N948" s="194"/>
      <c r="O948" s="194"/>
      <c r="P948" s="194"/>
      <c r="Q948" s="194"/>
      <c r="R948" s="194"/>
      <c r="S948" s="194"/>
      <c r="T948" s="194"/>
      <c r="U948" s="194"/>
      <c r="V948" s="194"/>
      <c r="W948" s="194"/>
      <c r="X948" s="194"/>
      <c r="Y948" s="194"/>
      <c r="Z948" s="194"/>
      <c r="AA948" s="194"/>
      <c r="AB948" s="194"/>
      <c r="AC948" s="194"/>
      <c r="AD948" s="194"/>
      <c r="AE948" s="194"/>
      <c r="AF948" s="194"/>
      <c r="AG948" s="194"/>
      <c r="AH948" s="194"/>
      <c r="AI948" s="194"/>
      <c r="AJ948" s="194"/>
      <c r="AK948" s="194"/>
      <c r="AL948" s="194"/>
      <c r="AM948" s="194"/>
    </row>
    <row r="949" spans="1:39" ht="15.75" customHeight="1" x14ac:dyDescent="0.25">
      <c r="A949" s="194"/>
      <c r="B949" s="194"/>
      <c r="C949" s="194"/>
      <c r="D949" s="194"/>
      <c r="E949" s="194"/>
      <c r="F949" s="194"/>
      <c r="G949" s="194"/>
      <c r="H949" s="194"/>
      <c r="I949" s="194"/>
      <c r="J949" s="194"/>
      <c r="K949" s="194"/>
      <c r="L949" s="194"/>
      <c r="M949" s="194"/>
      <c r="N949" s="194"/>
      <c r="O949" s="194"/>
      <c r="P949" s="194"/>
      <c r="Q949" s="194"/>
      <c r="R949" s="194"/>
      <c r="S949" s="194"/>
      <c r="T949" s="194"/>
      <c r="U949" s="194"/>
      <c r="V949" s="194"/>
      <c r="W949" s="194"/>
      <c r="X949" s="194"/>
      <c r="Y949" s="194"/>
      <c r="Z949" s="194"/>
      <c r="AA949" s="194"/>
      <c r="AB949" s="194"/>
      <c r="AC949" s="194"/>
      <c r="AD949" s="194"/>
      <c r="AE949" s="194"/>
      <c r="AF949" s="194"/>
      <c r="AG949" s="194"/>
      <c r="AH949" s="194"/>
      <c r="AI949" s="194"/>
      <c r="AJ949" s="194"/>
      <c r="AK949" s="194"/>
      <c r="AL949" s="194"/>
      <c r="AM949" s="194"/>
    </row>
    <row r="950" spans="1:39" ht="15.75" customHeight="1" x14ac:dyDescent="0.25">
      <c r="A950" s="194"/>
      <c r="B950" s="194"/>
      <c r="C950" s="194"/>
      <c r="D950" s="194"/>
      <c r="E950" s="194"/>
      <c r="F950" s="194"/>
      <c r="G950" s="194"/>
      <c r="H950" s="194"/>
      <c r="I950" s="194"/>
      <c r="J950" s="194"/>
      <c r="K950" s="194"/>
      <c r="L950" s="194"/>
      <c r="M950" s="194"/>
      <c r="N950" s="194"/>
      <c r="O950" s="194"/>
      <c r="P950" s="194"/>
      <c r="Q950" s="194"/>
      <c r="R950" s="194"/>
      <c r="S950" s="194"/>
      <c r="T950" s="194"/>
      <c r="U950" s="194"/>
      <c r="V950" s="194"/>
      <c r="W950" s="194"/>
      <c r="X950" s="194"/>
      <c r="Y950" s="194"/>
      <c r="Z950" s="194"/>
      <c r="AA950" s="194"/>
      <c r="AB950" s="194"/>
      <c r="AC950" s="194"/>
      <c r="AD950" s="194"/>
      <c r="AE950" s="194"/>
      <c r="AF950" s="194"/>
      <c r="AG950" s="194"/>
      <c r="AH950" s="194"/>
      <c r="AI950" s="194"/>
      <c r="AJ950" s="194"/>
      <c r="AK950" s="194"/>
      <c r="AL950" s="194"/>
      <c r="AM950" s="194"/>
    </row>
    <row r="951" spans="1:39" ht="15.75" customHeight="1" x14ac:dyDescent="0.25">
      <c r="A951" s="194"/>
      <c r="B951" s="194"/>
      <c r="C951" s="194"/>
      <c r="D951" s="194"/>
      <c r="E951" s="194"/>
      <c r="F951" s="194"/>
      <c r="G951" s="194"/>
      <c r="H951" s="194"/>
      <c r="I951" s="194"/>
      <c r="J951" s="194"/>
      <c r="K951" s="194"/>
      <c r="L951" s="194"/>
      <c r="M951" s="194"/>
      <c r="N951" s="194"/>
      <c r="O951" s="194"/>
      <c r="P951" s="194"/>
      <c r="Q951" s="194"/>
      <c r="R951" s="194"/>
      <c r="S951" s="194"/>
      <c r="T951" s="194"/>
      <c r="U951" s="194"/>
      <c r="V951" s="194"/>
      <c r="W951" s="194"/>
      <c r="X951" s="194"/>
      <c r="Y951" s="194"/>
      <c r="Z951" s="194"/>
      <c r="AA951" s="194"/>
      <c r="AB951" s="194"/>
      <c r="AC951" s="194"/>
      <c r="AD951" s="194"/>
      <c r="AE951" s="194"/>
      <c r="AF951" s="194"/>
      <c r="AG951" s="194"/>
      <c r="AH951" s="194"/>
      <c r="AI951" s="194"/>
      <c r="AJ951" s="194"/>
      <c r="AK951" s="194"/>
      <c r="AL951" s="194"/>
      <c r="AM951" s="194"/>
    </row>
    <row r="952" spans="1:39" ht="15.75" customHeight="1" x14ac:dyDescent="0.25">
      <c r="A952" s="194"/>
      <c r="B952" s="194"/>
      <c r="C952" s="194"/>
      <c r="D952" s="194"/>
      <c r="E952" s="194"/>
      <c r="F952" s="194"/>
      <c r="G952" s="194"/>
      <c r="H952" s="194"/>
      <c r="I952" s="194"/>
      <c r="J952" s="194"/>
      <c r="K952" s="194"/>
      <c r="L952" s="194"/>
      <c r="M952" s="194"/>
      <c r="N952" s="194"/>
      <c r="O952" s="194"/>
      <c r="P952" s="194"/>
      <c r="Q952" s="194"/>
      <c r="R952" s="194"/>
      <c r="S952" s="194"/>
      <c r="T952" s="194"/>
      <c r="U952" s="194"/>
      <c r="V952" s="194"/>
      <c r="W952" s="194"/>
      <c r="X952" s="194"/>
      <c r="Y952" s="194"/>
      <c r="Z952" s="194"/>
      <c r="AA952" s="194"/>
      <c r="AB952" s="194"/>
      <c r="AC952" s="194"/>
      <c r="AD952" s="194"/>
      <c r="AE952" s="194"/>
      <c r="AF952" s="194"/>
      <c r="AG952" s="194"/>
      <c r="AH952" s="194"/>
      <c r="AI952" s="194"/>
      <c r="AJ952" s="194"/>
      <c r="AK952" s="194"/>
      <c r="AL952" s="194"/>
      <c r="AM952" s="194"/>
    </row>
    <row r="953" spans="1:39" ht="15.75" customHeight="1" x14ac:dyDescent="0.25">
      <c r="A953" s="194"/>
      <c r="B953" s="194"/>
      <c r="C953" s="194"/>
      <c r="D953" s="194"/>
      <c r="E953" s="194"/>
      <c r="F953" s="194"/>
      <c r="G953" s="194"/>
      <c r="H953" s="194"/>
      <c r="I953" s="194"/>
      <c r="J953" s="194"/>
      <c r="K953" s="194"/>
      <c r="L953" s="194"/>
      <c r="M953" s="194"/>
      <c r="N953" s="194"/>
      <c r="O953" s="194"/>
      <c r="P953" s="194"/>
      <c r="Q953" s="194"/>
      <c r="R953" s="194"/>
      <c r="S953" s="194"/>
      <c r="T953" s="194"/>
      <c r="U953" s="194"/>
      <c r="V953" s="194"/>
      <c r="W953" s="194"/>
      <c r="X953" s="194"/>
      <c r="Y953" s="194"/>
      <c r="Z953" s="194"/>
      <c r="AA953" s="194"/>
      <c r="AB953" s="194"/>
      <c r="AC953" s="194"/>
      <c r="AD953" s="194"/>
      <c r="AE953" s="194"/>
      <c r="AF953" s="194"/>
      <c r="AG953" s="194"/>
      <c r="AH953" s="194"/>
      <c r="AI953" s="194"/>
      <c r="AJ953" s="194"/>
      <c r="AK953" s="194"/>
      <c r="AL953" s="194"/>
      <c r="AM953" s="194"/>
    </row>
    <row r="954" spans="1:39" ht="15.75" customHeight="1" x14ac:dyDescent="0.25">
      <c r="A954" s="194"/>
      <c r="B954" s="194"/>
      <c r="C954" s="194"/>
      <c r="D954" s="194"/>
      <c r="E954" s="194"/>
      <c r="F954" s="194"/>
      <c r="G954" s="194"/>
      <c r="H954" s="194"/>
      <c r="I954" s="194"/>
      <c r="J954" s="194"/>
      <c r="K954" s="194"/>
      <c r="L954" s="194"/>
      <c r="M954" s="194"/>
      <c r="N954" s="194"/>
      <c r="O954" s="194"/>
      <c r="P954" s="194"/>
      <c r="Q954" s="194"/>
      <c r="R954" s="194"/>
      <c r="S954" s="194"/>
      <c r="T954" s="194"/>
      <c r="U954" s="194"/>
      <c r="V954" s="194"/>
      <c r="W954" s="194"/>
      <c r="X954" s="194"/>
      <c r="Y954" s="194"/>
      <c r="Z954" s="194"/>
      <c r="AA954" s="194"/>
      <c r="AB954" s="194"/>
      <c r="AC954" s="194"/>
      <c r="AD954" s="194"/>
      <c r="AE954" s="194"/>
      <c r="AF954" s="194"/>
      <c r="AG954" s="194"/>
      <c r="AH954" s="194"/>
      <c r="AI954" s="194"/>
      <c r="AJ954" s="194"/>
      <c r="AK954" s="194"/>
      <c r="AL954" s="194"/>
      <c r="AM954" s="194"/>
    </row>
    <row r="955" spans="1:39" ht="15.75" customHeight="1" x14ac:dyDescent="0.25">
      <c r="A955" s="194"/>
      <c r="B955" s="194"/>
      <c r="C955" s="194"/>
      <c r="D955" s="194"/>
      <c r="E955" s="194"/>
      <c r="F955" s="194"/>
      <c r="G955" s="194"/>
      <c r="H955" s="194"/>
      <c r="I955" s="194"/>
      <c r="J955" s="194"/>
      <c r="K955" s="194"/>
      <c r="L955" s="194"/>
      <c r="M955" s="194"/>
      <c r="N955" s="194"/>
      <c r="O955" s="194"/>
      <c r="P955" s="194"/>
      <c r="Q955" s="194"/>
      <c r="R955" s="194"/>
      <c r="S955" s="194"/>
      <c r="T955" s="194"/>
      <c r="U955" s="194"/>
      <c r="V955" s="194"/>
      <c r="W955" s="194"/>
      <c r="X955" s="194"/>
      <c r="Y955" s="194"/>
      <c r="Z955" s="194"/>
      <c r="AA955" s="194"/>
      <c r="AB955" s="194"/>
      <c r="AC955" s="194"/>
      <c r="AD955" s="194"/>
      <c r="AE955" s="194"/>
      <c r="AF955" s="194"/>
      <c r="AG955" s="194"/>
      <c r="AH955" s="194"/>
      <c r="AI955" s="194"/>
      <c r="AJ955" s="194"/>
      <c r="AK955" s="194"/>
      <c r="AL955" s="194"/>
      <c r="AM955" s="194"/>
    </row>
    <row r="956" spans="1:39" ht="15.75" customHeight="1" x14ac:dyDescent="0.25">
      <c r="A956" s="194"/>
      <c r="B956" s="194"/>
      <c r="C956" s="194"/>
      <c r="D956" s="194"/>
      <c r="E956" s="194"/>
      <c r="F956" s="194"/>
      <c r="G956" s="194"/>
      <c r="H956" s="194"/>
      <c r="I956" s="194"/>
      <c r="J956" s="194"/>
      <c r="K956" s="194"/>
      <c r="L956" s="194"/>
      <c r="M956" s="194"/>
      <c r="N956" s="194"/>
      <c r="O956" s="194"/>
      <c r="P956" s="194"/>
      <c r="Q956" s="194"/>
      <c r="R956" s="194"/>
      <c r="S956" s="194"/>
      <c r="T956" s="194"/>
      <c r="U956" s="194"/>
      <c r="V956" s="194"/>
      <c r="W956" s="194"/>
      <c r="X956" s="194"/>
      <c r="Y956" s="194"/>
      <c r="Z956" s="194"/>
      <c r="AA956" s="194"/>
      <c r="AB956" s="194"/>
      <c r="AC956" s="194"/>
      <c r="AD956" s="194"/>
      <c r="AE956" s="194"/>
      <c r="AF956" s="194"/>
      <c r="AG956" s="194"/>
      <c r="AH956" s="194"/>
      <c r="AI956" s="194"/>
      <c r="AJ956" s="194"/>
      <c r="AK956" s="194"/>
      <c r="AL956" s="194"/>
      <c r="AM956" s="194"/>
    </row>
    <row r="957" spans="1:39" ht="15.75" customHeight="1" x14ac:dyDescent="0.25">
      <c r="A957" s="194"/>
      <c r="B957" s="194"/>
      <c r="C957" s="194"/>
      <c r="D957" s="194"/>
      <c r="E957" s="194"/>
      <c r="F957" s="194"/>
      <c r="G957" s="194"/>
      <c r="H957" s="194"/>
      <c r="I957" s="194"/>
      <c r="J957" s="194"/>
      <c r="K957" s="194"/>
      <c r="L957" s="194"/>
      <c r="M957" s="194"/>
      <c r="N957" s="194"/>
      <c r="O957" s="194"/>
      <c r="P957" s="194"/>
      <c r="Q957" s="194"/>
      <c r="R957" s="194"/>
      <c r="S957" s="194"/>
      <c r="T957" s="194"/>
      <c r="U957" s="194"/>
      <c r="V957" s="194"/>
      <c r="W957" s="194"/>
      <c r="X957" s="194"/>
      <c r="Y957" s="194"/>
      <c r="Z957" s="194"/>
      <c r="AA957" s="194"/>
      <c r="AB957" s="194"/>
      <c r="AC957" s="194"/>
      <c r="AD957" s="194"/>
      <c r="AE957" s="194"/>
      <c r="AF957" s="194"/>
      <c r="AG957" s="194"/>
      <c r="AH957" s="194"/>
      <c r="AI957" s="194"/>
      <c r="AJ957" s="194"/>
      <c r="AK957" s="194"/>
      <c r="AL957" s="194"/>
      <c r="AM957" s="194"/>
    </row>
    <row r="958" spans="1:39" ht="15.75" customHeight="1" x14ac:dyDescent="0.25">
      <c r="A958" s="194"/>
      <c r="B958" s="194"/>
      <c r="C958" s="194"/>
      <c r="D958" s="194"/>
      <c r="E958" s="194"/>
      <c r="F958" s="194"/>
      <c r="G958" s="194"/>
      <c r="H958" s="194"/>
      <c r="I958" s="194"/>
      <c r="J958" s="194"/>
      <c r="K958" s="194"/>
      <c r="L958" s="194"/>
      <c r="M958" s="194"/>
      <c r="N958" s="194"/>
      <c r="O958" s="194"/>
      <c r="P958" s="194"/>
      <c r="Q958" s="194"/>
      <c r="R958" s="194"/>
      <c r="S958" s="194"/>
      <c r="T958" s="194"/>
      <c r="U958" s="194"/>
      <c r="V958" s="194"/>
      <c r="W958" s="194"/>
      <c r="X958" s="194"/>
      <c r="Y958" s="194"/>
      <c r="Z958" s="194"/>
      <c r="AA958" s="194"/>
      <c r="AB958" s="194"/>
      <c r="AC958" s="194"/>
      <c r="AD958" s="194"/>
      <c r="AE958" s="194"/>
      <c r="AF958" s="194"/>
      <c r="AG958" s="194"/>
      <c r="AH958" s="194"/>
      <c r="AI958" s="194"/>
      <c r="AJ958" s="194"/>
      <c r="AK958" s="194"/>
      <c r="AL958" s="194"/>
      <c r="AM958" s="194"/>
    </row>
    <row r="959" spans="1:39" ht="15.75" customHeight="1" x14ac:dyDescent="0.25">
      <c r="A959" s="194"/>
      <c r="B959" s="194"/>
      <c r="C959" s="194"/>
      <c r="D959" s="194"/>
      <c r="E959" s="194"/>
      <c r="F959" s="194"/>
      <c r="G959" s="194"/>
      <c r="H959" s="194"/>
      <c r="I959" s="194"/>
      <c r="J959" s="194"/>
      <c r="K959" s="194"/>
      <c r="L959" s="194"/>
      <c r="M959" s="194"/>
      <c r="N959" s="194"/>
      <c r="O959" s="194"/>
      <c r="P959" s="194"/>
      <c r="Q959" s="194"/>
      <c r="R959" s="194"/>
      <c r="S959" s="194"/>
      <c r="T959" s="194"/>
      <c r="U959" s="194"/>
      <c r="V959" s="194"/>
      <c r="W959" s="194"/>
      <c r="X959" s="194"/>
      <c r="Y959" s="194"/>
      <c r="Z959" s="194"/>
      <c r="AA959" s="194"/>
      <c r="AB959" s="194"/>
      <c r="AC959" s="194"/>
      <c r="AD959" s="194"/>
      <c r="AE959" s="194"/>
      <c r="AF959" s="194"/>
      <c r="AG959" s="194"/>
      <c r="AH959" s="194"/>
      <c r="AI959" s="194"/>
      <c r="AJ959" s="194"/>
      <c r="AK959" s="194"/>
      <c r="AL959" s="194"/>
      <c r="AM959" s="194"/>
    </row>
    <row r="960" spans="1:39" ht="15.75" customHeight="1" x14ac:dyDescent="0.25">
      <c r="A960" s="194"/>
      <c r="B960" s="194"/>
      <c r="C960" s="194"/>
      <c r="D960" s="194"/>
      <c r="E960" s="194"/>
      <c r="F960" s="194"/>
      <c r="G960" s="194"/>
      <c r="H960" s="194"/>
      <c r="I960" s="194"/>
      <c r="J960" s="194"/>
      <c r="K960" s="194"/>
      <c r="L960" s="194"/>
      <c r="M960" s="194"/>
      <c r="N960" s="194"/>
      <c r="O960" s="194"/>
      <c r="P960" s="194"/>
      <c r="Q960" s="194"/>
      <c r="R960" s="194"/>
      <c r="S960" s="194"/>
      <c r="T960" s="194"/>
      <c r="U960" s="194"/>
      <c r="V960" s="194"/>
      <c r="W960" s="194"/>
      <c r="X960" s="194"/>
      <c r="Y960" s="194"/>
      <c r="Z960" s="194"/>
      <c r="AA960" s="194"/>
      <c r="AB960" s="194"/>
      <c r="AC960" s="194"/>
      <c r="AD960" s="194"/>
      <c r="AE960" s="194"/>
      <c r="AF960" s="194"/>
      <c r="AG960" s="194"/>
      <c r="AH960" s="194"/>
      <c r="AI960" s="194"/>
      <c r="AJ960" s="194"/>
      <c r="AK960" s="194"/>
      <c r="AL960" s="194"/>
      <c r="AM960" s="194"/>
    </row>
    <row r="961" spans="1:39" ht="15.75" customHeight="1" x14ac:dyDescent="0.25">
      <c r="A961" s="194"/>
      <c r="B961" s="194"/>
      <c r="C961" s="194"/>
      <c r="D961" s="194"/>
      <c r="E961" s="194"/>
      <c r="F961" s="194"/>
      <c r="G961" s="194"/>
      <c r="H961" s="194"/>
      <c r="I961" s="194"/>
      <c r="J961" s="194"/>
      <c r="K961" s="194"/>
      <c r="L961" s="194"/>
      <c r="M961" s="194"/>
      <c r="N961" s="194"/>
      <c r="O961" s="194"/>
      <c r="P961" s="194"/>
      <c r="Q961" s="194"/>
      <c r="R961" s="194"/>
      <c r="S961" s="194"/>
      <c r="T961" s="194"/>
      <c r="U961" s="194"/>
      <c r="V961" s="194"/>
      <c r="W961" s="194"/>
      <c r="X961" s="194"/>
      <c r="Y961" s="194"/>
      <c r="Z961" s="194"/>
      <c r="AA961" s="194"/>
      <c r="AB961" s="194"/>
      <c r="AC961" s="194"/>
      <c r="AD961" s="194"/>
      <c r="AE961" s="194"/>
      <c r="AF961" s="194"/>
      <c r="AG961" s="194"/>
      <c r="AH961" s="194"/>
      <c r="AI961" s="194"/>
      <c r="AJ961" s="194"/>
      <c r="AK961" s="194"/>
      <c r="AL961" s="194"/>
      <c r="AM961" s="194"/>
    </row>
    <row r="962" spans="1:39" ht="15.75" customHeight="1" x14ac:dyDescent="0.25">
      <c r="A962" s="194"/>
      <c r="B962" s="194"/>
      <c r="C962" s="194"/>
      <c r="D962" s="194"/>
      <c r="E962" s="194"/>
      <c r="F962" s="194"/>
      <c r="G962" s="194"/>
      <c r="H962" s="194"/>
      <c r="I962" s="194"/>
      <c r="J962" s="194"/>
      <c r="K962" s="194"/>
      <c r="L962" s="194"/>
      <c r="M962" s="194"/>
      <c r="N962" s="194"/>
      <c r="O962" s="194"/>
      <c r="P962" s="194"/>
      <c r="Q962" s="194"/>
      <c r="R962" s="194"/>
      <c r="S962" s="194"/>
      <c r="T962" s="194"/>
      <c r="U962" s="194"/>
      <c r="V962" s="194"/>
      <c r="W962" s="194"/>
      <c r="X962" s="194"/>
      <c r="Y962" s="194"/>
      <c r="Z962" s="194"/>
      <c r="AA962" s="194"/>
      <c r="AB962" s="194"/>
      <c r="AC962" s="194"/>
      <c r="AD962" s="194"/>
      <c r="AE962" s="194"/>
      <c r="AF962" s="194"/>
      <c r="AG962" s="194"/>
      <c r="AH962" s="194"/>
      <c r="AI962" s="194"/>
      <c r="AJ962" s="194"/>
      <c r="AK962" s="194"/>
      <c r="AL962" s="194"/>
      <c r="AM962" s="194"/>
    </row>
    <row r="963" spans="1:39" ht="15.75" customHeight="1" x14ac:dyDescent="0.25">
      <c r="A963" s="194"/>
      <c r="B963" s="194"/>
      <c r="C963" s="194"/>
      <c r="D963" s="194"/>
      <c r="E963" s="194"/>
      <c r="F963" s="194"/>
      <c r="G963" s="194"/>
      <c r="H963" s="194"/>
      <c r="I963" s="194"/>
      <c r="J963" s="194"/>
      <c r="K963" s="194"/>
      <c r="L963" s="194"/>
      <c r="M963" s="194"/>
      <c r="N963" s="194"/>
      <c r="O963" s="194"/>
      <c r="P963" s="194"/>
      <c r="Q963" s="194"/>
      <c r="R963" s="194"/>
      <c r="S963" s="194"/>
      <c r="T963" s="194"/>
      <c r="U963" s="194"/>
      <c r="V963" s="194"/>
      <c r="W963" s="194"/>
      <c r="X963" s="194"/>
      <c r="Y963" s="194"/>
      <c r="Z963" s="194"/>
      <c r="AA963" s="194"/>
      <c r="AB963" s="194"/>
      <c r="AC963" s="194"/>
      <c r="AD963" s="194"/>
      <c r="AE963" s="194"/>
      <c r="AF963" s="194"/>
      <c r="AG963" s="194"/>
      <c r="AH963" s="194"/>
      <c r="AI963" s="194"/>
      <c r="AJ963" s="194"/>
      <c r="AK963" s="194"/>
      <c r="AL963" s="194"/>
      <c r="AM963" s="194"/>
    </row>
    <row r="964" spans="1:39" ht="15.75" customHeight="1" x14ac:dyDescent="0.25">
      <c r="A964" s="194"/>
      <c r="B964" s="194"/>
      <c r="C964" s="194"/>
      <c r="D964" s="194"/>
      <c r="E964" s="194"/>
      <c r="F964" s="194"/>
      <c r="G964" s="194"/>
      <c r="H964" s="194"/>
      <c r="I964" s="194"/>
      <c r="J964" s="194"/>
      <c r="K964" s="194"/>
      <c r="L964" s="194"/>
      <c r="M964" s="194"/>
      <c r="N964" s="194"/>
      <c r="O964" s="194"/>
      <c r="P964" s="194"/>
      <c r="Q964" s="194"/>
      <c r="R964" s="194"/>
      <c r="S964" s="194"/>
      <c r="T964" s="194"/>
      <c r="U964" s="194"/>
      <c r="V964" s="194"/>
      <c r="W964" s="194"/>
      <c r="X964" s="194"/>
      <c r="Y964" s="194"/>
      <c r="Z964" s="194"/>
      <c r="AA964" s="194"/>
      <c r="AB964" s="194"/>
      <c r="AC964" s="194"/>
      <c r="AD964" s="194"/>
      <c r="AE964" s="194"/>
      <c r="AF964" s="194"/>
      <c r="AG964" s="194"/>
      <c r="AH964" s="194"/>
      <c r="AI964" s="194"/>
      <c r="AJ964" s="194"/>
      <c r="AK964" s="194"/>
      <c r="AL964" s="194"/>
      <c r="AM964" s="194"/>
    </row>
    <row r="965" spans="1:39" ht="15.75" customHeight="1" x14ac:dyDescent="0.25">
      <c r="A965" s="194"/>
      <c r="B965" s="194"/>
      <c r="C965" s="194"/>
      <c r="D965" s="194"/>
      <c r="E965" s="194"/>
      <c r="F965" s="194"/>
      <c r="G965" s="194"/>
      <c r="H965" s="194"/>
      <c r="I965" s="194"/>
      <c r="J965" s="194"/>
      <c r="K965" s="194"/>
      <c r="L965" s="194"/>
      <c r="M965" s="194"/>
      <c r="N965" s="194"/>
      <c r="O965" s="194"/>
      <c r="P965" s="194"/>
      <c r="Q965" s="194"/>
      <c r="R965" s="194"/>
      <c r="S965" s="194"/>
      <c r="T965" s="194"/>
      <c r="U965" s="194"/>
      <c r="V965" s="194"/>
      <c r="W965" s="194"/>
      <c r="X965" s="194"/>
      <c r="Y965" s="194"/>
      <c r="Z965" s="194"/>
      <c r="AA965" s="194"/>
      <c r="AB965" s="194"/>
      <c r="AC965" s="194"/>
      <c r="AD965" s="194"/>
      <c r="AE965" s="194"/>
      <c r="AF965" s="194"/>
      <c r="AG965" s="194"/>
      <c r="AH965" s="194"/>
      <c r="AI965" s="194"/>
      <c r="AJ965" s="194"/>
      <c r="AK965" s="194"/>
      <c r="AL965" s="194"/>
      <c r="AM965" s="194"/>
    </row>
    <row r="966" spans="1:39" ht="15.75" customHeight="1" x14ac:dyDescent="0.25">
      <c r="A966" s="194"/>
      <c r="B966" s="194"/>
      <c r="C966" s="194"/>
      <c r="D966" s="194"/>
      <c r="E966" s="194"/>
      <c r="F966" s="194"/>
      <c r="G966" s="194"/>
      <c r="H966" s="194"/>
      <c r="I966" s="194"/>
      <c r="J966" s="194"/>
      <c r="K966" s="194"/>
      <c r="L966" s="194"/>
      <c r="M966" s="194"/>
      <c r="N966" s="194"/>
      <c r="O966" s="194"/>
      <c r="P966" s="194"/>
      <c r="Q966" s="194"/>
      <c r="R966" s="194"/>
      <c r="S966" s="194"/>
      <c r="T966" s="194"/>
      <c r="U966" s="194"/>
      <c r="V966" s="194"/>
      <c r="W966" s="194"/>
      <c r="X966" s="194"/>
      <c r="Y966" s="194"/>
      <c r="Z966" s="194"/>
      <c r="AA966" s="194"/>
      <c r="AB966" s="194"/>
      <c r="AC966" s="194"/>
      <c r="AD966" s="194"/>
      <c r="AE966" s="194"/>
      <c r="AF966" s="194"/>
      <c r="AG966" s="194"/>
      <c r="AH966" s="194"/>
      <c r="AI966" s="194"/>
      <c r="AJ966" s="194"/>
      <c r="AK966" s="194"/>
      <c r="AL966" s="194"/>
      <c r="AM966" s="194"/>
    </row>
    <row r="967" spans="1:39" ht="15.75" customHeight="1" x14ac:dyDescent="0.25">
      <c r="A967" s="194"/>
      <c r="B967" s="194"/>
      <c r="C967" s="194"/>
      <c r="D967" s="194"/>
      <c r="E967" s="194"/>
      <c r="F967" s="194"/>
      <c r="G967" s="194"/>
      <c r="H967" s="194"/>
      <c r="I967" s="194"/>
      <c r="J967" s="194"/>
      <c r="K967" s="194"/>
      <c r="L967" s="194"/>
      <c r="M967" s="194"/>
      <c r="N967" s="194"/>
      <c r="O967" s="194"/>
      <c r="P967" s="194"/>
      <c r="Q967" s="194"/>
      <c r="R967" s="194"/>
      <c r="S967" s="194"/>
      <c r="T967" s="194"/>
      <c r="U967" s="194"/>
      <c r="V967" s="194"/>
      <c r="W967" s="194"/>
      <c r="X967" s="194"/>
      <c r="Y967" s="194"/>
      <c r="Z967" s="194"/>
      <c r="AA967" s="194"/>
      <c r="AB967" s="194"/>
      <c r="AC967" s="194"/>
      <c r="AD967" s="194"/>
      <c r="AE967" s="194"/>
      <c r="AF967" s="194"/>
      <c r="AG967" s="194"/>
      <c r="AH967" s="194"/>
      <c r="AI967" s="194"/>
      <c r="AJ967" s="194"/>
      <c r="AK967" s="194"/>
      <c r="AL967" s="194"/>
      <c r="AM967" s="194"/>
    </row>
    <row r="968" spans="1:39" ht="15.75" customHeight="1" x14ac:dyDescent="0.25">
      <c r="A968" s="194"/>
      <c r="B968" s="194"/>
      <c r="C968" s="194"/>
      <c r="D968" s="194"/>
      <c r="E968" s="194"/>
      <c r="F968" s="194"/>
      <c r="G968" s="194"/>
      <c r="H968" s="194"/>
      <c r="I968" s="194"/>
      <c r="J968" s="194"/>
      <c r="K968" s="194"/>
      <c r="L968" s="194"/>
      <c r="M968" s="194"/>
      <c r="N968" s="194"/>
      <c r="O968" s="194"/>
      <c r="P968" s="194"/>
      <c r="Q968" s="194"/>
      <c r="R968" s="194"/>
      <c r="S968" s="194"/>
      <c r="T968" s="194"/>
      <c r="U968" s="194"/>
      <c r="V968" s="194"/>
      <c r="W968" s="194"/>
      <c r="X968" s="194"/>
      <c r="Y968" s="194"/>
      <c r="Z968" s="194"/>
      <c r="AA968" s="194"/>
      <c r="AB968" s="194"/>
      <c r="AC968" s="194"/>
      <c r="AD968" s="194"/>
      <c r="AE968" s="194"/>
      <c r="AF968" s="194"/>
      <c r="AG968" s="194"/>
      <c r="AH968" s="194"/>
      <c r="AI968" s="194"/>
      <c r="AJ968" s="194"/>
      <c r="AK968" s="194"/>
      <c r="AL968" s="194"/>
      <c r="AM968" s="194"/>
    </row>
    <row r="969" spans="1:39" ht="15.75" customHeight="1" x14ac:dyDescent="0.25">
      <c r="A969" s="194"/>
      <c r="B969" s="194"/>
      <c r="C969" s="194"/>
      <c r="D969" s="194"/>
      <c r="E969" s="194"/>
      <c r="F969" s="194"/>
      <c r="G969" s="194"/>
      <c r="H969" s="194"/>
      <c r="I969" s="194"/>
      <c r="J969" s="194"/>
      <c r="K969" s="194"/>
      <c r="L969" s="194"/>
      <c r="M969" s="194"/>
      <c r="N969" s="194"/>
      <c r="O969" s="194"/>
      <c r="P969" s="194"/>
      <c r="Q969" s="194"/>
      <c r="R969" s="194"/>
      <c r="S969" s="194"/>
      <c r="T969" s="194"/>
      <c r="U969" s="194"/>
      <c r="V969" s="194"/>
      <c r="W969" s="194"/>
      <c r="X969" s="194"/>
      <c r="Y969" s="194"/>
      <c r="Z969" s="194"/>
      <c r="AA969" s="194"/>
      <c r="AB969" s="194"/>
      <c r="AC969" s="194"/>
      <c r="AD969" s="194"/>
      <c r="AE969" s="194"/>
      <c r="AF969" s="194"/>
      <c r="AG969" s="194"/>
      <c r="AH969" s="194"/>
      <c r="AI969" s="194"/>
      <c r="AJ969" s="194"/>
      <c r="AK969" s="194"/>
      <c r="AL969" s="194"/>
      <c r="AM969" s="194"/>
    </row>
    <row r="970" spans="1:39" ht="15.75" customHeight="1" x14ac:dyDescent="0.25">
      <c r="A970" s="194"/>
      <c r="B970" s="194"/>
      <c r="C970" s="194"/>
      <c r="D970" s="194"/>
      <c r="E970" s="194"/>
      <c r="F970" s="194"/>
      <c r="G970" s="194"/>
      <c r="H970" s="194"/>
      <c r="I970" s="194"/>
      <c r="J970" s="194"/>
      <c r="K970" s="194"/>
      <c r="L970" s="194"/>
      <c r="M970" s="194"/>
      <c r="N970" s="194"/>
      <c r="O970" s="194"/>
      <c r="P970" s="194"/>
      <c r="Q970" s="194"/>
      <c r="R970" s="194"/>
      <c r="S970" s="194"/>
      <c r="T970" s="194"/>
      <c r="U970" s="194"/>
      <c r="V970" s="194"/>
      <c r="W970" s="194"/>
      <c r="X970" s="194"/>
      <c r="Y970" s="194"/>
      <c r="Z970" s="194"/>
      <c r="AA970" s="194"/>
      <c r="AB970" s="194"/>
      <c r="AC970" s="194"/>
      <c r="AD970" s="194"/>
      <c r="AE970" s="194"/>
      <c r="AF970" s="194"/>
      <c r="AG970" s="194"/>
      <c r="AH970" s="194"/>
      <c r="AI970" s="194"/>
      <c r="AJ970" s="194"/>
      <c r="AK970" s="194"/>
      <c r="AL970" s="194"/>
      <c r="AM970" s="194"/>
    </row>
    <row r="971" spans="1:39" ht="15.75" customHeight="1" x14ac:dyDescent="0.25">
      <c r="A971" s="194"/>
      <c r="B971" s="194"/>
      <c r="C971" s="194"/>
      <c r="D971" s="194"/>
      <c r="E971" s="194"/>
      <c r="F971" s="194"/>
      <c r="G971" s="194"/>
      <c r="H971" s="194"/>
      <c r="I971" s="194"/>
      <c r="J971" s="194"/>
      <c r="K971" s="194"/>
      <c r="L971" s="194"/>
      <c r="M971" s="194"/>
      <c r="N971" s="194"/>
      <c r="O971" s="194"/>
      <c r="P971" s="194"/>
      <c r="Q971" s="194"/>
      <c r="R971" s="194"/>
      <c r="S971" s="194"/>
      <c r="T971" s="194"/>
      <c r="U971" s="194"/>
      <c r="V971" s="194"/>
      <c r="W971" s="194"/>
      <c r="X971" s="194"/>
      <c r="Y971" s="194"/>
      <c r="Z971" s="194"/>
      <c r="AA971" s="194"/>
      <c r="AB971" s="194"/>
      <c r="AC971" s="194"/>
      <c r="AD971" s="194"/>
      <c r="AE971" s="194"/>
      <c r="AF971" s="194"/>
      <c r="AG971" s="194"/>
      <c r="AH971" s="194"/>
      <c r="AI971" s="194"/>
      <c r="AJ971" s="194"/>
      <c r="AK971" s="194"/>
      <c r="AL971" s="194"/>
      <c r="AM971" s="194"/>
    </row>
    <row r="972" spans="1:39" ht="15.75" customHeight="1" x14ac:dyDescent="0.25">
      <c r="A972" s="194"/>
      <c r="B972" s="194"/>
      <c r="C972" s="194"/>
      <c r="D972" s="194"/>
      <c r="E972" s="194"/>
      <c r="F972" s="194"/>
      <c r="G972" s="194"/>
      <c r="H972" s="194"/>
      <c r="I972" s="194"/>
      <c r="J972" s="194"/>
      <c r="K972" s="194"/>
      <c r="L972" s="194"/>
      <c r="M972" s="194"/>
      <c r="N972" s="194"/>
      <c r="O972" s="194"/>
      <c r="P972" s="194"/>
      <c r="Q972" s="194"/>
      <c r="R972" s="194"/>
      <c r="S972" s="194"/>
      <c r="T972" s="194"/>
      <c r="U972" s="194"/>
      <c r="V972" s="194"/>
      <c r="W972" s="194"/>
      <c r="X972" s="194"/>
      <c r="Y972" s="194"/>
      <c r="Z972" s="194"/>
      <c r="AA972" s="194"/>
      <c r="AB972" s="194"/>
      <c r="AC972" s="194"/>
      <c r="AD972" s="194"/>
      <c r="AE972" s="194"/>
      <c r="AF972" s="194"/>
      <c r="AG972" s="194"/>
      <c r="AH972" s="194"/>
      <c r="AI972" s="194"/>
      <c r="AJ972" s="194"/>
      <c r="AK972" s="194"/>
      <c r="AL972" s="194"/>
      <c r="AM972" s="194"/>
    </row>
    <row r="973" spans="1:39" ht="15.75" customHeight="1" x14ac:dyDescent="0.25">
      <c r="A973" s="194"/>
      <c r="B973" s="194"/>
      <c r="C973" s="194"/>
      <c r="D973" s="194"/>
      <c r="E973" s="194"/>
      <c r="F973" s="194"/>
      <c r="G973" s="194"/>
      <c r="H973" s="194"/>
      <c r="I973" s="194"/>
      <c r="J973" s="194"/>
      <c r="K973" s="194"/>
      <c r="L973" s="194"/>
      <c r="M973" s="194"/>
      <c r="N973" s="194"/>
      <c r="O973" s="194"/>
      <c r="P973" s="194"/>
      <c r="Q973" s="194"/>
      <c r="R973" s="194"/>
      <c r="S973" s="194"/>
      <c r="T973" s="194"/>
      <c r="U973" s="194"/>
      <c r="V973" s="194"/>
      <c r="W973" s="194"/>
      <c r="X973" s="194"/>
      <c r="Y973" s="194"/>
      <c r="Z973" s="194"/>
      <c r="AA973" s="194"/>
      <c r="AB973" s="194"/>
      <c r="AC973" s="194"/>
      <c r="AD973" s="194"/>
      <c r="AE973" s="194"/>
      <c r="AF973" s="194"/>
      <c r="AG973" s="194"/>
      <c r="AH973" s="194"/>
      <c r="AI973" s="194"/>
      <c r="AJ973" s="194"/>
      <c r="AK973" s="194"/>
      <c r="AL973" s="194"/>
      <c r="AM973" s="194"/>
    </row>
    <row r="974" spans="1:39" ht="15.75" customHeight="1" x14ac:dyDescent="0.25">
      <c r="A974" s="194"/>
      <c r="B974" s="194"/>
      <c r="C974" s="194"/>
      <c r="D974" s="194"/>
      <c r="E974" s="194"/>
      <c r="F974" s="194"/>
      <c r="G974" s="194"/>
      <c r="H974" s="194"/>
      <c r="I974" s="194"/>
      <c r="J974" s="194"/>
      <c r="K974" s="194"/>
      <c r="L974" s="194"/>
      <c r="M974" s="194"/>
      <c r="N974" s="194"/>
      <c r="O974" s="194"/>
      <c r="P974" s="194"/>
      <c r="Q974" s="194"/>
      <c r="R974" s="194"/>
      <c r="S974" s="194"/>
      <c r="T974" s="194"/>
      <c r="U974" s="194"/>
      <c r="V974" s="194"/>
      <c r="W974" s="194"/>
      <c r="X974" s="194"/>
      <c r="Y974" s="194"/>
      <c r="Z974" s="194"/>
      <c r="AA974" s="194"/>
      <c r="AB974" s="194"/>
      <c r="AC974" s="194"/>
      <c r="AD974" s="194"/>
      <c r="AE974" s="194"/>
      <c r="AF974" s="194"/>
      <c r="AG974" s="194"/>
      <c r="AH974" s="194"/>
      <c r="AI974" s="194"/>
      <c r="AJ974" s="194"/>
      <c r="AK974" s="194"/>
      <c r="AL974" s="194"/>
      <c r="AM974" s="194"/>
    </row>
    <row r="975" spans="1:39" ht="15.75" customHeight="1" x14ac:dyDescent="0.25">
      <c r="A975" s="194"/>
      <c r="B975" s="194"/>
      <c r="C975" s="194"/>
      <c r="D975" s="194"/>
      <c r="E975" s="194"/>
      <c r="F975" s="194"/>
      <c r="G975" s="194"/>
      <c r="H975" s="194"/>
      <c r="I975" s="194"/>
      <c r="J975" s="194"/>
      <c r="K975" s="194"/>
      <c r="L975" s="194"/>
      <c r="M975" s="194"/>
      <c r="N975" s="194"/>
      <c r="O975" s="194"/>
      <c r="P975" s="194"/>
      <c r="Q975" s="194"/>
      <c r="R975" s="194"/>
      <c r="S975" s="194"/>
      <c r="T975" s="194"/>
      <c r="U975" s="194"/>
      <c r="V975" s="194"/>
      <c r="W975" s="194"/>
      <c r="X975" s="194"/>
      <c r="Y975" s="194"/>
      <c r="Z975" s="194"/>
      <c r="AA975" s="194"/>
      <c r="AB975" s="194"/>
      <c r="AC975" s="194"/>
      <c r="AD975" s="194"/>
      <c r="AE975" s="194"/>
      <c r="AF975" s="194"/>
      <c r="AG975" s="194"/>
      <c r="AH975" s="194"/>
      <c r="AI975" s="194"/>
      <c r="AJ975" s="194"/>
      <c r="AK975" s="194"/>
      <c r="AL975" s="194"/>
      <c r="AM975" s="194"/>
    </row>
    <row r="976" spans="1:39" ht="15.75" customHeight="1" x14ac:dyDescent="0.25">
      <c r="A976" s="194"/>
      <c r="B976" s="194"/>
      <c r="C976" s="194"/>
      <c r="D976" s="194"/>
      <c r="E976" s="194"/>
      <c r="F976" s="194"/>
      <c r="G976" s="194"/>
      <c r="H976" s="194"/>
      <c r="I976" s="194"/>
      <c r="J976" s="194"/>
      <c r="K976" s="194"/>
      <c r="L976" s="194"/>
      <c r="M976" s="194"/>
      <c r="N976" s="194"/>
      <c r="O976" s="194"/>
      <c r="P976" s="194"/>
      <c r="Q976" s="194"/>
      <c r="R976" s="194"/>
      <c r="S976" s="194"/>
      <c r="T976" s="194"/>
      <c r="U976" s="194"/>
      <c r="V976" s="194"/>
      <c r="W976" s="194"/>
      <c r="X976" s="194"/>
      <c r="Y976" s="194"/>
      <c r="Z976" s="194"/>
      <c r="AA976" s="194"/>
      <c r="AB976" s="194"/>
      <c r="AC976" s="194"/>
      <c r="AD976" s="194"/>
      <c r="AE976" s="194"/>
      <c r="AF976" s="194"/>
      <c r="AG976" s="194"/>
      <c r="AH976" s="194"/>
      <c r="AI976" s="194"/>
      <c r="AJ976" s="194"/>
      <c r="AK976" s="194"/>
      <c r="AL976" s="194"/>
      <c r="AM976" s="194"/>
    </row>
    <row r="977" spans="1:39" ht="15.75" customHeight="1" x14ac:dyDescent="0.25">
      <c r="A977" s="194"/>
      <c r="B977" s="194"/>
      <c r="C977" s="194"/>
      <c r="D977" s="194"/>
      <c r="E977" s="194"/>
      <c r="F977" s="194"/>
      <c r="G977" s="194"/>
      <c r="H977" s="194"/>
      <c r="I977" s="194"/>
      <c r="J977" s="194"/>
      <c r="K977" s="194"/>
      <c r="L977" s="194"/>
      <c r="M977" s="194"/>
      <c r="N977" s="194"/>
      <c r="O977" s="194"/>
      <c r="P977" s="194"/>
      <c r="Q977" s="194"/>
      <c r="R977" s="194"/>
      <c r="S977" s="194"/>
      <c r="T977" s="194"/>
      <c r="U977" s="194"/>
      <c r="V977" s="194"/>
      <c r="W977" s="194"/>
      <c r="X977" s="194"/>
      <c r="Y977" s="194"/>
      <c r="Z977" s="194"/>
      <c r="AA977" s="194"/>
      <c r="AB977" s="194"/>
      <c r="AC977" s="194"/>
      <c r="AD977" s="194"/>
      <c r="AE977" s="194"/>
      <c r="AF977" s="194"/>
      <c r="AG977" s="194"/>
      <c r="AH977" s="194"/>
      <c r="AI977" s="194"/>
      <c r="AJ977" s="194"/>
      <c r="AK977" s="194"/>
      <c r="AL977" s="194"/>
      <c r="AM977" s="194"/>
    </row>
    <row r="978" spans="1:39" ht="15.75" customHeight="1" x14ac:dyDescent="0.25">
      <c r="A978" s="194"/>
      <c r="B978" s="194"/>
      <c r="C978" s="194"/>
      <c r="D978" s="194"/>
      <c r="E978" s="194"/>
      <c r="F978" s="194"/>
      <c r="G978" s="194"/>
      <c r="H978" s="194"/>
      <c r="I978" s="194"/>
      <c r="J978" s="194"/>
      <c r="K978" s="194"/>
      <c r="L978" s="194"/>
      <c r="M978" s="194"/>
      <c r="N978" s="194"/>
      <c r="O978" s="194"/>
      <c r="P978" s="194"/>
      <c r="Q978" s="194"/>
      <c r="R978" s="194"/>
      <c r="S978" s="194"/>
      <c r="T978" s="194"/>
      <c r="U978" s="194"/>
      <c r="V978" s="194"/>
      <c r="W978" s="194"/>
      <c r="X978" s="194"/>
      <c r="Y978" s="194"/>
      <c r="Z978" s="194"/>
      <c r="AA978" s="194"/>
      <c r="AB978" s="194"/>
      <c r="AC978" s="194"/>
      <c r="AD978" s="194"/>
      <c r="AE978" s="194"/>
      <c r="AF978" s="194"/>
      <c r="AG978" s="194"/>
      <c r="AH978" s="194"/>
      <c r="AI978" s="194"/>
      <c r="AJ978" s="194"/>
      <c r="AK978" s="194"/>
      <c r="AL978" s="194"/>
      <c r="AM978" s="194"/>
    </row>
    <row r="979" spans="1:39" ht="15.75" customHeight="1" x14ac:dyDescent="0.25">
      <c r="A979" s="194"/>
      <c r="B979" s="194"/>
      <c r="C979" s="194"/>
      <c r="D979" s="194"/>
      <c r="E979" s="194"/>
      <c r="F979" s="194"/>
      <c r="G979" s="194"/>
      <c r="H979" s="194"/>
      <c r="I979" s="194"/>
      <c r="J979" s="194"/>
      <c r="K979" s="194"/>
      <c r="L979" s="194"/>
      <c r="M979" s="194"/>
      <c r="N979" s="194"/>
      <c r="O979" s="194"/>
      <c r="P979" s="194"/>
      <c r="Q979" s="194"/>
      <c r="R979" s="194"/>
      <c r="S979" s="194"/>
      <c r="T979" s="194"/>
      <c r="U979" s="194"/>
      <c r="V979" s="194"/>
      <c r="W979" s="194"/>
      <c r="X979" s="194"/>
      <c r="Y979" s="194"/>
      <c r="Z979" s="194"/>
      <c r="AA979" s="194"/>
      <c r="AB979" s="194"/>
      <c r="AC979" s="194"/>
      <c r="AD979" s="194"/>
      <c r="AE979" s="194"/>
      <c r="AF979" s="194"/>
      <c r="AG979" s="194"/>
      <c r="AH979" s="194"/>
      <c r="AI979" s="194"/>
      <c r="AJ979" s="194"/>
      <c r="AK979" s="194"/>
      <c r="AL979" s="194"/>
      <c r="AM979" s="194"/>
    </row>
    <row r="980" spans="1:39" ht="15.75" customHeight="1" x14ac:dyDescent="0.25">
      <c r="A980" s="194"/>
      <c r="B980" s="194"/>
      <c r="C980" s="194"/>
      <c r="D980" s="194"/>
      <c r="E980" s="194"/>
      <c r="F980" s="194"/>
      <c r="G980" s="194"/>
      <c r="H980" s="194"/>
      <c r="I980" s="194"/>
      <c r="J980" s="194"/>
      <c r="K980" s="194"/>
      <c r="L980" s="194"/>
      <c r="M980" s="194"/>
      <c r="N980" s="194"/>
      <c r="O980" s="194"/>
      <c r="P980" s="194"/>
      <c r="Q980" s="194"/>
      <c r="R980" s="194"/>
      <c r="S980" s="194"/>
      <c r="T980" s="194"/>
      <c r="U980" s="194"/>
      <c r="V980" s="194"/>
      <c r="W980" s="194"/>
      <c r="X980" s="194"/>
      <c r="Y980" s="194"/>
      <c r="Z980" s="194"/>
      <c r="AA980" s="194"/>
      <c r="AB980" s="194"/>
      <c r="AC980" s="194"/>
      <c r="AD980" s="194"/>
      <c r="AE980" s="194"/>
      <c r="AF980" s="194"/>
      <c r="AG980" s="194"/>
      <c r="AH980" s="194"/>
      <c r="AI980" s="194"/>
      <c r="AJ980" s="194"/>
      <c r="AK980" s="194"/>
      <c r="AL980" s="194"/>
      <c r="AM980" s="194"/>
    </row>
    <row r="981" spans="1:39" ht="15.75" customHeight="1" x14ac:dyDescent="0.25">
      <c r="A981" s="194"/>
      <c r="B981" s="194"/>
      <c r="C981" s="194"/>
      <c r="D981" s="194"/>
      <c r="E981" s="194"/>
      <c r="F981" s="194"/>
      <c r="G981" s="194"/>
      <c r="H981" s="194"/>
      <c r="I981" s="194"/>
      <c r="J981" s="194"/>
      <c r="K981" s="194"/>
      <c r="L981" s="194"/>
      <c r="M981" s="194"/>
      <c r="N981" s="194"/>
      <c r="O981" s="194"/>
      <c r="P981" s="194"/>
      <c r="Q981" s="194"/>
      <c r="R981" s="194"/>
      <c r="S981" s="194"/>
      <c r="T981" s="194"/>
      <c r="U981" s="194"/>
      <c r="V981" s="194"/>
      <c r="W981" s="194"/>
      <c r="X981" s="194"/>
      <c r="Y981" s="194"/>
      <c r="Z981" s="194"/>
      <c r="AA981" s="194"/>
      <c r="AB981" s="194"/>
      <c r="AC981" s="194"/>
      <c r="AD981" s="194"/>
      <c r="AE981" s="194"/>
      <c r="AF981" s="194"/>
      <c r="AG981" s="194"/>
      <c r="AH981" s="194"/>
      <c r="AI981" s="194"/>
      <c r="AJ981" s="194"/>
      <c r="AK981" s="194"/>
      <c r="AL981" s="194"/>
      <c r="AM981" s="194"/>
    </row>
    <row r="982" spans="1:39" ht="15.75" customHeight="1" x14ac:dyDescent="0.25">
      <c r="A982" s="194"/>
      <c r="B982" s="194"/>
      <c r="C982" s="194"/>
      <c r="D982" s="194"/>
      <c r="E982" s="194"/>
      <c r="F982" s="194"/>
      <c r="G982" s="194"/>
      <c r="H982" s="194"/>
      <c r="I982" s="194"/>
      <c r="J982" s="194"/>
      <c r="K982" s="194"/>
      <c r="L982" s="194"/>
      <c r="M982" s="194"/>
      <c r="N982" s="194"/>
      <c r="O982" s="194"/>
      <c r="P982" s="194"/>
      <c r="Q982" s="194"/>
      <c r="R982" s="194"/>
      <c r="S982" s="194"/>
      <c r="T982" s="194"/>
      <c r="U982" s="194"/>
      <c r="V982" s="194"/>
      <c r="W982" s="194"/>
      <c r="X982" s="194"/>
      <c r="Y982" s="194"/>
      <c r="Z982" s="194"/>
      <c r="AA982" s="194"/>
      <c r="AB982" s="194"/>
      <c r="AC982" s="194"/>
      <c r="AD982" s="194"/>
      <c r="AE982" s="194"/>
      <c r="AF982" s="194"/>
      <c r="AG982" s="194"/>
      <c r="AH982" s="194"/>
      <c r="AI982" s="194"/>
      <c r="AJ982" s="194"/>
      <c r="AK982" s="194"/>
      <c r="AL982" s="194"/>
      <c r="AM982" s="194"/>
    </row>
    <row r="983" spans="1:39" ht="15.75" customHeight="1" x14ac:dyDescent="0.25">
      <c r="A983" s="194"/>
      <c r="B983" s="194"/>
      <c r="C983" s="194"/>
      <c r="D983" s="194"/>
      <c r="E983" s="194"/>
      <c r="F983" s="194"/>
      <c r="G983" s="194"/>
      <c r="H983" s="194"/>
      <c r="I983" s="194"/>
      <c r="J983" s="194"/>
      <c r="K983" s="194"/>
      <c r="L983" s="194"/>
      <c r="M983" s="194"/>
      <c r="N983" s="194"/>
      <c r="O983" s="194"/>
      <c r="P983" s="194"/>
      <c r="Q983" s="194"/>
      <c r="R983" s="194"/>
      <c r="S983" s="194"/>
      <c r="T983" s="194"/>
      <c r="U983" s="194"/>
      <c r="V983" s="194"/>
      <c r="W983" s="194"/>
      <c r="X983" s="194"/>
      <c r="Y983" s="194"/>
      <c r="Z983" s="194"/>
      <c r="AA983" s="194"/>
      <c r="AB983" s="194"/>
      <c r="AC983" s="194"/>
      <c r="AD983" s="194"/>
      <c r="AE983" s="194"/>
      <c r="AF983" s="194"/>
      <c r="AG983" s="194"/>
      <c r="AH983" s="194"/>
      <c r="AI983" s="194"/>
      <c r="AJ983" s="194"/>
      <c r="AK983" s="194"/>
      <c r="AL983" s="194"/>
      <c r="AM983" s="194"/>
    </row>
    <row r="984" spans="1:39" ht="15.75" customHeight="1" x14ac:dyDescent="0.25">
      <c r="A984" s="194"/>
      <c r="B984" s="194"/>
      <c r="C984" s="194"/>
      <c r="D984" s="194"/>
      <c r="E984" s="194"/>
      <c r="F984" s="194"/>
      <c r="G984" s="194"/>
      <c r="H984" s="194"/>
      <c r="I984" s="194"/>
      <c r="J984" s="194"/>
      <c r="K984" s="194"/>
      <c r="L984" s="194"/>
      <c r="M984" s="194"/>
      <c r="N984" s="194"/>
      <c r="O984" s="194"/>
      <c r="P984" s="194"/>
      <c r="Q984" s="194"/>
      <c r="R984" s="194"/>
      <c r="S984" s="194"/>
      <c r="T984" s="194"/>
      <c r="U984" s="194"/>
      <c r="V984" s="194"/>
      <c r="W984" s="194"/>
      <c r="X984" s="194"/>
      <c r="Y984" s="194"/>
      <c r="Z984" s="194"/>
      <c r="AA984" s="194"/>
      <c r="AB984" s="194"/>
      <c r="AC984" s="194"/>
      <c r="AD984" s="194"/>
      <c r="AE984" s="194"/>
      <c r="AF984" s="194"/>
      <c r="AG984" s="194"/>
      <c r="AH984" s="194"/>
      <c r="AI984" s="194"/>
      <c r="AJ984" s="194"/>
      <c r="AK984" s="194"/>
      <c r="AL984" s="194"/>
      <c r="AM984" s="194"/>
    </row>
    <row r="985" spans="1:39" ht="15.75" customHeight="1" x14ac:dyDescent="0.25">
      <c r="A985" s="194"/>
      <c r="B985" s="194"/>
      <c r="C985" s="194"/>
      <c r="D985" s="194"/>
      <c r="E985" s="194"/>
      <c r="F985" s="194"/>
      <c r="G985" s="194"/>
      <c r="H985" s="194"/>
      <c r="I985" s="194"/>
      <c r="J985" s="194"/>
      <c r="K985" s="194"/>
      <c r="L985" s="194"/>
      <c r="M985" s="194"/>
      <c r="N985" s="194"/>
      <c r="O985" s="194"/>
      <c r="P985" s="194"/>
      <c r="Q985" s="194"/>
      <c r="R985" s="194"/>
      <c r="S985" s="194"/>
      <c r="T985" s="194"/>
      <c r="U985" s="194"/>
      <c r="V985" s="194"/>
      <c r="W985" s="194"/>
      <c r="X985" s="194"/>
      <c r="Y985" s="194"/>
      <c r="Z985" s="194"/>
      <c r="AA985" s="194"/>
      <c r="AB985" s="194"/>
      <c r="AC985" s="194"/>
      <c r="AD985" s="194"/>
      <c r="AE985" s="194"/>
      <c r="AF985" s="194"/>
      <c r="AG985" s="194"/>
      <c r="AH985" s="194"/>
      <c r="AI985" s="194"/>
      <c r="AJ985" s="194"/>
      <c r="AK985" s="194"/>
      <c r="AL985" s="194"/>
      <c r="AM985" s="194"/>
    </row>
    <row r="986" spans="1:39" ht="15.75" customHeight="1" x14ac:dyDescent="0.25">
      <c r="A986" s="194"/>
      <c r="B986" s="194"/>
      <c r="C986" s="194"/>
      <c r="D986" s="194"/>
      <c r="E986" s="194"/>
      <c r="F986" s="194"/>
      <c r="G986" s="194"/>
      <c r="H986" s="194"/>
      <c r="I986" s="194"/>
      <c r="J986" s="194"/>
      <c r="K986" s="194"/>
      <c r="L986" s="194"/>
      <c r="M986" s="194"/>
      <c r="N986" s="194"/>
      <c r="O986" s="194"/>
      <c r="P986" s="194"/>
      <c r="Q986" s="194"/>
      <c r="R986" s="194"/>
      <c r="S986" s="194"/>
      <c r="T986" s="194"/>
      <c r="U986" s="194"/>
      <c r="V986" s="194"/>
      <c r="W986" s="194"/>
      <c r="X986" s="194"/>
      <c r="Y986" s="194"/>
      <c r="Z986" s="194"/>
      <c r="AA986" s="194"/>
      <c r="AB986" s="194"/>
      <c r="AC986" s="194"/>
      <c r="AD986" s="194"/>
      <c r="AE986" s="194"/>
      <c r="AF986" s="194"/>
      <c r="AG986" s="194"/>
      <c r="AH986" s="194"/>
      <c r="AI986" s="194"/>
      <c r="AJ986" s="194"/>
      <c r="AK986" s="194"/>
      <c r="AL986" s="194"/>
      <c r="AM986" s="194"/>
    </row>
    <row r="987" spans="1:39" ht="15.75" customHeight="1" x14ac:dyDescent="0.25">
      <c r="A987" s="194"/>
      <c r="B987" s="194"/>
      <c r="C987" s="194"/>
      <c r="D987" s="194"/>
      <c r="E987" s="194"/>
      <c r="F987" s="194"/>
      <c r="G987" s="194"/>
      <c r="H987" s="194"/>
      <c r="I987" s="194"/>
      <c r="J987" s="194"/>
      <c r="K987" s="194"/>
      <c r="L987" s="194"/>
      <c r="M987" s="194"/>
      <c r="N987" s="194"/>
      <c r="O987" s="194"/>
      <c r="P987" s="194"/>
      <c r="Q987" s="194"/>
      <c r="R987" s="194"/>
      <c r="S987" s="194"/>
      <c r="T987" s="194"/>
      <c r="U987" s="194"/>
      <c r="V987" s="194"/>
      <c r="W987" s="194"/>
      <c r="X987" s="194"/>
      <c r="Y987" s="194"/>
      <c r="Z987" s="194"/>
      <c r="AA987" s="194"/>
      <c r="AB987" s="194"/>
      <c r="AC987" s="194"/>
      <c r="AD987" s="194"/>
      <c r="AE987" s="194"/>
      <c r="AF987" s="194"/>
      <c r="AG987" s="194"/>
      <c r="AH987" s="194"/>
      <c r="AI987" s="194"/>
      <c r="AJ987" s="194"/>
      <c r="AK987" s="194"/>
      <c r="AL987" s="194"/>
      <c r="AM987" s="194"/>
    </row>
    <row r="988" spans="1:39" ht="15.75" customHeight="1" x14ac:dyDescent="0.25">
      <c r="A988" s="194"/>
      <c r="B988" s="194"/>
      <c r="C988" s="194"/>
      <c r="D988" s="194"/>
      <c r="E988" s="194"/>
      <c r="F988" s="194"/>
      <c r="G988" s="194"/>
      <c r="H988" s="194"/>
      <c r="I988" s="194"/>
      <c r="J988" s="194"/>
      <c r="K988" s="194"/>
      <c r="L988" s="194"/>
      <c r="M988" s="194"/>
      <c r="N988" s="194"/>
      <c r="O988" s="194"/>
      <c r="P988" s="194"/>
      <c r="Q988" s="194"/>
      <c r="R988" s="194"/>
      <c r="S988" s="194"/>
      <c r="T988" s="194"/>
      <c r="U988" s="194"/>
      <c r="V988" s="194"/>
      <c r="W988" s="194"/>
      <c r="X988" s="194"/>
      <c r="Y988" s="194"/>
      <c r="Z988" s="194"/>
      <c r="AA988" s="194"/>
      <c r="AB988" s="194"/>
      <c r="AC988" s="194"/>
      <c r="AD988" s="194"/>
      <c r="AE988" s="194"/>
      <c r="AF988" s="194"/>
      <c r="AG988" s="194"/>
      <c r="AH988" s="194"/>
      <c r="AI988" s="194"/>
      <c r="AJ988" s="194"/>
      <c r="AK988" s="194"/>
      <c r="AL988" s="194"/>
      <c r="AM988" s="194"/>
    </row>
    <row r="989" spans="1:39" ht="15.75" customHeight="1" x14ac:dyDescent="0.25">
      <c r="A989" s="194"/>
      <c r="B989" s="194"/>
      <c r="C989" s="194"/>
      <c r="D989" s="194"/>
      <c r="E989" s="194"/>
      <c r="F989" s="194"/>
      <c r="G989" s="194"/>
      <c r="H989" s="194"/>
      <c r="I989" s="194"/>
      <c r="J989" s="194"/>
      <c r="K989" s="194"/>
      <c r="L989" s="194"/>
      <c r="M989" s="194"/>
      <c r="N989" s="194"/>
      <c r="O989" s="194"/>
      <c r="P989" s="194"/>
      <c r="Q989" s="194"/>
      <c r="R989" s="194"/>
      <c r="S989" s="194"/>
      <c r="T989" s="194"/>
      <c r="U989" s="194"/>
      <c r="V989" s="194"/>
      <c r="W989" s="194"/>
      <c r="X989" s="194"/>
      <c r="Y989" s="194"/>
      <c r="Z989" s="194"/>
      <c r="AA989" s="194"/>
      <c r="AB989" s="194"/>
      <c r="AC989" s="194"/>
      <c r="AD989" s="194"/>
      <c r="AE989" s="194"/>
      <c r="AF989" s="194"/>
      <c r="AG989" s="194"/>
      <c r="AH989" s="194"/>
      <c r="AI989" s="194"/>
      <c r="AJ989" s="194"/>
      <c r="AK989" s="194"/>
      <c r="AL989" s="194"/>
      <c r="AM989" s="194"/>
    </row>
    <row r="990" spans="1:39" ht="15.75" customHeight="1" x14ac:dyDescent="0.25">
      <c r="A990" s="194"/>
      <c r="B990" s="194"/>
      <c r="C990" s="194"/>
      <c r="D990" s="194"/>
      <c r="E990" s="194"/>
      <c r="F990" s="194"/>
      <c r="G990" s="194"/>
      <c r="H990" s="194"/>
      <c r="I990" s="194"/>
      <c r="J990" s="194"/>
      <c r="K990" s="194"/>
      <c r="L990" s="194"/>
      <c r="M990" s="194"/>
      <c r="N990" s="194"/>
      <c r="O990" s="194"/>
      <c r="P990" s="194"/>
      <c r="Q990" s="194"/>
      <c r="R990" s="194"/>
      <c r="S990" s="194"/>
      <c r="T990" s="194"/>
      <c r="U990" s="194"/>
      <c r="V990" s="194"/>
      <c r="W990" s="194"/>
      <c r="X990" s="194"/>
      <c r="Y990" s="194"/>
      <c r="Z990" s="194"/>
      <c r="AA990" s="194"/>
      <c r="AB990" s="194"/>
      <c r="AC990" s="194"/>
      <c r="AD990" s="194"/>
      <c r="AE990" s="194"/>
      <c r="AF990" s="194"/>
      <c r="AG990" s="194"/>
      <c r="AH990" s="194"/>
      <c r="AI990" s="194"/>
      <c r="AJ990" s="194"/>
      <c r="AK990" s="194"/>
      <c r="AL990" s="194"/>
      <c r="AM990" s="194"/>
    </row>
    <row r="991" spans="1:39" ht="15.75" customHeight="1" x14ac:dyDescent="0.25">
      <c r="A991" s="194"/>
      <c r="B991" s="194"/>
      <c r="C991" s="194"/>
      <c r="D991" s="194"/>
      <c r="E991" s="194"/>
      <c r="F991" s="194"/>
      <c r="G991" s="194"/>
      <c r="H991" s="194"/>
      <c r="I991" s="194"/>
      <c r="J991" s="194"/>
      <c r="K991" s="194"/>
      <c r="L991" s="194"/>
      <c r="M991" s="194"/>
      <c r="N991" s="194"/>
      <c r="O991" s="194"/>
      <c r="P991" s="194"/>
      <c r="Q991" s="194"/>
      <c r="R991" s="194"/>
      <c r="S991" s="194"/>
      <c r="T991" s="194"/>
      <c r="U991" s="194"/>
      <c r="V991" s="194"/>
      <c r="W991" s="194"/>
      <c r="X991" s="194"/>
      <c r="Y991" s="194"/>
      <c r="Z991" s="194"/>
      <c r="AA991" s="194"/>
      <c r="AB991" s="194"/>
      <c r="AC991" s="194"/>
      <c r="AD991" s="194"/>
      <c r="AE991" s="194"/>
      <c r="AF991" s="194"/>
      <c r="AG991" s="194"/>
      <c r="AH991" s="194"/>
      <c r="AI991" s="194"/>
      <c r="AJ991" s="194"/>
      <c r="AK991" s="194"/>
      <c r="AL991" s="194"/>
      <c r="AM991" s="194"/>
    </row>
    <row r="992" spans="1:39" ht="15.75" customHeight="1" x14ac:dyDescent="0.25">
      <c r="A992" s="194"/>
      <c r="B992" s="194"/>
      <c r="C992" s="194"/>
      <c r="D992" s="194"/>
      <c r="E992" s="194"/>
      <c r="F992" s="194"/>
      <c r="G992" s="194"/>
      <c r="H992" s="194"/>
      <c r="I992" s="194"/>
      <c r="J992" s="194"/>
      <c r="K992" s="194"/>
      <c r="L992" s="194"/>
      <c r="M992" s="194"/>
      <c r="N992" s="194"/>
      <c r="O992" s="194"/>
      <c r="P992" s="194"/>
      <c r="Q992" s="194"/>
      <c r="R992" s="194"/>
      <c r="S992" s="194"/>
      <c r="T992" s="194"/>
      <c r="U992" s="194"/>
      <c r="V992" s="194"/>
      <c r="W992" s="194"/>
      <c r="X992" s="194"/>
      <c r="Y992" s="194"/>
      <c r="Z992" s="194"/>
      <c r="AA992" s="194"/>
      <c r="AB992" s="194"/>
      <c r="AC992" s="194"/>
      <c r="AD992" s="194"/>
      <c r="AE992" s="194"/>
      <c r="AF992" s="194"/>
      <c r="AG992" s="194"/>
      <c r="AH992" s="194"/>
      <c r="AI992" s="194"/>
      <c r="AJ992" s="194"/>
      <c r="AK992" s="194"/>
      <c r="AL992" s="194"/>
      <c r="AM992" s="194"/>
    </row>
    <row r="993" spans="1:39" ht="15.75" customHeight="1" x14ac:dyDescent="0.25">
      <c r="A993" s="194"/>
      <c r="B993" s="194"/>
      <c r="C993" s="194"/>
      <c r="D993" s="194"/>
      <c r="E993" s="194"/>
      <c r="F993" s="194"/>
      <c r="G993" s="194"/>
      <c r="H993" s="194"/>
      <c r="I993" s="194"/>
      <c r="J993" s="194"/>
      <c r="K993" s="194"/>
      <c r="L993" s="194"/>
      <c r="M993" s="194"/>
      <c r="N993" s="194"/>
      <c r="O993" s="194"/>
      <c r="P993" s="194"/>
      <c r="Q993" s="194"/>
      <c r="R993" s="194"/>
      <c r="S993" s="194"/>
      <c r="T993" s="194"/>
      <c r="U993" s="194"/>
      <c r="V993" s="194"/>
      <c r="W993" s="194"/>
      <c r="X993" s="194"/>
      <c r="Y993" s="194"/>
      <c r="Z993" s="194"/>
      <c r="AA993" s="194"/>
      <c r="AB993" s="194"/>
      <c r="AC993" s="194"/>
      <c r="AD993" s="194"/>
      <c r="AE993" s="194"/>
      <c r="AF993" s="194"/>
      <c r="AG993" s="194"/>
      <c r="AH993" s="194"/>
      <c r="AI993" s="194"/>
      <c r="AJ993" s="194"/>
      <c r="AK993" s="194"/>
      <c r="AL993" s="194"/>
      <c r="AM993" s="194"/>
    </row>
    <row r="994" spans="1:39" ht="15.75" customHeight="1" x14ac:dyDescent="0.25">
      <c r="A994" s="194"/>
      <c r="B994" s="194"/>
      <c r="C994" s="194"/>
      <c r="D994" s="194"/>
      <c r="E994" s="194"/>
      <c r="F994" s="194"/>
      <c r="G994" s="194"/>
      <c r="H994" s="194"/>
      <c r="I994" s="194"/>
      <c r="J994" s="194"/>
      <c r="K994" s="194"/>
      <c r="L994" s="194"/>
      <c r="M994" s="194"/>
      <c r="N994" s="194"/>
      <c r="O994" s="194"/>
      <c r="P994" s="194"/>
      <c r="Q994" s="194"/>
      <c r="R994" s="194"/>
      <c r="S994" s="194"/>
      <c r="T994" s="194"/>
      <c r="U994" s="194"/>
      <c r="V994" s="194"/>
      <c r="W994" s="194"/>
      <c r="X994" s="194"/>
      <c r="Y994" s="194"/>
      <c r="Z994" s="194"/>
      <c r="AA994" s="194"/>
      <c r="AB994" s="194"/>
      <c r="AC994" s="194"/>
      <c r="AD994" s="194"/>
      <c r="AE994" s="194"/>
      <c r="AF994" s="194"/>
      <c r="AG994" s="194"/>
      <c r="AH994" s="194"/>
      <c r="AI994" s="194"/>
      <c r="AJ994" s="194"/>
      <c r="AK994" s="194"/>
      <c r="AL994" s="194"/>
      <c r="AM994" s="194"/>
    </row>
    <row r="995" spans="1:39" ht="15.75" customHeight="1" x14ac:dyDescent="0.25">
      <c r="A995" s="194"/>
      <c r="B995" s="194"/>
      <c r="C995" s="194"/>
      <c r="D995" s="194"/>
      <c r="E995" s="194"/>
      <c r="F995" s="194"/>
      <c r="G995" s="194"/>
      <c r="H995" s="194"/>
      <c r="I995" s="194"/>
      <c r="J995" s="194"/>
      <c r="K995" s="194"/>
      <c r="L995" s="194"/>
      <c r="M995" s="194"/>
      <c r="N995" s="194"/>
      <c r="O995" s="194"/>
      <c r="P995" s="194"/>
      <c r="Q995" s="194"/>
      <c r="R995" s="194"/>
      <c r="S995" s="194"/>
      <c r="T995" s="194"/>
      <c r="U995" s="194"/>
      <c r="V995" s="194"/>
      <c r="W995" s="194"/>
      <c r="X995" s="194"/>
      <c r="Y995" s="194"/>
      <c r="Z995" s="194"/>
      <c r="AA995" s="194"/>
      <c r="AB995" s="194"/>
      <c r="AC995" s="194"/>
      <c r="AD995" s="194"/>
      <c r="AE995" s="194"/>
      <c r="AF995" s="194"/>
      <c r="AG995" s="194"/>
      <c r="AH995" s="194"/>
      <c r="AI995" s="194"/>
      <c r="AJ995" s="194"/>
      <c r="AK995" s="194"/>
      <c r="AL995" s="194"/>
      <c r="AM995" s="194"/>
    </row>
    <row r="996" spans="1:39" ht="15.75" customHeight="1" x14ac:dyDescent="0.25">
      <c r="A996" s="194"/>
      <c r="B996" s="194"/>
      <c r="C996" s="194"/>
      <c r="D996" s="194"/>
      <c r="E996" s="194"/>
      <c r="F996" s="194"/>
      <c r="G996" s="194"/>
      <c r="H996" s="194"/>
      <c r="I996" s="194"/>
      <c r="J996" s="194"/>
      <c r="K996" s="194"/>
      <c r="L996" s="194"/>
      <c r="M996" s="194"/>
      <c r="N996" s="194"/>
      <c r="O996" s="194"/>
      <c r="P996" s="194"/>
      <c r="Q996" s="194"/>
      <c r="R996" s="194"/>
      <c r="S996" s="194"/>
      <c r="T996" s="194"/>
      <c r="U996" s="194"/>
      <c r="V996" s="194"/>
      <c r="W996" s="194"/>
      <c r="X996" s="194"/>
      <c r="Y996" s="194"/>
      <c r="Z996" s="194"/>
      <c r="AA996" s="194"/>
      <c r="AB996" s="194"/>
      <c r="AC996" s="194"/>
      <c r="AD996" s="194"/>
      <c r="AE996" s="194"/>
      <c r="AF996" s="194"/>
      <c r="AG996" s="194"/>
      <c r="AH996" s="194"/>
      <c r="AI996" s="194"/>
      <c r="AJ996" s="194"/>
      <c r="AK996" s="194"/>
      <c r="AL996" s="194"/>
      <c r="AM996" s="194"/>
    </row>
    <row r="997" spans="1:39" ht="15.75" customHeight="1" x14ac:dyDescent="0.25">
      <c r="A997" s="194"/>
      <c r="B997" s="194"/>
      <c r="C997" s="194"/>
      <c r="D997" s="194"/>
      <c r="E997" s="194"/>
      <c r="F997" s="194"/>
      <c r="G997" s="194"/>
      <c r="H997" s="194"/>
      <c r="I997" s="194"/>
      <c r="J997" s="194"/>
      <c r="K997" s="194"/>
      <c r="L997" s="194"/>
      <c r="M997" s="194"/>
      <c r="N997" s="194"/>
      <c r="O997" s="194"/>
      <c r="P997" s="194"/>
      <c r="Q997" s="194"/>
      <c r="R997" s="194"/>
      <c r="S997" s="194"/>
      <c r="T997" s="194"/>
      <c r="U997" s="194"/>
      <c r="V997" s="194"/>
      <c r="W997" s="194"/>
      <c r="X997" s="194"/>
      <c r="Y997" s="194"/>
      <c r="Z997" s="194"/>
      <c r="AA997" s="194"/>
      <c r="AB997" s="194"/>
      <c r="AC997" s="194"/>
      <c r="AD997" s="194"/>
      <c r="AE997" s="194"/>
      <c r="AF997" s="194"/>
      <c r="AG997" s="194"/>
      <c r="AH997" s="194"/>
      <c r="AI997" s="194"/>
      <c r="AJ997" s="194"/>
      <c r="AK997" s="194"/>
      <c r="AL997" s="194"/>
      <c r="AM997" s="194"/>
    </row>
    <row r="998" spans="1:39" ht="15.75" customHeight="1" x14ac:dyDescent="0.25">
      <c r="A998" s="194"/>
      <c r="B998" s="194"/>
      <c r="C998" s="194"/>
      <c r="D998" s="194"/>
      <c r="E998" s="194"/>
      <c r="F998" s="194"/>
      <c r="G998" s="194"/>
      <c r="H998" s="194"/>
      <c r="I998" s="194"/>
      <c r="J998" s="194"/>
      <c r="K998" s="194"/>
      <c r="L998" s="194"/>
      <c r="M998" s="194"/>
      <c r="N998" s="194"/>
      <c r="O998" s="194"/>
      <c r="P998" s="194"/>
      <c r="Q998" s="194"/>
      <c r="R998" s="194"/>
      <c r="S998" s="194"/>
      <c r="T998" s="194"/>
      <c r="U998" s="194"/>
      <c r="V998" s="194"/>
      <c r="W998" s="194"/>
      <c r="X998" s="194"/>
      <c r="Y998" s="194"/>
      <c r="Z998" s="194"/>
      <c r="AA998" s="194"/>
      <c r="AB998" s="194"/>
      <c r="AC998" s="194"/>
      <c r="AD998" s="194"/>
      <c r="AE998" s="194"/>
      <c r="AF998" s="194"/>
      <c r="AG998" s="194"/>
      <c r="AH998" s="194"/>
      <c r="AI998" s="194"/>
      <c r="AJ998" s="194"/>
      <c r="AK998" s="194"/>
      <c r="AL998" s="194"/>
      <c r="AM998" s="194"/>
    </row>
    <row r="999" spans="1:39" ht="15.75" customHeight="1" x14ac:dyDescent="0.25">
      <c r="A999" s="194"/>
      <c r="B999" s="194"/>
      <c r="C999" s="194"/>
      <c r="D999" s="194"/>
      <c r="E999" s="194"/>
      <c r="F999" s="194"/>
      <c r="G999" s="194"/>
      <c r="H999" s="194"/>
      <c r="I999" s="194"/>
      <c r="J999" s="194"/>
      <c r="K999" s="194"/>
      <c r="L999" s="194"/>
      <c r="M999" s="194"/>
      <c r="N999" s="194"/>
      <c r="O999" s="194"/>
      <c r="P999" s="194"/>
      <c r="Q999" s="194"/>
      <c r="R999" s="194"/>
      <c r="S999" s="194"/>
      <c r="T999" s="194"/>
      <c r="U999" s="194"/>
      <c r="V999" s="194"/>
      <c r="W999" s="194"/>
      <c r="X999" s="194"/>
      <c r="Y999" s="194"/>
      <c r="Z999" s="194"/>
      <c r="AA999" s="194"/>
      <c r="AB999" s="194"/>
      <c r="AC999" s="194"/>
      <c r="AD999" s="194"/>
      <c r="AE999" s="194"/>
      <c r="AF999" s="194"/>
      <c r="AG999" s="194"/>
      <c r="AH999" s="194"/>
      <c r="AI999" s="194"/>
      <c r="AJ999" s="194"/>
      <c r="AK999" s="194"/>
      <c r="AL999" s="194"/>
      <c r="AM999" s="194"/>
    </row>
    <row r="1000" spans="1:39" ht="15.75" customHeight="1" x14ac:dyDescent="0.25">
      <c r="A1000" s="194"/>
      <c r="B1000" s="194"/>
      <c r="C1000" s="194"/>
      <c r="D1000" s="194"/>
      <c r="E1000" s="194"/>
      <c r="F1000" s="194"/>
      <c r="G1000" s="194"/>
      <c r="H1000" s="194"/>
      <c r="I1000" s="194"/>
      <c r="J1000" s="194"/>
      <c r="K1000" s="194"/>
      <c r="L1000" s="194"/>
      <c r="M1000" s="194"/>
      <c r="N1000" s="194"/>
      <c r="O1000" s="194"/>
      <c r="P1000" s="194"/>
      <c r="Q1000" s="194"/>
      <c r="R1000" s="194"/>
      <c r="S1000" s="194"/>
      <c r="T1000" s="194"/>
      <c r="U1000" s="194"/>
      <c r="V1000" s="194"/>
      <c r="W1000" s="194"/>
      <c r="X1000" s="194"/>
      <c r="Y1000" s="194"/>
      <c r="Z1000" s="194"/>
      <c r="AA1000" s="194"/>
      <c r="AB1000" s="194"/>
      <c r="AC1000" s="194"/>
      <c r="AD1000" s="194"/>
      <c r="AE1000" s="194"/>
      <c r="AF1000" s="194"/>
      <c r="AG1000" s="194"/>
      <c r="AH1000" s="194"/>
      <c r="AI1000" s="194"/>
      <c r="AJ1000" s="194"/>
      <c r="AK1000" s="194"/>
      <c r="AL1000" s="194"/>
      <c r="AM1000" s="194"/>
    </row>
  </sheetData>
  <mergeCells count="1">
    <mergeCell ref="B2:H2"/>
  </mergeCells>
  <pageMargins left="0.7" right="0.7" top="0.75" bottom="0.75" header="0" footer="0"/>
  <pageSetup orientation="landscape"/>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M1000"/>
  <sheetViews>
    <sheetView workbookViewId="0"/>
  </sheetViews>
  <sheetFormatPr defaultColWidth="16.83203125" defaultRowHeight="15" customHeight="1" x14ac:dyDescent="0.2"/>
  <cols>
    <col min="1" max="1" width="6" customWidth="1"/>
    <col min="2" max="2" width="36.83203125" customWidth="1"/>
    <col min="3" max="3" width="20" customWidth="1"/>
    <col min="4" max="4" width="29.33203125" customWidth="1"/>
    <col min="5" max="39" width="14" customWidth="1"/>
  </cols>
  <sheetData>
    <row r="1" spans="1:39" x14ac:dyDescent="0.25">
      <c r="A1" s="194"/>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row>
    <row r="2" spans="1:39" ht="15.75" x14ac:dyDescent="0.25">
      <c r="A2" s="194"/>
      <c r="B2" s="2046" t="s">
        <v>1085</v>
      </c>
      <c r="C2" s="2047"/>
      <c r="D2" s="2047"/>
      <c r="E2" s="2047"/>
      <c r="F2" s="2047"/>
      <c r="G2" s="2047"/>
      <c r="H2" s="2048"/>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4"/>
      <c r="AK2" s="194"/>
      <c r="AL2" s="194"/>
      <c r="AM2" s="194"/>
    </row>
    <row r="3" spans="1:39" x14ac:dyDescent="0.25">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row>
    <row r="4" spans="1:39" x14ac:dyDescent="0.25">
      <c r="A4" s="194"/>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4"/>
      <c r="AG4" s="194"/>
      <c r="AH4" s="194"/>
      <c r="AI4" s="194"/>
      <c r="AJ4" s="194"/>
      <c r="AK4" s="194"/>
      <c r="AL4" s="194"/>
      <c r="AM4" s="194"/>
    </row>
    <row r="5" spans="1:39" x14ac:dyDescent="0.25">
      <c r="A5" s="194"/>
      <c r="B5" s="429" t="s">
        <v>1086</v>
      </c>
      <c r="C5" s="430"/>
      <c r="D5" s="430"/>
      <c r="E5" s="430"/>
      <c r="F5" s="430"/>
      <c r="G5" s="430"/>
      <c r="H5" s="430"/>
      <c r="I5" s="430"/>
      <c r="J5" s="430"/>
      <c r="K5" s="430"/>
      <c r="L5" s="430"/>
      <c r="M5" s="430"/>
      <c r="N5" s="430"/>
      <c r="O5" s="430"/>
      <c r="P5" s="430"/>
      <c r="Q5" s="430"/>
      <c r="R5" s="430"/>
      <c r="S5" s="430"/>
      <c r="T5" s="430"/>
      <c r="U5" s="430"/>
      <c r="V5" s="430"/>
      <c r="W5" s="430"/>
      <c r="X5" s="430"/>
      <c r="Y5" s="430"/>
      <c r="Z5" s="430"/>
      <c r="AA5" s="430"/>
      <c r="AB5" s="430"/>
      <c r="AC5" s="430"/>
      <c r="AD5" s="430"/>
      <c r="AE5" s="430"/>
      <c r="AF5" s="430"/>
      <c r="AG5" s="430"/>
      <c r="AH5" s="430"/>
      <c r="AI5" s="430"/>
      <c r="AJ5" s="430"/>
      <c r="AK5" s="430"/>
      <c r="AL5" s="430"/>
      <c r="AM5" s="431"/>
    </row>
    <row r="6" spans="1:39" x14ac:dyDescent="0.25">
      <c r="A6" s="194"/>
      <c r="B6" s="432" t="s">
        <v>1087</v>
      </c>
      <c r="C6" s="194" t="s">
        <v>1088</v>
      </c>
      <c r="D6" s="194"/>
      <c r="E6" s="194"/>
      <c r="F6" s="194"/>
      <c r="G6" s="194"/>
      <c r="H6" s="194"/>
      <c r="I6" s="194"/>
      <c r="J6" s="194"/>
      <c r="K6" s="194"/>
      <c r="L6" s="194"/>
      <c r="M6" s="194"/>
      <c r="N6" s="194"/>
      <c r="O6" s="194"/>
      <c r="P6" s="194"/>
      <c r="Q6" s="194"/>
      <c r="R6" s="194"/>
      <c r="S6" s="194"/>
      <c r="T6" s="194"/>
      <c r="U6" s="194"/>
      <c r="V6" s="194"/>
      <c r="W6" s="194"/>
      <c r="X6" s="194"/>
      <c r="Y6" s="194"/>
      <c r="Z6" s="194"/>
      <c r="AA6" s="194"/>
      <c r="AB6" s="194"/>
      <c r="AC6" s="194"/>
      <c r="AD6" s="194"/>
      <c r="AE6" s="194"/>
      <c r="AF6" s="194"/>
      <c r="AG6" s="194"/>
      <c r="AH6" s="194"/>
      <c r="AI6" s="194"/>
      <c r="AJ6" s="194"/>
      <c r="AK6" s="194"/>
      <c r="AL6" s="194"/>
      <c r="AM6" s="194"/>
    </row>
    <row r="7" spans="1:39" x14ac:dyDescent="0.25">
      <c r="A7" s="194"/>
      <c r="B7" s="432" t="s">
        <v>1089</v>
      </c>
      <c r="C7" s="194" t="s">
        <v>1090</v>
      </c>
      <c r="D7" s="194"/>
      <c r="E7" s="194"/>
      <c r="F7" s="194"/>
      <c r="G7" s="194"/>
      <c r="H7" s="194"/>
      <c r="I7" s="194"/>
      <c r="J7" s="194"/>
      <c r="K7" s="194"/>
      <c r="L7" s="194"/>
      <c r="M7" s="194"/>
      <c r="N7" s="194"/>
      <c r="O7" s="194"/>
      <c r="P7" s="194"/>
      <c r="Q7" s="194"/>
      <c r="R7" s="194"/>
      <c r="S7" s="194"/>
      <c r="T7" s="194"/>
      <c r="U7" s="194"/>
      <c r="V7" s="194"/>
      <c r="W7" s="194"/>
      <c r="X7" s="194"/>
      <c r="Y7" s="194"/>
      <c r="Z7" s="194"/>
      <c r="AA7" s="194"/>
      <c r="AB7" s="194"/>
      <c r="AC7" s="194"/>
      <c r="AD7" s="194"/>
      <c r="AE7" s="194"/>
      <c r="AF7" s="194"/>
      <c r="AG7" s="194"/>
      <c r="AH7" s="194"/>
      <c r="AI7" s="194"/>
      <c r="AJ7" s="194"/>
      <c r="AK7" s="194"/>
      <c r="AL7" s="194"/>
      <c r="AM7" s="194"/>
    </row>
    <row r="8" spans="1:39" x14ac:dyDescent="0.25">
      <c r="A8" s="194"/>
      <c r="B8" s="432" t="s">
        <v>1091</v>
      </c>
      <c r="C8" s="194" t="s">
        <v>1092</v>
      </c>
      <c r="D8" s="194"/>
      <c r="E8" s="194"/>
      <c r="F8" s="194"/>
      <c r="G8" s="194"/>
      <c r="H8" s="194"/>
      <c r="I8" s="194"/>
      <c r="J8" s="194"/>
      <c r="K8" s="194"/>
      <c r="L8" s="194"/>
      <c r="M8" s="194"/>
      <c r="N8" s="194"/>
      <c r="O8" s="194"/>
      <c r="P8" s="194"/>
      <c r="Q8" s="194"/>
      <c r="R8" s="194"/>
      <c r="S8" s="194"/>
      <c r="T8" s="194"/>
      <c r="U8" s="194"/>
      <c r="V8" s="194"/>
      <c r="W8" s="194"/>
      <c r="X8" s="194"/>
      <c r="Y8" s="194"/>
      <c r="Z8" s="194"/>
      <c r="AA8" s="194"/>
      <c r="AB8" s="194"/>
      <c r="AC8" s="194"/>
      <c r="AD8" s="194"/>
      <c r="AE8" s="194"/>
      <c r="AF8" s="194"/>
      <c r="AG8" s="194"/>
      <c r="AH8" s="194"/>
      <c r="AI8" s="194"/>
      <c r="AJ8" s="194"/>
      <c r="AK8" s="194"/>
      <c r="AL8" s="194"/>
      <c r="AM8" s="194"/>
    </row>
    <row r="9" spans="1:39" x14ac:dyDescent="0.25">
      <c r="A9" s="194"/>
      <c r="B9" s="432" t="s">
        <v>1093</v>
      </c>
      <c r="C9" s="194" t="s">
        <v>262</v>
      </c>
      <c r="D9" s="194"/>
      <c r="E9" s="194"/>
      <c r="F9" s="194"/>
      <c r="G9" s="194"/>
      <c r="H9" s="194"/>
      <c r="I9" s="194"/>
      <c r="J9" s="194"/>
      <c r="K9" s="194"/>
      <c r="L9" s="194"/>
      <c r="M9" s="194"/>
      <c r="N9" s="194"/>
      <c r="O9" s="194"/>
      <c r="P9" s="194"/>
      <c r="Q9" s="194"/>
      <c r="R9" s="194"/>
      <c r="S9" s="194"/>
      <c r="T9" s="194"/>
      <c r="U9" s="194"/>
      <c r="V9" s="194"/>
      <c r="W9" s="194"/>
      <c r="X9" s="194"/>
      <c r="Y9" s="194"/>
      <c r="Z9" s="194"/>
      <c r="AA9" s="194"/>
      <c r="AB9" s="194"/>
      <c r="AC9" s="194"/>
      <c r="AD9" s="194"/>
      <c r="AE9" s="194"/>
      <c r="AF9" s="194"/>
      <c r="AG9" s="194"/>
      <c r="AH9" s="194"/>
      <c r="AI9" s="194"/>
      <c r="AJ9" s="194"/>
      <c r="AK9" s="194"/>
      <c r="AL9" s="194"/>
      <c r="AM9" s="194"/>
    </row>
    <row r="10" spans="1:39" x14ac:dyDescent="0.25">
      <c r="A10" s="194"/>
      <c r="B10" s="432" t="s">
        <v>1094</v>
      </c>
      <c r="C10" s="194" t="s">
        <v>1095</v>
      </c>
      <c r="D10" s="194"/>
      <c r="E10" s="194"/>
      <c r="F10" s="194"/>
      <c r="G10" s="194"/>
      <c r="H10" s="194"/>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194"/>
      <c r="AG10" s="194"/>
      <c r="AH10" s="194"/>
      <c r="AI10" s="194"/>
      <c r="AJ10" s="194"/>
      <c r="AK10" s="194"/>
      <c r="AL10" s="194"/>
      <c r="AM10" s="194"/>
    </row>
    <row r="11" spans="1:39" x14ac:dyDescent="0.25">
      <c r="A11" s="194"/>
      <c r="B11" s="432" t="s">
        <v>1096</v>
      </c>
      <c r="C11" s="194" t="s">
        <v>1097</v>
      </c>
      <c r="D11" s="194"/>
      <c r="E11" s="194"/>
      <c r="F11" s="194"/>
      <c r="G11" s="194"/>
      <c r="H11" s="194"/>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194"/>
      <c r="AG11" s="194"/>
      <c r="AH11" s="194"/>
      <c r="AI11" s="194"/>
      <c r="AJ11" s="194"/>
      <c r="AK11" s="194"/>
      <c r="AL11" s="194"/>
      <c r="AM11" s="194"/>
    </row>
    <row r="12" spans="1:39" x14ac:dyDescent="0.25">
      <c r="A12" s="194"/>
      <c r="B12" s="432" t="s">
        <v>1098</v>
      </c>
      <c r="C12" s="194" t="s">
        <v>1099</v>
      </c>
      <c r="D12" s="194"/>
      <c r="E12" s="194"/>
      <c r="F12" s="194"/>
      <c r="G12" s="194"/>
      <c r="H12" s="194"/>
      <c r="I12" s="194"/>
      <c r="J12" s="194"/>
      <c r="K12" s="194"/>
      <c r="L12" s="194"/>
      <c r="M12" s="194"/>
      <c r="N12" s="194"/>
      <c r="O12" s="194"/>
      <c r="P12" s="194"/>
      <c r="Q12" s="194"/>
      <c r="R12" s="194"/>
      <c r="S12" s="194"/>
      <c r="T12" s="194"/>
      <c r="U12" s="194"/>
      <c r="V12" s="194"/>
      <c r="W12" s="194"/>
      <c r="X12" s="194"/>
      <c r="Y12" s="194"/>
      <c r="Z12" s="194"/>
      <c r="AA12" s="194"/>
      <c r="AB12" s="194"/>
      <c r="AC12" s="194"/>
      <c r="AD12" s="194"/>
      <c r="AE12" s="194"/>
      <c r="AF12" s="194"/>
      <c r="AG12" s="194"/>
      <c r="AH12" s="194"/>
      <c r="AI12" s="194"/>
      <c r="AJ12" s="194"/>
      <c r="AK12" s="194"/>
      <c r="AL12" s="194"/>
      <c r="AM12" s="194"/>
    </row>
    <row r="13" spans="1:39" x14ac:dyDescent="0.25">
      <c r="A13" s="194"/>
      <c r="B13" s="432" t="s">
        <v>1100</v>
      </c>
      <c r="C13" s="194" t="s">
        <v>1101</v>
      </c>
      <c r="D13" s="194"/>
      <c r="E13" s="194"/>
      <c r="F13" s="194"/>
      <c r="G13" s="194"/>
      <c r="H13" s="194"/>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row>
    <row r="14" spans="1:39" x14ac:dyDescent="0.25">
      <c r="A14" s="194"/>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row>
    <row r="15" spans="1:39" x14ac:dyDescent="0.25">
      <c r="A15" s="194"/>
      <c r="B15" s="432" t="s">
        <v>1102</v>
      </c>
      <c r="C15" s="432" t="s">
        <v>1103</v>
      </c>
      <c r="D15" s="432" t="s">
        <v>1104</v>
      </c>
      <c r="E15" s="432" t="s">
        <v>1105</v>
      </c>
      <c r="F15" s="432" t="s">
        <v>1106</v>
      </c>
      <c r="G15" s="432" t="s">
        <v>1107</v>
      </c>
      <c r="H15" s="432" t="s">
        <v>1108</v>
      </c>
      <c r="I15" s="432" t="s">
        <v>1109</v>
      </c>
      <c r="J15" s="432" t="s">
        <v>1110</v>
      </c>
      <c r="K15" s="432" t="s">
        <v>1111</v>
      </c>
      <c r="L15" s="432" t="s">
        <v>1112</v>
      </c>
      <c r="M15" s="432" t="s">
        <v>1113</v>
      </c>
      <c r="N15" s="432" t="s">
        <v>1114</v>
      </c>
      <c r="O15" s="432" t="s">
        <v>1115</v>
      </c>
      <c r="P15" s="432" t="s">
        <v>1116</v>
      </c>
      <c r="Q15" s="432" t="s">
        <v>1117</v>
      </c>
      <c r="R15" s="432" t="s">
        <v>1118</v>
      </c>
      <c r="S15" s="432" t="s">
        <v>1119</v>
      </c>
      <c r="T15" s="432" t="s">
        <v>1120</v>
      </c>
      <c r="U15" s="432" t="s">
        <v>1121</v>
      </c>
      <c r="V15" s="432" t="s">
        <v>1122</v>
      </c>
      <c r="W15" s="432" t="s">
        <v>1123</v>
      </c>
      <c r="X15" s="432" t="s">
        <v>1124</v>
      </c>
      <c r="Y15" s="432" t="s">
        <v>1125</v>
      </c>
      <c r="Z15" s="432" t="s">
        <v>1126</v>
      </c>
      <c r="AA15" s="432" t="s">
        <v>1127</v>
      </c>
      <c r="AB15" s="432" t="s">
        <v>1128</v>
      </c>
      <c r="AC15" s="432" t="s">
        <v>1129</v>
      </c>
      <c r="AD15" s="432" t="s">
        <v>1130</v>
      </c>
      <c r="AE15" s="432" t="s">
        <v>1131</v>
      </c>
      <c r="AF15" s="432" t="s">
        <v>1132</v>
      </c>
      <c r="AG15" s="432" t="s">
        <v>1133</v>
      </c>
      <c r="AH15" s="432" t="s">
        <v>1134</v>
      </c>
      <c r="AI15" s="432" t="s">
        <v>1135</v>
      </c>
      <c r="AJ15" s="432" t="s">
        <v>1136</v>
      </c>
      <c r="AK15" s="432" t="s">
        <v>1137</v>
      </c>
      <c r="AL15" s="432" t="s">
        <v>1138</v>
      </c>
      <c r="AM15" s="432"/>
    </row>
    <row r="16" spans="1:39" x14ac:dyDescent="0.25">
      <c r="A16" s="194"/>
      <c r="B16" s="194" t="s">
        <v>1139</v>
      </c>
      <c r="C16" s="194" t="s">
        <v>10</v>
      </c>
      <c r="D16" s="194" t="s">
        <v>1140</v>
      </c>
      <c r="E16" s="194">
        <v>1</v>
      </c>
      <c r="F16" s="433">
        <v>0</v>
      </c>
      <c r="G16" s="433">
        <v>0</v>
      </c>
      <c r="H16" s="433">
        <v>0</v>
      </c>
      <c r="I16" s="433">
        <v>0</v>
      </c>
      <c r="J16" s="433">
        <v>0</v>
      </c>
      <c r="K16" s="433">
        <v>0</v>
      </c>
      <c r="L16" s="433">
        <v>0</v>
      </c>
      <c r="M16" s="433">
        <v>0</v>
      </c>
      <c r="N16" s="433">
        <v>9.8519299213394535E-9</v>
      </c>
      <c r="O16" s="433">
        <v>3.1540939323378811E-8</v>
      </c>
      <c r="P16" s="433">
        <v>6.2501428747742371E-8</v>
      </c>
      <c r="Q16" s="433">
        <v>1.018511703728463E-7</v>
      </c>
      <c r="R16" s="433">
        <v>1.4894636659878889E-7</v>
      </c>
      <c r="S16" s="433">
        <v>2.0074600781338119E-7</v>
      </c>
      <c r="T16" s="433">
        <v>2.6107617905303778E-7</v>
      </c>
      <c r="U16" s="433">
        <v>3.2987329132971848E-7</v>
      </c>
      <c r="V16" s="433">
        <v>4.0711289923977971E-7</v>
      </c>
      <c r="W16" s="433">
        <v>4.8314336560554063E-7</v>
      </c>
      <c r="X16" s="433">
        <v>5.5882771452414812E-7</v>
      </c>
      <c r="Y16" s="433">
        <v>6.3589657153355418E-7</v>
      </c>
      <c r="Z16" s="433">
        <v>7.1660050457866461E-7</v>
      </c>
      <c r="AA16" s="433">
        <v>7.9894555566048068E-7</v>
      </c>
      <c r="AB16" s="433">
        <v>8.85221012763728E-7</v>
      </c>
      <c r="AC16" s="433">
        <v>9.7440790019803123E-7</v>
      </c>
      <c r="AD16" s="433">
        <v>1.0670013135791511E-6</v>
      </c>
      <c r="AE16" s="433">
        <v>1.1630521332887881E-6</v>
      </c>
      <c r="AF16" s="433">
        <v>1.261290134713085E-6</v>
      </c>
      <c r="AG16" s="433">
        <v>1.3659550986162041E-6</v>
      </c>
      <c r="AH16" s="433">
        <v>1.4755733918879199E-6</v>
      </c>
      <c r="AI16" s="433">
        <v>1.5902747935584759E-6</v>
      </c>
      <c r="AJ16" s="433">
        <v>1.668144611637901E-6</v>
      </c>
      <c r="AK16" s="433">
        <v>1.7298704460152931E-6</v>
      </c>
      <c r="AL16" s="433">
        <v>1.785639279141623E-6</v>
      </c>
      <c r="AM16" s="433"/>
    </row>
    <row r="17" spans="1:39" x14ac:dyDescent="0.25">
      <c r="A17" s="194"/>
      <c r="B17" s="194" t="s">
        <v>1141</v>
      </c>
      <c r="C17" s="194" t="s">
        <v>10</v>
      </c>
      <c r="D17" s="194" t="s">
        <v>1140</v>
      </c>
      <c r="E17" s="194">
        <v>1</v>
      </c>
      <c r="F17" s="433">
        <v>2.6131014791080082E-7</v>
      </c>
      <c r="G17" s="433">
        <v>4.1898124909234098E-7</v>
      </c>
      <c r="H17" s="433">
        <v>5.8111866987456702E-7</v>
      </c>
      <c r="I17" s="433">
        <v>7.4840461171582204E-7</v>
      </c>
      <c r="J17" s="433">
        <v>9.2201719908830302E-7</v>
      </c>
      <c r="K17" s="433">
        <v>2.3052706395561522E-6</v>
      </c>
      <c r="L17" s="433">
        <v>4.4136082214367739E-6</v>
      </c>
      <c r="M17" s="433">
        <v>6.5946290152229707E-6</v>
      </c>
      <c r="N17" s="433">
        <v>8.8466612984224004E-6</v>
      </c>
      <c r="O17" s="433">
        <v>1.147830442458914E-5</v>
      </c>
      <c r="P17" s="433">
        <v>1.2507147924218111E-5</v>
      </c>
      <c r="Q17" s="433">
        <v>1.314530607109544E-5</v>
      </c>
      <c r="R17" s="433">
        <v>1.713973749358667E-5</v>
      </c>
      <c r="S17" s="433">
        <v>2.1744247344928299E-5</v>
      </c>
      <c r="T17" s="433">
        <v>2.306901239073155E-5</v>
      </c>
      <c r="U17" s="433">
        <v>2.4384035920381919E-5</v>
      </c>
      <c r="V17" s="433">
        <v>2.5685308896897321E-5</v>
      </c>
      <c r="W17" s="433">
        <v>2.69879996666842E-5</v>
      </c>
      <c r="X17" s="433">
        <v>2.8364564007057459E-5</v>
      </c>
      <c r="Y17" s="433">
        <v>3.1166396877940423E-5</v>
      </c>
      <c r="Z17" s="433">
        <v>3.4618545587236393E-5</v>
      </c>
      <c r="AA17" s="433">
        <v>3.6918482212532093E-5</v>
      </c>
      <c r="AB17" s="433">
        <v>3.867669343107176E-5</v>
      </c>
      <c r="AC17" s="433">
        <v>4.0727676739808633E-5</v>
      </c>
      <c r="AD17" s="433">
        <v>4.3031867101066257E-5</v>
      </c>
      <c r="AE17" s="433">
        <v>4.5313001867797073E-5</v>
      </c>
      <c r="AF17" s="433">
        <v>4.8376348474465388E-5</v>
      </c>
      <c r="AG17" s="433">
        <v>5.1409482806971542E-5</v>
      </c>
      <c r="AH17" s="433">
        <v>5.50670128350142E-5</v>
      </c>
      <c r="AI17" s="433">
        <v>5.8640584864915532E-5</v>
      </c>
      <c r="AJ17" s="433">
        <v>6.3052900975069188E-5</v>
      </c>
      <c r="AK17" s="433">
        <v>6.6892769382864136E-5</v>
      </c>
      <c r="AL17" s="433">
        <v>7.0764145343318397E-5</v>
      </c>
      <c r="AM17" s="433"/>
    </row>
    <row r="18" spans="1:39" x14ac:dyDescent="0.25">
      <c r="A18" s="194"/>
      <c r="B18" s="194" t="s">
        <v>1142</v>
      </c>
      <c r="C18" s="194" t="s">
        <v>10</v>
      </c>
      <c r="D18" s="194" t="s">
        <v>1140</v>
      </c>
      <c r="E18" s="194">
        <v>1</v>
      </c>
      <c r="F18" s="433">
        <v>0</v>
      </c>
      <c r="G18" s="433">
        <v>0</v>
      </c>
      <c r="H18" s="433">
        <v>0</v>
      </c>
      <c r="I18" s="433">
        <v>0</v>
      </c>
      <c r="J18" s="433">
        <v>0</v>
      </c>
      <c r="K18" s="433">
        <v>0</v>
      </c>
      <c r="L18" s="433">
        <v>0</v>
      </c>
      <c r="M18" s="433">
        <v>0</v>
      </c>
      <c r="N18" s="433">
        <v>0</v>
      </c>
      <c r="O18" s="433">
        <v>0</v>
      </c>
      <c r="P18" s="433">
        <v>0</v>
      </c>
      <c r="Q18" s="433">
        <v>0</v>
      </c>
      <c r="R18" s="433">
        <v>0</v>
      </c>
      <c r="S18" s="433">
        <v>0</v>
      </c>
      <c r="T18" s="433">
        <v>0</v>
      </c>
      <c r="U18" s="433">
        <v>0</v>
      </c>
      <c r="V18" s="433">
        <v>0</v>
      </c>
      <c r="W18" s="433">
        <v>0</v>
      </c>
      <c r="X18" s="433">
        <v>0</v>
      </c>
      <c r="Y18" s="433">
        <v>0</v>
      </c>
      <c r="Z18" s="433">
        <v>0</v>
      </c>
      <c r="AA18" s="433">
        <v>0</v>
      </c>
      <c r="AB18" s="433">
        <v>3.70462863680154E-10</v>
      </c>
      <c r="AC18" s="433">
        <v>1.1108583319757149E-9</v>
      </c>
      <c r="AD18" s="433">
        <v>1.2944556663871841E-9</v>
      </c>
      <c r="AE18" s="433">
        <v>2.3984260362871581E-9</v>
      </c>
      <c r="AF18" s="433">
        <v>2.940498638410223E-9</v>
      </c>
      <c r="AG18" s="433">
        <v>6.4163774596117491E-9</v>
      </c>
      <c r="AH18" s="433">
        <v>1.353233746433338E-8</v>
      </c>
      <c r="AI18" s="433">
        <v>2.4263685619281551E-8</v>
      </c>
      <c r="AJ18" s="433">
        <v>3.9230959730470671E-8</v>
      </c>
      <c r="AK18" s="433">
        <v>5.8312306612808159E-8</v>
      </c>
      <c r="AL18" s="433">
        <v>8.8385301478315641E-8</v>
      </c>
      <c r="AM18" s="433"/>
    </row>
    <row r="19" spans="1:39" x14ac:dyDescent="0.25">
      <c r="A19" s="194"/>
      <c r="B19" s="194" t="s">
        <v>1139</v>
      </c>
      <c r="C19" s="194" t="s">
        <v>1143</v>
      </c>
      <c r="D19" s="194" t="s">
        <v>1144</v>
      </c>
      <c r="E19" s="194">
        <v>3170</v>
      </c>
      <c r="F19" s="433">
        <v>0</v>
      </c>
      <c r="G19" s="433">
        <v>0</v>
      </c>
      <c r="H19" s="433">
        <v>0</v>
      </c>
      <c r="I19" s="433">
        <v>0</v>
      </c>
      <c r="J19" s="433">
        <v>0</v>
      </c>
      <c r="K19" s="433">
        <v>0</v>
      </c>
      <c r="L19" s="433">
        <v>0</v>
      </c>
      <c r="M19" s="433">
        <v>2.707762738895486E-5</v>
      </c>
      <c r="N19" s="433">
        <v>8.6931551058900983E-5</v>
      </c>
      <c r="O19" s="433">
        <v>1.863040424496161E-4</v>
      </c>
      <c r="P19" s="433">
        <v>3.1273547703796481E-4</v>
      </c>
      <c r="Q19" s="433">
        <v>5.1983172190548646E-4</v>
      </c>
      <c r="R19" s="433">
        <v>8.0178753633182497E-4</v>
      </c>
      <c r="S19" s="433">
        <v>1.0834609757761769E-3</v>
      </c>
      <c r="T19" s="433">
        <v>1.3939861319519551E-3</v>
      </c>
      <c r="U19" s="433">
        <v>1.73277048366962E-3</v>
      </c>
      <c r="V19" s="433">
        <v>2.0952357832950178E-3</v>
      </c>
      <c r="W19" s="433">
        <v>2.4518460588209851E-3</v>
      </c>
      <c r="X19" s="433">
        <v>2.8027344076029899E-3</v>
      </c>
      <c r="Y19" s="433">
        <v>2.5626719382125999E-3</v>
      </c>
      <c r="Z19" s="433">
        <v>2.752380230469018E-3</v>
      </c>
      <c r="AA19" s="433">
        <v>3.2288385920380609E-3</v>
      </c>
      <c r="AB19" s="433">
        <v>3.824497153161363E-3</v>
      </c>
      <c r="AC19" s="433">
        <v>4.270337205032915E-3</v>
      </c>
      <c r="AD19" s="433">
        <v>5.3506683554602431E-3</v>
      </c>
      <c r="AE19" s="433">
        <v>5.2407328336516431E-3</v>
      </c>
      <c r="AF19" s="433">
        <v>6.1727424067068029E-3</v>
      </c>
      <c r="AG19" s="433">
        <v>5.5345313365690032E-3</v>
      </c>
      <c r="AH19" s="433">
        <v>6.4767103186586942E-3</v>
      </c>
      <c r="AI19" s="433">
        <v>6.1203556267807966E-3</v>
      </c>
      <c r="AJ19" s="433">
        <v>6.9972372579427166E-3</v>
      </c>
      <c r="AK19" s="433">
        <v>7.2624295668966832E-3</v>
      </c>
      <c r="AL19" s="433">
        <v>7.5245276682444923E-3</v>
      </c>
      <c r="AM19" s="433"/>
    </row>
    <row r="20" spans="1:39" x14ac:dyDescent="0.25">
      <c r="A20" s="194"/>
      <c r="B20" s="194" t="s">
        <v>1142</v>
      </c>
      <c r="C20" s="194" t="s">
        <v>1143</v>
      </c>
      <c r="D20" s="194" t="s">
        <v>1144</v>
      </c>
      <c r="E20" s="194">
        <v>3170</v>
      </c>
      <c r="F20" s="433">
        <v>2.0830797606810991E-6</v>
      </c>
      <c r="G20" s="433">
        <v>5.1310290580785562E-6</v>
      </c>
      <c r="H20" s="433">
        <v>9.8378592437783122E-6</v>
      </c>
      <c r="I20" s="433">
        <v>1.8322801458537179E-3</v>
      </c>
      <c r="J20" s="433">
        <v>4.8728700758485701E-3</v>
      </c>
      <c r="K20" s="433">
        <v>1.032790790201873E-2</v>
      </c>
      <c r="L20" s="433">
        <v>1.7579836613494621E-2</v>
      </c>
      <c r="M20" s="433">
        <v>2.713524858003856E-2</v>
      </c>
      <c r="N20" s="433">
        <v>3.548195471409131E-2</v>
      </c>
      <c r="O20" s="433">
        <v>4.6437791534360923E-2</v>
      </c>
      <c r="P20" s="433">
        <v>5.5499792791662977E-2</v>
      </c>
      <c r="Q20" s="433">
        <v>6.7528539052567685E-2</v>
      </c>
      <c r="R20" s="433">
        <v>8.1966989013505881E-2</v>
      </c>
      <c r="S20" s="433">
        <v>9.7832896017233148E-2</v>
      </c>
      <c r="T20" s="433">
        <v>0.1141723963425368</v>
      </c>
      <c r="U20" s="433">
        <v>0.14353410156192381</v>
      </c>
      <c r="V20" s="433">
        <v>0.18096797410503329</v>
      </c>
      <c r="W20" s="433">
        <v>0.22928927713897171</v>
      </c>
      <c r="X20" s="433">
        <v>0.2811016094500573</v>
      </c>
      <c r="Y20" s="433">
        <v>0.27603704284800851</v>
      </c>
      <c r="Z20" s="433">
        <v>0.31935177334421078</v>
      </c>
      <c r="AA20" s="433">
        <v>0.39418764670580742</v>
      </c>
      <c r="AB20" s="433">
        <v>0.48079928856448328</v>
      </c>
      <c r="AC20" s="433">
        <v>0.55078410886429996</v>
      </c>
      <c r="AD20" s="433">
        <v>0.70366761255527266</v>
      </c>
      <c r="AE20" s="433">
        <v>0.69749796964637756</v>
      </c>
      <c r="AF20" s="433">
        <v>0.83328892692382928</v>
      </c>
      <c r="AG20" s="433">
        <v>0.75152261346217619</v>
      </c>
      <c r="AH20" s="433">
        <v>0.89051178607043024</v>
      </c>
      <c r="AI20" s="433">
        <v>0.86712904720235651</v>
      </c>
      <c r="AJ20" s="433">
        <v>1.041814281846178</v>
      </c>
      <c r="AK20" s="433">
        <v>1.197965397985284</v>
      </c>
      <c r="AL20" s="433">
        <v>1.3027469851872151</v>
      </c>
      <c r="AM20" s="433"/>
    </row>
    <row r="21" spans="1:39" ht="15.75" customHeight="1" x14ac:dyDescent="0.25">
      <c r="A21" s="194"/>
      <c r="B21" s="194" t="s">
        <v>1141</v>
      </c>
      <c r="C21" s="194" t="s">
        <v>1143</v>
      </c>
      <c r="D21" s="194" t="s">
        <v>1145</v>
      </c>
      <c r="E21" s="194">
        <v>1300</v>
      </c>
      <c r="F21" s="433">
        <v>0</v>
      </c>
      <c r="G21" s="433">
        <v>0</v>
      </c>
      <c r="H21" s="433">
        <v>0</v>
      </c>
      <c r="I21" s="433">
        <v>0</v>
      </c>
      <c r="J21" s="433">
        <v>0</v>
      </c>
      <c r="K21" s="433">
        <v>0</v>
      </c>
      <c r="L21" s="433">
        <v>4.7083012191387092E-4</v>
      </c>
      <c r="M21" s="433">
        <v>9.7398562366991608E-4</v>
      </c>
      <c r="N21" s="433">
        <v>1.5172377292203411E-3</v>
      </c>
      <c r="O21" s="433">
        <v>2.0890454138388749E-3</v>
      </c>
      <c r="P21" s="433">
        <v>2.2597233969434368E-3</v>
      </c>
      <c r="Q21" s="433">
        <v>2.449931277654476E-3</v>
      </c>
      <c r="R21" s="433">
        <v>9.6719329994966411E-3</v>
      </c>
      <c r="S21" s="433">
        <v>1.798711497273375E-2</v>
      </c>
      <c r="T21" s="433">
        <v>2.0047647530325102E-2</v>
      </c>
      <c r="U21" s="433">
        <v>2.2196067947018928E-2</v>
      </c>
      <c r="V21" s="433">
        <v>2.4372083845772899E-2</v>
      </c>
      <c r="W21" s="433">
        <v>2.6622561246531871E-2</v>
      </c>
      <c r="X21" s="433">
        <v>2.8829089321157471E-2</v>
      </c>
      <c r="Y21" s="433">
        <v>4.9818769159364368E-2</v>
      </c>
      <c r="Z21" s="433">
        <v>6.4518060128460356E-2</v>
      </c>
      <c r="AA21" s="433">
        <v>6.9924118282950087E-2</v>
      </c>
      <c r="AB21" s="433">
        <v>7.5492315634510768E-2</v>
      </c>
      <c r="AC21" s="433">
        <v>0.102910838314077</v>
      </c>
      <c r="AD21" s="433">
        <v>0.12581848736913631</v>
      </c>
      <c r="AE21" s="433">
        <v>0.12643396100004839</v>
      </c>
      <c r="AF21" s="433">
        <v>0.1224032452974238</v>
      </c>
      <c r="AG21" s="433">
        <v>0.10682381967856761</v>
      </c>
      <c r="AH21" s="433">
        <v>0.12017952117463469</v>
      </c>
      <c r="AI21" s="433">
        <v>0.1172780049648126</v>
      </c>
      <c r="AJ21" s="433">
        <v>0.12873840644907619</v>
      </c>
      <c r="AK21" s="433">
        <v>6.8501506529416265E-2</v>
      </c>
      <c r="AL21" s="433">
        <v>7.3144160071592967E-2</v>
      </c>
      <c r="AM21" s="433"/>
    </row>
    <row r="22" spans="1:39" ht="15.75" customHeight="1" x14ac:dyDescent="0.25">
      <c r="A22" s="194"/>
      <c r="B22" s="194" t="s">
        <v>1146</v>
      </c>
      <c r="C22" s="194" t="s">
        <v>1143</v>
      </c>
      <c r="D22" s="194" t="s">
        <v>1145</v>
      </c>
      <c r="E22" s="194">
        <v>1300</v>
      </c>
      <c r="F22" s="433">
        <v>0</v>
      </c>
      <c r="G22" s="433">
        <v>0</v>
      </c>
      <c r="H22" s="433">
        <v>0</v>
      </c>
      <c r="I22" s="433">
        <v>0</v>
      </c>
      <c r="J22" s="433">
        <v>0</v>
      </c>
      <c r="K22" s="433">
        <v>0</v>
      </c>
      <c r="L22" s="433">
        <v>0</v>
      </c>
      <c r="M22" s="433">
        <v>3.2235782254365608E-4</v>
      </c>
      <c r="N22" s="433">
        <v>6.5270642478647929E-4</v>
      </c>
      <c r="O22" s="433">
        <v>9.9047932329365059E-4</v>
      </c>
      <c r="P22" s="433">
        <v>1.371567092698403E-3</v>
      </c>
      <c r="Q22" s="433">
        <v>3.1367205233573548E-3</v>
      </c>
      <c r="R22" s="433">
        <v>4.9577196476018647E-3</v>
      </c>
      <c r="S22" s="433">
        <v>6.8239834112029498E-3</v>
      </c>
      <c r="T22" s="433">
        <v>8.7482454746959041E-3</v>
      </c>
      <c r="U22" s="433">
        <v>1.0728317244315449E-2</v>
      </c>
      <c r="V22" s="433">
        <v>1.274075218509407E-2</v>
      </c>
      <c r="W22" s="433">
        <v>1.4772572226350729E-2</v>
      </c>
      <c r="X22" s="433">
        <v>1.645456790318444E-2</v>
      </c>
      <c r="Y22" s="433">
        <v>1.786536512200915E-2</v>
      </c>
      <c r="Z22" s="433">
        <v>1.703998626796414E-2</v>
      </c>
      <c r="AA22" s="433">
        <v>1.8568296455186279E-2</v>
      </c>
      <c r="AB22" s="433">
        <v>1.74196565713742E-2</v>
      </c>
      <c r="AC22" s="433">
        <v>2.0422720773557269E-2</v>
      </c>
      <c r="AD22" s="433">
        <v>2.129631658524931E-2</v>
      </c>
      <c r="AE22" s="433">
        <v>1.798754599747918E-2</v>
      </c>
      <c r="AF22" s="433">
        <v>2.099184022573827E-2</v>
      </c>
      <c r="AG22" s="433">
        <v>2.2168836397245231E-2</v>
      </c>
      <c r="AH22" s="433">
        <v>2.8629317304927598E-2</v>
      </c>
      <c r="AI22" s="433">
        <v>2.8196490746310279E-2</v>
      </c>
      <c r="AJ22" s="433">
        <v>3.1926112310129477E-2</v>
      </c>
      <c r="AK22" s="433">
        <v>3.2440100519578331E-2</v>
      </c>
      <c r="AL22" s="433">
        <v>1.975537229646375E-2</v>
      </c>
      <c r="AM22" s="433"/>
    </row>
    <row r="23" spans="1:39" ht="15.75" customHeight="1" x14ac:dyDescent="0.25">
      <c r="A23" s="194"/>
      <c r="B23" s="194" t="s">
        <v>1147</v>
      </c>
      <c r="C23" s="194" t="s">
        <v>1143</v>
      </c>
      <c r="D23" s="194" t="s">
        <v>1145</v>
      </c>
      <c r="E23" s="194">
        <v>1300</v>
      </c>
      <c r="F23" s="433">
        <v>0</v>
      </c>
      <c r="G23" s="433">
        <v>0</v>
      </c>
      <c r="H23" s="433">
        <v>0</v>
      </c>
      <c r="I23" s="433">
        <v>0</v>
      </c>
      <c r="J23" s="433">
        <v>1.222873263624181E-2</v>
      </c>
      <c r="K23" s="433">
        <v>0.13197604969973659</v>
      </c>
      <c r="L23" s="433">
        <v>0.15222651599904941</v>
      </c>
      <c r="M23" s="433">
        <v>0.16412746947062409</v>
      </c>
      <c r="N23" s="433">
        <v>0.16401129709142079</v>
      </c>
      <c r="O23" s="433">
        <v>0.16914019928520899</v>
      </c>
      <c r="P23" s="433">
        <v>0.1717795795987524</v>
      </c>
      <c r="Q23" s="433">
        <v>0.16325329296739999</v>
      </c>
      <c r="R23" s="433">
        <v>0.15334835742854641</v>
      </c>
      <c r="S23" s="433">
        <v>0.14300346441334841</v>
      </c>
      <c r="T23" s="433">
        <v>0.13129686926390791</v>
      </c>
      <c r="U23" s="433">
        <v>0.1192059926181875</v>
      </c>
      <c r="V23" s="433">
        <v>0.1287991576377196</v>
      </c>
      <c r="W23" s="433">
        <v>0.1393822644522251</v>
      </c>
      <c r="X23" s="433">
        <v>0.1489015613021788</v>
      </c>
      <c r="Y23" s="433">
        <v>0.16524918594278379</v>
      </c>
      <c r="Z23" s="433">
        <v>0.16121869065066899</v>
      </c>
      <c r="AA23" s="433">
        <v>0.17243090704340541</v>
      </c>
      <c r="AB23" s="433">
        <v>0.18256598943272859</v>
      </c>
      <c r="AC23" s="433">
        <v>0.24235495711430399</v>
      </c>
      <c r="AD23" s="433">
        <v>0.28728773716654388</v>
      </c>
      <c r="AE23" s="433">
        <v>0.28008391855201847</v>
      </c>
      <c r="AF23" s="433">
        <v>0.2362523918154053</v>
      </c>
      <c r="AG23" s="433">
        <v>0.1853181969290654</v>
      </c>
      <c r="AH23" s="433">
        <v>0.1791298630823423</v>
      </c>
      <c r="AI23" s="433">
        <v>0.1775373336035154</v>
      </c>
      <c r="AJ23" s="433">
        <v>0.20229140631843751</v>
      </c>
      <c r="AK23" s="433">
        <v>0.20684833898446839</v>
      </c>
      <c r="AL23" s="433">
        <v>0.211239346129798</v>
      </c>
      <c r="AM23" s="433"/>
    </row>
    <row r="24" spans="1:39" ht="15.75" customHeight="1" x14ac:dyDescent="0.25">
      <c r="A24" s="194"/>
      <c r="B24" s="194" t="s">
        <v>1142</v>
      </c>
      <c r="C24" s="194" t="s">
        <v>1143</v>
      </c>
      <c r="D24" s="194" t="s">
        <v>1145</v>
      </c>
      <c r="E24" s="194">
        <v>1300</v>
      </c>
      <c r="F24" s="433">
        <v>7.3244025391447861E-8</v>
      </c>
      <c r="G24" s="433">
        <v>1.8041422594940989E-7</v>
      </c>
      <c r="H24" s="433">
        <v>1.7305468372907699E-2</v>
      </c>
      <c r="I24" s="433">
        <v>7.4925704686498354E-2</v>
      </c>
      <c r="J24" s="433">
        <v>0.18214369648970391</v>
      </c>
      <c r="K24" s="433">
        <v>0.28846385509273298</v>
      </c>
      <c r="L24" s="433">
        <v>0.41808160418705281</v>
      </c>
      <c r="M24" s="433">
        <v>0.55318848799204057</v>
      </c>
      <c r="N24" s="433">
        <v>0.64919731239558043</v>
      </c>
      <c r="O24" s="433">
        <v>0.74618482084339144</v>
      </c>
      <c r="P24" s="433">
        <v>0.83848119982811664</v>
      </c>
      <c r="Q24" s="433">
        <v>0.93108188460690711</v>
      </c>
      <c r="R24" s="433">
        <v>0.97507844714428238</v>
      </c>
      <c r="S24" s="433">
        <v>1.007503342012952</v>
      </c>
      <c r="T24" s="433">
        <v>1.0436906705291049</v>
      </c>
      <c r="U24" s="433">
        <v>1.067829337330426</v>
      </c>
      <c r="V24" s="433">
        <v>1.0892686279706909</v>
      </c>
      <c r="W24" s="433">
        <v>1.1057765409659921</v>
      </c>
      <c r="X24" s="433">
        <v>1.1283151092445349</v>
      </c>
      <c r="Y24" s="433">
        <v>1.109075708793021</v>
      </c>
      <c r="Z24" s="433">
        <v>0.92797689062879785</v>
      </c>
      <c r="AA24" s="433">
        <v>0.85749332780679755</v>
      </c>
      <c r="AB24" s="433">
        <v>0.79206010936168336</v>
      </c>
      <c r="AC24" s="433">
        <v>0.90959075700779468</v>
      </c>
      <c r="AD24" s="433">
        <v>0.97963122701388372</v>
      </c>
      <c r="AE24" s="433">
        <v>0.87464999343577809</v>
      </c>
      <c r="AF24" s="433">
        <v>0.77006584444478243</v>
      </c>
      <c r="AG24" s="433">
        <v>0.62989015503701173</v>
      </c>
      <c r="AH24" s="433">
        <v>0.67060516400370496</v>
      </c>
      <c r="AI24" s="433">
        <v>0.62800888337323146</v>
      </c>
      <c r="AJ24" s="433">
        <v>0.67523393384518882</v>
      </c>
      <c r="AK24" s="433">
        <v>0.65433657486838559</v>
      </c>
      <c r="AL24" s="433">
        <v>0.62706311493157862</v>
      </c>
      <c r="AM24" s="433"/>
    </row>
    <row r="25" spans="1:39" ht="15.75" customHeight="1" x14ac:dyDescent="0.25">
      <c r="A25" s="194"/>
      <c r="B25" s="194" t="s">
        <v>1142</v>
      </c>
      <c r="C25" s="194" t="s">
        <v>1143</v>
      </c>
      <c r="D25" s="194" t="s">
        <v>1148</v>
      </c>
      <c r="E25" s="194">
        <v>4800</v>
      </c>
      <c r="F25" s="433">
        <v>3.7240846201553312E-6</v>
      </c>
      <c r="G25" s="433">
        <v>9.1731419801768085E-6</v>
      </c>
      <c r="H25" s="433">
        <v>1.7587910456692571E-5</v>
      </c>
      <c r="I25" s="433">
        <v>1.318694796414364E-3</v>
      </c>
      <c r="J25" s="433">
        <v>3.6741288239772992E-3</v>
      </c>
      <c r="K25" s="433">
        <v>9.1767881134462714E-3</v>
      </c>
      <c r="L25" s="433">
        <v>1.7068477805663181E-2</v>
      </c>
      <c r="M25" s="433">
        <v>2.8260174203529932E-2</v>
      </c>
      <c r="N25" s="433">
        <v>4.0974398710055072E-2</v>
      </c>
      <c r="O25" s="433">
        <v>5.8511730201415091E-2</v>
      </c>
      <c r="P25" s="433">
        <v>7.2150615314809471E-2</v>
      </c>
      <c r="Q25" s="433">
        <v>8.9370065998305867E-2</v>
      </c>
      <c r="R25" s="433">
        <v>0.1087828117007227</v>
      </c>
      <c r="S25" s="433">
        <v>0.1288072809836224</v>
      </c>
      <c r="T25" s="433">
        <v>0.1472520743030476</v>
      </c>
      <c r="U25" s="433">
        <v>0.17825234594206199</v>
      </c>
      <c r="V25" s="433">
        <v>0.2118619930356147</v>
      </c>
      <c r="W25" s="433">
        <v>0.2496507682504136</v>
      </c>
      <c r="X25" s="433">
        <v>0.29254300276961481</v>
      </c>
      <c r="Y25" s="433">
        <v>0.32544677330981392</v>
      </c>
      <c r="Z25" s="433">
        <v>0.33349639492362038</v>
      </c>
      <c r="AA25" s="433">
        <v>0.41388764324358202</v>
      </c>
      <c r="AB25" s="433">
        <v>0.49996887401693491</v>
      </c>
      <c r="AC25" s="433">
        <v>0.56678410628142217</v>
      </c>
      <c r="AD25" s="433">
        <v>0.65334285974531225</v>
      </c>
      <c r="AE25" s="433">
        <v>0.65542007120561996</v>
      </c>
      <c r="AF25" s="433">
        <v>0.6741416043585654</v>
      </c>
      <c r="AG25" s="433">
        <v>0.50404953133319441</v>
      </c>
      <c r="AH25" s="433">
        <v>0.632093783017319</v>
      </c>
      <c r="AI25" s="433">
        <v>0.55417967019470238</v>
      </c>
      <c r="AJ25" s="433">
        <v>0.60943851858890463</v>
      </c>
      <c r="AK25" s="433">
        <v>0.61154888168151578</v>
      </c>
      <c r="AL25" s="433">
        <v>0.60870672771026657</v>
      </c>
      <c r="AM25" s="433"/>
    </row>
    <row r="26" spans="1:39" ht="15.75" customHeight="1" x14ac:dyDescent="0.25">
      <c r="A26" s="194"/>
      <c r="B26" s="194" t="s">
        <v>1139</v>
      </c>
      <c r="C26" s="194" t="s">
        <v>1143</v>
      </c>
      <c r="D26" s="194" t="s">
        <v>1149</v>
      </c>
      <c r="E26" s="194">
        <v>12400</v>
      </c>
      <c r="F26" s="433">
        <v>0</v>
      </c>
      <c r="G26" s="433">
        <v>0</v>
      </c>
      <c r="H26" s="433">
        <v>0</v>
      </c>
      <c r="I26" s="433">
        <v>0</v>
      </c>
      <c r="J26" s="433">
        <v>0</v>
      </c>
      <c r="K26" s="433">
        <v>9.3036146234324768E-6</v>
      </c>
      <c r="L26" s="433">
        <v>2.0863174107854798E-5</v>
      </c>
      <c r="M26" s="433">
        <v>3.9285248301842602E-5</v>
      </c>
      <c r="N26" s="433">
        <v>5.762449576632511E-5</v>
      </c>
      <c r="O26" s="433">
        <v>8.2822795964448826E-5</v>
      </c>
      <c r="P26" s="433">
        <v>1.080885242557396E-4</v>
      </c>
      <c r="Q26" s="433">
        <v>1.313657066049777E-4</v>
      </c>
      <c r="R26" s="433">
        <v>1.5256283657628139E-4</v>
      </c>
      <c r="S26" s="433">
        <v>1.6903747560248619E-4</v>
      </c>
      <c r="T26" s="433">
        <v>1.852557722608108E-4</v>
      </c>
      <c r="U26" s="433">
        <v>2.0359600424150949E-4</v>
      </c>
      <c r="V26" s="433">
        <v>2.1908588182021951E-4</v>
      </c>
      <c r="W26" s="433">
        <v>2.3642555806566921E-4</v>
      </c>
      <c r="X26" s="433">
        <v>2.5156468733034262E-4</v>
      </c>
      <c r="Y26" s="433">
        <v>2.6969387346895552E-4</v>
      </c>
      <c r="Z26" s="433">
        <v>2.9085115325012397E-4</v>
      </c>
      <c r="AA26" s="433">
        <v>3.0973479855850972E-4</v>
      </c>
      <c r="AB26" s="433">
        <v>3.330461144484584E-4</v>
      </c>
      <c r="AC26" s="433">
        <v>3.5354917845680422E-4</v>
      </c>
      <c r="AD26" s="433">
        <v>3.7605786330928268E-4</v>
      </c>
      <c r="AE26" s="433">
        <v>4.0035265374947169E-4</v>
      </c>
      <c r="AF26" s="433">
        <v>4.2387287872683359E-4</v>
      </c>
      <c r="AG26" s="433">
        <v>4.5009971253825049E-4</v>
      </c>
      <c r="AH26" s="433">
        <v>4.7619198320438021E-4</v>
      </c>
      <c r="AI26" s="433">
        <v>5.0446574040930326E-4</v>
      </c>
      <c r="AJ26" s="433">
        <v>5.3214126222195246E-4</v>
      </c>
      <c r="AK26" s="433">
        <v>5.5199864253537782E-4</v>
      </c>
      <c r="AL26" s="433">
        <v>5.6954536712445038E-4</v>
      </c>
      <c r="AM26" s="433"/>
    </row>
    <row r="27" spans="1:39" ht="15.75" customHeight="1" x14ac:dyDescent="0.25">
      <c r="A27" s="194"/>
      <c r="B27" s="194" t="s">
        <v>1139</v>
      </c>
      <c r="C27" s="194" t="s">
        <v>1143</v>
      </c>
      <c r="D27" s="194" t="s">
        <v>1150</v>
      </c>
      <c r="E27" s="194">
        <v>8060</v>
      </c>
      <c r="F27" s="433">
        <v>0</v>
      </c>
      <c r="G27" s="433">
        <v>0</v>
      </c>
      <c r="H27" s="433">
        <v>0</v>
      </c>
      <c r="I27" s="433">
        <v>0</v>
      </c>
      <c r="J27" s="433">
        <v>0</v>
      </c>
      <c r="K27" s="433">
        <v>0</v>
      </c>
      <c r="L27" s="433">
        <v>0</v>
      </c>
      <c r="M27" s="433">
        <v>1.9677287605305281E-4</v>
      </c>
      <c r="N27" s="433">
        <v>5.9929475596978113E-4</v>
      </c>
      <c r="O27" s="433">
        <v>1.22025586054288E-3</v>
      </c>
      <c r="P27" s="433">
        <v>1.859582568365767E-3</v>
      </c>
      <c r="Q27" s="433">
        <v>2.5241805291070498E-3</v>
      </c>
      <c r="R27" s="433">
        <v>3.215377358751628E-3</v>
      </c>
      <c r="S27" s="433">
        <v>3.7282025697778481E-3</v>
      </c>
      <c r="T27" s="433">
        <v>4.0489964724753462E-3</v>
      </c>
      <c r="U27" s="433">
        <v>4.1671243527226683E-3</v>
      </c>
      <c r="V27" s="433">
        <v>4.2781707301546229E-3</v>
      </c>
      <c r="W27" s="433">
        <v>4.3864974899368312E-3</v>
      </c>
      <c r="X27" s="433">
        <v>4.5011783418507298E-3</v>
      </c>
      <c r="Y27" s="433">
        <v>4.6335921557397212E-3</v>
      </c>
      <c r="Z27" s="433">
        <v>4.7814097461071556E-3</v>
      </c>
      <c r="AA27" s="433">
        <v>4.9347636405894114E-3</v>
      </c>
      <c r="AB27" s="433">
        <v>5.0880258808705184E-3</v>
      </c>
      <c r="AC27" s="433">
        <v>5.2378081210986936E-3</v>
      </c>
      <c r="AD27" s="433">
        <v>5.3880607579938232E-3</v>
      </c>
      <c r="AE27" s="433">
        <v>5.5376779066626941E-3</v>
      </c>
      <c r="AF27" s="433">
        <v>5.6821754613843372E-3</v>
      </c>
      <c r="AG27" s="433">
        <v>5.8379978623995356E-3</v>
      </c>
      <c r="AH27" s="433">
        <v>5.9974112703719273E-3</v>
      </c>
      <c r="AI27" s="433">
        <v>6.1625127656323034E-3</v>
      </c>
      <c r="AJ27" s="433">
        <v>6.408648020849398E-3</v>
      </c>
      <c r="AK27" s="433">
        <v>6.5918218060454052E-3</v>
      </c>
      <c r="AL27" s="433">
        <v>6.7551257288027454E-3</v>
      </c>
      <c r="AM27" s="433"/>
    </row>
    <row r="28" spans="1:39" ht="15.75" customHeight="1" x14ac:dyDescent="0.25">
      <c r="A28" s="194"/>
      <c r="B28" s="194" t="s">
        <v>1142</v>
      </c>
      <c r="C28" s="194" t="s">
        <v>1143</v>
      </c>
      <c r="D28" s="194" t="s">
        <v>1150</v>
      </c>
      <c r="E28" s="194">
        <v>8060</v>
      </c>
      <c r="F28" s="433">
        <v>0</v>
      </c>
      <c r="G28" s="433">
        <v>0</v>
      </c>
      <c r="H28" s="433">
        <v>0</v>
      </c>
      <c r="I28" s="433">
        <v>1.094958153041211E-3</v>
      </c>
      <c r="J28" s="433">
        <v>3.3027020891527839E-3</v>
      </c>
      <c r="K28" s="433">
        <v>5.4743631396104624E-3</v>
      </c>
      <c r="L28" s="433">
        <v>6.8121740657830568E-3</v>
      </c>
      <c r="M28" s="433">
        <v>8.1442941523637569E-3</v>
      </c>
      <c r="N28" s="433">
        <v>9.3579876144681325E-3</v>
      </c>
      <c r="O28" s="433">
        <v>1.046189951024263E-2</v>
      </c>
      <c r="P28" s="433">
        <v>1.14699172404104E-2</v>
      </c>
      <c r="Q28" s="433">
        <v>1.2396198147395159E-2</v>
      </c>
      <c r="R28" s="433">
        <v>1.3223615016062191E-2</v>
      </c>
      <c r="S28" s="433">
        <v>1.392845643145911E-2</v>
      </c>
      <c r="T28" s="433">
        <v>1.4498116737131051E-2</v>
      </c>
      <c r="U28" s="433">
        <v>1.493758433619425E-2</v>
      </c>
      <c r="V28" s="433">
        <v>1.5229928037270831E-2</v>
      </c>
      <c r="W28" s="433">
        <v>1.5381089327809121E-2</v>
      </c>
      <c r="X28" s="433">
        <v>1.543303617737592E-2</v>
      </c>
      <c r="Y28" s="433">
        <v>1.5419061553197361E-2</v>
      </c>
      <c r="Z28" s="433">
        <v>1.54502651789683E-2</v>
      </c>
      <c r="AA28" s="433">
        <v>1.54783656167052E-2</v>
      </c>
      <c r="AB28" s="433">
        <v>1.549548727040936E-2</v>
      </c>
      <c r="AC28" s="433">
        <v>1.5743269423815161E-2</v>
      </c>
      <c r="AD28" s="433">
        <v>1.49479561111812E-2</v>
      </c>
      <c r="AE28" s="433">
        <v>1.2775024408200639E-2</v>
      </c>
      <c r="AF28" s="433">
        <v>1.139990155130706E-2</v>
      </c>
      <c r="AG28" s="433">
        <v>1.004472525147862E-2</v>
      </c>
      <c r="AH28" s="433">
        <v>8.5856280781313535E-3</v>
      </c>
      <c r="AI28" s="433">
        <v>7.2388571570526916E-3</v>
      </c>
      <c r="AJ28" s="433">
        <v>6.0805703714151343E-3</v>
      </c>
      <c r="AK28" s="433">
        <v>4.9549861618991779E-3</v>
      </c>
      <c r="AL28" s="433">
        <v>3.9247575468000229E-3</v>
      </c>
      <c r="AM28" s="433"/>
    </row>
    <row r="29" spans="1:39" ht="15.75" customHeight="1" x14ac:dyDescent="0.25">
      <c r="A29" s="194"/>
      <c r="B29" s="194" t="s">
        <v>1142</v>
      </c>
      <c r="C29" s="194" t="s">
        <v>1143</v>
      </c>
      <c r="D29" s="194" t="s">
        <v>1151</v>
      </c>
      <c r="E29" s="194">
        <v>677</v>
      </c>
      <c r="F29" s="433">
        <v>0</v>
      </c>
      <c r="G29" s="433">
        <v>0</v>
      </c>
      <c r="H29" s="433">
        <v>0</v>
      </c>
      <c r="I29" s="433">
        <v>0</v>
      </c>
      <c r="J29" s="433">
        <v>0</v>
      </c>
      <c r="K29" s="433">
        <v>0</v>
      </c>
      <c r="L29" s="433">
        <v>3.0469016963371702E-6</v>
      </c>
      <c r="M29" s="433">
        <v>8.6518110182798053E-6</v>
      </c>
      <c r="N29" s="433">
        <v>1.844517591183488E-5</v>
      </c>
      <c r="O29" s="433">
        <v>3.5786809654347221E-5</v>
      </c>
      <c r="P29" s="433">
        <v>1.651955955267768E-4</v>
      </c>
      <c r="Q29" s="433">
        <v>4.1358921209775327E-4</v>
      </c>
      <c r="R29" s="433">
        <v>8.1173569754559188E-4</v>
      </c>
      <c r="S29" s="433">
        <v>1.3502779681188589E-3</v>
      </c>
      <c r="T29" s="433">
        <v>2.0675901294666841E-3</v>
      </c>
      <c r="U29" s="433">
        <v>3.080495081027423E-3</v>
      </c>
      <c r="V29" s="433">
        <v>5.012036933085804E-3</v>
      </c>
      <c r="W29" s="433">
        <v>7.1895367644093308E-3</v>
      </c>
      <c r="X29" s="433">
        <v>9.4723877763723281E-3</v>
      </c>
      <c r="Y29" s="433">
        <v>1.2203848200017841E-2</v>
      </c>
      <c r="Z29" s="433">
        <v>1.7058702289811462E-2</v>
      </c>
      <c r="AA29" s="433">
        <v>3.0748644235615671E-2</v>
      </c>
      <c r="AB29" s="433">
        <v>3.2645818495296318E-2</v>
      </c>
      <c r="AC29" s="433">
        <v>4.8837634649829952E-2</v>
      </c>
      <c r="AD29" s="433">
        <v>6.0687208721937488E-2</v>
      </c>
      <c r="AE29" s="433">
        <v>7.3553730118908534E-2</v>
      </c>
      <c r="AF29" s="433">
        <v>8.4213997171858915E-2</v>
      </c>
      <c r="AG29" s="433">
        <v>8.0964713183116183E-2</v>
      </c>
      <c r="AH29" s="433">
        <v>9.7705256137823007E-2</v>
      </c>
      <c r="AI29" s="433">
        <v>0.1037901447480068</v>
      </c>
      <c r="AJ29" s="433">
        <v>0.1381303149748907</v>
      </c>
      <c r="AK29" s="433">
        <v>0.16864826115628431</v>
      </c>
      <c r="AL29" s="433">
        <v>0.1885012873241986</v>
      </c>
      <c r="AM29" s="433"/>
    </row>
    <row r="30" spans="1:39" ht="15.75" customHeight="1" x14ac:dyDescent="0.25">
      <c r="A30" s="194"/>
      <c r="B30" s="194" t="s">
        <v>1139</v>
      </c>
      <c r="C30" s="194" t="s">
        <v>1143</v>
      </c>
      <c r="D30" s="194" t="s">
        <v>1152</v>
      </c>
      <c r="E30" s="194">
        <v>1</v>
      </c>
      <c r="F30" s="433">
        <v>0</v>
      </c>
      <c r="G30" s="433">
        <v>0</v>
      </c>
      <c r="H30" s="433">
        <v>0</v>
      </c>
      <c r="I30" s="433">
        <v>0</v>
      </c>
      <c r="J30" s="433">
        <v>6.9927002953494894E-5</v>
      </c>
      <c r="K30" s="433">
        <v>5.8312655526868715E-4</v>
      </c>
      <c r="L30" s="433">
        <v>1.4260147754122849E-3</v>
      </c>
      <c r="M30" s="433">
        <v>2.6570842323925571E-3</v>
      </c>
      <c r="N30" s="433">
        <v>4.1734448116025847E-3</v>
      </c>
      <c r="O30" s="433">
        <v>6.2098265177211193E-3</v>
      </c>
      <c r="P30" s="433">
        <v>8.1490364307879922E-3</v>
      </c>
      <c r="Q30" s="433">
        <v>9.9471421494280784E-3</v>
      </c>
      <c r="R30" s="433">
        <v>1.160995916122351E-2</v>
      </c>
      <c r="S30" s="433">
        <v>1.2933878542943769E-2</v>
      </c>
      <c r="T30" s="433">
        <v>1.423454371364744E-2</v>
      </c>
      <c r="U30" s="433">
        <v>1.5499809328405599E-2</v>
      </c>
      <c r="V30" s="433">
        <v>1.6701755546475371E-2</v>
      </c>
      <c r="W30" s="433">
        <v>1.78460016274243E-2</v>
      </c>
      <c r="X30" s="433">
        <v>1.8972191686515379E-2</v>
      </c>
      <c r="Y30" s="433">
        <v>2.012317740348785E-2</v>
      </c>
      <c r="Z30" s="433">
        <v>2.132646503976254E-2</v>
      </c>
      <c r="AA30" s="433">
        <v>2.252497290424995E-2</v>
      </c>
      <c r="AB30" s="433">
        <v>2.370096370609133E-2</v>
      </c>
      <c r="AC30" s="433">
        <v>2.4827776291184891E-2</v>
      </c>
      <c r="AD30" s="433">
        <v>2.591758210629231E-2</v>
      </c>
      <c r="AE30" s="433">
        <v>2.695280149269972E-2</v>
      </c>
      <c r="AF30" s="433">
        <v>2.7913106021788311E-2</v>
      </c>
      <c r="AG30" s="433">
        <v>2.8873744399520441E-2</v>
      </c>
      <c r="AH30" s="433">
        <v>2.9791962105591738E-2</v>
      </c>
      <c r="AI30" s="433">
        <v>3.0665212107299149E-2</v>
      </c>
      <c r="AJ30" s="433">
        <v>3.1563287069441143E-2</v>
      </c>
      <c r="AK30" s="433">
        <v>3.2139076122816183E-2</v>
      </c>
      <c r="AL30" s="433">
        <v>3.2596343641711593E-2</v>
      </c>
      <c r="AM30" s="433"/>
    </row>
    <row r="31" spans="1:39" ht="15.75" customHeight="1" x14ac:dyDescent="0.25">
      <c r="A31" s="194"/>
      <c r="B31" s="194" t="s">
        <v>1141</v>
      </c>
      <c r="C31" s="194" t="s">
        <v>1143</v>
      </c>
      <c r="D31" s="194" t="s">
        <v>1152</v>
      </c>
      <c r="E31" s="194">
        <v>1</v>
      </c>
      <c r="F31" s="433">
        <v>0</v>
      </c>
      <c r="G31" s="433">
        <v>0</v>
      </c>
      <c r="H31" s="433">
        <v>0</v>
      </c>
      <c r="I31" s="433">
        <v>0</v>
      </c>
      <c r="J31" s="433">
        <v>0</v>
      </c>
      <c r="K31" s="433">
        <v>0</v>
      </c>
      <c r="L31" s="433">
        <v>0</v>
      </c>
      <c r="M31" s="433">
        <v>0</v>
      </c>
      <c r="N31" s="433">
        <v>0</v>
      </c>
      <c r="O31" s="433">
        <v>0</v>
      </c>
      <c r="P31" s="433">
        <v>0</v>
      </c>
      <c r="Q31" s="433">
        <v>0</v>
      </c>
      <c r="R31" s="433">
        <v>0</v>
      </c>
      <c r="S31" s="433">
        <v>0</v>
      </c>
      <c r="T31" s="433">
        <v>0</v>
      </c>
      <c r="U31" s="433">
        <v>0</v>
      </c>
      <c r="V31" s="433">
        <v>0</v>
      </c>
      <c r="W31" s="433">
        <v>0</v>
      </c>
      <c r="X31" s="433">
        <v>0</v>
      </c>
      <c r="Y31" s="433">
        <v>0</v>
      </c>
      <c r="Z31" s="433">
        <v>0</v>
      </c>
      <c r="AA31" s="433">
        <v>0</v>
      </c>
      <c r="AB31" s="433">
        <v>0</v>
      </c>
      <c r="AC31" s="433">
        <v>0</v>
      </c>
      <c r="AD31" s="433">
        <v>0</v>
      </c>
      <c r="AE31" s="433">
        <v>0</v>
      </c>
      <c r="AF31" s="433">
        <v>0</v>
      </c>
      <c r="AG31" s="433">
        <v>4.9187949605383671E-6</v>
      </c>
      <c r="AH31" s="433">
        <v>1.134467053074122E-5</v>
      </c>
      <c r="AI31" s="433">
        <v>1.9157730483097699E-5</v>
      </c>
      <c r="AJ31" s="433">
        <v>2.882333606150492E-5</v>
      </c>
      <c r="AK31" s="433">
        <v>3.9761083238691162E-5</v>
      </c>
      <c r="AL31" s="433">
        <v>4.5162144170280212E-5</v>
      </c>
      <c r="AM31" s="433"/>
    </row>
    <row r="32" spans="1:39" ht="15.75" customHeight="1" x14ac:dyDescent="0.25">
      <c r="A32" s="194"/>
      <c r="B32" s="194" t="s">
        <v>1141</v>
      </c>
      <c r="C32" s="194" t="s">
        <v>1143</v>
      </c>
      <c r="D32" s="194" t="s">
        <v>1152</v>
      </c>
      <c r="E32" s="194">
        <v>1</v>
      </c>
      <c r="F32" s="433">
        <v>0</v>
      </c>
      <c r="G32" s="433">
        <v>0</v>
      </c>
      <c r="H32" s="433">
        <v>0</v>
      </c>
      <c r="I32" s="433">
        <v>0</v>
      </c>
      <c r="J32" s="433">
        <v>0</v>
      </c>
      <c r="K32" s="433">
        <v>0</v>
      </c>
      <c r="L32" s="433">
        <v>0</v>
      </c>
      <c r="M32" s="433">
        <v>0</v>
      </c>
      <c r="N32" s="433">
        <v>0</v>
      </c>
      <c r="O32" s="433">
        <v>0</v>
      </c>
      <c r="P32" s="433">
        <v>0</v>
      </c>
      <c r="Q32" s="433">
        <v>0</v>
      </c>
      <c r="R32" s="433">
        <v>0</v>
      </c>
      <c r="S32" s="433">
        <v>0</v>
      </c>
      <c r="T32" s="433">
        <v>0</v>
      </c>
      <c r="U32" s="433">
        <v>0</v>
      </c>
      <c r="V32" s="433">
        <v>0</v>
      </c>
      <c r="W32" s="433">
        <v>0</v>
      </c>
      <c r="X32" s="433">
        <v>0</v>
      </c>
      <c r="Y32" s="433">
        <v>0</v>
      </c>
      <c r="Z32" s="433">
        <v>0</v>
      </c>
      <c r="AA32" s="433">
        <v>0</v>
      </c>
      <c r="AB32" s="433">
        <v>0</v>
      </c>
      <c r="AC32" s="433">
        <v>0</v>
      </c>
      <c r="AD32" s="433">
        <v>0</v>
      </c>
      <c r="AE32" s="433">
        <v>3.4795626957212149E-7</v>
      </c>
      <c r="AF32" s="433">
        <v>2.9998599546731291E-6</v>
      </c>
      <c r="AG32" s="433">
        <v>8.4622852438765243E-6</v>
      </c>
      <c r="AH32" s="433">
        <v>1.3635658689567821E-5</v>
      </c>
      <c r="AI32" s="433">
        <v>1.984696510166646E-5</v>
      </c>
      <c r="AJ32" s="433">
        <v>2.836877264077815E-5</v>
      </c>
      <c r="AK32" s="433">
        <v>3.3408352926787908E-5</v>
      </c>
      <c r="AL32" s="433">
        <v>3.7369598252780032E-5</v>
      </c>
      <c r="AM32" s="433"/>
    </row>
    <row r="33" spans="1:39" ht="15.75" customHeight="1" x14ac:dyDescent="0.25">
      <c r="A33" s="194"/>
      <c r="B33" s="194" t="s">
        <v>1141</v>
      </c>
      <c r="C33" s="194" t="s">
        <v>1143</v>
      </c>
      <c r="D33" s="194" t="s">
        <v>1152</v>
      </c>
      <c r="E33" s="194">
        <v>1</v>
      </c>
      <c r="F33" s="433">
        <v>1.247233335978252E-4</v>
      </c>
      <c r="G33" s="433">
        <v>1.9717701008844989E-4</v>
      </c>
      <c r="H33" s="433">
        <v>2.7588013366345129E-4</v>
      </c>
      <c r="I33" s="433">
        <v>3.6106339589210849E-4</v>
      </c>
      <c r="J33" s="433">
        <v>3.8887763135033132E-4</v>
      </c>
      <c r="K33" s="433">
        <v>7.0829280963418631E-4</v>
      </c>
      <c r="L33" s="433">
        <v>1.134207391881062E-3</v>
      </c>
      <c r="M33" s="433">
        <v>1.573995900315812E-3</v>
      </c>
      <c r="N33" s="433">
        <v>2.028986006981899E-3</v>
      </c>
      <c r="O33" s="433">
        <v>2.500597210496796E-3</v>
      </c>
      <c r="P33" s="433">
        <v>2.674604537591573E-3</v>
      </c>
      <c r="Q33" s="433">
        <v>2.7549730508543199E-3</v>
      </c>
      <c r="R33" s="433">
        <v>2.8395959287016862E-3</v>
      </c>
      <c r="S33" s="433">
        <v>2.9225967022920448E-3</v>
      </c>
      <c r="T33" s="433">
        <v>3.002376059109935E-3</v>
      </c>
      <c r="U33" s="433">
        <v>3.014141448079443E-3</v>
      </c>
      <c r="V33" s="433">
        <v>3.0132729980100899E-3</v>
      </c>
      <c r="W33" s="433">
        <v>3.0020573951777801E-3</v>
      </c>
      <c r="X33" s="433">
        <v>2.9877839948934618E-3</v>
      </c>
      <c r="Y33" s="433">
        <v>3.2291845336988329E-3</v>
      </c>
      <c r="Z33" s="433">
        <v>3.4898536918406822E-3</v>
      </c>
      <c r="AA33" s="433">
        <v>3.5635077387002E-3</v>
      </c>
      <c r="AB33" s="433">
        <v>3.631456664281755E-3</v>
      </c>
      <c r="AC33" s="433">
        <v>3.6907112787227872E-3</v>
      </c>
      <c r="AD33" s="433">
        <v>3.7486785172294928E-3</v>
      </c>
      <c r="AE33" s="433">
        <v>3.8036287970288122E-3</v>
      </c>
      <c r="AF33" s="433">
        <v>3.8538017103202562E-3</v>
      </c>
      <c r="AG33" s="433">
        <v>3.9104194446443578E-3</v>
      </c>
      <c r="AH33" s="433">
        <v>3.9682822534737342E-3</v>
      </c>
      <c r="AI33" s="433">
        <v>4.0277338665856326E-3</v>
      </c>
      <c r="AJ33" s="433">
        <v>4.137621911827853E-3</v>
      </c>
      <c r="AK33" s="433">
        <v>4.2051292642641914E-3</v>
      </c>
      <c r="AL33" s="433">
        <v>4.2573179486642279E-3</v>
      </c>
      <c r="AM33" s="433"/>
    </row>
    <row r="34" spans="1:39" ht="15.75" customHeight="1" x14ac:dyDescent="0.25">
      <c r="A34" s="194"/>
      <c r="B34" s="194" t="s">
        <v>1141</v>
      </c>
      <c r="C34" s="194" t="s">
        <v>1143</v>
      </c>
      <c r="D34" s="194" t="s">
        <v>1152</v>
      </c>
      <c r="E34" s="194">
        <v>1</v>
      </c>
      <c r="F34" s="433">
        <v>0</v>
      </c>
      <c r="G34" s="433">
        <v>0</v>
      </c>
      <c r="H34" s="433">
        <v>0</v>
      </c>
      <c r="I34" s="433">
        <v>0</v>
      </c>
      <c r="J34" s="433">
        <v>0</v>
      </c>
      <c r="K34" s="433">
        <v>0</v>
      </c>
      <c r="L34" s="433">
        <v>0</v>
      </c>
      <c r="M34" s="433">
        <v>0</v>
      </c>
      <c r="N34" s="433">
        <v>0</v>
      </c>
      <c r="O34" s="433">
        <v>0</v>
      </c>
      <c r="P34" s="433">
        <v>0</v>
      </c>
      <c r="Q34" s="433">
        <v>0</v>
      </c>
      <c r="R34" s="433">
        <v>0</v>
      </c>
      <c r="S34" s="433">
        <v>0</v>
      </c>
      <c r="T34" s="433">
        <v>0</v>
      </c>
      <c r="U34" s="433">
        <v>0</v>
      </c>
      <c r="V34" s="433">
        <v>0</v>
      </c>
      <c r="W34" s="433">
        <v>0</v>
      </c>
      <c r="X34" s="433">
        <v>0</v>
      </c>
      <c r="Y34" s="433">
        <v>0</v>
      </c>
      <c r="Z34" s="433">
        <v>0</v>
      </c>
      <c r="AA34" s="433">
        <v>0</v>
      </c>
      <c r="AB34" s="433">
        <v>0</v>
      </c>
      <c r="AC34" s="433">
        <v>0</v>
      </c>
      <c r="AD34" s="433">
        <v>0</v>
      </c>
      <c r="AE34" s="433">
        <v>0</v>
      </c>
      <c r="AF34" s="433">
        <v>1.3101575464601649E-5</v>
      </c>
      <c r="AG34" s="433">
        <v>2.9165918730270622E-5</v>
      </c>
      <c r="AH34" s="433">
        <v>4.873451894469435E-5</v>
      </c>
      <c r="AI34" s="433">
        <v>7.2264005822099514E-5</v>
      </c>
      <c r="AJ34" s="433">
        <v>1.0163783915035379E-4</v>
      </c>
      <c r="AK34" s="433">
        <v>1.166726243045625E-4</v>
      </c>
      <c r="AL34" s="433">
        <v>1.3209942724156081E-4</v>
      </c>
      <c r="AM34" s="433"/>
    </row>
    <row r="35" spans="1:39" ht="15.75" customHeight="1" x14ac:dyDescent="0.25">
      <c r="A35" s="194"/>
      <c r="B35" s="194" t="s">
        <v>1141</v>
      </c>
      <c r="C35" s="194" t="s">
        <v>1143</v>
      </c>
      <c r="D35" s="194" t="s">
        <v>1152</v>
      </c>
      <c r="E35" s="194">
        <v>1</v>
      </c>
      <c r="F35" s="433">
        <v>0</v>
      </c>
      <c r="G35" s="433">
        <v>0</v>
      </c>
      <c r="H35" s="433">
        <v>0</v>
      </c>
      <c r="I35" s="433">
        <v>0</v>
      </c>
      <c r="J35" s="433">
        <v>0</v>
      </c>
      <c r="K35" s="433">
        <v>0</v>
      </c>
      <c r="L35" s="433">
        <v>0</v>
      </c>
      <c r="M35" s="433">
        <v>0</v>
      </c>
      <c r="N35" s="433">
        <v>0</v>
      </c>
      <c r="O35" s="433">
        <v>0</v>
      </c>
      <c r="P35" s="433">
        <v>0</v>
      </c>
      <c r="Q35" s="433">
        <v>0</v>
      </c>
      <c r="R35" s="433">
        <v>1.7077087743705959E-3</v>
      </c>
      <c r="S35" s="433">
        <v>3.713565197960695E-3</v>
      </c>
      <c r="T35" s="433">
        <v>4.179280302189432E-3</v>
      </c>
      <c r="U35" s="433">
        <v>4.6591121751991434E-3</v>
      </c>
      <c r="V35" s="433">
        <v>5.1455201124543746E-3</v>
      </c>
      <c r="W35" s="433">
        <v>5.6404105734369284E-3</v>
      </c>
      <c r="X35" s="433">
        <v>6.1574082226982189E-3</v>
      </c>
      <c r="Y35" s="433">
        <v>6.7123732527916528E-3</v>
      </c>
      <c r="Z35" s="433">
        <v>7.3082106297578248E-3</v>
      </c>
      <c r="AA35" s="433">
        <v>7.9281830194383521E-3</v>
      </c>
      <c r="AB35" s="433">
        <v>8.5685049432295077E-3</v>
      </c>
      <c r="AC35" s="433">
        <v>9.2208239961475771E-3</v>
      </c>
      <c r="AD35" s="433">
        <v>9.8917047459914312E-3</v>
      </c>
      <c r="AE35" s="433">
        <v>1.057619178901425E-2</v>
      </c>
      <c r="AF35" s="433">
        <v>1.016017850385739E-2</v>
      </c>
      <c r="AG35" s="433">
        <v>9.5721053373326297E-3</v>
      </c>
      <c r="AH35" s="433">
        <v>8.8541753035473719E-3</v>
      </c>
      <c r="AI35" s="433">
        <v>7.8486160733754994E-3</v>
      </c>
      <c r="AJ35" s="433">
        <v>6.601339167796534E-3</v>
      </c>
      <c r="AK35" s="433">
        <v>6.5930091145092297E-3</v>
      </c>
      <c r="AL35" s="433">
        <v>6.5586678031707632E-3</v>
      </c>
      <c r="AM35" s="433"/>
    </row>
    <row r="36" spans="1:39" ht="15.75" customHeight="1" x14ac:dyDescent="0.25">
      <c r="A36" s="194"/>
      <c r="B36" s="194" t="s">
        <v>1141</v>
      </c>
      <c r="C36" s="194" t="s">
        <v>1143</v>
      </c>
      <c r="D36" s="194" t="s">
        <v>1152</v>
      </c>
      <c r="E36" s="194">
        <v>1</v>
      </c>
      <c r="F36" s="433">
        <v>0</v>
      </c>
      <c r="G36" s="433">
        <v>0</v>
      </c>
      <c r="H36" s="433">
        <v>0</v>
      </c>
      <c r="I36" s="433">
        <v>0</v>
      </c>
      <c r="J36" s="433">
        <v>0</v>
      </c>
      <c r="K36" s="433">
        <v>0</v>
      </c>
      <c r="L36" s="433">
        <v>0</v>
      </c>
      <c r="M36" s="433">
        <v>0</v>
      </c>
      <c r="N36" s="433">
        <v>0</v>
      </c>
      <c r="O36" s="433">
        <v>0</v>
      </c>
      <c r="P36" s="433">
        <v>0</v>
      </c>
      <c r="Q36" s="433">
        <v>0</v>
      </c>
      <c r="R36" s="433">
        <v>2.7428430160660031E-3</v>
      </c>
      <c r="S36" s="433">
        <v>5.9645570256476399E-3</v>
      </c>
      <c r="T36" s="433">
        <v>6.7125671315165641E-3</v>
      </c>
      <c r="U36" s="433">
        <v>7.4832509398583148E-3</v>
      </c>
      <c r="V36" s="433">
        <v>8.2644969190805665E-3</v>
      </c>
      <c r="W36" s="433">
        <v>9.0593671364125432E-3</v>
      </c>
      <c r="X36" s="433">
        <v>9.8897448992260623E-3</v>
      </c>
      <c r="Y36" s="433">
        <v>1.078110411679151E-2</v>
      </c>
      <c r="Z36" s="433">
        <v>1.173811061148795E-2</v>
      </c>
      <c r="AA36" s="433">
        <v>1.273388164968252E-2</v>
      </c>
      <c r="AB36" s="433">
        <v>1.376233717035631E-2</v>
      </c>
      <c r="AC36" s="433">
        <v>1.4810061926120111E-2</v>
      </c>
      <c r="AD36" s="433">
        <v>1.5887599622792389E-2</v>
      </c>
      <c r="AE36" s="433">
        <v>1.6986991119585959E-2</v>
      </c>
      <c r="AF36" s="433">
        <v>1.6318809781580179E-2</v>
      </c>
      <c r="AG36" s="433">
        <v>1.537427380334656E-2</v>
      </c>
      <c r="AH36" s="433">
        <v>1.422116771831301E-2</v>
      </c>
      <c r="AI36" s="433">
        <v>1.260608489323695E-2</v>
      </c>
      <c r="AJ36" s="433">
        <v>1.0602766294122431E-2</v>
      </c>
      <c r="AK36" s="433">
        <v>1.0589386946996361E-2</v>
      </c>
      <c r="AL36" s="433">
        <v>1.053422951770812E-2</v>
      </c>
      <c r="AM36" s="433"/>
    </row>
    <row r="37" spans="1:39" ht="15.75" customHeight="1" x14ac:dyDescent="0.25">
      <c r="A37" s="194"/>
      <c r="B37" s="194" t="s">
        <v>1141</v>
      </c>
      <c r="C37" s="194" t="s">
        <v>1143</v>
      </c>
      <c r="D37" s="194" t="s">
        <v>1152</v>
      </c>
      <c r="E37" s="194">
        <v>1</v>
      </c>
      <c r="F37" s="433">
        <v>0</v>
      </c>
      <c r="G37" s="433">
        <v>0</v>
      </c>
      <c r="H37" s="433">
        <v>0</v>
      </c>
      <c r="I37" s="433">
        <v>0</v>
      </c>
      <c r="J37" s="433">
        <v>0</v>
      </c>
      <c r="K37" s="433">
        <v>0</v>
      </c>
      <c r="L37" s="433">
        <v>0</v>
      </c>
      <c r="M37" s="433">
        <v>0</v>
      </c>
      <c r="N37" s="433">
        <v>0</v>
      </c>
      <c r="O37" s="433">
        <v>0</v>
      </c>
      <c r="P37" s="433">
        <v>0</v>
      </c>
      <c r="Q37" s="433">
        <v>7.1648841365018316E-4</v>
      </c>
      <c r="R37" s="433">
        <v>9.2823228395742478E-3</v>
      </c>
      <c r="S37" s="433">
        <v>1.9540836754311942E-2</v>
      </c>
      <c r="T37" s="433">
        <v>2.233143670245033E-2</v>
      </c>
      <c r="U37" s="433">
        <v>2.5188263459625378E-2</v>
      </c>
      <c r="V37" s="433">
        <v>2.8125503071033751E-2</v>
      </c>
      <c r="W37" s="433">
        <v>3.1072407602247169E-2</v>
      </c>
      <c r="X37" s="433">
        <v>3.3848424286055903E-2</v>
      </c>
      <c r="Y37" s="433">
        <v>3.7038994059294048E-2</v>
      </c>
      <c r="Z37" s="433">
        <v>4.0858789031735163E-2</v>
      </c>
      <c r="AA37" s="433">
        <v>4.5026864275097403E-2</v>
      </c>
      <c r="AB37" s="433">
        <v>4.8976540174728737E-2</v>
      </c>
      <c r="AC37" s="433">
        <v>5.2899313158654079E-2</v>
      </c>
      <c r="AD37" s="433">
        <v>5.6954802390384911E-2</v>
      </c>
      <c r="AE37" s="433">
        <v>7.3259364445124778E-2</v>
      </c>
      <c r="AF37" s="433">
        <v>8.6693927605397375E-2</v>
      </c>
      <c r="AG37" s="433">
        <v>0.10228506287868031</v>
      </c>
      <c r="AH37" s="433">
        <v>0.1077841199083152</v>
      </c>
      <c r="AI37" s="433">
        <v>0.10876803725713551</v>
      </c>
      <c r="AJ37" s="433">
        <v>0.1072739927375284</v>
      </c>
      <c r="AK37" s="433">
        <v>0.11119263570673329</v>
      </c>
      <c r="AL37" s="433">
        <v>0.1227798102250202</v>
      </c>
      <c r="AM37" s="433"/>
    </row>
    <row r="38" spans="1:39" ht="15.75" customHeight="1" x14ac:dyDescent="0.25">
      <c r="A38" s="194"/>
      <c r="B38" s="194" t="s">
        <v>1146</v>
      </c>
      <c r="C38" s="194" t="s">
        <v>1143</v>
      </c>
      <c r="D38" s="194" t="s">
        <v>1152</v>
      </c>
      <c r="E38" s="194">
        <v>1</v>
      </c>
      <c r="F38" s="433">
        <v>0</v>
      </c>
      <c r="G38" s="433">
        <v>0</v>
      </c>
      <c r="H38" s="433">
        <v>0</v>
      </c>
      <c r="I38" s="433">
        <v>0</v>
      </c>
      <c r="J38" s="433">
        <v>0</v>
      </c>
      <c r="K38" s="433">
        <v>0</v>
      </c>
      <c r="L38" s="433">
        <v>0</v>
      </c>
      <c r="M38" s="433">
        <v>0</v>
      </c>
      <c r="N38" s="433">
        <v>0</v>
      </c>
      <c r="O38" s="433">
        <v>0</v>
      </c>
      <c r="P38" s="433">
        <v>0</v>
      </c>
      <c r="Q38" s="433">
        <v>0</v>
      </c>
      <c r="R38" s="433">
        <v>0</v>
      </c>
      <c r="S38" s="433">
        <v>0</v>
      </c>
      <c r="T38" s="433">
        <v>0</v>
      </c>
      <c r="U38" s="433">
        <v>0</v>
      </c>
      <c r="V38" s="433">
        <v>0</v>
      </c>
      <c r="W38" s="433">
        <v>1.1007246121578339E-3</v>
      </c>
      <c r="X38" s="433">
        <v>2.2149772754146489E-3</v>
      </c>
      <c r="Y38" s="433">
        <v>3.3491290038821149E-3</v>
      </c>
      <c r="Z38" s="433">
        <v>4.5122837777419791E-3</v>
      </c>
      <c r="AA38" s="433">
        <v>5.6913676721745462E-3</v>
      </c>
      <c r="AB38" s="433">
        <v>6.8872102676765983E-3</v>
      </c>
      <c r="AC38" s="433">
        <v>8.086548770533818E-3</v>
      </c>
      <c r="AD38" s="433">
        <v>8.1357555704743862E-3</v>
      </c>
      <c r="AE38" s="433">
        <v>7.6360811401844806E-3</v>
      </c>
      <c r="AF38" s="433">
        <v>9.3365885751559349E-3</v>
      </c>
      <c r="AG38" s="433">
        <v>1.1005370618726071E-2</v>
      </c>
      <c r="AH38" s="433">
        <v>1.25395667853706E-2</v>
      </c>
      <c r="AI38" s="433">
        <v>1.2679590951652889E-2</v>
      </c>
      <c r="AJ38" s="433">
        <v>1.2975161055288391E-2</v>
      </c>
      <c r="AK38" s="433">
        <v>1.3135031015029089E-2</v>
      </c>
      <c r="AL38" s="433">
        <v>7.947860668286363E-3</v>
      </c>
      <c r="AM38" s="433"/>
    </row>
    <row r="39" spans="1:39" ht="15.75" customHeight="1" x14ac:dyDescent="0.25">
      <c r="A39" s="194"/>
      <c r="B39" s="194" t="s">
        <v>1147</v>
      </c>
      <c r="C39" s="194" t="s">
        <v>1143</v>
      </c>
      <c r="D39" s="194" t="s">
        <v>1152</v>
      </c>
      <c r="E39" s="194">
        <v>1</v>
      </c>
      <c r="F39" s="433">
        <v>0</v>
      </c>
      <c r="G39" s="433">
        <v>0</v>
      </c>
      <c r="H39" s="433">
        <v>0</v>
      </c>
      <c r="I39" s="433">
        <v>0</v>
      </c>
      <c r="J39" s="433">
        <v>0</v>
      </c>
      <c r="K39" s="433">
        <v>0</v>
      </c>
      <c r="L39" s="433">
        <v>0</v>
      </c>
      <c r="M39" s="433">
        <v>0</v>
      </c>
      <c r="N39" s="433">
        <v>0</v>
      </c>
      <c r="O39" s="433">
        <v>0</v>
      </c>
      <c r="P39" s="433">
        <v>0</v>
      </c>
      <c r="Q39" s="433">
        <v>0</v>
      </c>
      <c r="R39" s="433">
        <v>0</v>
      </c>
      <c r="S39" s="433">
        <v>0</v>
      </c>
      <c r="T39" s="433">
        <v>0</v>
      </c>
      <c r="U39" s="433">
        <v>0</v>
      </c>
      <c r="V39" s="433">
        <v>0</v>
      </c>
      <c r="W39" s="433">
        <v>0</v>
      </c>
      <c r="X39" s="433">
        <v>0</v>
      </c>
      <c r="Y39" s="433">
        <v>0</v>
      </c>
      <c r="Z39" s="433">
        <v>0</v>
      </c>
      <c r="AA39" s="433">
        <v>0</v>
      </c>
      <c r="AB39" s="433">
        <v>1.523528526884633E-6</v>
      </c>
      <c r="AC39" s="433">
        <v>3.2237108793935251E-6</v>
      </c>
      <c r="AD39" s="433">
        <v>5.0962719585663457E-6</v>
      </c>
      <c r="AE39" s="433">
        <v>7.1340259977809101E-6</v>
      </c>
      <c r="AF39" s="433">
        <v>3.0981277435455008E-5</v>
      </c>
      <c r="AG39" s="433">
        <v>5.3825890558261311E-5</v>
      </c>
      <c r="AH39" s="433">
        <v>7.7459099645844288E-5</v>
      </c>
      <c r="AI39" s="433">
        <v>7.8820126649919956E-5</v>
      </c>
      <c r="AJ39" s="433">
        <v>8.1167198036158033E-5</v>
      </c>
      <c r="AK39" s="433">
        <v>8.2686298925479829E-5</v>
      </c>
      <c r="AL39" s="433">
        <v>8.3900525145747193E-5</v>
      </c>
      <c r="AM39" s="433"/>
    </row>
    <row r="40" spans="1:39" ht="15.75" customHeight="1" x14ac:dyDescent="0.25">
      <c r="A40" s="194"/>
      <c r="B40" s="194" t="s">
        <v>1147</v>
      </c>
      <c r="C40" s="194" t="s">
        <v>1143</v>
      </c>
      <c r="D40" s="194" t="s">
        <v>1152</v>
      </c>
      <c r="E40" s="194">
        <v>1</v>
      </c>
      <c r="F40" s="433">
        <v>4.3648724486724348E-3</v>
      </c>
      <c r="G40" s="433">
        <v>9.5683674503027998E-3</v>
      </c>
      <c r="H40" s="433">
        <v>9.5453743608877092E-3</v>
      </c>
      <c r="I40" s="433">
        <v>9.5139138736681089E-3</v>
      </c>
      <c r="J40" s="433">
        <v>1.0107704279922631E-2</v>
      </c>
      <c r="K40" s="433">
        <v>1.0520308331058889E-2</v>
      </c>
      <c r="L40" s="433">
        <v>1.2057932046140149E-2</v>
      </c>
      <c r="M40" s="433">
        <v>1.9444489336563741E-2</v>
      </c>
      <c r="N40" s="433">
        <v>3.008402199180911E-2</v>
      </c>
      <c r="O40" s="433">
        <v>3.0885198370937401E-2</v>
      </c>
      <c r="P40" s="433">
        <v>3.1240976020694079E-2</v>
      </c>
      <c r="Q40" s="433">
        <v>3.3911006680485682E-2</v>
      </c>
      <c r="R40" s="433">
        <v>3.6580625513052897E-2</v>
      </c>
      <c r="S40" s="433">
        <v>3.9440624177236733E-2</v>
      </c>
      <c r="T40" s="433">
        <v>4.2182533172040071E-2</v>
      </c>
      <c r="U40" s="433">
        <v>4.5118501889945067E-2</v>
      </c>
      <c r="V40" s="433">
        <v>4.6050005937018718E-2</v>
      </c>
      <c r="W40" s="433">
        <v>4.7224581709256683E-2</v>
      </c>
      <c r="X40" s="433">
        <v>4.7999630120141003E-2</v>
      </c>
      <c r="Y40" s="433">
        <v>5.178273658692617E-2</v>
      </c>
      <c r="Z40" s="433">
        <v>5.5729975068369832E-2</v>
      </c>
      <c r="AA40" s="433">
        <v>5.9524885764521099E-2</v>
      </c>
      <c r="AB40" s="433">
        <v>6.3288341173936155E-2</v>
      </c>
      <c r="AC40" s="433">
        <v>6.6954017746373162E-2</v>
      </c>
      <c r="AD40" s="433">
        <v>7.0565652555116085E-2</v>
      </c>
      <c r="AE40" s="433">
        <v>7.4085253410499041E-2</v>
      </c>
      <c r="AF40" s="433">
        <v>7.5274864478494311E-2</v>
      </c>
      <c r="AG40" s="433">
        <v>7.6589818447135055E-2</v>
      </c>
      <c r="AH40" s="433">
        <v>7.7927421294727184E-2</v>
      </c>
      <c r="AI40" s="433">
        <v>7.9296614718906686E-2</v>
      </c>
      <c r="AJ40" s="433">
        <v>8.1658048068623479E-2</v>
      </c>
      <c r="AK40" s="433">
        <v>8.3186104558537352E-2</v>
      </c>
      <c r="AL40" s="433">
        <v>8.4407861900018297E-2</v>
      </c>
      <c r="AM40" s="433"/>
    </row>
    <row r="41" spans="1:39" ht="15.75" customHeight="1" x14ac:dyDescent="0.25">
      <c r="A41" s="194"/>
      <c r="B41" s="194" t="s">
        <v>1142</v>
      </c>
      <c r="C41" s="194" t="s">
        <v>1143</v>
      </c>
      <c r="D41" s="194" t="s">
        <v>1152</v>
      </c>
      <c r="E41" s="194">
        <v>1</v>
      </c>
      <c r="F41" s="433">
        <v>0</v>
      </c>
      <c r="G41" s="433">
        <v>0</v>
      </c>
      <c r="H41" s="433">
        <v>0</v>
      </c>
      <c r="I41" s="433">
        <v>0</v>
      </c>
      <c r="J41" s="433">
        <v>0</v>
      </c>
      <c r="K41" s="433">
        <v>0</v>
      </c>
      <c r="L41" s="433">
        <v>0</v>
      </c>
      <c r="M41" s="433">
        <v>0</v>
      </c>
      <c r="N41" s="433">
        <v>0</v>
      </c>
      <c r="O41" s="433">
        <v>0</v>
      </c>
      <c r="P41" s="433">
        <v>0</v>
      </c>
      <c r="Q41" s="433">
        <v>0</v>
      </c>
      <c r="R41" s="433">
        <v>0</v>
      </c>
      <c r="S41" s="433">
        <v>0</v>
      </c>
      <c r="T41" s="433">
        <v>0</v>
      </c>
      <c r="U41" s="433">
        <v>0</v>
      </c>
      <c r="V41" s="433">
        <v>0</v>
      </c>
      <c r="W41" s="433">
        <v>0</v>
      </c>
      <c r="X41" s="433">
        <v>0</v>
      </c>
      <c r="Y41" s="433">
        <v>0</v>
      </c>
      <c r="Z41" s="433">
        <v>0</v>
      </c>
      <c r="AA41" s="433">
        <v>0</v>
      </c>
      <c r="AB41" s="433">
        <v>0</v>
      </c>
      <c r="AC41" s="433">
        <v>0</v>
      </c>
      <c r="AD41" s="433">
        <v>0</v>
      </c>
      <c r="AE41" s="433">
        <v>0</v>
      </c>
      <c r="AF41" s="433">
        <v>1.837811649006389E-9</v>
      </c>
      <c r="AG41" s="433">
        <v>3.3548487860255717E-8</v>
      </c>
      <c r="AH41" s="433">
        <v>1.5287883946192849E-7</v>
      </c>
      <c r="AI41" s="433">
        <v>3.4863085126651911E-7</v>
      </c>
      <c r="AJ41" s="433">
        <v>6.3045809933052166E-7</v>
      </c>
      <c r="AK41" s="433">
        <v>8.94183351561074E-7</v>
      </c>
      <c r="AL41" s="433">
        <v>1.157060582292733E-6</v>
      </c>
      <c r="AM41" s="433"/>
    </row>
    <row r="42" spans="1:39" ht="15.75" customHeight="1" x14ac:dyDescent="0.25">
      <c r="A42" s="194"/>
      <c r="B42" s="194" t="s">
        <v>1142</v>
      </c>
      <c r="C42" s="194" t="s">
        <v>1143</v>
      </c>
      <c r="D42" s="194" t="s">
        <v>1152</v>
      </c>
      <c r="E42" s="194">
        <v>1</v>
      </c>
      <c r="F42" s="433">
        <v>0</v>
      </c>
      <c r="G42" s="433">
        <v>0</v>
      </c>
      <c r="H42" s="433">
        <v>0</v>
      </c>
      <c r="I42" s="433">
        <v>0</v>
      </c>
      <c r="J42" s="433">
        <v>0</v>
      </c>
      <c r="K42" s="433">
        <v>0</v>
      </c>
      <c r="L42" s="433">
        <v>0</v>
      </c>
      <c r="M42" s="433">
        <v>0</v>
      </c>
      <c r="N42" s="433">
        <v>0</v>
      </c>
      <c r="O42" s="433">
        <v>0</v>
      </c>
      <c r="P42" s="433">
        <v>0</v>
      </c>
      <c r="Q42" s="433">
        <v>0</v>
      </c>
      <c r="R42" s="433">
        <v>0</v>
      </c>
      <c r="S42" s="433">
        <v>0</v>
      </c>
      <c r="T42" s="433">
        <v>0</v>
      </c>
      <c r="U42" s="433">
        <v>0</v>
      </c>
      <c r="V42" s="433">
        <v>0</v>
      </c>
      <c r="W42" s="433">
        <v>0</v>
      </c>
      <c r="X42" s="433">
        <v>0</v>
      </c>
      <c r="Y42" s="433">
        <v>0</v>
      </c>
      <c r="Z42" s="433">
        <v>0</v>
      </c>
      <c r="AA42" s="433">
        <v>0</v>
      </c>
      <c r="AB42" s="433">
        <v>0</v>
      </c>
      <c r="AC42" s="433">
        <v>0</v>
      </c>
      <c r="AD42" s="433">
        <v>0</v>
      </c>
      <c r="AE42" s="433">
        <v>0</v>
      </c>
      <c r="AF42" s="433">
        <v>2.8780130423440061E-9</v>
      </c>
      <c r="AG42" s="433">
        <v>1.329106759491005E-8</v>
      </c>
      <c r="AH42" s="433">
        <v>1.081855519445896E-7</v>
      </c>
      <c r="AI42" s="433">
        <v>2.7675743605277213E-7</v>
      </c>
      <c r="AJ42" s="433">
        <v>5.2428770295947707E-7</v>
      </c>
      <c r="AK42" s="433">
        <v>8.5171286149556869E-7</v>
      </c>
      <c r="AL42" s="433">
        <v>1.245244592194182E-6</v>
      </c>
      <c r="AM42" s="433"/>
    </row>
    <row r="43" spans="1:39" ht="15.75" customHeight="1" x14ac:dyDescent="0.25">
      <c r="A43" s="194"/>
      <c r="B43" s="194" t="s">
        <v>1142</v>
      </c>
      <c r="C43" s="194" t="s">
        <v>1143</v>
      </c>
      <c r="D43" s="194" t="s">
        <v>1152</v>
      </c>
      <c r="E43" s="194">
        <v>1</v>
      </c>
      <c r="F43" s="433">
        <v>0</v>
      </c>
      <c r="G43" s="433">
        <v>0</v>
      </c>
      <c r="H43" s="433">
        <v>0</v>
      </c>
      <c r="I43" s="433">
        <v>0</v>
      </c>
      <c r="J43" s="433">
        <v>0</v>
      </c>
      <c r="K43" s="433">
        <v>0</v>
      </c>
      <c r="L43" s="433">
        <v>0</v>
      </c>
      <c r="M43" s="433">
        <v>0</v>
      </c>
      <c r="N43" s="433">
        <v>0</v>
      </c>
      <c r="O43" s="433">
        <v>0</v>
      </c>
      <c r="P43" s="433">
        <v>0</v>
      </c>
      <c r="Q43" s="433">
        <v>0</v>
      </c>
      <c r="R43" s="433">
        <v>0</v>
      </c>
      <c r="S43" s="433">
        <v>0</v>
      </c>
      <c r="T43" s="433">
        <v>0</v>
      </c>
      <c r="U43" s="433">
        <v>0</v>
      </c>
      <c r="V43" s="433">
        <v>0</v>
      </c>
      <c r="W43" s="433">
        <v>0</v>
      </c>
      <c r="X43" s="433">
        <v>0</v>
      </c>
      <c r="Y43" s="433">
        <v>0</v>
      </c>
      <c r="Z43" s="433">
        <v>0</v>
      </c>
      <c r="AA43" s="433">
        <v>0</v>
      </c>
      <c r="AB43" s="433">
        <v>3.5934897776974939E-8</v>
      </c>
      <c r="AC43" s="433">
        <v>1.081235443123029E-7</v>
      </c>
      <c r="AD43" s="433">
        <v>2.1728362971499169E-7</v>
      </c>
      <c r="AE43" s="433">
        <v>3.6382278027371352E-7</v>
      </c>
      <c r="AF43" s="433">
        <v>2.9783796121195421E-6</v>
      </c>
      <c r="AG43" s="433">
        <v>8.0795574946641974E-6</v>
      </c>
      <c r="AH43" s="433">
        <v>1.579157949094636E-5</v>
      </c>
      <c r="AI43" s="433">
        <v>2.6157024609814709E-5</v>
      </c>
      <c r="AJ43" s="433">
        <v>3.9695991371043653E-5</v>
      </c>
      <c r="AK43" s="433">
        <v>5.5681906155286187E-5</v>
      </c>
      <c r="AL43" s="433">
        <v>7.1690241774407298E-5</v>
      </c>
      <c r="AM43" s="433"/>
    </row>
    <row r="44" spans="1:39" ht="15.75" customHeight="1" x14ac:dyDescent="0.25">
      <c r="A44" s="194"/>
      <c r="B44" s="194" t="s">
        <v>1142</v>
      </c>
      <c r="C44" s="194" t="s">
        <v>1143</v>
      </c>
      <c r="D44" s="194" t="s">
        <v>1152</v>
      </c>
      <c r="E44" s="194">
        <v>1</v>
      </c>
      <c r="F44" s="433">
        <v>2.9031034812594149E-4</v>
      </c>
      <c r="G44" s="433">
        <v>2.975197106017375E-4</v>
      </c>
      <c r="H44" s="433">
        <v>3.0069812787212409E-4</v>
      </c>
      <c r="I44" s="433">
        <v>4.0259192689320043E-4</v>
      </c>
      <c r="J44" s="433">
        <v>4.8785626605673231E-4</v>
      </c>
      <c r="K44" s="433">
        <v>5.5906053893379094E-4</v>
      </c>
      <c r="L44" s="433">
        <v>6.0869327819823148E-4</v>
      </c>
      <c r="M44" s="433">
        <v>6.4399197937944983E-4</v>
      </c>
      <c r="N44" s="433">
        <v>5.9664645311106163E-4</v>
      </c>
      <c r="O44" s="433">
        <v>5.4598996820866687E-4</v>
      </c>
      <c r="P44" s="433">
        <v>4.965886885352341E-4</v>
      </c>
      <c r="Q44" s="433">
        <v>4.4894016121761591E-4</v>
      </c>
      <c r="R44" s="433">
        <v>4.019718012339951E-4</v>
      </c>
      <c r="S44" s="433">
        <v>3.5480494049047669E-4</v>
      </c>
      <c r="T44" s="433">
        <v>3.066052203031383E-4</v>
      </c>
      <c r="U44" s="433">
        <v>2.6444229335435311E-4</v>
      </c>
      <c r="V44" s="433">
        <v>2.2512721406746909E-4</v>
      </c>
      <c r="W44" s="433">
        <v>1.846163882354533E-4</v>
      </c>
      <c r="X44" s="433">
        <v>1.496261537615266E-4</v>
      </c>
      <c r="Y44" s="433">
        <v>1.2706510728246339E-4</v>
      </c>
      <c r="Z44" s="433">
        <v>1.109045810518742E-4</v>
      </c>
      <c r="AA44" s="433">
        <v>1.011116372031662E-4</v>
      </c>
      <c r="AB44" s="433">
        <v>9.4949561573279362E-5</v>
      </c>
      <c r="AC44" s="433">
        <v>8.6786595895018434E-5</v>
      </c>
      <c r="AD44" s="433">
        <v>7.8163734143732477E-5</v>
      </c>
      <c r="AE44" s="433">
        <v>6.802027379099758E-5</v>
      </c>
      <c r="AF44" s="433">
        <v>5.7444225094985153E-5</v>
      </c>
      <c r="AG44" s="433">
        <v>4.6441875713221852E-5</v>
      </c>
      <c r="AH44" s="433">
        <v>3.4686603080358377E-5</v>
      </c>
      <c r="AI44" s="433">
        <v>2.2091812105766158E-5</v>
      </c>
      <c r="AJ44" s="433">
        <v>1.13368522331657E-5</v>
      </c>
      <c r="AK44" s="433">
        <v>4.5970001054348693E-6</v>
      </c>
      <c r="AL44" s="433">
        <v>3.4404609924016349E-6</v>
      </c>
      <c r="AM44" s="433"/>
    </row>
    <row r="45" spans="1:39" ht="15.75" customHeight="1" x14ac:dyDescent="0.25">
      <c r="A45" s="194"/>
      <c r="B45" s="194" t="s">
        <v>1142</v>
      </c>
      <c r="C45" s="194" t="s">
        <v>1143</v>
      </c>
      <c r="D45" s="194" t="s">
        <v>1152</v>
      </c>
      <c r="E45" s="194">
        <v>1</v>
      </c>
      <c r="F45" s="433">
        <v>0</v>
      </c>
      <c r="G45" s="433">
        <v>0</v>
      </c>
      <c r="H45" s="433">
        <v>0</v>
      </c>
      <c r="I45" s="433">
        <v>0</v>
      </c>
      <c r="J45" s="433">
        <v>0</v>
      </c>
      <c r="K45" s="433">
        <v>0</v>
      </c>
      <c r="L45" s="433">
        <v>0</v>
      </c>
      <c r="M45" s="433">
        <v>0</v>
      </c>
      <c r="N45" s="433">
        <v>0</v>
      </c>
      <c r="O45" s="433">
        <v>0</v>
      </c>
      <c r="P45" s="433">
        <v>0</v>
      </c>
      <c r="Q45" s="433">
        <v>0</v>
      </c>
      <c r="R45" s="433">
        <v>0</v>
      </c>
      <c r="S45" s="433">
        <v>0</v>
      </c>
      <c r="T45" s="433">
        <v>0</v>
      </c>
      <c r="U45" s="433">
        <v>0</v>
      </c>
      <c r="V45" s="433">
        <v>0</v>
      </c>
      <c r="W45" s="433">
        <v>0</v>
      </c>
      <c r="X45" s="433">
        <v>0</v>
      </c>
      <c r="Y45" s="433">
        <v>0</v>
      </c>
      <c r="Z45" s="433">
        <v>0</v>
      </c>
      <c r="AA45" s="433">
        <v>0</v>
      </c>
      <c r="AB45" s="433">
        <v>0</v>
      </c>
      <c r="AC45" s="433">
        <v>0</v>
      </c>
      <c r="AD45" s="433">
        <v>0</v>
      </c>
      <c r="AE45" s="433">
        <v>0</v>
      </c>
      <c r="AF45" s="433">
        <v>0</v>
      </c>
      <c r="AG45" s="433">
        <v>8.4905173046988157E-9</v>
      </c>
      <c r="AH45" s="433">
        <v>1.685686704046971E-7</v>
      </c>
      <c r="AI45" s="433">
        <v>4.5217038298441959E-7</v>
      </c>
      <c r="AJ45" s="433">
        <v>8.7586377635774505E-7</v>
      </c>
      <c r="AK45" s="433">
        <v>1.269677816048749E-6</v>
      </c>
      <c r="AL45" s="433">
        <v>1.662761385020966E-6</v>
      </c>
      <c r="AM45" s="433"/>
    </row>
    <row r="46" spans="1:39" ht="15.75" customHeight="1" x14ac:dyDescent="0.25">
      <c r="A46" s="194"/>
      <c r="B46" s="194" t="s">
        <v>1155</v>
      </c>
      <c r="C46" s="194" t="s">
        <v>1143</v>
      </c>
      <c r="D46" s="194" t="s">
        <v>1152</v>
      </c>
      <c r="E46" s="194">
        <v>1</v>
      </c>
      <c r="F46" s="433">
        <v>0</v>
      </c>
      <c r="G46" s="433">
        <v>0</v>
      </c>
      <c r="H46" s="433">
        <v>0</v>
      </c>
      <c r="I46" s="433">
        <v>0</v>
      </c>
      <c r="J46" s="433">
        <v>0</v>
      </c>
      <c r="K46" s="433">
        <v>1.170882409104034E-2</v>
      </c>
      <c r="L46" s="433">
        <v>2.3805778997884171E-2</v>
      </c>
      <c r="M46" s="433">
        <v>2.4205965421110219E-2</v>
      </c>
      <c r="N46" s="433">
        <v>2.4627055109842449E-2</v>
      </c>
      <c r="O46" s="433">
        <v>2.5071957605381841E-2</v>
      </c>
      <c r="P46" s="433">
        <v>2.5563650023576429E-2</v>
      </c>
      <c r="Q46" s="433">
        <v>2.6130624026393531E-2</v>
      </c>
      <c r="R46" s="433">
        <v>2.67332536599886E-2</v>
      </c>
      <c r="S46" s="433">
        <v>2.731530386864716E-2</v>
      </c>
      <c r="T46" s="433">
        <v>2.7862991047383129E-2</v>
      </c>
      <c r="U46" s="433">
        <v>2.8394561883881779E-2</v>
      </c>
      <c r="V46" s="433">
        <v>2.8869316750085989E-2</v>
      </c>
      <c r="W46" s="433">
        <v>2.9308975968077071E-2</v>
      </c>
      <c r="X46" s="433">
        <v>2.9785157542538639E-2</v>
      </c>
      <c r="Y46" s="433">
        <v>3.0362264191720709E-2</v>
      </c>
      <c r="Z46" s="433">
        <v>3.103227403626806E-2</v>
      </c>
      <c r="AA46" s="433">
        <v>3.1710293425038373E-2</v>
      </c>
      <c r="AB46" s="433">
        <v>3.2380473308252521E-2</v>
      </c>
      <c r="AC46" s="433">
        <v>3.3012349052362798E-2</v>
      </c>
      <c r="AD46" s="433">
        <v>3.3632343709609977E-2</v>
      </c>
      <c r="AE46" s="433">
        <v>3.42254472906625E-2</v>
      </c>
      <c r="AF46" s="433">
        <v>3.4775136345906607E-2</v>
      </c>
      <c r="AG46" s="433">
        <v>3.5382737684634943E-2</v>
      </c>
      <c r="AH46" s="433">
        <v>3.6000552816871603E-2</v>
      </c>
      <c r="AI46" s="433">
        <v>3.6633303426304963E-2</v>
      </c>
      <c r="AJ46" s="433">
        <v>3.7724242229892728E-2</v>
      </c>
      <c r="AK46" s="433">
        <v>3.8430274994460813E-2</v>
      </c>
      <c r="AL46" s="433">
        <v>3.8994606853582803E-2</v>
      </c>
      <c r="AM46" s="433"/>
    </row>
    <row r="47" spans="1:39" ht="15.75" customHeight="1" x14ac:dyDescent="0.25">
      <c r="A47" s="194"/>
      <c r="B47" s="194" t="s">
        <v>1139</v>
      </c>
      <c r="C47" s="194" t="s">
        <v>1156</v>
      </c>
      <c r="D47" s="194" t="s">
        <v>1157</v>
      </c>
      <c r="E47" s="194">
        <v>1</v>
      </c>
      <c r="F47" s="433">
        <v>0</v>
      </c>
      <c r="G47" s="433">
        <v>0</v>
      </c>
      <c r="H47" s="433">
        <v>0</v>
      </c>
      <c r="I47" s="433">
        <v>0</v>
      </c>
      <c r="J47" s="433">
        <v>1.730075103327022E-6</v>
      </c>
      <c r="K47" s="433">
        <v>1.8982374997809811E-5</v>
      </c>
      <c r="L47" s="433">
        <v>4.6437387530386493E-5</v>
      </c>
      <c r="M47" s="433">
        <v>8.7441359123456103E-5</v>
      </c>
      <c r="N47" s="433">
        <v>1.4194214505537371E-4</v>
      </c>
      <c r="O47" s="433">
        <v>2.1507209919800421E-4</v>
      </c>
      <c r="P47" s="433">
        <v>2.8324089609362658E-4</v>
      </c>
      <c r="Q47" s="433">
        <v>3.5053158270654779E-4</v>
      </c>
      <c r="R47" s="433">
        <v>4.1332150691218369E-4</v>
      </c>
      <c r="S47" s="433">
        <v>4.140409753710037E-4</v>
      </c>
      <c r="T47" s="433">
        <v>4.140615909845461E-4</v>
      </c>
      <c r="U47" s="433">
        <v>4.1368498955670361E-4</v>
      </c>
      <c r="V47" s="433">
        <v>4.1235756975534021E-4</v>
      </c>
      <c r="W47" s="433">
        <v>4.1043121464390991E-4</v>
      </c>
      <c r="X47" s="433">
        <v>4.08921719024073E-4</v>
      </c>
      <c r="Y47" s="433">
        <v>4.0866952997223088E-4</v>
      </c>
      <c r="Z47" s="433">
        <v>4.0949655637933401E-4</v>
      </c>
      <c r="AA47" s="433">
        <v>4.102413353428481E-4</v>
      </c>
      <c r="AB47" s="433">
        <v>4.1069513067581867E-4</v>
      </c>
      <c r="AC47" s="433">
        <v>4.1049918227609259E-4</v>
      </c>
      <c r="AD47" s="433">
        <v>4.1000958621623801E-4</v>
      </c>
      <c r="AE47" s="433">
        <v>4.0906078520429898E-4</v>
      </c>
      <c r="AF47" s="433">
        <v>4.0747959881769658E-4</v>
      </c>
      <c r="AG47" s="433">
        <v>4.0646834581289058E-4</v>
      </c>
      <c r="AH47" s="433">
        <v>4.0545808953945921E-4</v>
      </c>
      <c r="AI47" s="433">
        <v>4.0449205830880489E-4</v>
      </c>
      <c r="AJ47" s="433">
        <v>4.0837034701596048E-4</v>
      </c>
      <c r="AK47" s="433">
        <v>4.0785503540037322E-4</v>
      </c>
      <c r="AL47" s="433">
        <v>4.0573062202426801E-4</v>
      </c>
      <c r="AM47" s="433"/>
    </row>
    <row r="48" spans="1:39" ht="15.75" customHeight="1" x14ac:dyDescent="0.25">
      <c r="A48" s="194"/>
      <c r="B48" s="194" t="s">
        <v>1155</v>
      </c>
      <c r="C48" s="194" t="s">
        <v>1156</v>
      </c>
      <c r="D48" s="194" t="s">
        <v>1157</v>
      </c>
      <c r="E48" s="194">
        <v>1</v>
      </c>
      <c r="F48" s="433">
        <v>0</v>
      </c>
      <c r="G48" s="433">
        <v>0</v>
      </c>
      <c r="H48" s="433">
        <v>0</v>
      </c>
      <c r="I48" s="433">
        <v>0</v>
      </c>
      <c r="J48" s="433">
        <v>0</v>
      </c>
      <c r="K48" s="433">
        <v>8.4467123263104963E-3</v>
      </c>
      <c r="L48" s="433">
        <v>2.0301661219126362E-2</v>
      </c>
      <c r="M48" s="433">
        <v>2.3824866830930491E-2</v>
      </c>
      <c r="N48" s="433">
        <v>2.4238786833933049E-2</v>
      </c>
      <c r="O48" s="433">
        <v>2.4677380454446372E-2</v>
      </c>
      <c r="P48" s="433">
        <v>1.9499651982604109E-2</v>
      </c>
      <c r="Q48" s="433">
        <v>1.414579309142471E-2</v>
      </c>
      <c r="R48" s="433">
        <v>8.5523922488350921E-3</v>
      </c>
      <c r="S48" s="433">
        <v>2.6883531885423242E-3</v>
      </c>
      <c r="T48" s="433">
        <v>2.743143100290983E-3</v>
      </c>
      <c r="U48" s="433">
        <v>2.2359084093005548E-3</v>
      </c>
      <c r="V48" s="433">
        <v>1.70354709556809E-3</v>
      </c>
      <c r="W48" s="433">
        <v>1.1538204020262769E-3</v>
      </c>
      <c r="X48" s="433">
        <v>5.8645925518091644E-4</v>
      </c>
      <c r="Y48" s="433">
        <v>0</v>
      </c>
      <c r="Z48" s="433">
        <v>0</v>
      </c>
      <c r="AA48" s="433">
        <v>0</v>
      </c>
      <c r="AB48" s="433">
        <v>0</v>
      </c>
      <c r="AC48" s="433">
        <v>0</v>
      </c>
      <c r="AD48" s="433">
        <v>0</v>
      </c>
      <c r="AE48" s="433">
        <v>0</v>
      </c>
      <c r="AF48" s="433">
        <v>0</v>
      </c>
      <c r="AG48" s="433">
        <v>0</v>
      </c>
      <c r="AH48" s="433">
        <v>0</v>
      </c>
      <c r="AI48" s="433">
        <v>0</v>
      </c>
      <c r="AJ48" s="433">
        <v>0</v>
      </c>
      <c r="AK48" s="433">
        <v>0</v>
      </c>
      <c r="AL48" s="433">
        <v>0</v>
      </c>
      <c r="AM48" s="433"/>
    </row>
    <row r="49" spans="1:39" ht="15.75" customHeight="1" x14ac:dyDescent="0.25">
      <c r="A49" s="194"/>
      <c r="B49" s="194" t="s">
        <v>1139</v>
      </c>
      <c r="C49" s="194" t="s">
        <v>1156</v>
      </c>
      <c r="D49" s="194" t="s">
        <v>1159</v>
      </c>
      <c r="E49" s="194">
        <v>6630</v>
      </c>
      <c r="F49" s="433">
        <v>0</v>
      </c>
      <c r="G49" s="433">
        <v>0</v>
      </c>
      <c r="H49" s="433">
        <v>0</v>
      </c>
      <c r="I49" s="433">
        <v>0</v>
      </c>
      <c r="J49" s="433">
        <v>4.4884165832836251E-7</v>
      </c>
      <c r="K49" s="433">
        <v>1.4425854706833569E-6</v>
      </c>
      <c r="L49" s="433">
        <v>1.303903514699833E-5</v>
      </c>
      <c r="M49" s="433">
        <v>3.5782524872607343E-5</v>
      </c>
      <c r="N49" s="433">
        <v>7.034657170195606E-5</v>
      </c>
      <c r="O49" s="433">
        <v>1.1730201498121869E-4</v>
      </c>
      <c r="P49" s="433">
        <v>1.77164732379384E-4</v>
      </c>
      <c r="Q49" s="433">
        <v>2.3890872183542661E-4</v>
      </c>
      <c r="R49" s="433">
        <v>2.9247235308203383E-4</v>
      </c>
      <c r="S49" s="433">
        <v>3.3651268041300341E-4</v>
      </c>
      <c r="T49" s="433">
        <v>3.7015761635671358E-4</v>
      </c>
      <c r="U49" s="433">
        <v>3.9282960897999531E-4</v>
      </c>
      <c r="V49" s="433">
        <v>4.033571200107217E-4</v>
      </c>
      <c r="W49" s="433">
        <v>4.1350030420114872E-4</v>
      </c>
      <c r="X49" s="433">
        <v>4.2435406911593812E-4</v>
      </c>
      <c r="Y49" s="433">
        <v>4.3680144684259792E-4</v>
      </c>
      <c r="Z49" s="433">
        <v>4.508120476563058E-4</v>
      </c>
      <c r="AA49" s="433">
        <v>4.6517504069101248E-4</v>
      </c>
      <c r="AB49" s="433">
        <v>4.7968976394474697E-4</v>
      </c>
      <c r="AC49" s="433">
        <v>4.9384717915311894E-4</v>
      </c>
      <c r="AD49" s="433">
        <v>5.0801962985677228E-4</v>
      </c>
      <c r="AE49" s="433">
        <v>5.2206059846655298E-4</v>
      </c>
      <c r="AF49" s="433">
        <v>5.3563902659882739E-4</v>
      </c>
      <c r="AG49" s="433">
        <v>5.5035359376891116E-4</v>
      </c>
      <c r="AH49" s="433">
        <v>5.6542619143398667E-4</v>
      </c>
      <c r="AI49" s="433">
        <v>5.8101252390705045E-4</v>
      </c>
      <c r="AJ49" s="433">
        <v>5.4511363290616125E-4</v>
      </c>
      <c r="AK49" s="433">
        <v>5.0178884012394391E-4</v>
      </c>
      <c r="AL49" s="433">
        <v>4.5545000749478819E-4</v>
      </c>
      <c r="AM49" s="433"/>
    </row>
    <row r="50" spans="1:39" ht="15.75" customHeight="1" x14ac:dyDescent="0.25">
      <c r="A50" s="194"/>
      <c r="B50" s="194"/>
      <c r="C50" s="194"/>
      <c r="D50" s="194"/>
      <c r="E50" s="194"/>
      <c r="F50" s="194"/>
      <c r="G50" s="194"/>
      <c r="H50" s="194"/>
      <c r="I50" s="194"/>
      <c r="J50" s="194"/>
      <c r="K50" s="194"/>
      <c r="L50" s="194"/>
      <c r="M50" s="194"/>
      <c r="N50" s="194"/>
      <c r="O50" s="194"/>
      <c r="P50" s="194"/>
      <c r="Q50" s="194"/>
      <c r="R50" s="194"/>
      <c r="S50" s="194"/>
      <c r="T50" s="194"/>
      <c r="U50" s="194"/>
      <c r="V50" s="194"/>
      <c r="W50" s="194"/>
      <c r="X50" s="194"/>
      <c r="Y50" s="194"/>
      <c r="Z50" s="194"/>
      <c r="AA50" s="194"/>
      <c r="AB50" s="194"/>
      <c r="AC50" s="194"/>
      <c r="AD50" s="194"/>
      <c r="AE50" s="194"/>
      <c r="AF50" s="194"/>
      <c r="AG50" s="194"/>
      <c r="AH50" s="194"/>
      <c r="AI50" s="194"/>
      <c r="AJ50" s="194"/>
      <c r="AK50" s="194"/>
      <c r="AL50" s="194"/>
      <c r="AM50" s="194"/>
    </row>
    <row r="51" spans="1:39" ht="15.75" customHeight="1" x14ac:dyDescent="0.25">
      <c r="A51" s="194"/>
      <c r="B51" s="1469" t="s">
        <v>1894</v>
      </c>
      <c r="C51" s="430"/>
      <c r="D51" s="430"/>
      <c r="E51" s="430"/>
      <c r="F51" s="430"/>
      <c r="G51" s="430"/>
      <c r="H51" s="430"/>
      <c r="I51" s="430"/>
      <c r="J51" s="430"/>
      <c r="K51" s="430"/>
      <c r="L51" s="430"/>
      <c r="M51" s="430"/>
      <c r="N51" s="430"/>
      <c r="O51" s="430"/>
      <c r="P51" s="430"/>
      <c r="Q51" s="430"/>
      <c r="R51" s="430"/>
      <c r="S51" s="430"/>
      <c r="T51" s="430"/>
      <c r="U51" s="430"/>
      <c r="V51" s="430"/>
      <c r="W51" s="430"/>
      <c r="X51" s="430"/>
      <c r="Y51" s="430"/>
      <c r="Z51" s="430"/>
      <c r="AA51" s="430"/>
      <c r="AB51" s="430"/>
      <c r="AC51" s="430"/>
      <c r="AD51" s="430"/>
      <c r="AE51" s="430"/>
      <c r="AF51" s="430"/>
      <c r="AG51" s="430"/>
      <c r="AH51" s="430"/>
      <c r="AI51" s="430"/>
      <c r="AJ51" s="430"/>
      <c r="AK51" s="430"/>
      <c r="AL51" s="430"/>
      <c r="AM51" s="431"/>
    </row>
    <row r="52" spans="1:39" ht="15.75" customHeight="1" x14ac:dyDescent="0.25">
      <c r="A52" s="194"/>
      <c r="B52" s="194"/>
      <c r="C52" s="194"/>
      <c r="D52" s="194"/>
      <c r="E52" s="194"/>
      <c r="F52" s="194"/>
      <c r="G52" s="194"/>
      <c r="H52" s="194"/>
      <c r="I52" s="194"/>
      <c r="J52" s="194"/>
      <c r="K52" s="194"/>
      <c r="L52" s="194"/>
      <c r="M52" s="194"/>
      <c r="N52" s="194"/>
      <c r="O52" s="194"/>
      <c r="P52" s="194"/>
      <c r="Q52" s="194"/>
      <c r="R52" s="194"/>
      <c r="S52" s="194"/>
      <c r="T52" s="194"/>
      <c r="U52" s="194"/>
      <c r="V52" s="194"/>
      <c r="W52" s="194"/>
      <c r="X52" s="194"/>
      <c r="Y52" s="194"/>
      <c r="Z52" s="194"/>
      <c r="AA52" s="194"/>
      <c r="AB52" s="194"/>
      <c r="AC52" s="194"/>
      <c r="AD52" s="194"/>
      <c r="AE52" s="194"/>
      <c r="AF52" s="194"/>
      <c r="AG52" s="194"/>
      <c r="AH52" s="194"/>
      <c r="AI52" s="194"/>
      <c r="AJ52" s="194"/>
      <c r="AK52" s="194"/>
      <c r="AL52" s="194"/>
      <c r="AM52" s="194"/>
    </row>
    <row r="53" spans="1:39" ht="15.75" customHeight="1" x14ac:dyDescent="0.25">
      <c r="A53" s="194"/>
      <c r="B53" s="432" t="s">
        <v>1087</v>
      </c>
      <c r="C53" s="194" t="s">
        <v>1088</v>
      </c>
      <c r="D53" s="194"/>
      <c r="E53" s="194"/>
      <c r="F53" s="194"/>
      <c r="G53" s="194"/>
      <c r="H53" s="194"/>
      <c r="I53" s="194"/>
      <c r="J53" s="194"/>
      <c r="K53" s="194"/>
      <c r="L53" s="194"/>
      <c r="M53" s="194"/>
      <c r="N53" s="194"/>
      <c r="O53" s="194"/>
      <c r="P53" s="194"/>
      <c r="Q53" s="194"/>
      <c r="R53" s="194"/>
      <c r="S53" s="194"/>
      <c r="T53" s="194"/>
      <c r="U53" s="194"/>
      <c r="V53" s="194"/>
      <c r="W53" s="194"/>
      <c r="X53" s="194"/>
      <c r="Y53" s="194"/>
      <c r="Z53" s="194"/>
      <c r="AA53" s="194"/>
      <c r="AB53" s="194"/>
      <c r="AC53" s="194"/>
      <c r="AD53" s="194"/>
      <c r="AE53" s="194"/>
      <c r="AF53" s="194"/>
      <c r="AG53" s="194"/>
      <c r="AH53" s="194"/>
      <c r="AI53" s="194"/>
      <c r="AJ53" s="194"/>
      <c r="AK53" s="194"/>
      <c r="AL53" s="194"/>
      <c r="AM53" s="194"/>
    </row>
    <row r="54" spans="1:39" ht="15.75" customHeight="1" x14ac:dyDescent="0.25">
      <c r="A54" s="194"/>
      <c r="B54" s="432" t="s">
        <v>1089</v>
      </c>
      <c r="C54" s="194" t="s">
        <v>1160</v>
      </c>
      <c r="D54" s="194"/>
      <c r="E54" s="194"/>
      <c r="F54" s="194"/>
      <c r="G54" s="194"/>
      <c r="H54" s="194"/>
      <c r="I54" s="194"/>
      <c r="J54" s="194"/>
      <c r="K54" s="194"/>
      <c r="L54" s="194"/>
      <c r="M54" s="194"/>
      <c r="N54" s="194"/>
      <c r="O54" s="194"/>
      <c r="P54" s="194"/>
      <c r="Q54" s="194"/>
      <c r="R54" s="194"/>
      <c r="S54" s="194"/>
      <c r="T54" s="194"/>
      <c r="U54" s="194"/>
      <c r="V54" s="194"/>
      <c r="W54" s="194"/>
      <c r="X54" s="194"/>
      <c r="Y54" s="194"/>
      <c r="Z54" s="194"/>
      <c r="AA54" s="194"/>
      <c r="AB54" s="194"/>
      <c r="AC54" s="194"/>
      <c r="AD54" s="194"/>
      <c r="AE54" s="194"/>
      <c r="AF54" s="194"/>
      <c r="AG54" s="194"/>
      <c r="AH54" s="194"/>
      <c r="AI54" s="194"/>
      <c r="AJ54" s="194"/>
      <c r="AK54" s="194"/>
      <c r="AL54" s="194"/>
      <c r="AM54" s="194"/>
    </row>
    <row r="55" spans="1:39" ht="15.75" customHeight="1" x14ac:dyDescent="0.25">
      <c r="A55" s="194"/>
      <c r="B55" s="432" t="s">
        <v>1091</v>
      </c>
      <c r="C55" s="194" t="s">
        <v>1161</v>
      </c>
      <c r="D55" s="194"/>
      <c r="E55" s="194"/>
      <c r="F55" s="194"/>
      <c r="G55" s="194"/>
      <c r="H55" s="194"/>
      <c r="I55" s="194"/>
      <c r="J55" s="194"/>
      <c r="K55" s="194"/>
      <c r="L55" s="194"/>
      <c r="M55" s="194"/>
      <c r="N55" s="194"/>
      <c r="O55" s="194"/>
      <c r="P55" s="194"/>
      <c r="Q55" s="194"/>
      <c r="R55" s="194"/>
      <c r="S55" s="194"/>
      <c r="T55" s="194"/>
      <c r="U55" s="194"/>
      <c r="V55" s="194"/>
      <c r="W55" s="194"/>
      <c r="X55" s="194"/>
      <c r="Y55" s="194"/>
      <c r="Z55" s="194"/>
      <c r="AA55" s="194"/>
      <c r="AB55" s="194"/>
      <c r="AC55" s="194"/>
      <c r="AD55" s="194"/>
      <c r="AE55" s="194"/>
      <c r="AF55" s="194"/>
      <c r="AG55" s="194"/>
      <c r="AH55" s="194"/>
      <c r="AI55" s="194"/>
      <c r="AJ55" s="194"/>
      <c r="AK55" s="194"/>
      <c r="AL55" s="194"/>
      <c r="AM55" s="194"/>
    </row>
    <row r="56" spans="1:39" ht="15.75" customHeight="1" x14ac:dyDescent="0.25">
      <c r="A56" s="194"/>
      <c r="B56" s="194"/>
      <c r="C56" s="194"/>
      <c r="D56" s="194"/>
      <c r="E56" s="194"/>
      <c r="F56" s="194"/>
      <c r="G56" s="194"/>
      <c r="H56" s="194"/>
      <c r="I56" s="194"/>
      <c r="J56" s="194"/>
      <c r="K56" s="194"/>
      <c r="L56" s="194"/>
      <c r="M56" s="194"/>
      <c r="N56" s="194"/>
      <c r="O56" s="194"/>
      <c r="P56" s="194"/>
      <c r="Q56" s="194"/>
      <c r="R56" s="194"/>
      <c r="S56" s="194"/>
      <c r="T56" s="194"/>
      <c r="U56" s="194"/>
      <c r="V56" s="194"/>
      <c r="W56" s="194"/>
      <c r="X56" s="194"/>
      <c r="Y56" s="194"/>
      <c r="Z56" s="194"/>
      <c r="AA56" s="194"/>
      <c r="AB56" s="194"/>
      <c r="AC56" s="194"/>
      <c r="AD56" s="194"/>
      <c r="AE56" s="194"/>
      <c r="AF56" s="194"/>
      <c r="AG56" s="194"/>
      <c r="AH56" s="194"/>
      <c r="AI56" s="194"/>
      <c r="AJ56" s="194"/>
      <c r="AK56" s="194"/>
      <c r="AL56" s="194"/>
      <c r="AM56" s="194"/>
    </row>
    <row r="57" spans="1:39" ht="15.75" customHeight="1" x14ac:dyDescent="0.25">
      <c r="A57" s="194"/>
      <c r="B57" s="194" t="s">
        <v>1162</v>
      </c>
      <c r="C57" s="194"/>
      <c r="D57" s="194"/>
      <c r="E57" s="194"/>
      <c r="F57" s="194"/>
      <c r="G57" s="194"/>
      <c r="H57" s="194"/>
      <c r="I57" s="194"/>
      <c r="J57" s="194"/>
      <c r="K57" s="194"/>
      <c r="L57" s="194"/>
      <c r="M57" s="194"/>
      <c r="N57" s="194"/>
      <c r="O57" s="194"/>
      <c r="P57" s="194"/>
      <c r="Q57" s="194"/>
      <c r="R57" s="194"/>
      <c r="S57" s="194"/>
      <c r="T57" s="194"/>
      <c r="U57" s="194"/>
      <c r="V57" s="194"/>
      <c r="W57" s="194"/>
      <c r="X57" s="194"/>
      <c r="Y57" s="194"/>
      <c r="Z57" s="194"/>
      <c r="AA57" s="194"/>
      <c r="AB57" s="194"/>
      <c r="AC57" s="194"/>
      <c r="AD57" s="194"/>
      <c r="AE57" s="194"/>
      <c r="AF57" s="194"/>
      <c r="AG57" s="194"/>
      <c r="AH57" s="194"/>
      <c r="AI57" s="194"/>
      <c r="AJ57" s="194"/>
      <c r="AK57" s="194"/>
      <c r="AL57" s="194"/>
      <c r="AM57" s="194"/>
    </row>
    <row r="58" spans="1:39" ht="15.75" customHeight="1" x14ac:dyDescent="0.25">
      <c r="A58" s="194"/>
      <c r="B58" s="194" t="s">
        <v>1163</v>
      </c>
      <c r="C58" s="194"/>
      <c r="D58" s="194"/>
      <c r="E58" s="194"/>
      <c r="F58" s="194"/>
      <c r="G58" s="194"/>
      <c r="H58" s="194"/>
      <c r="I58" s="194"/>
      <c r="J58" s="194"/>
      <c r="K58" s="194"/>
      <c r="L58" s="194"/>
      <c r="M58" s="194"/>
      <c r="N58" s="194"/>
      <c r="O58" s="194"/>
      <c r="P58" s="194"/>
      <c r="Q58" s="194"/>
      <c r="R58" s="194"/>
      <c r="S58" s="194"/>
      <c r="T58" s="194"/>
      <c r="U58" s="194"/>
      <c r="V58" s="194"/>
      <c r="W58" s="194"/>
      <c r="X58" s="194"/>
      <c r="Y58" s="194"/>
      <c r="Z58" s="194"/>
      <c r="AA58" s="194"/>
      <c r="AB58" s="194"/>
      <c r="AC58" s="194"/>
      <c r="AD58" s="194"/>
      <c r="AE58" s="194"/>
      <c r="AF58" s="194"/>
      <c r="AG58" s="194"/>
      <c r="AH58" s="194"/>
      <c r="AI58" s="194"/>
      <c r="AJ58" s="194"/>
      <c r="AK58" s="194"/>
      <c r="AL58" s="194"/>
      <c r="AM58" s="194"/>
    </row>
    <row r="59" spans="1:39" ht="15.75" customHeight="1" x14ac:dyDescent="0.25">
      <c r="A59" s="194"/>
      <c r="B59" s="194" t="s">
        <v>1164</v>
      </c>
      <c r="C59" s="194"/>
      <c r="D59" s="194"/>
      <c r="E59" s="194"/>
      <c r="F59" s="194"/>
      <c r="G59" s="194"/>
      <c r="H59" s="194"/>
      <c r="I59" s="194"/>
      <c r="J59" s="194"/>
      <c r="K59" s="194"/>
      <c r="L59" s="194"/>
      <c r="M59" s="194"/>
      <c r="N59" s="194"/>
      <c r="O59" s="194"/>
      <c r="P59" s="194"/>
      <c r="Q59" s="194"/>
      <c r="R59" s="194"/>
      <c r="S59" s="194"/>
      <c r="T59" s="194"/>
      <c r="U59" s="194"/>
      <c r="V59" s="194"/>
      <c r="W59" s="194"/>
      <c r="X59" s="194"/>
      <c r="Y59" s="194"/>
      <c r="Z59" s="194"/>
      <c r="AA59" s="194"/>
      <c r="AB59" s="194"/>
      <c r="AC59" s="194"/>
      <c r="AD59" s="194"/>
      <c r="AE59" s="194"/>
      <c r="AF59" s="194"/>
      <c r="AG59" s="194"/>
      <c r="AH59" s="194"/>
      <c r="AI59" s="194"/>
      <c r="AJ59" s="194"/>
      <c r="AK59" s="194"/>
      <c r="AL59" s="194"/>
      <c r="AM59" s="194"/>
    </row>
    <row r="60" spans="1:39" ht="15.75" customHeight="1" x14ac:dyDescent="0.25">
      <c r="A60" s="194"/>
      <c r="B60" s="194" t="s">
        <v>1165</v>
      </c>
      <c r="C60" s="194"/>
      <c r="D60" s="194"/>
      <c r="E60" s="194"/>
      <c r="F60" s="194"/>
      <c r="G60" s="194"/>
      <c r="H60" s="194"/>
      <c r="I60" s="194"/>
      <c r="J60" s="194"/>
      <c r="K60" s="194"/>
      <c r="L60" s="194"/>
      <c r="M60" s="194"/>
      <c r="N60" s="194"/>
      <c r="O60" s="194"/>
      <c r="P60" s="194"/>
      <c r="Q60" s="194"/>
      <c r="R60" s="194"/>
      <c r="S60" s="194"/>
      <c r="T60" s="194"/>
      <c r="U60" s="194"/>
      <c r="V60" s="194"/>
      <c r="W60" s="194"/>
      <c r="X60" s="194"/>
      <c r="Y60" s="194"/>
      <c r="Z60" s="194"/>
      <c r="AA60" s="194"/>
      <c r="AB60" s="194"/>
      <c r="AC60" s="194"/>
      <c r="AD60" s="194"/>
      <c r="AE60" s="194"/>
      <c r="AF60" s="194"/>
      <c r="AG60" s="194"/>
      <c r="AH60" s="194"/>
      <c r="AI60" s="194"/>
      <c r="AJ60" s="194"/>
      <c r="AK60" s="194"/>
      <c r="AL60" s="194"/>
      <c r="AM60" s="194"/>
    </row>
    <row r="61" spans="1:39" ht="15.75" customHeight="1" x14ac:dyDescent="0.25">
      <c r="A61" s="194"/>
      <c r="B61" s="194"/>
      <c r="C61" s="194"/>
      <c r="D61" s="194"/>
      <c r="E61" s="194"/>
      <c r="F61" s="194"/>
      <c r="G61" s="194"/>
      <c r="H61" s="194"/>
      <c r="I61" s="194"/>
      <c r="J61" s="194"/>
      <c r="K61" s="194"/>
      <c r="L61" s="194"/>
      <c r="M61" s="194"/>
      <c r="N61" s="194"/>
      <c r="O61" s="194"/>
      <c r="P61" s="194"/>
      <c r="Q61" s="194"/>
      <c r="R61" s="194"/>
      <c r="S61" s="194"/>
      <c r="T61" s="194"/>
      <c r="U61" s="194"/>
      <c r="V61" s="194"/>
      <c r="W61" s="194"/>
      <c r="X61" s="194"/>
      <c r="Y61" s="194"/>
      <c r="Z61" s="194"/>
      <c r="AA61" s="194"/>
      <c r="AB61" s="194"/>
      <c r="AC61" s="194"/>
      <c r="AD61" s="194"/>
      <c r="AE61" s="194"/>
      <c r="AF61" s="194"/>
      <c r="AG61" s="194"/>
      <c r="AH61" s="194"/>
      <c r="AI61" s="194"/>
      <c r="AJ61" s="194"/>
      <c r="AK61" s="194"/>
      <c r="AL61" s="194"/>
      <c r="AM61" s="194"/>
    </row>
    <row r="62" spans="1:39" ht="15.75" customHeight="1" x14ac:dyDescent="0.25">
      <c r="A62" s="194"/>
      <c r="B62" s="432" t="s">
        <v>1091</v>
      </c>
      <c r="C62" s="194" t="s">
        <v>1166</v>
      </c>
      <c r="D62" s="194"/>
      <c r="E62" s="194"/>
      <c r="F62" s="194"/>
      <c r="G62" s="194"/>
      <c r="H62" s="194"/>
      <c r="I62" s="194"/>
      <c r="J62" s="194"/>
      <c r="K62" s="194"/>
      <c r="L62" s="194"/>
      <c r="M62" s="194"/>
      <c r="N62" s="194"/>
      <c r="O62" s="194"/>
      <c r="P62" s="194"/>
      <c r="Q62" s="194"/>
      <c r="R62" s="194"/>
      <c r="S62" s="194"/>
      <c r="T62" s="194"/>
      <c r="U62" s="194"/>
      <c r="V62" s="194"/>
      <c r="W62" s="194"/>
      <c r="X62" s="194"/>
      <c r="Y62" s="194"/>
      <c r="Z62" s="194"/>
      <c r="AA62" s="194"/>
      <c r="AB62" s="194"/>
      <c r="AC62" s="194"/>
      <c r="AD62" s="194"/>
      <c r="AE62" s="194"/>
      <c r="AF62" s="194"/>
      <c r="AG62" s="194"/>
      <c r="AH62" s="194"/>
      <c r="AI62" s="194"/>
      <c r="AJ62" s="194"/>
      <c r="AK62" s="194"/>
      <c r="AL62" s="194"/>
      <c r="AM62" s="194"/>
    </row>
    <row r="63" spans="1:39" ht="15.75" customHeight="1" x14ac:dyDescent="0.25">
      <c r="A63" s="194"/>
      <c r="B63" s="432"/>
      <c r="C63" s="194"/>
      <c r="D63" s="194"/>
      <c r="E63" s="194"/>
      <c r="F63" s="194"/>
      <c r="G63" s="194"/>
      <c r="H63" s="194"/>
      <c r="I63" s="194"/>
      <c r="J63" s="194"/>
      <c r="K63" s="194"/>
      <c r="L63" s="194"/>
      <c r="M63" s="194"/>
      <c r="N63" s="194"/>
      <c r="O63" s="194"/>
      <c r="P63" s="194"/>
      <c r="Q63" s="194"/>
      <c r="R63" s="194"/>
      <c r="S63" s="194"/>
      <c r="T63" s="194"/>
      <c r="U63" s="194"/>
      <c r="V63" s="194"/>
      <c r="W63" s="194"/>
      <c r="X63" s="194"/>
      <c r="Y63" s="194"/>
      <c r="Z63" s="194"/>
      <c r="AA63" s="194"/>
      <c r="AB63" s="194"/>
      <c r="AC63" s="194"/>
      <c r="AD63" s="194"/>
      <c r="AE63" s="194"/>
      <c r="AF63" s="194"/>
      <c r="AG63" s="194"/>
      <c r="AH63" s="194"/>
      <c r="AI63" s="194"/>
      <c r="AJ63" s="194"/>
      <c r="AK63" s="194"/>
      <c r="AL63" s="194"/>
      <c r="AM63" s="194"/>
    </row>
    <row r="64" spans="1:39" ht="15.75" customHeight="1" x14ac:dyDescent="0.25">
      <c r="A64" s="194"/>
      <c r="B64" s="194" t="s">
        <v>1167</v>
      </c>
      <c r="C64" s="194"/>
      <c r="D64" s="194"/>
      <c r="E64" s="194"/>
      <c r="F64" s="194"/>
      <c r="G64" s="194"/>
      <c r="H64" s="194"/>
      <c r="I64" s="194"/>
      <c r="J64" s="194"/>
      <c r="K64" s="194"/>
      <c r="L64" s="194"/>
      <c r="M64" s="194"/>
      <c r="N64" s="194"/>
      <c r="O64" s="194"/>
      <c r="P64" s="194"/>
      <c r="Q64" s="194"/>
      <c r="R64" s="194"/>
      <c r="S64" s="194"/>
      <c r="T64" s="194"/>
      <c r="U64" s="194"/>
      <c r="V64" s="194"/>
      <c r="W64" s="194"/>
      <c r="X64" s="194"/>
      <c r="Y64" s="194"/>
      <c r="Z64" s="194"/>
      <c r="AA64" s="194"/>
      <c r="AB64" s="194"/>
      <c r="AC64" s="194"/>
      <c r="AD64" s="194"/>
      <c r="AE64" s="194"/>
      <c r="AF64" s="194"/>
      <c r="AG64" s="194"/>
      <c r="AH64" s="194"/>
      <c r="AI64" s="194"/>
      <c r="AJ64" s="194"/>
      <c r="AK64" s="194"/>
      <c r="AL64" s="194"/>
      <c r="AM64" s="194"/>
    </row>
    <row r="65" spans="1:39" ht="15.75" customHeight="1" x14ac:dyDescent="0.25">
      <c r="A65" s="194"/>
      <c r="B65" s="194"/>
      <c r="C65" s="194"/>
      <c r="D65" s="194"/>
      <c r="E65" s="194"/>
      <c r="F65" s="194"/>
      <c r="G65" s="194"/>
      <c r="H65" s="194"/>
      <c r="I65" s="194"/>
      <c r="J65" s="194"/>
      <c r="K65" s="194"/>
      <c r="L65" s="194"/>
      <c r="M65" s="194"/>
      <c r="N65" s="194"/>
      <c r="O65" s="194"/>
      <c r="P65" s="194"/>
      <c r="Q65" s="194"/>
      <c r="R65" s="194"/>
      <c r="S65" s="194"/>
      <c r="T65" s="194"/>
      <c r="U65" s="194"/>
      <c r="V65" s="194"/>
      <c r="W65" s="194"/>
      <c r="X65" s="194"/>
      <c r="Y65" s="194"/>
      <c r="Z65" s="194"/>
      <c r="AA65" s="194"/>
      <c r="AB65" s="194"/>
      <c r="AC65" s="194"/>
      <c r="AD65" s="194"/>
      <c r="AE65" s="194"/>
      <c r="AF65" s="194"/>
      <c r="AG65" s="194"/>
      <c r="AH65" s="194"/>
      <c r="AI65" s="194"/>
      <c r="AJ65" s="194"/>
      <c r="AK65" s="194"/>
      <c r="AL65" s="194"/>
      <c r="AM65" s="194"/>
    </row>
    <row r="66" spans="1:39" ht="15.75" customHeight="1" x14ac:dyDescent="0.25">
      <c r="A66" s="194"/>
      <c r="B66" s="1469" t="s">
        <v>1893</v>
      </c>
      <c r="C66" s="430"/>
      <c r="D66" s="430"/>
      <c r="E66" s="430"/>
      <c r="F66" s="430"/>
      <c r="G66" s="430"/>
      <c r="H66" s="430"/>
      <c r="I66" s="430"/>
      <c r="J66" s="430"/>
      <c r="K66" s="430"/>
      <c r="L66" s="430"/>
      <c r="M66" s="430"/>
      <c r="N66" s="430"/>
      <c r="O66" s="430"/>
      <c r="P66" s="430"/>
      <c r="Q66" s="430"/>
      <c r="R66" s="430"/>
      <c r="S66" s="430"/>
      <c r="T66" s="430"/>
      <c r="U66" s="430"/>
      <c r="V66" s="430"/>
      <c r="W66" s="430"/>
      <c r="X66" s="430"/>
      <c r="Y66" s="430"/>
      <c r="Z66" s="430"/>
      <c r="AA66" s="430"/>
      <c r="AB66" s="430"/>
      <c r="AC66" s="430"/>
      <c r="AD66" s="430"/>
      <c r="AE66" s="430"/>
      <c r="AF66" s="430"/>
      <c r="AG66" s="430"/>
      <c r="AH66" s="430"/>
      <c r="AI66" s="430"/>
      <c r="AJ66" s="430"/>
      <c r="AK66" s="430"/>
      <c r="AL66" s="430"/>
      <c r="AM66" s="431"/>
    </row>
    <row r="67" spans="1:39" ht="15.75" customHeight="1" x14ac:dyDescent="0.25">
      <c r="A67" s="194"/>
      <c r="B67" s="194"/>
      <c r="C67" s="194"/>
      <c r="D67" s="194"/>
      <c r="E67" s="194"/>
      <c r="F67" s="194"/>
      <c r="G67" s="194"/>
      <c r="H67" s="194"/>
      <c r="I67" s="194"/>
      <c r="J67" s="194"/>
      <c r="K67" s="194"/>
      <c r="L67" s="194"/>
      <c r="M67" s="194"/>
      <c r="N67" s="194"/>
      <c r="O67" s="194"/>
      <c r="P67" s="194"/>
      <c r="Q67" s="194"/>
      <c r="R67" s="194"/>
      <c r="S67" s="194"/>
      <c r="T67" s="194"/>
      <c r="U67" s="194"/>
      <c r="V67" s="194"/>
      <c r="W67" s="194"/>
      <c r="X67" s="194"/>
      <c r="Y67" s="194"/>
      <c r="Z67" s="194"/>
      <c r="AA67" s="194"/>
      <c r="AB67" s="194"/>
      <c r="AC67" s="194"/>
      <c r="AD67" s="194"/>
      <c r="AE67" s="194"/>
      <c r="AF67" s="194"/>
      <c r="AG67" s="194"/>
      <c r="AH67" s="194"/>
      <c r="AI67" s="194"/>
      <c r="AJ67" s="194"/>
      <c r="AK67" s="194"/>
      <c r="AL67" s="194"/>
      <c r="AM67" s="194"/>
    </row>
    <row r="68" spans="1:39" ht="15.75" customHeight="1" x14ac:dyDescent="0.25">
      <c r="A68" s="194"/>
      <c r="B68" s="432" t="s">
        <v>1087</v>
      </c>
      <c r="C68" s="194" t="s">
        <v>1168</v>
      </c>
      <c r="D68" s="194"/>
      <c r="E68" s="194"/>
      <c r="F68" s="194"/>
      <c r="G68" s="194"/>
      <c r="H68" s="194"/>
      <c r="I68" s="194"/>
      <c r="J68" s="194"/>
      <c r="K68" s="194"/>
      <c r="L68" s="194"/>
      <c r="M68" s="194"/>
      <c r="N68" s="194"/>
      <c r="O68" s="194"/>
      <c r="P68" s="194"/>
      <c r="Q68" s="194"/>
      <c r="R68" s="194"/>
      <c r="S68" s="194"/>
      <c r="T68" s="194"/>
      <c r="U68" s="194"/>
      <c r="V68" s="194"/>
      <c r="W68" s="194"/>
      <c r="X68" s="194"/>
      <c r="Y68" s="194"/>
      <c r="Z68" s="194"/>
      <c r="AA68" s="194"/>
      <c r="AB68" s="194"/>
      <c r="AC68" s="194"/>
      <c r="AD68" s="194"/>
      <c r="AE68" s="194"/>
      <c r="AF68" s="194"/>
      <c r="AG68" s="194"/>
      <c r="AH68" s="194"/>
      <c r="AI68" s="194"/>
      <c r="AJ68" s="194"/>
      <c r="AK68" s="194"/>
      <c r="AL68" s="194"/>
      <c r="AM68" s="194"/>
    </row>
    <row r="69" spans="1:39" ht="15.75" customHeight="1" x14ac:dyDescent="0.25">
      <c r="A69" s="194"/>
      <c r="B69" s="432" t="s">
        <v>1089</v>
      </c>
      <c r="C69" s="194" t="s">
        <v>1169</v>
      </c>
      <c r="D69" s="194"/>
      <c r="E69" s="194"/>
      <c r="F69" s="194"/>
      <c r="G69" s="194"/>
      <c r="H69" s="194"/>
      <c r="I69" s="194"/>
      <c r="J69" s="194"/>
      <c r="K69" s="194"/>
      <c r="L69" s="194"/>
      <c r="M69" s="194"/>
      <c r="N69" s="194"/>
      <c r="O69" s="194"/>
      <c r="P69" s="194"/>
      <c r="Q69" s="194"/>
      <c r="R69" s="194"/>
      <c r="S69" s="194"/>
      <c r="T69" s="194"/>
      <c r="U69" s="194"/>
      <c r="V69" s="194"/>
      <c r="W69" s="194"/>
      <c r="X69" s="194"/>
      <c r="Y69" s="194"/>
      <c r="Z69" s="194"/>
      <c r="AA69" s="194"/>
      <c r="AB69" s="194"/>
      <c r="AC69" s="194"/>
      <c r="AD69" s="194"/>
      <c r="AE69" s="194"/>
      <c r="AF69" s="194"/>
      <c r="AG69" s="194"/>
      <c r="AH69" s="194"/>
      <c r="AI69" s="194"/>
      <c r="AJ69" s="194"/>
      <c r="AK69" s="194"/>
      <c r="AL69" s="194"/>
      <c r="AM69" s="194"/>
    </row>
    <row r="70" spans="1:39" ht="15.75" customHeight="1" x14ac:dyDescent="0.25">
      <c r="A70" s="194"/>
      <c r="B70" s="432" t="s">
        <v>1091</v>
      </c>
      <c r="C70" s="194" t="s">
        <v>1170</v>
      </c>
      <c r="D70" s="194"/>
      <c r="E70" s="194"/>
      <c r="F70" s="194"/>
      <c r="G70" s="194"/>
      <c r="H70" s="194"/>
      <c r="I70" s="194"/>
      <c r="J70" s="194"/>
      <c r="K70" s="194"/>
      <c r="L70" s="194"/>
      <c r="M70" s="194"/>
      <c r="N70" s="194"/>
      <c r="O70" s="194"/>
      <c r="P70" s="194"/>
      <c r="Q70" s="194"/>
      <c r="R70" s="194"/>
      <c r="S70" s="194"/>
      <c r="T70" s="194"/>
      <c r="U70" s="194"/>
      <c r="V70" s="194"/>
      <c r="W70" s="194"/>
      <c r="X70" s="194"/>
      <c r="Y70" s="194"/>
      <c r="Z70" s="194"/>
      <c r="AA70" s="194"/>
      <c r="AB70" s="194"/>
      <c r="AC70" s="194"/>
      <c r="AD70" s="194"/>
      <c r="AE70" s="194"/>
      <c r="AF70" s="194"/>
      <c r="AG70" s="194"/>
      <c r="AH70" s="194"/>
      <c r="AI70" s="194"/>
      <c r="AJ70" s="194"/>
      <c r="AK70" s="194"/>
      <c r="AL70" s="194"/>
      <c r="AM70" s="194"/>
    </row>
    <row r="71" spans="1:39" ht="15.75" customHeight="1" x14ac:dyDescent="0.25">
      <c r="A71" s="194"/>
      <c r="B71" s="194"/>
      <c r="C71" s="194"/>
      <c r="D71" s="194"/>
      <c r="E71" s="194"/>
      <c r="F71" s="194"/>
      <c r="G71" s="194"/>
      <c r="H71" s="194"/>
      <c r="I71" s="194"/>
      <c r="J71" s="194"/>
      <c r="K71" s="194"/>
      <c r="L71" s="194"/>
      <c r="M71" s="194"/>
      <c r="N71" s="194"/>
      <c r="O71" s="194"/>
      <c r="P71" s="194"/>
      <c r="Q71" s="194"/>
      <c r="R71" s="194"/>
      <c r="S71" s="194"/>
      <c r="T71" s="194"/>
      <c r="U71" s="194"/>
      <c r="V71" s="194"/>
      <c r="W71" s="194"/>
      <c r="X71" s="194"/>
      <c r="Y71" s="194"/>
      <c r="Z71" s="194"/>
      <c r="AA71" s="194"/>
      <c r="AB71" s="194"/>
      <c r="AC71" s="194"/>
      <c r="AD71" s="194"/>
      <c r="AE71" s="194"/>
      <c r="AF71" s="194"/>
      <c r="AG71" s="194"/>
      <c r="AH71" s="194"/>
      <c r="AI71" s="194"/>
      <c r="AJ71" s="194"/>
      <c r="AK71" s="194"/>
      <c r="AL71" s="194"/>
      <c r="AM71" s="194"/>
    </row>
    <row r="72" spans="1:39" ht="15.75" customHeight="1" x14ac:dyDescent="0.25">
      <c r="A72" s="194"/>
      <c r="B72" s="432" t="s">
        <v>162</v>
      </c>
      <c r="C72" s="432" t="s">
        <v>1171</v>
      </c>
      <c r="D72" s="432" t="s">
        <v>7</v>
      </c>
      <c r="E72" s="432" t="s">
        <v>1209</v>
      </c>
      <c r="F72" s="194"/>
      <c r="G72" s="194"/>
      <c r="H72" s="194"/>
      <c r="I72" s="194"/>
      <c r="J72" s="194"/>
      <c r="K72" s="194"/>
      <c r="L72" s="194"/>
      <c r="M72" s="194"/>
      <c r="N72" s="194"/>
      <c r="O72" s="194"/>
      <c r="P72" s="194"/>
      <c r="Q72" s="194"/>
      <c r="R72" s="194"/>
      <c r="S72" s="194"/>
      <c r="T72" s="194"/>
      <c r="U72" s="194"/>
      <c r="V72" s="194"/>
      <c r="W72" s="194"/>
      <c r="X72" s="194"/>
      <c r="Y72" s="194"/>
      <c r="Z72" s="194"/>
      <c r="AA72" s="194"/>
      <c r="AB72" s="194"/>
      <c r="AC72" s="194"/>
      <c r="AD72" s="194"/>
      <c r="AE72" s="194"/>
      <c r="AF72" s="194"/>
      <c r="AG72" s="194"/>
      <c r="AH72" s="194"/>
      <c r="AI72" s="194"/>
      <c r="AJ72" s="194"/>
      <c r="AK72" s="194"/>
      <c r="AL72" s="194"/>
      <c r="AM72" s="194"/>
    </row>
    <row r="73" spans="1:39" ht="15.75" customHeight="1" x14ac:dyDescent="0.25">
      <c r="A73" s="194"/>
      <c r="B73" s="194" t="s">
        <v>1140</v>
      </c>
      <c r="C73" s="194">
        <v>1</v>
      </c>
      <c r="D73" s="194">
        <v>1</v>
      </c>
      <c r="E73" s="434">
        <f t="shared" ref="E73:E80" si="0">D73/C73</f>
        <v>1</v>
      </c>
      <c r="F73" s="194"/>
      <c r="G73" s="194"/>
      <c r="H73" s="194"/>
      <c r="I73" s="194"/>
      <c r="J73" s="194"/>
      <c r="K73" s="194"/>
      <c r="L73" s="194"/>
      <c r="M73" s="194"/>
      <c r="N73" s="194"/>
      <c r="O73" s="194"/>
      <c r="P73" s="194"/>
      <c r="Q73" s="194"/>
      <c r="R73" s="194"/>
      <c r="S73" s="194"/>
      <c r="T73" s="194"/>
      <c r="U73" s="194"/>
      <c r="V73" s="194"/>
      <c r="W73" s="194"/>
      <c r="X73" s="194"/>
      <c r="Y73" s="194"/>
      <c r="Z73" s="194"/>
      <c r="AA73" s="194"/>
      <c r="AB73" s="194"/>
      <c r="AC73" s="194"/>
      <c r="AD73" s="194"/>
      <c r="AE73" s="194"/>
      <c r="AF73" s="194"/>
      <c r="AG73" s="194"/>
      <c r="AH73" s="194"/>
      <c r="AI73" s="194"/>
      <c r="AJ73" s="194"/>
      <c r="AK73" s="194"/>
      <c r="AL73" s="194"/>
      <c r="AM73" s="194"/>
    </row>
    <row r="74" spans="1:39" ht="15.75" customHeight="1" x14ac:dyDescent="0.25">
      <c r="A74" s="194"/>
      <c r="B74" s="194" t="s">
        <v>1144</v>
      </c>
      <c r="C74" s="194">
        <v>3170</v>
      </c>
      <c r="D74" s="194">
        <v>6740</v>
      </c>
      <c r="E74" s="434">
        <f t="shared" si="0"/>
        <v>2.1261829652996846</v>
      </c>
      <c r="F74" s="194"/>
      <c r="G74" s="194"/>
      <c r="H74" s="194"/>
      <c r="I74" s="194"/>
      <c r="J74" s="194"/>
      <c r="K74" s="194"/>
      <c r="L74" s="194"/>
      <c r="M74" s="194"/>
      <c r="N74" s="194"/>
      <c r="O74" s="194"/>
      <c r="P74" s="194"/>
      <c r="Q74" s="194"/>
      <c r="R74" s="194"/>
      <c r="S74" s="194"/>
      <c r="T74" s="194"/>
      <c r="U74" s="194"/>
      <c r="V74" s="194"/>
      <c r="W74" s="194"/>
      <c r="X74" s="194"/>
      <c r="Y74" s="194"/>
      <c r="Z74" s="194"/>
      <c r="AA74" s="194"/>
      <c r="AB74" s="194"/>
      <c r="AC74" s="194"/>
      <c r="AD74" s="194"/>
      <c r="AE74" s="194"/>
      <c r="AF74" s="194"/>
      <c r="AG74" s="194"/>
      <c r="AH74" s="194"/>
      <c r="AI74" s="194"/>
      <c r="AJ74" s="194"/>
      <c r="AK74" s="194"/>
      <c r="AL74" s="194"/>
      <c r="AM74" s="194"/>
    </row>
    <row r="75" spans="1:39" ht="15.75" customHeight="1" x14ac:dyDescent="0.25">
      <c r="A75" s="194"/>
      <c r="B75" s="194" t="s">
        <v>1145</v>
      </c>
      <c r="C75" s="194">
        <v>1300</v>
      </c>
      <c r="D75" s="194">
        <v>4140</v>
      </c>
      <c r="E75" s="434">
        <f t="shared" si="0"/>
        <v>3.1846153846153844</v>
      </c>
      <c r="F75" s="194"/>
      <c r="G75" s="194"/>
      <c r="H75" s="194"/>
      <c r="I75" s="194"/>
      <c r="J75" s="194"/>
      <c r="K75" s="194"/>
      <c r="L75" s="194"/>
      <c r="M75" s="194"/>
      <c r="N75" s="194"/>
      <c r="O75" s="194"/>
      <c r="P75" s="194"/>
      <c r="Q75" s="194"/>
      <c r="R75" s="194"/>
      <c r="S75" s="194"/>
      <c r="T75" s="194"/>
      <c r="U75" s="194"/>
      <c r="V75" s="194"/>
      <c r="W75" s="194"/>
      <c r="X75" s="194"/>
      <c r="Y75" s="194"/>
      <c r="Z75" s="194"/>
      <c r="AA75" s="194"/>
      <c r="AB75" s="194"/>
      <c r="AC75" s="194"/>
      <c r="AD75" s="194"/>
      <c r="AE75" s="194"/>
      <c r="AF75" s="194"/>
      <c r="AG75" s="194"/>
      <c r="AH75" s="194"/>
      <c r="AI75" s="194"/>
      <c r="AJ75" s="194"/>
      <c r="AK75" s="194"/>
      <c r="AL75" s="194"/>
      <c r="AM75" s="194"/>
    </row>
    <row r="76" spans="1:39" ht="15.75" customHeight="1" x14ac:dyDescent="0.25">
      <c r="A76" s="194"/>
      <c r="B76" s="194" t="s">
        <v>1148</v>
      </c>
      <c r="C76" s="194">
        <v>4800</v>
      </c>
      <c r="D76" s="194">
        <v>7840</v>
      </c>
      <c r="E76" s="434">
        <f t="shared" si="0"/>
        <v>1.6333333333333333</v>
      </c>
      <c r="F76" s="194"/>
      <c r="G76" s="194"/>
      <c r="H76" s="194"/>
      <c r="I76" s="194"/>
      <c r="J76" s="194"/>
      <c r="K76" s="194"/>
      <c r="L76" s="194"/>
      <c r="M76" s="194"/>
      <c r="N76" s="194"/>
      <c r="O76" s="194"/>
      <c r="P76" s="194"/>
      <c r="Q76" s="194"/>
      <c r="R76" s="194"/>
      <c r="S76" s="194"/>
      <c r="T76" s="194"/>
      <c r="U76" s="194"/>
      <c r="V76" s="194"/>
      <c r="W76" s="194"/>
      <c r="X76" s="194"/>
      <c r="Y76" s="194"/>
      <c r="Z76" s="194"/>
      <c r="AA76" s="194"/>
      <c r="AB76" s="194"/>
      <c r="AC76" s="194"/>
      <c r="AD76" s="194"/>
      <c r="AE76" s="194"/>
      <c r="AF76" s="194"/>
      <c r="AG76" s="194"/>
      <c r="AH76" s="194"/>
      <c r="AI76" s="194"/>
      <c r="AJ76" s="194"/>
      <c r="AK76" s="194"/>
      <c r="AL76" s="194"/>
      <c r="AM76" s="194"/>
    </row>
    <row r="77" spans="1:39" ht="15.75" customHeight="1" x14ac:dyDescent="0.25">
      <c r="A77" s="194"/>
      <c r="B77" s="194" t="s">
        <v>1149</v>
      </c>
      <c r="C77" s="194">
        <v>12400</v>
      </c>
      <c r="D77" s="194">
        <v>12400</v>
      </c>
      <c r="E77" s="434">
        <f t="shared" si="0"/>
        <v>1</v>
      </c>
      <c r="F77" s="194"/>
      <c r="G77" s="194"/>
      <c r="H77" s="194"/>
      <c r="I77" s="194"/>
      <c r="J77" s="194"/>
      <c r="K77" s="194"/>
      <c r="L77" s="194"/>
      <c r="M77" s="194"/>
      <c r="N77" s="194"/>
      <c r="O77" s="194"/>
      <c r="P77" s="194"/>
      <c r="Q77" s="194"/>
      <c r="R77" s="194"/>
      <c r="S77" s="194"/>
      <c r="T77" s="194"/>
      <c r="U77" s="194"/>
      <c r="V77" s="194"/>
      <c r="W77" s="194"/>
      <c r="X77" s="194"/>
      <c r="Y77" s="194"/>
      <c r="Z77" s="194"/>
      <c r="AA77" s="194"/>
      <c r="AB77" s="194"/>
      <c r="AC77" s="194"/>
      <c r="AD77" s="194"/>
      <c r="AE77" s="194"/>
      <c r="AF77" s="194"/>
      <c r="AG77" s="194"/>
      <c r="AH77" s="194"/>
      <c r="AI77" s="194"/>
      <c r="AJ77" s="194"/>
      <c r="AK77" s="194"/>
      <c r="AL77" s="194"/>
      <c r="AM77" s="194"/>
    </row>
    <row r="78" spans="1:39" ht="15.75" customHeight="1" x14ac:dyDescent="0.25">
      <c r="A78" s="194"/>
      <c r="B78" s="194" t="s">
        <v>1150</v>
      </c>
      <c r="C78" s="194">
        <v>8060</v>
      </c>
      <c r="D78" s="194">
        <v>7450</v>
      </c>
      <c r="E78" s="434">
        <f t="shared" si="0"/>
        <v>0.92431761786600497</v>
      </c>
      <c r="F78" s="194"/>
      <c r="G78" s="194"/>
      <c r="H78" s="194"/>
      <c r="I78" s="194"/>
      <c r="J78" s="194"/>
      <c r="K78" s="194"/>
      <c r="L78" s="194"/>
      <c r="M78" s="194"/>
      <c r="N78" s="194"/>
      <c r="O78" s="194"/>
      <c r="P78" s="194"/>
      <c r="Q78" s="194"/>
      <c r="R78" s="194"/>
      <c r="S78" s="194"/>
      <c r="T78" s="194"/>
      <c r="U78" s="194"/>
      <c r="V78" s="194"/>
      <c r="W78" s="194"/>
      <c r="X78" s="194"/>
      <c r="Y78" s="194"/>
      <c r="Z78" s="194"/>
      <c r="AA78" s="194"/>
      <c r="AB78" s="194"/>
      <c r="AC78" s="194"/>
      <c r="AD78" s="194"/>
      <c r="AE78" s="194"/>
      <c r="AF78" s="194"/>
      <c r="AG78" s="194"/>
      <c r="AH78" s="194"/>
      <c r="AI78" s="194"/>
      <c r="AJ78" s="194"/>
      <c r="AK78" s="194"/>
      <c r="AL78" s="194"/>
      <c r="AM78" s="194"/>
    </row>
    <row r="79" spans="1:39" ht="15.75" customHeight="1" x14ac:dyDescent="0.25">
      <c r="A79" s="194"/>
      <c r="B79" s="194" t="s">
        <v>1151</v>
      </c>
      <c r="C79" s="194">
        <v>677</v>
      </c>
      <c r="D79" s="194">
        <v>2690</v>
      </c>
      <c r="E79" s="434">
        <f t="shared" si="0"/>
        <v>3.9734121122599704</v>
      </c>
      <c r="F79" s="194"/>
      <c r="G79" s="194"/>
      <c r="H79" s="194"/>
      <c r="I79" s="194"/>
      <c r="J79" s="194"/>
      <c r="K79" s="194"/>
      <c r="L79" s="194"/>
      <c r="M79" s="194"/>
      <c r="N79" s="194"/>
      <c r="O79" s="194"/>
      <c r="P79" s="194"/>
      <c r="Q79" s="194"/>
      <c r="R79" s="194"/>
      <c r="S79" s="194"/>
      <c r="T79" s="194"/>
      <c r="U79" s="194"/>
      <c r="V79" s="194"/>
      <c r="W79" s="194"/>
      <c r="X79" s="194"/>
      <c r="Y79" s="194"/>
      <c r="Z79" s="194"/>
      <c r="AA79" s="194"/>
      <c r="AB79" s="194"/>
      <c r="AC79" s="194"/>
      <c r="AD79" s="194"/>
      <c r="AE79" s="194"/>
      <c r="AF79" s="194"/>
      <c r="AG79" s="194"/>
      <c r="AH79" s="194"/>
      <c r="AI79" s="194"/>
      <c r="AJ79" s="194"/>
      <c r="AK79" s="194"/>
      <c r="AL79" s="194"/>
      <c r="AM79" s="194"/>
    </row>
    <row r="80" spans="1:39" ht="15.75" customHeight="1" x14ac:dyDescent="0.25">
      <c r="A80" s="194"/>
      <c r="B80" s="194" t="s">
        <v>1159</v>
      </c>
      <c r="C80" s="194">
        <v>6630</v>
      </c>
      <c r="D80" s="194">
        <v>5300</v>
      </c>
      <c r="E80" s="434">
        <f t="shared" si="0"/>
        <v>0.79939668174962297</v>
      </c>
      <c r="F80" s="194"/>
      <c r="G80" s="194"/>
      <c r="H80" s="194"/>
      <c r="I80" s="194"/>
      <c r="J80" s="194"/>
      <c r="K80" s="194"/>
      <c r="L80" s="194"/>
      <c r="M80" s="194"/>
      <c r="N80" s="194"/>
      <c r="O80" s="194"/>
      <c r="P80" s="194"/>
      <c r="Q80" s="194"/>
      <c r="R80" s="194"/>
      <c r="S80" s="194"/>
      <c r="T80" s="194"/>
      <c r="U80" s="194"/>
      <c r="V80" s="194"/>
      <c r="W80" s="194"/>
      <c r="X80" s="194"/>
      <c r="Y80" s="194"/>
      <c r="Z80" s="194"/>
      <c r="AA80" s="194"/>
      <c r="AB80" s="194"/>
      <c r="AC80" s="194"/>
      <c r="AD80" s="194"/>
      <c r="AE80" s="194"/>
      <c r="AF80" s="194"/>
      <c r="AG80" s="194"/>
      <c r="AH80" s="194"/>
      <c r="AI80" s="194"/>
      <c r="AJ80" s="194"/>
      <c r="AK80" s="194"/>
      <c r="AL80" s="194"/>
      <c r="AM80" s="194"/>
    </row>
    <row r="81" spans="1:39" ht="15.75" customHeight="1" x14ac:dyDescent="0.25">
      <c r="A81" s="194"/>
      <c r="B81" s="194"/>
      <c r="C81" s="194"/>
      <c r="D81" s="194"/>
      <c r="E81" s="194"/>
      <c r="F81" s="194"/>
      <c r="G81" s="194"/>
      <c r="H81" s="194"/>
      <c r="I81" s="194"/>
      <c r="J81" s="194"/>
      <c r="K81" s="194"/>
      <c r="L81" s="194"/>
      <c r="M81" s="194"/>
      <c r="N81" s="194"/>
      <c r="O81" s="194"/>
      <c r="P81" s="194"/>
      <c r="Q81" s="194"/>
      <c r="R81" s="194"/>
      <c r="S81" s="194"/>
      <c r="T81" s="194"/>
      <c r="U81" s="194"/>
      <c r="V81" s="194"/>
      <c r="W81" s="194"/>
      <c r="X81" s="194"/>
      <c r="Y81" s="194"/>
      <c r="Z81" s="194"/>
      <c r="AA81" s="194"/>
      <c r="AB81" s="194"/>
      <c r="AC81" s="194"/>
      <c r="AD81" s="194"/>
      <c r="AE81" s="194"/>
      <c r="AF81" s="194"/>
      <c r="AG81" s="194"/>
      <c r="AH81" s="194"/>
      <c r="AI81" s="194"/>
      <c r="AJ81" s="194"/>
      <c r="AK81" s="194"/>
      <c r="AL81" s="194"/>
      <c r="AM81" s="194"/>
    </row>
    <row r="82" spans="1:39" ht="15.75" customHeight="1" x14ac:dyDescent="0.25">
      <c r="A82" s="194"/>
      <c r="B82" s="432" t="s">
        <v>162</v>
      </c>
      <c r="C82" s="432" t="s">
        <v>1171</v>
      </c>
      <c r="D82" s="432" t="s">
        <v>7</v>
      </c>
      <c r="E82" s="432" t="s">
        <v>1209</v>
      </c>
      <c r="F82" s="194"/>
      <c r="G82" s="194"/>
      <c r="H82" s="194"/>
      <c r="I82" s="194"/>
      <c r="J82" s="194"/>
      <c r="K82" s="194"/>
      <c r="L82" s="194"/>
      <c r="M82" s="194"/>
      <c r="N82" s="194"/>
      <c r="O82" s="194"/>
      <c r="P82" s="194"/>
      <c r="Q82" s="194"/>
      <c r="R82" s="194"/>
      <c r="S82" s="194"/>
      <c r="T82" s="194"/>
      <c r="U82" s="194"/>
      <c r="V82" s="194"/>
      <c r="W82" s="194"/>
      <c r="X82" s="194"/>
      <c r="Y82" s="194"/>
      <c r="Z82" s="194"/>
      <c r="AA82" s="194"/>
      <c r="AB82" s="194"/>
      <c r="AC82" s="194"/>
      <c r="AD82" s="194"/>
      <c r="AE82" s="194"/>
      <c r="AF82" s="194"/>
      <c r="AG82" s="194"/>
      <c r="AH82" s="194"/>
      <c r="AI82" s="194"/>
      <c r="AJ82" s="194"/>
      <c r="AK82" s="194"/>
      <c r="AL82" s="194"/>
      <c r="AM82" s="194"/>
    </row>
    <row r="83" spans="1:39" ht="15.75" customHeight="1" x14ac:dyDescent="0.25">
      <c r="A83" s="194"/>
      <c r="B83" s="194" t="s">
        <v>1173</v>
      </c>
      <c r="C83" s="194">
        <v>138</v>
      </c>
      <c r="D83" s="194">
        <v>591</v>
      </c>
      <c r="E83" s="434">
        <f t="shared" ref="E83:E87" si="1">D83/C83</f>
        <v>4.2826086956521738</v>
      </c>
      <c r="F83" s="194"/>
      <c r="G83" s="194"/>
      <c r="H83" s="194"/>
      <c r="I83" s="194"/>
      <c r="J83" s="194"/>
      <c r="K83" s="194"/>
      <c r="L83" s="194"/>
      <c r="M83" s="194"/>
      <c r="N83" s="194"/>
      <c r="O83" s="194"/>
      <c r="P83" s="194"/>
      <c r="Q83" s="194"/>
      <c r="R83" s="194"/>
      <c r="S83" s="194"/>
      <c r="T83" s="194"/>
      <c r="U83" s="194"/>
      <c r="V83" s="194"/>
      <c r="W83" s="194"/>
      <c r="X83" s="194"/>
      <c r="Y83" s="194"/>
      <c r="Z83" s="194"/>
      <c r="AA83" s="194"/>
      <c r="AB83" s="194"/>
      <c r="AC83" s="194"/>
      <c r="AD83" s="194"/>
      <c r="AE83" s="194"/>
      <c r="AF83" s="194"/>
      <c r="AG83" s="194"/>
      <c r="AH83" s="194"/>
      <c r="AI83" s="194"/>
      <c r="AJ83" s="194"/>
      <c r="AK83" s="194"/>
      <c r="AL83" s="194"/>
      <c r="AM83" s="194"/>
    </row>
    <row r="84" spans="1:39" ht="15.75" customHeight="1" x14ac:dyDescent="0.25">
      <c r="A84" s="194"/>
      <c r="B84" s="194" t="s">
        <v>1174</v>
      </c>
      <c r="C84" s="194">
        <v>3350</v>
      </c>
      <c r="D84" s="194">
        <v>5850</v>
      </c>
      <c r="E84" s="434">
        <f t="shared" si="1"/>
        <v>1.7462686567164178</v>
      </c>
      <c r="F84" s="194"/>
      <c r="G84" s="194"/>
      <c r="H84" s="194"/>
      <c r="I84" s="194"/>
      <c r="J84" s="194"/>
      <c r="K84" s="194"/>
      <c r="L84" s="194"/>
      <c r="M84" s="194"/>
      <c r="N84" s="194"/>
      <c r="O84" s="194"/>
      <c r="P84" s="194"/>
      <c r="Q84" s="194"/>
      <c r="R84" s="194"/>
      <c r="S84" s="194"/>
      <c r="T84" s="194"/>
      <c r="U84" s="194"/>
      <c r="V84" s="194"/>
      <c r="W84" s="194"/>
      <c r="X84" s="194"/>
      <c r="Y84" s="194"/>
      <c r="Z84" s="194"/>
      <c r="AA84" s="194"/>
      <c r="AB84" s="194"/>
      <c r="AC84" s="194"/>
      <c r="AD84" s="194"/>
      <c r="AE84" s="194"/>
      <c r="AF84" s="194"/>
      <c r="AG84" s="194"/>
      <c r="AH84" s="194"/>
      <c r="AI84" s="194"/>
      <c r="AJ84" s="194"/>
      <c r="AK84" s="194"/>
      <c r="AL84" s="194"/>
      <c r="AM84" s="194"/>
    </row>
    <row r="85" spans="1:39" ht="15.75" customHeight="1" x14ac:dyDescent="0.25">
      <c r="A85" s="194"/>
      <c r="B85" s="194" t="s">
        <v>1175</v>
      </c>
      <c r="C85" s="194">
        <v>858</v>
      </c>
      <c r="D85" s="194">
        <v>3170</v>
      </c>
      <c r="E85" s="434">
        <f t="shared" si="1"/>
        <v>3.6946386946386944</v>
      </c>
      <c r="F85" s="194"/>
      <c r="G85" s="194"/>
      <c r="H85" s="194"/>
      <c r="I85" s="194"/>
      <c r="J85" s="194"/>
      <c r="K85" s="194"/>
      <c r="L85" s="194"/>
      <c r="M85" s="194"/>
      <c r="N85" s="194"/>
      <c r="O85" s="194"/>
      <c r="P85" s="194"/>
      <c r="Q85" s="194"/>
      <c r="R85" s="194"/>
      <c r="S85" s="194"/>
      <c r="T85" s="194"/>
      <c r="U85" s="194"/>
      <c r="V85" s="194"/>
      <c r="W85" s="194"/>
      <c r="X85" s="194"/>
      <c r="Y85" s="194"/>
      <c r="Z85" s="194"/>
      <c r="AA85" s="194"/>
      <c r="AB85" s="194"/>
      <c r="AC85" s="194"/>
      <c r="AD85" s="194"/>
      <c r="AE85" s="194"/>
      <c r="AF85" s="194"/>
      <c r="AG85" s="194"/>
      <c r="AH85" s="194"/>
      <c r="AI85" s="194"/>
      <c r="AJ85" s="194"/>
      <c r="AK85" s="194"/>
      <c r="AL85" s="194"/>
      <c r="AM85" s="194"/>
    </row>
    <row r="86" spans="1:39" ht="15.75" customHeight="1" x14ac:dyDescent="0.25">
      <c r="A86" s="194"/>
      <c r="B86" s="194" t="s">
        <v>1176</v>
      </c>
      <c r="C86" s="194">
        <v>804</v>
      </c>
      <c r="D86" s="194">
        <v>2920</v>
      </c>
      <c r="E86" s="434">
        <f t="shared" si="1"/>
        <v>3.6318407960199006</v>
      </c>
      <c r="F86" s="194"/>
      <c r="G86" s="194"/>
      <c r="H86" s="194"/>
      <c r="I86" s="194"/>
      <c r="J86" s="194"/>
      <c r="K86" s="194"/>
      <c r="L86" s="194"/>
      <c r="M86" s="194"/>
      <c r="N86" s="194"/>
      <c r="O86" s="194"/>
      <c r="P86" s="194"/>
      <c r="Q86" s="194"/>
      <c r="R86" s="194"/>
      <c r="S86" s="194"/>
      <c r="T86" s="194"/>
      <c r="U86" s="194"/>
      <c r="V86" s="194"/>
      <c r="W86" s="194"/>
      <c r="X86" s="194"/>
      <c r="Y86" s="194"/>
      <c r="Z86" s="194"/>
      <c r="AA86" s="194"/>
      <c r="AB86" s="194"/>
      <c r="AC86" s="194"/>
      <c r="AD86" s="194"/>
      <c r="AE86" s="194"/>
      <c r="AF86" s="194"/>
      <c r="AG86" s="194"/>
      <c r="AH86" s="194"/>
      <c r="AI86" s="194"/>
      <c r="AJ86" s="194"/>
      <c r="AK86" s="194"/>
      <c r="AL86" s="194"/>
      <c r="AM86" s="194"/>
    </row>
    <row r="87" spans="1:39" ht="15.75" customHeight="1" x14ac:dyDescent="0.25">
      <c r="A87" s="194"/>
      <c r="B87" s="194" t="s">
        <v>1177</v>
      </c>
      <c r="C87" s="194">
        <v>1650</v>
      </c>
      <c r="D87" s="194">
        <v>3960</v>
      </c>
      <c r="E87" s="434">
        <f t="shared" si="1"/>
        <v>2.4</v>
      </c>
      <c r="F87" s="194"/>
      <c r="G87" s="194"/>
      <c r="H87" s="194"/>
      <c r="I87" s="194"/>
      <c r="J87" s="194"/>
      <c r="K87" s="194"/>
      <c r="L87" s="194"/>
      <c r="M87" s="194"/>
      <c r="N87" s="194"/>
      <c r="O87" s="194"/>
      <c r="P87" s="194"/>
      <c r="Q87" s="194"/>
      <c r="R87" s="194"/>
      <c r="S87" s="194"/>
      <c r="T87" s="194"/>
      <c r="U87" s="194"/>
      <c r="V87" s="194"/>
      <c r="W87" s="194"/>
      <c r="X87" s="194"/>
      <c r="Y87" s="194"/>
      <c r="Z87" s="194"/>
      <c r="AA87" s="194"/>
      <c r="AB87" s="194"/>
      <c r="AC87" s="194"/>
      <c r="AD87" s="194"/>
      <c r="AE87" s="194"/>
      <c r="AF87" s="194"/>
      <c r="AG87" s="194"/>
      <c r="AH87" s="194"/>
      <c r="AI87" s="194"/>
      <c r="AJ87" s="194"/>
      <c r="AK87" s="194"/>
      <c r="AL87" s="194"/>
      <c r="AM87" s="194"/>
    </row>
    <row r="88" spans="1:39" ht="15.75" customHeight="1" x14ac:dyDescent="0.25">
      <c r="A88" s="194"/>
      <c r="B88" s="435" t="s">
        <v>1152</v>
      </c>
      <c r="C88" s="436"/>
      <c r="D88" s="436"/>
      <c r="E88" s="437">
        <f>AVERAGE(E83:E87)</f>
        <v>3.1510713686054377</v>
      </c>
      <c r="F88" s="194"/>
      <c r="G88" s="194"/>
      <c r="H88" s="194"/>
      <c r="I88" s="194"/>
      <c r="J88" s="194"/>
      <c r="K88" s="194"/>
      <c r="L88" s="194"/>
      <c r="M88" s="194"/>
      <c r="N88" s="194"/>
      <c r="O88" s="194"/>
      <c r="P88" s="194"/>
      <c r="Q88" s="194"/>
      <c r="R88" s="194"/>
      <c r="S88" s="194"/>
      <c r="T88" s="194"/>
      <c r="U88" s="194"/>
      <c r="V88" s="194"/>
      <c r="W88" s="194"/>
      <c r="X88" s="194"/>
      <c r="Y88" s="194"/>
      <c r="Z88" s="194"/>
      <c r="AA88" s="194"/>
      <c r="AB88" s="194"/>
      <c r="AC88" s="194"/>
      <c r="AD88" s="194"/>
      <c r="AE88" s="194"/>
      <c r="AF88" s="194"/>
      <c r="AG88" s="194"/>
      <c r="AH88" s="194"/>
      <c r="AI88" s="194"/>
      <c r="AJ88" s="194"/>
      <c r="AK88" s="194"/>
      <c r="AL88" s="194"/>
      <c r="AM88" s="194"/>
    </row>
    <row r="89" spans="1:39" ht="15.75" customHeight="1" x14ac:dyDescent="0.25">
      <c r="A89" s="194"/>
      <c r="B89" s="194"/>
      <c r="C89" s="194"/>
      <c r="D89" s="194"/>
      <c r="E89" s="194"/>
      <c r="F89" s="194"/>
      <c r="G89" s="194"/>
      <c r="H89" s="194"/>
      <c r="I89" s="194"/>
      <c r="J89" s="194"/>
      <c r="K89" s="194"/>
      <c r="L89" s="194"/>
      <c r="M89" s="194"/>
      <c r="N89" s="194"/>
      <c r="O89" s="194"/>
      <c r="P89" s="194"/>
      <c r="Q89" s="194"/>
      <c r="R89" s="194"/>
      <c r="S89" s="194"/>
      <c r="T89" s="194"/>
      <c r="U89" s="194"/>
      <c r="V89" s="194"/>
      <c r="W89" s="194"/>
      <c r="X89" s="194"/>
      <c r="Y89" s="194"/>
      <c r="Z89" s="194"/>
      <c r="AA89" s="194"/>
      <c r="AB89" s="194"/>
      <c r="AC89" s="194"/>
      <c r="AD89" s="194"/>
      <c r="AE89" s="194"/>
      <c r="AF89" s="194"/>
      <c r="AG89" s="194"/>
      <c r="AH89" s="194"/>
      <c r="AI89" s="194"/>
      <c r="AJ89" s="194"/>
      <c r="AK89" s="194"/>
      <c r="AL89" s="194"/>
      <c r="AM89" s="194"/>
    </row>
    <row r="90" spans="1:39" ht="15.75" customHeight="1" x14ac:dyDescent="0.25">
      <c r="A90" s="194"/>
      <c r="B90" s="432" t="s">
        <v>162</v>
      </c>
      <c r="C90" s="432" t="s">
        <v>1171</v>
      </c>
      <c r="D90" s="432" t="s">
        <v>7</v>
      </c>
      <c r="E90" s="432" t="s">
        <v>1209</v>
      </c>
      <c r="F90" s="194"/>
      <c r="G90" s="194"/>
      <c r="H90" s="194"/>
      <c r="I90" s="194"/>
      <c r="J90" s="194"/>
      <c r="K90" s="194"/>
      <c r="L90" s="194"/>
      <c r="M90" s="194"/>
      <c r="N90" s="194"/>
      <c r="O90" s="194"/>
      <c r="P90" s="194"/>
      <c r="Q90" s="194"/>
      <c r="R90" s="194"/>
      <c r="S90" s="194"/>
      <c r="T90" s="194"/>
      <c r="U90" s="194"/>
      <c r="V90" s="194"/>
      <c r="W90" s="194"/>
      <c r="X90" s="194"/>
      <c r="Y90" s="194"/>
      <c r="Z90" s="194"/>
      <c r="AA90" s="194"/>
      <c r="AB90" s="194"/>
      <c r="AC90" s="194"/>
      <c r="AD90" s="194"/>
      <c r="AE90" s="194"/>
      <c r="AF90" s="194"/>
      <c r="AG90" s="194"/>
      <c r="AH90" s="194"/>
      <c r="AI90" s="194"/>
      <c r="AJ90" s="194"/>
      <c r="AK90" s="194"/>
      <c r="AL90" s="194"/>
      <c r="AM90" s="194"/>
    </row>
    <row r="91" spans="1:39" ht="15.75" customHeight="1" x14ac:dyDescent="0.25">
      <c r="A91" s="194"/>
      <c r="B91" s="194" t="s">
        <v>1178</v>
      </c>
      <c r="C91" s="194">
        <v>9200</v>
      </c>
      <c r="D91" s="194">
        <v>7300</v>
      </c>
      <c r="E91" s="434">
        <f t="shared" ref="E91:E92" si="2">D91/C91</f>
        <v>0.79347826086956519</v>
      </c>
      <c r="F91" s="194"/>
      <c r="G91" s="194"/>
      <c r="H91" s="194"/>
      <c r="I91" s="194"/>
      <c r="J91" s="194"/>
      <c r="K91" s="194"/>
      <c r="L91" s="194"/>
      <c r="M91" s="194"/>
      <c r="N91" s="194"/>
      <c r="O91" s="194"/>
      <c r="P91" s="194"/>
      <c r="Q91" s="194"/>
      <c r="R91" s="194"/>
      <c r="S91" s="194"/>
      <c r="T91" s="194"/>
      <c r="U91" s="194"/>
      <c r="V91" s="194"/>
      <c r="W91" s="194"/>
      <c r="X91" s="194"/>
      <c r="Y91" s="194"/>
      <c r="Z91" s="194"/>
      <c r="AA91" s="194"/>
      <c r="AB91" s="194"/>
      <c r="AC91" s="194"/>
      <c r="AD91" s="194"/>
      <c r="AE91" s="194"/>
      <c r="AF91" s="194"/>
      <c r="AG91" s="194"/>
      <c r="AH91" s="194"/>
      <c r="AI91" s="194"/>
      <c r="AJ91" s="194"/>
      <c r="AK91" s="194"/>
      <c r="AL91" s="194"/>
      <c r="AM91" s="194"/>
    </row>
    <row r="92" spans="1:39" ht="15.75" customHeight="1" x14ac:dyDescent="0.25">
      <c r="A92" s="194"/>
      <c r="B92" s="194" t="s">
        <v>1179</v>
      </c>
      <c r="C92" s="194">
        <v>7910</v>
      </c>
      <c r="D92" s="194">
        <v>6260</v>
      </c>
      <c r="E92" s="434">
        <f t="shared" si="2"/>
        <v>0.79140328697850826</v>
      </c>
      <c r="F92" s="194"/>
      <c r="G92" s="194"/>
      <c r="H92" s="194"/>
      <c r="I92" s="194"/>
      <c r="J92" s="194"/>
      <c r="K92" s="194"/>
      <c r="L92" s="194"/>
      <c r="M92" s="194"/>
      <c r="N92" s="194"/>
      <c r="O92" s="194"/>
      <c r="P92" s="194"/>
      <c r="Q92" s="194"/>
      <c r="R92" s="194"/>
      <c r="S92" s="194"/>
      <c r="T92" s="194"/>
      <c r="U92" s="194"/>
      <c r="V92" s="194"/>
      <c r="W92" s="194"/>
      <c r="X92" s="194"/>
      <c r="Y92" s="194"/>
      <c r="Z92" s="194"/>
      <c r="AA92" s="194"/>
      <c r="AB92" s="194"/>
      <c r="AC92" s="194"/>
      <c r="AD92" s="194"/>
      <c r="AE92" s="194"/>
      <c r="AF92" s="194"/>
      <c r="AG92" s="194"/>
      <c r="AH92" s="194"/>
      <c r="AI92" s="194"/>
      <c r="AJ92" s="194"/>
      <c r="AK92" s="194"/>
      <c r="AL92" s="194"/>
      <c r="AM92" s="194"/>
    </row>
    <row r="93" spans="1:39" ht="15.75" customHeight="1" x14ac:dyDescent="0.25">
      <c r="A93" s="194"/>
      <c r="B93" s="432" t="s">
        <v>1087</v>
      </c>
      <c r="C93" s="194" t="s">
        <v>1168</v>
      </c>
      <c r="D93" s="194"/>
      <c r="E93" s="434"/>
      <c r="F93" s="194"/>
      <c r="G93" s="194"/>
      <c r="H93" s="194"/>
      <c r="I93" s="194"/>
      <c r="J93" s="194"/>
      <c r="K93" s="194"/>
      <c r="L93" s="194"/>
      <c r="M93" s="194"/>
      <c r="N93" s="194"/>
      <c r="O93" s="194"/>
      <c r="P93" s="194"/>
      <c r="Q93" s="194"/>
      <c r="R93" s="194"/>
      <c r="S93" s="194"/>
      <c r="T93" s="194"/>
      <c r="U93" s="194"/>
      <c r="V93" s="194"/>
      <c r="W93" s="194"/>
      <c r="X93" s="194"/>
      <c r="Y93" s="194"/>
      <c r="Z93" s="194"/>
      <c r="AA93" s="194"/>
      <c r="AB93" s="194"/>
      <c r="AC93" s="194"/>
      <c r="AD93" s="194"/>
      <c r="AE93" s="194"/>
      <c r="AF93" s="194"/>
      <c r="AG93" s="194"/>
      <c r="AH93" s="194"/>
      <c r="AI93" s="194"/>
      <c r="AJ93" s="194"/>
      <c r="AK93" s="194"/>
      <c r="AL93" s="194"/>
      <c r="AM93" s="194"/>
    </row>
    <row r="94" spans="1:39" ht="15.75" customHeight="1" x14ac:dyDescent="0.25">
      <c r="A94" s="194"/>
      <c r="B94" s="432" t="s">
        <v>1089</v>
      </c>
      <c r="C94" s="194" t="s">
        <v>1180</v>
      </c>
      <c r="D94" s="194"/>
      <c r="E94" s="434"/>
      <c r="F94" s="194"/>
      <c r="G94" s="194"/>
      <c r="H94" s="194"/>
      <c r="I94" s="194"/>
      <c r="J94" s="194"/>
      <c r="K94" s="194"/>
      <c r="L94" s="194"/>
      <c r="M94" s="194"/>
      <c r="N94" s="194"/>
      <c r="O94" s="194"/>
      <c r="P94" s="194"/>
      <c r="Q94" s="194"/>
      <c r="R94" s="194"/>
      <c r="S94" s="194"/>
      <c r="T94" s="194"/>
      <c r="U94" s="194"/>
      <c r="V94" s="194"/>
      <c r="W94" s="194"/>
      <c r="X94" s="194"/>
      <c r="Y94" s="194"/>
      <c r="Z94" s="194"/>
      <c r="AA94" s="194"/>
      <c r="AB94" s="194"/>
      <c r="AC94" s="194"/>
      <c r="AD94" s="194"/>
      <c r="AE94" s="194"/>
      <c r="AF94" s="194"/>
      <c r="AG94" s="194"/>
      <c r="AH94" s="194"/>
      <c r="AI94" s="194"/>
      <c r="AJ94" s="194"/>
      <c r="AK94" s="194"/>
      <c r="AL94" s="194"/>
      <c r="AM94" s="194"/>
    </row>
    <row r="95" spans="1:39" ht="15.75" customHeight="1" x14ac:dyDescent="0.25">
      <c r="A95" s="194"/>
      <c r="B95" s="432" t="s">
        <v>1091</v>
      </c>
      <c r="C95" s="194" t="s">
        <v>1181</v>
      </c>
      <c r="D95" s="194"/>
      <c r="E95" s="434"/>
      <c r="F95" s="194"/>
      <c r="G95" s="194"/>
      <c r="H95" s="1" t="s">
        <v>1182</v>
      </c>
      <c r="I95" s="1"/>
      <c r="J95" s="1"/>
      <c r="K95" s="1"/>
      <c r="L95" s="1"/>
      <c r="M95" s="1" t="s">
        <v>1183</v>
      </c>
      <c r="N95" s="1"/>
      <c r="O95" s="1"/>
      <c r="P95" s="1"/>
      <c r="Q95" s="1"/>
      <c r="R95" s="1"/>
      <c r="S95" s="194"/>
      <c r="T95" s="194"/>
      <c r="U95" s="194"/>
      <c r="V95" s="194"/>
      <c r="W95" s="194"/>
      <c r="X95" s="194"/>
      <c r="Y95" s="194"/>
      <c r="Z95" s="194"/>
      <c r="AA95" s="194"/>
      <c r="AB95" s="194"/>
      <c r="AC95" s="194"/>
      <c r="AD95" s="194"/>
      <c r="AE95" s="194"/>
      <c r="AF95" s="194"/>
      <c r="AG95" s="194"/>
      <c r="AH95" s="194"/>
      <c r="AI95" s="194"/>
      <c r="AJ95" s="194"/>
      <c r="AK95" s="194"/>
      <c r="AL95" s="194"/>
      <c r="AM95" s="194"/>
    </row>
    <row r="96" spans="1:39" ht="15.75" customHeight="1" x14ac:dyDescent="0.25">
      <c r="A96" s="194"/>
      <c r="B96" s="432" t="s">
        <v>162</v>
      </c>
      <c r="C96" s="432" t="s">
        <v>9</v>
      </c>
      <c r="D96" s="432" t="s">
        <v>7</v>
      </c>
      <c r="E96" s="438" t="s">
        <v>1209</v>
      </c>
      <c r="F96" s="194"/>
      <c r="G96" s="194"/>
      <c r="H96" s="1" t="s">
        <v>1184</v>
      </c>
      <c r="I96" s="1" t="s">
        <v>1185</v>
      </c>
      <c r="J96" s="1" t="s">
        <v>1186</v>
      </c>
      <c r="K96" s="1" t="s">
        <v>1187</v>
      </c>
      <c r="L96" s="1"/>
      <c r="M96" s="1" t="s">
        <v>1184</v>
      </c>
      <c r="N96" s="1" t="s">
        <v>1185</v>
      </c>
      <c r="O96" s="1" t="s">
        <v>1187</v>
      </c>
      <c r="P96" s="1" t="s">
        <v>1188</v>
      </c>
      <c r="Q96" s="1" t="s">
        <v>1189</v>
      </c>
      <c r="R96" s="1" t="s">
        <v>1190</v>
      </c>
      <c r="S96" s="194"/>
      <c r="T96" s="194"/>
      <c r="U96" s="194"/>
      <c r="V96" s="194"/>
      <c r="W96" s="194"/>
      <c r="X96" s="194"/>
      <c r="Y96" s="194"/>
      <c r="Z96" s="194"/>
      <c r="AA96" s="194"/>
      <c r="AB96" s="194"/>
      <c r="AC96" s="194"/>
      <c r="AD96" s="194"/>
      <c r="AE96" s="194"/>
      <c r="AF96" s="194"/>
      <c r="AG96" s="194"/>
      <c r="AH96" s="194"/>
      <c r="AI96" s="194"/>
      <c r="AJ96" s="194"/>
      <c r="AK96" s="194"/>
      <c r="AL96" s="194"/>
      <c r="AM96" s="194"/>
    </row>
    <row r="97" spans="1:39" ht="15.75" customHeight="1" x14ac:dyDescent="0.25">
      <c r="A97" s="194"/>
      <c r="B97" s="194" t="s">
        <v>1191</v>
      </c>
      <c r="C97" s="194">
        <v>3.88</v>
      </c>
      <c r="D97" s="194">
        <v>14</v>
      </c>
      <c r="E97" s="434">
        <f t="shared" ref="E97:E100" si="3">D97/C97</f>
        <v>3.6082474226804124</v>
      </c>
      <c r="F97" s="194"/>
      <c r="G97" s="194"/>
      <c r="H97" s="1" t="s">
        <v>1191</v>
      </c>
      <c r="I97" s="1" t="s">
        <v>1192</v>
      </c>
      <c r="J97" s="1">
        <v>0.11600000000000001</v>
      </c>
      <c r="K97" s="1">
        <v>42</v>
      </c>
      <c r="L97" s="1"/>
      <c r="M97" s="1" t="s">
        <v>1193</v>
      </c>
      <c r="N97" s="1" t="s">
        <v>1194</v>
      </c>
      <c r="O97" s="1">
        <v>26</v>
      </c>
      <c r="P97" s="1">
        <v>5</v>
      </c>
      <c r="Q97" s="1">
        <v>1</v>
      </c>
      <c r="R97" s="1">
        <f t="shared" ref="R97:R100" si="4">P97/Q97</f>
        <v>5</v>
      </c>
      <c r="S97" s="194"/>
      <c r="T97" s="194"/>
      <c r="U97" s="194"/>
      <c r="V97" s="194"/>
      <c r="W97" s="194"/>
      <c r="X97" s="194"/>
      <c r="Y97" s="194"/>
      <c r="Z97" s="194"/>
      <c r="AA97" s="194"/>
      <c r="AB97" s="194"/>
      <c r="AC97" s="194"/>
      <c r="AD97" s="194"/>
      <c r="AE97" s="194"/>
      <c r="AF97" s="194"/>
      <c r="AG97" s="194"/>
      <c r="AH97" s="194"/>
      <c r="AI97" s="194"/>
      <c r="AJ97" s="194"/>
      <c r="AK97" s="194"/>
      <c r="AL97" s="194"/>
      <c r="AM97" s="194"/>
    </row>
    <row r="98" spans="1:39" ht="15.75" customHeight="1" x14ac:dyDescent="0.25">
      <c r="A98" s="194"/>
      <c r="B98" s="194" t="s">
        <v>1195</v>
      </c>
      <c r="C98" s="194">
        <v>0.501</v>
      </c>
      <c r="D98" s="194">
        <v>1.81</v>
      </c>
      <c r="E98" s="434">
        <f t="shared" si="3"/>
        <v>3.6127744510978044</v>
      </c>
      <c r="F98" s="194"/>
      <c r="G98" s="194"/>
      <c r="H98" s="1" t="s">
        <v>1195</v>
      </c>
      <c r="I98" s="1" t="s">
        <v>1196</v>
      </c>
      <c r="J98" s="1">
        <v>3.3000000000000002E-2</v>
      </c>
      <c r="K98" s="1">
        <v>12</v>
      </c>
      <c r="L98" s="1"/>
      <c r="M98" s="1" t="s">
        <v>1197</v>
      </c>
      <c r="N98" s="1" t="s">
        <v>1198</v>
      </c>
      <c r="O98" s="1">
        <v>10.5</v>
      </c>
      <c r="P98" s="1">
        <v>1</v>
      </c>
      <c r="Q98" s="1" t="s">
        <v>1199</v>
      </c>
      <c r="R98" s="1" t="e">
        <f t="shared" si="4"/>
        <v>#VALUE!</v>
      </c>
      <c r="S98" s="194"/>
      <c r="T98" s="194"/>
      <c r="U98" s="194"/>
      <c r="V98" s="194"/>
      <c r="W98" s="194"/>
      <c r="X98" s="194"/>
      <c r="Y98" s="194"/>
      <c r="Z98" s="194"/>
      <c r="AA98" s="194"/>
      <c r="AB98" s="194"/>
      <c r="AC98" s="194"/>
      <c r="AD98" s="194"/>
      <c r="AE98" s="194"/>
      <c r="AF98" s="194"/>
      <c r="AG98" s="194"/>
      <c r="AH98" s="194"/>
      <c r="AI98" s="194"/>
      <c r="AJ98" s="194"/>
      <c r="AK98" s="194"/>
      <c r="AL98" s="194"/>
      <c r="AM98" s="194"/>
    </row>
    <row r="99" spans="1:39" ht="15.75" customHeight="1" x14ac:dyDescent="0.25">
      <c r="A99" s="194"/>
      <c r="B99" s="194" t="s">
        <v>1200</v>
      </c>
      <c r="C99" s="194">
        <v>1.37</v>
      </c>
      <c r="D99" s="194">
        <v>4.9400000000000004</v>
      </c>
      <c r="E99" s="434">
        <f t="shared" si="3"/>
        <v>3.605839416058394</v>
      </c>
      <c r="F99" s="194"/>
      <c r="G99" s="194"/>
      <c r="H99" s="1" t="s">
        <v>1200</v>
      </c>
      <c r="I99" s="1" t="s">
        <v>1201</v>
      </c>
      <c r="J99" s="1">
        <v>5.1999999999999998E-2</v>
      </c>
      <c r="K99" s="1">
        <v>19</v>
      </c>
      <c r="L99" s="1"/>
      <c r="M99" s="1" t="s">
        <v>1202</v>
      </c>
      <c r="N99" s="1" t="s">
        <v>1203</v>
      </c>
      <c r="O99" s="1">
        <v>16.399999999999999</v>
      </c>
      <c r="P99" s="1">
        <v>4</v>
      </c>
      <c r="Q99" s="1" t="s">
        <v>1199</v>
      </c>
      <c r="R99" s="1" t="e">
        <f t="shared" si="4"/>
        <v>#VALUE!</v>
      </c>
      <c r="S99" s="194"/>
      <c r="T99" s="194"/>
      <c r="U99" s="194"/>
      <c r="V99" s="194"/>
      <c r="W99" s="194"/>
      <c r="X99" s="194"/>
      <c r="Y99" s="194"/>
      <c r="Z99" s="194"/>
      <c r="AA99" s="194"/>
      <c r="AB99" s="194"/>
      <c r="AC99" s="194"/>
      <c r="AD99" s="194"/>
      <c r="AE99" s="194"/>
      <c r="AF99" s="194"/>
      <c r="AG99" s="194"/>
      <c r="AH99" s="194"/>
      <c r="AI99" s="194"/>
      <c r="AJ99" s="194"/>
      <c r="AK99" s="194"/>
      <c r="AL99" s="194"/>
      <c r="AM99" s="194"/>
    </row>
    <row r="100" spans="1:39" ht="15.75" customHeight="1" x14ac:dyDescent="0.25">
      <c r="A100" s="194"/>
      <c r="B100" s="194" t="s">
        <v>1204</v>
      </c>
      <c r="C100" s="194">
        <v>2.08</v>
      </c>
      <c r="D100" s="194">
        <v>7.48</v>
      </c>
      <c r="E100" s="434">
        <f t="shared" si="3"/>
        <v>3.5961538461538463</v>
      </c>
      <c r="F100" s="194"/>
      <c r="G100" s="194"/>
      <c r="H100" s="1" t="s">
        <v>1204</v>
      </c>
      <c r="I100" s="1" t="s">
        <v>1205</v>
      </c>
      <c r="J100" s="1">
        <v>7.3999999999999996E-2</v>
      </c>
      <c r="K100" s="1">
        <v>27</v>
      </c>
      <c r="L100" s="1"/>
      <c r="M100" s="1" t="s">
        <v>1206</v>
      </c>
      <c r="N100" s="1" t="s">
        <v>1207</v>
      </c>
      <c r="O100" s="1">
        <v>22</v>
      </c>
      <c r="P100" s="1">
        <v>6</v>
      </c>
      <c r="Q100" s="1">
        <v>2</v>
      </c>
      <c r="R100" s="1">
        <f t="shared" si="4"/>
        <v>3</v>
      </c>
      <c r="S100" s="194"/>
      <c r="T100" s="194"/>
      <c r="U100" s="194"/>
      <c r="V100" s="194"/>
      <c r="W100" s="194"/>
      <c r="X100" s="194"/>
      <c r="Y100" s="194"/>
      <c r="Z100" s="194"/>
      <c r="AA100" s="194"/>
      <c r="AB100" s="194"/>
      <c r="AC100" s="194"/>
      <c r="AD100" s="194"/>
      <c r="AE100" s="194"/>
      <c r="AF100" s="194"/>
      <c r="AG100" s="194"/>
      <c r="AH100" s="194"/>
      <c r="AI100" s="194"/>
      <c r="AJ100" s="194"/>
      <c r="AK100" s="194"/>
      <c r="AL100" s="194"/>
      <c r="AM100" s="194"/>
    </row>
    <row r="101" spans="1:39" ht="15.75" customHeight="1" x14ac:dyDescent="0.25">
      <c r="A101" s="194"/>
      <c r="B101" s="435" t="s">
        <v>1157</v>
      </c>
      <c r="C101" s="436"/>
      <c r="D101" s="436"/>
      <c r="E101" s="437">
        <f>AVERAGE(E91:E100)</f>
        <v>2.6679827806397554</v>
      </c>
      <c r="F101" s="194"/>
      <c r="G101" s="194"/>
      <c r="H101" s="194"/>
      <c r="I101" s="194"/>
      <c r="J101" s="194"/>
      <c r="K101" s="194"/>
      <c r="L101" s="194"/>
      <c r="M101" s="194"/>
      <c r="N101" s="194"/>
      <c r="O101" s="194"/>
      <c r="P101" s="194"/>
      <c r="Q101" s="194"/>
      <c r="R101" s="194"/>
      <c r="S101" s="194"/>
      <c r="T101" s="194"/>
      <c r="U101" s="194"/>
      <c r="V101" s="194"/>
      <c r="W101" s="194"/>
      <c r="X101" s="194"/>
      <c r="Y101" s="194"/>
      <c r="Z101" s="194"/>
      <c r="AA101" s="194"/>
      <c r="AB101" s="194"/>
      <c r="AC101" s="194"/>
      <c r="AD101" s="194"/>
      <c r="AE101" s="194"/>
      <c r="AF101" s="194"/>
      <c r="AG101" s="194"/>
      <c r="AH101" s="194"/>
      <c r="AI101" s="194"/>
      <c r="AJ101" s="194"/>
      <c r="AK101" s="194"/>
      <c r="AL101" s="194"/>
      <c r="AM101" s="194"/>
    </row>
    <row r="102" spans="1:39" ht="15.75" customHeight="1" x14ac:dyDescent="0.25">
      <c r="A102" s="194"/>
      <c r="B102" s="194"/>
      <c r="C102" s="194"/>
      <c r="D102" s="194"/>
      <c r="E102" s="194"/>
      <c r="F102" s="194"/>
      <c r="G102" s="194"/>
      <c r="H102" s="194"/>
      <c r="I102" s="194"/>
      <c r="J102" s="194"/>
      <c r="K102" s="194"/>
      <c r="L102" s="194"/>
      <c r="M102" s="194"/>
      <c r="N102" s="194"/>
      <c r="O102" s="194"/>
      <c r="P102" s="194"/>
      <c r="Q102" s="194"/>
      <c r="R102" s="194"/>
      <c r="S102" s="194"/>
      <c r="T102" s="194"/>
      <c r="U102" s="194"/>
      <c r="V102" s="194"/>
      <c r="W102" s="194"/>
      <c r="X102" s="194"/>
      <c r="Y102" s="194"/>
      <c r="Z102" s="194"/>
      <c r="AA102" s="194"/>
      <c r="AB102" s="194"/>
      <c r="AC102" s="194"/>
      <c r="AD102" s="194"/>
      <c r="AE102" s="194"/>
      <c r="AF102" s="194"/>
      <c r="AG102" s="194"/>
      <c r="AH102" s="194"/>
      <c r="AI102" s="194"/>
      <c r="AJ102" s="194"/>
      <c r="AK102" s="194"/>
      <c r="AL102" s="194"/>
      <c r="AM102" s="194"/>
    </row>
    <row r="103" spans="1:39" ht="15.75" customHeight="1" x14ac:dyDescent="0.25">
      <c r="A103" s="194"/>
      <c r="B103" s="1469" t="s">
        <v>1895</v>
      </c>
      <c r="C103" s="430"/>
      <c r="D103" s="430"/>
      <c r="E103" s="430"/>
      <c r="F103" s="430"/>
      <c r="G103" s="430"/>
      <c r="H103" s="430"/>
      <c r="I103" s="430"/>
      <c r="J103" s="430"/>
      <c r="K103" s="430"/>
      <c r="L103" s="430"/>
      <c r="M103" s="430"/>
      <c r="N103" s="430"/>
      <c r="O103" s="430"/>
      <c r="P103" s="430"/>
      <c r="Q103" s="430"/>
      <c r="R103" s="430"/>
      <c r="S103" s="430"/>
      <c r="T103" s="430"/>
      <c r="U103" s="430"/>
      <c r="V103" s="430"/>
      <c r="W103" s="430"/>
      <c r="X103" s="430"/>
      <c r="Y103" s="430"/>
      <c r="Z103" s="430"/>
      <c r="AA103" s="430"/>
      <c r="AB103" s="430"/>
      <c r="AC103" s="430"/>
      <c r="AD103" s="430"/>
      <c r="AE103" s="430"/>
      <c r="AF103" s="430"/>
      <c r="AG103" s="430"/>
      <c r="AH103" s="430"/>
      <c r="AI103" s="430"/>
      <c r="AJ103" s="430"/>
      <c r="AK103" s="430"/>
      <c r="AL103" s="430"/>
      <c r="AM103" s="431"/>
    </row>
    <row r="104" spans="1:39" ht="15.75" customHeight="1" x14ac:dyDescent="0.25">
      <c r="A104" s="194"/>
      <c r="B104" s="194"/>
      <c r="C104" s="194"/>
      <c r="D104" s="194"/>
      <c r="E104" s="194"/>
      <c r="F104" s="194"/>
      <c r="G104" s="194"/>
      <c r="H104" s="194"/>
      <c r="I104" s="194"/>
      <c r="J104" s="194"/>
      <c r="K104" s="194"/>
      <c r="L104" s="194"/>
      <c r="M104" s="194"/>
      <c r="N104" s="194"/>
      <c r="O104" s="194"/>
      <c r="P104" s="194"/>
      <c r="Q104" s="194"/>
      <c r="R104" s="194"/>
      <c r="S104" s="194"/>
      <c r="T104" s="194"/>
      <c r="U104" s="194"/>
      <c r="V104" s="194"/>
      <c r="W104" s="194"/>
      <c r="X104" s="194"/>
      <c r="Y104" s="194"/>
      <c r="Z104" s="194"/>
      <c r="AA104" s="194"/>
      <c r="AB104" s="194"/>
      <c r="AC104" s="194"/>
      <c r="AD104" s="194"/>
      <c r="AE104" s="194"/>
      <c r="AF104" s="194"/>
      <c r="AG104" s="194"/>
      <c r="AH104" s="194"/>
      <c r="AI104" s="194"/>
      <c r="AJ104" s="194"/>
      <c r="AK104" s="194"/>
      <c r="AL104" s="194"/>
      <c r="AM104" s="194"/>
    </row>
    <row r="105" spans="1:39" ht="15.75" customHeight="1" x14ac:dyDescent="0.25">
      <c r="A105" s="194"/>
      <c r="B105" s="432" t="str">
        <f t="shared" ref="B105:D105" si="5">B15</f>
        <v>sub_category_1</v>
      </c>
      <c r="C105" s="432" t="str">
        <f t="shared" si="5"/>
        <v>ghg_category</v>
      </c>
      <c r="D105" s="432" t="str">
        <f t="shared" si="5"/>
        <v>ghg</v>
      </c>
      <c r="E105" s="432" t="s">
        <v>1208</v>
      </c>
      <c r="F105" s="432" t="str">
        <f t="shared" ref="F105:AL105" si="6">F15</f>
        <v>Y1990</v>
      </c>
      <c r="G105" s="432" t="str">
        <f t="shared" si="6"/>
        <v>Y1991</v>
      </c>
      <c r="H105" s="432" t="str">
        <f t="shared" si="6"/>
        <v>Y1992</v>
      </c>
      <c r="I105" s="432" t="str">
        <f t="shared" si="6"/>
        <v>Y1993</v>
      </c>
      <c r="J105" s="432" t="str">
        <f t="shared" si="6"/>
        <v>Y1994</v>
      </c>
      <c r="K105" s="432" t="str">
        <f t="shared" si="6"/>
        <v>Y1995</v>
      </c>
      <c r="L105" s="432" t="str">
        <f t="shared" si="6"/>
        <v>Y1996</v>
      </c>
      <c r="M105" s="432" t="str">
        <f t="shared" si="6"/>
        <v>Y1997</v>
      </c>
      <c r="N105" s="432" t="str">
        <f t="shared" si="6"/>
        <v>Y1998</v>
      </c>
      <c r="O105" s="432" t="str">
        <f t="shared" si="6"/>
        <v>Y1999</v>
      </c>
      <c r="P105" s="432" t="str">
        <f t="shared" si="6"/>
        <v>Y2000</v>
      </c>
      <c r="Q105" s="432" t="str">
        <f t="shared" si="6"/>
        <v>Y2001</v>
      </c>
      <c r="R105" s="432" t="str">
        <f t="shared" si="6"/>
        <v>Y2002</v>
      </c>
      <c r="S105" s="432" t="str">
        <f t="shared" si="6"/>
        <v>Y2003</v>
      </c>
      <c r="T105" s="432" t="str">
        <f t="shared" si="6"/>
        <v>Y2004</v>
      </c>
      <c r="U105" s="432" t="str">
        <f t="shared" si="6"/>
        <v>Y2005</v>
      </c>
      <c r="V105" s="432" t="str">
        <f t="shared" si="6"/>
        <v>Y2006</v>
      </c>
      <c r="W105" s="432" t="str">
        <f t="shared" si="6"/>
        <v>Y2007</v>
      </c>
      <c r="X105" s="432" t="str">
        <f t="shared" si="6"/>
        <v>Y2008</v>
      </c>
      <c r="Y105" s="432" t="str">
        <f t="shared" si="6"/>
        <v>Y2009</v>
      </c>
      <c r="Z105" s="432" t="str">
        <f t="shared" si="6"/>
        <v>Y2010</v>
      </c>
      <c r="AA105" s="432" t="str">
        <f t="shared" si="6"/>
        <v>Y2011</v>
      </c>
      <c r="AB105" s="432" t="str">
        <f t="shared" si="6"/>
        <v>Y2012</v>
      </c>
      <c r="AC105" s="432" t="str">
        <f t="shared" si="6"/>
        <v>Y2013</v>
      </c>
      <c r="AD105" s="432" t="str">
        <f t="shared" si="6"/>
        <v>Y2014</v>
      </c>
      <c r="AE105" s="432" t="str">
        <f t="shared" si="6"/>
        <v>Y2015</v>
      </c>
      <c r="AF105" s="432" t="str">
        <f t="shared" si="6"/>
        <v>Y2016</v>
      </c>
      <c r="AG105" s="432" t="str">
        <f t="shared" si="6"/>
        <v>Y2017</v>
      </c>
      <c r="AH105" s="432" t="str">
        <f t="shared" si="6"/>
        <v>Y2018</v>
      </c>
      <c r="AI105" s="432" t="str">
        <f t="shared" si="6"/>
        <v>Y2019</v>
      </c>
      <c r="AJ105" s="432" t="str">
        <f t="shared" si="6"/>
        <v>Y2020</v>
      </c>
      <c r="AK105" s="432" t="str">
        <f t="shared" si="6"/>
        <v>Y2021</v>
      </c>
      <c r="AL105" s="432" t="str">
        <f t="shared" si="6"/>
        <v>Y2022</v>
      </c>
      <c r="AM105" s="432"/>
    </row>
    <row r="106" spans="1:39" ht="15.75" customHeight="1" x14ac:dyDescent="0.25">
      <c r="A106" s="194"/>
      <c r="B106" s="194" t="str">
        <f t="shared" ref="B106:D106" si="7">B16</f>
        <v>Fire protection</v>
      </c>
      <c r="C106" s="194" t="str">
        <f t="shared" si="7"/>
        <v>CO2</v>
      </c>
      <c r="D106" s="194" t="str">
        <f t="shared" si="7"/>
        <v>Carbon Dioxide</v>
      </c>
      <c r="E106" s="434">
        <f t="shared" ref="E106:E139" si="8">_xlfn.XLOOKUP(D106,B$73:B$101,E$73:E$101)</f>
        <v>1</v>
      </c>
      <c r="F106" s="433">
        <f t="shared" ref="F106:AL106" si="9">F16*$E106</f>
        <v>0</v>
      </c>
      <c r="G106" s="433">
        <f t="shared" si="9"/>
        <v>0</v>
      </c>
      <c r="H106" s="433">
        <f t="shared" si="9"/>
        <v>0</v>
      </c>
      <c r="I106" s="433">
        <f t="shared" si="9"/>
        <v>0</v>
      </c>
      <c r="J106" s="433">
        <f t="shared" si="9"/>
        <v>0</v>
      </c>
      <c r="K106" s="433">
        <f t="shared" si="9"/>
        <v>0</v>
      </c>
      <c r="L106" s="433">
        <f t="shared" si="9"/>
        <v>0</v>
      </c>
      <c r="M106" s="433">
        <f t="shared" si="9"/>
        <v>0</v>
      </c>
      <c r="N106" s="433">
        <f t="shared" si="9"/>
        <v>9.8519299213394535E-9</v>
      </c>
      <c r="O106" s="433">
        <f t="shared" si="9"/>
        <v>3.1540939323378811E-8</v>
      </c>
      <c r="P106" s="433">
        <f t="shared" si="9"/>
        <v>6.2501428747742371E-8</v>
      </c>
      <c r="Q106" s="433">
        <f t="shared" si="9"/>
        <v>1.018511703728463E-7</v>
      </c>
      <c r="R106" s="433">
        <f t="shared" si="9"/>
        <v>1.4894636659878889E-7</v>
      </c>
      <c r="S106" s="433">
        <f t="shared" si="9"/>
        <v>2.0074600781338119E-7</v>
      </c>
      <c r="T106" s="433">
        <f t="shared" si="9"/>
        <v>2.6107617905303778E-7</v>
      </c>
      <c r="U106" s="433">
        <f t="shared" si="9"/>
        <v>3.2987329132971848E-7</v>
      </c>
      <c r="V106" s="433">
        <f t="shared" si="9"/>
        <v>4.0711289923977971E-7</v>
      </c>
      <c r="W106" s="433">
        <f t="shared" si="9"/>
        <v>4.8314336560554063E-7</v>
      </c>
      <c r="X106" s="433">
        <f t="shared" si="9"/>
        <v>5.5882771452414812E-7</v>
      </c>
      <c r="Y106" s="433">
        <f t="shared" si="9"/>
        <v>6.3589657153355418E-7</v>
      </c>
      <c r="Z106" s="433">
        <f t="shared" si="9"/>
        <v>7.1660050457866461E-7</v>
      </c>
      <c r="AA106" s="433">
        <f t="shared" si="9"/>
        <v>7.9894555566048068E-7</v>
      </c>
      <c r="AB106" s="433">
        <f t="shared" si="9"/>
        <v>8.85221012763728E-7</v>
      </c>
      <c r="AC106" s="433">
        <f t="shared" si="9"/>
        <v>9.7440790019803123E-7</v>
      </c>
      <c r="AD106" s="433">
        <f t="shared" si="9"/>
        <v>1.0670013135791511E-6</v>
      </c>
      <c r="AE106" s="433">
        <f t="shared" si="9"/>
        <v>1.1630521332887881E-6</v>
      </c>
      <c r="AF106" s="433">
        <f t="shared" si="9"/>
        <v>1.261290134713085E-6</v>
      </c>
      <c r="AG106" s="433">
        <f t="shared" si="9"/>
        <v>1.3659550986162041E-6</v>
      </c>
      <c r="AH106" s="433">
        <f t="shared" si="9"/>
        <v>1.4755733918879199E-6</v>
      </c>
      <c r="AI106" s="433">
        <f t="shared" si="9"/>
        <v>1.5902747935584759E-6</v>
      </c>
      <c r="AJ106" s="433">
        <f t="shared" si="9"/>
        <v>1.668144611637901E-6</v>
      </c>
      <c r="AK106" s="433">
        <f t="shared" si="9"/>
        <v>1.7298704460152931E-6</v>
      </c>
      <c r="AL106" s="433">
        <f t="shared" si="9"/>
        <v>1.785639279141623E-6</v>
      </c>
      <c r="AM106" s="433"/>
    </row>
    <row r="107" spans="1:39" ht="15.75" customHeight="1" x14ac:dyDescent="0.25">
      <c r="A107" s="194"/>
      <c r="B107" s="194" t="str">
        <f t="shared" ref="B107:D107" si="10">B17</f>
        <v>Foam blowing agents</v>
      </c>
      <c r="C107" s="194" t="str">
        <f t="shared" si="10"/>
        <v>CO2</v>
      </c>
      <c r="D107" s="194" t="str">
        <f t="shared" si="10"/>
        <v>Carbon Dioxide</v>
      </c>
      <c r="E107" s="434">
        <f t="shared" si="8"/>
        <v>1</v>
      </c>
      <c r="F107" s="433">
        <f t="shared" ref="F107:AL107" si="11">F17*$E107</f>
        <v>2.6131014791080082E-7</v>
      </c>
      <c r="G107" s="433">
        <f t="shared" si="11"/>
        <v>4.1898124909234098E-7</v>
      </c>
      <c r="H107" s="433">
        <f t="shared" si="11"/>
        <v>5.8111866987456702E-7</v>
      </c>
      <c r="I107" s="433">
        <f t="shared" si="11"/>
        <v>7.4840461171582204E-7</v>
      </c>
      <c r="J107" s="433">
        <f t="shared" si="11"/>
        <v>9.2201719908830302E-7</v>
      </c>
      <c r="K107" s="433">
        <f t="shared" si="11"/>
        <v>2.3052706395561522E-6</v>
      </c>
      <c r="L107" s="433">
        <f t="shared" si="11"/>
        <v>4.4136082214367739E-6</v>
      </c>
      <c r="M107" s="433">
        <f t="shared" si="11"/>
        <v>6.5946290152229707E-6</v>
      </c>
      <c r="N107" s="433">
        <f t="shared" si="11"/>
        <v>8.8466612984224004E-6</v>
      </c>
      <c r="O107" s="433">
        <f t="shared" si="11"/>
        <v>1.147830442458914E-5</v>
      </c>
      <c r="P107" s="433">
        <f t="shared" si="11"/>
        <v>1.2507147924218111E-5</v>
      </c>
      <c r="Q107" s="433">
        <f t="shared" si="11"/>
        <v>1.314530607109544E-5</v>
      </c>
      <c r="R107" s="433">
        <f t="shared" si="11"/>
        <v>1.713973749358667E-5</v>
      </c>
      <c r="S107" s="433">
        <f t="shared" si="11"/>
        <v>2.1744247344928299E-5</v>
      </c>
      <c r="T107" s="433">
        <f t="shared" si="11"/>
        <v>2.306901239073155E-5</v>
      </c>
      <c r="U107" s="433">
        <f t="shared" si="11"/>
        <v>2.4384035920381919E-5</v>
      </c>
      <c r="V107" s="433">
        <f t="shared" si="11"/>
        <v>2.5685308896897321E-5</v>
      </c>
      <c r="W107" s="433">
        <f t="shared" si="11"/>
        <v>2.69879996666842E-5</v>
      </c>
      <c r="X107" s="433">
        <f t="shared" si="11"/>
        <v>2.8364564007057459E-5</v>
      </c>
      <c r="Y107" s="433">
        <f t="shared" si="11"/>
        <v>3.1166396877940423E-5</v>
      </c>
      <c r="Z107" s="433">
        <f t="shared" si="11"/>
        <v>3.4618545587236393E-5</v>
      </c>
      <c r="AA107" s="433">
        <f t="shared" si="11"/>
        <v>3.6918482212532093E-5</v>
      </c>
      <c r="AB107" s="433">
        <f t="shared" si="11"/>
        <v>3.867669343107176E-5</v>
      </c>
      <c r="AC107" s="433">
        <f t="shared" si="11"/>
        <v>4.0727676739808633E-5</v>
      </c>
      <c r="AD107" s="433">
        <f t="shared" si="11"/>
        <v>4.3031867101066257E-5</v>
      </c>
      <c r="AE107" s="433">
        <f t="shared" si="11"/>
        <v>4.5313001867797073E-5</v>
      </c>
      <c r="AF107" s="433">
        <f t="shared" si="11"/>
        <v>4.8376348474465388E-5</v>
      </c>
      <c r="AG107" s="433">
        <f t="shared" si="11"/>
        <v>5.1409482806971542E-5</v>
      </c>
      <c r="AH107" s="433">
        <f t="shared" si="11"/>
        <v>5.50670128350142E-5</v>
      </c>
      <c r="AI107" s="433">
        <f t="shared" si="11"/>
        <v>5.8640584864915532E-5</v>
      </c>
      <c r="AJ107" s="433">
        <f t="shared" si="11"/>
        <v>6.3052900975069188E-5</v>
      </c>
      <c r="AK107" s="433">
        <f t="shared" si="11"/>
        <v>6.6892769382864136E-5</v>
      </c>
      <c r="AL107" s="433">
        <f t="shared" si="11"/>
        <v>7.0764145343318397E-5</v>
      </c>
      <c r="AM107" s="433"/>
    </row>
    <row r="108" spans="1:39" ht="15.75" customHeight="1" x14ac:dyDescent="0.25">
      <c r="A108" s="194"/>
      <c r="B108" s="194" t="str">
        <f t="shared" ref="B108:D108" si="12">B18</f>
        <v>Refrigeration and air-conditioning</v>
      </c>
      <c r="C108" s="194" t="str">
        <f t="shared" si="12"/>
        <v>CO2</v>
      </c>
      <c r="D108" s="194" t="str">
        <f t="shared" si="12"/>
        <v>Carbon Dioxide</v>
      </c>
      <c r="E108" s="434">
        <f t="shared" si="8"/>
        <v>1</v>
      </c>
      <c r="F108" s="433">
        <f t="shared" ref="F108:AL108" si="13">F18*$E108</f>
        <v>0</v>
      </c>
      <c r="G108" s="433">
        <f t="shared" si="13"/>
        <v>0</v>
      </c>
      <c r="H108" s="433">
        <f t="shared" si="13"/>
        <v>0</v>
      </c>
      <c r="I108" s="433">
        <f t="shared" si="13"/>
        <v>0</v>
      </c>
      <c r="J108" s="433">
        <f t="shared" si="13"/>
        <v>0</v>
      </c>
      <c r="K108" s="433">
        <f t="shared" si="13"/>
        <v>0</v>
      </c>
      <c r="L108" s="433">
        <f t="shared" si="13"/>
        <v>0</v>
      </c>
      <c r="M108" s="433">
        <f t="shared" si="13"/>
        <v>0</v>
      </c>
      <c r="N108" s="433">
        <f t="shared" si="13"/>
        <v>0</v>
      </c>
      <c r="O108" s="433">
        <f t="shared" si="13"/>
        <v>0</v>
      </c>
      <c r="P108" s="433">
        <f t="shared" si="13"/>
        <v>0</v>
      </c>
      <c r="Q108" s="433">
        <f t="shared" si="13"/>
        <v>0</v>
      </c>
      <c r="R108" s="433">
        <f t="shared" si="13"/>
        <v>0</v>
      </c>
      <c r="S108" s="433">
        <f t="shared" si="13"/>
        <v>0</v>
      </c>
      <c r="T108" s="433">
        <f t="shared" si="13"/>
        <v>0</v>
      </c>
      <c r="U108" s="433">
        <f t="shared" si="13"/>
        <v>0</v>
      </c>
      <c r="V108" s="433">
        <f t="shared" si="13"/>
        <v>0</v>
      </c>
      <c r="W108" s="433">
        <f t="shared" si="13"/>
        <v>0</v>
      </c>
      <c r="X108" s="433">
        <f t="shared" si="13"/>
        <v>0</v>
      </c>
      <c r="Y108" s="433">
        <f t="shared" si="13"/>
        <v>0</v>
      </c>
      <c r="Z108" s="433">
        <f t="shared" si="13"/>
        <v>0</v>
      </c>
      <c r="AA108" s="433">
        <f t="shared" si="13"/>
        <v>0</v>
      </c>
      <c r="AB108" s="433">
        <f t="shared" si="13"/>
        <v>3.70462863680154E-10</v>
      </c>
      <c r="AC108" s="433">
        <f t="shared" si="13"/>
        <v>1.1108583319757149E-9</v>
      </c>
      <c r="AD108" s="433">
        <f t="shared" si="13"/>
        <v>1.2944556663871841E-9</v>
      </c>
      <c r="AE108" s="433">
        <f t="shared" si="13"/>
        <v>2.3984260362871581E-9</v>
      </c>
      <c r="AF108" s="433">
        <f t="shared" si="13"/>
        <v>2.940498638410223E-9</v>
      </c>
      <c r="AG108" s="433">
        <f t="shared" si="13"/>
        <v>6.4163774596117491E-9</v>
      </c>
      <c r="AH108" s="433">
        <f t="shared" si="13"/>
        <v>1.353233746433338E-8</v>
      </c>
      <c r="AI108" s="433">
        <f t="shared" si="13"/>
        <v>2.4263685619281551E-8</v>
      </c>
      <c r="AJ108" s="433">
        <f t="shared" si="13"/>
        <v>3.9230959730470671E-8</v>
      </c>
      <c r="AK108" s="433">
        <f t="shared" si="13"/>
        <v>5.8312306612808159E-8</v>
      </c>
      <c r="AL108" s="433">
        <f t="shared" si="13"/>
        <v>8.8385301478315641E-8</v>
      </c>
      <c r="AM108" s="433"/>
    </row>
    <row r="109" spans="1:39" ht="15.75" customHeight="1" x14ac:dyDescent="0.25">
      <c r="A109" s="194"/>
      <c r="B109" s="194" t="str">
        <f t="shared" ref="B109:D109" si="14">B19</f>
        <v>Fire protection</v>
      </c>
      <c r="C109" s="194" t="str">
        <f t="shared" si="14"/>
        <v>HFC</v>
      </c>
      <c r="D109" s="194" t="str">
        <f t="shared" si="14"/>
        <v>HFC-125</v>
      </c>
      <c r="E109" s="434">
        <f t="shared" si="8"/>
        <v>2.1261829652996846</v>
      </c>
      <c r="F109" s="433">
        <f t="shared" ref="F109:AL109" si="15">F19*$E109</f>
        <v>0</v>
      </c>
      <c r="G109" s="433">
        <f t="shared" si="15"/>
        <v>0</v>
      </c>
      <c r="H109" s="433">
        <f t="shared" si="15"/>
        <v>0</v>
      </c>
      <c r="I109" s="433">
        <f t="shared" si="15"/>
        <v>0</v>
      </c>
      <c r="J109" s="433">
        <f t="shared" si="15"/>
        <v>0</v>
      </c>
      <c r="K109" s="433">
        <f t="shared" si="15"/>
        <v>0</v>
      </c>
      <c r="L109" s="433">
        <f t="shared" si="15"/>
        <v>0</v>
      </c>
      <c r="M109" s="433">
        <f t="shared" si="15"/>
        <v>5.7571990095128003E-5</v>
      </c>
      <c r="N109" s="433">
        <f t="shared" si="15"/>
        <v>1.8483238300851502E-4</v>
      </c>
      <c r="O109" s="433">
        <f t="shared" si="15"/>
        <v>3.9611648142284306E-4</v>
      </c>
      <c r="P109" s="433">
        <f t="shared" si="15"/>
        <v>6.6493284392299152E-4</v>
      </c>
      <c r="Q109" s="433">
        <f t="shared" si="15"/>
        <v>1.1052573519378483E-3</v>
      </c>
      <c r="R109" s="433">
        <f t="shared" si="15"/>
        <v>1.7047470015383282E-3</v>
      </c>
      <c r="S109" s="433">
        <f t="shared" si="15"/>
        <v>2.3036362702622817E-3</v>
      </c>
      <c r="T109" s="433">
        <f t="shared" si="15"/>
        <v>2.9638695676202451E-3</v>
      </c>
      <c r="U109" s="433">
        <f t="shared" si="15"/>
        <v>3.6841870851524413E-3</v>
      </c>
      <c r="V109" s="433">
        <f t="shared" si="15"/>
        <v>4.4548546307282087E-3</v>
      </c>
      <c r="W109" s="433">
        <f t="shared" si="15"/>
        <v>5.2130733238023473E-3</v>
      </c>
      <c r="X109" s="433">
        <f t="shared" si="15"/>
        <v>5.9591261537047802E-3</v>
      </c>
      <c r="Y109" s="433">
        <f t="shared" si="15"/>
        <v>5.4487094206791559E-3</v>
      </c>
      <c r="Z109" s="433">
        <f t="shared" si="15"/>
        <v>5.8520639600508463E-3</v>
      </c>
      <c r="AA109" s="433">
        <f t="shared" si="15"/>
        <v>6.8651016120935427E-3</v>
      </c>
      <c r="AB109" s="433">
        <f t="shared" si="15"/>
        <v>8.1315806978888294E-3</v>
      </c>
      <c r="AC109" s="433">
        <f t="shared" si="15"/>
        <v>9.0795182214264501E-3</v>
      </c>
      <c r="AD109" s="433">
        <f t="shared" si="15"/>
        <v>1.1376499910347646E-2</v>
      </c>
      <c r="AE109" s="433">
        <f t="shared" si="15"/>
        <v>1.114275687659687E-2</v>
      </c>
      <c r="AF109" s="433">
        <f t="shared" si="15"/>
        <v>1.3124379754322983E-2</v>
      </c>
      <c r="AG109" s="433">
        <f t="shared" si="15"/>
        <v>1.176742624873031E-2</v>
      </c>
      <c r="AH109" s="433">
        <f t="shared" si="15"/>
        <v>1.3770671150712809E-2</v>
      </c>
      <c r="AI109" s="433">
        <f t="shared" si="15"/>
        <v>1.3012995875237405E-2</v>
      </c>
      <c r="AJ109" s="433">
        <f t="shared" si="15"/>
        <v>1.4877406661998079E-2</v>
      </c>
      <c r="AK109" s="433">
        <f t="shared" si="15"/>
        <v>1.5441254031824494E-2</v>
      </c>
      <c r="AL109" s="433">
        <f t="shared" si="15"/>
        <v>1.5998522550147595E-2</v>
      </c>
      <c r="AM109" s="433"/>
    </row>
    <row r="110" spans="1:39" ht="15.75" customHeight="1" x14ac:dyDescent="0.25">
      <c r="A110" s="194"/>
      <c r="B110" s="194" t="str">
        <f t="shared" ref="B110:D110" si="16">B20</f>
        <v>Refrigeration and air-conditioning</v>
      </c>
      <c r="C110" s="194" t="str">
        <f t="shared" si="16"/>
        <v>HFC</v>
      </c>
      <c r="D110" s="194" t="str">
        <f t="shared" si="16"/>
        <v>HFC-125</v>
      </c>
      <c r="E110" s="434">
        <f t="shared" si="8"/>
        <v>2.1261829652996846</v>
      </c>
      <c r="F110" s="433">
        <f t="shared" ref="F110:AL110" si="17">F20*$E110</f>
        <v>4.4290087025206964E-6</v>
      </c>
      <c r="G110" s="433">
        <f t="shared" si="17"/>
        <v>1.0909506577744313E-5</v>
      </c>
      <c r="H110" s="433">
        <f t="shared" si="17"/>
        <v>2.0917088739137484E-5</v>
      </c>
      <c r="I110" s="433">
        <f t="shared" si="17"/>
        <v>3.8957628337709968E-3</v>
      </c>
      <c r="J110" s="433">
        <f t="shared" si="17"/>
        <v>1.0360613347387812E-2</v>
      </c>
      <c r="K110" s="433">
        <f t="shared" si="17"/>
        <v>2.1959021848456228E-2</v>
      </c>
      <c r="L110" s="433">
        <f t="shared" si="17"/>
        <v>3.7377949140363957E-2</v>
      </c>
      <c r="M110" s="433">
        <f t="shared" si="17"/>
        <v>5.7694503290050443E-2</v>
      </c>
      <c r="N110" s="433">
        <f t="shared" si="17"/>
        <v>7.5441127688635784E-2</v>
      </c>
      <c r="O110" s="433">
        <f t="shared" si="17"/>
        <v>9.8735241306496094E-2</v>
      </c>
      <c r="P110" s="433">
        <f t="shared" si="17"/>
        <v>0.11800271401129606</v>
      </c>
      <c r="Q110" s="433">
        <f t="shared" si="17"/>
        <v>0.14357802940514391</v>
      </c>
      <c r="R110" s="433">
        <f t="shared" si="17"/>
        <v>0.1742768157574226</v>
      </c>
      <c r="S110" s="433">
        <f t="shared" si="17"/>
        <v>0.2080106369577765</v>
      </c>
      <c r="T110" s="433">
        <f t="shared" si="17"/>
        <v>0.24275140421094576</v>
      </c>
      <c r="U110" s="433">
        <f t="shared" si="17"/>
        <v>0.30517976168055727</v>
      </c>
      <c r="V110" s="433">
        <f t="shared" si="17"/>
        <v>0.38477102380691625</v>
      </c>
      <c r="W110" s="433">
        <f t="shared" si="17"/>
        <v>0.48751095517876009</v>
      </c>
      <c r="X110" s="433">
        <f t="shared" si="17"/>
        <v>0.59767345353103674</v>
      </c>
      <c r="Y110" s="433">
        <f t="shared" si="17"/>
        <v>0.58690525829513485</v>
      </c>
      <c r="Z110" s="433">
        <f t="shared" si="17"/>
        <v>0.67900030042270687</v>
      </c>
      <c r="AA110" s="433">
        <f t="shared" si="17"/>
        <v>0.83811505955745813</v>
      </c>
      <c r="AB110" s="433">
        <f t="shared" si="17"/>
        <v>1.0222672570740119</v>
      </c>
      <c r="AC110" s="433">
        <f t="shared" si="17"/>
        <v>1.1710677898250417</v>
      </c>
      <c r="AD110" s="433">
        <f t="shared" si="17"/>
        <v>1.4961260910481193</v>
      </c>
      <c r="AE110" s="433">
        <f t="shared" si="17"/>
        <v>1.4830083013932445</v>
      </c>
      <c r="AF110" s="433">
        <f t="shared" si="17"/>
        <v>1.7717247215982996</v>
      </c>
      <c r="AG110" s="433">
        <f t="shared" si="17"/>
        <v>1.5978745787807784</v>
      </c>
      <c r="AH110" s="433">
        <f t="shared" si="17"/>
        <v>1.8933909899415458</v>
      </c>
      <c r="AI110" s="433">
        <f t="shared" si="17"/>
        <v>1.8436750088781966</v>
      </c>
      <c r="AJ110" s="433">
        <f t="shared" si="17"/>
        <v>2.2150877790672681</v>
      </c>
      <c r="AK110" s="433">
        <f t="shared" si="17"/>
        <v>2.547093622214768</v>
      </c>
      <c r="AL110" s="433">
        <f t="shared" si="17"/>
        <v>2.7698784480005774</v>
      </c>
      <c r="AM110" s="433"/>
    </row>
    <row r="111" spans="1:39" ht="15.75" customHeight="1" x14ac:dyDescent="0.25">
      <c r="A111" s="194"/>
      <c r="B111" s="194" t="str">
        <f t="shared" ref="B111:D111" si="18">B21</f>
        <v>Foam blowing agents</v>
      </c>
      <c r="C111" s="194" t="str">
        <f t="shared" si="18"/>
        <v>HFC</v>
      </c>
      <c r="D111" s="194" t="str">
        <f t="shared" si="18"/>
        <v>HFC-134a</v>
      </c>
      <c r="E111" s="434">
        <f t="shared" si="8"/>
        <v>3.1846153846153844</v>
      </c>
      <c r="F111" s="433">
        <f t="shared" ref="F111:AL111" si="19">F21*$E111</f>
        <v>0</v>
      </c>
      <c r="G111" s="433">
        <f t="shared" si="19"/>
        <v>0</v>
      </c>
      <c r="H111" s="433">
        <f t="shared" si="19"/>
        <v>0</v>
      </c>
      <c r="I111" s="433">
        <f t="shared" si="19"/>
        <v>0</v>
      </c>
      <c r="J111" s="433">
        <f t="shared" si="19"/>
        <v>0</v>
      </c>
      <c r="K111" s="433">
        <f t="shared" si="19"/>
        <v>0</v>
      </c>
      <c r="L111" s="433">
        <f t="shared" si="19"/>
        <v>1.4994128497872504E-3</v>
      </c>
      <c r="M111" s="433">
        <f t="shared" si="19"/>
        <v>3.1017696015334249E-3</v>
      </c>
      <c r="N111" s="433">
        <f t="shared" si="19"/>
        <v>4.8318186145940092E-3</v>
      </c>
      <c r="O111" s="433">
        <f t="shared" si="19"/>
        <v>6.6528061640714932E-3</v>
      </c>
      <c r="P111" s="433">
        <f t="shared" si="19"/>
        <v>7.1963498948814063E-3</v>
      </c>
      <c r="Q111" s="433">
        <f t="shared" si="19"/>
        <v>7.8020888380688691E-3</v>
      </c>
      <c r="R111" s="433">
        <f t="shared" si="19"/>
        <v>3.0801386629166223E-2</v>
      </c>
      <c r="S111" s="433">
        <f t="shared" si="19"/>
        <v>5.7282043067013629E-2</v>
      </c>
      <c r="T111" s="433">
        <f t="shared" si="19"/>
        <v>6.3844046750419936E-2</v>
      </c>
      <c r="U111" s="433">
        <f t="shared" si="19"/>
        <v>7.0685939462044892E-2</v>
      </c>
      <c r="V111" s="433">
        <f t="shared" si="19"/>
        <v>7.7615713170384459E-2</v>
      </c>
      <c r="W111" s="433">
        <f t="shared" si="19"/>
        <v>8.4782618123570727E-2</v>
      </c>
      <c r="X111" s="433">
        <f t="shared" si="19"/>
        <v>9.1809561376609172E-2</v>
      </c>
      <c r="Y111" s="433">
        <f t="shared" si="19"/>
        <v>0.15865361870751421</v>
      </c>
      <c r="Z111" s="433">
        <f t="shared" si="19"/>
        <v>0.20546520687063527</v>
      </c>
      <c r="AA111" s="433">
        <f t="shared" si="19"/>
        <v>0.22268142283954873</v>
      </c>
      <c r="AB111" s="433">
        <f t="shared" si="19"/>
        <v>0.2404139897899035</v>
      </c>
      <c r="AC111" s="433">
        <f t="shared" si="19"/>
        <v>0.32773143893867596</v>
      </c>
      <c r="AD111" s="433">
        <f t="shared" si="19"/>
        <v>0.40068349054478791</v>
      </c>
      <c r="AE111" s="433">
        <f t="shared" si="19"/>
        <v>0.40264353733861563</v>
      </c>
      <c r="AF111" s="433">
        <f t="shared" si="19"/>
        <v>0.38980725810102657</v>
      </c>
      <c r="AG111" s="433">
        <f t="shared" si="19"/>
        <v>0.34019277959174604</v>
      </c>
      <c r="AH111" s="433">
        <f t="shared" si="19"/>
        <v>0.38272555204845199</v>
      </c>
      <c r="AI111" s="433">
        <f t="shared" si="19"/>
        <v>0.37348533888794161</v>
      </c>
      <c r="AJ111" s="433">
        <f t="shared" si="19"/>
        <v>0.40998230976859645</v>
      </c>
      <c r="AK111" s="433">
        <f t="shared" si="19"/>
        <v>0.21815095156291026</v>
      </c>
      <c r="AL111" s="433">
        <f t="shared" si="19"/>
        <v>0.23293601745876527</v>
      </c>
      <c r="AM111" s="433"/>
    </row>
    <row r="112" spans="1:39" ht="15.75" customHeight="1" x14ac:dyDescent="0.25">
      <c r="A112" s="194"/>
      <c r="B112" s="194" t="str">
        <f t="shared" ref="B112:D112" si="20">B22</f>
        <v>Metered does inhalers</v>
      </c>
      <c r="C112" s="194" t="str">
        <f t="shared" si="20"/>
        <v>HFC</v>
      </c>
      <c r="D112" s="194" t="str">
        <f t="shared" si="20"/>
        <v>HFC-134a</v>
      </c>
      <c r="E112" s="434">
        <f t="shared" si="8"/>
        <v>3.1846153846153844</v>
      </c>
      <c r="F112" s="433">
        <f t="shared" ref="F112:AL112" si="21">F22*$E112</f>
        <v>0</v>
      </c>
      <c r="G112" s="433">
        <f t="shared" si="21"/>
        <v>0</v>
      </c>
      <c r="H112" s="433">
        <f t="shared" si="21"/>
        <v>0</v>
      </c>
      <c r="I112" s="433">
        <f t="shared" si="21"/>
        <v>0</v>
      </c>
      <c r="J112" s="433">
        <f t="shared" si="21"/>
        <v>0</v>
      </c>
      <c r="K112" s="433">
        <f t="shared" si="21"/>
        <v>0</v>
      </c>
      <c r="L112" s="433">
        <f t="shared" si="21"/>
        <v>0</v>
      </c>
      <c r="M112" s="433">
        <f t="shared" si="21"/>
        <v>1.0265856810236431E-3</v>
      </c>
      <c r="N112" s="433">
        <f t="shared" si="21"/>
        <v>2.0786189220123263E-3</v>
      </c>
      <c r="O112" s="433">
        <f t="shared" si="21"/>
        <v>3.1542956911043947E-3</v>
      </c>
      <c r="P112" s="433">
        <f t="shared" si="21"/>
        <v>4.3679136644395287E-3</v>
      </c>
      <c r="Q112" s="433">
        <f t="shared" si="21"/>
        <v>9.9892484359226531E-3</v>
      </c>
      <c r="R112" s="433">
        <f t="shared" si="21"/>
        <v>1.578843026236286E-2</v>
      </c>
      <c r="S112" s="433">
        <f t="shared" si="21"/>
        <v>2.1731762555677086E-2</v>
      </c>
      <c r="T112" s="433">
        <f t="shared" si="21"/>
        <v>2.7859797127108493E-2</v>
      </c>
      <c r="U112" s="433">
        <f t="shared" si="21"/>
        <v>3.4165564147281502E-2</v>
      </c>
      <c r="V112" s="433">
        <f t="shared" si="21"/>
        <v>4.0574395420222648E-2</v>
      </c>
      <c r="W112" s="433">
        <f t="shared" si="21"/>
        <v>4.7044960782378471E-2</v>
      </c>
      <c r="X112" s="433">
        <f t="shared" si="21"/>
        <v>5.2401470091679676E-2</v>
      </c>
      <c r="Y112" s="433">
        <f t="shared" si="21"/>
        <v>5.6894316619321442E-2</v>
      </c>
      <c r="Z112" s="433">
        <f t="shared" si="21"/>
        <v>5.426580242259349E-2</v>
      </c>
      <c r="AA112" s="433">
        <f t="shared" si="21"/>
        <v>5.9132882557285528E-2</v>
      </c>
      <c r="AB112" s="433">
        <f t="shared" si="21"/>
        <v>5.5474906311914755E-2</v>
      </c>
      <c r="AC112" s="433">
        <f t="shared" si="21"/>
        <v>6.5038510771174687E-2</v>
      </c>
      <c r="AD112" s="433">
        <f t="shared" si="21"/>
        <v>6.782057743302472E-2</v>
      </c>
      <c r="AE112" s="433">
        <f t="shared" si="21"/>
        <v>5.728341571504908E-2</v>
      </c>
      <c r="AF112" s="433">
        <f t="shared" si="21"/>
        <v>6.6850937334274177E-2</v>
      </c>
      <c r="AG112" s="433">
        <f t="shared" si="21"/>
        <v>7.0599217449688653E-2</v>
      </c>
      <c r="AH112" s="433">
        <f t="shared" si="21"/>
        <v>9.1173364340307886E-2</v>
      </c>
      <c r="AI112" s="433">
        <f t="shared" si="21"/>
        <v>8.979497822286503E-2</v>
      </c>
      <c r="AJ112" s="433">
        <f t="shared" si="21"/>
        <v>0.10167238843379695</v>
      </c>
      <c r="AK112" s="433">
        <f t="shared" si="21"/>
        <v>0.10330924319311868</v>
      </c>
      <c r="AL112" s="433">
        <f t="shared" si="21"/>
        <v>6.2913262544123008E-2</v>
      </c>
      <c r="AM112" s="433"/>
    </row>
    <row r="113" spans="1:39" ht="15.75" customHeight="1" x14ac:dyDescent="0.25">
      <c r="A113" s="194"/>
      <c r="B113" s="194" t="str">
        <f t="shared" ref="B113:D113" si="22">B23</f>
        <v>Other Aerosols</v>
      </c>
      <c r="C113" s="194" t="str">
        <f t="shared" si="22"/>
        <v>HFC</v>
      </c>
      <c r="D113" s="194" t="str">
        <f t="shared" si="22"/>
        <v>HFC-134a</v>
      </c>
      <c r="E113" s="434">
        <f t="shared" si="8"/>
        <v>3.1846153846153844</v>
      </c>
      <c r="F113" s="433">
        <f t="shared" ref="F113:AL113" si="23">F23*$E113</f>
        <v>0</v>
      </c>
      <c r="G113" s="433">
        <f t="shared" si="23"/>
        <v>0</v>
      </c>
      <c r="H113" s="433">
        <f t="shared" si="23"/>
        <v>0</v>
      </c>
      <c r="I113" s="433">
        <f t="shared" si="23"/>
        <v>0</v>
      </c>
      <c r="J113" s="433">
        <f t="shared" si="23"/>
        <v>3.8943810087723914E-2</v>
      </c>
      <c r="K113" s="433">
        <f t="shared" si="23"/>
        <v>0.42029295827454571</v>
      </c>
      <c r="L113" s="433">
        <f t="shared" si="23"/>
        <v>0.48478290479697267</v>
      </c>
      <c r="M113" s="433">
        <f t="shared" si="23"/>
        <v>0.52268286431414135</v>
      </c>
      <c r="N113" s="433">
        <f t="shared" si="23"/>
        <v>0.52231289996806307</v>
      </c>
      <c r="O113" s="433">
        <f t="shared" si="23"/>
        <v>0.53864648080058863</v>
      </c>
      <c r="P113" s="433">
        <f t="shared" si="23"/>
        <v>0.5470518919529499</v>
      </c>
      <c r="Q113" s="433">
        <f t="shared" si="23"/>
        <v>0.51989894837310457</v>
      </c>
      <c r="R113" s="433">
        <f t="shared" si="23"/>
        <v>0.48835553827244776</v>
      </c>
      <c r="S113" s="433">
        <f t="shared" si="23"/>
        <v>0.45541103282404799</v>
      </c>
      <c r="T113" s="433">
        <f t="shared" si="23"/>
        <v>0.4181300298096759</v>
      </c>
      <c r="U113" s="433">
        <f t="shared" si="23"/>
        <v>0.37962523803022785</v>
      </c>
      <c r="V113" s="433">
        <f t="shared" si="23"/>
        <v>0.41017577893858392</v>
      </c>
      <c r="W113" s="433">
        <f t="shared" si="23"/>
        <v>0.44387890371708605</v>
      </c>
      <c r="X113" s="433">
        <f t="shared" si="23"/>
        <v>0.47419420291616937</v>
      </c>
      <c r="Y113" s="433">
        <f t="shared" si="23"/>
        <v>0.52625509984855756</v>
      </c>
      <c r="Z113" s="433">
        <f t="shared" si="23"/>
        <v>0.51341952253366885</v>
      </c>
      <c r="AA113" s="433">
        <f t="shared" si="23"/>
        <v>0.54912611935361411</v>
      </c>
      <c r="AB113" s="433">
        <f t="shared" si="23"/>
        <v>0.58140245865499718</v>
      </c>
      <c r="AC113" s="433">
        <f t="shared" si="23"/>
        <v>0.77180732496401416</v>
      </c>
      <c r="AD113" s="433">
        <f t="shared" si="23"/>
        <v>0.91490094759191665</v>
      </c>
      <c r="AE113" s="433">
        <f t="shared" si="23"/>
        <v>0.89195955600412036</v>
      </c>
      <c r="AF113" s="433">
        <f t="shared" si="23"/>
        <v>0.75237300162752141</v>
      </c>
      <c r="AG113" s="433">
        <f t="shared" si="23"/>
        <v>0.59016718098948517</v>
      </c>
      <c r="AH113" s="433">
        <f t="shared" si="23"/>
        <v>0.57045971781607463</v>
      </c>
      <c r="AI113" s="433">
        <f t="shared" si="23"/>
        <v>0.56538812393734894</v>
      </c>
      <c r="AJ113" s="433">
        <f t="shared" si="23"/>
        <v>0.64422032473717783</v>
      </c>
      <c r="AK113" s="433">
        <f t="shared" si="23"/>
        <v>0.65873240261207622</v>
      </c>
      <c r="AL113" s="433">
        <f t="shared" si="23"/>
        <v>0.67271607152104895</v>
      </c>
      <c r="AM113" s="433"/>
    </row>
    <row r="114" spans="1:39" ht="15.75" customHeight="1" x14ac:dyDescent="0.25">
      <c r="A114" s="194"/>
      <c r="B114" s="194" t="str">
        <f t="shared" ref="B114:D114" si="24">B24</f>
        <v>Refrigeration and air-conditioning</v>
      </c>
      <c r="C114" s="194" t="str">
        <f t="shared" si="24"/>
        <v>HFC</v>
      </c>
      <c r="D114" s="194" t="str">
        <f t="shared" si="24"/>
        <v>HFC-134a</v>
      </c>
      <c r="E114" s="434">
        <f t="shared" si="8"/>
        <v>3.1846153846153844</v>
      </c>
      <c r="F114" s="433">
        <f t="shared" ref="F114:AL114" si="25">F24*$E114</f>
        <v>2.3325405009276472E-7</v>
      </c>
      <c r="G114" s="433">
        <f t="shared" si="25"/>
        <v>5.7454991956196686E-7</v>
      </c>
      <c r="H114" s="433">
        <f t="shared" si="25"/>
        <v>5.5111260818336824E-2</v>
      </c>
      <c r="I114" s="433">
        <f t="shared" si="25"/>
        <v>0.23860955184777166</v>
      </c>
      <c r="J114" s="433">
        <f t="shared" si="25"/>
        <v>0.58005761805182621</v>
      </c>
      <c r="K114" s="433">
        <f t="shared" si="25"/>
        <v>0.91864643083378039</v>
      </c>
      <c r="L114" s="433">
        <f t="shared" si="25"/>
        <v>1.3314291087187682</v>
      </c>
      <c r="M114" s="433">
        <f t="shared" si="25"/>
        <v>1.7616925694515753</v>
      </c>
      <c r="N114" s="433">
        <f t="shared" si="25"/>
        <v>2.0674437487059252</v>
      </c>
      <c r="O114" s="433">
        <f t="shared" si="25"/>
        <v>2.3763116602243386</v>
      </c>
      <c r="P114" s="433">
        <f t="shared" si="25"/>
        <v>2.6702401286833868</v>
      </c>
      <c r="Q114" s="433">
        <f t="shared" si="25"/>
        <v>2.9651376940558425</v>
      </c>
      <c r="R114" s="433">
        <f t="shared" si="25"/>
        <v>3.1052498239825606</v>
      </c>
      <c r="S114" s="433">
        <f t="shared" si="25"/>
        <v>3.2085106430258623</v>
      </c>
      <c r="T114" s="433">
        <f t="shared" si="25"/>
        <v>3.3237533661465339</v>
      </c>
      <c r="U114" s="433">
        <f t="shared" si="25"/>
        <v>3.4006257358061256</v>
      </c>
      <c r="V114" s="433">
        <f t="shared" si="25"/>
        <v>3.4689016306143539</v>
      </c>
      <c r="W114" s="433">
        <f t="shared" si="25"/>
        <v>3.5214729843070822</v>
      </c>
      <c r="X114" s="433">
        <f t="shared" si="25"/>
        <v>3.5932496555941342</v>
      </c>
      <c r="Y114" s="433">
        <f t="shared" si="25"/>
        <v>3.5319795649254666</v>
      </c>
      <c r="Z114" s="433">
        <f t="shared" si="25"/>
        <v>2.9552494824640174</v>
      </c>
      <c r="AA114" s="433">
        <f t="shared" si="25"/>
        <v>2.7307864439385705</v>
      </c>
      <c r="AB114" s="433">
        <f t="shared" si="25"/>
        <v>2.5224068098133605</v>
      </c>
      <c r="AC114" s="433">
        <f t="shared" si="25"/>
        <v>2.8966967184709769</v>
      </c>
      <c r="AD114" s="433">
        <f t="shared" si="25"/>
        <v>3.1197486767980602</v>
      </c>
      <c r="AE114" s="433">
        <f t="shared" si="25"/>
        <v>2.7854238252493237</v>
      </c>
      <c r="AF114" s="433">
        <f t="shared" si="25"/>
        <v>2.4523635353856914</v>
      </c>
      <c r="AG114" s="433">
        <f t="shared" si="25"/>
        <v>2.0059578783486374</v>
      </c>
      <c r="AH114" s="433">
        <f t="shared" si="25"/>
        <v>2.1356195222887218</v>
      </c>
      <c r="AI114" s="433">
        <f t="shared" si="25"/>
        <v>1.9999667516655215</v>
      </c>
      <c r="AJ114" s="433">
        <f t="shared" si="25"/>
        <v>2.150360373937755</v>
      </c>
      <c r="AK114" s="433">
        <f t="shared" si="25"/>
        <v>2.083810323042397</v>
      </c>
      <c r="AL114" s="433">
        <f t="shared" si="25"/>
        <v>1.9969548429359503</v>
      </c>
      <c r="AM114" s="433"/>
    </row>
    <row r="115" spans="1:39" ht="15.75" customHeight="1" x14ac:dyDescent="0.25">
      <c r="A115" s="194"/>
      <c r="B115" s="194" t="str">
        <f t="shared" ref="B115:D115" si="26">B25</f>
        <v>Refrigeration and air-conditioning</v>
      </c>
      <c r="C115" s="194" t="str">
        <f t="shared" si="26"/>
        <v>HFC</v>
      </c>
      <c r="D115" s="194" t="str">
        <f t="shared" si="26"/>
        <v>HFC-143a</v>
      </c>
      <c r="E115" s="434">
        <f t="shared" si="8"/>
        <v>1.6333333333333333</v>
      </c>
      <c r="F115" s="433">
        <f t="shared" ref="F115:AL115" si="27">F25*$E115</f>
        <v>6.0826715462537077E-6</v>
      </c>
      <c r="G115" s="433">
        <f t="shared" si="27"/>
        <v>1.4982798567622121E-5</v>
      </c>
      <c r="H115" s="433">
        <f t="shared" si="27"/>
        <v>2.8726920412597866E-5</v>
      </c>
      <c r="I115" s="433">
        <f t="shared" si="27"/>
        <v>2.1538681674767943E-3</v>
      </c>
      <c r="J115" s="433">
        <f t="shared" si="27"/>
        <v>6.0010770791629215E-3</v>
      </c>
      <c r="K115" s="433">
        <f t="shared" si="27"/>
        <v>1.498875391862891E-2</v>
      </c>
      <c r="L115" s="433">
        <f t="shared" si="27"/>
        <v>2.7878513749249861E-2</v>
      </c>
      <c r="M115" s="433">
        <f t="shared" si="27"/>
        <v>4.6158284532432217E-2</v>
      </c>
      <c r="N115" s="433">
        <f t="shared" si="27"/>
        <v>6.692485122642329E-2</v>
      </c>
      <c r="O115" s="433">
        <f t="shared" si="27"/>
        <v>9.5569159328977984E-2</v>
      </c>
      <c r="P115" s="433">
        <f t="shared" si="27"/>
        <v>0.11784600501418881</v>
      </c>
      <c r="Q115" s="433">
        <f t="shared" si="27"/>
        <v>0.14597110779723291</v>
      </c>
      <c r="R115" s="433">
        <f t="shared" si="27"/>
        <v>0.17767859244451373</v>
      </c>
      <c r="S115" s="433">
        <f t="shared" si="27"/>
        <v>0.21038522560658326</v>
      </c>
      <c r="T115" s="433">
        <f t="shared" si="27"/>
        <v>0.24051172136164439</v>
      </c>
      <c r="U115" s="433">
        <f t="shared" si="27"/>
        <v>0.29114549837203457</v>
      </c>
      <c r="V115" s="433">
        <f t="shared" si="27"/>
        <v>0.34604125529150404</v>
      </c>
      <c r="W115" s="433">
        <f t="shared" si="27"/>
        <v>0.40776292147567555</v>
      </c>
      <c r="X115" s="433">
        <f t="shared" si="27"/>
        <v>0.47782023785703753</v>
      </c>
      <c r="Y115" s="433">
        <f t="shared" si="27"/>
        <v>0.53156306307269607</v>
      </c>
      <c r="Z115" s="433">
        <f t="shared" si="27"/>
        <v>0.54471077837524662</v>
      </c>
      <c r="AA115" s="433">
        <f t="shared" si="27"/>
        <v>0.6760164839645173</v>
      </c>
      <c r="AB115" s="433">
        <f t="shared" si="27"/>
        <v>0.81661582756099371</v>
      </c>
      <c r="AC115" s="433">
        <f t="shared" si="27"/>
        <v>0.92574737359298953</v>
      </c>
      <c r="AD115" s="433">
        <f t="shared" si="27"/>
        <v>1.0671266709173433</v>
      </c>
      <c r="AE115" s="433">
        <f t="shared" si="27"/>
        <v>1.0705194496358459</v>
      </c>
      <c r="AF115" s="433">
        <f t="shared" si="27"/>
        <v>1.1010979537856569</v>
      </c>
      <c r="AG115" s="433">
        <f t="shared" si="27"/>
        <v>0.82328090117755082</v>
      </c>
      <c r="AH115" s="433">
        <f t="shared" si="27"/>
        <v>1.0324198455949543</v>
      </c>
      <c r="AI115" s="433">
        <f t="shared" si="27"/>
        <v>0.90516012798468048</v>
      </c>
      <c r="AJ115" s="433">
        <f t="shared" si="27"/>
        <v>0.99541624702854425</v>
      </c>
      <c r="AK115" s="433">
        <f t="shared" si="27"/>
        <v>0.99886317341314246</v>
      </c>
      <c r="AL115" s="433">
        <f t="shared" si="27"/>
        <v>0.99422098859343533</v>
      </c>
      <c r="AM115" s="433"/>
    </row>
    <row r="116" spans="1:39" ht="15.75" customHeight="1" x14ac:dyDescent="0.25">
      <c r="A116" s="194"/>
      <c r="B116" s="194" t="str">
        <f t="shared" ref="B116:D116" si="28">B26</f>
        <v>Fire protection</v>
      </c>
      <c r="C116" s="194" t="str">
        <f t="shared" si="28"/>
        <v>HFC</v>
      </c>
      <c r="D116" s="194" t="str">
        <f t="shared" si="28"/>
        <v>HFC-23</v>
      </c>
      <c r="E116" s="434">
        <f t="shared" si="8"/>
        <v>1</v>
      </c>
      <c r="F116" s="433">
        <f t="shared" ref="F116:AL116" si="29">F26*$E116</f>
        <v>0</v>
      </c>
      <c r="G116" s="433">
        <f t="shared" si="29"/>
        <v>0</v>
      </c>
      <c r="H116" s="433">
        <f t="shared" si="29"/>
        <v>0</v>
      </c>
      <c r="I116" s="433">
        <f t="shared" si="29"/>
        <v>0</v>
      </c>
      <c r="J116" s="433">
        <f t="shared" si="29"/>
        <v>0</v>
      </c>
      <c r="K116" s="433">
        <f t="shared" si="29"/>
        <v>9.3036146234324768E-6</v>
      </c>
      <c r="L116" s="433">
        <f t="shared" si="29"/>
        <v>2.0863174107854798E-5</v>
      </c>
      <c r="M116" s="433">
        <f t="shared" si="29"/>
        <v>3.9285248301842602E-5</v>
      </c>
      <c r="N116" s="433">
        <f t="shared" si="29"/>
        <v>5.762449576632511E-5</v>
      </c>
      <c r="O116" s="433">
        <f t="shared" si="29"/>
        <v>8.2822795964448826E-5</v>
      </c>
      <c r="P116" s="433">
        <f t="shared" si="29"/>
        <v>1.080885242557396E-4</v>
      </c>
      <c r="Q116" s="433">
        <f t="shared" si="29"/>
        <v>1.313657066049777E-4</v>
      </c>
      <c r="R116" s="433">
        <f t="shared" si="29"/>
        <v>1.5256283657628139E-4</v>
      </c>
      <c r="S116" s="433">
        <f t="shared" si="29"/>
        <v>1.6903747560248619E-4</v>
      </c>
      <c r="T116" s="433">
        <f t="shared" si="29"/>
        <v>1.852557722608108E-4</v>
      </c>
      <c r="U116" s="433">
        <f t="shared" si="29"/>
        <v>2.0359600424150949E-4</v>
      </c>
      <c r="V116" s="433">
        <f t="shared" si="29"/>
        <v>2.1908588182021951E-4</v>
      </c>
      <c r="W116" s="433">
        <f t="shared" si="29"/>
        <v>2.3642555806566921E-4</v>
      </c>
      <c r="X116" s="433">
        <f t="shared" si="29"/>
        <v>2.5156468733034262E-4</v>
      </c>
      <c r="Y116" s="433">
        <f t="shared" si="29"/>
        <v>2.6969387346895552E-4</v>
      </c>
      <c r="Z116" s="433">
        <f t="shared" si="29"/>
        <v>2.9085115325012397E-4</v>
      </c>
      <c r="AA116" s="433">
        <f t="shared" si="29"/>
        <v>3.0973479855850972E-4</v>
      </c>
      <c r="AB116" s="433">
        <f t="shared" si="29"/>
        <v>3.330461144484584E-4</v>
      </c>
      <c r="AC116" s="433">
        <f t="shared" si="29"/>
        <v>3.5354917845680422E-4</v>
      </c>
      <c r="AD116" s="433">
        <f t="shared" si="29"/>
        <v>3.7605786330928268E-4</v>
      </c>
      <c r="AE116" s="433">
        <f t="shared" si="29"/>
        <v>4.0035265374947169E-4</v>
      </c>
      <c r="AF116" s="433">
        <f t="shared" si="29"/>
        <v>4.2387287872683359E-4</v>
      </c>
      <c r="AG116" s="433">
        <f t="shared" si="29"/>
        <v>4.5009971253825049E-4</v>
      </c>
      <c r="AH116" s="433">
        <f t="shared" si="29"/>
        <v>4.7619198320438021E-4</v>
      </c>
      <c r="AI116" s="433">
        <f t="shared" si="29"/>
        <v>5.0446574040930326E-4</v>
      </c>
      <c r="AJ116" s="433">
        <f t="shared" si="29"/>
        <v>5.3214126222195246E-4</v>
      </c>
      <c r="AK116" s="433">
        <f t="shared" si="29"/>
        <v>5.5199864253537782E-4</v>
      </c>
      <c r="AL116" s="433">
        <f t="shared" si="29"/>
        <v>5.6954536712445038E-4</v>
      </c>
      <c r="AM116" s="433"/>
    </row>
    <row r="117" spans="1:39" ht="15.75" customHeight="1" x14ac:dyDescent="0.25">
      <c r="A117" s="194"/>
      <c r="B117" s="194" t="str">
        <f t="shared" ref="B117:D117" si="30">B27</f>
        <v>Fire protection</v>
      </c>
      <c r="C117" s="194" t="str">
        <f t="shared" si="30"/>
        <v>HFC</v>
      </c>
      <c r="D117" s="194" t="str">
        <f t="shared" si="30"/>
        <v>HFC-236fa</v>
      </c>
      <c r="E117" s="434">
        <f t="shared" si="8"/>
        <v>0.92431761786600497</v>
      </c>
      <c r="F117" s="433">
        <f t="shared" ref="F117:AL117" si="31">F27*$E117</f>
        <v>0</v>
      </c>
      <c r="G117" s="433">
        <f t="shared" si="31"/>
        <v>0</v>
      </c>
      <c r="H117" s="433">
        <f t="shared" si="31"/>
        <v>0</v>
      </c>
      <c r="I117" s="433">
        <f t="shared" si="31"/>
        <v>0</v>
      </c>
      <c r="J117" s="433">
        <f t="shared" si="31"/>
        <v>0</v>
      </c>
      <c r="K117" s="433">
        <f t="shared" si="31"/>
        <v>0</v>
      </c>
      <c r="L117" s="433">
        <f t="shared" si="31"/>
        <v>0</v>
      </c>
      <c r="M117" s="433">
        <f t="shared" si="31"/>
        <v>1.8188063605400042E-4</v>
      </c>
      <c r="N117" s="433">
        <f t="shared" si="31"/>
        <v>5.5393870123757682E-4</v>
      </c>
      <c r="O117" s="433">
        <f t="shared" si="31"/>
        <v>1.1279039902040268E-3</v>
      </c>
      <c r="P117" s="433">
        <f t="shared" si="31"/>
        <v>1.7188449298169931E-3</v>
      </c>
      <c r="Q117" s="433">
        <f t="shared" si="31"/>
        <v>2.3331445337279803E-3</v>
      </c>
      <c r="R117" s="433">
        <f t="shared" si="31"/>
        <v>2.9720299407815917E-3</v>
      </c>
      <c r="S117" s="433">
        <f t="shared" si="31"/>
        <v>3.4460433182189787E-3</v>
      </c>
      <c r="T117" s="433">
        <f t="shared" si="31"/>
        <v>3.7425587741862693E-3</v>
      </c>
      <c r="U117" s="433">
        <f t="shared" si="31"/>
        <v>3.8517464550600344E-3</v>
      </c>
      <c r="V117" s="433">
        <f t="shared" si="31"/>
        <v>3.9543885781205884E-3</v>
      </c>
      <c r="W117" s="433">
        <f t="shared" si="31"/>
        <v>4.0545169106736218E-3</v>
      </c>
      <c r="X117" s="433">
        <f t="shared" si="31"/>
        <v>4.160518442529521E-3</v>
      </c>
      <c r="Y117" s="433">
        <f t="shared" si="31"/>
        <v>4.2829108635559455E-3</v>
      </c>
      <c r="Z117" s="433">
        <f t="shared" si="31"/>
        <v>4.4195412665630658E-3</v>
      </c>
      <c r="AA117" s="433">
        <f t="shared" si="31"/>
        <v>4.5612889730013793E-3</v>
      </c>
      <c r="AB117" s="433">
        <f t="shared" si="31"/>
        <v>4.7029519618468196E-3</v>
      </c>
      <c r="AC117" s="433">
        <f t="shared" si="31"/>
        <v>4.8413983253331599E-3</v>
      </c>
      <c r="AD117" s="433">
        <f t="shared" si="31"/>
        <v>4.9802794847461519E-3</v>
      </c>
      <c r="AE117" s="433">
        <f t="shared" si="31"/>
        <v>5.1185732511956662E-3</v>
      </c>
      <c r="AF117" s="433">
        <f t="shared" si="31"/>
        <v>5.2521348867634382E-3</v>
      </c>
      <c r="AG117" s="433">
        <f t="shared" si="31"/>
        <v>5.3961642772799683E-3</v>
      </c>
      <c r="AH117" s="433">
        <f t="shared" si="31"/>
        <v>5.5435128987929103E-3</v>
      </c>
      <c r="AI117" s="433">
        <f t="shared" si="31"/>
        <v>5.6961191195980965E-3</v>
      </c>
      <c r="AJ117" s="433">
        <f t="shared" si="31"/>
        <v>5.9236262723732025E-3</v>
      </c>
      <c r="AK117" s="433">
        <f t="shared" si="31"/>
        <v>6.092937029161076E-3</v>
      </c>
      <c r="AL117" s="433">
        <f t="shared" si="31"/>
        <v>6.2438817220323148E-3</v>
      </c>
      <c r="AM117" s="433"/>
    </row>
    <row r="118" spans="1:39" ht="15.75" customHeight="1" x14ac:dyDescent="0.25">
      <c r="A118" s="194"/>
      <c r="B118" s="194" t="str">
        <f t="shared" ref="B118:D118" si="32">B28</f>
        <v>Refrigeration and air-conditioning</v>
      </c>
      <c r="C118" s="194" t="str">
        <f t="shared" si="32"/>
        <v>HFC</v>
      </c>
      <c r="D118" s="194" t="str">
        <f t="shared" si="32"/>
        <v>HFC-236fa</v>
      </c>
      <c r="E118" s="434">
        <f t="shared" si="8"/>
        <v>0.92431761786600497</v>
      </c>
      <c r="F118" s="433">
        <f t="shared" ref="F118:AL118" si="33">F28*$E118</f>
        <v>0</v>
      </c>
      <c r="G118" s="433">
        <f t="shared" si="33"/>
        <v>0</v>
      </c>
      <c r="H118" s="433">
        <f t="shared" si="33"/>
        <v>0</v>
      </c>
      <c r="I118" s="433">
        <f t="shared" si="33"/>
        <v>1.0120891116820127E-3</v>
      </c>
      <c r="J118" s="433">
        <f t="shared" si="33"/>
        <v>3.0527457275667793E-3</v>
      </c>
      <c r="K118" s="433">
        <f t="shared" si="33"/>
        <v>5.0600502965382063E-3</v>
      </c>
      <c r="L118" s="433">
        <f t="shared" si="33"/>
        <v>6.2966125049731727E-3</v>
      </c>
      <c r="M118" s="433">
        <f t="shared" si="33"/>
        <v>7.5279145701129015E-3</v>
      </c>
      <c r="N118" s="433">
        <f t="shared" si="33"/>
        <v>8.649752819824762E-3</v>
      </c>
      <c r="O118" s="433">
        <f t="shared" si="33"/>
        <v>9.6701180336609908E-3</v>
      </c>
      <c r="P118" s="433">
        <f t="shared" si="33"/>
        <v>1.0601846580776363E-2</v>
      </c>
      <c r="Q118" s="433">
        <f t="shared" si="33"/>
        <v>1.1458024342195278E-2</v>
      </c>
      <c r="R118" s="433">
        <f t="shared" si="33"/>
        <v>1.2222820331223736E-2</v>
      </c>
      <c r="S118" s="433">
        <f t="shared" si="33"/>
        <v>1.2874317669276721E-2</v>
      </c>
      <c r="T118" s="433">
        <f t="shared" si="33"/>
        <v>1.3400864726008229E-2</v>
      </c>
      <c r="U118" s="433">
        <f t="shared" si="33"/>
        <v>1.3807072370303618E-2</v>
      </c>
      <c r="V118" s="433">
        <f t="shared" si="33"/>
        <v>1.4077290803680855E-2</v>
      </c>
      <c r="W118" s="433">
        <f t="shared" si="33"/>
        <v>1.4217011847664758E-2</v>
      </c>
      <c r="X118" s="433">
        <f t="shared" si="33"/>
        <v>1.4265027235911986E-2</v>
      </c>
      <c r="Y118" s="433">
        <f t="shared" si="33"/>
        <v>1.4252110244580687E-2</v>
      </c>
      <c r="Z118" s="433">
        <f t="shared" si="33"/>
        <v>1.4280952305622064E-2</v>
      </c>
      <c r="AA118" s="433">
        <f t="shared" si="33"/>
        <v>1.4306926035292027E-2</v>
      </c>
      <c r="AB118" s="433">
        <f t="shared" si="33"/>
        <v>1.4322751881457783E-2</v>
      </c>
      <c r="AC118" s="433">
        <f t="shared" si="33"/>
        <v>1.4551781291243541E-2</v>
      </c>
      <c r="AD118" s="433">
        <f t="shared" si="33"/>
        <v>1.3816659184652597E-2</v>
      </c>
      <c r="AE118" s="433">
        <f t="shared" si="33"/>
        <v>1.1808180129168086E-2</v>
      </c>
      <c r="AF118" s="433">
        <f t="shared" si="33"/>
        <v>1.0537129845811117E-2</v>
      </c>
      <c r="AG118" s="433">
        <f t="shared" si="33"/>
        <v>9.284516516565226E-3</v>
      </c>
      <c r="AH118" s="433">
        <f t="shared" si="33"/>
        <v>7.9358472930618588E-3</v>
      </c>
      <c r="AI118" s="433">
        <f t="shared" si="33"/>
        <v>6.6910032034792248E-3</v>
      </c>
      <c r="AJ118" s="433">
        <f t="shared" si="33"/>
        <v>5.6203783209730464E-3</v>
      </c>
      <c r="AK118" s="433">
        <f t="shared" si="33"/>
        <v>4.5799810057256668E-3</v>
      </c>
      <c r="AL118" s="433">
        <f t="shared" si="33"/>
        <v>3.6277225463598227E-3</v>
      </c>
      <c r="AM118" s="433"/>
    </row>
    <row r="119" spans="1:39" ht="15.75" customHeight="1" x14ac:dyDescent="0.25">
      <c r="A119" s="194"/>
      <c r="B119" s="194" t="str">
        <f t="shared" ref="B119:D119" si="34">B29</f>
        <v>Refrigeration and air-conditioning</v>
      </c>
      <c r="C119" s="194" t="str">
        <f t="shared" si="34"/>
        <v>HFC</v>
      </c>
      <c r="D119" s="194" t="str">
        <f t="shared" si="34"/>
        <v>HFC-32</v>
      </c>
      <c r="E119" s="434">
        <f t="shared" si="8"/>
        <v>3.9734121122599704</v>
      </c>
      <c r="F119" s="433">
        <f t="shared" ref="F119:AL119" si="35">F29*$E119</f>
        <v>0</v>
      </c>
      <c r="G119" s="433">
        <f t="shared" si="35"/>
        <v>0</v>
      </c>
      <c r="H119" s="433">
        <f t="shared" si="35"/>
        <v>0</v>
      </c>
      <c r="I119" s="433">
        <f t="shared" si="35"/>
        <v>0</v>
      </c>
      <c r="J119" s="433">
        <f t="shared" si="35"/>
        <v>0</v>
      </c>
      <c r="K119" s="433">
        <f t="shared" si="35"/>
        <v>0</v>
      </c>
      <c r="L119" s="433">
        <f t="shared" si="35"/>
        <v>1.2106596105091562E-5</v>
      </c>
      <c r="M119" s="433">
        <f t="shared" si="35"/>
        <v>3.4377210693017245E-5</v>
      </c>
      <c r="N119" s="433">
        <f t="shared" si="35"/>
        <v>7.3290285380850554E-5</v>
      </c>
      <c r="O119" s="433">
        <f t="shared" si="35"/>
        <v>1.421957429397253E-4</v>
      </c>
      <c r="P119" s="433">
        <f t="shared" si="35"/>
        <v>6.5639018015809392E-4</v>
      </c>
      <c r="Q119" s="433">
        <f t="shared" si="35"/>
        <v>1.6433603848492707E-3</v>
      </c>
      <c r="R119" s="433">
        <f t="shared" si="35"/>
        <v>3.2253604525814506E-3</v>
      </c>
      <c r="S119" s="433">
        <f t="shared" si="35"/>
        <v>5.3652108334412566E-3</v>
      </c>
      <c r="T119" s="433">
        <f t="shared" si="35"/>
        <v>8.215387663612083E-3</v>
      </c>
      <c r="U119" s="433">
        <f t="shared" si="35"/>
        <v>1.2240076466711622E-2</v>
      </c>
      <c r="V119" s="433">
        <f t="shared" si="35"/>
        <v>1.9914888257017448E-2</v>
      </c>
      <c r="W119" s="433">
        <f t="shared" si="35"/>
        <v>2.8566992461242391E-2</v>
      </c>
      <c r="X119" s="433">
        <f t="shared" si="35"/>
        <v>3.7637700322661095E-2</v>
      </c>
      <c r="Y119" s="433">
        <f t="shared" si="35"/>
        <v>4.8490918254132924E-2</v>
      </c>
      <c r="Z119" s="433">
        <f t="shared" si="35"/>
        <v>6.7781254297773749E-2</v>
      </c>
      <c r="AA119" s="433">
        <f t="shared" si="35"/>
        <v>0.12217703544136803</v>
      </c>
      <c r="AB119" s="433">
        <f t="shared" si="35"/>
        <v>0.12971529062385095</v>
      </c>
      <c r="AC119" s="433">
        <f t="shared" si="35"/>
        <v>0.19405204905176154</v>
      </c>
      <c r="AD119" s="433">
        <f t="shared" si="35"/>
        <v>0.24113529019499533</v>
      </c>
      <c r="AE119" s="433">
        <f t="shared" si="35"/>
        <v>0.29225928215637215</v>
      </c>
      <c r="AF119" s="433">
        <f t="shared" si="35"/>
        <v>0.33461691638449109</v>
      </c>
      <c r="AG119" s="433">
        <f t="shared" si="35"/>
        <v>0.32170617202744833</v>
      </c>
      <c r="AH119" s="433">
        <f t="shared" si="35"/>
        <v>0.38822324816948878</v>
      </c>
      <c r="AI119" s="433">
        <f t="shared" si="35"/>
        <v>0.41240101827494574</v>
      </c>
      <c r="AJ119" s="433">
        <f t="shared" si="35"/>
        <v>0.54884866659151543</v>
      </c>
      <c r="AK119" s="433">
        <f t="shared" si="35"/>
        <v>0.67010904358996282</v>
      </c>
      <c r="AL119" s="433">
        <f t="shared" si="35"/>
        <v>0.74899329823056759</v>
      </c>
      <c r="AM119" s="433"/>
    </row>
    <row r="120" spans="1:39" ht="15.75" customHeight="1" x14ac:dyDescent="0.25">
      <c r="A120" s="194"/>
      <c r="B120" s="194" t="str">
        <f t="shared" ref="B120:D120" si="36">B30</f>
        <v>Fire protection</v>
      </c>
      <c r="C120" s="194" t="str">
        <f t="shared" si="36"/>
        <v>HFC</v>
      </c>
      <c r="D120" s="194" t="str">
        <f t="shared" si="36"/>
        <v>Other HFC</v>
      </c>
      <c r="E120" s="434">
        <f t="shared" si="8"/>
        <v>3.1510713686054377</v>
      </c>
      <c r="F120" s="433">
        <f t="shared" ref="F120:AL120" si="37">F30*$E120</f>
        <v>0</v>
      </c>
      <c r="G120" s="433">
        <f t="shared" si="37"/>
        <v>0</v>
      </c>
      <c r="H120" s="433">
        <f t="shared" si="37"/>
        <v>0</v>
      </c>
      <c r="I120" s="433">
        <f t="shared" si="37"/>
        <v>0</v>
      </c>
      <c r="J120" s="433">
        <f t="shared" si="37"/>
        <v>2.2034497689914565E-4</v>
      </c>
      <c r="K120" s="433">
        <f t="shared" si="37"/>
        <v>1.8374733925806764E-3</v>
      </c>
      <c r="L120" s="433">
        <f t="shared" si="37"/>
        <v>4.4934743300099646E-3</v>
      </c>
      <c r="M120" s="433">
        <f t="shared" si="37"/>
        <v>8.3726620486651443E-3</v>
      </c>
      <c r="N120" s="433">
        <f t="shared" si="37"/>
        <v>1.3150822454295819E-2</v>
      </c>
      <c r="O120" s="433">
        <f t="shared" si="37"/>
        <v>1.9567606543997827E-2</v>
      </c>
      <c r="P120" s="433">
        <f t="shared" si="37"/>
        <v>2.567819537877869E-2</v>
      </c>
      <c r="Q120" s="433">
        <f t="shared" si="37"/>
        <v>3.1344154826511171E-2</v>
      </c>
      <c r="R120" s="433">
        <f t="shared" si="37"/>
        <v>3.6583809903609807E-2</v>
      </c>
      <c r="S120" s="433">
        <f t="shared" si="37"/>
        <v>4.0755574361690326E-2</v>
      </c>
      <c r="T120" s="433">
        <f t="shared" si="37"/>
        <v>4.4854063141236966E-2</v>
      </c>
      <c r="U120" s="433">
        <f t="shared" si="37"/>
        <v>4.8841005393582361E-2</v>
      </c>
      <c r="V120" s="433">
        <f t="shared" si="37"/>
        <v>5.2628423707945605E-2</v>
      </c>
      <c r="W120" s="433">
        <f t="shared" si="37"/>
        <v>5.6234024772262761E-2</v>
      </c>
      <c r="X120" s="433">
        <f t="shared" si="37"/>
        <v>5.9782730023072723E-2</v>
      </c>
      <c r="Y120" s="433">
        <f t="shared" si="37"/>
        <v>6.3409568161498481E-2</v>
      </c>
      <c r="Z120" s="433">
        <f t="shared" si="37"/>
        <v>6.7201213380360572E-2</v>
      </c>
      <c r="AA120" s="433">
        <f t="shared" si="37"/>
        <v>7.0977797197195297E-2</v>
      </c>
      <c r="AB120" s="433">
        <f t="shared" si="37"/>
        <v>7.4683428142621008E-2</v>
      </c>
      <c r="AC120" s="433">
        <f t="shared" si="37"/>
        <v>7.8234095017293614E-2</v>
      </c>
      <c r="AD120" s="433">
        <f t="shared" si="37"/>
        <v>8.1668150918618315E-2</v>
      </c>
      <c r="AE120" s="433">
        <f t="shared" si="37"/>
        <v>8.4930201087351984E-2</v>
      </c>
      <c r="AF120" s="433">
        <f t="shared" si="37"/>
        <v>8.795618919410518E-2</v>
      </c>
      <c r="AG120" s="433">
        <f t="shared" si="37"/>
        <v>9.0983229281760461E-2</v>
      </c>
      <c r="AH120" s="433">
        <f t="shared" si="37"/>
        <v>9.3876598805508291E-2</v>
      </c>
      <c r="AI120" s="433">
        <f t="shared" si="37"/>
        <v>9.6628271883523173E-2</v>
      </c>
      <c r="AJ120" s="433">
        <f t="shared" si="37"/>
        <v>9.9458170183590211E-2</v>
      </c>
      <c r="AK120" s="433">
        <f t="shared" si="37"/>
        <v>0.10127252258403674</v>
      </c>
      <c r="AL120" s="433">
        <f t="shared" si="37"/>
        <v>0.1027134051706213</v>
      </c>
      <c r="AM120" s="433"/>
    </row>
    <row r="121" spans="1:39" ht="15.75" customHeight="1" x14ac:dyDescent="0.25">
      <c r="A121" s="194"/>
      <c r="B121" s="194" t="str">
        <f t="shared" ref="B121:D121" si="38">B31</f>
        <v>Foam blowing agents</v>
      </c>
      <c r="C121" s="194" t="str">
        <f t="shared" si="38"/>
        <v>HFC</v>
      </c>
      <c r="D121" s="194" t="str">
        <f t="shared" si="38"/>
        <v>Other HFC</v>
      </c>
      <c r="E121" s="434">
        <f t="shared" si="8"/>
        <v>3.1510713686054377</v>
      </c>
      <c r="F121" s="433">
        <f t="shared" ref="F121:AL121" si="39">F31*$E121</f>
        <v>0</v>
      </c>
      <c r="G121" s="433">
        <f t="shared" si="39"/>
        <v>0</v>
      </c>
      <c r="H121" s="433">
        <f t="shared" si="39"/>
        <v>0</v>
      </c>
      <c r="I121" s="433">
        <f t="shared" si="39"/>
        <v>0</v>
      </c>
      <c r="J121" s="433">
        <f t="shared" si="39"/>
        <v>0</v>
      </c>
      <c r="K121" s="433">
        <f t="shared" si="39"/>
        <v>0</v>
      </c>
      <c r="L121" s="433">
        <f t="shared" si="39"/>
        <v>0</v>
      </c>
      <c r="M121" s="433">
        <f t="shared" si="39"/>
        <v>0</v>
      </c>
      <c r="N121" s="433">
        <f t="shared" si="39"/>
        <v>0</v>
      </c>
      <c r="O121" s="433">
        <f t="shared" si="39"/>
        <v>0</v>
      </c>
      <c r="P121" s="433">
        <f t="shared" si="39"/>
        <v>0</v>
      </c>
      <c r="Q121" s="433">
        <f t="shared" si="39"/>
        <v>0</v>
      </c>
      <c r="R121" s="433">
        <f t="shared" si="39"/>
        <v>0</v>
      </c>
      <c r="S121" s="433">
        <f t="shared" si="39"/>
        <v>0</v>
      </c>
      <c r="T121" s="433">
        <f t="shared" si="39"/>
        <v>0</v>
      </c>
      <c r="U121" s="433">
        <f t="shared" si="39"/>
        <v>0</v>
      </c>
      <c r="V121" s="433">
        <f t="shared" si="39"/>
        <v>0</v>
      </c>
      <c r="W121" s="433">
        <f t="shared" si="39"/>
        <v>0</v>
      </c>
      <c r="X121" s="433">
        <f t="shared" si="39"/>
        <v>0</v>
      </c>
      <c r="Y121" s="433">
        <f t="shared" si="39"/>
        <v>0</v>
      </c>
      <c r="Z121" s="433">
        <f t="shared" si="39"/>
        <v>0</v>
      </c>
      <c r="AA121" s="433">
        <f t="shared" si="39"/>
        <v>0</v>
      </c>
      <c r="AB121" s="433">
        <f t="shared" si="39"/>
        <v>0</v>
      </c>
      <c r="AC121" s="433">
        <f t="shared" si="39"/>
        <v>0</v>
      </c>
      <c r="AD121" s="433">
        <f t="shared" si="39"/>
        <v>0</v>
      </c>
      <c r="AE121" s="433">
        <f t="shared" si="39"/>
        <v>0</v>
      </c>
      <c r="AF121" s="433">
        <f t="shared" si="39"/>
        <v>0</v>
      </c>
      <c r="AG121" s="433">
        <f t="shared" si="39"/>
        <v>1.5499473968193162E-5</v>
      </c>
      <c r="AH121" s="433">
        <f t="shared" si="39"/>
        <v>3.5747866495680514E-5</v>
      </c>
      <c r="AI121" s="433">
        <f t="shared" si="39"/>
        <v>6.0367376012748783E-5</v>
      </c>
      <c r="AJ121" s="433">
        <f t="shared" si="39"/>
        <v>9.0824389011100767E-5</v>
      </c>
      <c r="AK121" s="433">
        <f t="shared" si="39"/>
        <v>1.2529001097817729E-4</v>
      </c>
      <c r="AL121" s="433">
        <f t="shared" si="39"/>
        <v>1.4230913943980096E-4</v>
      </c>
      <c r="AM121" s="433"/>
    </row>
    <row r="122" spans="1:39" ht="15.75" customHeight="1" x14ac:dyDescent="0.25">
      <c r="A122" s="194"/>
      <c r="B122" s="194" t="str">
        <f t="shared" ref="B122:D122" si="40">B32</f>
        <v>Foam blowing agents</v>
      </c>
      <c r="C122" s="194" t="str">
        <f t="shared" si="40"/>
        <v>HFC</v>
      </c>
      <c r="D122" s="194" t="str">
        <f t="shared" si="40"/>
        <v>Other HFC</v>
      </c>
      <c r="E122" s="434">
        <f t="shared" si="8"/>
        <v>3.1510713686054377</v>
      </c>
      <c r="F122" s="433">
        <f t="shared" ref="F122:AL122" si="41">F32*$E122</f>
        <v>0</v>
      </c>
      <c r="G122" s="433">
        <f t="shared" si="41"/>
        <v>0</v>
      </c>
      <c r="H122" s="433">
        <f t="shared" si="41"/>
        <v>0</v>
      </c>
      <c r="I122" s="433">
        <f t="shared" si="41"/>
        <v>0</v>
      </c>
      <c r="J122" s="433">
        <f t="shared" si="41"/>
        <v>0</v>
      </c>
      <c r="K122" s="433">
        <f t="shared" si="41"/>
        <v>0</v>
      </c>
      <c r="L122" s="433">
        <f t="shared" si="41"/>
        <v>0</v>
      </c>
      <c r="M122" s="433">
        <f t="shared" si="41"/>
        <v>0</v>
      </c>
      <c r="N122" s="433">
        <f t="shared" si="41"/>
        <v>0</v>
      </c>
      <c r="O122" s="433">
        <f t="shared" si="41"/>
        <v>0</v>
      </c>
      <c r="P122" s="433">
        <f t="shared" si="41"/>
        <v>0</v>
      </c>
      <c r="Q122" s="433">
        <f t="shared" si="41"/>
        <v>0</v>
      </c>
      <c r="R122" s="433">
        <f t="shared" si="41"/>
        <v>0</v>
      </c>
      <c r="S122" s="433">
        <f t="shared" si="41"/>
        <v>0</v>
      </c>
      <c r="T122" s="433">
        <f t="shared" si="41"/>
        <v>0</v>
      </c>
      <c r="U122" s="433">
        <f t="shared" si="41"/>
        <v>0</v>
      </c>
      <c r="V122" s="433">
        <f t="shared" si="41"/>
        <v>0</v>
      </c>
      <c r="W122" s="433">
        <f t="shared" si="41"/>
        <v>0</v>
      </c>
      <c r="X122" s="433">
        <f t="shared" si="41"/>
        <v>0</v>
      </c>
      <c r="Y122" s="433">
        <f t="shared" si="41"/>
        <v>0</v>
      </c>
      <c r="Z122" s="433">
        <f t="shared" si="41"/>
        <v>0</v>
      </c>
      <c r="AA122" s="433">
        <f t="shared" si="41"/>
        <v>0</v>
      </c>
      <c r="AB122" s="433">
        <f t="shared" si="41"/>
        <v>0</v>
      </c>
      <c r="AC122" s="433">
        <f t="shared" si="41"/>
        <v>0</v>
      </c>
      <c r="AD122" s="433">
        <f t="shared" si="41"/>
        <v>0</v>
      </c>
      <c r="AE122" s="433">
        <f t="shared" si="41"/>
        <v>1.0964350385754675E-6</v>
      </c>
      <c r="AF122" s="433">
        <f t="shared" si="41"/>
        <v>9.4527728129965025E-6</v>
      </c>
      <c r="AG122" s="433">
        <f t="shared" si="41"/>
        <v>2.6665264744951598E-5</v>
      </c>
      <c r="AH122" s="433">
        <f t="shared" si="41"/>
        <v>4.2966933688773102E-5</v>
      </c>
      <c r="AI122" s="433">
        <f t="shared" si="41"/>
        <v>6.2539203485572487E-5</v>
      </c>
      <c r="AJ122" s="433">
        <f t="shared" si="41"/>
        <v>8.9392027230833298E-5</v>
      </c>
      <c r="AK122" s="433">
        <f t="shared" si="41"/>
        <v>1.0527210437986706E-4</v>
      </c>
      <c r="AL122" s="433">
        <f t="shared" si="41"/>
        <v>1.1775427111062295E-4</v>
      </c>
      <c r="AM122" s="433"/>
    </row>
    <row r="123" spans="1:39" ht="15.75" customHeight="1" x14ac:dyDescent="0.25">
      <c r="A123" s="194"/>
      <c r="B123" s="194" t="str">
        <f t="shared" ref="B123:D123" si="42">B33</f>
        <v>Foam blowing agents</v>
      </c>
      <c r="C123" s="194" t="str">
        <f t="shared" si="42"/>
        <v>HFC</v>
      </c>
      <c r="D123" s="194" t="str">
        <f t="shared" si="42"/>
        <v>Other HFC</v>
      </c>
      <c r="E123" s="434">
        <f t="shared" si="8"/>
        <v>3.1510713686054377</v>
      </c>
      <c r="F123" s="433">
        <f t="shared" ref="F123:AL123" si="43">F33*$E123</f>
        <v>3.9301212549713166E-4</v>
      </c>
      <c r="G123" s="433">
        <f t="shared" si="43"/>
        <v>6.2131883103694005E-4</v>
      </c>
      <c r="H123" s="433">
        <f t="shared" si="43"/>
        <v>8.693179903539425E-4</v>
      </c>
      <c r="I123" s="433">
        <f t="shared" si="43"/>
        <v>1.1377365290470734E-3</v>
      </c>
      <c r="J123" s="433">
        <f t="shared" si="43"/>
        <v>1.2253811700391295E-3</v>
      </c>
      <c r="K123" s="433">
        <f t="shared" si="43"/>
        <v>2.2318811930273864E-3</v>
      </c>
      <c r="L123" s="433">
        <f t="shared" si="43"/>
        <v>3.5739684386170622E-3</v>
      </c>
      <c r="M123" s="433">
        <f t="shared" si="43"/>
        <v>4.9597734157874936E-3</v>
      </c>
      <c r="N123" s="433">
        <f t="shared" si="43"/>
        <v>6.3934797139017343E-3</v>
      </c>
      <c r="O123" s="433">
        <f t="shared" si="43"/>
        <v>7.8795602744110779E-3</v>
      </c>
      <c r="P123" s="433">
        <f t="shared" si="43"/>
        <v>8.4278697807469924E-3</v>
      </c>
      <c r="Q123" s="433">
        <f t="shared" si="43"/>
        <v>8.6811167018266203E-3</v>
      </c>
      <c r="R123" s="433">
        <f t="shared" si="43"/>
        <v>8.9477694293404516E-3</v>
      </c>
      <c r="S123" s="433">
        <f t="shared" si="43"/>
        <v>9.2093107905731331E-3</v>
      </c>
      <c r="T123" s="433">
        <f t="shared" si="43"/>
        <v>9.4607012376477437E-3</v>
      </c>
      <c r="U123" s="433">
        <f t="shared" si="43"/>
        <v>9.4977748179700672E-3</v>
      </c>
      <c r="V123" s="433">
        <f t="shared" si="43"/>
        <v>9.4950382698214646E-3</v>
      </c>
      <c r="W123" s="433">
        <f t="shared" si="43"/>
        <v>9.4596971048549229E-3</v>
      </c>
      <c r="X123" s="433">
        <f t="shared" si="43"/>
        <v>9.4147206018863634E-3</v>
      </c>
      <c r="Y123" s="433">
        <f t="shared" si="43"/>
        <v>1.0175390928081894E-2</v>
      </c>
      <c r="Z123" s="433">
        <f t="shared" si="43"/>
        <v>1.0996778048981158E-2</v>
      </c>
      <c r="AA123" s="433">
        <f t="shared" si="43"/>
        <v>1.1228867207222108E-2</v>
      </c>
      <c r="AB123" s="433">
        <f t="shared" si="43"/>
        <v>1.1442979121149647E-2</v>
      </c>
      <c r="AC123" s="433">
        <f t="shared" si="43"/>
        <v>1.1629694640172538E-2</v>
      </c>
      <c r="AD123" s="433">
        <f t="shared" si="43"/>
        <v>1.1812353545748141E-2</v>
      </c>
      <c r="AE123" s="433">
        <f t="shared" si="43"/>
        <v>1.1985505799120633E-2</v>
      </c>
      <c r="AF123" s="433">
        <f t="shared" si="43"/>
        <v>1.2143604229672826E-2</v>
      </c>
      <c r="AG123" s="433">
        <f t="shared" si="43"/>
        <v>1.2322010751256812E-2</v>
      </c>
      <c r="AH123" s="433">
        <f t="shared" si="43"/>
        <v>1.250434059146615E-2</v>
      </c>
      <c r="AI123" s="433">
        <f t="shared" si="43"/>
        <v>1.269167686736046E-2</v>
      </c>
      <c r="AJ123" s="433">
        <f t="shared" si="43"/>
        <v>1.303794194047524E-2</v>
      </c>
      <c r="AK123" s="433">
        <f t="shared" si="43"/>
        <v>1.3250662425907743E-2</v>
      </c>
      <c r="AL123" s="433">
        <f t="shared" si="43"/>
        <v>1.3415112695085883E-2</v>
      </c>
      <c r="AM123" s="433"/>
    </row>
    <row r="124" spans="1:39" ht="15.75" customHeight="1" x14ac:dyDescent="0.25">
      <c r="A124" s="194"/>
      <c r="B124" s="194" t="str">
        <f t="shared" ref="B124:D124" si="44">B34</f>
        <v>Foam blowing agents</v>
      </c>
      <c r="C124" s="194" t="str">
        <f t="shared" si="44"/>
        <v>HFC</v>
      </c>
      <c r="D124" s="194" t="str">
        <f t="shared" si="44"/>
        <v>Other HFC</v>
      </c>
      <c r="E124" s="434">
        <f t="shared" si="8"/>
        <v>3.1510713686054377</v>
      </c>
      <c r="F124" s="433">
        <f t="shared" ref="F124:AL124" si="45">F34*$E124</f>
        <v>0</v>
      </c>
      <c r="G124" s="433">
        <f t="shared" si="45"/>
        <v>0</v>
      </c>
      <c r="H124" s="433">
        <f t="shared" si="45"/>
        <v>0</v>
      </c>
      <c r="I124" s="433">
        <f t="shared" si="45"/>
        <v>0</v>
      </c>
      <c r="J124" s="433">
        <f t="shared" si="45"/>
        <v>0</v>
      </c>
      <c r="K124" s="433">
        <f t="shared" si="45"/>
        <v>0</v>
      </c>
      <c r="L124" s="433">
        <f t="shared" si="45"/>
        <v>0</v>
      </c>
      <c r="M124" s="433">
        <f t="shared" si="45"/>
        <v>0</v>
      </c>
      <c r="N124" s="433">
        <f t="shared" si="45"/>
        <v>0</v>
      </c>
      <c r="O124" s="433">
        <f t="shared" si="45"/>
        <v>0</v>
      </c>
      <c r="P124" s="433">
        <f t="shared" si="45"/>
        <v>0</v>
      </c>
      <c r="Q124" s="433">
        <f t="shared" si="45"/>
        <v>0</v>
      </c>
      <c r="R124" s="433">
        <f t="shared" si="45"/>
        <v>0</v>
      </c>
      <c r="S124" s="433">
        <f t="shared" si="45"/>
        <v>0</v>
      </c>
      <c r="T124" s="433">
        <f t="shared" si="45"/>
        <v>0</v>
      </c>
      <c r="U124" s="433">
        <f t="shared" si="45"/>
        <v>0</v>
      </c>
      <c r="V124" s="433">
        <f t="shared" si="45"/>
        <v>0</v>
      </c>
      <c r="W124" s="433">
        <f t="shared" si="45"/>
        <v>0</v>
      </c>
      <c r="X124" s="433">
        <f t="shared" si="45"/>
        <v>0</v>
      </c>
      <c r="Y124" s="433">
        <f t="shared" si="45"/>
        <v>0</v>
      </c>
      <c r="Z124" s="433">
        <f t="shared" si="45"/>
        <v>0</v>
      </c>
      <c r="AA124" s="433">
        <f t="shared" si="45"/>
        <v>0</v>
      </c>
      <c r="AB124" s="433">
        <f t="shared" si="45"/>
        <v>0</v>
      </c>
      <c r="AC124" s="433">
        <f t="shared" si="45"/>
        <v>0</v>
      </c>
      <c r="AD124" s="433">
        <f t="shared" si="45"/>
        <v>0</v>
      </c>
      <c r="AE124" s="433">
        <f t="shared" si="45"/>
        <v>0</v>
      </c>
      <c r="AF124" s="433">
        <f t="shared" si="45"/>
        <v>4.128399933012974E-5</v>
      </c>
      <c r="AG124" s="433">
        <f t="shared" si="45"/>
        <v>9.1903891450028816E-5</v>
      </c>
      <c r="AH124" s="433">
        <f t="shared" si="45"/>
        <v>1.5356594730938565E-4</v>
      </c>
      <c r="AI124" s="433">
        <f t="shared" si="45"/>
        <v>2.2770903972675442E-4</v>
      </c>
      <c r="AJ124" s="433">
        <f t="shared" si="45"/>
        <v>3.2026808491360465E-4</v>
      </c>
      <c r="AK124" s="433">
        <f t="shared" si="45"/>
        <v>3.6764376594616578E-4</v>
      </c>
      <c r="AL124" s="433">
        <f t="shared" si="45"/>
        <v>4.1625472299005944E-4</v>
      </c>
      <c r="AM124" s="433"/>
    </row>
    <row r="125" spans="1:39" ht="15.75" customHeight="1" x14ac:dyDescent="0.25">
      <c r="A125" s="194"/>
      <c r="B125" s="194" t="str">
        <f t="shared" ref="B125:D125" si="46">B35</f>
        <v>Foam blowing agents</v>
      </c>
      <c r="C125" s="194" t="str">
        <f t="shared" si="46"/>
        <v>HFC</v>
      </c>
      <c r="D125" s="194" t="str">
        <f t="shared" si="46"/>
        <v>Other HFC</v>
      </c>
      <c r="E125" s="434">
        <f t="shared" si="8"/>
        <v>3.1510713686054377</v>
      </c>
      <c r="F125" s="433">
        <f t="shared" ref="F125:AL125" si="47">F35*$E125</f>
        <v>0</v>
      </c>
      <c r="G125" s="433">
        <f t="shared" si="47"/>
        <v>0</v>
      </c>
      <c r="H125" s="433">
        <f t="shared" si="47"/>
        <v>0</v>
      </c>
      <c r="I125" s="433">
        <f t="shared" si="47"/>
        <v>0</v>
      </c>
      <c r="J125" s="433">
        <f t="shared" si="47"/>
        <v>0</v>
      </c>
      <c r="K125" s="433">
        <f t="shared" si="47"/>
        <v>0</v>
      </c>
      <c r="L125" s="433">
        <f t="shared" si="47"/>
        <v>0</v>
      </c>
      <c r="M125" s="433">
        <f t="shared" si="47"/>
        <v>0</v>
      </c>
      <c r="N125" s="433">
        <f t="shared" si="47"/>
        <v>0</v>
      </c>
      <c r="O125" s="433">
        <f t="shared" si="47"/>
        <v>0</v>
      </c>
      <c r="P125" s="433">
        <f t="shared" si="47"/>
        <v>0</v>
      </c>
      <c r="Q125" s="433">
        <f t="shared" si="47"/>
        <v>0</v>
      </c>
      <c r="R125" s="433">
        <f t="shared" si="47"/>
        <v>5.3811122248354683E-3</v>
      </c>
      <c r="S125" s="433">
        <f t="shared" si="47"/>
        <v>1.1701708970743531E-2</v>
      </c>
      <c r="T125" s="433">
        <f t="shared" si="47"/>
        <v>1.3169210501605801E-2</v>
      </c>
      <c r="U125" s="433">
        <f t="shared" si="47"/>
        <v>1.4681194978391023E-2</v>
      </c>
      <c r="V125" s="433">
        <f t="shared" si="47"/>
        <v>1.6213901102938411E-2</v>
      </c>
      <c r="W125" s="433">
        <f t="shared" si="47"/>
        <v>1.7773336265136483E-2</v>
      </c>
      <c r="X125" s="433">
        <f t="shared" si="47"/>
        <v>1.9402432755360053E-2</v>
      </c>
      <c r="Y125" s="433">
        <f t="shared" si="47"/>
        <v>2.1151167172264729E-2</v>
      </c>
      <c r="Z125" s="433">
        <f t="shared" si="47"/>
        <v>2.3028693271167796E-2</v>
      </c>
      <c r="AA125" s="433">
        <f t="shared" si="47"/>
        <v>2.4982270517616E-2</v>
      </c>
      <c r="AB125" s="433">
        <f t="shared" si="47"/>
        <v>2.6999970598364662E-2</v>
      </c>
      <c r="AC125" s="433">
        <f t="shared" si="47"/>
        <v>2.9055474489210607E-2</v>
      </c>
      <c r="AD125" s="433">
        <f t="shared" si="47"/>
        <v>3.1169467611792123E-2</v>
      </c>
      <c r="AE125" s="433">
        <f t="shared" si="47"/>
        <v>3.3326335135242725E-2</v>
      </c>
      <c r="AF125" s="433">
        <f t="shared" si="47"/>
        <v>3.2015447583425456E-2</v>
      </c>
      <c r="AG125" s="433">
        <f t="shared" si="47"/>
        <v>3.0162387065744145E-2</v>
      </c>
      <c r="AH125" s="433">
        <f t="shared" si="47"/>
        <v>2.7900138291621485E-2</v>
      </c>
      <c r="AI125" s="433">
        <f t="shared" si="47"/>
        <v>2.473154939198997E-2</v>
      </c>
      <c r="AJ125" s="433">
        <f t="shared" si="47"/>
        <v>2.0801290846097307E-2</v>
      </c>
      <c r="AK125" s="433">
        <f t="shared" si="47"/>
        <v>2.0775042253684723E-2</v>
      </c>
      <c r="AL125" s="433">
        <f t="shared" si="47"/>
        <v>2.0666830330765718E-2</v>
      </c>
      <c r="AM125" s="433"/>
    </row>
    <row r="126" spans="1:39" ht="15.75" customHeight="1" x14ac:dyDescent="0.25">
      <c r="A126" s="194"/>
      <c r="B126" s="194" t="str">
        <f t="shared" ref="B126:D126" si="48">B36</f>
        <v>Foam blowing agents</v>
      </c>
      <c r="C126" s="194" t="str">
        <f t="shared" si="48"/>
        <v>HFC</v>
      </c>
      <c r="D126" s="194" t="str">
        <f t="shared" si="48"/>
        <v>Other HFC</v>
      </c>
      <c r="E126" s="434">
        <f t="shared" si="8"/>
        <v>3.1510713686054377</v>
      </c>
      <c r="F126" s="433">
        <f t="shared" ref="F126:AL126" si="49">F36*$E126</f>
        <v>0</v>
      </c>
      <c r="G126" s="433">
        <f t="shared" si="49"/>
        <v>0</v>
      </c>
      <c r="H126" s="433">
        <f t="shared" si="49"/>
        <v>0</v>
      </c>
      <c r="I126" s="433">
        <f t="shared" si="49"/>
        <v>0</v>
      </c>
      <c r="J126" s="433">
        <f t="shared" si="49"/>
        <v>0</v>
      </c>
      <c r="K126" s="433">
        <f t="shared" si="49"/>
        <v>0</v>
      </c>
      <c r="L126" s="433">
        <f t="shared" si="49"/>
        <v>0</v>
      </c>
      <c r="M126" s="433">
        <f t="shared" si="49"/>
        <v>0</v>
      </c>
      <c r="N126" s="433">
        <f t="shared" si="49"/>
        <v>0</v>
      </c>
      <c r="O126" s="433">
        <f t="shared" si="49"/>
        <v>0</v>
      </c>
      <c r="P126" s="433">
        <f t="shared" si="49"/>
        <v>0</v>
      </c>
      <c r="Q126" s="433">
        <f t="shared" si="49"/>
        <v>0</v>
      </c>
      <c r="R126" s="433">
        <f t="shared" si="49"/>
        <v>8.6428940965049671E-3</v>
      </c>
      <c r="S126" s="433">
        <f t="shared" si="49"/>
        <v>1.8794744869932687E-2</v>
      </c>
      <c r="T126" s="433">
        <f t="shared" si="49"/>
        <v>2.1151778097963776E-2</v>
      </c>
      <c r="U126" s="433">
        <f t="shared" si="49"/>
        <v>2.3580257780677266E-2</v>
      </c>
      <c r="V126" s="433">
        <f t="shared" si="49"/>
        <v>2.6042019617642624E-2</v>
      </c>
      <c r="W126" s="433">
        <f t="shared" si="49"/>
        <v>2.8546712401234596E-2</v>
      </c>
      <c r="X126" s="433">
        <f t="shared" si="49"/>
        <v>3.1163291994762914E-2</v>
      </c>
      <c r="Y126" s="433">
        <f t="shared" si="49"/>
        <v>3.3972028504375945E-2</v>
      </c>
      <c r="Z126" s="433">
        <f t="shared" si="49"/>
        <v>3.6987624269383346E-2</v>
      </c>
      <c r="AA126" s="433">
        <f t="shared" si="49"/>
        <v>4.0125369877524769E-2</v>
      </c>
      <c r="AB126" s="433">
        <f t="shared" si="49"/>
        <v>4.3366106622604143E-2</v>
      </c>
      <c r="AC126" s="433">
        <f t="shared" si="49"/>
        <v>4.6667562102670583E-2</v>
      </c>
      <c r="AD126" s="433">
        <f t="shared" si="49"/>
        <v>5.0062960287247653E-2</v>
      </c>
      <c r="AE126" s="433">
        <f t="shared" si="49"/>
        <v>5.3527221355682143E-2</v>
      </c>
      <c r="AF126" s="433">
        <f t="shared" si="49"/>
        <v>5.1421734272455659E-2</v>
      </c>
      <c r="AG126" s="433">
        <f t="shared" si="49"/>
        <v>4.8445433994825975E-2</v>
      </c>
      <c r="AH126" s="433">
        <f t="shared" si="49"/>
        <v>4.4811914425312044E-2</v>
      </c>
      <c r="AI126" s="433">
        <f t="shared" si="49"/>
        <v>3.9722673177288489E-2</v>
      </c>
      <c r="AJ126" s="433">
        <f t="shared" si="49"/>
        <v>3.3410073297423973E-2</v>
      </c>
      <c r="AK126" s="433">
        <f t="shared" si="49"/>
        <v>3.3367914019764383E-2</v>
      </c>
      <c r="AL126" s="433">
        <f t="shared" si="49"/>
        <v>3.3194109023568327E-2</v>
      </c>
      <c r="AM126" s="433"/>
    </row>
    <row r="127" spans="1:39" ht="15.75" customHeight="1" x14ac:dyDescent="0.25">
      <c r="A127" s="194"/>
      <c r="B127" s="194" t="str">
        <f t="shared" ref="B127:D127" si="50">B37</f>
        <v>Foam blowing agents</v>
      </c>
      <c r="C127" s="194" t="str">
        <f t="shared" si="50"/>
        <v>HFC</v>
      </c>
      <c r="D127" s="194" t="str">
        <f t="shared" si="50"/>
        <v>Other HFC</v>
      </c>
      <c r="E127" s="434">
        <f t="shared" si="8"/>
        <v>3.1510713686054377</v>
      </c>
      <c r="F127" s="433">
        <f t="shared" ref="F127:AL127" si="51">F37*$E127</f>
        <v>0</v>
      </c>
      <c r="G127" s="433">
        <f t="shared" si="51"/>
        <v>0</v>
      </c>
      <c r="H127" s="433">
        <f t="shared" si="51"/>
        <v>0</v>
      </c>
      <c r="I127" s="433">
        <f t="shared" si="51"/>
        <v>0</v>
      </c>
      <c r="J127" s="433">
        <f t="shared" si="51"/>
        <v>0</v>
      </c>
      <c r="K127" s="433">
        <f t="shared" si="51"/>
        <v>0</v>
      </c>
      <c r="L127" s="433">
        <f t="shared" si="51"/>
        <v>0</v>
      </c>
      <c r="M127" s="433">
        <f t="shared" si="51"/>
        <v>0</v>
      </c>
      <c r="N127" s="433">
        <f t="shared" si="51"/>
        <v>0</v>
      </c>
      <c r="O127" s="433">
        <f t="shared" si="51"/>
        <v>0</v>
      </c>
      <c r="P127" s="433">
        <f t="shared" si="51"/>
        <v>0</v>
      </c>
      <c r="Q127" s="433">
        <f t="shared" si="51"/>
        <v>2.2577061261906217E-3</v>
      </c>
      <c r="R127" s="433">
        <f t="shared" si="51"/>
        <v>2.9249261733934738E-2</v>
      </c>
      <c r="S127" s="433">
        <f t="shared" si="51"/>
        <v>6.1574571215105171E-2</v>
      </c>
      <c r="T127" s="433">
        <f t="shared" si="51"/>
        <v>7.0367950812915858E-2</v>
      </c>
      <c r="U127" s="433">
        <f t="shared" si="51"/>
        <v>7.9370015812516084E-2</v>
      </c>
      <c r="V127" s="433">
        <f t="shared" si="51"/>
        <v>8.8625467454758758E-2</v>
      </c>
      <c r="W127" s="433">
        <f t="shared" si="51"/>
        <v>9.7911373949078992E-2</v>
      </c>
      <c r="X127" s="433">
        <f t="shared" si="51"/>
        <v>0.10665880064019971</v>
      </c>
      <c r="Y127" s="433">
        <f t="shared" si="51"/>
        <v>0.11671251370218837</v>
      </c>
      <c r="Z127" s="433">
        <f t="shared" si="51"/>
        <v>0.12874896027379057</v>
      </c>
      <c r="AA127" s="433">
        <f t="shared" si="51"/>
        <v>0.14188286283534246</v>
      </c>
      <c r="AB127" s="433">
        <f t="shared" si="51"/>
        <v>0.15432857347794168</v>
      </c>
      <c r="AC127" s="433">
        <f t="shared" si="51"/>
        <v>0.16668951111312774</v>
      </c>
      <c r="AD127" s="433">
        <f t="shared" si="51"/>
        <v>0.17946864711692243</v>
      </c>
      <c r="AE127" s="433">
        <f t="shared" si="51"/>
        <v>0.23084548578526387</v>
      </c>
      <c r="AF127" s="433">
        <f t="shared" si="51"/>
        <v>0.27317875310932022</v>
      </c>
      <c r="AG127" s="433">
        <f t="shared" si="51"/>
        <v>0.32230753307301641</v>
      </c>
      <c r="AH127" s="433">
        <f t="shared" si="51"/>
        <v>0.33963545423342739</v>
      </c>
      <c r="AI127" s="433">
        <f t="shared" si="51"/>
        <v>0.34273584802036922</v>
      </c>
      <c r="AJ127" s="433">
        <f t="shared" si="51"/>
        <v>0.33802800711121339</v>
      </c>
      <c r="AK127" s="433">
        <f t="shared" si="51"/>
        <v>0.35037593077526197</v>
      </c>
      <c r="AL127" s="433">
        <f t="shared" si="51"/>
        <v>0.3868879446428703</v>
      </c>
      <c r="AM127" s="433"/>
    </row>
    <row r="128" spans="1:39" ht="15.75" customHeight="1" x14ac:dyDescent="0.25">
      <c r="A128" s="194"/>
      <c r="B128" s="194" t="str">
        <f t="shared" ref="B128:D128" si="52">B38</f>
        <v>Metered does inhalers</v>
      </c>
      <c r="C128" s="194" t="str">
        <f t="shared" si="52"/>
        <v>HFC</v>
      </c>
      <c r="D128" s="194" t="str">
        <f t="shared" si="52"/>
        <v>Other HFC</v>
      </c>
      <c r="E128" s="434">
        <f t="shared" si="8"/>
        <v>3.1510713686054377</v>
      </c>
      <c r="F128" s="433">
        <f t="shared" ref="F128:AL128" si="53">F38*$E128</f>
        <v>0</v>
      </c>
      <c r="G128" s="433">
        <f t="shared" si="53"/>
        <v>0</v>
      </c>
      <c r="H128" s="433">
        <f t="shared" si="53"/>
        <v>0</v>
      </c>
      <c r="I128" s="433">
        <f t="shared" si="53"/>
        <v>0</v>
      </c>
      <c r="J128" s="433">
        <f t="shared" si="53"/>
        <v>0</v>
      </c>
      <c r="K128" s="433">
        <f t="shared" si="53"/>
        <v>0</v>
      </c>
      <c r="L128" s="433">
        <f t="shared" si="53"/>
        <v>0</v>
      </c>
      <c r="M128" s="433">
        <f t="shared" si="53"/>
        <v>0</v>
      </c>
      <c r="N128" s="433">
        <f t="shared" si="53"/>
        <v>0</v>
      </c>
      <c r="O128" s="433">
        <f t="shared" si="53"/>
        <v>0</v>
      </c>
      <c r="P128" s="433">
        <f t="shared" si="53"/>
        <v>0</v>
      </c>
      <c r="Q128" s="433">
        <f t="shared" si="53"/>
        <v>0</v>
      </c>
      <c r="R128" s="433">
        <f t="shared" si="53"/>
        <v>0</v>
      </c>
      <c r="S128" s="433">
        <f t="shared" si="53"/>
        <v>0</v>
      </c>
      <c r="T128" s="433">
        <f t="shared" si="53"/>
        <v>0</v>
      </c>
      <c r="U128" s="433">
        <f t="shared" si="53"/>
        <v>0</v>
      </c>
      <c r="V128" s="433">
        <f t="shared" si="53"/>
        <v>0</v>
      </c>
      <c r="W128" s="433">
        <f t="shared" si="53"/>
        <v>3.4684618100898753E-3</v>
      </c>
      <c r="X128" s="433">
        <f t="shared" si="53"/>
        <v>6.9795514746707815E-3</v>
      </c>
      <c r="Y128" s="433">
        <f t="shared" si="53"/>
        <v>1.0553344513898982E-2</v>
      </c>
      <c r="Z128" s="433">
        <f t="shared" si="53"/>
        <v>1.4218528219065532E-2</v>
      </c>
      <c r="AA128" s="433">
        <f t="shared" si="53"/>
        <v>1.7933905719995792E-2</v>
      </c>
      <c r="AB128" s="433">
        <f t="shared" si="53"/>
        <v>2.1702091084041121E-2</v>
      </c>
      <c r="AC128" s="433">
        <f t="shared" si="53"/>
        <v>2.5481292301660616E-2</v>
      </c>
      <c r="AD128" s="433">
        <f t="shared" si="53"/>
        <v>2.5636346440094038E-2</v>
      </c>
      <c r="AE128" s="433">
        <f t="shared" si="53"/>
        <v>2.4061836649183283E-2</v>
      </c>
      <c r="AF128" s="433">
        <f t="shared" si="53"/>
        <v>2.9420256939622504E-2</v>
      </c>
      <c r="AG128" s="433">
        <f t="shared" si="53"/>
        <v>3.4678708257559233E-2</v>
      </c>
      <c r="AH128" s="433">
        <f t="shared" si="53"/>
        <v>3.9513069872097024E-2</v>
      </c>
      <c r="AI128" s="433">
        <f t="shared" si="53"/>
        <v>3.9954296013381997E-2</v>
      </c>
      <c r="AJ128" s="433">
        <f t="shared" si="53"/>
        <v>4.0885658504363563E-2</v>
      </c>
      <c r="AK128" s="433">
        <f t="shared" si="53"/>
        <v>4.138942015720258E-2</v>
      </c>
      <c r="AL128" s="433">
        <f t="shared" si="53"/>
        <v>2.5044276193502437E-2</v>
      </c>
      <c r="AM128" s="433"/>
    </row>
    <row r="129" spans="1:39" ht="15.75" customHeight="1" x14ac:dyDescent="0.25">
      <c r="A129" s="194"/>
      <c r="B129" s="194" t="str">
        <f t="shared" ref="B129:D129" si="54">B39</f>
        <v>Other Aerosols</v>
      </c>
      <c r="C129" s="194" t="str">
        <f t="shared" si="54"/>
        <v>HFC</v>
      </c>
      <c r="D129" s="194" t="str">
        <f t="shared" si="54"/>
        <v>Other HFC</v>
      </c>
      <c r="E129" s="434">
        <f t="shared" si="8"/>
        <v>3.1510713686054377</v>
      </c>
      <c r="F129" s="433">
        <f t="shared" ref="F129:AL129" si="55">F39*$E129</f>
        <v>0</v>
      </c>
      <c r="G129" s="433">
        <f t="shared" si="55"/>
        <v>0</v>
      </c>
      <c r="H129" s="433">
        <f t="shared" si="55"/>
        <v>0</v>
      </c>
      <c r="I129" s="433">
        <f t="shared" si="55"/>
        <v>0</v>
      </c>
      <c r="J129" s="433">
        <f t="shared" si="55"/>
        <v>0</v>
      </c>
      <c r="K129" s="433">
        <f t="shared" si="55"/>
        <v>0</v>
      </c>
      <c r="L129" s="433">
        <f t="shared" si="55"/>
        <v>0</v>
      </c>
      <c r="M129" s="433">
        <f t="shared" si="55"/>
        <v>0</v>
      </c>
      <c r="N129" s="433">
        <f t="shared" si="55"/>
        <v>0</v>
      </c>
      <c r="O129" s="433">
        <f t="shared" si="55"/>
        <v>0</v>
      </c>
      <c r="P129" s="433">
        <f t="shared" si="55"/>
        <v>0</v>
      </c>
      <c r="Q129" s="433">
        <f t="shared" si="55"/>
        <v>0</v>
      </c>
      <c r="R129" s="433">
        <f t="shared" si="55"/>
        <v>0</v>
      </c>
      <c r="S129" s="433">
        <f t="shared" si="55"/>
        <v>0</v>
      </c>
      <c r="T129" s="433">
        <f t="shared" si="55"/>
        <v>0</v>
      </c>
      <c r="U129" s="433">
        <f t="shared" si="55"/>
        <v>0</v>
      </c>
      <c r="V129" s="433">
        <f t="shared" si="55"/>
        <v>0</v>
      </c>
      <c r="W129" s="433">
        <f t="shared" si="55"/>
        <v>0</v>
      </c>
      <c r="X129" s="433">
        <f t="shared" si="55"/>
        <v>0</v>
      </c>
      <c r="Y129" s="433">
        <f t="shared" si="55"/>
        <v>0</v>
      </c>
      <c r="Z129" s="433">
        <f t="shared" si="55"/>
        <v>0</v>
      </c>
      <c r="AA129" s="433">
        <f t="shared" si="55"/>
        <v>0</v>
      </c>
      <c r="AB129" s="433">
        <f t="shared" si="55"/>
        <v>4.8007471203197866E-6</v>
      </c>
      <c r="AC129" s="433">
        <f t="shared" si="55"/>
        <v>1.0158143052718795E-5</v>
      </c>
      <c r="AD129" s="433">
        <f t="shared" si="55"/>
        <v>1.6058716655265169E-5</v>
      </c>
      <c r="AE129" s="433">
        <f t="shared" si="55"/>
        <v>2.2479825064494267E-5</v>
      </c>
      <c r="AF129" s="433">
        <f t="shared" si="55"/>
        <v>9.762421628968397E-5</v>
      </c>
      <c r="AG129" s="433">
        <f t="shared" si="55"/>
        <v>1.6960922262782699E-4</v>
      </c>
      <c r="AH129" s="433">
        <f t="shared" si="55"/>
        <v>2.4407915113197552E-4</v>
      </c>
      <c r="AI129" s="433">
        <f t="shared" si="55"/>
        <v>2.4836784435641718E-4</v>
      </c>
      <c r="AJ129" s="433">
        <f t="shared" si="55"/>
        <v>2.5576363380166507E-4</v>
      </c>
      <c r="AK129" s="433">
        <f t="shared" si="55"/>
        <v>2.6055042912003005E-4</v>
      </c>
      <c r="AL129" s="433">
        <f t="shared" si="55"/>
        <v>2.6437654259772454E-4</v>
      </c>
      <c r="AM129" s="433"/>
    </row>
    <row r="130" spans="1:39" ht="15.75" customHeight="1" x14ac:dyDescent="0.25">
      <c r="A130" s="194"/>
      <c r="B130" s="194" t="str">
        <f t="shared" ref="B130:D130" si="56">B40</f>
        <v>Other Aerosols</v>
      </c>
      <c r="C130" s="194" t="str">
        <f t="shared" si="56"/>
        <v>HFC</v>
      </c>
      <c r="D130" s="194" t="str">
        <f t="shared" si="56"/>
        <v>Other HFC</v>
      </c>
      <c r="E130" s="434">
        <f t="shared" si="8"/>
        <v>3.1510713686054377</v>
      </c>
      <c r="F130" s="433">
        <f t="shared" ref="F130:AL130" si="57">F40*$E130</f>
        <v>1.3754024600626417E-2</v>
      </c>
      <c r="G130" s="433">
        <f t="shared" si="57"/>
        <v>3.0150608716945367E-2</v>
      </c>
      <c r="H130" s="433">
        <f t="shared" si="57"/>
        <v>3.0078155851213689E-2</v>
      </c>
      <c r="I130" s="433">
        <f t="shared" si="57"/>
        <v>2.9979021610693629E-2</v>
      </c>
      <c r="J130" s="433">
        <f t="shared" si="57"/>
        <v>3.1850097558794845E-2</v>
      </c>
      <c r="K130" s="433">
        <f t="shared" si="57"/>
        <v>3.3150242370900924E-2</v>
      </c>
      <c r="L130" s="433">
        <f t="shared" si="57"/>
        <v>3.7995404435182206E-2</v>
      </c>
      <c r="M130" s="433">
        <f t="shared" si="57"/>
        <v>6.1270973625599745E-2</v>
      </c>
      <c r="N130" s="433">
        <f t="shared" si="57"/>
        <v>9.4796900350886018E-2</v>
      </c>
      <c r="O130" s="433">
        <f t="shared" si="57"/>
        <v>9.732146430036015E-2</v>
      </c>
      <c r="P130" s="433">
        <f t="shared" si="57"/>
        <v>9.8442545066098147E-2</v>
      </c>
      <c r="Q130" s="433">
        <f t="shared" si="57"/>
        <v>0.10685600223146616</v>
      </c>
      <c r="R130" s="433">
        <f t="shared" si="57"/>
        <v>0.11526816169985858</v>
      </c>
      <c r="S130" s="433">
        <f t="shared" si="57"/>
        <v>0.12428022160481807</v>
      </c>
      <c r="T130" s="433">
        <f t="shared" si="57"/>
        <v>0.13292017253366459</v>
      </c>
      <c r="U130" s="433">
        <f t="shared" si="57"/>
        <v>0.14217161949977622</v>
      </c>
      <c r="V130" s="433">
        <f t="shared" si="57"/>
        <v>0.14510685523225011</v>
      </c>
      <c r="W130" s="433">
        <f t="shared" si="57"/>
        <v>0.14880802731840678</v>
      </c>
      <c r="X130" s="433">
        <f t="shared" si="57"/>
        <v>0.1512502601752275</v>
      </c>
      <c r="Y130" s="433">
        <f t="shared" si="57"/>
        <v>0.1631710986471003</v>
      </c>
      <c r="Z130" s="433">
        <f t="shared" si="57"/>
        <v>0.17560912881103505</v>
      </c>
      <c r="AA130" s="433">
        <f t="shared" si="57"/>
        <v>0.18756716325209183</v>
      </c>
      <c r="AB130" s="433">
        <f t="shared" si="57"/>
        <v>0.19942607983972288</v>
      </c>
      <c r="AC130" s="433">
        <f t="shared" si="57"/>
        <v>0.21097688833369685</v>
      </c>
      <c r="AD130" s="433">
        <f t="shared" si="57"/>
        <v>0.22235740737338544</v>
      </c>
      <c r="AE130" s="433">
        <f t="shared" si="57"/>
        <v>0.23344792085770188</v>
      </c>
      <c r="AF130" s="433">
        <f t="shared" si="57"/>
        <v>0.23719647023383791</v>
      </c>
      <c r="AG130" s="433">
        <f t="shared" si="57"/>
        <v>0.24133998403545587</v>
      </c>
      <c r="AH130" s="433">
        <f t="shared" si="57"/>
        <v>0.24555486607106852</v>
      </c>
      <c r="AI130" s="433">
        <f t="shared" si="57"/>
        <v>0.24986929226808338</v>
      </c>
      <c r="AJ130" s="433">
        <f t="shared" si="57"/>
        <v>0.25731033728524599</v>
      </c>
      <c r="AK130" s="433">
        <f t="shared" si="57"/>
        <v>0.26212535234022533</v>
      </c>
      <c r="AL130" s="433">
        <f t="shared" si="57"/>
        <v>0.26597519691834942</v>
      </c>
      <c r="AM130" s="433"/>
    </row>
    <row r="131" spans="1:39" ht="15.75" customHeight="1" x14ac:dyDescent="0.25">
      <c r="A131" s="194"/>
      <c r="B131" s="194" t="str">
        <f t="shared" ref="B131:D131" si="58">B41</f>
        <v>Refrigeration and air-conditioning</v>
      </c>
      <c r="C131" s="194" t="str">
        <f t="shared" si="58"/>
        <v>HFC</v>
      </c>
      <c r="D131" s="194" t="str">
        <f t="shared" si="58"/>
        <v>Other HFC</v>
      </c>
      <c r="E131" s="434">
        <f t="shared" si="8"/>
        <v>3.1510713686054377</v>
      </c>
      <c r="F131" s="433">
        <f t="shared" ref="F131:AL131" si="59">F41*$E131</f>
        <v>0</v>
      </c>
      <c r="G131" s="433">
        <f t="shared" si="59"/>
        <v>0</v>
      </c>
      <c r="H131" s="433">
        <f t="shared" si="59"/>
        <v>0</v>
      </c>
      <c r="I131" s="433">
        <f t="shared" si="59"/>
        <v>0</v>
      </c>
      <c r="J131" s="433">
        <f t="shared" si="59"/>
        <v>0</v>
      </c>
      <c r="K131" s="433">
        <f t="shared" si="59"/>
        <v>0</v>
      </c>
      <c r="L131" s="433">
        <f t="shared" si="59"/>
        <v>0</v>
      </c>
      <c r="M131" s="433">
        <f t="shared" si="59"/>
        <v>0</v>
      </c>
      <c r="N131" s="433">
        <f t="shared" si="59"/>
        <v>0</v>
      </c>
      <c r="O131" s="433">
        <f t="shared" si="59"/>
        <v>0</v>
      </c>
      <c r="P131" s="433">
        <f t="shared" si="59"/>
        <v>0</v>
      </c>
      <c r="Q131" s="433">
        <f t="shared" si="59"/>
        <v>0</v>
      </c>
      <c r="R131" s="433">
        <f t="shared" si="59"/>
        <v>0</v>
      </c>
      <c r="S131" s="433">
        <f t="shared" si="59"/>
        <v>0</v>
      </c>
      <c r="T131" s="433">
        <f t="shared" si="59"/>
        <v>0</v>
      </c>
      <c r="U131" s="433">
        <f t="shared" si="59"/>
        <v>0</v>
      </c>
      <c r="V131" s="433">
        <f t="shared" si="59"/>
        <v>0</v>
      </c>
      <c r="W131" s="433">
        <f t="shared" si="59"/>
        <v>0</v>
      </c>
      <c r="X131" s="433">
        <f t="shared" si="59"/>
        <v>0</v>
      </c>
      <c r="Y131" s="433">
        <f t="shared" si="59"/>
        <v>0</v>
      </c>
      <c r="Z131" s="433">
        <f t="shared" si="59"/>
        <v>0</v>
      </c>
      <c r="AA131" s="433">
        <f t="shared" si="59"/>
        <v>0</v>
      </c>
      <c r="AB131" s="433">
        <f t="shared" si="59"/>
        <v>0</v>
      </c>
      <c r="AC131" s="433">
        <f t="shared" si="59"/>
        <v>0</v>
      </c>
      <c r="AD131" s="433">
        <f t="shared" si="59"/>
        <v>0</v>
      </c>
      <c r="AE131" s="433">
        <f t="shared" si="59"/>
        <v>0</v>
      </c>
      <c r="AF131" s="433">
        <f t="shared" si="59"/>
        <v>5.7910756680735784E-9</v>
      </c>
      <c r="AG131" s="433">
        <f t="shared" si="59"/>
        <v>1.0571367955645889E-7</v>
      </c>
      <c r="AH131" s="433">
        <f t="shared" si="59"/>
        <v>4.8173213389411005E-7</v>
      </c>
      <c r="AI131" s="433">
        <f t="shared" si="59"/>
        <v>1.0985606936384691E-6</v>
      </c>
      <c r="AJ131" s="433">
        <f t="shared" si="59"/>
        <v>1.98661846590581E-6</v>
      </c>
      <c r="AK131" s="433">
        <f t="shared" si="59"/>
        <v>2.8176355573877506E-6</v>
      </c>
      <c r="AL131" s="433">
        <f t="shared" si="59"/>
        <v>3.6459804726045666E-6</v>
      </c>
      <c r="AM131" s="433"/>
    </row>
    <row r="132" spans="1:39" ht="15.75" customHeight="1" x14ac:dyDescent="0.25">
      <c r="A132" s="194"/>
      <c r="B132" s="194" t="str">
        <f t="shared" ref="B132:D132" si="60">B42</f>
        <v>Refrigeration and air-conditioning</v>
      </c>
      <c r="C132" s="194" t="str">
        <f t="shared" si="60"/>
        <v>HFC</v>
      </c>
      <c r="D132" s="194" t="str">
        <f t="shared" si="60"/>
        <v>Other HFC</v>
      </c>
      <c r="E132" s="434">
        <f t="shared" si="8"/>
        <v>3.1510713686054377</v>
      </c>
      <c r="F132" s="433">
        <f t="shared" ref="F132:AL132" si="61">F42*$E132</f>
        <v>0</v>
      </c>
      <c r="G132" s="433">
        <f t="shared" si="61"/>
        <v>0</v>
      </c>
      <c r="H132" s="433">
        <f t="shared" si="61"/>
        <v>0</v>
      </c>
      <c r="I132" s="433">
        <f t="shared" si="61"/>
        <v>0</v>
      </c>
      <c r="J132" s="433">
        <f t="shared" si="61"/>
        <v>0</v>
      </c>
      <c r="K132" s="433">
        <f t="shared" si="61"/>
        <v>0</v>
      </c>
      <c r="L132" s="433">
        <f t="shared" si="61"/>
        <v>0</v>
      </c>
      <c r="M132" s="433">
        <f t="shared" si="61"/>
        <v>0</v>
      </c>
      <c r="N132" s="433">
        <f t="shared" si="61"/>
        <v>0</v>
      </c>
      <c r="O132" s="433">
        <f t="shared" si="61"/>
        <v>0</v>
      </c>
      <c r="P132" s="433">
        <f t="shared" si="61"/>
        <v>0</v>
      </c>
      <c r="Q132" s="433">
        <f t="shared" si="61"/>
        <v>0</v>
      </c>
      <c r="R132" s="433">
        <f t="shared" si="61"/>
        <v>0</v>
      </c>
      <c r="S132" s="433">
        <f t="shared" si="61"/>
        <v>0</v>
      </c>
      <c r="T132" s="433">
        <f t="shared" si="61"/>
        <v>0</v>
      </c>
      <c r="U132" s="433">
        <f t="shared" si="61"/>
        <v>0</v>
      </c>
      <c r="V132" s="433">
        <f t="shared" si="61"/>
        <v>0</v>
      </c>
      <c r="W132" s="433">
        <f t="shared" si="61"/>
        <v>0</v>
      </c>
      <c r="X132" s="433">
        <f t="shared" si="61"/>
        <v>0</v>
      </c>
      <c r="Y132" s="433">
        <f t="shared" si="61"/>
        <v>0</v>
      </c>
      <c r="Z132" s="433">
        <f t="shared" si="61"/>
        <v>0</v>
      </c>
      <c r="AA132" s="433">
        <f t="shared" si="61"/>
        <v>0</v>
      </c>
      <c r="AB132" s="433">
        <f t="shared" si="61"/>
        <v>0</v>
      </c>
      <c r="AC132" s="433">
        <f t="shared" si="61"/>
        <v>0</v>
      </c>
      <c r="AD132" s="433">
        <f t="shared" si="61"/>
        <v>0</v>
      </c>
      <c r="AE132" s="433">
        <f t="shared" si="61"/>
        <v>0</v>
      </c>
      <c r="AF132" s="433">
        <f t="shared" si="61"/>
        <v>9.0688244962032264E-9</v>
      </c>
      <c r="AG132" s="433">
        <f t="shared" si="61"/>
        <v>4.1881102556520594E-8</v>
      </c>
      <c r="AH132" s="433">
        <f t="shared" si="61"/>
        <v>3.409003952293726E-7</v>
      </c>
      <c r="AI132" s="433">
        <f t="shared" si="61"/>
        <v>8.7208243279454061E-7</v>
      </c>
      <c r="AJ132" s="433">
        <f t="shared" si="61"/>
        <v>1.6520679697075207E-6</v>
      </c>
      <c r="AK132" s="433">
        <f t="shared" si="61"/>
        <v>2.6838080121316953E-6</v>
      </c>
      <c r="AL132" s="433">
        <f t="shared" si="61"/>
        <v>3.9238545813738415E-6</v>
      </c>
      <c r="AM132" s="433"/>
    </row>
    <row r="133" spans="1:39" ht="15.75" customHeight="1" x14ac:dyDescent="0.25">
      <c r="A133" s="194"/>
      <c r="B133" s="194" t="str">
        <f t="shared" ref="B133:D133" si="62">B43</f>
        <v>Refrigeration and air-conditioning</v>
      </c>
      <c r="C133" s="194" t="str">
        <f t="shared" si="62"/>
        <v>HFC</v>
      </c>
      <c r="D133" s="194" t="str">
        <f t="shared" si="62"/>
        <v>Other HFC</v>
      </c>
      <c r="E133" s="434">
        <f t="shared" si="8"/>
        <v>3.1510713686054377</v>
      </c>
      <c r="F133" s="433">
        <f t="shared" ref="F133:AL133" si="63">F43*$E133</f>
        <v>0</v>
      </c>
      <c r="G133" s="433">
        <f t="shared" si="63"/>
        <v>0</v>
      </c>
      <c r="H133" s="433">
        <f t="shared" si="63"/>
        <v>0</v>
      </c>
      <c r="I133" s="433">
        <f t="shared" si="63"/>
        <v>0</v>
      </c>
      <c r="J133" s="433">
        <f t="shared" si="63"/>
        <v>0</v>
      </c>
      <c r="K133" s="433">
        <f t="shared" si="63"/>
        <v>0</v>
      </c>
      <c r="L133" s="433">
        <f t="shared" si="63"/>
        <v>0</v>
      </c>
      <c r="M133" s="433">
        <f t="shared" si="63"/>
        <v>0</v>
      </c>
      <c r="N133" s="433">
        <f t="shared" si="63"/>
        <v>0</v>
      </c>
      <c r="O133" s="433">
        <f t="shared" si="63"/>
        <v>0</v>
      </c>
      <c r="P133" s="433">
        <f t="shared" si="63"/>
        <v>0</v>
      </c>
      <c r="Q133" s="433">
        <f t="shared" si="63"/>
        <v>0</v>
      </c>
      <c r="R133" s="433">
        <f t="shared" si="63"/>
        <v>0</v>
      </c>
      <c r="S133" s="433">
        <f t="shared" si="63"/>
        <v>0</v>
      </c>
      <c r="T133" s="433">
        <f t="shared" si="63"/>
        <v>0</v>
      </c>
      <c r="U133" s="433">
        <f t="shared" si="63"/>
        <v>0</v>
      </c>
      <c r="V133" s="433">
        <f t="shared" si="63"/>
        <v>0</v>
      </c>
      <c r="W133" s="433">
        <f t="shared" si="63"/>
        <v>0</v>
      </c>
      <c r="X133" s="433">
        <f t="shared" si="63"/>
        <v>0</v>
      </c>
      <c r="Y133" s="433">
        <f t="shared" si="63"/>
        <v>0</v>
      </c>
      <c r="Z133" s="433">
        <f t="shared" si="63"/>
        <v>0</v>
      </c>
      <c r="AA133" s="433">
        <f t="shared" si="63"/>
        <v>0</v>
      </c>
      <c r="AB133" s="433">
        <f t="shared" si="63"/>
        <v>1.1323342751878892E-7</v>
      </c>
      <c r="AC133" s="433">
        <f t="shared" si="63"/>
        <v>3.4070500475463898E-7</v>
      </c>
      <c r="AD133" s="433">
        <f t="shared" si="63"/>
        <v>6.8467622446157602E-7</v>
      </c>
      <c r="AE133" s="433">
        <f t="shared" si="63"/>
        <v>1.1464315461669259E-6</v>
      </c>
      <c r="AF133" s="433">
        <f t="shared" si="63"/>
        <v>9.385086720588058E-6</v>
      </c>
      <c r="AG133" s="433">
        <f t="shared" si="63"/>
        <v>2.5459262292437835E-5</v>
      </c>
      <c r="AH133" s="433">
        <f t="shared" si="63"/>
        <v>4.9760393998977905E-5</v>
      </c>
      <c r="AI133" s="433">
        <f t="shared" si="63"/>
        <v>8.2422651335894946E-5</v>
      </c>
      <c r="AJ133" s="433">
        <f t="shared" si="63"/>
        <v>1.2508490185770415E-4</v>
      </c>
      <c r="AK133" s="433">
        <f t="shared" si="63"/>
        <v>1.7545766023529719E-4</v>
      </c>
      <c r="AL133" s="433">
        <f t="shared" si="63"/>
        <v>2.2590106826373633E-4</v>
      </c>
      <c r="AM133" s="433"/>
    </row>
    <row r="134" spans="1:39" ht="15.75" customHeight="1" x14ac:dyDescent="0.25">
      <c r="A134" s="194"/>
      <c r="B134" s="194" t="str">
        <f t="shared" ref="B134:D134" si="64">B44</f>
        <v>Refrigeration and air-conditioning</v>
      </c>
      <c r="C134" s="194" t="str">
        <f t="shared" si="64"/>
        <v>HFC</v>
      </c>
      <c r="D134" s="194" t="str">
        <f t="shared" si="64"/>
        <v>Other HFC</v>
      </c>
      <c r="E134" s="434">
        <f t="shared" si="8"/>
        <v>3.1510713686054377</v>
      </c>
      <c r="F134" s="433">
        <f t="shared" ref="F134:AL134" si="65">F44*$E134</f>
        <v>9.1478862598953152E-4</v>
      </c>
      <c r="G134" s="433">
        <f t="shared" si="65"/>
        <v>9.3750584167291067E-4</v>
      </c>
      <c r="H134" s="433">
        <f t="shared" si="65"/>
        <v>9.4752126133110692E-4</v>
      </c>
      <c r="I134" s="433">
        <f t="shared" si="65"/>
        <v>1.2685958940648573E-3</v>
      </c>
      <c r="J134" s="433">
        <f t="shared" si="65"/>
        <v>1.5372699119661261E-3</v>
      </c>
      <c r="K134" s="433">
        <f t="shared" si="65"/>
        <v>1.7616396575513942E-3</v>
      </c>
      <c r="L134" s="433">
        <f t="shared" si="65"/>
        <v>1.9180359611930316E-3</v>
      </c>
      <c r="M134" s="433">
        <f t="shared" si="65"/>
        <v>2.029264687834128E-3</v>
      </c>
      <c r="N134" s="433">
        <f t="shared" si="65"/>
        <v>1.880075555578253E-3</v>
      </c>
      <c r="O134" s="433">
        <f t="shared" si="65"/>
        <v>1.7204533563681232E-3</v>
      </c>
      <c r="P134" s="433">
        <f t="shared" si="65"/>
        <v>1.5647863984166995E-3</v>
      </c>
      <c r="Q134" s="433">
        <f t="shared" si="65"/>
        <v>1.4146424882299387E-3</v>
      </c>
      <c r="R134" s="433">
        <f t="shared" si="65"/>
        <v>1.266641833855198E-3</v>
      </c>
      <c r="S134" s="433">
        <f t="shared" si="65"/>
        <v>1.1180156894192972E-3</v>
      </c>
      <c r="T134" s="433">
        <f t="shared" si="65"/>
        <v>9.6613493116218176E-4</v>
      </c>
      <c r="U134" s="433">
        <f t="shared" si="65"/>
        <v>8.3327653923726214E-4</v>
      </c>
      <c r="V134" s="433">
        <f t="shared" si="65"/>
        <v>7.0939191854190917E-4</v>
      </c>
      <c r="W134" s="433">
        <f t="shared" si="65"/>
        <v>5.8173941514408269E-4</v>
      </c>
      <c r="X134" s="433">
        <f t="shared" si="65"/>
        <v>4.7148268911250128E-4</v>
      </c>
      <c r="Y134" s="433">
        <f t="shared" si="65"/>
        <v>4.0039122150654867E-4</v>
      </c>
      <c r="Z134" s="433">
        <f t="shared" si="65"/>
        <v>3.4946824999974191E-4</v>
      </c>
      <c r="AA134" s="433">
        <f t="shared" si="65"/>
        <v>3.186099850237174E-4</v>
      </c>
      <c r="AB134" s="433">
        <f t="shared" si="65"/>
        <v>2.9919284493519965E-4</v>
      </c>
      <c r="AC134" s="433">
        <f t="shared" si="65"/>
        <v>2.7347075750352279E-4</v>
      </c>
      <c r="AD134" s="433">
        <f t="shared" si="65"/>
        <v>2.4629950472360266E-4</v>
      </c>
      <c r="AE134" s="433">
        <f t="shared" si="65"/>
        <v>2.1433673722751534E-4</v>
      </c>
      <c r="AF134" s="433">
        <f t="shared" si="65"/>
        <v>1.810108529885337E-4</v>
      </c>
      <c r="AG134" s="433">
        <f t="shared" si="65"/>
        <v>1.4634166486426561E-4</v>
      </c>
      <c r="AH134" s="433">
        <f t="shared" si="65"/>
        <v>1.0929996184069846E-4</v>
      </c>
      <c r="AI134" s="433">
        <f t="shared" si="65"/>
        <v>6.9612876607090746E-5</v>
      </c>
      <c r="AJ134" s="433">
        <f t="shared" si="65"/>
        <v>3.5723230482039057E-5</v>
      </c>
      <c r="AK134" s="433">
        <f t="shared" si="65"/>
        <v>1.4485475413711995E-5</v>
      </c>
      <c r="AL134" s="433">
        <f t="shared" si="65"/>
        <v>1.0841138127960641E-5</v>
      </c>
      <c r="AM134" s="433"/>
    </row>
    <row r="135" spans="1:39" ht="15.75" customHeight="1" x14ac:dyDescent="0.25">
      <c r="A135" s="194"/>
      <c r="B135" s="194" t="str">
        <f t="shared" ref="B135:D135" si="66">B45</f>
        <v>Refrigeration and air-conditioning</v>
      </c>
      <c r="C135" s="194" t="str">
        <f t="shared" si="66"/>
        <v>HFC</v>
      </c>
      <c r="D135" s="194" t="str">
        <f t="shared" si="66"/>
        <v>Other HFC</v>
      </c>
      <c r="E135" s="434">
        <f t="shared" si="8"/>
        <v>3.1510713686054377</v>
      </c>
      <c r="F135" s="433">
        <f t="shared" ref="F135:AL135" si="67">F45*$E135</f>
        <v>0</v>
      </c>
      <c r="G135" s="433">
        <f t="shared" si="67"/>
        <v>0</v>
      </c>
      <c r="H135" s="433">
        <f t="shared" si="67"/>
        <v>0</v>
      </c>
      <c r="I135" s="433">
        <f t="shared" si="67"/>
        <v>0</v>
      </c>
      <c r="J135" s="433">
        <f t="shared" si="67"/>
        <v>0</v>
      </c>
      <c r="K135" s="433">
        <f t="shared" si="67"/>
        <v>0</v>
      </c>
      <c r="L135" s="433">
        <f t="shared" si="67"/>
        <v>0</v>
      </c>
      <c r="M135" s="433">
        <f t="shared" si="67"/>
        <v>0</v>
      </c>
      <c r="N135" s="433">
        <f t="shared" si="67"/>
        <v>0</v>
      </c>
      <c r="O135" s="433">
        <f t="shared" si="67"/>
        <v>0</v>
      </c>
      <c r="P135" s="433">
        <f t="shared" si="67"/>
        <v>0</v>
      </c>
      <c r="Q135" s="433">
        <f t="shared" si="67"/>
        <v>0</v>
      </c>
      <c r="R135" s="433">
        <f t="shared" si="67"/>
        <v>0</v>
      </c>
      <c r="S135" s="433">
        <f t="shared" si="67"/>
        <v>0</v>
      </c>
      <c r="T135" s="433">
        <f t="shared" si="67"/>
        <v>0</v>
      </c>
      <c r="U135" s="433">
        <f t="shared" si="67"/>
        <v>0</v>
      </c>
      <c r="V135" s="433">
        <f t="shared" si="67"/>
        <v>0</v>
      </c>
      <c r="W135" s="433">
        <f t="shared" si="67"/>
        <v>0</v>
      </c>
      <c r="X135" s="433">
        <f t="shared" si="67"/>
        <v>0</v>
      </c>
      <c r="Y135" s="433">
        <f t="shared" si="67"/>
        <v>0</v>
      </c>
      <c r="Z135" s="433">
        <f t="shared" si="67"/>
        <v>0</v>
      </c>
      <c r="AA135" s="433">
        <f t="shared" si="67"/>
        <v>0</v>
      </c>
      <c r="AB135" s="433">
        <f t="shared" si="67"/>
        <v>0</v>
      </c>
      <c r="AC135" s="433">
        <f t="shared" si="67"/>
        <v>0</v>
      </c>
      <c r="AD135" s="433">
        <f t="shared" si="67"/>
        <v>0</v>
      </c>
      <c r="AE135" s="433">
        <f t="shared" si="67"/>
        <v>0</v>
      </c>
      <c r="AF135" s="433">
        <f t="shared" si="67"/>
        <v>0</v>
      </c>
      <c r="AG135" s="433">
        <f t="shared" si="67"/>
        <v>2.675422598348545E-8</v>
      </c>
      <c r="AH135" s="433">
        <f t="shared" si="67"/>
        <v>5.3117191095612778E-7</v>
      </c>
      <c r="AI135" s="433">
        <f t="shared" si="67"/>
        <v>1.42482114755356E-6</v>
      </c>
      <c r="AJ135" s="433">
        <f t="shared" si="67"/>
        <v>2.7599092684795267E-6</v>
      </c>
      <c r="AK135" s="433">
        <f t="shared" si="67"/>
        <v>4.0008454135046946E-6</v>
      </c>
      <c r="AL135" s="433">
        <f t="shared" si="67"/>
        <v>5.2394797931622884E-6</v>
      </c>
      <c r="AM135" s="433"/>
    </row>
    <row r="136" spans="1:39" ht="15.75" customHeight="1" x14ac:dyDescent="0.25">
      <c r="A136" s="194"/>
      <c r="B136" s="194" t="str">
        <f t="shared" ref="B136:D136" si="68">B46</f>
        <v>Solvents</v>
      </c>
      <c r="C136" s="194" t="str">
        <f t="shared" si="68"/>
        <v>HFC</v>
      </c>
      <c r="D136" s="194" t="str">
        <f t="shared" si="68"/>
        <v>Other HFC</v>
      </c>
      <c r="E136" s="434">
        <f t="shared" si="8"/>
        <v>3.1510713686054377</v>
      </c>
      <c r="F136" s="433">
        <f t="shared" ref="F136:AL136" si="69">F46*$E136</f>
        <v>0</v>
      </c>
      <c r="G136" s="433">
        <f t="shared" si="69"/>
        <v>0</v>
      </c>
      <c r="H136" s="433">
        <f t="shared" si="69"/>
        <v>0</v>
      </c>
      <c r="I136" s="433">
        <f t="shared" si="69"/>
        <v>0</v>
      </c>
      <c r="J136" s="433">
        <f t="shared" si="69"/>
        <v>0</v>
      </c>
      <c r="K136" s="433">
        <f t="shared" si="69"/>
        <v>3.6895340353314807E-2</v>
      </c>
      <c r="L136" s="433">
        <f t="shared" si="69"/>
        <v>7.5013708607581456E-2</v>
      </c>
      <c r="M136" s="433">
        <f t="shared" si="69"/>
        <v>7.6274724587913678E-2</v>
      </c>
      <c r="N136" s="433">
        <f t="shared" si="69"/>
        <v>7.7601608249692783E-2</v>
      </c>
      <c r="O136" s="433">
        <f t="shared" si="69"/>
        <v>7.9003527765208068E-2</v>
      </c>
      <c r="P136" s="433">
        <f t="shared" si="69"/>
        <v>8.0552885666341403E-2</v>
      </c>
      <c r="Q136" s="433">
        <f t="shared" si="69"/>
        <v>8.2339461213361997E-2</v>
      </c>
      <c r="R136" s="433">
        <f t="shared" si="69"/>
        <v>8.423839019765661E-2</v>
      </c>
      <c r="S136" s="433">
        <f t="shared" si="69"/>
        <v>8.6072471945251416E-2</v>
      </c>
      <c r="T136" s="433">
        <f t="shared" si="69"/>
        <v>8.7798273333118612E-2</v>
      </c>
      <c r="U136" s="433">
        <f t="shared" si="69"/>
        <v>8.9473290976395156E-2</v>
      </c>
      <c r="V136" s="433">
        <f t="shared" si="69"/>
        <v>9.0969277442397342E-2</v>
      </c>
      <c r="W136" s="433">
        <f t="shared" si="69"/>
        <v>9.2354675016152493E-2</v>
      </c>
      <c r="X136" s="433">
        <f t="shared" si="69"/>
        <v>9.3855157141695802E-2</v>
      </c>
      <c r="Y136" s="433">
        <f t="shared" si="69"/>
        <v>9.5673661380565253E-2</v>
      </c>
      <c r="Z136" s="433">
        <f t="shared" si="69"/>
        <v>9.7784910218402188E-2</v>
      </c>
      <c r="AA136" s="433">
        <f t="shared" si="69"/>
        <v>9.9921397701715681E-2</v>
      </c>
      <c r="AB136" s="433">
        <f t="shared" si="69"/>
        <v>0.10203318234352711</v>
      </c>
      <c r="AC136" s="433">
        <f t="shared" si="69"/>
        <v>0.10402426790930927</v>
      </c>
      <c r="AD136" s="433">
        <f t="shared" si="69"/>
        <v>0.1059779153224492</v>
      </c>
      <c r="AE136" s="433">
        <f t="shared" si="69"/>
        <v>0.10784682703532115</v>
      </c>
      <c r="AF136" s="433">
        <f t="shared" si="69"/>
        <v>0.10957893647893663</v>
      </c>
      <c r="AG136" s="433">
        <f t="shared" si="69"/>
        <v>0.11149353166092983</v>
      </c>
      <c r="AH136" s="433">
        <f t="shared" si="69"/>
        <v>0.11344031123521195</v>
      </c>
      <c r="AI136" s="433">
        <f t="shared" si="69"/>
        <v>0.11543415356406504</v>
      </c>
      <c r="AJ136" s="433">
        <f t="shared" si="69"/>
        <v>0.11887177959295113</v>
      </c>
      <c r="AK136" s="433">
        <f t="shared" si="69"/>
        <v>0.12109653922267896</v>
      </c>
      <c r="AL136" s="433">
        <f t="shared" si="69"/>
        <v>0.12287478918635014</v>
      </c>
      <c r="AM136" s="433"/>
    </row>
    <row r="137" spans="1:39" ht="15.75" customHeight="1" x14ac:dyDescent="0.25">
      <c r="A137" s="194"/>
      <c r="B137" s="194" t="str">
        <f t="shared" ref="B137:D137" si="70">B47</f>
        <v>Fire protection</v>
      </c>
      <c r="C137" s="194" t="str">
        <f t="shared" si="70"/>
        <v>PFC</v>
      </c>
      <c r="D137" s="194" t="str">
        <f t="shared" si="70"/>
        <v>Other PFC</v>
      </c>
      <c r="E137" s="434">
        <f t="shared" si="8"/>
        <v>2.6679827806397554</v>
      </c>
      <c r="F137" s="433">
        <f t="shared" ref="F137:AL137" si="71">F47*$E137</f>
        <v>0</v>
      </c>
      <c r="G137" s="433">
        <f t="shared" si="71"/>
        <v>0</v>
      </c>
      <c r="H137" s="433">
        <f t="shared" si="71"/>
        <v>0</v>
      </c>
      <c r="I137" s="433">
        <f t="shared" si="71"/>
        <v>0</v>
      </c>
      <c r="J137" s="433">
        <f t="shared" si="71"/>
        <v>4.6158105848900404E-6</v>
      </c>
      <c r="K137" s="433">
        <f t="shared" si="71"/>
        <v>5.064464962980319E-5</v>
      </c>
      <c r="L137" s="433">
        <f t="shared" si="71"/>
        <v>1.2389415030896646E-4</v>
      </c>
      <c r="M137" s="433">
        <f t="shared" si="71"/>
        <v>2.3329204045711784E-4</v>
      </c>
      <c r="N137" s="433">
        <f t="shared" si="71"/>
        <v>3.7869919885480743E-4</v>
      </c>
      <c r="O137" s="433">
        <f t="shared" si="71"/>
        <v>5.7380865725632053E-4</v>
      </c>
      <c r="P137" s="433">
        <f t="shared" si="71"/>
        <v>7.5568183355076987E-4</v>
      </c>
      <c r="Q137" s="433">
        <f t="shared" si="71"/>
        <v>9.352122267314698E-4</v>
      </c>
      <c r="R137" s="433">
        <f t="shared" si="71"/>
        <v>1.1027346633097816E-3</v>
      </c>
      <c r="S137" s="433">
        <f t="shared" si="71"/>
        <v>1.1046541927691269E-3</v>
      </c>
      <c r="T137" s="433">
        <f t="shared" si="71"/>
        <v>1.1047091948710704E-3</v>
      </c>
      <c r="U137" s="433">
        <f t="shared" si="71"/>
        <v>1.1037044287464223E-3</v>
      </c>
      <c r="V137" s="433">
        <f t="shared" si="71"/>
        <v>1.1001628955737044E-3</v>
      </c>
      <c r="W137" s="433">
        <f t="shared" si="71"/>
        <v>1.0950234133070111E-3</v>
      </c>
      <c r="X137" s="433">
        <f t="shared" si="71"/>
        <v>1.090996104985835E-3</v>
      </c>
      <c r="Y137" s="433">
        <f t="shared" si="71"/>
        <v>1.0903232689380544E-3</v>
      </c>
      <c r="Z137" s="433">
        <f t="shared" si="71"/>
        <v>1.0925297611513399E-3</v>
      </c>
      <c r="AA137" s="433">
        <f t="shared" si="71"/>
        <v>1.0945168186013781E-3</v>
      </c>
      <c r="AB137" s="433">
        <f t="shared" si="71"/>
        <v>1.0957275367356784E-3</v>
      </c>
      <c r="AC137" s="433">
        <f t="shared" si="71"/>
        <v>1.0952047497793153E-3</v>
      </c>
      <c r="AD137" s="433">
        <f t="shared" si="71"/>
        <v>1.0938985159221542E-3</v>
      </c>
      <c r="AE137" s="433">
        <f t="shared" si="71"/>
        <v>1.0913671311600472E-3</v>
      </c>
      <c r="AF137" s="433">
        <f t="shared" si="71"/>
        <v>1.0871485531076101E-3</v>
      </c>
      <c r="AG137" s="433">
        <f t="shared" si="71"/>
        <v>1.0844505475039175E-3</v>
      </c>
      <c r="AH137" s="433">
        <f t="shared" si="71"/>
        <v>1.0817552011623693E-3</v>
      </c>
      <c r="AI137" s="433">
        <f t="shared" si="71"/>
        <v>1.0791778464734234E-3</v>
      </c>
      <c r="AJ137" s="433">
        <f t="shared" si="71"/>
        <v>1.0895250539624641E-3</v>
      </c>
      <c r="AK137" s="433">
        <f t="shared" si="71"/>
        <v>1.0881502114454137E-3</v>
      </c>
      <c r="AL137" s="433">
        <f t="shared" si="71"/>
        <v>1.0824823131390042E-3</v>
      </c>
      <c r="AM137" s="433"/>
    </row>
    <row r="138" spans="1:39" ht="15.75" customHeight="1" x14ac:dyDescent="0.25">
      <c r="A138" s="194"/>
      <c r="B138" s="194" t="str">
        <f t="shared" ref="B138:D138" si="72">B48</f>
        <v>Solvents</v>
      </c>
      <c r="C138" s="194" t="str">
        <f t="shared" si="72"/>
        <v>PFC</v>
      </c>
      <c r="D138" s="194" t="str">
        <f t="shared" si="72"/>
        <v>Other PFC</v>
      </c>
      <c r="E138" s="434">
        <f t="shared" si="8"/>
        <v>2.6679827806397554</v>
      </c>
      <c r="F138" s="433">
        <f t="shared" ref="F138:AL138" si="73">F48*$E138</f>
        <v>0</v>
      </c>
      <c r="G138" s="433">
        <f t="shared" si="73"/>
        <v>0</v>
      </c>
      <c r="H138" s="433">
        <f t="shared" si="73"/>
        <v>0</v>
      </c>
      <c r="I138" s="433">
        <f t="shared" si="73"/>
        <v>0</v>
      </c>
      <c r="J138" s="433">
        <f t="shared" si="73"/>
        <v>0</v>
      </c>
      <c r="K138" s="433">
        <f t="shared" si="73"/>
        <v>2.2535683039613976E-2</v>
      </c>
      <c r="L138" s="433">
        <f t="shared" si="73"/>
        <v>5.4164482551011035E-2</v>
      </c>
      <c r="M138" s="433">
        <f t="shared" si="73"/>
        <v>6.3564334455957813E-2</v>
      </c>
      <c r="N138" s="433">
        <f t="shared" si="73"/>
        <v>6.4668665896530989E-2</v>
      </c>
      <c r="O138" s="433">
        <f t="shared" si="73"/>
        <v>6.5838826123758978E-2</v>
      </c>
      <c r="P138" s="433">
        <f t="shared" si="73"/>
        <v>5.2024735718055631E-2</v>
      </c>
      <c r="Q138" s="433">
        <f t="shared" si="73"/>
        <v>3.7740732386413942E-2</v>
      </c>
      <c r="R138" s="433">
        <f t="shared" si="73"/>
        <v>2.281763525316894E-2</v>
      </c>
      <c r="S138" s="433">
        <f t="shared" si="73"/>
        <v>7.1724800153089028E-3</v>
      </c>
      <c r="T138" s="433">
        <f t="shared" si="73"/>
        <v>7.3186585564070962E-3</v>
      </c>
      <c r="U138" s="433">
        <f t="shared" si="73"/>
        <v>5.9653651351015066E-3</v>
      </c>
      <c r="V138" s="433">
        <f t="shared" si="73"/>
        <v>4.5450343169845323E-3</v>
      </c>
      <c r="W138" s="433">
        <f t="shared" si="73"/>
        <v>3.0783729645569467E-3</v>
      </c>
      <c r="X138" s="433">
        <f t="shared" si="73"/>
        <v>1.5646631943695014E-3</v>
      </c>
      <c r="Y138" s="433">
        <f t="shared" si="73"/>
        <v>0</v>
      </c>
      <c r="Z138" s="433">
        <f t="shared" si="73"/>
        <v>0</v>
      </c>
      <c r="AA138" s="433">
        <f t="shared" si="73"/>
        <v>0</v>
      </c>
      <c r="AB138" s="433">
        <f t="shared" si="73"/>
        <v>0</v>
      </c>
      <c r="AC138" s="433">
        <f t="shared" si="73"/>
        <v>0</v>
      </c>
      <c r="AD138" s="433">
        <f t="shared" si="73"/>
        <v>0</v>
      </c>
      <c r="AE138" s="433">
        <f t="shared" si="73"/>
        <v>0</v>
      </c>
      <c r="AF138" s="433">
        <f t="shared" si="73"/>
        <v>0</v>
      </c>
      <c r="AG138" s="433">
        <f t="shared" si="73"/>
        <v>0</v>
      </c>
      <c r="AH138" s="433">
        <f t="shared" si="73"/>
        <v>0</v>
      </c>
      <c r="AI138" s="433">
        <f t="shared" si="73"/>
        <v>0</v>
      </c>
      <c r="AJ138" s="433">
        <f t="shared" si="73"/>
        <v>0</v>
      </c>
      <c r="AK138" s="433">
        <f t="shared" si="73"/>
        <v>0</v>
      </c>
      <c r="AL138" s="433">
        <f t="shared" si="73"/>
        <v>0</v>
      </c>
      <c r="AM138" s="433"/>
    </row>
    <row r="139" spans="1:39" ht="15.75" customHeight="1" x14ac:dyDescent="0.25">
      <c r="A139" s="194"/>
      <c r="B139" s="194" t="str">
        <f t="shared" ref="B139:D139" si="74">B49</f>
        <v>Fire protection</v>
      </c>
      <c r="C139" s="194" t="str">
        <f t="shared" si="74"/>
        <v>PFC</v>
      </c>
      <c r="D139" s="194" t="str">
        <f t="shared" si="74"/>
        <v>PFC-14 (Perfluoromethane)</v>
      </c>
      <c r="E139" s="434">
        <f t="shared" si="8"/>
        <v>0.79939668174962297</v>
      </c>
      <c r="F139" s="433">
        <f t="shared" ref="F139:AL139" si="75">F49*$E139</f>
        <v>0</v>
      </c>
      <c r="G139" s="433">
        <f t="shared" si="75"/>
        <v>0</v>
      </c>
      <c r="H139" s="433">
        <f t="shared" si="75"/>
        <v>0</v>
      </c>
      <c r="I139" s="433">
        <f t="shared" si="75"/>
        <v>0</v>
      </c>
      <c r="J139" s="433">
        <f t="shared" si="75"/>
        <v>3.5880253229869101E-7</v>
      </c>
      <c r="K139" s="433">
        <f t="shared" si="75"/>
        <v>1.1531980384044935E-6</v>
      </c>
      <c r="L139" s="433">
        <f t="shared" si="75"/>
        <v>1.0423361429727172E-5</v>
      </c>
      <c r="M139" s="433">
        <f t="shared" si="75"/>
        <v>2.860443164778566E-5</v>
      </c>
      <c r="N139" s="433">
        <f t="shared" si="75"/>
        <v>5.6234815991005604E-5</v>
      </c>
      <c r="O139" s="433">
        <f t="shared" si="75"/>
        <v>9.3770841538530787E-5</v>
      </c>
      <c r="P139" s="433">
        <f t="shared" si="75"/>
        <v>1.4162489918713957E-4</v>
      </c>
      <c r="Q139" s="433">
        <f t="shared" si="75"/>
        <v>1.9098283947628373E-4</v>
      </c>
      <c r="R139" s="433">
        <f t="shared" si="75"/>
        <v>2.3380142855728195E-4</v>
      </c>
      <c r="S139" s="433">
        <f t="shared" si="75"/>
        <v>2.6900712008882629E-4</v>
      </c>
      <c r="T139" s="433">
        <f t="shared" si="75"/>
        <v>2.9590277023990681E-4</v>
      </c>
      <c r="U139" s="433">
        <f t="shared" si="75"/>
        <v>3.1402668591161013E-4</v>
      </c>
      <c r="V139" s="433">
        <f t="shared" si="75"/>
        <v>3.2244234329665536E-4</v>
      </c>
      <c r="W139" s="433">
        <f t="shared" si="75"/>
        <v>3.3055077108085795E-4</v>
      </c>
      <c r="X139" s="433">
        <f t="shared" si="75"/>
        <v>3.3922723473823107E-4</v>
      </c>
      <c r="Y139" s="433">
        <f t="shared" si="75"/>
        <v>3.4917762718940712E-4</v>
      </c>
      <c r="Z139" s="433">
        <f t="shared" si="75"/>
        <v>3.6037765498920377E-4</v>
      </c>
      <c r="AA139" s="433">
        <f t="shared" si="75"/>
        <v>3.7185938396114119E-4</v>
      </c>
      <c r="AB139" s="433">
        <f t="shared" si="75"/>
        <v>3.8346240556669069E-4</v>
      </c>
      <c r="AC139" s="433">
        <f t="shared" si="75"/>
        <v>3.9477979630641485E-4</v>
      </c>
      <c r="AD139" s="433">
        <f t="shared" si="75"/>
        <v>4.0610920637117545E-4</v>
      </c>
      <c r="AE139" s="433">
        <f t="shared" si="75"/>
        <v>4.1733351008638474E-4</v>
      </c>
      <c r="AF139" s="433">
        <f t="shared" si="75"/>
        <v>4.2818806047870063E-4</v>
      </c>
      <c r="AG139" s="433">
        <f t="shared" si="75"/>
        <v>4.3995083664784756E-4</v>
      </c>
      <c r="AH139" s="433">
        <f t="shared" si="75"/>
        <v>4.5199982120665603E-4</v>
      </c>
      <c r="AI139" s="433">
        <f t="shared" si="75"/>
        <v>4.644594836662696E-4</v>
      </c>
      <c r="AJ139" s="433">
        <f t="shared" si="75"/>
        <v>4.357620293216674E-4</v>
      </c>
      <c r="AK139" s="433">
        <f t="shared" si="75"/>
        <v>4.0112833373407282E-4</v>
      </c>
      <c r="AL139" s="433">
        <f t="shared" si="75"/>
        <v>3.6408522469417461E-4</v>
      </c>
      <c r="AM139" s="433"/>
    </row>
    <row r="140" spans="1:39" ht="15.75" customHeight="1" x14ac:dyDescent="0.25">
      <c r="A140" s="194"/>
      <c r="B140" s="194"/>
      <c r="C140" s="194"/>
      <c r="D140" s="194"/>
      <c r="E140" s="194"/>
      <c r="F140" s="194"/>
      <c r="G140" s="194"/>
      <c r="H140" s="194"/>
      <c r="I140" s="194"/>
      <c r="J140" s="194"/>
      <c r="K140" s="194"/>
      <c r="L140" s="194"/>
      <c r="M140" s="194"/>
      <c r="N140" s="194"/>
      <c r="O140" s="194"/>
      <c r="P140" s="194"/>
      <c r="Q140" s="194"/>
      <c r="R140" s="194"/>
      <c r="S140" s="194"/>
      <c r="T140" s="194"/>
      <c r="U140" s="194"/>
      <c r="V140" s="194"/>
      <c r="W140" s="194"/>
      <c r="X140" s="194"/>
      <c r="Y140" s="194"/>
      <c r="Z140" s="194"/>
      <c r="AA140" s="194"/>
      <c r="AB140" s="194"/>
      <c r="AC140" s="194"/>
      <c r="AD140" s="194"/>
      <c r="AE140" s="194"/>
      <c r="AF140" s="194"/>
      <c r="AG140" s="194"/>
      <c r="AH140" s="194"/>
      <c r="AI140" s="194"/>
      <c r="AJ140" s="194"/>
      <c r="AK140" s="194"/>
      <c r="AL140" s="194"/>
      <c r="AM140" s="194"/>
    </row>
    <row r="141" spans="1:39" ht="15.75" customHeight="1" x14ac:dyDescent="0.25">
      <c r="A141" s="194"/>
      <c r="B141" s="1469" t="s">
        <v>1892</v>
      </c>
      <c r="C141" s="430"/>
      <c r="D141" s="430"/>
      <c r="E141" s="430"/>
      <c r="F141" s="430"/>
      <c r="G141" s="430"/>
      <c r="H141" s="430"/>
      <c r="I141" s="430"/>
      <c r="J141" s="430"/>
      <c r="K141" s="430"/>
      <c r="L141" s="430"/>
      <c r="M141" s="430"/>
      <c r="N141" s="430"/>
      <c r="O141" s="430"/>
      <c r="P141" s="430"/>
      <c r="Q141" s="430"/>
      <c r="R141" s="430"/>
      <c r="S141" s="430"/>
      <c r="T141" s="430"/>
      <c r="U141" s="430"/>
      <c r="V141" s="430"/>
      <c r="W141" s="430"/>
      <c r="X141" s="430"/>
      <c r="Y141" s="430"/>
      <c r="Z141" s="430"/>
      <c r="AA141" s="430"/>
      <c r="AB141" s="430"/>
      <c r="AC141" s="430"/>
      <c r="AD141" s="430"/>
      <c r="AE141" s="430"/>
      <c r="AF141" s="430"/>
      <c r="AG141" s="430"/>
      <c r="AH141" s="430"/>
      <c r="AI141" s="430"/>
      <c r="AJ141" s="430"/>
      <c r="AK141" s="430"/>
      <c r="AL141" s="430"/>
      <c r="AM141" s="431"/>
    </row>
    <row r="142" spans="1:39" ht="15.75" customHeight="1" x14ac:dyDescent="0.25">
      <c r="A142" s="194"/>
      <c r="B142" s="194"/>
      <c r="C142" s="194"/>
      <c r="D142" s="194"/>
      <c r="E142" s="194"/>
      <c r="F142" s="194"/>
      <c r="G142" s="194"/>
      <c r="H142" s="194"/>
      <c r="I142" s="194"/>
      <c r="J142" s="194"/>
      <c r="K142" s="194"/>
      <c r="L142" s="194"/>
      <c r="M142" s="194"/>
      <c r="N142" s="194"/>
      <c r="O142" s="194"/>
      <c r="P142" s="194"/>
      <c r="Q142" s="194"/>
      <c r="R142" s="194"/>
      <c r="S142" s="194"/>
      <c r="T142" s="194"/>
      <c r="U142" s="194"/>
      <c r="V142" s="194"/>
      <c r="W142" s="194"/>
      <c r="X142" s="194"/>
      <c r="Y142" s="194"/>
      <c r="Z142" s="194"/>
      <c r="AA142" s="194"/>
      <c r="AB142" s="194"/>
      <c r="AC142" s="194"/>
      <c r="AD142" s="194"/>
      <c r="AE142" s="194"/>
      <c r="AF142" s="194"/>
      <c r="AG142" s="194"/>
      <c r="AH142" s="194"/>
      <c r="AI142" s="194"/>
      <c r="AJ142" s="194"/>
      <c r="AK142" s="194"/>
      <c r="AL142" s="194"/>
      <c r="AM142" s="194"/>
    </row>
    <row r="143" spans="1:39" ht="15.75" customHeight="1" x14ac:dyDescent="0.25">
      <c r="A143" s="194"/>
      <c r="B143" s="435" t="s">
        <v>1171</v>
      </c>
      <c r="C143" s="436"/>
      <c r="D143" s="436"/>
      <c r="E143" s="436"/>
      <c r="F143" s="436"/>
      <c r="G143" s="436"/>
      <c r="H143" s="436"/>
      <c r="I143" s="436"/>
      <c r="J143" s="436"/>
      <c r="K143" s="436"/>
      <c r="L143" s="436"/>
      <c r="M143" s="436"/>
      <c r="N143" s="436"/>
      <c r="O143" s="436"/>
      <c r="P143" s="436"/>
      <c r="Q143" s="436"/>
      <c r="R143" s="436"/>
      <c r="S143" s="436"/>
      <c r="T143" s="436"/>
      <c r="U143" s="436"/>
      <c r="V143" s="436"/>
      <c r="W143" s="436"/>
      <c r="X143" s="436"/>
      <c r="Y143" s="436"/>
      <c r="Z143" s="436"/>
      <c r="AA143" s="436"/>
      <c r="AB143" s="436"/>
      <c r="AC143" s="436"/>
      <c r="AD143" s="436"/>
      <c r="AE143" s="436"/>
      <c r="AF143" s="436"/>
      <c r="AG143" s="436"/>
      <c r="AH143" s="436"/>
      <c r="AI143" s="436"/>
      <c r="AJ143" s="436"/>
      <c r="AK143" s="436"/>
      <c r="AL143" s="436"/>
      <c r="AM143" s="439"/>
    </row>
    <row r="144" spans="1:39" ht="15.75" customHeight="1" x14ac:dyDescent="0.25">
      <c r="A144" s="194"/>
      <c r="B144" s="194"/>
      <c r="C144" s="194"/>
      <c r="D144" s="432" t="s">
        <v>1216</v>
      </c>
      <c r="E144" s="432"/>
      <c r="F144" s="432" t="s">
        <v>1106</v>
      </c>
      <c r="G144" s="432" t="s">
        <v>1107</v>
      </c>
      <c r="H144" s="432" t="s">
        <v>1108</v>
      </c>
      <c r="I144" s="432" t="s">
        <v>1109</v>
      </c>
      <c r="J144" s="432" t="s">
        <v>1110</v>
      </c>
      <c r="K144" s="432" t="s">
        <v>1111</v>
      </c>
      <c r="L144" s="432" t="s">
        <v>1112</v>
      </c>
      <c r="M144" s="432" t="s">
        <v>1113</v>
      </c>
      <c r="N144" s="432" t="s">
        <v>1114</v>
      </c>
      <c r="O144" s="432" t="s">
        <v>1115</v>
      </c>
      <c r="P144" s="432" t="s">
        <v>1116</v>
      </c>
      <c r="Q144" s="432" t="s">
        <v>1117</v>
      </c>
      <c r="R144" s="432" t="s">
        <v>1118</v>
      </c>
      <c r="S144" s="432" t="s">
        <v>1119</v>
      </c>
      <c r="T144" s="432" t="s">
        <v>1120</v>
      </c>
      <c r="U144" s="432" t="s">
        <v>1121</v>
      </c>
      <c r="V144" s="432" t="s">
        <v>1122</v>
      </c>
      <c r="W144" s="432" t="s">
        <v>1123</v>
      </c>
      <c r="X144" s="432" t="s">
        <v>1124</v>
      </c>
      <c r="Y144" s="432" t="s">
        <v>1125</v>
      </c>
      <c r="Z144" s="432" t="s">
        <v>1126</v>
      </c>
      <c r="AA144" s="432" t="s">
        <v>1127</v>
      </c>
      <c r="AB144" s="432" t="s">
        <v>1128</v>
      </c>
      <c r="AC144" s="432" t="s">
        <v>1129</v>
      </c>
      <c r="AD144" s="432" t="s">
        <v>1130</v>
      </c>
      <c r="AE144" s="432" t="s">
        <v>1131</v>
      </c>
      <c r="AF144" s="432" t="s">
        <v>1132</v>
      </c>
      <c r="AG144" s="432" t="s">
        <v>1133</v>
      </c>
      <c r="AH144" s="432" t="s">
        <v>1134</v>
      </c>
      <c r="AI144" s="432" t="s">
        <v>1135</v>
      </c>
      <c r="AJ144" s="432" t="s">
        <v>1136</v>
      </c>
      <c r="AK144" s="432" t="s">
        <v>1137</v>
      </c>
      <c r="AL144" s="432" t="s">
        <v>1138</v>
      </c>
      <c r="AM144" s="432"/>
    </row>
    <row r="145" spans="1:39" ht="15.75" customHeight="1" x14ac:dyDescent="0.25">
      <c r="A145" s="194"/>
      <c r="B145" s="194"/>
      <c r="C145" s="194"/>
      <c r="D145" s="194" t="s">
        <v>1140</v>
      </c>
      <c r="E145" s="194"/>
      <c r="F145" s="433">
        <f t="shared" ref="F145:AL145" si="76">SUMIF($D$16:$D$49,$D145,F$16:F$49)</f>
        <v>2.6131014791080082E-7</v>
      </c>
      <c r="G145" s="433">
        <f t="shared" si="76"/>
        <v>4.1898124909234098E-7</v>
      </c>
      <c r="H145" s="433">
        <f t="shared" si="76"/>
        <v>5.8111866987456702E-7</v>
      </c>
      <c r="I145" s="433">
        <f t="shared" si="76"/>
        <v>7.4840461171582204E-7</v>
      </c>
      <c r="J145" s="433">
        <f t="shared" si="76"/>
        <v>9.2201719908830302E-7</v>
      </c>
      <c r="K145" s="433">
        <f t="shared" si="76"/>
        <v>2.3052706395561522E-6</v>
      </c>
      <c r="L145" s="433">
        <f t="shared" si="76"/>
        <v>4.4136082214367739E-6</v>
      </c>
      <c r="M145" s="433">
        <f t="shared" si="76"/>
        <v>6.5946290152229707E-6</v>
      </c>
      <c r="N145" s="433">
        <f t="shared" si="76"/>
        <v>8.8565132283437395E-6</v>
      </c>
      <c r="O145" s="433">
        <f t="shared" si="76"/>
        <v>1.1509845363912519E-5</v>
      </c>
      <c r="P145" s="433">
        <f t="shared" si="76"/>
        <v>1.2569649352965852E-5</v>
      </c>
      <c r="Q145" s="433">
        <f t="shared" si="76"/>
        <v>1.3247157241468287E-5</v>
      </c>
      <c r="R145" s="433">
        <f t="shared" si="76"/>
        <v>1.7288683860185458E-5</v>
      </c>
      <c r="S145" s="433">
        <f t="shared" si="76"/>
        <v>2.1944993352741679E-5</v>
      </c>
      <c r="T145" s="433">
        <f t="shared" si="76"/>
        <v>2.3330088569784589E-5</v>
      </c>
      <c r="U145" s="433">
        <f t="shared" si="76"/>
        <v>2.4713909211711638E-5</v>
      </c>
      <c r="V145" s="433">
        <f t="shared" si="76"/>
        <v>2.6092421796137101E-5</v>
      </c>
      <c r="W145" s="433">
        <f t="shared" si="76"/>
        <v>2.7471143032289743E-5</v>
      </c>
      <c r="X145" s="433">
        <f t="shared" si="76"/>
        <v>2.8923391721581608E-5</v>
      </c>
      <c r="Y145" s="433">
        <f t="shared" si="76"/>
        <v>3.1802293449473981E-5</v>
      </c>
      <c r="Z145" s="433">
        <f t="shared" si="76"/>
        <v>3.5335146091815057E-5</v>
      </c>
      <c r="AA145" s="433">
        <f t="shared" si="76"/>
        <v>3.771742776819257E-5</v>
      </c>
      <c r="AB145" s="433">
        <f t="shared" si="76"/>
        <v>3.956228490669917E-5</v>
      </c>
      <c r="AC145" s="433">
        <f t="shared" si="76"/>
        <v>4.1703195498338638E-5</v>
      </c>
      <c r="AD145" s="433">
        <f t="shared" si="76"/>
        <v>4.4100162870311796E-5</v>
      </c>
      <c r="AE145" s="433">
        <f t="shared" si="76"/>
        <v>4.6478452427122152E-5</v>
      </c>
      <c r="AF145" s="433">
        <f t="shared" si="76"/>
        <v>4.9640579107816882E-5</v>
      </c>
      <c r="AG145" s="433">
        <f t="shared" si="76"/>
        <v>5.2781854283047353E-5</v>
      </c>
      <c r="AH145" s="433">
        <f t="shared" si="76"/>
        <v>5.6556118564366453E-5</v>
      </c>
      <c r="AI145" s="433">
        <f t="shared" si="76"/>
        <v>6.0255123344093292E-5</v>
      </c>
      <c r="AJ145" s="433">
        <f t="shared" si="76"/>
        <v>6.4760276546437561E-5</v>
      </c>
      <c r="AK145" s="433">
        <f t="shared" si="76"/>
        <v>6.8680952135492248E-5</v>
      </c>
      <c r="AL145" s="433">
        <f t="shared" si="76"/>
        <v>7.2638169923938342E-5</v>
      </c>
      <c r="AM145" s="433"/>
    </row>
    <row r="146" spans="1:39" ht="15.75" customHeight="1" x14ac:dyDescent="0.25">
      <c r="A146" s="194"/>
      <c r="B146" s="194"/>
      <c r="C146" s="194"/>
      <c r="D146" s="194" t="s">
        <v>1144</v>
      </c>
      <c r="E146" s="194"/>
      <c r="F146" s="433">
        <f t="shared" ref="F146:AL146" si="77">SUMIF($D$16:$D$49,$D146,F$16:F$49)</f>
        <v>2.0830797606810991E-6</v>
      </c>
      <c r="G146" s="433">
        <f t="shared" si="77"/>
        <v>5.1310290580785562E-6</v>
      </c>
      <c r="H146" s="433">
        <f t="shared" si="77"/>
        <v>9.8378592437783122E-6</v>
      </c>
      <c r="I146" s="433">
        <f t="shared" si="77"/>
        <v>1.8322801458537179E-3</v>
      </c>
      <c r="J146" s="433">
        <f t="shared" si="77"/>
        <v>4.8728700758485701E-3</v>
      </c>
      <c r="K146" s="433">
        <f t="shared" si="77"/>
        <v>1.032790790201873E-2</v>
      </c>
      <c r="L146" s="433">
        <f t="shared" si="77"/>
        <v>1.7579836613494621E-2</v>
      </c>
      <c r="M146" s="433">
        <f t="shared" si="77"/>
        <v>2.7162326207427513E-2</v>
      </c>
      <c r="N146" s="433">
        <f t="shared" si="77"/>
        <v>3.5568886265150208E-2</v>
      </c>
      <c r="O146" s="433">
        <f t="shared" si="77"/>
        <v>4.6624095576810541E-2</v>
      </c>
      <c r="P146" s="433">
        <f t="shared" si="77"/>
        <v>5.5812528268700944E-2</v>
      </c>
      <c r="Q146" s="433">
        <f t="shared" si="77"/>
        <v>6.8048370774473177E-2</v>
      </c>
      <c r="R146" s="433">
        <f t="shared" si="77"/>
        <v>8.2768776549837705E-2</v>
      </c>
      <c r="S146" s="433">
        <f t="shared" si="77"/>
        <v>9.8916356993009324E-2</v>
      </c>
      <c r="T146" s="433">
        <f t="shared" si="77"/>
        <v>0.11556638247448875</v>
      </c>
      <c r="U146" s="433">
        <f t="shared" si="77"/>
        <v>0.14526687204559344</v>
      </c>
      <c r="V146" s="433">
        <f t="shared" si="77"/>
        <v>0.1830632098883283</v>
      </c>
      <c r="W146" s="433">
        <f t="shared" si="77"/>
        <v>0.23174112319779269</v>
      </c>
      <c r="X146" s="433">
        <f t="shared" si="77"/>
        <v>0.28390434385766028</v>
      </c>
      <c r="Y146" s="433">
        <f t="shared" si="77"/>
        <v>0.27859971478622109</v>
      </c>
      <c r="Z146" s="433">
        <f t="shared" si="77"/>
        <v>0.32210415357467981</v>
      </c>
      <c r="AA146" s="433">
        <f t="shared" si="77"/>
        <v>0.39741648529784546</v>
      </c>
      <c r="AB146" s="433">
        <f t="shared" si="77"/>
        <v>0.48462378571764464</v>
      </c>
      <c r="AC146" s="433">
        <f t="shared" si="77"/>
        <v>0.55505444606933285</v>
      </c>
      <c r="AD146" s="433">
        <f t="shared" si="77"/>
        <v>0.70901828091073293</v>
      </c>
      <c r="AE146" s="433">
        <f t="shared" si="77"/>
        <v>0.70273870248002923</v>
      </c>
      <c r="AF146" s="433">
        <f t="shared" si="77"/>
        <v>0.83946166933053612</v>
      </c>
      <c r="AG146" s="433">
        <f t="shared" si="77"/>
        <v>0.7570571447987452</v>
      </c>
      <c r="AH146" s="433">
        <f t="shared" si="77"/>
        <v>0.89698849638908895</v>
      </c>
      <c r="AI146" s="433">
        <f t="shared" si="77"/>
        <v>0.87324940282913732</v>
      </c>
      <c r="AJ146" s="433">
        <f t="shared" si="77"/>
        <v>1.0488115191041207</v>
      </c>
      <c r="AK146" s="433">
        <f t="shared" si="77"/>
        <v>1.2052278275521806</v>
      </c>
      <c r="AL146" s="433">
        <f t="shared" si="77"/>
        <v>1.3102715128554596</v>
      </c>
      <c r="AM146" s="433"/>
    </row>
    <row r="147" spans="1:39" ht="15.75" customHeight="1" x14ac:dyDescent="0.25">
      <c r="A147" s="194"/>
      <c r="B147" s="194"/>
      <c r="C147" s="194"/>
      <c r="D147" s="194" t="s">
        <v>1145</v>
      </c>
      <c r="E147" s="194"/>
      <c r="F147" s="433">
        <f t="shared" ref="F147:AL147" si="78">SUMIF($D$16:$D$49,$D147,F$16:F$49)</f>
        <v>7.3244025391447861E-8</v>
      </c>
      <c r="G147" s="433">
        <f t="shared" si="78"/>
        <v>1.8041422594940989E-7</v>
      </c>
      <c r="H147" s="433">
        <f t="shared" si="78"/>
        <v>1.7305468372907699E-2</v>
      </c>
      <c r="I147" s="433">
        <f t="shared" si="78"/>
        <v>7.4925704686498354E-2</v>
      </c>
      <c r="J147" s="433">
        <f t="shared" si="78"/>
        <v>0.19437242912594571</v>
      </c>
      <c r="K147" s="433">
        <f t="shared" si="78"/>
        <v>0.42043990479246957</v>
      </c>
      <c r="L147" s="433">
        <f t="shared" si="78"/>
        <v>0.57077895030801606</v>
      </c>
      <c r="M147" s="433">
        <f t="shared" si="78"/>
        <v>0.71861230090887829</v>
      </c>
      <c r="N147" s="433">
        <f t="shared" si="78"/>
        <v>0.81537855364100809</v>
      </c>
      <c r="O147" s="433">
        <f t="shared" si="78"/>
        <v>0.91840454486573297</v>
      </c>
      <c r="P147" s="433">
        <f t="shared" si="78"/>
        <v>1.0138920699165108</v>
      </c>
      <c r="Q147" s="433">
        <f t="shared" si="78"/>
        <v>1.099921829375319</v>
      </c>
      <c r="R147" s="433">
        <f t="shared" si="78"/>
        <v>1.1430564572199273</v>
      </c>
      <c r="S147" s="433">
        <f t="shared" si="78"/>
        <v>1.1753179048102371</v>
      </c>
      <c r="T147" s="433">
        <f t="shared" si="78"/>
        <v>1.2037834327980339</v>
      </c>
      <c r="U147" s="433">
        <f t="shared" si="78"/>
        <v>1.2199597151399479</v>
      </c>
      <c r="V147" s="433">
        <f t="shared" si="78"/>
        <v>1.2551806216392776</v>
      </c>
      <c r="W147" s="433">
        <f t="shared" si="78"/>
        <v>1.2865539388910998</v>
      </c>
      <c r="X147" s="433">
        <f t="shared" si="78"/>
        <v>1.3225003277710556</v>
      </c>
      <c r="Y147" s="433">
        <f t="shared" si="78"/>
        <v>1.3420090290171782</v>
      </c>
      <c r="Z147" s="433">
        <f t="shared" si="78"/>
        <v>1.1707536276758914</v>
      </c>
      <c r="AA147" s="433">
        <f t="shared" si="78"/>
        <v>1.1184166495883394</v>
      </c>
      <c r="AB147" s="433">
        <f t="shared" si="78"/>
        <v>1.0675380710002969</v>
      </c>
      <c r="AC147" s="433">
        <f t="shared" si="78"/>
        <v>1.2752792732097329</v>
      </c>
      <c r="AD147" s="433">
        <f t="shared" si="78"/>
        <v>1.4140337681348132</v>
      </c>
      <c r="AE147" s="433">
        <f t="shared" si="78"/>
        <v>1.2991554189853241</v>
      </c>
      <c r="AF147" s="433">
        <f t="shared" si="78"/>
        <v>1.14971332178335</v>
      </c>
      <c r="AG147" s="433">
        <f t="shared" si="78"/>
        <v>0.94420100804189</v>
      </c>
      <c r="AH147" s="433">
        <f t="shared" si="78"/>
        <v>0.99854386556560959</v>
      </c>
      <c r="AI147" s="433">
        <f t="shared" si="78"/>
        <v>0.9510207126878697</v>
      </c>
      <c r="AJ147" s="433">
        <f t="shared" si="78"/>
        <v>1.038189858922832</v>
      </c>
      <c r="AK147" s="433">
        <f t="shared" si="78"/>
        <v>0.96212652090184858</v>
      </c>
      <c r="AL147" s="433">
        <f t="shared" si="78"/>
        <v>0.93120199342943333</v>
      </c>
      <c r="AM147" s="433"/>
    </row>
    <row r="148" spans="1:39" ht="15.75" customHeight="1" x14ac:dyDescent="0.25">
      <c r="A148" s="194"/>
      <c r="B148" s="194"/>
      <c r="C148" s="194"/>
      <c r="D148" s="194" t="s">
        <v>1148</v>
      </c>
      <c r="E148" s="194"/>
      <c r="F148" s="433">
        <f t="shared" ref="F148:AL148" si="79">SUMIF($D$16:$D$49,$D148,F$16:F$49)</f>
        <v>3.7240846201553312E-6</v>
      </c>
      <c r="G148" s="433">
        <f t="shared" si="79"/>
        <v>9.1731419801768085E-6</v>
      </c>
      <c r="H148" s="433">
        <f t="shared" si="79"/>
        <v>1.7587910456692571E-5</v>
      </c>
      <c r="I148" s="433">
        <f t="shared" si="79"/>
        <v>1.318694796414364E-3</v>
      </c>
      <c r="J148" s="433">
        <f t="shared" si="79"/>
        <v>3.6741288239772992E-3</v>
      </c>
      <c r="K148" s="433">
        <f t="shared" si="79"/>
        <v>9.1767881134462714E-3</v>
      </c>
      <c r="L148" s="433">
        <f t="shared" si="79"/>
        <v>1.7068477805663181E-2</v>
      </c>
      <c r="M148" s="433">
        <f t="shared" si="79"/>
        <v>2.8260174203529932E-2</v>
      </c>
      <c r="N148" s="433">
        <f t="shared" si="79"/>
        <v>4.0974398710055072E-2</v>
      </c>
      <c r="O148" s="433">
        <f t="shared" si="79"/>
        <v>5.8511730201415091E-2</v>
      </c>
      <c r="P148" s="433">
        <f t="shared" si="79"/>
        <v>7.2150615314809471E-2</v>
      </c>
      <c r="Q148" s="433">
        <f t="shared" si="79"/>
        <v>8.9370065998305867E-2</v>
      </c>
      <c r="R148" s="433">
        <f t="shared" si="79"/>
        <v>0.1087828117007227</v>
      </c>
      <c r="S148" s="433">
        <f t="shared" si="79"/>
        <v>0.1288072809836224</v>
      </c>
      <c r="T148" s="433">
        <f t="shared" si="79"/>
        <v>0.1472520743030476</v>
      </c>
      <c r="U148" s="433">
        <f t="shared" si="79"/>
        <v>0.17825234594206199</v>
      </c>
      <c r="V148" s="433">
        <f t="shared" si="79"/>
        <v>0.2118619930356147</v>
      </c>
      <c r="W148" s="433">
        <f t="shared" si="79"/>
        <v>0.2496507682504136</v>
      </c>
      <c r="X148" s="433">
        <f t="shared" si="79"/>
        <v>0.29254300276961481</v>
      </c>
      <c r="Y148" s="433">
        <f t="shared" si="79"/>
        <v>0.32544677330981392</v>
      </c>
      <c r="Z148" s="433">
        <f t="shared" si="79"/>
        <v>0.33349639492362038</v>
      </c>
      <c r="AA148" s="433">
        <f t="shared" si="79"/>
        <v>0.41388764324358202</v>
      </c>
      <c r="AB148" s="433">
        <f t="shared" si="79"/>
        <v>0.49996887401693491</v>
      </c>
      <c r="AC148" s="433">
        <f t="shared" si="79"/>
        <v>0.56678410628142217</v>
      </c>
      <c r="AD148" s="433">
        <f t="shared" si="79"/>
        <v>0.65334285974531225</v>
      </c>
      <c r="AE148" s="433">
        <f t="shared" si="79"/>
        <v>0.65542007120561996</v>
      </c>
      <c r="AF148" s="433">
        <f t="shared" si="79"/>
        <v>0.6741416043585654</v>
      </c>
      <c r="AG148" s="433">
        <f t="shared" si="79"/>
        <v>0.50404953133319441</v>
      </c>
      <c r="AH148" s="433">
        <f t="shared" si="79"/>
        <v>0.632093783017319</v>
      </c>
      <c r="AI148" s="433">
        <f t="shared" si="79"/>
        <v>0.55417967019470238</v>
      </c>
      <c r="AJ148" s="433">
        <f t="shared" si="79"/>
        <v>0.60943851858890463</v>
      </c>
      <c r="AK148" s="433">
        <f t="shared" si="79"/>
        <v>0.61154888168151578</v>
      </c>
      <c r="AL148" s="433">
        <f t="shared" si="79"/>
        <v>0.60870672771026657</v>
      </c>
      <c r="AM148" s="433"/>
    </row>
    <row r="149" spans="1:39" ht="15.75" customHeight="1" x14ac:dyDescent="0.25">
      <c r="A149" s="194"/>
      <c r="B149" s="194"/>
      <c r="C149" s="194"/>
      <c r="D149" s="194" t="s">
        <v>1149</v>
      </c>
      <c r="E149" s="194"/>
      <c r="F149" s="433">
        <f t="shared" ref="F149:AL149" si="80">SUMIF($D$16:$D$49,$D149,F$16:F$49)</f>
        <v>0</v>
      </c>
      <c r="G149" s="433">
        <f t="shared" si="80"/>
        <v>0</v>
      </c>
      <c r="H149" s="433">
        <f t="shared" si="80"/>
        <v>0</v>
      </c>
      <c r="I149" s="433">
        <f t="shared" si="80"/>
        <v>0</v>
      </c>
      <c r="J149" s="433">
        <f t="shared" si="80"/>
        <v>0</v>
      </c>
      <c r="K149" s="433">
        <f t="shared" si="80"/>
        <v>9.3036146234324768E-6</v>
      </c>
      <c r="L149" s="433">
        <f t="shared" si="80"/>
        <v>2.0863174107854798E-5</v>
      </c>
      <c r="M149" s="433">
        <f t="shared" si="80"/>
        <v>3.9285248301842602E-5</v>
      </c>
      <c r="N149" s="433">
        <f t="shared" si="80"/>
        <v>5.762449576632511E-5</v>
      </c>
      <c r="O149" s="433">
        <f t="shared" si="80"/>
        <v>8.2822795964448826E-5</v>
      </c>
      <c r="P149" s="433">
        <f t="shared" si="80"/>
        <v>1.080885242557396E-4</v>
      </c>
      <c r="Q149" s="433">
        <f t="shared" si="80"/>
        <v>1.313657066049777E-4</v>
      </c>
      <c r="R149" s="433">
        <f t="shared" si="80"/>
        <v>1.5256283657628139E-4</v>
      </c>
      <c r="S149" s="433">
        <f t="shared" si="80"/>
        <v>1.6903747560248619E-4</v>
      </c>
      <c r="T149" s="433">
        <f t="shared" si="80"/>
        <v>1.852557722608108E-4</v>
      </c>
      <c r="U149" s="433">
        <f t="shared" si="80"/>
        <v>2.0359600424150949E-4</v>
      </c>
      <c r="V149" s="433">
        <f t="shared" si="80"/>
        <v>2.1908588182021951E-4</v>
      </c>
      <c r="W149" s="433">
        <f t="shared" si="80"/>
        <v>2.3642555806566921E-4</v>
      </c>
      <c r="X149" s="433">
        <f t="shared" si="80"/>
        <v>2.5156468733034262E-4</v>
      </c>
      <c r="Y149" s="433">
        <f t="shared" si="80"/>
        <v>2.6969387346895552E-4</v>
      </c>
      <c r="Z149" s="433">
        <f t="shared" si="80"/>
        <v>2.9085115325012397E-4</v>
      </c>
      <c r="AA149" s="433">
        <f t="shared" si="80"/>
        <v>3.0973479855850972E-4</v>
      </c>
      <c r="AB149" s="433">
        <f t="shared" si="80"/>
        <v>3.330461144484584E-4</v>
      </c>
      <c r="AC149" s="433">
        <f t="shared" si="80"/>
        <v>3.5354917845680422E-4</v>
      </c>
      <c r="AD149" s="433">
        <f t="shared" si="80"/>
        <v>3.7605786330928268E-4</v>
      </c>
      <c r="AE149" s="433">
        <f t="shared" si="80"/>
        <v>4.0035265374947169E-4</v>
      </c>
      <c r="AF149" s="433">
        <f t="shared" si="80"/>
        <v>4.2387287872683359E-4</v>
      </c>
      <c r="AG149" s="433">
        <f t="shared" si="80"/>
        <v>4.5009971253825049E-4</v>
      </c>
      <c r="AH149" s="433">
        <f t="shared" si="80"/>
        <v>4.7619198320438021E-4</v>
      </c>
      <c r="AI149" s="433">
        <f t="shared" si="80"/>
        <v>5.0446574040930326E-4</v>
      </c>
      <c r="AJ149" s="433">
        <f t="shared" si="80"/>
        <v>5.3214126222195246E-4</v>
      </c>
      <c r="AK149" s="433">
        <f t="shared" si="80"/>
        <v>5.5199864253537782E-4</v>
      </c>
      <c r="AL149" s="433">
        <f t="shared" si="80"/>
        <v>5.6954536712445038E-4</v>
      </c>
      <c r="AM149" s="433"/>
    </row>
    <row r="150" spans="1:39" ht="15.75" customHeight="1" x14ac:dyDescent="0.25">
      <c r="A150" s="194"/>
      <c r="B150" s="194"/>
      <c r="C150" s="194"/>
      <c r="D150" s="194" t="s">
        <v>1150</v>
      </c>
      <c r="E150" s="194"/>
      <c r="F150" s="433">
        <f t="shared" ref="F150:AL150" si="81">SUMIF($D$16:$D$49,$D150,F$16:F$49)</f>
        <v>0</v>
      </c>
      <c r="G150" s="433">
        <f t="shared" si="81"/>
        <v>0</v>
      </c>
      <c r="H150" s="433">
        <f t="shared" si="81"/>
        <v>0</v>
      </c>
      <c r="I150" s="433">
        <f t="shared" si="81"/>
        <v>1.094958153041211E-3</v>
      </c>
      <c r="J150" s="433">
        <f t="shared" si="81"/>
        <v>3.3027020891527839E-3</v>
      </c>
      <c r="K150" s="433">
        <f t="shared" si="81"/>
        <v>5.4743631396104624E-3</v>
      </c>
      <c r="L150" s="433">
        <f t="shared" si="81"/>
        <v>6.8121740657830568E-3</v>
      </c>
      <c r="M150" s="433">
        <f t="shared" si="81"/>
        <v>8.3410670284168095E-3</v>
      </c>
      <c r="N150" s="433">
        <f t="shared" si="81"/>
        <v>9.9572823704379143E-3</v>
      </c>
      <c r="O150" s="433">
        <f t="shared" si="81"/>
        <v>1.168215537078551E-2</v>
      </c>
      <c r="P150" s="433">
        <f t="shared" si="81"/>
        <v>1.3329499808776166E-2</v>
      </c>
      <c r="Q150" s="433">
        <f t="shared" si="81"/>
        <v>1.492037867650221E-2</v>
      </c>
      <c r="R150" s="433">
        <f t="shared" si="81"/>
        <v>1.6438992374813818E-2</v>
      </c>
      <c r="S150" s="433">
        <f t="shared" si="81"/>
        <v>1.765665900123696E-2</v>
      </c>
      <c r="T150" s="433">
        <f t="shared" si="81"/>
        <v>1.8547113209606399E-2</v>
      </c>
      <c r="U150" s="433">
        <f t="shared" si="81"/>
        <v>1.9104708688916918E-2</v>
      </c>
      <c r="V150" s="433">
        <f t="shared" si="81"/>
        <v>1.9508098767425455E-2</v>
      </c>
      <c r="W150" s="433">
        <f t="shared" si="81"/>
        <v>1.9767586817745951E-2</v>
      </c>
      <c r="X150" s="433">
        <f t="shared" si="81"/>
        <v>1.993421451922665E-2</v>
      </c>
      <c r="Y150" s="433">
        <f t="shared" si="81"/>
        <v>2.0052653708937083E-2</v>
      </c>
      <c r="Z150" s="433">
        <f t="shared" si="81"/>
        <v>2.0231674925075455E-2</v>
      </c>
      <c r="AA150" s="433">
        <f t="shared" si="81"/>
        <v>2.0413129257294611E-2</v>
      </c>
      <c r="AB150" s="433">
        <f t="shared" si="81"/>
        <v>2.0583513151279879E-2</v>
      </c>
      <c r="AC150" s="433">
        <f t="shared" si="81"/>
        <v>2.0981077544913854E-2</v>
      </c>
      <c r="AD150" s="433">
        <f t="shared" si="81"/>
        <v>2.0336016869175022E-2</v>
      </c>
      <c r="AE150" s="433">
        <f t="shared" si="81"/>
        <v>1.8312702314863333E-2</v>
      </c>
      <c r="AF150" s="433">
        <f t="shared" si="81"/>
        <v>1.7082077012691398E-2</v>
      </c>
      <c r="AG150" s="433">
        <f t="shared" si="81"/>
        <v>1.5882723113878155E-2</v>
      </c>
      <c r="AH150" s="433">
        <f t="shared" si="81"/>
        <v>1.4583039348503281E-2</v>
      </c>
      <c r="AI150" s="433">
        <f t="shared" si="81"/>
        <v>1.3401369922684994E-2</v>
      </c>
      <c r="AJ150" s="433">
        <f t="shared" si="81"/>
        <v>1.2489218392264533E-2</v>
      </c>
      <c r="AK150" s="433">
        <f t="shared" si="81"/>
        <v>1.1546807967944583E-2</v>
      </c>
      <c r="AL150" s="433">
        <f t="shared" si="81"/>
        <v>1.0679883275602767E-2</v>
      </c>
      <c r="AM150" s="433"/>
    </row>
    <row r="151" spans="1:39" ht="15.75" customHeight="1" x14ac:dyDescent="0.25">
      <c r="A151" s="194"/>
      <c r="B151" s="194"/>
      <c r="C151" s="194"/>
      <c r="D151" s="194" t="s">
        <v>1151</v>
      </c>
      <c r="E151" s="194"/>
      <c r="F151" s="433">
        <f t="shared" ref="F151:AL151" si="82">SUMIF($D$16:$D$49,$D151,F$16:F$49)</f>
        <v>0</v>
      </c>
      <c r="G151" s="433">
        <f t="shared" si="82"/>
        <v>0</v>
      </c>
      <c r="H151" s="433">
        <f t="shared" si="82"/>
        <v>0</v>
      </c>
      <c r="I151" s="433">
        <f t="shared" si="82"/>
        <v>0</v>
      </c>
      <c r="J151" s="433">
        <f t="shared" si="82"/>
        <v>0</v>
      </c>
      <c r="K151" s="433">
        <f t="shared" si="82"/>
        <v>0</v>
      </c>
      <c r="L151" s="433">
        <f t="shared" si="82"/>
        <v>3.0469016963371702E-6</v>
      </c>
      <c r="M151" s="433">
        <f t="shared" si="82"/>
        <v>8.6518110182798053E-6</v>
      </c>
      <c r="N151" s="433">
        <f t="shared" si="82"/>
        <v>1.844517591183488E-5</v>
      </c>
      <c r="O151" s="433">
        <f t="shared" si="82"/>
        <v>3.5786809654347221E-5</v>
      </c>
      <c r="P151" s="433">
        <f t="shared" si="82"/>
        <v>1.651955955267768E-4</v>
      </c>
      <c r="Q151" s="433">
        <f t="shared" si="82"/>
        <v>4.1358921209775327E-4</v>
      </c>
      <c r="R151" s="433">
        <f t="shared" si="82"/>
        <v>8.1173569754559188E-4</v>
      </c>
      <c r="S151" s="433">
        <f t="shared" si="82"/>
        <v>1.3502779681188589E-3</v>
      </c>
      <c r="T151" s="433">
        <f t="shared" si="82"/>
        <v>2.0675901294666841E-3</v>
      </c>
      <c r="U151" s="433">
        <f t="shared" si="82"/>
        <v>3.080495081027423E-3</v>
      </c>
      <c r="V151" s="433">
        <f t="shared" si="82"/>
        <v>5.012036933085804E-3</v>
      </c>
      <c r="W151" s="433">
        <f t="shared" si="82"/>
        <v>7.1895367644093308E-3</v>
      </c>
      <c r="X151" s="433">
        <f t="shared" si="82"/>
        <v>9.4723877763723281E-3</v>
      </c>
      <c r="Y151" s="433">
        <f t="shared" si="82"/>
        <v>1.2203848200017841E-2</v>
      </c>
      <c r="Z151" s="433">
        <f t="shared" si="82"/>
        <v>1.7058702289811462E-2</v>
      </c>
      <c r="AA151" s="433">
        <f t="shared" si="82"/>
        <v>3.0748644235615671E-2</v>
      </c>
      <c r="AB151" s="433">
        <f t="shared" si="82"/>
        <v>3.2645818495296318E-2</v>
      </c>
      <c r="AC151" s="433">
        <f t="shared" si="82"/>
        <v>4.8837634649829952E-2</v>
      </c>
      <c r="AD151" s="433">
        <f t="shared" si="82"/>
        <v>6.0687208721937488E-2</v>
      </c>
      <c r="AE151" s="433">
        <f t="shared" si="82"/>
        <v>7.3553730118908534E-2</v>
      </c>
      <c r="AF151" s="433">
        <f t="shared" si="82"/>
        <v>8.4213997171858915E-2</v>
      </c>
      <c r="AG151" s="433">
        <f t="shared" si="82"/>
        <v>8.0964713183116183E-2</v>
      </c>
      <c r="AH151" s="433">
        <f t="shared" si="82"/>
        <v>9.7705256137823007E-2</v>
      </c>
      <c r="AI151" s="433">
        <f t="shared" si="82"/>
        <v>0.1037901447480068</v>
      </c>
      <c r="AJ151" s="433">
        <f t="shared" si="82"/>
        <v>0.1381303149748907</v>
      </c>
      <c r="AK151" s="433">
        <f t="shared" si="82"/>
        <v>0.16864826115628431</v>
      </c>
      <c r="AL151" s="433">
        <f t="shared" si="82"/>
        <v>0.1885012873241986</v>
      </c>
      <c r="AM151" s="433"/>
    </row>
    <row r="152" spans="1:39" ht="15.75" customHeight="1" x14ac:dyDescent="0.25">
      <c r="A152" s="194"/>
      <c r="B152" s="194"/>
      <c r="C152" s="194"/>
      <c r="D152" s="194" t="s">
        <v>1152</v>
      </c>
      <c r="E152" s="194"/>
      <c r="F152" s="433">
        <f t="shared" ref="F152:AL152" si="83">SUMIF($D$16:$D$49,$D152,F$16:F$49)</f>
        <v>4.7799061303962012E-3</v>
      </c>
      <c r="G152" s="433">
        <f t="shared" si="83"/>
        <v>1.0063064170992987E-2</v>
      </c>
      <c r="H152" s="433">
        <f t="shared" si="83"/>
        <v>1.0121952622423285E-2</v>
      </c>
      <c r="I152" s="433">
        <f t="shared" si="83"/>
        <v>1.0277569196453418E-2</v>
      </c>
      <c r="J152" s="433">
        <f t="shared" si="83"/>
        <v>1.1054365180283189E-2</v>
      </c>
      <c r="K152" s="433">
        <f t="shared" si="83"/>
        <v>2.4079612325935897E-2</v>
      </c>
      <c r="L152" s="433">
        <f t="shared" si="83"/>
        <v>3.9032626489515901E-2</v>
      </c>
      <c r="M152" s="433">
        <f t="shared" si="83"/>
        <v>4.8525526869761776E-2</v>
      </c>
      <c r="N152" s="433">
        <f t="shared" si="83"/>
        <v>6.1510154373347108E-2</v>
      </c>
      <c r="O152" s="433">
        <f t="shared" si="83"/>
        <v>6.521356967274583E-2</v>
      </c>
      <c r="P152" s="433">
        <f t="shared" si="83"/>
        <v>6.8124855701185302E-2</v>
      </c>
      <c r="Q152" s="433">
        <f t="shared" si="83"/>
        <v>7.3909174482029411E-2</v>
      </c>
      <c r="R152" s="433">
        <f t="shared" si="83"/>
        <v>9.1898280694211548E-2</v>
      </c>
      <c r="S152" s="433">
        <f t="shared" si="83"/>
        <v>0.11218616720953045</v>
      </c>
      <c r="T152" s="433">
        <f t="shared" si="83"/>
        <v>0.12081233334864004</v>
      </c>
      <c r="U152" s="433">
        <f t="shared" si="83"/>
        <v>0.12962208341834908</v>
      </c>
      <c r="V152" s="433">
        <f t="shared" si="83"/>
        <v>0.13639499854822631</v>
      </c>
      <c r="W152" s="433">
        <f t="shared" si="83"/>
        <v>0.14443914301242577</v>
      </c>
      <c r="X152" s="433">
        <f t="shared" si="83"/>
        <v>0.15200494418124483</v>
      </c>
      <c r="Y152" s="433">
        <f t="shared" si="83"/>
        <v>0.16350602825587535</v>
      </c>
      <c r="Z152" s="433">
        <f t="shared" si="83"/>
        <v>0.1761068664680159</v>
      </c>
      <c r="AA152" s="433">
        <f t="shared" si="83"/>
        <v>0.18880506808610562</v>
      </c>
      <c r="AB152" s="433">
        <f t="shared" si="83"/>
        <v>0.20129233643355085</v>
      </c>
      <c r="AC152" s="433">
        <f t="shared" si="83"/>
        <v>0.21359172065041793</v>
      </c>
      <c r="AD152" s="433">
        <f t="shared" si="83"/>
        <v>0.22481759650762301</v>
      </c>
      <c r="AE152" s="433">
        <f t="shared" si="83"/>
        <v>0.24760162556363813</v>
      </c>
      <c r="AF152" s="433">
        <f t="shared" si="83"/>
        <v>0.26443392305588692</v>
      </c>
      <c r="AG152" s="433">
        <f t="shared" si="83"/>
        <v>0.28314448226679401</v>
      </c>
      <c r="AH152" s="433">
        <f t="shared" si="83"/>
        <v>0.29128932994965445</v>
      </c>
      <c r="AI152" s="433">
        <f t="shared" si="83"/>
        <v>0.29276460851793995</v>
      </c>
      <c r="AJ152" s="433">
        <f t="shared" si="83"/>
        <v>0.29282951913359256</v>
      </c>
      <c r="AK152" s="433">
        <f t="shared" si="83"/>
        <v>0.29980647056303189</v>
      </c>
      <c r="AL152" s="433">
        <f t="shared" si="83"/>
        <v>0.30845442602229906</v>
      </c>
      <c r="AM152" s="433"/>
    </row>
    <row r="153" spans="1:39" ht="15.75" customHeight="1" x14ac:dyDescent="0.25">
      <c r="A153" s="194"/>
      <c r="B153" s="194"/>
      <c r="C153" s="194"/>
      <c r="D153" s="194" t="s">
        <v>1159</v>
      </c>
      <c r="E153" s="194"/>
      <c r="F153" s="433">
        <f t="shared" ref="F153:AL153" si="84">SUMIF($D$16:$D$49,$D153,F$16:F$49)</f>
        <v>0</v>
      </c>
      <c r="G153" s="433">
        <f t="shared" si="84"/>
        <v>0</v>
      </c>
      <c r="H153" s="433">
        <f t="shared" si="84"/>
        <v>0</v>
      </c>
      <c r="I153" s="433">
        <f t="shared" si="84"/>
        <v>0</v>
      </c>
      <c r="J153" s="433">
        <f t="shared" si="84"/>
        <v>4.4884165832836251E-7</v>
      </c>
      <c r="K153" s="433">
        <f t="shared" si="84"/>
        <v>1.4425854706833569E-6</v>
      </c>
      <c r="L153" s="433">
        <f t="shared" si="84"/>
        <v>1.303903514699833E-5</v>
      </c>
      <c r="M153" s="433">
        <f t="shared" si="84"/>
        <v>3.5782524872607343E-5</v>
      </c>
      <c r="N153" s="433">
        <f t="shared" si="84"/>
        <v>7.034657170195606E-5</v>
      </c>
      <c r="O153" s="433">
        <f t="shared" si="84"/>
        <v>1.1730201498121869E-4</v>
      </c>
      <c r="P153" s="433">
        <f t="shared" si="84"/>
        <v>1.77164732379384E-4</v>
      </c>
      <c r="Q153" s="433">
        <f t="shared" si="84"/>
        <v>2.3890872183542661E-4</v>
      </c>
      <c r="R153" s="433">
        <f t="shared" si="84"/>
        <v>2.9247235308203383E-4</v>
      </c>
      <c r="S153" s="433">
        <f t="shared" si="84"/>
        <v>3.3651268041300341E-4</v>
      </c>
      <c r="T153" s="433">
        <f t="shared" si="84"/>
        <v>3.7015761635671358E-4</v>
      </c>
      <c r="U153" s="433">
        <f t="shared" si="84"/>
        <v>3.9282960897999531E-4</v>
      </c>
      <c r="V153" s="433">
        <f t="shared" si="84"/>
        <v>4.033571200107217E-4</v>
      </c>
      <c r="W153" s="433">
        <f t="shared" si="84"/>
        <v>4.1350030420114872E-4</v>
      </c>
      <c r="X153" s="433">
        <f t="shared" si="84"/>
        <v>4.2435406911593812E-4</v>
      </c>
      <c r="Y153" s="433">
        <f t="shared" si="84"/>
        <v>4.3680144684259792E-4</v>
      </c>
      <c r="Z153" s="433">
        <f t="shared" si="84"/>
        <v>4.508120476563058E-4</v>
      </c>
      <c r="AA153" s="433">
        <f t="shared" si="84"/>
        <v>4.6517504069101248E-4</v>
      </c>
      <c r="AB153" s="433">
        <f t="shared" si="84"/>
        <v>4.7968976394474697E-4</v>
      </c>
      <c r="AC153" s="433">
        <f t="shared" si="84"/>
        <v>4.9384717915311894E-4</v>
      </c>
      <c r="AD153" s="433">
        <f t="shared" si="84"/>
        <v>5.0801962985677228E-4</v>
      </c>
      <c r="AE153" s="433">
        <f t="shared" si="84"/>
        <v>5.2206059846655298E-4</v>
      </c>
      <c r="AF153" s="433">
        <f t="shared" si="84"/>
        <v>5.3563902659882739E-4</v>
      </c>
      <c r="AG153" s="433">
        <f t="shared" si="84"/>
        <v>5.5035359376891116E-4</v>
      </c>
      <c r="AH153" s="433">
        <f t="shared" si="84"/>
        <v>5.6542619143398667E-4</v>
      </c>
      <c r="AI153" s="433">
        <f t="shared" si="84"/>
        <v>5.8101252390705045E-4</v>
      </c>
      <c r="AJ153" s="433">
        <f t="shared" si="84"/>
        <v>5.4511363290616125E-4</v>
      </c>
      <c r="AK153" s="433">
        <f t="shared" si="84"/>
        <v>5.0178884012394391E-4</v>
      </c>
      <c r="AL153" s="433">
        <f t="shared" si="84"/>
        <v>4.5545000749478819E-4</v>
      </c>
      <c r="AM153" s="433"/>
    </row>
    <row r="154" spans="1:39" ht="15.75" customHeight="1" x14ac:dyDescent="0.25">
      <c r="A154" s="194"/>
      <c r="B154" s="194"/>
      <c r="C154" s="194"/>
      <c r="D154" s="194" t="s">
        <v>1157</v>
      </c>
      <c r="E154" s="194"/>
      <c r="F154" s="433">
        <f t="shared" ref="F154:AL154" si="85">SUMIF($D$16:$D$49,$D154,F$16:F$49)</f>
        <v>0</v>
      </c>
      <c r="G154" s="433">
        <f t="shared" si="85"/>
        <v>0</v>
      </c>
      <c r="H154" s="433">
        <f t="shared" si="85"/>
        <v>0</v>
      </c>
      <c r="I154" s="433">
        <f t="shared" si="85"/>
        <v>0</v>
      </c>
      <c r="J154" s="433">
        <f t="shared" si="85"/>
        <v>1.730075103327022E-6</v>
      </c>
      <c r="K154" s="433">
        <f t="shared" si="85"/>
        <v>8.4656947013083059E-3</v>
      </c>
      <c r="L154" s="433">
        <f t="shared" si="85"/>
        <v>2.0348098606656748E-2</v>
      </c>
      <c r="M154" s="433">
        <f t="shared" si="85"/>
        <v>2.3912308190053948E-2</v>
      </c>
      <c r="N154" s="433">
        <f t="shared" si="85"/>
        <v>2.4380728978988422E-2</v>
      </c>
      <c r="O154" s="433">
        <f t="shared" si="85"/>
        <v>2.4892452553644376E-2</v>
      </c>
      <c r="P154" s="433">
        <f t="shared" si="85"/>
        <v>1.9782892878697736E-2</v>
      </c>
      <c r="Q154" s="433">
        <f t="shared" si="85"/>
        <v>1.4496324674131257E-2</v>
      </c>
      <c r="R154" s="433">
        <f t="shared" si="85"/>
        <v>8.9657137557472757E-3</v>
      </c>
      <c r="S154" s="433">
        <f t="shared" si="85"/>
        <v>3.1023941639133279E-3</v>
      </c>
      <c r="T154" s="433">
        <f t="shared" si="85"/>
        <v>3.1572046912755293E-3</v>
      </c>
      <c r="U154" s="433">
        <f t="shared" si="85"/>
        <v>2.6495933988572584E-3</v>
      </c>
      <c r="V154" s="433">
        <f t="shared" si="85"/>
        <v>2.1159046653234301E-3</v>
      </c>
      <c r="W154" s="433">
        <f t="shared" si="85"/>
        <v>1.5642516166701867E-3</v>
      </c>
      <c r="X154" s="433">
        <f t="shared" si="85"/>
        <v>9.9538097420498938E-4</v>
      </c>
      <c r="Y154" s="433">
        <f t="shared" si="85"/>
        <v>4.0866952997223088E-4</v>
      </c>
      <c r="Z154" s="433">
        <f t="shared" si="85"/>
        <v>4.0949655637933401E-4</v>
      </c>
      <c r="AA154" s="433">
        <f t="shared" si="85"/>
        <v>4.102413353428481E-4</v>
      </c>
      <c r="AB154" s="433">
        <f t="shared" si="85"/>
        <v>4.1069513067581867E-4</v>
      </c>
      <c r="AC154" s="433">
        <f t="shared" si="85"/>
        <v>4.1049918227609259E-4</v>
      </c>
      <c r="AD154" s="433">
        <f t="shared" si="85"/>
        <v>4.1000958621623801E-4</v>
      </c>
      <c r="AE154" s="433">
        <f t="shared" si="85"/>
        <v>4.0906078520429898E-4</v>
      </c>
      <c r="AF154" s="433">
        <f t="shared" si="85"/>
        <v>4.0747959881769658E-4</v>
      </c>
      <c r="AG154" s="433">
        <f t="shared" si="85"/>
        <v>4.0646834581289058E-4</v>
      </c>
      <c r="AH154" s="433">
        <f t="shared" si="85"/>
        <v>4.0545808953945921E-4</v>
      </c>
      <c r="AI154" s="433">
        <f t="shared" si="85"/>
        <v>4.0449205830880489E-4</v>
      </c>
      <c r="AJ154" s="433">
        <f t="shared" si="85"/>
        <v>4.0837034701596048E-4</v>
      </c>
      <c r="AK154" s="433">
        <f t="shared" si="85"/>
        <v>4.0785503540037322E-4</v>
      </c>
      <c r="AL154" s="433">
        <f t="shared" si="85"/>
        <v>4.0573062202426801E-4</v>
      </c>
      <c r="AM154" s="433"/>
    </row>
    <row r="155" spans="1:39" ht="15.75" customHeight="1" x14ac:dyDescent="0.25">
      <c r="A155" s="194"/>
      <c r="B155" s="194"/>
      <c r="C155" s="194"/>
      <c r="D155" s="194"/>
      <c r="E155" s="194"/>
      <c r="F155" s="433"/>
      <c r="G155" s="433"/>
      <c r="H155" s="433"/>
      <c r="I155" s="433"/>
      <c r="J155" s="433"/>
      <c r="K155" s="433"/>
      <c r="L155" s="433"/>
      <c r="M155" s="433"/>
      <c r="N155" s="433"/>
      <c r="O155" s="433"/>
      <c r="P155" s="433"/>
      <c r="Q155" s="433"/>
      <c r="R155" s="433"/>
      <c r="S155" s="433"/>
      <c r="T155" s="433"/>
      <c r="U155" s="433"/>
      <c r="V155" s="433"/>
      <c r="W155" s="433"/>
      <c r="X155" s="433"/>
      <c r="Y155" s="433"/>
      <c r="Z155" s="433"/>
      <c r="AA155" s="433"/>
      <c r="AB155" s="433"/>
      <c r="AC155" s="433"/>
      <c r="AD155" s="433"/>
      <c r="AE155" s="433"/>
      <c r="AF155" s="433"/>
      <c r="AG155" s="433"/>
      <c r="AH155" s="433"/>
      <c r="AI155" s="433"/>
      <c r="AJ155" s="433"/>
      <c r="AK155" s="433"/>
      <c r="AL155" s="433"/>
      <c r="AM155" s="433"/>
    </row>
    <row r="156" spans="1:39" ht="15.75" customHeight="1" x14ac:dyDescent="0.25">
      <c r="A156" s="194"/>
      <c r="B156" s="194"/>
      <c r="C156" s="194"/>
      <c r="D156" s="194" t="s">
        <v>10</v>
      </c>
      <c r="E156" s="194"/>
      <c r="F156" s="433">
        <f t="shared" ref="F156:AL156" si="86">F145</f>
        <v>2.6131014791080082E-7</v>
      </c>
      <c r="G156" s="433">
        <f t="shared" si="86"/>
        <v>4.1898124909234098E-7</v>
      </c>
      <c r="H156" s="433">
        <f t="shared" si="86"/>
        <v>5.8111866987456702E-7</v>
      </c>
      <c r="I156" s="433">
        <f t="shared" si="86"/>
        <v>7.4840461171582204E-7</v>
      </c>
      <c r="J156" s="433">
        <f t="shared" si="86"/>
        <v>9.2201719908830302E-7</v>
      </c>
      <c r="K156" s="433">
        <f t="shared" si="86"/>
        <v>2.3052706395561522E-6</v>
      </c>
      <c r="L156" s="433">
        <f t="shared" si="86"/>
        <v>4.4136082214367739E-6</v>
      </c>
      <c r="M156" s="433">
        <f t="shared" si="86"/>
        <v>6.5946290152229707E-6</v>
      </c>
      <c r="N156" s="433">
        <f t="shared" si="86"/>
        <v>8.8565132283437395E-6</v>
      </c>
      <c r="O156" s="433">
        <f t="shared" si="86"/>
        <v>1.1509845363912519E-5</v>
      </c>
      <c r="P156" s="433">
        <f t="shared" si="86"/>
        <v>1.2569649352965852E-5</v>
      </c>
      <c r="Q156" s="433">
        <f t="shared" si="86"/>
        <v>1.3247157241468287E-5</v>
      </c>
      <c r="R156" s="433">
        <f t="shared" si="86"/>
        <v>1.7288683860185458E-5</v>
      </c>
      <c r="S156" s="433">
        <f t="shared" si="86"/>
        <v>2.1944993352741679E-5</v>
      </c>
      <c r="T156" s="433">
        <f t="shared" si="86"/>
        <v>2.3330088569784589E-5</v>
      </c>
      <c r="U156" s="433">
        <f t="shared" si="86"/>
        <v>2.4713909211711638E-5</v>
      </c>
      <c r="V156" s="433">
        <f t="shared" si="86"/>
        <v>2.6092421796137101E-5</v>
      </c>
      <c r="W156" s="433">
        <f t="shared" si="86"/>
        <v>2.7471143032289743E-5</v>
      </c>
      <c r="X156" s="433">
        <f t="shared" si="86"/>
        <v>2.8923391721581608E-5</v>
      </c>
      <c r="Y156" s="433">
        <f t="shared" si="86"/>
        <v>3.1802293449473981E-5</v>
      </c>
      <c r="Z156" s="433">
        <f t="shared" si="86"/>
        <v>3.5335146091815057E-5</v>
      </c>
      <c r="AA156" s="433">
        <f t="shared" si="86"/>
        <v>3.771742776819257E-5</v>
      </c>
      <c r="AB156" s="433">
        <f t="shared" si="86"/>
        <v>3.956228490669917E-5</v>
      </c>
      <c r="AC156" s="433">
        <f t="shared" si="86"/>
        <v>4.1703195498338638E-5</v>
      </c>
      <c r="AD156" s="433">
        <f t="shared" si="86"/>
        <v>4.4100162870311796E-5</v>
      </c>
      <c r="AE156" s="433">
        <f t="shared" si="86"/>
        <v>4.6478452427122152E-5</v>
      </c>
      <c r="AF156" s="433">
        <f t="shared" si="86"/>
        <v>4.9640579107816882E-5</v>
      </c>
      <c r="AG156" s="433">
        <f t="shared" si="86"/>
        <v>5.2781854283047353E-5</v>
      </c>
      <c r="AH156" s="433">
        <f t="shared" si="86"/>
        <v>5.6556118564366453E-5</v>
      </c>
      <c r="AI156" s="433">
        <f t="shared" si="86"/>
        <v>6.0255123344093292E-5</v>
      </c>
      <c r="AJ156" s="433">
        <f t="shared" si="86"/>
        <v>6.4760276546437561E-5</v>
      </c>
      <c r="AK156" s="433">
        <f t="shared" si="86"/>
        <v>6.8680952135492248E-5</v>
      </c>
      <c r="AL156" s="433">
        <f t="shared" si="86"/>
        <v>7.2638169923938342E-5</v>
      </c>
      <c r="AM156" s="433"/>
    </row>
    <row r="157" spans="1:39" ht="15.75" customHeight="1" x14ac:dyDescent="0.25">
      <c r="A157" s="194"/>
      <c r="B157" s="194"/>
      <c r="C157" s="194"/>
      <c r="D157" s="194" t="s">
        <v>1143</v>
      </c>
      <c r="E157" s="194"/>
      <c r="F157" s="433">
        <f t="shared" ref="F157:AL157" si="87">SUM(F146:F152)</f>
        <v>4.7857865388024291E-3</v>
      </c>
      <c r="G157" s="433">
        <f t="shared" si="87"/>
        <v>1.0077548756257193E-2</v>
      </c>
      <c r="H157" s="433">
        <f t="shared" si="87"/>
        <v>2.7454846765031453E-2</v>
      </c>
      <c r="I157" s="433">
        <f t="shared" si="87"/>
        <v>8.9449206978261073E-2</v>
      </c>
      <c r="J157" s="433">
        <f t="shared" si="87"/>
        <v>0.21727649529520757</v>
      </c>
      <c r="K157" s="433">
        <f t="shared" si="87"/>
        <v>0.46950787988810433</v>
      </c>
      <c r="L157" s="433">
        <f t="shared" si="87"/>
        <v>0.6512959753582771</v>
      </c>
      <c r="M157" s="433">
        <f t="shared" si="87"/>
        <v>0.83094933227733447</v>
      </c>
      <c r="N157" s="433">
        <f t="shared" si="87"/>
        <v>0.96346534503167647</v>
      </c>
      <c r="O157" s="433">
        <f t="shared" si="87"/>
        <v>1.1005547052931088</v>
      </c>
      <c r="P157" s="433">
        <f t="shared" si="87"/>
        <v>1.2235828531297652</v>
      </c>
      <c r="Q157" s="433">
        <f t="shared" si="87"/>
        <v>1.3467147742253325</v>
      </c>
      <c r="R157" s="433">
        <f t="shared" si="87"/>
        <v>1.4439096170736352</v>
      </c>
      <c r="S157" s="433">
        <f t="shared" si="87"/>
        <v>1.534403684441358</v>
      </c>
      <c r="T157" s="433">
        <f t="shared" si="87"/>
        <v>1.6082141820355442</v>
      </c>
      <c r="U157" s="433">
        <f t="shared" si="87"/>
        <v>1.6954898163201382</v>
      </c>
      <c r="V157" s="433">
        <f t="shared" si="87"/>
        <v>1.8112400446937782</v>
      </c>
      <c r="W157" s="433">
        <f t="shared" si="87"/>
        <v>1.9395785224919528</v>
      </c>
      <c r="X157" s="433">
        <f t="shared" si="87"/>
        <v>2.0806107855625049</v>
      </c>
      <c r="Y157" s="433">
        <f t="shared" si="87"/>
        <v>2.1420877411515127</v>
      </c>
      <c r="Z157" s="433">
        <f t="shared" si="87"/>
        <v>2.0400422710103445</v>
      </c>
      <c r="AA157" s="433">
        <f t="shared" si="87"/>
        <v>2.1699973545073417</v>
      </c>
      <c r="AB157" s="433">
        <f t="shared" si="87"/>
        <v>2.306985444929452</v>
      </c>
      <c r="AC157" s="433">
        <f t="shared" si="87"/>
        <v>2.6808818075841065</v>
      </c>
      <c r="AD157" s="433">
        <f t="shared" si="87"/>
        <v>3.0826117887529034</v>
      </c>
      <c r="AE157" s="433">
        <f t="shared" si="87"/>
        <v>2.9971826033221327</v>
      </c>
      <c r="AF157" s="433">
        <f t="shared" si="87"/>
        <v>3.0294704655916154</v>
      </c>
      <c r="AG157" s="433">
        <f t="shared" si="87"/>
        <v>2.5857497024501561</v>
      </c>
      <c r="AH157" s="433">
        <f t="shared" si="87"/>
        <v>2.9316799623912022</v>
      </c>
      <c r="AI157" s="433">
        <f t="shared" si="87"/>
        <v>2.7889103746407504</v>
      </c>
      <c r="AJ157" s="433">
        <f t="shared" si="87"/>
        <v>3.140421090378827</v>
      </c>
      <c r="AK157" s="433">
        <f t="shared" si="87"/>
        <v>3.2594567684653413</v>
      </c>
      <c r="AL157" s="433">
        <f t="shared" si="87"/>
        <v>3.3583853759843847</v>
      </c>
      <c r="AM157" s="433"/>
    </row>
    <row r="158" spans="1:39" ht="15.75" customHeight="1" x14ac:dyDescent="0.25">
      <c r="A158" s="194"/>
      <c r="B158" s="194"/>
      <c r="C158" s="194"/>
      <c r="D158" s="194" t="s">
        <v>1156</v>
      </c>
      <c r="E158" s="194"/>
      <c r="F158" s="433">
        <f t="shared" ref="F158:AL158" si="88">SUM(F153:F154)</f>
        <v>0</v>
      </c>
      <c r="G158" s="433">
        <f t="shared" si="88"/>
        <v>0</v>
      </c>
      <c r="H158" s="433">
        <f t="shared" si="88"/>
        <v>0</v>
      </c>
      <c r="I158" s="433">
        <f t="shared" si="88"/>
        <v>0</v>
      </c>
      <c r="J158" s="433">
        <f t="shared" si="88"/>
        <v>2.1789167616553847E-6</v>
      </c>
      <c r="K158" s="433">
        <f t="shared" si="88"/>
        <v>8.467137286778989E-3</v>
      </c>
      <c r="L158" s="433">
        <f t="shared" si="88"/>
        <v>2.0361137641803747E-2</v>
      </c>
      <c r="M158" s="433">
        <f t="shared" si="88"/>
        <v>2.3948090714926557E-2</v>
      </c>
      <c r="N158" s="433">
        <f t="shared" si="88"/>
        <v>2.4451075550690378E-2</v>
      </c>
      <c r="O158" s="433">
        <f t="shared" si="88"/>
        <v>2.5009754568625593E-2</v>
      </c>
      <c r="P158" s="433">
        <f t="shared" si="88"/>
        <v>1.9960057611077119E-2</v>
      </c>
      <c r="Q158" s="433">
        <f t="shared" si="88"/>
        <v>1.4735233395966683E-2</v>
      </c>
      <c r="R158" s="433">
        <f t="shared" si="88"/>
        <v>9.25818610882931E-3</v>
      </c>
      <c r="S158" s="433">
        <f t="shared" si="88"/>
        <v>3.4389068443263313E-3</v>
      </c>
      <c r="T158" s="433">
        <f t="shared" si="88"/>
        <v>3.5273623076322426E-3</v>
      </c>
      <c r="U158" s="433">
        <f t="shared" si="88"/>
        <v>3.0424230078372537E-3</v>
      </c>
      <c r="V158" s="433">
        <f t="shared" si="88"/>
        <v>2.5192617853341519E-3</v>
      </c>
      <c r="W158" s="433">
        <f t="shared" si="88"/>
        <v>1.9777519208713356E-3</v>
      </c>
      <c r="X158" s="433">
        <f t="shared" si="88"/>
        <v>1.4197350433209275E-3</v>
      </c>
      <c r="Y158" s="433">
        <f t="shared" si="88"/>
        <v>8.4547097681482875E-4</v>
      </c>
      <c r="Z158" s="433">
        <f t="shared" si="88"/>
        <v>8.6030860403563982E-4</v>
      </c>
      <c r="AA158" s="433">
        <f t="shared" si="88"/>
        <v>8.7541637603386058E-4</v>
      </c>
      <c r="AB158" s="433">
        <f t="shared" si="88"/>
        <v>8.903848946205657E-4</v>
      </c>
      <c r="AC158" s="433">
        <f t="shared" si="88"/>
        <v>9.0434636142921153E-4</v>
      </c>
      <c r="AD158" s="433">
        <f t="shared" si="88"/>
        <v>9.1802921607301029E-4</v>
      </c>
      <c r="AE158" s="433">
        <f t="shared" si="88"/>
        <v>9.3112138367085196E-4</v>
      </c>
      <c r="AF158" s="433">
        <f t="shared" si="88"/>
        <v>9.4311862541652397E-4</v>
      </c>
      <c r="AG158" s="433">
        <f t="shared" si="88"/>
        <v>9.5682193958180175E-4</v>
      </c>
      <c r="AH158" s="433">
        <f t="shared" si="88"/>
        <v>9.7088428097344588E-4</v>
      </c>
      <c r="AI158" s="433">
        <f t="shared" si="88"/>
        <v>9.8550458221585528E-4</v>
      </c>
      <c r="AJ158" s="433">
        <f t="shared" si="88"/>
        <v>9.5348397992212172E-4</v>
      </c>
      <c r="AK158" s="433">
        <f t="shared" si="88"/>
        <v>9.0964387552431713E-4</v>
      </c>
      <c r="AL158" s="433">
        <f t="shared" si="88"/>
        <v>8.6118062951905626E-4</v>
      </c>
      <c r="AM158" s="433"/>
    </row>
    <row r="159" spans="1:39" ht="15.75" customHeight="1" x14ac:dyDescent="0.25">
      <c r="A159" s="194"/>
      <c r="B159" s="194"/>
      <c r="C159" s="194"/>
      <c r="D159" s="194"/>
      <c r="E159" s="194"/>
      <c r="F159" s="433"/>
      <c r="G159" s="433"/>
      <c r="H159" s="433"/>
      <c r="I159" s="433"/>
      <c r="J159" s="433"/>
      <c r="K159" s="433"/>
      <c r="L159" s="433"/>
      <c r="M159" s="433"/>
      <c r="N159" s="433"/>
      <c r="O159" s="433"/>
      <c r="P159" s="433"/>
      <c r="Q159" s="433"/>
      <c r="R159" s="433"/>
      <c r="S159" s="433"/>
      <c r="T159" s="433"/>
      <c r="U159" s="433"/>
      <c r="V159" s="433"/>
      <c r="W159" s="433"/>
      <c r="X159" s="433"/>
      <c r="Y159" s="433"/>
      <c r="Z159" s="433"/>
      <c r="AA159" s="433"/>
      <c r="AB159" s="433"/>
      <c r="AC159" s="433"/>
      <c r="AD159" s="433"/>
      <c r="AE159" s="433"/>
      <c r="AF159" s="433"/>
      <c r="AG159" s="433"/>
      <c r="AH159" s="433"/>
      <c r="AI159" s="433"/>
      <c r="AJ159" s="433"/>
      <c r="AK159" s="433"/>
      <c r="AL159" s="433"/>
      <c r="AM159" s="433"/>
    </row>
    <row r="160" spans="1:39" ht="15.75" customHeight="1" x14ac:dyDescent="0.25">
      <c r="A160" s="194"/>
      <c r="B160" s="194"/>
      <c r="C160" s="194"/>
      <c r="D160" s="194" t="s">
        <v>1217</v>
      </c>
      <c r="E160" s="194"/>
      <c r="F160" s="433">
        <f t="shared" ref="F160:AL160" si="89">SUM(F156:F158)</f>
        <v>4.7860478489503396E-3</v>
      </c>
      <c r="G160" s="433">
        <f t="shared" si="89"/>
        <v>1.0077967737506285E-2</v>
      </c>
      <c r="H160" s="433">
        <f t="shared" si="89"/>
        <v>2.7455427883701328E-2</v>
      </c>
      <c r="I160" s="433">
        <f t="shared" si="89"/>
        <v>8.9449955382872787E-2</v>
      </c>
      <c r="J160" s="433">
        <f t="shared" si="89"/>
        <v>0.21727959622916831</v>
      </c>
      <c r="K160" s="433">
        <f t="shared" si="89"/>
        <v>0.47797732244552288</v>
      </c>
      <c r="L160" s="433">
        <f t="shared" si="89"/>
        <v>0.67166152660830225</v>
      </c>
      <c r="M160" s="433">
        <f t="shared" si="89"/>
        <v>0.85490401762127621</v>
      </c>
      <c r="N160" s="433">
        <f t="shared" si="89"/>
        <v>0.98792527709559519</v>
      </c>
      <c r="O160" s="433">
        <f t="shared" si="89"/>
        <v>1.1255759697070984</v>
      </c>
      <c r="P160" s="433">
        <f t="shared" si="89"/>
        <v>1.2435554803901954</v>
      </c>
      <c r="Q160" s="433">
        <f t="shared" si="89"/>
        <v>1.3614632547785406</v>
      </c>
      <c r="R160" s="433">
        <f t="shared" si="89"/>
        <v>1.4531850918663245</v>
      </c>
      <c r="S160" s="433">
        <f t="shared" si="89"/>
        <v>1.5378645362790371</v>
      </c>
      <c r="T160" s="433">
        <f t="shared" si="89"/>
        <v>1.6117648744317461</v>
      </c>
      <c r="U160" s="433">
        <f t="shared" si="89"/>
        <v>1.6985569532371871</v>
      </c>
      <c r="V160" s="433">
        <f t="shared" si="89"/>
        <v>1.8137853989009085</v>
      </c>
      <c r="W160" s="433">
        <f t="shared" si="89"/>
        <v>1.9415837455558564</v>
      </c>
      <c r="X160" s="433">
        <f t="shared" si="89"/>
        <v>2.0820594439975473</v>
      </c>
      <c r="Y160" s="433">
        <f t="shared" si="89"/>
        <v>2.1429650144217769</v>
      </c>
      <c r="Z160" s="433">
        <f t="shared" si="89"/>
        <v>2.0409379147604718</v>
      </c>
      <c r="AA160" s="433">
        <f t="shared" si="89"/>
        <v>2.1709104883111436</v>
      </c>
      <c r="AB160" s="433">
        <f t="shared" si="89"/>
        <v>2.3079153921089794</v>
      </c>
      <c r="AC160" s="433">
        <f t="shared" si="89"/>
        <v>2.6818278571410339</v>
      </c>
      <c r="AD160" s="433">
        <f t="shared" si="89"/>
        <v>3.0835739181318469</v>
      </c>
      <c r="AE160" s="433">
        <f t="shared" si="89"/>
        <v>2.9981602031582306</v>
      </c>
      <c r="AF160" s="433">
        <f t="shared" si="89"/>
        <v>3.0304632247961396</v>
      </c>
      <c r="AG160" s="433">
        <f t="shared" si="89"/>
        <v>2.5867593062440211</v>
      </c>
      <c r="AH160" s="433">
        <f t="shared" si="89"/>
        <v>2.93270740279074</v>
      </c>
      <c r="AI160" s="433">
        <f t="shared" si="89"/>
        <v>2.7899561343463106</v>
      </c>
      <c r="AJ160" s="433">
        <f t="shared" si="89"/>
        <v>3.1414393346352956</v>
      </c>
      <c r="AK160" s="433">
        <f t="shared" si="89"/>
        <v>3.2604350932930011</v>
      </c>
      <c r="AL160" s="433">
        <f t="shared" si="89"/>
        <v>3.3593191947838275</v>
      </c>
      <c r="AM160" s="433"/>
    </row>
    <row r="161" spans="1:39" ht="15.75" customHeight="1" x14ac:dyDescent="0.25">
      <c r="A161" s="194"/>
      <c r="B161" s="194"/>
      <c r="C161" s="194"/>
      <c r="D161" s="194"/>
      <c r="E161" s="194"/>
      <c r="F161" s="194"/>
      <c r="G161" s="194"/>
      <c r="H161" s="194"/>
      <c r="I161" s="194"/>
      <c r="J161" s="194"/>
      <c r="K161" s="194"/>
      <c r="L161" s="194"/>
      <c r="M161" s="194"/>
      <c r="N161" s="194"/>
      <c r="O161" s="194"/>
      <c r="P161" s="194"/>
      <c r="Q161" s="194"/>
      <c r="R161" s="194"/>
      <c r="S161" s="194"/>
      <c r="T161" s="194"/>
      <c r="U161" s="194"/>
      <c r="V161" s="194"/>
      <c r="W161" s="194"/>
      <c r="X161" s="194"/>
      <c r="Y161" s="194"/>
      <c r="Z161" s="194"/>
      <c r="AA161" s="194"/>
      <c r="AB161" s="194"/>
      <c r="AC161" s="194"/>
      <c r="AD161" s="194"/>
      <c r="AE161" s="194"/>
      <c r="AF161" s="194"/>
      <c r="AG161" s="194"/>
      <c r="AH161" s="194"/>
      <c r="AI161" s="194"/>
      <c r="AJ161" s="194"/>
      <c r="AK161" s="194"/>
      <c r="AL161" s="194"/>
      <c r="AM161" s="194"/>
    </row>
    <row r="162" spans="1:39" ht="15.75" customHeight="1" x14ac:dyDescent="0.25">
      <c r="A162" s="194"/>
      <c r="B162" s="435" t="s">
        <v>7</v>
      </c>
      <c r="C162" s="436"/>
      <c r="D162" s="436"/>
      <c r="E162" s="436"/>
      <c r="F162" s="436"/>
      <c r="G162" s="436"/>
      <c r="H162" s="436"/>
      <c r="I162" s="436"/>
      <c r="J162" s="436"/>
      <c r="K162" s="436"/>
      <c r="L162" s="436"/>
      <c r="M162" s="436"/>
      <c r="N162" s="436"/>
      <c r="O162" s="436"/>
      <c r="P162" s="436"/>
      <c r="Q162" s="436"/>
      <c r="R162" s="436"/>
      <c r="S162" s="436"/>
      <c r="T162" s="436"/>
      <c r="U162" s="436"/>
      <c r="V162" s="436"/>
      <c r="W162" s="436"/>
      <c r="X162" s="436"/>
      <c r="Y162" s="436"/>
      <c r="Z162" s="436"/>
      <c r="AA162" s="436"/>
      <c r="AB162" s="436"/>
      <c r="AC162" s="436"/>
      <c r="AD162" s="436"/>
      <c r="AE162" s="436"/>
      <c r="AF162" s="436"/>
      <c r="AG162" s="436"/>
      <c r="AH162" s="436"/>
      <c r="AI162" s="436"/>
      <c r="AJ162" s="436"/>
      <c r="AK162" s="436"/>
      <c r="AL162" s="436"/>
      <c r="AM162" s="439"/>
    </row>
    <row r="163" spans="1:39" ht="15.75" customHeight="1" x14ac:dyDescent="0.25">
      <c r="A163" s="194"/>
      <c r="B163" s="194"/>
      <c r="C163" s="194"/>
      <c r="D163" s="432" t="s">
        <v>1216</v>
      </c>
      <c r="E163" s="432"/>
      <c r="F163" s="432" t="s">
        <v>1106</v>
      </c>
      <c r="G163" s="432" t="s">
        <v>1107</v>
      </c>
      <c r="H163" s="432" t="s">
        <v>1108</v>
      </c>
      <c r="I163" s="432" t="s">
        <v>1109</v>
      </c>
      <c r="J163" s="432" t="s">
        <v>1110</v>
      </c>
      <c r="K163" s="432" t="s">
        <v>1111</v>
      </c>
      <c r="L163" s="432" t="s">
        <v>1112</v>
      </c>
      <c r="M163" s="432" t="s">
        <v>1113</v>
      </c>
      <c r="N163" s="432" t="s">
        <v>1114</v>
      </c>
      <c r="O163" s="432" t="s">
        <v>1115</v>
      </c>
      <c r="P163" s="432" t="s">
        <v>1116</v>
      </c>
      <c r="Q163" s="432" t="s">
        <v>1117</v>
      </c>
      <c r="R163" s="432" t="s">
        <v>1118</v>
      </c>
      <c r="S163" s="432" t="s">
        <v>1119</v>
      </c>
      <c r="T163" s="432" t="s">
        <v>1120</v>
      </c>
      <c r="U163" s="432" t="s">
        <v>1121</v>
      </c>
      <c r="V163" s="432" t="s">
        <v>1122</v>
      </c>
      <c r="W163" s="432" t="s">
        <v>1123</v>
      </c>
      <c r="X163" s="432" t="s">
        <v>1124</v>
      </c>
      <c r="Y163" s="432" t="s">
        <v>1125</v>
      </c>
      <c r="Z163" s="432" t="s">
        <v>1126</v>
      </c>
      <c r="AA163" s="432" t="s">
        <v>1127</v>
      </c>
      <c r="AB163" s="432" t="s">
        <v>1128</v>
      </c>
      <c r="AC163" s="432" t="s">
        <v>1129</v>
      </c>
      <c r="AD163" s="432" t="s">
        <v>1130</v>
      </c>
      <c r="AE163" s="432" t="s">
        <v>1131</v>
      </c>
      <c r="AF163" s="432" t="s">
        <v>1132</v>
      </c>
      <c r="AG163" s="432" t="s">
        <v>1133</v>
      </c>
      <c r="AH163" s="432" t="s">
        <v>1134</v>
      </c>
      <c r="AI163" s="432" t="s">
        <v>1135</v>
      </c>
      <c r="AJ163" s="432" t="s">
        <v>1136</v>
      </c>
      <c r="AK163" s="432" t="s">
        <v>1137</v>
      </c>
      <c r="AL163" s="432" t="s">
        <v>1138</v>
      </c>
      <c r="AM163" s="432"/>
    </row>
    <row r="164" spans="1:39" ht="15.75" customHeight="1" x14ac:dyDescent="0.25">
      <c r="A164" s="194"/>
      <c r="B164" s="194"/>
      <c r="C164" s="194"/>
      <c r="D164" s="194" t="s">
        <v>1140</v>
      </c>
      <c r="E164" s="194"/>
      <c r="F164" s="433">
        <f t="shared" ref="F164:AL164" si="90">SUMIF($D$16:$D$49,$D164,F$106:F$139)</f>
        <v>2.6131014791080082E-7</v>
      </c>
      <c r="G164" s="433">
        <f t="shared" si="90"/>
        <v>4.1898124909234098E-7</v>
      </c>
      <c r="H164" s="433">
        <f t="shared" si="90"/>
        <v>5.8111866987456702E-7</v>
      </c>
      <c r="I164" s="433">
        <f t="shared" si="90"/>
        <v>7.4840461171582204E-7</v>
      </c>
      <c r="J164" s="433">
        <f t="shared" si="90"/>
        <v>9.2201719908830302E-7</v>
      </c>
      <c r="K164" s="433">
        <f t="shared" si="90"/>
        <v>2.3052706395561522E-6</v>
      </c>
      <c r="L164" s="433">
        <f t="shared" si="90"/>
        <v>4.4136082214367739E-6</v>
      </c>
      <c r="M164" s="433">
        <f t="shared" si="90"/>
        <v>6.5946290152229707E-6</v>
      </c>
      <c r="N164" s="433">
        <f t="shared" si="90"/>
        <v>8.8565132283437395E-6</v>
      </c>
      <c r="O164" s="433">
        <f t="shared" si="90"/>
        <v>1.1509845363912519E-5</v>
      </c>
      <c r="P164" s="433">
        <f t="shared" si="90"/>
        <v>1.2569649352965852E-5</v>
      </c>
      <c r="Q164" s="433">
        <f t="shared" si="90"/>
        <v>1.3247157241468287E-5</v>
      </c>
      <c r="R164" s="433">
        <f t="shared" si="90"/>
        <v>1.7288683860185458E-5</v>
      </c>
      <c r="S164" s="433">
        <f t="shared" si="90"/>
        <v>2.1944993352741679E-5</v>
      </c>
      <c r="T164" s="433">
        <f t="shared" si="90"/>
        <v>2.3330088569784589E-5</v>
      </c>
      <c r="U164" s="433">
        <f t="shared" si="90"/>
        <v>2.4713909211711638E-5</v>
      </c>
      <c r="V164" s="433">
        <f t="shared" si="90"/>
        <v>2.6092421796137101E-5</v>
      </c>
      <c r="W164" s="433">
        <f t="shared" si="90"/>
        <v>2.7471143032289743E-5</v>
      </c>
      <c r="X164" s="433">
        <f t="shared" si="90"/>
        <v>2.8923391721581608E-5</v>
      </c>
      <c r="Y164" s="433">
        <f t="shared" si="90"/>
        <v>3.1802293449473981E-5</v>
      </c>
      <c r="Z164" s="433">
        <f t="shared" si="90"/>
        <v>3.5335146091815057E-5</v>
      </c>
      <c r="AA164" s="433">
        <f t="shared" si="90"/>
        <v>3.771742776819257E-5</v>
      </c>
      <c r="AB164" s="433">
        <f t="shared" si="90"/>
        <v>3.956228490669917E-5</v>
      </c>
      <c r="AC164" s="433">
        <f t="shared" si="90"/>
        <v>4.1703195498338638E-5</v>
      </c>
      <c r="AD164" s="433">
        <f t="shared" si="90"/>
        <v>4.4100162870311796E-5</v>
      </c>
      <c r="AE164" s="433">
        <f t="shared" si="90"/>
        <v>4.6478452427122152E-5</v>
      </c>
      <c r="AF164" s="433">
        <f t="shared" si="90"/>
        <v>4.9640579107816882E-5</v>
      </c>
      <c r="AG164" s="433">
        <f t="shared" si="90"/>
        <v>5.2781854283047353E-5</v>
      </c>
      <c r="AH164" s="433">
        <f t="shared" si="90"/>
        <v>5.6556118564366453E-5</v>
      </c>
      <c r="AI164" s="433">
        <f t="shared" si="90"/>
        <v>6.0255123344093292E-5</v>
      </c>
      <c r="AJ164" s="433">
        <f t="shared" si="90"/>
        <v>6.4760276546437561E-5</v>
      </c>
      <c r="AK164" s="433">
        <f t="shared" si="90"/>
        <v>6.8680952135492248E-5</v>
      </c>
      <c r="AL164" s="433">
        <f t="shared" si="90"/>
        <v>7.2638169923938342E-5</v>
      </c>
      <c r="AM164" s="433"/>
    </row>
    <row r="165" spans="1:39" ht="15.75" customHeight="1" x14ac:dyDescent="0.25">
      <c r="A165" s="194"/>
      <c r="B165" s="194"/>
      <c r="C165" s="194"/>
      <c r="D165" s="194" t="s">
        <v>1144</v>
      </c>
      <c r="E165" s="194"/>
      <c r="F165" s="433">
        <f t="shared" ref="F165:AL165" si="91">SUMIF($D$16:$D$49,$D165,F$106:F$139)</f>
        <v>4.4290087025206964E-6</v>
      </c>
      <c r="G165" s="433">
        <f t="shared" si="91"/>
        <v>1.0909506577744313E-5</v>
      </c>
      <c r="H165" s="433">
        <f t="shared" si="91"/>
        <v>2.0917088739137484E-5</v>
      </c>
      <c r="I165" s="433">
        <f t="shared" si="91"/>
        <v>3.8957628337709968E-3</v>
      </c>
      <c r="J165" s="433">
        <f t="shared" si="91"/>
        <v>1.0360613347387812E-2</v>
      </c>
      <c r="K165" s="433">
        <f t="shared" si="91"/>
        <v>2.1959021848456228E-2</v>
      </c>
      <c r="L165" s="433">
        <f t="shared" si="91"/>
        <v>3.7377949140363957E-2</v>
      </c>
      <c r="M165" s="433">
        <f t="shared" si="91"/>
        <v>5.7752075280145573E-2</v>
      </c>
      <c r="N165" s="433">
        <f t="shared" si="91"/>
        <v>7.5625960071644294E-2</v>
      </c>
      <c r="O165" s="433">
        <f t="shared" si="91"/>
        <v>9.9131357787918942E-2</v>
      </c>
      <c r="P165" s="433">
        <f t="shared" si="91"/>
        <v>0.11866764685521905</v>
      </c>
      <c r="Q165" s="433">
        <f t="shared" si="91"/>
        <v>0.14468328675708175</v>
      </c>
      <c r="R165" s="433">
        <f t="shared" si="91"/>
        <v>0.17598156275896093</v>
      </c>
      <c r="S165" s="433">
        <f t="shared" si="91"/>
        <v>0.21031427322803878</v>
      </c>
      <c r="T165" s="433">
        <f t="shared" si="91"/>
        <v>0.245715273778566</v>
      </c>
      <c r="U165" s="433">
        <f t="shared" si="91"/>
        <v>0.30886394876570972</v>
      </c>
      <c r="V165" s="433">
        <f t="shared" si="91"/>
        <v>0.38922587843764445</v>
      </c>
      <c r="W165" s="433">
        <f t="shared" si="91"/>
        <v>0.49272402850256242</v>
      </c>
      <c r="X165" s="433">
        <f t="shared" si="91"/>
        <v>0.60363257968474149</v>
      </c>
      <c r="Y165" s="433">
        <f t="shared" si="91"/>
        <v>0.59235396771581406</v>
      </c>
      <c r="Z165" s="433">
        <f t="shared" si="91"/>
        <v>0.68485236438275776</v>
      </c>
      <c r="AA165" s="433">
        <f t="shared" si="91"/>
        <v>0.84498016116955166</v>
      </c>
      <c r="AB165" s="433">
        <f t="shared" si="91"/>
        <v>1.0303988377719007</v>
      </c>
      <c r="AC165" s="433">
        <f t="shared" si="91"/>
        <v>1.1801473080464682</v>
      </c>
      <c r="AD165" s="433">
        <f t="shared" si="91"/>
        <v>1.5075025909584669</v>
      </c>
      <c r="AE165" s="433">
        <f t="shared" si="91"/>
        <v>1.4941510582698414</v>
      </c>
      <c r="AF165" s="433">
        <f t="shared" si="91"/>
        <v>1.7848491013526226</v>
      </c>
      <c r="AG165" s="433">
        <f t="shared" si="91"/>
        <v>1.6096420050295088</v>
      </c>
      <c r="AH165" s="433">
        <f t="shared" si="91"/>
        <v>1.9071616610922586</v>
      </c>
      <c r="AI165" s="433">
        <f t="shared" si="91"/>
        <v>1.856688004753434</v>
      </c>
      <c r="AJ165" s="433">
        <f t="shared" si="91"/>
        <v>2.2299651857292662</v>
      </c>
      <c r="AK165" s="433">
        <f t="shared" si="91"/>
        <v>2.5625348762465925</v>
      </c>
      <c r="AL165" s="433">
        <f t="shared" si="91"/>
        <v>2.7858769705507251</v>
      </c>
      <c r="AM165" s="433"/>
    </row>
    <row r="166" spans="1:39" ht="15.75" customHeight="1" x14ac:dyDescent="0.25">
      <c r="A166" s="194"/>
      <c r="B166" s="194"/>
      <c r="C166" s="194"/>
      <c r="D166" s="194" t="s">
        <v>1145</v>
      </c>
      <c r="E166" s="194"/>
      <c r="F166" s="433">
        <f t="shared" ref="F166:AL166" si="92">SUMIF($D$16:$D$49,$D166,F$106:F$139)</f>
        <v>2.3325405009276472E-7</v>
      </c>
      <c r="G166" s="433">
        <f t="shared" si="92"/>
        <v>5.7454991956196686E-7</v>
      </c>
      <c r="H166" s="433">
        <f t="shared" si="92"/>
        <v>5.5111260818336824E-2</v>
      </c>
      <c r="I166" s="433">
        <f t="shared" si="92"/>
        <v>0.23860955184777166</v>
      </c>
      <c r="J166" s="433">
        <f t="shared" si="92"/>
        <v>0.61900142813955017</v>
      </c>
      <c r="K166" s="433">
        <f t="shared" si="92"/>
        <v>1.3389393891083261</v>
      </c>
      <c r="L166" s="433">
        <f t="shared" si="92"/>
        <v>1.8177114263655281</v>
      </c>
      <c r="M166" s="433">
        <f t="shared" si="92"/>
        <v>2.2885037890482738</v>
      </c>
      <c r="N166" s="433">
        <f t="shared" si="92"/>
        <v>2.5966670862105947</v>
      </c>
      <c r="O166" s="433">
        <f t="shared" si="92"/>
        <v>2.924765242880103</v>
      </c>
      <c r="P166" s="433">
        <f t="shared" si="92"/>
        <v>3.2288562841956576</v>
      </c>
      <c r="Q166" s="433">
        <f t="shared" si="92"/>
        <v>3.5028279797029387</v>
      </c>
      <c r="R166" s="433">
        <f t="shared" si="92"/>
        <v>3.6401951791465375</v>
      </c>
      <c r="S166" s="433">
        <f t="shared" si="92"/>
        <v>3.742935481472601</v>
      </c>
      <c r="T166" s="433">
        <f t="shared" si="92"/>
        <v>3.8335872398337383</v>
      </c>
      <c r="U166" s="433">
        <f t="shared" si="92"/>
        <v>3.8851024774456797</v>
      </c>
      <c r="V166" s="433">
        <f t="shared" si="92"/>
        <v>3.9972675181435449</v>
      </c>
      <c r="W166" s="433">
        <f t="shared" si="92"/>
        <v>4.0971794669301174</v>
      </c>
      <c r="X166" s="433">
        <f t="shared" si="92"/>
        <v>4.2116548899785924</v>
      </c>
      <c r="Y166" s="433">
        <f t="shared" si="92"/>
        <v>4.2737826001008603</v>
      </c>
      <c r="Z166" s="433">
        <f t="shared" si="92"/>
        <v>3.7284000142909148</v>
      </c>
      <c r="AA166" s="433">
        <f t="shared" si="92"/>
        <v>3.5617268686890187</v>
      </c>
      <c r="AB166" s="433">
        <f t="shared" si="92"/>
        <v>3.399698164570176</v>
      </c>
      <c r="AC166" s="433">
        <f t="shared" si="92"/>
        <v>4.0612739931448418</v>
      </c>
      <c r="AD166" s="433">
        <f t="shared" si="92"/>
        <v>4.5031536923677891</v>
      </c>
      <c r="AE166" s="433">
        <f t="shared" si="92"/>
        <v>4.1373103343071094</v>
      </c>
      <c r="AF166" s="433">
        <f t="shared" si="92"/>
        <v>3.6613947324485134</v>
      </c>
      <c r="AG166" s="433">
        <f t="shared" si="92"/>
        <v>3.0069170563795575</v>
      </c>
      <c r="AH166" s="433">
        <f t="shared" si="92"/>
        <v>3.1799781564935561</v>
      </c>
      <c r="AI166" s="433">
        <f t="shared" si="92"/>
        <v>3.028635192713677</v>
      </c>
      <c r="AJ166" s="433">
        <f t="shared" si="92"/>
        <v>3.3062353968773261</v>
      </c>
      <c r="AK166" s="433">
        <f t="shared" si="92"/>
        <v>3.0640029204105019</v>
      </c>
      <c r="AL166" s="433">
        <f t="shared" si="92"/>
        <v>2.9655201944598875</v>
      </c>
      <c r="AM166" s="433"/>
    </row>
    <row r="167" spans="1:39" ht="15.75" customHeight="1" x14ac:dyDescent="0.25">
      <c r="A167" s="194"/>
      <c r="B167" s="194"/>
      <c r="C167" s="194"/>
      <c r="D167" s="194" t="s">
        <v>1148</v>
      </c>
      <c r="E167" s="194"/>
      <c r="F167" s="433">
        <f t="shared" ref="F167:AL167" si="93">SUMIF($D$16:$D$49,$D167,F$106:F$139)</f>
        <v>6.0826715462537077E-6</v>
      </c>
      <c r="G167" s="433">
        <f t="shared" si="93"/>
        <v>1.4982798567622121E-5</v>
      </c>
      <c r="H167" s="433">
        <f t="shared" si="93"/>
        <v>2.8726920412597866E-5</v>
      </c>
      <c r="I167" s="433">
        <f t="shared" si="93"/>
        <v>2.1538681674767943E-3</v>
      </c>
      <c r="J167" s="433">
        <f t="shared" si="93"/>
        <v>6.0010770791629215E-3</v>
      </c>
      <c r="K167" s="433">
        <f t="shared" si="93"/>
        <v>1.498875391862891E-2</v>
      </c>
      <c r="L167" s="433">
        <f t="shared" si="93"/>
        <v>2.7878513749249861E-2</v>
      </c>
      <c r="M167" s="433">
        <f t="shared" si="93"/>
        <v>4.6158284532432217E-2</v>
      </c>
      <c r="N167" s="433">
        <f t="shared" si="93"/>
        <v>6.692485122642329E-2</v>
      </c>
      <c r="O167" s="433">
        <f t="shared" si="93"/>
        <v>9.5569159328977984E-2</v>
      </c>
      <c r="P167" s="433">
        <f t="shared" si="93"/>
        <v>0.11784600501418881</v>
      </c>
      <c r="Q167" s="433">
        <f t="shared" si="93"/>
        <v>0.14597110779723291</v>
      </c>
      <c r="R167" s="433">
        <f t="shared" si="93"/>
        <v>0.17767859244451373</v>
      </c>
      <c r="S167" s="433">
        <f t="shared" si="93"/>
        <v>0.21038522560658326</v>
      </c>
      <c r="T167" s="433">
        <f t="shared" si="93"/>
        <v>0.24051172136164439</v>
      </c>
      <c r="U167" s="433">
        <f t="shared" si="93"/>
        <v>0.29114549837203457</v>
      </c>
      <c r="V167" s="433">
        <f t="shared" si="93"/>
        <v>0.34604125529150404</v>
      </c>
      <c r="W167" s="433">
        <f t="shared" si="93"/>
        <v>0.40776292147567555</v>
      </c>
      <c r="X167" s="433">
        <f t="shared" si="93"/>
        <v>0.47782023785703753</v>
      </c>
      <c r="Y167" s="433">
        <f t="shared" si="93"/>
        <v>0.53156306307269607</v>
      </c>
      <c r="Z167" s="433">
        <f t="shared" si="93"/>
        <v>0.54471077837524662</v>
      </c>
      <c r="AA167" s="433">
        <f t="shared" si="93"/>
        <v>0.6760164839645173</v>
      </c>
      <c r="AB167" s="433">
        <f t="shared" si="93"/>
        <v>0.81661582756099371</v>
      </c>
      <c r="AC167" s="433">
        <f t="shared" si="93"/>
        <v>0.92574737359298953</v>
      </c>
      <c r="AD167" s="433">
        <f t="shared" si="93"/>
        <v>1.0671266709173433</v>
      </c>
      <c r="AE167" s="433">
        <f t="shared" si="93"/>
        <v>1.0705194496358459</v>
      </c>
      <c r="AF167" s="433">
        <f t="shared" si="93"/>
        <v>1.1010979537856569</v>
      </c>
      <c r="AG167" s="433">
        <f t="shared" si="93"/>
        <v>0.82328090117755082</v>
      </c>
      <c r="AH167" s="433">
        <f t="shared" si="93"/>
        <v>1.0324198455949543</v>
      </c>
      <c r="AI167" s="433">
        <f t="shared" si="93"/>
        <v>0.90516012798468048</v>
      </c>
      <c r="AJ167" s="433">
        <f t="shared" si="93"/>
        <v>0.99541624702854425</v>
      </c>
      <c r="AK167" s="433">
        <f t="shared" si="93"/>
        <v>0.99886317341314246</v>
      </c>
      <c r="AL167" s="433">
        <f t="shared" si="93"/>
        <v>0.99422098859343533</v>
      </c>
      <c r="AM167" s="433"/>
    </row>
    <row r="168" spans="1:39" ht="15.75" customHeight="1" x14ac:dyDescent="0.25">
      <c r="A168" s="194"/>
      <c r="B168" s="194"/>
      <c r="C168" s="194"/>
      <c r="D168" s="194" t="s">
        <v>1149</v>
      </c>
      <c r="E168" s="194"/>
      <c r="F168" s="433">
        <f t="shared" ref="F168:AL168" si="94">SUMIF($D$16:$D$49,$D168,F$106:F$139)</f>
        <v>0</v>
      </c>
      <c r="G168" s="433">
        <f t="shared" si="94"/>
        <v>0</v>
      </c>
      <c r="H168" s="433">
        <f t="shared" si="94"/>
        <v>0</v>
      </c>
      <c r="I168" s="433">
        <f t="shared" si="94"/>
        <v>0</v>
      </c>
      <c r="J168" s="433">
        <f t="shared" si="94"/>
        <v>0</v>
      </c>
      <c r="K168" s="433">
        <f t="shared" si="94"/>
        <v>9.3036146234324768E-6</v>
      </c>
      <c r="L168" s="433">
        <f t="shared" si="94"/>
        <v>2.0863174107854798E-5</v>
      </c>
      <c r="M168" s="433">
        <f t="shared" si="94"/>
        <v>3.9285248301842602E-5</v>
      </c>
      <c r="N168" s="433">
        <f t="shared" si="94"/>
        <v>5.762449576632511E-5</v>
      </c>
      <c r="O168" s="433">
        <f t="shared" si="94"/>
        <v>8.2822795964448826E-5</v>
      </c>
      <c r="P168" s="433">
        <f t="shared" si="94"/>
        <v>1.080885242557396E-4</v>
      </c>
      <c r="Q168" s="433">
        <f t="shared" si="94"/>
        <v>1.313657066049777E-4</v>
      </c>
      <c r="R168" s="433">
        <f t="shared" si="94"/>
        <v>1.5256283657628139E-4</v>
      </c>
      <c r="S168" s="433">
        <f t="shared" si="94"/>
        <v>1.6903747560248619E-4</v>
      </c>
      <c r="T168" s="433">
        <f t="shared" si="94"/>
        <v>1.852557722608108E-4</v>
      </c>
      <c r="U168" s="433">
        <f t="shared" si="94"/>
        <v>2.0359600424150949E-4</v>
      </c>
      <c r="V168" s="433">
        <f t="shared" si="94"/>
        <v>2.1908588182021951E-4</v>
      </c>
      <c r="W168" s="433">
        <f t="shared" si="94"/>
        <v>2.3642555806566921E-4</v>
      </c>
      <c r="X168" s="433">
        <f t="shared" si="94"/>
        <v>2.5156468733034262E-4</v>
      </c>
      <c r="Y168" s="433">
        <f t="shared" si="94"/>
        <v>2.6969387346895552E-4</v>
      </c>
      <c r="Z168" s="433">
        <f t="shared" si="94"/>
        <v>2.9085115325012397E-4</v>
      </c>
      <c r="AA168" s="433">
        <f t="shared" si="94"/>
        <v>3.0973479855850972E-4</v>
      </c>
      <c r="AB168" s="433">
        <f t="shared" si="94"/>
        <v>3.330461144484584E-4</v>
      </c>
      <c r="AC168" s="433">
        <f t="shared" si="94"/>
        <v>3.5354917845680422E-4</v>
      </c>
      <c r="AD168" s="433">
        <f t="shared" si="94"/>
        <v>3.7605786330928268E-4</v>
      </c>
      <c r="AE168" s="433">
        <f t="shared" si="94"/>
        <v>4.0035265374947169E-4</v>
      </c>
      <c r="AF168" s="433">
        <f t="shared" si="94"/>
        <v>4.2387287872683359E-4</v>
      </c>
      <c r="AG168" s="433">
        <f t="shared" si="94"/>
        <v>4.5009971253825049E-4</v>
      </c>
      <c r="AH168" s="433">
        <f t="shared" si="94"/>
        <v>4.7619198320438021E-4</v>
      </c>
      <c r="AI168" s="433">
        <f t="shared" si="94"/>
        <v>5.0446574040930326E-4</v>
      </c>
      <c r="AJ168" s="433">
        <f t="shared" si="94"/>
        <v>5.3214126222195246E-4</v>
      </c>
      <c r="AK168" s="433">
        <f t="shared" si="94"/>
        <v>5.5199864253537782E-4</v>
      </c>
      <c r="AL168" s="433">
        <f t="shared" si="94"/>
        <v>5.6954536712445038E-4</v>
      </c>
      <c r="AM168" s="433"/>
    </row>
    <row r="169" spans="1:39" ht="15.75" customHeight="1" x14ac:dyDescent="0.25">
      <c r="A169" s="194"/>
      <c r="B169" s="194"/>
      <c r="C169" s="194"/>
      <c r="D169" s="194" t="s">
        <v>1150</v>
      </c>
      <c r="E169" s="194"/>
      <c r="F169" s="433">
        <f t="shared" ref="F169:AL169" si="95">SUMIF($D$16:$D$49,$D169,F$106:F$139)</f>
        <v>0</v>
      </c>
      <c r="G169" s="433">
        <f t="shared" si="95"/>
        <v>0</v>
      </c>
      <c r="H169" s="433">
        <f t="shared" si="95"/>
        <v>0</v>
      </c>
      <c r="I169" s="433">
        <f t="shared" si="95"/>
        <v>1.0120891116820127E-3</v>
      </c>
      <c r="J169" s="433">
        <f t="shared" si="95"/>
        <v>3.0527457275667793E-3</v>
      </c>
      <c r="K169" s="433">
        <f t="shared" si="95"/>
        <v>5.0600502965382063E-3</v>
      </c>
      <c r="L169" s="433">
        <f t="shared" si="95"/>
        <v>6.2966125049731727E-3</v>
      </c>
      <c r="M169" s="433">
        <f t="shared" si="95"/>
        <v>7.7097952061669014E-3</v>
      </c>
      <c r="N169" s="433">
        <f t="shared" si="95"/>
        <v>9.2036915210623391E-3</v>
      </c>
      <c r="O169" s="433">
        <f t="shared" si="95"/>
        <v>1.0798022023865018E-2</v>
      </c>
      <c r="P169" s="433">
        <f t="shared" si="95"/>
        <v>1.2320691510593356E-2</v>
      </c>
      <c r="Q169" s="433">
        <f t="shared" si="95"/>
        <v>1.3791168875923259E-2</v>
      </c>
      <c r="R169" s="433">
        <f t="shared" si="95"/>
        <v>1.5194850272005327E-2</v>
      </c>
      <c r="S169" s="433">
        <f t="shared" si="95"/>
        <v>1.6320360987495699E-2</v>
      </c>
      <c r="T169" s="433">
        <f t="shared" si="95"/>
        <v>1.7143423500194498E-2</v>
      </c>
      <c r="U169" s="433">
        <f t="shared" si="95"/>
        <v>1.7658818825363652E-2</v>
      </c>
      <c r="V169" s="433">
        <f t="shared" si="95"/>
        <v>1.8031679381801443E-2</v>
      </c>
      <c r="W169" s="433">
        <f t="shared" si="95"/>
        <v>1.827152875833838E-2</v>
      </c>
      <c r="X169" s="433">
        <f t="shared" si="95"/>
        <v>1.8425545678441506E-2</v>
      </c>
      <c r="Y169" s="433">
        <f t="shared" si="95"/>
        <v>1.8535021108136634E-2</v>
      </c>
      <c r="Z169" s="433">
        <f t="shared" si="95"/>
        <v>1.8700493572185131E-2</v>
      </c>
      <c r="AA169" s="433">
        <f t="shared" si="95"/>
        <v>1.8868215008293408E-2</v>
      </c>
      <c r="AB169" s="433">
        <f t="shared" si="95"/>
        <v>1.9025703843304605E-2</v>
      </c>
      <c r="AC169" s="433">
        <f t="shared" si="95"/>
        <v>1.9393179616576703E-2</v>
      </c>
      <c r="AD169" s="433">
        <f t="shared" si="95"/>
        <v>1.8796938669398751E-2</v>
      </c>
      <c r="AE169" s="433">
        <f t="shared" si="95"/>
        <v>1.692675338036375E-2</v>
      </c>
      <c r="AF169" s="433">
        <f t="shared" si="95"/>
        <v>1.5789264732574554E-2</v>
      </c>
      <c r="AG169" s="433">
        <f t="shared" si="95"/>
        <v>1.4680680793845194E-2</v>
      </c>
      <c r="AH169" s="433">
        <f t="shared" si="95"/>
        <v>1.3479360191854769E-2</v>
      </c>
      <c r="AI169" s="433">
        <f t="shared" si="95"/>
        <v>1.2387122323077322E-2</v>
      </c>
      <c r="AJ169" s="433">
        <f t="shared" si="95"/>
        <v>1.1544004593346249E-2</v>
      </c>
      <c r="AK169" s="433">
        <f t="shared" si="95"/>
        <v>1.0672918034886743E-2</v>
      </c>
      <c r="AL169" s="433">
        <f t="shared" si="95"/>
        <v>9.8716042683921375E-3</v>
      </c>
      <c r="AM169" s="433"/>
    </row>
    <row r="170" spans="1:39" ht="15.75" customHeight="1" x14ac:dyDescent="0.25">
      <c r="A170" s="194"/>
      <c r="B170" s="194"/>
      <c r="C170" s="194"/>
      <c r="D170" s="194" t="s">
        <v>1151</v>
      </c>
      <c r="E170" s="194"/>
      <c r="F170" s="433">
        <f t="shared" ref="F170:AL170" si="96">SUMIF($D$16:$D$49,$D170,F$106:F$139)</f>
        <v>0</v>
      </c>
      <c r="G170" s="433">
        <f t="shared" si="96"/>
        <v>0</v>
      </c>
      <c r="H170" s="433">
        <f t="shared" si="96"/>
        <v>0</v>
      </c>
      <c r="I170" s="433">
        <f t="shared" si="96"/>
        <v>0</v>
      </c>
      <c r="J170" s="433">
        <f t="shared" si="96"/>
        <v>0</v>
      </c>
      <c r="K170" s="433">
        <f t="shared" si="96"/>
        <v>0</v>
      </c>
      <c r="L170" s="433">
        <f t="shared" si="96"/>
        <v>1.2106596105091562E-5</v>
      </c>
      <c r="M170" s="433">
        <f t="shared" si="96"/>
        <v>3.4377210693017245E-5</v>
      </c>
      <c r="N170" s="433">
        <f t="shared" si="96"/>
        <v>7.3290285380850554E-5</v>
      </c>
      <c r="O170" s="433">
        <f t="shared" si="96"/>
        <v>1.421957429397253E-4</v>
      </c>
      <c r="P170" s="433">
        <f t="shared" si="96"/>
        <v>6.5639018015809392E-4</v>
      </c>
      <c r="Q170" s="433">
        <f t="shared" si="96"/>
        <v>1.6433603848492707E-3</v>
      </c>
      <c r="R170" s="433">
        <f t="shared" si="96"/>
        <v>3.2253604525814506E-3</v>
      </c>
      <c r="S170" s="433">
        <f t="shared" si="96"/>
        <v>5.3652108334412566E-3</v>
      </c>
      <c r="T170" s="433">
        <f t="shared" si="96"/>
        <v>8.215387663612083E-3</v>
      </c>
      <c r="U170" s="433">
        <f t="shared" si="96"/>
        <v>1.2240076466711622E-2</v>
      </c>
      <c r="V170" s="433">
        <f t="shared" si="96"/>
        <v>1.9914888257017448E-2</v>
      </c>
      <c r="W170" s="433">
        <f t="shared" si="96"/>
        <v>2.8566992461242391E-2</v>
      </c>
      <c r="X170" s="433">
        <f t="shared" si="96"/>
        <v>3.7637700322661095E-2</v>
      </c>
      <c r="Y170" s="433">
        <f t="shared" si="96"/>
        <v>4.8490918254132924E-2</v>
      </c>
      <c r="Z170" s="433">
        <f t="shared" si="96"/>
        <v>6.7781254297773749E-2</v>
      </c>
      <c r="AA170" s="433">
        <f t="shared" si="96"/>
        <v>0.12217703544136803</v>
      </c>
      <c r="AB170" s="433">
        <f t="shared" si="96"/>
        <v>0.12971529062385095</v>
      </c>
      <c r="AC170" s="433">
        <f t="shared" si="96"/>
        <v>0.19405204905176154</v>
      </c>
      <c r="AD170" s="433">
        <f t="shared" si="96"/>
        <v>0.24113529019499533</v>
      </c>
      <c r="AE170" s="433">
        <f t="shared" si="96"/>
        <v>0.29225928215637215</v>
      </c>
      <c r="AF170" s="433">
        <f t="shared" si="96"/>
        <v>0.33461691638449109</v>
      </c>
      <c r="AG170" s="433">
        <f t="shared" si="96"/>
        <v>0.32170617202744833</v>
      </c>
      <c r="AH170" s="433">
        <f t="shared" si="96"/>
        <v>0.38822324816948878</v>
      </c>
      <c r="AI170" s="433">
        <f t="shared" si="96"/>
        <v>0.41240101827494574</v>
      </c>
      <c r="AJ170" s="433">
        <f t="shared" si="96"/>
        <v>0.54884866659151543</v>
      </c>
      <c r="AK170" s="433">
        <f t="shared" si="96"/>
        <v>0.67010904358996282</v>
      </c>
      <c r="AL170" s="433">
        <f t="shared" si="96"/>
        <v>0.74899329823056759</v>
      </c>
      <c r="AM170" s="433"/>
    </row>
    <row r="171" spans="1:39" ht="15.75" customHeight="1" x14ac:dyDescent="0.25">
      <c r="A171" s="194"/>
      <c r="B171" s="194"/>
      <c r="C171" s="194"/>
      <c r="D171" s="194" t="s">
        <v>1152</v>
      </c>
      <c r="E171" s="194"/>
      <c r="F171" s="433">
        <f t="shared" ref="F171:AL171" si="97">SUMIF($D$16:$D$49,$D171,F$106:F$139)</f>
        <v>1.5061825352113079E-2</v>
      </c>
      <c r="G171" s="433">
        <f t="shared" si="97"/>
        <v>3.170943338965522E-2</v>
      </c>
      <c r="H171" s="433">
        <f t="shared" si="97"/>
        <v>3.1894995102898741E-2</v>
      </c>
      <c r="I171" s="433">
        <f t="shared" si="97"/>
        <v>3.2385354033805561E-2</v>
      </c>
      <c r="J171" s="433">
        <f t="shared" si="97"/>
        <v>3.4833093617699248E-2</v>
      </c>
      <c r="K171" s="433">
        <f t="shared" si="97"/>
        <v>7.5876576967375195E-2</v>
      </c>
      <c r="L171" s="433">
        <f t="shared" si="97"/>
        <v>0.12299459177258373</v>
      </c>
      <c r="M171" s="433">
        <f t="shared" si="97"/>
        <v>0.1529073983658002</v>
      </c>
      <c r="N171" s="433">
        <f t="shared" si="97"/>
        <v>0.19382288632435463</v>
      </c>
      <c r="O171" s="433">
        <f t="shared" si="97"/>
        <v>0.20549261224034526</v>
      </c>
      <c r="P171" s="433">
        <f t="shared" si="97"/>
        <v>0.21466628229038193</v>
      </c>
      <c r="Q171" s="433">
        <f t="shared" si="97"/>
        <v>0.23289308358758651</v>
      </c>
      <c r="R171" s="433">
        <f t="shared" si="97"/>
        <v>0.28957804111959584</v>
      </c>
      <c r="S171" s="433">
        <f t="shared" si="97"/>
        <v>0.35350661944753359</v>
      </c>
      <c r="T171" s="433">
        <f t="shared" si="97"/>
        <v>0.38068828458931547</v>
      </c>
      <c r="U171" s="433">
        <f t="shared" si="97"/>
        <v>0.40844843579854545</v>
      </c>
      <c r="V171" s="433">
        <f t="shared" si="97"/>
        <v>0.42979037474629622</v>
      </c>
      <c r="W171" s="433">
        <f t="shared" si="97"/>
        <v>0.45513804805236091</v>
      </c>
      <c r="X171" s="433">
        <f t="shared" si="97"/>
        <v>0.47897842749598835</v>
      </c>
      <c r="Y171" s="433">
        <f t="shared" si="97"/>
        <v>0.51521916423148051</v>
      </c>
      <c r="Z171" s="433">
        <f t="shared" si="97"/>
        <v>0.55492530474218604</v>
      </c>
      <c r="AA171" s="433">
        <f t="shared" si="97"/>
        <v>0.59493824429372766</v>
      </c>
      <c r="AB171" s="433">
        <f t="shared" si="97"/>
        <v>0.63428651805545522</v>
      </c>
      <c r="AC171" s="433">
        <f t="shared" si="97"/>
        <v>0.67304275551270287</v>
      </c>
      <c r="AD171" s="433">
        <f t="shared" si="97"/>
        <v>0.70841629151386076</v>
      </c>
      <c r="AE171" s="433">
        <f t="shared" si="97"/>
        <v>0.7802103931337443</v>
      </c>
      <c r="AF171" s="433">
        <f t="shared" si="97"/>
        <v>0.8332501638294183</v>
      </c>
      <c r="AG171" s="433">
        <f t="shared" si="97"/>
        <v>0.89220847124950464</v>
      </c>
      <c r="AH171" s="433">
        <f t="shared" si="97"/>
        <v>0.91787346758461841</v>
      </c>
      <c r="AI171" s="433">
        <f t="shared" si="97"/>
        <v>0.92252217564186023</v>
      </c>
      <c r="AJ171" s="433">
        <f t="shared" si="97"/>
        <v>0.92272671362436187</v>
      </c>
      <c r="AK171" s="433">
        <f t="shared" si="97"/>
        <v>0.94471158551381873</v>
      </c>
      <c r="AL171" s="433">
        <f t="shared" si="97"/>
        <v>0.97196191035849067</v>
      </c>
      <c r="AM171" s="433"/>
    </row>
    <row r="172" spans="1:39" ht="15.75" customHeight="1" x14ac:dyDescent="0.25">
      <c r="A172" s="194"/>
      <c r="B172" s="194"/>
      <c r="C172" s="194"/>
      <c r="D172" s="194" t="s">
        <v>1159</v>
      </c>
      <c r="E172" s="194"/>
      <c r="F172" s="433">
        <f t="shared" ref="F172:AL172" si="98">SUMIF($D$16:$D$49,$D172,F$106:F$139)</f>
        <v>0</v>
      </c>
      <c r="G172" s="433">
        <f t="shared" si="98"/>
        <v>0</v>
      </c>
      <c r="H172" s="433">
        <f t="shared" si="98"/>
        <v>0</v>
      </c>
      <c r="I172" s="433">
        <f t="shared" si="98"/>
        <v>0</v>
      </c>
      <c r="J172" s="433">
        <f t="shared" si="98"/>
        <v>3.5880253229869101E-7</v>
      </c>
      <c r="K172" s="433">
        <f t="shared" si="98"/>
        <v>1.1531980384044935E-6</v>
      </c>
      <c r="L172" s="433">
        <f t="shared" si="98"/>
        <v>1.0423361429727172E-5</v>
      </c>
      <c r="M172" s="433">
        <f t="shared" si="98"/>
        <v>2.860443164778566E-5</v>
      </c>
      <c r="N172" s="433">
        <f t="shared" si="98"/>
        <v>5.6234815991005604E-5</v>
      </c>
      <c r="O172" s="433">
        <f t="shared" si="98"/>
        <v>9.3770841538530787E-5</v>
      </c>
      <c r="P172" s="433">
        <f t="shared" si="98"/>
        <v>1.4162489918713957E-4</v>
      </c>
      <c r="Q172" s="433">
        <f t="shared" si="98"/>
        <v>1.9098283947628373E-4</v>
      </c>
      <c r="R172" s="433">
        <f t="shared" si="98"/>
        <v>2.3380142855728195E-4</v>
      </c>
      <c r="S172" s="433">
        <f t="shared" si="98"/>
        <v>2.6900712008882629E-4</v>
      </c>
      <c r="T172" s="433">
        <f t="shared" si="98"/>
        <v>2.9590277023990681E-4</v>
      </c>
      <c r="U172" s="433">
        <f t="shared" si="98"/>
        <v>3.1402668591161013E-4</v>
      </c>
      <c r="V172" s="433">
        <f t="shared" si="98"/>
        <v>3.2244234329665536E-4</v>
      </c>
      <c r="W172" s="433">
        <f t="shared" si="98"/>
        <v>3.3055077108085795E-4</v>
      </c>
      <c r="X172" s="433">
        <f t="shared" si="98"/>
        <v>3.3922723473823107E-4</v>
      </c>
      <c r="Y172" s="433">
        <f t="shared" si="98"/>
        <v>3.4917762718940712E-4</v>
      </c>
      <c r="Z172" s="433">
        <f t="shared" si="98"/>
        <v>3.6037765498920377E-4</v>
      </c>
      <c r="AA172" s="433">
        <f t="shared" si="98"/>
        <v>3.7185938396114119E-4</v>
      </c>
      <c r="AB172" s="433">
        <f t="shared" si="98"/>
        <v>3.8346240556669069E-4</v>
      </c>
      <c r="AC172" s="433">
        <f t="shared" si="98"/>
        <v>3.9477979630641485E-4</v>
      </c>
      <c r="AD172" s="433">
        <f t="shared" si="98"/>
        <v>4.0610920637117545E-4</v>
      </c>
      <c r="AE172" s="433">
        <f t="shared" si="98"/>
        <v>4.1733351008638474E-4</v>
      </c>
      <c r="AF172" s="433">
        <f t="shared" si="98"/>
        <v>4.2818806047870063E-4</v>
      </c>
      <c r="AG172" s="433">
        <f t="shared" si="98"/>
        <v>4.3995083664784756E-4</v>
      </c>
      <c r="AH172" s="433">
        <f t="shared" si="98"/>
        <v>4.5199982120665603E-4</v>
      </c>
      <c r="AI172" s="433">
        <f t="shared" si="98"/>
        <v>4.644594836662696E-4</v>
      </c>
      <c r="AJ172" s="433">
        <f t="shared" si="98"/>
        <v>4.357620293216674E-4</v>
      </c>
      <c r="AK172" s="433">
        <f t="shared" si="98"/>
        <v>4.0112833373407282E-4</v>
      </c>
      <c r="AL172" s="433">
        <f t="shared" si="98"/>
        <v>3.6408522469417461E-4</v>
      </c>
      <c r="AM172" s="433"/>
    </row>
    <row r="173" spans="1:39" ht="15.75" customHeight="1" x14ac:dyDescent="0.25">
      <c r="A173" s="194"/>
      <c r="B173" s="194"/>
      <c r="C173" s="194"/>
      <c r="D173" s="194" t="s">
        <v>1157</v>
      </c>
      <c r="E173" s="194"/>
      <c r="F173" s="433">
        <f t="shared" ref="F173:AL173" si="99">SUMIF($D$16:$D$49,$D173,F$106:F$139)</f>
        <v>0</v>
      </c>
      <c r="G173" s="433">
        <f t="shared" si="99"/>
        <v>0</v>
      </c>
      <c r="H173" s="433">
        <f t="shared" si="99"/>
        <v>0</v>
      </c>
      <c r="I173" s="433">
        <f t="shared" si="99"/>
        <v>0</v>
      </c>
      <c r="J173" s="433">
        <f t="shared" si="99"/>
        <v>4.6158105848900404E-6</v>
      </c>
      <c r="K173" s="433">
        <f t="shared" si="99"/>
        <v>2.258632768924378E-2</v>
      </c>
      <c r="L173" s="433">
        <f t="shared" si="99"/>
        <v>5.4288376701320001E-2</v>
      </c>
      <c r="M173" s="433">
        <f t="shared" si="99"/>
        <v>6.3797626496414933E-2</v>
      </c>
      <c r="N173" s="433">
        <f t="shared" si="99"/>
        <v>6.5047365095385792E-2</v>
      </c>
      <c r="O173" s="433">
        <f t="shared" si="99"/>
        <v>6.6412634781015292E-2</v>
      </c>
      <c r="P173" s="433">
        <f t="shared" si="99"/>
        <v>5.2780417551606403E-2</v>
      </c>
      <c r="Q173" s="433">
        <f t="shared" si="99"/>
        <v>3.8675944613145413E-2</v>
      </c>
      <c r="R173" s="433">
        <f t="shared" si="99"/>
        <v>2.3920369916478723E-2</v>
      </c>
      <c r="S173" s="433">
        <f t="shared" si="99"/>
        <v>8.277134208078029E-3</v>
      </c>
      <c r="T173" s="433">
        <f t="shared" si="99"/>
        <v>8.4233677512781657E-3</v>
      </c>
      <c r="U173" s="433">
        <f t="shared" si="99"/>
        <v>7.0690695638479292E-3</v>
      </c>
      <c r="V173" s="433">
        <f t="shared" si="99"/>
        <v>5.6451972125582369E-3</v>
      </c>
      <c r="W173" s="433">
        <f t="shared" si="99"/>
        <v>4.1733963778639582E-3</v>
      </c>
      <c r="X173" s="433">
        <f t="shared" si="99"/>
        <v>2.6556592993553364E-3</v>
      </c>
      <c r="Y173" s="433">
        <f t="shared" si="99"/>
        <v>1.0903232689380544E-3</v>
      </c>
      <c r="Z173" s="433">
        <f t="shared" si="99"/>
        <v>1.0925297611513399E-3</v>
      </c>
      <c r="AA173" s="433">
        <f t="shared" si="99"/>
        <v>1.0945168186013781E-3</v>
      </c>
      <c r="AB173" s="433">
        <f t="shared" si="99"/>
        <v>1.0957275367356784E-3</v>
      </c>
      <c r="AC173" s="433">
        <f t="shared" si="99"/>
        <v>1.0952047497793153E-3</v>
      </c>
      <c r="AD173" s="433">
        <f t="shared" si="99"/>
        <v>1.0938985159221542E-3</v>
      </c>
      <c r="AE173" s="433">
        <f t="shared" si="99"/>
        <v>1.0913671311600472E-3</v>
      </c>
      <c r="AF173" s="433">
        <f t="shared" si="99"/>
        <v>1.0871485531076101E-3</v>
      </c>
      <c r="AG173" s="433">
        <f t="shared" si="99"/>
        <v>1.0844505475039175E-3</v>
      </c>
      <c r="AH173" s="433">
        <f t="shared" si="99"/>
        <v>1.0817552011623693E-3</v>
      </c>
      <c r="AI173" s="433">
        <f t="shared" si="99"/>
        <v>1.0791778464734234E-3</v>
      </c>
      <c r="AJ173" s="433">
        <f t="shared" si="99"/>
        <v>1.0895250539624641E-3</v>
      </c>
      <c r="AK173" s="433">
        <f t="shared" si="99"/>
        <v>1.0881502114454137E-3</v>
      </c>
      <c r="AL173" s="433">
        <f t="shared" si="99"/>
        <v>1.0824823131390042E-3</v>
      </c>
      <c r="AM173" s="433"/>
    </row>
    <row r="174" spans="1:39" ht="15.75" customHeight="1" x14ac:dyDescent="0.25">
      <c r="A174" s="194"/>
      <c r="B174" s="194"/>
      <c r="C174" s="194"/>
      <c r="D174" s="194"/>
      <c r="E174" s="194"/>
      <c r="F174" s="433"/>
      <c r="G174" s="433"/>
      <c r="H174" s="433"/>
      <c r="I174" s="433"/>
      <c r="J174" s="433"/>
      <c r="K174" s="433"/>
      <c r="L174" s="433"/>
      <c r="M174" s="433"/>
      <c r="N174" s="433"/>
      <c r="O174" s="433"/>
      <c r="P174" s="433"/>
      <c r="Q174" s="433"/>
      <c r="R174" s="433"/>
      <c r="S174" s="433"/>
      <c r="T174" s="433"/>
      <c r="U174" s="433"/>
      <c r="V174" s="433"/>
      <c r="W174" s="433"/>
      <c r="X174" s="433"/>
      <c r="Y174" s="433"/>
      <c r="Z174" s="433"/>
      <c r="AA174" s="433"/>
      <c r="AB174" s="433"/>
      <c r="AC174" s="433"/>
      <c r="AD174" s="433"/>
      <c r="AE174" s="433"/>
      <c r="AF174" s="433"/>
      <c r="AG174" s="433"/>
      <c r="AH174" s="433"/>
      <c r="AI174" s="433"/>
      <c r="AJ174" s="433"/>
      <c r="AK174" s="433"/>
      <c r="AL174" s="433"/>
      <c r="AM174" s="433"/>
    </row>
    <row r="175" spans="1:39" ht="15.75" customHeight="1" x14ac:dyDescent="0.25">
      <c r="A175" s="194"/>
      <c r="B175" s="194"/>
      <c r="C175" s="194"/>
      <c r="D175" s="194" t="s">
        <v>10</v>
      </c>
      <c r="E175" s="194"/>
      <c r="F175" s="433">
        <f t="shared" ref="F175:AL175" si="100">F164</f>
        <v>2.6131014791080082E-7</v>
      </c>
      <c r="G175" s="433">
        <f t="shared" si="100"/>
        <v>4.1898124909234098E-7</v>
      </c>
      <c r="H175" s="433">
        <f t="shared" si="100"/>
        <v>5.8111866987456702E-7</v>
      </c>
      <c r="I175" s="433">
        <f t="shared" si="100"/>
        <v>7.4840461171582204E-7</v>
      </c>
      <c r="J175" s="433">
        <f t="shared" si="100"/>
        <v>9.2201719908830302E-7</v>
      </c>
      <c r="K175" s="433">
        <f t="shared" si="100"/>
        <v>2.3052706395561522E-6</v>
      </c>
      <c r="L175" s="433">
        <f t="shared" si="100"/>
        <v>4.4136082214367739E-6</v>
      </c>
      <c r="M175" s="433">
        <f t="shared" si="100"/>
        <v>6.5946290152229707E-6</v>
      </c>
      <c r="N175" s="433">
        <f t="shared" si="100"/>
        <v>8.8565132283437395E-6</v>
      </c>
      <c r="O175" s="433">
        <f t="shared" si="100"/>
        <v>1.1509845363912519E-5</v>
      </c>
      <c r="P175" s="433">
        <f t="shared" si="100"/>
        <v>1.2569649352965852E-5</v>
      </c>
      <c r="Q175" s="433">
        <f t="shared" si="100"/>
        <v>1.3247157241468287E-5</v>
      </c>
      <c r="R175" s="433">
        <f t="shared" si="100"/>
        <v>1.7288683860185458E-5</v>
      </c>
      <c r="S175" s="433">
        <f t="shared" si="100"/>
        <v>2.1944993352741679E-5</v>
      </c>
      <c r="T175" s="433">
        <f t="shared" si="100"/>
        <v>2.3330088569784589E-5</v>
      </c>
      <c r="U175" s="433">
        <f t="shared" si="100"/>
        <v>2.4713909211711638E-5</v>
      </c>
      <c r="V175" s="433">
        <f t="shared" si="100"/>
        <v>2.6092421796137101E-5</v>
      </c>
      <c r="W175" s="433">
        <f t="shared" si="100"/>
        <v>2.7471143032289743E-5</v>
      </c>
      <c r="X175" s="433">
        <f t="shared" si="100"/>
        <v>2.8923391721581608E-5</v>
      </c>
      <c r="Y175" s="433">
        <f t="shared" si="100"/>
        <v>3.1802293449473981E-5</v>
      </c>
      <c r="Z175" s="433">
        <f t="shared" si="100"/>
        <v>3.5335146091815057E-5</v>
      </c>
      <c r="AA175" s="433">
        <f t="shared" si="100"/>
        <v>3.771742776819257E-5</v>
      </c>
      <c r="AB175" s="433">
        <f t="shared" si="100"/>
        <v>3.956228490669917E-5</v>
      </c>
      <c r="AC175" s="433">
        <f t="shared" si="100"/>
        <v>4.1703195498338638E-5</v>
      </c>
      <c r="AD175" s="433">
        <f t="shared" si="100"/>
        <v>4.4100162870311796E-5</v>
      </c>
      <c r="AE175" s="433">
        <f t="shared" si="100"/>
        <v>4.6478452427122152E-5</v>
      </c>
      <c r="AF175" s="433">
        <f t="shared" si="100"/>
        <v>4.9640579107816882E-5</v>
      </c>
      <c r="AG175" s="433">
        <f t="shared" si="100"/>
        <v>5.2781854283047353E-5</v>
      </c>
      <c r="AH175" s="433">
        <f t="shared" si="100"/>
        <v>5.6556118564366453E-5</v>
      </c>
      <c r="AI175" s="433">
        <f t="shared" si="100"/>
        <v>6.0255123344093292E-5</v>
      </c>
      <c r="AJ175" s="433">
        <f t="shared" si="100"/>
        <v>6.4760276546437561E-5</v>
      </c>
      <c r="AK175" s="433">
        <f t="shared" si="100"/>
        <v>6.8680952135492248E-5</v>
      </c>
      <c r="AL175" s="433">
        <f t="shared" si="100"/>
        <v>7.2638169923938342E-5</v>
      </c>
      <c r="AM175" s="433"/>
    </row>
    <row r="176" spans="1:39" ht="15.75" customHeight="1" x14ac:dyDescent="0.25">
      <c r="A176" s="194"/>
      <c r="B176" s="194"/>
      <c r="C176" s="194"/>
      <c r="D176" s="194" t="s">
        <v>1143</v>
      </c>
      <c r="E176" s="194"/>
      <c r="F176" s="433">
        <f t="shared" ref="F176:AL176" si="101">SUM(F165:F171)</f>
        <v>1.5072570286411947E-2</v>
      </c>
      <c r="G176" s="433">
        <f t="shared" si="101"/>
        <v>3.1735900244720151E-2</v>
      </c>
      <c r="H176" s="433">
        <f t="shared" si="101"/>
        <v>8.7055899930387301E-2</v>
      </c>
      <c r="I176" s="433">
        <f t="shared" si="101"/>
        <v>0.27805662599450703</v>
      </c>
      <c r="J176" s="433">
        <f t="shared" si="101"/>
        <v>0.67324895791136696</v>
      </c>
      <c r="K176" s="433">
        <f t="shared" si="101"/>
        <v>1.4568330957539479</v>
      </c>
      <c r="L176" s="433">
        <f t="shared" si="101"/>
        <v>2.0122920633029118</v>
      </c>
      <c r="M176" s="433">
        <f t="shared" si="101"/>
        <v>2.553105004891814</v>
      </c>
      <c r="N176" s="433">
        <f t="shared" si="101"/>
        <v>2.942375390135227</v>
      </c>
      <c r="O176" s="433">
        <f t="shared" si="101"/>
        <v>3.3359814128001144</v>
      </c>
      <c r="P176" s="433">
        <f t="shared" si="101"/>
        <v>3.693121388570455</v>
      </c>
      <c r="Q176" s="433">
        <f t="shared" si="101"/>
        <v>4.0419413528122172</v>
      </c>
      <c r="R176" s="433">
        <f t="shared" si="101"/>
        <v>4.3020061490307704</v>
      </c>
      <c r="S176" s="433">
        <f t="shared" si="101"/>
        <v>4.5389962090512963</v>
      </c>
      <c r="T176" s="433">
        <f t="shared" si="101"/>
        <v>4.7260465864993328</v>
      </c>
      <c r="U176" s="433">
        <f t="shared" si="101"/>
        <v>4.9236628516782863</v>
      </c>
      <c r="V176" s="433">
        <f t="shared" si="101"/>
        <v>5.2004906801396276</v>
      </c>
      <c r="W176" s="433">
        <f t="shared" si="101"/>
        <v>5.4998794117383625</v>
      </c>
      <c r="X176" s="433">
        <f t="shared" si="101"/>
        <v>5.8284009457047929</v>
      </c>
      <c r="Y176" s="433">
        <f t="shared" si="101"/>
        <v>5.9802144283565895</v>
      </c>
      <c r="Z176" s="433">
        <f t="shared" si="101"/>
        <v>5.5996610608143138</v>
      </c>
      <c r="AA176" s="433">
        <f t="shared" si="101"/>
        <v>5.8190167433650348</v>
      </c>
      <c r="AB176" s="433">
        <f t="shared" si="101"/>
        <v>6.0300733885401296</v>
      </c>
      <c r="AC176" s="433">
        <f t="shared" si="101"/>
        <v>7.0540102081437981</v>
      </c>
      <c r="AD176" s="433">
        <f t="shared" si="101"/>
        <v>8.0465075324851618</v>
      </c>
      <c r="AE176" s="433">
        <f t="shared" si="101"/>
        <v>7.7917776235370271</v>
      </c>
      <c r="AF176" s="433">
        <f t="shared" si="101"/>
        <v>7.7314220054120035</v>
      </c>
      <c r="AG176" s="433">
        <f t="shared" si="101"/>
        <v>6.6688853863699542</v>
      </c>
      <c r="AH176" s="433">
        <f t="shared" si="101"/>
        <v>7.4396119311099342</v>
      </c>
      <c r="AI176" s="433">
        <f t="shared" si="101"/>
        <v>7.1382981074320835</v>
      </c>
      <c r="AJ176" s="433">
        <f t="shared" si="101"/>
        <v>8.0152683557065814</v>
      </c>
      <c r="AK176" s="433">
        <f t="shared" si="101"/>
        <v>8.2514465158514412</v>
      </c>
      <c r="AL176" s="433">
        <f t="shared" si="101"/>
        <v>8.4770145118286226</v>
      </c>
      <c r="AM176" s="433"/>
    </row>
    <row r="177" spans="1:39" ht="15.75" customHeight="1" x14ac:dyDescent="0.25">
      <c r="A177" s="194"/>
      <c r="B177" s="194"/>
      <c r="C177" s="194"/>
      <c r="D177" s="194" t="s">
        <v>1156</v>
      </c>
      <c r="E177" s="194"/>
      <c r="F177" s="433">
        <f t="shared" ref="F177:AL177" si="102">SUM(F172:F173)</f>
        <v>0</v>
      </c>
      <c r="G177" s="433">
        <f t="shared" si="102"/>
        <v>0</v>
      </c>
      <c r="H177" s="433">
        <f t="shared" si="102"/>
        <v>0</v>
      </c>
      <c r="I177" s="433">
        <f t="shared" si="102"/>
        <v>0</v>
      </c>
      <c r="J177" s="433">
        <f t="shared" si="102"/>
        <v>4.9746131171887315E-6</v>
      </c>
      <c r="K177" s="433">
        <f t="shared" si="102"/>
        <v>2.2587480887282185E-2</v>
      </c>
      <c r="L177" s="433">
        <f t="shared" si="102"/>
        <v>5.429880006274973E-2</v>
      </c>
      <c r="M177" s="433">
        <f t="shared" si="102"/>
        <v>6.3826230928062722E-2</v>
      </c>
      <c r="N177" s="433">
        <f t="shared" si="102"/>
        <v>6.5103599911376792E-2</v>
      </c>
      <c r="O177" s="433">
        <f t="shared" si="102"/>
        <v>6.6506405622553819E-2</v>
      </c>
      <c r="P177" s="433">
        <f t="shared" si="102"/>
        <v>5.2922042450793544E-2</v>
      </c>
      <c r="Q177" s="433">
        <f t="shared" si="102"/>
        <v>3.88669274526217E-2</v>
      </c>
      <c r="R177" s="433">
        <f t="shared" si="102"/>
        <v>2.4154171345036005E-2</v>
      </c>
      <c r="S177" s="433">
        <f t="shared" si="102"/>
        <v>8.546141328166855E-3</v>
      </c>
      <c r="T177" s="433">
        <f t="shared" si="102"/>
        <v>8.719270521518073E-3</v>
      </c>
      <c r="U177" s="433">
        <f t="shared" si="102"/>
        <v>7.383096249759539E-3</v>
      </c>
      <c r="V177" s="433">
        <f t="shared" si="102"/>
        <v>5.9676395558548919E-3</v>
      </c>
      <c r="W177" s="433">
        <f t="shared" si="102"/>
        <v>4.503947148944816E-3</v>
      </c>
      <c r="X177" s="433">
        <f t="shared" si="102"/>
        <v>2.9948865340935675E-3</v>
      </c>
      <c r="Y177" s="433">
        <f t="shared" si="102"/>
        <v>1.4395008961274615E-3</v>
      </c>
      <c r="Z177" s="433">
        <f t="shared" si="102"/>
        <v>1.4529074161405437E-3</v>
      </c>
      <c r="AA177" s="433">
        <f t="shared" si="102"/>
        <v>1.4663762025625194E-3</v>
      </c>
      <c r="AB177" s="433">
        <f t="shared" si="102"/>
        <v>1.4791899423023691E-3</v>
      </c>
      <c r="AC177" s="433">
        <f t="shared" si="102"/>
        <v>1.4899845460857302E-3</v>
      </c>
      <c r="AD177" s="433">
        <f t="shared" si="102"/>
        <v>1.5000077222933296E-3</v>
      </c>
      <c r="AE177" s="433">
        <f t="shared" si="102"/>
        <v>1.508700641246432E-3</v>
      </c>
      <c r="AF177" s="433">
        <f t="shared" si="102"/>
        <v>1.5153366135863106E-3</v>
      </c>
      <c r="AG177" s="433">
        <f t="shared" si="102"/>
        <v>1.524401384151765E-3</v>
      </c>
      <c r="AH177" s="433">
        <f t="shared" si="102"/>
        <v>1.5337550223690254E-3</v>
      </c>
      <c r="AI177" s="433">
        <f t="shared" si="102"/>
        <v>1.543637330139693E-3</v>
      </c>
      <c r="AJ177" s="433">
        <f t="shared" si="102"/>
        <v>1.5252870832841315E-3</v>
      </c>
      <c r="AK177" s="433">
        <f t="shared" si="102"/>
        <v>1.4892785451794865E-3</v>
      </c>
      <c r="AL177" s="433">
        <f t="shared" si="102"/>
        <v>1.4465675378331788E-3</v>
      </c>
      <c r="AM177" s="433"/>
    </row>
    <row r="178" spans="1:39" ht="15.75" customHeight="1" x14ac:dyDescent="0.25">
      <c r="A178" s="194"/>
      <c r="B178" s="194"/>
      <c r="C178" s="194"/>
      <c r="D178" s="194"/>
      <c r="E178" s="194"/>
      <c r="F178" s="433"/>
      <c r="G178" s="433"/>
      <c r="H178" s="433"/>
      <c r="I178" s="433"/>
      <c r="J178" s="433"/>
      <c r="K178" s="433"/>
      <c r="L178" s="433"/>
      <c r="M178" s="433"/>
      <c r="N178" s="433"/>
      <c r="O178" s="433"/>
      <c r="P178" s="433"/>
      <c r="Q178" s="433"/>
      <c r="R178" s="433"/>
      <c r="S178" s="433"/>
      <c r="T178" s="433"/>
      <c r="U178" s="433"/>
      <c r="V178" s="433"/>
      <c r="W178" s="433"/>
      <c r="X178" s="433"/>
      <c r="Y178" s="433"/>
      <c r="Z178" s="433"/>
      <c r="AA178" s="433"/>
      <c r="AB178" s="433"/>
      <c r="AC178" s="433"/>
      <c r="AD178" s="433"/>
      <c r="AE178" s="433"/>
      <c r="AF178" s="433"/>
      <c r="AG178" s="433"/>
      <c r="AH178" s="433"/>
      <c r="AI178" s="433"/>
      <c r="AJ178" s="433"/>
      <c r="AK178" s="433"/>
      <c r="AL178" s="433"/>
      <c r="AM178" s="433"/>
    </row>
    <row r="179" spans="1:39" ht="15.75" customHeight="1" x14ac:dyDescent="0.25">
      <c r="A179" s="194"/>
      <c r="B179" s="194"/>
      <c r="C179" s="194"/>
      <c r="D179" s="194" t="s">
        <v>1217</v>
      </c>
      <c r="E179" s="194"/>
      <c r="F179" s="433">
        <f t="shared" ref="F179:AL179" si="103">SUM(F175:F177)</f>
        <v>1.5072831596559857E-2</v>
      </c>
      <c r="G179" s="433">
        <f t="shared" si="103"/>
        <v>3.1736319225969242E-2</v>
      </c>
      <c r="H179" s="433">
        <f t="shared" si="103"/>
        <v>8.705648104905718E-2</v>
      </c>
      <c r="I179" s="433">
        <f t="shared" si="103"/>
        <v>0.27805737439911876</v>
      </c>
      <c r="J179" s="433">
        <f t="shared" si="103"/>
        <v>0.67325485454168321</v>
      </c>
      <c r="K179" s="433">
        <f t="shared" si="103"/>
        <v>1.4794228819118695</v>
      </c>
      <c r="L179" s="433">
        <f t="shared" si="103"/>
        <v>2.0665952769738829</v>
      </c>
      <c r="M179" s="433">
        <f t="shared" si="103"/>
        <v>2.6169378304488919</v>
      </c>
      <c r="N179" s="433">
        <f t="shared" si="103"/>
        <v>3.0074878465598318</v>
      </c>
      <c r="O179" s="433">
        <f t="shared" si="103"/>
        <v>3.402499328268032</v>
      </c>
      <c r="P179" s="433">
        <f t="shared" si="103"/>
        <v>3.7460560006706016</v>
      </c>
      <c r="Q179" s="433">
        <f t="shared" si="103"/>
        <v>4.0808215274220805</v>
      </c>
      <c r="R179" s="433">
        <f t="shared" si="103"/>
        <v>4.3261776090596671</v>
      </c>
      <c r="S179" s="433">
        <f t="shared" si="103"/>
        <v>4.5475642953728164</v>
      </c>
      <c r="T179" s="433">
        <f t="shared" si="103"/>
        <v>4.7347891871094205</v>
      </c>
      <c r="U179" s="433">
        <f t="shared" si="103"/>
        <v>4.9310706618372571</v>
      </c>
      <c r="V179" s="433">
        <f t="shared" si="103"/>
        <v>5.2064844121172786</v>
      </c>
      <c r="W179" s="433">
        <f t="shared" si="103"/>
        <v>5.5044108300303396</v>
      </c>
      <c r="X179" s="433">
        <f t="shared" si="103"/>
        <v>5.831424755630608</v>
      </c>
      <c r="Y179" s="433">
        <f t="shared" si="103"/>
        <v>5.9816857315461665</v>
      </c>
      <c r="Z179" s="433">
        <f t="shared" si="103"/>
        <v>5.6011493033765465</v>
      </c>
      <c r="AA179" s="433">
        <f t="shared" si="103"/>
        <v>5.8205208369953656</v>
      </c>
      <c r="AB179" s="433">
        <f t="shared" si="103"/>
        <v>6.031592140767339</v>
      </c>
      <c r="AC179" s="433">
        <f t="shared" si="103"/>
        <v>7.0555418958853826</v>
      </c>
      <c r="AD179" s="433">
        <f t="shared" si="103"/>
        <v>8.0480516403703266</v>
      </c>
      <c r="AE179" s="433">
        <f t="shared" si="103"/>
        <v>7.7933328026307009</v>
      </c>
      <c r="AF179" s="433">
        <f t="shared" si="103"/>
        <v>7.7329869826046975</v>
      </c>
      <c r="AG179" s="433">
        <f t="shared" si="103"/>
        <v>6.6704625696083886</v>
      </c>
      <c r="AH179" s="433">
        <f t="shared" si="103"/>
        <v>7.4412022422508679</v>
      </c>
      <c r="AI179" s="433">
        <f t="shared" si="103"/>
        <v>7.1399019998855673</v>
      </c>
      <c r="AJ179" s="433">
        <f t="shared" si="103"/>
        <v>8.0168584030664114</v>
      </c>
      <c r="AK179" s="433">
        <f t="shared" si="103"/>
        <v>8.2530044753487566</v>
      </c>
      <c r="AL179" s="433">
        <f t="shared" si="103"/>
        <v>8.4785337175363793</v>
      </c>
      <c r="AM179" s="433"/>
    </row>
    <row r="180" spans="1:39" ht="15.75" customHeight="1" x14ac:dyDescent="0.25">
      <c r="A180" s="194"/>
      <c r="B180" s="194"/>
      <c r="C180" s="194"/>
      <c r="D180" s="194"/>
      <c r="E180" s="194"/>
      <c r="F180" s="194"/>
      <c r="G180" s="194"/>
      <c r="H180" s="194"/>
      <c r="I180" s="194"/>
      <c r="J180" s="194"/>
      <c r="K180" s="194"/>
      <c r="L180" s="194"/>
      <c r="M180" s="194"/>
      <c r="N180" s="194"/>
      <c r="O180" s="194"/>
      <c r="P180" s="194"/>
      <c r="Q180" s="194"/>
      <c r="R180" s="194"/>
      <c r="S180" s="194"/>
      <c r="T180" s="194"/>
      <c r="U180" s="194"/>
      <c r="V180" s="194"/>
      <c r="W180" s="194"/>
      <c r="X180" s="194"/>
      <c r="Y180" s="194"/>
      <c r="Z180" s="194"/>
      <c r="AA180" s="194"/>
      <c r="AB180" s="194"/>
      <c r="AC180" s="194"/>
      <c r="AD180" s="194"/>
      <c r="AE180" s="194"/>
      <c r="AF180" s="194"/>
      <c r="AG180" s="194"/>
      <c r="AH180" s="194"/>
      <c r="AI180" s="194"/>
      <c r="AJ180" s="194"/>
      <c r="AK180" s="194"/>
      <c r="AL180" s="194"/>
      <c r="AM180" s="194"/>
    </row>
    <row r="181" spans="1:39" ht="15.75" customHeight="1" x14ac:dyDescent="0.25">
      <c r="A181" s="194"/>
      <c r="B181" s="1469" t="s">
        <v>1891</v>
      </c>
      <c r="C181" s="430"/>
      <c r="D181" s="430"/>
      <c r="E181" s="430"/>
      <c r="F181" s="430"/>
      <c r="G181" s="430"/>
      <c r="H181" s="430"/>
      <c r="I181" s="430"/>
      <c r="J181" s="430"/>
      <c r="K181" s="430"/>
      <c r="L181" s="430"/>
      <c r="M181" s="430"/>
      <c r="N181" s="430"/>
      <c r="O181" s="430"/>
      <c r="P181" s="430"/>
      <c r="Q181" s="430"/>
      <c r="R181" s="430"/>
      <c r="S181" s="430"/>
      <c r="T181" s="430"/>
      <c r="U181" s="430"/>
      <c r="V181" s="430"/>
      <c r="W181" s="430"/>
      <c r="X181" s="430"/>
      <c r="Y181" s="430"/>
      <c r="Z181" s="430"/>
      <c r="AA181" s="430"/>
      <c r="AB181" s="430"/>
      <c r="AC181" s="430"/>
      <c r="AD181" s="430"/>
      <c r="AE181" s="430"/>
      <c r="AF181" s="430"/>
      <c r="AG181" s="430"/>
      <c r="AH181" s="430"/>
      <c r="AI181" s="430"/>
      <c r="AJ181" s="430"/>
      <c r="AK181" s="430"/>
      <c r="AL181" s="430"/>
      <c r="AM181" s="431"/>
    </row>
    <row r="182" spans="1:39" ht="15.75" customHeight="1" x14ac:dyDescent="0.25">
      <c r="A182" s="194"/>
      <c r="B182" s="194"/>
      <c r="C182" s="194"/>
      <c r="D182" s="194"/>
      <c r="E182" s="194"/>
      <c r="F182" s="194"/>
      <c r="G182" s="194"/>
      <c r="H182" s="194"/>
      <c r="I182" s="194"/>
      <c r="J182" s="194"/>
      <c r="K182" s="194"/>
      <c r="L182" s="194"/>
      <c r="M182" s="194"/>
      <c r="N182" s="194"/>
      <c r="O182" s="194"/>
      <c r="P182" s="194"/>
      <c r="Q182" s="194"/>
      <c r="R182" s="194"/>
      <c r="S182" s="194"/>
      <c r="T182" s="194"/>
      <c r="U182" s="194"/>
      <c r="V182" s="194"/>
      <c r="W182" s="194"/>
      <c r="X182" s="194"/>
      <c r="Y182" s="194"/>
      <c r="Z182" s="194"/>
      <c r="AA182" s="194"/>
      <c r="AB182" s="194"/>
      <c r="AC182" s="194"/>
      <c r="AD182" s="194"/>
      <c r="AE182" s="194"/>
      <c r="AF182" s="194"/>
      <c r="AG182" s="194"/>
      <c r="AH182" s="194"/>
      <c r="AI182" s="194"/>
      <c r="AJ182" s="194"/>
      <c r="AK182" s="194"/>
      <c r="AL182" s="194"/>
      <c r="AM182" s="194"/>
    </row>
    <row r="183" spans="1:39" ht="15.75" customHeight="1" x14ac:dyDescent="0.25">
      <c r="A183" s="194"/>
      <c r="B183" s="435" t="s">
        <v>1171</v>
      </c>
      <c r="C183" s="436"/>
      <c r="D183" s="436"/>
      <c r="E183" s="436"/>
      <c r="F183" s="436"/>
      <c r="G183" s="436"/>
      <c r="H183" s="436"/>
      <c r="I183" s="436"/>
      <c r="J183" s="436"/>
      <c r="K183" s="436"/>
      <c r="L183" s="436"/>
      <c r="M183" s="436"/>
      <c r="N183" s="436"/>
      <c r="O183" s="436"/>
      <c r="P183" s="436"/>
      <c r="Q183" s="436"/>
      <c r="R183" s="436"/>
      <c r="S183" s="436"/>
      <c r="T183" s="436"/>
      <c r="U183" s="436"/>
      <c r="V183" s="436"/>
      <c r="W183" s="436"/>
      <c r="X183" s="436"/>
      <c r="Y183" s="436"/>
      <c r="Z183" s="436"/>
      <c r="AA183" s="436"/>
      <c r="AB183" s="436"/>
      <c r="AC183" s="436"/>
      <c r="AD183" s="436"/>
      <c r="AE183" s="436"/>
      <c r="AF183" s="436"/>
      <c r="AG183" s="436"/>
      <c r="AH183" s="436"/>
      <c r="AI183" s="436"/>
      <c r="AJ183" s="436"/>
      <c r="AK183" s="436"/>
      <c r="AL183" s="436"/>
      <c r="AM183" s="439"/>
    </row>
    <row r="184" spans="1:39" ht="15.75" customHeight="1" x14ac:dyDescent="0.25">
      <c r="A184" s="194"/>
      <c r="B184" s="432" t="s">
        <v>1102</v>
      </c>
      <c r="C184" s="194"/>
      <c r="D184" s="432"/>
      <c r="E184" s="432"/>
      <c r="F184" s="432" t="s">
        <v>1106</v>
      </c>
      <c r="G184" s="432" t="s">
        <v>1107</v>
      </c>
      <c r="H184" s="432" t="s">
        <v>1108</v>
      </c>
      <c r="I184" s="432" t="s">
        <v>1109</v>
      </c>
      <c r="J184" s="432" t="s">
        <v>1110</v>
      </c>
      <c r="K184" s="432" t="s">
        <v>1111</v>
      </c>
      <c r="L184" s="432" t="s">
        <v>1112</v>
      </c>
      <c r="M184" s="432" t="s">
        <v>1113</v>
      </c>
      <c r="N184" s="432" t="s">
        <v>1114</v>
      </c>
      <c r="O184" s="432" t="s">
        <v>1115</v>
      </c>
      <c r="P184" s="432" t="s">
        <v>1116</v>
      </c>
      <c r="Q184" s="432" t="s">
        <v>1117</v>
      </c>
      <c r="R184" s="432" t="s">
        <v>1118</v>
      </c>
      <c r="S184" s="432" t="s">
        <v>1119</v>
      </c>
      <c r="T184" s="432" t="s">
        <v>1120</v>
      </c>
      <c r="U184" s="432" t="s">
        <v>1121</v>
      </c>
      <c r="V184" s="432" t="s">
        <v>1122</v>
      </c>
      <c r="W184" s="432" t="s">
        <v>1123</v>
      </c>
      <c r="X184" s="432" t="s">
        <v>1124</v>
      </c>
      <c r="Y184" s="432" t="s">
        <v>1125</v>
      </c>
      <c r="Z184" s="432" t="s">
        <v>1126</v>
      </c>
      <c r="AA184" s="432" t="s">
        <v>1127</v>
      </c>
      <c r="AB184" s="432" t="s">
        <v>1128</v>
      </c>
      <c r="AC184" s="432" t="s">
        <v>1129</v>
      </c>
      <c r="AD184" s="432" t="s">
        <v>1130</v>
      </c>
      <c r="AE184" s="432" t="s">
        <v>1131</v>
      </c>
      <c r="AF184" s="432" t="s">
        <v>1132</v>
      </c>
      <c r="AG184" s="432" t="s">
        <v>1133</v>
      </c>
      <c r="AH184" s="432" t="s">
        <v>1134</v>
      </c>
      <c r="AI184" s="432" t="s">
        <v>1135</v>
      </c>
      <c r="AJ184" s="432" t="s">
        <v>1136</v>
      </c>
      <c r="AK184" s="432" t="s">
        <v>1137</v>
      </c>
      <c r="AL184" s="432" t="s">
        <v>1138</v>
      </c>
      <c r="AM184" s="432"/>
    </row>
    <row r="185" spans="1:39" ht="15.75" customHeight="1" x14ac:dyDescent="0.25">
      <c r="A185" s="194"/>
      <c r="B185" s="194" t="s">
        <v>1139</v>
      </c>
      <c r="C185" s="194"/>
      <c r="D185" s="194"/>
      <c r="E185" s="194"/>
      <c r="F185" s="433">
        <f t="shared" ref="F185:AL185" si="104">SUMIF($B$16:$B$49,$B185,F$16:F$49)</f>
        <v>0</v>
      </c>
      <c r="G185" s="433">
        <f t="shared" si="104"/>
        <v>0</v>
      </c>
      <c r="H185" s="433">
        <f t="shared" si="104"/>
        <v>0</v>
      </c>
      <c r="I185" s="433">
        <f t="shared" si="104"/>
        <v>0</v>
      </c>
      <c r="J185" s="433">
        <f t="shared" si="104"/>
        <v>7.2105919715150286E-5</v>
      </c>
      <c r="K185" s="433">
        <f t="shared" si="104"/>
        <v>6.1285513036061275E-4</v>
      </c>
      <c r="L185" s="433">
        <f t="shared" si="104"/>
        <v>1.5063543721975246E-3</v>
      </c>
      <c r="M185" s="433">
        <f t="shared" si="104"/>
        <v>3.0434438681324707E-3</v>
      </c>
      <c r="N185" s="433">
        <f t="shared" si="104"/>
        <v>5.1295941830848436E-3</v>
      </c>
      <c r="O185" s="433">
        <f t="shared" si="104"/>
        <v>8.0316148717966118E-3</v>
      </c>
      <c r="P185" s="433">
        <f t="shared" si="104"/>
        <v>1.0889911130349221E-2</v>
      </c>
      <c r="Q185" s="433">
        <f t="shared" si="104"/>
        <v>1.3712062262757939E-2</v>
      </c>
      <c r="R185" s="433">
        <f t="shared" si="104"/>
        <v>1.648562969924406E-2</v>
      </c>
      <c r="S185" s="433">
        <f t="shared" si="104"/>
        <v>1.8665333965892102E-2</v>
      </c>
      <c r="T185" s="433">
        <f t="shared" si="104"/>
        <v>2.0647262373855866E-2</v>
      </c>
      <c r="U185" s="433">
        <f t="shared" si="104"/>
        <v>2.2410144640867428E-2</v>
      </c>
      <c r="V185" s="433">
        <f t="shared" si="104"/>
        <v>2.4110369744410529E-2</v>
      </c>
      <c r="W185" s="433">
        <f t="shared" si="104"/>
        <v>2.574518539645845E-2</v>
      </c>
      <c r="X185" s="433">
        <f t="shared" si="104"/>
        <v>2.7361503739153973E-2</v>
      </c>
      <c r="Y185" s="433">
        <f t="shared" si="104"/>
        <v>2.843524224429549E-2</v>
      </c>
      <c r="Z185" s="433">
        <f t="shared" si="104"/>
        <v>3.0012131374129055E-2</v>
      </c>
      <c r="AA185" s="433">
        <f t="shared" si="104"/>
        <v>3.187452525702545E-2</v>
      </c>
      <c r="AB185" s="433">
        <f t="shared" si="104"/>
        <v>3.3837802970205E-2</v>
      </c>
      <c r="AC185" s="433">
        <f t="shared" si="104"/>
        <v>3.5594791565102715E-2</v>
      </c>
      <c r="AD185" s="433">
        <f t="shared" si="104"/>
        <v>3.7951465300442244E-2</v>
      </c>
      <c r="AE185" s="433">
        <f t="shared" si="104"/>
        <v>3.9063849322567672E-2</v>
      </c>
      <c r="AF185" s="433">
        <f t="shared" si="104"/>
        <v>4.1136276684157522E-2</v>
      </c>
      <c r="AG185" s="433">
        <f t="shared" si="104"/>
        <v>4.1654561205707652E-2</v>
      </c>
      <c r="AH185" s="433">
        <f t="shared" si="104"/>
        <v>4.371463553219207E-2</v>
      </c>
      <c r="AI185" s="433">
        <f t="shared" si="104"/>
        <v>4.4439641097130965E-2</v>
      </c>
      <c r="AJ185" s="433">
        <f t="shared" si="104"/>
        <v>4.6456465734988968E-2</v>
      </c>
      <c r="AK185" s="433">
        <f t="shared" si="104"/>
        <v>4.7456699884263986E-2</v>
      </c>
      <c r="AL185" s="433">
        <f t="shared" si="104"/>
        <v>4.8308508674681477E-2</v>
      </c>
      <c r="AM185" s="433"/>
    </row>
    <row r="186" spans="1:39" ht="15.75" customHeight="1" x14ac:dyDescent="0.25">
      <c r="A186" s="194"/>
      <c r="B186" s="194" t="s">
        <v>1141</v>
      </c>
      <c r="C186" s="194"/>
      <c r="D186" s="194"/>
      <c r="E186" s="194"/>
      <c r="F186" s="433">
        <f t="shared" ref="F186:AL186" si="105">SUMIF($B$16:$B$49,$B186,F$16:F$49)</f>
        <v>1.2498464374573599E-4</v>
      </c>
      <c r="G186" s="433">
        <f t="shared" si="105"/>
        <v>1.9759599133754223E-4</v>
      </c>
      <c r="H186" s="433">
        <f t="shared" si="105"/>
        <v>2.7646125233332587E-4</v>
      </c>
      <c r="I186" s="433">
        <f t="shared" si="105"/>
        <v>3.6181180050382433E-4</v>
      </c>
      <c r="J186" s="433">
        <f t="shared" si="105"/>
        <v>3.897996485494196E-4</v>
      </c>
      <c r="K186" s="433">
        <f t="shared" si="105"/>
        <v>7.1059808027374252E-4</v>
      </c>
      <c r="L186" s="433">
        <f t="shared" si="105"/>
        <v>1.6094511220163697E-3</v>
      </c>
      <c r="M186" s="433">
        <f t="shared" si="105"/>
        <v>2.5545761530009511E-3</v>
      </c>
      <c r="N186" s="433">
        <f t="shared" si="105"/>
        <v>3.5550703975006622E-3</v>
      </c>
      <c r="O186" s="433">
        <f t="shared" si="105"/>
        <v>4.6011209287602599E-3</v>
      </c>
      <c r="P186" s="433">
        <f t="shared" si="105"/>
        <v>4.9468350824592279E-3</v>
      </c>
      <c r="Q186" s="433">
        <f t="shared" si="105"/>
        <v>5.9345380482300741E-3</v>
      </c>
      <c r="R186" s="433">
        <f t="shared" si="105"/>
        <v>2.6261543295702759E-2</v>
      </c>
      <c r="S186" s="433">
        <f t="shared" si="105"/>
        <v>5.0150414900290999E-2</v>
      </c>
      <c r="T186" s="433">
        <f t="shared" si="105"/>
        <v>5.6296376737982094E-2</v>
      </c>
      <c r="U186" s="433">
        <f t="shared" si="105"/>
        <v>6.2565220005701597E-2</v>
      </c>
      <c r="V186" s="433">
        <f t="shared" si="105"/>
        <v>6.8946562255248575E-2</v>
      </c>
      <c r="W186" s="433">
        <f t="shared" si="105"/>
        <v>7.5423791953472971E-2</v>
      </c>
      <c r="X186" s="433">
        <f t="shared" si="105"/>
        <v>8.1740815288038171E-2</v>
      </c>
      <c r="Y186" s="433">
        <f t="shared" si="105"/>
        <v>0.10761159151881834</v>
      </c>
      <c r="Z186" s="433">
        <f t="shared" si="105"/>
        <v>0.12794764263886921</v>
      </c>
      <c r="AA186" s="433">
        <f t="shared" si="105"/>
        <v>0.1392134734480811</v>
      </c>
      <c r="AB186" s="433">
        <f t="shared" si="105"/>
        <v>0.15046983128053817</v>
      </c>
      <c r="AC186" s="433">
        <f t="shared" si="105"/>
        <v>0.18357247635046137</v>
      </c>
      <c r="AD186" s="433">
        <f t="shared" si="105"/>
        <v>0.21234430451263558</v>
      </c>
      <c r="AE186" s="433">
        <f t="shared" si="105"/>
        <v>0.23110579810893955</v>
      </c>
      <c r="AF186" s="433">
        <f t="shared" si="105"/>
        <v>0.23949444068247275</v>
      </c>
      <c r="AG186" s="433">
        <f t="shared" si="105"/>
        <v>0.23805963762431312</v>
      </c>
      <c r="AH186" s="433">
        <f t="shared" si="105"/>
        <v>0.25513604821928398</v>
      </c>
      <c r="AI186" s="433">
        <f t="shared" si="105"/>
        <v>0.25069838634141794</v>
      </c>
      <c r="AJ186" s="433">
        <f t="shared" si="105"/>
        <v>0.25757600940917913</v>
      </c>
      <c r="AK186" s="433">
        <f t="shared" si="105"/>
        <v>0.20133840239177225</v>
      </c>
      <c r="AL186" s="433">
        <f t="shared" si="105"/>
        <v>0.2175595808811642</v>
      </c>
      <c r="AM186" s="433"/>
    </row>
    <row r="187" spans="1:39" ht="15.75" customHeight="1" x14ac:dyDescent="0.25">
      <c r="A187" s="194"/>
      <c r="B187" s="194" t="s">
        <v>1146</v>
      </c>
      <c r="C187" s="194"/>
      <c r="D187" s="194"/>
      <c r="E187" s="194"/>
      <c r="F187" s="433">
        <f t="shared" ref="F187:AL187" si="106">SUMIF($B$16:$B$49,$B187,F$16:F$49)</f>
        <v>0</v>
      </c>
      <c r="G187" s="433">
        <f t="shared" si="106"/>
        <v>0</v>
      </c>
      <c r="H187" s="433">
        <f t="shared" si="106"/>
        <v>0</v>
      </c>
      <c r="I187" s="433">
        <f t="shared" si="106"/>
        <v>0</v>
      </c>
      <c r="J187" s="433">
        <f t="shared" si="106"/>
        <v>0</v>
      </c>
      <c r="K187" s="433">
        <f t="shared" si="106"/>
        <v>0</v>
      </c>
      <c r="L187" s="433">
        <f t="shared" si="106"/>
        <v>0</v>
      </c>
      <c r="M187" s="433">
        <f t="shared" si="106"/>
        <v>3.2235782254365608E-4</v>
      </c>
      <c r="N187" s="433">
        <f t="shared" si="106"/>
        <v>6.5270642478647929E-4</v>
      </c>
      <c r="O187" s="433">
        <f t="shared" si="106"/>
        <v>9.9047932329365059E-4</v>
      </c>
      <c r="P187" s="433">
        <f t="shared" si="106"/>
        <v>1.371567092698403E-3</v>
      </c>
      <c r="Q187" s="433">
        <f t="shared" si="106"/>
        <v>3.1367205233573548E-3</v>
      </c>
      <c r="R187" s="433">
        <f t="shared" si="106"/>
        <v>4.9577196476018647E-3</v>
      </c>
      <c r="S187" s="433">
        <f t="shared" si="106"/>
        <v>6.8239834112029498E-3</v>
      </c>
      <c r="T187" s="433">
        <f t="shared" si="106"/>
        <v>8.7482454746959041E-3</v>
      </c>
      <c r="U187" s="433">
        <f t="shared" si="106"/>
        <v>1.0728317244315449E-2</v>
      </c>
      <c r="V187" s="433">
        <f t="shared" si="106"/>
        <v>1.274075218509407E-2</v>
      </c>
      <c r="W187" s="433">
        <f t="shared" si="106"/>
        <v>1.5873296838508563E-2</v>
      </c>
      <c r="X187" s="433">
        <f t="shared" si="106"/>
        <v>1.866954517859909E-2</v>
      </c>
      <c r="Y187" s="433">
        <f t="shared" si="106"/>
        <v>2.1214494125891267E-2</v>
      </c>
      <c r="Z187" s="433">
        <f t="shared" si="106"/>
        <v>2.1552270045706118E-2</v>
      </c>
      <c r="AA187" s="433">
        <f t="shared" si="106"/>
        <v>2.4259664127360824E-2</v>
      </c>
      <c r="AB187" s="433">
        <f t="shared" si="106"/>
        <v>2.4306866839050797E-2</v>
      </c>
      <c r="AC187" s="433">
        <f t="shared" si="106"/>
        <v>2.8509269544091088E-2</v>
      </c>
      <c r="AD187" s="433">
        <f t="shared" si="106"/>
        <v>2.9432072155723694E-2</v>
      </c>
      <c r="AE187" s="433">
        <f t="shared" si="106"/>
        <v>2.5623627137663661E-2</v>
      </c>
      <c r="AF187" s="433">
        <f t="shared" si="106"/>
        <v>3.0328428800894203E-2</v>
      </c>
      <c r="AG187" s="433">
        <f t="shared" si="106"/>
        <v>3.3174207015971305E-2</v>
      </c>
      <c r="AH187" s="433">
        <f t="shared" si="106"/>
        <v>4.1168884090298202E-2</v>
      </c>
      <c r="AI187" s="433">
        <f t="shared" si="106"/>
        <v>4.0876081697963168E-2</v>
      </c>
      <c r="AJ187" s="433">
        <f t="shared" si="106"/>
        <v>4.4901273365417868E-2</v>
      </c>
      <c r="AK187" s="433">
        <f t="shared" si="106"/>
        <v>4.5575131534607419E-2</v>
      </c>
      <c r="AL187" s="433">
        <f t="shared" si="106"/>
        <v>2.7703232964750114E-2</v>
      </c>
      <c r="AM187" s="433"/>
    </row>
    <row r="188" spans="1:39" ht="15.75" customHeight="1" x14ac:dyDescent="0.25">
      <c r="A188" s="194"/>
      <c r="B188" s="194" t="s">
        <v>1147</v>
      </c>
      <c r="C188" s="194"/>
      <c r="D188" s="194"/>
      <c r="E188" s="194"/>
      <c r="F188" s="433">
        <f t="shared" ref="F188:AL188" si="107">SUMIF($B$16:$B$49,$B188,F$16:F$49)</f>
        <v>4.3648724486724348E-3</v>
      </c>
      <c r="G188" s="433">
        <f t="shared" si="107"/>
        <v>9.5683674503027998E-3</v>
      </c>
      <c r="H188" s="433">
        <f t="shared" si="107"/>
        <v>9.5453743608877092E-3</v>
      </c>
      <c r="I188" s="433">
        <f t="shared" si="107"/>
        <v>9.5139138736681089E-3</v>
      </c>
      <c r="J188" s="433">
        <f t="shared" si="107"/>
        <v>2.2336436916164441E-2</v>
      </c>
      <c r="K188" s="433">
        <f t="shared" si="107"/>
        <v>0.14249635803079547</v>
      </c>
      <c r="L188" s="433">
        <f t="shared" si="107"/>
        <v>0.16428444804518955</v>
      </c>
      <c r="M188" s="433">
        <f t="shared" si="107"/>
        <v>0.18357195880718782</v>
      </c>
      <c r="N188" s="433">
        <f t="shared" si="107"/>
        <v>0.19409531908322991</v>
      </c>
      <c r="O188" s="433">
        <f t="shared" si="107"/>
        <v>0.20002539765614638</v>
      </c>
      <c r="P188" s="433">
        <f t="shared" si="107"/>
        <v>0.20302055561944649</v>
      </c>
      <c r="Q188" s="433">
        <f t="shared" si="107"/>
        <v>0.19716429964788568</v>
      </c>
      <c r="R188" s="433">
        <f t="shared" si="107"/>
        <v>0.18992898294159932</v>
      </c>
      <c r="S188" s="433">
        <f t="shared" si="107"/>
        <v>0.18244408859058514</v>
      </c>
      <c r="T188" s="433">
        <f t="shared" si="107"/>
        <v>0.17347940243594798</v>
      </c>
      <c r="U188" s="433">
        <f t="shared" si="107"/>
        <v>0.16432449450813258</v>
      </c>
      <c r="V188" s="433">
        <f t="shared" si="107"/>
        <v>0.17484916357473831</v>
      </c>
      <c r="W188" s="433">
        <f t="shared" si="107"/>
        <v>0.18660684616148177</v>
      </c>
      <c r="X188" s="433">
        <f t="shared" si="107"/>
        <v>0.19690119142231979</v>
      </c>
      <c r="Y188" s="433">
        <f t="shared" si="107"/>
        <v>0.21703192252970996</v>
      </c>
      <c r="Z188" s="433">
        <f t="shared" si="107"/>
        <v>0.21694866571903881</v>
      </c>
      <c r="AA188" s="433">
        <f t="shared" si="107"/>
        <v>0.2319557928079265</v>
      </c>
      <c r="AB188" s="433">
        <f t="shared" si="107"/>
        <v>0.24585585413519162</v>
      </c>
      <c r="AC188" s="433">
        <f t="shared" si="107"/>
        <v>0.30931219857155656</v>
      </c>
      <c r="AD188" s="433">
        <f t="shared" si="107"/>
        <v>0.35785848599361852</v>
      </c>
      <c r="AE188" s="433">
        <f t="shared" si="107"/>
        <v>0.35417630598851529</v>
      </c>
      <c r="AF188" s="433">
        <f t="shared" si="107"/>
        <v>0.31155823757133505</v>
      </c>
      <c r="AG188" s="433">
        <f t="shared" si="107"/>
        <v>0.2619618412667587</v>
      </c>
      <c r="AH188" s="433">
        <f t="shared" si="107"/>
        <v>0.25713474347671533</v>
      </c>
      <c r="AI188" s="433">
        <f t="shared" si="107"/>
        <v>0.25691276844907202</v>
      </c>
      <c r="AJ188" s="433">
        <f t="shared" si="107"/>
        <v>0.28403062158509718</v>
      </c>
      <c r="AK188" s="433">
        <f t="shared" si="107"/>
        <v>0.29011712984193122</v>
      </c>
      <c r="AL188" s="433">
        <f t="shared" si="107"/>
        <v>0.29573110855496204</v>
      </c>
      <c r="AM188" s="433"/>
    </row>
    <row r="189" spans="1:39" ht="15.75" customHeight="1" x14ac:dyDescent="0.25">
      <c r="A189" s="194"/>
      <c r="B189" s="194" t="s">
        <v>1142</v>
      </c>
      <c r="C189" s="194"/>
      <c r="D189" s="194"/>
      <c r="E189" s="194"/>
      <c r="F189" s="433">
        <f t="shared" ref="F189:AL189" si="108">SUMIF($B$16:$B$49,$B189,F$16:F$49)</f>
        <v>2.9619075653216937E-4</v>
      </c>
      <c r="G189" s="433">
        <f t="shared" si="108"/>
        <v>3.1200429586594226E-4</v>
      </c>
      <c r="H189" s="433">
        <f t="shared" si="108"/>
        <v>1.7633592270480294E-2</v>
      </c>
      <c r="I189" s="433">
        <f t="shared" si="108"/>
        <v>7.9574229708700844E-2</v>
      </c>
      <c r="J189" s="433">
        <f t="shared" si="108"/>
        <v>0.19448125374473932</v>
      </c>
      <c r="K189" s="433">
        <f t="shared" si="108"/>
        <v>0.31400197478674224</v>
      </c>
      <c r="L189" s="433">
        <f t="shared" si="108"/>
        <v>0.46015383285188821</v>
      </c>
      <c r="M189" s="433">
        <f t="shared" si="108"/>
        <v>0.61738084871837051</v>
      </c>
      <c r="N189" s="433">
        <f t="shared" si="108"/>
        <v>0.7356267450632179</v>
      </c>
      <c r="O189" s="433">
        <f t="shared" si="108"/>
        <v>0.86217801886727308</v>
      </c>
      <c r="P189" s="433">
        <f t="shared" si="108"/>
        <v>0.97826330945906137</v>
      </c>
      <c r="Q189" s="433">
        <f t="shared" si="108"/>
        <v>1.1012392171784913</v>
      </c>
      <c r="R189" s="433">
        <f t="shared" si="108"/>
        <v>1.1802655703733531</v>
      </c>
      <c r="S189" s="433">
        <f t="shared" si="108"/>
        <v>1.2497770583538761</v>
      </c>
      <c r="T189" s="433">
        <f t="shared" si="108"/>
        <v>1.3219874532615901</v>
      </c>
      <c r="U189" s="433">
        <f t="shared" si="108"/>
        <v>1.4078983065449879</v>
      </c>
      <c r="V189" s="433">
        <f t="shared" si="108"/>
        <v>1.5025656872957627</v>
      </c>
      <c r="W189" s="433">
        <f t="shared" si="108"/>
        <v>1.6074718288358312</v>
      </c>
      <c r="X189" s="433">
        <f t="shared" si="108"/>
        <v>1.7270147715717168</v>
      </c>
      <c r="Y189" s="433">
        <f t="shared" si="108"/>
        <v>1.7383094998113409</v>
      </c>
      <c r="Z189" s="433">
        <f t="shared" si="108"/>
        <v>1.6134449309464605</v>
      </c>
      <c r="AA189" s="433">
        <f t="shared" si="108"/>
        <v>1.7118967392457112</v>
      </c>
      <c r="AB189" s="433">
        <f t="shared" si="108"/>
        <v>1.8210645635757408</v>
      </c>
      <c r="AC189" s="433">
        <f t="shared" si="108"/>
        <v>2.0918267720574595</v>
      </c>
      <c r="AD189" s="433">
        <f t="shared" si="108"/>
        <v>2.4123552464598168</v>
      </c>
      <c r="AE189" s="433">
        <f t="shared" si="108"/>
        <v>2.3139651753098818</v>
      </c>
      <c r="AF189" s="433">
        <f t="shared" si="108"/>
        <v>2.3731707047113733</v>
      </c>
      <c r="AG189" s="433">
        <f t="shared" si="108"/>
        <v>1.9765263214466349</v>
      </c>
      <c r="AH189" s="433">
        <f t="shared" si="108"/>
        <v>2.2995525386553797</v>
      </c>
      <c r="AI189" s="433">
        <f t="shared" si="108"/>
        <v>2.1603959533344215</v>
      </c>
      <c r="AJ189" s="433">
        <f t="shared" si="108"/>
        <v>2.4707507223107195</v>
      </c>
      <c r="AK189" s="433">
        <f t="shared" si="108"/>
        <v>2.6375174546459652</v>
      </c>
      <c r="AL189" s="433">
        <f t="shared" si="108"/>
        <v>2.7310221568546873</v>
      </c>
      <c r="AM189" s="433"/>
    </row>
    <row r="190" spans="1:39" ht="15.75" customHeight="1" x14ac:dyDescent="0.25">
      <c r="A190" s="194"/>
      <c r="B190" s="194" t="s">
        <v>1155</v>
      </c>
      <c r="C190" s="194"/>
      <c r="D190" s="194"/>
      <c r="E190" s="194"/>
      <c r="F190" s="433">
        <f t="shared" ref="F190:AL190" si="109">SUMIF($B$16:$B$49,$B190,F$16:F$49)</f>
        <v>0</v>
      </c>
      <c r="G190" s="433">
        <f t="shared" si="109"/>
        <v>0</v>
      </c>
      <c r="H190" s="433">
        <f t="shared" si="109"/>
        <v>0</v>
      </c>
      <c r="I190" s="433">
        <f t="shared" si="109"/>
        <v>0</v>
      </c>
      <c r="J190" s="433">
        <f t="shared" si="109"/>
        <v>0</v>
      </c>
      <c r="K190" s="433">
        <f t="shared" si="109"/>
        <v>2.0155536417350836E-2</v>
      </c>
      <c r="L190" s="433">
        <f t="shared" si="109"/>
        <v>4.4107440217010532E-2</v>
      </c>
      <c r="M190" s="433">
        <f t="shared" si="109"/>
        <v>4.803083225204071E-2</v>
      </c>
      <c r="N190" s="433">
        <f t="shared" si="109"/>
        <v>4.8865841943775495E-2</v>
      </c>
      <c r="O190" s="433">
        <f t="shared" si="109"/>
        <v>4.9749338059828216E-2</v>
      </c>
      <c r="P190" s="433">
        <f t="shared" si="109"/>
        <v>4.5063302006180542E-2</v>
      </c>
      <c r="Q190" s="433">
        <f t="shared" si="109"/>
        <v>4.0276417117818243E-2</v>
      </c>
      <c r="R190" s="433">
        <f t="shared" si="109"/>
        <v>3.5285645908823694E-2</v>
      </c>
      <c r="S190" s="433">
        <f t="shared" si="109"/>
        <v>3.0003657057189485E-2</v>
      </c>
      <c r="T190" s="433">
        <f t="shared" si="109"/>
        <v>3.0606134147674113E-2</v>
      </c>
      <c r="U190" s="433">
        <f t="shared" si="109"/>
        <v>3.0630470293182332E-2</v>
      </c>
      <c r="V190" s="433">
        <f t="shared" si="109"/>
        <v>3.057286384565408E-2</v>
      </c>
      <c r="W190" s="433">
        <f t="shared" si="109"/>
        <v>3.0462796370103348E-2</v>
      </c>
      <c r="X190" s="433">
        <f t="shared" si="109"/>
        <v>3.0371616797719554E-2</v>
      </c>
      <c r="Y190" s="433">
        <f t="shared" si="109"/>
        <v>3.0362264191720709E-2</v>
      </c>
      <c r="Z190" s="433">
        <f t="shared" si="109"/>
        <v>3.103227403626806E-2</v>
      </c>
      <c r="AA190" s="433">
        <f t="shared" si="109"/>
        <v>3.1710293425038373E-2</v>
      </c>
      <c r="AB190" s="433">
        <f t="shared" si="109"/>
        <v>3.2380473308252521E-2</v>
      </c>
      <c r="AC190" s="433">
        <f t="shared" si="109"/>
        <v>3.3012349052362798E-2</v>
      </c>
      <c r="AD190" s="433">
        <f t="shared" si="109"/>
        <v>3.3632343709609977E-2</v>
      </c>
      <c r="AE190" s="433">
        <f t="shared" si="109"/>
        <v>3.42254472906625E-2</v>
      </c>
      <c r="AF190" s="433">
        <f t="shared" si="109"/>
        <v>3.4775136345906607E-2</v>
      </c>
      <c r="AG190" s="433">
        <f t="shared" si="109"/>
        <v>3.5382737684634943E-2</v>
      </c>
      <c r="AH190" s="433">
        <f t="shared" si="109"/>
        <v>3.6000552816871603E-2</v>
      </c>
      <c r="AI190" s="433">
        <f t="shared" si="109"/>
        <v>3.6633303426304963E-2</v>
      </c>
      <c r="AJ190" s="433">
        <f t="shared" si="109"/>
        <v>3.7724242229892728E-2</v>
      </c>
      <c r="AK190" s="433">
        <f t="shared" si="109"/>
        <v>3.8430274994460813E-2</v>
      </c>
      <c r="AL190" s="433">
        <f t="shared" si="109"/>
        <v>3.8994606853582803E-2</v>
      </c>
      <c r="AM190" s="433"/>
    </row>
    <row r="191" spans="1:39" ht="15.75" customHeight="1" x14ac:dyDescent="0.25">
      <c r="A191" s="194"/>
      <c r="B191" s="194"/>
      <c r="C191" s="194"/>
      <c r="D191" s="194"/>
      <c r="E191" s="194"/>
      <c r="F191" s="433"/>
      <c r="G191" s="433"/>
      <c r="H191" s="433"/>
      <c r="I191" s="433"/>
      <c r="J191" s="433"/>
      <c r="K191" s="433"/>
      <c r="L191" s="433"/>
      <c r="M191" s="433"/>
      <c r="N191" s="433"/>
      <c r="O191" s="433"/>
      <c r="P191" s="433"/>
      <c r="Q191" s="433"/>
      <c r="R191" s="433"/>
      <c r="S191" s="433"/>
      <c r="T191" s="433"/>
      <c r="U191" s="433"/>
      <c r="V191" s="433"/>
      <c r="W191" s="433"/>
      <c r="X191" s="433"/>
      <c r="Y191" s="433"/>
      <c r="Z191" s="433"/>
      <c r="AA191" s="433"/>
      <c r="AB191" s="433"/>
      <c r="AC191" s="433"/>
      <c r="AD191" s="433"/>
      <c r="AE191" s="433"/>
      <c r="AF191" s="433"/>
      <c r="AG191" s="433"/>
      <c r="AH191" s="433"/>
      <c r="AI191" s="433"/>
      <c r="AJ191" s="433"/>
      <c r="AK191" s="433"/>
      <c r="AL191" s="433"/>
      <c r="AM191" s="433"/>
    </row>
    <row r="192" spans="1:39" ht="15.75" customHeight="1" x14ac:dyDescent="0.25">
      <c r="A192" s="194"/>
      <c r="B192" s="194" t="s">
        <v>1217</v>
      </c>
      <c r="C192" s="194"/>
      <c r="D192" s="194"/>
      <c r="E192" s="194"/>
      <c r="F192" s="433">
        <f t="shared" ref="F192:AL192" si="110">SUM(F185:F190)</f>
        <v>4.7860478489503405E-3</v>
      </c>
      <c r="G192" s="433">
        <f t="shared" si="110"/>
        <v>1.0077967737506284E-2</v>
      </c>
      <c r="H192" s="433">
        <f t="shared" si="110"/>
        <v>2.7455427883701332E-2</v>
      </c>
      <c r="I192" s="433">
        <f t="shared" si="110"/>
        <v>8.9449955382872773E-2</v>
      </c>
      <c r="J192" s="433">
        <f t="shared" si="110"/>
        <v>0.21727959622916831</v>
      </c>
      <c r="K192" s="433">
        <f t="shared" si="110"/>
        <v>0.47797732244552288</v>
      </c>
      <c r="L192" s="433">
        <f t="shared" si="110"/>
        <v>0.67166152660830214</v>
      </c>
      <c r="M192" s="433">
        <f t="shared" si="110"/>
        <v>0.85490401762127621</v>
      </c>
      <c r="N192" s="433">
        <f t="shared" si="110"/>
        <v>0.9879252770955953</v>
      </c>
      <c r="O192" s="433">
        <f t="shared" si="110"/>
        <v>1.1255759697070982</v>
      </c>
      <c r="P192" s="433">
        <f t="shared" si="110"/>
        <v>1.2435554803901954</v>
      </c>
      <c r="Q192" s="433">
        <f t="shared" si="110"/>
        <v>1.3614632547785406</v>
      </c>
      <c r="R192" s="433">
        <f t="shared" si="110"/>
        <v>1.4531850918663249</v>
      </c>
      <c r="S192" s="433">
        <f t="shared" si="110"/>
        <v>1.5378645362790369</v>
      </c>
      <c r="T192" s="433">
        <f t="shared" si="110"/>
        <v>1.6117648744317461</v>
      </c>
      <c r="U192" s="433">
        <f t="shared" si="110"/>
        <v>1.6985569532371874</v>
      </c>
      <c r="V192" s="433">
        <f t="shared" si="110"/>
        <v>1.8137853989009083</v>
      </c>
      <c r="W192" s="433">
        <f t="shared" si="110"/>
        <v>1.9415837455558564</v>
      </c>
      <c r="X192" s="433">
        <f t="shared" si="110"/>
        <v>2.0820594439975477</v>
      </c>
      <c r="Y192" s="433">
        <f t="shared" si="110"/>
        <v>2.1429650144217764</v>
      </c>
      <c r="Z192" s="433">
        <f t="shared" si="110"/>
        <v>2.0409379147604718</v>
      </c>
      <c r="AA192" s="433">
        <f t="shared" si="110"/>
        <v>2.1709104883111436</v>
      </c>
      <c r="AB192" s="433">
        <f t="shared" si="110"/>
        <v>2.307915392108979</v>
      </c>
      <c r="AC192" s="433">
        <f t="shared" si="110"/>
        <v>2.6818278571410339</v>
      </c>
      <c r="AD192" s="433">
        <f t="shared" si="110"/>
        <v>3.0835739181318469</v>
      </c>
      <c r="AE192" s="433">
        <f t="shared" si="110"/>
        <v>2.9981602031582302</v>
      </c>
      <c r="AF192" s="433">
        <f t="shared" si="110"/>
        <v>3.0304632247961396</v>
      </c>
      <c r="AG192" s="433">
        <f t="shared" si="110"/>
        <v>2.5867593062440206</v>
      </c>
      <c r="AH192" s="433">
        <f t="shared" si="110"/>
        <v>2.9327074027907405</v>
      </c>
      <c r="AI192" s="433">
        <f t="shared" si="110"/>
        <v>2.7899561343463106</v>
      </c>
      <c r="AJ192" s="433">
        <f t="shared" si="110"/>
        <v>3.1414393346352956</v>
      </c>
      <c r="AK192" s="433">
        <f t="shared" si="110"/>
        <v>3.2604350932930011</v>
      </c>
      <c r="AL192" s="433">
        <f t="shared" si="110"/>
        <v>3.3593191947838279</v>
      </c>
      <c r="AM192" s="433"/>
    </row>
    <row r="193" spans="1:39" ht="15.75" customHeight="1" x14ac:dyDescent="0.25">
      <c r="A193" s="194"/>
      <c r="B193" s="194"/>
      <c r="C193" s="194"/>
      <c r="D193" s="194"/>
      <c r="E193" s="194"/>
      <c r="F193" s="194"/>
      <c r="G193" s="194"/>
      <c r="H193" s="194"/>
      <c r="I193" s="194"/>
      <c r="J193" s="194"/>
      <c r="K193" s="194"/>
      <c r="L193" s="194"/>
      <c r="M193" s="194"/>
      <c r="N193" s="194"/>
      <c r="O193" s="194"/>
      <c r="P193" s="194"/>
      <c r="Q193" s="194"/>
      <c r="R193" s="194"/>
      <c r="S193" s="194"/>
      <c r="T193" s="194"/>
      <c r="U193" s="194"/>
      <c r="V193" s="194"/>
      <c r="W193" s="194"/>
      <c r="X193" s="194"/>
      <c r="Y193" s="194"/>
      <c r="Z193" s="194"/>
      <c r="AA193" s="194"/>
      <c r="AB193" s="194"/>
      <c r="AC193" s="194"/>
      <c r="AD193" s="194"/>
      <c r="AE193" s="194"/>
      <c r="AF193" s="194"/>
      <c r="AG193" s="194"/>
      <c r="AH193" s="194"/>
      <c r="AI193" s="194"/>
      <c r="AJ193" s="194"/>
      <c r="AK193" s="194"/>
      <c r="AL193" s="194"/>
      <c r="AM193" s="194"/>
    </row>
    <row r="194" spans="1:39" ht="15.75" customHeight="1" x14ac:dyDescent="0.25">
      <c r="A194" s="194"/>
      <c r="B194" s="435" t="s">
        <v>7</v>
      </c>
      <c r="C194" s="436"/>
      <c r="D194" s="436"/>
      <c r="E194" s="436"/>
      <c r="F194" s="436"/>
      <c r="G194" s="436"/>
      <c r="H194" s="436"/>
      <c r="I194" s="436"/>
      <c r="J194" s="436"/>
      <c r="K194" s="436"/>
      <c r="L194" s="436"/>
      <c r="M194" s="436"/>
      <c r="N194" s="436"/>
      <c r="O194" s="436"/>
      <c r="P194" s="436"/>
      <c r="Q194" s="436"/>
      <c r="R194" s="436"/>
      <c r="S194" s="436"/>
      <c r="T194" s="436"/>
      <c r="U194" s="436"/>
      <c r="V194" s="436"/>
      <c r="W194" s="436"/>
      <c r="X194" s="436"/>
      <c r="Y194" s="436"/>
      <c r="Z194" s="436"/>
      <c r="AA194" s="436"/>
      <c r="AB194" s="436"/>
      <c r="AC194" s="436"/>
      <c r="AD194" s="436"/>
      <c r="AE194" s="436"/>
      <c r="AF194" s="436"/>
      <c r="AG194" s="436"/>
      <c r="AH194" s="436"/>
      <c r="AI194" s="436"/>
      <c r="AJ194" s="436"/>
      <c r="AK194" s="436"/>
      <c r="AL194" s="436"/>
      <c r="AM194" s="439"/>
    </row>
    <row r="195" spans="1:39" ht="15.75" customHeight="1" x14ac:dyDescent="0.25">
      <c r="A195" s="194"/>
      <c r="B195" s="432" t="s">
        <v>1102</v>
      </c>
      <c r="C195" s="194"/>
      <c r="D195" s="432"/>
      <c r="E195" s="432"/>
      <c r="F195" s="432" t="s">
        <v>1106</v>
      </c>
      <c r="G195" s="432" t="s">
        <v>1107</v>
      </c>
      <c r="H195" s="432" t="s">
        <v>1108</v>
      </c>
      <c r="I195" s="432" t="s">
        <v>1109</v>
      </c>
      <c r="J195" s="432" t="s">
        <v>1110</v>
      </c>
      <c r="K195" s="432" t="s">
        <v>1111</v>
      </c>
      <c r="L195" s="432" t="s">
        <v>1112</v>
      </c>
      <c r="M195" s="432" t="s">
        <v>1113</v>
      </c>
      <c r="N195" s="432" t="s">
        <v>1114</v>
      </c>
      <c r="O195" s="432" t="s">
        <v>1115</v>
      </c>
      <c r="P195" s="432" t="s">
        <v>1116</v>
      </c>
      <c r="Q195" s="432" t="s">
        <v>1117</v>
      </c>
      <c r="R195" s="432" t="s">
        <v>1118</v>
      </c>
      <c r="S195" s="432" t="s">
        <v>1119</v>
      </c>
      <c r="T195" s="432" t="s">
        <v>1120</v>
      </c>
      <c r="U195" s="432" t="s">
        <v>1121</v>
      </c>
      <c r="V195" s="432" t="s">
        <v>1122</v>
      </c>
      <c r="W195" s="432" t="s">
        <v>1123</v>
      </c>
      <c r="X195" s="432" t="s">
        <v>1124</v>
      </c>
      <c r="Y195" s="432" t="s">
        <v>1125</v>
      </c>
      <c r="Z195" s="432" t="s">
        <v>1126</v>
      </c>
      <c r="AA195" s="432" t="s">
        <v>1127</v>
      </c>
      <c r="AB195" s="432" t="s">
        <v>1128</v>
      </c>
      <c r="AC195" s="432" t="s">
        <v>1129</v>
      </c>
      <c r="AD195" s="432" t="s">
        <v>1130</v>
      </c>
      <c r="AE195" s="432" t="s">
        <v>1131</v>
      </c>
      <c r="AF195" s="432" t="s">
        <v>1132</v>
      </c>
      <c r="AG195" s="432" t="s">
        <v>1133</v>
      </c>
      <c r="AH195" s="432" t="s">
        <v>1134</v>
      </c>
      <c r="AI195" s="432" t="s">
        <v>1135</v>
      </c>
      <c r="AJ195" s="432" t="s">
        <v>1136</v>
      </c>
      <c r="AK195" s="432" t="s">
        <v>1137</v>
      </c>
      <c r="AL195" s="432" t="s">
        <v>1138</v>
      </c>
      <c r="AM195" s="432"/>
    </row>
    <row r="196" spans="1:39" ht="15.75" customHeight="1" x14ac:dyDescent="0.25">
      <c r="A196" s="194"/>
      <c r="B196" s="194" t="s">
        <v>1139</v>
      </c>
      <c r="C196" s="194"/>
      <c r="D196" s="194"/>
      <c r="E196" s="194"/>
      <c r="F196" s="433">
        <f t="shared" ref="F196:AL196" si="111">SUMIF($B$106:$B$139,$B196,F$106:F$139)</f>
        <v>0</v>
      </c>
      <c r="G196" s="433">
        <f t="shared" si="111"/>
        <v>0</v>
      </c>
      <c r="H196" s="433">
        <f t="shared" si="111"/>
        <v>0</v>
      </c>
      <c r="I196" s="433">
        <f t="shared" si="111"/>
        <v>0</v>
      </c>
      <c r="J196" s="433">
        <f t="shared" si="111"/>
        <v>2.2531959001633438E-4</v>
      </c>
      <c r="K196" s="433">
        <f t="shared" si="111"/>
        <v>1.8985748548723165E-3</v>
      </c>
      <c r="L196" s="433">
        <f t="shared" si="111"/>
        <v>4.648655015856513E-3</v>
      </c>
      <c r="M196" s="433">
        <f t="shared" si="111"/>
        <v>8.9132963952210185E-3</v>
      </c>
      <c r="N196" s="433">
        <f t="shared" si="111"/>
        <v>1.4382161901083971E-2</v>
      </c>
      <c r="O196" s="433">
        <f t="shared" si="111"/>
        <v>2.1842060851323321E-2</v>
      </c>
      <c r="P196" s="433">
        <f t="shared" si="111"/>
        <v>2.9067430910941071E-2</v>
      </c>
      <c r="Q196" s="433">
        <f t="shared" si="111"/>
        <v>3.6040219336160112E-2</v>
      </c>
      <c r="R196" s="433">
        <f t="shared" si="111"/>
        <v>4.274983472073967E-2</v>
      </c>
      <c r="S196" s="433">
        <f t="shared" si="111"/>
        <v>4.8048153484639838E-2</v>
      </c>
      <c r="T196" s="433">
        <f t="shared" si="111"/>
        <v>5.3146620296594324E-2</v>
      </c>
      <c r="U196" s="433">
        <f t="shared" si="111"/>
        <v>5.7998595925985705E-2</v>
      </c>
      <c r="V196" s="433">
        <f t="shared" si="111"/>
        <v>6.2679765150384231E-2</v>
      </c>
      <c r="W196" s="433">
        <f t="shared" si="111"/>
        <v>6.7164097892557881E-2</v>
      </c>
      <c r="X196" s="433">
        <f t="shared" si="111"/>
        <v>7.1584721474075949E-2</v>
      </c>
      <c r="Y196" s="433">
        <f t="shared" si="111"/>
        <v>7.4851019111901534E-2</v>
      </c>
      <c r="Z196" s="433">
        <f t="shared" si="111"/>
        <v>7.9217293776869729E-2</v>
      </c>
      <c r="AA196" s="433">
        <f t="shared" si="111"/>
        <v>8.4181097728966911E-2</v>
      </c>
      <c r="AB196" s="433">
        <f t="shared" si="111"/>
        <v>8.933108208012025E-2</v>
      </c>
      <c r="AC196" s="433">
        <f t="shared" si="111"/>
        <v>9.3999519696495962E-2</v>
      </c>
      <c r="AD196" s="433">
        <f t="shared" si="111"/>
        <v>9.9902062900628294E-2</v>
      </c>
      <c r="AE196" s="433">
        <f t="shared" si="111"/>
        <v>0.10310174756227371</v>
      </c>
      <c r="AF196" s="433">
        <f t="shared" si="111"/>
        <v>0.10827317461763945</v>
      </c>
      <c r="AG196" s="433">
        <f t="shared" si="111"/>
        <v>0.11012268685955937</v>
      </c>
      <c r="AH196" s="433">
        <f t="shared" si="111"/>
        <v>0.1152022054339793</v>
      </c>
      <c r="AI196" s="433">
        <f t="shared" si="111"/>
        <v>0.11738708022370123</v>
      </c>
      <c r="AJ196" s="433">
        <f t="shared" si="111"/>
        <v>0.12231829960807922</v>
      </c>
      <c r="AK196" s="433">
        <f t="shared" si="111"/>
        <v>0.12484972070318319</v>
      </c>
      <c r="AL196" s="433">
        <f t="shared" si="111"/>
        <v>0.12697370798703797</v>
      </c>
      <c r="AM196" s="433"/>
    </row>
    <row r="197" spans="1:39" ht="15.75" customHeight="1" x14ac:dyDescent="0.25">
      <c r="A197" s="194"/>
      <c r="B197" s="194" t="s">
        <v>1141</v>
      </c>
      <c r="C197" s="194"/>
      <c r="D197" s="194"/>
      <c r="E197" s="194"/>
      <c r="F197" s="433">
        <f t="shared" ref="F197:AL197" si="112">SUMIF($B$106:$B$139,$B197,F$106:F$139)</f>
        <v>3.9327343564504247E-4</v>
      </c>
      <c r="G197" s="433">
        <f t="shared" si="112"/>
        <v>6.2173781228603241E-4</v>
      </c>
      <c r="H197" s="433">
        <f t="shared" si="112"/>
        <v>8.6989910902381703E-4</v>
      </c>
      <c r="I197" s="433">
        <f t="shared" si="112"/>
        <v>1.1384849336587891E-3</v>
      </c>
      <c r="J197" s="433">
        <f t="shared" si="112"/>
        <v>1.2263031872382178E-3</v>
      </c>
      <c r="K197" s="433">
        <f t="shared" si="112"/>
        <v>2.2341864636669425E-3</v>
      </c>
      <c r="L197" s="433">
        <f t="shared" si="112"/>
        <v>5.0777948966257494E-3</v>
      </c>
      <c r="M197" s="433">
        <f t="shared" si="112"/>
        <v>8.0681376463361421E-3</v>
      </c>
      <c r="N197" s="433">
        <f t="shared" si="112"/>
        <v>1.1234144989794165E-2</v>
      </c>
      <c r="O197" s="433">
        <f t="shared" si="112"/>
        <v>1.454384474290716E-2</v>
      </c>
      <c r="P197" s="433">
        <f t="shared" si="112"/>
        <v>1.5636726823552619E-2</v>
      </c>
      <c r="Q197" s="433">
        <f t="shared" si="112"/>
        <v>1.8754056972157207E-2</v>
      </c>
      <c r="R197" s="433">
        <f t="shared" si="112"/>
        <v>8.3039563851275436E-2</v>
      </c>
      <c r="S197" s="433">
        <f t="shared" si="112"/>
        <v>0.15858412316071308</v>
      </c>
      <c r="T197" s="433">
        <f t="shared" si="112"/>
        <v>0.17801675641294384</v>
      </c>
      <c r="U197" s="433">
        <f t="shared" si="112"/>
        <v>0.19783956688751969</v>
      </c>
      <c r="V197" s="433">
        <f t="shared" si="112"/>
        <v>0.2180178249244426</v>
      </c>
      <c r="W197" s="433">
        <f t="shared" si="112"/>
        <v>0.23850072584354243</v>
      </c>
      <c r="X197" s="433">
        <f t="shared" si="112"/>
        <v>0.25847717193282527</v>
      </c>
      <c r="Y197" s="433">
        <f t="shared" si="112"/>
        <v>0.34069588541130308</v>
      </c>
      <c r="Z197" s="433">
        <f t="shared" si="112"/>
        <v>0.40526188127954538</v>
      </c>
      <c r="AA197" s="433">
        <f t="shared" si="112"/>
        <v>0.44093771175946661</v>
      </c>
      <c r="AB197" s="433">
        <f t="shared" si="112"/>
        <v>0.47659029630339478</v>
      </c>
      <c r="AC197" s="433">
        <f t="shared" si="112"/>
        <v>0.58181440896059722</v>
      </c>
      <c r="AD197" s="433">
        <f t="shared" si="112"/>
        <v>0.67323995097359934</v>
      </c>
      <c r="AE197" s="433">
        <f t="shared" si="112"/>
        <v>0.73237449485083139</v>
      </c>
      <c r="AF197" s="433">
        <f t="shared" si="112"/>
        <v>0.75866591041651832</v>
      </c>
      <c r="AG197" s="433">
        <f t="shared" si="112"/>
        <v>0.7536156225895595</v>
      </c>
      <c r="AH197" s="433">
        <f t="shared" si="112"/>
        <v>0.80786474735060798</v>
      </c>
      <c r="AI197" s="433">
        <f t="shared" si="112"/>
        <v>0.79377634254903973</v>
      </c>
      <c r="AJ197" s="433">
        <f t="shared" si="112"/>
        <v>0.81582316036593694</v>
      </c>
      <c r="AK197" s="433">
        <f t="shared" si="112"/>
        <v>0.63658559968821615</v>
      </c>
      <c r="AL197" s="433">
        <f t="shared" si="112"/>
        <v>0.68784709642993924</v>
      </c>
      <c r="AM197" s="433"/>
    </row>
    <row r="198" spans="1:39" ht="15.75" customHeight="1" x14ac:dyDescent="0.25">
      <c r="A198" s="194"/>
      <c r="B198" s="194" t="s">
        <v>1146</v>
      </c>
      <c r="C198" s="194"/>
      <c r="D198" s="194"/>
      <c r="E198" s="194"/>
      <c r="F198" s="433">
        <f t="shared" ref="F198:AL198" si="113">SUMIF($B$106:$B$139,$B198,F$106:F$139)</f>
        <v>0</v>
      </c>
      <c r="G198" s="433">
        <f t="shared" si="113"/>
        <v>0</v>
      </c>
      <c r="H198" s="433">
        <f t="shared" si="113"/>
        <v>0</v>
      </c>
      <c r="I198" s="433">
        <f t="shared" si="113"/>
        <v>0</v>
      </c>
      <c r="J198" s="433">
        <f t="shared" si="113"/>
        <v>0</v>
      </c>
      <c r="K198" s="433">
        <f t="shared" si="113"/>
        <v>0</v>
      </c>
      <c r="L198" s="433">
        <f t="shared" si="113"/>
        <v>0</v>
      </c>
      <c r="M198" s="433">
        <f t="shared" si="113"/>
        <v>1.0265856810236431E-3</v>
      </c>
      <c r="N198" s="433">
        <f t="shared" si="113"/>
        <v>2.0786189220123263E-3</v>
      </c>
      <c r="O198" s="433">
        <f t="shared" si="113"/>
        <v>3.1542956911043947E-3</v>
      </c>
      <c r="P198" s="433">
        <f t="shared" si="113"/>
        <v>4.3679136644395287E-3</v>
      </c>
      <c r="Q198" s="433">
        <f t="shared" si="113"/>
        <v>9.9892484359226531E-3</v>
      </c>
      <c r="R198" s="433">
        <f t="shared" si="113"/>
        <v>1.578843026236286E-2</v>
      </c>
      <c r="S198" s="433">
        <f t="shared" si="113"/>
        <v>2.1731762555677086E-2</v>
      </c>
      <c r="T198" s="433">
        <f t="shared" si="113"/>
        <v>2.7859797127108493E-2</v>
      </c>
      <c r="U198" s="433">
        <f t="shared" si="113"/>
        <v>3.4165564147281502E-2</v>
      </c>
      <c r="V198" s="433">
        <f t="shared" si="113"/>
        <v>4.0574395420222648E-2</v>
      </c>
      <c r="W198" s="433">
        <f t="shared" si="113"/>
        <v>5.0513422592468347E-2</v>
      </c>
      <c r="X198" s="433">
        <f t="shared" si="113"/>
        <v>5.9381021566350459E-2</v>
      </c>
      <c r="Y198" s="433">
        <f t="shared" si="113"/>
        <v>6.7447661133220427E-2</v>
      </c>
      <c r="Z198" s="433">
        <f t="shared" si="113"/>
        <v>6.8484330641659028E-2</v>
      </c>
      <c r="AA198" s="433">
        <f t="shared" si="113"/>
        <v>7.706678827728132E-2</v>
      </c>
      <c r="AB198" s="433">
        <f t="shared" si="113"/>
        <v>7.7176997395955876E-2</v>
      </c>
      <c r="AC198" s="433">
        <f t="shared" si="113"/>
        <v>9.0519803072835303E-2</v>
      </c>
      <c r="AD198" s="433">
        <f t="shared" si="113"/>
        <v>9.3456923873118755E-2</v>
      </c>
      <c r="AE198" s="433">
        <f t="shared" si="113"/>
        <v>8.1345252364232359E-2</v>
      </c>
      <c r="AF198" s="433">
        <f t="shared" si="113"/>
        <v>9.6271194273896687E-2</v>
      </c>
      <c r="AG198" s="433">
        <f t="shared" si="113"/>
        <v>0.10527792570724789</v>
      </c>
      <c r="AH198" s="433">
        <f t="shared" si="113"/>
        <v>0.13068643421240492</v>
      </c>
      <c r="AI198" s="433">
        <f t="shared" si="113"/>
        <v>0.12974927423624702</v>
      </c>
      <c r="AJ198" s="433">
        <f t="shared" si="113"/>
        <v>0.14255804693816052</v>
      </c>
      <c r="AK198" s="433">
        <f t="shared" si="113"/>
        <v>0.14469866335032128</v>
      </c>
      <c r="AL198" s="433">
        <f t="shared" si="113"/>
        <v>8.7957538737625449E-2</v>
      </c>
      <c r="AM198" s="433"/>
    </row>
    <row r="199" spans="1:39" ht="15.75" customHeight="1" x14ac:dyDescent="0.25">
      <c r="A199" s="194"/>
      <c r="B199" s="194" t="s">
        <v>1147</v>
      </c>
      <c r="C199" s="194"/>
      <c r="D199" s="194"/>
      <c r="E199" s="194"/>
      <c r="F199" s="433">
        <f t="shared" ref="F199:AL199" si="114">SUMIF($B$106:$B$139,$B199,F$106:F$139)</f>
        <v>1.3754024600626417E-2</v>
      </c>
      <c r="G199" s="433">
        <f t="shared" si="114"/>
        <v>3.0150608716945367E-2</v>
      </c>
      <c r="H199" s="433">
        <f t="shared" si="114"/>
        <v>3.0078155851213689E-2</v>
      </c>
      <c r="I199" s="433">
        <f t="shared" si="114"/>
        <v>2.9979021610693629E-2</v>
      </c>
      <c r="J199" s="433">
        <f t="shared" si="114"/>
        <v>7.0793907646518758E-2</v>
      </c>
      <c r="K199" s="433">
        <f t="shared" si="114"/>
        <v>0.45344320064544663</v>
      </c>
      <c r="L199" s="433">
        <f t="shared" si="114"/>
        <v>0.52277830923215485</v>
      </c>
      <c r="M199" s="433">
        <f t="shared" si="114"/>
        <v>0.58395383793974109</v>
      </c>
      <c r="N199" s="433">
        <f t="shared" si="114"/>
        <v>0.61710980031894913</v>
      </c>
      <c r="O199" s="433">
        <f t="shared" si="114"/>
        <v>0.63596794510094878</v>
      </c>
      <c r="P199" s="433">
        <f t="shared" si="114"/>
        <v>0.64549443701904807</v>
      </c>
      <c r="Q199" s="433">
        <f t="shared" si="114"/>
        <v>0.62675495060457076</v>
      </c>
      <c r="R199" s="433">
        <f t="shared" si="114"/>
        <v>0.60362369997230636</v>
      </c>
      <c r="S199" s="433">
        <f t="shared" si="114"/>
        <v>0.57969125442886604</v>
      </c>
      <c r="T199" s="433">
        <f t="shared" si="114"/>
        <v>0.55105020234334046</v>
      </c>
      <c r="U199" s="433">
        <f t="shared" si="114"/>
        <v>0.52179685753000404</v>
      </c>
      <c r="V199" s="433">
        <f t="shared" si="114"/>
        <v>0.55528263417083401</v>
      </c>
      <c r="W199" s="433">
        <f t="shared" si="114"/>
        <v>0.59268693103549286</v>
      </c>
      <c r="X199" s="433">
        <f t="shared" si="114"/>
        <v>0.6254444630913969</v>
      </c>
      <c r="Y199" s="433">
        <f t="shared" si="114"/>
        <v>0.68942619849565789</v>
      </c>
      <c r="Z199" s="433">
        <f t="shared" si="114"/>
        <v>0.68902865134470392</v>
      </c>
      <c r="AA199" s="433">
        <f t="shared" si="114"/>
        <v>0.73669328260570599</v>
      </c>
      <c r="AB199" s="433">
        <f t="shared" si="114"/>
        <v>0.78083333924184029</v>
      </c>
      <c r="AC199" s="433">
        <f t="shared" si="114"/>
        <v>0.98279437144076376</v>
      </c>
      <c r="AD199" s="433">
        <f t="shared" si="114"/>
        <v>1.1372744136819573</v>
      </c>
      <c r="AE199" s="433">
        <f t="shared" si="114"/>
        <v>1.1254299566868868</v>
      </c>
      <c r="AF199" s="433">
        <f t="shared" si="114"/>
        <v>0.98966709607764902</v>
      </c>
      <c r="AG199" s="433">
        <f t="shared" si="114"/>
        <v>0.83167677424756892</v>
      </c>
      <c r="AH199" s="433">
        <f t="shared" si="114"/>
        <v>0.8162586630382751</v>
      </c>
      <c r="AI199" s="433">
        <f t="shared" si="114"/>
        <v>0.8155057840497888</v>
      </c>
      <c r="AJ199" s="433">
        <f t="shared" si="114"/>
        <v>0.90178642565622547</v>
      </c>
      <c r="AK199" s="433">
        <f t="shared" si="114"/>
        <v>0.92111830538142159</v>
      </c>
      <c r="AL199" s="433">
        <f t="shared" si="114"/>
        <v>0.93895564498199602</v>
      </c>
      <c r="AM199" s="433"/>
    </row>
    <row r="200" spans="1:39" ht="15.75" customHeight="1" x14ac:dyDescent="0.25">
      <c r="A200" s="194"/>
      <c r="B200" s="194" t="s">
        <v>1142</v>
      </c>
      <c r="C200" s="194"/>
      <c r="D200" s="194"/>
      <c r="E200" s="194"/>
      <c r="F200" s="433">
        <f t="shared" ref="F200:AL200" si="115">SUMIF($B$106:$B$139,$B200,F$106:F$139)</f>
        <v>9.2553356028839866E-4</v>
      </c>
      <c r="G200" s="433">
        <f t="shared" si="115"/>
        <v>9.6397269673783909E-4</v>
      </c>
      <c r="H200" s="433">
        <f t="shared" si="115"/>
        <v>5.610842608881967E-2</v>
      </c>
      <c r="I200" s="433">
        <f t="shared" si="115"/>
        <v>0.24693986785476632</v>
      </c>
      <c r="J200" s="433">
        <f t="shared" si="115"/>
        <v>0.60100932411790986</v>
      </c>
      <c r="K200" s="433">
        <f t="shared" si="115"/>
        <v>0.96241589655495507</v>
      </c>
      <c r="L200" s="433">
        <f t="shared" si="115"/>
        <v>1.4049123266706534</v>
      </c>
      <c r="M200" s="433">
        <f t="shared" si="115"/>
        <v>1.8751369137426979</v>
      </c>
      <c r="N200" s="433">
        <f t="shared" si="115"/>
        <v>2.2204128462817683</v>
      </c>
      <c r="O200" s="433">
        <f t="shared" si="115"/>
        <v>2.5821488279927816</v>
      </c>
      <c r="P200" s="433">
        <f t="shared" si="115"/>
        <v>2.9189118708682229</v>
      </c>
      <c r="Q200" s="433">
        <f t="shared" si="115"/>
        <v>3.2692028584734931</v>
      </c>
      <c r="R200" s="433">
        <f t="shared" si="115"/>
        <v>3.4739200548021576</v>
      </c>
      <c r="S200" s="433">
        <f t="shared" si="115"/>
        <v>3.6462640497823595</v>
      </c>
      <c r="T200" s="433">
        <f t="shared" si="115"/>
        <v>3.8295988790399069</v>
      </c>
      <c r="U200" s="433">
        <f t="shared" si="115"/>
        <v>4.0238314212349691</v>
      </c>
      <c r="V200" s="433">
        <f t="shared" si="115"/>
        <v>4.2344154806920145</v>
      </c>
      <c r="W200" s="433">
        <f t="shared" si="115"/>
        <v>4.4601126046855688</v>
      </c>
      <c r="X200" s="433">
        <f t="shared" si="115"/>
        <v>4.7211175572298947</v>
      </c>
      <c r="Y200" s="433">
        <f t="shared" si="115"/>
        <v>4.7135913060135177</v>
      </c>
      <c r="Z200" s="433">
        <f t="shared" si="115"/>
        <v>4.261372236115367</v>
      </c>
      <c r="AA200" s="433">
        <f t="shared" si="115"/>
        <v>4.3817205589222299</v>
      </c>
      <c r="AB200" s="433">
        <f t="shared" si="115"/>
        <v>4.5056272434025004</v>
      </c>
      <c r="AC200" s="433">
        <f t="shared" si="115"/>
        <v>5.2023895248053798</v>
      </c>
      <c r="AD200" s="433">
        <f t="shared" si="115"/>
        <v>5.9382003736185744</v>
      </c>
      <c r="AE200" s="433">
        <f t="shared" si="115"/>
        <v>5.6432345241311541</v>
      </c>
      <c r="AF200" s="433">
        <f t="shared" si="115"/>
        <v>5.6705306707400585</v>
      </c>
      <c r="AG200" s="433">
        <f t="shared" si="115"/>
        <v>4.7582760285435226</v>
      </c>
      <c r="AH200" s="433">
        <f t="shared" si="115"/>
        <v>5.4577498809803888</v>
      </c>
      <c r="AI200" s="433">
        <f t="shared" si="115"/>
        <v>5.1680493652627266</v>
      </c>
      <c r="AJ200" s="433">
        <f t="shared" si="115"/>
        <v>5.9155006909050591</v>
      </c>
      <c r="AK200" s="433">
        <f t="shared" si="115"/>
        <v>6.3046556470029351</v>
      </c>
      <c r="AL200" s="433">
        <f t="shared" si="115"/>
        <v>6.51392494021343</v>
      </c>
      <c r="AM200" s="433"/>
    </row>
    <row r="201" spans="1:39" ht="15.75" customHeight="1" x14ac:dyDescent="0.25">
      <c r="A201" s="194"/>
      <c r="B201" s="194" t="s">
        <v>1155</v>
      </c>
      <c r="C201" s="194"/>
      <c r="D201" s="194"/>
      <c r="E201" s="194"/>
      <c r="F201" s="433">
        <f t="shared" ref="F201:AL201" si="116">SUMIF($B$106:$B$139,$B201,F$106:F$139)</f>
        <v>0</v>
      </c>
      <c r="G201" s="433">
        <f t="shared" si="116"/>
        <v>0</v>
      </c>
      <c r="H201" s="433">
        <f t="shared" si="116"/>
        <v>0</v>
      </c>
      <c r="I201" s="433">
        <f t="shared" si="116"/>
        <v>0</v>
      </c>
      <c r="J201" s="433">
        <f t="shared" si="116"/>
        <v>0</v>
      </c>
      <c r="K201" s="433">
        <f t="shared" si="116"/>
        <v>5.9431023392928786E-2</v>
      </c>
      <c r="L201" s="433">
        <f t="shared" si="116"/>
        <v>0.1291781911585925</v>
      </c>
      <c r="M201" s="433">
        <f t="shared" si="116"/>
        <v>0.13983905904387151</v>
      </c>
      <c r="N201" s="433">
        <f t="shared" si="116"/>
        <v>0.14227027414622379</v>
      </c>
      <c r="O201" s="433">
        <f t="shared" si="116"/>
        <v>0.14484235388896705</v>
      </c>
      <c r="P201" s="433">
        <f t="shared" si="116"/>
        <v>0.13257762138439705</v>
      </c>
      <c r="Q201" s="433">
        <f t="shared" si="116"/>
        <v>0.12008019359977594</v>
      </c>
      <c r="R201" s="433">
        <f t="shared" si="116"/>
        <v>0.10705602545082554</v>
      </c>
      <c r="S201" s="433">
        <f t="shared" si="116"/>
        <v>9.3244951960560318E-2</v>
      </c>
      <c r="T201" s="433">
        <f t="shared" si="116"/>
        <v>9.5116931889525705E-2</v>
      </c>
      <c r="U201" s="433">
        <f t="shared" si="116"/>
        <v>9.5438656111496656E-2</v>
      </c>
      <c r="V201" s="433">
        <f t="shared" si="116"/>
        <v>9.5514311759381881E-2</v>
      </c>
      <c r="W201" s="433">
        <f t="shared" si="116"/>
        <v>9.5433047980709437E-2</v>
      </c>
      <c r="X201" s="433">
        <f t="shared" si="116"/>
        <v>9.5419820336065303E-2</v>
      </c>
      <c r="Y201" s="433">
        <f t="shared" si="116"/>
        <v>9.5673661380565253E-2</v>
      </c>
      <c r="Z201" s="433">
        <f t="shared" si="116"/>
        <v>9.7784910218402188E-2</v>
      </c>
      <c r="AA201" s="433">
        <f t="shared" si="116"/>
        <v>9.9921397701715681E-2</v>
      </c>
      <c r="AB201" s="433">
        <f t="shared" si="116"/>
        <v>0.10203318234352711</v>
      </c>
      <c r="AC201" s="433">
        <f t="shared" si="116"/>
        <v>0.10402426790930927</v>
      </c>
      <c r="AD201" s="433">
        <f t="shared" si="116"/>
        <v>0.1059779153224492</v>
      </c>
      <c r="AE201" s="433">
        <f t="shared" si="116"/>
        <v>0.10784682703532115</v>
      </c>
      <c r="AF201" s="433">
        <f t="shared" si="116"/>
        <v>0.10957893647893663</v>
      </c>
      <c r="AG201" s="433">
        <f t="shared" si="116"/>
        <v>0.11149353166092983</v>
      </c>
      <c r="AH201" s="433">
        <f t="shared" si="116"/>
        <v>0.11344031123521195</v>
      </c>
      <c r="AI201" s="433">
        <f t="shared" si="116"/>
        <v>0.11543415356406504</v>
      </c>
      <c r="AJ201" s="433">
        <f t="shared" si="116"/>
        <v>0.11887177959295113</v>
      </c>
      <c r="AK201" s="433">
        <f t="shared" si="116"/>
        <v>0.12109653922267896</v>
      </c>
      <c r="AL201" s="433">
        <f t="shared" si="116"/>
        <v>0.12287478918635014</v>
      </c>
      <c r="AM201" s="433"/>
    </row>
    <row r="202" spans="1:39" ht="15.75" customHeight="1" x14ac:dyDescent="0.25">
      <c r="A202" s="194"/>
      <c r="B202" s="194"/>
      <c r="C202" s="194"/>
      <c r="D202" s="194"/>
      <c r="E202" s="194"/>
      <c r="F202" s="433"/>
      <c r="G202" s="433"/>
      <c r="H202" s="433"/>
      <c r="I202" s="433"/>
      <c r="J202" s="433"/>
      <c r="K202" s="433"/>
      <c r="L202" s="433"/>
      <c r="M202" s="433"/>
      <c r="N202" s="433"/>
      <c r="O202" s="433"/>
      <c r="P202" s="433"/>
      <c r="Q202" s="433"/>
      <c r="R202" s="433"/>
      <c r="S202" s="433"/>
      <c r="T202" s="433"/>
      <c r="U202" s="433"/>
      <c r="V202" s="433"/>
      <c r="W202" s="433"/>
      <c r="X202" s="433"/>
      <c r="Y202" s="433"/>
      <c r="Z202" s="433"/>
      <c r="AA202" s="433"/>
      <c r="AB202" s="433"/>
      <c r="AC202" s="433"/>
      <c r="AD202" s="433"/>
      <c r="AE202" s="433"/>
      <c r="AF202" s="433"/>
      <c r="AG202" s="433"/>
      <c r="AH202" s="433"/>
      <c r="AI202" s="433"/>
      <c r="AJ202" s="433"/>
      <c r="AK202" s="433"/>
      <c r="AL202" s="433"/>
      <c r="AM202" s="433"/>
    </row>
    <row r="203" spans="1:39" ht="15.75" customHeight="1" x14ac:dyDescent="0.25">
      <c r="A203" s="194"/>
      <c r="B203" s="194" t="s">
        <v>1217</v>
      </c>
      <c r="C203" s="194"/>
      <c r="D203" s="194"/>
      <c r="E203" s="194"/>
      <c r="F203" s="433">
        <f t="shared" ref="F203:AL203" si="117">SUM(F196:F201)</f>
        <v>1.5072831596559857E-2</v>
      </c>
      <c r="G203" s="433">
        <f t="shared" si="117"/>
        <v>3.1736319225969235E-2</v>
      </c>
      <c r="H203" s="433">
        <f t="shared" si="117"/>
        <v>8.705648104905718E-2</v>
      </c>
      <c r="I203" s="433">
        <f t="shared" si="117"/>
        <v>0.27805737439911876</v>
      </c>
      <c r="J203" s="433">
        <f t="shared" si="117"/>
        <v>0.67325485454168321</v>
      </c>
      <c r="K203" s="433">
        <f t="shared" si="117"/>
        <v>1.4794228819118695</v>
      </c>
      <c r="L203" s="433">
        <f t="shared" si="117"/>
        <v>2.0665952769738829</v>
      </c>
      <c r="M203" s="433">
        <f t="shared" si="117"/>
        <v>2.6169378304488911</v>
      </c>
      <c r="N203" s="433">
        <f t="shared" si="117"/>
        <v>3.0074878465598318</v>
      </c>
      <c r="O203" s="433">
        <f t="shared" si="117"/>
        <v>3.4024993282680325</v>
      </c>
      <c r="P203" s="433">
        <f t="shared" si="117"/>
        <v>3.7460560006706012</v>
      </c>
      <c r="Q203" s="433">
        <f t="shared" si="117"/>
        <v>4.0808215274220796</v>
      </c>
      <c r="R203" s="433">
        <f t="shared" si="117"/>
        <v>4.3261776090596671</v>
      </c>
      <c r="S203" s="433">
        <f t="shared" si="117"/>
        <v>4.5475642953728164</v>
      </c>
      <c r="T203" s="433">
        <f t="shared" si="117"/>
        <v>4.7347891871094197</v>
      </c>
      <c r="U203" s="433">
        <f t="shared" si="117"/>
        <v>4.9310706618372562</v>
      </c>
      <c r="V203" s="433">
        <f t="shared" si="117"/>
        <v>5.2064844121172795</v>
      </c>
      <c r="W203" s="433">
        <f t="shared" si="117"/>
        <v>5.5044108300303396</v>
      </c>
      <c r="X203" s="433">
        <f t="shared" si="117"/>
        <v>5.8314247556306089</v>
      </c>
      <c r="Y203" s="433">
        <f t="shared" si="117"/>
        <v>5.9816857315461656</v>
      </c>
      <c r="Z203" s="433">
        <f t="shared" si="117"/>
        <v>5.6011493033765474</v>
      </c>
      <c r="AA203" s="433">
        <f t="shared" si="117"/>
        <v>5.8205208369953656</v>
      </c>
      <c r="AB203" s="433">
        <f t="shared" si="117"/>
        <v>6.031592140767339</v>
      </c>
      <c r="AC203" s="433">
        <f t="shared" si="117"/>
        <v>7.0555418958853808</v>
      </c>
      <c r="AD203" s="433">
        <f t="shared" si="117"/>
        <v>8.0480516403703284</v>
      </c>
      <c r="AE203" s="433">
        <f t="shared" si="117"/>
        <v>7.7933328026307001</v>
      </c>
      <c r="AF203" s="433">
        <f t="shared" si="117"/>
        <v>7.7329869826046993</v>
      </c>
      <c r="AG203" s="433">
        <f t="shared" si="117"/>
        <v>6.6704625696083877</v>
      </c>
      <c r="AH203" s="433">
        <f t="shared" si="117"/>
        <v>7.4412022422508679</v>
      </c>
      <c r="AI203" s="433">
        <f t="shared" si="117"/>
        <v>7.1399019998855682</v>
      </c>
      <c r="AJ203" s="433">
        <f t="shared" si="117"/>
        <v>8.0168584030664114</v>
      </c>
      <c r="AK203" s="433">
        <f t="shared" si="117"/>
        <v>8.2530044753487566</v>
      </c>
      <c r="AL203" s="433">
        <f t="shared" si="117"/>
        <v>8.4785337175363775</v>
      </c>
      <c r="AM203" s="433"/>
    </row>
    <row r="204" spans="1:39" ht="15.75" customHeight="1" x14ac:dyDescent="0.25">
      <c r="A204" s="194"/>
      <c r="B204" s="194"/>
      <c r="C204" s="194"/>
      <c r="D204" s="194"/>
      <c r="E204" s="194"/>
      <c r="F204" s="194"/>
      <c r="G204" s="194"/>
      <c r="H204" s="194"/>
      <c r="I204" s="194"/>
      <c r="J204" s="194"/>
      <c r="K204" s="194"/>
      <c r="L204" s="194"/>
      <c r="M204" s="194"/>
      <c r="N204" s="194"/>
      <c r="O204" s="194"/>
      <c r="P204" s="194"/>
      <c r="Q204" s="194"/>
      <c r="R204" s="194"/>
      <c r="S204" s="194"/>
      <c r="T204" s="194"/>
      <c r="U204" s="194"/>
      <c r="V204" s="194"/>
      <c r="W204" s="194"/>
      <c r="X204" s="194"/>
      <c r="Y204" s="194"/>
      <c r="Z204" s="194"/>
      <c r="AA204" s="194"/>
      <c r="AB204" s="194"/>
      <c r="AC204" s="194"/>
      <c r="AD204" s="194"/>
      <c r="AE204" s="194"/>
      <c r="AF204" s="194"/>
      <c r="AG204" s="194"/>
      <c r="AH204" s="194"/>
      <c r="AI204" s="194"/>
      <c r="AJ204" s="194"/>
      <c r="AK204" s="194"/>
      <c r="AL204" s="194"/>
      <c r="AM204" s="194"/>
    </row>
    <row r="205" spans="1:39" ht="15.75" customHeight="1" x14ac:dyDescent="0.25">
      <c r="A205" s="194"/>
      <c r="B205" s="194"/>
      <c r="C205" s="194"/>
      <c r="D205" s="194"/>
      <c r="E205" s="194"/>
      <c r="F205" s="194"/>
      <c r="G205" s="194"/>
      <c r="H205" s="194"/>
      <c r="I205" s="194"/>
      <c r="J205" s="194"/>
      <c r="K205" s="194"/>
      <c r="L205" s="194"/>
      <c r="M205" s="194"/>
      <c r="N205" s="194"/>
      <c r="O205" s="194"/>
      <c r="P205" s="194"/>
      <c r="Q205" s="194"/>
      <c r="R205" s="194"/>
      <c r="S205" s="194"/>
      <c r="T205" s="194"/>
      <c r="U205" s="194"/>
      <c r="V205" s="194"/>
      <c r="W205" s="194"/>
      <c r="X205" s="194"/>
      <c r="Y205" s="194"/>
      <c r="Z205" s="194"/>
      <c r="AA205" s="194"/>
      <c r="AB205" s="194"/>
      <c r="AC205" s="194"/>
      <c r="AD205" s="194"/>
      <c r="AE205" s="194"/>
      <c r="AF205" s="194"/>
      <c r="AG205" s="194"/>
      <c r="AH205" s="194"/>
      <c r="AI205" s="194"/>
      <c r="AJ205" s="194"/>
      <c r="AK205" s="194"/>
      <c r="AL205" s="194"/>
      <c r="AM205" s="194"/>
    </row>
    <row r="206" spans="1:39" ht="15.75" customHeight="1" x14ac:dyDescent="0.25">
      <c r="A206" s="194"/>
      <c r="B206" s="194"/>
      <c r="C206" s="194"/>
      <c r="D206" s="194"/>
      <c r="E206" s="194"/>
      <c r="F206" s="194"/>
      <c r="G206" s="194"/>
      <c r="H206" s="194"/>
      <c r="I206" s="194"/>
      <c r="J206" s="194"/>
      <c r="K206" s="194"/>
      <c r="L206" s="194"/>
      <c r="M206" s="194"/>
      <c r="N206" s="194"/>
      <c r="O206" s="194"/>
      <c r="P206" s="194"/>
      <c r="Q206" s="194"/>
      <c r="R206" s="194"/>
      <c r="S206" s="194"/>
      <c r="T206" s="194"/>
      <c r="U206" s="194"/>
      <c r="V206" s="194"/>
      <c r="W206" s="194"/>
      <c r="X206" s="194"/>
      <c r="Y206" s="194"/>
      <c r="Z206" s="194"/>
      <c r="AA206" s="194"/>
      <c r="AB206" s="194"/>
      <c r="AC206" s="194"/>
      <c r="AD206" s="194"/>
      <c r="AE206" s="194"/>
      <c r="AF206" s="194"/>
      <c r="AG206" s="194"/>
      <c r="AH206" s="194"/>
      <c r="AI206" s="194"/>
      <c r="AJ206" s="194"/>
      <c r="AK206" s="194"/>
      <c r="AL206" s="194"/>
      <c r="AM206" s="194"/>
    </row>
    <row r="207" spans="1:39" ht="15.75" customHeight="1" x14ac:dyDescent="0.25">
      <c r="A207" s="194"/>
      <c r="B207" s="194"/>
      <c r="C207" s="194"/>
      <c r="D207" s="194"/>
      <c r="E207" s="194"/>
      <c r="F207" s="194"/>
      <c r="G207" s="194"/>
      <c r="H207" s="194"/>
      <c r="I207" s="194"/>
      <c r="J207" s="194"/>
      <c r="K207" s="194"/>
      <c r="L207" s="194"/>
      <c r="M207" s="194"/>
      <c r="N207" s="194"/>
      <c r="O207" s="194"/>
      <c r="P207" s="194"/>
      <c r="Q207" s="194"/>
      <c r="R207" s="194"/>
      <c r="S207" s="194"/>
      <c r="T207" s="194"/>
      <c r="U207" s="194"/>
      <c r="V207" s="194"/>
      <c r="W207" s="194"/>
      <c r="X207" s="194"/>
      <c r="Y207" s="194"/>
      <c r="Z207" s="194"/>
      <c r="AA207" s="194"/>
      <c r="AB207" s="194"/>
      <c r="AC207" s="194"/>
      <c r="AD207" s="194"/>
      <c r="AE207" s="194"/>
      <c r="AF207" s="194"/>
      <c r="AG207" s="194"/>
      <c r="AH207" s="194"/>
      <c r="AI207" s="194"/>
      <c r="AJ207" s="194"/>
      <c r="AK207" s="194"/>
      <c r="AL207" s="194"/>
      <c r="AM207" s="194"/>
    </row>
    <row r="208" spans="1:39" ht="15.75" customHeight="1" x14ac:dyDescent="0.25">
      <c r="A208" s="194"/>
      <c r="B208" s="194"/>
      <c r="C208" s="194"/>
      <c r="D208" s="194"/>
      <c r="E208" s="194"/>
      <c r="F208" s="194"/>
      <c r="G208" s="194"/>
      <c r="H208" s="194"/>
      <c r="I208" s="194"/>
      <c r="J208" s="194"/>
      <c r="K208" s="194"/>
      <c r="L208" s="194"/>
      <c r="M208" s="194"/>
      <c r="N208" s="194"/>
      <c r="O208" s="194"/>
      <c r="P208" s="194"/>
      <c r="Q208" s="194"/>
      <c r="R208" s="194"/>
      <c r="S208" s="194"/>
      <c r="T208" s="194"/>
      <c r="U208" s="194"/>
      <c r="V208" s="194"/>
      <c r="W208" s="194"/>
      <c r="X208" s="194"/>
      <c r="Y208" s="194"/>
      <c r="Z208" s="194"/>
      <c r="AA208" s="194"/>
      <c r="AB208" s="194"/>
      <c r="AC208" s="194"/>
      <c r="AD208" s="194"/>
      <c r="AE208" s="194"/>
      <c r="AF208" s="194"/>
      <c r="AG208" s="194"/>
      <c r="AH208" s="194"/>
      <c r="AI208" s="194"/>
      <c r="AJ208" s="194"/>
      <c r="AK208" s="194"/>
      <c r="AL208" s="194"/>
      <c r="AM208" s="194"/>
    </row>
    <row r="209" spans="1:39" ht="15.75" customHeight="1" x14ac:dyDescent="0.25">
      <c r="A209" s="194"/>
      <c r="B209" s="194"/>
      <c r="C209" s="194"/>
      <c r="D209" s="194"/>
      <c r="E209" s="194"/>
      <c r="F209" s="194"/>
      <c r="G209" s="194"/>
      <c r="H209" s="194"/>
      <c r="I209" s="194"/>
      <c r="J209" s="194"/>
      <c r="K209" s="194"/>
      <c r="L209" s="194"/>
      <c r="M209" s="194"/>
      <c r="N209" s="194"/>
      <c r="O209" s="194"/>
      <c r="P209" s="194"/>
      <c r="Q209" s="194"/>
      <c r="R209" s="194"/>
      <c r="S209" s="194"/>
      <c r="T209" s="194"/>
      <c r="U209" s="194"/>
      <c r="V209" s="194"/>
      <c r="W209" s="194"/>
      <c r="X209" s="194"/>
      <c r="Y209" s="194"/>
      <c r="Z209" s="194"/>
      <c r="AA209" s="194"/>
      <c r="AB209" s="194"/>
      <c r="AC209" s="194"/>
      <c r="AD209" s="194"/>
      <c r="AE209" s="194"/>
      <c r="AF209" s="194"/>
      <c r="AG209" s="194"/>
      <c r="AH209" s="194"/>
      <c r="AI209" s="194"/>
      <c r="AJ209" s="194"/>
      <c r="AK209" s="194"/>
      <c r="AL209" s="194"/>
      <c r="AM209" s="194"/>
    </row>
    <row r="210" spans="1:39" ht="15.75" customHeight="1" x14ac:dyDescent="0.25">
      <c r="A210" s="194"/>
      <c r="B210" s="194"/>
      <c r="C210" s="194"/>
      <c r="D210" s="194"/>
      <c r="E210" s="194"/>
      <c r="F210" s="194"/>
      <c r="G210" s="194"/>
      <c r="H210" s="194"/>
      <c r="I210" s="194"/>
      <c r="J210" s="194"/>
      <c r="K210" s="194"/>
      <c r="L210" s="194"/>
      <c r="M210" s="194"/>
      <c r="N210" s="194"/>
      <c r="O210" s="194"/>
      <c r="P210" s="194"/>
      <c r="Q210" s="194"/>
      <c r="R210" s="194"/>
      <c r="S210" s="194"/>
      <c r="T210" s="194"/>
      <c r="U210" s="194"/>
      <c r="V210" s="194"/>
      <c r="W210" s="194"/>
      <c r="X210" s="194"/>
      <c r="Y210" s="194"/>
      <c r="Z210" s="194"/>
      <c r="AA210" s="194"/>
      <c r="AB210" s="194"/>
      <c r="AC210" s="194"/>
      <c r="AD210" s="194"/>
      <c r="AE210" s="194"/>
      <c r="AF210" s="194"/>
      <c r="AG210" s="194"/>
      <c r="AH210" s="194"/>
      <c r="AI210" s="194"/>
      <c r="AJ210" s="194"/>
      <c r="AK210" s="194"/>
      <c r="AL210" s="194"/>
      <c r="AM210" s="194"/>
    </row>
    <row r="211" spans="1:39" ht="15.75" customHeight="1" x14ac:dyDescent="0.25">
      <c r="A211" s="194"/>
      <c r="B211" s="194"/>
      <c r="C211" s="194"/>
      <c r="D211" s="194"/>
      <c r="E211" s="194"/>
      <c r="F211" s="194"/>
      <c r="G211" s="194"/>
      <c r="H211" s="194"/>
      <c r="I211" s="194"/>
      <c r="J211" s="194"/>
      <c r="K211" s="194"/>
      <c r="L211" s="194"/>
      <c r="M211" s="194"/>
      <c r="N211" s="194"/>
      <c r="O211" s="194"/>
      <c r="P211" s="194"/>
      <c r="Q211" s="194"/>
      <c r="R211" s="194"/>
      <c r="S211" s="194"/>
      <c r="T211" s="194"/>
      <c r="U211" s="194"/>
      <c r="V211" s="194"/>
      <c r="W211" s="194"/>
      <c r="X211" s="194"/>
      <c r="Y211" s="194"/>
      <c r="Z211" s="194"/>
      <c r="AA211" s="194"/>
      <c r="AB211" s="194"/>
      <c r="AC211" s="194"/>
      <c r="AD211" s="194"/>
      <c r="AE211" s="194"/>
      <c r="AF211" s="194"/>
      <c r="AG211" s="194"/>
      <c r="AH211" s="194"/>
      <c r="AI211" s="194"/>
      <c r="AJ211" s="194"/>
      <c r="AK211" s="194"/>
      <c r="AL211" s="194"/>
      <c r="AM211" s="194"/>
    </row>
    <row r="212" spans="1:39" ht="15.75" customHeight="1" x14ac:dyDescent="0.25">
      <c r="A212" s="194"/>
      <c r="B212" s="194"/>
      <c r="C212" s="194"/>
      <c r="D212" s="194"/>
      <c r="E212" s="194"/>
      <c r="F212" s="194"/>
      <c r="G212" s="194"/>
      <c r="H212" s="194"/>
      <c r="I212" s="194"/>
      <c r="J212" s="194"/>
      <c r="K212" s="194"/>
      <c r="L212" s="194"/>
      <c r="M212" s="194"/>
      <c r="N212" s="194"/>
      <c r="O212" s="194"/>
      <c r="P212" s="194"/>
      <c r="Q212" s="194"/>
      <c r="R212" s="194"/>
      <c r="S212" s="194"/>
      <c r="T212" s="194"/>
      <c r="U212" s="194"/>
      <c r="V212" s="194"/>
      <c r="W212" s="194"/>
      <c r="X212" s="194"/>
      <c r="Y212" s="194"/>
      <c r="Z212" s="194"/>
      <c r="AA212" s="194"/>
      <c r="AB212" s="194"/>
      <c r="AC212" s="194"/>
      <c r="AD212" s="194"/>
      <c r="AE212" s="194"/>
      <c r="AF212" s="194"/>
      <c r="AG212" s="194"/>
      <c r="AH212" s="194"/>
      <c r="AI212" s="194"/>
      <c r="AJ212" s="194"/>
      <c r="AK212" s="194"/>
      <c r="AL212" s="194"/>
      <c r="AM212" s="194"/>
    </row>
    <row r="213" spans="1:39" ht="15.75" customHeight="1" x14ac:dyDescent="0.25">
      <c r="A213" s="194"/>
      <c r="B213" s="194"/>
      <c r="C213" s="194"/>
      <c r="D213" s="194"/>
      <c r="E213" s="194"/>
      <c r="F213" s="194"/>
      <c r="G213" s="194"/>
      <c r="H213" s="194"/>
      <c r="I213" s="194"/>
      <c r="J213" s="194"/>
      <c r="K213" s="194"/>
      <c r="L213" s="194"/>
      <c r="M213" s="194"/>
      <c r="N213" s="194"/>
      <c r="O213" s="194"/>
      <c r="P213" s="194"/>
      <c r="Q213" s="194"/>
      <c r="R213" s="194"/>
      <c r="S213" s="194"/>
      <c r="T213" s="194"/>
      <c r="U213" s="194"/>
      <c r="V213" s="194"/>
      <c r="W213" s="194"/>
      <c r="X213" s="194"/>
      <c r="Y213" s="194"/>
      <c r="Z213" s="194"/>
      <c r="AA213" s="194"/>
      <c r="AB213" s="194"/>
      <c r="AC213" s="194"/>
      <c r="AD213" s="194"/>
      <c r="AE213" s="194"/>
      <c r="AF213" s="194"/>
      <c r="AG213" s="194"/>
      <c r="AH213" s="194"/>
      <c r="AI213" s="194"/>
      <c r="AJ213" s="194"/>
      <c r="AK213" s="194"/>
      <c r="AL213" s="194"/>
      <c r="AM213" s="194"/>
    </row>
    <row r="214" spans="1:39" ht="15.75" customHeight="1" x14ac:dyDescent="0.25">
      <c r="A214" s="194"/>
      <c r="B214" s="194"/>
      <c r="C214" s="194"/>
      <c r="D214" s="194"/>
      <c r="E214" s="194"/>
      <c r="F214" s="194"/>
      <c r="G214" s="194"/>
      <c r="H214" s="194"/>
      <c r="I214" s="194"/>
      <c r="J214" s="194"/>
      <c r="K214" s="194"/>
      <c r="L214" s="194"/>
      <c r="M214" s="194"/>
      <c r="N214" s="194"/>
      <c r="O214" s="194"/>
      <c r="P214" s="194"/>
      <c r="Q214" s="194"/>
      <c r="R214" s="194"/>
      <c r="S214" s="194"/>
      <c r="T214" s="194"/>
      <c r="U214" s="194"/>
      <c r="V214" s="194"/>
      <c r="W214" s="194"/>
      <c r="X214" s="194"/>
      <c r="Y214" s="194"/>
      <c r="Z214" s="194"/>
      <c r="AA214" s="194"/>
      <c r="AB214" s="194"/>
      <c r="AC214" s="194"/>
      <c r="AD214" s="194"/>
      <c r="AE214" s="194"/>
      <c r="AF214" s="194"/>
      <c r="AG214" s="194"/>
      <c r="AH214" s="194"/>
      <c r="AI214" s="194"/>
      <c r="AJ214" s="194"/>
      <c r="AK214" s="194"/>
      <c r="AL214" s="194"/>
      <c r="AM214" s="194"/>
    </row>
    <row r="215" spans="1:39" ht="15.75" customHeight="1" x14ac:dyDescent="0.25">
      <c r="A215" s="194"/>
      <c r="B215" s="194"/>
      <c r="C215" s="194"/>
      <c r="D215" s="194"/>
      <c r="E215" s="194"/>
      <c r="F215" s="194"/>
      <c r="G215" s="194"/>
      <c r="H215" s="194"/>
      <c r="I215" s="194"/>
      <c r="J215" s="194"/>
      <c r="K215" s="194"/>
      <c r="L215" s="194"/>
      <c r="M215" s="194"/>
      <c r="N215" s="194"/>
      <c r="O215" s="194"/>
      <c r="P215" s="194"/>
      <c r="Q215" s="194"/>
      <c r="R215" s="194"/>
      <c r="S215" s="194"/>
      <c r="T215" s="194"/>
      <c r="U215" s="194"/>
      <c r="V215" s="194"/>
      <c r="W215" s="194"/>
      <c r="X215" s="194"/>
      <c r="Y215" s="194"/>
      <c r="Z215" s="194"/>
      <c r="AA215" s="194"/>
      <c r="AB215" s="194"/>
      <c r="AC215" s="194"/>
      <c r="AD215" s="194"/>
      <c r="AE215" s="194"/>
      <c r="AF215" s="194"/>
      <c r="AG215" s="194"/>
      <c r="AH215" s="194"/>
      <c r="AI215" s="194"/>
      <c r="AJ215" s="194"/>
      <c r="AK215" s="194"/>
      <c r="AL215" s="194"/>
      <c r="AM215" s="194"/>
    </row>
    <row r="216" spans="1:39" ht="15.75" customHeight="1" x14ac:dyDescent="0.25">
      <c r="A216" s="194"/>
      <c r="B216" s="194"/>
      <c r="C216" s="194"/>
      <c r="D216" s="194"/>
      <c r="E216" s="194"/>
      <c r="F216" s="194"/>
      <c r="G216" s="194"/>
      <c r="H216" s="194"/>
      <c r="I216" s="194"/>
      <c r="J216" s="194"/>
      <c r="K216" s="194"/>
      <c r="L216" s="194"/>
      <c r="M216" s="194"/>
      <c r="N216" s="194"/>
      <c r="O216" s="194"/>
      <c r="P216" s="194"/>
      <c r="Q216" s="194"/>
      <c r="R216" s="194"/>
      <c r="S216" s="194"/>
      <c r="T216" s="194"/>
      <c r="U216" s="194"/>
      <c r="V216" s="194"/>
      <c r="W216" s="194"/>
      <c r="X216" s="194"/>
      <c r="Y216" s="194"/>
      <c r="Z216" s="194"/>
      <c r="AA216" s="194"/>
      <c r="AB216" s="194"/>
      <c r="AC216" s="194"/>
      <c r="AD216" s="194"/>
      <c r="AE216" s="194"/>
      <c r="AF216" s="194"/>
      <c r="AG216" s="194"/>
      <c r="AH216" s="194"/>
      <c r="AI216" s="194"/>
      <c r="AJ216" s="194"/>
      <c r="AK216" s="194"/>
      <c r="AL216" s="194"/>
      <c r="AM216" s="194"/>
    </row>
    <row r="217" spans="1:39" ht="15.75" customHeight="1" x14ac:dyDescent="0.25">
      <c r="A217" s="194"/>
      <c r="B217" s="194"/>
      <c r="C217" s="194"/>
      <c r="D217" s="194"/>
      <c r="E217" s="194"/>
      <c r="F217" s="194"/>
      <c r="G217" s="194"/>
      <c r="H217" s="194"/>
      <c r="I217" s="194"/>
      <c r="J217" s="194"/>
      <c r="K217" s="194"/>
      <c r="L217" s="194"/>
      <c r="M217" s="194"/>
      <c r="N217" s="194"/>
      <c r="O217" s="194"/>
      <c r="P217" s="194"/>
      <c r="Q217" s="194"/>
      <c r="R217" s="194"/>
      <c r="S217" s="194"/>
      <c r="T217" s="194"/>
      <c r="U217" s="194"/>
      <c r="V217" s="194"/>
      <c r="W217" s="194"/>
      <c r="X217" s="194"/>
      <c r="Y217" s="194"/>
      <c r="Z217" s="194"/>
      <c r="AA217" s="194"/>
      <c r="AB217" s="194"/>
      <c r="AC217" s="194"/>
      <c r="AD217" s="194"/>
      <c r="AE217" s="194"/>
      <c r="AF217" s="194"/>
      <c r="AG217" s="194"/>
      <c r="AH217" s="194"/>
      <c r="AI217" s="194"/>
      <c r="AJ217" s="194"/>
      <c r="AK217" s="194"/>
      <c r="AL217" s="194"/>
      <c r="AM217" s="194"/>
    </row>
    <row r="218" spans="1:39" ht="15.75" customHeight="1" x14ac:dyDescent="0.25">
      <c r="A218" s="194"/>
      <c r="B218" s="194"/>
      <c r="C218" s="194"/>
      <c r="D218" s="194"/>
      <c r="E218" s="194"/>
      <c r="F218" s="194"/>
      <c r="G218" s="194"/>
      <c r="H218" s="194"/>
      <c r="I218" s="194"/>
      <c r="J218" s="194"/>
      <c r="K218" s="194"/>
      <c r="L218" s="194"/>
      <c r="M218" s="194"/>
      <c r="N218" s="194"/>
      <c r="O218" s="194"/>
      <c r="P218" s="194"/>
      <c r="Q218" s="194"/>
      <c r="R218" s="194"/>
      <c r="S218" s="194"/>
      <c r="T218" s="194"/>
      <c r="U218" s="194"/>
      <c r="V218" s="194"/>
      <c r="W218" s="194"/>
      <c r="X218" s="194"/>
      <c r="Y218" s="194"/>
      <c r="Z218" s="194"/>
      <c r="AA218" s="194"/>
      <c r="AB218" s="194"/>
      <c r="AC218" s="194"/>
      <c r="AD218" s="194"/>
      <c r="AE218" s="194"/>
      <c r="AF218" s="194"/>
      <c r="AG218" s="194"/>
      <c r="AH218" s="194"/>
      <c r="AI218" s="194"/>
      <c r="AJ218" s="194"/>
      <c r="AK218" s="194"/>
      <c r="AL218" s="194"/>
      <c r="AM218" s="194"/>
    </row>
    <row r="219" spans="1:39" ht="15.75" customHeight="1" x14ac:dyDescent="0.25">
      <c r="A219" s="194"/>
      <c r="B219" s="194"/>
      <c r="C219" s="194"/>
      <c r="D219" s="194"/>
      <c r="E219" s="194"/>
      <c r="F219" s="194"/>
      <c r="G219" s="194"/>
      <c r="H219" s="194"/>
      <c r="I219" s="194"/>
      <c r="J219" s="194"/>
      <c r="K219" s="194"/>
      <c r="L219" s="194"/>
      <c r="M219" s="194"/>
      <c r="N219" s="194"/>
      <c r="O219" s="194"/>
      <c r="P219" s="194"/>
      <c r="Q219" s="194"/>
      <c r="R219" s="194"/>
      <c r="S219" s="194"/>
      <c r="T219" s="194"/>
      <c r="U219" s="194"/>
      <c r="V219" s="194"/>
      <c r="W219" s="194"/>
      <c r="X219" s="194"/>
      <c r="Y219" s="194"/>
      <c r="Z219" s="194"/>
      <c r="AA219" s="194"/>
      <c r="AB219" s="194"/>
      <c r="AC219" s="194"/>
      <c r="AD219" s="194"/>
      <c r="AE219" s="194"/>
      <c r="AF219" s="194"/>
      <c r="AG219" s="194"/>
      <c r="AH219" s="194"/>
      <c r="AI219" s="194"/>
      <c r="AJ219" s="194"/>
      <c r="AK219" s="194"/>
      <c r="AL219" s="194"/>
      <c r="AM219" s="194"/>
    </row>
    <row r="220" spans="1:39" ht="15.75" customHeight="1" x14ac:dyDescent="0.25">
      <c r="A220" s="194"/>
      <c r="B220" s="194"/>
      <c r="C220" s="194"/>
      <c r="D220" s="194"/>
      <c r="E220" s="194"/>
      <c r="F220" s="194"/>
      <c r="G220" s="194"/>
      <c r="H220" s="194"/>
      <c r="I220" s="194"/>
      <c r="J220" s="194"/>
      <c r="K220" s="194"/>
      <c r="L220" s="194"/>
      <c r="M220" s="194"/>
      <c r="N220" s="194"/>
      <c r="O220" s="194"/>
      <c r="P220" s="194"/>
      <c r="Q220" s="194"/>
      <c r="R220" s="194"/>
      <c r="S220" s="194"/>
      <c r="T220" s="194"/>
      <c r="U220" s="194"/>
      <c r="V220" s="194"/>
      <c r="W220" s="194"/>
      <c r="X220" s="194"/>
      <c r="Y220" s="194"/>
      <c r="Z220" s="194"/>
      <c r="AA220" s="194"/>
      <c r="AB220" s="194"/>
      <c r="AC220" s="194"/>
      <c r="AD220" s="194"/>
      <c r="AE220" s="194"/>
      <c r="AF220" s="194"/>
      <c r="AG220" s="194"/>
      <c r="AH220" s="194"/>
      <c r="AI220" s="194"/>
      <c r="AJ220" s="194"/>
      <c r="AK220" s="194"/>
      <c r="AL220" s="194"/>
      <c r="AM220" s="194"/>
    </row>
    <row r="221" spans="1:39" ht="15.75" customHeight="1" x14ac:dyDescent="0.25">
      <c r="A221" s="194"/>
      <c r="B221" s="194"/>
      <c r="C221" s="194"/>
      <c r="D221" s="194"/>
      <c r="E221" s="194"/>
      <c r="F221" s="194"/>
      <c r="G221" s="194"/>
      <c r="H221" s="194"/>
      <c r="I221" s="194"/>
      <c r="J221" s="194"/>
      <c r="K221" s="194"/>
      <c r="L221" s="194"/>
      <c r="M221" s="194"/>
      <c r="N221" s="194"/>
      <c r="O221" s="194"/>
      <c r="P221" s="194"/>
      <c r="Q221" s="194"/>
      <c r="R221" s="194"/>
      <c r="S221" s="194"/>
      <c r="T221" s="194"/>
      <c r="U221" s="194"/>
      <c r="V221" s="194"/>
      <c r="W221" s="194"/>
      <c r="X221" s="194"/>
      <c r="Y221" s="194"/>
      <c r="Z221" s="194"/>
      <c r="AA221" s="194"/>
      <c r="AB221" s="194"/>
      <c r="AC221" s="194"/>
      <c r="AD221" s="194"/>
      <c r="AE221" s="194"/>
      <c r="AF221" s="194"/>
      <c r="AG221" s="194"/>
      <c r="AH221" s="194"/>
      <c r="AI221" s="194"/>
      <c r="AJ221" s="194"/>
      <c r="AK221" s="194"/>
      <c r="AL221" s="194"/>
      <c r="AM221" s="194"/>
    </row>
    <row r="222" spans="1:39" ht="15.75" customHeight="1" x14ac:dyDescent="0.25">
      <c r="A222" s="194"/>
      <c r="B222" s="194"/>
      <c r="C222" s="194"/>
      <c r="D222" s="194"/>
      <c r="E222" s="194"/>
      <c r="F222" s="194"/>
      <c r="G222" s="194"/>
      <c r="H222" s="194"/>
      <c r="I222" s="194"/>
      <c r="J222" s="194"/>
      <c r="K222" s="194"/>
      <c r="L222" s="194"/>
      <c r="M222" s="194"/>
      <c r="N222" s="194"/>
      <c r="O222" s="194"/>
      <c r="P222" s="194"/>
      <c r="Q222" s="194"/>
      <c r="R222" s="194"/>
      <c r="S222" s="194"/>
      <c r="T222" s="194"/>
      <c r="U222" s="194"/>
      <c r="V222" s="194"/>
      <c r="W222" s="194"/>
      <c r="X222" s="194"/>
      <c r="Y222" s="194"/>
      <c r="Z222" s="194"/>
      <c r="AA222" s="194"/>
      <c r="AB222" s="194"/>
      <c r="AC222" s="194"/>
      <c r="AD222" s="194"/>
      <c r="AE222" s="194"/>
      <c r="AF222" s="194"/>
      <c r="AG222" s="194"/>
      <c r="AH222" s="194"/>
      <c r="AI222" s="194"/>
      <c r="AJ222" s="194"/>
      <c r="AK222" s="194"/>
      <c r="AL222" s="194"/>
      <c r="AM222" s="194"/>
    </row>
    <row r="223" spans="1:39" ht="15.75" customHeight="1" x14ac:dyDescent="0.25">
      <c r="A223" s="194"/>
      <c r="B223" s="194"/>
      <c r="C223" s="194"/>
      <c r="D223" s="194"/>
      <c r="E223" s="194"/>
      <c r="F223" s="194"/>
      <c r="G223" s="194"/>
      <c r="H223" s="194"/>
      <c r="I223" s="194"/>
      <c r="J223" s="194"/>
      <c r="K223" s="194"/>
      <c r="L223" s="194"/>
      <c r="M223" s="194"/>
      <c r="N223" s="194"/>
      <c r="O223" s="194"/>
      <c r="P223" s="194"/>
      <c r="Q223" s="194"/>
      <c r="R223" s="194"/>
      <c r="S223" s="194"/>
      <c r="T223" s="194"/>
      <c r="U223" s="194"/>
      <c r="V223" s="194"/>
      <c r="W223" s="194"/>
      <c r="X223" s="194"/>
      <c r="Y223" s="194"/>
      <c r="Z223" s="194"/>
      <c r="AA223" s="194"/>
      <c r="AB223" s="194"/>
      <c r="AC223" s="194"/>
      <c r="AD223" s="194"/>
      <c r="AE223" s="194"/>
      <c r="AF223" s="194"/>
      <c r="AG223" s="194"/>
      <c r="AH223" s="194"/>
      <c r="AI223" s="194"/>
      <c r="AJ223" s="194"/>
      <c r="AK223" s="194"/>
      <c r="AL223" s="194"/>
      <c r="AM223" s="194"/>
    </row>
    <row r="224" spans="1:39" ht="15.75" customHeight="1" x14ac:dyDescent="0.25">
      <c r="A224" s="194"/>
      <c r="B224" s="194"/>
      <c r="C224" s="194"/>
      <c r="D224" s="194"/>
      <c r="E224" s="194"/>
      <c r="F224" s="194"/>
      <c r="G224" s="194"/>
      <c r="H224" s="194"/>
      <c r="I224" s="194"/>
      <c r="J224" s="194"/>
      <c r="K224" s="194"/>
      <c r="L224" s="194"/>
      <c r="M224" s="194"/>
      <c r="N224" s="194"/>
      <c r="O224" s="194"/>
      <c r="P224" s="194"/>
      <c r="Q224" s="194"/>
      <c r="R224" s="194"/>
      <c r="S224" s="194"/>
      <c r="T224" s="194"/>
      <c r="U224" s="194"/>
      <c r="V224" s="194"/>
      <c r="W224" s="194"/>
      <c r="X224" s="194"/>
      <c r="Y224" s="194"/>
      <c r="Z224" s="194"/>
      <c r="AA224" s="194"/>
      <c r="AB224" s="194"/>
      <c r="AC224" s="194"/>
      <c r="AD224" s="194"/>
      <c r="AE224" s="194"/>
      <c r="AF224" s="194"/>
      <c r="AG224" s="194"/>
      <c r="AH224" s="194"/>
      <c r="AI224" s="194"/>
      <c r="AJ224" s="194"/>
      <c r="AK224" s="194"/>
      <c r="AL224" s="194"/>
      <c r="AM224" s="194"/>
    </row>
    <row r="225" spans="1:39" ht="15.75" customHeight="1" x14ac:dyDescent="0.25">
      <c r="A225" s="194"/>
      <c r="B225" s="194"/>
      <c r="C225" s="194"/>
      <c r="D225" s="194"/>
      <c r="E225" s="194"/>
      <c r="F225" s="194"/>
      <c r="G225" s="194"/>
      <c r="H225" s="194"/>
      <c r="I225" s="194"/>
      <c r="J225" s="194"/>
      <c r="K225" s="194"/>
      <c r="L225" s="194"/>
      <c r="M225" s="194"/>
      <c r="N225" s="194"/>
      <c r="O225" s="194"/>
      <c r="P225" s="194"/>
      <c r="Q225" s="194"/>
      <c r="R225" s="194"/>
      <c r="S225" s="194"/>
      <c r="T225" s="194"/>
      <c r="U225" s="194"/>
      <c r="V225" s="194"/>
      <c r="W225" s="194"/>
      <c r="X225" s="194"/>
      <c r="Y225" s="194"/>
      <c r="Z225" s="194"/>
      <c r="AA225" s="194"/>
      <c r="AB225" s="194"/>
      <c r="AC225" s="194"/>
      <c r="AD225" s="194"/>
      <c r="AE225" s="194"/>
      <c r="AF225" s="194"/>
      <c r="AG225" s="194"/>
      <c r="AH225" s="194"/>
      <c r="AI225" s="194"/>
      <c r="AJ225" s="194"/>
      <c r="AK225" s="194"/>
      <c r="AL225" s="194"/>
      <c r="AM225" s="194"/>
    </row>
    <row r="226" spans="1:39" ht="15.75" customHeight="1" x14ac:dyDescent="0.25">
      <c r="A226" s="194"/>
      <c r="B226" s="194"/>
      <c r="C226" s="194"/>
      <c r="D226" s="194"/>
      <c r="E226" s="194"/>
      <c r="F226" s="194"/>
      <c r="G226" s="194"/>
      <c r="H226" s="194"/>
      <c r="I226" s="194"/>
      <c r="J226" s="194"/>
      <c r="K226" s="194"/>
      <c r="L226" s="194"/>
      <c r="M226" s="194"/>
      <c r="N226" s="194"/>
      <c r="O226" s="194"/>
      <c r="P226" s="194"/>
      <c r="Q226" s="194"/>
      <c r="R226" s="194"/>
      <c r="S226" s="194"/>
      <c r="T226" s="194"/>
      <c r="U226" s="194"/>
      <c r="V226" s="194"/>
      <c r="W226" s="194"/>
      <c r="X226" s="194"/>
      <c r="Y226" s="194"/>
      <c r="Z226" s="194"/>
      <c r="AA226" s="194"/>
      <c r="AB226" s="194"/>
      <c r="AC226" s="194"/>
      <c r="AD226" s="194"/>
      <c r="AE226" s="194"/>
      <c r="AF226" s="194"/>
      <c r="AG226" s="194"/>
      <c r="AH226" s="194"/>
      <c r="AI226" s="194"/>
      <c r="AJ226" s="194"/>
      <c r="AK226" s="194"/>
      <c r="AL226" s="194"/>
      <c r="AM226" s="194"/>
    </row>
    <row r="227" spans="1:39" ht="15.75" customHeight="1" x14ac:dyDescent="0.25">
      <c r="A227" s="194"/>
      <c r="B227" s="194"/>
      <c r="C227" s="194"/>
      <c r="D227" s="194"/>
      <c r="E227" s="194"/>
      <c r="F227" s="194"/>
      <c r="G227" s="194"/>
      <c r="H227" s="194"/>
      <c r="I227" s="194"/>
      <c r="J227" s="194"/>
      <c r="K227" s="194"/>
      <c r="L227" s="194"/>
      <c r="M227" s="194"/>
      <c r="N227" s="194"/>
      <c r="O227" s="194"/>
      <c r="P227" s="194"/>
      <c r="Q227" s="194"/>
      <c r="R227" s="194"/>
      <c r="S227" s="194"/>
      <c r="T227" s="194"/>
      <c r="U227" s="194"/>
      <c r="V227" s="194"/>
      <c r="W227" s="194"/>
      <c r="X227" s="194"/>
      <c r="Y227" s="194"/>
      <c r="Z227" s="194"/>
      <c r="AA227" s="194"/>
      <c r="AB227" s="194"/>
      <c r="AC227" s="194"/>
      <c r="AD227" s="194"/>
      <c r="AE227" s="194"/>
      <c r="AF227" s="194"/>
      <c r="AG227" s="194"/>
      <c r="AH227" s="194"/>
      <c r="AI227" s="194"/>
      <c r="AJ227" s="194"/>
      <c r="AK227" s="194"/>
      <c r="AL227" s="194"/>
      <c r="AM227" s="194"/>
    </row>
    <row r="228" spans="1:39" ht="15.75" customHeight="1" x14ac:dyDescent="0.25">
      <c r="A228" s="194"/>
      <c r="B228" s="194"/>
      <c r="C228" s="194"/>
      <c r="D228" s="194"/>
      <c r="E228" s="194"/>
      <c r="F228" s="194"/>
      <c r="G228" s="194"/>
      <c r="H228" s="194"/>
      <c r="I228" s="194"/>
      <c r="J228" s="194"/>
      <c r="K228" s="194"/>
      <c r="L228" s="194"/>
      <c r="M228" s="194"/>
      <c r="N228" s="194"/>
      <c r="O228" s="194"/>
      <c r="P228" s="194"/>
      <c r="Q228" s="194"/>
      <c r="R228" s="194"/>
      <c r="S228" s="194"/>
      <c r="T228" s="194"/>
      <c r="U228" s="194"/>
      <c r="V228" s="194"/>
      <c r="W228" s="194"/>
      <c r="X228" s="194"/>
      <c r="Y228" s="194"/>
      <c r="Z228" s="194"/>
      <c r="AA228" s="194"/>
      <c r="AB228" s="194"/>
      <c r="AC228" s="194"/>
      <c r="AD228" s="194"/>
      <c r="AE228" s="194"/>
      <c r="AF228" s="194"/>
      <c r="AG228" s="194"/>
      <c r="AH228" s="194"/>
      <c r="AI228" s="194"/>
      <c r="AJ228" s="194"/>
      <c r="AK228" s="194"/>
      <c r="AL228" s="194"/>
      <c r="AM228" s="194"/>
    </row>
    <row r="229" spans="1:39" ht="15.75" customHeight="1" x14ac:dyDescent="0.25">
      <c r="A229" s="194"/>
      <c r="B229" s="194"/>
      <c r="C229" s="194"/>
      <c r="D229" s="194"/>
      <c r="E229" s="194"/>
      <c r="F229" s="194"/>
      <c r="G229" s="194"/>
      <c r="H229" s="194"/>
      <c r="I229" s="194"/>
      <c r="J229" s="194"/>
      <c r="K229" s="194"/>
      <c r="L229" s="194"/>
      <c r="M229" s="194"/>
      <c r="N229" s="194"/>
      <c r="O229" s="194"/>
      <c r="P229" s="194"/>
      <c r="Q229" s="194"/>
      <c r="R229" s="194"/>
      <c r="S229" s="194"/>
      <c r="T229" s="194"/>
      <c r="U229" s="194"/>
      <c r="V229" s="194"/>
      <c r="W229" s="194"/>
      <c r="X229" s="194"/>
      <c r="Y229" s="194"/>
      <c r="Z229" s="194"/>
      <c r="AA229" s="194"/>
      <c r="AB229" s="194"/>
      <c r="AC229" s="194"/>
      <c r="AD229" s="194"/>
      <c r="AE229" s="194"/>
      <c r="AF229" s="194"/>
      <c r="AG229" s="194"/>
      <c r="AH229" s="194"/>
      <c r="AI229" s="194"/>
      <c r="AJ229" s="194"/>
      <c r="AK229" s="194"/>
      <c r="AL229" s="194"/>
      <c r="AM229" s="194"/>
    </row>
    <row r="230" spans="1:39" ht="15.75" customHeight="1" x14ac:dyDescent="0.25">
      <c r="A230" s="194"/>
      <c r="B230" s="194"/>
      <c r="C230" s="194"/>
      <c r="D230" s="194"/>
      <c r="E230" s="194"/>
      <c r="F230" s="194"/>
      <c r="G230" s="194"/>
      <c r="H230" s="194"/>
      <c r="I230" s="194"/>
      <c r="J230" s="194"/>
      <c r="K230" s="194"/>
      <c r="L230" s="194"/>
      <c r="M230" s="194"/>
      <c r="N230" s="194"/>
      <c r="O230" s="194"/>
      <c r="P230" s="194"/>
      <c r="Q230" s="194"/>
      <c r="R230" s="194"/>
      <c r="S230" s="194"/>
      <c r="T230" s="194"/>
      <c r="U230" s="194"/>
      <c r="V230" s="194"/>
      <c r="W230" s="194"/>
      <c r="X230" s="194"/>
      <c r="Y230" s="194"/>
      <c r="Z230" s="194"/>
      <c r="AA230" s="194"/>
      <c r="AB230" s="194"/>
      <c r="AC230" s="194"/>
      <c r="AD230" s="194"/>
      <c r="AE230" s="194"/>
      <c r="AF230" s="194"/>
      <c r="AG230" s="194"/>
      <c r="AH230" s="194"/>
      <c r="AI230" s="194"/>
      <c r="AJ230" s="194"/>
      <c r="AK230" s="194"/>
      <c r="AL230" s="194"/>
      <c r="AM230" s="194"/>
    </row>
    <row r="231" spans="1:39" ht="15.75" customHeight="1" x14ac:dyDescent="0.25">
      <c r="A231" s="194"/>
      <c r="B231" s="194"/>
      <c r="C231" s="194"/>
      <c r="D231" s="194"/>
      <c r="E231" s="194"/>
      <c r="F231" s="194"/>
      <c r="G231" s="194"/>
      <c r="H231" s="194"/>
      <c r="I231" s="194"/>
      <c r="J231" s="194"/>
      <c r="K231" s="194"/>
      <c r="L231" s="194"/>
      <c r="M231" s="194"/>
      <c r="N231" s="194"/>
      <c r="O231" s="194"/>
      <c r="P231" s="194"/>
      <c r="Q231" s="194"/>
      <c r="R231" s="194"/>
      <c r="S231" s="194"/>
      <c r="T231" s="194"/>
      <c r="U231" s="194"/>
      <c r="V231" s="194"/>
      <c r="W231" s="194"/>
      <c r="X231" s="194"/>
      <c r="Y231" s="194"/>
      <c r="Z231" s="194"/>
      <c r="AA231" s="194"/>
      <c r="AB231" s="194"/>
      <c r="AC231" s="194"/>
      <c r="AD231" s="194"/>
      <c r="AE231" s="194"/>
      <c r="AF231" s="194"/>
      <c r="AG231" s="194"/>
      <c r="AH231" s="194"/>
      <c r="AI231" s="194"/>
      <c r="AJ231" s="194"/>
      <c r="AK231" s="194"/>
      <c r="AL231" s="194"/>
      <c r="AM231" s="194"/>
    </row>
    <row r="232" spans="1:39" ht="15.75" customHeight="1" x14ac:dyDescent="0.25">
      <c r="A232" s="194"/>
      <c r="B232" s="194"/>
      <c r="C232" s="194"/>
      <c r="D232" s="194"/>
      <c r="E232" s="194"/>
      <c r="F232" s="194"/>
      <c r="G232" s="194"/>
      <c r="H232" s="194"/>
      <c r="I232" s="194"/>
      <c r="J232" s="194"/>
      <c r="K232" s="194"/>
      <c r="L232" s="194"/>
      <c r="M232" s="194"/>
      <c r="N232" s="194"/>
      <c r="O232" s="194"/>
      <c r="P232" s="194"/>
      <c r="Q232" s="194"/>
      <c r="R232" s="194"/>
      <c r="S232" s="194"/>
      <c r="T232" s="194"/>
      <c r="U232" s="194"/>
      <c r="V232" s="194"/>
      <c r="W232" s="194"/>
      <c r="X232" s="194"/>
      <c r="Y232" s="194"/>
      <c r="Z232" s="194"/>
      <c r="AA232" s="194"/>
      <c r="AB232" s="194"/>
      <c r="AC232" s="194"/>
      <c r="AD232" s="194"/>
      <c r="AE232" s="194"/>
      <c r="AF232" s="194"/>
      <c r="AG232" s="194"/>
      <c r="AH232" s="194"/>
      <c r="AI232" s="194"/>
      <c r="AJ232" s="194"/>
      <c r="AK232" s="194"/>
      <c r="AL232" s="194"/>
      <c r="AM232" s="194"/>
    </row>
    <row r="233" spans="1:39" ht="15.75" customHeight="1" x14ac:dyDescent="0.25">
      <c r="A233" s="194"/>
      <c r="B233" s="194"/>
      <c r="C233" s="194"/>
      <c r="D233" s="194"/>
      <c r="E233" s="194"/>
      <c r="F233" s="194"/>
      <c r="G233" s="194"/>
      <c r="H233" s="194"/>
      <c r="I233" s="194"/>
      <c r="J233" s="194"/>
      <c r="K233" s="194"/>
      <c r="L233" s="194"/>
      <c r="M233" s="194"/>
      <c r="N233" s="194"/>
      <c r="O233" s="194"/>
      <c r="P233" s="194"/>
      <c r="Q233" s="194"/>
      <c r="R233" s="194"/>
      <c r="S233" s="194"/>
      <c r="T233" s="194"/>
      <c r="U233" s="194"/>
      <c r="V233" s="194"/>
      <c r="W233" s="194"/>
      <c r="X233" s="194"/>
      <c r="Y233" s="194"/>
      <c r="Z233" s="194"/>
      <c r="AA233" s="194"/>
      <c r="AB233" s="194"/>
      <c r="AC233" s="194"/>
      <c r="AD233" s="194"/>
      <c r="AE233" s="194"/>
      <c r="AF233" s="194"/>
      <c r="AG233" s="194"/>
      <c r="AH233" s="194"/>
      <c r="AI233" s="194"/>
      <c r="AJ233" s="194"/>
      <c r="AK233" s="194"/>
      <c r="AL233" s="194"/>
      <c r="AM233" s="194"/>
    </row>
    <row r="234" spans="1:39" ht="15.75" customHeight="1" x14ac:dyDescent="0.25">
      <c r="A234" s="194"/>
      <c r="B234" s="194"/>
      <c r="C234" s="194"/>
      <c r="D234" s="194"/>
      <c r="E234" s="194"/>
      <c r="F234" s="194"/>
      <c r="G234" s="194"/>
      <c r="H234" s="194"/>
      <c r="I234" s="194"/>
      <c r="J234" s="194"/>
      <c r="K234" s="194"/>
      <c r="L234" s="194"/>
      <c r="M234" s="194"/>
      <c r="N234" s="194"/>
      <c r="O234" s="194"/>
      <c r="P234" s="194"/>
      <c r="Q234" s="194"/>
      <c r="R234" s="194"/>
      <c r="S234" s="194"/>
      <c r="T234" s="194"/>
      <c r="U234" s="194"/>
      <c r="V234" s="194"/>
      <c r="W234" s="194"/>
      <c r="X234" s="194"/>
      <c r="Y234" s="194"/>
      <c r="Z234" s="194"/>
      <c r="AA234" s="194"/>
      <c r="AB234" s="194"/>
      <c r="AC234" s="194"/>
      <c r="AD234" s="194"/>
      <c r="AE234" s="194"/>
      <c r="AF234" s="194"/>
      <c r="AG234" s="194"/>
      <c r="AH234" s="194"/>
      <c r="AI234" s="194"/>
      <c r="AJ234" s="194"/>
      <c r="AK234" s="194"/>
      <c r="AL234" s="194"/>
      <c r="AM234" s="194"/>
    </row>
    <row r="235" spans="1:39" ht="15.75" customHeight="1" x14ac:dyDescent="0.25">
      <c r="A235" s="194"/>
      <c r="B235" s="194"/>
      <c r="C235" s="194"/>
      <c r="D235" s="194"/>
      <c r="E235" s="194"/>
      <c r="F235" s="194"/>
      <c r="G235" s="194"/>
      <c r="H235" s="194"/>
      <c r="I235" s="194"/>
      <c r="J235" s="194"/>
      <c r="K235" s="194"/>
      <c r="L235" s="194"/>
      <c r="M235" s="194"/>
      <c r="N235" s="194"/>
      <c r="O235" s="194"/>
      <c r="P235" s="194"/>
      <c r="Q235" s="194"/>
      <c r="R235" s="194"/>
      <c r="S235" s="194"/>
      <c r="T235" s="194"/>
      <c r="U235" s="194"/>
      <c r="V235" s="194"/>
      <c r="W235" s="194"/>
      <c r="X235" s="194"/>
      <c r="Y235" s="194"/>
      <c r="Z235" s="194"/>
      <c r="AA235" s="194"/>
      <c r="AB235" s="194"/>
      <c r="AC235" s="194"/>
      <c r="AD235" s="194"/>
      <c r="AE235" s="194"/>
      <c r="AF235" s="194"/>
      <c r="AG235" s="194"/>
      <c r="AH235" s="194"/>
      <c r="AI235" s="194"/>
      <c r="AJ235" s="194"/>
      <c r="AK235" s="194"/>
      <c r="AL235" s="194"/>
      <c r="AM235" s="194"/>
    </row>
    <row r="236" spans="1:39" ht="15.75" customHeight="1" x14ac:dyDescent="0.25">
      <c r="A236" s="194"/>
      <c r="B236" s="194"/>
      <c r="C236" s="194"/>
      <c r="D236" s="194"/>
      <c r="E236" s="194"/>
      <c r="F236" s="194"/>
      <c r="G236" s="194"/>
      <c r="H236" s="194"/>
      <c r="I236" s="194"/>
      <c r="J236" s="194"/>
      <c r="K236" s="194"/>
      <c r="L236" s="194"/>
      <c r="M236" s="194"/>
      <c r="N236" s="194"/>
      <c r="O236" s="194"/>
      <c r="P236" s="194"/>
      <c r="Q236" s="194"/>
      <c r="R236" s="194"/>
      <c r="S236" s="194"/>
      <c r="T236" s="194"/>
      <c r="U236" s="194"/>
      <c r="V236" s="194"/>
      <c r="W236" s="194"/>
      <c r="X236" s="194"/>
      <c r="Y236" s="194"/>
      <c r="Z236" s="194"/>
      <c r="AA236" s="194"/>
      <c r="AB236" s="194"/>
      <c r="AC236" s="194"/>
      <c r="AD236" s="194"/>
      <c r="AE236" s="194"/>
      <c r="AF236" s="194"/>
      <c r="AG236" s="194"/>
      <c r="AH236" s="194"/>
      <c r="AI236" s="194"/>
      <c r="AJ236" s="194"/>
      <c r="AK236" s="194"/>
      <c r="AL236" s="194"/>
      <c r="AM236" s="194"/>
    </row>
    <row r="237" spans="1:39" ht="15.75" customHeight="1" x14ac:dyDescent="0.25">
      <c r="A237" s="194"/>
      <c r="B237" s="194"/>
      <c r="C237" s="194"/>
      <c r="D237" s="194"/>
      <c r="E237" s="194"/>
      <c r="F237" s="194"/>
      <c r="G237" s="194"/>
      <c r="H237" s="194"/>
      <c r="I237" s="194"/>
      <c r="J237" s="194"/>
      <c r="K237" s="194"/>
      <c r="L237" s="194"/>
      <c r="M237" s="194"/>
      <c r="N237" s="194"/>
      <c r="O237" s="194"/>
      <c r="P237" s="194"/>
      <c r="Q237" s="194"/>
      <c r="R237" s="194"/>
      <c r="S237" s="194"/>
      <c r="T237" s="194"/>
      <c r="U237" s="194"/>
      <c r="V237" s="194"/>
      <c r="W237" s="194"/>
      <c r="X237" s="194"/>
      <c r="Y237" s="194"/>
      <c r="Z237" s="194"/>
      <c r="AA237" s="194"/>
      <c r="AB237" s="194"/>
      <c r="AC237" s="194"/>
      <c r="AD237" s="194"/>
      <c r="AE237" s="194"/>
      <c r="AF237" s="194"/>
      <c r="AG237" s="194"/>
      <c r="AH237" s="194"/>
      <c r="AI237" s="194"/>
      <c r="AJ237" s="194"/>
      <c r="AK237" s="194"/>
      <c r="AL237" s="194"/>
      <c r="AM237" s="194"/>
    </row>
    <row r="238" spans="1:39" ht="15.75" customHeight="1" x14ac:dyDescent="0.25">
      <c r="A238" s="194"/>
      <c r="B238" s="194"/>
      <c r="C238" s="194"/>
      <c r="D238" s="194"/>
      <c r="E238" s="194"/>
      <c r="F238" s="194"/>
      <c r="G238" s="194"/>
      <c r="H238" s="194"/>
      <c r="I238" s="194"/>
      <c r="J238" s="194"/>
      <c r="K238" s="194"/>
      <c r="L238" s="194"/>
      <c r="M238" s="194"/>
      <c r="N238" s="194"/>
      <c r="O238" s="194"/>
      <c r="P238" s="194"/>
      <c r="Q238" s="194"/>
      <c r="R238" s="194"/>
      <c r="S238" s="194"/>
      <c r="T238" s="194"/>
      <c r="U238" s="194"/>
      <c r="V238" s="194"/>
      <c r="W238" s="194"/>
      <c r="X238" s="194"/>
      <c r="Y238" s="194"/>
      <c r="Z238" s="194"/>
      <c r="AA238" s="194"/>
      <c r="AB238" s="194"/>
      <c r="AC238" s="194"/>
      <c r="AD238" s="194"/>
      <c r="AE238" s="194"/>
      <c r="AF238" s="194"/>
      <c r="AG238" s="194"/>
      <c r="AH238" s="194"/>
      <c r="AI238" s="194"/>
      <c r="AJ238" s="194"/>
      <c r="AK238" s="194"/>
      <c r="AL238" s="194"/>
      <c r="AM238" s="194"/>
    </row>
    <row r="239" spans="1:39" ht="15.75" customHeight="1" x14ac:dyDescent="0.25">
      <c r="A239" s="194"/>
      <c r="B239" s="194"/>
      <c r="C239" s="194"/>
      <c r="D239" s="194"/>
      <c r="E239" s="194"/>
      <c r="F239" s="194"/>
      <c r="G239" s="194"/>
      <c r="H239" s="194"/>
      <c r="I239" s="194"/>
      <c r="J239" s="194"/>
      <c r="K239" s="194"/>
      <c r="L239" s="194"/>
      <c r="M239" s="194"/>
      <c r="N239" s="194"/>
      <c r="O239" s="194"/>
      <c r="P239" s="194"/>
      <c r="Q239" s="194"/>
      <c r="R239" s="194"/>
      <c r="S239" s="194"/>
      <c r="T239" s="194"/>
      <c r="U239" s="194"/>
      <c r="V239" s="194"/>
      <c r="W239" s="194"/>
      <c r="X239" s="194"/>
      <c r="Y239" s="194"/>
      <c r="Z239" s="194"/>
      <c r="AA239" s="194"/>
      <c r="AB239" s="194"/>
      <c r="AC239" s="194"/>
      <c r="AD239" s="194"/>
      <c r="AE239" s="194"/>
      <c r="AF239" s="194"/>
      <c r="AG239" s="194"/>
      <c r="AH239" s="194"/>
      <c r="AI239" s="194"/>
      <c r="AJ239" s="194"/>
      <c r="AK239" s="194"/>
      <c r="AL239" s="194"/>
      <c r="AM239" s="194"/>
    </row>
    <row r="240" spans="1:39" ht="15.75" customHeight="1" x14ac:dyDescent="0.25">
      <c r="A240" s="194"/>
      <c r="B240" s="194"/>
      <c r="C240" s="194"/>
      <c r="D240" s="194"/>
      <c r="E240" s="194"/>
      <c r="F240" s="194"/>
      <c r="G240" s="194"/>
      <c r="H240" s="194"/>
      <c r="I240" s="194"/>
      <c r="J240" s="194"/>
      <c r="K240" s="194"/>
      <c r="L240" s="194"/>
      <c r="M240" s="194"/>
      <c r="N240" s="194"/>
      <c r="O240" s="194"/>
      <c r="P240" s="194"/>
      <c r="Q240" s="194"/>
      <c r="R240" s="194"/>
      <c r="S240" s="194"/>
      <c r="T240" s="194"/>
      <c r="U240" s="194"/>
      <c r="V240" s="194"/>
      <c r="W240" s="194"/>
      <c r="X240" s="194"/>
      <c r="Y240" s="194"/>
      <c r="Z240" s="194"/>
      <c r="AA240" s="194"/>
      <c r="AB240" s="194"/>
      <c r="AC240" s="194"/>
      <c r="AD240" s="194"/>
      <c r="AE240" s="194"/>
      <c r="AF240" s="194"/>
      <c r="AG240" s="194"/>
      <c r="AH240" s="194"/>
      <c r="AI240" s="194"/>
      <c r="AJ240" s="194"/>
      <c r="AK240" s="194"/>
      <c r="AL240" s="194"/>
      <c r="AM240" s="194"/>
    </row>
    <row r="241" spans="1:39" ht="15.75" customHeight="1" x14ac:dyDescent="0.25">
      <c r="A241" s="194"/>
      <c r="B241" s="194"/>
      <c r="C241" s="194"/>
      <c r="D241" s="194"/>
      <c r="E241" s="194"/>
      <c r="F241" s="194"/>
      <c r="G241" s="194"/>
      <c r="H241" s="194"/>
      <c r="I241" s="194"/>
      <c r="J241" s="194"/>
      <c r="K241" s="194"/>
      <c r="L241" s="194"/>
      <c r="M241" s="194"/>
      <c r="N241" s="194"/>
      <c r="O241" s="194"/>
      <c r="P241" s="194"/>
      <c r="Q241" s="194"/>
      <c r="R241" s="194"/>
      <c r="S241" s="194"/>
      <c r="T241" s="194"/>
      <c r="U241" s="194"/>
      <c r="V241" s="194"/>
      <c r="W241" s="194"/>
      <c r="X241" s="194"/>
      <c r="Y241" s="194"/>
      <c r="Z241" s="194"/>
      <c r="AA241" s="194"/>
      <c r="AB241" s="194"/>
      <c r="AC241" s="194"/>
      <c r="AD241" s="194"/>
      <c r="AE241" s="194"/>
      <c r="AF241" s="194"/>
      <c r="AG241" s="194"/>
      <c r="AH241" s="194"/>
      <c r="AI241" s="194"/>
      <c r="AJ241" s="194"/>
      <c r="AK241" s="194"/>
      <c r="AL241" s="194"/>
      <c r="AM241" s="194"/>
    </row>
    <row r="242" spans="1:39" ht="15.75" customHeight="1" x14ac:dyDescent="0.25">
      <c r="A242" s="194"/>
      <c r="B242" s="194"/>
      <c r="C242" s="194"/>
      <c r="D242" s="194"/>
      <c r="E242" s="194"/>
      <c r="F242" s="194"/>
      <c r="G242" s="194"/>
      <c r="H242" s="194"/>
      <c r="I242" s="194"/>
      <c r="J242" s="194"/>
      <c r="K242" s="194"/>
      <c r="L242" s="194"/>
      <c r="M242" s="194"/>
      <c r="N242" s="194"/>
      <c r="O242" s="194"/>
      <c r="P242" s="194"/>
      <c r="Q242" s="194"/>
      <c r="R242" s="194"/>
      <c r="S242" s="194"/>
      <c r="T242" s="194"/>
      <c r="U242" s="194"/>
      <c r="V242" s="194"/>
      <c r="W242" s="194"/>
      <c r="X242" s="194"/>
      <c r="Y242" s="194"/>
      <c r="Z242" s="194"/>
      <c r="AA242" s="194"/>
      <c r="AB242" s="194"/>
      <c r="AC242" s="194"/>
      <c r="AD242" s="194"/>
      <c r="AE242" s="194"/>
      <c r="AF242" s="194"/>
      <c r="AG242" s="194"/>
      <c r="AH242" s="194"/>
      <c r="AI242" s="194"/>
      <c r="AJ242" s="194"/>
      <c r="AK242" s="194"/>
      <c r="AL242" s="194"/>
      <c r="AM242" s="194"/>
    </row>
    <row r="243" spans="1:39" ht="15.75" customHeight="1" x14ac:dyDescent="0.25">
      <c r="A243" s="194"/>
      <c r="B243" s="194"/>
      <c r="C243" s="194"/>
      <c r="D243" s="194"/>
      <c r="E243" s="194"/>
      <c r="F243" s="194"/>
      <c r="G243" s="194"/>
      <c r="H243" s="194"/>
      <c r="I243" s="194"/>
      <c r="J243" s="194"/>
      <c r="K243" s="194"/>
      <c r="L243" s="194"/>
      <c r="M243" s="194"/>
      <c r="N243" s="194"/>
      <c r="O243" s="194"/>
      <c r="P243" s="194"/>
      <c r="Q243" s="194"/>
      <c r="R243" s="194"/>
      <c r="S243" s="194"/>
      <c r="T243" s="194"/>
      <c r="U243" s="194"/>
      <c r="V243" s="194"/>
      <c r="W243" s="194"/>
      <c r="X243" s="194"/>
      <c r="Y243" s="194"/>
      <c r="Z243" s="194"/>
      <c r="AA243" s="194"/>
      <c r="AB243" s="194"/>
      <c r="AC243" s="194"/>
      <c r="AD243" s="194"/>
      <c r="AE243" s="194"/>
      <c r="AF243" s="194"/>
      <c r="AG243" s="194"/>
      <c r="AH243" s="194"/>
      <c r="AI243" s="194"/>
      <c r="AJ243" s="194"/>
      <c r="AK243" s="194"/>
      <c r="AL243" s="194"/>
      <c r="AM243" s="194"/>
    </row>
    <row r="244" spans="1:39" ht="15.75" customHeight="1" x14ac:dyDescent="0.25">
      <c r="A244" s="194"/>
      <c r="B244" s="194"/>
      <c r="C244" s="194"/>
      <c r="D244" s="194"/>
      <c r="E244" s="194"/>
      <c r="F244" s="194"/>
      <c r="G244" s="194"/>
      <c r="H244" s="194"/>
      <c r="I244" s="194"/>
      <c r="J244" s="194"/>
      <c r="K244" s="194"/>
      <c r="L244" s="194"/>
      <c r="M244" s="194"/>
      <c r="N244" s="194"/>
      <c r="O244" s="194"/>
      <c r="P244" s="194"/>
      <c r="Q244" s="194"/>
      <c r="R244" s="194"/>
      <c r="S244" s="194"/>
      <c r="T244" s="194"/>
      <c r="U244" s="194"/>
      <c r="V244" s="194"/>
      <c r="W244" s="194"/>
      <c r="X244" s="194"/>
      <c r="Y244" s="194"/>
      <c r="Z244" s="194"/>
      <c r="AA244" s="194"/>
      <c r="AB244" s="194"/>
      <c r="AC244" s="194"/>
      <c r="AD244" s="194"/>
      <c r="AE244" s="194"/>
      <c r="AF244" s="194"/>
      <c r="AG244" s="194"/>
      <c r="AH244" s="194"/>
      <c r="AI244" s="194"/>
      <c r="AJ244" s="194"/>
      <c r="AK244" s="194"/>
      <c r="AL244" s="194"/>
      <c r="AM244" s="194"/>
    </row>
    <row r="245" spans="1:39" ht="15.75" customHeight="1" x14ac:dyDescent="0.25">
      <c r="A245" s="194"/>
      <c r="B245" s="194"/>
      <c r="C245" s="194"/>
      <c r="D245" s="194"/>
      <c r="E245" s="194"/>
      <c r="F245" s="194"/>
      <c r="G245" s="194"/>
      <c r="H245" s="194"/>
      <c r="I245" s="194"/>
      <c r="J245" s="194"/>
      <c r="K245" s="194"/>
      <c r="L245" s="194"/>
      <c r="M245" s="194"/>
      <c r="N245" s="194"/>
      <c r="O245" s="194"/>
      <c r="P245" s="194"/>
      <c r="Q245" s="194"/>
      <c r="R245" s="194"/>
      <c r="S245" s="194"/>
      <c r="T245" s="194"/>
      <c r="U245" s="194"/>
      <c r="V245" s="194"/>
      <c r="W245" s="194"/>
      <c r="X245" s="194"/>
      <c r="Y245" s="194"/>
      <c r="Z245" s="194"/>
      <c r="AA245" s="194"/>
      <c r="AB245" s="194"/>
      <c r="AC245" s="194"/>
      <c r="AD245" s="194"/>
      <c r="AE245" s="194"/>
      <c r="AF245" s="194"/>
      <c r="AG245" s="194"/>
      <c r="AH245" s="194"/>
      <c r="AI245" s="194"/>
      <c r="AJ245" s="194"/>
      <c r="AK245" s="194"/>
      <c r="AL245" s="194"/>
      <c r="AM245" s="194"/>
    </row>
    <row r="246" spans="1:39" ht="15.75" customHeight="1" x14ac:dyDescent="0.25">
      <c r="A246" s="194"/>
      <c r="B246" s="194"/>
      <c r="C246" s="194"/>
      <c r="D246" s="194"/>
      <c r="E246" s="194"/>
      <c r="F246" s="194"/>
      <c r="G246" s="194"/>
      <c r="H246" s="194"/>
      <c r="I246" s="194"/>
      <c r="J246" s="194"/>
      <c r="K246" s="194"/>
      <c r="L246" s="194"/>
      <c r="M246" s="194"/>
      <c r="N246" s="194"/>
      <c r="O246" s="194"/>
      <c r="P246" s="194"/>
      <c r="Q246" s="194"/>
      <c r="R246" s="194"/>
      <c r="S246" s="194"/>
      <c r="T246" s="194"/>
      <c r="U246" s="194"/>
      <c r="V246" s="194"/>
      <c r="W246" s="194"/>
      <c r="X246" s="194"/>
      <c r="Y246" s="194"/>
      <c r="Z246" s="194"/>
      <c r="AA246" s="194"/>
      <c r="AB246" s="194"/>
      <c r="AC246" s="194"/>
      <c r="AD246" s="194"/>
      <c r="AE246" s="194"/>
      <c r="AF246" s="194"/>
      <c r="AG246" s="194"/>
      <c r="AH246" s="194"/>
      <c r="AI246" s="194"/>
      <c r="AJ246" s="194"/>
      <c r="AK246" s="194"/>
      <c r="AL246" s="194"/>
      <c r="AM246" s="194"/>
    </row>
    <row r="247" spans="1:39" ht="15.75" customHeight="1" x14ac:dyDescent="0.25">
      <c r="A247" s="194"/>
      <c r="B247" s="194"/>
      <c r="C247" s="194"/>
      <c r="D247" s="194"/>
      <c r="E247" s="194"/>
      <c r="F247" s="194"/>
      <c r="G247" s="194"/>
      <c r="H247" s="194"/>
      <c r="I247" s="194"/>
      <c r="J247" s="194"/>
      <c r="K247" s="194"/>
      <c r="L247" s="194"/>
      <c r="M247" s="194"/>
      <c r="N247" s="194"/>
      <c r="O247" s="194"/>
      <c r="P247" s="194"/>
      <c r="Q247" s="194"/>
      <c r="R247" s="194"/>
      <c r="S247" s="194"/>
      <c r="T247" s="194"/>
      <c r="U247" s="194"/>
      <c r="V247" s="194"/>
      <c r="W247" s="194"/>
      <c r="X247" s="194"/>
      <c r="Y247" s="194"/>
      <c r="Z247" s="194"/>
      <c r="AA247" s="194"/>
      <c r="AB247" s="194"/>
      <c r="AC247" s="194"/>
      <c r="AD247" s="194"/>
      <c r="AE247" s="194"/>
      <c r="AF247" s="194"/>
      <c r="AG247" s="194"/>
      <c r="AH247" s="194"/>
      <c r="AI247" s="194"/>
      <c r="AJ247" s="194"/>
      <c r="AK247" s="194"/>
      <c r="AL247" s="194"/>
      <c r="AM247" s="194"/>
    </row>
    <row r="248" spans="1:39" ht="15.75" customHeight="1" x14ac:dyDescent="0.25">
      <c r="A248" s="194"/>
      <c r="B248" s="194"/>
      <c r="C248" s="194"/>
      <c r="D248" s="194"/>
      <c r="E248" s="194"/>
      <c r="F248" s="194"/>
      <c r="G248" s="194"/>
      <c r="H248" s="194"/>
      <c r="I248" s="194"/>
      <c r="J248" s="194"/>
      <c r="K248" s="194"/>
      <c r="L248" s="194"/>
      <c r="M248" s="194"/>
      <c r="N248" s="194"/>
      <c r="O248" s="194"/>
      <c r="P248" s="194"/>
      <c r="Q248" s="194"/>
      <c r="R248" s="194"/>
      <c r="S248" s="194"/>
      <c r="T248" s="194"/>
      <c r="U248" s="194"/>
      <c r="V248" s="194"/>
      <c r="W248" s="194"/>
      <c r="X248" s="194"/>
      <c r="Y248" s="194"/>
      <c r="Z248" s="194"/>
      <c r="AA248" s="194"/>
      <c r="AB248" s="194"/>
      <c r="AC248" s="194"/>
      <c r="AD248" s="194"/>
      <c r="AE248" s="194"/>
      <c r="AF248" s="194"/>
      <c r="AG248" s="194"/>
      <c r="AH248" s="194"/>
      <c r="AI248" s="194"/>
      <c r="AJ248" s="194"/>
      <c r="AK248" s="194"/>
      <c r="AL248" s="194"/>
      <c r="AM248" s="194"/>
    </row>
    <row r="249" spans="1:39" ht="15.75" customHeight="1" x14ac:dyDescent="0.25">
      <c r="A249" s="194"/>
      <c r="B249" s="194"/>
      <c r="C249" s="194"/>
      <c r="D249" s="194"/>
      <c r="E249" s="194"/>
      <c r="F249" s="194"/>
      <c r="G249" s="194"/>
      <c r="H249" s="194"/>
      <c r="I249" s="194"/>
      <c r="J249" s="194"/>
      <c r="K249" s="194"/>
      <c r="L249" s="194"/>
      <c r="M249" s="194"/>
      <c r="N249" s="194"/>
      <c r="O249" s="194"/>
      <c r="P249" s="194"/>
      <c r="Q249" s="194"/>
      <c r="R249" s="194"/>
      <c r="S249" s="194"/>
      <c r="T249" s="194"/>
      <c r="U249" s="194"/>
      <c r="V249" s="194"/>
      <c r="W249" s="194"/>
      <c r="X249" s="194"/>
      <c r="Y249" s="194"/>
      <c r="Z249" s="194"/>
      <c r="AA249" s="194"/>
      <c r="AB249" s="194"/>
      <c r="AC249" s="194"/>
      <c r="AD249" s="194"/>
      <c r="AE249" s="194"/>
      <c r="AF249" s="194"/>
      <c r="AG249" s="194"/>
      <c r="AH249" s="194"/>
      <c r="AI249" s="194"/>
      <c r="AJ249" s="194"/>
      <c r="AK249" s="194"/>
      <c r="AL249" s="194"/>
      <c r="AM249" s="194"/>
    </row>
    <row r="250" spans="1:39" ht="15.75" customHeight="1" x14ac:dyDescent="0.25">
      <c r="A250" s="194"/>
      <c r="B250" s="194"/>
      <c r="C250" s="194"/>
      <c r="D250" s="194"/>
      <c r="E250" s="194"/>
      <c r="F250" s="194"/>
      <c r="G250" s="194"/>
      <c r="H250" s="194"/>
      <c r="I250" s="194"/>
      <c r="J250" s="194"/>
      <c r="K250" s="194"/>
      <c r="L250" s="194"/>
      <c r="M250" s="194"/>
      <c r="N250" s="194"/>
      <c r="O250" s="194"/>
      <c r="P250" s="194"/>
      <c r="Q250" s="194"/>
      <c r="R250" s="194"/>
      <c r="S250" s="194"/>
      <c r="T250" s="194"/>
      <c r="U250" s="194"/>
      <c r="V250" s="194"/>
      <c r="W250" s="194"/>
      <c r="X250" s="194"/>
      <c r="Y250" s="194"/>
      <c r="Z250" s="194"/>
      <c r="AA250" s="194"/>
      <c r="AB250" s="194"/>
      <c r="AC250" s="194"/>
      <c r="AD250" s="194"/>
      <c r="AE250" s="194"/>
      <c r="AF250" s="194"/>
      <c r="AG250" s="194"/>
      <c r="AH250" s="194"/>
      <c r="AI250" s="194"/>
      <c r="AJ250" s="194"/>
      <c r="AK250" s="194"/>
      <c r="AL250" s="194"/>
      <c r="AM250" s="194"/>
    </row>
    <row r="251" spans="1:39" ht="15.75" customHeight="1" x14ac:dyDescent="0.25">
      <c r="A251" s="194"/>
      <c r="B251" s="194"/>
      <c r="C251" s="194"/>
      <c r="D251" s="194"/>
      <c r="E251" s="194"/>
      <c r="F251" s="194"/>
      <c r="G251" s="194"/>
      <c r="H251" s="194"/>
      <c r="I251" s="194"/>
      <c r="J251" s="194"/>
      <c r="K251" s="194"/>
      <c r="L251" s="194"/>
      <c r="M251" s="194"/>
      <c r="N251" s="194"/>
      <c r="O251" s="194"/>
      <c r="P251" s="194"/>
      <c r="Q251" s="194"/>
      <c r="R251" s="194"/>
      <c r="S251" s="194"/>
      <c r="T251" s="194"/>
      <c r="U251" s="194"/>
      <c r="V251" s="194"/>
      <c r="W251" s="194"/>
      <c r="X251" s="194"/>
      <c r="Y251" s="194"/>
      <c r="Z251" s="194"/>
      <c r="AA251" s="194"/>
      <c r="AB251" s="194"/>
      <c r="AC251" s="194"/>
      <c r="AD251" s="194"/>
      <c r="AE251" s="194"/>
      <c r="AF251" s="194"/>
      <c r="AG251" s="194"/>
      <c r="AH251" s="194"/>
      <c r="AI251" s="194"/>
      <c r="AJ251" s="194"/>
      <c r="AK251" s="194"/>
      <c r="AL251" s="194"/>
      <c r="AM251" s="194"/>
    </row>
    <row r="252" spans="1:39" ht="15.75" customHeight="1" x14ac:dyDescent="0.25">
      <c r="A252" s="194"/>
      <c r="B252" s="194"/>
      <c r="C252" s="194"/>
      <c r="D252" s="194"/>
      <c r="E252" s="194"/>
      <c r="F252" s="194"/>
      <c r="G252" s="194"/>
      <c r="H252" s="194"/>
      <c r="I252" s="194"/>
      <c r="J252" s="194"/>
      <c r="K252" s="194"/>
      <c r="L252" s="194"/>
      <c r="M252" s="194"/>
      <c r="N252" s="194"/>
      <c r="O252" s="194"/>
      <c r="P252" s="194"/>
      <c r="Q252" s="194"/>
      <c r="R252" s="194"/>
      <c r="S252" s="194"/>
      <c r="T252" s="194"/>
      <c r="U252" s="194"/>
      <c r="V252" s="194"/>
      <c r="W252" s="194"/>
      <c r="X252" s="194"/>
      <c r="Y252" s="194"/>
      <c r="Z252" s="194"/>
      <c r="AA252" s="194"/>
      <c r="AB252" s="194"/>
      <c r="AC252" s="194"/>
      <c r="AD252" s="194"/>
      <c r="AE252" s="194"/>
      <c r="AF252" s="194"/>
      <c r="AG252" s="194"/>
      <c r="AH252" s="194"/>
      <c r="AI252" s="194"/>
      <c r="AJ252" s="194"/>
      <c r="AK252" s="194"/>
      <c r="AL252" s="194"/>
      <c r="AM252" s="194"/>
    </row>
    <row r="253" spans="1:39" ht="15.75" customHeight="1" x14ac:dyDescent="0.25">
      <c r="A253" s="194"/>
      <c r="B253" s="194"/>
      <c r="C253" s="194"/>
      <c r="D253" s="194"/>
      <c r="E253" s="194"/>
      <c r="F253" s="194"/>
      <c r="G253" s="194"/>
      <c r="H253" s="194"/>
      <c r="I253" s="194"/>
      <c r="J253" s="194"/>
      <c r="K253" s="194"/>
      <c r="L253" s="194"/>
      <c r="M253" s="194"/>
      <c r="N253" s="194"/>
      <c r="O253" s="194"/>
      <c r="P253" s="194"/>
      <c r="Q253" s="194"/>
      <c r="R253" s="194"/>
      <c r="S253" s="194"/>
      <c r="T253" s="194"/>
      <c r="U253" s="194"/>
      <c r="V253" s="194"/>
      <c r="W253" s="194"/>
      <c r="X253" s="194"/>
      <c r="Y253" s="194"/>
      <c r="Z253" s="194"/>
      <c r="AA253" s="194"/>
      <c r="AB253" s="194"/>
      <c r="AC253" s="194"/>
      <c r="AD253" s="194"/>
      <c r="AE253" s="194"/>
      <c r="AF253" s="194"/>
      <c r="AG253" s="194"/>
      <c r="AH253" s="194"/>
      <c r="AI253" s="194"/>
      <c r="AJ253" s="194"/>
      <c r="AK253" s="194"/>
      <c r="AL253" s="194"/>
      <c r="AM253" s="194"/>
    </row>
    <row r="254" spans="1:39" ht="15.75" customHeight="1" x14ac:dyDescent="0.25">
      <c r="A254" s="194"/>
      <c r="B254" s="194"/>
      <c r="C254" s="194"/>
      <c r="D254" s="194"/>
      <c r="E254" s="194"/>
      <c r="F254" s="194"/>
      <c r="G254" s="194"/>
      <c r="H254" s="194"/>
      <c r="I254" s="194"/>
      <c r="J254" s="194"/>
      <c r="K254" s="194"/>
      <c r="L254" s="194"/>
      <c r="M254" s="194"/>
      <c r="N254" s="194"/>
      <c r="O254" s="194"/>
      <c r="P254" s="194"/>
      <c r="Q254" s="194"/>
      <c r="R254" s="194"/>
      <c r="S254" s="194"/>
      <c r="T254" s="194"/>
      <c r="U254" s="194"/>
      <c r="V254" s="194"/>
      <c r="W254" s="194"/>
      <c r="X254" s="194"/>
      <c r="Y254" s="194"/>
      <c r="Z254" s="194"/>
      <c r="AA254" s="194"/>
      <c r="AB254" s="194"/>
      <c r="AC254" s="194"/>
      <c r="AD254" s="194"/>
      <c r="AE254" s="194"/>
      <c r="AF254" s="194"/>
      <c r="AG254" s="194"/>
      <c r="AH254" s="194"/>
      <c r="AI254" s="194"/>
      <c r="AJ254" s="194"/>
      <c r="AK254" s="194"/>
      <c r="AL254" s="194"/>
      <c r="AM254" s="194"/>
    </row>
    <row r="255" spans="1:39" ht="15.75" customHeight="1" x14ac:dyDescent="0.25">
      <c r="A255" s="194"/>
      <c r="B255" s="194"/>
      <c r="C255" s="194"/>
      <c r="D255" s="194"/>
      <c r="E255" s="194"/>
      <c r="F255" s="194"/>
      <c r="G255" s="194"/>
      <c r="H255" s="194"/>
      <c r="I255" s="194"/>
      <c r="J255" s="194"/>
      <c r="K255" s="194"/>
      <c r="L255" s="194"/>
      <c r="M255" s="194"/>
      <c r="N255" s="194"/>
      <c r="O255" s="194"/>
      <c r="P255" s="194"/>
      <c r="Q255" s="194"/>
      <c r="R255" s="194"/>
      <c r="S255" s="194"/>
      <c r="T255" s="194"/>
      <c r="U255" s="194"/>
      <c r="V255" s="194"/>
      <c r="W255" s="194"/>
      <c r="X255" s="194"/>
      <c r="Y255" s="194"/>
      <c r="Z255" s="194"/>
      <c r="AA255" s="194"/>
      <c r="AB255" s="194"/>
      <c r="AC255" s="194"/>
      <c r="AD255" s="194"/>
      <c r="AE255" s="194"/>
      <c r="AF255" s="194"/>
      <c r="AG255" s="194"/>
      <c r="AH255" s="194"/>
      <c r="AI255" s="194"/>
      <c r="AJ255" s="194"/>
      <c r="AK255" s="194"/>
      <c r="AL255" s="194"/>
      <c r="AM255" s="194"/>
    </row>
    <row r="256" spans="1:39" ht="15.75" customHeight="1" x14ac:dyDescent="0.25">
      <c r="A256" s="194"/>
      <c r="B256" s="194"/>
      <c r="C256" s="194"/>
      <c r="D256" s="194"/>
      <c r="E256" s="194"/>
      <c r="F256" s="194"/>
      <c r="G256" s="194"/>
      <c r="H256" s="194"/>
      <c r="I256" s="194"/>
      <c r="J256" s="194"/>
      <c r="K256" s="194"/>
      <c r="L256" s="194"/>
      <c r="M256" s="194"/>
      <c r="N256" s="194"/>
      <c r="O256" s="194"/>
      <c r="P256" s="194"/>
      <c r="Q256" s="194"/>
      <c r="R256" s="194"/>
      <c r="S256" s="194"/>
      <c r="T256" s="194"/>
      <c r="U256" s="194"/>
      <c r="V256" s="194"/>
      <c r="W256" s="194"/>
      <c r="X256" s="194"/>
      <c r="Y256" s="194"/>
      <c r="Z256" s="194"/>
      <c r="AA256" s="194"/>
      <c r="AB256" s="194"/>
      <c r="AC256" s="194"/>
      <c r="AD256" s="194"/>
      <c r="AE256" s="194"/>
      <c r="AF256" s="194"/>
      <c r="AG256" s="194"/>
      <c r="AH256" s="194"/>
      <c r="AI256" s="194"/>
      <c r="AJ256" s="194"/>
      <c r="AK256" s="194"/>
      <c r="AL256" s="194"/>
      <c r="AM256" s="194"/>
    </row>
    <row r="257" spans="1:39" ht="15.75" customHeight="1" x14ac:dyDescent="0.25">
      <c r="A257" s="194"/>
      <c r="B257" s="194"/>
      <c r="C257" s="194"/>
      <c r="D257" s="194"/>
      <c r="E257" s="194"/>
      <c r="F257" s="194"/>
      <c r="G257" s="194"/>
      <c r="H257" s="194"/>
      <c r="I257" s="194"/>
      <c r="J257" s="194"/>
      <c r="K257" s="194"/>
      <c r="L257" s="194"/>
      <c r="M257" s="194"/>
      <c r="N257" s="194"/>
      <c r="O257" s="194"/>
      <c r="P257" s="194"/>
      <c r="Q257" s="194"/>
      <c r="R257" s="194"/>
      <c r="S257" s="194"/>
      <c r="T257" s="194"/>
      <c r="U257" s="194"/>
      <c r="V257" s="194"/>
      <c r="W257" s="194"/>
      <c r="X257" s="194"/>
      <c r="Y257" s="194"/>
      <c r="Z257" s="194"/>
      <c r="AA257" s="194"/>
      <c r="AB257" s="194"/>
      <c r="AC257" s="194"/>
      <c r="AD257" s="194"/>
      <c r="AE257" s="194"/>
      <c r="AF257" s="194"/>
      <c r="AG257" s="194"/>
      <c r="AH257" s="194"/>
      <c r="AI257" s="194"/>
      <c r="AJ257" s="194"/>
      <c r="AK257" s="194"/>
      <c r="AL257" s="194"/>
      <c r="AM257" s="194"/>
    </row>
    <row r="258" spans="1:39" ht="15.75" customHeight="1" x14ac:dyDescent="0.25">
      <c r="A258" s="194"/>
      <c r="B258" s="194"/>
      <c r="C258" s="194"/>
      <c r="D258" s="194"/>
      <c r="E258" s="194"/>
      <c r="F258" s="194"/>
      <c r="G258" s="194"/>
      <c r="H258" s="194"/>
      <c r="I258" s="194"/>
      <c r="J258" s="194"/>
      <c r="K258" s="194"/>
      <c r="L258" s="194"/>
      <c r="M258" s="194"/>
      <c r="N258" s="194"/>
      <c r="O258" s="194"/>
      <c r="P258" s="194"/>
      <c r="Q258" s="194"/>
      <c r="R258" s="194"/>
      <c r="S258" s="194"/>
      <c r="T258" s="194"/>
      <c r="U258" s="194"/>
      <c r="V258" s="194"/>
      <c r="W258" s="194"/>
      <c r="X258" s="194"/>
      <c r="Y258" s="194"/>
      <c r="Z258" s="194"/>
      <c r="AA258" s="194"/>
      <c r="AB258" s="194"/>
      <c r="AC258" s="194"/>
      <c r="AD258" s="194"/>
      <c r="AE258" s="194"/>
      <c r="AF258" s="194"/>
      <c r="AG258" s="194"/>
      <c r="AH258" s="194"/>
      <c r="AI258" s="194"/>
      <c r="AJ258" s="194"/>
      <c r="AK258" s="194"/>
      <c r="AL258" s="194"/>
      <c r="AM258" s="194"/>
    </row>
    <row r="259" spans="1:39" ht="15.75" customHeight="1" x14ac:dyDescent="0.25">
      <c r="A259" s="194"/>
      <c r="B259" s="194"/>
      <c r="C259" s="194"/>
      <c r="D259" s="194"/>
      <c r="E259" s="194"/>
      <c r="F259" s="194"/>
      <c r="G259" s="194"/>
      <c r="H259" s="194"/>
      <c r="I259" s="194"/>
      <c r="J259" s="194"/>
      <c r="K259" s="194"/>
      <c r="L259" s="194"/>
      <c r="M259" s="194"/>
      <c r="N259" s="194"/>
      <c r="O259" s="194"/>
      <c r="P259" s="194"/>
      <c r="Q259" s="194"/>
      <c r="R259" s="194"/>
      <c r="S259" s="194"/>
      <c r="T259" s="194"/>
      <c r="U259" s="194"/>
      <c r="V259" s="194"/>
      <c r="W259" s="194"/>
      <c r="X259" s="194"/>
      <c r="Y259" s="194"/>
      <c r="Z259" s="194"/>
      <c r="AA259" s="194"/>
      <c r="AB259" s="194"/>
      <c r="AC259" s="194"/>
      <c r="AD259" s="194"/>
      <c r="AE259" s="194"/>
      <c r="AF259" s="194"/>
      <c r="AG259" s="194"/>
      <c r="AH259" s="194"/>
      <c r="AI259" s="194"/>
      <c r="AJ259" s="194"/>
      <c r="AK259" s="194"/>
      <c r="AL259" s="194"/>
      <c r="AM259" s="194"/>
    </row>
    <row r="260" spans="1:39" ht="15.75" customHeight="1" x14ac:dyDescent="0.25">
      <c r="A260" s="194"/>
      <c r="B260" s="194"/>
      <c r="C260" s="194"/>
      <c r="D260" s="194"/>
      <c r="E260" s="194"/>
      <c r="F260" s="194"/>
      <c r="G260" s="194"/>
      <c r="H260" s="194"/>
      <c r="I260" s="194"/>
      <c r="J260" s="194"/>
      <c r="K260" s="194"/>
      <c r="L260" s="194"/>
      <c r="M260" s="194"/>
      <c r="N260" s="194"/>
      <c r="O260" s="194"/>
      <c r="P260" s="194"/>
      <c r="Q260" s="194"/>
      <c r="R260" s="194"/>
      <c r="S260" s="194"/>
      <c r="T260" s="194"/>
      <c r="U260" s="194"/>
      <c r="V260" s="194"/>
      <c r="W260" s="194"/>
      <c r="X260" s="194"/>
      <c r="Y260" s="194"/>
      <c r="Z260" s="194"/>
      <c r="AA260" s="194"/>
      <c r="AB260" s="194"/>
      <c r="AC260" s="194"/>
      <c r="AD260" s="194"/>
      <c r="AE260" s="194"/>
      <c r="AF260" s="194"/>
      <c r="AG260" s="194"/>
      <c r="AH260" s="194"/>
      <c r="AI260" s="194"/>
      <c r="AJ260" s="194"/>
      <c r="AK260" s="194"/>
      <c r="AL260" s="194"/>
      <c r="AM260" s="194"/>
    </row>
    <row r="261" spans="1:39" ht="15.75" customHeight="1" x14ac:dyDescent="0.25">
      <c r="A261" s="194"/>
      <c r="B261" s="194"/>
      <c r="C261" s="194"/>
      <c r="D261" s="194"/>
      <c r="E261" s="194"/>
      <c r="F261" s="194"/>
      <c r="G261" s="194"/>
      <c r="H261" s="194"/>
      <c r="I261" s="194"/>
      <c r="J261" s="194"/>
      <c r="K261" s="194"/>
      <c r="L261" s="194"/>
      <c r="M261" s="194"/>
      <c r="N261" s="194"/>
      <c r="O261" s="194"/>
      <c r="P261" s="194"/>
      <c r="Q261" s="194"/>
      <c r="R261" s="194"/>
      <c r="S261" s="194"/>
      <c r="T261" s="194"/>
      <c r="U261" s="194"/>
      <c r="V261" s="194"/>
      <c r="W261" s="194"/>
      <c r="X261" s="194"/>
      <c r="Y261" s="194"/>
      <c r="Z261" s="194"/>
      <c r="AA261" s="194"/>
      <c r="AB261" s="194"/>
      <c r="AC261" s="194"/>
      <c r="AD261" s="194"/>
      <c r="AE261" s="194"/>
      <c r="AF261" s="194"/>
      <c r="AG261" s="194"/>
      <c r="AH261" s="194"/>
      <c r="AI261" s="194"/>
      <c r="AJ261" s="194"/>
      <c r="AK261" s="194"/>
      <c r="AL261" s="194"/>
      <c r="AM261" s="194"/>
    </row>
    <row r="262" spans="1:39" ht="15.75" customHeight="1" x14ac:dyDescent="0.25">
      <c r="A262" s="194"/>
      <c r="B262" s="194"/>
      <c r="C262" s="194"/>
      <c r="D262" s="194"/>
      <c r="E262" s="194"/>
      <c r="F262" s="194"/>
      <c r="G262" s="194"/>
      <c r="H262" s="194"/>
      <c r="I262" s="194"/>
      <c r="J262" s="194"/>
      <c r="K262" s="194"/>
      <c r="L262" s="194"/>
      <c r="M262" s="194"/>
      <c r="N262" s="194"/>
      <c r="O262" s="194"/>
      <c r="P262" s="194"/>
      <c r="Q262" s="194"/>
      <c r="R262" s="194"/>
      <c r="S262" s="194"/>
      <c r="T262" s="194"/>
      <c r="U262" s="194"/>
      <c r="V262" s="194"/>
      <c r="W262" s="194"/>
      <c r="X262" s="194"/>
      <c r="Y262" s="194"/>
      <c r="Z262" s="194"/>
      <c r="AA262" s="194"/>
      <c r="AB262" s="194"/>
      <c r="AC262" s="194"/>
      <c r="AD262" s="194"/>
      <c r="AE262" s="194"/>
      <c r="AF262" s="194"/>
      <c r="AG262" s="194"/>
      <c r="AH262" s="194"/>
      <c r="AI262" s="194"/>
      <c r="AJ262" s="194"/>
      <c r="AK262" s="194"/>
      <c r="AL262" s="194"/>
      <c r="AM262" s="194"/>
    </row>
    <row r="263" spans="1:39" ht="15.75" customHeight="1" x14ac:dyDescent="0.25">
      <c r="A263" s="194"/>
      <c r="B263" s="194"/>
      <c r="C263" s="194"/>
      <c r="D263" s="194"/>
      <c r="E263" s="194"/>
      <c r="F263" s="194"/>
      <c r="G263" s="194"/>
      <c r="H263" s="194"/>
      <c r="I263" s="194"/>
      <c r="J263" s="194"/>
      <c r="K263" s="194"/>
      <c r="L263" s="194"/>
      <c r="M263" s="194"/>
      <c r="N263" s="194"/>
      <c r="O263" s="194"/>
      <c r="P263" s="194"/>
      <c r="Q263" s="194"/>
      <c r="R263" s="194"/>
      <c r="S263" s="194"/>
      <c r="T263" s="194"/>
      <c r="U263" s="194"/>
      <c r="V263" s="194"/>
      <c r="W263" s="194"/>
      <c r="X263" s="194"/>
      <c r="Y263" s="194"/>
      <c r="Z263" s="194"/>
      <c r="AA263" s="194"/>
      <c r="AB263" s="194"/>
      <c r="AC263" s="194"/>
      <c r="AD263" s="194"/>
      <c r="AE263" s="194"/>
      <c r="AF263" s="194"/>
      <c r="AG263" s="194"/>
      <c r="AH263" s="194"/>
      <c r="AI263" s="194"/>
      <c r="AJ263" s="194"/>
      <c r="AK263" s="194"/>
      <c r="AL263" s="194"/>
      <c r="AM263" s="194"/>
    </row>
    <row r="264" spans="1:39" ht="15.75" customHeight="1" x14ac:dyDescent="0.25">
      <c r="A264" s="194"/>
      <c r="B264" s="194"/>
      <c r="C264" s="194"/>
      <c r="D264" s="194"/>
      <c r="E264" s="194"/>
      <c r="F264" s="194"/>
      <c r="G264" s="194"/>
      <c r="H264" s="194"/>
      <c r="I264" s="194"/>
      <c r="J264" s="194"/>
      <c r="K264" s="194"/>
      <c r="L264" s="194"/>
      <c r="M264" s="194"/>
      <c r="N264" s="194"/>
      <c r="O264" s="194"/>
      <c r="P264" s="194"/>
      <c r="Q264" s="194"/>
      <c r="R264" s="194"/>
      <c r="S264" s="194"/>
      <c r="T264" s="194"/>
      <c r="U264" s="194"/>
      <c r="V264" s="194"/>
      <c r="W264" s="194"/>
      <c r="X264" s="194"/>
      <c r="Y264" s="194"/>
      <c r="Z264" s="194"/>
      <c r="AA264" s="194"/>
      <c r="AB264" s="194"/>
      <c r="AC264" s="194"/>
      <c r="AD264" s="194"/>
      <c r="AE264" s="194"/>
      <c r="AF264" s="194"/>
      <c r="AG264" s="194"/>
      <c r="AH264" s="194"/>
      <c r="AI264" s="194"/>
      <c r="AJ264" s="194"/>
      <c r="AK264" s="194"/>
      <c r="AL264" s="194"/>
      <c r="AM264" s="194"/>
    </row>
    <row r="265" spans="1:39" ht="15.75" customHeight="1" x14ac:dyDescent="0.25">
      <c r="A265" s="194"/>
      <c r="B265" s="194"/>
      <c r="C265" s="194"/>
      <c r="D265" s="194"/>
      <c r="E265" s="194"/>
      <c r="F265" s="194"/>
      <c r="G265" s="194"/>
      <c r="H265" s="194"/>
      <c r="I265" s="194"/>
      <c r="J265" s="194"/>
      <c r="K265" s="194"/>
      <c r="L265" s="194"/>
      <c r="M265" s="194"/>
      <c r="N265" s="194"/>
      <c r="O265" s="194"/>
      <c r="P265" s="194"/>
      <c r="Q265" s="194"/>
      <c r="R265" s="194"/>
      <c r="S265" s="194"/>
      <c r="T265" s="194"/>
      <c r="U265" s="194"/>
      <c r="V265" s="194"/>
      <c r="W265" s="194"/>
      <c r="X265" s="194"/>
      <c r="Y265" s="194"/>
      <c r="Z265" s="194"/>
      <c r="AA265" s="194"/>
      <c r="AB265" s="194"/>
      <c r="AC265" s="194"/>
      <c r="AD265" s="194"/>
      <c r="AE265" s="194"/>
      <c r="AF265" s="194"/>
      <c r="AG265" s="194"/>
      <c r="AH265" s="194"/>
      <c r="AI265" s="194"/>
      <c r="AJ265" s="194"/>
      <c r="AK265" s="194"/>
      <c r="AL265" s="194"/>
      <c r="AM265" s="194"/>
    </row>
    <row r="266" spans="1:39" ht="15.75" customHeight="1" x14ac:dyDescent="0.25">
      <c r="A266" s="194"/>
      <c r="B266" s="194"/>
      <c r="C266" s="194"/>
      <c r="D266" s="194"/>
      <c r="E266" s="194"/>
      <c r="F266" s="194"/>
      <c r="G266" s="194"/>
      <c r="H266" s="194"/>
      <c r="I266" s="194"/>
      <c r="J266" s="194"/>
      <c r="K266" s="194"/>
      <c r="L266" s="194"/>
      <c r="M266" s="194"/>
      <c r="N266" s="194"/>
      <c r="O266" s="194"/>
      <c r="P266" s="194"/>
      <c r="Q266" s="194"/>
      <c r="R266" s="194"/>
      <c r="S266" s="194"/>
      <c r="T266" s="194"/>
      <c r="U266" s="194"/>
      <c r="V266" s="194"/>
      <c r="W266" s="194"/>
      <c r="X266" s="194"/>
      <c r="Y266" s="194"/>
      <c r="Z266" s="194"/>
      <c r="AA266" s="194"/>
      <c r="AB266" s="194"/>
      <c r="AC266" s="194"/>
      <c r="AD266" s="194"/>
      <c r="AE266" s="194"/>
      <c r="AF266" s="194"/>
      <c r="AG266" s="194"/>
      <c r="AH266" s="194"/>
      <c r="AI266" s="194"/>
      <c r="AJ266" s="194"/>
      <c r="AK266" s="194"/>
      <c r="AL266" s="194"/>
      <c r="AM266" s="194"/>
    </row>
    <row r="267" spans="1:39" ht="15.75" customHeight="1" x14ac:dyDescent="0.25">
      <c r="A267" s="194"/>
      <c r="B267" s="194"/>
      <c r="C267" s="194"/>
      <c r="D267" s="194"/>
      <c r="E267" s="194"/>
      <c r="F267" s="194"/>
      <c r="G267" s="194"/>
      <c r="H267" s="194"/>
      <c r="I267" s="194"/>
      <c r="J267" s="194"/>
      <c r="K267" s="194"/>
      <c r="L267" s="194"/>
      <c r="M267" s="194"/>
      <c r="N267" s="194"/>
      <c r="O267" s="194"/>
      <c r="P267" s="194"/>
      <c r="Q267" s="194"/>
      <c r="R267" s="194"/>
      <c r="S267" s="194"/>
      <c r="T267" s="194"/>
      <c r="U267" s="194"/>
      <c r="V267" s="194"/>
      <c r="W267" s="194"/>
      <c r="X267" s="194"/>
      <c r="Y267" s="194"/>
      <c r="Z267" s="194"/>
      <c r="AA267" s="194"/>
      <c r="AB267" s="194"/>
      <c r="AC267" s="194"/>
      <c r="AD267" s="194"/>
      <c r="AE267" s="194"/>
      <c r="AF267" s="194"/>
      <c r="AG267" s="194"/>
      <c r="AH267" s="194"/>
      <c r="AI267" s="194"/>
      <c r="AJ267" s="194"/>
      <c r="AK267" s="194"/>
      <c r="AL267" s="194"/>
      <c r="AM267" s="194"/>
    </row>
    <row r="268" spans="1:39" ht="15.75" customHeight="1" x14ac:dyDescent="0.25">
      <c r="A268" s="194"/>
      <c r="B268" s="194"/>
      <c r="C268" s="194"/>
      <c r="D268" s="194"/>
      <c r="E268" s="194"/>
      <c r="F268" s="194"/>
      <c r="G268" s="194"/>
      <c r="H268" s="194"/>
      <c r="I268" s="194"/>
      <c r="J268" s="194"/>
      <c r="K268" s="194"/>
      <c r="L268" s="194"/>
      <c r="M268" s="194"/>
      <c r="N268" s="194"/>
      <c r="O268" s="194"/>
      <c r="P268" s="194"/>
      <c r="Q268" s="194"/>
      <c r="R268" s="194"/>
      <c r="S268" s="194"/>
      <c r="T268" s="194"/>
      <c r="U268" s="194"/>
      <c r="V268" s="194"/>
      <c r="W268" s="194"/>
      <c r="X268" s="194"/>
      <c r="Y268" s="194"/>
      <c r="Z268" s="194"/>
      <c r="AA268" s="194"/>
      <c r="AB268" s="194"/>
      <c r="AC268" s="194"/>
      <c r="AD268" s="194"/>
      <c r="AE268" s="194"/>
      <c r="AF268" s="194"/>
      <c r="AG268" s="194"/>
      <c r="AH268" s="194"/>
      <c r="AI268" s="194"/>
      <c r="AJ268" s="194"/>
      <c r="AK268" s="194"/>
      <c r="AL268" s="194"/>
      <c r="AM268" s="194"/>
    </row>
    <row r="269" spans="1:39" ht="15.75" customHeight="1" x14ac:dyDescent="0.25">
      <c r="A269" s="194"/>
      <c r="B269" s="194"/>
      <c r="C269" s="194"/>
      <c r="D269" s="194"/>
      <c r="E269" s="194"/>
      <c r="F269" s="194"/>
      <c r="G269" s="194"/>
      <c r="H269" s="194"/>
      <c r="I269" s="194"/>
      <c r="J269" s="194"/>
      <c r="K269" s="194"/>
      <c r="L269" s="194"/>
      <c r="M269" s="194"/>
      <c r="N269" s="194"/>
      <c r="O269" s="194"/>
      <c r="P269" s="194"/>
      <c r="Q269" s="194"/>
      <c r="R269" s="194"/>
      <c r="S269" s="194"/>
      <c r="T269" s="194"/>
      <c r="U269" s="194"/>
      <c r="V269" s="194"/>
      <c r="W269" s="194"/>
      <c r="X269" s="194"/>
      <c r="Y269" s="194"/>
      <c r="Z269" s="194"/>
      <c r="AA269" s="194"/>
      <c r="AB269" s="194"/>
      <c r="AC269" s="194"/>
      <c r="AD269" s="194"/>
      <c r="AE269" s="194"/>
      <c r="AF269" s="194"/>
      <c r="AG269" s="194"/>
      <c r="AH269" s="194"/>
      <c r="AI269" s="194"/>
      <c r="AJ269" s="194"/>
      <c r="AK269" s="194"/>
      <c r="AL269" s="194"/>
      <c r="AM269" s="194"/>
    </row>
    <row r="270" spans="1:39" ht="15.75" customHeight="1" x14ac:dyDescent="0.25">
      <c r="A270" s="194"/>
      <c r="B270" s="194"/>
      <c r="C270" s="194"/>
      <c r="D270" s="194"/>
      <c r="E270" s="194"/>
      <c r="F270" s="194"/>
      <c r="G270" s="194"/>
      <c r="H270" s="194"/>
      <c r="I270" s="194"/>
      <c r="J270" s="194"/>
      <c r="K270" s="194"/>
      <c r="L270" s="194"/>
      <c r="M270" s="194"/>
      <c r="N270" s="194"/>
      <c r="O270" s="194"/>
      <c r="P270" s="194"/>
      <c r="Q270" s="194"/>
      <c r="R270" s="194"/>
      <c r="S270" s="194"/>
      <c r="T270" s="194"/>
      <c r="U270" s="194"/>
      <c r="V270" s="194"/>
      <c r="W270" s="194"/>
      <c r="X270" s="194"/>
      <c r="Y270" s="194"/>
      <c r="Z270" s="194"/>
      <c r="AA270" s="194"/>
      <c r="AB270" s="194"/>
      <c r="AC270" s="194"/>
      <c r="AD270" s="194"/>
      <c r="AE270" s="194"/>
      <c r="AF270" s="194"/>
      <c r="AG270" s="194"/>
      <c r="AH270" s="194"/>
      <c r="AI270" s="194"/>
      <c r="AJ270" s="194"/>
      <c r="AK270" s="194"/>
      <c r="AL270" s="194"/>
      <c r="AM270" s="194"/>
    </row>
    <row r="271" spans="1:39" ht="15.75" customHeight="1" x14ac:dyDescent="0.25">
      <c r="A271" s="194"/>
      <c r="B271" s="194"/>
      <c r="C271" s="194"/>
      <c r="D271" s="194"/>
      <c r="E271" s="194"/>
      <c r="F271" s="194"/>
      <c r="G271" s="194"/>
      <c r="H271" s="194"/>
      <c r="I271" s="194"/>
      <c r="J271" s="194"/>
      <c r="K271" s="194"/>
      <c r="L271" s="194"/>
      <c r="M271" s="194"/>
      <c r="N271" s="194"/>
      <c r="O271" s="194"/>
      <c r="P271" s="194"/>
      <c r="Q271" s="194"/>
      <c r="R271" s="194"/>
      <c r="S271" s="194"/>
      <c r="T271" s="194"/>
      <c r="U271" s="194"/>
      <c r="V271" s="194"/>
      <c r="W271" s="194"/>
      <c r="X271" s="194"/>
      <c r="Y271" s="194"/>
      <c r="Z271" s="194"/>
      <c r="AA271" s="194"/>
      <c r="AB271" s="194"/>
      <c r="AC271" s="194"/>
      <c r="AD271" s="194"/>
      <c r="AE271" s="194"/>
      <c r="AF271" s="194"/>
      <c r="AG271" s="194"/>
      <c r="AH271" s="194"/>
      <c r="AI271" s="194"/>
      <c r="AJ271" s="194"/>
      <c r="AK271" s="194"/>
      <c r="AL271" s="194"/>
      <c r="AM271" s="194"/>
    </row>
    <row r="272" spans="1:39" ht="15.75" customHeight="1" x14ac:dyDescent="0.25">
      <c r="A272" s="194"/>
      <c r="B272" s="194"/>
      <c r="C272" s="194"/>
      <c r="D272" s="194"/>
      <c r="E272" s="194"/>
      <c r="F272" s="194"/>
      <c r="G272" s="194"/>
      <c r="H272" s="194"/>
      <c r="I272" s="194"/>
      <c r="J272" s="194"/>
      <c r="K272" s="194"/>
      <c r="L272" s="194"/>
      <c r="M272" s="194"/>
      <c r="N272" s="194"/>
      <c r="O272" s="194"/>
      <c r="P272" s="194"/>
      <c r="Q272" s="194"/>
      <c r="R272" s="194"/>
      <c r="S272" s="194"/>
      <c r="T272" s="194"/>
      <c r="U272" s="194"/>
      <c r="V272" s="194"/>
      <c r="W272" s="194"/>
      <c r="X272" s="194"/>
      <c r="Y272" s="194"/>
      <c r="Z272" s="194"/>
      <c r="AA272" s="194"/>
      <c r="AB272" s="194"/>
      <c r="AC272" s="194"/>
      <c r="AD272" s="194"/>
      <c r="AE272" s="194"/>
      <c r="AF272" s="194"/>
      <c r="AG272" s="194"/>
      <c r="AH272" s="194"/>
      <c r="AI272" s="194"/>
      <c r="AJ272" s="194"/>
      <c r="AK272" s="194"/>
      <c r="AL272" s="194"/>
      <c r="AM272" s="194"/>
    </row>
    <row r="273" spans="1:39" ht="15.75" customHeight="1" x14ac:dyDescent="0.25">
      <c r="A273" s="194"/>
      <c r="B273" s="194"/>
      <c r="C273" s="194"/>
      <c r="D273" s="194"/>
      <c r="E273" s="194"/>
      <c r="F273" s="194"/>
      <c r="G273" s="194"/>
      <c r="H273" s="194"/>
      <c r="I273" s="194"/>
      <c r="J273" s="194"/>
      <c r="K273" s="194"/>
      <c r="L273" s="194"/>
      <c r="M273" s="194"/>
      <c r="N273" s="194"/>
      <c r="O273" s="194"/>
      <c r="P273" s="194"/>
      <c r="Q273" s="194"/>
      <c r="R273" s="194"/>
      <c r="S273" s="194"/>
      <c r="T273" s="194"/>
      <c r="U273" s="194"/>
      <c r="V273" s="194"/>
      <c r="W273" s="194"/>
      <c r="X273" s="194"/>
      <c r="Y273" s="194"/>
      <c r="Z273" s="194"/>
      <c r="AA273" s="194"/>
      <c r="AB273" s="194"/>
      <c r="AC273" s="194"/>
      <c r="AD273" s="194"/>
      <c r="AE273" s="194"/>
      <c r="AF273" s="194"/>
      <c r="AG273" s="194"/>
      <c r="AH273" s="194"/>
      <c r="AI273" s="194"/>
      <c r="AJ273" s="194"/>
      <c r="AK273" s="194"/>
      <c r="AL273" s="194"/>
      <c r="AM273" s="194"/>
    </row>
    <row r="274" spans="1:39" ht="15.75" customHeight="1" x14ac:dyDescent="0.25">
      <c r="A274" s="194"/>
      <c r="B274" s="194"/>
      <c r="C274" s="194"/>
      <c r="D274" s="194"/>
      <c r="E274" s="194"/>
      <c r="F274" s="194"/>
      <c r="G274" s="194"/>
      <c r="H274" s="194"/>
      <c r="I274" s="194"/>
      <c r="J274" s="194"/>
      <c r="K274" s="194"/>
      <c r="L274" s="194"/>
      <c r="M274" s="194"/>
      <c r="N274" s="194"/>
      <c r="O274" s="194"/>
      <c r="P274" s="194"/>
      <c r="Q274" s="194"/>
      <c r="R274" s="194"/>
      <c r="S274" s="194"/>
      <c r="T274" s="194"/>
      <c r="U274" s="194"/>
      <c r="V274" s="194"/>
      <c r="W274" s="194"/>
      <c r="X274" s="194"/>
      <c r="Y274" s="194"/>
      <c r="Z274" s="194"/>
      <c r="AA274" s="194"/>
      <c r="AB274" s="194"/>
      <c r="AC274" s="194"/>
      <c r="AD274" s="194"/>
      <c r="AE274" s="194"/>
      <c r="AF274" s="194"/>
      <c r="AG274" s="194"/>
      <c r="AH274" s="194"/>
      <c r="AI274" s="194"/>
      <c r="AJ274" s="194"/>
      <c r="AK274" s="194"/>
      <c r="AL274" s="194"/>
      <c r="AM274" s="194"/>
    </row>
    <row r="275" spans="1:39" ht="15.75" customHeight="1" x14ac:dyDescent="0.25">
      <c r="A275" s="194"/>
      <c r="B275" s="194"/>
      <c r="C275" s="194"/>
      <c r="D275" s="194"/>
      <c r="E275" s="194"/>
      <c r="F275" s="194"/>
      <c r="G275" s="194"/>
      <c r="H275" s="194"/>
      <c r="I275" s="194"/>
      <c r="J275" s="194"/>
      <c r="K275" s="194"/>
      <c r="L275" s="194"/>
      <c r="M275" s="194"/>
      <c r="N275" s="194"/>
      <c r="O275" s="194"/>
      <c r="P275" s="194"/>
      <c r="Q275" s="194"/>
      <c r="R275" s="194"/>
      <c r="S275" s="194"/>
      <c r="T275" s="194"/>
      <c r="U275" s="194"/>
      <c r="V275" s="194"/>
      <c r="W275" s="194"/>
      <c r="X275" s="194"/>
      <c r="Y275" s="194"/>
      <c r="Z275" s="194"/>
      <c r="AA275" s="194"/>
      <c r="AB275" s="194"/>
      <c r="AC275" s="194"/>
      <c r="AD275" s="194"/>
      <c r="AE275" s="194"/>
      <c r="AF275" s="194"/>
      <c r="AG275" s="194"/>
      <c r="AH275" s="194"/>
      <c r="AI275" s="194"/>
      <c r="AJ275" s="194"/>
      <c r="AK275" s="194"/>
      <c r="AL275" s="194"/>
      <c r="AM275" s="194"/>
    </row>
    <row r="276" spans="1:39" ht="15.75" customHeight="1" x14ac:dyDescent="0.25">
      <c r="A276" s="194"/>
      <c r="B276" s="194"/>
      <c r="C276" s="194"/>
      <c r="D276" s="194"/>
      <c r="E276" s="194"/>
      <c r="F276" s="194"/>
      <c r="G276" s="194"/>
      <c r="H276" s="194"/>
      <c r="I276" s="194"/>
      <c r="J276" s="194"/>
      <c r="K276" s="194"/>
      <c r="L276" s="194"/>
      <c r="M276" s="194"/>
      <c r="N276" s="194"/>
      <c r="O276" s="194"/>
      <c r="P276" s="194"/>
      <c r="Q276" s="194"/>
      <c r="R276" s="194"/>
      <c r="S276" s="194"/>
      <c r="T276" s="194"/>
      <c r="U276" s="194"/>
      <c r="V276" s="194"/>
      <c r="W276" s="194"/>
      <c r="X276" s="194"/>
      <c r="Y276" s="194"/>
      <c r="Z276" s="194"/>
      <c r="AA276" s="194"/>
      <c r="AB276" s="194"/>
      <c r="AC276" s="194"/>
      <c r="AD276" s="194"/>
      <c r="AE276" s="194"/>
      <c r="AF276" s="194"/>
      <c r="AG276" s="194"/>
      <c r="AH276" s="194"/>
      <c r="AI276" s="194"/>
      <c r="AJ276" s="194"/>
      <c r="AK276" s="194"/>
      <c r="AL276" s="194"/>
      <c r="AM276" s="194"/>
    </row>
    <row r="277" spans="1:39" ht="15.75" customHeight="1" x14ac:dyDescent="0.25">
      <c r="A277" s="194"/>
      <c r="B277" s="194"/>
      <c r="C277" s="194"/>
      <c r="D277" s="194"/>
      <c r="E277" s="194"/>
      <c r="F277" s="194"/>
      <c r="G277" s="194"/>
      <c r="H277" s="194"/>
      <c r="I277" s="194"/>
      <c r="J277" s="194"/>
      <c r="K277" s="194"/>
      <c r="L277" s="194"/>
      <c r="M277" s="194"/>
      <c r="N277" s="194"/>
      <c r="O277" s="194"/>
      <c r="P277" s="194"/>
      <c r="Q277" s="194"/>
      <c r="R277" s="194"/>
      <c r="S277" s="194"/>
      <c r="T277" s="194"/>
      <c r="U277" s="194"/>
      <c r="V277" s="194"/>
      <c r="W277" s="194"/>
      <c r="X277" s="194"/>
      <c r="Y277" s="194"/>
      <c r="Z277" s="194"/>
      <c r="AA277" s="194"/>
      <c r="AB277" s="194"/>
      <c r="AC277" s="194"/>
      <c r="AD277" s="194"/>
      <c r="AE277" s="194"/>
      <c r="AF277" s="194"/>
      <c r="AG277" s="194"/>
      <c r="AH277" s="194"/>
      <c r="AI277" s="194"/>
      <c r="AJ277" s="194"/>
      <c r="AK277" s="194"/>
      <c r="AL277" s="194"/>
      <c r="AM277" s="194"/>
    </row>
    <row r="278" spans="1:39" ht="15.75" customHeight="1" x14ac:dyDescent="0.25">
      <c r="A278" s="194"/>
      <c r="B278" s="194"/>
      <c r="C278" s="194"/>
      <c r="D278" s="194"/>
      <c r="E278" s="194"/>
      <c r="F278" s="194"/>
      <c r="G278" s="194"/>
      <c r="H278" s="194"/>
      <c r="I278" s="194"/>
      <c r="J278" s="194"/>
      <c r="K278" s="194"/>
      <c r="L278" s="194"/>
      <c r="M278" s="194"/>
      <c r="N278" s="194"/>
      <c r="O278" s="194"/>
      <c r="P278" s="194"/>
      <c r="Q278" s="194"/>
      <c r="R278" s="194"/>
      <c r="S278" s="194"/>
      <c r="T278" s="194"/>
      <c r="U278" s="194"/>
      <c r="V278" s="194"/>
      <c r="W278" s="194"/>
      <c r="X278" s="194"/>
      <c r="Y278" s="194"/>
      <c r="Z278" s="194"/>
      <c r="AA278" s="194"/>
      <c r="AB278" s="194"/>
      <c r="AC278" s="194"/>
      <c r="AD278" s="194"/>
      <c r="AE278" s="194"/>
      <c r="AF278" s="194"/>
      <c r="AG278" s="194"/>
      <c r="AH278" s="194"/>
      <c r="AI278" s="194"/>
      <c r="AJ278" s="194"/>
      <c r="AK278" s="194"/>
      <c r="AL278" s="194"/>
      <c r="AM278" s="194"/>
    </row>
    <row r="279" spans="1:39" ht="15.75" customHeight="1" x14ac:dyDescent="0.25">
      <c r="A279" s="194"/>
      <c r="B279" s="194"/>
      <c r="C279" s="194"/>
      <c r="D279" s="194"/>
      <c r="E279" s="194"/>
      <c r="F279" s="194"/>
      <c r="G279" s="194"/>
      <c r="H279" s="194"/>
      <c r="I279" s="194"/>
      <c r="J279" s="194"/>
      <c r="K279" s="194"/>
      <c r="L279" s="194"/>
      <c r="M279" s="194"/>
      <c r="N279" s="194"/>
      <c r="O279" s="194"/>
      <c r="P279" s="194"/>
      <c r="Q279" s="194"/>
      <c r="R279" s="194"/>
      <c r="S279" s="194"/>
      <c r="T279" s="194"/>
      <c r="U279" s="194"/>
      <c r="V279" s="194"/>
      <c r="W279" s="194"/>
      <c r="X279" s="194"/>
      <c r="Y279" s="194"/>
      <c r="Z279" s="194"/>
      <c r="AA279" s="194"/>
      <c r="AB279" s="194"/>
      <c r="AC279" s="194"/>
      <c r="AD279" s="194"/>
      <c r="AE279" s="194"/>
      <c r="AF279" s="194"/>
      <c r="AG279" s="194"/>
      <c r="AH279" s="194"/>
      <c r="AI279" s="194"/>
      <c r="AJ279" s="194"/>
      <c r="AK279" s="194"/>
      <c r="AL279" s="194"/>
      <c r="AM279" s="194"/>
    </row>
    <row r="280" spans="1:39" ht="15.75" customHeight="1" x14ac:dyDescent="0.25">
      <c r="A280" s="194"/>
      <c r="B280" s="194"/>
      <c r="C280" s="194"/>
      <c r="D280" s="194"/>
      <c r="E280" s="194"/>
      <c r="F280" s="194"/>
      <c r="G280" s="194"/>
      <c r="H280" s="194"/>
      <c r="I280" s="194"/>
      <c r="J280" s="194"/>
      <c r="K280" s="194"/>
      <c r="L280" s="194"/>
      <c r="M280" s="194"/>
      <c r="N280" s="194"/>
      <c r="O280" s="194"/>
      <c r="P280" s="194"/>
      <c r="Q280" s="194"/>
      <c r="R280" s="194"/>
      <c r="S280" s="194"/>
      <c r="T280" s="194"/>
      <c r="U280" s="194"/>
      <c r="V280" s="194"/>
      <c r="W280" s="194"/>
      <c r="X280" s="194"/>
      <c r="Y280" s="194"/>
      <c r="Z280" s="194"/>
      <c r="AA280" s="194"/>
      <c r="AB280" s="194"/>
      <c r="AC280" s="194"/>
      <c r="AD280" s="194"/>
      <c r="AE280" s="194"/>
      <c r="AF280" s="194"/>
      <c r="AG280" s="194"/>
      <c r="AH280" s="194"/>
      <c r="AI280" s="194"/>
      <c r="AJ280" s="194"/>
      <c r="AK280" s="194"/>
      <c r="AL280" s="194"/>
      <c r="AM280" s="194"/>
    </row>
    <row r="281" spans="1:39" ht="15.75" customHeight="1" x14ac:dyDescent="0.25">
      <c r="A281" s="194"/>
      <c r="B281" s="194"/>
      <c r="C281" s="194"/>
      <c r="D281" s="194"/>
      <c r="E281" s="194"/>
      <c r="F281" s="194"/>
      <c r="G281" s="194"/>
      <c r="H281" s="194"/>
      <c r="I281" s="194"/>
      <c r="J281" s="194"/>
      <c r="K281" s="194"/>
      <c r="L281" s="194"/>
      <c r="M281" s="194"/>
      <c r="N281" s="194"/>
      <c r="O281" s="194"/>
      <c r="P281" s="194"/>
      <c r="Q281" s="194"/>
      <c r="R281" s="194"/>
      <c r="S281" s="194"/>
      <c r="T281" s="194"/>
      <c r="U281" s="194"/>
      <c r="V281" s="194"/>
      <c r="W281" s="194"/>
      <c r="X281" s="194"/>
      <c r="Y281" s="194"/>
      <c r="Z281" s="194"/>
      <c r="AA281" s="194"/>
      <c r="AB281" s="194"/>
      <c r="AC281" s="194"/>
      <c r="AD281" s="194"/>
      <c r="AE281" s="194"/>
      <c r="AF281" s="194"/>
      <c r="AG281" s="194"/>
      <c r="AH281" s="194"/>
      <c r="AI281" s="194"/>
      <c r="AJ281" s="194"/>
      <c r="AK281" s="194"/>
      <c r="AL281" s="194"/>
      <c r="AM281" s="194"/>
    </row>
    <row r="282" spans="1:39" ht="15.75" customHeight="1" x14ac:dyDescent="0.25">
      <c r="A282" s="194"/>
      <c r="B282" s="194"/>
      <c r="C282" s="194"/>
      <c r="D282" s="194"/>
      <c r="E282" s="194"/>
      <c r="F282" s="194"/>
      <c r="G282" s="194"/>
      <c r="H282" s="194"/>
      <c r="I282" s="194"/>
      <c r="J282" s="194"/>
      <c r="K282" s="194"/>
      <c r="L282" s="194"/>
      <c r="M282" s="194"/>
      <c r="N282" s="194"/>
      <c r="O282" s="194"/>
      <c r="P282" s="194"/>
      <c r="Q282" s="194"/>
      <c r="R282" s="194"/>
      <c r="S282" s="194"/>
      <c r="T282" s="194"/>
      <c r="U282" s="194"/>
      <c r="V282" s="194"/>
      <c r="W282" s="194"/>
      <c r="X282" s="194"/>
      <c r="Y282" s="194"/>
      <c r="Z282" s="194"/>
      <c r="AA282" s="194"/>
      <c r="AB282" s="194"/>
      <c r="AC282" s="194"/>
      <c r="AD282" s="194"/>
      <c r="AE282" s="194"/>
      <c r="AF282" s="194"/>
      <c r="AG282" s="194"/>
      <c r="AH282" s="194"/>
      <c r="AI282" s="194"/>
      <c r="AJ282" s="194"/>
      <c r="AK282" s="194"/>
      <c r="AL282" s="194"/>
      <c r="AM282" s="194"/>
    </row>
    <row r="283" spans="1:39" ht="15.75" customHeight="1" x14ac:dyDescent="0.25">
      <c r="A283" s="194"/>
      <c r="B283" s="194"/>
      <c r="C283" s="194"/>
      <c r="D283" s="194"/>
      <c r="E283" s="194"/>
      <c r="F283" s="194"/>
      <c r="G283" s="194"/>
      <c r="H283" s="194"/>
      <c r="I283" s="194"/>
      <c r="J283" s="194"/>
      <c r="K283" s="194"/>
      <c r="L283" s="194"/>
      <c r="M283" s="194"/>
      <c r="N283" s="194"/>
      <c r="O283" s="194"/>
      <c r="P283" s="194"/>
      <c r="Q283" s="194"/>
      <c r="R283" s="194"/>
      <c r="S283" s="194"/>
      <c r="T283" s="194"/>
      <c r="U283" s="194"/>
      <c r="V283" s="194"/>
      <c r="W283" s="194"/>
      <c r="X283" s="194"/>
      <c r="Y283" s="194"/>
      <c r="Z283" s="194"/>
      <c r="AA283" s="194"/>
      <c r="AB283" s="194"/>
      <c r="AC283" s="194"/>
      <c r="AD283" s="194"/>
      <c r="AE283" s="194"/>
      <c r="AF283" s="194"/>
      <c r="AG283" s="194"/>
      <c r="AH283" s="194"/>
      <c r="AI283" s="194"/>
      <c r="AJ283" s="194"/>
      <c r="AK283" s="194"/>
      <c r="AL283" s="194"/>
      <c r="AM283" s="194"/>
    </row>
    <row r="284" spans="1:39" ht="15.75" customHeight="1" x14ac:dyDescent="0.25">
      <c r="A284" s="194"/>
      <c r="B284" s="194"/>
      <c r="C284" s="194"/>
      <c r="D284" s="194"/>
      <c r="E284" s="194"/>
      <c r="F284" s="194"/>
      <c r="G284" s="194"/>
      <c r="H284" s="194"/>
      <c r="I284" s="194"/>
      <c r="J284" s="194"/>
      <c r="K284" s="194"/>
      <c r="L284" s="194"/>
      <c r="M284" s="194"/>
      <c r="N284" s="194"/>
      <c r="O284" s="194"/>
      <c r="P284" s="194"/>
      <c r="Q284" s="194"/>
      <c r="R284" s="194"/>
      <c r="S284" s="194"/>
      <c r="T284" s="194"/>
      <c r="U284" s="194"/>
      <c r="V284" s="194"/>
      <c r="W284" s="194"/>
      <c r="X284" s="194"/>
      <c r="Y284" s="194"/>
      <c r="Z284" s="194"/>
      <c r="AA284" s="194"/>
      <c r="AB284" s="194"/>
      <c r="AC284" s="194"/>
      <c r="AD284" s="194"/>
      <c r="AE284" s="194"/>
      <c r="AF284" s="194"/>
      <c r="AG284" s="194"/>
      <c r="AH284" s="194"/>
      <c r="AI284" s="194"/>
      <c r="AJ284" s="194"/>
      <c r="AK284" s="194"/>
      <c r="AL284" s="194"/>
      <c r="AM284" s="194"/>
    </row>
    <row r="285" spans="1:39" ht="15.75" customHeight="1" x14ac:dyDescent="0.25">
      <c r="A285" s="194"/>
      <c r="B285" s="194"/>
      <c r="C285" s="194"/>
      <c r="D285" s="194"/>
      <c r="E285" s="194"/>
      <c r="F285" s="194"/>
      <c r="G285" s="194"/>
      <c r="H285" s="194"/>
      <c r="I285" s="194"/>
      <c r="J285" s="194"/>
      <c r="K285" s="194"/>
      <c r="L285" s="194"/>
      <c r="M285" s="194"/>
      <c r="N285" s="194"/>
      <c r="O285" s="194"/>
      <c r="P285" s="194"/>
      <c r="Q285" s="194"/>
      <c r="R285" s="194"/>
      <c r="S285" s="194"/>
      <c r="T285" s="194"/>
      <c r="U285" s="194"/>
      <c r="V285" s="194"/>
      <c r="W285" s="194"/>
      <c r="X285" s="194"/>
      <c r="Y285" s="194"/>
      <c r="Z285" s="194"/>
      <c r="AA285" s="194"/>
      <c r="AB285" s="194"/>
      <c r="AC285" s="194"/>
      <c r="AD285" s="194"/>
      <c r="AE285" s="194"/>
      <c r="AF285" s="194"/>
      <c r="AG285" s="194"/>
      <c r="AH285" s="194"/>
      <c r="AI285" s="194"/>
      <c r="AJ285" s="194"/>
      <c r="AK285" s="194"/>
      <c r="AL285" s="194"/>
      <c r="AM285" s="194"/>
    </row>
    <row r="286" spans="1:39" ht="15.75" customHeight="1" x14ac:dyDescent="0.25">
      <c r="A286" s="194"/>
      <c r="B286" s="194"/>
      <c r="C286" s="194"/>
      <c r="D286" s="194"/>
      <c r="E286" s="194"/>
      <c r="F286" s="194"/>
      <c r="G286" s="194"/>
      <c r="H286" s="194"/>
      <c r="I286" s="194"/>
      <c r="J286" s="194"/>
      <c r="K286" s="194"/>
      <c r="L286" s="194"/>
      <c r="M286" s="194"/>
      <c r="N286" s="194"/>
      <c r="O286" s="194"/>
      <c r="P286" s="194"/>
      <c r="Q286" s="194"/>
      <c r="R286" s="194"/>
      <c r="S286" s="194"/>
      <c r="T286" s="194"/>
      <c r="U286" s="194"/>
      <c r="V286" s="194"/>
      <c r="W286" s="194"/>
      <c r="X286" s="194"/>
      <c r="Y286" s="194"/>
      <c r="Z286" s="194"/>
      <c r="AA286" s="194"/>
      <c r="AB286" s="194"/>
      <c r="AC286" s="194"/>
      <c r="AD286" s="194"/>
      <c r="AE286" s="194"/>
      <c r="AF286" s="194"/>
      <c r="AG286" s="194"/>
      <c r="AH286" s="194"/>
      <c r="AI286" s="194"/>
      <c r="AJ286" s="194"/>
      <c r="AK286" s="194"/>
      <c r="AL286" s="194"/>
      <c r="AM286" s="194"/>
    </row>
    <row r="287" spans="1:39" ht="15.75" customHeight="1" x14ac:dyDescent="0.25">
      <c r="A287" s="194"/>
      <c r="B287" s="194"/>
      <c r="C287" s="194"/>
      <c r="D287" s="194"/>
      <c r="E287" s="194"/>
      <c r="F287" s="194"/>
      <c r="G287" s="194"/>
      <c r="H287" s="194"/>
      <c r="I287" s="194"/>
      <c r="J287" s="194"/>
      <c r="K287" s="194"/>
      <c r="L287" s="194"/>
      <c r="M287" s="194"/>
      <c r="N287" s="194"/>
      <c r="O287" s="194"/>
      <c r="P287" s="194"/>
      <c r="Q287" s="194"/>
      <c r="R287" s="194"/>
      <c r="S287" s="194"/>
      <c r="T287" s="194"/>
      <c r="U287" s="194"/>
      <c r="V287" s="194"/>
      <c r="W287" s="194"/>
      <c r="X287" s="194"/>
      <c r="Y287" s="194"/>
      <c r="Z287" s="194"/>
      <c r="AA287" s="194"/>
      <c r="AB287" s="194"/>
      <c r="AC287" s="194"/>
      <c r="AD287" s="194"/>
      <c r="AE287" s="194"/>
      <c r="AF287" s="194"/>
      <c r="AG287" s="194"/>
      <c r="AH287" s="194"/>
      <c r="AI287" s="194"/>
      <c r="AJ287" s="194"/>
      <c r="AK287" s="194"/>
      <c r="AL287" s="194"/>
      <c r="AM287" s="194"/>
    </row>
    <row r="288" spans="1:39" ht="15.75" customHeight="1" x14ac:dyDescent="0.25">
      <c r="A288" s="194"/>
      <c r="B288" s="194"/>
      <c r="C288" s="194"/>
      <c r="D288" s="194"/>
      <c r="E288" s="194"/>
      <c r="F288" s="194"/>
      <c r="G288" s="194"/>
      <c r="H288" s="194"/>
      <c r="I288" s="194"/>
      <c r="J288" s="194"/>
      <c r="K288" s="194"/>
      <c r="L288" s="194"/>
      <c r="M288" s="194"/>
      <c r="N288" s="194"/>
      <c r="O288" s="194"/>
      <c r="P288" s="194"/>
      <c r="Q288" s="194"/>
      <c r="R288" s="194"/>
      <c r="S288" s="194"/>
      <c r="T288" s="194"/>
      <c r="U288" s="194"/>
      <c r="V288" s="194"/>
      <c r="W288" s="194"/>
      <c r="X288" s="194"/>
      <c r="Y288" s="194"/>
      <c r="Z288" s="194"/>
      <c r="AA288" s="194"/>
      <c r="AB288" s="194"/>
      <c r="AC288" s="194"/>
      <c r="AD288" s="194"/>
      <c r="AE288" s="194"/>
      <c r="AF288" s="194"/>
      <c r="AG288" s="194"/>
      <c r="AH288" s="194"/>
      <c r="AI288" s="194"/>
      <c r="AJ288" s="194"/>
      <c r="AK288" s="194"/>
      <c r="AL288" s="194"/>
      <c r="AM288" s="194"/>
    </row>
    <row r="289" spans="1:39" ht="15.75" customHeight="1" x14ac:dyDescent="0.25">
      <c r="A289" s="194"/>
      <c r="B289" s="194"/>
      <c r="C289" s="194"/>
      <c r="D289" s="194"/>
      <c r="E289" s="194"/>
      <c r="F289" s="194"/>
      <c r="G289" s="194"/>
      <c r="H289" s="194"/>
      <c r="I289" s="194"/>
      <c r="J289" s="194"/>
      <c r="K289" s="194"/>
      <c r="L289" s="194"/>
      <c r="M289" s="194"/>
      <c r="N289" s="194"/>
      <c r="O289" s="194"/>
      <c r="P289" s="194"/>
      <c r="Q289" s="194"/>
      <c r="R289" s="194"/>
      <c r="S289" s="194"/>
      <c r="T289" s="194"/>
      <c r="U289" s="194"/>
      <c r="V289" s="194"/>
      <c r="W289" s="194"/>
      <c r="X289" s="194"/>
      <c r="Y289" s="194"/>
      <c r="Z289" s="194"/>
      <c r="AA289" s="194"/>
      <c r="AB289" s="194"/>
      <c r="AC289" s="194"/>
      <c r="AD289" s="194"/>
      <c r="AE289" s="194"/>
      <c r="AF289" s="194"/>
      <c r="AG289" s="194"/>
      <c r="AH289" s="194"/>
      <c r="AI289" s="194"/>
      <c r="AJ289" s="194"/>
      <c r="AK289" s="194"/>
      <c r="AL289" s="194"/>
      <c r="AM289" s="194"/>
    </row>
    <row r="290" spans="1:39" ht="15.75" customHeight="1" x14ac:dyDescent="0.25">
      <c r="A290" s="194"/>
      <c r="B290" s="194"/>
      <c r="C290" s="194"/>
      <c r="D290" s="194"/>
      <c r="E290" s="194"/>
      <c r="F290" s="194"/>
      <c r="G290" s="194"/>
      <c r="H290" s="194"/>
      <c r="I290" s="194"/>
      <c r="J290" s="194"/>
      <c r="K290" s="194"/>
      <c r="L290" s="194"/>
      <c r="M290" s="194"/>
      <c r="N290" s="194"/>
      <c r="O290" s="194"/>
      <c r="P290" s="194"/>
      <c r="Q290" s="194"/>
      <c r="R290" s="194"/>
      <c r="S290" s="194"/>
      <c r="T290" s="194"/>
      <c r="U290" s="194"/>
      <c r="V290" s="194"/>
      <c r="W290" s="194"/>
      <c r="X290" s="194"/>
      <c r="Y290" s="194"/>
      <c r="Z290" s="194"/>
      <c r="AA290" s="194"/>
      <c r="AB290" s="194"/>
      <c r="AC290" s="194"/>
      <c r="AD290" s="194"/>
      <c r="AE290" s="194"/>
      <c r="AF290" s="194"/>
      <c r="AG290" s="194"/>
      <c r="AH290" s="194"/>
      <c r="AI290" s="194"/>
      <c r="AJ290" s="194"/>
      <c r="AK290" s="194"/>
      <c r="AL290" s="194"/>
      <c r="AM290" s="194"/>
    </row>
    <row r="291" spans="1:39" ht="15.75" customHeight="1" x14ac:dyDescent="0.25">
      <c r="A291" s="194"/>
      <c r="B291" s="194"/>
      <c r="C291" s="194"/>
      <c r="D291" s="194"/>
      <c r="E291" s="194"/>
      <c r="F291" s="194"/>
      <c r="G291" s="194"/>
      <c r="H291" s="194"/>
      <c r="I291" s="194"/>
      <c r="J291" s="194"/>
      <c r="K291" s="194"/>
      <c r="L291" s="194"/>
      <c r="M291" s="194"/>
      <c r="N291" s="194"/>
      <c r="O291" s="194"/>
      <c r="P291" s="194"/>
      <c r="Q291" s="194"/>
      <c r="R291" s="194"/>
      <c r="S291" s="194"/>
      <c r="T291" s="194"/>
      <c r="U291" s="194"/>
      <c r="V291" s="194"/>
      <c r="W291" s="194"/>
      <c r="X291" s="194"/>
      <c r="Y291" s="194"/>
      <c r="Z291" s="194"/>
      <c r="AA291" s="194"/>
      <c r="AB291" s="194"/>
      <c r="AC291" s="194"/>
      <c r="AD291" s="194"/>
      <c r="AE291" s="194"/>
      <c r="AF291" s="194"/>
      <c r="AG291" s="194"/>
      <c r="AH291" s="194"/>
      <c r="AI291" s="194"/>
      <c r="AJ291" s="194"/>
      <c r="AK291" s="194"/>
      <c r="AL291" s="194"/>
      <c r="AM291" s="194"/>
    </row>
    <row r="292" spans="1:39" ht="15.75" customHeight="1" x14ac:dyDescent="0.25">
      <c r="A292" s="194"/>
      <c r="B292" s="194"/>
      <c r="C292" s="194"/>
      <c r="D292" s="194"/>
      <c r="E292" s="194"/>
      <c r="F292" s="194"/>
      <c r="G292" s="194"/>
      <c r="H292" s="194"/>
      <c r="I292" s="194"/>
      <c r="J292" s="194"/>
      <c r="K292" s="194"/>
      <c r="L292" s="194"/>
      <c r="M292" s="194"/>
      <c r="N292" s="194"/>
      <c r="O292" s="194"/>
      <c r="P292" s="194"/>
      <c r="Q292" s="194"/>
      <c r="R292" s="194"/>
      <c r="S292" s="194"/>
      <c r="T292" s="194"/>
      <c r="U292" s="194"/>
      <c r="V292" s="194"/>
      <c r="W292" s="194"/>
      <c r="X292" s="194"/>
      <c r="Y292" s="194"/>
      <c r="Z292" s="194"/>
      <c r="AA292" s="194"/>
      <c r="AB292" s="194"/>
      <c r="AC292" s="194"/>
      <c r="AD292" s="194"/>
      <c r="AE292" s="194"/>
      <c r="AF292" s="194"/>
      <c r="AG292" s="194"/>
      <c r="AH292" s="194"/>
      <c r="AI292" s="194"/>
      <c r="AJ292" s="194"/>
      <c r="AK292" s="194"/>
      <c r="AL292" s="194"/>
      <c r="AM292" s="194"/>
    </row>
    <row r="293" spans="1:39" ht="15.75" customHeight="1" x14ac:dyDescent="0.25">
      <c r="A293" s="194"/>
      <c r="B293" s="194"/>
      <c r="C293" s="194"/>
      <c r="D293" s="194"/>
      <c r="E293" s="194"/>
      <c r="F293" s="194"/>
      <c r="G293" s="194"/>
      <c r="H293" s="194"/>
      <c r="I293" s="194"/>
      <c r="J293" s="194"/>
      <c r="K293" s="194"/>
      <c r="L293" s="194"/>
      <c r="M293" s="194"/>
      <c r="N293" s="194"/>
      <c r="O293" s="194"/>
      <c r="P293" s="194"/>
      <c r="Q293" s="194"/>
      <c r="R293" s="194"/>
      <c r="S293" s="194"/>
      <c r="T293" s="194"/>
      <c r="U293" s="194"/>
      <c r="V293" s="194"/>
      <c r="W293" s="194"/>
      <c r="X293" s="194"/>
      <c r="Y293" s="194"/>
      <c r="Z293" s="194"/>
      <c r="AA293" s="194"/>
      <c r="AB293" s="194"/>
      <c r="AC293" s="194"/>
      <c r="AD293" s="194"/>
      <c r="AE293" s="194"/>
      <c r="AF293" s="194"/>
      <c r="AG293" s="194"/>
      <c r="AH293" s="194"/>
      <c r="AI293" s="194"/>
      <c r="AJ293" s="194"/>
      <c r="AK293" s="194"/>
      <c r="AL293" s="194"/>
      <c r="AM293" s="194"/>
    </row>
    <row r="294" spans="1:39" ht="15.75" customHeight="1" x14ac:dyDescent="0.25">
      <c r="A294" s="194"/>
      <c r="B294" s="194"/>
      <c r="C294" s="194"/>
      <c r="D294" s="194"/>
      <c r="E294" s="194"/>
      <c r="F294" s="194"/>
      <c r="G294" s="194"/>
      <c r="H294" s="194"/>
      <c r="I294" s="194"/>
      <c r="J294" s="194"/>
      <c r="K294" s="194"/>
      <c r="L294" s="194"/>
      <c r="M294" s="194"/>
      <c r="N294" s="194"/>
      <c r="O294" s="194"/>
      <c r="P294" s="194"/>
      <c r="Q294" s="194"/>
      <c r="R294" s="194"/>
      <c r="S294" s="194"/>
      <c r="T294" s="194"/>
      <c r="U294" s="194"/>
      <c r="V294" s="194"/>
      <c r="W294" s="194"/>
      <c r="X294" s="194"/>
      <c r="Y294" s="194"/>
      <c r="Z294" s="194"/>
      <c r="AA294" s="194"/>
      <c r="AB294" s="194"/>
      <c r="AC294" s="194"/>
      <c r="AD294" s="194"/>
      <c r="AE294" s="194"/>
      <c r="AF294" s="194"/>
      <c r="AG294" s="194"/>
      <c r="AH294" s="194"/>
      <c r="AI294" s="194"/>
      <c r="AJ294" s="194"/>
      <c r="AK294" s="194"/>
      <c r="AL294" s="194"/>
      <c r="AM294" s="194"/>
    </row>
    <row r="295" spans="1:39" ht="15.75" customHeight="1" x14ac:dyDescent="0.25">
      <c r="A295" s="194"/>
      <c r="B295" s="194"/>
      <c r="C295" s="194"/>
      <c r="D295" s="194"/>
      <c r="E295" s="194"/>
      <c r="F295" s="194"/>
      <c r="G295" s="194"/>
      <c r="H295" s="194"/>
      <c r="I295" s="194"/>
      <c r="J295" s="194"/>
      <c r="K295" s="194"/>
      <c r="L295" s="194"/>
      <c r="M295" s="194"/>
      <c r="N295" s="194"/>
      <c r="O295" s="194"/>
      <c r="P295" s="194"/>
      <c r="Q295" s="194"/>
      <c r="R295" s="194"/>
      <c r="S295" s="194"/>
      <c r="T295" s="194"/>
      <c r="U295" s="194"/>
      <c r="V295" s="194"/>
      <c r="W295" s="194"/>
      <c r="X295" s="194"/>
      <c r="Y295" s="194"/>
      <c r="Z295" s="194"/>
      <c r="AA295" s="194"/>
      <c r="AB295" s="194"/>
      <c r="AC295" s="194"/>
      <c r="AD295" s="194"/>
      <c r="AE295" s="194"/>
      <c r="AF295" s="194"/>
      <c r="AG295" s="194"/>
      <c r="AH295" s="194"/>
      <c r="AI295" s="194"/>
      <c r="AJ295" s="194"/>
      <c r="AK295" s="194"/>
      <c r="AL295" s="194"/>
      <c r="AM295" s="194"/>
    </row>
    <row r="296" spans="1:39" ht="15.75" customHeight="1" x14ac:dyDescent="0.25">
      <c r="A296" s="194"/>
      <c r="B296" s="194"/>
      <c r="C296" s="194"/>
      <c r="D296" s="194"/>
      <c r="E296" s="194"/>
      <c r="F296" s="194"/>
      <c r="G296" s="194"/>
      <c r="H296" s="194"/>
      <c r="I296" s="194"/>
      <c r="J296" s="194"/>
      <c r="K296" s="194"/>
      <c r="L296" s="194"/>
      <c r="M296" s="194"/>
      <c r="N296" s="194"/>
      <c r="O296" s="194"/>
      <c r="P296" s="194"/>
      <c r="Q296" s="194"/>
      <c r="R296" s="194"/>
      <c r="S296" s="194"/>
      <c r="T296" s="194"/>
      <c r="U296" s="194"/>
      <c r="V296" s="194"/>
      <c r="W296" s="194"/>
      <c r="X296" s="194"/>
      <c r="Y296" s="194"/>
      <c r="Z296" s="194"/>
      <c r="AA296" s="194"/>
      <c r="AB296" s="194"/>
      <c r="AC296" s="194"/>
      <c r="AD296" s="194"/>
      <c r="AE296" s="194"/>
      <c r="AF296" s="194"/>
      <c r="AG296" s="194"/>
      <c r="AH296" s="194"/>
      <c r="AI296" s="194"/>
      <c r="AJ296" s="194"/>
      <c r="AK296" s="194"/>
      <c r="AL296" s="194"/>
      <c r="AM296" s="194"/>
    </row>
    <row r="297" spans="1:39" ht="15.75" customHeight="1" x14ac:dyDescent="0.25">
      <c r="A297" s="194"/>
      <c r="B297" s="194"/>
      <c r="C297" s="194"/>
      <c r="D297" s="194"/>
      <c r="E297" s="194"/>
      <c r="F297" s="194"/>
      <c r="G297" s="194"/>
      <c r="H297" s="194"/>
      <c r="I297" s="194"/>
      <c r="J297" s="194"/>
      <c r="K297" s="194"/>
      <c r="L297" s="194"/>
      <c r="M297" s="194"/>
      <c r="N297" s="194"/>
      <c r="O297" s="194"/>
      <c r="P297" s="194"/>
      <c r="Q297" s="194"/>
      <c r="R297" s="194"/>
      <c r="S297" s="194"/>
      <c r="T297" s="194"/>
      <c r="U297" s="194"/>
      <c r="V297" s="194"/>
      <c r="W297" s="194"/>
      <c r="X297" s="194"/>
      <c r="Y297" s="194"/>
      <c r="Z297" s="194"/>
      <c r="AA297" s="194"/>
      <c r="AB297" s="194"/>
      <c r="AC297" s="194"/>
      <c r="AD297" s="194"/>
      <c r="AE297" s="194"/>
      <c r="AF297" s="194"/>
      <c r="AG297" s="194"/>
      <c r="AH297" s="194"/>
      <c r="AI297" s="194"/>
      <c r="AJ297" s="194"/>
      <c r="AK297" s="194"/>
      <c r="AL297" s="194"/>
      <c r="AM297" s="194"/>
    </row>
    <row r="298" spans="1:39" ht="15.75" customHeight="1" x14ac:dyDescent="0.25">
      <c r="A298" s="194"/>
      <c r="B298" s="194"/>
      <c r="C298" s="194"/>
      <c r="D298" s="194"/>
      <c r="E298" s="194"/>
      <c r="F298" s="194"/>
      <c r="G298" s="194"/>
      <c r="H298" s="194"/>
      <c r="I298" s="194"/>
      <c r="J298" s="194"/>
      <c r="K298" s="194"/>
      <c r="L298" s="194"/>
      <c r="M298" s="194"/>
      <c r="N298" s="194"/>
      <c r="O298" s="194"/>
      <c r="P298" s="194"/>
      <c r="Q298" s="194"/>
      <c r="R298" s="194"/>
      <c r="S298" s="194"/>
      <c r="T298" s="194"/>
      <c r="U298" s="194"/>
      <c r="V298" s="194"/>
      <c r="W298" s="194"/>
      <c r="X298" s="194"/>
      <c r="Y298" s="194"/>
      <c r="Z298" s="194"/>
      <c r="AA298" s="194"/>
      <c r="AB298" s="194"/>
      <c r="AC298" s="194"/>
      <c r="AD298" s="194"/>
      <c r="AE298" s="194"/>
      <c r="AF298" s="194"/>
      <c r="AG298" s="194"/>
      <c r="AH298" s="194"/>
      <c r="AI298" s="194"/>
      <c r="AJ298" s="194"/>
      <c r="AK298" s="194"/>
      <c r="AL298" s="194"/>
      <c r="AM298" s="194"/>
    </row>
    <row r="299" spans="1:39" ht="15.75" customHeight="1" x14ac:dyDescent="0.25">
      <c r="A299" s="194"/>
      <c r="B299" s="194"/>
      <c r="C299" s="194"/>
      <c r="D299" s="194"/>
      <c r="E299" s="194"/>
      <c r="F299" s="194"/>
      <c r="G299" s="194"/>
      <c r="H299" s="194"/>
      <c r="I299" s="194"/>
      <c r="J299" s="194"/>
      <c r="K299" s="194"/>
      <c r="L299" s="194"/>
      <c r="M299" s="194"/>
      <c r="N299" s="194"/>
      <c r="O299" s="194"/>
      <c r="P299" s="194"/>
      <c r="Q299" s="194"/>
      <c r="R299" s="194"/>
      <c r="S299" s="194"/>
      <c r="T299" s="194"/>
      <c r="U299" s="194"/>
      <c r="V299" s="194"/>
      <c r="W299" s="194"/>
      <c r="X299" s="194"/>
      <c r="Y299" s="194"/>
      <c r="Z299" s="194"/>
      <c r="AA299" s="194"/>
      <c r="AB299" s="194"/>
      <c r="AC299" s="194"/>
      <c r="AD299" s="194"/>
      <c r="AE299" s="194"/>
      <c r="AF299" s="194"/>
      <c r="AG299" s="194"/>
      <c r="AH299" s="194"/>
      <c r="AI299" s="194"/>
      <c r="AJ299" s="194"/>
      <c r="AK299" s="194"/>
      <c r="AL299" s="194"/>
      <c r="AM299" s="194"/>
    </row>
    <row r="300" spans="1:39" ht="15.75" customHeight="1" x14ac:dyDescent="0.25">
      <c r="A300" s="194"/>
      <c r="B300" s="194"/>
      <c r="C300" s="194"/>
      <c r="D300" s="194"/>
      <c r="E300" s="194"/>
      <c r="F300" s="194"/>
      <c r="G300" s="194"/>
      <c r="H300" s="194"/>
      <c r="I300" s="194"/>
      <c r="J300" s="194"/>
      <c r="K300" s="194"/>
      <c r="L300" s="194"/>
      <c r="M300" s="194"/>
      <c r="N300" s="194"/>
      <c r="O300" s="194"/>
      <c r="P300" s="194"/>
      <c r="Q300" s="194"/>
      <c r="R300" s="194"/>
      <c r="S300" s="194"/>
      <c r="T300" s="194"/>
      <c r="U300" s="194"/>
      <c r="V300" s="194"/>
      <c r="W300" s="194"/>
      <c r="X300" s="194"/>
      <c r="Y300" s="194"/>
      <c r="Z300" s="194"/>
      <c r="AA300" s="194"/>
      <c r="AB300" s="194"/>
      <c r="AC300" s="194"/>
      <c r="AD300" s="194"/>
      <c r="AE300" s="194"/>
      <c r="AF300" s="194"/>
      <c r="AG300" s="194"/>
      <c r="AH300" s="194"/>
      <c r="AI300" s="194"/>
      <c r="AJ300" s="194"/>
      <c r="AK300" s="194"/>
      <c r="AL300" s="194"/>
      <c r="AM300" s="194"/>
    </row>
    <row r="301" spans="1:39" ht="15.75" customHeight="1" x14ac:dyDescent="0.25">
      <c r="A301" s="194"/>
      <c r="B301" s="194"/>
      <c r="C301" s="194"/>
      <c r="D301" s="194"/>
      <c r="E301" s="194"/>
      <c r="F301" s="194"/>
      <c r="G301" s="194"/>
      <c r="H301" s="194"/>
      <c r="I301" s="194"/>
      <c r="J301" s="194"/>
      <c r="K301" s="194"/>
      <c r="L301" s="194"/>
      <c r="M301" s="194"/>
      <c r="N301" s="194"/>
      <c r="O301" s="194"/>
      <c r="P301" s="194"/>
      <c r="Q301" s="194"/>
      <c r="R301" s="194"/>
      <c r="S301" s="194"/>
      <c r="T301" s="194"/>
      <c r="U301" s="194"/>
      <c r="V301" s="194"/>
      <c r="W301" s="194"/>
      <c r="X301" s="194"/>
      <c r="Y301" s="194"/>
      <c r="Z301" s="194"/>
      <c r="AA301" s="194"/>
      <c r="AB301" s="194"/>
      <c r="AC301" s="194"/>
      <c r="AD301" s="194"/>
      <c r="AE301" s="194"/>
      <c r="AF301" s="194"/>
      <c r="AG301" s="194"/>
      <c r="AH301" s="194"/>
      <c r="AI301" s="194"/>
      <c r="AJ301" s="194"/>
      <c r="AK301" s="194"/>
      <c r="AL301" s="194"/>
      <c r="AM301" s="194"/>
    </row>
    <row r="302" spans="1:39" ht="15.75" customHeight="1" x14ac:dyDescent="0.25">
      <c r="A302" s="194"/>
      <c r="B302" s="194"/>
      <c r="C302" s="194"/>
      <c r="D302" s="194"/>
      <c r="E302" s="194"/>
      <c r="F302" s="194"/>
      <c r="G302" s="194"/>
      <c r="H302" s="194"/>
      <c r="I302" s="194"/>
      <c r="J302" s="194"/>
      <c r="K302" s="194"/>
      <c r="L302" s="194"/>
      <c r="M302" s="194"/>
      <c r="N302" s="194"/>
      <c r="O302" s="194"/>
      <c r="P302" s="194"/>
      <c r="Q302" s="194"/>
      <c r="R302" s="194"/>
      <c r="S302" s="194"/>
      <c r="T302" s="194"/>
      <c r="U302" s="194"/>
      <c r="V302" s="194"/>
      <c r="W302" s="194"/>
      <c r="X302" s="194"/>
      <c r="Y302" s="194"/>
      <c r="Z302" s="194"/>
      <c r="AA302" s="194"/>
      <c r="AB302" s="194"/>
      <c r="AC302" s="194"/>
      <c r="AD302" s="194"/>
      <c r="AE302" s="194"/>
      <c r="AF302" s="194"/>
      <c r="AG302" s="194"/>
      <c r="AH302" s="194"/>
      <c r="AI302" s="194"/>
      <c r="AJ302" s="194"/>
      <c r="AK302" s="194"/>
      <c r="AL302" s="194"/>
      <c r="AM302" s="194"/>
    </row>
    <row r="303" spans="1:39" ht="15.75" customHeight="1" x14ac:dyDescent="0.25">
      <c r="A303" s="194"/>
      <c r="B303" s="194"/>
      <c r="C303" s="194"/>
      <c r="D303" s="194"/>
      <c r="E303" s="194"/>
      <c r="F303" s="194"/>
      <c r="G303" s="194"/>
      <c r="H303" s="194"/>
      <c r="I303" s="194"/>
      <c r="J303" s="194"/>
      <c r="K303" s="194"/>
      <c r="L303" s="194"/>
      <c r="M303" s="194"/>
      <c r="N303" s="194"/>
      <c r="O303" s="194"/>
      <c r="P303" s="194"/>
      <c r="Q303" s="194"/>
      <c r="R303" s="194"/>
      <c r="S303" s="194"/>
      <c r="T303" s="194"/>
      <c r="U303" s="194"/>
      <c r="V303" s="194"/>
      <c r="W303" s="194"/>
      <c r="X303" s="194"/>
      <c r="Y303" s="194"/>
      <c r="Z303" s="194"/>
      <c r="AA303" s="194"/>
      <c r="AB303" s="194"/>
      <c r="AC303" s="194"/>
      <c r="AD303" s="194"/>
      <c r="AE303" s="194"/>
      <c r="AF303" s="194"/>
      <c r="AG303" s="194"/>
      <c r="AH303" s="194"/>
      <c r="AI303" s="194"/>
      <c r="AJ303" s="194"/>
      <c r="AK303" s="194"/>
      <c r="AL303" s="194"/>
      <c r="AM303" s="194"/>
    </row>
    <row r="304" spans="1:39" ht="15.75" customHeight="1" x14ac:dyDescent="0.25">
      <c r="A304" s="194"/>
      <c r="B304" s="194"/>
      <c r="C304" s="194"/>
      <c r="D304" s="194"/>
      <c r="E304" s="194"/>
      <c r="F304" s="194"/>
      <c r="G304" s="194"/>
      <c r="H304" s="194"/>
      <c r="I304" s="194"/>
      <c r="J304" s="194"/>
      <c r="K304" s="194"/>
      <c r="L304" s="194"/>
      <c r="M304" s="194"/>
      <c r="N304" s="194"/>
      <c r="O304" s="194"/>
      <c r="P304" s="194"/>
      <c r="Q304" s="194"/>
      <c r="R304" s="194"/>
      <c r="S304" s="194"/>
      <c r="T304" s="194"/>
      <c r="U304" s="194"/>
      <c r="V304" s="194"/>
      <c r="W304" s="194"/>
      <c r="X304" s="194"/>
      <c r="Y304" s="194"/>
      <c r="Z304" s="194"/>
      <c r="AA304" s="194"/>
      <c r="AB304" s="194"/>
      <c r="AC304" s="194"/>
      <c r="AD304" s="194"/>
      <c r="AE304" s="194"/>
      <c r="AF304" s="194"/>
      <c r="AG304" s="194"/>
      <c r="AH304" s="194"/>
      <c r="AI304" s="194"/>
      <c r="AJ304" s="194"/>
      <c r="AK304" s="194"/>
      <c r="AL304" s="194"/>
      <c r="AM304" s="194"/>
    </row>
    <row r="305" spans="1:39" ht="15.75" customHeight="1" x14ac:dyDescent="0.25">
      <c r="A305" s="194"/>
      <c r="B305" s="194"/>
      <c r="C305" s="194"/>
      <c r="D305" s="194"/>
      <c r="E305" s="194"/>
      <c r="F305" s="194"/>
      <c r="G305" s="194"/>
      <c r="H305" s="194"/>
      <c r="I305" s="194"/>
      <c r="J305" s="194"/>
      <c r="K305" s="194"/>
      <c r="L305" s="194"/>
      <c r="M305" s="194"/>
      <c r="N305" s="194"/>
      <c r="O305" s="194"/>
      <c r="P305" s="194"/>
      <c r="Q305" s="194"/>
      <c r="R305" s="194"/>
      <c r="S305" s="194"/>
      <c r="T305" s="194"/>
      <c r="U305" s="194"/>
      <c r="V305" s="194"/>
      <c r="W305" s="194"/>
      <c r="X305" s="194"/>
      <c r="Y305" s="194"/>
      <c r="Z305" s="194"/>
      <c r="AA305" s="194"/>
      <c r="AB305" s="194"/>
      <c r="AC305" s="194"/>
      <c r="AD305" s="194"/>
      <c r="AE305" s="194"/>
      <c r="AF305" s="194"/>
      <c r="AG305" s="194"/>
      <c r="AH305" s="194"/>
      <c r="AI305" s="194"/>
      <c r="AJ305" s="194"/>
      <c r="AK305" s="194"/>
      <c r="AL305" s="194"/>
      <c r="AM305" s="194"/>
    </row>
    <row r="306" spans="1:39" ht="15.75" customHeight="1" x14ac:dyDescent="0.25">
      <c r="A306" s="194"/>
      <c r="B306" s="194"/>
      <c r="C306" s="194"/>
      <c r="D306" s="194"/>
      <c r="E306" s="194"/>
      <c r="F306" s="194"/>
      <c r="G306" s="194"/>
      <c r="H306" s="194"/>
      <c r="I306" s="194"/>
      <c r="J306" s="194"/>
      <c r="K306" s="194"/>
      <c r="L306" s="194"/>
      <c r="M306" s="194"/>
      <c r="N306" s="194"/>
      <c r="O306" s="194"/>
      <c r="P306" s="194"/>
      <c r="Q306" s="194"/>
      <c r="R306" s="194"/>
      <c r="S306" s="194"/>
      <c r="T306" s="194"/>
      <c r="U306" s="194"/>
      <c r="V306" s="194"/>
      <c r="W306" s="194"/>
      <c r="X306" s="194"/>
      <c r="Y306" s="194"/>
      <c r="Z306" s="194"/>
      <c r="AA306" s="194"/>
      <c r="AB306" s="194"/>
      <c r="AC306" s="194"/>
      <c r="AD306" s="194"/>
      <c r="AE306" s="194"/>
      <c r="AF306" s="194"/>
      <c r="AG306" s="194"/>
      <c r="AH306" s="194"/>
      <c r="AI306" s="194"/>
      <c r="AJ306" s="194"/>
      <c r="AK306" s="194"/>
      <c r="AL306" s="194"/>
      <c r="AM306" s="194"/>
    </row>
    <row r="307" spans="1:39" ht="15.75" customHeight="1" x14ac:dyDescent="0.25">
      <c r="A307" s="194"/>
      <c r="B307" s="194"/>
      <c r="C307" s="194"/>
      <c r="D307" s="194"/>
      <c r="E307" s="194"/>
      <c r="F307" s="194"/>
      <c r="G307" s="194"/>
      <c r="H307" s="194"/>
      <c r="I307" s="194"/>
      <c r="J307" s="194"/>
      <c r="K307" s="194"/>
      <c r="L307" s="194"/>
      <c r="M307" s="194"/>
      <c r="N307" s="194"/>
      <c r="O307" s="194"/>
      <c r="P307" s="194"/>
      <c r="Q307" s="194"/>
      <c r="R307" s="194"/>
      <c r="S307" s="194"/>
      <c r="T307" s="194"/>
      <c r="U307" s="194"/>
      <c r="V307" s="194"/>
      <c r="W307" s="194"/>
      <c r="X307" s="194"/>
      <c r="Y307" s="194"/>
      <c r="Z307" s="194"/>
      <c r="AA307" s="194"/>
      <c r="AB307" s="194"/>
      <c r="AC307" s="194"/>
      <c r="AD307" s="194"/>
      <c r="AE307" s="194"/>
      <c r="AF307" s="194"/>
      <c r="AG307" s="194"/>
      <c r="AH307" s="194"/>
      <c r="AI307" s="194"/>
      <c r="AJ307" s="194"/>
      <c r="AK307" s="194"/>
      <c r="AL307" s="194"/>
      <c r="AM307" s="194"/>
    </row>
    <row r="308" spans="1:39" ht="15.75" customHeight="1" x14ac:dyDescent="0.25">
      <c r="A308" s="194"/>
      <c r="B308" s="194"/>
      <c r="C308" s="194"/>
      <c r="D308" s="194"/>
      <c r="E308" s="194"/>
      <c r="F308" s="194"/>
      <c r="G308" s="194"/>
      <c r="H308" s="194"/>
      <c r="I308" s="194"/>
      <c r="J308" s="194"/>
      <c r="K308" s="194"/>
      <c r="L308" s="194"/>
      <c r="M308" s="194"/>
      <c r="N308" s="194"/>
      <c r="O308" s="194"/>
      <c r="P308" s="194"/>
      <c r="Q308" s="194"/>
      <c r="R308" s="194"/>
      <c r="S308" s="194"/>
      <c r="T308" s="194"/>
      <c r="U308" s="194"/>
      <c r="V308" s="194"/>
      <c r="W308" s="194"/>
      <c r="X308" s="194"/>
      <c r="Y308" s="194"/>
      <c r="Z308" s="194"/>
      <c r="AA308" s="194"/>
      <c r="AB308" s="194"/>
      <c r="AC308" s="194"/>
      <c r="AD308" s="194"/>
      <c r="AE308" s="194"/>
      <c r="AF308" s="194"/>
      <c r="AG308" s="194"/>
      <c r="AH308" s="194"/>
      <c r="AI308" s="194"/>
      <c r="AJ308" s="194"/>
      <c r="AK308" s="194"/>
      <c r="AL308" s="194"/>
      <c r="AM308" s="194"/>
    </row>
    <row r="309" spans="1:39" ht="15.75" customHeight="1" x14ac:dyDescent="0.25">
      <c r="A309" s="194"/>
      <c r="B309" s="194"/>
      <c r="C309" s="194"/>
      <c r="D309" s="194"/>
      <c r="E309" s="194"/>
      <c r="F309" s="194"/>
      <c r="G309" s="194"/>
      <c r="H309" s="194"/>
      <c r="I309" s="194"/>
      <c r="J309" s="194"/>
      <c r="K309" s="194"/>
      <c r="L309" s="194"/>
      <c r="M309" s="194"/>
      <c r="N309" s="194"/>
      <c r="O309" s="194"/>
      <c r="P309" s="194"/>
      <c r="Q309" s="194"/>
      <c r="R309" s="194"/>
      <c r="S309" s="194"/>
      <c r="T309" s="194"/>
      <c r="U309" s="194"/>
      <c r="V309" s="194"/>
      <c r="W309" s="194"/>
      <c r="X309" s="194"/>
      <c r="Y309" s="194"/>
      <c r="Z309" s="194"/>
      <c r="AA309" s="194"/>
      <c r="AB309" s="194"/>
      <c r="AC309" s="194"/>
      <c r="AD309" s="194"/>
      <c r="AE309" s="194"/>
      <c r="AF309" s="194"/>
      <c r="AG309" s="194"/>
      <c r="AH309" s="194"/>
      <c r="AI309" s="194"/>
      <c r="AJ309" s="194"/>
      <c r="AK309" s="194"/>
      <c r="AL309" s="194"/>
      <c r="AM309" s="194"/>
    </row>
    <row r="310" spans="1:39" ht="15.75" customHeight="1" x14ac:dyDescent="0.25">
      <c r="A310" s="194"/>
      <c r="B310" s="194"/>
      <c r="C310" s="194"/>
      <c r="D310" s="194"/>
      <c r="E310" s="194"/>
      <c r="F310" s="194"/>
      <c r="G310" s="194"/>
      <c r="H310" s="194"/>
      <c r="I310" s="194"/>
      <c r="J310" s="194"/>
      <c r="K310" s="194"/>
      <c r="L310" s="194"/>
      <c r="M310" s="194"/>
      <c r="N310" s="194"/>
      <c r="O310" s="194"/>
      <c r="P310" s="194"/>
      <c r="Q310" s="194"/>
      <c r="R310" s="194"/>
      <c r="S310" s="194"/>
      <c r="T310" s="194"/>
      <c r="U310" s="194"/>
      <c r="V310" s="194"/>
      <c r="W310" s="194"/>
      <c r="X310" s="194"/>
      <c r="Y310" s="194"/>
      <c r="Z310" s="194"/>
      <c r="AA310" s="194"/>
      <c r="AB310" s="194"/>
      <c r="AC310" s="194"/>
      <c r="AD310" s="194"/>
      <c r="AE310" s="194"/>
      <c r="AF310" s="194"/>
      <c r="AG310" s="194"/>
      <c r="AH310" s="194"/>
      <c r="AI310" s="194"/>
      <c r="AJ310" s="194"/>
      <c r="AK310" s="194"/>
      <c r="AL310" s="194"/>
      <c r="AM310" s="194"/>
    </row>
    <row r="311" spans="1:39" ht="15.75" customHeight="1" x14ac:dyDescent="0.25">
      <c r="A311" s="194"/>
      <c r="B311" s="194"/>
      <c r="C311" s="194"/>
      <c r="D311" s="194"/>
      <c r="E311" s="194"/>
      <c r="F311" s="194"/>
      <c r="G311" s="194"/>
      <c r="H311" s="194"/>
      <c r="I311" s="194"/>
      <c r="J311" s="194"/>
      <c r="K311" s="194"/>
      <c r="L311" s="194"/>
      <c r="M311" s="194"/>
      <c r="N311" s="194"/>
      <c r="O311" s="194"/>
      <c r="P311" s="194"/>
      <c r="Q311" s="194"/>
      <c r="R311" s="194"/>
      <c r="S311" s="194"/>
      <c r="T311" s="194"/>
      <c r="U311" s="194"/>
      <c r="V311" s="194"/>
      <c r="W311" s="194"/>
      <c r="X311" s="194"/>
      <c r="Y311" s="194"/>
      <c r="Z311" s="194"/>
      <c r="AA311" s="194"/>
      <c r="AB311" s="194"/>
      <c r="AC311" s="194"/>
      <c r="AD311" s="194"/>
      <c r="AE311" s="194"/>
      <c r="AF311" s="194"/>
      <c r="AG311" s="194"/>
      <c r="AH311" s="194"/>
      <c r="AI311" s="194"/>
      <c r="AJ311" s="194"/>
      <c r="AK311" s="194"/>
      <c r="AL311" s="194"/>
      <c r="AM311" s="194"/>
    </row>
    <row r="312" spans="1:39" ht="15.75" customHeight="1" x14ac:dyDescent="0.25">
      <c r="A312" s="194"/>
      <c r="B312" s="194"/>
      <c r="C312" s="194"/>
      <c r="D312" s="194"/>
      <c r="E312" s="194"/>
      <c r="F312" s="194"/>
      <c r="G312" s="194"/>
      <c r="H312" s="194"/>
      <c r="I312" s="194"/>
      <c r="J312" s="194"/>
      <c r="K312" s="194"/>
      <c r="L312" s="194"/>
      <c r="M312" s="194"/>
      <c r="N312" s="194"/>
      <c r="O312" s="194"/>
      <c r="P312" s="194"/>
      <c r="Q312" s="194"/>
      <c r="R312" s="194"/>
      <c r="S312" s="194"/>
      <c r="T312" s="194"/>
      <c r="U312" s="194"/>
      <c r="V312" s="194"/>
      <c r="W312" s="194"/>
      <c r="X312" s="194"/>
      <c r="Y312" s="194"/>
      <c r="Z312" s="194"/>
      <c r="AA312" s="194"/>
      <c r="AB312" s="194"/>
      <c r="AC312" s="194"/>
      <c r="AD312" s="194"/>
      <c r="AE312" s="194"/>
      <c r="AF312" s="194"/>
      <c r="AG312" s="194"/>
      <c r="AH312" s="194"/>
      <c r="AI312" s="194"/>
      <c r="AJ312" s="194"/>
      <c r="AK312" s="194"/>
      <c r="AL312" s="194"/>
      <c r="AM312" s="194"/>
    </row>
    <row r="313" spans="1:39" ht="15.75" customHeight="1" x14ac:dyDescent="0.25">
      <c r="A313" s="194"/>
      <c r="B313" s="194"/>
      <c r="C313" s="194"/>
      <c r="D313" s="194"/>
      <c r="E313" s="194"/>
      <c r="F313" s="194"/>
      <c r="G313" s="194"/>
      <c r="H313" s="194"/>
      <c r="I313" s="194"/>
      <c r="J313" s="194"/>
      <c r="K313" s="194"/>
      <c r="L313" s="194"/>
      <c r="M313" s="194"/>
      <c r="N313" s="194"/>
      <c r="O313" s="194"/>
      <c r="P313" s="194"/>
      <c r="Q313" s="194"/>
      <c r="R313" s="194"/>
      <c r="S313" s="194"/>
      <c r="T313" s="194"/>
      <c r="U313" s="194"/>
      <c r="V313" s="194"/>
      <c r="W313" s="194"/>
      <c r="X313" s="194"/>
      <c r="Y313" s="194"/>
      <c r="Z313" s="194"/>
      <c r="AA313" s="194"/>
      <c r="AB313" s="194"/>
      <c r="AC313" s="194"/>
      <c r="AD313" s="194"/>
      <c r="AE313" s="194"/>
      <c r="AF313" s="194"/>
      <c r="AG313" s="194"/>
      <c r="AH313" s="194"/>
      <c r="AI313" s="194"/>
      <c r="AJ313" s="194"/>
      <c r="AK313" s="194"/>
      <c r="AL313" s="194"/>
      <c r="AM313" s="194"/>
    </row>
    <row r="314" spans="1:39" ht="15.75" customHeight="1" x14ac:dyDescent="0.25">
      <c r="A314" s="194"/>
      <c r="B314" s="194"/>
      <c r="C314" s="194"/>
      <c r="D314" s="194"/>
      <c r="E314" s="194"/>
      <c r="F314" s="194"/>
      <c r="G314" s="194"/>
      <c r="H314" s="194"/>
      <c r="I314" s="194"/>
      <c r="J314" s="194"/>
      <c r="K314" s="194"/>
      <c r="L314" s="194"/>
      <c r="M314" s="194"/>
      <c r="N314" s="194"/>
      <c r="O314" s="194"/>
      <c r="P314" s="194"/>
      <c r="Q314" s="194"/>
      <c r="R314" s="194"/>
      <c r="S314" s="194"/>
      <c r="T314" s="194"/>
      <c r="U314" s="194"/>
      <c r="V314" s="194"/>
      <c r="W314" s="194"/>
      <c r="X314" s="194"/>
      <c r="Y314" s="194"/>
      <c r="Z314" s="194"/>
      <c r="AA314" s="194"/>
      <c r="AB314" s="194"/>
      <c r="AC314" s="194"/>
      <c r="AD314" s="194"/>
      <c r="AE314" s="194"/>
      <c r="AF314" s="194"/>
      <c r="AG314" s="194"/>
      <c r="AH314" s="194"/>
      <c r="AI314" s="194"/>
      <c r="AJ314" s="194"/>
      <c r="AK314" s="194"/>
      <c r="AL314" s="194"/>
      <c r="AM314" s="194"/>
    </row>
    <row r="315" spans="1:39" ht="15.75" customHeight="1" x14ac:dyDescent="0.25">
      <c r="A315" s="194"/>
      <c r="B315" s="194"/>
      <c r="C315" s="194"/>
      <c r="D315" s="194"/>
      <c r="E315" s="194"/>
      <c r="F315" s="194"/>
      <c r="G315" s="194"/>
      <c r="H315" s="194"/>
      <c r="I315" s="194"/>
      <c r="J315" s="194"/>
      <c r="K315" s="194"/>
      <c r="L315" s="194"/>
      <c r="M315" s="194"/>
      <c r="N315" s="194"/>
      <c r="O315" s="194"/>
      <c r="P315" s="194"/>
      <c r="Q315" s="194"/>
      <c r="R315" s="194"/>
      <c r="S315" s="194"/>
      <c r="T315" s="194"/>
      <c r="U315" s="194"/>
      <c r="V315" s="194"/>
      <c r="W315" s="194"/>
      <c r="X315" s="194"/>
      <c r="Y315" s="194"/>
      <c r="Z315" s="194"/>
      <c r="AA315" s="194"/>
      <c r="AB315" s="194"/>
      <c r="AC315" s="194"/>
      <c r="AD315" s="194"/>
      <c r="AE315" s="194"/>
      <c r="AF315" s="194"/>
      <c r="AG315" s="194"/>
      <c r="AH315" s="194"/>
      <c r="AI315" s="194"/>
      <c r="AJ315" s="194"/>
      <c r="AK315" s="194"/>
      <c r="AL315" s="194"/>
      <c r="AM315" s="194"/>
    </row>
    <row r="316" spans="1:39" ht="15.75" customHeight="1" x14ac:dyDescent="0.25">
      <c r="A316" s="194"/>
      <c r="B316" s="194"/>
      <c r="C316" s="194"/>
      <c r="D316" s="194"/>
      <c r="E316" s="194"/>
      <c r="F316" s="194"/>
      <c r="G316" s="194"/>
      <c r="H316" s="194"/>
      <c r="I316" s="194"/>
      <c r="J316" s="194"/>
      <c r="K316" s="194"/>
      <c r="L316" s="194"/>
      <c r="M316" s="194"/>
      <c r="N316" s="194"/>
      <c r="O316" s="194"/>
      <c r="P316" s="194"/>
      <c r="Q316" s="194"/>
      <c r="R316" s="194"/>
      <c r="S316" s="194"/>
      <c r="T316" s="194"/>
      <c r="U316" s="194"/>
      <c r="V316" s="194"/>
      <c r="W316" s="194"/>
      <c r="X316" s="194"/>
      <c r="Y316" s="194"/>
      <c r="Z316" s="194"/>
      <c r="AA316" s="194"/>
      <c r="AB316" s="194"/>
      <c r="AC316" s="194"/>
      <c r="AD316" s="194"/>
      <c r="AE316" s="194"/>
      <c r="AF316" s="194"/>
      <c r="AG316" s="194"/>
      <c r="AH316" s="194"/>
      <c r="AI316" s="194"/>
      <c r="AJ316" s="194"/>
      <c r="AK316" s="194"/>
      <c r="AL316" s="194"/>
      <c r="AM316" s="194"/>
    </row>
    <row r="317" spans="1:39" ht="15.75" customHeight="1" x14ac:dyDescent="0.25">
      <c r="A317" s="194"/>
      <c r="B317" s="194"/>
      <c r="C317" s="194"/>
      <c r="D317" s="194"/>
      <c r="E317" s="194"/>
      <c r="F317" s="194"/>
      <c r="G317" s="194"/>
      <c r="H317" s="194"/>
      <c r="I317" s="194"/>
      <c r="J317" s="194"/>
      <c r="K317" s="194"/>
      <c r="L317" s="194"/>
      <c r="M317" s="194"/>
      <c r="N317" s="194"/>
      <c r="O317" s="194"/>
      <c r="P317" s="194"/>
      <c r="Q317" s="194"/>
      <c r="R317" s="194"/>
      <c r="S317" s="194"/>
      <c r="T317" s="194"/>
      <c r="U317" s="194"/>
      <c r="V317" s="194"/>
      <c r="W317" s="194"/>
      <c r="X317" s="194"/>
      <c r="Y317" s="194"/>
      <c r="Z317" s="194"/>
      <c r="AA317" s="194"/>
      <c r="AB317" s="194"/>
      <c r="AC317" s="194"/>
      <c r="AD317" s="194"/>
      <c r="AE317" s="194"/>
      <c r="AF317" s="194"/>
      <c r="AG317" s="194"/>
      <c r="AH317" s="194"/>
      <c r="AI317" s="194"/>
      <c r="AJ317" s="194"/>
      <c r="AK317" s="194"/>
      <c r="AL317" s="194"/>
      <c r="AM317" s="194"/>
    </row>
    <row r="318" spans="1:39" ht="15.75" customHeight="1" x14ac:dyDescent="0.25">
      <c r="A318" s="194"/>
      <c r="B318" s="194"/>
      <c r="C318" s="194"/>
      <c r="D318" s="194"/>
      <c r="E318" s="194"/>
      <c r="F318" s="194"/>
      <c r="G318" s="194"/>
      <c r="H318" s="194"/>
      <c r="I318" s="194"/>
      <c r="J318" s="194"/>
      <c r="K318" s="194"/>
      <c r="L318" s="194"/>
      <c r="M318" s="194"/>
      <c r="N318" s="194"/>
      <c r="O318" s="194"/>
      <c r="P318" s="194"/>
      <c r="Q318" s="194"/>
      <c r="R318" s="194"/>
      <c r="S318" s="194"/>
      <c r="T318" s="194"/>
      <c r="U318" s="194"/>
      <c r="V318" s="194"/>
      <c r="W318" s="194"/>
      <c r="X318" s="194"/>
      <c r="Y318" s="194"/>
      <c r="Z318" s="194"/>
      <c r="AA318" s="194"/>
      <c r="AB318" s="194"/>
      <c r="AC318" s="194"/>
      <c r="AD318" s="194"/>
      <c r="AE318" s="194"/>
      <c r="AF318" s="194"/>
      <c r="AG318" s="194"/>
      <c r="AH318" s="194"/>
      <c r="AI318" s="194"/>
      <c r="AJ318" s="194"/>
      <c r="AK318" s="194"/>
      <c r="AL318" s="194"/>
      <c r="AM318" s="194"/>
    </row>
    <row r="319" spans="1:39" ht="15.75" customHeight="1" x14ac:dyDescent="0.25">
      <c r="A319" s="194"/>
      <c r="B319" s="194"/>
      <c r="C319" s="194"/>
      <c r="D319" s="194"/>
      <c r="E319" s="194"/>
      <c r="F319" s="194"/>
      <c r="G319" s="194"/>
      <c r="H319" s="194"/>
      <c r="I319" s="194"/>
      <c r="J319" s="194"/>
      <c r="K319" s="194"/>
      <c r="L319" s="194"/>
      <c r="M319" s="194"/>
      <c r="N319" s="194"/>
      <c r="O319" s="194"/>
      <c r="P319" s="194"/>
      <c r="Q319" s="194"/>
      <c r="R319" s="194"/>
      <c r="S319" s="194"/>
      <c r="T319" s="194"/>
      <c r="U319" s="194"/>
      <c r="V319" s="194"/>
      <c r="W319" s="194"/>
      <c r="X319" s="194"/>
      <c r="Y319" s="194"/>
      <c r="Z319" s="194"/>
      <c r="AA319" s="194"/>
      <c r="AB319" s="194"/>
      <c r="AC319" s="194"/>
      <c r="AD319" s="194"/>
      <c r="AE319" s="194"/>
      <c r="AF319" s="194"/>
      <c r="AG319" s="194"/>
      <c r="AH319" s="194"/>
      <c r="AI319" s="194"/>
      <c r="AJ319" s="194"/>
      <c r="AK319" s="194"/>
      <c r="AL319" s="194"/>
      <c r="AM319" s="194"/>
    </row>
    <row r="320" spans="1:39" ht="15.75" customHeight="1" x14ac:dyDescent="0.25">
      <c r="A320" s="194"/>
      <c r="B320" s="194"/>
      <c r="C320" s="194"/>
      <c r="D320" s="194"/>
      <c r="E320" s="194"/>
      <c r="F320" s="194"/>
      <c r="G320" s="194"/>
      <c r="H320" s="194"/>
      <c r="I320" s="194"/>
      <c r="J320" s="194"/>
      <c r="K320" s="194"/>
      <c r="L320" s="194"/>
      <c r="M320" s="194"/>
      <c r="N320" s="194"/>
      <c r="O320" s="194"/>
      <c r="P320" s="194"/>
      <c r="Q320" s="194"/>
      <c r="R320" s="194"/>
      <c r="S320" s="194"/>
      <c r="T320" s="194"/>
      <c r="U320" s="194"/>
      <c r="V320" s="194"/>
      <c r="W320" s="194"/>
      <c r="X320" s="194"/>
      <c r="Y320" s="194"/>
      <c r="Z320" s="194"/>
      <c r="AA320" s="194"/>
      <c r="AB320" s="194"/>
      <c r="AC320" s="194"/>
      <c r="AD320" s="194"/>
      <c r="AE320" s="194"/>
      <c r="AF320" s="194"/>
      <c r="AG320" s="194"/>
      <c r="AH320" s="194"/>
      <c r="AI320" s="194"/>
      <c r="AJ320" s="194"/>
      <c r="AK320" s="194"/>
      <c r="AL320" s="194"/>
      <c r="AM320" s="194"/>
    </row>
    <row r="321" spans="1:39" ht="15.75" customHeight="1" x14ac:dyDescent="0.25">
      <c r="A321" s="194"/>
      <c r="B321" s="194"/>
      <c r="C321" s="194"/>
      <c r="D321" s="194"/>
      <c r="E321" s="194"/>
      <c r="F321" s="194"/>
      <c r="G321" s="194"/>
      <c r="H321" s="194"/>
      <c r="I321" s="194"/>
      <c r="J321" s="194"/>
      <c r="K321" s="194"/>
      <c r="L321" s="194"/>
      <c r="M321" s="194"/>
      <c r="N321" s="194"/>
      <c r="O321" s="194"/>
      <c r="P321" s="194"/>
      <c r="Q321" s="194"/>
      <c r="R321" s="194"/>
      <c r="S321" s="194"/>
      <c r="T321" s="194"/>
      <c r="U321" s="194"/>
      <c r="V321" s="194"/>
      <c r="W321" s="194"/>
      <c r="X321" s="194"/>
      <c r="Y321" s="194"/>
      <c r="Z321" s="194"/>
      <c r="AA321" s="194"/>
      <c r="AB321" s="194"/>
      <c r="AC321" s="194"/>
      <c r="AD321" s="194"/>
      <c r="AE321" s="194"/>
      <c r="AF321" s="194"/>
      <c r="AG321" s="194"/>
      <c r="AH321" s="194"/>
      <c r="AI321" s="194"/>
      <c r="AJ321" s="194"/>
      <c r="AK321" s="194"/>
      <c r="AL321" s="194"/>
      <c r="AM321" s="194"/>
    </row>
    <row r="322" spans="1:39" ht="15.75" customHeight="1" x14ac:dyDescent="0.25">
      <c r="A322" s="194"/>
      <c r="B322" s="194"/>
      <c r="C322" s="194"/>
      <c r="D322" s="194"/>
      <c r="E322" s="194"/>
      <c r="F322" s="194"/>
      <c r="G322" s="194"/>
      <c r="H322" s="194"/>
      <c r="I322" s="194"/>
      <c r="J322" s="194"/>
      <c r="K322" s="194"/>
      <c r="L322" s="194"/>
      <c r="M322" s="194"/>
      <c r="N322" s="194"/>
      <c r="O322" s="194"/>
      <c r="P322" s="194"/>
      <c r="Q322" s="194"/>
      <c r="R322" s="194"/>
      <c r="S322" s="194"/>
      <c r="T322" s="194"/>
      <c r="U322" s="194"/>
      <c r="V322" s="194"/>
      <c r="W322" s="194"/>
      <c r="X322" s="194"/>
      <c r="Y322" s="194"/>
      <c r="Z322" s="194"/>
      <c r="AA322" s="194"/>
      <c r="AB322" s="194"/>
      <c r="AC322" s="194"/>
      <c r="AD322" s="194"/>
      <c r="AE322" s="194"/>
      <c r="AF322" s="194"/>
      <c r="AG322" s="194"/>
      <c r="AH322" s="194"/>
      <c r="AI322" s="194"/>
      <c r="AJ322" s="194"/>
      <c r="AK322" s="194"/>
      <c r="AL322" s="194"/>
      <c r="AM322" s="194"/>
    </row>
    <row r="323" spans="1:39" ht="15.75" customHeight="1" x14ac:dyDescent="0.25">
      <c r="A323" s="194"/>
      <c r="B323" s="194"/>
      <c r="C323" s="194"/>
      <c r="D323" s="194"/>
      <c r="E323" s="194"/>
      <c r="F323" s="194"/>
      <c r="G323" s="194"/>
      <c r="H323" s="194"/>
      <c r="I323" s="194"/>
      <c r="J323" s="194"/>
      <c r="K323" s="194"/>
      <c r="L323" s="194"/>
      <c r="M323" s="194"/>
      <c r="N323" s="194"/>
      <c r="O323" s="194"/>
      <c r="P323" s="194"/>
      <c r="Q323" s="194"/>
      <c r="R323" s="194"/>
      <c r="S323" s="194"/>
      <c r="T323" s="194"/>
      <c r="U323" s="194"/>
      <c r="V323" s="194"/>
      <c r="W323" s="194"/>
      <c r="X323" s="194"/>
      <c r="Y323" s="194"/>
      <c r="Z323" s="194"/>
      <c r="AA323" s="194"/>
      <c r="AB323" s="194"/>
      <c r="AC323" s="194"/>
      <c r="AD323" s="194"/>
      <c r="AE323" s="194"/>
      <c r="AF323" s="194"/>
      <c r="AG323" s="194"/>
      <c r="AH323" s="194"/>
      <c r="AI323" s="194"/>
      <c r="AJ323" s="194"/>
      <c r="AK323" s="194"/>
      <c r="AL323" s="194"/>
      <c r="AM323" s="194"/>
    </row>
    <row r="324" spans="1:39" ht="15.75" customHeight="1" x14ac:dyDescent="0.25">
      <c r="A324" s="194"/>
      <c r="B324" s="194"/>
      <c r="C324" s="194"/>
      <c r="D324" s="194"/>
      <c r="E324" s="194"/>
      <c r="F324" s="194"/>
      <c r="G324" s="194"/>
      <c r="H324" s="194"/>
      <c r="I324" s="194"/>
      <c r="J324" s="194"/>
      <c r="K324" s="194"/>
      <c r="L324" s="194"/>
      <c r="M324" s="194"/>
      <c r="N324" s="194"/>
      <c r="O324" s="194"/>
      <c r="P324" s="194"/>
      <c r="Q324" s="194"/>
      <c r="R324" s="194"/>
      <c r="S324" s="194"/>
      <c r="T324" s="194"/>
      <c r="U324" s="194"/>
      <c r="V324" s="194"/>
      <c r="W324" s="194"/>
      <c r="X324" s="194"/>
      <c r="Y324" s="194"/>
      <c r="Z324" s="194"/>
      <c r="AA324" s="194"/>
      <c r="AB324" s="194"/>
      <c r="AC324" s="194"/>
      <c r="AD324" s="194"/>
      <c r="AE324" s="194"/>
      <c r="AF324" s="194"/>
      <c r="AG324" s="194"/>
      <c r="AH324" s="194"/>
      <c r="AI324" s="194"/>
      <c r="AJ324" s="194"/>
      <c r="AK324" s="194"/>
      <c r="AL324" s="194"/>
      <c r="AM324" s="194"/>
    </row>
    <row r="325" spans="1:39" ht="15.75" customHeight="1" x14ac:dyDescent="0.25">
      <c r="A325" s="194"/>
      <c r="B325" s="194"/>
      <c r="C325" s="194"/>
      <c r="D325" s="194"/>
      <c r="E325" s="194"/>
      <c r="F325" s="194"/>
      <c r="G325" s="194"/>
      <c r="H325" s="194"/>
      <c r="I325" s="194"/>
      <c r="J325" s="194"/>
      <c r="K325" s="194"/>
      <c r="L325" s="194"/>
      <c r="M325" s="194"/>
      <c r="N325" s="194"/>
      <c r="O325" s="194"/>
      <c r="P325" s="194"/>
      <c r="Q325" s="194"/>
      <c r="R325" s="194"/>
      <c r="S325" s="194"/>
      <c r="T325" s="194"/>
      <c r="U325" s="194"/>
      <c r="V325" s="194"/>
      <c r="W325" s="194"/>
      <c r="X325" s="194"/>
      <c r="Y325" s="194"/>
      <c r="Z325" s="194"/>
      <c r="AA325" s="194"/>
      <c r="AB325" s="194"/>
      <c r="AC325" s="194"/>
      <c r="AD325" s="194"/>
      <c r="AE325" s="194"/>
      <c r="AF325" s="194"/>
      <c r="AG325" s="194"/>
      <c r="AH325" s="194"/>
      <c r="AI325" s="194"/>
      <c r="AJ325" s="194"/>
      <c r="AK325" s="194"/>
      <c r="AL325" s="194"/>
      <c r="AM325" s="194"/>
    </row>
    <row r="326" spans="1:39" ht="15.75" customHeight="1" x14ac:dyDescent="0.25">
      <c r="A326" s="194"/>
      <c r="B326" s="194"/>
      <c r="C326" s="194"/>
      <c r="D326" s="194"/>
      <c r="E326" s="194"/>
      <c r="F326" s="194"/>
      <c r="G326" s="194"/>
      <c r="H326" s="194"/>
      <c r="I326" s="194"/>
      <c r="J326" s="194"/>
      <c r="K326" s="194"/>
      <c r="L326" s="194"/>
      <c r="M326" s="194"/>
      <c r="N326" s="194"/>
      <c r="O326" s="194"/>
      <c r="P326" s="194"/>
      <c r="Q326" s="194"/>
      <c r="R326" s="194"/>
      <c r="S326" s="194"/>
      <c r="T326" s="194"/>
      <c r="U326" s="194"/>
      <c r="V326" s="194"/>
      <c r="W326" s="194"/>
      <c r="X326" s="194"/>
      <c r="Y326" s="194"/>
      <c r="Z326" s="194"/>
      <c r="AA326" s="194"/>
      <c r="AB326" s="194"/>
      <c r="AC326" s="194"/>
      <c r="AD326" s="194"/>
      <c r="AE326" s="194"/>
      <c r="AF326" s="194"/>
      <c r="AG326" s="194"/>
      <c r="AH326" s="194"/>
      <c r="AI326" s="194"/>
      <c r="AJ326" s="194"/>
      <c r="AK326" s="194"/>
      <c r="AL326" s="194"/>
      <c r="AM326" s="194"/>
    </row>
    <row r="327" spans="1:39" ht="15.75" customHeight="1" x14ac:dyDescent="0.25">
      <c r="A327" s="194"/>
      <c r="B327" s="194"/>
      <c r="C327" s="194"/>
      <c r="D327" s="194"/>
      <c r="E327" s="194"/>
      <c r="F327" s="194"/>
      <c r="G327" s="194"/>
      <c r="H327" s="194"/>
      <c r="I327" s="194"/>
      <c r="J327" s="194"/>
      <c r="K327" s="194"/>
      <c r="L327" s="194"/>
      <c r="M327" s="194"/>
      <c r="N327" s="194"/>
      <c r="O327" s="194"/>
      <c r="P327" s="194"/>
      <c r="Q327" s="194"/>
      <c r="R327" s="194"/>
      <c r="S327" s="194"/>
      <c r="T327" s="194"/>
      <c r="U327" s="194"/>
      <c r="V327" s="194"/>
      <c r="W327" s="194"/>
      <c r="X327" s="194"/>
      <c r="Y327" s="194"/>
      <c r="Z327" s="194"/>
      <c r="AA327" s="194"/>
      <c r="AB327" s="194"/>
      <c r="AC327" s="194"/>
      <c r="AD327" s="194"/>
      <c r="AE327" s="194"/>
      <c r="AF327" s="194"/>
      <c r="AG327" s="194"/>
      <c r="AH327" s="194"/>
      <c r="AI327" s="194"/>
      <c r="AJ327" s="194"/>
      <c r="AK327" s="194"/>
      <c r="AL327" s="194"/>
      <c r="AM327" s="194"/>
    </row>
    <row r="328" spans="1:39" ht="15.75" customHeight="1" x14ac:dyDescent="0.25">
      <c r="A328" s="194"/>
      <c r="B328" s="194"/>
      <c r="C328" s="194"/>
      <c r="D328" s="194"/>
      <c r="E328" s="194"/>
      <c r="F328" s="194"/>
      <c r="G328" s="194"/>
      <c r="H328" s="194"/>
      <c r="I328" s="194"/>
      <c r="J328" s="194"/>
      <c r="K328" s="194"/>
      <c r="L328" s="194"/>
      <c r="M328" s="194"/>
      <c r="N328" s="194"/>
      <c r="O328" s="194"/>
      <c r="P328" s="194"/>
      <c r="Q328" s="194"/>
      <c r="R328" s="194"/>
      <c r="S328" s="194"/>
      <c r="T328" s="194"/>
      <c r="U328" s="194"/>
      <c r="V328" s="194"/>
      <c r="W328" s="194"/>
      <c r="X328" s="194"/>
      <c r="Y328" s="194"/>
      <c r="Z328" s="194"/>
      <c r="AA328" s="194"/>
      <c r="AB328" s="194"/>
      <c r="AC328" s="194"/>
      <c r="AD328" s="194"/>
      <c r="AE328" s="194"/>
      <c r="AF328" s="194"/>
      <c r="AG328" s="194"/>
      <c r="AH328" s="194"/>
      <c r="AI328" s="194"/>
      <c r="AJ328" s="194"/>
      <c r="AK328" s="194"/>
      <c r="AL328" s="194"/>
      <c r="AM328" s="194"/>
    </row>
    <row r="329" spans="1:39" ht="15.75" customHeight="1" x14ac:dyDescent="0.25">
      <c r="A329" s="194"/>
      <c r="B329" s="194"/>
      <c r="C329" s="194"/>
      <c r="D329" s="194"/>
      <c r="E329" s="194"/>
      <c r="F329" s="194"/>
      <c r="G329" s="194"/>
      <c r="H329" s="194"/>
      <c r="I329" s="194"/>
      <c r="J329" s="194"/>
      <c r="K329" s="194"/>
      <c r="L329" s="194"/>
      <c r="M329" s="194"/>
      <c r="N329" s="194"/>
      <c r="O329" s="194"/>
      <c r="P329" s="194"/>
      <c r="Q329" s="194"/>
      <c r="R329" s="194"/>
      <c r="S329" s="194"/>
      <c r="T329" s="194"/>
      <c r="U329" s="194"/>
      <c r="V329" s="194"/>
      <c r="W329" s="194"/>
      <c r="X329" s="194"/>
      <c r="Y329" s="194"/>
      <c r="Z329" s="194"/>
      <c r="AA329" s="194"/>
      <c r="AB329" s="194"/>
      <c r="AC329" s="194"/>
      <c r="AD329" s="194"/>
      <c r="AE329" s="194"/>
      <c r="AF329" s="194"/>
      <c r="AG329" s="194"/>
      <c r="AH329" s="194"/>
      <c r="AI329" s="194"/>
      <c r="AJ329" s="194"/>
      <c r="AK329" s="194"/>
      <c r="AL329" s="194"/>
      <c r="AM329" s="194"/>
    </row>
    <row r="330" spans="1:39" ht="15.75" customHeight="1" x14ac:dyDescent="0.25">
      <c r="A330" s="194"/>
      <c r="B330" s="194"/>
      <c r="C330" s="194"/>
      <c r="D330" s="194"/>
      <c r="E330" s="194"/>
      <c r="F330" s="194"/>
      <c r="G330" s="194"/>
      <c r="H330" s="194"/>
      <c r="I330" s="194"/>
      <c r="J330" s="194"/>
      <c r="K330" s="194"/>
      <c r="L330" s="194"/>
      <c r="M330" s="194"/>
      <c r="N330" s="194"/>
      <c r="O330" s="194"/>
      <c r="P330" s="194"/>
      <c r="Q330" s="194"/>
      <c r="R330" s="194"/>
      <c r="S330" s="194"/>
      <c r="T330" s="194"/>
      <c r="U330" s="194"/>
      <c r="V330" s="194"/>
      <c r="W330" s="194"/>
      <c r="X330" s="194"/>
      <c r="Y330" s="194"/>
      <c r="Z330" s="194"/>
      <c r="AA330" s="194"/>
      <c r="AB330" s="194"/>
      <c r="AC330" s="194"/>
      <c r="AD330" s="194"/>
      <c r="AE330" s="194"/>
      <c r="AF330" s="194"/>
      <c r="AG330" s="194"/>
      <c r="AH330" s="194"/>
      <c r="AI330" s="194"/>
      <c r="AJ330" s="194"/>
      <c r="AK330" s="194"/>
      <c r="AL330" s="194"/>
      <c r="AM330" s="194"/>
    </row>
    <row r="331" spans="1:39" ht="15.75" customHeight="1" x14ac:dyDescent="0.25">
      <c r="A331" s="194"/>
      <c r="B331" s="194"/>
      <c r="C331" s="194"/>
      <c r="D331" s="194"/>
      <c r="E331" s="194"/>
      <c r="F331" s="194"/>
      <c r="G331" s="194"/>
      <c r="H331" s="194"/>
      <c r="I331" s="194"/>
      <c r="J331" s="194"/>
      <c r="K331" s="194"/>
      <c r="L331" s="194"/>
      <c r="M331" s="194"/>
      <c r="N331" s="194"/>
      <c r="O331" s="194"/>
      <c r="P331" s="194"/>
      <c r="Q331" s="194"/>
      <c r="R331" s="194"/>
      <c r="S331" s="194"/>
      <c r="T331" s="194"/>
      <c r="U331" s="194"/>
      <c r="V331" s="194"/>
      <c r="W331" s="194"/>
      <c r="X331" s="194"/>
      <c r="Y331" s="194"/>
      <c r="Z331" s="194"/>
      <c r="AA331" s="194"/>
      <c r="AB331" s="194"/>
      <c r="AC331" s="194"/>
      <c r="AD331" s="194"/>
      <c r="AE331" s="194"/>
      <c r="AF331" s="194"/>
      <c r="AG331" s="194"/>
      <c r="AH331" s="194"/>
      <c r="AI331" s="194"/>
      <c r="AJ331" s="194"/>
      <c r="AK331" s="194"/>
      <c r="AL331" s="194"/>
      <c r="AM331" s="194"/>
    </row>
    <row r="332" spans="1:39" ht="15.75" customHeight="1" x14ac:dyDescent="0.25">
      <c r="A332" s="194"/>
      <c r="B332" s="194"/>
      <c r="C332" s="194"/>
      <c r="D332" s="194"/>
      <c r="E332" s="194"/>
      <c r="F332" s="194"/>
      <c r="G332" s="194"/>
      <c r="H332" s="194"/>
      <c r="I332" s="194"/>
      <c r="J332" s="194"/>
      <c r="K332" s="194"/>
      <c r="L332" s="194"/>
      <c r="M332" s="194"/>
      <c r="N332" s="194"/>
      <c r="O332" s="194"/>
      <c r="P332" s="194"/>
      <c r="Q332" s="194"/>
      <c r="R332" s="194"/>
      <c r="S332" s="194"/>
      <c r="T332" s="194"/>
      <c r="U332" s="194"/>
      <c r="V332" s="194"/>
      <c r="W332" s="194"/>
      <c r="X332" s="194"/>
      <c r="Y332" s="194"/>
      <c r="Z332" s="194"/>
      <c r="AA332" s="194"/>
      <c r="AB332" s="194"/>
      <c r="AC332" s="194"/>
      <c r="AD332" s="194"/>
      <c r="AE332" s="194"/>
      <c r="AF332" s="194"/>
      <c r="AG332" s="194"/>
      <c r="AH332" s="194"/>
      <c r="AI332" s="194"/>
      <c r="AJ332" s="194"/>
      <c r="AK332" s="194"/>
      <c r="AL332" s="194"/>
      <c r="AM332" s="194"/>
    </row>
    <row r="333" spans="1:39" ht="15.75" customHeight="1" x14ac:dyDescent="0.25">
      <c r="A333" s="194"/>
      <c r="B333" s="194"/>
      <c r="C333" s="194"/>
      <c r="D333" s="194"/>
      <c r="E333" s="194"/>
      <c r="F333" s="194"/>
      <c r="G333" s="194"/>
      <c r="H333" s="194"/>
      <c r="I333" s="194"/>
      <c r="J333" s="194"/>
      <c r="K333" s="194"/>
      <c r="L333" s="194"/>
      <c r="M333" s="194"/>
      <c r="N333" s="194"/>
      <c r="O333" s="194"/>
      <c r="P333" s="194"/>
      <c r="Q333" s="194"/>
      <c r="R333" s="194"/>
      <c r="S333" s="194"/>
      <c r="T333" s="194"/>
      <c r="U333" s="194"/>
      <c r="V333" s="194"/>
      <c r="W333" s="194"/>
      <c r="X333" s="194"/>
      <c r="Y333" s="194"/>
      <c r="Z333" s="194"/>
      <c r="AA333" s="194"/>
      <c r="AB333" s="194"/>
      <c r="AC333" s="194"/>
      <c r="AD333" s="194"/>
      <c r="AE333" s="194"/>
      <c r="AF333" s="194"/>
      <c r="AG333" s="194"/>
      <c r="AH333" s="194"/>
      <c r="AI333" s="194"/>
      <c r="AJ333" s="194"/>
      <c r="AK333" s="194"/>
      <c r="AL333" s="194"/>
      <c r="AM333" s="194"/>
    </row>
    <row r="334" spans="1:39" ht="15.75" customHeight="1" x14ac:dyDescent="0.25">
      <c r="A334" s="194"/>
      <c r="B334" s="194"/>
      <c r="C334" s="194"/>
      <c r="D334" s="194"/>
      <c r="E334" s="194"/>
      <c r="F334" s="194"/>
      <c r="G334" s="194"/>
      <c r="H334" s="194"/>
      <c r="I334" s="194"/>
      <c r="J334" s="194"/>
      <c r="K334" s="194"/>
      <c r="L334" s="194"/>
      <c r="M334" s="194"/>
      <c r="N334" s="194"/>
      <c r="O334" s="194"/>
      <c r="P334" s="194"/>
      <c r="Q334" s="194"/>
      <c r="R334" s="194"/>
      <c r="S334" s="194"/>
      <c r="T334" s="194"/>
      <c r="U334" s="194"/>
      <c r="V334" s="194"/>
      <c r="W334" s="194"/>
      <c r="X334" s="194"/>
      <c r="Y334" s="194"/>
      <c r="Z334" s="194"/>
      <c r="AA334" s="194"/>
      <c r="AB334" s="194"/>
      <c r="AC334" s="194"/>
      <c r="AD334" s="194"/>
      <c r="AE334" s="194"/>
      <c r="AF334" s="194"/>
      <c r="AG334" s="194"/>
      <c r="AH334" s="194"/>
      <c r="AI334" s="194"/>
      <c r="AJ334" s="194"/>
      <c r="AK334" s="194"/>
      <c r="AL334" s="194"/>
      <c r="AM334" s="194"/>
    </row>
    <row r="335" spans="1:39" ht="15.75" customHeight="1" x14ac:dyDescent="0.25">
      <c r="A335" s="194"/>
      <c r="B335" s="194"/>
      <c r="C335" s="194"/>
      <c r="D335" s="194"/>
      <c r="E335" s="194"/>
      <c r="F335" s="194"/>
      <c r="G335" s="194"/>
      <c r="H335" s="194"/>
      <c r="I335" s="194"/>
      <c r="J335" s="194"/>
      <c r="K335" s="194"/>
      <c r="L335" s="194"/>
      <c r="M335" s="194"/>
      <c r="N335" s="194"/>
      <c r="O335" s="194"/>
      <c r="P335" s="194"/>
      <c r="Q335" s="194"/>
      <c r="R335" s="194"/>
      <c r="S335" s="194"/>
      <c r="T335" s="194"/>
      <c r="U335" s="194"/>
      <c r="V335" s="194"/>
      <c r="W335" s="194"/>
      <c r="X335" s="194"/>
      <c r="Y335" s="194"/>
      <c r="Z335" s="194"/>
      <c r="AA335" s="194"/>
      <c r="AB335" s="194"/>
      <c r="AC335" s="194"/>
      <c r="AD335" s="194"/>
      <c r="AE335" s="194"/>
      <c r="AF335" s="194"/>
      <c r="AG335" s="194"/>
      <c r="AH335" s="194"/>
      <c r="AI335" s="194"/>
      <c r="AJ335" s="194"/>
      <c r="AK335" s="194"/>
      <c r="AL335" s="194"/>
      <c r="AM335" s="194"/>
    </row>
    <row r="336" spans="1:39" ht="15.75" customHeight="1" x14ac:dyDescent="0.25">
      <c r="A336" s="194"/>
      <c r="B336" s="194"/>
      <c r="C336" s="194"/>
      <c r="D336" s="194"/>
      <c r="E336" s="194"/>
      <c r="F336" s="194"/>
      <c r="G336" s="194"/>
      <c r="H336" s="194"/>
      <c r="I336" s="194"/>
      <c r="J336" s="194"/>
      <c r="K336" s="194"/>
      <c r="L336" s="194"/>
      <c r="M336" s="194"/>
      <c r="N336" s="194"/>
      <c r="O336" s="194"/>
      <c r="P336" s="194"/>
      <c r="Q336" s="194"/>
      <c r="R336" s="194"/>
      <c r="S336" s="194"/>
      <c r="T336" s="194"/>
      <c r="U336" s="194"/>
      <c r="V336" s="194"/>
      <c r="W336" s="194"/>
      <c r="X336" s="194"/>
      <c r="Y336" s="194"/>
      <c r="Z336" s="194"/>
      <c r="AA336" s="194"/>
      <c r="AB336" s="194"/>
      <c r="AC336" s="194"/>
      <c r="AD336" s="194"/>
      <c r="AE336" s="194"/>
      <c r="AF336" s="194"/>
      <c r="AG336" s="194"/>
      <c r="AH336" s="194"/>
      <c r="AI336" s="194"/>
      <c r="AJ336" s="194"/>
      <c r="AK336" s="194"/>
      <c r="AL336" s="194"/>
      <c r="AM336" s="194"/>
    </row>
    <row r="337" spans="1:39" ht="15.75" customHeight="1" x14ac:dyDescent="0.25">
      <c r="A337" s="194"/>
      <c r="B337" s="194"/>
      <c r="C337" s="194"/>
      <c r="D337" s="194"/>
      <c r="E337" s="194"/>
      <c r="F337" s="194"/>
      <c r="G337" s="194"/>
      <c r="H337" s="194"/>
      <c r="I337" s="194"/>
      <c r="J337" s="194"/>
      <c r="K337" s="194"/>
      <c r="L337" s="194"/>
      <c r="M337" s="194"/>
      <c r="N337" s="194"/>
      <c r="O337" s="194"/>
      <c r="P337" s="194"/>
      <c r="Q337" s="194"/>
      <c r="R337" s="194"/>
      <c r="S337" s="194"/>
      <c r="T337" s="194"/>
      <c r="U337" s="194"/>
      <c r="V337" s="194"/>
      <c r="W337" s="194"/>
      <c r="X337" s="194"/>
      <c r="Y337" s="194"/>
      <c r="Z337" s="194"/>
      <c r="AA337" s="194"/>
      <c r="AB337" s="194"/>
      <c r="AC337" s="194"/>
      <c r="AD337" s="194"/>
      <c r="AE337" s="194"/>
      <c r="AF337" s="194"/>
      <c r="AG337" s="194"/>
      <c r="AH337" s="194"/>
      <c r="AI337" s="194"/>
      <c r="AJ337" s="194"/>
      <c r="AK337" s="194"/>
      <c r="AL337" s="194"/>
      <c r="AM337" s="194"/>
    </row>
    <row r="338" spans="1:39" ht="15.75" customHeight="1" x14ac:dyDescent="0.25">
      <c r="A338" s="194"/>
      <c r="B338" s="194"/>
      <c r="C338" s="194"/>
      <c r="D338" s="194"/>
      <c r="E338" s="194"/>
      <c r="F338" s="194"/>
      <c r="G338" s="194"/>
      <c r="H338" s="194"/>
      <c r="I338" s="194"/>
      <c r="J338" s="194"/>
      <c r="K338" s="194"/>
      <c r="L338" s="194"/>
      <c r="M338" s="194"/>
      <c r="N338" s="194"/>
      <c r="O338" s="194"/>
      <c r="P338" s="194"/>
      <c r="Q338" s="194"/>
      <c r="R338" s="194"/>
      <c r="S338" s="194"/>
      <c r="T338" s="194"/>
      <c r="U338" s="194"/>
      <c r="V338" s="194"/>
      <c r="W338" s="194"/>
      <c r="X338" s="194"/>
      <c r="Y338" s="194"/>
      <c r="Z338" s="194"/>
      <c r="AA338" s="194"/>
      <c r="AB338" s="194"/>
      <c r="AC338" s="194"/>
      <c r="AD338" s="194"/>
      <c r="AE338" s="194"/>
      <c r="AF338" s="194"/>
      <c r="AG338" s="194"/>
      <c r="AH338" s="194"/>
      <c r="AI338" s="194"/>
      <c r="AJ338" s="194"/>
      <c r="AK338" s="194"/>
      <c r="AL338" s="194"/>
      <c r="AM338" s="194"/>
    </row>
    <row r="339" spans="1:39" ht="15.75" customHeight="1" x14ac:dyDescent="0.25">
      <c r="A339" s="194"/>
      <c r="B339" s="194"/>
      <c r="C339" s="194"/>
      <c r="D339" s="194"/>
      <c r="E339" s="194"/>
      <c r="F339" s="194"/>
      <c r="G339" s="194"/>
      <c r="H339" s="194"/>
      <c r="I339" s="194"/>
      <c r="J339" s="194"/>
      <c r="K339" s="194"/>
      <c r="L339" s="194"/>
      <c r="M339" s="194"/>
      <c r="N339" s="194"/>
      <c r="O339" s="194"/>
      <c r="P339" s="194"/>
      <c r="Q339" s="194"/>
      <c r="R339" s="194"/>
      <c r="S339" s="194"/>
      <c r="T339" s="194"/>
      <c r="U339" s="194"/>
      <c r="V339" s="194"/>
      <c r="W339" s="194"/>
      <c r="X339" s="194"/>
      <c r="Y339" s="194"/>
      <c r="Z339" s="194"/>
      <c r="AA339" s="194"/>
      <c r="AB339" s="194"/>
      <c r="AC339" s="194"/>
      <c r="AD339" s="194"/>
      <c r="AE339" s="194"/>
      <c r="AF339" s="194"/>
      <c r="AG339" s="194"/>
      <c r="AH339" s="194"/>
      <c r="AI339" s="194"/>
      <c r="AJ339" s="194"/>
      <c r="AK339" s="194"/>
      <c r="AL339" s="194"/>
      <c r="AM339" s="194"/>
    </row>
    <row r="340" spans="1:39" ht="15.75" customHeight="1" x14ac:dyDescent="0.25">
      <c r="A340" s="194"/>
      <c r="B340" s="194"/>
      <c r="C340" s="194"/>
      <c r="D340" s="194"/>
      <c r="E340" s="194"/>
      <c r="F340" s="194"/>
      <c r="G340" s="194"/>
      <c r="H340" s="194"/>
      <c r="I340" s="194"/>
      <c r="J340" s="194"/>
      <c r="K340" s="194"/>
      <c r="L340" s="194"/>
      <c r="M340" s="194"/>
      <c r="N340" s="194"/>
      <c r="O340" s="194"/>
      <c r="P340" s="194"/>
      <c r="Q340" s="194"/>
      <c r="R340" s="194"/>
      <c r="S340" s="194"/>
      <c r="T340" s="194"/>
      <c r="U340" s="194"/>
      <c r="V340" s="194"/>
      <c r="W340" s="194"/>
      <c r="X340" s="194"/>
      <c r="Y340" s="194"/>
      <c r="Z340" s="194"/>
      <c r="AA340" s="194"/>
      <c r="AB340" s="194"/>
      <c r="AC340" s="194"/>
      <c r="AD340" s="194"/>
      <c r="AE340" s="194"/>
      <c r="AF340" s="194"/>
      <c r="AG340" s="194"/>
      <c r="AH340" s="194"/>
      <c r="AI340" s="194"/>
      <c r="AJ340" s="194"/>
      <c r="AK340" s="194"/>
      <c r="AL340" s="194"/>
      <c r="AM340" s="194"/>
    </row>
    <row r="341" spans="1:39" ht="15.75" customHeight="1" x14ac:dyDescent="0.25">
      <c r="A341" s="194"/>
      <c r="B341" s="194"/>
      <c r="C341" s="194"/>
      <c r="D341" s="194"/>
      <c r="E341" s="194"/>
      <c r="F341" s="194"/>
      <c r="G341" s="194"/>
      <c r="H341" s="194"/>
      <c r="I341" s="194"/>
      <c r="J341" s="194"/>
      <c r="K341" s="194"/>
      <c r="L341" s="194"/>
      <c r="M341" s="194"/>
      <c r="N341" s="194"/>
      <c r="O341" s="194"/>
      <c r="P341" s="194"/>
      <c r="Q341" s="194"/>
      <c r="R341" s="194"/>
      <c r="S341" s="194"/>
      <c r="T341" s="194"/>
      <c r="U341" s="194"/>
      <c r="V341" s="194"/>
      <c r="W341" s="194"/>
      <c r="X341" s="194"/>
      <c r="Y341" s="194"/>
      <c r="Z341" s="194"/>
      <c r="AA341" s="194"/>
      <c r="AB341" s="194"/>
      <c r="AC341" s="194"/>
      <c r="AD341" s="194"/>
      <c r="AE341" s="194"/>
      <c r="AF341" s="194"/>
      <c r="AG341" s="194"/>
      <c r="AH341" s="194"/>
      <c r="AI341" s="194"/>
      <c r="AJ341" s="194"/>
      <c r="AK341" s="194"/>
      <c r="AL341" s="194"/>
      <c r="AM341" s="194"/>
    </row>
    <row r="342" spans="1:39" ht="15.75" customHeight="1" x14ac:dyDescent="0.25">
      <c r="A342" s="194"/>
      <c r="B342" s="194"/>
      <c r="C342" s="194"/>
      <c r="D342" s="194"/>
      <c r="E342" s="194"/>
      <c r="F342" s="194"/>
      <c r="G342" s="194"/>
      <c r="H342" s="194"/>
      <c r="I342" s="194"/>
      <c r="J342" s="194"/>
      <c r="K342" s="194"/>
      <c r="L342" s="194"/>
      <c r="M342" s="194"/>
      <c r="N342" s="194"/>
      <c r="O342" s="194"/>
      <c r="P342" s="194"/>
      <c r="Q342" s="194"/>
      <c r="R342" s="194"/>
      <c r="S342" s="194"/>
      <c r="T342" s="194"/>
      <c r="U342" s="194"/>
      <c r="V342" s="194"/>
      <c r="W342" s="194"/>
      <c r="X342" s="194"/>
      <c r="Y342" s="194"/>
      <c r="Z342" s="194"/>
      <c r="AA342" s="194"/>
      <c r="AB342" s="194"/>
      <c r="AC342" s="194"/>
      <c r="AD342" s="194"/>
      <c r="AE342" s="194"/>
      <c r="AF342" s="194"/>
      <c r="AG342" s="194"/>
      <c r="AH342" s="194"/>
      <c r="AI342" s="194"/>
      <c r="AJ342" s="194"/>
      <c r="AK342" s="194"/>
      <c r="AL342" s="194"/>
      <c r="AM342" s="194"/>
    </row>
    <row r="343" spans="1:39" ht="15.75" customHeight="1" x14ac:dyDescent="0.25">
      <c r="A343" s="194"/>
      <c r="B343" s="194"/>
      <c r="C343" s="194"/>
      <c r="D343" s="194"/>
      <c r="E343" s="194"/>
      <c r="F343" s="194"/>
      <c r="G343" s="194"/>
      <c r="H343" s="194"/>
      <c r="I343" s="194"/>
      <c r="J343" s="194"/>
      <c r="K343" s="194"/>
      <c r="L343" s="194"/>
      <c r="M343" s="194"/>
      <c r="N343" s="194"/>
      <c r="O343" s="194"/>
      <c r="P343" s="194"/>
      <c r="Q343" s="194"/>
      <c r="R343" s="194"/>
      <c r="S343" s="194"/>
      <c r="T343" s="194"/>
      <c r="U343" s="194"/>
      <c r="V343" s="194"/>
      <c r="W343" s="194"/>
      <c r="X343" s="194"/>
      <c r="Y343" s="194"/>
      <c r="Z343" s="194"/>
      <c r="AA343" s="194"/>
      <c r="AB343" s="194"/>
      <c r="AC343" s="194"/>
      <c r="AD343" s="194"/>
      <c r="AE343" s="194"/>
      <c r="AF343" s="194"/>
      <c r="AG343" s="194"/>
      <c r="AH343" s="194"/>
      <c r="AI343" s="194"/>
      <c r="AJ343" s="194"/>
      <c r="AK343" s="194"/>
      <c r="AL343" s="194"/>
      <c r="AM343" s="194"/>
    </row>
    <row r="344" spans="1:39" ht="15.75" customHeight="1" x14ac:dyDescent="0.25">
      <c r="A344" s="194"/>
      <c r="B344" s="194"/>
      <c r="C344" s="194"/>
      <c r="D344" s="194"/>
      <c r="E344" s="194"/>
      <c r="F344" s="194"/>
      <c r="G344" s="194"/>
      <c r="H344" s="194"/>
      <c r="I344" s="194"/>
      <c r="J344" s="194"/>
      <c r="K344" s="194"/>
      <c r="L344" s="194"/>
      <c r="M344" s="194"/>
      <c r="N344" s="194"/>
      <c r="O344" s="194"/>
      <c r="P344" s="194"/>
      <c r="Q344" s="194"/>
      <c r="R344" s="194"/>
      <c r="S344" s="194"/>
      <c r="T344" s="194"/>
      <c r="U344" s="194"/>
      <c r="V344" s="194"/>
      <c r="W344" s="194"/>
      <c r="X344" s="194"/>
      <c r="Y344" s="194"/>
      <c r="Z344" s="194"/>
      <c r="AA344" s="194"/>
      <c r="AB344" s="194"/>
      <c r="AC344" s="194"/>
      <c r="AD344" s="194"/>
      <c r="AE344" s="194"/>
      <c r="AF344" s="194"/>
      <c r="AG344" s="194"/>
      <c r="AH344" s="194"/>
      <c r="AI344" s="194"/>
      <c r="AJ344" s="194"/>
      <c r="AK344" s="194"/>
      <c r="AL344" s="194"/>
      <c r="AM344" s="194"/>
    </row>
    <row r="345" spans="1:39" ht="15.75" customHeight="1" x14ac:dyDescent="0.25">
      <c r="A345" s="194"/>
      <c r="B345" s="194"/>
      <c r="C345" s="194"/>
      <c r="D345" s="194"/>
      <c r="E345" s="194"/>
      <c r="F345" s="194"/>
      <c r="G345" s="194"/>
      <c r="H345" s="194"/>
      <c r="I345" s="194"/>
      <c r="J345" s="194"/>
      <c r="K345" s="194"/>
      <c r="L345" s="194"/>
      <c r="M345" s="194"/>
      <c r="N345" s="194"/>
      <c r="O345" s="194"/>
      <c r="P345" s="194"/>
      <c r="Q345" s="194"/>
      <c r="R345" s="194"/>
      <c r="S345" s="194"/>
      <c r="T345" s="194"/>
      <c r="U345" s="194"/>
      <c r="V345" s="194"/>
      <c r="W345" s="194"/>
      <c r="X345" s="194"/>
      <c r="Y345" s="194"/>
      <c r="Z345" s="194"/>
      <c r="AA345" s="194"/>
      <c r="AB345" s="194"/>
      <c r="AC345" s="194"/>
      <c r="AD345" s="194"/>
      <c r="AE345" s="194"/>
      <c r="AF345" s="194"/>
      <c r="AG345" s="194"/>
      <c r="AH345" s="194"/>
      <c r="AI345" s="194"/>
      <c r="AJ345" s="194"/>
      <c r="AK345" s="194"/>
      <c r="AL345" s="194"/>
      <c r="AM345" s="194"/>
    </row>
    <row r="346" spans="1:39" ht="15.75" customHeight="1" x14ac:dyDescent="0.25">
      <c r="A346" s="194"/>
      <c r="B346" s="194"/>
      <c r="C346" s="194"/>
      <c r="D346" s="194"/>
      <c r="E346" s="194"/>
      <c r="F346" s="194"/>
      <c r="G346" s="194"/>
      <c r="H346" s="194"/>
      <c r="I346" s="194"/>
      <c r="J346" s="194"/>
      <c r="K346" s="194"/>
      <c r="L346" s="194"/>
      <c r="M346" s="194"/>
      <c r="N346" s="194"/>
      <c r="O346" s="194"/>
      <c r="P346" s="194"/>
      <c r="Q346" s="194"/>
      <c r="R346" s="194"/>
      <c r="S346" s="194"/>
      <c r="T346" s="194"/>
      <c r="U346" s="194"/>
      <c r="V346" s="194"/>
      <c r="W346" s="194"/>
      <c r="X346" s="194"/>
      <c r="Y346" s="194"/>
      <c r="Z346" s="194"/>
      <c r="AA346" s="194"/>
      <c r="AB346" s="194"/>
      <c r="AC346" s="194"/>
      <c r="AD346" s="194"/>
      <c r="AE346" s="194"/>
      <c r="AF346" s="194"/>
      <c r="AG346" s="194"/>
      <c r="AH346" s="194"/>
      <c r="AI346" s="194"/>
      <c r="AJ346" s="194"/>
      <c r="AK346" s="194"/>
      <c r="AL346" s="194"/>
      <c r="AM346" s="194"/>
    </row>
    <row r="347" spans="1:39" ht="15.75" customHeight="1" x14ac:dyDescent="0.25">
      <c r="A347" s="194"/>
      <c r="B347" s="194"/>
      <c r="C347" s="194"/>
      <c r="D347" s="194"/>
      <c r="E347" s="194"/>
      <c r="F347" s="194"/>
      <c r="G347" s="194"/>
      <c r="H347" s="194"/>
      <c r="I347" s="194"/>
      <c r="J347" s="194"/>
      <c r="K347" s="194"/>
      <c r="L347" s="194"/>
      <c r="M347" s="194"/>
      <c r="N347" s="194"/>
      <c r="O347" s="194"/>
      <c r="P347" s="194"/>
      <c r="Q347" s="194"/>
      <c r="R347" s="194"/>
      <c r="S347" s="194"/>
      <c r="T347" s="194"/>
      <c r="U347" s="194"/>
      <c r="V347" s="194"/>
      <c r="W347" s="194"/>
      <c r="X347" s="194"/>
      <c r="Y347" s="194"/>
      <c r="Z347" s="194"/>
      <c r="AA347" s="194"/>
      <c r="AB347" s="194"/>
      <c r="AC347" s="194"/>
      <c r="AD347" s="194"/>
      <c r="AE347" s="194"/>
      <c r="AF347" s="194"/>
      <c r="AG347" s="194"/>
      <c r="AH347" s="194"/>
      <c r="AI347" s="194"/>
      <c r="AJ347" s="194"/>
      <c r="AK347" s="194"/>
      <c r="AL347" s="194"/>
      <c r="AM347" s="194"/>
    </row>
    <row r="348" spans="1:39" ht="15.75" customHeight="1" x14ac:dyDescent="0.25">
      <c r="A348" s="194"/>
      <c r="B348" s="194"/>
      <c r="C348" s="194"/>
      <c r="D348" s="194"/>
      <c r="E348" s="194"/>
      <c r="F348" s="194"/>
      <c r="G348" s="194"/>
      <c r="H348" s="194"/>
      <c r="I348" s="194"/>
      <c r="J348" s="194"/>
      <c r="K348" s="194"/>
      <c r="L348" s="194"/>
      <c r="M348" s="194"/>
      <c r="N348" s="194"/>
      <c r="O348" s="194"/>
      <c r="P348" s="194"/>
      <c r="Q348" s="194"/>
      <c r="R348" s="194"/>
      <c r="S348" s="194"/>
      <c r="T348" s="194"/>
      <c r="U348" s="194"/>
      <c r="V348" s="194"/>
      <c r="W348" s="194"/>
      <c r="X348" s="194"/>
      <c r="Y348" s="194"/>
      <c r="Z348" s="194"/>
      <c r="AA348" s="194"/>
      <c r="AB348" s="194"/>
      <c r="AC348" s="194"/>
      <c r="AD348" s="194"/>
      <c r="AE348" s="194"/>
      <c r="AF348" s="194"/>
      <c r="AG348" s="194"/>
      <c r="AH348" s="194"/>
      <c r="AI348" s="194"/>
      <c r="AJ348" s="194"/>
      <c r="AK348" s="194"/>
      <c r="AL348" s="194"/>
      <c r="AM348" s="194"/>
    </row>
    <row r="349" spans="1:39" ht="15.75" customHeight="1" x14ac:dyDescent="0.25">
      <c r="A349" s="194"/>
      <c r="B349" s="194"/>
      <c r="C349" s="194"/>
      <c r="D349" s="194"/>
      <c r="E349" s="194"/>
      <c r="F349" s="194"/>
      <c r="G349" s="194"/>
      <c r="H349" s="194"/>
      <c r="I349" s="194"/>
      <c r="J349" s="194"/>
      <c r="K349" s="194"/>
      <c r="L349" s="194"/>
      <c r="M349" s="194"/>
      <c r="N349" s="194"/>
      <c r="O349" s="194"/>
      <c r="P349" s="194"/>
      <c r="Q349" s="194"/>
      <c r="R349" s="194"/>
      <c r="S349" s="194"/>
      <c r="T349" s="194"/>
      <c r="U349" s="194"/>
      <c r="V349" s="194"/>
      <c r="W349" s="194"/>
      <c r="X349" s="194"/>
      <c r="Y349" s="194"/>
      <c r="Z349" s="194"/>
      <c r="AA349" s="194"/>
      <c r="AB349" s="194"/>
      <c r="AC349" s="194"/>
      <c r="AD349" s="194"/>
      <c r="AE349" s="194"/>
      <c r="AF349" s="194"/>
      <c r="AG349" s="194"/>
      <c r="AH349" s="194"/>
      <c r="AI349" s="194"/>
      <c r="AJ349" s="194"/>
      <c r="AK349" s="194"/>
      <c r="AL349" s="194"/>
      <c r="AM349" s="194"/>
    </row>
    <row r="350" spans="1:39" ht="15.75" customHeight="1" x14ac:dyDescent="0.25">
      <c r="A350" s="194"/>
      <c r="B350" s="194"/>
      <c r="C350" s="194"/>
      <c r="D350" s="194"/>
      <c r="E350" s="194"/>
      <c r="F350" s="194"/>
      <c r="G350" s="194"/>
      <c r="H350" s="194"/>
      <c r="I350" s="194"/>
      <c r="J350" s="194"/>
      <c r="K350" s="194"/>
      <c r="L350" s="194"/>
      <c r="M350" s="194"/>
      <c r="N350" s="194"/>
      <c r="O350" s="194"/>
      <c r="P350" s="194"/>
      <c r="Q350" s="194"/>
      <c r="R350" s="194"/>
      <c r="S350" s="194"/>
      <c r="T350" s="194"/>
      <c r="U350" s="194"/>
      <c r="V350" s="194"/>
      <c r="W350" s="194"/>
      <c r="X350" s="194"/>
      <c r="Y350" s="194"/>
      <c r="Z350" s="194"/>
      <c r="AA350" s="194"/>
      <c r="AB350" s="194"/>
      <c r="AC350" s="194"/>
      <c r="AD350" s="194"/>
      <c r="AE350" s="194"/>
      <c r="AF350" s="194"/>
      <c r="AG350" s="194"/>
      <c r="AH350" s="194"/>
      <c r="AI350" s="194"/>
      <c r="AJ350" s="194"/>
      <c r="AK350" s="194"/>
      <c r="AL350" s="194"/>
      <c r="AM350" s="194"/>
    </row>
    <row r="351" spans="1:39" ht="15.75" customHeight="1" x14ac:dyDescent="0.25">
      <c r="A351" s="194"/>
      <c r="B351" s="194"/>
      <c r="C351" s="194"/>
      <c r="D351" s="194"/>
      <c r="E351" s="194"/>
      <c r="F351" s="194"/>
      <c r="G351" s="194"/>
      <c r="H351" s="194"/>
      <c r="I351" s="194"/>
      <c r="J351" s="194"/>
      <c r="K351" s="194"/>
      <c r="L351" s="194"/>
      <c r="M351" s="194"/>
      <c r="N351" s="194"/>
      <c r="O351" s="194"/>
      <c r="P351" s="194"/>
      <c r="Q351" s="194"/>
      <c r="R351" s="194"/>
      <c r="S351" s="194"/>
      <c r="T351" s="194"/>
      <c r="U351" s="194"/>
      <c r="V351" s="194"/>
      <c r="W351" s="194"/>
      <c r="X351" s="194"/>
      <c r="Y351" s="194"/>
      <c r="Z351" s="194"/>
      <c r="AA351" s="194"/>
      <c r="AB351" s="194"/>
      <c r="AC351" s="194"/>
      <c r="AD351" s="194"/>
      <c r="AE351" s="194"/>
      <c r="AF351" s="194"/>
      <c r="AG351" s="194"/>
      <c r="AH351" s="194"/>
      <c r="AI351" s="194"/>
      <c r="AJ351" s="194"/>
      <c r="AK351" s="194"/>
      <c r="AL351" s="194"/>
      <c r="AM351" s="194"/>
    </row>
    <row r="352" spans="1:39" ht="15.75" customHeight="1" x14ac:dyDescent="0.25">
      <c r="A352" s="194"/>
      <c r="B352" s="194"/>
      <c r="C352" s="194"/>
      <c r="D352" s="194"/>
      <c r="E352" s="194"/>
      <c r="F352" s="194"/>
      <c r="G352" s="194"/>
      <c r="H352" s="194"/>
      <c r="I352" s="194"/>
      <c r="J352" s="194"/>
      <c r="K352" s="194"/>
      <c r="L352" s="194"/>
      <c r="M352" s="194"/>
      <c r="N352" s="194"/>
      <c r="O352" s="194"/>
      <c r="P352" s="194"/>
      <c r="Q352" s="194"/>
      <c r="R352" s="194"/>
      <c r="S352" s="194"/>
      <c r="T352" s="194"/>
      <c r="U352" s="194"/>
      <c r="V352" s="194"/>
      <c r="W352" s="194"/>
      <c r="X352" s="194"/>
      <c r="Y352" s="194"/>
      <c r="Z352" s="194"/>
      <c r="AA352" s="194"/>
      <c r="AB352" s="194"/>
      <c r="AC352" s="194"/>
      <c r="AD352" s="194"/>
      <c r="AE352" s="194"/>
      <c r="AF352" s="194"/>
      <c r="AG352" s="194"/>
      <c r="AH352" s="194"/>
      <c r="AI352" s="194"/>
      <c r="AJ352" s="194"/>
      <c r="AK352" s="194"/>
      <c r="AL352" s="194"/>
      <c r="AM352" s="194"/>
    </row>
    <row r="353" spans="1:39" ht="15.75" customHeight="1" x14ac:dyDescent="0.25">
      <c r="A353" s="194"/>
      <c r="B353" s="194"/>
      <c r="C353" s="194"/>
      <c r="D353" s="194"/>
      <c r="E353" s="194"/>
      <c r="F353" s="194"/>
      <c r="G353" s="194"/>
      <c r="H353" s="194"/>
      <c r="I353" s="194"/>
      <c r="J353" s="194"/>
      <c r="K353" s="194"/>
      <c r="L353" s="194"/>
      <c r="M353" s="194"/>
      <c r="N353" s="194"/>
      <c r="O353" s="194"/>
      <c r="P353" s="194"/>
      <c r="Q353" s="194"/>
      <c r="R353" s="194"/>
      <c r="S353" s="194"/>
      <c r="T353" s="194"/>
      <c r="U353" s="194"/>
      <c r="V353" s="194"/>
      <c r="W353" s="194"/>
      <c r="X353" s="194"/>
      <c r="Y353" s="194"/>
      <c r="Z353" s="194"/>
      <c r="AA353" s="194"/>
      <c r="AB353" s="194"/>
      <c r="AC353" s="194"/>
      <c r="AD353" s="194"/>
      <c r="AE353" s="194"/>
      <c r="AF353" s="194"/>
      <c r="AG353" s="194"/>
      <c r="AH353" s="194"/>
      <c r="AI353" s="194"/>
      <c r="AJ353" s="194"/>
      <c r="AK353" s="194"/>
      <c r="AL353" s="194"/>
      <c r="AM353" s="194"/>
    </row>
    <row r="354" spans="1:39" ht="15.75" customHeight="1" x14ac:dyDescent="0.25">
      <c r="A354" s="194"/>
      <c r="B354" s="194"/>
      <c r="C354" s="194"/>
      <c r="D354" s="194"/>
      <c r="E354" s="194"/>
      <c r="F354" s="194"/>
      <c r="G354" s="194"/>
      <c r="H354" s="194"/>
      <c r="I354" s="194"/>
      <c r="J354" s="194"/>
      <c r="K354" s="194"/>
      <c r="L354" s="194"/>
      <c r="M354" s="194"/>
      <c r="N354" s="194"/>
      <c r="O354" s="194"/>
      <c r="P354" s="194"/>
      <c r="Q354" s="194"/>
      <c r="R354" s="194"/>
      <c r="S354" s="194"/>
      <c r="T354" s="194"/>
      <c r="U354" s="194"/>
      <c r="V354" s="194"/>
      <c r="W354" s="194"/>
      <c r="X354" s="194"/>
      <c r="Y354" s="194"/>
      <c r="Z354" s="194"/>
      <c r="AA354" s="194"/>
      <c r="AB354" s="194"/>
      <c r="AC354" s="194"/>
      <c r="AD354" s="194"/>
      <c r="AE354" s="194"/>
      <c r="AF354" s="194"/>
      <c r="AG354" s="194"/>
      <c r="AH354" s="194"/>
      <c r="AI354" s="194"/>
      <c r="AJ354" s="194"/>
      <c r="AK354" s="194"/>
      <c r="AL354" s="194"/>
      <c r="AM354" s="194"/>
    </row>
    <row r="355" spans="1:39" ht="15.75" customHeight="1" x14ac:dyDescent="0.25">
      <c r="A355" s="194"/>
      <c r="B355" s="194"/>
      <c r="C355" s="194"/>
      <c r="D355" s="194"/>
      <c r="E355" s="194"/>
      <c r="F355" s="194"/>
      <c r="G355" s="194"/>
      <c r="H355" s="194"/>
      <c r="I355" s="194"/>
      <c r="J355" s="194"/>
      <c r="K355" s="194"/>
      <c r="L355" s="194"/>
      <c r="M355" s="194"/>
      <c r="N355" s="194"/>
      <c r="O355" s="194"/>
      <c r="P355" s="194"/>
      <c r="Q355" s="194"/>
      <c r="R355" s="194"/>
      <c r="S355" s="194"/>
      <c r="T355" s="194"/>
      <c r="U355" s="194"/>
      <c r="V355" s="194"/>
      <c r="W355" s="194"/>
      <c r="X355" s="194"/>
      <c r="Y355" s="194"/>
      <c r="Z355" s="194"/>
      <c r="AA355" s="194"/>
      <c r="AB355" s="194"/>
      <c r="AC355" s="194"/>
      <c r="AD355" s="194"/>
      <c r="AE355" s="194"/>
      <c r="AF355" s="194"/>
      <c r="AG355" s="194"/>
      <c r="AH355" s="194"/>
      <c r="AI355" s="194"/>
      <c r="AJ355" s="194"/>
      <c r="AK355" s="194"/>
      <c r="AL355" s="194"/>
      <c r="AM355" s="194"/>
    </row>
    <row r="356" spans="1:39" ht="15.75" customHeight="1" x14ac:dyDescent="0.25">
      <c r="A356" s="194"/>
      <c r="B356" s="194"/>
      <c r="C356" s="194"/>
      <c r="D356" s="194"/>
      <c r="E356" s="194"/>
      <c r="F356" s="194"/>
      <c r="G356" s="194"/>
      <c r="H356" s="194"/>
      <c r="I356" s="194"/>
      <c r="J356" s="194"/>
      <c r="K356" s="194"/>
      <c r="L356" s="194"/>
      <c r="M356" s="194"/>
      <c r="N356" s="194"/>
      <c r="O356" s="194"/>
      <c r="P356" s="194"/>
      <c r="Q356" s="194"/>
      <c r="R356" s="194"/>
      <c r="S356" s="194"/>
      <c r="T356" s="194"/>
      <c r="U356" s="194"/>
      <c r="V356" s="194"/>
      <c r="W356" s="194"/>
      <c r="X356" s="194"/>
      <c r="Y356" s="194"/>
      <c r="Z356" s="194"/>
      <c r="AA356" s="194"/>
      <c r="AB356" s="194"/>
      <c r="AC356" s="194"/>
      <c r="AD356" s="194"/>
      <c r="AE356" s="194"/>
      <c r="AF356" s="194"/>
      <c r="AG356" s="194"/>
      <c r="AH356" s="194"/>
      <c r="AI356" s="194"/>
      <c r="AJ356" s="194"/>
      <c r="AK356" s="194"/>
      <c r="AL356" s="194"/>
      <c r="AM356" s="194"/>
    </row>
    <row r="357" spans="1:39" ht="15.75" customHeight="1" x14ac:dyDescent="0.25">
      <c r="A357" s="194"/>
      <c r="B357" s="194"/>
      <c r="C357" s="194"/>
      <c r="D357" s="194"/>
      <c r="E357" s="194"/>
      <c r="F357" s="194"/>
      <c r="G357" s="194"/>
      <c r="H357" s="194"/>
      <c r="I357" s="194"/>
      <c r="J357" s="194"/>
      <c r="K357" s="194"/>
      <c r="L357" s="194"/>
      <c r="M357" s="194"/>
      <c r="N357" s="194"/>
      <c r="O357" s="194"/>
      <c r="P357" s="194"/>
      <c r="Q357" s="194"/>
      <c r="R357" s="194"/>
      <c r="S357" s="194"/>
      <c r="T357" s="194"/>
      <c r="U357" s="194"/>
      <c r="V357" s="194"/>
      <c r="W357" s="194"/>
      <c r="X357" s="194"/>
      <c r="Y357" s="194"/>
      <c r="Z357" s="194"/>
      <c r="AA357" s="194"/>
      <c r="AB357" s="194"/>
      <c r="AC357" s="194"/>
      <c r="AD357" s="194"/>
      <c r="AE357" s="194"/>
      <c r="AF357" s="194"/>
      <c r="AG357" s="194"/>
      <c r="AH357" s="194"/>
      <c r="AI357" s="194"/>
      <c r="AJ357" s="194"/>
      <c r="AK357" s="194"/>
      <c r="AL357" s="194"/>
      <c r="AM357" s="194"/>
    </row>
    <row r="358" spans="1:39" ht="15.75" customHeight="1" x14ac:dyDescent="0.25">
      <c r="A358" s="194"/>
      <c r="B358" s="194"/>
      <c r="C358" s="194"/>
      <c r="D358" s="194"/>
      <c r="E358" s="194"/>
      <c r="F358" s="194"/>
      <c r="G358" s="194"/>
      <c r="H358" s="194"/>
      <c r="I358" s="194"/>
      <c r="J358" s="194"/>
      <c r="K358" s="194"/>
      <c r="L358" s="194"/>
      <c r="M358" s="194"/>
      <c r="N358" s="194"/>
      <c r="O358" s="194"/>
      <c r="P358" s="194"/>
      <c r="Q358" s="194"/>
      <c r="R358" s="194"/>
      <c r="S358" s="194"/>
      <c r="T358" s="194"/>
      <c r="U358" s="194"/>
      <c r="V358" s="194"/>
      <c r="W358" s="194"/>
      <c r="X358" s="194"/>
      <c r="Y358" s="194"/>
      <c r="Z358" s="194"/>
      <c r="AA358" s="194"/>
      <c r="AB358" s="194"/>
      <c r="AC358" s="194"/>
      <c r="AD358" s="194"/>
      <c r="AE358" s="194"/>
      <c r="AF358" s="194"/>
      <c r="AG358" s="194"/>
      <c r="AH358" s="194"/>
      <c r="AI358" s="194"/>
      <c r="AJ358" s="194"/>
      <c r="AK358" s="194"/>
      <c r="AL358" s="194"/>
      <c r="AM358" s="194"/>
    </row>
    <row r="359" spans="1:39" ht="15.75" customHeight="1" x14ac:dyDescent="0.25">
      <c r="A359" s="194"/>
      <c r="B359" s="194"/>
      <c r="C359" s="194"/>
      <c r="D359" s="194"/>
      <c r="E359" s="194"/>
      <c r="F359" s="194"/>
      <c r="G359" s="194"/>
      <c r="H359" s="194"/>
      <c r="I359" s="194"/>
      <c r="J359" s="194"/>
      <c r="K359" s="194"/>
      <c r="L359" s="194"/>
      <c r="M359" s="194"/>
      <c r="N359" s="194"/>
      <c r="O359" s="194"/>
      <c r="P359" s="194"/>
      <c r="Q359" s="194"/>
      <c r="R359" s="194"/>
      <c r="S359" s="194"/>
      <c r="T359" s="194"/>
      <c r="U359" s="194"/>
      <c r="V359" s="194"/>
      <c r="W359" s="194"/>
      <c r="X359" s="194"/>
      <c r="Y359" s="194"/>
      <c r="Z359" s="194"/>
      <c r="AA359" s="194"/>
      <c r="AB359" s="194"/>
      <c r="AC359" s="194"/>
      <c r="AD359" s="194"/>
      <c r="AE359" s="194"/>
      <c r="AF359" s="194"/>
      <c r="AG359" s="194"/>
      <c r="AH359" s="194"/>
      <c r="AI359" s="194"/>
      <c r="AJ359" s="194"/>
      <c r="AK359" s="194"/>
      <c r="AL359" s="194"/>
      <c r="AM359" s="194"/>
    </row>
    <row r="360" spans="1:39" ht="15.75" customHeight="1" x14ac:dyDescent="0.25">
      <c r="A360" s="194"/>
      <c r="B360" s="194"/>
      <c r="C360" s="194"/>
      <c r="D360" s="194"/>
      <c r="E360" s="194"/>
      <c r="F360" s="194"/>
      <c r="G360" s="194"/>
      <c r="H360" s="194"/>
      <c r="I360" s="194"/>
      <c r="J360" s="194"/>
      <c r="K360" s="194"/>
      <c r="L360" s="194"/>
      <c r="M360" s="194"/>
      <c r="N360" s="194"/>
      <c r="O360" s="194"/>
      <c r="P360" s="194"/>
      <c r="Q360" s="194"/>
      <c r="R360" s="194"/>
      <c r="S360" s="194"/>
      <c r="T360" s="194"/>
      <c r="U360" s="194"/>
      <c r="V360" s="194"/>
      <c r="W360" s="194"/>
      <c r="X360" s="194"/>
      <c r="Y360" s="194"/>
      <c r="Z360" s="194"/>
      <c r="AA360" s="194"/>
      <c r="AB360" s="194"/>
      <c r="AC360" s="194"/>
      <c r="AD360" s="194"/>
      <c r="AE360" s="194"/>
      <c r="AF360" s="194"/>
      <c r="AG360" s="194"/>
      <c r="AH360" s="194"/>
      <c r="AI360" s="194"/>
      <c r="AJ360" s="194"/>
      <c r="AK360" s="194"/>
      <c r="AL360" s="194"/>
      <c r="AM360" s="194"/>
    </row>
    <row r="361" spans="1:39" ht="15.75" customHeight="1" x14ac:dyDescent="0.25">
      <c r="A361" s="194"/>
      <c r="B361" s="194"/>
      <c r="C361" s="194"/>
      <c r="D361" s="194"/>
      <c r="E361" s="194"/>
      <c r="F361" s="194"/>
      <c r="G361" s="194"/>
      <c r="H361" s="194"/>
      <c r="I361" s="194"/>
      <c r="J361" s="194"/>
      <c r="K361" s="194"/>
      <c r="L361" s="194"/>
      <c r="M361" s="194"/>
      <c r="N361" s="194"/>
      <c r="O361" s="194"/>
      <c r="P361" s="194"/>
      <c r="Q361" s="194"/>
      <c r="R361" s="194"/>
      <c r="S361" s="194"/>
      <c r="T361" s="194"/>
      <c r="U361" s="194"/>
      <c r="V361" s="194"/>
      <c r="W361" s="194"/>
      <c r="X361" s="194"/>
      <c r="Y361" s="194"/>
      <c r="Z361" s="194"/>
      <c r="AA361" s="194"/>
      <c r="AB361" s="194"/>
      <c r="AC361" s="194"/>
      <c r="AD361" s="194"/>
      <c r="AE361" s="194"/>
      <c r="AF361" s="194"/>
      <c r="AG361" s="194"/>
      <c r="AH361" s="194"/>
      <c r="AI361" s="194"/>
      <c r="AJ361" s="194"/>
      <c r="AK361" s="194"/>
      <c r="AL361" s="194"/>
      <c r="AM361" s="194"/>
    </row>
    <row r="362" spans="1:39" ht="15.75" customHeight="1" x14ac:dyDescent="0.25">
      <c r="A362" s="194"/>
      <c r="B362" s="194"/>
      <c r="C362" s="194"/>
      <c r="D362" s="194"/>
      <c r="E362" s="194"/>
      <c r="F362" s="194"/>
      <c r="G362" s="194"/>
      <c r="H362" s="194"/>
      <c r="I362" s="194"/>
      <c r="J362" s="194"/>
      <c r="K362" s="194"/>
      <c r="L362" s="194"/>
      <c r="M362" s="194"/>
      <c r="N362" s="194"/>
      <c r="O362" s="194"/>
      <c r="P362" s="194"/>
      <c r="Q362" s="194"/>
      <c r="R362" s="194"/>
      <c r="S362" s="194"/>
      <c r="T362" s="194"/>
      <c r="U362" s="194"/>
      <c r="V362" s="194"/>
      <c r="W362" s="194"/>
      <c r="X362" s="194"/>
      <c r="Y362" s="194"/>
      <c r="Z362" s="194"/>
      <c r="AA362" s="194"/>
      <c r="AB362" s="194"/>
      <c r="AC362" s="194"/>
      <c r="AD362" s="194"/>
      <c r="AE362" s="194"/>
      <c r="AF362" s="194"/>
      <c r="AG362" s="194"/>
      <c r="AH362" s="194"/>
      <c r="AI362" s="194"/>
      <c r="AJ362" s="194"/>
      <c r="AK362" s="194"/>
      <c r="AL362" s="194"/>
      <c r="AM362" s="194"/>
    </row>
    <row r="363" spans="1:39" ht="15.75" customHeight="1" x14ac:dyDescent="0.25">
      <c r="A363" s="194"/>
      <c r="B363" s="194"/>
      <c r="C363" s="194"/>
      <c r="D363" s="194"/>
      <c r="E363" s="194"/>
      <c r="F363" s="194"/>
      <c r="G363" s="194"/>
      <c r="H363" s="194"/>
      <c r="I363" s="194"/>
      <c r="J363" s="194"/>
      <c r="K363" s="194"/>
      <c r="L363" s="194"/>
      <c r="M363" s="194"/>
      <c r="N363" s="194"/>
      <c r="O363" s="194"/>
      <c r="P363" s="194"/>
      <c r="Q363" s="194"/>
      <c r="R363" s="194"/>
      <c r="S363" s="194"/>
      <c r="T363" s="194"/>
      <c r="U363" s="194"/>
      <c r="V363" s="194"/>
      <c r="W363" s="194"/>
      <c r="X363" s="194"/>
      <c r="Y363" s="194"/>
      <c r="Z363" s="194"/>
      <c r="AA363" s="194"/>
      <c r="AB363" s="194"/>
      <c r="AC363" s="194"/>
      <c r="AD363" s="194"/>
      <c r="AE363" s="194"/>
      <c r="AF363" s="194"/>
      <c r="AG363" s="194"/>
      <c r="AH363" s="194"/>
      <c r="AI363" s="194"/>
      <c r="AJ363" s="194"/>
      <c r="AK363" s="194"/>
      <c r="AL363" s="194"/>
      <c r="AM363" s="194"/>
    </row>
    <row r="364" spans="1:39" ht="15.75" customHeight="1" x14ac:dyDescent="0.25">
      <c r="A364" s="194"/>
      <c r="B364" s="194"/>
      <c r="C364" s="194"/>
      <c r="D364" s="194"/>
      <c r="E364" s="194"/>
      <c r="F364" s="194"/>
      <c r="G364" s="194"/>
      <c r="H364" s="194"/>
      <c r="I364" s="194"/>
      <c r="J364" s="194"/>
      <c r="K364" s="194"/>
      <c r="L364" s="194"/>
      <c r="M364" s="194"/>
      <c r="N364" s="194"/>
      <c r="O364" s="194"/>
      <c r="P364" s="194"/>
      <c r="Q364" s="194"/>
      <c r="R364" s="194"/>
      <c r="S364" s="194"/>
      <c r="T364" s="194"/>
      <c r="U364" s="194"/>
      <c r="V364" s="194"/>
      <c r="W364" s="194"/>
      <c r="X364" s="194"/>
      <c r="Y364" s="194"/>
      <c r="Z364" s="194"/>
      <c r="AA364" s="194"/>
      <c r="AB364" s="194"/>
      <c r="AC364" s="194"/>
      <c r="AD364" s="194"/>
      <c r="AE364" s="194"/>
      <c r="AF364" s="194"/>
      <c r="AG364" s="194"/>
      <c r="AH364" s="194"/>
      <c r="AI364" s="194"/>
      <c r="AJ364" s="194"/>
      <c r="AK364" s="194"/>
      <c r="AL364" s="194"/>
      <c r="AM364" s="194"/>
    </row>
    <row r="365" spans="1:39" ht="15.75" customHeight="1" x14ac:dyDescent="0.25">
      <c r="A365" s="194"/>
      <c r="B365" s="194"/>
      <c r="C365" s="194"/>
      <c r="D365" s="194"/>
      <c r="E365" s="194"/>
      <c r="F365" s="194"/>
      <c r="G365" s="194"/>
      <c r="H365" s="194"/>
      <c r="I365" s="194"/>
      <c r="J365" s="194"/>
      <c r="K365" s="194"/>
      <c r="L365" s="194"/>
      <c r="M365" s="194"/>
      <c r="N365" s="194"/>
      <c r="O365" s="194"/>
      <c r="P365" s="194"/>
      <c r="Q365" s="194"/>
      <c r="R365" s="194"/>
      <c r="S365" s="194"/>
      <c r="T365" s="194"/>
      <c r="U365" s="194"/>
      <c r="V365" s="194"/>
      <c r="W365" s="194"/>
      <c r="X365" s="194"/>
      <c r="Y365" s="194"/>
      <c r="Z365" s="194"/>
      <c r="AA365" s="194"/>
      <c r="AB365" s="194"/>
      <c r="AC365" s="194"/>
      <c r="AD365" s="194"/>
      <c r="AE365" s="194"/>
      <c r="AF365" s="194"/>
      <c r="AG365" s="194"/>
      <c r="AH365" s="194"/>
      <c r="AI365" s="194"/>
      <c r="AJ365" s="194"/>
      <c r="AK365" s="194"/>
      <c r="AL365" s="194"/>
      <c r="AM365" s="194"/>
    </row>
    <row r="366" spans="1:39" ht="15.75" customHeight="1" x14ac:dyDescent="0.25">
      <c r="A366" s="194"/>
      <c r="B366" s="194"/>
      <c r="C366" s="194"/>
      <c r="D366" s="194"/>
      <c r="E366" s="194"/>
      <c r="F366" s="194"/>
      <c r="G366" s="194"/>
      <c r="H366" s="194"/>
      <c r="I366" s="194"/>
      <c r="J366" s="194"/>
      <c r="K366" s="194"/>
      <c r="L366" s="194"/>
      <c r="M366" s="194"/>
      <c r="N366" s="194"/>
      <c r="O366" s="194"/>
      <c r="P366" s="194"/>
      <c r="Q366" s="194"/>
      <c r="R366" s="194"/>
      <c r="S366" s="194"/>
      <c r="T366" s="194"/>
      <c r="U366" s="194"/>
      <c r="V366" s="194"/>
      <c r="W366" s="194"/>
      <c r="X366" s="194"/>
      <c r="Y366" s="194"/>
      <c r="Z366" s="194"/>
      <c r="AA366" s="194"/>
      <c r="AB366" s="194"/>
      <c r="AC366" s="194"/>
      <c r="AD366" s="194"/>
      <c r="AE366" s="194"/>
      <c r="AF366" s="194"/>
      <c r="AG366" s="194"/>
      <c r="AH366" s="194"/>
      <c r="AI366" s="194"/>
      <c r="AJ366" s="194"/>
      <c r="AK366" s="194"/>
      <c r="AL366" s="194"/>
      <c r="AM366" s="194"/>
    </row>
    <row r="367" spans="1:39" ht="15.75" customHeight="1" x14ac:dyDescent="0.25">
      <c r="A367" s="194"/>
      <c r="B367" s="194"/>
      <c r="C367" s="194"/>
      <c r="D367" s="194"/>
      <c r="E367" s="194"/>
      <c r="F367" s="194"/>
      <c r="G367" s="194"/>
      <c r="H367" s="194"/>
      <c r="I367" s="194"/>
      <c r="J367" s="194"/>
      <c r="K367" s="194"/>
      <c r="L367" s="194"/>
      <c r="M367" s="194"/>
      <c r="N367" s="194"/>
      <c r="O367" s="194"/>
      <c r="P367" s="194"/>
      <c r="Q367" s="194"/>
      <c r="R367" s="194"/>
      <c r="S367" s="194"/>
      <c r="T367" s="194"/>
      <c r="U367" s="194"/>
      <c r="V367" s="194"/>
      <c r="W367" s="194"/>
      <c r="X367" s="194"/>
      <c r="Y367" s="194"/>
      <c r="Z367" s="194"/>
      <c r="AA367" s="194"/>
      <c r="AB367" s="194"/>
      <c r="AC367" s="194"/>
      <c r="AD367" s="194"/>
      <c r="AE367" s="194"/>
      <c r="AF367" s="194"/>
      <c r="AG367" s="194"/>
      <c r="AH367" s="194"/>
      <c r="AI367" s="194"/>
      <c r="AJ367" s="194"/>
      <c r="AK367" s="194"/>
      <c r="AL367" s="194"/>
      <c r="AM367" s="194"/>
    </row>
    <row r="368" spans="1:39" ht="15.75" customHeight="1" x14ac:dyDescent="0.25">
      <c r="A368" s="194"/>
      <c r="B368" s="194"/>
      <c r="C368" s="194"/>
      <c r="D368" s="194"/>
      <c r="E368" s="194"/>
      <c r="F368" s="194"/>
      <c r="G368" s="194"/>
      <c r="H368" s="194"/>
      <c r="I368" s="194"/>
      <c r="J368" s="194"/>
      <c r="K368" s="194"/>
      <c r="L368" s="194"/>
      <c r="M368" s="194"/>
      <c r="N368" s="194"/>
      <c r="O368" s="194"/>
      <c r="P368" s="194"/>
      <c r="Q368" s="194"/>
      <c r="R368" s="194"/>
      <c r="S368" s="194"/>
      <c r="T368" s="194"/>
      <c r="U368" s="194"/>
      <c r="V368" s="194"/>
      <c r="W368" s="194"/>
      <c r="X368" s="194"/>
      <c r="Y368" s="194"/>
      <c r="Z368" s="194"/>
      <c r="AA368" s="194"/>
      <c r="AB368" s="194"/>
      <c r="AC368" s="194"/>
      <c r="AD368" s="194"/>
      <c r="AE368" s="194"/>
      <c r="AF368" s="194"/>
      <c r="AG368" s="194"/>
      <c r="AH368" s="194"/>
      <c r="AI368" s="194"/>
      <c r="AJ368" s="194"/>
      <c r="AK368" s="194"/>
      <c r="AL368" s="194"/>
      <c r="AM368" s="194"/>
    </row>
    <row r="369" spans="1:39" ht="15.75" customHeight="1" x14ac:dyDescent="0.25">
      <c r="A369" s="194"/>
      <c r="B369" s="194"/>
      <c r="C369" s="194"/>
      <c r="D369" s="194"/>
      <c r="E369" s="194"/>
      <c r="F369" s="194"/>
      <c r="G369" s="194"/>
      <c r="H369" s="194"/>
      <c r="I369" s="194"/>
      <c r="J369" s="194"/>
      <c r="K369" s="194"/>
      <c r="L369" s="194"/>
      <c r="M369" s="194"/>
      <c r="N369" s="194"/>
      <c r="O369" s="194"/>
      <c r="P369" s="194"/>
      <c r="Q369" s="194"/>
      <c r="R369" s="194"/>
      <c r="S369" s="194"/>
      <c r="T369" s="194"/>
      <c r="U369" s="194"/>
      <c r="V369" s="194"/>
      <c r="W369" s="194"/>
      <c r="X369" s="194"/>
      <c r="Y369" s="194"/>
      <c r="Z369" s="194"/>
      <c r="AA369" s="194"/>
      <c r="AB369" s="194"/>
      <c r="AC369" s="194"/>
      <c r="AD369" s="194"/>
      <c r="AE369" s="194"/>
      <c r="AF369" s="194"/>
      <c r="AG369" s="194"/>
      <c r="AH369" s="194"/>
      <c r="AI369" s="194"/>
      <c r="AJ369" s="194"/>
      <c r="AK369" s="194"/>
      <c r="AL369" s="194"/>
      <c r="AM369" s="194"/>
    </row>
    <row r="370" spans="1:39" ht="15.75" customHeight="1" x14ac:dyDescent="0.25">
      <c r="A370" s="194"/>
      <c r="B370" s="194"/>
      <c r="C370" s="194"/>
      <c r="D370" s="194"/>
      <c r="E370" s="194"/>
      <c r="F370" s="194"/>
      <c r="G370" s="194"/>
      <c r="H370" s="194"/>
      <c r="I370" s="194"/>
      <c r="J370" s="194"/>
      <c r="K370" s="194"/>
      <c r="L370" s="194"/>
      <c r="M370" s="194"/>
      <c r="N370" s="194"/>
      <c r="O370" s="194"/>
      <c r="P370" s="194"/>
      <c r="Q370" s="194"/>
      <c r="R370" s="194"/>
      <c r="S370" s="194"/>
      <c r="T370" s="194"/>
      <c r="U370" s="194"/>
      <c r="V370" s="194"/>
      <c r="W370" s="194"/>
      <c r="X370" s="194"/>
      <c r="Y370" s="194"/>
      <c r="Z370" s="194"/>
      <c r="AA370" s="194"/>
      <c r="AB370" s="194"/>
      <c r="AC370" s="194"/>
      <c r="AD370" s="194"/>
      <c r="AE370" s="194"/>
      <c r="AF370" s="194"/>
      <c r="AG370" s="194"/>
      <c r="AH370" s="194"/>
      <c r="AI370" s="194"/>
      <c r="AJ370" s="194"/>
      <c r="AK370" s="194"/>
      <c r="AL370" s="194"/>
      <c r="AM370" s="194"/>
    </row>
    <row r="371" spans="1:39" ht="15.75" customHeight="1" x14ac:dyDescent="0.25">
      <c r="A371" s="194"/>
      <c r="B371" s="194"/>
      <c r="C371" s="194"/>
      <c r="D371" s="194"/>
      <c r="E371" s="194"/>
      <c r="F371" s="194"/>
      <c r="G371" s="194"/>
      <c r="H371" s="194"/>
      <c r="I371" s="194"/>
      <c r="J371" s="194"/>
      <c r="K371" s="194"/>
      <c r="L371" s="194"/>
      <c r="M371" s="194"/>
      <c r="N371" s="194"/>
      <c r="O371" s="194"/>
      <c r="P371" s="194"/>
      <c r="Q371" s="194"/>
      <c r="R371" s="194"/>
      <c r="S371" s="194"/>
      <c r="T371" s="194"/>
      <c r="U371" s="194"/>
      <c r="V371" s="194"/>
      <c r="W371" s="194"/>
      <c r="X371" s="194"/>
      <c r="Y371" s="194"/>
      <c r="Z371" s="194"/>
      <c r="AA371" s="194"/>
      <c r="AB371" s="194"/>
      <c r="AC371" s="194"/>
      <c r="AD371" s="194"/>
      <c r="AE371" s="194"/>
      <c r="AF371" s="194"/>
      <c r="AG371" s="194"/>
      <c r="AH371" s="194"/>
      <c r="AI371" s="194"/>
      <c r="AJ371" s="194"/>
      <c r="AK371" s="194"/>
      <c r="AL371" s="194"/>
      <c r="AM371" s="194"/>
    </row>
    <row r="372" spans="1:39" ht="15.75" customHeight="1" x14ac:dyDescent="0.25">
      <c r="A372" s="194"/>
      <c r="B372" s="194"/>
      <c r="C372" s="194"/>
      <c r="D372" s="194"/>
      <c r="E372" s="194"/>
      <c r="F372" s="194"/>
      <c r="G372" s="194"/>
      <c r="H372" s="194"/>
      <c r="I372" s="194"/>
      <c r="J372" s="194"/>
      <c r="K372" s="194"/>
      <c r="L372" s="194"/>
      <c r="M372" s="194"/>
      <c r="N372" s="194"/>
      <c r="O372" s="194"/>
      <c r="P372" s="194"/>
      <c r="Q372" s="194"/>
      <c r="R372" s="194"/>
      <c r="S372" s="194"/>
      <c r="T372" s="194"/>
      <c r="U372" s="194"/>
      <c r="V372" s="194"/>
      <c r="W372" s="194"/>
      <c r="X372" s="194"/>
      <c r="Y372" s="194"/>
      <c r="Z372" s="194"/>
      <c r="AA372" s="194"/>
      <c r="AB372" s="194"/>
      <c r="AC372" s="194"/>
      <c r="AD372" s="194"/>
      <c r="AE372" s="194"/>
      <c r="AF372" s="194"/>
      <c r="AG372" s="194"/>
      <c r="AH372" s="194"/>
      <c r="AI372" s="194"/>
      <c r="AJ372" s="194"/>
      <c r="AK372" s="194"/>
      <c r="AL372" s="194"/>
      <c r="AM372" s="194"/>
    </row>
    <row r="373" spans="1:39" ht="15.75" customHeight="1" x14ac:dyDescent="0.25">
      <c r="A373" s="194"/>
      <c r="B373" s="194"/>
      <c r="C373" s="194"/>
      <c r="D373" s="194"/>
      <c r="E373" s="194"/>
      <c r="F373" s="194"/>
      <c r="G373" s="194"/>
      <c r="H373" s="194"/>
      <c r="I373" s="194"/>
      <c r="J373" s="194"/>
      <c r="K373" s="194"/>
      <c r="L373" s="194"/>
      <c r="M373" s="194"/>
      <c r="N373" s="194"/>
      <c r="O373" s="194"/>
      <c r="P373" s="194"/>
      <c r="Q373" s="194"/>
      <c r="R373" s="194"/>
      <c r="S373" s="194"/>
      <c r="T373" s="194"/>
      <c r="U373" s="194"/>
      <c r="V373" s="194"/>
      <c r="W373" s="194"/>
      <c r="X373" s="194"/>
      <c r="Y373" s="194"/>
      <c r="Z373" s="194"/>
      <c r="AA373" s="194"/>
      <c r="AB373" s="194"/>
      <c r="AC373" s="194"/>
      <c r="AD373" s="194"/>
      <c r="AE373" s="194"/>
      <c r="AF373" s="194"/>
      <c r="AG373" s="194"/>
      <c r="AH373" s="194"/>
      <c r="AI373" s="194"/>
      <c r="AJ373" s="194"/>
      <c r="AK373" s="194"/>
      <c r="AL373" s="194"/>
      <c r="AM373" s="194"/>
    </row>
    <row r="374" spans="1:39" ht="15.75" customHeight="1" x14ac:dyDescent="0.25">
      <c r="A374" s="194"/>
      <c r="B374" s="194"/>
      <c r="C374" s="194"/>
      <c r="D374" s="194"/>
      <c r="E374" s="194"/>
      <c r="F374" s="194"/>
      <c r="G374" s="194"/>
      <c r="H374" s="194"/>
      <c r="I374" s="194"/>
      <c r="J374" s="194"/>
      <c r="K374" s="194"/>
      <c r="L374" s="194"/>
      <c r="M374" s="194"/>
      <c r="N374" s="194"/>
      <c r="O374" s="194"/>
      <c r="P374" s="194"/>
      <c r="Q374" s="194"/>
      <c r="R374" s="194"/>
      <c r="S374" s="194"/>
      <c r="T374" s="194"/>
      <c r="U374" s="194"/>
      <c r="V374" s="194"/>
      <c r="W374" s="194"/>
      <c r="X374" s="194"/>
      <c r="Y374" s="194"/>
      <c r="Z374" s="194"/>
      <c r="AA374" s="194"/>
      <c r="AB374" s="194"/>
      <c r="AC374" s="194"/>
      <c r="AD374" s="194"/>
      <c r="AE374" s="194"/>
      <c r="AF374" s="194"/>
      <c r="AG374" s="194"/>
      <c r="AH374" s="194"/>
      <c r="AI374" s="194"/>
      <c r="AJ374" s="194"/>
      <c r="AK374" s="194"/>
      <c r="AL374" s="194"/>
      <c r="AM374" s="194"/>
    </row>
    <row r="375" spans="1:39" ht="15.75" customHeight="1" x14ac:dyDescent="0.25">
      <c r="A375" s="194"/>
      <c r="B375" s="194"/>
      <c r="C375" s="194"/>
      <c r="D375" s="194"/>
      <c r="E375" s="194"/>
      <c r="F375" s="194"/>
      <c r="G375" s="194"/>
      <c r="H375" s="194"/>
      <c r="I375" s="194"/>
      <c r="J375" s="194"/>
      <c r="K375" s="194"/>
      <c r="L375" s="194"/>
      <c r="M375" s="194"/>
      <c r="N375" s="194"/>
      <c r="O375" s="194"/>
      <c r="P375" s="194"/>
      <c r="Q375" s="194"/>
      <c r="R375" s="194"/>
      <c r="S375" s="194"/>
      <c r="T375" s="194"/>
      <c r="U375" s="194"/>
      <c r="V375" s="194"/>
      <c r="W375" s="194"/>
      <c r="X375" s="194"/>
      <c r="Y375" s="194"/>
      <c r="Z375" s="194"/>
      <c r="AA375" s="194"/>
      <c r="AB375" s="194"/>
      <c r="AC375" s="194"/>
      <c r="AD375" s="194"/>
      <c r="AE375" s="194"/>
      <c r="AF375" s="194"/>
      <c r="AG375" s="194"/>
      <c r="AH375" s="194"/>
      <c r="AI375" s="194"/>
      <c r="AJ375" s="194"/>
      <c r="AK375" s="194"/>
      <c r="AL375" s="194"/>
      <c r="AM375" s="194"/>
    </row>
    <row r="376" spans="1:39" ht="15.75" customHeight="1" x14ac:dyDescent="0.25">
      <c r="A376" s="194"/>
      <c r="B376" s="194"/>
      <c r="C376" s="194"/>
      <c r="D376" s="194"/>
      <c r="E376" s="194"/>
      <c r="F376" s="194"/>
      <c r="G376" s="194"/>
      <c r="H376" s="194"/>
      <c r="I376" s="194"/>
      <c r="J376" s="194"/>
      <c r="K376" s="194"/>
      <c r="L376" s="194"/>
      <c r="M376" s="194"/>
      <c r="N376" s="194"/>
      <c r="O376" s="194"/>
      <c r="P376" s="194"/>
      <c r="Q376" s="194"/>
      <c r="R376" s="194"/>
      <c r="S376" s="194"/>
      <c r="T376" s="194"/>
      <c r="U376" s="194"/>
      <c r="V376" s="194"/>
      <c r="W376" s="194"/>
      <c r="X376" s="194"/>
      <c r="Y376" s="194"/>
      <c r="Z376" s="194"/>
      <c r="AA376" s="194"/>
      <c r="AB376" s="194"/>
      <c r="AC376" s="194"/>
      <c r="AD376" s="194"/>
      <c r="AE376" s="194"/>
      <c r="AF376" s="194"/>
      <c r="AG376" s="194"/>
      <c r="AH376" s="194"/>
      <c r="AI376" s="194"/>
      <c r="AJ376" s="194"/>
      <c r="AK376" s="194"/>
      <c r="AL376" s="194"/>
      <c r="AM376" s="194"/>
    </row>
    <row r="377" spans="1:39" ht="15.75" customHeight="1" x14ac:dyDescent="0.25">
      <c r="A377" s="194"/>
      <c r="B377" s="194"/>
      <c r="C377" s="194"/>
      <c r="D377" s="194"/>
      <c r="E377" s="194"/>
      <c r="F377" s="194"/>
      <c r="G377" s="194"/>
      <c r="H377" s="194"/>
      <c r="I377" s="194"/>
      <c r="J377" s="194"/>
      <c r="K377" s="194"/>
      <c r="L377" s="194"/>
      <c r="M377" s="194"/>
      <c r="N377" s="194"/>
      <c r="O377" s="194"/>
      <c r="P377" s="194"/>
      <c r="Q377" s="194"/>
      <c r="R377" s="194"/>
      <c r="S377" s="194"/>
      <c r="T377" s="194"/>
      <c r="U377" s="194"/>
      <c r="V377" s="194"/>
      <c r="W377" s="194"/>
      <c r="X377" s="194"/>
      <c r="Y377" s="194"/>
      <c r="Z377" s="194"/>
      <c r="AA377" s="194"/>
      <c r="AB377" s="194"/>
      <c r="AC377" s="194"/>
      <c r="AD377" s="194"/>
      <c r="AE377" s="194"/>
      <c r="AF377" s="194"/>
      <c r="AG377" s="194"/>
      <c r="AH377" s="194"/>
      <c r="AI377" s="194"/>
      <c r="AJ377" s="194"/>
      <c r="AK377" s="194"/>
      <c r="AL377" s="194"/>
      <c r="AM377" s="194"/>
    </row>
    <row r="378" spans="1:39" ht="15.75" customHeight="1" x14ac:dyDescent="0.25">
      <c r="A378" s="194"/>
      <c r="B378" s="194"/>
      <c r="C378" s="194"/>
      <c r="D378" s="194"/>
      <c r="E378" s="194"/>
      <c r="F378" s="194"/>
      <c r="G378" s="194"/>
      <c r="H378" s="194"/>
      <c r="I378" s="194"/>
      <c r="J378" s="194"/>
      <c r="K378" s="194"/>
      <c r="L378" s="194"/>
      <c r="M378" s="194"/>
      <c r="N378" s="194"/>
      <c r="O378" s="194"/>
      <c r="P378" s="194"/>
      <c r="Q378" s="194"/>
      <c r="R378" s="194"/>
      <c r="S378" s="194"/>
      <c r="T378" s="194"/>
      <c r="U378" s="194"/>
      <c r="V378" s="194"/>
      <c r="W378" s="194"/>
      <c r="X378" s="194"/>
      <c r="Y378" s="194"/>
      <c r="Z378" s="194"/>
      <c r="AA378" s="194"/>
      <c r="AB378" s="194"/>
      <c r="AC378" s="194"/>
      <c r="AD378" s="194"/>
      <c r="AE378" s="194"/>
      <c r="AF378" s="194"/>
      <c r="AG378" s="194"/>
      <c r="AH378" s="194"/>
      <c r="AI378" s="194"/>
      <c r="AJ378" s="194"/>
      <c r="AK378" s="194"/>
      <c r="AL378" s="194"/>
      <c r="AM378" s="194"/>
    </row>
    <row r="379" spans="1:39" ht="15.75" customHeight="1" x14ac:dyDescent="0.25">
      <c r="A379" s="194"/>
      <c r="B379" s="194"/>
      <c r="C379" s="194"/>
      <c r="D379" s="194"/>
      <c r="E379" s="194"/>
      <c r="F379" s="194"/>
      <c r="G379" s="194"/>
      <c r="H379" s="194"/>
      <c r="I379" s="194"/>
      <c r="J379" s="194"/>
      <c r="K379" s="194"/>
      <c r="L379" s="194"/>
      <c r="M379" s="194"/>
      <c r="N379" s="194"/>
      <c r="O379" s="194"/>
      <c r="P379" s="194"/>
      <c r="Q379" s="194"/>
      <c r="R379" s="194"/>
      <c r="S379" s="194"/>
      <c r="T379" s="194"/>
      <c r="U379" s="194"/>
      <c r="V379" s="194"/>
      <c r="W379" s="194"/>
      <c r="X379" s="194"/>
      <c r="Y379" s="194"/>
      <c r="Z379" s="194"/>
      <c r="AA379" s="194"/>
      <c r="AB379" s="194"/>
      <c r="AC379" s="194"/>
      <c r="AD379" s="194"/>
      <c r="AE379" s="194"/>
      <c r="AF379" s="194"/>
      <c r="AG379" s="194"/>
      <c r="AH379" s="194"/>
      <c r="AI379" s="194"/>
      <c r="AJ379" s="194"/>
      <c r="AK379" s="194"/>
      <c r="AL379" s="194"/>
      <c r="AM379" s="194"/>
    </row>
    <row r="380" spans="1:39" ht="15.75" customHeight="1" x14ac:dyDescent="0.25">
      <c r="A380" s="194"/>
      <c r="B380" s="194"/>
      <c r="C380" s="194"/>
      <c r="D380" s="194"/>
      <c r="E380" s="194"/>
      <c r="F380" s="194"/>
      <c r="G380" s="194"/>
      <c r="H380" s="194"/>
      <c r="I380" s="194"/>
      <c r="J380" s="194"/>
      <c r="K380" s="194"/>
      <c r="L380" s="194"/>
      <c r="M380" s="194"/>
      <c r="N380" s="194"/>
      <c r="O380" s="194"/>
      <c r="P380" s="194"/>
      <c r="Q380" s="194"/>
      <c r="R380" s="194"/>
      <c r="S380" s="194"/>
      <c r="T380" s="194"/>
      <c r="U380" s="194"/>
      <c r="V380" s="194"/>
      <c r="W380" s="194"/>
      <c r="X380" s="194"/>
      <c r="Y380" s="194"/>
      <c r="Z380" s="194"/>
      <c r="AA380" s="194"/>
      <c r="AB380" s="194"/>
      <c r="AC380" s="194"/>
      <c r="AD380" s="194"/>
      <c r="AE380" s="194"/>
      <c r="AF380" s="194"/>
      <c r="AG380" s="194"/>
      <c r="AH380" s="194"/>
      <c r="AI380" s="194"/>
      <c r="AJ380" s="194"/>
      <c r="AK380" s="194"/>
      <c r="AL380" s="194"/>
      <c r="AM380" s="194"/>
    </row>
    <row r="381" spans="1:39" ht="15.75" customHeight="1" x14ac:dyDescent="0.25">
      <c r="A381" s="194"/>
      <c r="B381" s="194"/>
      <c r="C381" s="194"/>
      <c r="D381" s="194"/>
      <c r="E381" s="194"/>
      <c r="F381" s="194"/>
      <c r="G381" s="194"/>
      <c r="H381" s="194"/>
      <c r="I381" s="194"/>
      <c r="J381" s="194"/>
      <c r="K381" s="194"/>
      <c r="L381" s="194"/>
      <c r="M381" s="194"/>
      <c r="N381" s="194"/>
      <c r="O381" s="194"/>
      <c r="P381" s="194"/>
      <c r="Q381" s="194"/>
      <c r="R381" s="194"/>
      <c r="S381" s="194"/>
      <c r="T381" s="194"/>
      <c r="U381" s="194"/>
      <c r="V381" s="194"/>
      <c r="W381" s="194"/>
      <c r="X381" s="194"/>
      <c r="Y381" s="194"/>
      <c r="Z381" s="194"/>
      <c r="AA381" s="194"/>
      <c r="AB381" s="194"/>
      <c r="AC381" s="194"/>
      <c r="AD381" s="194"/>
      <c r="AE381" s="194"/>
      <c r="AF381" s="194"/>
      <c r="AG381" s="194"/>
      <c r="AH381" s="194"/>
      <c r="AI381" s="194"/>
      <c r="AJ381" s="194"/>
      <c r="AK381" s="194"/>
      <c r="AL381" s="194"/>
      <c r="AM381" s="194"/>
    </row>
    <row r="382" spans="1:39" ht="15.75" customHeight="1" x14ac:dyDescent="0.25">
      <c r="A382" s="194"/>
      <c r="B382" s="194"/>
      <c r="C382" s="194"/>
      <c r="D382" s="194"/>
      <c r="E382" s="194"/>
      <c r="F382" s="194"/>
      <c r="G382" s="194"/>
      <c r="H382" s="194"/>
      <c r="I382" s="194"/>
      <c r="J382" s="194"/>
      <c r="K382" s="194"/>
      <c r="L382" s="194"/>
      <c r="M382" s="194"/>
      <c r="N382" s="194"/>
      <c r="O382" s="194"/>
      <c r="P382" s="194"/>
      <c r="Q382" s="194"/>
      <c r="R382" s="194"/>
      <c r="S382" s="194"/>
      <c r="T382" s="194"/>
      <c r="U382" s="194"/>
      <c r="V382" s="194"/>
      <c r="W382" s="194"/>
      <c r="X382" s="194"/>
      <c r="Y382" s="194"/>
      <c r="Z382" s="194"/>
      <c r="AA382" s="194"/>
      <c r="AB382" s="194"/>
      <c r="AC382" s="194"/>
      <c r="AD382" s="194"/>
      <c r="AE382" s="194"/>
      <c r="AF382" s="194"/>
      <c r="AG382" s="194"/>
      <c r="AH382" s="194"/>
      <c r="AI382" s="194"/>
      <c r="AJ382" s="194"/>
      <c r="AK382" s="194"/>
      <c r="AL382" s="194"/>
      <c r="AM382" s="194"/>
    </row>
    <row r="383" spans="1:39" ht="15.75" customHeight="1" x14ac:dyDescent="0.25">
      <c r="A383" s="194"/>
      <c r="B383" s="194"/>
      <c r="C383" s="194"/>
      <c r="D383" s="194"/>
      <c r="E383" s="194"/>
      <c r="F383" s="194"/>
      <c r="G383" s="194"/>
      <c r="H383" s="194"/>
      <c r="I383" s="194"/>
      <c r="J383" s="194"/>
      <c r="K383" s="194"/>
      <c r="L383" s="194"/>
      <c r="M383" s="194"/>
      <c r="N383" s="194"/>
      <c r="O383" s="194"/>
      <c r="P383" s="194"/>
      <c r="Q383" s="194"/>
      <c r="R383" s="194"/>
      <c r="S383" s="194"/>
      <c r="T383" s="194"/>
      <c r="U383" s="194"/>
      <c r="V383" s="194"/>
      <c r="W383" s="194"/>
      <c r="X383" s="194"/>
      <c r="Y383" s="194"/>
      <c r="Z383" s="194"/>
      <c r="AA383" s="194"/>
      <c r="AB383" s="194"/>
      <c r="AC383" s="194"/>
      <c r="AD383" s="194"/>
      <c r="AE383" s="194"/>
      <c r="AF383" s="194"/>
      <c r="AG383" s="194"/>
      <c r="AH383" s="194"/>
      <c r="AI383" s="194"/>
      <c r="AJ383" s="194"/>
      <c r="AK383" s="194"/>
      <c r="AL383" s="194"/>
      <c r="AM383" s="194"/>
    </row>
    <row r="384" spans="1:39" ht="15.75" customHeight="1" x14ac:dyDescent="0.25">
      <c r="A384" s="194"/>
      <c r="B384" s="194"/>
      <c r="C384" s="194"/>
      <c r="D384" s="194"/>
      <c r="E384" s="194"/>
      <c r="F384" s="194"/>
      <c r="G384" s="194"/>
      <c r="H384" s="194"/>
      <c r="I384" s="194"/>
      <c r="J384" s="194"/>
      <c r="K384" s="194"/>
      <c r="L384" s="194"/>
      <c r="M384" s="194"/>
      <c r="N384" s="194"/>
      <c r="O384" s="194"/>
      <c r="P384" s="194"/>
      <c r="Q384" s="194"/>
      <c r="R384" s="194"/>
      <c r="S384" s="194"/>
      <c r="T384" s="194"/>
      <c r="U384" s="194"/>
      <c r="V384" s="194"/>
      <c r="W384" s="194"/>
      <c r="X384" s="194"/>
      <c r="Y384" s="194"/>
      <c r="Z384" s="194"/>
      <c r="AA384" s="194"/>
      <c r="AB384" s="194"/>
      <c r="AC384" s="194"/>
      <c r="AD384" s="194"/>
      <c r="AE384" s="194"/>
      <c r="AF384" s="194"/>
      <c r="AG384" s="194"/>
      <c r="AH384" s="194"/>
      <c r="AI384" s="194"/>
      <c r="AJ384" s="194"/>
      <c r="AK384" s="194"/>
      <c r="AL384" s="194"/>
      <c r="AM384" s="194"/>
    </row>
    <row r="385" spans="1:39" ht="15.75" customHeight="1" x14ac:dyDescent="0.25">
      <c r="A385" s="194"/>
      <c r="B385" s="194"/>
      <c r="C385" s="194"/>
      <c r="D385" s="194"/>
      <c r="E385" s="194"/>
      <c r="F385" s="194"/>
      <c r="G385" s="194"/>
      <c r="H385" s="194"/>
      <c r="I385" s="194"/>
      <c r="J385" s="194"/>
      <c r="K385" s="194"/>
      <c r="L385" s="194"/>
      <c r="M385" s="194"/>
      <c r="N385" s="194"/>
      <c r="O385" s="194"/>
      <c r="P385" s="194"/>
      <c r="Q385" s="194"/>
      <c r="R385" s="194"/>
      <c r="S385" s="194"/>
      <c r="T385" s="194"/>
      <c r="U385" s="194"/>
      <c r="V385" s="194"/>
      <c r="W385" s="194"/>
      <c r="X385" s="194"/>
      <c r="Y385" s="194"/>
      <c r="Z385" s="194"/>
      <c r="AA385" s="194"/>
      <c r="AB385" s="194"/>
      <c r="AC385" s="194"/>
      <c r="AD385" s="194"/>
      <c r="AE385" s="194"/>
      <c r="AF385" s="194"/>
      <c r="AG385" s="194"/>
      <c r="AH385" s="194"/>
      <c r="AI385" s="194"/>
      <c r="AJ385" s="194"/>
      <c r="AK385" s="194"/>
      <c r="AL385" s="194"/>
      <c r="AM385" s="194"/>
    </row>
    <row r="386" spans="1:39" ht="15.75" customHeight="1" x14ac:dyDescent="0.25">
      <c r="A386" s="194"/>
      <c r="B386" s="194"/>
      <c r="C386" s="194"/>
      <c r="D386" s="194"/>
      <c r="E386" s="194"/>
      <c r="F386" s="194"/>
      <c r="G386" s="194"/>
      <c r="H386" s="194"/>
      <c r="I386" s="194"/>
      <c r="J386" s="194"/>
      <c r="K386" s="194"/>
      <c r="L386" s="194"/>
      <c r="M386" s="194"/>
      <c r="N386" s="194"/>
      <c r="O386" s="194"/>
      <c r="P386" s="194"/>
      <c r="Q386" s="194"/>
      <c r="R386" s="194"/>
      <c r="S386" s="194"/>
      <c r="T386" s="194"/>
      <c r="U386" s="194"/>
      <c r="V386" s="194"/>
      <c r="W386" s="194"/>
      <c r="X386" s="194"/>
      <c r="Y386" s="194"/>
      <c r="Z386" s="194"/>
      <c r="AA386" s="194"/>
      <c r="AB386" s="194"/>
      <c r="AC386" s="194"/>
      <c r="AD386" s="194"/>
      <c r="AE386" s="194"/>
      <c r="AF386" s="194"/>
      <c r="AG386" s="194"/>
      <c r="AH386" s="194"/>
      <c r="AI386" s="194"/>
      <c r="AJ386" s="194"/>
      <c r="AK386" s="194"/>
      <c r="AL386" s="194"/>
      <c r="AM386" s="194"/>
    </row>
    <row r="387" spans="1:39" ht="15.75" customHeight="1" x14ac:dyDescent="0.25">
      <c r="A387" s="194"/>
      <c r="B387" s="194"/>
      <c r="C387" s="194"/>
      <c r="D387" s="194"/>
      <c r="E387" s="194"/>
      <c r="F387" s="194"/>
      <c r="G387" s="194"/>
      <c r="H387" s="194"/>
      <c r="I387" s="194"/>
      <c r="J387" s="194"/>
      <c r="K387" s="194"/>
      <c r="L387" s="194"/>
      <c r="M387" s="194"/>
      <c r="N387" s="194"/>
      <c r="O387" s="194"/>
      <c r="P387" s="194"/>
      <c r="Q387" s="194"/>
      <c r="R387" s="194"/>
      <c r="S387" s="194"/>
      <c r="T387" s="194"/>
      <c r="U387" s="194"/>
      <c r="V387" s="194"/>
      <c r="W387" s="194"/>
      <c r="X387" s="194"/>
      <c r="Y387" s="194"/>
      <c r="Z387" s="194"/>
      <c r="AA387" s="194"/>
      <c r="AB387" s="194"/>
      <c r="AC387" s="194"/>
      <c r="AD387" s="194"/>
      <c r="AE387" s="194"/>
      <c r="AF387" s="194"/>
      <c r="AG387" s="194"/>
      <c r="AH387" s="194"/>
      <c r="AI387" s="194"/>
      <c r="AJ387" s="194"/>
      <c r="AK387" s="194"/>
      <c r="AL387" s="194"/>
      <c r="AM387" s="194"/>
    </row>
    <row r="388" spans="1:39" ht="15.75" customHeight="1" x14ac:dyDescent="0.25">
      <c r="A388" s="194"/>
      <c r="B388" s="194"/>
      <c r="C388" s="194"/>
      <c r="D388" s="194"/>
      <c r="E388" s="194"/>
      <c r="F388" s="194"/>
      <c r="G388" s="194"/>
      <c r="H388" s="194"/>
      <c r="I388" s="194"/>
      <c r="J388" s="194"/>
      <c r="K388" s="194"/>
      <c r="L388" s="194"/>
      <c r="M388" s="194"/>
      <c r="N388" s="194"/>
      <c r="O388" s="194"/>
      <c r="P388" s="194"/>
      <c r="Q388" s="194"/>
      <c r="R388" s="194"/>
      <c r="S388" s="194"/>
      <c r="T388" s="194"/>
      <c r="U388" s="194"/>
      <c r="V388" s="194"/>
      <c r="W388" s="194"/>
      <c r="X388" s="194"/>
      <c r="Y388" s="194"/>
      <c r="Z388" s="194"/>
      <c r="AA388" s="194"/>
      <c r="AB388" s="194"/>
      <c r="AC388" s="194"/>
      <c r="AD388" s="194"/>
      <c r="AE388" s="194"/>
      <c r="AF388" s="194"/>
      <c r="AG388" s="194"/>
      <c r="AH388" s="194"/>
      <c r="AI388" s="194"/>
      <c r="AJ388" s="194"/>
      <c r="AK388" s="194"/>
      <c r="AL388" s="194"/>
      <c r="AM388" s="194"/>
    </row>
    <row r="389" spans="1:39" ht="15.75" customHeight="1" x14ac:dyDescent="0.25">
      <c r="A389" s="194"/>
      <c r="B389" s="194"/>
      <c r="C389" s="194"/>
      <c r="D389" s="194"/>
      <c r="E389" s="194"/>
      <c r="F389" s="194"/>
      <c r="G389" s="194"/>
      <c r="H389" s="194"/>
      <c r="I389" s="194"/>
      <c r="J389" s="194"/>
      <c r="K389" s="194"/>
      <c r="L389" s="194"/>
      <c r="M389" s="194"/>
      <c r="N389" s="194"/>
      <c r="O389" s="194"/>
      <c r="P389" s="194"/>
      <c r="Q389" s="194"/>
      <c r="R389" s="194"/>
      <c r="S389" s="194"/>
      <c r="T389" s="194"/>
      <c r="U389" s="194"/>
      <c r="V389" s="194"/>
      <c r="W389" s="194"/>
      <c r="X389" s="194"/>
      <c r="Y389" s="194"/>
      <c r="Z389" s="194"/>
      <c r="AA389" s="194"/>
      <c r="AB389" s="194"/>
      <c r="AC389" s="194"/>
      <c r="AD389" s="194"/>
      <c r="AE389" s="194"/>
      <c r="AF389" s="194"/>
      <c r="AG389" s="194"/>
      <c r="AH389" s="194"/>
      <c r="AI389" s="194"/>
      <c r="AJ389" s="194"/>
      <c r="AK389" s="194"/>
      <c r="AL389" s="194"/>
      <c r="AM389" s="194"/>
    </row>
    <row r="390" spans="1:39" ht="15.75" customHeight="1" x14ac:dyDescent="0.25">
      <c r="A390" s="194"/>
      <c r="B390" s="194"/>
      <c r="C390" s="194"/>
      <c r="D390" s="194"/>
      <c r="E390" s="194"/>
      <c r="F390" s="194"/>
      <c r="G390" s="194"/>
      <c r="H390" s="194"/>
      <c r="I390" s="194"/>
      <c r="J390" s="194"/>
      <c r="K390" s="194"/>
      <c r="L390" s="194"/>
      <c r="M390" s="194"/>
      <c r="N390" s="194"/>
      <c r="O390" s="194"/>
      <c r="P390" s="194"/>
      <c r="Q390" s="194"/>
      <c r="R390" s="194"/>
      <c r="S390" s="194"/>
      <c r="T390" s="194"/>
      <c r="U390" s="194"/>
      <c r="V390" s="194"/>
      <c r="W390" s="194"/>
      <c r="X390" s="194"/>
      <c r="Y390" s="194"/>
      <c r="Z390" s="194"/>
      <c r="AA390" s="194"/>
      <c r="AB390" s="194"/>
      <c r="AC390" s="194"/>
      <c r="AD390" s="194"/>
      <c r="AE390" s="194"/>
      <c r="AF390" s="194"/>
      <c r="AG390" s="194"/>
      <c r="AH390" s="194"/>
      <c r="AI390" s="194"/>
      <c r="AJ390" s="194"/>
      <c r="AK390" s="194"/>
      <c r="AL390" s="194"/>
      <c r="AM390" s="194"/>
    </row>
    <row r="391" spans="1:39" ht="15.75" customHeight="1" x14ac:dyDescent="0.25">
      <c r="A391" s="194"/>
      <c r="B391" s="194"/>
      <c r="C391" s="194"/>
      <c r="D391" s="194"/>
      <c r="E391" s="194"/>
      <c r="F391" s="194"/>
      <c r="G391" s="194"/>
      <c r="H391" s="194"/>
      <c r="I391" s="194"/>
      <c r="J391" s="194"/>
      <c r="K391" s="194"/>
      <c r="L391" s="194"/>
      <c r="M391" s="194"/>
      <c r="N391" s="194"/>
      <c r="O391" s="194"/>
      <c r="P391" s="194"/>
      <c r="Q391" s="194"/>
      <c r="R391" s="194"/>
      <c r="S391" s="194"/>
      <c r="T391" s="194"/>
      <c r="U391" s="194"/>
      <c r="V391" s="194"/>
      <c r="W391" s="194"/>
      <c r="X391" s="194"/>
      <c r="Y391" s="194"/>
      <c r="Z391" s="194"/>
      <c r="AA391" s="194"/>
      <c r="AB391" s="194"/>
      <c r="AC391" s="194"/>
      <c r="AD391" s="194"/>
      <c r="AE391" s="194"/>
      <c r="AF391" s="194"/>
      <c r="AG391" s="194"/>
      <c r="AH391" s="194"/>
      <c r="AI391" s="194"/>
      <c r="AJ391" s="194"/>
      <c r="AK391" s="194"/>
      <c r="AL391" s="194"/>
      <c r="AM391" s="194"/>
    </row>
    <row r="392" spans="1:39" ht="15.75" customHeight="1" x14ac:dyDescent="0.25">
      <c r="A392" s="194"/>
      <c r="B392" s="194"/>
      <c r="C392" s="194"/>
      <c r="D392" s="194"/>
      <c r="E392" s="194"/>
      <c r="F392" s="194"/>
      <c r="G392" s="194"/>
      <c r="H392" s="194"/>
      <c r="I392" s="194"/>
      <c r="J392" s="194"/>
      <c r="K392" s="194"/>
      <c r="L392" s="194"/>
      <c r="M392" s="194"/>
      <c r="N392" s="194"/>
      <c r="O392" s="194"/>
      <c r="P392" s="194"/>
      <c r="Q392" s="194"/>
      <c r="R392" s="194"/>
      <c r="S392" s="194"/>
      <c r="T392" s="194"/>
      <c r="U392" s="194"/>
      <c r="V392" s="194"/>
      <c r="W392" s="194"/>
      <c r="X392" s="194"/>
      <c r="Y392" s="194"/>
      <c r="Z392" s="194"/>
      <c r="AA392" s="194"/>
      <c r="AB392" s="194"/>
      <c r="AC392" s="194"/>
      <c r="AD392" s="194"/>
      <c r="AE392" s="194"/>
      <c r="AF392" s="194"/>
      <c r="AG392" s="194"/>
      <c r="AH392" s="194"/>
      <c r="AI392" s="194"/>
      <c r="AJ392" s="194"/>
      <c r="AK392" s="194"/>
      <c r="AL392" s="194"/>
      <c r="AM392" s="194"/>
    </row>
    <row r="393" spans="1:39" ht="15.75" customHeight="1" x14ac:dyDescent="0.25">
      <c r="A393" s="194"/>
      <c r="B393" s="194"/>
      <c r="C393" s="194"/>
      <c r="D393" s="194"/>
      <c r="E393" s="194"/>
      <c r="F393" s="194"/>
      <c r="G393" s="194"/>
      <c r="H393" s="194"/>
      <c r="I393" s="194"/>
      <c r="J393" s="194"/>
      <c r="K393" s="194"/>
      <c r="L393" s="194"/>
      <c r="M393" s="194"/>
      <c r="N393" s="194"/>
      <c r="O393" s="194"/>
      <c r="P393" s="194"/>
      <c r="Q393" s="194"/>
      <c r="R393" s="194"/>
      <c r="S393" s="194"/>
      <c r="T393" s="194"/>
      <c r="U393" s="194"/>
      <c r="V393" s="194"/>
      <c r="W393" s="194"/>
      <c r="X393" s="194"/>
      <c r="Y393" s="194"/>
      <c r="Z393" s="194"/>
      <c r="AA393" s="194"/>
      <c r="AB393" s="194"/>
      <c r="AC393" s="194"/>
      <c r="AD393" s="194"/>
      <c r="AE393" s="194"/>
      <c r="AF393" s="194"/>
      <c r="AG393" s="194"/>
      <c r="AH393" s="194"/>
      <c r="AI393" s="194"/>
      <c r="AJ393" s="194"/>
      <c r="AK393" s="194"/>
      <c r="AL393" s="194"/>
      <c r="AM393" s="194"/>
    </row>
    <row r="394" spans="1:39" ht="15.75" customHeight="1" x14ac:dyDescent="0.25">
      <c r="A394" s="194"/>
      <c r="B394" s="194"/>
      <c r="C394" s="194"/>
      <c r="D394" s="194"/>
      <c r="E394" s="194"/>
      <c r="F394" s="194"/>
      <c r="G394" s="194"/>
      <c r="H394" s="194"/>
      <c r="I394" s="194"/>
      <c r="J394" s="194"/>
      <c r="K394" s="194"/>
      <c r="L394" s="194"/>
      <c r="M394" s="194"/>
      <c r="N394" s="194"/>
      <c r="O394" s="194"/>
      <c r="P394" s="194"/>
      <c r="Q394" s="194"/>
      <c r="R394" s="194"/>
      <c r="S394" s="194"/>
      <c r="T394" s="194"/>
      <c r="U394" s="194"/>
      <c r="V394" s="194"/>
      <c r="W394" s="194"/>
      <c r="X394" s="194"/>
      <c r="Y394" s="194"/>
      <c r="Z394" s="194"/>
      <c r="AA394" s="194"/>
      <c r="AB394" s="194"/>
      <c r="AC394" s="194"/>
      <c r="AD394" s="194"/>
      <c r="AE394" s="194"/>
      <c r="AF394" s="194"/>
      <c r="AG394" s="194"/>
      <c r="AH394" s="194"/>
      <c r="AI394" s="194"/>
      <c r="AJ394" s="194"/>
      <c r="AK394" s="194"/>
      <c r="AL394" s="194"/>
      <c r="AM394" s="194"/>
    </row>
    <row r="395" spans="1:39" ht="15.75" customHeight="1" x14ac:dyDescent="0.25">
      <c r="A395" s="194"/>
      <c r="B395" s="194"/>
      <c r="C395" s="194"/>
      <c r="D395" s="194"/>
      <c r="E395" s="194"/>
      <c r="F395" s="194"/>
      <c r="G395" s="194"/>
      <c r="H395" s="194"/>
      <c r="I395" s="194"/>
      <c r="J395" s="194"/>
      <c r="K395" s="194"/>
      <c r="L395" s="194"/>
      <c r="M395" s="194"/>
      <c r="N395" s="194"/>
      <c r="O395" s="194"/>
      <c r="P395" s="194"/>
      <c r="Q395" s="194"/>
      <c r="R395" s="194"/>
      <c r="S395" s="194"/>
      <c r="T395" s="194"/>
      <c r="U395" s="194"/>
      <c r="V395" s="194"/>
      <c r="W395" s="194"/>
      <c r="X395" s="194"/>
      <c r="Y395" s="194"/>
      <c r="Z395" s="194"/>
      <c r="AA395" s="194"/>
      <c r="AB395" s="194"/>
      <c r="AC395" s="194"/>
      <c r="AD395" s="194"/>
      <c r="AE395" s="194"/>
      <c r="AF395" s="194"/>
      <c r="AG395" s="194"/>
      <c r="AH395" s="194"/>
      <c r="AI395" s="194"/>
      <c r="AJ395" s="194"/>
      <c r="AK395" s="194"/>
      <c r="AL395" s="194"/>
      <c r="AM395" s="194"/>
    </row>
    <row r="396" spans="1:39" ht="15.75" customHeight="1" x14ac:dyDescent="0.25">
      <c r="A396" s="194"/>
      <c r="B396" s="194"/>
      <c r="C396" s="194"/>
      <c r="D396" s="194"/>
      <c r="E396" s="194"/>
      <c r="F396" s="194"/>
      <c r="G396" s="194"/>
      <c r="H396" s="194"/>
      <c r="I396" s="194"/>
      <c r="J396" s="194"/>
      <c r="K396" s="194"/>
      <c r="L396" s="194"/>
      <c r="M396" s="194"/>
      <c r="N396" s="194"/>
      <c r="O396" s="194"/>
      <c r="P396" s="194"/>
      <c r="Q396" s="194"/>
      <c r="R396" s="194"/>
      <c r="S396" s="194"/>
      <c r="T396" s="194"/>
      <c r="U396" s="194"/>
      <c r="V396" s="194"/>
      <c r="W396" s="194"/>
      <c r="X396" s="194"/>
      <c r="Y396" s="194"/>
      <c r="Z396" s="194"/>
      <c r="AA396" s="194"/>
      <c r="AB396" s="194"/>
      <c r="AC396" s="194"/>
      <c r="AD396" s="194"/>
      <c r="AE396" s="194"/>
      <c r="AF396" s="194"/>
      <c r="AG396" s="194"/>
      <c r="AH396" s="194"/>
      <c r="AI396" s="194"/>
      <c r="AJ396" s="194"/>
      <c r="AK396" s="194"/>
      <c r="AL396" s="194"/>
      <c r="AM396" s="194"/>
    </row>
    <row r="397" spans="1:39" ht="15.75" customHeight="1" x14ac:dyDescent="0.25">
      <c r="A397" s="194"/>
      <c r="B397" s="194"/>
      <c r="C397" s="194"/>
      <c r="D397" s="194"/>
      <c r="E397" s="194"/>
      <c r="F397" s="194"/>
      <c r="G397" s="194"/>
      <c r="H397" s="194"/>
      <c r="I397" s="194"/>
      <c r="J397" s="194"/>
      <c r="K397" s="194"/>
      <c r="L397" s="194"/>
      <c r="M397" s="194"/>
      <c r="N397" s="194"/>
      <c r="O397" s="194"/>
      <c r="P397" s="194"/>
      <c r="Q397" s="194"/>
      <c r="R397" s="194"/>
      <c r="S397" s="194"/>
      <c r="T397" s="194"/>
      <c r="U397" s="194"/>
      <c r="V397" s="194"/>
      <c r="W397" s="194"/>
      <c r="X397" s="194"/>
      <c r="Y397" s="194"/>
      <c r="Z397" s="194"/>
      <c r="AA397" s="194"/>
      <c r="AB397" s="194"/>
      <c r="AC397" s="194"/>
      <c r="AD397" s="194"/>
      <c r="AE397" s="194"/>
      <c r="AF397" s="194"/>
      <c r="AG397" s="194"/>
      <c r="AH397" s="194"/>
      <c r="AI397" s="194"/>
      <c r="AJ397" s="194"/>
      <c r="AK397" s="194"/>
      <c r="AL397" s="194"/>
      <c r="AM397" s="194"/>
    </row>
    <row r="398" spans="1:39" ht="15.75" customHeight="1" x14ac:dyDescent="0.25">
      <c r="A398" s="194"/>
      <c r="B398" s="194"/>
      <c r="C398" s="194"/>
      <c r="D398" s="194"/>
      <c r="E398" s="194"/>
      <c r="F398" s="194"/>
      <c r="G398" s="194"/>
      <c r="H398" s="194"/>
      <c r="I398" s="194"/>
      <c r="J398" s="194"/>
      <c r="K398" s="194"/>
      <c r="L398" s="194"/>
      <c r="M398" s="194"/>
      <c r="N398" s="194"/>
      <c r="O398" s="194"/>
      <c r="P398" s="194"/>
      <c r="Q398" s="194"/>
      <c r="R398" s="194"/>
      <c r="S398" s="194"/>
      <c r="T398" s="194"/>
      <c r="U398" s="194"/>
      <c r="V398" s="194"/>
      <c r="W398" s="194"/>
      <c r="X398" s="194"/>
      <c r="Y398" s="194"/>
      <c r="Z398" s="194"/>
      <c r="AA398" s="194"/>
      <c r="AB398" s="194"/>
      <c r="AC398" s="194"/>
      <c r="AD398" s="194"/>
      <c r="AE398" s="194"/>
      <c r="AF398" s="194"/>
      <c r="AG398" s="194"/>
      <c r="AH398" s="194"/>
      <c r="AI398" s="194"/>
      <c r="AJ398" s="194"/>
      <c r="AK398" s="194"/>
      <c r="AL398" s="194"/>
      <c r="AM398" s="194"/>
    </row>
    <row r="399" spans="1:39" ht="15.75" customHeight="1" x14ac:dyDescent="0.25">
      <c r="A399" s="194"/>
      <c r="B399" s="194"/>
      <c r="C399" s="194"/>
      <c r="D399" s="194"/>
      <c r="E399" s="194"/>
      <c r="F399" s="194"/>
      <c r="G399" s="194"/>
      <c r="H399" s="194"/>
      <c r="I399" s="194"/>
      <c r="J399" s="194"/>
      <c r="K399" s="194"/>
      <c r="L399" s="194"/>
      <c r="M399" s="194"/>
      <c r="N399" s="194"/>
      <c r="O399" s="194"/>
      <c r="P399" s="194"/>
      <c r="Q399" s="194"/>
      <c r="R399" s="194"/>
      <c r="S399" s="194"/>
      <c r="T399" s="194"/>
      <c r="U399" s="194"/>
      <c r="V399" s="194"/>
      <c r="W399" s="194"/>
      <c r="X399" s="194"/>
      <c r="Y399" s="194"/>
      <c r="Z399" s="194"/>
      <c r="AA399" s="194"/>
      <c r="AB399" s="194"/>
      <c r="AC399" s="194"/>
      <c r="AD399" s="194"/>
      <c r="AE399" s="194"/>
      <c r="AF399" s="194"/>
      <c r="AG399" s="194"/>
      <c r="AH399" s="194"/>
      <c r="AI399" s="194"/>
      <c r="AJ399" s="194"/>
      <c r="AK399" s="194"/>
      <c r="AL399" s="194"/>
      <c r="AM399" s="194"/>
    </row>
    <row r="400" spans="1:39" ht="15.75" customHeight="1" x14ac:dyDescent="0.25">
      <c r="A400" s="194"/>
      <c r="B400" s="194"/>
      <c r="C400" s="194"/>
      <c r="D400" s="194"/>
      <c r="E400" s="194"/>
      <c r="F400" s="194"/>
      <c r="G400" s="194"/>
      <c r="H400" s="194"/>
      <c r="I400" s="194"/>
      <c r="J400" s="194"/>
      <c r="K400" s="194"/>
      <c r="L400" s="194"/>
      <c r="M400" s="194"/>
      <c r="N400" s="194"/>
      <c r="O400" s="194"/>
      <c r="P400" s="194"/>
      <c r="Q400" s="194"/>
      <c r="R400" s="194"/>
      <c r="S400" s="194"/>
      <c r="T400" s="194"/>
      <c r="U400" s="194"/>
      <c r="V400" s="194"/>
      <c r="W400" s="194"/>
      <c r="X400" s="194"/>
      <c r="Y400" s="194"/>
      <c r="Z400" s="194"/>
      <c r="AA400" s="194"/>
      <c r="AB400" s="194"/>
      <c r="AC400" s="194"/>
      <c r="AD400" s="194"/>
      <c r="AE400" s="194"/>
      <c r="AF400" s="194"/>
      <c r="AG400" s="194"/>
      <c r="AH400" s="194"/>
      <c r="AI400" s="194"/>
      <c r="AJ400" s="194"/>
      <c r="AK400" s="194"/>
      <c r="AL400" s="194"/>
      <c r="AM400" s="194"/>
    </row>
    <row r="401" spans="1:39" ht="15.75" customHeight="1" x14ac:dyDescent="0.25">
      <c r="A401" s="194"/>
      <c r="B401" s="194"/>
      <c r="C401" s="194"/>
      <c r="D401" s="194"/>
      <c r="E401" s="194"/>
      <c r="F401" s="194"/>
      <c r="G401" s="194"/>
      <c r="H401" s="194"/>
      <c r="I401" s="194"/>
      <c r="J401" s="194"/>
      <c r="K401" s="194"/>
      <c r="L401" s="194"/>
      <c r="M401" s="194"/>
      <c r="N401" s="194"/>
      <c r="O401" s="194"/>
      <c r="P401" s="194"/>
      <c r="Q401" s="194"/>
      <c r="R401" s="194"/>
      <c r="S401" s="194"/>
      <c r="T401" s="194"/>
      <c r="U401" s="194"/>
      <c r="V401" s="194"/>
      <c r="W401" s="194"/>
      <c r="X401" s="194"/>
      <c r="Y401" s="194"/>
      <c r="Z401" s="194"/>
      <c r="AA401" s="194"/>
      <c r="AB401" s="194"/>
      <c r="AC401" s="194"/>
      <c r="AD401" s="194"/>
      <c r="AE401" s="194"/>
      <c r="AF401" s="194"/>
      <c r="AG401" s="194"/>
      <c r="AH401" s="194"/>
      <c r="AI401" s="194"/>
      <c r="AJ401" s="194"/>
      <c r="AK401" s="194"/>
      <c r="AL401" s="194"/>
      <c r="AM401" s="194"/>
    </row>
    <row r="402" spans="1:39" ht="15.75" customHeight="1" x14ac:dyDescent="0.25">
      <c r="A402" s="194"/>
      <c r="B402" s="194"/>
      <c r="C402" s="194"/>
      <c r="D402" s="194"/>
      <c r="E402" s="194"/>
      <c r="F402" s="194"/>
      <c r="G402" s="194"/>
      <c r="H402" s="194"/>
      <c r="I402" s="194"/>
      <c r="J402" s="194"/>
      <c r="K402" s="194"/>
      <c r="L402" s="194"/>
      <c r="M402" s="194"/>
      <c r="N402" s="194"/>
      <c r="O402" s="194"/>
      <c r="P402" s="194"/>
      <c r="Q402" s="194"/>
      <c r="R402" s="194"/>
      <c r="S402" s="194"/>
      <c r="T402" s="194"/>
      <c r="U402" s="194"/>
      <c r="V402" s="194"/>
      <c r="W402" s="194"/>
      <c r="X402" s="194"/>
      <c r="Y402" s="194"/>
      <c r="Z402" s="194"/>
      <c r="AA402" s="194"/>
      <c r="AB402" s="194"/>
      <c r="AC402" s="194"/>
      <c r="AD402" s="194"/>
      <c r="AE402" s="194"/>
      <c r="AF402" s="194"/>
      <c r="AG402" s="194"/>
      <c r="AH402" s="194"/>
      <c r="AI402" s="194"/>
      <c r="AJ402" s="194"/>
      <c r="AK402" s="194"/>
      <c r="AL402" s="194"/>
      <c r="AM402" s="194"/>
    </row>
    <row r="403" spans="1:39" ht="15.75" customHeight="1" x14ac:dyDescent="0.25">
      <c r="A403" s="194"/>
      <c r="B403" s="194"/>
      <c r="C403" s="194"/>
      <c r="D403" s="194"/>
      <c r="E403" s="194"/>
      <c r="F403" s="194"/>
      <c r="G403" s="194"/>
      <c r="H403" s="194"/>
      <c r="I403" s="194"/>
      <c r="J403" s="194"/>
      <c r="K403" s="194"/>
      <c r="L403" s="194"/>
      <c r="M403" s="194"/>
      <c r="N403" s="194"/>
      <c r="O403" s="194"/>
      <c r="P403" s="194"/>
      <c r="Q403" s="194"/>
      <c r="R403" s="194"/>
      <c r="S403" s="194"/>
      <c r="T403" s="194"/>
      <c r="U403" s="194"/>
      <c r="V403" s="194"/>
      <c r="W403" s="194"/>
      <c r="X403" s="194"/>
      <c r="Y403" s="194"/>
      <c r="Z403" s="194"/>
      <c r="AA403" s="194"/>
      <c r="AB403" s="194"/>
      <c r="AC403" s="194"/>
      <c r="AD403" s="194"/>
      <c r="AE403" s="194"/>
      <c r="AF403" s="194"/>
      <c r="AG403" s="194"/>
      <c r="AH403" s="194"/>
      <c r="AI403" s="194"/>
      <c r="AJ403" s="194"/>
      <c r="AK403" s="194"/>
      <c r="AL403" s="194"/>
      <c r="AM403" s="194"/>
    </row>
    <row r="404" spans="1:39" ht="15.75" customHeight="1" x14ac:dyDescent="0.25">
      <c r="A404" s="194"/>
      <c r="B404" s="194"/>
      <c r="C404" s="194"/>
      <c r="D404" s="194"/>
      <c r="E404" s="194"/>
      <c r="F404" s="194"/>
      <c r="G404" s="194"/>
      <c r="H404" s="194"/>
      <c r="I404" s="194"/>
      <c r="J404" s="194"/>
      <c r="K404" s="194"/>
      <c r="L404" s="194"/>
      <c r="M404" s="194"/>
      <c r="N404" s="194"/>
      <c r="O404" s="194"/>
      <c r="P404" s="194"/>
      <c r="Q404" s="194"/>
      <c r="R404" s="194"/>
      <c r="S404" s="194"/>
      <c r="T404" s="194"/>
      <c r="U404" s="194"/>
      <c r="V404" s="194"/>
      <c r="W404" s="194"/>
      <c r="X404" s="194"/>
      <c r="Y404" s="194"/>
      <c r="Z404" s="194"/>
      <c r="AA404" s="194"/>
      <c r="AB404" s="194"/>
      <c r="AC404" s="194"/>
      <c r="AD404" s="194"/>
      <c r="AE404" s="194"/>
      <c r="AF404" s="194"/>
      <c r="AG404" s="194"/>
      <c r="AH404" s="194"/>
      <c r="AI404" s="194"/>
      <c r="AJ404" s="194"/>
      <c r="AK404" s="194"/>
      <c r="AL404" s="194"/>
      <c r="AM404" s="194"/>
    </row>
    <row r="405" spans="1:39" ht="15.75" customHeight="1" x14ac:dyDescent="0.25">
      <c r="A405" s="194"/>
      <c r="B405" s="194"/>
      <c r="C405" s="194"/>
      <c r="D405" s="194"/>
      <c r="E405" s="194"/>
      <c r="F405" s="194"/>
      <c r="G405" s="194"/>
      <c r="H405" s="194"/>
      <c r="I405" s="194"/>
      <c r="J405" s="194"/>
      <c r="K405" s="194"/>
      <c r="L405" s="194"/>
      <c r="M405" s="194"/>
      <c r="N405" s="194"/>
      <c r="O405" s="194"/>
      <c r="P405" s="194"/>
      <c r="Q405" s="194"/>
      <c r="R405" s="194"/>
      <c r="S405" s="194"/>
      <c r="T405" s="194"/>
      <c r="U405" s="194"/>
      <c r="V405" s="194"/>
      <c r="W405" s="194"/>
      <c r="X405" s="194"/>
      <c r="Y405" s="194"/>
      <c r="Z405" s="194"/>
      <c r="AA405" s="194"/>
      <c r="AB405" s="194"/>
      <c r="AC405" s="194"/>
      <c r="AD405" s="194"/>
      <c r="AE405" s="194"/>
      <c r="AF405" s="194"/>
      <c r="AG405" s="194"/>
      <c r="AH405" s="194"/>
      <c r="AI405" s="194"/>
      <c r="AJ405" s="194"/>
      <c r="AK405" s="194"/>
      <c r="AL405" s="194"/>
      <c r="AM405" s="194"/>
    </row>
    <row r="406" spans="1:39" ht="15.75" customHeight="1" x14ac:dyDescent="0.25">
      <c r="A406" s="194"/>
      <c r="B406" s="194"/>
      <c r="C406" s="194"/>
      <c r="D406" s="194"/>
      <c r="E406" s="194"/>
      <c r="F406" s="194"/>
      <c r="G406" s="194"/>
      <c r="H406" s="194"/>
      <c r="I406" s="194"/>
      <c r="J406" s="194"/>
      <c r="K406" s="194"/>
      <c r="L406" s="194"/>
      <c r="M406" s="194"/>
      <c r="N406" s="194"/>
      <c r="O406" s="194"/>
      <c r="P406" s="194"/>
      <c r="Q406" s="194"/>
      <c r="R406" s="194"/>
      <c r="S406" s="194"/>
      <c r="T406" s="194"/>
      <c r="U406" s="194"/>
      <c r="V406" s="194"/>
      <c r="W406" s="194"/>
      <c r="X406" s="194"/>
      <c r="Y406" s="194"/>
      <c r="Z406" s="194"/>
      <c r="AA406" s="194"/>
      <c r="AB406" s="194"/>
      <c r="AC406" s="194"/>
      <c r="AD406" s="194"/>
      <c r="AE406" s="194"/>
      <c r="AF406" s="194"/>
      <c r="AG406" s="194"/>
      <c r="AH406" s="194"/>
      <c r="AI406" s="194"/>
      <c r="AJ406" s="194"/>
      <c r="AK406" s="194"/>
      <c r="AL406" s="194"/>
      <c r="AM406" s="194"/>
    </row>
    <row r="407" spans="1:39" ht="15.75" customHeight="1" x14ac:dyDescent="0.25">
      <c r="A407" s="194"/>
      <c r="B407" s="194"/>
      <c r="C407" s="194"/>
      <c r="D407" s="194"/>
      <c r="E407" s="194"/>
      <c r="F407" s="194"/>
      <c r="G407" s="194"/>
      <c r="H407" s="194"/>
      <c r="I407" s="194"/>
      <c r="J407" s="194"/>
      <c r="K407" s="194"/>
      <c r="L407" s="194"/>
      <c r="M407" s="194"/>
      <c r="N407" s="194"/>
      <c r="O407" s="194"/>
      <c r="P407" s="194"/>
      <c r="Q407" s="194"/>
      <c r="R407" s="194"/>
      <c r="S407" s="194"/>
      <c r="T407" s="194"/>
      <c r="U407" s="194"/>
      <c r="V407" s="194"/>
      <c r="W407" s="194"/>
      <c r="X407" s="194"/>
      <c r="Y407" s="194"/>
      <c r="Z407" s="194"/>
      <c r="AA407" s="194"/>
      <c r="AB407" s="194"/>
      <c r="AC407" s="194"/>
      <c r="AD407" s="194"/>
      <c r="AE407" s="194"/>
      <c r="AF407" s="194"/>
      <c r="AG407" s="194"/>
      <c r="AH407" s="194"/>
      <c r="AI407" s="194"/>
      <c r="AJ407" s="194"/>
      <c r="AK407" s="194"/>
      <c r="AL407" s="194"/>
      <c r="AM407" s="194"/>
    </row>
    <row r="408" spans="1:39" ht="15.75" customHeight="1" x14ac:dyDescent="0.25">
      <c r="A408" s="194"/>
      <c r="B408" s="194"/>
      <c r="C408" s="194"/>
      <c r="D408" s="194"/>
      <c r="E408" s="194"/>
      <c r="F408" s="194"/>
      <c r="G408" s="194"/>
      <c r="H408" s="194"/>
      <c r="I408" s="194"/>
      <c r="J408" s="194"/>
      <c r="K408" s="194"/>
      <c r="L408" s="194"/>
      <c r="M408" s="194"/>
      <c r="N408" s="194"/>
      <c r="O408" s="194"/>
      <c r="P408" s="194"/>
      <c r="Q408" s="194"/>
      <c r="R408" s="194"/>
      <c r="S408" s="194"/>
      <c r="T408" s="194"/>
      <c r="U408" s="194"/>
      <c r="V408" s="194"/>
      <c r="W408" s="194"/>
      <c r="X408" s="194"/>
      <c r="Y408" s="194"/>
      <c r="Z408" s="194"/>
      <c r="AA408" s="194"/>
      <c r="AB408" s="194"/>
      <c r="AC408" s="194"/>
      <c r="AD408" s="194"/>
      <c r="AE408" s="194"/>
      <c r="AF408" s="194"/>
      <c r="AG408" s="194"/>
      <c r="AH408" s="194"/>
      <c r="AI408" s="194"/>
      <c r="AJ408" s="194"/>
      <c r="AK408" s="194"/>
      <c r="AL408" s="194"/>
      <c r="AM408" s="194"/>
    </row>
    <row r="409" spans="1:39" ht="15.75" customHeight="1" x14ac:dyDescent="0.25">
      <c r="A409" s="194"/>
      <c r="B409" s="194"/>
      <c r="C409" s="194"/>
      <c r="D409" s="194"/>
      <c r="E409" s="194"/>
      <c r="F409" s="194"/>
      <c r="G409" s="194"/>
      <c r="H409" s="194"/>
      <c r="I409" s="194"/>
      <c r="J409" s="194"/>
      <c r="K409" s="194"/>
      <c r="L409" s="194"/>
      <c r="M409" s="194"/>
      <c r="N409" s="194"/>
      <c r="O409" s="194"/>
      <c r="P409" s="194"/>
      <c r="Q409" s="194"/>
      <c r="R409" s="194"/>
      <c r="S409" s="194"/>
      <c r="T409" s="194"/>
      <c r="U409" s="194"/>
      <c r="V409" s="194"/>
      <c r="W409" s="194"/>
      <c r="X409" s="194"/>
      <c r="Y409" s="194"/>
      <c r="Z409" s="194"/>
      <c r="AA409" s="194"/>
      <c r="AB409" s="194"/>
      <c r="AC409" s="194"/>
      <c r="AD409" s="194"/>
      <c r="AE409" s="194"/>
      <c r="AF409" s="194"/>
      <c r="AG409" s="194"/>
      <c r="AH409" s="194"/>
      <c r="AI409" s="194"/>
      <c r="AJ409" s="194"/>
      <c r="AK409" s="194"/>
      <c r="AL409" s="194"/>
      <c r="AM409" s="194"/>
    </row>
    <row r="410" spans="1:39" ht="15.75" customHeight="1" x14ac:dyDescent="0.25">
      <c r="A410" s="194"/>
      <c r="B410" s="194"/>
      <c r="C410" s="194"/>
      <c r="D410" s="194"/>
      <c r="E410" s="194"/>
      <c r="F410" s="194"/>
      <c r="G410" s="194"/>
      <c r="H410" s="194"/>
      <c r="I410" s="194"/>
      <c r="J410" s="194"/>
      <c r="K410" s="194"/>
      <c r="L410" s="194"/>
      <c r="M410" s="194"/>
      <c r="N410" s="194"/>
      <c r="O410" s="194"/>
      <c r="P410" s="194"/>
      <c r="Q410" s="194"/>
      <c r="R410" s="194"/>
      <c r="S410" s="194"/>
      <c r="T410" s="194"/>
      <c r="U410" s="194"/>
      <c r="V410" s="194"/>
      <c r="W410" s="194"/>
      <c r="X410" s="194"/>
      <c r="Y410" s="194"/>
      <c r="Z410" s="194"/>
      <c r="AA410" s="194"/>
      <c r="AB410" s="194"/>
      <c r="AC410" s="194"/>
      <c r="AD410" s="194"/>
      <c r="AE410" s="194"/>
      <c r="AF410" s="194"/>
      <c r="AG410" s="194"/>
      <c r="AH410" s="194"/>
      <c r="AI410" s="194"/>
      <c r="AJ410" s="194"/>
      <c r="AK410" s="194"/>
      <c r="AL410" s="194"/>
      <c r="AM410" s="194"/>
    </row>
    <row r="411" spans="1:39" ht="15.75" customHeight="1" x14ac:dyDescent="0.25">
      <c r="A411" s="194"/>
      <c r="B411" s="194"/>
      <c r="C411" s="194"/>
      <c r="D411" s="194"/>
      <c r="E411" s="194"/>
      <c r="F411" s="194"/>
      <c r="G411" s="194"/>
      <c r="H411" s="194"/>
      <c r="I411" s="194"/>
      <c r="J411" s="194"/>
      <c r="K411" s="194"/>
      <c r="L411" s="194"/>
      <c r="M411" s="194"/>
      <c r="N411" s="194"/>
      <c r="O411" s="194"/>
      <c r="P411" s="194"/>
      <c r="Q411" s="194"/>
      <c r="R411" s="194"/>
      <c r="S411" s="194"/>
      <c r="T411" s="194"/>
      <c r="U411" s="194"/>
      <c r="V411" s="194"/>
      <c r="W411" s="194"/>
      <c r="X411" s="194"/>
      <c r="Y411" s="194"/>
      <c r="Z411" s="194"/>
      <c r="AA411" s="194"/>
      <c r="AB411" s="194"/>
      <c r="AC411" s="194"/>
      <c r="AD411" s="194"/>
      <c r="AE411" s="194"/>
      <c r="AF411" s="194"/>
      <c r="AG411" s="194"/>
      <c r="AH411" s="194"/>
      <c r="AI411" s="194"/>
      <c r="AJ411" s="194"/>
      <c r="AK411" s="194"/>
      <c r="AL411" s="194"/>
      <c r="AM411" s="194"/>
    </row>
    <row r="412" spans="1:39" ht="15.75" customHeight="1" x14ac:dyDescent="0.25">
      <c r="A412" s="194"/>
      <c r="B412" s="194"/>
      <c r="C412" s="194"/>
      <c r="D412" s="194"/>
      <c r="E412" s="194"/>
      <c r="F412" s="194"/>
      <c r="G412" s="194"/>
      <c r="H412" s="194"/>
      <c r="I412" s="194"/>
      <c r="J412" s="194"/>
      <c r="K412" s="194"/>
      <c r="L412" s="194"/>
      <c r="M412" s="194"/>
      <c r="N412" s="194"/>
      <c r="O412" s="194"/>
      <c r="P412" s="194"/>
      <c r="Q412" s="194"/>
      <c r="R412" s="194"/>
      <c r="S412" s="194"/>
      <c r="T412" s="194"/>
      <c r="U412" s="194"/>
      <c r="V412" s="194"/>
      <c r="W412" s="194"/>
      <c r="X412" s="194"/>
      <c r="Y412" s="194"/>
      <c r="Z412" s="194"/>
      <c r="AA412" s="194"/>
      <c r="AB412" s="194"/>
      <c r="AC412" s="194"/>
      <c r="AD412" s="194"/>
      <c r="AE412" s="194"/>
      <c r="AF412" s="194"/>
      <c r="AG412" s="194"/>
      <c r="AH412" s="194"/>
      <c r="AI412" s="194"/>
      <c r="AJ412" s="194"/>
      <c r="AK412" s="194"/>
      <c r="AL412" s="194"/>
      <c r="AM412" s="194"/>
    </row>
    <row r="413" spans="1:39" ht="15.75" customHeight="1" x14ac:dyDescent="0.25">
      <c r="A413" s="194"/>
      <c r="B413" s="194"/>
      <c r="C413" s="194"/>
      <c r="D413" s="194"/>
      <c r="E413" s="194"/>
      <c r="F413" s="194"/>
      <c r="G413" s="194"/>
      <c r="H413" s="194"/>
      <c r="I413" s="194"/>
      <c r="J413" s="194"/>
      <c r="K413" s="194"/>
      <c r="L413" s="194"/>
      <c r="M413" s="194"/>
      <c r="N413" s="194"/>
      <c r="O413" s="194"/>
      <c r="P413" s="194"/>
      <c r="Q413" s="194"/>
      <c r="R413" s="194"/>
      <c r="S413" s="194"/>
      <c r="T413" s="194"/>
      <c r="U413" s="194"/>
      <c r="V413" s="194"/>
      <c r="W413" s="194"/>
      <c r="X413" s="194"/>
      <c r="Y413" s="194"/>
      <c r="Z413" s="194"/>
      <c r="AA413" s="194"/>
      <c r="AB413" s="194"/>
      <c r="AC413" s="194"/>
      <c r="AD413" s="194"/>
      <c r="AE413" s="194"/>
      <c r="AF413" s="194"/>
      <c r="AG413" s="194"/>
      <c r="AH413" s="194"/>
      <c r="AI413" s="194"/>
      <c r="AJ413" s="194"/>
      <c r="AK413" s="194"/>
      <c r="AL413" s="194"/>
      <c r="AM413" s="194"/>
    </row>
    <row r="414" spans="1:39" ht="15.75" customHeight="1" x14ac:dyDescent="0.25">
      <c r="A414" s="194"/>
      <c r="B414" s="194"/>
      <c r="C414" s="194"/>
      <c r="D414" s="194"/>
      <c r="E414" s="194"/>
      <c r="F414" s="194"/>
      <c r="G414" s="194"/>
      <c r="H414" s="194"/>
      <c r="I414" s="194"/>
      <c r="J414" s="194"/>
      <c r="K414" s="194"/>
      <c r="L414" s="194"/>
      <c r="M414" s="194"/>
      <c r="N414" s="194"/>
      <c r="O414" s="194"/>
      <c r="P414" s="194"/>
      <c r="Q414" s="194"/>
      <c r="R414" s="194"/>
      <c r="S414" s="194"/>
      <c r="T414" s="194"/>
      <c r="U414" s="194"/>
      <c r="V414" s="194"/>
      <c r="W414" s="194"/>
      <c r="X414" s="194"/>
      <c r="Y414" s="194"/>
      <c r="Z414" s="194"/>
      <c r="AA414" s="194"/>
      <c r="AB414" s="194"/>
      <c r="AC414" s="194"/>
      <c r="AD414" s="194"/>
      <c r="AE414" s="194"/>
      <c r="AF414" s="194"/>
      <c r="AG414" s="194"/>
      <c r="AH414" s="194"/>
      <c r="AI414" s="194"/>
      <c r="AJ414" s="194"/>
      <c r="AK414" s="194"/>
      <c r="AL414" s="194"/>
      <c r="AM414" s="194"/>
    </row>
    <row r="415" spans="1:39" ht="15.75" customHeight="1" x14ac:dyDescent="0.25">
      <c r="A415" s="194"/>
      <c r="B415" s="194"/>
      <c r="C415" s="194"/>
      <c r="D415" s="194"/>
      <c r="E415" s="194"/>
      <c r="F415" s="194"/>
      <c r="G415" s="194"/>
      <c r="H415" s="194"/>
      <c r="I415" s="194"/>
      <c r="J415" s="194"/>
      <c r="K415" s="194"/>
      <c r="L415" s="194"/>
      <c r="M415" s="194"/>
      <c r="N415" s="194"/>
      <c r="O415" s="194"/>
      <c r="P415" s="194"/>
      <c r="Q415" s="194"/>
      <c r="R415" s="194"/>
      <c r="S415" s="194"/>
      <c r="T415" s="194"/>
      <c r="U415" s="194"/>
      <c r="V415" s="194"/>
      <c r="W415" s="194"/>
      <c r="X415" s="194"/>
      <c r="Y415" s="194"/>
      <c r="Z415" s="194"/>
      <c r="AA415" s="194"/>
      <c r="AB415" s="194"/>
      <c r="AC415" s="194"/>
      <c r="AD415" s="194"/>
      <c r="AE415" s="194"/>
      <c r="AF415" s="194"/>
      <c r="AG415" s="194"/>
      <c r="AH415" s="194"/>
      <c r="AI415" s="194"/>
      <c r="AJ415" s="194"/>
      <c r="AK415" s="194"/>
      <c r="AL415" s="194"/>
      <c r="AM415" s="194"/>
    </row>
    <row r="416" spans="1:39" ht="15.75" customHeight="1" x14ac:dyDescent="0.25">
      <c r="A416" s="194"/>
      <c r="B416" s="194"/>
      <c r="C416" s="194"/>
      <c r="D416" s="194"/>
      <c r="E416" s="194"/>
      <c r="F416" s="194"/>
      <c r="G416" s="194"/>
      <c r="H416" s="194"/>
      <c r="I416" s="194"/>
      <c r="J416" s="194"/>
      <c r="K416" s="194"/>
      <c r="L416" s="194"/>
      <c r="M416" s="194"/>
      <c r="N416" s="194"/>
      <c r="O416" s="194"/>
      <c r="P416" s="194"/>
      <c r="Q416" s="194"/>
      <c r="R416" s="194"/>
      <c r="S416" s="194"/>
      <c r="T416" s="194"/>
      <c r="U416" s="194"/>
      <c r="V416" s="194"/>
      <c r="W416" s="194"/>
      <c r="X416" s="194"/>
      <c r="Y416" s="194"/>
      <c r="Z416" s="194"/>
      <c r="AA416" s="194"/>
      <c r="AB416" s="194"/>
      <c r="AC416" s="194"/>
      <c r="AD416" s="194"/>
      <c r="AE416" s="194"/>
      <c r="AF416" s="194"/>
      <c r="AG416" s="194"/>
      <c r="AH416" s="194"/>
      <c r="AI416" s="194"/>
      <c r="AJ416" s="194"/>
      <c r="AK416" s="194"/>
      <c r="AL416" s="194"/>
      <c r="AM416" s="194"/>
    </row>
    <row r="417" spans="1:39" ht="15.75" customHeight="1" x14ac:dyDescent="0.25">
      <c r="A417" s="194"/>
      <c r="B417" s="194"/>
      <c r="C417" s="194"/>
      <c r="D417" s="194"/>
      <c r="E417" s="194"/>
      <c r="F417" s="194"/>
      <c r="G417" s="194"/>
      <c r="H417" s="194"/>
      <c r="I417" s="194"/>
      <c r="J417" s="194"/>
      <c r="K417" s="194"/>
      <c r="L417" s="194"/>
      <c r="M417" s="194"/>
      <c r="N417" s="194"/>
      <c r="O417" s="194"/>
      <c r="P417" s="194"/>
      <c r="Q417" s="194"/>
      <c r="R417" s="194"/>
      <c r="S417" s="194"/>
      <c r="T417" s="194"/>
      <c r="U417" s="194"/>
      <c r="V417" s="194"/>
      <c r="W417" s="194"/>
      <c r="X417" s="194"/>
      <c r="Y417" s="194"/>
      <c r="Z417" s="194"/>
      <c r="AA417" s="194"/>
      <c r="AB417" s="194"/>
      <c r="AC417" s="194"/>
      <c r="AD417" s="194"/>
      <c r="AE417" s="194"/>
      <c r="AF417" s="194"/>
      <c r="AG417" s="194"/>
      <c r="AH417" s="194"/>
      <c r="AI417" s="194"/>
      <c r="AJ417" s="194"/>
      <c r="AK417" s="194"/>
      <c r="AL417" s="194"/>
      <c r="AM417" s="194"/>
    </row>
    <row r="418" spans="1:39" ht="15.75" customHeight="1" x14ac:dyDescent="0.25">
      <c r="A418" s="194"/>
      <c r="B418" s="194"/>
      <c r="C418" s="194"/>
      <c r="D418" s="194"/>
      <c r="E418" s="194"/>
      <c r="F418" s="194"/>
      <c r="G418" s="194"/>
      <c r="H418" s="194"/>
      <c r="I418" s="194"/>
      <c r="J418" s="194"/>
      <c r="K418" s="194"/>
      <c r="L418" s="194"/>
      <c r="M418" s="194"/>
      <c r="N418" s="194"/>
      <c r="O418" s="194"/>
      <c r="P418" s="194"/>
      <c r="Q418" s="194"/>
      <c r="R418" s="194"/>
      <c r="S418" s="194"/>
      <c r="T418" s="194"/>
      <c r="U418" s="194"/>
      <c r="V418" s="194"/>
      <c r="W418" s="194"/>
      <c r="X418" s="194"/>
      <c r="Y418" s="194"/>
      <c r="Z418" s="194"/>
      <c r="AA418" s="194"/>
      <c r="AB418" s="194"/>
      <c r="AC418" s="194"/>
      <c r="AD418" s="194"/>
      <c r="AE418" s="194"/>
      <c r="AF418" s="194"/>
      <c r="AG418" s="194"/>
      <c r="AH418" s="194"/>
      <c r="AI418" s="194"/>
      <c r="AJ418" s="194"/>
      <c r="AK418" s="194"/>
      <c r="AL418" s="194"/>
      <c r="AM418" s="194"/>
    </row>
    <row r="419" spans="1:39" ht="15.75" customHeight="1" x14ac:dyDescent="0.25">
      <c r="A419" s="194"/>
      <c r="B419" s="194"/>
      <c r="C419" s="194"/>
      <c r="D419" s="194"/>
      <c r="E419" s="194"/>
      <c r="F419" s="194"/>
      <c r="G419" s="194"/>
      <c r="H419" s="194"/>
      <c r="I419" s="194"/>
      <c r="J419" s="194"/>
      <c r="K419" s="194"/>
      <c r="L419" s="194"/>
      <c r="M419" s="194"/>
      <c r="N419" s="194"/>
      <c r="O419" s="194"/>
      <c r="P419" s="194"/>
      <c r="Q419" s="194"/>
      <c r="R419" s="194"/>
      <c r="S419" s="194"/>
      <c r="T419" s="194"/>
      <c r="U419" s="194"/>
      <c r="V419" s="194"/>
      <c r="W419" s="194"/>
      <c r="X419" s="194"/>
      <c r="Y419" s="194"/>
      <c r="Z419" s="194"/>
      <c r="AA419" s="194"/>
      <c r="AB419" s="194"/>
      <c r="AC419" s="194"/>
      <c r="AD419" s="194"/>
      <c r="AE419" s="194"/>
      <c r="AF419" s="194"/>
      <c r="AG419" s="194"/>
      <c r="AH419" s="194"/>
      <c r="AI419" s="194"/>
      <c r="AJ419" s="194"/>
      <c r="AK419" s="194"/>
      <c r="AL419" s="194"/>
      <c r="AM419" s="194"/>
    </row>
    <row r="420" spans="1:39" ht="15.75" customHeight="1" x14ac:dyDescent="0.25">
      <c r="A420" s="194"/>
      <c r="B420" s="194"/>
      <c r="C420" s="194"/>
      <c r="D420" s="194"/>
      <c r="E420" s="194"/>
      <c r="F420" s="194"/>
      <c r="G420" s="194"/>
      <c r="H420" s="194"/>
      <c r="I420" s="194"/>
      <c r="J420" s="194"/>
      <c r="K420" s="194"/>
      <c r="L420" s="194"/>
      <c r="M420" s="194"/>
      <c r="N420" s="194"/>
      <c r="O420" s="194"/>
      <c r="P420" s="194"/>
      <c r="Q420" s="194"/>
      <c r="R420" s="194"/>
      <c r="S420" s="194"/>
      <c r="T420" s="194"/>
      <c r="U420" s="194"/>
      <c r="V420" s="194"/>
      <c r="W420" s="194"/>
      <c r="X420" s="194"/>
      <c r="Y420" s="194"/>
      <c r="Z420" s="194"/>
      <c r="AA420" s="194"/>
      <c r="AB420" s="194"/>
      <c r="AC420" s="194"/>
      <c r="AD420" s="194"/>
      <c r="AE420" s="194"/>
      <c r="AF420" s="194"/>
      <c r="AG420" s="194"/>
      <c r="AH420" s="194"/>
      <c r="AI420" s="194"/>
      <c r="AJ420" s="194"/>
      <c r="AK420" s="194"/>
      <c r="AL420" s="194"/>
      <c r="AM420" s="194"/>
    </row>
    <row r="421" spans="1:39" ht="15.75" customHeight="1" x14ac:dyDescent="0.25">
      <c r="A421" s="194"/>
      <c r="B421" s="194"/>
      <c r="C421" s="194"/>
      <c r="D421" s="194"/>
      <c r="E421" s="194"/>
      <c r="F421" s="194"/>
      <c r="G421" s="194"/>
      <c r="H421" s="194"/>
      <c r="I421" s="194"/>
      <c r="J421" s="194"/>
      <c r="K421" s="194"/>
      <c r="L421" s="194"/>
      <c r="M421" s="194"/>
      <c r="N421" s="194"/>
      <c r="O421" s="194"/>
      <c r="P421" s="194"/>
      <c r="Q421" s="194"/>
      <c r="R421" s="194"/>
      <c r="S421" s="194"/>
      <c r="T421" s="194"/>
      <c r="U421" s="194"/>
      <c r="V421" s="194"/>
      <c r="W421" s="194"/>
      <c r="X421" s="194"/>
      <c r="Y421" s="194"/>
      <c r="Z421" s="194"/>
      <c r="AA421" s="194"/>
      <c r="AB421" s="194"/>
      <c r="AC421" s="194"/>
      <c r="AD421" s="194"/>
      <c r="AE421" s="194"/>
      <c r="AF421" s="194"/>
      <c r="AG421" s="194"/>
      <c r="AH421" s="194"/>
      <c r="AI421" s="194"/>
      <c r="AJ421" s="194"/>
      <c r="AK421" s="194"/>
      <c r="AL421" s="194"/>
      <c r="AM421" s="194"/>
    </row>
    <row r="422" spans="1:39" ht="15.75" customHeight="1" x14ac:dyDescent="0.25">
      <c r="A422" s="194"/>
      <c r="B422" s="194"/>
      <c r="C422" s="194"/>
      <c r="D422" s="194"/>
      <c r="E422" s="194"/>
      <c r="F422" s="194"/>
      <c r="G422" s="194"/>
      <c r="H422" s="194"/>
      <c r="I422" s="194"/>
      <c r="J422" s="194"/>
      <c r="K422" s="194"/>
      <c r="L422" s="194"/>
      <c r="M422" s="194"/>
      <c r="N422" s="194"/>
      <c r="O422" s="194"/>
      <c r="P422" s="194"/>
      <c r="Q422" s="194"/>
      <c r="R422" s="194"/>
      <c r="S422" s="194"/>
      <c r="T422" s="194"/>
      <c r="U422" s="194"/>
      <c r="V422" s="194"/>
      <c r="W422" s="194"/>
      <c r="X422" s="194"/>
      <c r="Y422" s="194"/>
      <c r="Z422" s="194"/>
      <c r="AA422" s="194"/>
      <c r="AB422" s="194"/>
      <c r="AC422" s="194"/>
      <c r="AD422" s="194"/>
      <c r="AE422" s="194"/>
      <c r="AF422" s="194"/>
      <c r="AG422" s="194"/>
      <c r="AH422" s="194"/>
      <c r="AI422" s="194"/>
      <c r="AJ422" s="194"/>
      <c r="AK422" s="194"/>
      <c r="AL422" s="194"/>
      <c r="AM422" s="194"/>
    </row>
    <row r="423" spans="1:39" ht="15.75" customHeight="1" x14ac:dyDescent="0.25">
      <c r="A423" s="194"/>
      <c r="B423" s="194"/>
      <c r="C423" s="194"/>
      <c r="D423" s="194"/>
      <c r="E423" s="194"/>
      <c r="F423" s="194"/>
      <c r="G423" s="194"/>
      <c r="H423" s="194"/>
      <c r="I423" s="194"/>
      <c r="J423" s="194"/>
      <c r="K423" s="194"/>
      <c r="L423" s="194"/>
      <c r="M423" s="194"/>
      <c r="N423" s="194"/>
      <c r="O423" s="194"/>
      <c r="P423" s="194"/>
      <c r="Q423" s="194"/>
      <c r="R423" s="194"/>
      <c r="S423" s="194"/>
      <c r="T423" s="194"/>
      <c r="U423" s="194"/>
      <c r="V423" s="194"/>
      <c r="W423" s="194"/>
      <c r="X423" s="194"/>
      <c r="Y423" s="194"/>
      <c r="Z423" s="194"/>
      <c r="AA423" s="194"/>
      <c r="AB423" s="194"/>
      <c r="AC423" s="194"/>
      <c r="AD423" s="194"/>
      <c r="AE423" s="194"/>
      <c r="AF423" s="194"/>
      <c r="AG423" s="194"/>
      <c r="AH423" s="194"/>
      <c r="AI423" s="194"/>
      <c r="AJ423" s="194"/>
      <c r="AK423" s="194"/>
      <c r="AL423" s="194"/>
      <c r="AM423" s="194"/>
    </row>
    <row r="424" spans="1:39" ht="15.75" customHeight="1" x14ac:dyDescent="0.25">
      <c r="A424" s="194"/>
      <c r="B424" s="194"/>
      <c r="C424" s="194"/>
      <c r="D424" s="194"/>
      <c r="E424" s="194"/>
      <c r="F424" s="194"/>
      <c r="G424" s="194"/>
      <c r="H424" s="194"/>
      <c r="I424" s="194"/>
      <c r="J424" s="194"/>
      <c r="K424" s="194"/>
      <c r="L424" s="194"/>
      <c r="M424" s="194"/>
      <c r="N424" s="194"/>
      <c r="O424" s="194"/>
      <c r="P424" s="194"/>
      <c r="Q424" s="194"/>
      <c r="R424" s="194"/>
      <c r="S424" s="194"/>
      <c r="T424" s="194"/>
      <c r="U424" s="194"/>
      <c r="V424" s="194"/>
      <c r="W424" s="194"/>
      <c r="X424" s="194"/>
      <c r="Y424" s="194"/>
      <c r="Z424" s="194"/>
      <c r="AA424" s="194"/>
      <c r="AB424" s="194"/>
      <c r="AC424" s="194"/>
      <c r="AD424" s="194"/>
      <c r="AE424" s="194"/>
      <c r="AF424" s="194"/>
      <c r="AG424" s="194"/>
      <c r="AH424" s="194"/>
      <c r="AI424" s="194"/>
      <c r="AJ424" s="194"/>
      <c r="AK424" s="194"/>
      <c r="AL424" s="194"/>
      <c r="AM424" s="194"/>
    </row>
    <row r="425" spans="1:39" ht="15.75" customHeight="1" x14ac:dyDescent="0.25">
      <c r="A425" s="194"/>
      <c r="B425" s="194"/>
      <c r="C425" s="194"/>
      <c r="D425" s="194"/>
      <c r="E425" s="194"/>
      <c r="F425" s="194"/>
      <c r="G425" s="194"/>
      <c r="H425" s="194"/>
      <c r="I425" s="194"/>
      <c r="J425" s="194"/>
      <c r="K425" s="194"/>
      <c r="L425" s="194"/>
      <c r="M425" s="194"/>
      <c r="N425" s="194"/>
      <c r="O425" s="194"/>
      <c r="P425" s="194"/>
      <c r="Q425" s="194"/>
      <c r="R425" s="194"/>
      <c r="S425" s="194"/>
      <c r="T425" s="194"/>
      <c r="U425" s="194"/>
      <c r="V425" s="194"/>
      <c r="W425" s="194"/>
      <c r="X425" s="194"/>
      <c r="Y425" s="194"/>
      <c r="Z425" s="194"/>
      <c r="AA425" s="194"/>
      <c r="AB425" s="194"/>
      <c r="AC425" s="194"/>
      <c r="AD425" s="194"/>
      <c r="AE425" s="194"/>
      <c r="AF425" s="194"/>
      <c r="AG425" s="194"/>
      <c r="AH425" s="194"/>
      <c r="AI425" s="194"/>
      <c r="AJ425" s="194"/>
      <c r="AK425" s="194"/>
      <c r="AL425" s="194"/>
      <c r="AM425" s="194"/>
    </row>
    <row r="426" spans="1:39" ht="15.75" customHeight="1" x14ac:dyDescent="0.25">
      <c r="A426" s="194"/>
      <c r="B426" s="194"/>
      <c r="C426" s="194"/>
      <c r="D426" s="194"/>
      <c r="E426" s="194"/>
      <c r="F426" s="194"/>
      <c r="G426" s="194"/>
      <c r="H426" s="194"/>
      <c r="I426" s="194"/>
      <c r="J426" s="194"/>
      <c r="K426" s="194"/>
      <c r="L426" s="194"/>
      <c r="M426" s="194"/>
      <c r="N426" s="194"/>
      <c r="O426" s="194"/>
      <c r="P426" s="194"/>
      <c r="Q426" s="194"/>
      <c r="R426" s="194"/>
      <c r="S426" s="194"/>
      <c r="T426" s="194"/>
      <c r="U426" s="194"/>
      <c r="V426" s="194"/>
      <c r="W426" s="194"/>
      <c r="X426" s="194"/>
      <c r="Y426" s="194"/>
      <c r="Z426" s="194"/>
      <c r="AA426" s="194"/>
      <c r="AB426" s="194"/>
      <c r="AC426" s="194"/>
      <c r="AD426" s="194"/>
      <c r="AE426" s="194"/>
      <c r="AF426" s="194"/>
      <c r="AG426" s="194"/>
      <c r="AH426" s="194"/>
      <c r="AI426" s="194"/>
      <c r="AJ426" s="194"/>
      <c r="AK426" s="194"/>
      <c r="AL426" s="194"/>
      <c r="AM426" s="194"/>
    </row>
    <row r="427" spans="1:39" ht="15.75" customHeight="1" x14ac:dyDescent="0.25">
      <c r="A427" s="194"/>
      <c r="B427" s="194"/>
      <c r="C427" s="194"/>
      <c r="D427" s="194"/>
      <c r="E427" s="194"/>
      <c r="F427" s="194"/>
      <c r="G427" s="194"/>
      <c r="H427" s="194"/>
      <c r="I427" s="194"/>
      <c r="J427" s="194"/>
      <c r="K427" s="194"/>
      <c r="L427" s="194"/>
      <c r="M427" s="194"/>
      <c r="N427" s="194"/>
      <c r="O427" s="194"/>
      <c r="P427" s="194"/>
      <c r="Q427" s="194"/>
      <c r="R427" s="194"/>
      <c r="S427" s="194"/>
      <c r="T427" s="194"/>
      <c r="U427" s="194"/>
      <c r="V427" s="194"/>
      <c r="W427" s="194"/>
      <c r="X427" s="194"/>
      <c r="Y427" s="194"/>
      <c r="Z427" s="194"/>
      <c r="AA427" s="194"/>
      <c r="AB427" s="194"/>
      <c r="AC427" s="194"/>
      <c r="AD427" s="194"/>
      <c r="AE427" s="194"/>
      <c r="AF427" s="194"/>
      <c r="AG427" s="194"/>
      <c r="AH427" s="194"/>
      <c r="AI427" s="194"/>
      <c r="AJ427" s="194"/>
      <c r="AK427" s="194"/>
      <c r="AL427" s="194"/>
      <c r="AM427" s="194"/>
    </row>
    <row r="428" spans="1:39" ht="15.75" customHeight="1" x14ac:dyDescent="0.25">
      <c r="A428" s="194"/>
      <c r="B428" s="194"/>
      <c r="C428" s="194"/>
      <c r="D428" s="194"/>
      <c r="E428" s="194"/>
      <c r="F428" s="194"/>
      <c r="G428" s="194"/>
      <c r="H428" s="194"/>
      <c r="I428" s="194"/>
      <c r="J428" s="194"/>
      <c r="K428" s="194"/>
      <c r="L428" s="194"/>
      <c r="M428" s="194"/>
      <c r="N428" s="194"/>
      <c r="O428" s="194"/>
      <c r="P428" s="194"/>
      <c r="Q428" s="194"/>
      <c r="R428" s="194"/>
      <c r="S428" s="194"/>
      <c r="T428" s="194"/>
      <c r="U428" s="194"/>
      <c r="V428" s="194"/>
      <c r="W428" s="194"/>
      <c r="X428" s="194"/>
      <c r="Y428" s="194"/>
      <c r="Z428" s="194"/>
      <c r="AA428" s="194"/>
      <c r="AB428" s="194"/>
      <c r="AC428" s="194"/>
      <c r="AD428" s="194"/>
      <c r="AE428" s="194"/>
      <c r="AF428" s="194"/>
      <c r="AG428" s="194"/>
      <c r="AH428" s="194"/>
      <c r="AI428" s="194"/>
      <c r="AJ428" s="194"/>
      <c r="AK428" s="194"/>
      <c r="AL428" s="194"/>
      <c r="AM428" s="194"/>
    </row>
    <row r="429" spans="1:39" ht="15.75" customHeight="1" x14ac:dyDescent="0.25">
      <c r="A429" s="194"/>
      <c r="B429" s="194"/>
      <c r="C429" s="194"/>
      <c r="D429" s="194"/>
      <c r="E429" s="194"/>
      <c r="F429" s="194"/>
      <c r="G429" s="194"/>
      <c r="H429" s="194"/>
      <c r="I429" s="194"/>
      <c r="J429" s="194"/>
      <c r="K429" s="194"/>
      <c r="L429" s="194"/>
      <c r="M429" s="194"/>
      <c r="N429" s="194"/>
      <c r="O429" s="194"/>
      <c r="P429" s="194"/>
      <c r="Q429" s="194"/>
      <c r="R429" s="194"/>
      <c r="S429" s="194"/>
      <c r="T429" s="194"/>
      <c r="U429" s="194"/>
      <c r="V429" s="194"/>
      <c r="W429" s="194"/>
      <c r="X429" s="194"/>
      <c r="Y429" s="194"/>
      <c r="Z429" s="194"/>
      <c r="AA429" s="194"/>
      <c r="AB429" s="194"/>
      <c r="AC429" s="194"/>
      <c r="AD429" s="194"/>
      <c r="AE429" s="194"/>
      <c r="AF429" s="194"/>
      <c r="AG429" s="194"/>
      <c r="AH429" s="194"/>
      <c r="AI429" s="194"/>
      <c r="AJ429" s="194"/>
      <c r="AK429" s="194"/>
      <c r="AL429" s="194"/>
      <c r="AM429" s="194"/>
    </row>
    <row r="430" spans="1:39" ht="15.75" customHeight="1" x14ac:dyDescent="0.25">
      <c r="A430" s="194"/>
      <c r="B430" s="194"/>
      <c r="C430" s="194"/>
      <c r="D430" s="194"/>
      <c r="E430" s="194"/>
      <c r="F430" s="194"/>
      <c r="G430" s="194"/>
      <c r="H430" s="194"/>
      <c r="I430" s="194"/>
      <c r="J430" s="194"/>
      <c r="K430" s="194"/>
      <c r="L430" s="194"/>
      <c r="M430" s="194"/>
      <c r="N430" s="194"/>
      <c r="O430" s="194"/>
      <c r="P430" s="194"/>
      <c r="Q430" s="194"/>
      <c r="R430" s="194"/>
      <c r="S430" s="194"/>
      <c r="T430" s="194"/>
      <c r="U430" s="194"/>
      <c r="V430" s="194"/>
      <c r="W430" s="194"/>
      <c r="X430" s="194"/>
      <c r="Y430" s="194"/>
      <c r="Z430" s="194"/>
      <c r="AA430" s="194"/>
      <c r="AB430" s="194"/>
      <c r="AC430" s="194"/>
      <c r="AD430" s="194"/>
      <c r="AE430" s="194"/>
      <c r="AF430" s="194"/>
      <c r="AG430" s="194"/>
      <c r="AH430" s="194"/>
      <c r="AI430" s="194"/>
      <c r="AJ430" s="194"/>
      <c r="AK430" s="194"/>
      <c r="AL430" s="194"/>
      <c r="AM430" s="194"/>
    </row>
    <row r="431" spans="1:39" ht="15.75" customHeight="1" x14ac:dyDescent="0.25">
      <c r="A431" s="194"/>
      <c r="B431" s="194"/>
      <c r="C431" s="194"/>
      <c r="D431" s="194"/>
      <c r="E431" s="194"/>
      <c r="F431" s="194"/>
      <c r="G431" s="194"/>
      <c r="H431" s="194"/>
      <c r="I431" s="194"/>
      <c r="J431" s="194"/>
      <c r="K431" s="194"/>
      <c r="L431" s="194"/>
      <c r="M431" s="194"/>
      <c r="N431" s="194"/>
      <c r="O431" s="194"/>
      <c r="P431" s="194"/>
      <c r="Q431" s="194"/>
      <c r="R431" s="194"/>
      <c r="S431" s="194"/>
      <c r="T431" s="194"/>
      <c r="U431" s="194"/>
      <c r="V431" s="194"/>
      <c r="W431" s="194"/>
      <c r="X431" s="194"/>
      <c r="Y431" s="194"/>
      <c r="Z431" s="194"/>
      <c r="AA431" s="194"/>
      <c r="AB431" s="194"/>
      <c r="AC431" s="194"/>
      <c r="AD431" s="194"/>
      <c r="AE431" s="194"/>
      <c r="AF431" s="194"/>
      <c r="AG431" s="194"/>
      <c r="AH431" s="194"/>
      <c r="AI431" s="194"/>
      <c r="AJ431" s="194"/>
      <c r="AK431" s="194"/>
      <c r="AL431" s="194"/>
      <c r="AM431" s="194"/>
    </row>
    <row r="432" spans="1:39" ht="15.75" customHeight="1" x14ac:dyDescent="0.25">
      <c r="A432" s="194"/>
      <c r="B432" s="194"/>
      <c r="C432" s="194"/>
      <c r="D432" s="194"/>
      <c r="E432" s="194"/>
      <c r="F432" s="194"/>
      <c r="G432" s="194"/>
      <c r="H432" s="194"/>
      <c r="I432" s="194"/>
      <c r="J432" s="194"/>
      <c r="K432" s="194"/>
      <c r="L432" s="194"/>
      <c r="M432" s="194"/>
      <c r="N432" s="194"/>
      <c r="O432" s="194"/>
      <c r="P432" s="194"/>
      <c r="Q432" s="194"/>
      <c r="R432" s="194"/>
      <c r="S432" s="194"/>
      <c r="T432" s="194"/>
      <c r="U432" s="194"/>
      <c r="V432" s="194"/>
      <c r="W432" s="194"/>
      <c r="X432" s="194"/>
      <c r="Y432" s="194"/>
      <c r="Z432" s="194"/>
      <c r="AA432" s="194"/>
      <c r="AB432" s="194"/>
      <c r="AC432" s="194"/>
      <c r="AD432" s="194"/>
      <c r="AE432" s="194"/>
      <c r="AF432" s="194"/>
      <c r="AG432" s="194"/>
      <c r="AH432" s="194"/>
      <c r="AI432" s="194"/>
      <c r="AJ432" s="194"/>
      <c r="AK432" s="194"/>
      <c r="AL432" s="194"/>
      <c r="AM432" s="194"/>
    </row>
    <row r="433" spans="1:39" ht="15.75" customHeight="1" x14ac:dyDescent="0.25">
      <c r="A433" s="194"/>
      <c r="B433" s="194"/>
      <c r="C433" s="194"/>
      <c r="D433" s="194"/>
      <c r="E433" s="194"/>
      <c r="F433" s="194"/>
      <c r="G433" s="194"/>
      <c r="H433" s="194"/>
      <c r="I433" s="194"/>
      <c r="J433" s="194"/>
      <c r="K433" s="194"/>
      <c r="L433" s="194"/>
      <c r="M433" s="194"/>
      <c r="N433" s="194"/>
      <c r="O433" s="194"/>
      <c r="P433" s="194"/>
      <c r="Q433" s="194"/>
      <c r="R433" s="194"/>
      <c r="S433" s="194"/>
      <c r="T433" s="194"/>
      <c r="U433" s="194"/>
      <c r="V433" s="194"/>
      <c r="W433" s="194"/>
      <c r="X433" s="194"/>
      <c r="Y433" s="194"/>
      <c r="Z433" s="194"/>
      <c r="AA433" s="194"/>
      <c r="AB433" s="194"/>
      <c r="AC433" s="194"/>
      <c r="AD433" s="194"/>
      <c r="AE433" s="194"/>
      <c r="AF433" s="194"/>
      <c r="AG433" s="194"/>
      <c r="AH433" s="194"/>
      <c r="AI433" s="194"/>
      <c r="AJ433" s="194"/>
      <c r="AK433" s="194"/>
      <c r="AL433" s="194"/>
      <c r="AM433" s="194"/>
    </row>
    <row r="434" spans="1:39" ht="15.75" customHeight="1" x14ac:dyDescent="0.25">
      <c r="A434" s="194"/>
      <c r="B434" s="194"/>
      <c r="C434" s="194"/>
      <c r="D434" s="194"/>
      <c r="E434" s="194"/>
      <c r="F434" s="194"/>
      <c r="G434" s="194"/>
      <c r="H434" s="194"/>
      <c r="I434" s="194"/>
      <c r="J434" s="194"/>
      <c r="K434" s="194"/>
      <c r="L434" s="194"/>
      <c r="M434" s="194"/>
      <c r="N434" s="194"/>
      <c r="O434" s="194"/>
      <c r="P434" s="194"/>
      <c r="Q434" s="194"/>
      <c r="R434" s="194"/>
      <c r="S434" s="194"/>
      <c r="T434" s="194"/>
      <c r="U434" s="194"/>
      <c r="V434" s="194"/>
      <c r="W434" s="194"/>
      <c r="X434" s="194"/>
      <c r="Y434" s="194"/>
      <c r="Z434" s="194"/>
      <c r="AA434" s="194"/>
      <c r="AB434" s="194"/>
      <c r="AC434" s="194"/>
      <c r="AD434" s="194"/>
      <c r="AE434" s="194"/>
      <c r="AF434" s="194"/>
      <c r="AG434" s="194"/>
      <c r="AH434" s="194"/>
      <c r="AI434" s="194"/>
      <c r="AJ434" s="194"/>
      <c r="AK434" s="194"/>
      <c r="AL434" s="194"/>
      <c r="AM434" s="194"/>
    </row>
    <row r="435" spans="1:39" ht="15.75" customHeight="1" x14ac:dyDescent="0.25">
      <c r="A435" s="194"/>
      <c r="B435" s="194"/>
      <c r="C435" s="194"/>
      <c r="D435" s="194"/>
      <c r="E435" s="194"/>
      <c r="F435" s="194"/>
      <c r="G435" s="194"/>
      <c r="H435" s="194"/>
      <c r="I435" s="194"/>
      <c r="J435" s="194"/>
      <c r="K435" s="194"/>
      <c r="L435" s="194"/>
      <c r="M435" s="194"/>
      <c r="N435" s="194"/>
      <c r="O435" s="194"/>
      <c r="P435" s="194"/>
      <c r="Q435" s="194"/>
      <c r="R435" s="194"/>
      <c r="S435" s="194"/>
      <c r="T435" s="194"/>
      <c r="U435" s="194"/>
      <c r="V435" s="194"/>
      <c r="W435" s="194"/>
      <c r="X435" s="194"/>
      <c r="Y435" s="194"/>
      <c r="Z435" s="194"/>
      <c r="AA435" s="194"/>
      <c r="AB435" s="194"/>
      <c r="AC435" s="194"/>
      <c r="AD435" s="194"/>
      <c r="AE435" s="194"/>
      <c r="AF435" s="194"/>
      <c r="AG435" s="194"/>
      <c r="AH435" s="194"/>
      <c r="AI435" s="194"/>
      <c r="AJ435" s="194"/>
      <c r="AK435" s="194"/>
      <c r="AL435" s="194"/>
      <c r="AM435" s="194"/>
    </row>
    <row r="436" spans="1:39" ht="15.75" customHeight="1" x14ac:dyDescent="0.25">
      <c r="A436" s="194"/>
      <c r="B436" s="194"/>
      <c r="C436" s="194"/>
      <c r="D436" s="194"/>
      <c r="E436" s="194"/>
      <c r="F436" s="194"/>
      <c r="G436" s="194"/>
      <c r="H436" s="194"/>
      <c r="I436" s="194"/>
      <c r="J436" s="194"/>
      <c r="K436" s="194"/>
      <c r="L436" s="194"/>
      <c r="M436" s="194"/>
      <c r="N436" s="194"/>
      <c r="O436" s="194"/>
      <c r="P436" s="194"/>
      <c r="Q436" s="194"/>
      <c r="R436" s="194"/>
      <c r="S436" s="194"/>
      <c r="T436" s="194"/>
      <c r="U436" s="194"/>
      <c r="V436" s="194"/>
      <c r="W436" s="194"/>
      <c r="X436" s="194"/>
      <c r="Y436" s="194"/>
      <c r="Z436" s="194"/>
      <c r="AA436" s="194"/>
      <c r="AB436" s="194"/>
      <c r="AC436" s="194"/>
      <c r="AD436" s="194"/>
      <c r="AE436" s="194"/>
      <c r="AF436" s="194"/>
      <c r="AG436" s="194"/>
      <c r="AH436" s="194"/>
      <c r="AI436" s="194"/>
      <c r="AJ436" s="194"/>
      <c r="AK436" s="194"/>
      <c r="AL436" s="194"/>
      <c r="AM436" s="194"/>
    </row>
    <row r="437" spans="1:39" ht="15.75" customHeight="1" x14ac:dyDescent="0.25">
      <c r="A437" s="194"/>
      <c r="B437" s="194"/>
      <c r="C437" s="194"/>
      <c r="D437" s="194"/>
      <c r="E437" s="194"/>
      <c r="F437" s="194"/>
      <c r="G437" s="194"/>
      <c r="H437" s="194"/>
      <c r="I437" s="194"/>
      <c r="J437" s="194"/>
      <c r="K437" s="194"/>
      <c r="L437" s="194"/>
      <c r="M437" s="194"/>
      <c r="N437" s="194"/>
      <c r="O437" s="194"/>
      <c r="P437" s="194"/>
      <c r="Q437" s="194"/>
      <c r="R437" s="194"/>
      <c r="S437" s="194"/>
      <c r="T437" s="194"/>
      <c r="U437" s="194"/>
      <c r="V437" s="194"/>
      <c r="W437" s="194"/>
      <c r="X437" s="194"/>
      <c r="Y437" s="194"/>
      <c r="Z437" s="194"/>
      <c r="AA437" s="194"/>
      <c r="AB437" s="194"/>
      <c r="AC437" s="194"/>
      <c r="AD437" s="194"/>
      <c r="AE437" s="194"/>
      <c r="AF437" s="194"/>
      <c r="AG437" s="194"/>
      <c r="AH437" s="194"/>
      <c r="AI437" s="194"/>
      <c r="AJ437" s="194"/>
      <c r="AK437" s="194"/>
      <c r="AL437" s="194"/>
      <c r="AM437" s="194"/>
    </row>
    <row r="438" spans="1:39" ht="15.75" customHeight="1" x14ac:dyDescent="0.25">
      <c r="A438" s="194"/>
      <c r="B438" s="194"/>
      <c r="C438" s="194"/>
      <c r="D438" s="194"/>
      <c r="E438" s="194"/>
      <c r="F438" s="194"/>
      <c r="G438" s="194"/>
      <c r="H438" s="194"/>
      <c r="I438" s="194"/>
      <c r="J438" s="194"/>
      <c r="K438" s="194"/>
      <c r="L438" s="194"/>
      <c r="M438" s="194"/>
      <c r="N438" s="194"/>
      <c r="O438" s="194"/>
      <c r="P438" s="194"/>
      <c r="Q438" s="194"/>
      <c r="R438" s="194"/>
      <c r="S438" s="194"/>
      <c r="T438" s="194"/>
      <c r="U438" s="194"/>
      <c r="V438" s="194"/>
      <c r="W438" s="194"/>
      <c r="X438" s="194"/>
      <c r="Y438" s="194"/>
      <c r="Z438" s="194"/>
      <c r="AA438" s="194"/>
      <c r="AB438" s="194"/>
      <c r="AC438" s="194"/>
      <c r="AD438" s="194"/>
      <c r="AE438" s="194"/>
      <c r="AF438" s="194"/>
      <c r="AG438" s="194"/>
      <c r="AH438" s="194"/>
      <c r="AI438" s="194"/>
      <c r="AJ438" s="194"/>
      <c r="AK438" s="194"/>
      <c r="AL438" s="194"/>
      <c r="AM438" s="194"/>
    </row>
    <row r="439" spans="1:39" ht="15.75" customHeight="1" x14ac:dyDescent="0.25">
      <c r="A439" s="194"/>
      <c r="B439" s="194"/>
      <c r="C439" s="194"/>
      <c r="D439" s="194"/>
      <c r="E439" s="194"/>
      <c r="F439" s="194"/>
      <c r="G439" s="194"/>
      <c r="H439" s="194"/>
      <c r="I439" s="194"/>
      <c r="J439" s="194"/>
      <c r="K439" s="194"/>
      <c r="L439" s="194"/>
      <c r="M439" s="194"/>
      <c r="N439" s="194"/>
      <c r="O439" s="194"/>
      <c r="P439" s="194"/>
      <c r="Q439" s="194"/>
      <c r="R439" s="194"/>
      <c r="S439" s="194"/>
      <c r="T439" s="194"/>
      <c r="U439" s="194"/>
      <c r="V439" s="194"/>
      <c r="W439" s="194"/>
      <c r="X439" s="194"/>
      <c r="Y439" s="194"/>
      <c r="Z439" s="194"/>
      <c r="AA439" s="194"/>
      <c r="AB439" s="194"/>
      <c r="AC439" s="194"/>
      <c r="AD439" s="194"/>
      <c r="AE439" s="194"/>
      <c r="AF439" s="194"/>
      <c r="AG439" s="194"/>
      <c r="AH439" s="194"/>
      <c r="AI439" s="194"/>
      <c r="AJ439" s="194"/>
      <c r="AK439" s="194"/>
      <c r="AL439" s="194"/>
      <c r="AM439" s="194"/>
    </row>
    <row r="440" spans="1:39" ht="15.75" customHeight="1" x14ac:dyDescent="0.25">
      <c r="A440" s="194"/>
      <c r="B440" s="194"/>
      <c r="C440" s="194"/>
      <c r="D440" s="194"/>
      <c r="E440" s="194"/>
      <c r="F440" s="194"/>
      <c r="G440" s="194"/>
      <c r="H440" s="194"/>
      <c r="I440" s="194"/>
      <c r="J440" s="194"/>
      <c r="K440" s="194"/>
      <c r="L440" s="194"/>
      <c r="M440" s="194"/>
      <c r="N440" s="194"/>
      <c r="O440" s="194"/>
      <c r="P440" s="194"/>
      <c r="Q440" s="194"/>
      <c r="R440" s="194"/>
      <c r="S440" s="194"/>
      <c r="T440" s="194"/>
      <c r="U440" s="194"/>
      <c r="V440" s="194"/>
      <c r="W440" s="194"/>
      <c r="X440" s="194"/>
      <c r="Y440" s="194"/>
      <c r="Z440" s="194"/>
      <c r="AA440" s="194"/>
      <c r="AB440" s="194"/>
      <c r="AC440" s="194"/>
      <c r="AD440" s="194"/>
      <c r="AE440" s="194"/>
      <c r="AF440" s="194"/>
      <c r="AG440" s="194"/>
      <c r="AH440" s="194"/>
      <c r="AI440" s="194"/>
      <c r="AJ440" s="194"/>
      <c r="AK440" s="194"/>
      <c r="AL440" s="194"/>
      <c r="AM440" s="194"/>
    </row>
    <row r="441" spans="1:39" ht="15.75" customHeight="1" x14ac:dyDescent="0.25">
      <c r="A441" s="194"/>
      <c r="B441" s="194"/>
      <c r="C441" s="194"/>
      <c r="D441" s="194"/>
      <c r="E441" s="194"/>
      <c r="F441" s="194"/>
      <c r="G441" s="194"/>
      <c r="H441" s="194"/>
      <c r="I441" s="194"/>
      <c r="J441" s="194"/>
      <c r="K441" s="194"/>
      <c r="L441" s="194"/>
      <c r="M441" s="194"/>
      <c r="N441" s="194"/>
      <c r="O441" s="194"/>
      <c r="P441" s="194"/>
      <c r="Q441" s="194"/>
      <c r="R441" s="194"/>
      <c r="S441" s="194"/>
      <c r="T441" s="194"/>
      <c r="U441" s="194"/>
      <c r="V441" s="194"/>
      <c r="W441" s="194"/>
      <c r="X441" s="194"/>
      <c r="Y441" s="194"/>
      <c r="Z441" s="194"/>
      <c r="AA441" s="194"/>
      <c r="AB441" s="194"/>
      <c r="AC441" s="194"/>
      <c r="AD441" s="194"/>
      <c r="AE441" s="194"/>
      <c r="AF441" s="194"/>
      <c r="AG441" s="194"/>
      <c r="AH441" s="194"/>
      <c r="AI441" s="194"/>
      <c r="AJ441" s="194"/>
      <c r="AK441" s="194"/>
      <c r="AL441" s="194"/>
      <c r="AM441" s="194"/>
    </row>
    <row r="442" spans="1:39" ht="15.75" customHeight="1" x14ac:dyDescent="0.25">
      <c r="A442" s="194"/>
      <c r="B442" s="194"/>
      <c r="C442" s="194"/>
      <c r="D442" s="194"/>
      <c r="E442" s="194"/>
      <c r="F442" s="194"/>
      <c r="G442" s="194"/>
      <c r="H442" s="194"/>
      <c r="I442" s="194"/>
      <c r="J442" s="194"/>
      <c r="K442" s="194"/>
      <c r="L442" s="194"/>
      <c r="M442" s="194"/>
      <c r="N442" s="194"/>
      <c r="O442" s="194"/>
      <c r="P442" s="194"/>
      <c r="Q442" s="194"/>
      <c r="R442" s="194"/>
      <c r="S442" s="194"/>
      <c r="T442" s="194"/>
      <c r="U442" s="194"/>
      <c r="V442" s="194"/>
      <c r="W442" s="194"/>
      <c r="X442" s="194"/>
      <c r="Y442" s="194"/>
      <c r="Z442" s="194"/>
      <c r="AA442" s="194"/>
      <c r="AB442" s="194"/>
      <c r="AC442" s="194"/>
      <c r="AD442" s="194"/>
      <c r="AE442" s="194"/>
      <c r="AF442" s="194"/>
      <c r="AG442" s="194"/>
      <c r="AH442" s="194"/>
      <c r="AI442" s="194"/>
      <c r="AJ442" s="194"/>
      <c r="AK442" s="194"/>
      <c r="AL442" s="194"/>
      <c r="AM442" s="194"/>
    </row>
    <row r="443" spans="1:39" ht="15.75" customHeight="1" x14ac:dyDescent="0.25">
      <c r="A443" s="194"/>
      <c r="B443" s="194"/>
      <c r="C443" s="194"/>
      <c r="D443" s="194"/>
      <c r="E443" s="194"/>
      <c r="F443" s="194"/>
      <c r="G443" s="194"/>
      <c r="H443" s="194"/>
      <c r="I443" s="194"/>
      <c r="J443" s="194"/>
      <c r="K443" s="194"/>
      <c r="L443" s="194"/>
      <c r="M443" s="194"/>
      <c r="N443" s="194"/>
      <c r="O443" s="194"/>
      <c r="P443" s="194"/>
      <c r="Q443" s="194"/>
      <c r="R443" s="194"/>
      <c r="S443" s="194"/>
      <c r="T443" s="194"/>
      <c r="U443" s="194"/>
      <c r="V443" s="194"/>
      <c r="W443" s="194"/>
      <c r="X443" s="194"/>
      <c r="Y443" s="194"/>
      <c r="Z443" s="194"/>
      <c r="AA443" s="194"/>
      <c r="AB443" s="194"/>
      <c r="AC443" s="194"/>
      <c r="AD443" s="194"/>
      <c r="AE443" s="194"/>
      <c r="AF443" s="194"/>
      <c r="AG443" s="194"/>
      <c r="AH443" s="194"/>
      <c r="AI443" s="194"/>
      <c r="AJ443" s="194"/>
      <c r="AK443" s="194"/>
      <c r="AL443" s="194"/>
      <c r="AM443" s="194"/>
    </row>
    <row r="444" spans="1:39" ht="15.75" customHeight="1" x14ac:dyDescent="0.25">
      <c r="A444" s="194"/>
      <c r="B444" s="194"/>
      <c r="C444" s="194"/>
      <c r="D444" s="194"/>
      <c r="E444" s="194"/>
      <c r="F444" s="194"/>
      <c r="G444" s="194"/>
      <c r="H444" s="194"/>
      <c r="I444" s="194"/>
      <c r="J444" s="194"/>
      <c r="K444" s="194"/>
      <c r="L444" s="194"/>
      <c r="M444" s="194"/>
      <c r="N444" s="194"/>
      <c r="O444" s="194"/>
      <c r="P444" s="194"/>
      <c r="Q444" s="194"/>
      <c r="R444" s="194"/>
      <c r="S444" s="194"/>
      <c r="T444" s="194"/>
      <c r="U444" s="194"/>
      <c r="V444" s="194"/>
      <c r="W444" s="194"/>
      <c r="X444" s="194"/>
      <c r="Y444" s="194"/>
      <c r="Z444" s="194"/>
      <c r="AA444" s="194"/>
      <c r="AB444" s="194"/>
      <c r="AC444" s="194"/>
      <c r="AD444" s="194"/>
      <c r="AE444" s="194"/>
      <c r="AF444" s="194"/>
      <c r="AG444" s="194"/>
      <c r="AH444" s="194"/>
      <c r="AI444" s="194"/>
      <c r="AJ444" s="194"/>
      <c r="AK444" s="194"/>
      <c r="AL444" s="194"/>
      <c r="AM444" s="194"/>
    </row>
    <row r="445" spans="1:39" ht="15.75" customHeight="1" x14ac:dyDescent="0.25">
      <c r="A445" s="194"/>
      <c r="B445" s="194"/>
      <c r="C445" s="194"/>
      <c r="D445" s="194"/>
      <c r="E445" s="194"/>
      <c r="F445" s="194"/>
      <c r="G445" s="194"/>
      <c r="H445" s="194"/>
      <c r="I445" s="194"/>
      <c r="J445" s="194"/>
      <c r="K445" s="194"/>
      <c r="L445" s="194"/>
      <c r="M445" s="194"/>
      <c r="N445" s="194"/>
      <c r="O445" s="194"/>
      <c r="P445" s="194"/>
      <c r="Q445" s="194"/>
      <c r="R445" s="194"/>
      <c r="S445" s="194"/>
      <c r="T445" s="194"/>
      <c r="U445" s="194"/>
      <c r="V445" s="194"/>
      <c r="W445" s="194"/>
      <c r="X445" s="194"/>
      <c r="Y445" s="194"/>
      <c r="Z445" s="194"/>
      <c r="AA445" s="194"/>
      <c r="AB445" s="194"/>
      <c r="AC445" s="194"/>
      <c r="AD445" s="194"/>
      <c r="AE445" s="194"/>
      <c r="AF445" s="194"/>
      <c r="AG445" s="194"/>
      <c r="AH445" s="194"/>
      <c r="AI445" s="194"/>
      <c r="AJ445" s="194"/>
      <c r="AK445" s="194"/>
      <c r="AL445" s="194"/>
      <c r="AM445" s="194"/>
    </row>
    <row r="446" spans="1:39" ht="15.75" customHeight="1" x14ac:dyDescent="0.25">
      <c r="A446" s="194"/>
      <c r="B446" s="194"/>
      <c r="C446" s="194"/>
      <c r="D446" s="194"/>
      <c r="E446" s="194"/>
      <c r="F446" s="194"/>
      <c r="G446" s="194"/>
      <c r="H446" s="194"/>
      <c r="I446" s="194"/>
      <c r="J446" s="194"/>
      <c r="K446" s="194"/>
      <c r="L446" s="194"/>
      <c r="M446" s="194"/>
      <c r="N446" s="194"/>
      <c r="O446" s="194"/>
      <c r="P446" s="194"/>
      <c r="Q446" s="194"/>
      <c r="R446" s="194"/>
      <c r="S446" s="194"/>
      <c r="T446" s="194"/>
      <c r="U446" s="194"/>
      <c r="V446" s="194"/>
      <c r="W446" s="194"/>
      <c r="X446" s="194"/>
      <c r="Y446" s="194"/>
      <c r="Z446" s="194"/>
      <c r="AA446" s="194"/>
      <c r="AB446" s="194"/>
      <c r="AC446" s="194"/>
      <c r="AD446" s="194"/>
      <c r="AE446" s="194"/>
      <c r="AF446" s="194"/>
      <c r="AG446" s="194"/>
      <c r="AH446" s="194"/>
      <c r="AI446" s="194"/>
      <c r="AJ446" s="194"/>
      <c r="AK446" s="194"/>
      <c r="AL446" s="194"/>
      <c r="AM446" s="194"/>
    </row>
    <row r="447" spans="1:39" ht="15.75" customHeight="1" x14ac:dyDescent="0.25">
      <c r="A447" s="194"/>
      <c r="B447" s="194"/>
      <c r="C447" s="194"/>
      <c r="D447" s="194"/>
      <c r="E447" s="194"/>
      <c r="F447" s="194"/>
      <c r="G447" s="194"/>
      <c r="H447" s="194"/>
      <c r="I447" s="194"/>
      <c r="J447" s="194"/>
      <c r="K447" s="194"/>
      <c r="L447" s="194"/>
      <c r="M447" s="194"/>
      <c r="N447" s="194"/>
      <c r="O447" s="194"/>
      <c r="P447" s="194"/>
      <c r="Q447" s="194"/>
      <c r="R447" s="194"/>
      <c r="S447" s="194"/>
      <c r="T447" s="194"/>
      <c r="U447" s="194"/>
      <c r="V447" s="194"/>
      <c r="W447" s="194"/>
      <c r="X447" s="194"/>
      <c r="Y447" s="194"/>
      <c r="Z447" s="194"/>
      <c r="AA447" s="194"/>
      <c r="AB447" s="194"/>
      <c r="AC447" s="194"/>
      <c r="AD447" s="194"/>
      <c r="AE447" s="194"/>
      <c r="AF447" s="194"/>
      <c r="AG447" s="194"/>
      <c r="AH447" s="194"/>
      <c r="AI447" s="194"/>
      <c r="AJ447" s="194"/>
      <c r="AK447" s="194"/>
      <c r="AL447" s="194"/>
      <c r="AM447" s="194"/>
    </row>
    <row r="448" spans="1:39" ht="15.75" customHeight="1" x14ac:dyDescent="0.25">
      <c r="A448" s="194"/>
      <c r="B448" s="194"/>
      <c r="C448" s="194"/>
      <c r="D448" s="194"/>
      <c r="E448" s="194"/>
      <c r="F448" s="194"/>
      <c r="G448" s="194"/>
      <c r="H448" s="194"/>
      <c r="I448" s="194"/>
      <c r="J448" s="194"/>
      <c r="K448" s="194"/>
      <c r="L448" s="194"/>
      <c r="M448" s="194"/>
      <c r="N448" s="194"/>
      <c r="O448" s="194"/>
      <c r="P448" s="194"/>
      <c r="Q448" s="194"/>
      <c r="R448" s="194"/>
      <c r="S448" s="194"/>
      <c r="T448" s="194"/>
      <c r="U448" s="194"/>
      <c r="V448" s="194"/>
      <c r="W448" s="194"/>
      <c r="X448" s="194"/>
      <c r="Y448" s="194"/>
      <c r="Z448" s="194"/>
      <c r="AA448" s="194"/>
      <c r="AB448" s="194"/>
      <c r="AC448" s="194"/>
      <c r="AD448" s="194"/>
      <c r="AE448" s="194"/>
      <c r="AF448" s="194"/>
      <c r="AG448" s="194"/>
      <c r="AH448" s="194"/>
      <c r="AI448" s="194"/>
      <c r="AJ448" s="194"/>
      <c r="AK448" s="194"/>
      <c r="AL448" s="194"/>
      <c r="AM448" s="194"/>
    </row>
    <row r="449" spans="1:39" ht="15.75" customHeight="1" x14ac:dyDescent="0.25">
      <c r="A449" s="194"/>
      <c r="B449" s="194"/>
      <c r="C449" s="194"/>
      <c r="D449" s="194"/>
      <c r="E449" s="194"/>
      <c r="F449" s="194"/>
      <c r="G449" s="194"/>
      <c r="H449" s="194"/>
      <c r="I449" s="194"/>
      <c r="J449" s="194"/>
      <c r="K449" s="194"/>
      <c r="L449" s="194"/>
      <c r="M449" s="194"/>
      <c r="N449" s="194"/>
      <c r="O449" s="194"/>
      <c r="P449" s="194"/>
      <c r="Q449" s="194"/>
      <c r="R449" s="194"/>
      <c r="S449" s="194"/>
      <c r="T449" s="194"/>
      <c r="U449" s="194"/>
      <c r="V449" s="194"/>
      <c r="W449" s="194"/>
      <c r="X449" s="194"/>
      <c r="Y449" s="194"/>
      <c r="Z449" s="194"/>
      <c r="AA449" s="194"/>
      <c r="AB449" s="194"/>
      <c r="AC449" s="194"/>
      <c r="AD449" s="194"/>
      <c r="AE449" s="194"/>
      <c r="AF449" s="194"/>
      <c r="AG449" s="194"/>
      <c r="AH449" s="194"/>
      <c r="AI449" s="194"/>
      <c r="AJ449" s="194"/>
      <c r="AK449" s="194"/>
      <c r="AL449" s="194"/>
      <c r="AM449" s="194"/>
    </row>
    <row r="450" spans="1:39" ht="15.75" customHeight="1" x14ac:dyDescent="0.25">
      <c r="A450" s="194"/>
      <c r="B450" s="194"/>
      <c r="C450" s="194"/>
      <c r="D450" s="194"/>
      <c r="E450" s="194"/>
      <c r="F450" s="194"/>
      <c r="G450" s="194"/>
      <c r="H450" s="194"/>
      <c r="I450" s="194"/>
      <c r="J450" s="194"/>
      <c r="K450" s="194"/>
      <c r="L450" s="194"/>
      <c r="M450" s="194"/>
      <c r="N450" s="194"/>
      <c r="O450" s="194"/>
      <c r="P450" s="194"/>
      <c r="Q450" s="194"/>
      <c r="R450" s="194"/>
      <c r="S450" s="194"/>
      <c r="T450" s="194"/>
      <c r="U450" s="194"/>
      <c r="V450" s="194"/>
      <c r="W450" s="194"/>
      <c r="X450" s="194"/>
      <c r="Y450" s="194"/>
      <c r="Z450" s="194"/>
      <c r="AA450" s="194"/>
      <c r="AB450" s="194"/>
      <c r="AC450" s="194"/>
      <c r="AD450" s="194"/>
      <c r="AE450" s="194"/>
      <c r="AF450" s="194"/>
      <c r="AG450" s="194"/>
      <c r="AH450" s="194"/>
      <c r="AI450" s="194"/>
      <c r="AJ450" s="194"/>
      <c r="AK450" s="194"/>
      <c r="AL450" s="194"/>
      <c r="AM450" s="194"/>
    </row>
    <row r="451" spans="1:39" ht="15.75" customHeight="1" x14ac:dyDescent="0.25">
      <c r="A451" s="194"/>
      <c r="B451" s="194"/>
      <c r="C451" s="194"/>
      <c r="D451" s="194"/>
      <c r="E451" s="194"/>
      <c r="F451" s="194"/>
      <c r="G451" s="194"/>
      <c r="H451" s="194"/>
      <c r="I451" s="194"/>
      <c r="J451" s="194"/>
      <c r="K451" s="194"/>
      <c r="L451" s="194"/>
      <c r="M451" s="194"/>
      <c r="N451" s="194"/>
      <c r="O451" s="194"/>
      <c r="P451" s="194"/>
      <c r="Q451" s="194"/>
      <c r="R451" s="194"/>
      <c r="S451" s="194"/>
      <c r="T451" s="194"/>
      <c r="U451" s="194"/>
      <c r="V451" s="194"/>
      <c r="W451" s="194"/>
      <c r="X451" s="194"/>
      <c r="Y451" s="194"/>
      <c r="Z451" s="194"/>
      <c r="AA451" s="194"/>
      <c r="AB451" s="194"/>
      <c r="AC451" s="194"/>
      <c r="AD451" s="194"/>
      <c r="AE451" s="194"/>
      <c r="AF451" s="194"/>
      <c r="AG451" s="194"/>
      <c r="AH451" s="194"/>
      <c r="AI451" s="194"/>
      <c r="AJ451" s="194"/>
      <c r="AK451" s="194"/>
      <c r="AL451" s="194"/>
      <c r="AM451" s="194"/>
    </row>
    <row r="452" spans="1:39" ht="15.75" customHeight="1" x14ac:dyDescent="0.25">
      <c r="A452" s="194"/>
      <c r="B452" s="194"/>
      <c r="C452" s="194"/>
      <c r="D452" s="194"/>
      <c r="E452" s="194"/>
      <c r="F452" s="194"/>
      <c r="G452" s="194"/>
      <c r="H452" s="194"/>
      <c r="I452" s="194"/>
      <c r="J452" s="194"/>
      <c r="K452" s="194"/>
      <c r="L452" s="194"/>
      <c r="M452" s="194"/>
      <c r="N452" s="194"/>
      <c r="O452" s="194"/>
      <c r="P452" s="194"/>
      <c r="Q452" s="194"/>
      <c r="R452" s="194"/>
      <c r="S452" s="194"/>
      <c r="T452" s="194"/>
      <c r="U452" s="194"/>
      <c r="V452" s="194"/>
      <c r="W452" s="194"/>
      <c r="X452" s="194"/>
      <c r="Y452" s="194"/>
      <c r="Z452" s="194"/>
      <c r="AA452" s="194"/>
      <c r="AB452" s="194"/>
      <c r="AC452" s="194"/>
      <c r="AD452" s="194"/>
      <c r="AE452" s="194"/>
      <c r="AF452" s="194"/>
      <c r="AG452" s="194"/>
      <c r="AH452" s="194"/>
      <c r="AI452" s="194"/>
      <c r="AJ452" s="194"/>
      <c r="AK452" s="194"/>
      <c r="AL452" s="194"/>
      <c r="AM452" s="194"/>
    </row>
    <row r="453" spans="1:39" ht="15.75" customHeight="1" x14ac:dyDescent="0.25">
      <c r="A453" s="194"/>
      <c r="B453" s="194"/>
      <c r="C453" s="194"/>
      <c r="D453" s="194"/>
      <c r="E453" s="194"/>
      <c r="F453" s="194"/>
      <c r="G453" s="194"/>
      <c r="H453" s="194"/>
      <c r="I453" s="194"/>
      <c r="J453" s="194"/>
      <c r="K453" s="194"/>
      <c r="L453" s="194"/>
      <c r="M453" s="194"/>
      <c r="N453" s="194"/>
      <c r="O453" s="194"/>
      <c r="P453" s="194"/>
      <c r="Q453" s="194"/>
      <c r="R453" s="194"/>
      <c r="S453" s="194"/>
      <c r="T453" s="194"/>
      <c r="U453" s="194"/>
      <c r="V453" s="194"/>
      <c r="W453" s="194"/>
      <c r="X453" s="194"/>
      <c r="Y453" s="194"/>
      <c r="Z453" s="194"/>
      <c r="AA453" s="194"/>
      <c r="AB453" s="194"/>
      <c r="AC453" s="194"/>
      <c r="AD453" s="194"/>
      <c r="AE453" s="194"/>
      <c r="AF453" s="194"/>
      <c r="AG453" s="194"/>
      <c r="AH453" s="194"/>
      <c r="AI453" s="194"/>
      <c r="AJ453" s="194"/>
      <c r="AK453" s="194"/>
      <c r="AL453" s="194"/>
      <c r="AM453" s="194"/>
    </row>
    <row r="454" spans="1:39" ht="15.75" customHeight="1" x14ac:dyDescent="0.25">
      <c r="A454" s="194"/>
      <c r="B454" s="194"/>
      <c r="C454" s="194"/>
      <c r="D454" s="194"/>
      <c r="E454" s="194"/>
      <c r="F454" s="194"/>
      <c r="G454" s="194"/>
      <c r="H454" s="194"/>
      <c r="I454" s="194"/>
      <c r="J454" s="194"/>
      <c r="K454" s="194"/>
      <c r="L454" s="194"/>
      <c r="M454" s="194"/>
      <c r="N454" s="194"/>
      <c r="O454" s="194"/>
      <c r="P454" s="194"/>
      <c r="Q454" s="194"/>
      <c r="R454" s="194"/>
      <c r="S454" s="194"/>
      <c r="T454" s="194"/>
      <c r="U454" s="194"/>
      <c r="V454" s="194"/>
      <c r="W454" s="194"/>
      <c r="X454" s="194"/>
      <c r="Y454" s="194"/>
      <c r="Z454" s="194"/>
      <c r="AA454" s="194"/>
      <c r="AB454" s="194"/>
      <c r="AC454" s="194"/>
      <c r="AD454" s="194"/>
      <c r="AE454" s="194"/>
      <c r="AF454" s="194"/>
      <c r="AG454" s="194"/>
      <c r="AH454" s="194"/>
      <c r="AI454" s="194"/>
      <c r="AJ454" s="194"/>
      <c r="AK454" s="194"/>
      <c r="AL454" s="194"/>
      <c r="AM454" s="194"/>
    </row>
    <row r="455" spans="1:39" ht="15.75" customHeight="1" x14ac:dyDescent="0.25">
      <c r="A455" s="194"/>
      <c r="B455" s="194"/>
      <c r="C455" s="194"/>
      <c r="D455" s="194"/>
      <c r="E455" s="194"/>
      <c r="F455" s="194"/>
      <c r="G455" s="194"/>
      <c r="H455" s="194"/>
      <c r="I455" s="194"/>
      <c r="J455" s="194"/>
      <c r="K455" s="194"/>
      <c r="L455" s="194"/>
      <c r="M455" s="194"/>
      <c r="N455" s="194"/>
      <c r="O455" s="194"/>
      <c r="P455" s="194"/>
      <c r="Q455" s="194"/>
      <c r="R455" s="194"/>
      <c r="S455" s="194"/>
      <c r="T455" s="194"/>
      <c r="U455" s="194"/>
      <c r="V455" s="194"/>
      <c r="W455" s="194"/>
      <c r="X455" s="194"/>
      <c r="Y455" s="194"/>
      <c r="Z455" s="194"/>
      <c r="AA455" s="194"/>
      <c r="AB455" s="194"/>
      <c r="AC455" s="194"/>
      <c r="AD455" s="194"/>
      <c r="AE455" s="194"/>
      <c r="AF455" s="194"/>
      <c r="AG455" s="194"/>
      <c r="AH455" s="194"/>
      <c r="AI455" s="194"/>
      <c r="AJ455" s="194"/>
      <c r="AK455" s="194"/>
      <c r="AL455" s="194"/>
      <c r="AM455" s="194"/>
    </row>
    <row r="456" spans="1:39" ht="15.75" customHeight="1" x14ac:dyDescent="0.25">
      <c r="A456" s="194"/>
      <c r="B456" s="194"/>
      <c r="C456" s="194"/>
      <c r="D456" s="194"/>
      <c r="E456" s="194"/>
      <c r="F456" s="194"/>
      <c r="G456" s="194"/>
      <c r="H456" s="194"/>
      <c r="I456" s="194"/>
      <c r="J456" s="194"/>
      <c r="K456" s="194"/>
      <c r="L456" s="194"/>
      <c r="M456" s="194"/>
      <c r="N456" s="194"/>
      <c r="O456" s="194"/>
      <c r="P456" s="194"/>
      <c r="Q456" s="194"/>
      <c r="R456" s="194"/>
      <c r="S456" s="194"/>
      <c r="T456" s="194"/>
      <c r="U456" s="194"/>
      <c r="V456" s="194"/>
      <c r="W456" s="194"/>
      <c r="X456" s="194"/>
      <c r="Y456" s="194"/>
      <c r="Z456" s="194"/>
      <c r="AA456" s="194"/>
      <c r="AB456" s="194"/>
      <c r="AC456" s="194"/>
      <c r="AD456" s="194"/>
      <c r="AE456" s="194"/>
      <c r="AF456" s="194"/>
      <c r="AG456" s="194"/>
      <c r="AH456" s="194"/>
      <c r="AI456" s="194"/>
      <c r="AJ456" s="194"/>
      <c r="AK456" s="194"/>
      <c r="AL456" s="194"/>
      <c r="AM456" s="194"/>
    </row>
    <row r="457" spans="1:39" ht="15.75" customHeight="1" x14ac:dyDescent="0.25">
      <c r="A457" s="194"/>
      <c r="B457" s="194"/>
      <c r="C457" s="194"/>
      <c r="D457" s="194"/>
      <c r="E457" s="194"/>
      <c r="F457" s="194"/>
      <c r="G457" s="194"/>
      <c r="H457" s="194"/>
      <c r="I457" s="194"/>
      <c r="J457" s="194"/>
      <c r="K457" s="194"/>
      <c r="L457" s="194"/>
      <c r="M457" s="194"/>
      <c r="N457" s="194"/>
      <c r="O457" s="194"/>
      <c r="P457" s="194"/>
      <c r="Q457" s="194"/>
      <c r="R457" s="194"/>
      <c r="S457" s="194"/>
      <c r="T457" s="194"/>
      <c r="U457" s="194"/>
      <c r="V457" s="194"/>
      <c r="W457" s="194"/>
      <c r="X457" s="194"/>
      <c r="Y457" s="194"/>
      <c r="Z457" s="194"/>
      <c r="AA457" s="194"/>
      <c r="AB457" s="194"/>
      <c r="AC457" s="194"/>
      <c r="AD457" s="194"/>
      <c r="AE457" s="194"/>
      <c r="AF457" s="194"/>
      <c r="AG457" s="194"/>
      <c r="AH457" s="194"/>
      <c r="AI457" s="194"/>
      <c r="AJ457" s="194"/>
      <c r="AK457" s="194"/>
      <c r="AL457" s="194"/>
      <c r="AM457" s="194"/>
    </row>
    <row r="458" spans="1:39" ht="15.75" customHeight="1" x14ac:dyDescent="0.25">
      <c r="A458" s="194"/>
      <c r="B458" s="194"/>
      <c r="C458" s="194"/>
      <c r="D458" s="194"/>
      <c r="E458" s="194"/>
      <c r="F458" s="194"/>
      <c r="G458" s="194"/>
      <c r="H458" s="194"/>
      <c r="I458" s="194"/>
      <c r="J458" s="194"/>
      <c r="K458" s="194"/>
      <c r="L458" s="194"/>
      <c r="M458" s="194"/>
      <c r="N458" s="194"/>
      <c r="O458" s="194"/>
      <c r="P458" s="194"/>
      <c r="Q458" s="194"/>
      <c r="R458" s="194"/>
      <c r="S458" s="194"/>
      <c r="T458" s="194"/>
      <c r="U458" s="194"/>
      <c r="V458" s="194"/>
      <c r="W458" s="194"/>
      <c r="X458" s="194"/>
      <c r="Y458" s="194"/>
      <c r="Z458" s="194"/>
      <c r="AA458" s="194"/>
      <c r="AB458" s="194"/>
      <c r="AC458" s="194"/>
      <c r="AD458" s="194"/>
      <c r="AE458" s="194"/>
      <c r="AF458" s="194"/>
      <c r="AG458" s="194"/>
      <c r="AH458" s="194"/>
      <c r="AI458" s="194"/>
      <c r="AJ458" s="194"/>
      <c r="AK458" s="194"/>
      <c r="AL458" s="194"/>
      <c r="AM458" s="194"/>
    </row>
    <row r="459" spans="1:39" ht="15.75" customHeight="1" x14ac:dyDescent="0.25">
      <c r="A459" s="194"/>
      <c r="B459" s="194"/>
      <c r="C459" s="194"/>
      <c r="D459" s="194"/>
      <c r="E459" s="194"/>
      <c r="F459" s="194"/>
      <c r="G459" s="194"/>
      <c r="H459" s="194"/>
      <c r="I459" s="194"/>
      <c r="J459" s="194"/>
      <c r="K459" s="194"/>
      <c r="L459" s="194"/>
      <c r="M459" s="194"/>
      <c r="N459" s="194"/>
      <c r="O459" s="194"/>
      <c r="P459" s="194"/>
      <c r="Q459" s="194"/>
      <c r="R459" s="194"/>
      <c r="S459" s="194"/>
      <c r="T459" s="194"/>
      <c r="U459" s="194"/>
      <c r="V459" s="194"/>
      <c r="W459" s="194"/>
      <c r="X459" s="194"/>
      <c r="Y459" s="194"/>
      <c r="Z459" s="194"/>
      <c r="AA459" s="194"/>
      <c r="AB459" s="194"/>
      <c r="AC459" s="194"/>
      <c r="AD459" s="194"/>
      <c r="AE459" s="194"/>
      <c r="AF459" s="194"/>
      <c r="AG459" s="194"/>
      <c r="AH459" s="194"/>
      <c r="AI459" s="194"/>
      <c r="AJ459" s="194"/>
      <c r="AK459" s="194"/>
      <c r="AL459" s="194"/>
      <c r="AM459" s="194"/>
    </row>
    <row r="460" spans="1:39" ht="15.75" customHeight="1" x14ac:dyDescent="0.25">
      <c r="A460" s="194"/>
      <c r="B460" s="194"/>
      <c r="C460" s="194"/>
      <c r="D460" s="194"/>
      <c r="E460" s="194"/>
      <c r="F460" s="194"/>
      <c r="G460" s="194"/>
      <c r="H460" s="194"/>
      <c r="I460" s="194"/>
      <c r="J460" s="194"/>
      <c r="K460" s="194"/>
      <c r="L460" s="194"/>
      <c r="M460" s="194"/>
      <c r="N460" s="194"/>
      <c r="O460" s="194"/>
      <c r="P460" s="194"/>
      <c r="Q460" s="194"/>
      <c r="R460" s="194"/>
      <c r="S460" s="194"/>
      <c r="T460" s="194"/>
      <c r="U460" s="194"/>
      <c r="V460" s="194"/>
      <c r="W460" s="194"/>
      <c r="X460" s="194"/>
      <c r="Y460" s="194"/>
      <c r="Z460" s="194"/>
      <c r="AA460" s="194"/>
      <c r="AB460" s="194"/>
      <c r="AC460" s="194"/>
      <c r="AD460" s="194"/>
      <c r="AE460" s="194"/>
      <c r="AF460" s="194"/>
      <c r="AG460" s="194"/>
      <c r="AH460" s="194"/>
      <c r="AI460" s="194"/>
      <c r="AJ460" s="194"/>
      <c r="AK460" s="194"/>
      <c r="AL460" s="194"/>
      <c r="AM460" s="194"/>
    </row>
    <row r="461" spans="1:39" ht="15.75" customHeight="1" x14ac:dyDescent="0.25">
      <c r="A461" s="194"/>
      <c r="B461" s="194"/>
      <c r="C461" s="194"/>
      <c r="D461" s="194"/>
      <c r="E461" s="194"/>
      <c r="F461" s="194"/>
      <c r="G461" s="194"/>
      <c r="H461" s="194"/>
      <c r="I461" s="194"/>
      <c r="J461" s="194"/>
      <c r="K461" s="194"/>
      <c r="L461" s="194"/>
      <c r="M461" s="194"/>
      <c r="N461" s="194"/>
      <c r="O461" s="194"/>
      <c r="P461" s="194"/>
      <c r="Q461" s="194"/>
      <c r="R461" s="194"/>
      <c r="S461" s="194"/>
      <c r="T461" s="194"/>
      <c r="U461" s="194"/>
      <c r="V461" s="194"/>
      <c r="W461" s="194"/>
      <c r="X461" s="194"/>
      <c r="Y461" s="194"/>
      <c r="Z461" s="194"/>
      <c r="AA461" s="194"/>
      <c r="AB461" s="194"/>
      <c r="AC461" s="194"/>
      <c r="AD461" s="194"/>
      <c r="AE461" s="194"/>
      <c r="AF461" s="194"/>
      <c r="AG461" s="194"/>
      <c r="AH461" s="194"/>
      <c r="AI461" s="194"/>
      <c r="AJ461" s="194"/>
      <c r="AK461" s="194"/>
      <c r="AL461" s="194"/>
      <c r="AM461" s="194"/>
    </row>
    <row r="462" spans="1:39" ht="15.75" customHeight="1" x14ac:dyDescent="0.25">
      <c r="A462" s="194"/>
      <c r="B462" s="194"/>
      <c r="C462" s="194"/>
      <c r="D462" s="194"/>
      <c r="E462" s="194"/>
      <c r="F462" s="194"/>
      <c r="G462" s="194"/>
      <c r="H462" s="194"/>
      <c r="I462" s="194"/>
      <c r="J462" s="194"/>
      <c r="K462" s="194"/>
      <c r="L462" s="194"/>
      <c r="M462" s="194"/>
      <c r="N462" s="194"/>
      <c r="O462" s="194"/>
      <c r="P462" s="194"/>
      <c r="Q462" s="194"/>
      <c r="R462" s="194"/>
      <c r="S462" s="194"/>
      <c r="T462" s="194"/>
      <c r="U462" s="194"/>
      <c r="V462" s="194"/>
      <c r="W462" s="194"/>
      <c r="X462" s="194"/>
      <c r="Y462" s="194"/>
      <c r="Z462" s="194"/>
      <c r="AA462" s="194"/>
      <c r="AB462" s="194"/>
      <c r="AC462" s="194"/>
      <c r="AD462" s="194"/>
      <c r="AE462" s="194"/>
      <c r="AF462" s="194"/>
      <c r="AG462" s="194"/>
      <c r="AH462" s="194"/>
      <c r="AI462" s="194"/>
      <c r="AJ462" s="194"/>
      <c r="AK462" s="194"/>
      <c r="AL462" s="194"/>
      <c r="AM462" s="194"/>
    </row>
    <row r="463" spans="1:39" ht="15.75" customHeight="1" x14ac:dyDescent="0.25">
      <c r="A463" s="194"/>
      <c r="B463" s="194"/>
      <c r="C463" s="194"/>
      <c r="D463" s="194"/>
      <c r="E463" s="194"/>
      <c r="F463" s="194"/>
      <c r="G463" s="194"/>
      <c r="H463" s="194"/>
      <c r="I463" s="194"/>
      <c r="J463" s="194"/>
      <c r="K463" s="194"/>
      <c r="L463" s="194"/>
      <c r="M463" s="194"/>
      <c r="N463" s="194"/>
      <c r="O463" s="194"/>
      <c r="P463" s="194"/>
      <c r="Q463" s="194"/>
      <c r="R463" s="194"/>
      <c r="S463" s="194"/>
      <c r="T463" s="194"/>
      <c r="U463" s="194"/>
      <c r="V463" s="194"/>
      <c r="W463" s="194"/>
      <c r="X463" s="194"/>
      <c r="Y463" s="194"/>
      <c r="Z463" s="194"/>
      <c r="AA463" s="194"/>
      <c r="AB463" s="194"/>
      <c r="AC463" s="194"/>
      <c r="AD463" s="194"/>
      <c r="AE463" s="194"/>
      <c r="AF463" s="194"/>
      <c r="AG463" s="194"/>
      <c r="AH463" s="194"/>
      <c r="AI463" s="194"/>
      <c r="AJ463" s="194"/>
      <c r="AK463" s="194"/>
      <c r="AL463" s="194"/>
      <c r="AM463" s="194"/>
    </row>
    <row r="464" spans="1:39" ht="15.75" customHeight="1" x14ac:dyDescent="0.25">
      <c r="A464" s="194"/>
      <c r="B464" s="194"/>
      <c r="C464" s="194"/>
      <c r="D464" s="194"/>
      <c r="E464" s="194"/>
      <c r="F464" s="194"/>
      <c r="G464" s="194"/>
      <c r="H464" s="194"/>
      <c r="I464" s="194"/>
      <c r="J464" s="194"/>
      <c r="K464" s="194"/>
      <c r="L464" s="194"/>
      <c r="M464" s="194"/>
      <c r="N464" s="194"/>
      <c r="O464" s="194"/>
      <c r="P464" s="194"/>
      <c r="Q464" s="194"/>
      <c r="R464" s="194"/>
      <c r="S464" s="194"/>
      <c r="T464" s="194"/>
      <c r="U464" s="194"/>
      <c r="V464" s="194"/>
      <c r="W464" s="194"/>
      <c r="X464" s="194"/>
      <c r="Y464" s="194"/>
      <c r="Z464" s="194"/>
      <c r="AA464" s="194"/>
      <c r="AB464" s="194"/>
      <c r="AC464" s="194"/>
      <c r="AD464" s="194"/>
      <c r="AE464" s="194"/>
      <c r="AF464" s="194"/>
      <c r="AG464" s="194"/>
      <c r="AH464" s="194"/>
      <c r="AI464" s="194"/>
      <c r="AJ464" s="194"/>
      <c r="AK464" s="194"/>
      <c r="AL464" s="194"/>
      <c r="AM464" s="194"/>
    </row>
    <row r="465" spans="1:39" ht="15.75" customHeight="1" x14ac:dyDescent="0.25">
      <c r="A465" s="194"/>
      <c r="B465" s="194"/>
      <c r="C465" s="194"/>
      <c r="D465" s="194"/>
      <c r="E465" s="194"/>
      <c r="F465" s="194"/>
      <c r="G465" s="194"/>
      <c r="H465" s="194"/>
      <c r="I465" s="194"/>
      <c r="J465" s="194"/>
      <c r="K465" s="194"/>
      <c r="L465" s="194"/>
      <c r="M465" s="194"/>
      <c r="N465" s="194"/>
      <c r="O465" s="194"/>
      <c r="P465" s="194"/>
      <c r="Q465" s="194"/>
      <c r="R465" s="194"/>
      <c r="S465" s="194"/>
      <c r="T465" s="194"/>
      <c r="U465" s="194"/>
      <c r="V465" s="194"/>
      <c r="W465" s="194"/>
      <c r="X465" s="194"/>
      <c r="Y465" s="194"/>
      <c r="Z465" s="194"/>
      <c r="AA465" s="194"/>
      <c r="AB465" s="194"/>
      <c r="AC465" s="194"/>
      <c r="AD465" s="194"/>
      <c r="AE465" s="194"/>
      <c r="AF465" s="194"/>
      <c r="AG465" s="194"/>
      <c r="AH465" s="194"/>
      <c r="AI465" s="194"/>
      <c r="AJ465" s="194"/>
      <c r="AK465" s="194"/>
      <c r="AL465" s="194"/>
      <c r="AM465" s="194"/>
    </row>
    <row r="466" spans="1:39" ht="15.75" customHeight="1" x14ac:dyDescent="0.25">
      <c r="A466" s="194"/>
      <c r="B466" s="194"/>
      <c r="C466" s="194"/>
      <c r="D466" s="194"/>
      <c r="E466" s="194"/>
      <c r="F466" s="194"/>
      <c r="G466" s="194"/>
      <c r="H466" s="194"/>
      <c r="I466" s="194"/>
      <c r="J466" s="194"/>
      <c r="K466" s="194"/>
      <c r="L466" s="194"/>
      <c r="M466" s="194"/>
      <c r="N466" s="194"/>
      <c r="O466" s="194"/>
      <c r="P466" s="194"/>
      <c r="Q466" s="194"/>
      <c r="R466" s="194"/>
      <c r="S466" s="194"/>
      <c r="T466" s="194"/>
      <c r="U466" s="194"/>
      <c r="V466" s="194"/>
      <c r="W466" s="194"/>
      <c r="X466" s="194"/>
      <c r="Y466" s="194"/>
      <c r="Z466" s="194"/>
      <c r="AA466" s="194"/>
      <c r="AB466" s="194"/>
      <c r="AC466" s="194"/>
      <c r="AD466" s="194"/>
      <c r="AE466" s="194"/>
      <c r="AF466" s="194"/>
      <c r="AG466" s="194"/>
      <c r="AH466" s="194"/>
      <c r="AI466" s="194"/>
      <c r="AJ466" s="194"/>
      <c r="AK466" s="194"/>
      <c r="AL466" s="194"/>
      <c r="AM466" s="194"/>
    </row>
    <row r="467" spans="1:39" ht="15.75" customHeight="1" x14ac:dyDescent="0.25">
      <c r="A467" s="194"/>
      <c r="B467" s="194"/>
      <c r="C467" s="194"/>
      <c r="D467" s="194"/>
      <c r="E467" s="194"/>
      <c r="F467" s="194"/>
      <c r="G467" s="194"/>
      <c r="H467" s="194"/>
      <c r="I467" s="194"/>
      <c r="J467" s="194"/>
      <c r="K467" s="194"/>
      <c r="L467" s="194"/>
      <c r="M467" s="194"/>
      <c r="N467" s="194"/>
      <c r="O467" s="194"/>
      <c r="P467" s="194"/>
      <c r="Q467" s="194"/>
      <c r="R467" s="194"/>
      <c r="S467" s="194"/>
      <c r="T467" s="194"/>
      <c r="U467" s="194"/>
      <c r="V467" s="194"/>
      <c r="W467" s="194"/>
      <c r="X467" s="194"/>
      <c r="Y467" s="194"/>
      <c r="Z467" s="194"/>
      <c r="AA467" s="194"/>
      <c r="AB467" s="194"/>
      <c r="AC467" s="194"/>
      <c r="AD467" s="194"/>
      <c r="AE467" s="194"/>
      <c r="AF467" s="194"/>
      <c r="AG467" s="194"/>
      <c r="AH467" s="194"/>
      <c r="AI467" s="194"/>
      <c r="AJ467" s="194"/>
      <c r="AK467" s="194"/>
      <c r="AL467" s="194"/>
      <c r="AM467" s="194"/>
    </row>
    <row r="468" spans="1:39" ht="15.75" customHeight="1" x14ac:dyDescent="0.25">
      <c r="A468" s="194"/>
      <c r="B468" s="194"/>
      <c r="C468" s="194"/>
      <c r="D468" s="194"/>
      <c r="E468" s="194"/>
      <c r="F468" s="194"/>
      <c r="G468" s="194"/>
      <c r="H468" s="194"/>
      <c r="I468" s="194"/>
      <c r="J468" s="194"/>
      <c r="K468" s="194"/>
      <c r="L468" s="194"/>
      <c r="M468" s="194"/>
      <c r="N468" s="194"/>
      <c r="O468" s="194"/>
      <c r="P468" s="194"/>
      <c r="Q468" s="194"/>
      <c r="R468" s="194"/>
      <c r="S468" s="194"/>
      <c r="T468" s="194"/>
      <c r="U468" s="194"/>
      <c r="V468" s="194"/>
      <c r="W468" s="194"/>
      <c r="X468" s="194"/>
      <c r="Y468" s="194"/>
      <c r="Z468" s="194"/>
      <c r="AA468" s="194"/>
      <c r="AB468" s="194"/>
      <c r="AC468" s="194"/>
      <c r="AD468" s="194"/>
      <c r="AE468" s="194"/>
      <c r="AF468" s="194"/>
      <c r="AG468" s="194"/>
      <c r="AH468" s="194"/>
      <c r="AI468" s="194"/>
      <c r="AJ468" s="194"/>
      <c r="AK468" s="194"/>
      <c r="AL468" s="194"/>
      <c r="AM468" s="194"/>
    </row>
    <row r="469" spans="1:39" ht="15.75" customHeight="1" x14ac:dyDescent="0.25">
      <c r="A469" s="194"/>
      <c r="B469" s="194"/>
      <c r="C469" s="194"/>
      <c r="D469" s="194"/>
      <c r="E469" s="194"/>
      <c r="F469" s="194"/>
      <c r="G469" s="194"/>
      <c r="H469" s="194"/>
      <c r="I469" s="194"/>
      <c r="J469" s="194"/>
      <c r="K469" s="194"/>
      <c r="L469" s="194"/>
      <c r="M469" s="194"/>
      <c r="N469" s="194"/>
      <c r="O469" s="194"/>
      <c r="P469" s="194"/>
      <c r="Q469" s="194"/>
      <c r="R469" s="194"/>
      <c r="S469" s="194"/>
      <c r="T469" s="194"/>
      <c r="U469" s="194"/>
      <c r="V469" s="194"/>
      <c r="W469" s="194"/>
      <c r="X469" s="194"/>
      <c r="Y469" s="194"/>
      <c r="Z469" s="194"/>
      <c r="AA469" s="194"/>
      <c r="AB469" s="194"/>
      <c r="AC469" s="194"/>
      <c r="AD469" s="194"/>
      <c r="AE469" s="194"/>
      <c r="AF469" s="194"/>
      <c r="AG469" s="194"/>
      <c r="AH469" s="194"/>
      <c r="AI469" s="194"/>
      <c r="AJ469" s="194"/>
      <c r="AK469" s="194"/>
      <c r="AL469" s="194"/>
      <c r="AM469" s="194"/>
    </row>
    <row r="470" spans="1:39" ht="15.75" customHeight="1" x14ac:dyDescent="0.25">
      <c r="A470" s="194"/>
      <c r="B470" s="194"/>
      <c r="C470" s="194"/>
      <c r="D470" s="194"/>
      <c r="E470" s="194"/>
      <c r="F470" s="194"/>
      <c r="G470" s="194"/>
      <c r="H470" s="194"/>
      <c r="I470" s="194"/>
      <c r="J470" s="194"/>
      <c r="K470" s="194"/>
      <c r="L470" s="194"/>
      <c r="M470" s="194"/>
      <c r="N470" s="194"/>
      <c r="O470" s="194"/>
      <c r="P470" s="194"/>
      <c r="Q470" s="194"/>
      <c r="R470" s="194"/>
      <c r="S470" s="194"/>
      <c r="T470" s="194"/>
      <c r="U470" s="194"/>
      <c r="V470" s="194"/>
      <c r="W470" s="194"/>
      <c r="X470" s="194"/>
      <c r="Y470" s="194"/>
      <c r="Z470" s="194"/>
      <c r="AA470" s="194"/>
      <c r="AB470" s="194"/>
      <c r="AC470" s="194"/>
      <c r="AD470" s="194"/>
      <c r="AE470" s="194"/>
      <c r="AF470" s="194"/>
      <c r="AG470" s="194"/>
      <c r="AH470" s="194"/>
      <c r="AI470" s="194"/>
      <c r="AJ470" s="194"/>
      <c r="AK470" s="194"/>
      <c r="AL470" s="194"/>
      <c r="AM470" s="194"/>
    </row>
    <row r="471" spans="1:39" ht="15.75" customHeight="1" x14ac:dyDescent="0.25">
      <c r="A471" s="194"/>
      <c r="B471" s="194"/>
      <c r="C471" s="194"/>
      <c r="D471" s="194"/>
      <c r="E471" s="194"/>
      <c r="F471" s="194"/>
      <c r="G471" s="194"/>
      <c r="H471" s="194"/>
      <c r="I471" s="194"/>
      <c r="J471" s="194"/>
      <c r="K471" s="194"/>
      <c r="L471" s="194"/>
      <c r="M471" s="194"/>
      <c r="N471" s="194"/>
      <c r="O471" s="194"/>
      <c r="P471" s="194"/>
      <c r="Q471" s="194"/>
      <c r="R471" s="194"/>
      <c r="S471" s="194"/>
      <c r="T471" s="194"/>
      <c r="U471" s="194"/>
      <c r="V471" s="194"/>
      <c r="W471" s="194"/>
      <c r="X471" s="194"/>
      <c r="Y471" s="194"/>
      <c r="Z471" s="194"/>
      <c r="AA471" s="194"/>
      <c r="AB471" s="194"/>
      <c r="AC471" s="194"/>
      <c r="AD471" s="194"/>
      <c r="AE471" s="194"/>
      <c r="AF471" s="194"/>
      <c r="AG471" s="194"/>
      <c r="AH471" s="194"/>
      <c r="AI471" s="194"/>
      <c r="AJ471" s="194"/>
      <c r="AK471" s="194"/>
      <c r="AL471" s="194"/>
      <c r="AM471" s="194"/>
    </row>
    <row r="472" spans="1:39" ht="15.75" customHeight="1" x14ac:dyDescent="0.25">
      <c r="A472" s="194"/>
      <c r="B472" s="194"/>
      <c r="C472" s="194"/>
      <c r="D472" s="194"/>
      <c r="E472" s="194"/>
      <c r="F472" s="194"/>
      <c r="G472" s="194"/>
      <c r="H472" s="194"/>
      <c r="I472" s="194"/>
      <c r="J472" s="194"/>
      <c r="K472" s="194"/>
      <c r="L472" s="194"/>
      <c r="M472" s="194"/>
      <c r="N472" s="194"/>
      <c r="O472" s="194"/>
      <c r="P472" s="194"/>
      <c r="Q472" s="194"/>
      <c r="R472" s="194"/>
      <c r="S472" s="194"/>
      <c r="T472" s="194"/>
      <c r="U472" s="194"/>
      <c r="V472" s="194"/>
      <c r="W472" s="194"/>
      <c r="X472" s="194"/>
      <c r="Y472" s="194"/>
      <c r="Z472" s="194"/>
      <c r="AA472" s="194"/>
      <c r="AB472" s="194"/>
      <c r="AC472" s="194"/>
      <c r="AD472" s="194"/>
      <c r="AE472" s="194"/>
      <c r="AF472" s="194"/>
      <c r="AG472" s="194"/>
      <c r="AH472" s="194"/>
      <c r="AI472" s="194"/>
      <c r="AJ472" s="194"/>
      <c r="AK472" s="194"/>
      <c r="AL472" s="194"/>
      <c r="AM472" s="194"/>
    </row>
    <row r="473" spans="1:39" ht="15.75" customHeight="1" x14ac:dyDescent="0.25">
      <c r="A473" s="194"/>
      <c r="B473" s="194"/>
      <c r="C473" s="194"/>
      <c r="D473" s="194"/>
      <c r="E473" s="194"/>
      <c r="F473" s="194"/>
      <c r="G473" s="194"/>
      <c r="H473" s="194"/>
      <c r="I473" s="194"/>
      <c r="J473" s="194"/>
      <c r="K473" s="194"/>
      <c r="L473" s="194"/>
      <c r="M473" s="194"/>
      <c r="N473" s="194"/>
      <c r="O473" s="194"/>
      <c r="P473" s="194"/>
      <c r="Q473" s="194"/>
      <c r="R473" s="194"/>
      <c r="S473" s="194"/>
      <c r="T473" s="194"/>
      <c r="U473" s="194"/>
      <c r="V473" s="194"/>
      <c r="W473" s="194"/>
      <c r="X473" s="194"/>
      <c r="Y473" s="194"/>
      <c r="Z473" s="194"/>
      <c r="AA473" s="194"/>
      <c r="AB473" s="194"/>
      <c r="AC473" s="194"/>
      <c r="AD473" s="194"/>
      <c r="AE473" s="194"/>
      <c r="AF473" s="194"/>
      <c r="AG473" s="194"/>
      <c r="AH473" s="194"/>
      <c r="AI473" s="194"/>
      <c r="AJ473" s="194"/>
      <c r="AK473" s="194"/>
      <c r="AL473" s="194"/>
      <c r="AM473" s="194"/>
    </row>
    <row r="474" spans="1:39" ht="15.75" customHeight="1" x14ac:dyDescent="0.25">
      <c r="A474" s="194"/>
      <c r="B474" s="194"/>
      <c r="C474" s="194"/>
      <c r="D474" s="194"/>
      <c r="E474" s="194"/>
      <c r="F474" s="194"/>
      <c r="G474" s="194"/>
      <c r="H474" s="194"/>
      <c r="I474" s="194"/>
      <c r="J474" s="194"/>
      <c r="K474" s="194"/>
      <c r="L474" s="194"/>
      <c r="M474" s="194"/>
      <c r="N474" s="194"/>
      <c r="O474" s="194"/>
      <c r="P474" s="194"/>
      <c r="Q474" s="194"/>
      <c r="R474" s="194"/>
      <c r="S474" s="194"/>
      <c r="T474" s="194"/>
      <c r="U474" s="194"/>
      <c r="V474" s="194"/>
      <c r="W474" s="194"/>
      <c r="X474" s="194"/>
      <c r="Y474" s="194"/>
      <c r="Z474" s="194"/>
      <c r="AA474" s="194"/>
      <c r="AB474" s="194"/>
      <c r="AC474" s="194"/>
      <c r="AD474" s="194"/>
      <c r="AE474" s="194"/>
      <c r="AF474" s="194"/>
      <c r="AG474" s="194"/>
      <c r="AH474" s="194"/>
      <c r="AI474" s="194"/>
      <c r="AJ474" s="194"/>
      <c r="AK474" s="194"/>
      <c r="AL474" s="194"/>
      <c r="AM474" s="194"/>
    </row>
    <row r="475" spans="1:39" ht="15.75" customHeight="1" x14ac:dyDescent="0.25">
      <c r="A475" s="194"/>
      <c r="B475" s="194"/>
      <c r="C475" s="194"/>
      <c r="D475" s="194"/>
      <c r="E475" s="194"/>
      <c r="F475" s="194"/>
      <c r="G475" s="194"/>
      <c r="H475" s="194"/>
      <c r="I475" s="194"/>
      <c r="J475" s="194"/>
      <c r="K475" s="194"/>
      <c r="L475" s="194"/>
      <c r="M475" s="194"/>
      <c r="N475" s="194"/>
      <c r="O475" s="194"/>
      <c r="P475" s="194"/>
      <c r="Q475" s="194"/>
      <c r="R475" s="194"/>
      <c r="S475" s="194"/>
      <c r="T475" s="194"/>
      <c r="U475" s="194"/>
      <c r="V475" s="194"/>
      <c r="W475" s="194"/>
      <c r="X475" s="194"/>
      <c r="Y475" s="194"/>
      <c r="Z475" s="194"/>
      <c r="AA475" s="194"/>
      <c r="AB475" s="194"/>
      <c r="AC475" s="194"/>
      <c r="AD475" s="194"/>
      <c r="AE475" s="194"/>
      <c r="AF475" s="194"/>
      <c r="AG475" s="194"/>
      <c r="AH475" s="194"/>
      <c r="AI475" s="194"/>
      <c r="AJ475" s="194"/>
      <c r="AK475" s="194"/>
      <c r="AL475" s="194"/>
      <c r="AM475" s="194"/>
    </row>
    <row r="476" spans="1:39" ht="15.75" customHeight="1" x14ac:dyDescent="0.25">
      <c r="A476" s="194"/>
      <c r="B476" s="194"/>
      <c r="C476" s="194"/>
      <c r="D476" s="194"/>
      <c r="E476" s="194"/>
      <c r="F476" s="194"/>
      <c r="G476" s="194"/>
      <c r="H476" s="194"/>
      <c r="I476" s="194"/>
      <c r="J476" s="194"/>
      <c r="K476" s="194"/>
      <c r="L476" s="194"/>
      <c r="M476" s="194"/>
      <c r="N476" s="194"/>
      <c r="O476" s="194"/>
      <c r="P476" s="194"/>
      <c r="Q476" s="194"/>
      <c r="R476" s="194"/>
      <c r="S476" s="194"/>
      <c r="T476" s="194"/>
      <c r="U476" s="194"/>
      <c r="V476" s="194"/>
      <c r="W476" s="194"/>
      <c r="X476" s="194"/>
      <c r="Y476" s="194"/>
      <c r="Z476" s="194"/>
      <c r="AA476" s="194"/>
      <c r="AB476" s="194"/>
      <c r="AC476" s="194"/>
      <c r="AD476" s="194"/>
      <c r="AE476" s="194"/>
      <c r="AF476" s="194"/>
      <c r="AG476" s="194"/>
      <c r="AH476" s="194"/>
      <c r="AI476" s="194"/>
      <c r="AJ476" s="194"/>
      <c r="AK476" s="194"/>
      <c r="AL476" s="194"/>
      <c r="AM476" s="194"/>
    </row>
    <row r="477" spans="1:39" ht="15.75" customHeight="1" x14ac:dyDescent="0.25">
      <c r="A477" s="194"/>
      <c r="B477" s="194"/>
      <c r="C477" s="194"/>
      <c r="D477" s="194"/>
      <c r="E477" s="194"/>
      <c r="F477" s="194"/>
      <c r="G477" s="194"/>
      <c r="H477" s="194"/>
      <c r="I477" s="194"/>
      <c r="J477" s="194"/>
      <c r="K477" s="194"/>
      <c r="L477" s="194"/>
      <c r="M477" s="194"/>
      <c r="N477" s="194"/>
      <c r="O477" s="194"/>
      <c r="P477" s="194"/>
      <c r="Q477" s="194"/>
      <c r="R477" s="194"/>
      <c r="S477" s="194"/>
      <c r="T477" s="194"/>
      <c r="U477" s="194"/>
      <c r="V477" s="194"/>
      <c r="W477" s="194"/>
      <c r="X477" s="194"/>
      <c r="Y477" s="194"/>
      <c r="Z477" s="194"/>
      <c r="AA477" s="194"/>
      <c r="AB477" s="194"/>
      <c r="AC477" s="194"/>
      <c r="AD477" s="194"/>
      <c r="AE477" s="194"/>
      <c r="AF477" s="194"/>
      <c r="AG477" s="194"/>
      <c r="AH477" s="194"/>
      <c r="AI477" s="194"/>
      <c r="AJ477" s="194"/>
      <c r="AK477" s="194"/>
      <c r="AL477" s="194"/>
      <c r="AM477" s="194"/>
    </row>
    <row r="478" spans="1:39" ht="15.75" customHeight="1" x14ac:dyDescent="0.25">
      <c r="A478" s="194"/>
      <c r="B478" s="194"/>
      <c r="C478" s="194"/>
      <c r="D478" s="194"/>
      <c r="E478" s="194"/>
      <c r="F478" s="194"/>
      <c r="G478" s="194"/>
      <c r="H478" s="194"/>
      <c r="I478" s="194"/>
      <c r="J478" s="194"/>
      <c r="K478" s="194"/>
      <c r="L478" s="194"/>
      <c r="M478" s="194"/>
      <c r="N478" s="194"/>
      <c r="O478" s="194"/>
      <c r="P478" s="194"/>
      <c r="Q478" s="194"/>
      <c r="R478" s="194"/>
      <c r="S478" s="194"/>
      <c r="T478" s="194"/>
      <c r="U478" s="194"/>
      <c r="V478" s="194"/>
      <c r="W478" s="194"/>
      <c r="X478" s="194"/>
      <c r="Y478" s="194"/>
      <c r="Z478" s="194"/>
      <c r="AA478" s="194"/>
      <c r="AB478" s="194"/>
      <c r="AC478" s="194"/>
      <c r="AD478" s="194"/>
      <c r="AE478" s="194"/>
      <c r="AF478" s="194"/>
      <c r="AG478" s="194"/>
      <c r="AH478" s="194"/>
      <c r="AI478" s="194"/>
      <c r="AJ478" s="194"/>
      <c r="AK478" s="194"/>
      <c r="AL478" s="194"/>
      <c r="AM478" s="194"/>
    </row>
    <row r="479" spans="1:39" ht="15.75" customHeight="1" x14ac:dyDescent="0.25">
      <c r="A479" s="194"/>
      <c r="B479" s="194"/>
      <c r="C479" s="194"/>
      <c r="D479" s="194"/>
      <c r="E479" s="194"/>
      <c r="F479" s="194"/>
      <c r="G479" s="194"/>
      <c r="H479" s="194"/>
      <c r="I479" s="194"/>
      <c r="J479" s="194"/>
      <c r="K479" s="194"/>
      <c r="L479" s="194"/>
      <c r="M479" s="194"/>
      <c r="N479" s="194"/>
      <c r="O479" s="194"/>
      <c r="P479" s="194"/>
      <c r="Q479" s="194"/>
      <c r="R479" s="194"/>
      <c r="S479" s="194"/>
      <c r="T479" s="194"/>
      <c r="U479" s="194"/>
      <c r="V479" s="194"/>
      <c r="W479" s="194"/>
      <c r="X479" s="194"/>
      <c r="Y479" s="194"/>
      <c r="Z479" s="194"/>
      <c r="AA479" s="194"/>
      <c r="AB479" s="194"/>
      <c r="AC479" s="194"/>
      <c r="AD479" s="194"/>
      <c r="AE479" s="194"/>
      <c r="AF479" s="194"/>
      <c r="AG479" s="194"/>
      <c r="AH479" s="194"/>
      <c r="AI479" s="194"/>
      <c r="AJ479" s="194"/>
      <c r="AK479" s="194"/>
      <c r="AL479" s="194"/>
      <c r="AM479" s="194"/>
    </row>
    <row r="480" spans="1:39" ht="15.75" customHeight="1" x14ac:dyDescent="0.25">
      <c r="A480" s="194"/>
      <c r="B480" s="194"/>
      <c r="C480" s="194"/>
      <c r="D480" s="194"/>
      <c r="E480" s="194"/>
      <c r="F480" s="194"/>
      <c r="G480" s="194"/>
      <c r="H480" s="194"/>
      <c r="I480" s="194"/>
      <c r="J480" s="194"/>
      <c r="K480" s="194"/>
      <c r="L480" s="194"/>
      <c r="M480" s="194"/>
      <c r="N480" s="194"/>
      <c r="O480" s="194"/>
      <c r="P480" s="194"/>
      <c r="Q480" s="194"/>
      <c r="R480" s="194"/>
      <c r="S480" s="194"/>
      <c r="T480" s="194"/>
      <c r="U480" s="194"/>
      <c r="V480" s="194"/>
      <c r="W480" s="194"/>
      <c r="X480" s="194"/>
      <c r="Y480" s="194"/>
      <c r="Z480" s="194"/>
      <c r="AA480" s="194"/>
      <c r="AB480" s="194"/>
      <c r="AC480" s="194"/>
      <c r="AD480" s="194"/>
      <c r="AE480" s="194"/>
      <c r="AF480" s="194"/>
      <c r="AG480" s="194"/>
      <c r="AH480" s="194"/>
      <c r="AI480" s="194"/>
      <c r="AJ480" s="194"/>
      <c r="AK480" s="194"/>
      <c r="AL480" s="194"/>
      <c r="AM480" s="194"/>
    </row>
    <row r="481" spans="1:39" ht="15.75" customHeight="1" x14ac:dyDescent="0.25">
      <c r="A481" s="194"/>
      <c r="B481" s="194"/>
      <c r="C481" s="194"/>
      <c r="D481" s="194"/>
      <c r="E481" s="194"/>
      <c r="F481" s="194"/>
      <c r="G481" s="194"/>
      <c r="H481" s="194"/>
      <c r="I481" s="194"/>
      <c r="J481" s="194"/>
      <c r="K481" s="194"/>
      <c r="L481" s="194"/>
      <c r="M481" s="194"/>
      <c r="N481" s="194"/>
      <c r="O481" s="194"/>
      <c r="P481" s="194"/>
      <c r="Q481" s="194"/>
      <c r="R481" s="194"/>
      <c r="S481" s="194"/>
      <c r="T481" s="194"/>
      <c r="U481" s="194"/>
      <c r="V481" s="194"/>
      <c r="W481" s="194"/>
      <c r="X481" s="194"/>
      <c r="Y481" s="194"/>
      <c r="Z481" s="194"/>
      <c r="AA481" s="194"/>
      <c r="AB481" s="194"/>
      <c r="AC481" s="194"/>
      <c r="AD481" s="194"/>
      <c r="AE481" s="194"/>
      <c r="AF481" s="194"/>
      <c r="AG481" s="194"/>
      <c r="AH481" s="194"/>
      <c r="AI481" s="194"/>
      <c r="AJ481" s="194"/>
      <c r="AK481" s="194"/>
      <c r="AL481" s="194"/>
      <c r="AM481" s="194"/>
    </row>
    <row r="482" spans="1:39" ht="15.75" customHeight="1" x14ac:dyDescent="0.25">
      <c r="A482" s="194"/>
      <c r="B482" s="194"/>
      <c r="C482" s="194"/>
      <c r="D482" s="194"/>
      <c r="E482" s="194"/>
      <c r="F482" s="194"/>
      <c r="G482" s="194"/>
      <c r="H482" s="194"/>
      <c r="I482" s="194"/>
      <c r="J482" s="194"/>
      <c r="K482" s="194"/>
      <c r="L482" s="194"/>
      <c r="M482" s="194"/>
      <c r="N482" s="194"/>
      <c r="O482" s="194"/>
      <c r="P482" s="194"/>
      <c r="Q482" s="194"/>
      <c r="R482" s="194"/>
      <c r="S482" s="194"/>
      <c r="T482" s="194"/>
      <c r="U482" s="194"/>
      <c r="V482" s="194"/>
      <c r="W482" s="194"/>
      <c r="X482" s="194"/>
      <c r="Y482" s="194"/>
      <c r="Z482" s="194"/>
      <c r="AA482" s="194"/>
      <c r="AB482" s="194"/>
      <c r="AC482" s="194"/>
      <c r="AD482" s="194"/>
      <c r="AE482" s="194"/>
      <c r="AF482" s="194"/>
      <c r="AG482" s="194"/>
      <c r="AH482" s="194"/>
      <c r="AI482" s="194"/>
      <c r="AJ482" s="194"/>
      <c r="AK482" s="194"/>
      <c r="AL482" s="194"/>
      <c r="AM482" s="194"/>
    </row>
    <row r="483" spans="1:39" ht="15.75" customHeight="1" x14ac:dyDescent="0.25">
      <c r="A483" s="194"/>
      <c r="B483" s="194"/>
      <c r="C483" s="194"/>
      <c r="D483" s="194"/>
      <c r="E483" s="194"/>
      <c r="F483" s="194"/>
      <c r="G483" s="194"/>
      <c r="H483" s="194"/>
      <c r="I483" s="194"/>
      <c r="J483" s="194"/>
      <c r="K483" s="194"/>
      <c r="L483" s="194"/>
      <c r="M483" s="194"/>
      <c r="N483" s="194"/>
      <c r="O483" s="194"/>
      <c r="P483" s="194"/>
      <c r="Q483" s="194"/>
      <c r="R483" s="194"/>
      <c r="S483" s="194"/>
      <c r="T483" s="194"/>
      <c r="U483" s="194"/>
      <c r="V483" s="194"/>
      <c r="W483" s="194"/>
      <c r="X483" s="194"/>
      <c r="Y483" s="194"/>
      <c r="Z483" s="194"/>
      <c r="AA483" s="194"/>
      <c r="AB483" s="194"/>
      <c r="AC483" s="194"/>
      <c r="AD483" s="194"/>
      <c r="AE483" s="194"/>
      <c r="AF483" s="194"/>
      <c r="AG483" s="194"/>
      <c r="AH483" s="194"/>
      <c r="AI483" s="194"/>
      <c r="AJ483" s="194"/>
      <c r="AK483" s="194"/>
      <c r="AL483" s="194"/>
      <c r="AM483" s="194"/>
    </row>
    <row r="484" spans="1:39" ht="15.75" customHeight="1" x14ac:dyDescent="0.25">
      <c r="A484" s="194"/>
      <c r="B484" s="194"/>
      <c r="C484" s="194"/>
      <c r="D484" s="194"/>
      <c r="E484" s="194"/>
      <c r="F484" s="194"/>
      <c r="G484" s="194"/>
      <c r="H484" s="194"/>
      <c r="I484" s="194"/>
      <c r="J484" s="194"/>
      <c r="K484" s="194"/>
      <c r="L484" s="194"/>
      <c r="M484" s="194"/>
      <c r="N484" s="194"/>
      <c r="O484" s="194"/>
      <c r="P484" s="194"/>
      <c r="Q484" s="194"/>
      <c r="R484" s="194"/>
      <c r="S484" s="194"/>
      <c r="T484" s="194"/>
      <c r="U484" s="194"/>
      <c r="V484" s="194"/>
      <c r="W484" s="194"/>
      <c r="X484" s="194"/>
      <c r="Y484" s="194"/>
      <c r="Z484" s="194"/>
      <c r="AA484" s="194"/>
      <c r="AB484" s="194"/>
      <c r="AC484" s="194"/>
      <c r="AD484" s="194"/>
      <c r="AE484" s="194"/>
      <c r="AF484" s="194"/>
      <c r="AG484" s="194"/>
      <c r="AH484" s="194"/>
      <c r="AI484" s="194"/>
      <c r="AJ484" s="194"/>
      <c r="AK484" s="194"/>
      <c r="AL484" s="194"/>
      <c r="AM484" s="194"/>
    </row>
    <row r="485" spans="1:39" ht="15.75" customHeight="1" x14ac:dyDescent="0.25">
      <c r="A485" s="194"/>
      <c r="B485" s="194"/>
      <c r="C485" s="194"/>
      <c r="D485" s="194"/>
      <c r="E485" s="194"/>
      <c r="F485" s="194"/>
      <c r="G485" s="194"/>
      <c r="H485" s="194"/>
      <c r="I485" s="194"/>
      <c r="J485" s="194"/>
      <c r="K485" s="194"/>
      <c r="L485" s="194"/>
      <c r="M485" s="194"/>
      <c r="N485" s="194"/>
      <c r="O485" s="194"/>
      <c r="P485" s="194"/>
      <c r="Q485" s="194"/>
      <c r="R485" s="194"/>
      <c r="S485" s="194"/>
      <c r="T485" s="194"/>
      <c r="U485" s="194"/>
      <c r="V485" s="194"/>
      <c r="W485" s="194"/>
      <c r="X485" s="194"/>
      <c r="Y485" s="194"/>
      <c r="Z485" s="194"/>
      <c r="AA485" s="194"/>
      <c r="AB485" s="194"/>
      <c r="AC485" s="194"/>
      <c r="AD485" s="194"/>
      <c r="AE485" s="194"/>
      <c r="AF485" s="194"/>
      <c r="AG485" s="194"/>
      <c r="AH485" s="194"/>
      <c r="AI485" s="194"/>
      <c r="AJ485" s="194"/>
      <c r="AK485" s="194"/>
      <c r="AL485" s="194"/>
      <c r="AM485" s="194"/>
    </row>
    <row r="486" spans="1:39" ht="15.75" customHeight="1" x14ac:dyDescent="0.25">
      <c r="A486" s="194"/>
      <c r="B486" s="194"/>
      <c r="C486" s="194"/>
      <c r="D486" s="194"/>
      <c r="E486" s="194"/>
      <c r="F486" s="194"/>
      <c r="G486" s="194"/>
      <c r="H486" s="194"/>
      <c r="I486" s="194"/>
      <c r="J486" s="194"/>
      <c r="K486" s="194"/>
      <c r="L486" s="194"/>
      <c r="M486" s="194"/>
      <c r="N486" s="194"/>
      <c r="O486" s="194"/>
      <c r="P486" s="194"/>
      <c r="Q486" s="194"/>
      <c r="R486" s="194"/>
      <c r="S486" s="194"/>
      <c r="T486" s="194"/>
      <c r="U486" s="194"/>
      <c r="V486" s="194"/>
      <c r="W486" s="194"/>
      <c r="X486" s="194"/>
      <c r="Y486" s="194"/>
      <c r="Z486" s="194"/>
      <c r="AA486" s="194"/>
      <c r="AB486" s="194"/>
      <c r="AC486" s="194"/>
      <c r="AD486" s="194"/>
      <c r="AE486" s="194"/>
      <c r="AF486" s="194"/>
      <c r="AG486" s="194"/>
      <c r="AH486" s="194"/>
      <c r="AI486" s="194"/>
      <c r="AJ486" s="194"/>
      <c r="AK486" s="194"/>
      <c r="AL486" s="194"/>
      <c r="AM486" s="194"/>
    </row>
    <row r="487" spans="1:39" ht="15.75" customHeight="1" x14ac:dyDescent="0.25">
      <c r="A487" s="194"/>
      <c r="B487" s="194"/>
      <c r="C487" s="194"/>
      <c r="D487" s="194"/>
      <c r="E487" s="194"/>
      <c r="F487" s="194"/>
      <c r="G487" s="194"/>
      <c r="H487" s="194"/>
      <c r="I487" s="194"/>
      <c r="J487" s="194"/>
      <c r="K487" s="194"/>
      <c r="L487" s="194"/>
      <c r="M487" s="194"/>
      <c r="N487" s="194"/>
      <c r="O487" s="194"/>
      <c r="P487" s="194"/>
      <c r="Q487" s="194"/>
      <c r="R487" s="194"/>
      <c r="S487" s="194"/>
      <c r="T487" s="194"/>
      <c r="U487" s="194"/>
      <c r="V487" s="194"/>
      <c r="W487" s="194"/>
      <c r="X487" s="194"/>
      <c r="Y487" s="194"/>
      <c r="Z487" s="194"/>
      <c r="AA487" s="194"/>
      <c r="AB487" s="194"/>
      <c r="AC487" s="194"/>
      <c r="AD487" s="194"/>
      <c r="AE487" s="194"/>
      <c r="AF487" s="194"/>
      <c r="AG487" s="194"/>
      <c r="AH487" s="194"/>
      <c r="AI487" s="194"/>
      <c r="AJ487" s="194"/>
      <c r="AK487" s="194"/>
      <c r="AL487" s="194"/>
      <c r="AM487" s="194"/>
    </row>
    <row r="488" spans="1:39" ht="15.75" customHeight="1" x14ac:dyDescent="0.25">
      <c r="A488" s="194"/>
      <c r="B488" s="194"/>
      <c r="C488" s="194"/>
      <c r="D488" s="194"/>
      <c r="E488" s="194"/>
      <c r="F488" s="194"/>
      <c r="G488" s="194"/>
      <c r="H488" s="194"/>
      <c r="I488" s="194"/>
      <c r="J488" s="194"/>
      <c r="K488" s="194"/>
      <c r="L488" s="194"/>
      <c r="M488" s="194"/>
      <c r="N488" s="194"/>
      <c r="O488" s="194"/>
      <c r="P488" s="194"/>
      <c r="Q488" s="194"/>
      <c r="R488" s="194"/>
      <c r="S488" s="194"/>
      <c r="T488" s="194"/>
      <c r="U488" s="194"/>
      <c r="V488" s="194"/>
      <c r="W488" s="194"/>
      <c r="X488" s="194"/>
      <c r="Y488" s="194"/>
      <c r="Z488" s="194"/>
      <c r="AA488" s="194"/>
      <c r="AB488" s="194"/>
      <c r="AC488" s="194"/>
      <c r="AD488" s="194"/>
      <c r="AE488" s="194"/>
      <c r="AF488" s="194"/>
      <c r="AG488" s="194"/>
      <c r="AH488" s="194"/>
      <c r="AI488" s="194"/>
      <c r="AJ488" s="194"/>
      <c r="AK488" s="194"/>
      <c r="AL488" s="194"/>
      <c r="AM488" s="194"/>
    </row>
    <row r="489" spans="1:39" ht="15.75" customHeight="1" x14ac:dyDescent="0.25">
      <c r="A489" s="194"/>
      <c r="B489" s="194"/>
      <c r="C489" s="194"/>
      <c r="D489" s="194"/>
      <c r="E489" s="194"/>
      <c r="F489" s="194"/>
      <c r="G489" s="194"/>
      <c r="H489" s="194"/>
      <c r="I489" s="194"/>
      <c r="J489" s="194"/>
      <c r="K489" s="194"/>
      <c r="L489" s="194"/>
      <c r="M489" s="194"/>
      <c r="N489" s="194"/>
      <c r="O489" s="194"/>
      <c r="P489" s="194"/>
      <c r="Q489" s="194"/>
      <c r="R489" s="194"/>
      <c r="S489" s="194"/>
      <c r="T489" s="194"/>
      <c r="U489" s="194"/>
      <c r="V489" s="194"/>
      <c r="W489" s="194"/>
      <c r="X489" s="194"/>
      <c r="Y489" s="194"/>
      <c r="Z489" s="194"/>
      <c r="AA489" s="194"/>
      <c r="AB489" s="194"/>
      <c r="AC489" s="194"/>
      <c r="AD489" s="194"/>
      <c r="AE489" s="194"/>
      <c r="AF489" s="194"/>
      <c r="AG489" s="194"/>
      <c r="AH489" s="194"/>
      <c r="AI489" s="194"/>
      <c r="AJ489" s="194"/>
      <c r="AK489" s="194"/>
      <c r="AL489" s="194"/>
      <c r="AM489" s="194"/>
    </row>
    <row r="490" spans="1:39" ht="15.75" customHeight="1" x14ac:dyDescent="0.25">
      <c r="A490" s="194"/>
      <c r="B490" s="194"/>
      <c r="C490" s="194"/>
      <c r="D490" s="194"/>
      <c r="E490" s="194"/>
      <c r="F490" s="194"/>
      <c r="G490" s="194"/>
      <c r="H490" s="194"/>
      <c r="I490" s="194"/>
      <c r="J490" s="194"/>
      <c r="K490" s="194"/>
      <c r="L490" s="194"/>
      <c r="M490" s="194"/>
      <c r="N490" s="194"/>
      <c r="O490" s="194"/>
      <c r="P490" s="194"/>
      <c r="Q490" s="194"/>
      <c r="R490" s="194"/>
      <c r="S490" s="194"/>
      <c r="T490" s="194"/>
      <c r="U490" s="194"/>
      <c r="V490" s="194"/>
      <c r="W490" s="194"/>
      <c r="X490" s="194"/>
      <c r="Y490" s="194"/>
      <c r="Z490" s="194"/>
      <c r="AA490" s="194"/>
      <c r="AB490" s="194"/>
      <c r="AC490" s="194"/>
      <c r="AD490" s="194"/>
      <c r="AE490" s="194"/>
      <c r="AF490" s="194"/>
      <c r="AG490" s="194"/>
      <c r="AH490" s="194"/>
      <c r="AI490" s="194"/>
      <c r="AJ490" s="194"/>
      <c r="AK490" s="194"/>
      <c r="AL490" s="194"/>
      <c r="AM490" s="194"/>
    </row>
    <row r="491" spans="1:39" ht="15.75" customHeight="1" x14ac:dyDescent="0.25">
      <c r="A491" s="194"/>
      <c r="B491" s="194"/>
      <c r="C491" s="194"/>
      <c r="D491" s="194"/>
      <c r="E491" s="194"/>
      <c r="F491" s="194"/>
      <c r="G491" s="194"/>
      <c r="H491" s="194"/>
      <c r="I491" s="194"/>
      <c r="J491" s="194"/>
      <c r="K491" s="194"/>
      <c r="L491" s="194"/>
      <c r="M491" s="194"/>
      <c r="N491" s="194"/>
      <c r="O491" s="194"/>
      <c r="P491" s="194"/>
      <c r="Q491" s="194"/>
      <c r="R491" s="194"/>
      <c r="S491" s="194"/>
      <c r="T491" s="194"/>
      <c r="U491" s="194"/>
      <c r="V491" s="194"/>
      <c r="W491" s="194"/>
      <c r="X491" s="194"/>
      <c r="Y491" s="194"/>
      <c r="Z491" s="194"/>
      <c r="AA491" s="194"/>
      <c r="AB491" s="194"/>
      <c r="AC491" s="194"/>
      <c r="AD491" s="194"/>
      <c r="AE491" s="194"/>
      <c r="AF491" s="194"/>
      <c r="AG491" s="194"/>
      <c r="AH491" s="194"/>
      <c r="AI491" s="194"/>
      <c r="AJ491" s="194"/>
      <c r="AK491" s="194"/>
      <c r="AL491" s="194"/>
      <c r="AM491" s="194"/>
    </row>
    <row r="492" spans="1:39" ht="15.75" customHeight="1" x14ac:dyDescent="0.25">
      <c r="A492" s="194"/>
      <c r="B492" s="194"/>
      <c r="C492" s="194"/>
      <c r="D492" s="194"/>
      <c r="E492" s="194"/>
      <c r="F492" s="194"/>
      <c r="G492" s="194"/>
      <c r="H492" s="194"/>
      <c r="I492" s="194"/>
      <c r="J492" s="194"/>
      <c r="K492" s="194"/>
      <c r="L492" s="194"/>
      <c r="M492" s="194"/>
      <c r="N492" s="194"/>
      <c r="O492" s="194"/>
      <c r="P492" s="194"/>
      <c r="Q492" s="194"/>
      <c r="R492" s="194"/>
      <c r="S492" s="194"/>
      <c r="T492" s="194"/>
      <c r="U492" s="194"/>
      <c r="V492" s="194"/>
      <c r="W492" s="194"/>
      <c r="X492" s="194"/>
      <c r="Y492" s="194"/>
      <c r="Z492" s="194"/>
      <c r="AA492" s="194"/>
      <c r="AB492" s="194"/>
      <c r="AC492" s="194"/>
      <c r="AD492" s="194"/>
      <c r="AE492" s="194"/>
      <c r="AF492" s="194"/>
      <c r="AG492" s="194"/>
      <c r="AH492" s="194"/>
      <c r="AI492" s="194"/>
      <c r="AJ492" s="194"/>
      <c r="AK492" s="194"/>
      <c r="AL492" s="194"/>
      <c r="AM492" s="194"/>
    </row>
    <row r="493" spans="1:39" ht="15.75" customHeight="1" x14ac:dyDescent="0.25">
      <c r="A493" s="194"/>
      <c r="B493" s="194"/>
      <c r="C493" s="194"/>
      <c r="D493" s="194"/>
      <c r="E493" s="194"/>
      <c r="F493" s="194"/>
      <c r="G493" s="194"/>
      <c r="H493" s="194"/>
      <c r="I493" s="194"/>
      <c r="J493" s="194"/>
      <c r="K493" s="194"/>
      <c r="L493" s="194"/>
      <c r="M493" s="194"/>
      <c r="N493" s="194"/>
      <c r="O493" s="194"/>
      <c r="P493" s="194"/>
      <c r="Q493" s="194"/>
      <c r="R493" s="194"/>
      <c r="S493" s="194"/>
      <c r="T493" s="194"/>
      <c r="U493" s="194"/>
      <c r="V493" s="194"/>
      <c r="W493" s="194"/>
      <c r="X493" s="194"/>
      <c r="Y493" s="194"/>
      <c r="Z493" s="194"/>
      <c r="AA493" s="194"/>
      <c r="AB493" s="194"/>
      <c r="AC493" s="194"/>
      <c r="AD493" s="194"/>
      <c r="AE493" s="194"/>
      <c r="AF493" s="194"/>
      <c r="AG493" s="194"/>
      <c r="AH493" s="194"/>
      <c r="AI493" s="194"/>
      <c r="AJ493" s="194"/>
      <c r="AK493" s="194"/>
      <c r="AL493" s="194"/>
      <c r="AM493" s="194"/>
    </row>
    <row r="494" spans="1:39" ht="15.75" customHeight="1" x14ac:dyDescent="0.25">
      <c r="A494" s="194"/>
      <c r="B494" s="194"/>
      <c r="C494" s="194"/>
      <c r="D494" s="194"/>
      <c r="E494" s="194"/>
      <c r="F494" s="194"/>
      <c r="G494" s="194"/>
      <c r="H494" s="194"/>
      <c r="I494" s="194"/>
      <c r="J494" s="194"/>
      <c r="K494" s="194"/>
      <c r="L494" s="194"/>
      <c r="M494" s="194"/>
      <c r="N494" s="194"/>
      <c r="O494" s="194"/>
      <c r="P494" s="194"/>
      <c r="Q494" s="194"/>
      <c r="R494" s="194"/>
      <c r="S494" s="194"/>
      <c r="T494" s="194"/>
      <c r="U494" s="194"/>
      <c r="V494" s="194"/>
      <c r="W494" s="194"/>
      <c r="X494" s="194"/>
      <c r="Y494" s="194"/>
      <c r="Z494" s="194"/>
      <c r="AA494" s="194"/>
      <c r="AB494" s="194"/>
      <c r="AC494" s="194"/>
      <c r="AD494" s="194"/>
      <c r="AE494" s="194"/>
      <c r="AF494" s="194"/>
      <c r="AG494" s="194"/>
      <c r="AH494" s="194"/>
      <c r="AI494" s="194"/>
      <c r="AJ494" s="194"/>
      <c r="AK494" s="194"/>
      <c r="AL494" s="194"/>
      <c r="AM494" s="194"/>
    </row>
    <row r="495" spans="1:39" ht="15.75" customHeight="1" x14ac:dyDescent="0.25">
      <c r="A495" s="194"/>
      <c r="B495" s="194"/>
      <c r="C495" s="194"/>
      <c r="D495" s="194"/>
      <c r="E495" s="194"/>
      <c r="F495" s="194"/>
      <c r="G495" s="194"/>
      <c r="H495" s="194"/>
      <c r="I495" s="194"/>
      <c r="J495" s="194"/>
      <c r="K495" s="194"/>
      <c r="L495" s="194"/>
      <c r="M495" s="194"/>
      <c r="N495" s="194"/>
      <c r="O495" s="194"/>
      <c r="P495" s="194"/>
      <c r="Q495" s="194"/>
      <c r="R495" s="194"/>
      <c r="S495" s="194"/>
      <c r="T495" s="194"/>
      <c r="U495" s="194"/>
      <c r="V495" s="194"/>
      <c r="W495" s="194"/>
      <c r="X495" s="194"/>
      <c r="Y495" s="194"/>
      <c r="Z495" s="194"/>
      <c r="AA495" s="194"/>
      <c r="AB495" s="194"/>
      <c r="AC495" s="194"/>
      <c r="AD495" s="194"/>
      <c r="AE495" s="194"/>
      <c r="AF495" s="194"/>
      <c r="AG495" s="194"/>
      <c r="AH495" s="194"/>
      <c r="AI495" s="194"/>
      <c r="AJ495" s="194"/>
      <c r="AK495" s="194"/>
      <c r="AL495" s="194"/>
      <c r="AM495" s="194"/>
    </row>
    <row r="496" spans="1:39" ht="15.75" customHeight="1" x14ac:dyDescent="0.25">
      <c r="A496" s="194"/>
      <c r="B496" s="194"/>
      <c r="C496" s="194"/>
      <c r="D496" s="194"/>
      <c r="E496" s="194"/>
      <c r="F496" s="194"/>
      <c r="G496" s="194"/>
      <c r="H496" s="194"/>
      <c r="I496" s="194"/>
      <c r="J496" s="194"/>
      <c r="K496" s="194"/>
      <c r="L496" s="194"/>
      <c r="M496" s="194"/>
      <c r="N496" s="194"/>
      <c r="O496" s="194"/>
      <c r="P496" s="194"/>
      <c r="Q496" s="194"/>
      <c r="R496" s="194"/>
      <c r="S496" s="194"/>
      <c r="T496" s="194"/>
      <c r="U496" s="194"/>
      <c r="V496" s="194"/>
      <c r="W496" s="194"/>
      <c r="X496" s="194"/>
      <c r="Y496" s="194"/>
      <c r="Z496" s="194"/>
      <c r="AA496" s="194"/>
      <c r="AB496" s="194"/>
      <c r="AC496" s="194"/>
      <c r="AD496" s="194"/>
      <c r="AE496" s="194"/>
      <c r="AF496" s="194"/>
      <c r="AG496" s="194"/>
      <c r="AH496" s="194"/>
      <c r="AI496" s="194"/>
      <c r="AJ496" s="194"/>
      <c r="AK496" s="194"/>
      <c r="AL496" s="194"/>
      <c r="AM496" s="194"/>
    </row>
    <row r="497" spans="1:39" ht="15.75" customHeight="1" x14ac:dyDescent="0.25">
      <c r="A497" s="194"/>
      <c r="B497" s="194"/>
      <c r="C497" s="194"/>
      <c r="D497" s="194"/>
      <c r="E497" s="194"/>
      <c r="F497" s="194"/>
      <c r="G497" s="194"/>
      <c r="H497" s="194"/>
      <c r="I497" s="194"/>
      <c r="J497" s="194"/>
      <c r="K497" s="194"/>
      <c r="L497" s="194"/>
      <c r="M497" s="194"/>
      <c r="N497" s="194"/>
      <c r="O497" s="194"/>
      <c r="P497" s="194"/>
      <c r="Q497" s="194"/>
      <c r="R497" s="194"/>
      <c r="S497" s="194"/>
      <c r="T497" s="194"/>
      <c r="U497" s="194"/>
      <c r="V497" s="194"/>
      <c r="W497" s="194"/>
      <c r="X497" s="194"/>
      <c r="Y497" s="194"/>
      <c r="Z497" s="194"/>
      <c r="AA497" s="194"/>
      <c r="AB497" s="194"/>
      <c r="AC497" s="194"/>
      <c r="AD497" s="194"/>
      <c r="AE497" s="194"/>
      <c r="AF497" s="194"/>
      <c r="AG497" s="194"/>
      <c r="AH497" s="194"/>
      <c r="AI497" s="194"/>
      <c r="AJ497" s="194"/>
      <c r="AK497" s="194"/>
      <c r="AL497" s="194"/>
      <c r="AM497" s="194"/>
    </row>
    <row r="498" spans="1:39" ht="15.75" customHeight="1" x14ac:dyDescent="0.25">
      <c r="A498" s="194"/>
      <c r="B498" s="194"/>
      <c r="C498" s="194"/>
      <c r="D498" s="194"/>
      <c r="E498" s="194"/>
      <c r="F498" s="194"/>
      <c r="G498" s="194"/>
      <c r="H498" s="194"/>
      <c r="I498" s="194"/>
      <c r="J498" s="194"/>
      <c r="K498" s="194"/>
      <c r="L498" s="194"/>
      <c r="M498" s="194"/>
      <c r="N498" s="194"/>
      <c r="O498" s="194"/>
      <c r="P498" s="194"/>
      <c r="Q498" s="194"/>
      <c r="R498" s="194"/>
      <c r="S498" s="194"/>
      <c r="T498" s="194"/>
      <c r="U498" s="194"/>
      <c r="V498" s="194"/>
      <c r="W498" s="194"/>
      <c r="X498" s="194"/>
      <c r="Y498" s="194"/>
      <c r="Z498" s="194"/>
      <c r="AA498" s="194"/>
      <c r="AB498" s="194"/>
      <c r="AC498" s="194"/>
      <c r="AD498" s="194"/>
      <c r="AE498" s="194"/>
      <c r="AF498" s="194"/>
      <c r="AG498" s="194"/>
      <c r="AH498" s="194"/>
      <c r="AI498" s="194"/>
      <c r="AJ498" s="194"/>
      <c r="AK498" s="194"/>
      <c r="AL498" s="194"/>
      <c r="AM498" s="194"/>
    </row>
    <row r="499" spans="1:39" ht="15.75" customHeight="1" x14ac:dyDescent="0.25">
      <c r="A499" s="194"/>
      <c r="B499" s="194"/>
      <c r="C499" s="194"/>
      <c r="D499" s="194"/>
      <c r="E499" s="194"/>
      <c r="F499" s="194"/>
      <c r="G499" s="194"/>
      <c r="H499" s="194"/>
      <c r="I499" s="194"/>
      <c r="J499" s="194"/>
      <c r="K499" s="194"/>
      <c r="L499" s="194"/>
      <c r="M499" s="194"/>
      <c r="N499" s="194"/>
      <c r="O499" s="194"/>
      <c r="P499" s="194"/>
      <c r="Q499" s="194"/>
      <c r="R499" s="194"/>
      <c r="S499" s="194"/>
      <c r="T499" s="194"/>
      <c r="U499" s="194"/>
      <c r="V499" s="194"/>
      <c r="W499" s="194"/>
      <c r="X499" s="194"/>
      <c r="Y499" s="194"/>
      <c r="Z499" s="194"/>
      <c r="AA499" s="194"/>
      <c r="AB499" s="194"/>
      <c r="AC499" s="194"/>
      <c r="AD499" s="194"/>
      <c r="AE499" s="194"/>
      <c r="AF499" s="194"/>
      <c r="AG499" s="194"/>
      <c r="AH499" s="194"/>
      <c r="AI499" s="194"/>
      <c r="AJ499" s="194"/>
      <c r="AK499" s="194"/>
      <c r="AL499" s="194"/>
      <c r="AM499" s="194"/>
    </row>
    <row r="500" spans="1:39" ht="15.75" customHeight="1" x14ac:dyDescent="0.25">
      <c r="A500" s="194"/>
      <c r="B500" s="194"/>
      <c r="C500" s="194"/>
      <c r="D500" s="194"/>
      <c r="E500" s="194"/>
      <c r="F500" s="194"/>
      <c r="G500" s="194"/>
      <c r="H500" s="194"/>
      <c r="I500" s="194"/>
      <c r="J500" s="194"/>
      <c r="K500" s="194"/>
      <c r="L500" s="194"/>
      <c r="M500" s="194"/>
      <c r="N500" s="194"/>
      <c r="O500" s="194"/>
      <c r="P500" s="194"/>
      <c r="Q500" s="194"/>
      <c r="R500" s="194"/>
      <c r="S500" s="194"/>
      <c r="T500" s="194"/>
      <c r="U500" s="194"/>
      <c r="V500" s="194"/>
      <c r="W500" s="194"/>
      <c r="X500" s="194"/>
      <c r="Y500" s="194"/>
      <c r="Z500" s="194"/>
      <c r="AA500" s="194"/>
      <c r="AB500" s="194"/>
      <c r="AC500" s="194"/>
      <c r="AD500" s="194"/>
      <c r="AE500" s="194"/>
      <c r="AF500" s="194"/>
      <c r="AG500" s="194"/>
      <c r="AH500" s="194"/>
      <c r="AI500" s="194"/>
      <c r="AJ500" s="194"/>
      <c r="AK500" s="194"/>
      <c r="AL500" s="194"/>
      <c r="AM500" s="194"/>
    </row>
    <row r="501" spans="1:39" ht="15.75" customHeight="1" x14ac:dyDescent="0.25">
      <c r="A501" s="194"/>
      <c r="B501" s="194"/>
      <c r="C501" s="194"/>
      <c r="D501" s="194"/>
      <c r="E501" s="194"/>
      <c r="F501" s="194"/>
      <c r="G501" s="194"/>
      <c r="H501" s="194"/>
      <c r="I501" s="194"/>
      <c r="J501" s="194"/>
      <c r="K501" s="194"/>
      <c r="L501" s="194"/>
      <c r="M501" s="194"/>
      <c r="N501" s="194"/>
      <c r="O501" s="194"/>
      <c r="P501" s="194"/>
      <c r="Q501" s="194"/>
      <c r="R501" s="194"/>
      <c r="S501" s="194"/>
      <c r="T501" s="194"/>
      <c r="U501" s="194"/>
      <c r="V501" s="194"/>
      <c r="W501" s="194"/>
      <c r="X501" s="194"/>
      <c r="Y501" s="194"/>
      <c r="Z501" s="194"/>
      <c r="AA501" s="194"/>
      <c r="AB501" s="194"/>
      <c r="AC501" s="194"/>
      <c r="AD501" s="194"/>
      <c r="AE501" s="194"/>
      <c r="AF501" s="194"/>
      <c r="AG501" s="194"/>
      <c r="AH501" s="194"/>
      <c r="AI501" s="194"/>
      <c r="AJ501" s="194"/>
      <c r="AK501" s="194"/>
      <c r="AL501" s="194"/>
      <c r="AM501" s="194"/>
    </row>
    <row r="502" spans="1:39" ht="15.75" customHeight="1" x14ac:dyDescent="0.25">
      <c r="A502" s="194"/>
      <c r="B502" s="194"/>
      <c r="C502" s="194"/>
      <c r="D502" s="194"/>
      <c r="E502" s="194"/>
      <c r="F502" s="194"/>
      <c r="G502" s="194"/>
      <c r="H502" s="194"/>
      <c r="I502" s="194"/>
      <c r="J502" s="194"/>
      <c r="K502" s="194"/>
      <c r="L502" s="194"/>
      <c r="M502" s="194"/>
      <c r="N502" s="194"/>
      <c r="O502" s="194"/>
      <c r="P502" s="194"/>
      <c r="Q502" s="194"/>
      <c r="R502" s="194"/>
      <c r="S502" s="194"/>
      <c r="T502" s="194"/>
      <c r="U502" s="194"/>
      <c r="V502" s="194"/>
      <c r="W502" s="194"/>
      <c r="X502" s="194"/>
      <c r="Y502" s="194"/>
      <c r="Z502" s="194"/>
      <c r="AA502" s="194"/>
      <c r="AB502" s="194"/>
      <c r="AC502" s="194"/>
      <c r="AD502" s="194"/>
      <c r="AE502" s="194"/>
      <c r="AF502" s="194"/>
      <c r="AG502" s="194"/>
      <c r="AH502" s="194"/>
      <c r="AI502" s="194"/>
      <c r="AJ502" s="194"/>
      <c r="AK502" s="194"/>
      <c r="AL502" s="194"/>
      <c r="AM502" s="194"/>
    </row>
    <row r="503" spans="1:39" ht="15.75" customHeight="1" x14ac:dyDescent="0.25">
      <c r="A503" s="194"/>
      <c r="B503" s="194"/>
      <c r="C503" s="194"/>
      <c r="D503" s="194"/>
      <c r="E503" s="194"/>
      <c r="F503" s="194"/>
      <c r="G503" s="194"/>
      <c r="H503" s="194"/>
      <c r="I503" s="194"/>
      <c r="J503" s="194"/>
      <c r="K503" s="194"/>
      <c r="L503" s="194"/>
      <c r="M503" s="194"/>
      <c r="N503" s="194"/>
      <c r="O503" s="194"/>
      <c r="P503" s="194"/>
      <c r="Q503" s="194"/>
      <c r="R503" s="194"/>
      <c r="S503" s="194"/>
      <c r="T503" s="194"/>
      <c r="U503" s="194"/>
      <c r="V503" s="194"/>
      <c r="W503" s="194"/>
      <c r="X503" s="194"/>
      <c r="Y503" s="194"/>
      <c r="Z503" s="194"/>
      <c r="AA503" s="194"/>
      <c r="AB503" s="194"/>
      <c r="AC503" s="194"/>
      <c r="AD503" s="194"/>
      <c r="AE503" s="194"/>
      <c r="AF503" s="194"/>
      <c r="AG503" s="194"/>
      <c r="AH503" s="194"/>
      <c r="AI503" s="194"/>
      <c r="AJ503" s="194"/>
      <c r="AK503" s="194"/>
      <c r="AL503" s="194"/>
      <c r="AM503" s="194"/>
    </row>
    <row r="504" spans="1:39" ht="15.75" customHeight="1" x14ac:dyDescent="0.25">
      <c r="A504" s="194"/>
      <c r="B504" s="194"/>
      <c r="C504" s="194"/>
      <c r="D504" s="194"/>
      <c r="E504" s="194"/>
      <c r="F504" s="194"/>
      <c r="G504" s="194"/>
      <c r="H504" s="194"/>
      <c r="I504" s="194"/>
      <c r="J504" s="194"/>
      <c r="K504" s="194"/>
      <c r="L504" s="194"/>
      <c r="M504" s="194"/>
      <c r="N504" s="194"/>
      <c r="O504" s="194"/>
      <c r="P504" s="194"/>
      <c r="Q504" s="194"/>
      <c r="R504" s="194"/>
      <c r="S504" s="194"/>
      <c r="T504" s="194"/>
      <c r="U504" s="194"/>
      <c r="V504" s="194"/>
      <c r="W504" s="194"/>
      <c r="X504" s="194"/>
      <c r="Y504" s="194"/>
      <c r="Z504" s="194"/>
      <c r="AA504" s="194"/>
      <c r="AB504" s="194"/>
      <c r="AC504" s="194"/>
      <c r="AD504" s="194"/>
      <c r="AE504" s="194"/>
      <c r="AF504" s="194"/>
      <c r="AG504" s="194"/>
      <c r="AH504" s="194"/>
      <c r="AI504" s="194"/>
      <c r="AJ504" s="194"/>
      <c r="AK504" s="194"/>
      <c r="AL504" s="194"/>
      <c r="AM504" s="194"/>
    </row>
    <row r="505" spans="1:39" ht="15.75" customHeight="1" x14ac:dyDescent="0.25">
      <c r="A505" s="194"/>
      <c r="B505" s="194"/>
      <c r="C505" s="194"/>
      <c r="D505" s="194"/>
      <c r="E505" s="194"/>
      <c r="F505" s="194"/>
      <c r="G505" s="194"/>
      <c r="H505" s="194"/>
      <c r="I505" s="194"/>
      <c r="J505" s="194"/>
      <c r="K505" s="194"/>
      <c r="L505" s="194"/>
      <c r="M505" s="194"/>
      <c r="N505" s="194"/>
      <c r="O505" s="194"/>
      <c r="P505" s="194"/>
      <c r="Q505" s="194"/>
      <c r="R505" s="194"/>
      <c r="S505" s="194"/>
      <c r="T505" s="194"/>
      <c r="U505" s="194"/>
      <c r="V505" s="194"/>
      <c r="W505" s="194"/>
      <c r="X505" s="194"/>
      <c r="Y505" s="194"/>
      <c r="Z505" s="194"/>
      <c r="AA505" s="194"/>
      <c r="AB505" s="194"/>
      <c r="AC505" s="194"/>
      <c r="AD505" s="194"/>
      <c r="AE505" s="194"/>
      <c r="AF505" s="194"/>
      <c r="AG505" s="194"/>
      <c r="AH505" s="194"/>
      <c r="AI505" s="194"/>
      <c r="AJ505" s="194"/>
      <c r="AK505" s="194"/>
      <c r="AL505" s="194"/>
      <c r="AM505" s="194"/>
    </row>
    <row r="506" spans="1:39" ht="15.75" customHeight="1" x14ac:dyDescent="0.25">
      <c r="A506" s="194"/>
      <c r="B506" s="194"/>
      <c r="C506" s="194"/>
      <c r="D506" s="194"/>
      <c r="E506" s="194"/>
      <c r="F506" s="194"/>
      <c r="G506" s="194"/>
      <c r="H506" s="194"/>
      <c r="I506" s="194"/>
      <c r="J506" s="194"/>
      <c r="K506" s="194"/>
      <c r="L506" s="194"/>
      <c r="M506" s="194"/>
      <c r="N506" s="194"/>
      <c r="O506" s="194"/>
      <c r="P506" s="194"/>
      <c r="Q506" s="194"/>
      <c r="R506" s="194"/>
      <c r="S506" s="194"/>
      <c r="T506" s="194"/>
      <c r="U506" s="194"/>
      <c r="V506" s="194"/>
      <c r="W506" s="194"/>
      <c r="X506" s="194"/>
      <c r="Y506" s="194"/>
      <c r="Z506" s="194"/>
      <c r="AA506" s="194"/>
      <c r="AB506" s="194"/>
      <c r="AC506" s="194"/>
      <c r="AD506" s="194"/>
      <c r="AE506" s="194"/>
      <c r="AF506" s="194"/>
      <c r="AG506" s="194"/>
      <c r="AH506" s="194"/>
      <c r="AI506" s="194"/>
      <c r="AJ506" s="194"/>
      <c r="AK506" s="194"/>
      <c r="AL506" s="194"/>
      <c r="AM506" s="194"/>
    </row>
    <row r="507" spans="1:39" ht="15.75" customHeight="1" x14ac:dyDescent="0.25">
      <c r="A507" s="194"/>
      <c r="B507" s="194"/>
      <c r="C507" s="194"/>
      <c r="D507" s="194"/>
      <c r="E507" s="194"/>
      <c r="F507" s="194"/>
      <c r="G507" s="194"/>
      <c r="H507" s="194"/>
      <c r="I507" s="194"/>
      <c r="J507" s="194"/>
      <c r="K507" s="194"/>
      <c r="L507" s="194"/>
      <c r="M507" s="194"/>
      <c r="N507" s="194"/>
      <c r="O507" s="194"/>
      <c r="P507" s="194"/>
      <c r="Q507" s="194"/>
      <c r="R507" s="194"/>
      <c r="S507" s="194"/>
      <c r="T507" s="194"/>
      <c r="U507" s="194"/>
      <c r="V507" s="194"/>
      <c r="W507" s="194"/>
      <c r="X507" s="194"/>
      <c r="Y507" s="194"/>
      <c r="Z507" s="194"/>
      <c r="AA507" s="194"/>
      <c r="AB507" s="194"/>
      <c r="AC507" s="194"/>
      <c r="AD507" s="194"/>
      <c r="AE507" s="194"/>
      <c r="AF507" s="194"/>
      <c r="AG507" s="194"/>
      <c r="AH507" s="194"/>
      <c r="AI507" s="194"/>
      <c r="AJ507" s="194"/>
      <c r="AK507" s="194"/>
      <c r="AL507" s="194"/>
      <c r="AM507" s="194"/>
    </row>
    <row r="508" spans="1:39" ht="15.75" customHeight="1" x14ac:dyDescent="0.25">
      <c r="A508" s="194"/>
      <c r="B508" s="194"/>
      <c r="C508" s="194"/>
      <c r="D508" s="194"/>
      <c r="E508" s="194"/>
      <c r="F508" s="194"/>
      <c r="G508" s="194"/>
      <c r="H508" s="194"/>
      <c r="I508" s="194"/>
      <c r="J508" s="194"/>
      <c r="K508" s="194"/>
      <c r="L508" s="194"/>
      <c r="M508" s="194"/>
      <c r="N508" s="194"/>
      <c r="O508" s="194"/>
      <c r="P508" s="194"/>
      <c r="Q508" s="194"/>
      <c r="R508" s="194"/>
      <c r="S508" s="194"/>
      <c r="T508" s="194"/>
      <c r="U508" s="194"/>
      <c r="V508" s="194"/>
      <c r="W508" s="194"/>
      <c r="X508" s="194"/>
      <c r="Y508" s="194"/>
      <c r="Z508" s="194"/>
      <c r="AA508" s="194"/>
      <c r="AB508" s="194"/>
      <c r="AC508" s="194"/>
      <c r="AD508" s="194"/>
      <c r="AE508" s="194"/>
      <c r="AF508" s="194"/>
      <c r="AG508" s="194"/>
      <c r="AH508" s="194"/>
      <c r="AI508" s="194"/>
      <c r="AJ508" s="194"/>
      <c r="AK508" s="194"/>
      <c r="AL508" s="194"/>
      <c r="AM508" s="194"/>
    </row>
    <row r="509" spans="1:39" ht="15.75" customHeight="1" x14ac:dyDescent="0.25">
      <c r="A509" s="194"/>
      <c r="B509" s="194"/>
      <c r="C509" s="194"/>
      <c r="D509" s="194"/>
      <c r="E509" s="194"/>
      <c r="F509" s="194"/>
      <c r="G509" s="194"/>
      <c r="H509" s="194"/>
      <c r="I509" s="194"/>
      <c r="J509" s="194"/>
      <c r="K509" s="194"/>
      <c r="L509" s="194"/>
      <c r="M509" s="194"/>
      <c r="N509" s="194"/>
      <c r="O509" s="194"/>
      <c r="P509" s="194"/>
      <c r="Q509" s="194"/>
      <c r="R509" s="194"/>
      <c r="S509" s="194"/>
      <c r="T509" s="194"/>
      <c r="U509" s="194"/>
      <c r="V509" s="194"/>
      <c r="W509" s="194"/>
      <c r="X509" s="194"/>
      <c r="Y509" s="194"/>
      <c r="Z509" s="194"/>
      <c r="AA509" s="194"/>
      <c r="AB509" s="194"/>
      <c r="AC509" s="194"/>
      <c r="AD509" s="194"/>
      <c r="AE509" s="194"/>
      <c r="AF509" s="194"/>
      <c r="AG509" s="194"/>
      <c r="AH509" s="194"/>
      <c r="AI509" s="194"/>
      <c r="AJ509" s="194"/>
      <c r="AK509" s="194"/>
      <c r="AL509" s="194"/>
      <c r="AM509" s="194"/>
    </row>
    <row r="510" spans="1:39" ht="15.75" customHeight="1" x14ac:dyDescent="0.25">
      <c r="A510" s="194"/>
      <c r="B510" s="194"/>
      <c r="C510" s="194"/>
      <c r="D510" s="194"/>
      <c r="E510" s="194"/>
      <c r="F510" s="194"/>
      <c r="G510" s="194"/>
      <c r="H510" s="194"/>
      <c r="I510" s="194"/>
      <c r="J510" s="194"/>
      <c r="K510" s="194"/>
      <c r="L510" s="194"/>
      <c r="M510" s="194"/>
      <c r="N510" s="194"/>
      <c r="O510" s="194"/>
      <c r="P510" s="194"/>
      <c r="Q510" s="194"/>
      <c r="R510" s="194"/>
      <c r="S510" s="194"/>
      <c r="T510" s="194"/>
      <c r="U510" s="194"/>
      <c r="V510" s="194"/>
      <c r="W510" s="194"/>
      <c r="X510" s="194"/>
      <c r="Y510" s="194"/>
      <c r="Z510" s="194"/>
      <c r="AA510" s="194"/>
      <c r="AB510" s="194"/>
      <c r="AC510" s="194"/>
      <c r="AD510" s="194"/>
      <c r="AE510" s="194"/>
      <c r="AF510" s="194"/>
      <c r="AG510" s="194"/>
      <c r="AH510" s="194"/>
      <c r="AI510" s="194"/>
      <c r="AJ510" s="194"/>
      <c r="AK510" s="194"/>
      <c r="AL510" s="194"/>
      <c r="AM510" s="194"/>
    </row>
    <row r="511" spans="1:39" ht="15.75" customHeight="1" x14ac:dyDescent="0.25">
      <c r="A511" s="194"/>
      <c r="B511" s="194"/>
      <c r="C511" s="194"/>
      <c r="D511" s="194"/>
      <c r="E511" s="194"/>
      <c r="F511" s="194"/>
      <c r="G511" s="194"/>
      <c r="H511" s="194"/>
      <c r="I511" s="194"/>
      <c r="J511" s="194"/>
      <c r="K511" s="194"/>
      <c r="L511" s="194"/>
      <c r="M511" s="194"/>
      <c r="N511" s="194"/>
      <c r="O511" s="194"/>
      <c r="P511" s="194"/>
      <c r="Q511" s="194"/>
      <c r="R511" s="194"/>
      <c r="S511" s="194"/>
      <c r="T511" s="194"/>
      <c r="U511" s="194"/>
      <c r="V511" s="194"/>
      <c r="W511" s="194"/>
      <c r="X511" s="194"/>
      <c r="Y511" s="194"/>
      <c r="Z511" s="194"/>
      <c r="AA511" s="194"/>
      <c r="AB511" s="194"/>
      <c r="AC511" s="194"/>
      <c r="AD511" s="194"/>
      <c r="AE511" s="194"/>
      <c r="AF511" s="194"/>
      <c r="AG511" s="194"/>
      <c r="AH511" s="194"/>
      <c r="AI511" s="194"/>
      <c r="AJ511" s="194"/>
      <c r="AK511" s="194"/>
      <c r="AL511" s="194"/>
      <c r="AM511" s="194"/>
    </row>
    <row r="512" spans="1:39" ht="15.75" customHeight="1" x14ac:dyDescent="0.25">
      <c r="A512" s="194"/>
      <c r="B512" s="194"/>
      <c r="C512" s="194"/>
      <c r="D512" s="194"/>
      <c r="E512" s="194"/>
      <c r="F512" s="194"/>
      <c r="G512" s="194"/>
      <c r="H512" s="194"/>
      <c r="I512" s="194"/>
      <c r="J512" s="194"/>
      <c r="K512" s="194"/>
      <c r="L512" s="194"/>
      <c r="M512" s="194"/>
      <c r="N512" s="194"/>
      <c r="O512" s="194"/>
      <c r="P512" s="194"/>
      <c r="Q512" s="194"/>
      <c r="R512" s="194"/>
      <c r="S512" s="194"/>
      <c r="T512" s="194"/>
      <c r="U512" s="194"/>
      <c r="V512" s="194"/>
      <c r="W512" s="194"/>
      <c r="X512" s="194"/>
      <c r="Y512" s="194"/>
      <c r="Z512" s="194"/>
      <c r="AA512" s="194"/>
      <c r="AB512" s="194"/>
      <c r="AC512" s="194"/>
      <c r="AD512" s="194"/>
      <c r="AE512" s="194"/>
      <c r="AF512" s="194"/>
      <c r="AG512" s="194"/>
      <c r="AH512" s="194"/>
      <c r="AI512" s="194"/>
      <c r="AJ512" s="194"/>
      <c r="AK512" s="194"/>
      <c r="AL512" s="194"/>
      <c r="AM512" s="194"/>
    </row>
    <row r="513" spans="1:39" ht="15.75" customHeight="1" x14ac:dyDescent="0.25">
      <c r="A513" s="194"/>
      <c r="B513" s="194"/>
      <c r="C513" s="194"/>
      <c r="D513" s="194"/>
      <c r="E513" s="194"/>
      <c r="F513" s="194"/>
      <c r="G513" s="194"/>
      <c r="H513" s="194"/>
      <c r="I513" s="194"/>
      <c r="J513" s="194"/>
      <c r="K513" s="194"/>
      <c r="L513" s="194"/>
      <c r="M513" s="194"/>
      <c r="N513" s="194"/>
      <c r="O513" s="194"/>
      <c r="P513" s="194"/>
      <c r="Q513" s="194"/>
      <c r="R513" s="194"/>
      <c r="S513" s="194"/>
      <c r="T513" s="194"/>
      <c r="U513" s="194"/>
      <c r="V513" s="194"/>
      <c r="W513" s="194"/>
      <c r="X513" s="194"/>
      <c r="Y513" s="194"/>
      <c r="Z513" s="194"/>
      <c r="AA513" s="194"/>
      <c r="AB513" s="194"/>
      <c r="AC513" s="194"/>
      <c r="AD513" s="194"/>
      <c r="AE513" s="194"/>
      <c r="AF513" s="194"/>
      <c r="AG513" s="194"/>
      <c r="AH513" s="194"/>
      <c r="AI513" s="194"/>
      <c r="AJ513" s="194"/>
      <c r="AK513" s="194"/>
      <c r="AL513" s="194"/>
      <c r="AM513" s="194"/>
    </row>
    <row r="514" spans="1:39" ht="15.75" customHeight="1" x14ac:dyDescent="0.25">
      <c r="A514" s="194"/>
      <c r="B514" s="194"/>
      <c r="C514" s="194"/>
      <c r="D514" s="194"/>
      <c r="E514" s="194"/>
      <c r="F514" s="194"/>
      <c r="G514" s="194"/>
      <c r="H514" s="194"/>
      <c r="I514" s="194"/>
      <c r="J514" s="194"/>
      <c r="K514" s="194"/>
      <c r="L514" s="194"/>
      <c r="M514" s="194"/>
      <c r="N514" s="194"/>
      <c r="O514" s="194"/>
      <c r="P514" s="194"/>
      <c r="Q514" s="194"/>
      <c r="R514" s="194"/>
      <c r="S514" s="194"/>
      <c r="T514" s="194"/>
      <c r="U514" s="194"/>
      <c r="V514" s="194"/>
      <c r="W514" s="194"/>
      <c r="X514" s="194"/>
      <c r="Y514" s="194"/>
      <c r="Z514" s="194"/>
      <c r="AA514" s="194"/>
      <c r="AB514" s="194"/>
      <c r="AC514" s="194"/>
      <c r="AD514" s="194"/>
      <c r="AE514" s="194"/>
      <c r="AF514" s="194"/>
      <c r="AG514" s="194"/>
      <c r="AH514" s="194"/>
      <c r="AI514" s="194"/>
      <c r="AJ514" s="194"/>
      <c r="AK514" s="194"/>
      <c r="AL514" s="194"/>
      <c r="AM514" s="194"/>
    </row>
    <row r="515" spans="1:39" ht="15.75" customHeight="1" x14ac:dyDescent="0.25">
      <c r="A515" s="194"/>
      <c r="B515" s="194"/>
      <c r="C515" s="194"/>
      <c r="D515" s="194"/>
      <c r="E515" s="194"/>
      <c r="F515" s="194"/>
      <c r="G515" s="194"/>
      <c r="H515" s="194"/>
      <c r="I515" s="194"/>
      <c r="J515" s="194"/>
      <c r="K515" s="194"/>
      <c r="L515" s="194"/>
      <c r="M515" s="194"/>
      <c r="N515" s="194"/>
      <c r="O515" s="194"/>
      <c r="P515" s="194"/>
      <c r="Q515" s="194"/>
      <c r="R515" s="194"/>
      <c r="S515" s="194"/>
      <c r="T515" s="194"/>
      <c r="U515" s="194"/>
      <c r="V515" s="194"/>
      <c r="W515" s="194"/>
      <c r="X515" s="194"/>
      <c r="Y515" s="194"/>
      <c r="Z515" s="194"/>
      <c r="AA515" s="194"/>
      <c r="AB515" s="194"/>
      <c r="AC515" s="194"/>
      <c r="AD515" s="194"/>
      <c r="AE515" s="194"/>
      <c r="AF515" s="194"/>
      <c r="AG515" s="194"/>
      <c r="AH515" s="194"/>
      <c r="AI515" s="194"/>
      <c r="AJ515" s="194"/>
      <c r="AK515" s="194"/>
      <c r="AL515" s="194"/>
      <c r="AM515" s="194"/>
    </row>
    <row r="516" spans="1:39" ht="15.75" customHeight="1" x14ac:dyDescent="0.25">
      <c r="A516" s="194"/>
      <c r="B516" s="194"/>
      <c r="C516" s="194"/>
      <c r="D516" s="194"/>
      <c r="E516" s="194"/>
      <c r="F516" s="194"/>
      <c r="G516" s="194"/>
      <c r="H516" s="194"/>
      <c r="I516" s="194"/>
      <c r="J516" s="194"/>
      <c r="K516" s="194"/>
      <c r="L516" s="194"/>
      <c r="M516" s="194"/>
      <c r="N516" s="194"/>
      <c r="O516" s="194"/>
      <c r="P516" s="194"/>
      <c r="Q516" s="194"/>
      <c r="R516" s="194"/>
      <c r="S516" s="194"/>
      <c r="T516" s="194"/>
      <c r="U516" s="194"/>
      <c r="V516" s="194"/>
      <c r="W516" s="194"/>
      <c r="X516" s="194"/>
      <c r="Y516" s="194"/>
      <c r="Z516" s="194"/>
      <c r="AA516" s="194"/>
      <c r="AB516" s="194"/>
      <c r="AC516" s="194"/>
      <c r="AD516" s="194"/>
      <c r="AE516" s="194"/>
      <c r="AF516" s="194"/>
      <c r="AG516" s="194"/>
      <c r="AH516" s="194"/>
      <c r="AI516" s="194"/>
      <c r="AJ516" s="194"/>
      <c r="AK516" s="194"/>
      <c r="AL516" s="194"/>
      <c r="AM516" s="194"/>
    </row>
    <row r="517" spans="1:39" ht="15.75" customHeight="1" x14ac:dyDescent="0.25">
      <c r="A517" s="194"/>
      <c r="B517" s="194"/>
      <c r="C517" s="194"/>
      <c r="D517" s="194"/>
      <c r="E517" s="194"/>
      <c r="F517" s="194"/>
      <c r="G517" s="194"/>
      <c r="H517" s="194"/>
      <c r="I517" s="194"/>
      <c r="J517" s="194"/>
      <c r="K517" s="194"/>
      <c r="L517" s="194"/>
      <c r="M517" s="194"/>
      <c r="N517" s="194"/>
      <c r="O517" s="194"/>
      <c r="P517" s="194"/>
      <c r="Q517" s="194"/>
      <c r="R517" s="194"/>
      <c r="S517" s="194"/>
      <c r="T517" s="194"/>
      <c r="U517" s="194"/>
      <c r="V517" s="194"/>
      <c r="W517" s="194"/>
      <c r="X517" s="194"/>
      <c r="Y517" s="194"/>
      <c r="Z517" s="194"/>
      <c r="AA517" s="194"/>
      <c r="AB517" s="194"/>
      <c r="AC517" s="194"/>
      <c r="AD517" s="194"/>
      <c r="AE517" s="194"/>
      <c r="AF517" s="194"/>
      <c r="AG517" s="194"/>
      <c r="AH517" s="194"/>
      <c r="AI517" s="194"/>
      <c r="AJ517" s="194"/>
      <c r="AK517" s="194"/>
      <c r="AL517" s="194"/>
      <c r="AM517" s="194"/>
    </row>
    <row r="518" spans="1:39" ht="15.75" customHeight="1" x14ac:dyDescent="0.25">
      <c r="A518" s="194"/>
      <c r="B518" s="194"/>
      <c r="C518" s="194"/>
      <c r="D518" s="194"/>
      <c r="E518" s="194"/>
      <c r="F518" s="194"/>
      <c r="G518" s="194"/>
      <c r="H518" s="194"/>
      <c r="I518" s="194"/>
      <c r="J518" s="194"/>
      <c r="K518" s="194"/>
      <c r="L518" s="194"/>
      <c r="M518" s="194"/>
      <c r="N518" s="194"/>
      <c r="O518" s="194"/>
      <c r="P518" s="194"/>
      <c r="Q518" s="194"/>
      <c r="R518" s="194"/>
      <c r="S518" s="194"/>
      <c r="T518" s="194"/>
      <c r="U518" s="194"/>
      <c r="V518" s="194"/>
      <c r="W518" s="194"/>
      <c r="X518" s="194"/>
      <c r="Y518" s="194"/>
      <c r="Z518" s="194"/>
      <c r="AA518" s="194"/>
      <c r="AB518" s="194"/>
      <c r="AC518" s="194"/>
      <c r="AD518" s="194"/>
      <c r="AE518" s="194"/>
      <c r="AF518" s="194"/>
      <c r="AG518" s="194"/>
      <c r="AH518" s="194"/>
      <c r="AI518" s="194"/>
      <c r="AJ518" s="194"/>
      <c r="AK518" s="194"/>
      <c r="AL518" s="194"/>
      <c r="AM518" s="194"/>
    </row>
    <row r="519" spans="1:39" ht="15.75" customHeight="1" x14ac:dyDescent="0.25">
      <c r="A519" s="194"/>
      <c r="B519" s="194"/>
      <c r="C519" s="194"/>
      <c r="D519" s="194"/>
      <c r="E519" s="194"/>
      <c r="F519" s="194"/>
      <c r="G519" s="194"/>
      <c r="H519" s="194"/>
      <c r="I519" s="194"/>
      <c r="J519" s="194"/>
      <c r="K519" s="194"/>
      <c r="L519" s="194"/>
      <c r="M519" s="194"/>
      <c r="N519" s="194"/>
      <c r="O519" s="194"/>
      <c r="P519" s="194"/>
      <c r="Q519" s="194"/>
      <c r="R519" s="194"/>
      <c r="S519" s="194"/>
      <c r="T519" s="194"/>
      <c r="U519" s="194"/>
      <c r="V519" s="194"/>
      <c r="W519" s="194"/>
      <c r="X519" s="194"/>
      <c r="Y519" s="194"/>
      <c r="Z519" s="194"/>
      <c r="AA519" s="194"/>
      <c r="AB519" s="194"/>
      <c r="AC519" s="194"/>
      <c r="AD519" s="194"/>
      <c r="AE519" s="194"/>
      <c r="AF519" s="194"/>
      <c r="AG519" s="194"/>
      <c r="AH519" s="194"/>
      <c r="AI519" s="194"/>
      <c r="AJ519" s="194"/>
      <c r="AK519" s="194"/>
      <c r="AL519" s="194"/>
      <c r="AM519" s="194"/>
    </row>
    <row r="520" spans="1:39" ht="15.75" customHeight="1" x14ac:dyDescent="0.25">
      <c r="A520" s="194"/>
      <c r="B520" s="194"/>
      <c r="C520" s="194"/>
      <c r="D520" s="194"/>
      <c r="E520" s="194"/>
      <c r="F520" s="194"/>
      <c r="G520" s="194"/>
      <c r="H520" s="194"/>
      <c r="I520" s="194"/>
      <c r="J520" s="194"/>
      <c r="K520" s="194"/>
      <c r="L520" s="194"/>
      <c r="M520" s="194"/>
      <c r="N520" s="194"/>
      <c r="O520" s="194"/>
      <c r="P520" s="194"/>
      <c r="Q520" s="194"/>
      <c r="R520" s="194"/>
      <c r="S520" s="194"/>
      <c r="T520" s="194"/>
      <c r="U520" s="194"/>
      <c r="V520" s="194"/>
      <c r="W520" s="194"/>
      <c r="X520" s="194"/>
      <c r="Y520" s="194"/>
      <c r="Z520" s="194"/>
      <c r="AA520" s="194"/>
      <c r="AB520" s="194"/>
      <c r="AC520" s="194"/>
      <c r="AD520" s="194"/>
      <c r="AE520" s="194"/>
      <c r="AF520" s="194"/>
      <c r="AG520" s="194"/>
      <c r="AH520" s="194"/>
      <c r="AI520" s="194"/>
      <c r="AJ520" s="194"/>
      <c r="AK520" s="194"/>
      <c r="AL520" s="194"/>
      <c r="AM520" s="194"/>
    </row>
    <row r="521" spans="1:39" ht="15.75" customHeight="1" x14ac:dyDescent="0.25">
      <c r="A521" s="194"/>
      <c r="B521" s="194"/>
      <c r="C521" s="194"/>
      <c r="D521" s="194"/>
      <c r="E521" s="194"/>
      <c r="F521" s="194"/>
      <c r="G521" s="194"/>
      <c r="H521" s="194"/>
      <c r="I521" s="194"/>
      <c r="J521" s="194"/>
      <c r="K521" s="194"/>
      <c r="L521" s="194"/>
      <c r="M521" s="194"/>
      <c r="N521" s="194"/>
      <c r="O521" s="194"/>
      <c r="P521" s="194"/>
      <c r="Q521" s="194"/>
      <c r="R521" s="194"/>
      <c r="S521" s="194"/>
      <c r="T521" s="194"/>
      <c r="U521" s="194"/>
      <c r="V521" s="194"/>
      <c r="W521" s="194"/>
      <c r="X521" s="194"/>
      <c r="Y521" s="194"/>
      <c r="Z521" s="194"/>
      <c r="AA521" s="194"/>
      <c r="AB521" s="194"/>
      <c r="AC521" s="194"/>
      <c r="AD521" s="194"/>
      <c r="AE521" s="194"/>
      <c r="AF521" s="194"/>
      <c r="AG521" s="194"/>
      <c r="AH521" s="194"/>
      <c r="AI521" s="194"/>
      <c r="AJ521" s="194"/>
      <c r="AK521" s="194"/>
      <c r="AL521" s="194"/>
      <c r="AM521" s="194"/>
    </row>
    <row r="522" spans="1:39" ht="15.75" customHeight="1" x14ac:dyDescent="0.25">
      <c r="A522" s="194"/>
      <c r="B522" s="194"/>
      <c r="C522" s="194"/>
      <c r="D522" s="194"/>
      <c r="E522" s="194"/>
      <c r="F522" s="194"/>
      <c r="G522" s="194"/>
      <c r="H522" s="194"/>
      <c r="I522" s="194"/>
      <c r="J522" s="194"/>
      <c r="K522" s="194"/>
      <c r="L522" s="194"/>
      <c r="M522" s="194"/>
      <c r="N522" s="194"/>
      <c r="O522" s="194"/>
      <c r="P522" s="194"/>
      <c r="Q522" s="194"/>
      <c r="R522" s="194"/>
      <c r="S522" s="194"/>
      <c r="T522" s="194"/>
      <c r="U522" s="194"/>
      <c r="V522" s="194"/>
      <c r="W522" s="194"/>
      <c r="X522" s="194"/>
      <c r="Y522" s="194"/>
      <c r="Z522" s="194"/>
      <c r="AA522" s="194"/>
      <c r="AB522" s="194"/>
      <c r="AC522" s="194"/>
      <c r="AD522" s="194"/>
      <c r="AE522" s="194"/>
      <c r="AF522" s="194"/>
      <c r="AG522" s="194"/>
      <c r="AH522" s="194"/>
      <c r="AI522" s="194"/>
      <c r="AJ522" s="194"/>
      <c r="AK522" s="194"/>
      <c r="AL522" s="194"/>
      <c r="AM522" s="194"/>
    </row>
    <row r="523" spans="1:39" ht="15.75" customHeight="1" x14ac:dyDescent="0.25">
      <c r="A523" s="194"/>
      <c r="B523" s="194"/>
      <c r="C523" s="194"/>
      <c r="D523" s="194"/>
      <c r="E523" s="194"/>
      <c r="F523" s="194"/>
      <c r="G523" s="194"/>
      <c r="H523" s="194"/>
      <c r="I523" s="194"/>
      <c r="J523" s="194"/>
      <c r="K523" s="194"/>
      <c r="L523" s="194"/>
      <c r="M523" s="194"/>
      <c r="N523" s="194"/>
      <c r="O523" s="194"/>
      <c r="P523" s="194"/>
      <c r="Q523" s="194"/>
      <c r="R523" s="194"/>
      <c r="S523" s="194"/>
      <c r="T523" s="194"/>
      <c r="U523" s="194"/>
      <c r="V523" s="194"/>
      <c r="W523" s="194"/>
      <c r="X523" s="194"/>
      <c r="Y523" s="194"/>
      <c r="Z523" s="194"/>
      <c r="AA523" s="194"/>
      <c r="AB523" s="194"/>
      <c r="AC523" s="194"/>
      <c r="AD523" s="194"/>
      <c r="AE523" s="194"/>
      <c r="AF523" s="194"/>
      <c r="AG523" s="194"/>
      <c r="AH523" s="194"/>
      <c r="AI523" s="194"/>
      <c r="AJ523" s="194"/>
      <c r="AK523" s="194"/>
      <c r="AL523" s="194"/>
      <c r="AM523" s="194"/>
    </row>
    <row r="524" spans="1:39" ht="15.75" customHeight="1" x14ac:dyDescent="0.25">
      <c r="A524" s="194"/>
      <c r="B524" s="194"/>
      <c r="C524" s="194"/>
      <c r="D524" s="194"/>
      <c r="E524" s="194"/>
      <c r="F524" s="194"/>
      <c r="G524" s="194"/>
      <c r="H524" s="194"/>
      <c r="I524" s="194"/>
      <c r="J524" s="194"/>
      <c r="K524" s="194"/>
      <c r="L524" s="194"/>
      <c r="M524" s="194"/>
      <c r="N524" s="194"/>
      <c r="O524" s="194"/>
      <c r="P524" s="194"/>
      <c r="Q524" s="194"/>
      <c r="R524" s="194"/>
      <c r="S524" s="194"/>
      <c r="T524" s="194"/>
      <c r="U524" s="194"/>
      <c r="V524" s="194"/>
      <c r="W524" s="194"/>
      <c r="X524" s="194"/>
      <c r="Y524" s="194"/>
      <c r="Z524" s="194"/>
      <c r="AA524" s="194"/>
      <c r="AB524" s="194"/>
      <c r="AC524" s="194"/>
      <c r="AD524" s="194"/>
      <c r="AE524" s="194"/>
      <c r="AF524" s="194"/>
      <c r="AG524" s="194"/>
      <c r="AH524" s="194"/>
      <c r="AI524" s="194"/>
      <c r="AJ524" s="194"/>
      <c r="AK524" s="194"/>
      <c r="AL524" s="194"/>
      <c r="AM524" s="194"/>
    </row>
    <row r="525" spans="1:39" ht="15.75" customHeight="1" x14ac:dyDescent="0.25">
      <c r="A525" s="194"/>
      <c r="B525" s="194"/>
      <c r="C525" s="194"/>
      <c r="D525" s="194"/>
      <c r="E525" s="194"/>
      <c r="F525" s="194"/>
      <c r="G525" s="194"/>
      <c r="H525" s="194"/>
      <c r="I525" s="194"/>
      <c r="J525" s="194"/>
      <c r="K525" s="194"/>
      <c r="L525" s="194"/>
      <c r="M525" s="194"/>
      <c r="N525" s="194"/>
      <c r="O525" s="194"/>
      <c r="P525" s="194"/>
      <c r="Q525" s="194"/>
      <c r="R525" s="194"/>
      <c r="S525" s="194"/>
      <c r="T525" s="194"/>
      <c r="U525" s="194"/>
      <c r="V525" s="194"/>
      <c r="W525" s="194"/>
      <c r="X525" s="194"/>
      <c r="Y525" s="194"/>
      <c r="Z525" s="194"/>
      <c r="AA525" s="194"/>
      <c r="AB525" s="194"/>
      <c r="AC525" s="194"/>
      <c r="AD525" s="194"/>
      <c r="AE525" s="194"/>
      <c r="AF525" s="194"/>
      <c r="AG525" s="194"/>
      <c r="AH525" s="194"/>
      <c r="AI525" s="194"/>
      <c r="AJ525" s="194"/>
      <c r="AK525" s="194"/>
      <c r="AL525" s="194"/>
      <c r="AM525" s="194"/>
    </row>
    <row r="526" spans="1:39" ht="15.75" customHeight="1" x14ac:dyDescent="0.25">
      <c r="A526" s="194"/>
      <c r="B526" s="194"/>
      <c r="C526" s="194"/>
      <c r="D526" s="194"/>
      <c r="E526" s="194"/>
      <c r="F526" s="194"/>
      <c r="G526" s="194"/>
      <c r="H526" s="194"/>
      <c r="I526" s="194"/>
      <c r="J526" s="194"/>
      <c r="K526" s="194"/>
      <c r="L526" s="194"/>
      <c r="M526" s="194"/>
      <c r="N526" s="194"/>
      <c r="O526" s="194"/>
      <c r="P526" s="194"/>
      <c r="Q526" s="194"/>
      <c r="R526" s="194"/>
      <c r="S526" s="194"/>
      <c r="T526" s="194"/>
      <c r="U526" s="194"/>
      <c r="V526" s="194"/>
      <c r="W526" s="194"/>
      <c r="X526" s="194"/>
      <c r="Y526" s="194"/>
      <c r="Z526" s="194"/>
      <c r="AA526" s="194"/>
      <c r="AB526" s="194"/>
      <c r="AC526" s="194"/>
      <c r="AD526" s="194"/>
      <c r="AE526" s="194"/>
      <c r="AF526" s="194"/>
      <c r="AG526" s="194"/>
      <c r="AH526" s="194"/>
      <c r="AI526" s="194"/>
      <c r="AJ526" s="194"/>
      <c r="AK526" s="194"/>
      <c r="AL526" s="194"/>
      <c r="AM526" s="194"/>
    </row>
    <row r="527" spans="1:39" ht="15.75" customHeight="1" x14ac:dyDescent="0.25">
      <c r="A527" s="194"/>
      <c r="B527" s="194"/>
      <c r="C527" s="194"/>
      <c r="D527" s="194"/>
      <c r="E527" s="194"/>
      <c r="F527" s="194"/>
      <c r="G527" s="194"/>
      <c r="H527" s="194"/>
      <c r="I527" s="194"/>
      <c r="J527" s="194"/>
      <c r="K527" s="194"/>
      <c r="L527" s="194"/>
      <c r="M527" s="194"/>
      <c r="N527" s="194"/>
      <c r="O527" s="194"/>
      <c r="P527" s="194"/>
      <c r="Q527" s="194"/>
      <c r="R527" s="194"/>
      <c r="S527" s="194"/>
      <c r="T527" s="194"/>
      <c r="U527" s="194"/>
      <c r="V527" s="194"/>
      <c r="W527" s="194"/>
      <c r="X527" s="194"/>
      <c r="Y527" s="194"/>
      <c r="Z527" s="194"/>
      <c r="AA527" s="194"/>
      <c r="AB527" s="194"/>
      <c r="AC527" s="194"/>
      <c r="AD527" s="194"/>
      <c r="AE527" s="194"/>
      <c r="AF527" s="194"/>
      <c r="AG527" s="194"/>
      <c r="AH527" s="194"/>
      <c r="AI527" s="194"/>
      <c r="AJ527" s="194"/>
      <c r="AK527" s="194"/>
      <c r="AL527" s="194"/>
      <c r="AM527" s="194"/>
    </row>
    <row r="528" spans="1:39" ht="15.75" customHeight="1" x14ac:dyDescent="0.25">
      <c r="A528" s="194"/>
      <c r="B528" s="194"/>
      <c r="C528" s="194"/>
      <c r="D528" s="194"/>
      <c r="E528" s="194"/>
      <c r="F528" s="194"/>
      <c r="G528" s="194"/>
      <c r="H528" s="194"/>
      <c r="I528" s="194"/>
      <c r="J528" s="194"/>
      <c r="K528" s="194"/>
      <c r="L528" s="194"/>
      <c r="M528" s="194"/>
      <c r="N528" s="194"/>
      <c r="O528" s="194"/>
      <c r="P528" s="194"/>
      <c r="Q528" s="194"/>
      <c r="R528" s="194"/>
      <c r="S528" s="194"/>
      <c r="T528" s="194"/>
      <c r="U528" s="194"/>
      <c r="V528" s="194"/>
      <c r="W528" s="194"/>
      <c r="X528" s="194"/>
      <c r="Y528" s="194"/>
      <c r="Z528" s="194"/>
      <c r="AA528" s="194"/>
      <c r="AB528" s="194"/>
      <c r="AC528" s="194"/>
      <c r="AD528" s="194"/>
      <c r="AE528" s="194"/>
      <c r="AF528" s="194"/>
      <c r="AG528" s="194"/>
      <c r="AH528" s="194"/>
      <c r="AI528" s="194"/>
      <c r="AJ528" s="194"/>
      <c r="AK528" s="194"/>
      <c r="AL528" s="194"/>
      <c r="AM528" s="194"/>
    </row>
    <row r="529" spans="1:39" ht="15.75" customHeight="1" x14ac:dyDescent="0.25">
      <c r="A529" s="194"/>
      <c r="B529" s="194"/>
      <c r="C529" s="194"/>
      <c r="D529" s="194"/>
      <c r="E529" s="194"/>
      <c r="F529" s="194"/>
      <c r="G529" s="194"/>
      <c r="H529" s="194"/>
      <c r="I529" s="194"/>
      <c r="J529" s="194"/>
      <c r="K529" s="194"/>
      <c r="L529" s="194"/>
      <c r="M529" s="194"/>
      <c r="N529" s="194"/>
      <c r="O529" s="194"/>
      <c r="P529" s="194"/>
      <c r="Q529" s="194"/>
      <c r="R529" s="194"/>
      <c r="S529" s="194"/>
      <c r="T529" s="194"/>
      <c r="U529" s="194"/>
      <c r="V529" s="194"/>
      <c r="W529" s="194"/>
      <c r="X529" s="194"/>
      <c r="Y529" s="194"/>
      <c r="Z529" s="194"/>
      <c r="AA529" s="194"/>
      <c r="AB529" s="194"/>
      <c r="AC529" s="194"/>
      <c r="AD529" s="194"/>
      <c r="AE529" s="194"/>
      <c r="AF529" s="194"/>
      <c r="AG529" s="194"/>
      <c r="AH529" s="194"/>
      <c r="AI529" s="194"/>
      <c r="AJ529" s="194"/>
      <c r="AK529" s="194"/>
      <c r="AL529" s="194"/>
      <c r="AM529" s="194"/>
    </row>
    <row r="530" spans="1:39" ht="15.75" customHeight="1" x14ac:dyDescent="0.25">
      <c r="A530" s="194"/>
      <c r="B530" s="194"/>
      <c r="C530" s="194"/>
      <c r="D530" s="194"/>
      <c r="E530" s="194"/>
      <c r="F530" s="194"/>
      <c r="G530" s="194"/>
      <c r="H530" s="194"/>
      <c r="I530" s="194"/>
      <c r="J530" s="194"/>
      <c r="K530" s="194"/>
      <c r="L530" s="194"/>
      <c r="M530" s="194"/>
      <c r="N530" s="194"/>
      <c r="O530" s="194"/>
      <c r="P530" s="194"/>
      <c r="Q530" s="194"/>
      <c r="R530" s="194"/>
      <c r="S530" s="194"/>
      <c r="T530" s="194"/>
      <c r="U530" s="194"/>
      <c r="V530" s="194"/>
      <c r="W530" s="194"/>
      <c r="X530" s="194"/>
      <c r="Y530" s="194"/>
      <c r="Z530" s="194"/>
      <c r="AA530" s="194"/>
      <c r="AB530" s="194"/>
      <c r="AC530" s="194"/>
      <c r="AD530" s="194"/>
      <c r="AE530" s="194"/>
      <c r="AF530" s="194"/>
      <c r="AG530" s="194"/>
      <c r="AH530" s="194"/>
      <c r="AI530" s="194"/>
      <c r="AJ530" s="194"/>
      <c r="AK530" s="194"/>
      <c r="AL530" s="194"/>
      <c r="AM530" s="194"/>
    </row>
    <row r="531" spans="1:39" ht="15.75" customHeight="1" x14ac:dyDescent="0.25">
      <c r="A531" s="194"/>
      <c r="B531" s="194"/>
      <c r="C531" s="194"/>
      <c r="D531" s="194"/>
      <c r="E531" s="194"/>
      <c r="F531" s="194"/>
      <c r="G531" s="194"/>
      <c r="H531" s="194"/>
      <c r="I531" s="194"/>
      <c r="J531" s="194"/>
      <c r="K531" s="194"/>
      <c r="L531" s="194"/>
      <c r="M531" s="194"/>
      <c r="N531" s="194"/>
      <c r="O531" s="194"/>
      <c r="P531" s="194"/>
      <c r="Q531" s="194"/>
      <c r="R531" s="194"/>
      <c r="S531" s="194"/>
      <c r="T531" s="194"/>
      <c r="U531" s="194"/>
      <c r="V531" s="194"/>
      <c r="W531" s="194"/>
      <c r="X531" s="194"/>
      <c r="Y531" s="194"/>
      <c r="Z531" s="194"/>
      <c r="AA531" s="194"/>
      <c r="AB531" s="194"/>
      <c r="AC531" s="194"/>
      <c r="AD531" s="194"/>
      <c r="AE531" s="194"/>
      <c r="AF531" s="194"/>
      <c r="AG531" s="194"/>
      <c r="AH531" s="194"/>
      <c r="AI531" s="194"/>
      <c r="AJ531" s="194"/>
      <c r="AK531" s="194"/>
      <c r="AL531" s="194"/>
      <c r="AM531" s="194"/>
    </row>
    <row r="532" spans="1:39" ht="15.75" customHeight="1" x14ac:dyDescent="0.25">
      <c r="A532" s="194"/>
      <c r="B532" s="194"/>
      <c r="C532" s="194"/>
      <c r="D532" s="194"/>
      <c r="E532" s="194"/>
      <c r="F532" s="194"/>
      <c r="G532" s="194"/>
      <c r="H532" s="194"/>
      <c r="I532" s="194"/>
      <c r="J532" s="194"/>
      <c r="K532" s="194"/>
      <c r="L532" s="194"/>
      <c r="M532" s="194"/>
      <c r="N532" s="194"/>
      <c r="O532" s="194"/>
      <c r="P532" s="194"/>
      <c r="Q532" s="194"/>
      <c r="R532" s="194"/>
      <c r="S532" s="194"/>
      <c r="T532" s="194"/>
      <c r="U532" s="194"/>
      <c r="V532" s="194"/>
      <c r="W532" s="194"/>
      <c r="X532" s="194"/>
      <c r="Y532" s="194"/>
      <c r="Z532" s="194"/>
      <c r="AA532" s="194"/>
      <c r="AB532" s="194"/>
      <c r="AC532" s="194"/>
      <c r="AD532" s="194"/>
      <c r="AE532" s="194"/>
      <c r="AF532" s="194"/>
      <c r="AG532" s="194"/>
      <c r="AH532" s="194"/>
      <c r="AI532" s="194"/>
      <c r="AJ532" s="194"/>
      <c r="AK532" s="194"/>
      <c r="AL532" s="194"/>
      <c r="AM532" s="194"/>
    </row>
    <row r="533" spans="1:39" ht="15.75" customHeight="1" x14ac:dyDescent="0.25">
      <c r="A533" s="194"/>
      <c r="B533" s="194"/>
      <c r="C533" s="194"/>
      <c r="D533" s="194"/>
      <c r="E533" s="194"/>
      <c r="F533" s="194"/>
      <c r="G533" s="194"/>
      <c r="H533" s="194"/>
      <c r="I533" s="194"/>
      <c r="J533" s="194"/>
      <c r="K533" s="194"/>
      <c r="L533" s="194"/>
      <c r="M533" s="194"/>
      <c r="N533" s="194"/>
      <c r="O533" s="194"/>
      <c r="P533" s="194"/>
      <c r="Q533" s="194"/>
      <c r="R533" s="194"/>
      <c r="S533" s="194"/>
      <c r="T533" s="194"/>
      <c r="U533" s="194"/>
      <c r="V533" s="194"/>
      <c r="W533" s="194"/>
      <c r="X533" s="194"/>
      <c r="Y533" s="194"/>
      <c r="Z533" s="194"/>
      <c r="AA533" s="194"/>
      <c r="AB533" s="194"/>
      <c r="AC533" s="194"/>
      <c r="AD533" s="194"/>
      <c r="AE533" s="194"/>
      <c r="AF533" s="194"/>
      <c r="AG533" s="194"/>
      <c r="AH533" s="194"/>
      <c r="AI533" s="194"/>
      <c r="AJ533" s="194"/>
      <c r="AK533" s="194"/>
      <c r="AL533" s="194"/>
      <c r="AM533" s="194"/>
    </row>
    <row r="534" spans="1:39" ht="15.75" customHeight="1" x14ac:dyDescent="0.25">
      <c r="A534" s="194"/>
      <c r="B534" s="194"/>
      <c r="C534" s="194"/>
      <c r="D534" s="194"/>
      <c r="E534" s="194"/>
      <c r="F534" s="194"/>
      <c r="G534" s="194"/>
      <c r="H534" s="194"/>
      <c r="I534" s="194"/>
      <c r="J534" s="194"/>
      <c r="K534" s="194"/>
      <c r="L534" s="194"/>
      <c r="M534" s="194"/>
      <c r="N534" s="194"/>
      <c r="O534" s="194"/>
      <c r="P534" s="194"/>
      <c r="Q534" s="194"/>
      <c r="R534" s="194"/>
      <c r="S534" s="194"/>
      <c r="T534" s="194"/>
      <c r="U534" s="194"/>
      <c r="V534" s="194"/>
      <c r="W534" s="194"/>
      <c r="X534" s="194"/>
      <c r="Y534" s="194"/>
      <c r="Z534" s="194"/>
      <c r="AA534" s="194"/>
      <c r="AB534" s="194"/>
      <c r="AC534" s="194"/>
      <c r="AD534" s="194"/>
      <c r="AE534" s="194"/>
      <c r="AF534" s="194"/>
      <c r="AG534" s="194"/>
      <c r="AH534" s="194"/>
      <c r="AI534" s="194"/>
      <c r="AJ534" s="194"/>
      <c r="AK534" s="194"/>
      <c r="AL534" s="194"/>
      <c r="AM534" s="194"/>
    </row>
    <row r="535" spans="1:39" ht="15.75" customHeight="1" x14ac:dyDescent="0.25">
      <c r="A535" s="194"/>
      <c r="B535" s="194"/>
      <c r="C535" s="194"/>
      <c r="D535" s="194"/>
      <c r="E535" s="194"/>
      <c r="F535" s="194"/>
      <c r="G535" s="194"/>
      <c r="H535" s="194"/>
      <c r="I535" s="194"/>
      <c r="J535" s="194"/>
      <c r="K535" s="194"/>
      <c r="L535" s="194"/>
      <c r="M535" s="194"/>
      <c r="N535" s="194"/>
      <c r="O535" s="194"/>
      <c r="P535" s="194"/>
      <c r="Q535" s="194"/>
      <c r="R535" s="194"/>
      <c r="S535" s="194"/>
      <c r="T535" s="194"/>
      <c r="U535" s="194"/>
      <c r="V535" s="194"/>
      <c r="W535" s="194"/>
      <c r="X535" s="194"/>
      <c r="Y535" s="194"/>
      <c r="Z535" s="194"/>
      <c r="AA535" s="194"/>
      <c r="AB535" s="194"/>
      <c r="AC535" s="194"/>
      <c r="AD535" s="194"/>
      <c r="AE535" s="194"/>
      <c r="AF535" s="194"/>
      <c r="AG535" s="194"/>
      <c r="AH535" s="194"/>
      <c r="AI535" s="194"/>
      <c r="AJ535" s="194"/>
      <c r="AK535" s="194"/>
      <c r="AL535" s="194"/>
      <c r="AM535" s="194"/>
    </row>
    <row r="536" spans="1:39" ht="15.75" customHeight="1" x14ac:dyDescent="0.25">
      <c r="A536" s="194"/>
      <c r="B536" s="194"/>
      <c r="C536" s="194"/>
      <c r="D536" s="194"/>
      <c r="E536" s="194"/>
      <c r="F536" s="194"/>
      <c r="G536" s="194"/>
      <c r="H536" s="194"/>
      <c r="I536" s="194"/>
      <c r="J536" s="194"/>
      <c r="K536" s="194"/>
      <c r="L536" s="194"/>
      <c r="M536" s="194"/>
      <c r="N536" s="194"/>
      <c r="O536" s="194"/>
      <c r="P536" s="194"/>
      <c r="Q536" s="194"/>
      <c r="R536" s="194"/>
      <c r="S536" s="194"/>
      <c r="T536" s="194"/>
      <c r="U536" s="194"/>
      <c r="V536" s="194"/>
      <c r="W536" s="194"/>
      <c r="X536" s="194"/>
      <c r="Y536" s="194"/>
      <c r="Z536" s="194"/>
      <c r="AA536" s="194"/>
      <c r="AB536" s="194"/>
      <c r="AC536" s="194"/>
      <c r="AD536" s="194"/>
      <c r="AE536" s="194"/>
      <c r="AF536" s="194"/>
      <c r="AG536" s="194"/>
      <c r="AH536" s="194"/>
      <c r="AI536" s="194"/>
      <c r="AJ536" s="194"/>
      <c r="AK536" s="194"/>
      <c r="AL536" s="194"/>
      <c r="AM536" s="194"/>
    </row>
    <row r="537" spans="1:39" ht="15.75" customHeight="1" x14ac:dyDescent="0.25">
      <c r="A537" s="194"/>
      <c r="B537" s="194"/>
      <c r="C537" s="194"/>
      <c r="D537" s="194"/>
      <c r="E537" s="194"/>
      <c r="F537" s="194"/>
      <c r="G537" s="194"/>
      <c r="H537" s="194"/>
      <c r="I537" s="194"/>
      <c r="J537" s="194"/>
      <c r="K537" s="194"/>
      <c r="L537" s="194"/>
      <c r="M537" s="194"/>
      <c r="N537" s="194"/>
      <c r="O537" s="194"/>
      <c r="P537" s="194"/>
      <c r="Q537" s="194"/>
      <c r="R537" s="194"/>
      <c r="S537" s="194"/>
      <c r="T537" s="194"/>
      <c r="U537" s="194"/>
      <c r="V537" s="194"/>
      <c r="W537" s="194"/>
      <c r="X537" s="194"/>
      <c r="Y537" s="194"/>
      <c r="Z537" s="194"/>
      <c r="AA537" s="194"/>
      <c r="AB537" s="194"/>
      <c r="AC537" s="194"/>
      <c r="AD537" s="194"/>
      <c r="AE537" s="194"/>
      <c r="AF537" s="194"/>
      <c r="AG537" s="194"/>
      <c r="AH537" s="194"/>
      <c r="AI537" s="194"/>
      <c r="AJ537" s="194"/>
      <c r="AK537" s="194"/>
      <c r="AL537" s="194"/>
      <c r="AM537" s="194"/>
    </row>
    <row r="538" spans="1:39" ht="15.75" customHeight="1" x14ac:dyDescent="0.25">
      <c r="A538" s="194"/>
      <c r="B538" s="194"/>
      <c r="C538" s="194"/>
      <c r="D538" s="194"/>
      <c r="E538" s="194"/>
      <c r="F538" s="194"/>
      <c r="G538" s="194"/>
      <c r="H538" s="194"/>
      <c r="I538" s="194"/>
      <c r="J538" s="194"/>
      <c r="K538" s="194"/>
      <c r="L538" s="194"/>
      <c r="M538" s="194"/>
      <c r="N538" s="194"/>
      <c r="O538" s="194"/>
      <c r="P538" s="194"/>
      <c r="Q538" s="194"/>
      <c r="R538" s="194"/>
      <c r="S538" s="194"/>
      <c r="T538" s="194"/>
      <c r="U538" s="194"/>
      <c r="V538" s="194"/>
      <c r="W538" s="194"/>
      <c r="X538" s="194"/>
      <c r="Y538" s="194"/>
      <c r="Z538" s="194"/>
      <c r="AA538" s="194"/>
      <c r="AB538" s="194"/>
      <c r="AC538" s="194"/>
      <c r="AD538" s="194"/>
      <c r="AE538" s="194"/>
      <c r="AF538" s="194"/>
      <c r="AG538" s="194"/>
      <c r="AH538" s="194"/>
      <c r="AI538" s="194"/>
      <c r="AJ538" s="194"/>
      <c r="AK538" s="194"/>
      <c r="AL538" s="194"/>
      <c r="AM538" s="194"/>
    </row>
    <row r="539" spans="1:39" ht="15.75" customHeight="1" x14ac:dyDescent="0.25">
      <c r="A539" s="194"/>
      <c r="B539" s="194"/>
      <c r="C539" s="194"/>
      <c r="D539" s="194"/>
      <c r="E539" s="194"/>
      <c r="F539" s="194"/>
      <c r="G539" s="194"/>
      <c r="H539" s="194"/>
      <c r="I539" s="194"/>
      <c r="J539" s="194"/>
      <c r="K539" s="194"/>
      <c r="L539" s="194"/>
      <c r="M539" s="194"/>
      <c r="N539" s="194"/>
      <c r="O539" s="194"/>
      <c r="P539" s="194"/>
      <c r="Q539" s="194"/>
      <c r="R539" s="194"/>
      <c r="S539" s="194"/>
      <c r="T539" s="194"/>
      <c r="U539" s="194"/>
      <c r="V539" s="194"/>
      <c r="W539" s="194"/>
      <c r="X539" s="194"/>
      <c r="Y539" s="194"/>
      <c r="Z539" s="194"/>
      <c r="AA539" s="194"/>
      <c r="AB539" s="194"/>
      <c r="AC539" s="194"/>
      <c r="AD539" s="194"/>
      <c r="AE539" s="194"/>
      <c r="AF539" s="194"/>
      <c r="AG539" s="194"/>
      <c r="AH539" s="194"/>
      <c r="AI539" s="194"/>
      <c r="AJ539" s="194"/>
      <c r="AK539" s="194"/>
      <c r="AL539" s="194"/>
      <c r="AM539" s="194"/>
    </row>
    <row r="540" spans="1:39" ht="15.75" customHeight="1" x14ac:dyDescent="0.25">
      <c r="A540" s="194"/>
      <c r="B540" s="194"/>
      <c r="C540" s="194"/>
      <c r="D540" s="194"/>
      <c r="E540" s="194"/>
      <c r="F540" s="194"/>
      <c r="G540" s="194"/>
      <c r="H540" s="194"/>
      <c r="I540" s="194"/>
      <c r="J540" s="194"/>
      <c r="K540" s="194"/>
      <c r="L540" s="194"/>
      <c r="M540" s="194"/>
      <c r="N540" s="194"/>
      <c r="O540" s="194"/>
      <c r="P540" s="194"/>
      <c r="Q540" s="194"/>
      <c r="R540" s="194"/>
      <c r="S540" s="194"/>
      <c r="T540" s="194"/>
      <c r="U540" s="194"/>
      <c r="V540" s="194"/>
      <c r="W540" s="194"/>
      <c r="X540" s="194"/>
      <c r="Y540" s="194"/>
      <c r="Z540" s="194"/>
      <c r="AA540" s="194"/>
      <c r="AB540" s="194"/>
      <c r="AC540" s="194"/>
      <c r="AD540" s="194"/>
      <c r="AE540" s="194"/>
      <c r="AF540" s="194"/>
      <c r="AG540" s="194"/>
      <c r="AH540" s="194"/>
      <c r="AI540" s="194"/>
      <c r="AJ540" s="194"/>
      <c r="AK540" s="194"/>
      <c r="AL540" s="194"/>
      <c r="AM540" s="194"/>
    </row>
    <row r="541" spans="1:39" ht="15.75" customHeight="1" x14ac:dyDescent="0.25">
      <c r="A541" s="194"/>
      <c r="B541" s="194"/>
      <c r="C541" s="194"/>
      <c r="D541" s="194"/>
      <c r="E541" s="194"/>
      <c r="F541" s="194"/>
      <c r="G541" s="194"/>
      <c r="H541" s="194"/>
      <c r="I541" s="194"/>
      <c r="J541" s="194"/>
      <c r="K541" s="194"/>
      <c r="L541" s="194"/>
      <c r="M541" s="194"/>
      <c r="N541" s="194"/>
      <c r="O541" s="194"/>
      <c r="P541" s="194"/>
      <c r="Q541" s="194"/>
      <c r="R541" s="194"/>
      <c r="S541" s="194"/>
      <c r="T541" s="194"/>
      <c r="U541" s="194"/>
      <c r="V541" s="194"/>
      <c r="W541" s="194"/>
      <c r="X541" s="194"/>
      <c r="Y541" s="194"/>
      <c r="Z541" s="194"/>
      <c r="AA541" s="194"/>
      <c r="AB541" s="194"/>
      <c r="AC541" s="194"/>
      <c r="AD541" s="194"/>
      <c r="AE541" s="194"/>
      <c r="AF541" s="194"/>
      <c r="AG541" s="194"/>
      <c r="AH541" s="194"/>
      <c r="AI541" s="194"/>
      <c r="AJ541" s="194"/>
      <c r="AK541" s="194"/>
      <c r="AL541" s="194"/>
      <c r="AM541" s="194"/>
    </row>
    <row r="542" spans="1:39" ht="15.75" customHeight="1" x14ac:dyDescent="0.25">
      <c r="A542" s="194"/>
      <c r="B542" s="194"/>
      <c r="C542" s="194"/>
      <c r="D542" s="194"/>
      <c r="E542" s="194"/>
      <c r="F542" s="194"/>
      <c r="G542" s="194"/>
      <c r="H542" s="194"/>
      <c r="I542" s="194"/>
      <c r="J542" s="194"/>
      <c r="K542" s="194"/>
      <c r="L542" s="194"/>
      <c r="M542" s="194"/>
      <c r="N542" s="194"/>
      <c r="O542" s="194"/>
      <c r="P542" s="194"/>
      <c r="Q542" s="194"/>
      <c r="R542" s="194"/>
      <c r="S542" s="194"/>
      <c r="T542" s="194"/>
      <c r="U542" s="194"/>
      <c r="V542" s="194"/>
      <c r="W542" s="194"/>
      <c r="X542" s="194"/>
      <c r="Y542" s="194"/>
      <c r="Z542" s="194"/>
      <c r="AA542" s="194"/>
      <c r="AB542" s="194"/>
      <c r="AC542" s="194"/>
      <c r="AD542" s="194"/>
      <c r="AE542" s="194"/>
      <c r="AF542" s="194"/>
      <c r="AG542" s="194"/>
      <c r="AH542" s="194"/>
      <c r="AI542" s="194"/>
      <c r="AJ542" s="194"/>
      <c r="AK542" s="194"/>
      <c r="AL542" s="194"/>
      <c r="AM542" s="194"/>
    </row>
    <row r="543" spans="1:39" ht="15.75" customHeight="1" x14ac:dyDescent="0.25">
      <c r="A543" s="194"/>
      <c r="B543" s="194"/>
      <c r="C543" s="194"/>
      <c r="D543" s="194"/>
      <c r="E543" s="194"/>
      <c r="F543" s="194"/>
      <c r="G543" s="194"/>
      <c r="H543" s="194"/>
      <c r="I543" s="194"/>
      <c r="J543" s="194"/>
      <c r="K543" s="194"/>
      <c r="L543" s="194"/>
      <c r="M543" s="194"/>
      <c r="N543" s="194"/>
      <c r="O543" s="194"/>
      <c r="P543" s="194"/>
      <c r="Q543" s="194"/>
      <c r="R543" s="194"/>
      <c r="S543" s="194"/>
      <c r="T543" s="194"/>
      <c r="U543" s="194"/>
      <c r="V543" s="194"/>
      <c r="W543" s="194"/>
      <c r="X543" s="194"/>
      <c r="Y543" s="194"/>
      <c r="Z543" s="194"/>
      <c r="AA543" s="194"/>
      <c r="AB543" s="194"/>
      <c r="AC543" s="194"/>
      <c r="AD543" s="194"/>
      <c r="AE543" s="194"/>
      <c r="AF543" s="194"/>
      <c r="AG543" s="194"/>
      <c r="AH543" s="194"/>
      <c r="AI543" s="194"/>
      <c r="AJ543" s="194"/>
      <c r="AK543" s="194"/>
      <c r="AL543" s="194"/>
      <c r="AM543" s="194"/>
    </row>
    <row r="544" spans="1:39" ht="15.75" customHeight="1" x14ac:dyDescent="0.25">
      <c r="A544" s="194"/>
      <c r="B544" s="194"/>
      <c r="C544" s="194"/>
      <c r="D544" s="194"/>
      <c r="E544" s="194"/>
      <c r="F544" s="194"/>
      <c r="G544" s="194"/>
      <c r="H544" s="194"/>
      <c r="I544" s="194"/>
      <c r="J544" s="194"/>
      <c r="K544" s="194"/>
      <c r="L544" s="194"/>
      <c r="M544" s="194"/>
      <c r="N544" s="194"/>
      <c r="O544" s="194"/>
      <c r="P544" s="194"/>
      <c r="Q544" s="194"/>
      <c r="R544" s="194"/>
      <c r="S544" s="194"/>
      <c r="T544" s="194"/>
      <c r="U544" s="194"/>
      <c r="V544" s="194"/>
      <c r="W544" s="194"/>
      <c r="X544" s="194"/>
      <c r="Y544" s="194"/>
      <c r="Z544" s="194"/>
      <c r="AA544" s="194"/>
      <c r="AB544" s="194"/>
      <c r="AC544" s="194"/>
      <c r="AD544" s="194"/>
      <c r="AE544" s="194"/>
      <c r="AF544" s="194"/>
      <c r="AG544" s="194"/>
      <c r="AH544" s="194"/>
      <c r="AI544" s="194"/>
      <c r="AJ544" s="194"/>
      <c r="AK544" s="194"/>
      <c r="AL544" s="194"/>
      <c r="AM544" s="194"/>
    </row>
    <row r="545" spans="1:39" ht="15.75" customHeight="1" x14ac:dyDescent="0.25">
      <c r="A545" s="194"/>
      <c r="B545" s="194"/>
      <c r="C545" s="194"/>
      <c r="D545" s="194"/>
      <c r="E545" s="194"/>
      <c r="F545" s="194"/>
      <c r="G545" s="194"/>
      <c r="H545" s="194"/>
      <c r="I545" s="194"/>
      <c r="J545" s="194"/>
      <c r="K545" s="194"/>
      <c r="L545" s="194"/>
      <c r="M545" s="194"/>
      <c r="N545" s="194"/>
      <c r="O545" s="194"/>
      <c r="P545" s="194"/>
      <c r="Q545" s="194"/>
      <c r="R545" s="194"/>
      <c r="S545" s="194"/>
      <c r="T545" s="194"/>
      <c r="U545" s="194"/>
      <c r="V545" s="194"/>
      <c r="W545" s="194"/>
      <c r="X545" s="194"/>
      <c r="Y545" s="194"/>
      <c r="Z545" s="194"/>
      <c r="AA545" s="194"/>
      <c r="AB545" s="194"/>
      <c r="AC545" s="194"/>
      <c r="AD545" s="194"/>
      <c r="AE545" s="194"/>
      <c r="AF545" s="194"/>
      <c r="AG545" s="194"/>
      <c r="AH545" s="194"/>
      <c r="AI545" s="194"/>
      <c r="AJ545" s="194"/>
      <c r="AK545" s="194"/>
      <c r="AL545" s="194"/>
      <c r="AM545" s="194"/>
    </row>
    <row r="546" spans="1:39" ht="15.75" customHeight="1" x14ac:dyDescent="0.25">
      <c r="A546" s="194"/>
      <c r="B546" s="194"/>
      <c r="C546" s="194"/>
      <c r="D546" s="194"/>
      <c r="E546" s="194"/>
      <c r="F546" s="194"/>
      <c r="G546" s="194"/>
      <c r="H546" s="194"/>
      <c r="I546" s="194"/>
      <c r="J546" s="194"/>
      <c r="K546" s="194"/>
      <c r="L546" s="194"/>
      <c r="M546" s="194"/>
      <c r="N546" s="194"/>
      <c r="O546" s="194"/>
      <c r="P546" s="194"/>
      <c r="Q546" s="194"/>
      <c r="R546" s="194"/>
      <c r="S546" s="194"/>
      <c r="T546" s="194"/>
      <c r="U546" s="194"/>
      <c r="V546" s="194"/>
      <c r="W546" s="194"/>
      <c r="X546" s="194"/>
      <c r="Y546" s="194"/>
      <c r="Z546" s="194"/>
      <c r="AA546" s="194"/>
      <c r="AB546" s="194"/>
      <c r="AC546" s="194"/>
      <c r="AD546" s="194"/>
      <c r="AE546" s="194"/>
      <c r="AF546" s="194"/>
      <c r="AG546" s="194"/>
      <c r="AH546" s="194"/>
      <c r="AI546" s="194"/>
      <c r="AJ546" s="194"/>
      <c r="AK546" s="194"/>
      <c r="AL546" s="194"/>
      <c r="AM546" s="194"/>
    </row>
    <row r="547" spans="1:39" ht="15.75" customHeight="1" x14ac:dyDescent="0.25">
      <c r="A547" s="194"/>
      <c r="B547" s="194"/>
      <c r="C547" s="194"/>
      <c r="D547" s="194"/>
      <c r="E547" s="194"/>
      <c r="F547" s="194"/>
      <c r="G547" s="194"/>
      <c r="H547" s="194"/>
      <c r="I547" s="194"/>
      <c r="J547" s="194"/>
      <c r="K547" s="194"/>
      <c r="L547" s="194"/>
      <c r="M547" s="194"/>
      <c r="N547" s="194"/>
      <c r="O547" s="194"/>
      <c r="P547" s="194"/>
      <c r="Q547" s="194"/>
      <c r="R547" s="194"/>
      <c r="S547" s="194"/>
      <c r="T547" s="194"/>
      <c r="U547" s="194"/>
      <c r="V547" s="194"/>
      <c r="W547" s="194"/>
      <c r="X547" s="194"/>
      <c r="Y547" s="194"/>
      <c r="Z547" s="194"/>
      <c r="AA547" s="194"/>
      <c r="AB547" s="194"/>
      <c r="AC547" s="194"/>
      <c r="AD547" s="194"/>
      <c r="AE547" s="194"/>
      <c r="AF547" s="194"/>
      <c r="AG547" s="194"/>
      <c r="AH547" s="194"/>
      <c r="AI547" s="194"/>
      <c r="AJ547" s="194"/>
      <c r="AK547" s="194"/>
      <c r="AL547" s="194"/>
      <c r="AM547" s="194"/>
    </row>
    <row r="548" spans="1:39" ht="15.75" customHeight="1" x14ac:dyDescent="0.25">
      <c r="A548" s="194"/>
      <c r="B548" s="194"/>
      <c r="C548" s="194"/>
      <c r="D548" s="194"/>
      <c r="E548" s="194"/>
      <c r="F548" s="194"/>
      <c r="G548" s="194"/>
      <c r="H548" s="194"/>
      <c r="I548" s="194"/>
      <c r="J548" s="194"/>
      <c r="K548" s="194"/>
      <c r="L548" s="194"/>
      <c r="M548" s="194"/>
      <c r="N548" s="194"/>
      <c r="O548" s="194"/>
      <c r="P548" s="194"/>
      <c r="Q548" s="194"/>
      <c r="R548" s="194"/>
      <c r="S548" s="194"/>
      <c r="T548" s="194"/>
      <c r="U548" s="194"/>
      <c r="V548" s="194"/>
      <c r="W548" s="194"/>
      <c r="X548" s="194"/>
      <c r="Y548" s="194"/>
      <c r="Z548" s="194"/>
      <c r="AA548" s="194"/>
      <c r="AB548" s="194"/>
      <c r="AC548" s="194"/>
      <c r="AD548" s="194"/>
      <c r="AE548" s="194"/>
      <c r="AF548" s="194"/>
      <c r="AG548" s="194"/>
      <c r="AH548" s="194"/>
      <c r="AI548" s="194"/>
      <c r="AJ548" s="194"/>
      <c r="AK548" s="194"/>
      <c r="AL548" s="194"/>
      <c r="AM548" s="194"/>
    </row>
    <row r="549" spans="1:39" ht="15.75" customHeight="1" x14ac:dyDescent="0.25">
      <c r="A549" s="194"/>
      <c r="B549" s="194"/>
      <c r="C549" s="194"/>
      <c r="D549" s="194"/>
      <c r="E549" s="194"/>
      <c r="F549" s="194"/>
      <c r="G549" s="194"/>
      <c r="H549" s="194"/>
      <c r="I549" s="194"/>
      <c r="J549" s="194"/>
      <c r="K549" s="194"/>
      <c r="L549" s="194"/>
      <c r="M549" s="194"/>
      <c r="N549" s="194"/>
      <c r="O549" s="194"/>
      <c r="P549" s="194"/>
      <c r="Q549" s="194"/>
      <c r="R549" s="194"/>
      <c r="S549" s="194"/>
      <c r="T549" s="194"/>
      <c r="U549" s="194"/>
      <c r="V549" s="194"/>
      <c r="W549" s="194"/>
      <c r="X549" s="194"/>
      <c r="Y549" s="194"/>
      <c r="Z549" s="194"/>
      <c r="AA549" s="194"/>
      <c r="AB549" s="194"/>
      <c r="AC549" s="194"/>
      <c r="AD549" s="194"/>
      <c r="AE549" s="194"/>
      <c r="AF549" s="194"/>
      <c r="AG549" s="194"/>
      <c r="AH549" s="194"/>
      <c r="AI549" s="194"/>
      <c r="AJ549" s="194"/>
      <c r="AK549" s="194"/>
      <c r="AL549" s="194"/>
      <c r="AM549" s="194"/>
    </row>
    <row r="550" spans="1:39" ht="15.75" customHeight="1" x14ac:dyDescent="0.25">
      <c r="A550" s="194"/>
      <c r="B550" s="194"/>
      <c r="C550" s="194"/>
      <c r="D550" s="194"/>
      <c r="E550" s="194"/>
      <c r="F550" s="194"/>
      <c r="G550" s="194"/>
      <c r="H550" s="194"/>
      <c r="I550" s="194"/>
      <c r="J550" s="194"/>
      <c r="K550" s="194"/>
      <c r="L550" s="194"/>
      <c r="M550" s="194"/>
      <c r="N550" s="194"/>
      <c r="O550" s="194"/>
      <c r="P550" s="194"/>
      <c r="Q550" s="194"/>
      <c r="R550" s="194"/>
      <c r="S550" s="194"/>
      <c r="T550" s="194"/>
      <c r="U550" s="194"/>
      <c r="V550" s="194"/>
      <c r="W550" s="194"/>
      <c r="X550" s="194"/>
      <c r="Y550" s="194"/>
      <c r="Z550" s="194"/>
      <c r="AA550" s="194"/>
      <c r="AB550" s="194"/>
      <c r="AC550" s="194"/>
      <c r="AD550" s="194"/>
      <c r="AE550" s="194"/>
      <c r="AF550" s="194"/>
      <c r="AG550" s="194"/>
      <c r="AH550" s="194"/>
      <c r="AI550" s="194"/>
      <c r="AJ550" s="194"/>
      <c r="AK550" s="194"/>
      <c r="AL550" s="194"/>
      <c r="AM550" s="194"/>
    </row>
    <row r="551" spans="1:39" ht="15.75" customHeight="1" x14ac:dyDescent="0.25">
      <c r="A551" s="194"/>
      <c r="B551" s="194"/>
      <c r="C551" s="194"/>
      <c r="D551" s="194"/>
      <c r="E551" s="194"/>
      <c r="F551" s="194"/>
      <c r="G551" s="194"/>
      <c r="H551" s="194"/>
      <c r="I551" s="194"/>
      <c r="J551" s="194"/>
      <c r="K551" s="194"/>
      <c r="L551" s="194"/>
      <c r="M551" s="194"/>
      <c r="N551" s="194"/>
      <c r="O551" s="194"/>
      <c r="P551" s="194"/>
      <c r="Q551" s="194"/>
      <c r="R551" s="194"/>
      <c r="S551" s="194"/>
      <c r="T551" s="194"/>
      <c r="U551" s="194"/>
      <c r="V551" s="194"/>
      <c r="W551" s="194"/>
      <c r="X551" s="194"/>
      <c r="Y551" s="194"/>
      <c r="Z551" s="194"/>
      <c r="AA551" s="194"/>
      <c r="AB551" s="194"/>
      <c r="AC551" s="194"/>
      <c r="AD551" s="194"/>
      <c r="AE551" s="194"/>
      <c r="AF551" s="194"/>
      <c r="AG551" s="194"/>
      <c r="AH551" s="194"/>
      <c r="AI551" s="194"/>
      <c r="AJ551" s="194"/>
      <c r="AK551" s="194"/>
      <c r="AL551" s="194"/>
      <c r="AM551" s="194"/>
    </row>
    <row r="552" spans="1:39" ht="15.75" customHeight="1" x14ac:dyDescent="0.25">
      <c r="A552" s="194"/>
      <c r="B552" s="194"/>
      <c r="C552" s="194"/>
      <c r="D552" s="194"/>
      <c r="E552" s="194"/>
      <c r="F552" s="194"/>
      <c r="G552" s="194"/>
      <c r="H552" s="194"/>
      <c r="I552" s="194"/>
      <c r="J552" s="194"/>
      <c r="K552" s="194"/>
      <c r="L552" s="194"/>
      <c r="M552" s="194"/>
      <c r="N552" s="194"/>
      <c r="O552" s="194"/>
      <c r="P552" s="194"/>
      <c r="Q552" s="194"/>
      <c r="R552" s="194"/>
      <c r="S552" s="194"/>
      <c r="T552" s="194"/>
      <c r="U552" s="194"/>
      <c r="V552" s="194"/>
      <c r="W552" s="194"/>
      <c r="X552" s="194"/>
      <c r="Y552" s="194"/>
      <c r="Z552" s="194"/>
      <c r="AA552" s="194"/>
      <c r="AB552" s="194"/>
      <c r="AC552" s="194"/>
      <c r="AD552" s="194"/>
      <c r="AE552" s="194"/>
      <c r="AF552" s="194"/>
      <c r="AG552" s="194"/>
      <c r="AH552" s="194"/>
      <c r="AI552" s="194"/>
      <c r="AJ552" s="194"/>
      <c r="AK552" s="194"/>
      <c r="AL552" s="194"/>
      <c r="AM552" s="194"/>
    </row>
    <row r="553" spans="1:39" ht="15.75" customHeight="1" x14ac:dyDescent="0.25">
      <c r="A553" s="194"/>
      <c r="B553" s="194"/>
      <c r="C553" s="194"/>
      <c r="D553" s="194"/>
      <c r="E553" s="194"/>
      <c r="F553" s="194"/>
      <c r="G553" s="194"/>
      <c r="H553" s="194"/>
      <c r="I553" s="194"/>
      <c r="J553" s="194"/>
      <c r="K553" s="194"/>
      <c r="L553" s="194"/>
      <c r="M553" s="194"/>
      <c r="N553" s="194"/>
      <c r="O553" s="194"/>
      <c r="P553" s="194"/>
      <c r="Q553" s="194"/>
      <c r="R553" s="194"/>
      <c r="S553" s="194"/>
      <c r="T553" s="194"/>
      <c r="U553" s="194"/>
      <c r="V553" s="194"/>
      <c r="W553" s="194"/>
      <c r="X553" s="194"/>
      <c r="Y553" s="194"/>
      <c r="Z553" s="194"/>
      <c r="AA553" s="194"/>
      <c r="AB553" s="194"/>
      <c r="AC553" s="194"/>
      <c r="AD553" s="194"/>
      <c r="AE553" s="194"/>
      <c r="AF553" s="194"/>
      <c r="AG553" s="194"/>
      <c r="AH553" s="194"/>
      <c r="AI553" s="194"/>
      <c r="AJ553" s="194"/>
      <c r="AK553" s="194"/>
      <c r="AL553" s="194"/>
      <c r="AM553" s="194"/>
    </row>
    <row r="554" spans="1:39" ht="15.75" customHeight="1" x14ac:dyDescent="0.25">
      <c r="A554" s="194"/>
      <c r="B554" s="194"/>
      <c r="C554" s="194"/>
      <c r="D554" s="194"/>
      <c r="E554" s="194"/>
      <c r="F554" s="194"/>
      <c r="G554" s="194"/>
      <c r="H554" s="194"/>
      <c r="I554" s="194"/>
      <c r="J554" s="194"/>
      <c r="K554" s="194"/>
      <c r="L554" s="194"/>
      <c r="M554" s="194"/>
      <c r="N554" s="194"/>
      <c r="O554" s="194"/>
      <c r="P554" s="194"/>
      <c r="Q554" s="194"/>
      <c r="R554" s="194"/>
      <c r="S554" s="194"/>
      <c r="T554" s="194"/>
      <c r="U554" s="194"/>
      <c r="V554" s="194"/>
      <c r="W554" s="194"/>
      <c r="X554" s="194"/>
      <c r="Y554" s="194"/>
      <c r="Z554" s="194"/>
      <c r="AA554" s="194"/>
      <c r="AB554" s="194"/>
      <c r="AC554" s="194"/>
      <c r="AD554" s="194"/>
      <c r="AE554" s="194"/>
      <c r="AF554" s="194"/>
      <c r="AG554" s="194"/>
      <c r="AH554" s="194"/>
      <c r="AI554" s="194"/>
      <c r="AJ554" s="194"/>
      <c r="AK554" s="194"/>
      <c r="AL554" s="194"/>
      <c r="AM554" s="194"/>
    </row>
    <row r="555" spans="1:39" ht="15.75" customHeight="1" x14ac:dyDescent="0.25">
      <c r="A555" s="194"/>
      <c r="B555" s="194"/>
      <c r="C555" s="194"/>
      <c r="D555" s="194"/>
      <c r="E555" s="194"/>
      <c r="F555" s="194"/>
      <c r="G555" s="194"/>
      <c r="H555" s="194"/>
      <c r="I555" s="194"/>
      <c r="J555" s="194"/>
      <c r="K555" s="194"/>
      <c r="L555" s="194"/>
      <c r="M555" s="194"/>
      <c r="N555" s="194"/>
      <c r="O555" s="194"/>
      <c r="P555" s="194"/>
      <c r="Q555" s="194"/>
      <c r="R555" s="194"/>
      <c r="S555" s="194"/>
      <c r="T555" s="194"/>
      <c r="U555" s="194"/>
      <c r="V555" s="194"/>
      <c r="W555" s="194"/>
      <c r="X555" s="194"/>
      <c r="Y555" s="194"/>
      <c r="Z555" s="194"/>
      <c r="AA555" s="194"/>
      <c r="AB555" s="194"/>
      <c r="AC555" s="194"/>
      <c r="AD555" s="194"/>
      <c r="AE555" s="194"/>
      <c r="AF555" s="194"/>
      <c r="AG555" s="194"/>
      <c r="AH555" s="194"/>
      <c r="AI555" s="194"/>
      <c r="AJ555" s="194"/>
      <c r="AK555" s="194"/>
      <c r="AL555" s="194"/>
      <c r="AM555" s="194"/>
    </row>
    <row r="556" spans="1:39" ht="15.75" customHeight="1" x14ac:dyDescent="0.25">
      <c r="A556" s="194"/>
      <c r="B556" s="194"/>
      <c r="C556" s="194"/>
      <c r="D556" s="194"/>
      <c r="E556" s="194"/>
      <c r="F556" s="194"/>
      <c r="G556" s="194"/>
      <c r="H556" s="194"/>
      <c r="I556" s="194"/>
      <c r="J556" s="194"/>
      <c r="K556" s="194"/>
      <c r="L556" s="194"/>
      <c r="M556" s="194"/>
      <c r="N556" s="194"/>
      <c r="O556" s="194"/>
      <c r="P556" s="194"/>
      <c r="Q556" s="194"/>
      <c r="R556" s="194"/>
      <c r="S556" s="194"/>
      <c r="T556" s="194"/>
      <c r="U556" s="194"/>
      <c r="V556" s="194"/>
      <c r="W556" s="194"/>
      <c r="X556" s="194"/>
      <c r="Y556" s="194"/>
      <c r="Z556" s="194"/>
      <c r="AA556" s="194"/>
      <c r="AB556" s="194"/>
      <c r="AC556" s="194"/>
      <c r="AD556" s="194"/>
      <c r="AE556" s="194"/>
      <c r="AF556" s="194"/>
      <c r="AG556" s="194"/>
      <c r="AH556" s="194"/>
      <c r="AI556" s="194"/>
      <c r="AJ556" s="194"/>
      <c r="AK556" s="194"/>
      <c r="AL556" s="194"/>
      <c r="AM556" s="194"/>
    </row>
    <row r="557" spans="1:39" ht="15.75" customHeight="1" x14ac:dyDescent="0.25">
      <c r="A557" s="194"/>
      <c r="B557" s="194"/>
      <c r="C557" s="194"/>
      <c r="D557" s="194"/>
      <c r="E557" s="194"/>
      <c r="F557" s="194"/>
      <c r="G557" s="194"/>
      <c r="H557" s="194"/>
      <c r="I557" s="194"/>
      <c r="J557" s="194"/>
      <c r="K557" s="194"/>
      <c r="L557" s="194"/>
      <c r="M557" s="194"/>
      <c r="N557" s="194"/>
      <c r="O557" s="194"/>
      <c r="P557" s="194"/>
      <c r="Q557" s="194"/>
      <c r="R557" s="194"/>
      <c r="S557" s="194"/>
      <c r="T557" s="194"/>
      <c r="U557" s="194"/>
      <c r="V557" s="194"/>
      <c r="W557" s="194"/>
      <c r="X557" s="194"/>
      <c r="Y557" s="194"/>
      <c r="Z557" s="194"/>
      <c r="AA557" s="194"/>
      <c r="AB557" s="194"/>
      <c r="AC557" s="194"/>
      <c r="AD557" s="194"/>
      <c r="AE557" s="194"/>
      <c r="AF557" s="194"/>
      <c r="AG557" s="194"/>
      <c r="AH557" s="194"/>
      <c r="AI557" s="194"/>
      <c r="AJ557" s="194"/>
      <c r="AK557" s="194"/>
      <c r="AL557" s="194"/>
      <c r="AM557" s="194"/>
    </row>
    <row r="558" spans="1:39" ht="15.75" customHeight="1" x14ac:dyDescent="0.25">
      <c r="A558" s="194"/>
      <c r="B558" s="194"/>
      <c r="C558" s="194"/>
      <c r="D558" s="194"/>
      <c r="E558" s="194"/>
      <c r="F558" s="194"/>
      <c r="G558" s="194"/>
      <c r="H558" s="194"/>
      <c r="I558" s="194"/>
      <c r="J558" s="194"/>
      <c r="K558" s="194"/>
      <c r="L558" s="194"/>
      <c r="M558" s="194"/>
      <c r="N558" s="194"/>
      <c r="O558" s="194"/>
      <c r="P558" s="194"/>
      <c r="Q558" s="194"/>
      <c r="R558" s="194"/>
      <c r="S558" s="194"/>
      <c r="T558" s="194"/>
      <c r="U558" s="194"/>
      <c r="V558" s="194"/>
      <c r="W558" s="194"/>
      <c r="X558" s="194"/>
      <c r="Y558" s="194"/>
      <c r="Z558" s="194"/>
      <c r="AA558" s="194"/>
      <c r="AB558" s="194"/>
      <c r="AC558" s="194"/>
      <c r="AD558" s="194"/>
      <c r="AE558" s="194"/>
      <c r="AF558" s="194"/>
      <c r="AG558" s="194"/>
      <c r="AH558" s="194"/>
      <c r="AI558" s="194"/>
      <c r="AJ558" s="194"/>
      <c r="AK558" s="194"/>
      <c r="AL558" s="194"/>
      <c r="AM558" s="194"/>
    </row>
    <row r="559" spans="1:39" ht="15.75" customHeight="1" x14ac:dyDescent="0.25">
      <c r="A559" s="194"/>
      <c r="B559" s="194"/>
      <c r="C559" s="194"/>
      <c r="D559" s="194"/>
      <c r="E559" s="194"/>
      <c r="F559" s="194"/>
      <c r="G559" s="194"/>
      <c r="H559" s="194"/>
      <c r="I559" s="194"/>
      <c r="J559" s="194"/>
      <c r="K559" s="194"/>
      <c r="L559" s="194"/>
      <c r="M559" s="194"/>
      <c r="N559" s="194"/>
      <c r="O559" s="194"/>
      <c r="P559" s="194"/>
      <c r="Q559" s="194"/>
      <c r="R559" s="194"/>
      <c r="S559" s="194"/>
      <c r="T559" s="194"/>
      <c r="U559" s="194"/>
      <c r="V559" s="194"/>
      <c r="W559" s="194"/>
      <c r="X559" s="194"/>
      <c r="Y559" s="194"/>
      <c r="Z559" s="194"/>
      <c r="AA559" s="194"/>
      <c r="AB559" s="194"/>
      <c r="AC559" s="194"/>
      <c r="AD559" s="194"/>
      <c r="AE559" s="194"/>
      <c r="AF559" s="194"/>
      <c r="AG559" s="194"/>
      <c r="AH559" s="194"/>
      <c r="AI559" s="194"/>
      <c r="AJ559" s="194"/>
      <c r="AK559" s="194"/>
      <c r="AL559" s="194"/>
      <c r="AM559" s="194"/>
    </row>
    <row r="560" spans="1:39" ht="15.75" customHeight="1" x14ac:dyDescent="0.25">
      <c r="A560" s="194"/>
      <c r="B560" s="194"/>
      <c r="C560" s="194"/>
      <c r="D560" s="194"/>
      <c r="E560" s="194"/>
      <c r="F560" s="194"/>
      <c r="G560" s="194"/>
      <c r="H560" s="194"/>
      <c r="I560" s="194"/>
      <c r="J560" s="194"/>
      <c r="K560" s="194"/>
      <c r="L560" s="194"/>
      <c r="M560" s="194"/>
      <c r="N560" s="194"/>
      <c r="O560" s="194"/>
      <c r="P560" s="194"/>
      <c r="Q560" s="194"/>
      <c r="R560" s="194"/>
      <c r="S560" s="194"/>
      <c r="T560" s="194"/>
      <c r="U560" s="194"/>
      <c r="V560" s="194"/>
      <c r="W560" s="194"/>
      <c r="X560" s="194"/>
      <c r="Y560" s="194"/>
      <c r="Z560" s="194"/>
      <c r="AA560" s="194"/>
      <c r="AB560" s="194"/>
      <c r="AC560" s="194"/>
      <c r="AD560" s="194"/>
      <c r="AE560" s="194"/>
      <c r="AF560" s="194"/>
      <c r="AG560" s="194"/>
      <c r="AH560" s="194"/>
      <c r="AI560" s="194"/>
      <c r="AJ560" s="194"/>
      <c r="AK560" s="194"/>
      <c r="AL560" s="194"/>
      <c r="AM560" s="194"/>
    </row>
    <row r="561" spans="1:39" ht="15.75" customHeight="1" x14ac:dyDescent="0.25">
      <c r="A561" s="194"/>
      <c r="B561" s="194"/>
      <c r="C561" s="194"/>
      <c r="D561" s="194"/>
      <c r="E561" s="194"/>
      <c r="F561" s="194"/>
      <c r="G561" s="194"/>
      <c r="H561" s="194"/>
      <c r="I561" s="194"/>
      <c r="J561" s="194"/>
      <c r="K561" s="194"/>
      <c r="L561" s="194"/>
      <c r="M561" s="194"/>
      <c r="N561" s="194"/>
      <c r="O561" s="194"/>
      <c r="P561" s="194"/>
      <c r="Q561" s="194"/>
      <c r="R561" s="194"/>
      <c r="S561" s="194"/>
      <c r="T561" s="194"/>
      <c r="U561" s="194"/>
      <c r="V561" s="194"/>
      <c r="W561" s="194"/>
      <c r="X561" s="194"/>
      <c r="Y561" s="194"/>
      <c r="Z561" s="194"/>
      <c r="AA561" s="194"/>
      <c r="AB561" s="194"/>
      <c r="AC561" s="194"/>
      <c r="AD561" s="194"/>
      <c r="AE561" s="194"/>
      <c r="AF561" s="194"/>
      <c r="AG561" s="194"/>
      <c r="AH561" s="194"/>
      <c r="AI561" s="194"/>
      <c r="AJ561" s="194"/>
      <c r="AK561" s="194"/>
      <c r="AL561" s="194"/>
      <c r="AM561" s="194"/>
    </row>
    <row r="562" spans="1:39" ht="15.75" customHeight="1" x14ac:dyDescent="0.25">
      <c r="A562" s="194"/>
      <c r="B562" s="194"/>
      <c r="C562" s="194"/>
      <c r="D562" s="194"/>
      <c r="E562" s="194"/>
      <c r="F562" s="194"/>
      <c r="G562" s="194"/>
      <c r="H562" s="194"/>
      <c r="I562" s="194"/>
      <c r="J562" s="194"/>
      <c r="K562" s="194"/>
      <c r="L562" s="194"/>
      <c r="M562" s="194"/>
      <c r="N562" s="194"/>
      <c r="O562" s="194"/>
      <c r="P562" s="194"/>
      <c r="Q562" s="194"/>
      <c r="R562" s="194"/>
      <c r="S562" s="194"/>
      <c r="T562" s="194"/>
      <c r="U562" s="194"/>
      <c r="V562" s="194"/>
      <c r="W562" s="194"/>
      <c r="X562" s="194"/>
      <c r="Y562" s="194"/>
      <c r="Z562" s="194"/>
      <c r="AA562" s="194"/>
      <c r="AB562" s="194"/>
      <c r="AC562" s="194"/>
      <c r="AD562" s="194"/>
      <c r="AE562" s="194"/>
      <c r="AF562" s="194"/>
      <c r="AG562" s="194"/>
      <c r="AH562" s="194"/>
      <c r="AI562" s="194"/>
      <c r="AJ562" s="194"/>
      <c r="AK562" s="194"/>
      <c r="AL562" s="194"/>
      <c r="AM562" s="194"/>
    </row>
    <row r="563" spans="1:39" ht="15.75" customHeight="1" x14ac:dyDescent="0.25">
      <c r="A563" s="194"/>
      <c r="B563" s="194"/>
      <c r="C563" s="194"/>
      <c r="D563" s="194"/>
      <c r="E563" s="194"/>
      <c r="F563" s="194"/>
      <c r="G563" s="194"/>
      <c r="H563" s="194"/>
      <c r="I563" s="194"/>
      <c r="J563" s="194"/>
      <c r="K563" s="194"/>
      <c r="L563" s="194"/>
      <c r="M563" s="194"/>
      <c r="N563" s="194"/>
      <c r="O563" s="194"/>
      <c r="P563" s="194"/>
      <c r="Q563" s="194"/>
      <c r="R563" s="194"/>
      <c r="S563" s="194"/>
      <c r="T563" s="194"/>
      <c r="U563" s="194"/>
      <c r="V563" s="194"/>
      <c r="W563" s="194"/>
      <c r="X563" s="194"/>
      <c r="Y563" s="194"/>
      <c r="Z563" s="194"/>
      <c r="AA563" s="194"/>
      <c r="AB563" s="194"/>
      <c r="AC563" s="194"/>
      <c r="AD563" s="194"/>
      <c r="AE563" s="194"/>
      <c r="AF563" s="194"/>
      <c r="AG563" s="194"/>
      <c r="AH563" s="194"/>
      <c r="AI563" s="194"/>
      <c r="AJ563" s="194"/>
      <c r="AK563" s="194"/>
      <c r="AL563" s="194"/>
      <c r="AM563" s="194"/>
    </row>
    <row r="564" spans="1:39" ht="15.75" customHeight="1" x14ac:dyDescent="0.25">
      <c r="A564" s="194"/>
      <c r="B564" s="194"/>
      <c r="C564" s="194"/>
      <c r="D564" s="194"/>
      <c r="E564" s="194"/>
      <c r="F564" s="194"/>
      <c r="G564" s="194"/>
      <c r="H564" s="194"/>
      <c r="I564" s="194"/>
      <c r="J564" s="194"/>
      <c r="K564" s="194"/>
      <c r="L564" s="194"/>
      <c r="M564" s="194"/>
      <c r="N564" s="194"/>
      <c r="O564" s="194"/>
      <c r="P564" s="194"/>
      <c r="Q564" s="194"/>
      <c r="R564" s="194"/>
      <c r="S564" s="194"/>
      <c r="T564" s="194"/>
      <c r="U564" s="194"/>
      <c r="V564" s="194"/>
      <c r="W564" s="194"/>
      <c r="X564" s="194"/>
      <c r="Y564" s="194"/>
      <c r="Z564" s="194"/>
      <c r="AA564" s="194"/>
      <c r="AB564" s="194"/>
      <c r="AC564" s="194"/>
      <c r="AD564" s="194"/>
      <c r="AE564" s="194"/>
      <c r="AF564" s="194"/>
      <c r="AG564" s="194"/>
      <c r="AH564" s="194"/>
      <c r="AI564" s="194"/>
      <c r="AJ564" s="194"/>
      <c r="AK564" s="194"/>
      <c r="AL564" s="194"/>
      <c r="AM564" s="194"/>
    </row>
    <row r="565" spans="1:39" ht="15.75" customHeight="1" x14ac:dyDescent="0.25">
      <c r="A565" s="194"/>
      <c r="B565" s="194"/>
      <c r="C565" s="194"/>
      <c r="D565" s="194"/>
      <c r="E565" s="194"/>
      <c r="F565" s="194"/>
      <c r="G565" s="194"/>
      <c r="H565" s="194"/>
      <c r="I565" s="194"/>
      <c r="J565" s="194"/>
      <c r="K565" s="194"/>
      <c r="L565" s="194"/>
      <c r="M565" s="194"/>
      <c r="N565" s="194"/>
      <c r="O565" s="194"/>
      <c r="P565" s="194"/>
      <c r="Q565" s="194"/>
      <c r="R565" s="194"/>
      <c r="S565" s="194"/>
      <c r="T565" s="194"/>
      <c r="U565" s="194"/>
      <c r="V565" s="194"/>
      <c r="W565" s="194"/>
      <c r="X565" s="194"/>
      <c r="Y565" s="194"/>
      <c r="Z565" s="194"/>
      <c r="AA565" s="194"/>
      <c r="AB565" s="194"/>
      <c r="AC565" s="194"/>
      <c r="AD565" s="194"/>
      <c r="AE565" s="194"/>
      <c r="AF565" s="194"/>
      <c r="AG565" s="194"/>
      <c r="AH565" s="194"/>
      <c r="AI565" s="194"/>
      <c r="AJ565" s="194"/>
      <c r="AK565" s="194"/>
      <c r="AL565" s="194"/>
      <c r="AM565" s="194"/>
    </row>
    <row r="566" spans="1:39" ht="15.75" customHeight="1" x14ac:dyDescent="0.25">
      <c r="A566" s="194"/>
      <c r="B566" s="194"/>
      <c r="C566" s="194"/>
      <c r="D566" s="194"/>
      <c r="E566" s="194"/>
      <c r="F566" s="194"/>
      <c r="G566" s="194"/>
      <c r="H566" s="194"/>
      <c r="I566" s="194"/>
      <c r="J566" s="194"/>
      <c r="K566" s="194"/>
      <c r="L566" s="194"/>
      <c r="M566" s="194"/>
      <c r="N566" s="194"/>
      <c r="O566" s="194"/>
      <c r="P566" s="194"/>
      <c r="Q566" s="194"/>
      <c r="R566" s="194"/>
      <c r="S566" s="194"/>
      <c r="T566" s="194"/>
      <c r="U566" s="194"/>
      <c r="V566" s="194"/>
      <c r="W566" s="194"/>
      <c r="X566" s="194"/>
      <c r="Y566" s="194"/>
      <c r="Z566" s="194"/>
      <c r="AA566" s="194"/>
      <c r="AB566" s="194"/>
      <c r="AC566" s="194"/>
      <c r="AD566" s="194"/>
      <c r="AE566" s="194"/>
      <c r="AF566" s="194"/>
      <c r="AG566" s="194"/>
      <c r="AH566" s="194"/>
      <c r="AI566" s="194"/>
      <c r="AJ566" s="194"/>
      <c r="AK566" s="194"/>
      <c r="AL566" s="194"/>
      <c r="AM566" s="194"/>
    </row>
    <row r="567" spans="1:39" ht="15.75" customHeight="1" x14ac:dyDescent="0.25">
      <c r="A567" s="194"/>
      <c r="B567" s="194"/>
      <c r="C567" s="194"/>
      <c r="D567" s="194"/>
      <c r="E567" s="194"/>
      <c r="F567" s="194"/>
      <c r="G567" s="194"/>
      <c r="H567" s="194"/>
      <c r="I567" s="194"/>
      <c r="J567" s="194"/>
      <c r="K567" s="194"/>
      <c r="L567" s="194"/>
      <c r="M567" s="194"/>
      <c r="N567" s="194"/>
      <c r="O567" s="194"/>
      <c r="P567" s="194"/>
      <c r="Q567" s="194"/>
      <c r="R567" s="194"/>
      <c r="S567" s="194"/>
      <c r="T567" s="194"/>
      <c r="U567" s="194"/>
      <c r="V567" s="194"/>
      <c r="W567" s="194"/>
      <c r="X567" s="194"/>
      <c r="Y567" s="194"/>
      <c r="Z567" s="194"/>
      <c r="AA567" s="194"/>
      <c r="AB567" s="194"/>
      <c r="AC567" s="194"/>
      <c r="AD567" s="194"/>
      <c r="AE567" s="194"/>
      <c r="AF567" s="194"/>
      <c r="AG567" s="194"/>
      <c r="AH567" s="194"/>
      <c r="AI567" s="194"/>
      <c r="AJ567" s="194"/>
      <c r="AK567" s="194"/>
      <c r="AL567" s="194"/>
      <c r="AM567" s="194"/>
    </row>
    <row r="568" spans="1:39" ht="15.75" customHeight="1" x14ac:dyDescent="0.25">
      <c r="A568" s="194"/>
      <c r="B568" s="194"/>
      <c r="C568" s="194"/>
      <c r="D568" s="194"/>
      <c r="E568" s="194"/>
      <c r="F568" s="194"/>
      <c r="G568" s="194"/>
      <c r="H568" s="194"/>
      <c r="I568" s="194"/>
      <c r="J568" s="194"/>
      <c r="K568" s="194"/>
      <c r="L568" s="194"/>
      <c r="M568" s="194"/>
      <c r="N568" s="194"/>
      <c r="O568" s="194"/>
      <c r="P568" s="194"/>
      <c r="Q568" s="194"/>
      <c r="R568" s="194"/>
      <c r="S568" s="194"/>
      <c r="T568" s="194"/>
      <c r="U568" s="194"/>
      <c r="V568" s="194"/>
      <c r="W568" s="194"/>
      <c r="X568" s="194"/>
      <c r="Y568" s="194"/>
      <c r="Z568" s="194"/>
      <c r="AA568" s="194"/>
      <c r="AB568" s="194"/>
      <c r="AC568" s="194"/>
      <c r="AD568" s="194"/>
      <c r="AE568" s="194"/>
      <c r="AF568" s="194"/>
      <c r="AG568" s="194"/>
      <c r="AH568" s="194"/>
      <c r="AI568" s="194"/>
      <c r="AJ568" s="194"/>
      <c r="AK568" s="194"/>
      <c r="AL568" s="194"/>
      <c r="AM568" s="194"/>
    </row>
    <row r="569" spans="1:39" ht="15.75" customHeight="1" x14ac:dyDescent="0.25">
      <c r="A569" s="194"/>
      <c r="B569" s="194"/>
      <c r="C569" s="194"/>
      <c r="D569" s="194"/>
      <c r="E569" s="194"/>
      <c r="F569" s="194"/>
      <c r="G569" s="194"/>
      <c r="H569" s="194"/>
      <c r="I569" s="194"/>
      <c r="J569" s="194"/>
      <c r="K569" s="194"/>
      <c r="L569" s="194"/>
      <c r="M569" s="194"/>
      <c r="N569" s="194"/>
      <c r="O569" s="194"/>
      <c r="P569" s="194"/>
      <c r="Q569" s="194"/>
      <c r="R569" s="194"/>
      <c r="S569" s="194"/>
      <c r="T569" s="194"/>
      <c r="U569" s="194"/>
      <c r="V569" s="194"/>
      <c r="W569" s="194"/>
      <c r="X569" s="194"/>
      <c r="Y569" s="194"/>
      <c r="Z569" s="194"/>
      <c r="AA569" s="194"/>
      <c r="AB569" s="194"/>
      <c r="AC569" s="194"/>
      <c r="AD569" s="194"/>
      <c r="AE569" s="194"/>
      <c r="AF569" s="194"/>
      <c r="AG569" s="194"/>
      <c r="AH569" s="194"/>
      <c r="AI569" s="194"/>
      <c r="AJ569" s="194"/>
      <c r="AK569" s="194"/>
      <c r="AL569" s="194"/>
      <c r="AM569" s="194"/>
    </row>
    <row r="570" spans="1:39" ht="15.75" customHeight="1" x14ac:dyDescent="0.25">
      <c r="A570" s="194"/>
      <c r="B570" s="194"/>
      <c r="C570" s="194"/>
      <c r="D570" s="194"/>
      <c r="E570" s="194"/>
      <c r="F570" s="194"/>
      <c r="G570" s="194"/>
      <c r="H570" s="194"/>
      <c r="I570" s="194"/>
      <c r="J570" s="194"/>
      <c r="K570" s="194"/>
      <c r="L570" s="194"/>
      <c r="M570" s="194"/>
      <c r="N570" s="194"/>
      <c r="O570" s="194"/>
      <c r="P570" s="194"/>
      <c r="Q570" s="194"/>
      <c r="R570" s="194"/>
      <c r="S570" s="194"/>
      <c r="T570" s="194"/>
      <c r="U570" s="194"/>
      <c r="V570" s="194"/>
      <c r="W570" s="194"/>
      <c r="X570" s="194"/>
      <c r="Y570" s="194"/>
      <c r="Z570" s="194"/>
      <c r="AA570" s="194"/>
      <c r="AB570" s="194"/>
      <c r="AC570" s="194"/>
      <c r="AD570" s="194"/>
      <c r="AE570" s="194"/>
      <c r="AF570" s="194"/>
      <c r="AG570" s="194"/>
      <c r="AH570" s="194"/>
      <c r="AI570" s="194"/>
      <c r="AJ570" s="194"/>
      <c r="AK570" s="194"/>
      <c r="AL570" s="194"/>
      <c r="AM570" s="194"/>
    </row>
    <row r="571" spans="1:39" ht="15.75" customHeight="1" x14ac:dyDescent="0.25">
      <c r="A571" s="194"/>
      <c r="B571" s="194"/>
      <c r="C571" s="194"/>
      <c r="D571" s="194"/>
      <c r="E571" s="194"/>
      <c r="F571" s="194"/>
      <c r="G571" s="194"/>
      <c r="H571" s="194"/>
      <c r="I571" s="194"/>
      <c r="J571" s="194"/>
      <c r="K571" s="194"/>
      <c r="L571" s="194"/>
      <c r="M571" s="194"/>
      <c r="N571" s="194"/>
      <c r="O571" s="194"/>
      <c r="P571" s="194"/>
      <c r="Q571" s="194"/>
      <c r="R571" s="194"/>
      <c r="S571" s="194"/>
      <c r="T571" s="194"/>
      <c r="U571" s="194"/>
      <c r="V571" s="194"/>
      <c r="W571" s="194"/>
      <c r="X571" s="194"/>
      <c r="Y571" s="194"/>
      <c r="Z571" s="194"/>
      <c r="AA571" s="194"/>
      <c r="AB571" s="194"/>
      <c r="AC571" s="194"/>
      <c r="AD571" s="194"/>
      <c r="AE571" s="194"/>
      <c r="AF571" s="194"/>
      <c r="AG571" s="194"/>
      <c r="AH571" s="194"/>
      <c r="AI571" s="194"/>
      <c r="AJ571" s="194"/>
      <c r="AK571" s="194"/>
      <c r="AL571" s="194"/>
      <c r="AM571" s="194"/>
    </row>
    <row r="572" spans="1:39" ht="15.75" customHeight="1" x14ac:dyDescent="0.25">
      <c r="A572" s="194"/>
      <c r="B572" s="194"/>
      <c r="C572" s="194"/>
      <c r="D572" s="194"/>
      <c r="E572" s="194"/>
      <c r="F572" s="194"/>
      <c r="G572" s="194"/>
      <c r="H572" s="194"/>
      <c r="I572" s="194"/>
      <c r="J572" s="194"/>
      <c r="K572" s="194"/>
      <c r="L572" s="194"/>
      <c r="M572" s="194"/>
      <c r="N572" s="194"/>
      <c r="O572" s="194"/>
      <c r="P572" s="194"/>
      <c r="Q572" s="194"/>
      <c r="R572" s="194"/>
      <c r="S572" s="194"/>
      <c r="T572" s="194"/>
      <c r="U572" s="194"/>
      <c r="V572" s="194"/>
      <c r="W572" s="194"/>
      <c r="X572" s="194"/>
      <c r="Y572" s="194"/>
      <c r="Z572" s="194"/>
      <c r="AA572" s="194"/>
      <c r="AB572" s="194"/>
      <c r="AC572" s="194"/>
      <c r="AD572" s="194"/>
      <c r="AE572" s="194"/>
      <c r="AF572" s="194"/>
      <c r="AG572" s="194"/>
      <c r="AH572" s="194"/>
      <c r="AI572" s="194"/>
      <c r="AJ572" s="194"/>
      <c r="AK572" s="194"/>
      <c r="AL572" s="194"/>
      <c r="AM572" s="194"/>
    </row>
    <row r="573" spans="1:39" ht="15.75" customHeight="1" x14ac:dyDescent="0.25">
      <c r="A573" s="194"/>
      <c r="B573" s="194"/>
      <c r="C573" s="194"/>
      <c r="D573" s="194"/>
      <c r="E573" s="194"/>
      <c r="F573" s="194"/>
      <c r="G573" s="194"/>
      <c r="H573" s="194"/>
      <c r="I573" s="194"/>
      <c r="J573" s="194"/>
      <c r="K573" s="194"/>
      <c r="L573" s="194"/>
      <c r="M573" s="194"/>
      <c r="N573" s="194"/>
      <c r="O573" s="194"/>
      <c r="P573" s="194"/>
      <c r="Q573" s="194"/>
      <c r="R573" s="194"/>
      <c r="S573" s="194"/>
      <c r="T573" s="194"/>
      <c r="U573" s="194"/>
      <c r="V573" s="194"/>
      <c r="W573" s="194"/>
      <c r="X573" s="194"/>
      <c r="Y573" s="194"/>
      <c r="Z573" s="194"/>
      <c r="AA573" s="194"/>
      <c r="AB573" s="194"/>
      <c r="AC573" s="194"/>
      <c r="AD573" s="194"/>
      <c r="AE573" s="194"/>
      <c r="AF573" s="194"/>
      <c r="AG573" s="194"/>
      <c r="AH573" s="194"/>
      <c r="AI573" s="194"/>
      <c r="AJ573" s="194"/>
      <c r="AK573" s="194"/>
      <c r="AL573" s="194"/>
      <c r="AM573" s="194"/>
    </row>
    <row r="574" spans="1:39" ht="15.75" customHeight="1" x14ac:dyDescent="0.25">
      <c r="A574" s="194"/>
      <c r="B574" s="194"/>
      <c r="C574" s="194"/>
      <c r="D574" s="194"/>
      <c r="E574" s="194"/>
      <c r="F574" s="194"/>
      <c r="G574" s="194"/>
      <c r="H574" s="194"/>
      <c r="I574" s="194"/>
      <c r="J574" s="194"/>
      <c r="K574" s="194"/>
      <c r="L574" s="194"/>
      <c r="M574" s="194"/>
      <c r="N574" s="194"/>
      <c r="O574" s="194"/>
      <c r="P574" s="194"/>
      <c r="Q574" s="194"/>
      <c r="R574" s="194"/>
      <c r="S574" s="194"/>
      <c r="T574" s="194"/>
      <c r="U574" s="194"/>
      <c r="V574" s="194"/>
      <c r="W574" s="194"/>
      <c r="X574" s="194"/>
      <c r="Y574" s="194"/>
      <c r="Z574" s="194"/>
      <c r="AA574" s="194"/>
      <c r="AB574" s="194"/>
      <c r="AC574" s="194"/>
      <c r="AD574" s="194"/>
      <c r="AE574" s="194"/>
      <c r="AF574" s="194"/>
      <c r="AG574" s="194"/>
      <c r="AH574" s="194"/>
      <c r="AI574" s="194"/>
      <c r="AJ574" s="194"/>
      <c r="AK574" s="194"/>
      <c r="AL574" s="194"/>
      <c r="AM574" s="194"/>
    </row>
    <row r="575" spans="1:39" ht="15.75" customHeight="1" x14ac:dyDescent="0.25">
      <c r="A575" s="194"/>
      <c r="B575" s="194"/>
      <c r="C575" s="194"/>
      <c r="D575" s="194"/>
      <c r="E575" s="194"/>
      <c r="F575" s="194"/>
      <c r="G575" s="194"/>
      <c r="H575" s="194"/>
      <c r="I575" s="194"/>
      <c r="J575" s="194"/>
      <c r="K575" s="194"/>
      <c r="L575" s="194"/>
      <c r="M575" s="194"/>
      <c r="N575" s="194"/>
      <c r="O575" s="194"/>
      <c r="P575" s="194"/>
      <c r="Q575" s="194"/>
      <c r="R575" s="194"/>
      <c r="S575" s="194"/>
      <c r="T575" s="194"/>
      <c r="U575" s="194"/>
      <c r="V575" s="194"/>
      <c r="W575" s="194"/>
      <c r="X575" s="194"/>
      <c r="Y575" s="194"/>
      <c r="Z575" s="194"/>
      <c r="AA575" s="194"/>
      <c r="AB575" s="194"/>
      <c r="AC575" s="194"/>
      <c r="AD575" s="194"/>
      <c r="AE575" s="194"/>
      <c r="AF575" s="194"/>
      <c r="AG575" s="194"/>
      <c r="AH575" s="194"/>
      <c r="AI575" s="194"/>
      <c r="AJ575" s="194"/>
      <c r="AK575" s="194"/>
      <c r="AL575" s="194"/>
      <c r="AM575" s="194"/>
    </row>
    <row r="576" spans="1:39" ht="15.75" customHeight="1" x14ac:dyDescent="0.25">
      <c r="A576" s="194"/>
      <c r="B576" s="194"/>
      <c r="C576" s="194"/>
      <c r="D576" s="194"/>
      <c r="E576" s="194"/>
      <c r="F576" s="194"/>
      <c r="G576" s="194"/>
      <c r="H576" s="194"/>
      <c r="I576" s="194"/>
      <c r="J576" s="194"/>
      <c r="K576" s="194"/>
      <c r="L576" s="194"/>
      <c r="M576" s="194"/>
      <c r="N576" s="194"/>
      <c r="O576" s="194"/>
      <c r="P576" s="194"/>
      <c r="Q576" s="194"/>
      <c r="R576" s="194"/>
      <c r="S576" s="194"/>
      <c r="T576" s="194"/>
      <c r="U576" s="194"/>
      <c r="V576" s="194"/>
      <c r="W576" s="194"/>
      <c r="X576" s="194"/>
      <c r="Y576" s="194"/>
      <c r="Z576" s="194"/>
      <c r="AA576" s="194"/>
      <c r="AB576" s="194"/>
      <c r="AC576" s="194"/>
      <c r="AD576" s="194"/>
      <c r="AE576" s="194"/>
      <c r="AF576" s="194"/>
      <c r="AG576" s="194"/>
      <c r="AH576" s="194"/>
      <c r="AI576" s="194"/>
      <c r="AJ576" s="194"/>
      <c r="AK576" s="194"/>
      <c r="AL576" s="194"/>
      <c r="AM576" s="194"/>
    </row>
    <row r="577" spans="1:39" ht="15.75" customHeight="1" x14ac:dyDescent="0.25">
      <c r="A577" s="194"/>
      <c r="B577" s="194"/>
      <c r="C577" s="194"/>
      <c r="D577" s="194"/>
      <c r="E577" s="194"/>
      <c r="F577" s="194"/>
      <c r="G577" s="194"/>
      <c r="H577" s="194"/>
      <c r="I577" s="194"/>
      <c r="J577" s="194"/>
      <c r="K577" s="194"/>
      <c r="L577" s="194"/>
      <c r="M577" s="194"/>
      <c r="N577" s="194"/>
      <c r="O577" s="194"/>
      <c r="P577" s="194"/>
      <c r="Q577" s="194"/>
      <c r="R577" s="194"/>
      <c r="S577" s="194"/>
      <c r="T577" s="194"/>
      <c r="U577" s="194"/>
      <c r="V577" s="194"/>
      <c r="W577" s="194"/>
      <c r="X577" s="194"/>
      <c r="Y577" s="194"/>
      <c r="Z577" s="194"/>
      <c r="AA577" s="194"/>
      <c r="AB577" s="194"/>
      <c r="AC577" s="194"/>
      <c r="AD577" s="194"/>
      <c r="AE577" s="194"/>
      <c r="AF577" s="194"/>
      <c r="AG577" s="194"/>
      <c r="AH577" s="194"/>
      <c r="AI577" s="194"/>
      <c r="AJ577" s="194"/>
      <c r="AK577" s="194"/>
      <c r="AL577" s="194"/>
      <c r="AM577" s="194"/>
    </row>
    <row r="578" spans="1:39" ht="15.75" customHeight="1" x14ac:dyDescent="0.25">
      <c r="A578" s="194"/>
      <c r="B578" s="194"/>
      <c r="C578" s="194"/>
      <c r="D578" s="194"/>
      <c r="E578" s="194"/>
      <c r="F578" s="194"/>
      <c r="G578" s="194"/>
      <c r="H578" s="194"/>
      <c r="I578" s="194"/>
      <c r="J578" s="194"/>
      <c r="K578" s="194"/>
      <c r="L578" s="194"/>
      <c r="M578" s="194"/>
      <c r="N578" s="194"/>
      <c r="O578" s="194"/>
      <c r="P578" s="194"/>
      <c r="Q578" s="194"/>
      <c r="R578" s="194"/>
      <c r="S578" s="194"/>
      <c r="T578" s="194"/>
      <c r="U578" s="194"/>
      <c r="V578" s="194"/>
      <c r="W578" s="194"/>
      <c r="X578" s="194"/>
      <c r="Y578" s="194"/>
      <c r="Z578" s="194"/>
      <c r="AA578" s="194"/>
      <c r="AB578" s="194"/>
      <c r="AC578" s="194"/>
      <c r="AD578" s="194"/>
      <c r="AE578" s="194"/>
      <c r="AF578" s="194"/>
      <c r="AG578" s="194"/>
      <c r="AH578" s="194"/>
      <c r="AI578" s="194"/>
      <c r="AJ578" s="194"/>
      <c r="AK578" s="194"/>
      <c r="AL578" s="194"/>
      <c r="AM578" s="194"/>
    </row>
    <row r="579" spans="1:39" ht="15.75" customHeight="1" x14ac:dyDescent="0.25">
      <c r="A579" s="194"/>
      <c r="B579" s="194"/>
      <c r="C579" s="194"/>
      <c r="D579" s="194"/>
      <c r="E579" s="194"/>
      <c r="F579" s="194"/>
      <c r="G579" s="194"/>
      <c r="H579" s="194"/>
      <c r="I579" s="194"/>
      <c r="J579" s="194"/>
      <c r="K579" s="194"/>
      <c r="L579" s="194"/>
      <c r="M579" s="194"/>
      <c r="N579" s="194"/>
      <c r="O579" s="194"/>
      <c r="P579" s="194"/>
      <c r="Q579" s="194"/>
      <c r="R579" s="194"/>
      <c r="S579" s="194"/>
      <c r="T579" s="194"/>
      <c r="U579" s="194"/>
      <c r="V579" s="194"/>
      <c r="W579" s="194"/>
      <c r="X579" s="194"/>
      <c r="Y579" s="194"/>
      <c r="Z579" s="194"/>
      <c r="AA579" s="194"/>
      <c r="AB579" s="194"/>
      <c r="AC579" s="194"/>
      <c r="AD579" s="194"/>
      <c r="AE579" s="194"/>
      <c r="AF579" s="194"/>
      <c r="AG579" s="194"/>
      <c r="AH579" s="194"/>
      <c r="AI579" s="194"/>
      <c r="AJ579" s="194"/>
      <c r="AK579" s="194"/>
      <c r="AL579" s="194"/>
      <c r="AM579" s="194"/>
    </row>
    <row r="580" spans="1:39" ht="15.75" customHeight="1" x14ac:dyDescent="0.25">
      <c r="A580" s="194"/>
      <c r="B580" s="194"/>
      <c r="C580" s="194"/>
      <c r="D580" s="194"/>
      <c r="E580" s="194"/>
      <c r="F580" s="194"/>
      <c r="G580" s="194"/>
      <c r="H580" s="194"/>
      <c r="I580" s="194"/>
      <c r="J580" s="194"/>
      <c r="K580" s="194"/>
      <c r="L580" s="194"/>
      <c r="M580" s="194"/>
      <c r="N580" s="194"/>
      <c r="O580" s="194"/>
      <c r="P580" s="194"/>
      <c r="Q580" s="194"/>
      <c r="R580" s="194"/>
      <c r="S580" s="194"/>
      <c r="T580" s="194"/>
      <c r="U580" s="194"/>
      <c r="V580" s="194"/>
      <c r="W580" s="194"/>
      <c r="X580" s="194"/>
      <c r="Y580" s="194"/>
      <c r="Z580" s="194"/>
      <c r="AA580" s="194"/>
      <c r="AB580" s="194"/>
      <c r="AC580" s="194"/>
      <c r="AD580" s="194"/>
      <c r="AE580" s="194"/>
      <c r="AF580" s="194"/>
      <c r="AG580" s="194"/>
      <c r="AH580" s="194"/>
      <c r="AI580" s="194"/>
      <c r="AJ580" s="194"/>
      <c r="AK580" s="194"/>
      <c r="AL580" s="194"/>
      <c r="AM580" s="194"/>
    </row>
    <row r="581" spans="1:39" ht="15.75" customHeight="1" x14ac:dyDescent="0.25">
      <c r="A581" s="194"/>
      <c r="B581" s="194"/>
      <c r="C581" s="194"/>
      <c r="D581" s="194"/>
      <c r="E581" s="194"/>
      <c r="F581" s="194"/>
      <c r="G581" s="194"/>
      <c r="H581" s="194"/>
      <c r="I581" s="194"/>
      <c r="J581" s="194"/>
      <c r="K581" s="194"/>
      <c r="L581" s="194"/>
      <c r="M581" s="194"/>
      <c r="N581" s="194"/>
      <c r="O581" s="194"/>
      <c r="P581" s="194"/>
      <c r="Q581" s="194"/>
      <c r="R581" s="194"/>
      <c r="S581" s="194"/>
      <c r="T581" s="194"/>
      <c r="U581" s="194"/>
      <c r="V581" s="194"/>
      <c r="W581" s="194"/>
      <c r="X581" s="194"/>
      <c r="Y581" s="194"/>
      <c r="Z581" s="194"/>
      <c r="AA581" s="194"/>
      <c r="AB581" s="194"/>
      <c r="AC581" s="194"/>
      <c r="AD581" s="194"/>
      <c r="AE581" s="194"/>
      <c r="AF581" s="194"/>
      <c r="AG581" s="194"/>
      <c r="AH581" s="194"/>
      <c r="AI581" s="194"/>
      <c r="AJ581" s="194"/>
      <c r="AK581" s="194"/>
      <c r="AL581" s="194"/>
      <c r="AM581" s="194"/>
    </row>
    <row r="582" spans="1:39" ht="15.75" customHeight="1" x14ac:dyDescent="0.25">
      <c r="A582" s="194"/>
      <c r="B582" s="194"/>
      <c r="C582" s="194"/>
      <c r="D582" s="194"/>
      <c r="E582" s="194"/>
      <c r="F582" s="194"/>
      <c r="G582" s="194"/>
      <c r="H582" s="194"/>
      <c r="I582" s="194"/>
      <c r="J582" s="194"/>
      <c r="K582" s="194"/>
      <c r="L582" s="194"/>
      <c r="M582" s="194"/>
      <c r="N582" s="194"/>
      <c r="O582" s="194"/>
      <c r="P582" s="194"/>
      <c r="Q582" s="194"/>
      <c r="R582" s="194"/>
      <c r="S582" s="194"/>
      <c r="T582" s="194"/>
      <c r="U582" s="194"/>
      <c r="V582" s="194"/>
      <c r="W582" s="194"/>
      <c r="X582" s="194"/>
      <c r="Y582" s="194"/>
      <c r="Z582" s="194"/>
      <c r="AA582" s="194"/>
      <c r="AB582" s="194"/>
      <c r="AC582" s="194"/>
      <c r="AD582" s="194"/>
      <c r="AE582" s="194"/>
      <c r="AF582" s="194"/>
      <c r="AG582" s="194"/>
      <c r="AH582" s="194"/>
      <c r="AI582" s="194"/>
      <c r="AJ582" s="194"/>
      <c r="AK582" s="194"/>
      <c r="AL582" s="194"/>
      <c r="AM582" s="194"/>
    </row>
    <row r="583" spans="1:39" ht="15.75" customHeight="1" x14ac:dyDescent="0.25">
      <c r="A583" s="194"/>
      <c r="B583" s="194"/>
      <c r="C583" s="194"/>
      <c r="D583" s="194"/>
      <c r="E583" s="194"/>
      <c r="F583" s="194"/>
      <c r="G583" s="194"/>
      <c r="H583" s="194"/>
      <c r="I583" s="194"/>
      <c r="J583" s="194"/>
      <c r="K583" s="194"/>
      <c r="L583" s="194"/>
      <c r="M583" s="194"/>
      <c r="N583" s="194"/>
      <c r="O583" s="194"/>
      <c r="P583" s="194"/>
      <c r="Q583" s="194"/>
      <c r="R583" s="194"/>
      <c r="S583" s="194"/>
      <c r="T583" s="194"/>
      <c r="U583" s="194"/>
      <c r="V583" s="194"/>
      <c r="W583" s="194"/>
      <c r="X583" s="194"/>
      <c r="Y583" s="194"/>
      <c r="Z583" s="194"/>
      <c r="AA583" s="194"/>
      <c r="AB583" s="194"/>
      <c r="AC583" s="194"/>
      <c r="AD583" s="194"/>
      <c r="AE583" s="194"/>
      <c r="AF583" s="194"/>
      <c r="AG583" s="194"/>
      <c r="AH583" s="194"/>
      <c r="AI583" s="194"/>
      <c r="AJ583" s="194"/>
      <c r="AK583" s="194"/>
      <c r="AL583" s="194"/>
      <c r="AM583" s="194"/>
    </row>
    <row r="584" spans="1:39" ht="15.75" customHeight="1" x14ac:dyDescent="0.25">
      <c r="A584" s="194"/>
      <c r="B584" s="194"/>
      <c r="C584" s="194"/>
      <c r="D584" s="194"/>
      <c r="E584" s="194"/>
      <c r="F584" s="194"/>
      <c r="G584" s="194"/>
      <c r="H584" s="194"/>
      <c r="I584" s="194"/>
      <c r="J584" s="194"/>
      <c r="K584" s="194"/>
      <c r="L584" s="194"/>
      <c r="M584" s="194"/>
      <c r="N584" s="194"/>
      <c r="O584" s="194"/>
      <c r="P584" s="194"/>
      <c r="Q584" s="194"/>
      <c r="R584" s="194"/>
      <c r="S584" s="194"/>
      <c r="T584" s="194"/>
      <c r="U584" s="194"/>
      <c r="V584" s="194"/>
      <c r="W584" s="194"/>
      <c r="X584" s="194"/>
      <c r="Y584" s="194"/>
      <c r="Z584" s="194"/>
      <c r="AA584" s="194"/>
      <c r="AB584" s="194"/>
      <c r="AC584" s="194"/>
      <c r="AD584" s="194"/>
      <c r="AE584" s="194"/>
      <c r="AF584" s="194"/>
      <c r="AG584" s="194"/>
      <c r="AH584" s="194"/>
      <c r="AI584" s="194"/>
      <c r="AJ584" s="194"/>
      <c r="AK584" s="194"/>
      <c r="AL584" s="194"/>
      <c r="AM584" s="194"/>
    </row>
    <row r="585" spans="1:39" ht="15.75" customHeight="1" x14ac:dyDescent="0.25">
      <c r="A585" s="194"/>
      <c r="B585" s="194"/>
      <c r="C585" s="194"/>
      <c r="D585" s="194"/>
      <c r="E585" s="194"/>
      <c r="F585" s="194"/>
      <c r="G585" s="194"/>
      <c r="H585" s="194"/>
      <c r="I585" s="194"/>
      <c r="J585" s="194"/>
      <c r="K585" s="194"/>
      <c r="L585" s="194"/>
      <c r="M585" s="194"/>
      <c r="N585" s="194"/>
      <c r="O585" s="194"/>
      <c r="P585" s="194"/>
      <c r="Q585" s="194"/>
      <c r="R585" s="194"/>
      <c r="S585" s="194"/>
      <c r="T585" s="194"/>
      <c r="U585" s="194"/>
      <c r="V585" s="194"/>
      <c r="W585" s="194"/>
      <c r="X585" s="194"/>
      <c r="Y585" s="194"/>
      <c r="Z585" s="194"/>
      <c r="AA585" s="194"/>
      <c r="AB585" s="194"/>
      <c r="AC585" s="194"/>
      <c r="AD585" s="194"/>
      <c r="AE585" s="194"/>
      <c r="AF585" s="194"/>
      <c r="AG585" s="194"/>
      <c r="AH585" s="194"/>
      <c r="AI585" s="194"/>
      <c r="AJ585" s="194"/>
      <c r="AK585" s="194"/>
      <c r="AL585" s="194"/>
      <c r="AM585" s="194"/>
    </row>
    <row r="586" spans="1:39" ht="15.75" customHeight="1" x14ac:dyDescent="0.25">
      <c r="A586" s="194"/>
      <c r="B586" s="194"/>
      <c r="C586" s="194"/>
      <c r="D586" s="194"/>
      <c r="E586" s="194"/>
      <c r="F586" s="194"/>
      <c r="G586" s="194"/>
      <c r="H586" s="194"/>
      <c r="I586" s="194"/>
      <c r="J586" s="194"/>
      <c r="K586" s="194"/>
      <c r="L586" s="194"/>
      <c r="M586" s="194"/>
      <c r="N586" s="194"/>
      <c r="O586" s="194"/>
      <c r="P586" s="194"/>
      <c r="Q586" s="194"/>
      <c r="R586" s="194"/>
      <c r="S586" s="194"/>
      <c r="T586" s="194"/>
      <c r="U586" s="194"/>
      <c r="V586" s="194"/>
      <c r="W586" s="194"/>
      <c r="X586" s="194"/>
      <c r="Y586" s="194"/>
      <c r="Z586" s="194"/>
      <c r="AA586" s="194"/>
      <c r="AB586" s="194"/>
      <c r="AC586" s="194"/>
      <c r="AD586" s="194"/>
      <c r="AE586" s="194"/>
      <c r="AF586" s="194"/>
      <c r="AG586" s="194"/>
      <c r="AH586" s="194"/>
      <c r="AI586" s="194"/>
      <c r="AJ586" s="194"/>
      <c r="AK586" s="194"/>
      <c r="AL586" s="194"/>
      <c r="AM586" s="194"/>
    </row>
    <row r="587" spans="1:39" ht="15.75" customHeight="1" x14ac:dyDescent="0.25">
      <c r="A587" s="194"/>
      <c r="B587" s="194"/>
      <c r="C587" s="194"/>
      <c r="D587" s="194"/>
      <c r="E587" s="194"/>
      <c r="F587" s="194"/>
      <c r="G587" s="194"/>
      <c r="H587" s="194"/>
      <c r="I587" s="194"/>
      <c r="J587" s="194"/>
      <c r="K587" s="194"/>
      <c r="L587" s="194"/>
      <c r="M587" s="194"/>
      <c r="N587" s="194"/>
      <c r="O587" s="194"/>
      <c r="P587" s="194"/>
      <c r="Q587" s="194"/>
      <c r="R587" s="194"/>
      <c r="S587" s="194"/>
      <c r="T587" s="194"/>
      <c r="U587" s="194"/>
      <c r="V587" s="194"/>
      <c r="W587" s="194"/>
      <c r="X587" s="194"/>
      <c r="Y587" s="194"/>
      <c r="Z587" s="194"/>
      <c r="AA587" s="194"/>
      <c r="AB587" s="194"/>
      <c r="AC587" s="194"/>
      <c r="AD587" s="194"/>
      <c r="AE587" s="194"/>
      <c r="AF587" s="194"/>
      <c r="AG587" s="194"/>
      <c r="AH587" s="194"/>
      <c r="AI587" s="194"/>
      <c r="AJ587" s="194"/>
      <c r="AK587" s="194"/>
      <c r="AL587" s="194"/>
      <c r="AM587" s="194"/>
    </row>
    <row r="588" spans="1:39" ht="15.75" customHeight="1" x14ac:dyDescent="0.25">
      <c r="A588" s="194"/>
      <c r="B588" s="194"/>
      <c r="C588" s="194"/>
      <c r="D588" s="194"/>
      <c r="E588" s="194"/>
      <c r="F588" s="194"/>
      <c r="G588" s="194"/>
      <c r="H588" s="194"/>
      <c r="I588" s="194"/>
      <c r="J588" s="194"/>
      <c r="K588" s="194"/>
      <c r="L588" s="194"/>
      <c r="M588" s="194"/>
      <c r="N588" s="194"/>
      <c r="O588" s="194"/>
      <c r="P588" s="194"/>
      <c r="Q588" s="194"/>
      <c r="R588" s="194"/>
      <c r="S588" s="194"/>
      <c r="T588" s="194"/>
      <c r="U588" s="194"/>
      <c r="V588" s="194"/>
      <c r="W588" s="194"/>
      <c r="X588" s="194"/>
      <c r="Y588" s="194"/>
      <c r="Z588" s="194"/>
      <c r="AA588" s="194"/>
      <c r="AB588" s="194"/>
      <c r="AC588" s="194"/>
      <c r="AD588" s="194"/>
      <c r="AE588" s="194"/>
      <c r="AF588" s="194"/>
      <c r="AG588" s="194"/>
      <c r="AH588" s="194"/>
      <c r="AI588" s="194"/>
      <c r="AJ588" s="194"/>
      <c r="AK588" s="194"/>
      <c r="AL588" s="194"/>
      <c r="AM588" s="194"/>
    </row>
    <row r="589" spans="1:39" ht="15.75" customHeight="1" x14ac:dyDescent="0.25">
      <c r="A589" s="194"/>
      <c r="B589" s="194"/>
      <c r="C589" s="194"/>
      <c r="D589" s="194"/>
      <c r="E589" s="194"/>
      <c r="F589" s="194"/>
      <c r="G589" s="194"/>
      <c r="H589" s="194"/>
      <c r="I589" s="194"/>
      <c r="J589" s="194"/>
      <c r="K589" s="194"/>
      <c r="L589" s="194"/>
      <c r="M589" s="194"/>
      <c r="N589" s="194"/>
      <c r="O589" s="194"/>
      <c r="P589" s="194"/>
      <c r="Q589" s="194"/>
      <c r="R589" s="194"/>
      <c r="S589" s="194"/>
      <c r="T589" s="194"/>
      <c r="U589" s="194"/>
      <c r="V589" s="194"/>
      <c r="W589" s="194"/>
      <c r="X589" s="194"/>
      <c r="Y589" s="194"/>
      <c r="Z589" s="194"/>
      <c r="AA589" s="194"/>
      <c r="AB589" s="194"/>
      <c r="AC589" s="194"/>
      <c r="AD589" s="194"/>
      <c r="AE589" s="194"/>
      <c r="AF589" s="194"/>
      <c r="AG589" s="194"/>
      <c r="AH589" s="194"/>
      <c r="AI589" s="194"/>
      <c r="AJ589" s="194"/>
      <c r="AK589" s="194"/>
      <c r="AL589" s="194"/>
      <c r="AM589" s="194"/>
    </row>
    <row r="590" spans="1:39" ht="15.75" customHeight="1" x14ac:dyDescent="0.25">
      <c r="A590" s="194"/>
      <c r="B590" s="194"/>
      <c r="C590" s="194"/>
      <c r="D590" s="194"/>
      <c r="E590" s="194"/>
      <c r="F590" s="194"/>
      <c r="G590" s="194"/>
      <c r="H590" s="194"/>
      <c r="I590" s="194"/>
      <c r="J590" s="194"/>
      <c r="K590" s="194"/>
      <c r="L590" s="194"/>
      <c r="M590" s="194"/>
      <c r="N590" s="194"/>
      <c r="O590" s="194"/>
      <c r="P590" s="194"/>
      <c r="Q590" s="194"/>
      <c r="R590" s="194"/>
      <c r="S590" s="194"/>
      <c r="T590" s="194"/>
      <c r="U590" s="194"/>
      <c r="V590" s="194"/>
      <c r="W590" s="194"/>
      <c r="X590" s="194"/>
      <c r="Y590" s="194"/>
      <c r="Z590" s="194"/>
      <c r="AA590" s="194"/>
      <c r="AB590" s="194"/>
      <c r="AC590" s="194"/>
      <c r="AD590" s="194"/>
      <c r="AE590" s="194"/>
      <c r="AF590" s="194"/>
      <c r="AG590" s="194"/>
      <c r="AH590" s="194"/>
      <c r="AI590" s="194"/>
      <c r="AJ590" s="194"/>
      <c r="AK590" s="194"/>
      <c r="AL590" s="194"/>
      <c r="AM590" s="194"/>
    </row>
    <row r="591" spans="1:39" ht="15.75" customHeight="1" x14ac:dyDescent="0.25">
      <c r="A591" s="194"/>
      <c r="B591" s="194"/>
      <c r="C591" s="194"/>
      <c r="D591" s="194"/>
      <c r="E591" s="194"/>
      <c r="F591" s="194"/>
      <c r="G591" s="194"/>
      <c r="H591" s="194"/>
      <c r="I591" s="194"/>
      <c r="J591" s="194"/>
      <c r="K591" s="194"/>
      <c r="L591" s="194"/>
      <c r="M591" s="194"/>
      <c r="N591" s="194"/>
      <c r="O591" s="194"/>
      <c r="P591" s="194"/>
      <c r="Q591" s="194"/>
      <c r="R591" s="194"/>
      <c r="S591" s="194"/>
      <c r="T591" s="194"/>
      <c r="U591" s="194"/>
      <c r="V591" s="194"/>
      <c r="W591" s="194"/>
      <c r="X591" s="194"/>
      <c r="Y591" s="194"/>
      <c r="Z591" s="194"/>
      <c r="AA591" s="194"/>
      <c r="AB591" s="194"/>
      <c r="AC591" s="194"/>
      <c r="AD591" s="194"/>
      <c r="AE591" s="194"/>
      <c r="AF591" s="194"/>
      <c r="AG591" s="194"/>
      <c r="AH591" s="194"/>
      <c r="AI591" s="194"/>
      <c r="AJ591" s="194"/>
      <c r="AK591" s="194"/>
      <c r="AL591" s="194"/>
      <c r="AM591" s="194"/>
    </row>
    <row r="592" spans="1:39" ht="15.75" customHeight="1" x14ac:dyDescent="0.25">
      <c r="A592" s="194"/>
      <c r="B592" s="194"/>
      <c r="C592" s="194"/>
      <c r="D592" s="194"/>
      <c r="E592" s="194"/>
      <c r="F592" s="194"/>
      <c r="G592" s="194"/>
      <c r="H592" s="194"/>
      <c r="I592" s="194"/>
      <c r="J592" s="194"/>
      <c r="K592" s="194"/>
      <c r="L592" s="194"/>
      <c r="M592" s="194"/>
      <c r="N592" s="194"/>
      <c r="O592" s="194"/>
      <c r="P592" s="194"/>
      <c r="Q592" s="194"/>
      <c r="R592" s="194"/>
      <c r="S592" s="194"/>
      <c r="T592" s="194"/>
      <c r="U592" s="194"/>
      <c r="V592" s="194"/>
      <c r="W592" s="194"/>
      <c r="X592" s="194"/>
      <c r="Y592" s="194"/>
      <c r="Z592" s="194"/>
      <c r="AA592" s="194"/>
      <c r="AB592" s="194"/>
      <c r="AC592" s="194"/>
      <c r="AD592" s="194"/>
      <c r="AE592" s="194"/>
      <c r="AF592" s="194"/>
      <c r="AG592" s="194"/>
      <c r="AH592" s="194"/>
      <c r="AI592" s="194"/>
      <c r="AJ592" s="194"/>
      <c r="AK592" s="194"/>
      <c r="AL592" s="194"/>
      <c r="AM592" s="194"/>
    </row>
    <row r="593" spans="1:39" ht="15.75" customHeight="1" x14ac:dyDescent="0.25">
      <c r="A593" s="194"/>
      <c r="B593" s="194"/>
      <c r="C593" s="194"/>
      <c r="D593" s="194"/>
      <c r="E593" s="194"/>
      <c r="F593" s="194"/>
      <c r="G593" s="194"/>
      <c r="H593" s="194"/>
      <c r="I593" s="194"/>
      <c r="J593" s="194"/>
      <c r="K593" s="194"/>
      <c r="L593" s="194"/>
      <c r="M593" s="194"/>
      <c r="N593" s="194"/>
      <c r="O593" s="194"/>
      <c r="P593" s="194"/>
      <c r="Q593" s="194"/>
      <c r="R593" s="194"/>
      <c r="S593" s="194"/>
      <c r="T593" s="194"/>
      <c r="U593" s="194"/>
      <c r="V593" s="194"/>
      <c r="W593" s="194"/>
      <c r="X593" s="194"/>
      <c r="Y593" s="194"/>
      <c r="Z593" s="194"/>
      <c r="AA593" s="194"/>
      <c r="AB593" s="194"/>
      <c r="AC593" s="194"/>
      <c r="AD593" s="194"/>
      <c r="AE593" s="194"/>
      <c r="AF593" s="194"/>
      <c r="AG593" s="194"/>
      <c r="AH593" s="194"/>
      <c r="AI593" s="194"/>
      <c r="AJ593" s="194"/>
      <c r="AK593" s="194"/>
      <c r="AL593" s="194"/>
      <c r="AM593" s="194"/>
    </row>
    <row r="594" spans="1:39" ht="15.75" customHeight="1" x14ac:dyDescent="0.25">
      <c r="A594" s="194"/>
      <c r="B594" s="194"/>
      <c r="C594" s="194"/>
      <c r="D594" s="194"/>
      <c r="E594" s="194"/>
      <c r="F594" s="194"/>
      <c r="G594" s="194"/>
      <c r="H594" s="194"/>
      <c r="I594" s="194"/>
      <c r="J594" s="194"/>
      <c r="K594" s="194"/>
      <c r="L594" s="194"/>
      <c r="M594" s="194"/>
      <c r="N594" s="194"/>
      <c r="O594" s="194"/>
      <c r="P594" s="194"/>
      <c r="Q594" s="194"/>
      <c r="R594" s="194"/>
      <c r="S594" s="194"/>
      <c r="T594" s="194"/>
      <c r="U594" s="194"/>
      <c r="V594" s="194"/>
      <c r="W594" s="194"/>
      <c r="X594" s="194"/>
      <c r="Y594" s="194"/>
      <c r="Z594" s="194"/>
      <c r="AA594" s="194"/>
      <c r="AB594" s="194"/>
      <c r="AC594" s="194"/>
      <c r="AD594" s="194"/>
      <c r="AE594" s="194"/>
      <c r="AF594" s="194"/>
      <c r="AG594" s="194"/>
      <c r="AH594" s="194"/>
      <c r="AI594" s="194"/>
      <c r="AJ594" s="194"/>
      <c r="AK594" s="194"/>
      <c r="AL594" s="194"/>
      <c r="AM594" s="194"/>
    </row>
    <row r="595" spans="1:39" ht="15.75" customHeight="1" x14ac:dyDescent="0.25">
      <c r="A595" s="194"/>
      <c r="B595" s="194"/>
      <c r="C595" s="194"/>
      <c r="D595" s="194"/>
      <c r="E595" s="194"/>
      <c r="F595" s="194"/>
      <c r="G595" s="194"/>
      <c r="H595" s="194"/>
      <c r="I595" s="194"/>
      <c r="J595" s="194"/>
      <c r="K595" s="194"/>
      <c r="L595" s="194"/>
      <c r="M595" s="194"/>
      <c r="N595" s="194"/>
      <c r="O595" s="194"/>
      <c r="P595" s="194"/>
      <c r="Q595" s="194"/>
      <c r="R595" s="194"/>
      <c r="S595" s="194"/>
      <c r="T595" s="194"/>
      <c r="U595" s="194"/>
      <c r="V595" s="194"/>
      <c r="W595" s="194"/>
      <c r="X595" s="194"/>
      <c r="Y595" s="194"/>
      <c r="Z595" s="194"/>
      <c r="AA595" s="194"/>
      <c r="AB595" s="194"/>
      <c r="AC595" s="194"/>
      <c r="AD595" s="194"/>
      <c r="AE595" s="194"/>
      <c r="AF595" s="194"/>
      <c r="AG595" s="194"/>
      <c r="AH595" s="194"/>
      <c r="AI595" s="194"/>
      <c r="AJ595" s="194"/>
      <c r="AK595" s="194"/>
      <c r="AL595" s="194"/>
      <c r="AM595" s="194"/>
    </row>
    <row r="596" spans="1:39" ht="15.75" customHeight="1" x14ac:dyDescent="0.25">
      <c r="A596" s="194"/>
      <c r="B596" s="194"/>
      <c r="C596" s="194"/>
      <c r="D596" s="194"/>
      <c r="E596" s="194"/>
      <c r="F596" s="194"/>
      <c r="G596" s="194"/>
      <c r="H596" s="194"/>
      <c r="I596" s="194"/>
      <c r="J596" s="194"/>
      <c r="K596" s="194"/>
      <c r="L596" s="194"/>
      <c r="M596" s="194"/>
      <c r="N596" s="194"/>
      <c r="O596" s="194"/>
      <c r="P596" s="194"/>
      <c r="Q596" s="194"/>
      <c r="R596" s="194"/>
      <c r="S596" s="194"/>
      <c r="T596" s="194"/>
      <c r="U596" s="194"/>
      <c r="V596" s="194"/>
      <c r="W596" s="194"/>
      <c r="X596" s="194"/>
      <c r="Y596" s="194"/>
      <c r="Z596" s="194"/>
      <c r="AA596" s="194"/>
      <c r="AB596" s="194"/>
      <c r="AC596" s="194"/>
      <c r="AD596" s="194"/>
      <c r="AE596" s="194"/>
      <c r="AF596" s="194"/>
      <c r="AG596" s="194"/>
      <c r="AH596" s="194"/>
      <c r="AI596" s="194"/>
      <c r="AJ596" s="194"/>
      <c r="AK596" s="194"/>
      <c r="AL596" s="194"/>
      <c r="AM596" s="194"/>
    </row>
    <row r="597" spans="1:39" ht="15.75" customHeight="1" x14ac:dyDescent="0.25">
      <c r="A597" s="194"/>
      <c r="B597" s="194"/>
      <c r="C597" s="194"/>
      <c r="D597" s="194"/>
      <c r="E597" s="194"/>
      <c r="F597" s="194"/>
      <c r="G597" s="194"/>
      <c r="H597" s="194"/>
      <c r="I597" s="194"/>
      <c r="J597" s="194"/>
      <c r="K597" s="194"/>
      <c r="L597" s="194"/>
      <c r="M597" s="194"/>
      <c r="N597" s="194"/>
      <c r="O597" s="194"/>
      <c r="P597" s="194"/>
      <c r="Q597" s="194"/>
      <c r="R597" s="194"/>
      <c r="S597" s="194"/>
      <c r="T597" s="194"/>
      <c r="U597" s="194"/>
      <c r="V597" s="194"/>
      <c r="W597" s="194"/>
      <c r="X597" s="194"/>
      <c r="Y597" s="194"/>
      <c r="Z597" s="194"/>
      <c r="AA597" s="194"/>
      <c r="AB597" s="194"/>
      <c r="AC597" s="194"/>
      <c r="AD597" s="194"/>
      <c r="AE597" s="194"/>
      <c r="AF597" s="194"/>
      <c r="AG597" s="194"/>
      <c r="AH597" s="194"/>
      <c r="AI597" s="194"/>
      <c r="AJ597" s="194"/>
      <c r="AK597" s="194"/>
      <c r="AL597" s="194"/>
      <c r="AM597" s="194"/>
    </row>
    <row r="598" spans="1:39" ht="15.75" customHeight="1" x14ac:dyDescent="0.25">
      <c r="A598" s="194"/>
      <c r="B598" s="194"/>
      <c r="C598" s="194"/>
      <c r="D598" s="194"/>
      <c r="E598" s="194"/>
      <c r="F598" s="194"/>
      <c r="G598" s="194"/>
      <c r="H598" s="194"/>
      <c r="I598" s="194"/>
      <c r="J598" s="194"/>
      <c r="K598" s="194"/>
      <c r="L598" s="194"/>
      <c r="M598" s="194"/>
      <c r="N598" s="194"/>
      <c r="O598" s="194"/>
      <c r="P598" s="194"/>
      <c r="Q598" s="194"/>
      <c r="R598" s="194"/>
      <c r="S598" s="194"/>
      <c r="T598" s="194"/>
      <c r="U598" s="194"/>
      <c r="V598" s="194"/>
      <c r="W598" s="194"/>
      <c r="X598" s="194"/>
      <c r="Y598" s="194"/>
      <c r="Z598" s="194"/>
      <c r="AA598" s="194"/>
      <c r="AB598" s="194"/>
      <c r="AC598" s="194"/>
      <c r="AD598" s="194"/>
      <c r="AE598" s="194"/>
      <c r="AF598" s="194"/>
      <c r="AG598" s="194"/>
      <c r="AH598" s="194"/>
      <c r="AI598" s="194"/>
      <c r="AJ598" s="194"/>
      <c r="AK598" s="194"/>
      <c r="AL598" s="194"/>
      <c r="AM598" s="194"/>
    </row>
    <row r="599" spans="1:39" ht="15.75" customHeight="1" x14ac:dyDescent="0.25">
      <c r="A599" s="194"/>
      <c r="B599" s="194"/>
      <c r="C599" s="194"/>
      <c r="D599" s="194"/>
      <c r="E599" s="194"/>
      <c r="F599" s="194"/>
      <c r="G599" s="194"/>
      <c r="H599" s="194"/>
      <c r="I599" s="194"/>
      <c r="J599" s="194"/>
      <c r="K599" s="194"/>
      <c r="L599" s="194"/>
      <c r="M599" s="194"/>
      <c r="N599" s="194"/>
      <c r="O599" s="194"/>
      <c r="P599" s="194"/>
      <c r="Q599" s="194"/>
      <c r="R599" s="194"/>
      <c r="S599" s="194"/>
      <c r="T599" s="194"/>
      <c r="U599" s="194"/>
      <c r="V599" s="194"/>
      <c r="W599" s="194"/>
      <c r="X599" s="194"/>
      <c r="Y599" s="194"/>
      <c r="Z599" s="194"/>
      <c r="AA599" s="194"/>
      <c r="AB599" s="194"/>
      <c r="AC599" s="194"/>
      <c r="AD599" s="194"/>
      <c r="AE599" s="194"/>
      <c r="AF599" s="194"/>
      <c r="AG599" s="194"/>
      <c r="AH599" s="194"/>
      <c r="AI599" s="194"/>
      <c r="AJ599" s="194"/>
      <c r="AK599" s="194"/>
      <c r="AL599" s="194"/>
      <c r="AM599" s="194"/>
    </row>
    <row r="600" spans="1:39" ht="15.75" customHeight="1" x14ac:dyDescent="0.25">
      <c r="A600" s="194"/>
      <c r="B600" s="194"/>
      <c r="C600" s="194"/>
      <c r="D600" s="194"/>
      <c r="E600" s="194"/>
      <c r="F600" s="194"/>
      <c r="G600" s="194"/>
      <c r="H600" s="194"/>
      <c r="I600" s="194"/>
      <c r="J600" s="194"/>
      <c r="K600" s="194"/>
      <c r="L600" s="194"/>
      <c r="M600" s="194"/>
      <c r="N600" s="194"/>
      <c r="O600" s="194"/>
      <c r="P600" s="194"/>
      <c r="Q600" s="194"/>
      <c r="R600" s="194"/>
      <c r="S600" s="194"/>
      <c r="T600" s="194"/>
      <c r="U600" s="194"/>
      <c r="V600" s="194"/>
      <c r="W600" s="194"/>
      <c r="X600" s="194"/>
      <c r="Y600" s="194"/>
      <c r="Z600" s="194"/>
      <c r="AA600" s="194"/>
      <c r="AB600" s="194"/>
      <c r="AC600" s="194"/>
      <c r="AD600" s="194"/>
      <c r="AE600" s="194"/>
      <c r="AF600" s="194"/>
      <c r="AG600" s="194"/>
      <c r="AH600" s="194"/>
      <c r="AI600" s="194"/>
      <c r="AJ600" s="194"/>
      <c r="AK600" s="194"/>
      <c r="AL600" s="194"/>
      <c r="AM600" s="194"/>
    </row>
    <row r="601" spans="1:39" ht="15.75" customHeight="1" x14ac:dyDescent="0.25">
      <c r="A601" s="194"/>
      <c r="B601" s="194"/>
      <c r="C601" s="194"/>
      <c r="D601" s="194"/>
      <c r="E601" s="194"/>
      <c r="F601" s="194"/>
      <c r="G601" s="194"/>
      <c r="H601" s="194"/>
      <c r="I601" s="194"/>
      <c r="J601" s="194"/>
      <c r="K601" s="194"/>
      <c r="L601" s="194"/>
      <c r="M601" s="194"/>
      <c r="N601" s="194"/>
      <c r="O601" s="194"/>
      <c r="P601" s="194"/>
      <c r="Q601" s="194"/>
      <c r="R601" s="194"/>
      <c r="S601" s="194"/>
      <c r="T601" s="194"/>
      <c r="U601" s="194"/>
      <c r="V601" s="194"/>
      <c r="W601" s="194"/>
      <c r="X601" s="194"/>
      <c r="Y601" s="194"/>
      <c r="Z601" s="194"/>
      <c r="AA601" s="194"/>
      <c r="AB601" s="194"/>
      <c r="AC601" s="194"/>
      <c r="AD601" s="194"/>
      <c r="AE601" s="194"/>
      <c r="AF601" s="194"/>
      <c r="AG601" s="194"/>
      <c r="AH601" s="194"/>
      <c r="AI601" s="194"/>
      <c r="AJ601" s="194"/>
      <c r="AK601" s="194"/>
      <c r="AL601" s="194"/>
      <c r="AM601" s="194"/>
    </row>
    <row r="602" spans="1:39" ht="15.75" customHeight="1" x14ac:dyDescent="0.25">
      <c r="A602" s="194"/>
      <c r="B602" s="194"/>
      <c r="C602" s="194"/>
      <c r="D602" s="194"/>
      <c r="E602" s="194"/>
      <c r="F602" s="194"/>
      <c r="G602" s="194"/>
      <c r="H602" s="194"/>
      <c r="I602" s="194"/>
      <c r="J602" s="194"/>
      <c r="K602" s="194"/>
      <c r="L602" s="194"/>
      <c r="M602" s="194"/>
      <c r="N602" s="194"/>
      <c r="O602" s="194"/>
      <c r="P602" s="194"/>
      <c r="Q602" s="194"/>
      <c r="R602" s="194"/>
      <c r="S602" s="194"/>
      <c r="T602" s="194"/>
      <c r="U602" s="194"/>
      <c r="V602" s="194"/>
      <c r="W602" s="194"/>
      <c r="X602" s="194"/>
      <c r="Y602" s="194"/>
      <c r="Z602" s="194"/>
      <c r="AA602" s="194"/>
      <c r="AB602" s="194"/>
      <c r="AC602" s="194"/>
      <c r="AD602" s="194"/>
      <c r="AE602" s="194"/>
      <c r="AF602" s="194"/>
      <c r="AG602" s="194"/>
      <c r="AH602" s="194"/>
      <c r="AI602" s="194"/>
      <c r="AJ602" s="194"/>
      <c r="AK602" s="194"/>
      <c r="AL602" s="194"/>
      <c r="AM602" s="194"/>
    </row>
    <row r="603" spans="1:39" ht="15.75" customHeight="1" x14ac:dyDescent="0.25">
      <c r="A603" s="194"/>
      <c r="B603" s="194"/>
      <c r="C603" s="194"/>
      <c r="D603" s="194"/>
      <c r="E603" s="194"/>
      <c r="F603" s="194"/>
      <c r="G603" s="194"/>
      <c r="H603" s="194"/>
      <c r="I603" s="194"/>
      <c r="J603" s="194"/>
      <c r="K603" s="194"/>
      <c r="L603" s="194"/>
      <c r="M603" s="194"/>
      <c r="N603" s="194"/>
      <c r="O603" s="194"/>
      <c r="P603" s="194"/>
      <c r="Q603" s="194"/>
      <c r="R603" s="194"/>
      <c r="S603" s="194"/>
      <c r="T603" s="194"/>
      <c r="U603" s="194"/>
      <c r="V603" s="194"/>
      <c r="W603" s="194"/>
      <c r="X603" s="194"/>
      <c r="Y603" s="194"/>
      <c r="Z603" s="194"/>
      <c r="AA603" s="194"/>
      <c r="AB603" s="194"/>
      <c r="AC603" s="194"/>
      <c r="AD603" s="194"/>
      <c r="AE603" s="194"/>
      <c r="AF603" s="194"/>
      <c r="AG603" s="194"/>
      <c r="AH603" s="194"/>
      <c r="AI603" s="194"/>
      <c r="AJ603" s="194"/>
      <c r="AK603" s="194"/>
      <c r="AL603" s="194"/>
      <c r="AM603" s="194"/>
    </row>
    <row r="604" spans="1:39" ht="15.75" customHeight="1" x14ac:dyDescent="0.25">
      <c r="A604" s="194"/>
      <c r="B604" s="194"/>
      <c r="C604" s="194"/>
      <c r="D604" s="194"/>
      <c r="E604" s="194"/>
      <c r="F604" s="194"/>
      <c r="G604" s="194"/>
      <c r="H604" s="194"/>
      <c r="I604" s="194"/>
      <c r="J604" s="194"/>
      <c r="K604" s="194"/>
      <c r="L604" s="194"/>
      <c r="M604" s="194"/>
      <c r="N604" s="194"/>
      <c r="O604" s="194"/>
      <c r="P604" s="194"/>
      <c r="Q604" s="194"/>
      <c r="R604" s="194"/>
      <c r="S604" s="194"/>
      <c r="T604" s="194"/>
      <c r="U604" s="194"/>
      <c r="V604" s="194"/>
      <c r="W604" s="194"/>
      <c r="X604" s="194"/>
      <c r="Y604" s="194"/>
      <c r="Z604" s="194"/>
      <c r="AA604" s="194"/>
      <c r="AB604" s="194"/>
      <c r="AC604" s="194"/>
      <c r="AD604" s="194"/>
      <c r="AE604" s="194"/>
      <c r="AF604" s="194"/>
      <c r="AG604" s="194"/>
      <c r="AH604" s="194"/>
      <c r="AI604" s="194"/>
      <c r="AJ604" s="194"/>
      <c r="AK604" s="194"/>
      <c r="AL604" s="194"/>
      <c r="AM604" s="194"/>
    </row>
    <row r="605" spans="1:39" ht="15.75" customHeight="1" x14ac:dyDescent="0.25">
      <c r="A605" s="194"/>
      <c r="B605" s="194"/>
      <c r="C605" s="194"/>
      <c r="D605" s="194"/>
      <c r="E605" s="194"/>
      <c r="F605" s="194"/>
      <c r="G605" s="194"/>
      <c r="H605" s="194"/>
      <c r="I605" s="194"/>
      <c r="J605" s="194"/>
      <c r="K605" s="194"/>
      <c r="L605" s="194"/>
      <c r="M605" s="194"/>
      <c r="N605" s="194"/>
      <c r="O605" s="194"/>
      <c r="P605" s="194"/>
      <c r="Q605" s="194"/>
      <c r="R605" s="194"/>
      <c r="S605" s="194"/>
      <c r="T605" s="194"/>
      <c r="U605" s="194"/>
      <c r="V605" s="194"/>
      <c r="W605" s="194"/>
      <c r="X605" s="194"/>
      <c r="Y605" s="194"/>
      <c r="Z605" s="194"/>
      <c r="AA605" s="194"/>
      <c r="AB605" s="194"/>
      <c r="AC605" s="194"/>
      <c r="AD605" s="194"/>
      <c r="AE605" s="194"/>
      <c r="AF605" s="194"/>
      <c r="AG605" s="194"/>
      <c r="AH605" s="194"/>
      <c r="AI605" s="194"/>
      <c r="AJ605" s="194"/>
      <c r="AK605" s="194"/>
      <c r="AL605" s="194"/>
      <c r="AM605" s="194"/>
    </row>
    <row r="606" spans="1:39" ht="15.75" customHeight="1" x14ac:dyDescent="0.25">
      <c r="A606" s="194"/>
      <c r="B606" s="194"/>
      <c r="C606" s="194"/>
      <c r="D606" s="194"/>
      <c r="E606" s="194"/>
      <c r="F606" s="194"/>
      <c r="G606" s="194"/>
      <c r="H606" s="194"/>
      <c r="I606" s="194"/>
      <c r="J606" s="194"/>
      <c r="K606" s="194"/>
      <c r="L606" s="194"/>
      <c r="M606" s="194"/>
      <c r="N606" s="194"/>
      <c r="O606" s="194"/>
      <c r="P606" s="194"/>
      <c r="Q606" s="194"/>
      <c r="R606" s="194"/>
      <c r="S606" s="194"/>
      <c r="T606" s="194"/>
      <c r="U606" s="194"/>
      <c r="V606" s="194"/>
      <c r="W606" s="194"/>
      <c r="X606" s="194"/>
      <c r="Y606" s="194"/>
      <c r="Z606" s="194"/>
      <c r="AA606" s="194"/>
      <c r="AB606" s="194"/>
      <c r="AC606" s="194"/>
      <c r="AD606" s="194"/>
      <c r="AE606" s="194"/>
      <c r="AF606" s="194"/>
      <c r="AG606" s="194"/>
      <c r="AH606" s="194"/>
      <c r="AI606" s="194"/>
      <c r="AJ606" s="194"/>
      <c r="AK606" s="194"/>
      <c r="AL606" s="194"/>
      <c r="AM606" s="194"/>
    </row>
    <row r="607" spans="1:39" ht="15.75" customHeight="1" x14ac:dyDescent="0.25">
      <c r="A607" s="194"/>
      <c r="B607" s="194"/>
      <c r="C607" s="194"/>
      <c r="D607" s="194"/>
      <c r="E607" s="194"/>
      <c r="F607" s="194"/>
      <c r="G607" s="194"/>
      <c r="H607" s="194"/>
      <c r="I607" s="194"/>
      <c r="J607" s="194"/>
      <c r="K607" s="194"/>
      <c r="L607" s="194"/>
      <c r="M607" s="194"/>
      <c r="N607" s="194"/>
      <c r="O607" s="194"/>
      <c r="P607" s="194"/>
      <c r="Q607" s="194"/>
      <c r="R607" s="194"/>
      <c r="S607" s="194"/>
      <c r="T607" s="194"/>
      <c r="U607" s="194"/>
      <c r="V607" s="194"/>
      <c r="W607" s="194"/>
      <c r="X607" s="194"/>
      <c r="Y607" s="194"/>
      <c r="Z607" s="194"/>
      <c r="AA607" s="194"/>
      <c r="AB607" s="194"/>
      <c r="AC607" s="194"/>
      <c r="AD607" s="194"/>
      <c r="AE607" s="194"/>
      <c r="AF607" s="194"/>
      <c r="AG607" s="194"/>
      <c r="AH607" s="194"/>
      <c r="AI607" s="194"/>
      <c r="AJ607" s="194"/>
      <c r="AK607" s="194"/>
      <c r="AL607" s="194"/>
      <c r="AM607" s="194"/>
    </row>
    <row r="608" spans="1:39" ht="15.75" customHeight="1" x14ac:dyDescent="0.25">
      <c r="A608" s="194"/>
      <c r="B608" s="194"/>
      <c r="C608" s="194"/>
      <c r="D608" s="194"/>
      <c r="E608" s="194"/>
      <c r="F608" s="194"/>
      <c r="G608" s="194"/>
      <c r="H608" s="194"/>
      <c r="I608" s="194"/>
      <c r="J608" s="194"/>
      <c r="K608" s="194"/>
      <c r="L608" s="194"/>
      <c r="M608" s="194"/>
      <c r="N608" s="194"/>
      <c r="O608" s="194"/>
      <c r="P608" s="194"/>
      <c r="Q608" s="194"/>
      <c r="R608" s="194"/>
      <c r="S608" s="194"/>
      <c r="T608" s="194"/>
      <c r="U608" s="194"/>
      <c r="V608" s="194"/>
      <c r="W608" s="194"/>
      <c r="X608" s="194"/>
      <c r="Y608" s="194"/>
      <c r="Z608" s="194"/>
      <c r="AA608" s="194"/>
      <c r="AB608" s="194"/>
      <c r="AC608" s="194"/>
      <c r="AD608" s="194"/>
      <c r="AE608" s="194"/>
      <c r="AF608" s="194"/>
      <c r="AG608" s="194"/>
      <c r="AH608" s="194"/>
      <c r="AI608" s="194"/>
      <c r="AJ608" s="194"/>
      <c r="AK608" s="194"/>
      <c r="AL608" s="194"/>
      <c r="AM608" s="194"/>
    </row>
    <row r="609" spans="1:39" ht="15.75" customHeight="1" x14ac:dyDescent="0.25">
      <c r="A609" s="194"/>
      <c r="B609" s="194"/>
      <c r="C609" s="194"/>
      <c r="D609" s="194"/>
      <c r="E609" s="194"/>
      <c r="F609" s="194"/>
      <c r="G609" s="194"/>
      <c r="H609" s="194"/>
      <c r="I609" s="194"/>
      <c r="J609" s="194"/>
      <c r="K609" s="194"/>
      <c r="L609" s="194"/>
      <c r="M609" s="194"/>
      <c r="N609" s="194"/>
      <c r="O609" s="194"/>
      <c r="P609" s="194"/>
      <c r="Q609" s="194"/>
      <c r="R609" s="194"/>
      <c r="S609" s="194"/>
      <c r="T609" s="194"/>
      <c r="U609" s="194"/>
      <c r="V609" s="194"/>
      <c r="W609" s="194"/>
      <c r="X609" s="194"/>
      <c r="Y609" s="194"/>
      <c r="Z609" s="194"/>
      <c r="AA609" s="194"/>
      <c r="AB609" s="194"/>
      <c r="AC609" s="194"/>
      <c r="AD609" s="194"/>
      <c r="AE609" s="194"/>
      <c r="AF609" s="194"/>
      <c r="AG609" s="194"/>
      <c r="AH609" s="194"/>
      <c r="AI609" s="194"/>
      <c r="AJ609" s="194"/>
      <c r="AK609" s="194"/>
      <c r="AL609" s="194"/>
      <c r="AM609" s="194"/>
    </row>
    <row r="610" spans="1:39" ht="15.75" customHeight="1" x14ac:dyDescent="0.25">
      <c r="A610" s="194"/>
      <c r="B610" s="194"/>
      <c r="C610" s="194"/>
      <c r="D610" s="194"/>
      <c r="E610" s="194"/>
      <c r="F610" s="194"/>
      <c r="G610" s="194"/>
      <c r="H610" s="194"/>
      <c r="I610" s="194"/>
      <c r="J610" s="194"/>
      <c r="K610" s="194"/>
      <c r="L610" s="194"/>
      <c r="M610" s="194"/>
      <c r="N610" s="194"/>
      <c r="O610" s="194"/>
      <c r="P610" s="194"/>
      <c r="Q610" s="194"/>
      <c r="R610" s="194"/>
      <c r="S610" s="194"/>
      <c r="T610" s="194"/>
      <c r="U610" s="194"/>
      <c r="V610" s="194"/>
      <c r="W610" s="194"/>
      <c r="X610" s="194"/>
      <c r="Y610" s="194"/>
      <c r="Z610" s="194"/>
      <c r="AA610" s="194"/>
      <c r="AB610" s="194"/>
      <c r="AC610" s="194"/>
      <c r="AD610" s="194"/>
      <c r="AE610" s="194"/>
      <c r="AF610" s="194"/>
      <c r="AG610" s="194"/>
      <c r="AH610" s="194"/>
      <c r="AI610" s="194"/>
      <c r="AJ610" s="194"/>
      <c r="AK610" s="194"/>
      <c r="AL610" s="194"/>
      <c r="AM610" s="194"/>
    </row>
    <row r="611" spans="1:39" ht="15.75" customHeight="1" x14ac:dyDescent="0.25">
      <c r="A611" s="194"/>
      <c r="B611" s="194"/>
      <c r="C611" s="194"/>
      <c r="D611" s="194"/>
      <c r="E611" s="194"/>
      <c r="F611" s="194"/>
      <c r="G611" s="194"/>
      <c r="H611" s="194"/>
      <c r="I611" s="194"/>
      <c r="J611" s="194"/>
      <c r="K611" s="194"/>
      <c r="L611" s="194"/>
      <c r="M611" s="194"/>
      <c r="N611" s="194"/>
      <c r="O611" s="194"/>
      <c r="P611" s="194"/>
      <c r="Q611" s="194"/>
      <c r="R611" s="194"/>
      <c r="S611" s="194"/>
      <c r="T611" s="194"/>
      <c r="U611" s="194"/>
      <c r="V611" s="194"/>
      <c r="W611" s="194"/>
      <c r="X611" s="194"/>
      <c r="Y611" s="194"/>
      <c r="Z611" s="194"/>
      <c r="AA611" s="194"/>
      <c r="AB611" s="194"/>
      <c r="AC611" s="194"/>
      <c r="AD611" s="194"/>
      <c r="AE611" s="194"/>
      <c r="AF611" s="194"/>
      <c r="AG611" s="194"/>
      <c r="AH611" s="194"/>
      <c r="AI611" s="194"/>
      <c r="AJ611" s="194"/>
      <c r="AK611" s="194"/>
      <c r="AL611" s="194"/>
      <c r="AM611" s="194"/>
    </row>
    <row r="612" spans="1:39" ht="15.75" customHeight="1" x14ac:dyDescent="0.25">
      <c r="A612" s="194"/>
      <c r="B612" s="194"/>
      <c r="C612" s="194"/>
      <c r="D612" s="194"/>
      <c r="E612" s="194"/>
      <c r="F612" s="194"/>
      <c r="G612" s="194"/>
      <c r="H612" s="194"/>
      <c r="I612" s="194"/>
      <c r="J612" s="194"/>
      <c r="K612" s="194"/>
      <c r="L612" s="194"/>
      <c r="M612" s="194"/>
      <c r="N612" s="194"/>
      <c r="O612" s="194"/>
      <c r="P612" s="194"/>
      <c r="Q612" s="194"/>
      <c r="R612" s="194"/>
      <c r="S612" s="194"/>
      <c r="T612" s="194"/>
      <c r="U612" s="194"/>
      <c r="V612" s="194"/>
      <c r="W612" s="194"/>
      <c r="X612" s="194"/>
      <c r="Y612" s="194"/>
      <c r="Z612" s="194"/>
      <c r="AA612" s="194"/>
      <c r="AB612" s="194"/>
      <c r="AC612" s="194"/>
      <c r="AD612" s="194"/>
      <c r="AE612" s="194"/>
      <c r="AF612" s="194"/>
      <c r="AG612" s="194"/>
      <c r="AH612" s="194"/>
      <c r="AI612" s="194"/>
      <c r="AJ612" s="194"/>
      <c r="AK612" s="194"/>
      <c r="AL612" s="194"/>
      <c r="AM612" s="194"/>
    </row>
    <row r="613" spans="1:39" ht="15.75" customHeight="1" x14ac:dyDescent="0.25">
      <c r="A613" s="194"/>
      <c r="B613" s="194"/>
      <c r="C613" s="194"/>
      <c r="D613" s="194"/>
      <c r="E613" s="194"/>
      <c r="F613" s="194"/>
      <c r="G613" s="194"/>
      <c r="H613" s="194"/>
      <c r="I613" s="194"/>
      <c r="J613" s="194"/>
      <c r="K613" s="194"/>
      <c r="L613" s="194"/>
      <c r="M613" s="194"/>
      <c r="N613" s="194"/>
      <c r="O613" s="194"/>
      <c r="P613" s="194"/>
      <c r="Q613" s="194"/>
      <c r="R613" s="194"/>
      <c r="S613" s="194"/>
      <c r="T613" s="194"/>
      <c r="U613" s="194"/>
      <c r="V613" s="194"/>
      <c r="W613" s="194"/>
      <c r="X613" s="194"/>
      <c r="Y613" s="194"/>
      <c r="Z613" s="194"/>
      <c r="AA613" s="194"/>
      <c r="AB613" s="194"/>
      <c r="AC613" s="194"/>
      <c r="AD613" s="194"/>
      <c r="AE613" s="194"/>
      <c r="AF613" s="194"/>
      <c r="AG613" s="194"/>
      <c r="AH613" s="194"/>
      <c r="AI613" s="194"/>
      <c r="AJ613" s="194"/>
      <c r="AK613" s="194"/>
      <c r="AL613" s="194"/>
      <c r="AM613" s="194"/>
    </row>
    <row r="614" spans="1:39" ht="15.75" customHeight="1" x14ac:dyDescent="0.25">
      <c r="A614" s="194"/>
      <c r="B614" s="194"/>
      <c r="C614" s="194"/>
      <c r="D614" s="194"/>
      <c r="E614" s="194"/>
      <c r="F614" s="194"/>
      <c r="G614" s="194"/>
      <c r="H614" s="194"/>
      <c r="I614" s="194"/>
      <c r="J614" s="194"/>
      <c r="K614" s="194"/>
      <c r="L614" s="194"/>
      <c r="M614" s="194"/>
      <c r="N614" s="194"/>
      <c r="O614" s="194"/>
      <c r="P614" s="194"/>
      <c r="Q614" s="194"/>
      <c r="R614" s="194"/>
      <c r="S614" s="194"/>
      <c r="T614" s="194"/>
      <c r="U614" s="194"/>
      <c r="V614" s="194"/>
      <c r="W614" s="194"/>
      <c r="X614" s="194"/>
      <c r="Y614" s="194"/>
      <c r="Z614" s="194"/>
      <c r="AA614" s="194"/>
      <c r="AB614" s="194"/>
      <c r="AC614" s="194"/>
      <c r="AD614" s="194"/>
      <c r="AE614" s="194"/>
      <c r="AF614" s="194"/>
      <c r="AG614" s="194"/>
      <c r="AH614" s="194"/>
      <c r="AI614" s="194"/>
      <c r="AJ614" s="194"/>
      <c r="AK614" s="194"/>
      <c r="AL614" s="194"/>
      <c r="AM614" s="194"/>
    </row>
    <row r="615" spans="1:39" ht="15.75" customHeight="1" x14ac:dyDescent="0.25">
      <c r="A615" s="194"/>
      <c r="B615" s="194"/>
      <c r="C615" s="194"/>
      <c r="D615" s="194"/>
      <c r="E615" s="194"/>
      <c r="F615" s="194"/>
      <c r="G615" s="194"/>
      <c r="H615" s="194"/>
      <c r="I615" s="194"/>
      <c r="J615" s="194"/>
      <c r="K615" s="194"/>
      <c r="L615" s="194"/>
      <c r="M615" s="194"/>
      <c r="N615" s="194"/>
      <c r="O615" s="194"/>
      <c r="P615" s="194"/>
      <c r="Q615" s="194"/>
      <c r="R615" s="194"/>
      <c r="S615" s="194"/>
      <c r="T615" s="194"/>
      <c r="U615" s="194"/>
      <c r="V615" s="194"/>
      <c r="W615" s="194"/>
      <c r="X615" s="194"/>
      <c r="Y615" s="194"/>
      <c r="Z615" s="194"/>
      <c r="AA615" s="194"/>
      <c r="AB615" s="194"/>
      <c r="AC615" s="194"/>
      <c r="AD615" s="194"/>
      <c r="AE615" s="194"/>
      <c r="AF615" s="194"/>
      <c r="AG615" s="194"/>
      <c r="AH615" s="194"/>
      <c r="AI615" s="194"/>
      <c r="AJ615" s="194"/>
      <c r="AK615" s="194"/>
      <c r="AL615" s="194"/>
      <c r="AM615" s="194"/>
    </row>
    <row r="616" spans="1:39" ht="15.75" customHeight="1" x14ac:dyDescent="0.25">
      <c r="A616" s="194"/>
      <c r="B616" s="194"/>
      <c r="C616" s="194"/>
      <c r="D616" s="194"/>
      <c r="E616" s="194"/>
      <c r="F616" s="194"/>
      <c r="G616" s="194"/>
      <c r="H616" s="194"/>
      <c r="I616" s="194"/>
      <c r="J616" s="194"/>
      <c r="K616" s="194"/>
      <c r="L616" s="194"/>
      <c r="M616" s="194"/>
      <c r="N616" s="194"/>
      <c r="O616" s="194"/>
      <c r="P616" s="194"/>
      <c r="Q616" s="194"/>
      <c r="R616" s="194"/>
      <c r="S616" s="194"/>
      <c r="T616" s="194"/>
      <c r="U616" s="194"/>
      <c r="V616" s="194"/>
      <c r="W616" s="194"/>
      <c r="X616" s="194"/>
      <c r="Y616" s="194"/>
      <c r="Z616" s="194"/>
      <c r="AA616" s="194"/>
      <c r="AB616" s="194"/>
      <c r="AC616" s="194"/>
      <c r="AD616" s="194"/>
      <c r="AE616" s="194"/>
      <c r="AF616" s="194"/>
      <c r="AG616" s="194"/>
      <c r="AH616" s="194"/>
      <c r="AI616" s="194"/>
      <c r="AJ616" s="194"/>
      <c r="AK616" s="194"/>
      <c r="AL616" s="194"/>
      <c r="AM616" s="194"/>
    </row>
    <row r="617" spans="1:39" ht="15.75" customHeight="1" x14ac:dyDescent="0.25">
      <c r="A617" s="194"/>
      <c r="B617" s="194"/>
      <c r="C617" s="194"/>
      <c r="D617" s="194"/>
      <c r="E617" s="194"/>
      <c r="F617" s="194"/>
      <c r="G617" s="194"/>
      <c r="H617" s="194"/>
      <c r="I617" s="194"/>
      <c r="J617" s="194"/>
      <c r="K617" s="194"/>
      <c r="L617" s="194"/>
      <c r="M617" s="194"/>
      <c r="N617" s="194"/>
      <c r="O617" s="194"/>
      <c r="P617" s="194"/>
      <c r="Q617" s="194"/>
      <c r="R617" s="194"/>
      <c r="S617" s="194"/>
      <c r="T617" s="194"/>
      <c r="U617" s="194"/>
      <c r="V617" s="194"/>
      <c r="W617" s="194"/>
      <c r="X617" s="194"/>
      <c r="Y617" s="194"/>
      <c r="Z617" s="194"/>
      <c r="AA617" s="194"/>
      <c r="AB617" s="194"/>
      <c r="AC617" s="194"/>
      <c r="AD617" s="194"/>
      <c r="AE617" s="194"/>
      <c r="AF617" s="194"/>
      <c r="AG617" s="194"/>
      <c r="AH617" s="194"/>
      <c r="AI617" s="194"/>
      <c r="AJ617" s="194"/>
      <c r="AK617" s="194"/>
      <c r="AL617" s="194"/>
      <c r="AM617" s="194"/>
    </row>
    <row r="618" spans="1:39" ht="15.75" customHeight="1" x14ac:dyDescent="0.25">
      <c r="A618" s="194"/>
      <c r="B618" s="194"/>
      <c r="C618" s="194"/>
      <c r="D618" s="194"/>
      <c r="E618" s="194"/>
      <c r="F618" s="194"/>
      <c r="G618" s="194"/>
      <c r="H618" s="194"/>
      <c r="I618" s="194"/>
      <c r="J618" s="194"/>
      <c r="K618" s="194"/>
      <c r="L618" s="194"/>
      <c r="M618" s="194"/>
      <c r="N618" s="194"/>
      <c r="O618" s="194"/>
      <c r="P618" s="194"/>
      <c r="Q618" s="194"/>
      <c r="R618" s="194"/>
      <c r="S618" s="194"/>
      <c r="T618" s="194"/>
      <c r="U618" s="194"/>
      <c r="V618" s="194"/>
      <c r="W618" s="194"/>
      <c r="X618" s="194"/>
      <c r="Y618" s="194"/>
      <c r="Z618" s="194"/>
      <c r="AA618" s="194"/>
      <c r="AB618" s="194"/>
      <c r="AC618" s="194"/>
      <c r="AD618" s="194"/>
      <c r="AE618" s="194"/>
      <c r="AF618" s="194"/>
      <c r="AG618" s="194"/>
      <c r="AH618" s="194"/>
      <c r="AI618" s="194"/>
      <c r="AJ618" s="194"/>
      <c r="AK618" s="194"/>
      <c r="AL618" s="194"/>
      <c r="AM618" s="194"/>
    </row>
    <row r="619" spans="1:39" ht="15.75" customHeight="1" x14ac:dyDescent="0.25">
      <c r="A619" s="194"/>
      <c r="B619" s="194"/>
      <c r="C619" s="194"/>
      <c r="D619" s="194"/>
      <c r="E619" s="194"/>
      <c r="F619" s="194"/>
      <c r="G619" s="194"/>
      <c r="H619" s="194"/>
      <c r="I619" s="194"/>
      <c r="J619" s="194"/>
      <c r="K619" s="194"/>
      <c r="L619" s="194"/>
      <c r="M619" s="194"/>
      <c r="N619" s="194"/>
      <c r="O619" s="194"/>
      <c r="P619" s="194"/>
      <c r="Q619" s="194"/>
      <c r="R619" s="194"/>
      <c r="S619" s="194"/>
      <c r="T619" s="194"/>
      <c r="U619" s="194"/>
      <c r="V619" s="194"/>
      <c r="W619" s="194"/>
      <c r="X619" s="194"/>
      <c r="Y619" s="194"/>
      <c r="Z619" s="194"/>
      <c r="AA619" s="194"/>
      <c r="AB619" s="194"/>
      <c r="AC619" s="194"/>
      <c r="AD619" s="194"/>
      <c r="AE619" s="194"/>
      <c r="AF619" s="194"/>
      <c r="AG619" s="194"/>
      <c r="AH619" s="194"/>
      <c r="AI619" s="194"/>
      <c r="AJ619" s="194"/>
      <c r="AK619" s="194"/>
      <c r="AL619" s="194"/>
      <c r="AM619" s="194"/>
    </row>
    <row r="620" spans="1:39" ht="15.75" customHeight="1" x14ac:dyDescent="0.25">
      <c r="A620" s="194"/>
      <c r="B620" s="194"/>
      <c r="C620" s="194"/>
      <c r="D620" s="194"/>
      <c r="E620" s="194"/>
      <c r="F620" s="194"/>
      <c r="G620" s="194"/>
      <c r="H620" s="194"/>
      <c r="I620" s="194"/>
      <c r="J620" s="194"/>
      <c r="K620" s="194"/>
      <c r="L620" s="194"/>
      <c r="M620" s="194"/>
      <c r="N620" s="194"/>
      <c r="O620" s="194"/>
      <c r="P620" s="194"/>
      <c r="Q620" s="194"/>
      <c r="R620" s="194"/>
      <c r="S620" s="194"/>
      <c r="T620" s="194"/>
      <c r="U620" s="194"/>
      <c r="V620" s="194"/>
      <c r="W620" s="194"/>
      <c r="X620" s="194"/>
      <c r="Y620" s="194"/>
      <c r="Z620" s="194"/>
      <c r="AA620" s="194"/>
      <c r="AB620" s="194"/>
      <c r="AC620" s="194"/>
      <c r="AD620" s="194"/>
      <c r="AE620" s="194"/>
      <c r="AF620" s="194"/>
      <c r="AG620" s="194"/>
      <c r="AH620" s="194"/>
      <c r="AI620" s="194"/>
      <c r="AJ620" s="194"/>
      <c r="AK620" s="194"/>
      <c r="AL620" s="194"/>
      <c r="AM620" s="194"/>
    </row>
    <row r="621" spans="1:39" ht="15.75" customHeight="1" x14ac:dyDescent="0.25">
      <c r="A621" s="194"/>
      <c r="B621" s="194"/>
      <c r="C621" s="194"/>
      <c r="D621" s="194"/>
      <c r="E621" s="194"/>
      <c r="F621" s="194"/>
      <c r="G621" s="194"/>
      <c r="H621" s="194"/>
      <c r="I621" s="194"/>
      <c r="J621" s="194"/>
      <c r="K621" s="194"/>
      <c r="L621" s="194"/>
      <c r="M621" s="194"/>
      <c r="N621" s="194"/>
      <c r="O621" s="194"/>
      <c r="P621" s="194"/>
      <c r="Q621" s="194"/>
      <c r="R621" s="194"/>
      <c r="S621" s="194"/>
      <c r="T621" s="194"/>
      <c r="U621" s="194"/>
      <c r="V621" s="194"/>
      <c r="W621" s="194"/>
      <c r="X621" s="194"/>
      <c r="Y621" s="194"/>
      <c r="Z621" s="194"/>
      <c r="AA621" s="194"/>
      <c r="AB621" s="194"/>
      <c r="AC621" s="194"/>
      <c r="AD621" s="194"/>
      <c r="AE621" s="194"/>
      <c r="AF621" s="194"/>
      <c r="AG621" s="194"/>
      <c r="AH621" s="194"/>
      <c r="AI621" s="194"/>
      <c r="AJ621" s="194"/>
      <c r="AK621" s="194"/>
      <c r="AL621" s="194"/>
      <c r="AM621" s="194"/>
    </row>
    <row r="622" spans="1:39" ht="15.75" customHeight="1" x14ac:dyDescent="0.25">
      <c r="A622" s="194"/>
      <c r="B622" s="194"/>
      <c r="C622" s="194"/>
      <c r="D622" s="194"/>
      <c r="E622" s="194"/>
      <c r="F622" s="194"/>
      <c r="G622" s="194"/>
      <c r="H622" s="194"/>
      <c r="I622" s="194"/>
      <c r="J622" s="194"/>
      <c r="K622" s="194"/>
      <c r="L622" s="194"/>
      <c r="M622" s="194"/>
      <c r="N622" s="194"/>
      <c r="O622" s="194"/>
      <c r="P622" s="194"/>
      <c r="Q622" s="194"/>
      <c r="R622" s="194"/>
      <c r="S622" s="194"/>
      <c r="T622" s="194"/>
      <c r="U622" s="194"/>
      <c r="V622" s="194"/>
      <c r="W622" s="194"/>
      <c r="X622" s="194"/>
      <c r="Y622" s="194"/>
      <c r="Z622" s="194"/>
      <c r="AA622" s="194"/>
      <c r="AB622" s="194"/>
      <c r="AC622" s="194"/>
      <c r="AD622" s="194"/>
      <c r="AE622" s="194"/>
      <c r="AF622" s="194"/>
      <c r="AG622" s="194"/>
      <c r="AH622" s="194"/>
      <c r="AI622" s="194"/>
      <c r="AJ622" s="194"/>
      <c r="AK622" s="194"/>
      <c r="AL622" s="194"/>
      <c r="AM622" s="194"/>
    </row>
    <row r="623" spans="1:39" ht="15.75" customHeight="1" x14ac:dyDescent="0.25">
      <c r="A623" s="194"/>
      <c r="B623" s="194"/>
      <c r="C623" s="194"/>
      <c r="D623" s="194"/>
      <c r="E623" s="194"/>
      <c r="F623" s="194"/>
      <c r="G623" s="194"/>
      <c r="H623" s="194"/>
      <c r="I623" s="194"/>
      <c r="J623" s="194"/>
      <c r="K623" s="194"/>
      <c r="L623" s="194"/>
      <c r="M623" s="194"/>
      <c r="N623" s="194"/>
      <c r="O623" s="194"/>
      <c r="P623" s="194"/>
      <c r="Q623" s="194"/>
      <c r="R623" s="194"/>
      <c r="S623" s="194"/>
      <c r="T623" s="194"/>
      <c r="U623" s="194"/>
      <c r="V623" s="194"/>
      <c r="W623" s="194"/>
      <c r="X623" s="194"/>
      <c r="Y623" s="194"/>
      <c r="Z623" s="194"/>
      <c r="AA623" s="194"/>
      <c r="AB623" s="194"/>
      <c r="AC623" s="194"/>
      <c r="AD623" s="194"/>
      <c r="AE623" s="194"/>
      <c r="AF623" s="194"/>
      <c r="AG623" s="194"/>
      <c r="AH623" s="194"/>
      <c r="AI623" s="194"/>
      <c r="AJ623" s="194"/>
      <c r="AK623" s="194"/>
      <c r="AL623" s="194"/>
      <c r="AM623" s="194"/>
    </row>
    <row r="624" spans="1:39" ht="15.75" customHeight="1" x14ac:dyDescent="0.25">
      <c r="A624" s="194"/>
      <c r="B624" s="194"/>
      <c r="C624" s="194"/>
      <c r="D624" s="194"/>
      <c r="E624" s="194"/>
      <c r="F624" s="194"/>
      <c r="G624" s="194"/>
      <c r="H624" s="194"/>
      <c r="I624" s="194"/>
      <c r="J624" s="194"/>
      <c r="K624" s="194"/>
      <c r="L624" s="194"/>
      <c r="M624" s="194"/>
      <c r="N624" s="194"/>
      <c r="O624" s="194"/>
      <c r="P624" s="194"/>
      <c r="Q624" s="194"/>
      <c r="R624" s="194"/>
      <c r="S624" s="194"/>
      <c r="T624" s="194"/>
      <c r="U624" s="194"/>
      <c r="V624" s="194"/>
      <c r="W624" s="194"/>
      <c r="X624" s="194"/>
      <c r="Y624" s="194"/>
      <c r="Z624" s="194"/>
      <c r="AA624" s="194"/>
      <c r="AB624" s="194"/>
      <c r="AC624" s="194"/>
      <c r="AD624" s="194"/>
      <c r="AE624" s="194"/>
      <c r="AF624" s="194"/>
      <c r="AG624" s="194"/>
      <c r="AH624" s="194"/>
      <c r="AI624" s="194"/>
      <c r="AJ624" s="194"/>
      <c r="AK624" s="194"/>
      <c r="AL624" s="194"/>
      <c r="AM624" s="194"/>
    </row>
    <row r="625" spans="1:39" ht="15.75" customHeight="1" x14ac:dyDescent="0.25">
      <c r="A625" s="194"/>
      <c r="B625" s="194"/>
      <c r="C625" s="194"/>
      <c r="D625" s="194"/>
      <c r="E625" s="194"/>
      <c r="F625" s="194"/>
      <c r="G625" s="194"/>
      <c r="H625" s="194"/>
      <c r="I625" s="194"/>
      <c r="J625" s="194"/>
      <c r="K625" s="194"/>
      <c r="L625" s="194"/>
      <c r="M625" s="194"/>
      <c r="N625" s="194"/>
      <c r="O625" s="194"/>
      <c r="P625" s="194"/>
      <c r="Q625" s="194"/>
      <c r="R625" s="194"/>
      <c r="S625" s="194"/>
      <c r="T625" s="194"/>
      <c r="U625" s="194"/>
      <c r="V625" s="194"/>
      <c r="W625" s="194"/>
      <c r="X625" s="194"/>
      <c r="Y625" s="194"/>
      <c r="Z625" s="194"/>
      <c r="AA625" s="194"/>
      <c r="AB625" s="194"/>
      <c r="AC625" s="194"/>
      <c r="AD625" s="194"/>
      <c r="AE625" s="194"/>
      <c r="AF625" s="194"/>
      <c r="AG625" s="194"/>
      <c r="AH625" s="194"/>
      <c r="AI625" s="194"/>
      <c r="AJ625" s="194"/>
      <c r="AK625" s="194"/>
      <c r="AL625" s="194"/>
      <c r="AM625" s="194"/>
    </row>
    <row r="626" spans="1:39" ht="15.75" customHeight="1" x14ac:dyDescent="0.25">
      <c r="A626" s="194"/>
      <c r="B626" s="194"/>
      <c r="C626" s="194"/>
      <c r="D626" s="194"/>
      <c r="E626" s="194"/>
      <c r="F626" s="194"/>
      <c r="G626" s="194"/>
      <c r="H626" s="194"/>
      <c r="I626" s="194"/>
      <c r="J626" s="194"/>
      <c r="K626" s="194"/>
      <c r="L626" s="194"/>
      <c r="M626" s="194"/>
      <c r="N626" s="194"/>
      <c r="O626" s="194"/>
      <c r="P626" s="194"/>
      <c r="Q626" s="194"/>
      <c r="R626" s="194"/>
      <c r="S626" s="194"/>
      <c r="T626" s="194"/>
      <c r="U626" s="194"/>
      <c r="V626" s="194"/>
      <c r="W626" s="194"/>
      <c r="X626" s="194"/>
      <c r="Y626" s="194"/>
      <c r="Z626" s="194"/>
      <c r="AA626" s="194"/>
      <c r="AB626" s="194"/>
      <c r="AC626" s="194"/>
      <c r="AD626" s="194"/>
      <c r="AE626" s="194"/>
      <c r="AF626" s="194"/>
      <c r="AG626" s="194"/>
      <c r="AH626" s="194"/>
      <c r="AI626" s="194"/>
      <c r="AJ626" s="194"/>
      <c r="AK626" s="194"/>
      <c r="AL626" s="194"/>
      <c r="AM626" s="194"/>
    </row>
    <row r="627" spans="1:39" ht="15.75" customHeight="1" x14ac:dyDescent="0.25">
      <c r="A627" s="194"/>
      <c r="B627" s="194"/>
      <c r="C627" s="194"/>
      <c r="D627" s="194"/>
      <c r="E627" s="194"/>
      <c r="F627" s="194"/>
      <c r="G627" s="194"/>
      <c r="H627" s="194"/>
      <c r="I627" s="194"/>
      <c r="J627" s="194"/>
      <c r="K627" s="194"/>
      <c r="L627" s="194"/>
      <c r="M627" s="194"/>
      <c r="N627" s="194"/>
      <c r="O627" s="194"/>
      <c r="P627" s="194"/>
      <c r="Q627" s="194"/>
      <c r="R627" s="194"/>
      <c r="S627" s="194"/>
      <c r="T627" s="194"/>
      <c r="U627" s="194"/>
      <c r="V627" s="194"/>
      <c r="W627" s="194"/>
      <c r="X627" s="194"/>
      <c r="Y627" s="194"/>
      <c r="Z627" s="194"/>
      <c r="AA627" s="194"/>
      <c r="AB627" s="194"/>
      <c r="AC627" s="194"/>
      <c r="AD627" s="194"/>
      <c r="AE627" s="194"/>
      <c r="AF627" s="194"/>
      <c r="AG627" s="194"/>
      <c r="AH627" s="194"/>
      <c r="AI627" s="194"/>
      <c r="AJ627" s="194"/>
      <c r="AK627" s="194"/>
      <c r="AL627" s="194"/>
      <c r="AM627" s="194"/>
    </row>
    <row r="628" spans="1:39" ht="15.75" customHeight="1" x14ac:dyDescent="0.25">
      <c r="A628" s="194"/>
      <c r="B628" s="194"/>
      <c r="C628" s="194"/>
      <c r="D628" s="194"/>
      <c r="E628" s="194"/>
      <c r="F628" s="194"/>
      <c r="G628" s="194"/>
      <c r="H628" s="194"/>
      <c r="I628" s="194"/>
      <c r="J628" s="194"/>
      <c r="K628" s="194"/>
      <c r="L628" s="194"/>
      <c r="M628" s="194"/>
      <c r="N628" s="194"/>
      <c r="O628" s="194"/>
      <c r="P628" s="194"/>
      <c r="Q628" s="194"/>
      <c r="R628" s="194"/>
      <c r="S628" s="194"/>
      <c r="T628" s="194"/>
      <c r="U628" s="194"/>
      <c r="V628" s="194"/>
      <c r="W628" s="194"/>
      <c r="X628" s="194"/>
      <c r="Y628" s="194"/>
      <c r="Z628" s="194"/>
      <c r="AA628" s="194"/>
      <c r="AB628" s="194"/>
      <c r="AC628" s="194"/>
      <c r="AD628" s="194"/>
      <c r="AE628" s="194"/>
      <c r="AF628" s="194"/>
      <c r="AG628" s="194"/>
      <c r="AH628" s="194"/>
      <c r="AI628" s="194"/>
      <c r="AJ628" s="194"/>
      <c r="AK628" s="194"/>
      <c r="AL628" s="194"/>
      <c r="AM628" s="194"/>
    </row>
    <row r="629" spans="1:39" ht="15.75" customHeight="1" x14ac:dyDescent="0.25">
      <c r="A629" s="194"/>
      <c r="B629" s="194"/>
      <c r="C629" s="194"/>
      <c r="D629" s="194"/>
      <c r="E629" s="194"/>
      <c r="F629" s="194"/>
      <c r="G629" s="194"/>
      <c r="H629" s="194"/>
      <c r="I629" s="194"/>
      <c r="J629" s="194"/>
      <c r="K629" s="194"/>
      <c r="L629" s="194"/>
      <c r="M629" s="194"/>
      <c r="N629" s="194"/>
      <c r="O629" s="194"/>
      <c r="P629" s="194"/>
      <c r="Q629" s="194"/>
      <c r="R629" s="194"/>
      <c r="S629" s="194"/>
      <c r="T629" s="194"/>
      <c r="U629" s="194"/>
      <c r="V629" s="194"/>
      <c r="W629" s="194"/>
      <c r="X629" s="194"/>
      <c r="Y629" s="194"/>
      <c r="Z629" s="194"/>
      <c r="AA629" s="194"/>
      <c r="AB629" s="194"/>
      <c r="AC629" s="194"/>
      <c r="AD629" s="194"/>
      <c r="AE629" s="194"/>
      <c r="AF629" s="194"/>
      <c r="AG629" s="194"/>
      <c r="AH629" s="194"/>
      <c r="AI629" s="194"/>
      <c r="AJ629" s="194"/>
      <c r="AK629" s="194"/>
      <c r="AL629" s="194"/>
      <c r="AM629" s="194"/>
    </row>
    <row r="630" spans="1:39" ht="15.75" customHeight="1" x14ac:dyDescent="0.25">
      <c r="A630" s="194"/>
      <c r="B630" s="194"/>
      <c r="C630" s="194"/>
      <c r="D630" s="194"/>
      <c r="E630" s="194"/>
      <c r="F630" s="194"/>
      <c r="G630" s="194"/>
      <c r="H630" s="194"/>
      <c r="I630" s="194"/>
      <c r="J630" s="194"/>
      <c r="K630" s="194"/>
      <c r="L630" s="194"/>
      <c r="M630" s="194"/>
      <c r="N630" s="194"/>
      <c r="O630" s="194"/>
      <c r="P630" s="194"/>
      <c r="Q630" s="194"/>
      <c r="R630" s="194"/>
      <c r="S630" s="194"/>
      <c r="T630" s="194"/>
      <c r="U630" s="194"/>
      <c r="V630" s="194"/>
      <c r="W630" s="194"/>
      <c r="X630" s="194"/>
      <c r="Y630" s="194"/>
      <c r="Z630" s="194"/>
      <c r="AA630" s="194"/>
      <c r="AB630" s="194"/>
      <c r="AC630" s="194"/>
      <c r="AD630" s="194"/>
      <c r="AE630" s="194"/>
      <c r="AF630" s="194"/>
      <c r="AG630" s="194"/>
      <c r="AH630" s="194"/>
      <c r="AI630" s="194"/>
      <c r="AJ630" s="194"/>
      <c r="AK630" s="194"/>
      <c r="AL630" s="194"/>
      <c r="AM630" s="194"/>
    </row>
    <row r="631" spans="1:39" ht="15.75" customHeight="1" x14ac:dyDescent="0.25">
      <c r="A631" s="194"/>
      <c r="B631" s="194"/>
      <c r="C631" s="194"/>
      <c r="D631" s="194"/>
      <c r="E631" s="194"/>
      <c r="F631" s="194"/>
      <c r="G631" s="194"/>
      <c r="H631" s="194"/>
      <c r="I631" s="194"/>
      <c r="J631" s="194"/>
      <c r="K631" s="194"/>
      <c r="L631" s="194"/>
      <c r="M631" s="194"/>
      <c r="N631" s="194"/>
      <c r="O631" s="194"/>
      <c r="P631" s="194"/>
      <c r="Q631" s="194"/>
      <c r="R631" s="194"/>
      <c r="S631" s="194"/>
      <c r="T631" s="194"/>
      <c r="U631" s="194"/>
      <c r="V631" s="194"/>
      <c r="W631" s="194"/>
      <c r="X631" s="194"/>
      <c r="Y631" s="194"/>
      <c r="Z631" s="194"/>
      <c r="AA631" s="194"/>
      <c r="AB631" s="194"/>
      <c r="AC631" s="194"/>
      <c r="AD631" s="194"/>
      <c r="AE631" s="194"/>
      <c r="AF631" s="194"/>
      <c r="AG631" s="194"/>
      <c r="AH631" s="194"/>
      <c r="AI631" s="194"/>
      <c r="AJ631" s="194"/>
      <c r="AK631" s="194"/>
      <c r="AL631" s="194"/>
      <c r="AM631" s="194"/>
    </row>
    <row r="632" spans="1:39" ht="15.75" customHeight="1" x14ac:dyDescent="0.25">
      <c r="A632" s="194"/>
      <c r="B632" s="194"/>
      <c r="C632" s="194"/>
      <c r="D632" s="194"/>
      <c r="E632" s="194"/>
      <c r="F632" s="194"/>
      <c r="G632" s="194"/>
      <c r="H632" s="194"/>
      <c r="I632" s="194"/>
      <c r="J632" s="194"/>
      <c r="K632" s="194"/>
      <c r="L632" s="194"/>
      <c r="M632" s="194"/>
      <c r="N632" s="194"/>
      <c r="O632" s="194"/>
      <c r="P632" s="194"/>
      <c r="Q632" s="194"/>
      <c r="R632" s="194"/>
      <c r="S632" s="194"/>
      <c r="T632" s="194"/>
      <c r="U632" s="194"/>
      <c r="V632" s="194"/>
      <c r="W632" s="194"/>
      <c r="X632" s="194"/>
      <c r="Y632" s="194"/>
      <c r="Z632" s="194"/>
      <c r="AA632" s="194"/>
      <c r="AB632" s="194"/>
      <c r="AC632" s="194"/>
      <c r="AD632" s="194"/>
      <c r="AE632" s="194"/>
      <c r="AF632" s="194"/>
      <c r="AG632" s="194"/>
      <c r="AH632" s="194"/>
      <c r="AI632" s="194"/>
      <c r="AJ632" s="194"/>
      <c r="AK632" s="194"/>
      <c r="AL632" s="194"/>
      <c r="AM632" s="194"/>
    </row>
    <row r="633" spans="1:39" ht="15.75" customHeight="1" x14ac:dyDescent="0.25">
      <c r="A633" s="194"/>
      <c r="B633" s="194"/>
      <c r="C633" s="194"/>
      <c r="D633" s="194"/>
      <c r="E633" s="194"/>
      <c r="F633" s="194"/>
      <c r="G633" s="194"/>
      <c r="H633" s="194"/>
      <c r="I633" s="194"/>
      <c r="J633" s="194"/>
      <c r="K633" s="194"/>
      <c r="L633" s="194"/>
      <c r="M633" s="194"/>
      <c r="N633" s="194"/>
      <c r="O633" s="194"/>
      <c r="P633" s="194"/>
      <c r="Q633" s="194"/>
      <c r="R633" s="194"/>
      <c r="S633" s="194"/>
      <c r="T633" s="194"/>
      <c r="U633" s="194"/>
      <c r="V633" s="194"/>
      <c r="W633" s="194"/>
      <c r="X633" s="194"/>
      <c r="Y633" s="194"/>
      <c r="Z633" s="194"/>
      <c r="AA633" s="194"/>
      <c r="AB633" s="194"/>
      <c r="AC633" s="194"/>
      <c r="AD633" s="194"/>
      <c r="AE633" s="194"/>
      <c r="AF633" s="194"/>
      <c r="AG633" s="194"/>
      <c r="AH633" s="194"/>
      <c r="AI633" s="194"/>
      <c r="AJ633" s="194"/>
      <c r="AK633" s="194"/>
      <c r="AL633" s="194"/>
      <c r="AM633" s="194"/>
    </row>
    <row r="634" spans="1:39" ht="15.75" customHeight="1" x14ac:dyDescent="0.25">
      <c r="A634" s="194"/>
      <c r="B634" s="194"/>
      <c r="C634" s="194"/>
      <c r="D634" s="194"/>
      <c r="E634" s="194"/>
      <c r="F634" s="194"/>
      <c r="G634" s="194"/>
      <c r="H634" s="194"/>
      <c r="I634" s="194"/>
      <c r="J634" s="194"/>
      <c r="K634" s="194"/>
      <c r="L634" s="194"/>
      <c r="M634" s="194"/>
      <c r="N634" s="194"/>
      <c r="O634" s="194"/>
      <c r="P634" s="194"/>
      <c r="Q634" s="194"/>
      <c r="R634" s="194"/>
      <c r="S634" s="194"/>
      <c r="T634" s="194"/>
      <c r="U634" s="194"/>
      <c r="V634" s="194"/>
      <c r="W634" s="194"/>
      <c r="X634" s="194"/>
      <c r="Y634" s="194"/>
      <c r="Z634" s="194"/>
      <c r="AA634" s="194"/>
      <c r="AB634" s="194"/>
      <c r="AC634" s="194"/>
      <c r="AD634" s="194"/>
      <c r="AE634" s="194"/>
      <c r="AF634" s="194"/>
      <c r="AG634" s="194"/>
      <c r="AH634" s="194"/>
      <c r="AI634" s="194"/>
      <c r="AJ634" s="194"/>
      <c r="AK634" s="194"/>
      <c r="AL634" s="194"/>
      <c r="AM634" s="194"/>
    </row>
    <row r="635" spans="1:39" ht="15.75" customHeight="1" x14ac:dyDescent="0.25">
      <c r="A635" s="194"/>
      <c r="B635" s="194"/>
      <c r="C635" s="194"/>
      <c r="D635" s="194"/>
      <c r="E635" s="194"/>
      <c r="F635" s="194"/>
      <c r="G635" s="194"/>
      <c r="H635" s="194"/>
      <c r="I635" s="194"/>
      <c r="J635" s="194"/>
      <c r="K635" s="194"/>
      <c r="L635" s="194"/>
      <c r="M635" s="194"/>
      <c r="N635" s="194"/>
      <c r="O635" s="194"/>
      <c r="P635" s="194"/>
      <c r="Q635" s="194"/>
      <c r="R635" s="194"/>
      <c r="S635" s="194"/>
      <c r="T635" s="194"/>
      <c r="U635" s="194"/>
      <c r="V635" s="194"/>
      <c r="W635" s="194"/>
      <c r="X635" s="194"/>
      <c r="Y635" s="194"/>
      <c r="Z635" s="194"/>
      <c r="AA635" s="194"/>
      <c r="AB635" s="194"/>
      <c r="AC635" s="194"/>
      <c r="AD635" s="194"/>
      <c r="AE635" s="194"/>
      <c r="AF635" s="194"/>
      <c r="AG635" s="194"/>
      <c r="AH635" s="194"/>
      <c r="AI635" s="194"/>
      <c r="AJ635" s="194"/>
      <c r="AK635" s="194"/>
      <c r="AL635" s="194"/>
      <c r="AM635" s="194"/>
    </row>
    <row r="636" spans="1:39" ht="15.75" customHeight="1" x14ac:dyDescent="0.25">
      <c r="A636" s="194"/>
      <c r="B636" s="194"/>
      <c r="C636" s="194"/>
      <c r="D636" s="194"/>
      <c r="E636" s="194"/>
      <c r="F636" s="194"/>
      <c r="G636" s="194"/>
      <c r="H636" s="194"/>
      <c r="I636" s="194"/>
      <c r="J636" s="194"/>
      <c r="K636" s="194"/>
      <c r="L636" s="194"/>
      <c r="M636" s="194"/>
      <c r="N636" s="194"/>
      <c r="O636" s="194"/>
      <c r="P636" s="194"/>
      <c r="Q636" s="194"/>
      <c r="R636" s="194"/>
      <c r="S636" s="194"/>
      <c r="T636" s="194"/>
      <c r="U636" s="194"/>
      <c r="V636" s="194"/>
      <c r="W636" s="194"/>
      <c r="X636" s="194"/>
      <c r="Y636" s="194"/>
      <c r="Z636" s="194"/>
      <c r="AA636" s="194"/>
      <c r="AB636" s="194"/>
      <c r="AC636" s="194"/>
      <c r="AD636" s="194"/>
      <c r="AE636" s="194"/>
      <c r="AF636" s="194"/>
      <c r="AG636" s="194"/>
      <c r="AH636" s="194"/>
      <c r="AI636" s="194"/>
      <c r="AJ636" s="194"/>
      <c r="AK636" s="194"/>
      <c r="AL636" s="194"/>
      <c r="AM636" s="194"/>
    </row>
    <row r="637" spans="1:39" ht="15.75" customHeight="1" x14ac:dyDescent="0.25">
      <c r="A637" s="194"/>
      <c r="B637" s="194"/>
      <c r="C637" s="194"/>
      <c r="D637" s="194"/>
      <c r="E637" s="194"/>
      <c r="F637" s="194"/>
      <c r="G637" s="194"/>
      <c r="H637" s="194"/>
      <c r="I637" s="194"/>
      <c r="J637" s="194"/>
      <c r="K637" s="194"/>
      <c r="L637" s="194"/>
      <c r="M637" s="194"/>
      <c r="N637" s="194"/>
      <c r="O637" s="194"/>
      <c r="P637" s="194"/>
      <c r="Q637" s="194"/>
      <c r="R637" s="194"/>
      <c r="S637" s="194"/>
      <c r="T637" s="194"/>
      <c r="U637" s="194"/>
      <c r="V637" s="194"/>
      <c r="W637" s="194"/>
      <c r="X637" s="194"/>
      <c r="Y637" s="194"/>
      <c r="Z637" s="194"/>
      <c r="AA637" s="194"/>
      <c r="AB637" s="194"/>
      <c r="AC637" s="194"/>
      <c r="AD637" s="194"/>
      <c r="AE637" s="194"/>
      <c r="AF637" s="194"/>
      <c r="AG637" s="194"/>
      <c r="AH637" s="194"/>
      <c r="AI637" s="194"/>
      <c r="AJ637" s="194"/>
      <c r="AK637" s="194"/>
      <c r="AL637" s="194"/>
      <c r="AM637" s="194"/>
    </row>
    <row r="638" spans="1:39" ht="15.75" customHeight="1" x14ac:dyDescent="0.25">
      <c r="A638" s="194"/>
      <c r="B638" s="194"/>
      <c r="C638" s="194"/>
      <c r="D638" s="194"/>
      <c r="E638" s="194"/>
      <c r="F638" s="194"/>
      <c r="G638" s="194"/>
      <c r="H638" s="194"/>
      <c r="I638" s="194"/>
      <c r="J638" s="194"/>
      <c r="K638" s="194"/>
      <c r="L638" s="194"/>
      <c r="M638" s="194"/>
      <c r="N638" s="194"/>
      <c r="O638" s="194"/>
      <c r="P638" s="194"/>
      <c r="Q638" s="194"/>
      <c r="R638" s="194"/>
      <c r="S638" s="194"/>
      <c r="T638" s="194"/>
      <c r="U638" s="194"/>
      <c r="V638" s="194"/>
      <c r="W638" s="194"/>
      <c r="X638" s="194"/>
      <c r="Y638" s="194"/>
      <c r="Z638" s="194"/>
      <c r="AA638" s="194"/>
      <c r="AB638" s="194"/>
      <c r="AC638" s="194"/>
      <c r="AD638" s="194"/>
      <c r="AE638" s="194"/>
      <c r="AF638" s="194"/>
      <c r="AG638" s="194"/>
      <c r="AH638" s="194"/>
      <c r="AI638" s="194"/>
      <c r="AJ638" s="194"/>
      <c r="AK638" s="194"/>
      <c r="AL638" s="194"/>
      <c r="AM638" s="194"/>
    </row>
    <row r="639" spans="1:39" ht="15.75" customHeight="1" x14ac:dyDescent="0.25">
      <c r="A639" s="194"/>
      <c r="B639" s="194"/>
      <c r="C639" s="194"/>
      <c r="D639" s="194"/>
      <c r="E639" s="194"/>
      <c r="F639" s="194"/>
      <c r="G639" s="194"/>
      <c r="H639" s="194"/>
      <c r="I639" s="194"/>
      <c r="J639" s="194"/>
      <c r="K639" s="194"/>
      <c r="L639" s="194"/>
      <c r="M639" s="194"/>
      <c r="N639" s="194"/>
      <c r="O639" s="194"/>
      <c r="P639" s="194"/>
      <c r="Q639" s="194"/>
      <c r="R639" s="194"/>
      <c r="S639" s="194"/>
      <c r="T639" s="194"/>
      <c r="U639" s="194"/>
      <c r="V639" s="194"/>
      <c r="W639" s="194"/>
      <c r="X639" s="194"/>
      <c r="Y639" s="194"/>
      <c r="Z639" s="194"/>
      <c r="AA639" s="194"/>
      <c r="AB639" s="194"/>
      <c r="AC639" s="194"/>
      <c r="AD639" s="194"/>
      <c r="AE639" s="194"/>
      <c r="AF639" s="194"/>
      <c r="AG639" s="194"/>
      <c r="AH639" s="194"/>
      <c r="AI639" s="194"/>
      <c r="AJ639" s="194"/>
      <c r="AK639" s="194"/>
      <c r="AL639" s="194"/>
      <c r="AM639" s="194"/>
    </row>
    <row r="640" spans="1:39" ht="15.75" customHeight="1" x14ac:dyDescent="0.25">
      <c r="A640" s="194"/>
      <c r="B640" s="194"/>
      <c r="C640" s="194"/>
      <c r="D640" s="194"/>
      <c r="E640" s="194"/>
      <c r="F640" s="194"/>
      <c r="G640" s="194"/>
      <c r="H640" s="194"/>
      <c r="I640" s="194"/>
      <c r="J640" s="194"/>
      <c r="K640" s="194"/>
      <c r="L640" s="194"/>
      <c r="M640" s="194"/>
      <c r="N640" s="194"/>
      <c r="O640" s="194"/>
      <c r="P640" s="194"/>
      <c r="Q640" s="194"/>
      <c r="R640" s="194"/>
      <c r="S640" s="194"/>
      <c r="T640" s="194"/>
      <c r="U640" s="194"/>
      <c r="V640" s="194"/>
      <c r="W640" s="194"/>
      <c r="X640" s="194"/>
      <c r="Y640" s="194"/>
      <c r="Z640" s="194"/>
      <c r="AA640" s="194"/>
      <c r="AB640" s="194"/>
      <c r="AC640" s="194"/>
      <c r="AD640" s="194"/>
      <c r="AE640" s="194"/>
      <c r="AF640" s="194"/>
      <c r="AG640" s="194"/>
      <c r="AH640" s="194"/>
      <c r="AI640" s="194"/>
      <c r="AJ640" s="194"/>
      <c r="AK640" s="194"/>
      <c r="AL640" s="194"/>
      <c r="AM640" s="194"/>
    </row>
    <row r="641" spans="1:39" ht="15.75" customHeight="1" x14ac:dyDescent="0.25">
      <c r="A641" s="194"/>
      <c r="B641" s="194"/>
      <c r="C641" s="194"/>
      <c r="D641" s="194"/>
      <c r="E641" s="194"/>
      <c r="F641" s="194"/>
      <c r="G641" s="194"/>
      <c r="H641" s="194"/>
      <c r="I641" s="194"/>
      <c r="J641" s="194"/>
      <c r="K641" s="194"/>
      <c r="L641" s="194"/>
      <c r="M641" s="194"/>
      <c r="N641" s="194"/>
      <c r="O641" s="194"/>
      <c r="P641" s="194"/>
      <c r="Q641" s="194"/>
      <c r="R641" s="194"/>
      <c r="S641" s="194"/>
      <c r="T641" s="194"/>
      <c r="U641" s="194"/>
      <c r="V641" s="194"/>
      <c r="W641" s="194"/>
      <c r="X641" s="194"/>
      <c r="Y641" s="194"/>
      <c r="Z641" s="194"/>
      <c r="AA641" s="194"/>
      <c r="AB641" s="194"/>
      <c r="AC641" s="194"/>
      <c r="AD641" s="194"/>
      <c r="AE641" s="194"/>
      <c r="AF641" s="194"/>
      <c r="AG641" s="194"/>
      <c r="AH641" s="194"/>
      <c r="AI641" s="194"/>
      <c r="AJ641" s="194"/>
      <c r="AK641" s="194"/>
      <c r="AL641" s="194"/>
      <c r="AM641" s="194"/>
    </row>
    <row r="642" spans="1:39" ht="15.75" customHeight="1" x14ac:dyDescent="0.25">
      <c r="A642" s="194"/>
      <c r="B642" s="194"/>
      <c r="C642" s="194"/>
      <c r="D642" s="194"/>
      <c r="E642" s="194"/>
      <c r="F642" s="194"/>
      <c r="G642" s="194"/>
      <c r="H642" s="194"/>
      <c r="I642" s="194"/>
      <c r="J642" s="194"/>
      <c r="K642" s="194"/>
      <c r="L642" s="194"/>
      <c r="M642" s="194"/>
      <c r="N642" s="194"/>
      <c r="O642" s="194"/>
      <c r="P642" s="194"/>
      <c r="Q642" s="194"/>
      <c r="R642" s="194"/>
      <c r="S642" s="194"/>
      <c r="T642" s="194"/>
      <c r="U642" s="194"/>
      <c r="V642" s="194"/>
      <c r="W642" s="194"/>
      <c r="X642" s="194"/>
      <c r="Y642" s="194"/>
      <c r="Z642" s="194"/>
      <c r="AA642" s="194"/>
      <c r="AB642" s="194"/>
      <c r="AC642" s="194"/>
      <c r="AD642" s="194"/>
      <c r="AE642" s="194"/>
      <c r="AF642" s="194"/>
      <c r="AG642" s="194"/>
      <c r="AH642" s="194"/>
      <c r="AI642" s="194"/>
      <c r="AJ642" s="194"/>
      <c r="AK642" s="194"/>
      <c r="AL642" s="194"/>
      <c r="AM642" s="194"/>
    </row>
    <row r="643" spans="1:39" ht="15.75" customHeight="1" x14ac:dyDescent="0.25">
      <c r="A643" s="194"/>
      <c r="B643" s="194"/>
      <c r="C643" s="194"/>
      <c r="D643" s="194"/>
      <c r="E643" s="194"/>
      <c r="F643" s="194"/>
      <c r="G643" s="194"/>
      <c r="H643" s="194"/>
      <c r="I643" s="194"/>
      <c r="J643" s="194"/>
      <c r="K643" s="194"/>
      <c r="L643" s="194"/>
      <c r="M643" s="194"/>
      <c r="N643" s="194"/>
      <c r="O643" s="194"/>
      <c r="P643" s="194"/>
      <c r="Q643" s="194"/>
      <c r="R643" s="194"/>
      <c r="S643" s="194"/>
      <c r="T643" s="194"/>
      <c r="U643" s="194"/>
      <c r="V643" s="194"/>
      <c r="W643" s="194"/>
      <c r="X643" s="194"/>
      <c r="Y643" s="194"/>
      <c r="Z643" s="194"/>
      <c r="AA643" s="194"/>
      <c r="AB643" s="194"/>
      <c r="AC643" s="194"/>
      <c r="AD643" s="194"/>
      <c r="AE643" s="194"/>
      <c r="AF643" s="194"/>
      <c r="AG643" s="194"/>
      <c r="AH643" s="194"/>
      <c r="AI643" s="194"/>
      <c r="AJ643" s="194"/>
      <c r="AK643" s="194"/>
      <c r="AL643" s="194"/>
      <c r="AM643" s="194"/>
    </row>
    <row r="644" spans="1:39" ht="15.75" customHeight="1" x14ac:dyDescent="0.25">
      <c r="A644" s="194"/>
      <c r="B644" s="194"/>
      <c r="C644" s="194"/>
      <c r="D644" s="194"/>
      <c r="E644" s="194"/>
      <c r="F644" s="194"/>
      <c r="G644" s="194"/>
      <c r="H644" s="194"/>
      <c r="I644" s="194"/>
      <c r="J644" s="194"/>
      <c r="K644" s="194"/>
      <c r="L644" s="194"/>
      <c r="M644" s="194"/>
      <c r="N644" s="194"/>
      <c r="O644" s="194"/>
      <c r="P644" s="194"/>
      <c r="Q644" s="194"/>
      <c r="R644" s="194"/>
      <c r="S644" s="194"/>
      <c r="T644" s="194"/>
      <c r="U644" s="194"/>
      <c r="V644" s="194"/>
      <c r="W644" s="194"/>
      <c r="X644" s="194"/>
      <c r="Y644" s="194"/>
      <c r="Z644" s="194"/>
      <c r="AA644" s="194"/>
      <c r="AB644" s="194"/>
      <c r="AC644" s="194"/>
      <c r="AD644" s="194"/>
      <c r="AE644" s="194"/>
      <c r="AF644" s="194"/>
      <c r="AG644" s="194"/>
      <c r="AH644" s="194"/>
      <c r="AI644" s="194"/>
      <c r="AJ644" s="194"/>
      <c r="AK644" s="194"/>
      <c r="AL644" s="194"/>
      <c r="AM644" s="194"/>
    </row>
    <row r="645" spans="1:39" ht="15.75" customHeight="1" x14ac:dyDescent="0.25">
      <c r="A645" s="194"/>
      <c r="B645" s="194"/>
      <c r="C645" s="194"/>
      <c r="D645" s="194"/>
      <c r="E645" s="194"/>
      <c r="F645" s="194"/>
      <c r="G645" s="194"/>
      <c r="H645" s="194"/>
      <c r="I645" s="194"/>
      <c r="J645" s="194"/>
      <c r="K645" s="194"/>
      <c r="L645" s="194"/>
      <c r="M645" s="194"/>
      <c r="N645" s="194"/>
      <c r="O645" s="194"/>
      <c r="P645" s="194"/>
      <c r="Q645" s="194"/>
      <c r="R645" s="194"/>
      <c r="S645" s="194"/>
      <c r="T645" s="194"/>
      <c r="U645" s="194"/>
      <c r="V645" s="194"/>
      <c r="W645" s="194"/>
      <c r="X645" s="194"/>
      <c r="Y645" s="194"/>
      <c r="Z645" s="194"/>
      <c r="AA645" s="194"/>
      <c r="AB645" s="194"/>
      <c r="AC645" s="194"/>
      <c r="AD645" s="194"/>
      <c r="AE645" s="194"/>
      <c r="AF645" s="194"/>
      <c r="AG645" s="194"/>
      <c r="AH645" s="194"/>
      <c r="AI645" s="194"/>
      <c r="AJ645" s="194"/>
      <c r="AK645" s="194"/>
      <c r="AL645" s="194"/>
      <c r="AM645" s="194"/>
    </row>
    <row r="646" spans="1:39" ht="15.75" customHeight="1" x14ac:dyDescent="0.25">
      <c r="A646" s="194"/>
      <c r="B646" s="194"/>
      <c r="C646" s="194"/>
      <c r="D646" s="194"/>
      <c r="E646" s="194"/>
      <c r="F646" s="194"/>
      <c r="G646" s="194"/>
      <c r="H646" s="194"/>
      <c r="I646" s="194"/>
      <c r="J646" s="194"/>
      <c r="K646" s="194"/>
      <c r="L646" s="194"/>
      <c r="M646" s="194"/>
      <c r="N646" s="194"/>
      <c r="O646" s="194"/>
      <c r="P646" s="194"/>
      <c r="Q646" s="194"/>
      <c r="R646" s="194"/>
      <c r="S646" s="194"/>
      <c r="T646" s="194"/>
      <c r="U646" s="194"/>
      <c r="V646" s="194"/>
      <c r="W646" s="194"/>
      <c r="X646" s="194"/>
      <c r="Y646" s="194"/>
      <c r="Z646" s="194"/>
      <c r="AA646" s="194"/>
      <c r="AB646" s="194"/>
      <c r="AC646" s="194"/>
      <c r="AD646" s="194"/>
      <c r="AE646" s="194"/>
      <c r="AF646" s="194"/>
      <c r="AG646" s="194"/>
      <c r="AH646" s="194"/>
      <c r="AI646" s="194"/>
      <c r="AJ646" s="194"/>
      <c r="AK646" s="194"/>
      <c r="AL646" s="194"/>
      <c r="AM646" s="194"/>
    </row>
    <row r="647" spans="1:39" ht="15.75" customHeight="1" x14ac:dyDescent="0.25">
      <c r="A647" s="194"/>
      <c r="B647" s="194"/>
      <c r="C647" s="194"/>
      <c r="D647" s="194"/>
      <c r="E647" s="194"/>
      <c r="F647" s="194"/>
      <c r="G647" s="194"/>
      <c r="H647" s="194"/>
      <c r="I647" s="194"/>
      <c r="J647" s="194"/>
      <c r="K647" s="194"/>
      <c r="L647" s="194"/>
      <c r="M647" s="194"/>
      <c r="N647" s="194"/>
      <c r="O647" s="194"/>
      <c r="P647" s="194"/>
      <c r="Q647" s="194"/>
      <c r="R647" s="194"/>
      <c r="S647" s="194"/>
      <c r="T647" s="194"/>
      <c r="U647" s="194"/>
      <c r="V647" s="194"/>
      <c r="W647" s="194"/>
      <c r="X647" s="194"/>
      <c r="Y647" s="194"/>
      <c r="Z647" s="194"/>
      <c r="AA647" s="194"/>
      <c r="AB647" s="194"/>
      <c r="AC647" s="194"/>
      <c r="AD647" s="194"/>
      <c r="AE647" s="194"/>
      <c r="AF647" s="194"/>
      <c r="AG647" s="194"/>
      <c r="AH647" s="194"/>
      <c r="AI647" s="194"/>
      <c r="AJ647" s="194"/>
      <c r="AK647" s="194"/>
      <c r="AL647" s="194"/>
      <c r="AM647" s="194"/>
    </row>
    <row r="648" spans="1:39" ht="15.75" customHeight="1" x14ac:dyDescent="0.25">
      <c r="A648" s="194"/>
      <c r="B648" s="194"/>
      <c r="C648" s="194"/>
      <c r="D648" s="194"/>
      <c r="E648" s="194"/>
      <c r="F648" s="194"/>
      <c r="G648" s="194"/>
      <c r="H648" s="194"/>
      <c r="I648" s="194"/>
      <c r="J648" s="194"/>
      <c r="K648" s="194"/>
      <c r="L648" s="194"/>
      <c r="M648" s="194"/>
      <c r="N648" s="194"/>
      <c r="O648" s="194"/>
      <c r="P648" s="194"/>
      <c r="Q648" s="194"/>
      <c r="R648" s="194"/>
      <c r="S648" s="194"/>
      <c r="T648" s="194"/>
      <c r="U648" s="194"/>
      <c r="V648" s="194"/>
      <c r="W648" s="194"/>
      <c r="X648" s="194"/>
      <c r="Y648" s="194"/>
      <c r="Z648" s="194"/>
      <c r="AA648" s="194"/>
      <c r="AB648" s="194"/>
      <c r="AC648" s="194"/>
      <c r="AD648" s="194"/>
      <c r="AE648" s="194"/>
      <c r="AF648" s="194"/>
      <c r="AG648" s="194"/>
      <c r="AH648" s="194"/>
      <c r="AI648" s="194"/>
      <c r="AJ648" s="194"/>
      <c r="AK648" s="194"/>
      <c r="AL648" s="194"/>
      <c r="AM648" s="194"/>
    </row>
    <row r="649" spans="1:39" ht="15.75" customHeight="1" x14ac:dyDescent="0.25">
      <c r="A649" s="194"/>
      <c r="B649" s="194"/>
      <c r="C649" s="194"/>
      <c r="D649" s="194"/>
      <c r="E649" s="194"/>
      <c r="F649" s="194"/>
      <c r="G649" s="194"/>
      <c r="H649" s="194"/>
      <c r="I649" s="194"/>
      <c r="J649" s="194"/>
      <c r="K649" s="194"/>
      <c r="L649" s="194"/>
      <c r="M649" s="194"/>
      <c r="N649" s="194"/>
      <c r="O649" s="194"/>
      <c r="P649" s="194"/>
      <c r="Q649" s="194"/>
      <c r="R649" s="194"/>
      <c r="S649" s="194"/>
      <c r="T649" s="194"/>
      <c r="U649" s="194"/>
      <c r="V649" s="194"/>
      <c r="W649" s="194"/>
      <c r="X649" s="194"/>
      <c r="Y649" s="194"/>
      <c r="Z649" s="194"/>
      <c r="AA649" s="194"/>
      <c r="AB649" s="194"/>
      <c r="AC649" s="194"/>
      <c r="AD649" s="194"/>
      <c r="AE649" s="194"/>
      <c r="AF649" s="194"/>
      <c r="AG649" s="194"/>
      <c r="AH649" s="194"/>
      <c r="AI649" s="194"/>
      <c r="AJ649" s="194"/>
      <c r="AK649" s="194"/>
      <c r="AL649" s="194"/>
      <c r="AM649" s="194"/>
    </row>
    <row r="650" spans="1:39" ht="15.75" customHeight="1" x14ac:dyDescent="0.25">
      <c r="A650" s="194"/>
      <c r="B650" s="194"/>
      <c r="C650" s="194"/>
      <c r="D650" s="194"/>
      <c r="E650" s="194"/>
      <c r="F650" s="194"/>
      <c r="G650" s="194"/>
      <c r="H650" s="194"/>
      <c r="I650" s="194"/>
      <c r="J650" s="194"/>
      <c r="K650" s="194"/>
      <c r="L650" s="194"/>
      <c r="M650" s="194"/>
      <c r="N650" s="194"/>
      <c r="O650" s="194"/>
      <c r="P650" s="194"/>
      <c r="Q650" s="194"/>
      <c r="R650" s="194"/>
      <c r="S650" s="194"/>
      <c r="T650" s="194"/>
      <c r="U650" s="194"/>
      <c r="V650" s="194"/>
      <c r="W650" s="194"/>
      <c r="X650" s="194"/>
      <c r="Y650" s="194"/>
      <c r="Z650" s="194"/>
      <c r="AA650" s="194"/>
      <c r="AB650" s="194"/>
      <c r="AC650" s="194"/>
      <c r="AD650" s="194"/>
      <c r="AE650" s="194"/>
      <c r="AF650" s="194"/>
      <c r="AG650" s="194"/>
      <c r="AH650" s="194"/>
      <c r="AI650" s="194"/>
      <c r="AJ650" s="194"/>
      <c r="AK650" s="194"/>
      <c r="AL650" s="194"/>
      <c r="AM650" s="194"/>
    </row>
    <row r="651" spans="1:39" ht="15.75" customHeight="1" x14ac:dyDescent="0.25">
      <c r="A651" s="194"/>
      <c r="B651" s="194"/>
      <c r="C651" s="194"/>
      <c r="D651" s="194"/>
      <c r="E651" s="194"/>
      <c r="F651" s="194"/>
      <c r="G651" s="194"/>
      <c r="H651" s="194"/>
      <c r="I651" s="194"/>
      <c r="J651" s="194"/>
      <c r="K651" s="194"/>
      <c r="L651" s="194"/>
      <c r="M651" s="194"/>
      <c r="N651" s="194"/>
      <c r="O651" s="194"/>
      <c r="P651" s="194"/>
      <c r="Q651" s="194"/>
      <c r="R651" s="194"/>
      <c r="S651" s="194"/>
      <c r="T651" s="194"/>
      <c r="U651" s="194"/>
      <c r="V651" s="194"/>
      <c r="W651" s="194"/>
      <c r="X651" s="194"/>
      <c r="Y651" s="194"/>
      <c r="Z651" s="194"/>
      <c r="AA651" s="194"/>
      <c r="AB651" s="194"/>
      <c r="AC651" s="194"/>
      <c r="AD651" s="194"/>
      <c r="AE651" s="194"/>
      <c r="AF651" s="194"/>
      <c r="AG651" s="194"/>
      <c r="AH651" s="194"/>
      <c r="AI651" s="194"/>
      <c r="AJ651" s="194"/>
      <c r="AK651" s="194"/>
      <c r="AL651" s="194"/>
      <c r="AM651" s="194"/>
    </row>
    <row r="652" spans="1:39" ht="15.75" customHeight="1" x14ac:dyDescent="0.25">
      <c r="A652" s="194"/>
      <c r="B652" s="194"/>
      <c r="C652" s="194"/>
      <c r="D652" s="194"/>
      <c r="E652" s="194"/>
      <c r="F652" s="194"/>
      <c r="G652" s="194"/>
      <c r="H652" s="194"/>
      <c r="I652" s="194"/>
      <c r="J652" s="194"/>
      <c r="K652" s="194"/>
      <c r="L652" s="194"/>
      <c r="M652" s="194"/>
      <c r="N652" s="194"/>
      <c r="O652" s="194"/>
      <c r="P652" s="194"/>
      <c r="Q652" s="194"/>
      <c r="R652" s="194"/>
      <c r="S652" s="194"/>
      <c r="T652" s="194"/>
      <c r="U652" s="194"/>
      <c r="V652" s="194"/>
      <c r="W652" s="194"/>
      <c r="X652" s="194"/>
      <c r="Y652" s="194"/>
      <c r="Z652" s="194"/>
      <c r="AA652" s="194"/>
      <c r="AB652" s="194"/>
      <c r="AC652" s="194"/>
      <c r="AD652" s="194"/>
      <c r="AE652" s="194"/>
      <c r="AF652" s="194"/>
      <c r="AG652" s="194"/>
      <c r="AH652" s="194"/>
      <c r="AI652" s="194"/>
      <c r="AJ652" s="194"/>
      <c r="AK652" s="194"/>
      <c r="AL652" s="194"/>
      <c r="AM652" s="194"/>
    </row>
    <row r="653" spans="1:39" ht="15.75" customHeight="1" x14ac:dyDescent="0.25">
      <c r="A653" s="194"/>
      <c r="B653" s="194"/>
      <c r="C653" s="194"/>
      <c r="D653" s="194"/>
      <c r="E653" s="194"/>
      <c r="F653" s="194"/>
      <c r="G653" s="194"/>
      <c r="H653" s="194"/>
      <c r="I653" s="194"/>
      <c r="J653" s="194"/>
      <c r="K653" s="194"/>
      <c r="L653" s="194"/>
      <c r="M653" s="194"/>
      <c r="N653" s="194"/>
      <c r="O653" s="194"/>
      <c r="P653" s="194"/>
      <c r="Q653" s="194"/>
      <c r="R653" s="194"/>
      <c r="S653" s="194"/>
      <c r="T653" s="194"/>
      <c r="U653" s="194"/>
      <c r="V653" s="194"/>
      <c r="W653" s="194"/>
      <c r="X653" s="194"/>
      <c r="Y653" s="194"/>
      <c r="Z653" s="194"/>
      <c r="AA653" s="194"/>
      <c r="AB653" s="194"/>
      <c r="AC653" s="194"/>
      <c r="AD653" s="194"/>
      <c r="AE653" s="194"/>
      <c r="AF653" s="194"/>
      <c r="AG653" s="194"/>
      <c r="AH653" s="194"/>
      <c r="AI653" s="194"/>
      <c r="AJ653" s="194"/>
      <c r="AK653" s="194"/>
      <c r="AL653" s="194"/>
      <c r="AM653" s="194"/>
    </row>
    <row r="654" spans="1:39" ht="15.75" customHeight="1" x14ac:dyDescent="0.25">
      <c r="A654" s="194"/>
      <c r="B654" s="194"/>
      <c r="C654" s="194"/>
      <c r="D654" s="194"/>
      <c r="E654" s="194"/>
      <c r="F654" s="194"/>
      <c r="G654" s="194"/>
      <c r="H654" s="194"/>
      <c r="I654" s="194"/>
      <c r="J654" s="194"/>
      <c r="K654" s="194"/>
      <c r="L654" s="194"/>
      <c r="M654" s="194"/>
      <c r="N654" s="194"/>
      <c r="O654" s="194"/>
      <c r="P654" s="194"/>
      <c r="Q654" s="194"/>
      <c r="R654" s="194"/>
      <c r="S654" s="194"/>
      <c r="T654" s="194"/>
      <c r="U654" s="194"/>
      <c r="V654" s="194"/>
      <c r="W654" s="194"/>
      <c r="X654" s="194"/>
      <c r="Y654" s="194"/>
      <c r="Z654" s="194"/>
      <c r="AA654" s="194"/>
      <c r="AB654" s="194"/>
      <c r="AC654" s="194"/>
      <c r="AD654" s="194"/>
      <c r="AE654" s="194"/>
      <c r="AF654" s="194"/>
      <c r="AG654" s="194"/>
      <c r="AH654" s="194"/>
      <c r="AI654" s="194"/>
      <c r="AJ654" s="194"/>
      <c r="AK654" s="194"/>
      <c r="AL654" s="194"/>
      <c r="AM654" s="194"/>
    </row>
    <row r="655" spans="1:39" ht="15.75" customHeight="1" x14ac:dyDescent="0.25">
      <c r="A655" s="194"/>
      <c r="B655" s="194"/>
      <c r="C655" s="194"/>
      <c r="D655" s="194"/>
      <c r="E655" s="194"/>
      <c r="F655" s="194"/>
      <c r="G655" s="194"/>
      <c r="H655" s="194"/>
      <c r="I655" s="194"/>
      <c r="J655" s="194"/>
      <c r="K655" s="194"/>
      <c r="L655" s="194"/>
      <c r="M655" s="194"/>
      <c r="N655" s="194"/>
      <c r="O655" s="194"/>
      <c r="P655" s="194"/>
      <c r="Q655" s="194"/>
      <c r="R655" s="194"/>
      <c r="S655" s="194"/>
      <c r="T655" s="194"/>
      <c r="U655" s="194"/>
      <c r="V655" s="194"/>
      <c r="W655" s="194"/>
      <c r="X655" s="194"/>
      <c r="Y655" s="194"/>
      <c r="Z655" s="194"/>
      <c r="AA655" s="194"/>
      <c r="AB655" s="194"/>
      <c r="AC655" s="194"/>
      <c r="AD655" s="194"/>
      <c r="AE655" s="194"/>
      <c r="AF655" s="194"/>
      <c r="AG655" s="194"/>
      <c r="AH655" s="194"/>
      <c r="AI655" s="194"/>
      <c r="AJ655" s="194"/>
      <c r="AK655" s="194"/>
      <c r="AL655" s="194"/>
      <c r="AM655" s="194"/>
    </row>
    <row r="656" spans="1:39" ht="15.75" customHeight="1" x14ac:dyDescent="0.25">
      <c r="A656" s="194"/>
      <c r="B656" s="194"/>
      <c r="C656" s="194"/>
      <c r="D656" s="194"/>
      <c r="E656" s="194"/>
      <c r="F656" s="194"/>
      <c r="G656" s="194"/>
      <c r="H656" s="194"/>
      <c r="I656" s="194"/>
      <c r="J656" s="194"/>
      <c r="K656" s="194"/>
      <c r="L656" s="194"/>
      <c r="M656" s="194"/>
      <c r="N656" s="194"/>
      <c r="O656" s="194"/>
      <c r="P656" s="194"/>
      <c r="Q656" s="194"/>
      <c r="R656" s="194"/>
      <c r="S656" s="194"/>
      <c r="T656" s="194"/>
      <c r="U656" s="194"/>
      <c r="V656" s="194"/>
      <c r="W656" s="194"/>
      <c r="X656" s="194"/>
      <c r="Y656" s="194"/>
      <c r="Z656" s="194"/>
      <c r="AA656" s="194"/>
      <c r="AB656" s="194"/>
      <c r="AC656" s="194"/>
      <c r="AD656" s="194"/>
      <c r="AE656" s="194"/>
      <c r="AF656" s="194"/>
      <c r="AG656" s="194"/>
      <c r="AH656" s="194"/>
      <c r="AI656" s="194"/>
      <c r="AJ656" s="194"/>
      <c r="AK656" s="194"/>
      <c r="AL656" s="194"/>
      <c r="AM656" s="194"/>
    </row>
    <row r="657" spans="1:39" ht="15.75" customHeight="1" x14ac:dyDescent="0.25">
      <c r="A657" s="194"/>
      <c r="B657" s="194"/>
      <c r="C657" s="194"/>
      <c r="D657" s="194"/>
      <c r="E657" s="194"/>
      <c r="F657" s="194"/>
      <c r="G657" s="194"/>
      <c r="H657" s="194"/>
      <c r="I657" s="194"/>
      <c r="J657" s="194"/>
      <c r="K657" s="194"/>
      <c r="L657" s="194"/>
      <c r="M657" s="194"/>
      <c r="N657" s="194"/>
      <c r="O657" s="194"/>
      <c r="P657" s="194"/>
      <c r="Q657" s="194"/>
      <c r="R657" s="194"/>
      <c r="S657" s="194"/>
      <c r="T657" s="194"/>
      <c r="U657" s="194"/>
      <c r="V657" s="194"/>
      <c r="W657" s="194"/>
      <c r="X657" s="194"/>
      <c r="Y657" s="194"/>
      <c r="Z657" s="194"/>
      <c r="AA657" s="194"/>
      <c r="AB657" s="194"/>
      <c r="AC657" s="194"/>
      <c r="AD657" s="194"/>
      <c r="AE657" s="194"/>
      <c r="AF657" s="194"/>
      <c r="AG657" s="194"/>
      <c r="AH657" s="194"/>
      <c r="AI657" s="194"/>
      <c r="AJ657" s="194"/>
      <c r="AK657" s="194"/>
      <c r="AL657" s="194"/>
      <c r="AM657" s="194"/>
    </row>
    <row r="658" spans="1:39" ht="15.75" customHeight="1" x14ac:dyDescent="0.25">
      <c r="A658" s="194"/>
      <c r="B658" s="194"/>
      <c r="C658" s="194"/>
      <c r="D658" s="194"/>
      <c r="E658" s="194"/>
      <c r="F658" s="194"/>
      <c r="G658" s="194"/>
      <c r="H658" s="194"/>
      <c r="I658" s="194"/>
      <c r="J658" s="194"/>
      <c r="K658" s="194"/>
      <c r="L658" s="194"/>
      <c r="M658" s="194"/>
      <c r="N658" s="194"/>
      <c r="O658" s="194"/>
      <c r="P658" s="194"/>
      <c r="Q658" s="194"/>
      <c r="R658" s="194"/>
      <c r="S658" s="194"/>
      <c r="T658" s="194"/>
      <c r="U658" s="194"/>
      <c r="V658" s="194"/>
      <c r="W658" s="194"/>
      <c r="X658" s="194"/>
      <c r="Y658" s="194"/>
      <c r="Z658" s="194"/>
      <c r="AA658" s="194"/>
      <c r="AB658" s="194"/>
      <c r="AC658" s="194"/>
      <c r="AD658" s="194"/>
      <c r="AE658" s="194"/>
      <c r="AF658" s="194"/>
      <c r="AG658" s="194"/>
      <c r="AH658" s="194"/>
      <c r="AI658" s="194"/>
      <c r="AJ658" s="194"/>
      <c r="AK658" s="194"/>
      <c r="AL658" s="194"/>
      <c r="AM658" s="194"/>
    </row>
    <row r="659" spans="1:39" ht="15.75" customHeight="1" x14ac:dyDescent="0.25">
      <c r="A659" s="194"/>
      <c r="B659" s="194"/>
      <c r="C659" s="194"/>
      <c r="D659" s="194"/>
      <c r="E659" s="194"/>
      <c r="F659" s="194"/>
      <c r="G659" s="194"/>
      <c r="H659" s="194"/>
      <c r="I659" s="194"/>
      <c r="J659" s="194"/>
      <c r="K659" s="194"/>
      <c r="L659" s="194"/>
      <c r="M659" s="194"/>
      <c r="N659" s="194"/>
      <c r="O659" s="194"/>
      <c r="P659" s="194"/>
      <c r="Q659" s="194"/>
      <c r="R659" s="194"/>
      <c r="S659" s="194"/>
      <c r="T659" s="194"/>
      <c r="U659" s="194"/>
      <c r="V659" s="194"/>
      <c r="W659" s="194"/>
      <c r="X659" s="194"/>
      <c r="Y659" s="194"/>
      <c r="Z659" s="194"/>
      <c r="AA659" s="194"/>
      <c r="AB659" s="194"/>
      <c r="AC659" s="194"/>
      <c r="AD659" s="194"/>
      <c r="AE659" s="194"/>
      <c r="AF659" s="194"/>
      <c r="AG659" s="194"/>
      <c r="AH659" s="194"/>
      <c r="AI659" s="194"/>
      <c r="AJ659" s="194"/>
      <c r="AK659" s="194"/>
      <c r="AL659" s="194"/>
      <c r="AM659" s="194"/>
    </row>
    <row r="660" spans="1:39" ht="15.75" customHeight="1" x14ac:dyDescent="0.25">
      <c r="A660" s="194"/>
      <c r="B660" s="194"/>
      <c r="C660" s="194"/>
      <c r="D660" s="194"/>
      <c r="E660" s="194"/>
      <c r="F660" s="194"/>
      <c r="G660" s="194"/>
      <c r="H660" s="194"/>
      <c r="I660" s="194"/>
      <c r="J660" s="194"/>
      <c r="K660" s="194"/>
      <c r="L660" s="194"/>
      <c r="M660" s="194"/>
      <c r="N660" s="194"/>
      <c r="O660" s="194"/>
      <c r="P660" s="194"/>
      <c r="Q660" s="194"/>
      <c r="R660" s="194"/>
      <c r="S660" s="194"/>
      <c r="T660" s="194"/>
      <c r="U660" s="194"/>
      <c r="V660" s="194"/>
      <c r="W660" s="194"/>
      <c r="X660" s="194"/>
      <c r="Y660" s="194"/>
      <c r="Z660" s="194"/>
      <c r="AA660" s="194"/>
      <c r="AB660" s="194"/>
      <c r="AC660" s="194"/>
      <c r="AD660" s="194"/>
      <c r="AE660" s="194"/>
      <c r="AF660" s="194"/>
      <c r="AG660" s="194"/>
      <c r="AH660" s="194"/>
      <c r="AI660" s="194"/>
      <c r="AJ660" s="194"/>
      <c r="AK660" s="194"/>
      <c r="AL660" s="194"/>
      <c r="AM660" s="194"/>
    </row>
    <row r="661" spans="1:39" ht="15.75" customHeight="1" x14ac:dyDescent="0.25">
      <c r="A661" s="194"/>
      <c r="B661" s="194"/>
      <c r="C661" s="194"/>
      <c r="D661" s="194"/>
      <c r="E661" s="194"/>
      <c r="F661" s="194"/>
      <c r="G661" s="194"/>
      <c r="H661" s="194"/>
      <c r="I661" s="194"/>
      <c r="J661" s="194"/>
      <c r="K661" s="194"/>
      <c r="L661" s="194"/>
      <c r="M661" s="194"/>
      <c r="N661" s="194"/>
      <c r="O661" s="194"/>
      <c r="P661" s="194"/>
      <c r="Q661" s="194"/>
      <c r="R661" s="194"/>
      <c r="S661" s="194"/>
      <c r="T661" s="194"/>
      <c r="U661" s="194"/>
      <c r="V661" s="194"/>
      <c r="W661" s="194"/>
      <c r="X661" s="194"/>
      <c r="Y661" s="194"/>
      <c r="Z661" s="194"/>
      <c r="AA661" s="194"/>
      <c r="AB661" s="194"/>
      <c r="AC661" s="194"/>
      <c r="AD661" s="194"/>
      <c r="AE661" s="194"/>
      <c r="AF661" s="194"/>
      <c r="AG661" s="194"/>
      <c r="AH661" s="194"/>
      <c r="AI661" s="194"/>
      <c r="AJ661" s="194"/>
      <c r="AK661" s="194"/>
      <c r="AL661" s="194"/>
      <c r="AM661" s="194"/>
    </row>
    <row r="662" spans="1:39" ht="15.75" customHeight="1" x14ac:dyDescent="0.25">
      <c r="A662" s="194"/>
      <c r="B662" s="194"/>
      <c r="C662" s="194"/>
      <c r="D662" s="194"/>
      <c r="E662" s="194"/>
      <c r="F662" s="194"/>
      <c r="G662" s="194"/>
      <c r="H662" s="194"/>
      <c r="I662" s="194"/>
      <c r="J662" s="194"/>
      <c r="K662" s="194"/>
      <c r="L662" s="194"/>
      <c r="M662" s="194"/>
      <c r="N662" s="194"/>
      <c r="O662" s="194"/>
      <c r="P662" s="194"/>
      <c r="Q662" s="194"/>
      <c r="R662" s="194"/>
      <c r="S662" s="194"/>
      <c r="T662" s="194"/>
      <c r="U662" s="194"/>
      <c r="V662" s="194"/>
      <c r="W662" s="194"/>
      <c r="X662" s="194"/>
      <c r="Y662" s="194"/>
      <c r="Z662" s="194"/>
      <c r="AA662" s="194"/>
      <c r="AB662" s="194"/>
      <c r="AC662" s="194"/>
      <c r="AD662" s="194"/>
      <c r="AE662" s="194"/>
      <c r="AF662" s="194"/>
      <c r="AG662" s="194"/>
      <c r="AH662" s="194"/>
      <c r="AI662" s="194"/>
      <c r="AJ662" s="194"/>
      <c r="AK662" s="194"/>
      <c r="AL662" s="194"/>
      <c r="AM662" s="194"/>
    </row>
    <row r="663" spans="1:39" ht="15.75" customHeight="1" x14ac:dyDescent="0.25">
      <c r="A663" s="194"/>
      <c r="B663" s="194"/>
      <c r="C663" s="194"/>
      <c r="D663" s="194"/>
      <c r="E663" s="194"/>
      <c r="F663" s="194"/>
      <c r="G663" s="194"/>
      <c r="H663" s="194"/>
      <c r="I663" s="194"/>
      <c r="J663" s="194"/>
      <c r="K663" s="194"/>
      <c r="L663" s="194"/>
      <c r="M663" s="194"/>
      <c r="N663" s="194"/>
      <c r="O663" s="194"/>
      <c r="P663" s="194"/>
      <c r="Q663" s="194"/>
      <c r="R663" s="194"/>
      <c r="S663" s="194"/>
      <c r="T663" s="194"/>
      <c r="U663" s="194"/>
      <c r="V663" s="194"/>
      <c r="W663" s="194"/>
      <c r="X663" s="194"/>
      <c r="Y663" s="194"/>
      <c r="Z663" s="194"/>
      <c r="AA663" s="194"/>
      <c r="AB663" s="194"/>
      <c r="AC663" s="194"/>
      <c r="AD663" s="194"/>
      <c r="AE663" s="194"/>
      <c r="AF663" s="194"/>
      <c r="AG663" s="194"/>
      <c r="AH663" s="194"/>
      <c r="AI663" s="194"/>
      <c r="AJ663" s="194"/>
      <c r="AK663" s="194"/>
      <c r="AL663" s="194"/>
      <c r="AM663" s="194"/>
    </row>
    <row r="664" spans="1:39" ht="15.75" customHeight="1" x14ac:dyDescent="0.25">
      <c r="A664" s="194"/>
      <c r="B664" s="194"/>
      <c r="C664" s="194"/>
      <c r="D664" s="194"/>
      <c r="E664" s="194"/>
      <c r="F664" s="194"/>
      <c r="G664" s="194"/>
      <c r="H664" s="194"/>
      <c r="I664" s="194"/>
      <c r="J664" s="194"/>
      <c r="K664" s="194"/>
      <c r="L664" s="194"/>
      <c r="M664" s="194"/>
      <c r="N664" s="194"/>
      <c r="O664" s="194"/>
      <c r="P664" s="194"/>
      <c r="Q664" s="194"/>
      <c r="R664" s="194"/>
      <c r="S664" s="194"/>
      <c r="T664" s="194"/>
      <c r="U664" s="194"/>
      <c r="V664" s="194"/>
      <c r="W664" s="194"/>
      <c r="X664" s="194"/>
      <c r="Y664" s="194"/>
      <c r="Z664" s="194"/>
      <c r="AA664" s="194"/>
      <c r="AB664" s="194"/>
      <c r="AC664" s="194"/>
      <c r="AD664" s="194"/>
      <c r="AE664" s="194"/>
      <c r="AF664" s="194"/>
      <c r="AG664" s="194"/>
      <c r="AH664" s="194"/>
      <c r="AI664" s="194"/>
      <c r="AJ664" s="194"/>
      <c r="AK664" s="194"/>
      <c r="AL664" s="194"/>
      <c r="AM664" s="194"/>
    </row>
    <row r="665" spans="1:39" ht="15.75" customHeight="1" x14ac:dyDescent="0.25">
      <c r="A665" s="194"/>
      <c r="B665" s="194"/>
      <c r="C665" s="194"/>
      <c r="D665" s="194"/>
      <c r="E665" s="194"/>
      <c r="F665" s="194"/>
      <c r="G665" s="194"/>
      <c r="H665" s="194"/>
      <c r="I665" s="194"/>
      <c r="J665" s="194"/>
      <c r="K665" s="194"/>
      <c r="L665" s="194"/>
      <c r="M665" s="194"/>
      <c r="N665" s="194"/>
      <c r="O665" s="194"/>
      <c r="P665" s="194"/>
      <c r="Q665" s="194"/>
      <c r="R665" s="194"/>
      <c r="S665" s="194"/>
      <c r="T665" s="194"/>
      <c r="U665" s="194"/>
      <c r="V665" s="194"/>
      <c r="W665" s="194"/>
      <c r="X665" s="194"/>
      <c r="Y665" s="194"/>
      <c r="Z665" s="194"/>
      <c r="AA665" s="194"/>
      <c r="AB665" s="194"/>
      <c r="AC665" s="194"/>
      <c r="AD665" s="194"/>
      <c r="AE665" s="194"/>
      <c r="AF665" s="194"/>
      <c r="AG665" s="194"/>
      <c r="AH665" s="194"/>
      <c r="AI665" s="194"/>
      <c r="AJ665" s="194"/>
      <c r="AK665" s="194"/>
      <c r="AL665" s="194"/>
      <c r="AM665" s="194"/>
    </row>
    <row r="666" spans="1:39" ht="15.75" customHeight="1" x14ac:dyDescent="0.25">
      <c r="A666" s="194"/>
      <c r="B666" s="194"/>
      <c r="C666" s="194"/>
      <c r="D666" s="194"/>
      <c r="E666" s="194"/>
      <c r="F666" s="194"/>
      <c r="G666" s="194"/>
      <c r="H666" s="194"/>
      <c r="I666" s="194"/>
      <c r="J666" s="194"/>
      <c r="K666" s="194"/>
      <c r="L666" s="194"/>
      <c r="M666" s="194"/>
      <c r="N666" s="194"/>
      <c r="O666" s="194"/>
      <c r="P666" s="194"/>
      <c r="Q666" s="194"/>
      <c r="R666" s="194"/>
      <c r="S666" s="194"/>
      <c r="T666" s="194"/>
      <c r="U666" s="194"/>
      <c r="V666" s="194"/>
      <c r="W666" s="194"/>
      <c r="X666" s="194"/>
      <c r="Y666" s="194"/>
      <c r="Z666" s="194"/>
      <c r="AA666" s="194"/>
      <c r="AB666" s="194"/>
      <c r="AC666" s="194"/>
      <c r="AD666" s="194"/>
      <c r="AE666" s="194"/>
      <c r="AF666" s="194"/>
      <c r="AG666" s="194"/>
      <c r="AH666" s="194"/>
      <c r="AI666" s="194"/>
      <c r="AJ666" s="194"/>
      <c r="AK666" s="194"/>
      <c r="AL666" s="194"/>
      <c r="AM666" s="194"/>
    </row>
    <row r="667" spans="1:39" ht="15.75" customHeight="1" x14ac:dyDescent="0.25">
      <c r="A667" s="194"/>
      <c r="B667" s="194"/>
      <c r="C667" s="194"/>
      <c r="D667" s="194"/>
      <c r="E667" s="194"/>
      <c r="F667" s="194"/>
      <c r="G667" s="194"/>
      <c r="H667" s="194"/>
      <c r="I667" s="194"/>
      <c r="J667" s="194"/>
      <c r="K667" s="194"/>
      <c r="L667" s="194"/>
      <c r="M667" s="194"/>
      <c r="N667" s="194"/>
      <c r="O667" s="194"/>
      <c r="P667" s="194"/>
      <c r="Q667" s="194"/>
      <c r="R667" s="194"/>
      <c r="S667" s="194"/>
      <c r="T667" s="194"/>
      <c r="U667" s="194"/>
      <c r="V667" s="194"/>
      <c r="W667" s="194"/>
      <c r="X667" s="194"/>
      <c r="Y667" s="194"/>
      <c r="Z667" s="194"/>
      <c r="AA667" s="194"/>
      <c r="AB667" s="194"/>
      <c r="AC667" s="194"/>
      <c r="AD667" s="194"/>
      <c r="AE667" s="194"/>
      <c r="AF667" s="194"/>
      <c r="AG667" s="194"/>
      <c r="AH667" s="194"/>
      <c r="AI667" s="194"/>
      <c r="AJ667" s="194"/>
      <c r="AK667" s="194"/>
      <c r="AL667" s="194"/>
      <c r="AM667" s="194"/>
    </row>
    <row r="668" spans="1:39" ht="15.75" customHeight="1" x14ac:dyDescent="0.25">
      <c r="A668" s="194"/>
      <c r="B668" s="194"/>
      <c r="C668" s="194"/>
      <c r="D668" s="194"/>
      <c r="E668" s="194"/>
      <c r="F668" s="194"/>
      <c r="G668" s="194"/>
      <c r="H668" s="194"/>
      <c r="I668" s="194"/>
      <c r="J668" s="194"/>
      <c r="K668" s="194"/>
      <c r="L668" s="194"/>
      <c r="M668" s="194"/>
      <c r="N668" s="194"/>
      <c r="O668" s="194"/>
      <c r="P668" s="194"/>
      <c r="Q668" s="194"/>
      <c r="R668" s="194"/>
      <c r="S668" s="194"/>
      <c r="T668" s="194"/>
      <c r="U668" s="194"/>
      <c r="V668" s="194"/>
      <c r="W668" s="194"/>
      <c r="X668" s="194"/>
      <c r="Y668" s="194"/>
      <c r="Z668" s="194"/>
      <c r="AA668" s="194"/>
      <c r="AB668" s="194"/>
      <c r="AC668" s="194"/>
      <c r="AD668" s="194"/>
      <c r="AE668" s="194"/>
      <c r="AF668" s="194"/>
      <c r="AG668" s="194"/>
      <c r="AH668" s="194"/>
      <c r="AI668" s="194"/>
      <c r="AJ668" s="194"/>
      <c r="AK668" s="194"/>
      <c r="AL668" s="194"/>
      <c r="AM668" s="194"/>
    </row>
    <row r="669" spans="1:39" ht="15.75" customHeight="1" x14ac:dyDescent="0.25">
      <c r="A669" s="194"/>
      <c r="B669" s="194"/>
      <c r="C669" s="194"/>
      <c r="D669" s="194"/>
      <c r="E669" s="194"/>
      <c r="F669" s="194"/>
      <c r="G669" s="194"/>
      <c r="H669" s="194"/>
      <c r="I669" s="194"/>
      <c r="J669" s="194"/>
      <c r="K669" s="194"/>
      <c r="L669" s="194"/>
      <c r="M669" s="194"/>
      <c r="N669" s="194"/>
      <c r="O669" s="194"/>
      <c r="P669" s="194"/>
      <c r="Q669" s="194"/>
      <c r="R669" s="194"/>
      <c r="S669" s="194"/>
      <c r="T669" s="194"/>
      <c r="U669" s="194"/>
      <c r="V669" s="194"/>
      <c r="W669" s="194"/>
      <c r="X669" s="194"/>
      <c r="Y669" s="194"/>
      <c r="Z669" s="194"/>
      <c r="AA669" s="194"/>
      <c r="AB669" s="194"/>
      <c r="AC669" s="194"/>
      <c r="AD669" s="194"/>
      <c r="AE669" s="194"/>
      <c r="AF669" s="194"/>
      <c r="AG669" s="194"/>
      <c r="AH669" s="194"/>
      <c r="AI669" s="194"/>
      <c r="AJ669" s="194"/>
      <c r="AK669" s="194"/>
      <c r="AL669" s="194"/>
      <c r="AM669" s="194"/>
    </row>
    <row r="670" spans="1:39" ht="15.75" customHeight="1" x14ac:dyDescent="0.25">
      <c r="A670" s="194"/>
      <c r="B670" s="194"/>
      <c r="C670" s="194"/>
      <c r="D670" s="194"/>
      <c r="E670" s="194"/>
      <c r="F670" s="194"/>
      <c r="G670" s="194"/>
      <c r="H670" s="194"/>
      <c r="I670" s="194"/>
      <c r="J670" s="194"/>
      <c r="K670" s="194"/>
      <c r="L670" s="194"/>
      <c r="M670" s="194"/>
      <c r="N670" s="194"/>
      <c r="O670" s="194"/>
      <c r="P670" s="194"/>
      <c r="Q670" s="194"/>
      <c r="R670" s="194"/>
      <c r="S670" s="194"/>
      <c r="T670" s="194"/>
      <c r="U670" s="194"/>
      <c r="V670" s="194"/>
      <c r="W670" s="194"/>
      <c r="X670" s="194"/>
      <c r="Y670" s="194"/>
      <c r="Z670" s="194"/>
      <c r="AA670" s="194"/>
      <c r="AB670" s="194"/>
      <c r="AC670" s="194"/>
      <c r="AD670" s="194"/>
      <c r="AE670" s="194"/>
      <c r="AF670" s="194"/>
      <c r="AG670" s="194"/>
      <c r="AH670" s="194"/>
      <c r="AI670" s="194"/>
      <c r="AJ670" s="194"/>
      <c r="AK670" s="194"/>
      <c r="AL670" s="194"/>
      <c r="AM670" s="194"/>
    </row>
    <row r="671" spans="1:39" ht="15.75" customHeight="1" x14ac:dyDescent="0.25">
      <c r="A671" s="194"/>
      <c r="B671" s="194"/>
      <c r="C671" s="194"/>
      <c r="D671" s="194"/>
      <c r="E671" s="194"/>
      <c r="F671" s="194"/>
      <c r="G671" s="194"/>
      <c r="H671" s="194"/>
      <c r="I671" s="194"/>
      <c r="J671" s="194"/>
      <c r="K671" s="194"/>
      <c r="L671" s="194"/>
      <c r="M671" s="194"/>
      <c r="N671" s="194"/>
      <c r="O671" s="194"/>
      <c r="P671" s="194"/>
      <c r="Q671" s="194"/>
      <c r="R671" s="194"/>
      <c r="S671" s="194"/>
      <c r="T671" s="194"/>
      <c r="U671" s="194"/>
      <c r="V671" s="194"/>
      <c r="W671" s="194"/>
      <c r="X671" s="194"/>
      <c r="Y671" s="194"/>
      <c r="Z671" s="194"/>
      <c r="AA671" s="194"/>
      <c r="AB671" s="194"/>
      <c r="AC671" s="194"/>
      <c r="AD671" s="194"/>
      <c r="AE671" s="194"/>
      <c r="AF671" s="194"/>
      <c r="AG671" s="194"/>
      <c r="AH671" s="194"/>
      <c r="AI671" s="194"/>
      <c r="AJ671" s="194"/>
      <c r="AK671" s="194"/>
      <c r="AL671" s="194"/>
      <c r="AM671" s="194"/>
    </row>
    <row r="672" spans="1:39" ht="15.75" customHeight="1" x14ac:dyDescent="0.25">
      <c r="A672" s="194"/>
      <c r="B672" s="194"/>
      <c r="C672" s="194"/>
      <c r="D672" s="194"/>
      <c r="E672" s="194"/>
      <c r="F672" s="194"/>
      <c r="G672" s="194"/>
      <c r="H672" s="194"/>
      <c r="I672" s="194"/>
      <c r="J672" s="194"/>
      <c r="K672" s="194"/>
      <c r="L672" s="194"/>
      <c r="M672" s="194"/>
      <c r="N672" s="194"/>
      <c r="O672" s="194"/>
      <c r="P672" s="194"/>
      <c r="Q672" s="194"/>
      <c r="R672" s="194"/>
      <c r="S672" s="194"/>
      <c r="T672" s="194"/>
      <c r="U672" s="194"/>
      <c r="V672" s="194"/>
      <c r="W672" s="194"/>
      <c r="X672" s="194"/>
      <c r="Y672" s="194"/>
      <c r="Z672" s="194"/>
      <c r="AA672" s="194"/>
      <c r="AB672" s="194"/>
      <c r="AC672" s="194"/>
      <c r="AD672" s="194"/>
      <c r="AE672" s="194"/>
      <c r="AF672" s="194"/>
      <c r="AG672" s="194"/>
      <c r="AH672" s="194"/>
      <c r="AI672" s="194"/>
      <c r="AJ672" s="194"/>
      <c r="AK672" s="194"/>
      <c r="AL672" s="194"/>
      <c r="AM672" s="194"/>
    </row>
    <row r="673" spans="1:39" ht="15.75" customHeight="1" x14ac:dyDescent="0.25">
      <c r="A673" s="194"/>
      <c r="B673" s="194"/>
      <c r="C673" s="194"/>
      <c r="D673" s="194"/>
      <c r="E673" s="194"/>
      <c r="F673" s="194"/>
      <c r="G673" s="194"/>
      <c r="H673" s="194"/>
      <c r="I673" s="194"/>
      <c r="J673" s="194"/>
      <c r="K673" s="194"/>
      <c r="L673" s="194"/>
      <c r="M673" s="194"/>
      <c r="N673" s="194"/>
      <c r="O673" s="194"/>
      <c r="P673" s="194"/>
      <c r="Q673" s="194"/>
      <c r="R673" s="194"/>
      <c r="S673" s="194"/>
      <c r="T673" s="194"/>
      <c r="U673" s="194"/>
      <c r="V673" s="194"/>
      <c r="W673" s="194"/>
      <c r="X673" s="194"/>
      <c r="Y673" s="194"/>
      <c r="Z673" s="194"/>
      <c r="AA673" s="194"/>
      <c r="AB673" s="194"/>
      <c r="AC673" s="194"/>
      <c r="AD673" s="194"/>
      <c r="AE673" s="194"/>
      <c r="AF673" s="194"/>
      <c r="AG673" s="194"/>
      <c r="AH673" s="194"/>
      <c r="AI673" s="194"/>
      <c r="AJ673" s="194"/>
      <c r="AK673" s="194"/>
      <c r="AL673" s="194"/>
      <c r="AM673" s="194"/>
    </row>
    <row r="674" spans="1:39" ht="15.75" customHeight="1" x14ac:dyDescent="0.25">
      <c r="A674" s="194"/>
      <c r="B674" s="194"/>
      <c r="C674" s="194"/>
      <c r="D674" s="194"/>
      <c r="E674" s="194"/>
      <c r="F674" s="194"/>
      <c r="G674" s="194"/>
      <c r="H674" s="194"/>
      <c r="I674" s="194"/>
      <c r="J674" s="194"/>
      <c r="K674" s="194"/>
      <c r="L674" s="194"/>
      <c r="M674" s="194"/>
      <c r="N674" s="194"/>
      <c r="O674" s="194"/>
      <c r="P674" s="194"/>
      <c r="Q674" s="194"/>
      <c r="R674" s="194"/>
      <c r="S674" s="194"/>
      <c r="T674" s="194"/>
      <c r="U674" s="194"/>
      <c r="V674" s="194"/>
      <c r="W674" s="194"/>
      <c r="X674" s="194"/>
      <c r="Y674" s="194"/>
      <c r="Z674" s="194"/>
      <c r="AA674" s="194"/>
      <c r="AB674" s="194"/>
      <c r="AC674" s="194"/>
      <c r="AD674" s="194"/>
      <c r="AE674" s="194"/>
      <c r="AF674" s="194"/>
      <c r="AG674" s="194"/>
      <c r="AH674" s="194"/>
      <c r="AI674" s="194"/>
      <c r="AJ674" s="194"/>
      <c r="AK674" s="194"/>
      <c r="AL674" s="194"/>
      <c r="AM674" s="194"/>
    </row>
    <row r="675" spans="1:39" ht="15.75" customHeight="1" x14ac:dyDescent="0.25">
      <c r="A675" s="194"/>
      <c r="B675" s="194"/>
      <c r="C675" s="194"/>
      <c r="D675" s="194"/>
      <c r="E675" s="194"/>
      <c r="F675" s="194"/>
      <c r="G675" s="194"/>
      <c r="H675" s="194"/>
      <c r="I675" s="194"/>
      <c r="J675" s="194"/>
      <c r="K675" s="194"/>
      <c r="L675" s="194"/>
      <c r="M675" s="194"/>
      <c r="N675" s="194"/>
      <c r="O675" s="194"/>
      <c r="P675" s="194"/>
      <c r="Q675" s="194"/>
      <c r="R675" s="194"/>
      <c r="S675" s="194"/>
      <c r="T675" s="194"/>
      <c r="U675" s="194"/>
      <c r="V675" s="194"/>
      <c r="W675" s="194"/>
      <c r="X675" s="194"/>
      <c r="Y675" s="194"/>
      <c r="Z675" s="194"/>
      <c r="AA675" s="194"/>
      <c r="AB675" s="194"/>
      <c r="AC675" s="194"/>
      <c r="AD675" s="194"/>
      <c r="AE675" s="194"/>
      <c r="AF675" s="194"/>
      <c r="AG675" s="194"/>
      <c r="AH675" s="194"/>
      <c r="AI675" s="194"/>
      <c r="AJ675" s="194"/>
      <c r="AK675" s="194"/>
      <c r="AL675" s="194"/>
      <c r="AM675" s="194"/>
    </row>
    <row r="676" spans="1:39" ht="15.75" customHeight="1" x14ac:dyDescent="0.25">
      <c r="A676" s="194"/>
      <c r="B676" s="194"/>
      <c r="C676" s="194"/>
      <c r="D676" s="194"/>
      <c r="E676" s="194"/>
      <c r="F676" s="194"/>
      <c r="G676" s="194"/>
      <c r="H676" s="194"/>
      <c r="I676" s="194"/>
      <c r="J676" s="194"/>
      <c r="K676" s="194"/>
      <c r="L676" s="194"/>
      <c r="M676" s="194"/>
      <c r="N676" s="194"/>
      <c r="O676" s="194"/>
      <c r="P676" s="194"/>
      <c r="Q676" s="194"/>
      <c r="R676" s="194"/>
      <c r="S676" s="194"/>
      <c r="T676" s="194"/>
      <c r="U676" s="194"/>
      <c r="V676" s="194"/>
      <c r="W676" s="194"/>
      <c r="X676" s="194"/>
      <c r="Y676" s="194"/>
      <c r="Z676" s="194"/>
      <c r="AA676" s="194"/>
      <c r="AB676" s="194"/>
      <c r="AC676" s="194"/>
      <c r="AD676" s="194"/>
      <c r="AE676" s="194"/>
      <c r="AF676" s="194"/>
      <c r="AG676" s="194"/>
      <c r="AH676" s="194"/>
      <c r="AI676" s="194"/>
      <c r="AJ676" s="194"/>
      <c r="AK676" s="194"/>
      <c r="AL676" s="194"/>
      <c r="AM676" s="194"/>
    </row>
    <row r="677" spans="1:39" ht="15.75" customHeight="1" x14ac:dyDescent="0.25">
      <c r="A677" s="194"/>
      <c r="B677" s="194"/>
      <c r="C677" s="194"/>
      <c r="D677" s="194"/>
      <c r="E677" s="194"/>
      <c r="F677" s="194"/>
      <c r="G677" s="194"/>
      <c r="H677" s="194"/>
      <c r="I677" s="194"/>
      <c r="J677" s="194"/>
      <c r="K677" s="194"/>
      <c r="L677" s="194"/>
      <c r="M677" s="194"/>
      <c r="N677" s="194"/>
      <c r="O677" s="194"/>
      <c r="P677" s="194"/>
      <c r="Q677" s="194"/>
      <c r="R677" s="194"/>
      <c r="S677" s="194"/>
      <c r="T677" s="194"/>
      <c r="U677" s="194"/>
      <c r="V677" s="194"/>
      <c r="W677" s="194"/>
      <c r="X677" s="194"/>
      <c r="Y677" s="194"/>
      <c r="Z677" s="194"/>
      <c r="AA677" s="194"/>
      <c r="AB677" s="194"/>
      <c r="AC677" s="194"/>
      <c r="AD677" s="194"/>
      <c r="AE677" s="194"/>
      <c r="AF677" s="194"/>
      <c r="AG677" s="194"/>
      <c r="AH677" s="194"/>
      <c r="AI677" s="194"/>
      <c r="AJ677" s="194"/>
      <c r="AK677" s="194"/>
      <c r="AL677" s="194"/>
      <c r="AM677" s="194"/>
    </row>
    <row r="678" spans="1:39" ht="15.75" customHeight="1" x14ac:dyDescent="0.25">
      <c r="A678" s="194"/>
      <c r="B678" s="194"/>
      <c r="C678" s="194"/>
      <c r="D678" s="194"/>
      <c r="E678" s="194"/>
      <c r="F678" s="194"/>
      <c r="G678" s="194"/>
      <c r="H678" s="194"/>
      <c r="I678" s="194"/>
      <c r="J678" s="194"/>
      <c r="K678" s="194"/>
      <c r="L678" s="194"/>
      <c r="M678" s="194"/>
      <c r="N678" s="194"/>
      <c r="O678" s="194"/>
      <c r="P678" s="194"/>
      <c r="Q678" s="194"/>
      <c r="R678" s="194"/>
      <c r="S678" s="194"/>
      <c r="T678" s="194"/>
      <c r="U678" s="194"/>
      <c r="V678" s="194"/>
      <c r="W678" s="194"/>
      <c r="X678" s="194"/>
      <c r="Y678" s="194"/>
      <c r="Z678" s="194"/>
      <c r="AA678" s="194"/>
      <c r="AB678" s="194"/>
      <c r="AC678" s="194"/>
      <c r="AD678" s="194"/>
      <c r="AE678" s="194"/>
      <c r="AF678" s="194"/>
      <c r="AG678" s="194"/>
      <c r="AH678" s="194"/>
      <c r="AI678" s="194"/>
      <c r="AJ678" s="194"/>
      <c r="AK678" s="194"/>
      <c r="AL678" s="194"/>
      <c r="AM678" s="194"/>
    </row>
    <row r="679" spans="1:39" ht="15.75" customHeight="1" x14ac:dyDescent="0.25">
      <c r="A679" s="194"/>
      <c r="B679" s="194"/>
      <c r="C679" s="194"/>
      <c r="D679" s="194"/>
      <c r="E679" s="194"/>
      <c r="F679" s="194"/>
      <c r="G679" s="194"/>
      <c r="H679" s="194"/>
      <c r="I679" s="194"/>
      <c r="J679" s="194"/>
      <c r="K679" s="194"/>
      <c r="L679" s="194"/>
      <c r="M679" s="194"/>
      <c r="N679" s="194"/>
      <c r="O679" s="194"/>
      <c r="P679" s="194"/>
      <c r="Q679" s="194"/>
      <c r="R679" s="194"/>
      <c r="S679" s="194"/>
      <c r="T679" s="194"/>
      <c r="U679" s="194"/>
      <c r="V679" s="194"/>
      <c r="W679" s="194"/>
      <c r="X679" s="194"/>
      <c r="Y679" s="194"/>
      <c r="Z679" s="194"/>
      <c r="AA679" s="194"/>
      <c r="AB679" s="194"/>
      <c r="AC679" s="194"/>
      <c r="AD679" s="194"/>
      <c r="AE679" s="194"/>
      <c r="AF679" s="194"/>
      <c r="AG679" s="194"/>
      <c r="AH679" s="194"/>
      <c r="AI679" s="194"/>
      <c r="AJ679" s="194"/>
      <c r="AK679" s="194"/>
      <c r="AL679" s="194"/>
      <c r="AM679" s="194"/>
    </row>
    <row r="680" spans="1:39" ht="15.75" customHeight="1" x14ac:dyDescent="0.25">
      <c r="A680" s="194"/>
      <c r="B680" s="194"/>
      <c r="C680" s="194"/>
      <c r="D680" s="194"/>
      <c r="E680" s="194"/>
      <c r="F680" s="194"/>
      <c r="G680" s="194"/>
      <c r="H680" s="194"/>
      <c r="I680" s="194"/>
      <c r="J680" s="194"/>
      <c r="K680" s="194"/>
      <c r="L680" s="194"/>
      <c r="M680" s="194"/>
      <c r="N680" s="194"/>
      <c r="O680" s="194"/>
      <c r="P680" s="194"/>
      <c r="Q680" s="194"/>
      <c r="R680" s="194"/>
      <c r="S680" s="194"/>
      <c r="T680" s="194"/>
      <c r="U680" s="194"/>
      <c r="V680" s="194"/>
      <c r="W680" s="194"/>
      <c r="X680" s="194"/>
      <c r="Y680" s="194"/>
      <c r="Z680" s="194"/>
      <c r="AA680" s="194"/>
      <c r="AB680" s="194"/>
      <c r="AC680" s="194"/>
      <c r="AD680" s="194"/>
      <c r="AE680" s="194"/>
      <c r="AF680" s="194"/>
      <c r="AG680" s="194"/>
      <c r="AH680" s="194"/>
      <c r="AI680" s="194"/>
      <c r="AJ680" s="194"/>
      <c r="AK680" s="194"/>
      <c r="AL680" s="194"/>
      <c r="AM680" s="194"/>
    </row>
    <row r="681" spans="1:39" ht="15.75" customHeight="1" x14ac:dyDescent="0.25">
      <c r="A681" s="194"/>
      <c r="B681" s="194"/>
      <c r="C681" s="194"/>
      <c r="D681" s="194"/>
      <c r="E681" s="194"/>
      <c r="F681" s="194"/>
      <c r="G681" s="194"/>
      <c r="H681" s="194"/>
      <c r="I681" s="194"/>
      <c r="J681" s="194"/>
      <c r="K681" s="194"/>
      <c r="L681" s="194"/>
      <c r="M681" s="194"/>
      <c r="N681" s="194"/>
      <c r="O681" s="194"/>
      <c r="P681" s="194"/>
      <c r="Q681" s="194"/>
      <c r="R681" s="194"/>
      <c r="S681" s="194"/>
      <c r="T681" s="194"/>
      <c r="U681" s="194"/>
      <c r="V681" s="194"/>
      <c r="W681" s="194"/>
      <c r="X681" s="194"/>
      <c r="Y681" s="194"/>
      <c r="Z681" s="194"/>
      <c r="AA681" s="194"/>
      <c r="AB681" s="194"/>
      <c r="AC681" s="194"/>
      <c r="AD681" s="194"/>
      <c r="AE681" s="194"/>
      <c r="AF681" s="194"/>
      <c r="AG681" s="194"/>
      <c r="AH681" s="194"/>
      <c r="AI681" s="194"/>
      <c r="AJ681" s="194"/>
      <c r="AK681" s="194"/>
      <c r="AL681" s="194"/>
      <c r="AM681" s="194"/>
    </row>
    <row r="682" spans="1:39" ht="15.75" customHeight="1" x14ac:dyDescent="0.25">
      <c r="A682" s="194"/>
      <c r="B682" s="194"/>
      <c r="C682" s="194"/>
      <c r="D682" s="194"/>
      <c r="E682" s="194"/>
      <c r="F682" s="194"/>
      <c r="G682" s="194"/>
      <c r="H682" s="194"/>
      <c r="I682" s="194"/>
      <c r="J682" s="194"/>
      <c r="K682" s="194"/>
      <c r="L682" s="194"/>
      <c r="M682" s="194"/>
      <c r="N682" s="194"/>
      <c r="O682" s="194"/>
      <c r="P682" s="194"/>
      <c r="Q682" s="194"/>
      <c r="R682" s="194"/>
      <c r="S682" s="194"/>
      <c r="T682" s="194"/>
      <c r="U682" s="194"/>
      <c r="V682" s="194"/>
      <c r="W682" s="194"/>
      <c r="X682" s="194"/>
      <c r="Y682" s="194"/>
      <c r="Z682" s="194"/>
      <c r="AA682" s="194"/>
      <c r="AB682" s="194"/>
      <c r="AC682" s="194"/>
      <c r="AD682" s="194"/>
      <c r="AE682" s="194"/>
      <c r="AF682" s="194"/>
      <c r="AG682" s="194"/>
      <c r="AH682" s="194"/>
      <c r="AI682" s="194"/>
      <c r="AJ682" s="194"/>
      <c r="AK682" s="194"/>
      <c r="AL682" s="194"/>
      <c r="AM682" s="194"/>
    </row>
    <row r="683" spans="1:39" ht="15.75" customHeight="1" x14ac:dyDescent="0.25">
      <c r="A683" s="194"/>
      <c r="B683" s="194"/>
      <c r="C683" s="194"/>
      <c r="D683" s="194"/>
      <c r="E683" s="194"/>
      <c r="F683" s="194"/>
      <c r="G683" s="194"/>
      <c r="H683" s="194"/>
      <c r="I683" s="194"/>
      <c r="J683" s="194"/>
      <c r="K683" s="194"/>
      <c r="L683" s="194"/>
      <c r="M683" s="194"/>
      <c r="N683" s="194"/>
      <c r="O683" s="194"/>
      <c r="P683" s="194"/>
      <c r="Q683" s="194"/>
      <c r="R683" s="194"/>
      <c r="S683" s="194"/>
      <c r="T683" s="194"/>
      <c r="U683" s="194"/>
      <c r="V683" s="194"/>
      <c r="W683" s="194"/>
      <c r="X683" s="194"/>
      <c r="Y683" s="194"/>
      <c r="Z683" s="194"/>
      <c r="AA683" s="194"/>
      <c r="AB683" s="194"/>
      <c r="AC683" s="194"/>
      <c r="AD683" s="194"/>
      <c r="AE683" s="194"/>
      <c r="AF683" s="194"/>
      <c r="AG683" s="194"/>
      <c r="AH683" s="194"/>
      <c r="AI683" s="194"/>
      <c r="AJ683" s="194"/>
      <c r="AK683" s="194"/>
      <c r="AL683" s="194"/>
      <c r="AM683" s="194"/>
    </row>
    <row r="684" spans="1:39" ht="15.75" customHeight="1" x14ac:dyDescent="0.25">
      <c r="A684" s="194"/>
      <c r="B684" s="194"/>
      <c r="C684" s="194"/>
      <c r="D684" s="194"/>
      <c r="E684" s="194"/>
      <c r="F684" s="194"/>
      <c r="G684" s="194"/>
      <c r="H684" s="194"/>
      <c r="I684" s="194"/>
      <c r="J684" s="194"/>
      <c r="K684" s="194"/>
      <c r="L684" s="194"/>
      <c r="M684" s="194"/>
      <c r="N684" s="194"/>
      <c r="O684" s="194"/>
      <c r="P684" s="194"/>
      <c r="Q684" s="194"/>
      <c r="R684" s="194"/>
      <c r="S684" s="194"/>
      <c r="T684" s="194"/>
      <c r="U684" s="194"/>
      <c r="V684" s="194"/>
      <c r="W684" s="194"/>
      <c r="X684" s="194"/>
      <c r="Y684" s="194"/>
      <c r="Z684" s="194"/>
      <c r="AA684" s="194"/>
      <c r="AB684" s="194"/>
      <c r="AC684" s="194"/>
      <c r="AD684" s="194"/>
      <c r="AE684" s="194"/>
      <c r="AF684" s="194"/>
      <c r="AG684" s="194"/>
      <c r="AH684" s="194"/>
      <c r="AI684" s="194"/>
      <c r="AJ684" s="194"/>
      <c r="AK684" s="194"/>
      <c r="AL684" s="194"/>
      <c r="AM684" s="194"/>
    </row>
    <row r="685" spans="1:39" ht="15.75" customHeight="1" x14ac:dyDescent="0.25">
      <c r="A685" s="194"/>
      <c r="B685" s="194"/>
      <c r="C685" s="194"/>
      <c r="D685" s="194"/>
      <c r="E685" s="194"/>
      <c r="F685" s="194"/>
      <c r="G685" s="194"/>
      <c r="H685" s="194"/>
      <c r="I685" s="194"/>
      <c r="J685" s="194"/>
      <c r="K685" s="194"/>
      <c r="L685" s="194"/>
      <c r="M685" s="194"/>
      <c r="N685" s="194"/>
      <c r="O685" s="194"/>
      <c r="P685" s="194"/>
      <c r="Q685" s="194"/>
      <c r="R685" s="194"/>
      <c r="S685" s="194"/>
      <c r="T685" s="194"/>
      <c r="U685" s="194"/>
      <c r="V685" s="194"/>
      <c r="W685" s="194"/>
      <c r="X685" s="194"/>
      <c r="Y685" s="194"/>
      <c r="Z685" s="194"/>
      <c r="AA685" s="194"/>
      <c r="AB685" s="194"/>
      <c r="AC685" s="194"/>
      <c r="AD685" s="194"/>
      <c r="AE685" s="194"/>
      <c r="AF685" s="194"/>
      <c r="AG685" s="194"/>
      <c r="AH685" s="194"/>
      <c r="AI685" s="194"/>
      <c r="AJ685" s="194"/>
      <c r="AK685" s="194"/>
      <c r="AL685" s="194"/>
      <c r="AM685" s="194"/>
    </row>
    <row r="686" spans="1:39" ht="15.75" customHeight="1" x14ac:dyDescent="0.25">
      <c r="A686" s="194"/>
      <c r="B686" s="194"/>
      <c r="C686" s="194"/>
      <c r="D686" s="194"/>
      <c r="E686" s="194"/>
      <c r="F686" s="194"/>
      <c r="G686" s="194"/>
      <c r="H686" s="194"/>
      <c r="I686" s="194"/>
      <c r="J686" s="194"/>
      <c r="K686" s="194"/>
      <c r="L686" s="194"/>
      <c r="M686" s="194"/>
      <c r="N686" s="194"/>
      <c r="O686" s="194"/>
      <c r="P686" s="194"/>
      <c r="Q686" s="194"/>
      <c r="R686" s="194"/>
      <c r="S686" s="194"/>
      <c r="T686" s="194"/>
      <c r="U686" s="194"/>
      <c r="V686" s="194"/>
      <c r="W686" s="194"/>
      <c r="X686" s="194"/>
      <c r="Y686" s="194"/>
      <c r="Z686" s="194"/>
      <c r="AA686" s="194"/>
      <c r="AB686" s="194"/>
      <c r="AC686" s="194"/>
      <c r="AD686" s="194"/>
      <c r="AE686" s="194"/>
      <c r="AF686" s="194"/>
      <c r="AG686" s="194"/>
      <c r="AH686" s="194"/>
      <c r="AI686" s="194"/>
      <c r="AJ686" s="194"/>
      <c r="AK686" s="194"/>
      <c r="AL686" s="194"/>
      <c r="AM686" s="194"/>
    </row>
    <row r="687" spans="1:39" ht="15.75" customHeight="1" x14ac:dyDescent="0.25">
      <c r="A687" s="194"/>
      <c r="B687" s="194"/>
      <c r="C687" s="194"/>
      <c r="D687" s="194"/>
      <c r="E687" s="194"/>
      <c r="F687" s="194"/>
      <c r="G687" s="194"/>
      <c r="H687" s="194"/>
      <c r="I687" s="194"/>
      <c r="J687" s="194"/>
      <c r="K687" s="194"/>
      <c r="L687" s="194"/>
      <c r="M687" s="194"/>
      <c r="N687" s="194"/>
      <c r="O687" s="194"/>
      <c r="P687" s="194"/>
      <c r="Q687" s="194"/>
      <c r="R687" s="194"/>
      <c r="S687" s="194"/>
      <c r="T687" s="194"/>
      <c r="U687" s="194"/>
      <c r="V687" s="194"/>
      <c r="W687" s="194"/>
      <c r="X687" s="194"/>
      <c r="Y687" s="194"/>
      <c r="Z687" s="194"/>
      <c r="AA687" s="194"/>
      <c r="AB687" s="194"/>
      <c r="AC687" s="194"/>
      <c r="AD687" s="194"/>
      <c r="AE687" s="194"/>
      <c r="AF687" s="194"/>
      <c r="AG687" s="194"/>
      <c r="AH687" s="194"/>
      <c r="AI687" s="194"/>
      <c r="AJ687" s="194"/>
      <c r="AK687" s="194"/>
      <c r="AL687" s="194"/>
      <c r="AM687" s="194"/>
    </row>
    <row r="688" spans="1:39" ht="15.75" customHeight="1" x14ac:dyDescent="0.25">
      <c r="A688" s="194"/>
      <c r="B688" s="194"/>
      <c r="C688" s="194"/>
      <c r="D688" s="194"/>
      <c r="E688" s="194"/>
      <c r="F688" s="194"/>
      <c r="G688" s="194"/>
      <c r="H688" s="194"/>
      <c r="I688" s="194"/>
      <c r="J688" s="194"/>
      <c r="K688" s="194"/>
      <c r="L688" s="194"/>
      <c r="M688" s="194"/>
      <c r="N688" s="194"/>
      <c r="O688" s="194"/>
      <c r="P688" s="194"/>
      <c r="Q688" s="194"/>
      <c r="R688" s="194"/>
      <c r="S688" s="194"/>
      <c r="T688" s="194"/>
      <c r="U688" s="194"/>
      <c r="V688" s="194"/>
      <c r="W688" s="194"/>
      <c r="X688" s="194"/>
      <c r="Y688" s="194"/>
      <c r="Z688" s="194"/>
      <c r="AA688" s="194"/>
      <c r="AB688" s="194"/>
      <c r="AC688" s="194"/>
      <c r="AD688" s="194"/>
      <c r="AE688" s="194"/>
      <c r="AF688" s="194"/>
      <c r="AG688" s="194"/>
      <c r="AH688" s="194"/>
      <c r="AI688" s="194"/>
      <c r="AJ688" s="194"/>
      <c r="AK688" s="194"/>
      <c r="AL688" s="194"/>
      <c r="AM688" s="194"/>
    </row>
    <row r="689" spans="1:39" ht="15.75" customHeight="1" x14ac:dyDescent="0.25">
      <c r="A689" s="194"/>
      <c r="B689" s="194"/>
      <c r="C689" s="194"/>
      <c r="D689" s="194"/>
      <c r="E689" s="194"/>
      <c r="F689" s="194"/>
      <c r="G689" s="194"/>
      <c r="H689" s="194"/>
      <c r="I689" s="194"/>
      <c r="J689" s="194"/>
      <c r="K689" s="194"/>
      <c r="L689" s="194"/>
      <c r="M689" s="194"/>
      <c r="N689" s="194"/>
      <c r="O689" s="194"/>
      <c r="P689" s="194"/>
      <c r="Q689" s="194"/>
      <c r="R689" s="194"/>
      <c r="S689" s="194"/>
      <c r="T689" s="194"/>
      <c r="U689" s="194"/>
      <c r="V689" s="194"/>
      <c r="W689" s="194"/>
      <c r="X689" s="194"/>
      <c r="Y689" s="194"/>
      <c r="Z689" s="194"/>
      <c r="AA689" s="194"/>
      <c r="AB689" s="194"/>
      <c r="AC689" s="194"/>
      <c r="AD689" s="194"/>
      <c r="AE689" s="194"/>
      <c r="AF689" s="194"/>
      <c r="AG689" s="194"/>
      <c r="AH689" s="194"/>
      <c r="AI689" s="194"/>
      <c r="AJ689" s="194"/>
      <c r="AK689" s="194"/>
      <c r="AL689" s="194"/>
      <c r="AM689" s="194"/>
    </row>
    <row r="690" spans="1:39" ht="15.75" customHeight="1" x14ac:dyDescent="0.25">
      <c r="A690" s="194"/>
      <c r="B690" s="194"/>
      <c r="C690" s="194"/>
      <c r="D690" s="194"/>
      <c r="E690" s="194"/>
      <c r="F690" s="194"/>
      <c r="G690" s="194"/>
      <c r="H690" s="194"/>
      <c r="I690" s="194"/>
      <c r="J690" s="194"/>
      <c r="K690" s="194"/>
      <c r="L690" s="194"/>
      <c r="M690" s="194"/>
      <c r="N690" s="194"/>
      <c r="O690" s="194"/>
      <c r="P690" s="194"/>
      <c r="Q690" s="194"/>
      <c r="R690" s="194"/>
      <c r="S690" s="194"/>
      <c r="T690" s="194"/>
      <c r="U690" s="194"/>
      <c r="V690" s="194"/>
      <c r="W690" s="194"/>
      <c r="X690" s="194"/>
      <c r="Y690" s="194"/>
      <c r="Z690" s="194"/>
      <c r="AA690" s="194"/>
      <c r="AB690" s="194"/>
      <c r="AC690" s="194"/>
      <c r="AD690" s="194"/>
      <c r="AE690" s="194"/>
      <c r="AF690" s="194"/>
      <c r="AG690" s="194"/>
      <c r="AH690" s="194"/>
      <c r="AI690" s="194"/>
      <c r="AJ690" s="194"/>
      <c r="AK690" s="194"/>
      <c r="AL690" s="194"/>
      <c r="AM690" s="194"/>
    </row>
    <row r="691" spans="1:39" ht="15.75" customHeight="1" x14ac:dyDescent="0.25">
      <c r="A691" s="194"/>
      <c r="B691" s="194"/>
      <c r="C691" s="194"/>
      <c r="D691" s="194"/>
      <c r="E691" s="194"/>
      <c r="F691" s="194"/>
      <c r="G691" s="194"/>
      <c r="H691" s="194"/>
      <c r="I691" s="194"/>
      <c r="J691" s="194"/>
      <c r="K691" s="194"/>
      <c r="L691" s="194"/>
      <c r="M691" s="194"/>
      <c r="N691" s="194"/>
      <c r="O691" s="194"/>
      <c r="P691" s="194"/>
      <c r="Q691" s="194"/>
      <c r="R691" s="194"/>
      <c r="S691" s="194"/>
      <c r="T691" s="194"/>
      <c r="U691" s="194"/>
      <c r="V691" s="194"/>
      <c r="W691" s="194"/>
      <c r="X691" s="194"/>
      <c r="Y691" s="194"/>
      <c r="Z691" s="194"/>
      <c r="AA691" s="194"/>
      <c r="AB691" s="194"/>
      <c r="AC691" s="194"/>
      <c r="AD691" s="194"/>
      <c r="AE691" s="194"/>
      <c r="AF691" s="194"/>
      <c r="AG691" s="194"/>
      <c r="AH691" s="194"/>
      <c r="AI691" s="194"/>
      <c r="AJ691" s="194"/>
      <c r="AK691" s="194"/>
      <c r="AL691" s="194"/>
      <c r="AM691" s="194"/>
    </row>
    <row r="692" spans="1:39" ht="15.75" customHeight="1" x14ac:dyDescent="0.25">
      <c r="A692" s="194"/>
      <c r="B692" s="194"/>
      <c r="C692" s="194"/>
      <c r="D692" s="194"/>
      <c r="E692" s="194"/>
      <c r="F692" s="194"/>
      <c r="G692" s="194"/>
      <c r="H692" s="194"/>
      <c r="I692" s="194"/>
      <c r="J692" s="194"/>
      <c r="K692" s="194"/>
      <c r="L692" s="194"/>
      <c r="M692" s="194"/>
      <c r="N692" s="194"/>
      <c r="O692" s="194"/>
      <c r="P692" s="194"/>
      <c r="Q692" s="194"/>
      <c r="R692" s="194"/>
      <c r="S692" s="194"/>
      <c r="T692" s="194"/>
      <c r="U692" s="194"/>
      <c r="V692" s="194"/>
      <c r="W692" s="194"/>
      <c r="X692" s="194"/>
      <c r="Y692" s="194"/>
      <c r="Z692" s="194"/>
      <c r="AA692" s="194"/>
      <c r="AB692" s="194"/>
      <c r="AC692" s="194"/>
      <c r="AD692" s="194"/>
      <c r="AE692" s="194"/>
      <c r="AF692" s="194"/>
      <c r="AG692" s="194"/>
      <c r="AH692" s="194"/>
      <c r="AI692" s="194"/>
      <c r="AJ692" s="194"/>
      <c r="AK692" s="194"/>
      <c r="AL692" s="194"/>
      <c r="AM692" s="194"/>
    </row>
    <row r="693" spans="1:39" ht="15.75" customHeight="1" x14ac:dyDescent="0.25">
      <c r="A693" s="194"/>
      <c r="B693" s="194"/>
      <c r="C693" s="194"/>
      <c r="D693" s="194"/>
      <c r="E693" s="194"/>
      <c r="F693" s="194"/>
      <c r="G693" s="194"/>
      <c r="H693" s="194"/>
      <c r="I693" s="194"/>
      <c r="J693" s="194"/>
      <c r="K693" s="194"/>
      <c r="L693" s="194"/>
      <c r="M693" s="194"/>
      <c r="N693" s="194"/>
      <c r="O693" s="194"/>
      <c r="P693" s="194"/>
      <c r="Q693" s="194"/>
      <c r="R693" s="194"/>
      <c r="S693" s="194"/>
      <c r="T693" s="194"/>
      <c r="U693" s="194"/>
      <c r="V693" s="194"/>
      <c r="W693" s="194"/>
      <c r="X693" s="194"/>
      <c r="Y693" s="194"/>
      <c r="Z693" s="194"/>
      <c r="AA693" s="194"/>
      <c r="AB693" s="194"/>
      <c r="AC693" s="194"/>
      <c r="AD693" s="194"/>
      <c r="AE693" s="194"/>
      <c r="AF693" s="194"/>
      <c r="AG693" s="194"/>
      <c r="AH693" s="194"/>
      <c r="AI693" s="194"/>
      <c r="AJ693" s="194"/>
      <c r="AK693" s="194"/>
      <c r="AL693" s="194"/>
      <c r="AM693" s="194"/>
    </row>
    <row r="694" spans="1:39" ht="15.75" customHeight="1" x14ac:dyDescent="0.25">
      <c r="A694" s="194"/>
      <c r="B694" s="194"/>
      <c r="C694" s="194"/>
      <c r="D694" s="194"/>
      <c r="E694" s="194"/>
      <c r="F694" s="194"/>
      <c r="G694" s="194"/>
      <c r="H694" s="194"/>
      <c r="I694" s="194"/>
      <c r="J694" s="194"/>
      <c r="K694" s="194"/>
      <c r="L694" s="194"/>
      <c r="M694" s="194"/>
      <c r="N694" s="194"/>
      <c r="O694" s="194"/>
      <c r="P694" s="194"/>
      <c r="Q694" s="194"/>
      <c r="R694" s="194"/>
      <c r="S694" s="194"/>
      <c r="T694" s="194"/>
      <c r="U694" s="194"/>
      <c r="V694" s="194"/>
      <c r="W694" s="194"/>
      <c r="X694" s="194"/>
      <c r="Y694" s="194"/>
      <c r="Z694" s="194"/>
      <c r="AA694" s="194"/>
      <c r="AB694" s="194"/>
      <c r="AC694" s="194"/>
      <c r="AD694" s="194"/>
      <c r="AE694" s="194"/>
      <c r="AF694" s="194"/>
      <c r="AG694" s="194"/>
      <c r="AH694" s="194"/>
      <c r="AI694" s="194"/>
      <c r="AJ694" s="194"/>
      <c r="AK694" s="194"/>
      <c r="AL694" s="194"/>
      <c r="AM694" s="194"/>
    </row>
    <row r="695" spans="1:39" ht="15.75" customHeight="1" x14ac:dyDescent="0.25">
      <c r="A695" s="194"/>
      <c r="B695" s="194"/>
      <c r="C695" s="194"/>
      <c r="D695" s="194"/>
      <c r="E695" s="194"/>
      <c r="F695" s="194"/>
      <c r="G695" s="194"/>
      <c r="H695" s="194"/>
      <c r="I695" s="194"/>
      <c r="J695" s="194"/>
      <c r="K695" s="194"/>
      <c r="L695" s="194"/>
      <c r="M695" s="194"/>
      <c r="N695" s="194"/>
      <c r="O695" s="194"/>
      <c r="P695" s="194"/>
      <c r="Q695" s="194"/>
      <c r="R695" s="194"/>
      <c r="S695" s="194"/>
      <c r="T695" s="194"/>
      <c r="U695" s="194"/>
      <c r="V695" s="194"/>
      <c r="W695" s="194"/>
      <c r="X695" s="194"/>
      <c r="Y695" s="194"/>
      <c r="Z695" s="194"/>
      <c r="AA695" s="194"/>
      <c r="AB695" s="194"/>
      <c r="AC695" s="194"/>
      <c r="AD695" s="194"/>
      <c r="AE695" s="194"/>
      <c r="AF695" s="194"/>
      <c r="AG695" s="194"/>
      <c r="AH695" s="194"/>
      <c r="AI695" s="194"/>
      <c r="AJ695" s="194"/>
      <c r="AK695" s="194"/>
      <c r="AL695" s="194"/>
      <c r="AM695" s="194"/>
    </row>
    <row r="696" spans="1:39" ht="15.75" customHeight="1" x14ac:dyDescent="0.25">
      <c r="A696" s="194"/>
      <c r="B696" s="194"/>
      <c r="C696" s="194"/>
      <c r="D696" s="194"/>
      <c r="E696" s="194"/>
      <c r="F696" s="194"/>
      <c r="G696" s="194"/>
      <c r="H696" s="194"/>
      <c r="I696" s="194"/>
      <c r="J696" s="194"/>
      <c r="K696" s="194"/>
      <c r="L696" s="194"/>
      <c r="M696" s="194"/>
      <c r="N696" s="194"/>
      <c r="O696" s="194"/>
      <c r="P696" s="194"/>
      <c r="Q696" s="194"/>
      <c r="R696" s="194"/>
      <c r="S696" s="194"/>
      <c r="T696" s="194"/>
      <c r="U696" s="194"/>
      <c r="V696" s="194"/>
      <c r="W696" s="194"/>
      <c r="X696" s="194"/>
      <c r="Y696" s="194"/>
      <c r="Z696" s="194"/>
      <c r="AA696" s="194"/>
      <c r="AB696" s="194"/>
      <c r="AC696" s="194"/>
      <c r="AD696" s="194"/>
      <c r="AE696" s="194"/>
      <c r="AF696" s="194"/>
      <c r="AG696" s="194"/>
      <c r="AH696" s="194"/>
      <c r="AI696" s="194"/>
      <c r="AJ696" s="194"/>
      <c r="AK696" s="194"/>
      <c r="AL696" s="194"/>
      <c r="AM696" s="194"/>
    </row>
    <row r="697" spans="1:39" ht="15.75" customHeight="1" x14ac:dyDescent="0.25">
      <c r="A697" s="194"/>
      <c r="B697" s="194"/>
      <c r="C697" s="194"/>
      <c r="D697" s="194"/>
      <c r="E697" s="194"/>
      <c r="F697" s="194"/>
      <c r="G697" s="194"/>
      <c r="H697" s="194"/>
      <c r="I697" s="194"/>
      <c r="J697" s="194"/>
      <c r="K697" s="194"/>
      <c r="L697" s="194"/>
      <c r="M697" s="194"/>
      <c r="N697" s="194"/>
      <c r="O697" s="194"/>
      <c r="P697" s="194"/>
      <c r="Q697" s="194"/>
      <c r="R697" s="194"/>
      <c r="S697" s="194"/>
      <c r="T697" s="194"/>
      <c r="U697" s="194"/>
      <c r="V697" s="194"/>
      <c r="W697" s="194"/>
      <c r="X697" s="194"/>
      <c r="Y697" s="194"/>
      <c r="Z697" s="194"/>
      <c r="AA697" s="194"/>
      <c r="AB697" s="194"/>
      <c r="AC697" s="194"/>
      <c r="AD697" s="194"/>
      <c r="AE697" s="194"/>
      <c r="AF697" s="194"/>
      <c r="AG697" s="194"/>
      <c r="AH697" s="194"/>
      <c r="AI697" s="194"/>
      <c r="AJ697" s="194"/>
      <c r="AK697" s="194"/>
      <c r="AL697" s="194"/>
      <c r="AM697" s="194"/>
    </row>
    <row r="698" spans="1:39" ht="15.75" customHeight="1" x14ac:dyDescent="0.25">
      <c r="A698" s="194"/>
      <c r="B698" s="194"/>
      <c r="C698" s="194"/>
      <c r="D698" s="194"/>
      <c r="E698" s="194"/>
      <c r="F698" s="194"/>
      <c r="G698" s="194"/>
      <c r="H698" s="194"/>
      <c r="I698" s="194"/>
      <c r="J698" s="194"/>
      <c r="K698" s="194"/>
      <c r="L698" s="194"/>
      <c r="M698" s="194"/>
      <c r="N698" s="194"/>
      <c r="O698" s="194"/>
      <c r="P698" s="194"/>
      <c r="Q698" s="194"/>
      <c r="R698" s="194"/>
      <c r="S698" s="194"/>
      <c r="T698" s="194"/>
      <c r="U698" s="194"/>
      <c r="V698" s="194"/>
      <c r="W698" s="194"/>
      <c r="X698" s="194"/>
      <c r="Y698" s="194"/>
      <c r="Z698" s="194"/>
      <c r="AA698" s="194"/>
      <c r="AB698" s="194"/>
      <c r="AC698" s="194"/>
      <c r="AD698" s="194"/>
      <c r="AE698" s="194"/>
      <c r="AF698" s="194"/>
      <c r="AG698" s="194"/>
      <c r="AH698" s="194"/>
      <c r="AI698" s="194"/>
      <c r="AJ698" s="194"/>
      <c r="AK698" s="194"/>
      <c r="AL698" s="194"/>
      <c r="AM698" s="194"/>
    </row>
    <row r="699" spans="1:39" ht="15.75" customHeight="1" x14ac:dyDescent="0.25">
      <c r="A699" s="194"/>
      <c r="B699" s="194"/>
      <c r="C699" s="194"/>
      <c r="D699" s="194"/>
      <c r="E699" s="194"/>
      <c r="F699" s="194"/>
      <c r="G699" s="194"/>
      <c r="H699" s="194"/>
      <c r="I699" s="194"/>
      <c r="J699" s="194"/>
      <c r="K699" s="194"/>
      <c r="L699" s="194"/>
      <c r="M699" s="194"/>
      <c r="N699" s="194"/>
      <c r="O699" s="194"/>
      <c r="P699" s="194"/>
      <c r="Q699" s="194"/>
      <c r="R699" s="194"/>
      <c r="S699" s="194"/>
      <c r="T699" s="194"/>
      <c r="U699" s="194"/>
      <c r="V699" s="194"/>
      <c r="W699" s="194"/>
      <c r="X699" s="194"/>
      <c r="Y699" s="194"/>
      <c r="Z699" s="194"/>
      <c r="AA699" s="194"/>
      <c r="AB699" s="194"/>
      <c r="AC699" s="194"/>
      <c r="AD699" s="194"/>
      <c r="AE699" s="194"/>
      <c r="AF699" s="194"/>
      <c r="AG699" s="194"/>
      <c r="AH699" s="194"/>
      <c r="AI699" s="194"/>
      <c r="AJ699" s="194"/>
      <c r="AK699" s="194"/>
      <c r="AL699" s="194"/>
      <c r="AM699" s="194"/>
    </row>
    <row r="700" spans="1:39" ht="15.75" customHeight="1" x14ac:dyDescent="0.25">
      <c r="A700" s="194"/>
      <c r="B700" s="194"/>
      <c r="C700" s="194"/>
      <c r="D700" s="194"/>
      <c r="E700" s="194"/>
      <c r="F700" s="194"/>
      <c r="G700" s="194"/>
      <c r="H700" s="194"/>
      <c r="I700" s="194"/>
      <c r="J700" s="194"/>
      <c r="K700" s="194"/>
      <c r="L700" s="194"/>
      <c r="M700" s="194"/>
      <c r="N700" s="194"/>
      <c r="O700" s="194"/>
      <c r="P700" s="194"/>
      <c r="Q700" s="194"/>
      <c r="R700" s="194"/>
      <c r="S700" s="194"/>
      <c r="T700" s="194"/>
      <c r="U700" s="194"/>
      <c r="V700" s="194"/>
      <c r="W700" s="194"/>
      <c r="X700" s="194"/>
      <c r="Y700" s="194"/>
      <c r="Z700" s="194"/>
      <c r="AA700" s="194"/>
      <c r="AB700" s="194"/>
      <c r="AC700" s="194"/>
      <c r="AD700" s="194"/>
      <c r="AE700" s="194"/>
      <c r="AF700" s="194"/>
      <c r="AG700" s="194"/>
      <c r="AH700" s="194"/>
      <c r="AI700" s="194"/>
      <c r="AJ700" s="194"/>
      <c r="AK700" s="194"/>
      <c r="AL700" s="194"/>
      <c r="AM700" s="194"/>
    </row>
    <row r="701" spans="1:39" ht="15.75" customHeight="1" x14ac:dyDescent="0.25">
      <c r="A701" s="194"/>
      <c r="B701" s="194"/>
      <c r="C701" s="194"/>
      <c r="D701" s="194"/>
      <c r="E701" s="194"/>
      <c r="F701" s="194"/>
      <c r="G701" s="194"/>
      <c r="H701" s="194"/>
      <c r="I701" s="194"/>
      <c r="J701" s="194"/>
      <c r="K701" s="194"/>
      <c r="L701" s="194"/>
      <c r="M701" s="194"/>
      <c r="N701" s="194"/>
      <c r="O701" s="194"/>
      <c r="P701" s="194"/>
      <c r="Q701" s="194"/>
      <c r="R701" s="194"/>
      <c r="S701" s="194"/>
      <c r="T701" s="194"/>
      <c r="U701" s="194"/>
      <c r="V701" s="194"/>
      <c r="W701" s="194"/>
      <c r="X701" s="194"/>
      <c r="Y701" s="194"/>
      <c r="Z701" s="194"/>
      <c r="AA701" s="194"/>
      <c r="AB701" s="194"/>
      <c r="AC701" s="194"/>
      <c r="AD701" s="194"/>
      <c r="AE701" s="194"/>
      <c r="AF701" s="194"/>
      <c r="AG701" s="194"/>
      <c r="AH701" s="194"/>
      <c r="AI701" s="194"/>
      <c r="AJ701" s="194"/>
      <c r="AK701" s="194"/>
      <c r="AL701" s="194"/>
      <c r="AM701" s="194"/>
    </row>
    <row r="702" spans="1:39" ht="15.75" customHeight="1" x14ac:dyDescent="0.25">
      <c r="A702" s="194"/>
      <c r="B702" s="194"/>
      <c r="C702" s="194"/>
      <c r="D702" s="194"/>
      <c r="E702" s="194"/>
      <c r="F702" s="194"/>
      <c r="G702" s="194"/>
      <c r="H702" s="194"/>
      <c r="I702" s="194"/>
      <c r="J702" s="194"/>
      <c r="K702" s="194"/>
      <c r="L702" s="194"/>
      <c r="M702" s="194"/>
      <c r="N702" s="194"/>
      <c r="O702" s="194"/>
      <c r="P702" s="194"/>
      <c r="Q702" s="194"/>
      <c r="R702" s="194"/>
      <c r="S702" s="194"/>
      <c r="T702" s="194"/>
      <c r="U702" s="194"/>
      <c r="V702" s="194"/>
      <c r="W702" s="194"/>
      <c r="X702" s="194"/>
      <c r="Y702" s="194"/>
      <c r="Z702" s="194"/>
      <c r="AA702" s="194"/>
      <c r="AB702" s="194"/>
      <c r="AC702" s="194"/>
      <c r="AD702" s="194"/>
      <c r="AE702" s="194"/>
      <c r="AF702" s="194"/>
      <c r="AG702" s="194"/>
      <c r="AH702" s="194"/>
      <c r="AI702" s="194"/>
      <c r="AJ702" s="194"/>
      <c r="AK702" s="194"/>
      <c r="AL702" s="194"/>
      <c r="AM702" s="194"/>
    </row>
    <row r="703" spans="1:39" ht="15.75" customHeight="1" x14ac:dyDescent="0.25">
      <c r="A703" s="194"/>
      <c r="B703" s="194"/>
      <c r="C703" s="194"/>
      <c r="D703" s="194"/>
      <c r="E703" s="194"/>
      <c r="F703" s="194"/>
      <c r="G703" s="194"/>
      <c r="H703" s="194"/>
      <c r="I703" s="194"/>
      <c r="J703" s="194"/>
      <c r="K703" s="194"/>
      <c r="L703" s="194"/>
      <c r="M703" s="194"/>
      <c r="N703" s="194"/>
      <c r="O703" s="194"/>
      <c r="P703" s="194"/>
      <c r="Q703" s="194"/>
      <c r="R703" s="194"/>
      <c r="S703" s="194"/>
      <c r="T703" s="194"/>
      <c r="U703" s="194"/>
      <c r="V703" s="194"/>
      <c r="W703" s="194"/>
      <c r="X703" s="194"/>
      <c r="Y703" s="194"/>
      <c r="Z703" s="194"/>
      <c r="AA703" s="194"/>
      <c r="AB703" s="194"/>
      <c r="AC703" s="194"/>
      <c r="AD703" s="194"/>
      <c r="AE703" s="194"/>
      <c r="AF703" s="194"/>
      <c r="AG703" s="194"/>
      <c r="AH703" s="194"/>
      <c r="AI703" s="194"/>
      <c r="AJ703" s="194"/>
      <c r="AK703" s="194"/>
      <c r="AL703" s="194"/>
      <c r="AM703" s="194"/>
    </row>
    <row r="704" spans="1:39" ht="15.75" customHeight="1" x14ac:dyDescent="0.25">
      <c r="A704" s="194"/>
      <c r="B704" s="194"/>
      <c r="C704" s="194"/>
      <c r="D704" s="194"/>
      <c r="E704" s="194"/>
      <c r="F704" s="194"/>
      <c r="G704" s="194"/>
      <c r="H704" s="194"/>
      <c r="I704" s="194"/>
      <c r="J704" s="194"/>
      <c r="K704" s="194"/>
      <c r="L704" s="194"/>
      <c r="M704" s="194"/>
      <c r="N704" s="194"/>
      <c r="O704" s="194"/>
      <c r="P704" s="194"/>
      <c r="Q704" s="194"/>
      <c r="R704" s="194"/>
      <c r="S704" s="194"/>
      <c r="T704" s="194"/>
      <c r="U704" s="194"/>
      <c r="V704" s="194"/>
      <c r="W704" s="194"/>
      <c r="X704" s="194"/>
      <c r="Y704" s="194"/>
      <c r="Z704" s="194"/>
      <c r="AA704" s="194"/>
      <c r="AB704" s="194"/>
      <c r="AC704" s="194"/>
      <c r="AD704" s="194"/>
      <c r="AE704" s="194"/>
      <c r="AF704" s="194"/>
      <c r="AG704" s="194"/>
      <c r="AH704" s="194"/>
      <c r="AI704" s="194"/>
      <c r="AJ704" s="194"/>
      <c r="AK704" s="194"/>
      <c r="AL704" s="194"/>
      <c r="AM704" s="194"/>
    </row>
    <row r="705" spans="1:39" ht="15.75" customHeight="1" x14ac:dyDescent="0.25">
      <c r="A705" s="194"/>
      <c r="B705" s="194"/>
      <c r="C705" s="194"/>
      <c r="D705" s="194"/>
      <c r="E705" s="194"/>
      <c r="F705" s="194"/>
      <c r="G705" s="194"/>
      <c r="H705" s="194"/>
      <c r="I705" s="194"/>
      <c r="J705" s="194"/>
      <c r="K705" s="194"/>
      <c r="L705" s="194"/>
      <c r="M705" s="194"/>
      <c r="N705" s="194"/>
      <c r="O705" s="194"/>
      <c r="P705" s="194"/>
      <c r="Q705" s="194"/>
      <c r="R705" s="194"/>
      <c r="S705" s="194"/>
      <c r="T705" s="194"/>
      <c r="U705" s="194"/>
      <c r="V705" s="194"/>
      <c r="W705" s="194"/>
      <c r="X705" s="194"/>
      <c r="Y705" s="194"/>
      <c r="Z705" s="194"/>
      <c r="AA705" s="194"/>
      <c r="AB705" s="194"/>
      <c r="AC705" s="194"/>
      <c r="AD705" s="194"/>
      <c r="AE705" s="194"/>
      <c r="AF705" s="194"/>
      <c r="AG705" s="194"/>
      <c r="AH705" s="194"/>
      <c r="AI705" s="194"/>
      <c r="AJ705" s="194"/>
      <c r="AK705" s="194"/>
      <c r="AL705" s="194"/>
      <c r="AM705" s="194"/>
    </row>
    <row r="706" spans="1:39" ht="15.75" customHeight="1" x14ac:dyDescent="0.25">
      <c r="A706" s="194"/>
      <c r="B706" s="194"/>
      <c r="C706" s="194"/>
      <c r="D706" s="194"/>
      <c r="E706" s="194"/>
      <c r="F706" s="194"/>
      <c r="G706" s="194"/>
      <c r="H706" s="194"/>
      <c r="I706" s="194"/>
      <c r="J706" s="194"/>
      <c r="K706" s="194"/>
      <c r="L706" s="194"/>
      <c r="M706" s="194"/>
      <c r="N706" s="194"/>
      <c r="O706" s="194"/>
      <c r="P706" s="194"/>
      <c r="Q706" s="194"/>
      <c r="R706" s="194"/>
      <c r="S706" s="194"/>
      <c r="T706" s="194"/>
      <c r="U706" s="194"/>
      <c r="V706" s="194"/>
      <c r="W706" s="194"/>
      <c r="X706" s="194"/>
      <c r="Y706" s="194"/>
      <c r="Z706" s="194"/>
      <c r="AA706" s="194"/>
      <c r="AB706" s="194"/>
      <c r="AC706" s="194"/>
      <c r="AD706" s="194"/>
      <c r="AE706" s="194"/>
      <c r="AF706" s="194"/>
      <c r="AG706" s="194"/>
      <c r="AH706" s="194"/>
      <c r="AI706" s="194"/>
      <c r="AJ706" s="194"/>
      <c r="AK706" s="194"/>
      <c r="AL706" s="194"/>
      <c r="AM706" s="194"/>
    </row>
    <row r="707" spans="1:39" ht="15.75" customHeight="1" x14ac:dyDescent="0.25">
      <c r="A707" s="194"/>
      <c r="B707" s="194"/>
      <c r="C707" s="194"/>
      <c r="D707" s="194"/>
      <c r="E707" s="194"/>
      <c r="F707" s="194"/>
      <c r="G707" s="194"/>
      <c r="H707" s="194"/>
      <c r="I707" s="194"/>
      <c r="J707" s="194"/>
      <c r="K707" s="194"/>
      <c r="L707" s="194"/>
      <c r="M707" s="194"/>
      <c r="N707" s="194"/>
      <c r="O707" s="194"/>
      <c r="P707" s="194"/>
      <c r="Q707" s="194"/>
      <c r="R707" s="194"/>
      <c r="S707" s="194"/>
      <c r="T707" s="194"/>
      <c r="U707" s="194"/>
      <c r="V707" s="194"/>
      <c r="W707" s="194"/>
      <c r="X707" s="194"/>
      <c r="Y707" s="194"/>
      <c r="Z707" s="194"/>
      <c r="AA707" s="194"/>
      <c r="AB707" s="194"/>
      <c r="AC707" s="194"/>
      <c r="AD707" s="194"/>
      <c r="AE707" s="194"/>
      <c r="AF707" s="194"/>
      <c r="AG707" s="194"/>
      <c r="AH707" s="194"/>
      <c r="AI707" s="194"/>
      <c r="AJ707" s="194"/>
      <c r="AK707" s="194"/>
      <c r="AL707" s="194"/>
      <c r="AM707" s="194"/>
    </row>
    <row r="708" spans="1:39" ht="15.75" customHeight="1" x14ac:dyDescent="0.25">
      <c r="A708" s="194"/>
      <c r="B708" s="194"/>
      <c r="C708" s="194"/>
      <c r="D708" s="194"/>
      <c r="E708" s="194"/>
      <c r="F708" s="194"/>
      <c r="G708" s="194"/>
      <c r="H708" s="194"/>
      <c r="I708" s="194"/>
      <c r="J708" s="194"/>
      <c r="K708" s="194"/>
      <c r="L708" s="194"/>
      <c r="M708" s="194"/>
      <c r="N708" s="194"/>
      <c r="O708" s="194"/>
      <c r="P708" s="194"/>
      <c r="Q708" s="194"/>
      <c r="R708" s="194"/>
      <c r="S708" s="194"/>
      <c r="T708" s="194"/>
      <c r="U708" s="194"/>
      <c r="V708" s="194"/>
      <c r="W708" s="194"/>
      <c r="X708" s="194"/>
      <c r="Y708" s="194"/>
      <c r="Z708" s="194"/>
      <c r="AA708" s="194"/>
      <c r="AB708" s="194"/>
      <c r="AC708" s="194"/>
      <c r="AD708" s="194"/>
      <c r="AE708" s="194"/>
      <c r="AF708" s="194"/>
      <c r="AG708" s="194"/>
      <c r="AH708" s="194"/>
      <c r="AI708" s="194"/>
      <c r="AJ708" s="194"/>
      <c r="AK708" s="194"/>
      <c r="AL708" s="194"/>
      <c r="AM708" s="194"/>
    </row>
    <row r="709" spans="1:39" ht="15.75" customHeight="1" x14ac:dyDescent="0.25">
      <c r="A709" s="194"/>
      <c r="B709" s="194"/>
      <c r="C709" s="194"/>
      <c r="D709" s="194"/>
      <c r="E709" s="194"/>
      <c r="F709" s="194"/>
      <c r="G709" s="194"/>
      <c r="H709" s="194"/>
      <c r="I709" s="194"/>
      <c r="J709" s="194"/>
      <c r="K709" s="194"/>
      <c r="L709" s="194"/>
      <c r="M709" s="194"/>
      <c r="N709" s="194"/>
      <c r="O709" s="194"/>
      <c r="P709" s="194"/>
      <c r="Q709" s="194"/>
      <c r="R709" s="194"/>
      <c r="S709" s="194"/>
      <c r="T709" s="194"/>
      <c r="U709" s="194"/>
      <c r="V709" s="194"/>
      <c r="W709" s="194"/>
      <c r="X709" s="194"/>
      <c r="Y709" s="194"/>
      <c r="Z709" s="194"/>
      <c r="AA709" s="194"/>
      <c r="AB709" s="194"/>
      <c r="AC709" s="194"/>
      <c r="AD709" s="194"/>
      <c r="AE709" s="194"/>
      <c r="AF709" s="194"/>
      <c r="AG709" s="194"/>
      <c r="AH709" s="194"/>
      <c r="AI709" s="194"/>
      <c r="AJ709" s="194"/>
      <c r="AK709" s="194"/>
      <c r="AL709" s="194"/>
      <c r="AM709" s="194"/>
    </row>
    <row r="710" spans="1:39" ht="15.75" customHeight="1" x14ac:dyDescent="0.25">
      <c r="A710" s="194"/>
      <c r="B710" s="194"/>
      <c r="C710" s="194"/>
      <c r="D710" s="194"/>
      <c r="E710" s="194"/>
      <c r="F710" s="194"/>
      <c r="G710" s="194"/>
      <c r="H710" s="194"/>
      <c r="I710" s="194"/>
      <c r="J710" s="194"/>
      <c r="K710" s="194"/>
      <c r="L710" s="194"/>
      <c r="M710" s="194"/>
      <c r="N710" s="194"/>
      <c r="O710" s="194"/>
      <c r="P710" s="194"/>
      <c r="Q710" s="194"/>
      <c r="R710" s="194"/>
      <c r="S710" s="194"/>
      <c r="T710" s="194"/>
      <c r="U710" s="194"/>
      <c r="V710" s="194"/>
      <c r="W710" s="194"/>
      <c r="X710" s="194"/>
      <c r="Y710" s="194"/>
      <c r="Z710" s="194"/>
      <c r="AA710" s="194"/>
      <c r="AB710" s="194"/>
      <c r="AC710" s="194"/>
      <c r="AD710" s="194"/>
      <c r="AE710" s="194"/>
      <c r="AF710" s="194"/>
      <c r="AG710" s="194"/>
      <c r="AH710" s="194"/>
      <c r="AI710" s="194"/>
      <c r="AJ710" s="194"/>
      <c r="AK710" s="194"/>
      <c r="AL710" s="194"/>
      <c r="AM710" s="194"/>
    </row>
    <row r="711" spans="1:39" ht="15.75" customHeight="1" x14ac:dyDescent="0.25">
      <c r="A711" s="194"/>
      <c r="B711" s="194"/>
      <c r="C711" s="194"/>
      <c r="D711" s="194"/>
      <c r="E711" s="194"/>
      <c r="F711" s="194"/>
      <c r="G711" s="194"/>
      <c r="H711" s="194"/>
      <c r="I711" s="194"/>
      <c r="J711" s="194"/>
      <c r="K711" s="194"/>
      <c r="L711" s="194"/>
      <c r="M711" s="194"/>
      <c r="N711" s="194"/>
      <c r="O711" s="194"/>
      <c r="P711" s="194"/>
      <c r="Q711" s="194"/>
      <c r="R711" s="194"/>
      <c r="S711" s="194"/>
      <c r="T711" s="194"/>
      <c r="U711" s="194"/>
      <c r="V711" s="194"/>
      <c r="W711" s="194"/>
      <c r="X711" s="194"/>
      <c r="Y711" s="194"/>
      <c r="Z711" s="194"/>
      <c r="AA711" s="194"/>
      <c r="AB711" s="194"/>
      <c r="AC711" s="194"/>
      <c r="AD711" s="194"/>
      <c r="AE711" s="194"/>
      <c r="AF711" s="194"/>
      <c r="AG711" s="194"/>
      <c r="AH711" s="194"/>
      <c r="AI711" s="194"/>
      <c r="AJ711" s="194"/>
      <c r="AK711" s="194"/>
      <c r="AL711" s="194"/>
      <c r="AM711" s="194"/>
    </row>
    <row r="712" spans="1:39" ht="15.75" customHeight="1" x14ac:dyDescent="0.25">
      <c r="A712" s="194"/>
      <c r="B712" s="194"/>
      <c r="C712" s="194"/>
      <c r="D712" s="194"/>
      <c r="E712" s="194"/>
      <c r="F712" s="194"/>
      <c r="G712" s="194"/>
      <c r="H712" s="194"/>
      <c r="I712" s="194"/>
      <c r="J712" s="194"/>
      <c r="K712" s="194"/>
      <c r="L712" s="194"/>
      <c r="M712" s="194"/>
      <c r="N712" s="194"/>
      <c r="O712" s="194"/>
      <c r="P712" s="194"/>
      <c r="Q712" s="194"/>
      <c r="R712" s="194"/>
      <c r="S712" s="194"/>
      <c r="T712" s="194"/>
      <c r="U712" s="194"/>
      <c r="V712" s="194"/>
      <c r="W712" s="194"/>
      <c r="X712" s="194"/>
      <c r="Y712" s="194"/>
      <c r="Z712" s="194"/>
      <c r="AA712" s="194"/>
      <c r="AB712" s="194"/>
      <c r="AC712" s="194"/>
      <c r="AD712" s="194"/>
      <c r="AE712" s="194"/>
      <c r="AF712" s="194"/>
      <c r="AG712" s="194"/>
      <c r="AH712" s="194"/>
      <c r="AI712" s="194"/>
      <c r="AJ712" s="194"/>
      <c r="AK712" s="194"/>
      <c r="AL712" s="194"/>
      <c r="AM712" s="194"/>
    </row>
    <row r="713" spans="1:39" ht="15.75" customHeight="1" x14ac:dyDescent="0.25">
      <c r="A713" s="194"/>
      <c r="B713" s="194"/>
      <c r="C713" s="194"/>
      <c r="D713" s="194"/>
      <c r="E713" s="194"/>
      <c r="F713" s="194"/>
      <c r="G713" s="194"/>
      <c r="H713" s="194"/>
      <c r="I713" s="194"/>
      <c r="J713" s="194"/>
      <c r="K713" s="194"/>
      <c r="L713" s="194"/>
      <c r="M713" s="194"/>
      <c r="N713" s="194"/>
      <c r="O713" s="194"/>
      <c r="P713" s="194"/>
      <c r="Q713" s="194"/>
      <c r="R713" s="194"/>
      <c r="S713" s="194"/>
      <c r="T713" s="194"/>
      <c r="U713" s="194"/>
      <c r="V713" s="194"/>
      <c r="W713" s="194"/>
      <c r="X713" s="194"/>
      <c r="Y713" s="194"/>
      <c r="Z713" s="194"/>
      <c r="AA713" s="194"/>
      <c r="AB713" s="194"/>
      <c r="AC713" s="194"/>
      <c r="AD713" s="194"/>
      <c r="AE713" s="194"/>
      <c r="AF713" s="194"/>
      <c r="AG713" s="194"/>
      <c r="AH713" s="194"/>
      <c r="AI713" s="194"/>
      <c r="AJ713" s="194"/>
      <c r="AK713" s="194"/>
      <c r="AL713" s="194"/>
      <c r="AM713" s="194"/>
    </row>
    <row r="714" spans="1:39" ht="15.75" customHeight="1" x14ac:dyDescent="0.25">
      <c r="A714" s="194"/>
      <c r="B714" s="194"/>
      <c r="C714" s="194"/>
      <c r="D714" s="194"/>
      <c r="E714" s="194"/>
      <c r="F714" s="194"/>
      <c r="G714" s="194"/>
      <c r="H714" s="194"/>
      <c r="I714" s="194"/>
      <c r="J714" s="194"/>
      <c r="K714" s="194"/>
      <c r="L714" s="194"/>
      <c r="M714" s="194"/>
      <c r="N714" s="194"/>
      <c r="O714" s="194"/>
      <c r="P714" s="194"/>
      <c r="Q714" s="194"/>
      <c r="R714" s="194"/>
      <c r="S714" s="194"/>
      <c r="T714" s="194"/>
      <c r="U714" s="194"/>
      <c r="V714" s="194"/>
      <c r="W714" s="194"/>
      <c r="X714" s="194"/>
      <c r="Y714" s="194"/>
      <c r="Z714" s="194"/>
      <c r="AA714" s="194"/>
      <c r="AB714" s="194"/>
      <c r="AC714" s="194"/>
      <c r="AD714" s="194"/>
      <c r="AE714" s="194"/>
      <c r="AF714" s="194"/>
      <c r="AG714" s="194"/>
      <c r="AH714" s="194"/>
      <c r="AI714" s="194"/>
      <c r="AJ714" s="194"/>
      <c r="AK714" s="194"/>
      <c r="AL714" s="194"/>
      <c r="AM714" s="194"/>
    </row>
    <row r="715" spans="1:39" ht="15.75" customHeight="1" x14ac:dyDescent="0.25">
      <c r="A715" s="194"/>
      <c r="B715" s="194"/>
      <c r="C715" s="194"/>
      <c r="D715" s="194"/>
      <c r="E715" s="194"/>
      <c r="F715" s="194"/>
      <c r="G715" s="194"/>
      <c r="H715" s="194"/>
      <c r="I715" s="194"/>
      <c r="J715" s="194"/>
      <c r="K715" s="194"/>
      <c r="L715" s="194"/>
      <c r="M715" s="194"/>
      <c r="N715" s="194"/>
      <c r="O715" s="194"/>
      <c r="P715" s="194"/>
      <c r="Q715" s="194"/>
      <c r="R715" s="194"/>
      <c r="S715" s="194"/>
      <c r="T715" s="194"/>
      <c r="U715" s="194"/>
      <c r="V715" s="194"/>
      <c r="W715" s="194"/>
      <c r="X715" s="194"/>
      <c r="Y715" s="194"/>
      <c r="Z715" s="194"/>
      <c r="AA715" s="194"/>
      <c r="AB715" s="194"/>
      <c r="AC715" s="194"/>
      <c r="AD715" s="194"/>
      <c r="AE715" s="194"/>
      <c r="AF715" s="194"/>
      <c r="AG715" s="194"/>
      <c r="AH715" s="194"/>
      <c r="AI715" s="194"/>
      <c r="AJ715" s="194"/>
      <c r="AK715" s="194"/>
      <c r="AL715" s="194"/>
      <c r="AM715" s="194"/>
    </row>
    <row r="716" spans="1:39" ht="15.75" customHeight="1" x14ac:dyDescent="0.25">
      <c r="A716" s="194"/>
      <c r="B716" s="194"/>
      <c r="C716" s="194"/>
      <c r="D716" s="194"/>
      <c r="E716" s="194"/>
      <c r="F716" s="194"/>
      <c r="G716" s="194"/>
      <c r="H716" s="194"/>
      <c r="I716" s="194"/>
      <c r="J716" s="194"/>
      <c r="K716" s="194"/>
      <c r="L716" s="194"/>
      <c r="M716" s="194"/>
      <c r="N716" s="194"/>
      <c r="O716" s="194"/>
      <c r="P716" s="194"/>
      <c r="Q716" s="194"/>
      <c r="R716" s="194"/>
      <c r="S716" s="194"/>
      <c r="T716" s="194"/>
      <c r="U716" s="194"/>
      <c r="V716" s="194"/>
      <c r="W716" s="194"/>
      <c r="X716" s="194"/>
      <c r="Y716" s="194"/>
      <c r="Z716" s="194"/>
      <c r="AA716" s="194"/>
      <c r="AB716" s="194"/>
      <c r="AC716" s="194"/>
      <c r="AD716" s="194"/>
      <c r="AE716" s="194"/>
      <c r="AF716" s="194"/>
      <c r="AG716" s="194"/>
      <c r="AH716" s="194"/>
      <c r="AI716" s="194"/>
      <c r="AJ716" s="194"/>
      <c r="AK716" s="194"/>
      <c r="AL716" s="194"/>
      <c r="AM716" s="194"/>
    </row>
    <row r="717" spans="1:39" ht="15.75" customHeight="1" x14ac:dyDescent="0.25">
      <c r="A717" s="194"/>
      <c r="B717" s="194"/>
      <c r="C717" s="194"/>
      <c r="D717" s="194"/>
      <c r="E717" s="194"/>
      <c r="F717" s="194"/>
      <c r="G717" s="194"/>
      <c r="H717" s="194"/>
      <c r="I717" s="194"/>
      <c r="J717" s="194"/>
      <c r="K717" s="194"/>
      <c r="L717" s="194"/>
      <c r="M717" s="194"/>
      <c r="N717" s="194"/>
      <c r="O717" s="194"/>
      <c r="P717" s="194"/>
      <c r="Q717" s="194"/>
      <c r="R717" s="194"/>
      <c r="S717" s="194"/>
      <c r="T717" s="194"/>
      <c r="U717" s="194"/>
      <c r="V717" s="194"/>
      <c r="W717" s="194"/>
      <c r="X717" s="194"/>
      <c r="Y717" s="194"/>
      <c r="Z717" s="194"/>
      <c r="AA717" s="194"/>
      <c r="AB717" s="194"/>
      <c r="AC717" s="194"/>
      <c r="AD717" s="194"/>
      <c r="AE717" s="194"/>
      <c r="AF717" s="194"/>
      <c r="AG717" s="194"/>
      <c r="AH717" s="194"/>
      <c r="AI717" s="194"/>
      <c r="AJ717" s="194"/>
      <c r="AK717" s="194"/>
      <c r="AL717" s="194"/>
      <c r="AM717" s="194"/>
    </row>
    <row r="718" spans="1:39" ht="15.75" customHeight="1" x14ac:dyDescent="0.25">
      <c r="A718" s="194"/>
      <c r="B718" s="194"/>
      <c r="C718" s="194"/>
      <c r="D718" s="194"/>
      <c r="E718" s="194"/>
      <c r="F718" s="194"/>
      <c r="G718" s="194"/>
      <c r="H718" s="194"/>
      <c r="I718" s="194"/>
      <c r="J718" s="194"/>
      <c r="K718" s="194"/>
      <c r="L718" s="194"/>
      <c r="M718" s="194"/>
      <c r="N718" s="194"/>
      <c r="O718" s="194"/>
      <c r="P718" s="194"/>
      <c r="Q718" s="194"/>
      <c r="R718" s="194"/>
      <c r="S718" s="194"/>
      <c r="T718" s="194"/>
      <c r="U718" s="194"/>
      <c r="V718" s="194"/>
      <c r="W718" s="194"/>
      <c r="X718" s="194"/>
      <c r="Y718" s="194"/>
      <c r="Z718" s="194"/>
      <c r="AA718" s="194"/>
      <c r="AB718" s="194"/>
      <c r="AC718" s="194"/>
      <c r="AD718" s="194"/>
      <c r="AE718" s="194"/>
      <c r="AF718" s="194"/>
      <c r="AG718" s="194"/>
      <c r="AH718" s="194"/>
      <c r="AI718" s="194"/>
      <c r="AJ718" s="194"/>
      <c r="AK718" s="194"/>
      <c r="AL718" s="194"/>
      <c r="AM718" s="194"/>
    </row>
    <row r="719" spans="1:39" ht="15.75" customHeight="1" x14ac:dyDescent="0.25">
      <c r="A719" s="194"/>
      <c r="B719" s="194"/>
      <c r="C719" s="194"/>
      <c r="D719" s="194"/>
      <c r="E719" s="194"/>
      <c r="F719" s="194"/>
      <c r="G719" s="194"/>
      <c r="H719" s="194"/>
      <c r="I719" s="194"/>
      <c r="J719" s="194"/>
      <c r="K719" s="194"/>
      <c r="L719" s="194"/>
      <c r="M719" s="194"/>
      <c r="N719" s="194"/>
      <c r="O719" s="194"/>
      <c r="P719" s="194"/>
      <c r="Q719" s="194"/>
      <c r="R719" s="194"/>
      <c r="S719" s="194"/>
      <c r="T719" s="194"/>
      <c r="U719" s="194"/>
      <c r="V719" s="194"/>
      <c r="W719" s="194"/>
      <c r="X719" s="194"/>
      <c r="Y719" s="194"/>
      <c r="Z719" s="194"/>
      <c r="AA719" s="194"/>
      <c r="AB719" s="194"/>
      <c r="AC719" s="194"/>
      <c r="AD719" s="194"/>
      <c r="AE719" s="194"/>
      <c r="AF719" s="194"/>
      <c r="AG719" s="194"/>
      <c r="AH719" s="194"/>
      <c r="AI719" s="194"/>
      <c r="AJ719" s="194"/>
      <c r="AK719" s="194"/>
      <c r="AL719" s="194"/>
      <c r="AM719" s="194"/>
    </row>
    <row r="720" spans="1:39" ht="15.75" customHeight="1" x14ac:dyDescent="0.25">
      <c r="A720" s="194"/>
      <c r="B720" s="194"/>
      <c r="C720" s="194"/>
      <c r="D720" s="194"/>
      <c r="E720" s="194"/>
      <c r="F720" s="194"/>
      <c r="G720" s="194"/>
      <c r="H720" s="194"/>
      <c r="I720" s="194"/>
      <c r="J720" s="194"/>
      <c r="K720" s="194"/>
      <c r="L720" s="194"/>
      <c r="M720" s="194"/>
      <c r="N720" s="194"/>
      <c r="O720" s="194"/>
      <c r="P720" s="194"/>
      <c r="Q720" s="194"/>
      <c r="R720" s="194"/>
      <c r="S720" s="194"/>
      <c r="T720" s="194"/>
      <c r="U720" s="194"/>
      <c r="V720" s="194"/>
      <c r="W720" s="194"/>
      <c r="X720" s="194"/>
      <c r="Y720" s="194"/>
      <c r="Z720" s="194"/>
      <c r="AA720" s="194"/>
      <c r="AB720" s="194"/>
      <c r="AC720" s="194"/>
      <c r="AD720" s="194"/>
      <c r="AE720" s="194"/>
      <c r="AF720" s="194"/>
      <c r="AG720" s="194"/>
      <c r="AH720" s="194"/>
      <c r="AI720" s="194"/>
      <c r="AJ720" s="194"/>
      <c r="AK720" s="194"/>
      <c r="AL720" s="194"/>
      <c r="AM720" s="194"/>
    </row>
    <row r="721" spans="1:39" ht="15.75" customHeight="1" x14ac:dyDescent="0.25">
      <c r="A721" s="194"/>
      <c r="B721" s="194"/>
      <c r="C721" s="194"/>
      <c r="D721" s="194"/>
      <c r="E721" s="194"/>
      <c r="F721" s="194"/>
      <c r="G721" s="194"/>
      <c r="H721" s="194"/>
      <c r="I721" s="194"/>
      <c r="J721" s="194"/>
      <c r="K721" s="194"/>
      <c r="L721" s="194"/>
      <c r="M721" s="194"/>
      <c r="N721" s="194"/>
      <c r="O721" s="194"/>
      <c r="P721" s="194"/>
      <c r="Q721" s="194"/>
      <c r="R721" s="194"/>
      <c r="S721" s="194"/>
      <c r="T721" s="194"/>
      <c r="U721" s="194"/>
      <c r="V721" s="194"/>
      <c r="W721" s="194"/>
      <c r="X721" s="194"/>
      <c r="Y721" s="194"/>
      <c r="Z721" s="194"/>
      <c r="AA721" s="194"/>
      <c r="AB721" s="194"/>
      <c r="AC721" s="194"/>
      <c r="AD721" s="194"/>
      <c r="AE721" s="194"/>
      <c r="AF721" s="194"/>
      <c r="AG721" s="194"/>
      <c r="AH721" s="194"/>
      <c r="AI721" s="194"/>
      <c r="AJ721" s="194"/>
      <c r="AK721" s="194"/>
      <c r="AL721" s="194"/>
      <c r="AM721" s="194"/>
    </row>
    <row r="722" spans="1:39" ht="15.75" customHeight="1" x14ac:dyDescent="0.25">
      <c r="A722" s="194"/>
      <c r="B722" s="194"/>
      <c r="C722" s="194"/>
      <c r="D722" s="194"/>
      <c r="E722" s="194"/>
      <c r="F722" s="194"/>
      <c r="G722" s="194"/>
      <c r="H722" s="194"/>
      <c r="I722" s="194"/>
      <c r="J722" s="194"/>
      <c r="K722" s="194"/>
      <c r="L722" s="194"/>
      <c r="M722" s="194"/>
      <c r="N722" s="194"/>
      <c r="O722" s="194"/>
      <c r="P722" s="194"/>
      <c r="Q722" s="194"/>
      <c r="R722" s="194"/>
      <c r="S722" s="194"/>
      <c r="T722" s="194"/>
      <c r="U722" s="194"/>
      <c r="V722" s="194"/>
      <c r="W722" s="194"/>
      <c r="X722" s="194"/>
      <c r="Y722" s="194"/>
      <c r="Z722" s="194"/>
      <c r="AA722" s="194"/>
      <c r="AB722" s="194"/>
      <c r="AC722" s="194"/>
      <c r="AD722" s="194"/>
      <c r="AE722" s="194"/>
      <c r="AF722" s="194"/>
      <c r="AG722" s="194"/>
      <c r="AH722" s="194"/>
      <c r="AI722" s="194"/>
      <c r="AJ722" s="194"/>
      <c r="AK722" s="194"/>
      <c r="AL722" s="194"/>
      <c r="AM722" s="194"/>
    </row>
    <row r="723" spans="1:39" ht="15.75" customHeight="1" x14ac:dyDescent="0.25">
      <c r="A723" s="194"/>
      <c r="B723" s="194"/>
      <c r="C723" s="194"/>
      <c r="D723" s="194"/>
      <c r="E723" s="194"/>
      <c r="F723" s="194"/>
      <c r="G723" s="194"/>
      <c r="H723" s="194"/>
      <c r="I723" s="194"/>
      <c r="J723" s="194"/>
      <c r="K723" s="194"/>
      <c r="L723" s="194"/>
      <c r="M723" s="194"/>
      <c r="N723" s="194"/>
      <c r="O723" s="194"/>
      <c r="P723" s="194"/>
      <c r="Q723" s="194"/>
      <c r="R723" s="194"/>
      <c r="S723" s="194"/>
      <c r="T723" s="194"/>
      <c r="U723" s="194"/>
      <c r="V723" s="194"/>
      <c r="W723" s="194"/>
      <c r="X723" s="194"/>
      <c r="Y723" s="194"/>
      <c r="Z723" s="194"/>
      <c r="AA723" s="194"/>
      <c r="AB723" s="194"/>
      <c r="AC723" s="194"/>
      <c r="AD723" s="194"/>
      <c r="AE723" s="194"/>
      <c r="AF723" s="194"/>
      <c r="AG723" s="194"/>
      <c r="AH723" s="194"/>
      <c r="AI723" s="194"/>
      <c r="AJ723" s="194"/>
      <c r="AK723" s="194"/>
      <c r="AL723" s="194"/>
      <c r="AM723" s="194"/>
    </row>
    <row r="724" spans="1:39" ht="15.75" customHeight="1" x14ac:dyDescent="0.25">
      <c r="A724" s="194"/>
      <c r="B724" s="194"/>
      <c r="C724" s="194"/>
      <c r="D724" s="194"/>
      <c r="E724" s="194"/>
      <c r="F724" s="194"/>
      <c r="G724" s="194"/>
      <c r="H724" s="194"/>
      <c r="I724" s="194"/>
      <c r="J724" s="194"/>
      <c r="K724" s="194"/>
      <c r="L724" s="194"/>
      <c r="M724" s="194"/>
      <c r="N724" s="194"/>
      <c r="O724" s="194"/>
      <c r="P724" s="194"/>
      <c r="Q724" s="194"/>
      <c r="R724" s="194"/>
      <c r="S724" s="194"/>
      <c r="T724" s="194"/>
      <c r="U724" s="194"/>
      <c r="V724" s="194"/>
      <c r="W724" s="194"/>
      <c r="X724" s="194"/>
      <c r="Y724" s="194"/>
      <c r="Z724" s="194"/>
      <c r="AA724" s="194"/>
      <c r="AB724" s="194"/>
      <c r="AC724" s="194"/>
      <c r="AD724" s="194"/>
      <c r="AE724" s="194"/>
      <c r="AF724" s="194"/>
      <c r="AG724" s="194"/>
      <c r="AH724" s="194"/>
      <c r="AI724" s="194"/>
      <c r="AJ724" s="194"/>
      <c r="AK724" s="194"/>
      <c r="AL724" s="194"/>
      <c r="AM724" s="194"/>
    </row>
    <row r="725" spans="1:39" ht="15.75" customHeight="1" x14ac:dyDescent="0.25">
      <c r="A725" s="194"/>
      <c r="B725" s="194"/>
      <c r="C725" s="194"/>
      <c r="D725" s="194"/>
      <c r="E725" s="194"/>
      <c r="F725" s="194"/>
      <c r="G725" s="194"/>
      <c r="H725" s="194"/>
      <c r="I725" s="194"/>
      <c r="J725" s="194"/>
      <c r="K725" s="194"/>
      <c r="L725" s="194"/>
      <c r="M725" s="194"/>
      <c r="N725" s="194"/>
      <c r="O725" s="194"/>
      <c r="P725" s="194"/>
      <c r="Q725" s="194"/>
      <c r="R725" s="194"/>
      <c r="S725" s="194"/>
      <c r="T725" s="194"/>
      <c r="U725" s="194"/>
      <c r="V725" s="194"/>
      <c r="W725" s="194"/>
      <c r="X725" s="194"/>
      <c r="Y725" s="194"/>
      <c r="Z725" s="194"/>
      <c r="AA725" s="194"/>
      <c r="AB725" s="194"/>
      <c r="AC725" s="194"/>
      <c r="AD725" s="194"/>
      <c r="AE725" s="194"/>
      <c r="AF725" s="194"/>
      <c r="AG725" s="194"/>
      <c r="AH725" s="194"/>
      <c r="AI725" s="194"/>
      <c r="AJ725" s="194"/>
      <c r="AK725" s="194"/>
      <c r="AL725" s="194"/>
      <c r="AM725" s="194"/>
    </row>
    <row r="726" spans="1:39" ht="15.75" customHeight="1" x14ac:dyDescent="0.25">
      <c r="A726" s="194"/>
      <c r="B726" s="194"/>
      <c r="C726" s="194"/>
      <c r="D726" s="194"/>
      <c r="E726" s="194"/>
      <c r="F726" s="194"/>
      <c r="G726" s="194"/>
      <c r="H726" s="194"/>
      <c r="I726" s="194"/>
      <c r="J726" s="194"/>
      <c r="K726" s="194"/>
      <c r="L726" s="194"/>
      <c r="M726" s="194"/>
      <c r="N726" s="194"/>
      <c r="O726" s="194"/>
      <c r="P726" s="194"/>
      <c r="Q726" s="194"/>
      <c r="R726" s="194"/>
      <c r="S726" s="194"/>
      <c r="T726" s="194"/>
      <c r="U726" s="194"/>
      <c r="V726" s="194"/>
      <c r="W726" s="194"/>
      <c r="X726" s="194"/>
      <c r="Y726" s="194"/>
      <c r="Z726" s="194"/>
      <c r="AA726" s="194"/>
      <c r="AB726" s="194"/>
      <c r="AC726" s="194"/>
      <c r="AD726" s="194"/>
      <c r="AE726" s="194"/>
      <c r="AF726" s="194"/>
      <c r="AG726" s="194"/>
      <c r="AH726" s="194"/>
      <c r="AI726" s="194"/>
      <c r="AJ726" s="194"/>
      <c r="AK726" s="194"/>
      <c r="AL726" s="194"/>
      <c r="AM726" s="194"/>
    </row>
    <row r="727" spans="1:39" ht="15.75" customHeight="1" x14ac:dyDescent="0.25">
      <c r="A727" s="194"/>
      <c r="B727" s="194"/>
      <c r="C727" s="194"/>
      <c r="D727" s="194"/>
      <c r="E727" s="194"/>
      <c r="F727" s="194"/>
      <c r="G727" s="194"/>
      <c r="H727" s="194"/>
      <c r="I727" s="194"/>
      <c r="J727" s="194"/>
      <c r="K727" s="194"/>
      <c r="L727" s="194"/>
      <c r="M727" s="194"/>
      <c r="N727" s="194"/>
      <c r="O727" s="194"/>
      <c r="P727" s="194"/>
      <c r="Q727" s="194"/>
      <c r="R727" s="194"/>
      <c r="S727" s="194"/>
      <c r="T727" s="194"/>
      <c r="U727" s="194"/>
      <c r="V727" s="194"/>
      <c r="W727" s="194"/>
      <c r="X727" s="194"/>
      <c r="Y727" s="194"/>
      <c r="Z727" s="194"/>
      <c r="AA727" s="194"/>
      <c r="AB727" s="194"/>
      <c r="AC727" s="194"/>
      <c r="AD727" s="194"/>
      <c r="AE727" s="194"/>
      <c r="AF727" s="194"/>
      <c r="AG727" s="194"/>
      <c r="AH727" s="194"/>
      <c r="AI727" s="194"/>
      <c r="AJ727" s="194"/>
      <c r="AK727" s="194"/>
      <c r="AL727" s="194"/>
      <c r="AM727" s="194"/>
    </row>
    <row r="728" spans="1:39" ht="15.75" customHeight="1" x14ac:dyDescent="0.25">
      <c r="A728" s="194"/>
      <c r="B728" s="194"/>
      <c r="C728" s="194"/>
      <c r="D728" s="194"/>
      <c r="E728" s="194"/>
      <c r="F728" s="194"/>
      <c r="G728" s="194"/>
      <c r="H728" s="194"/>
      <c r="I728" s="194"/>
      <c r="J728" s="194"/>
      <c r="K728" s="194"/>
      <c r="L728" s="194"/>
      <c r="M728" s="194"/>
      <c r="N728" s="194"/>
      <c r="O728" s="194"/>
      <c r="P728" s="194"/>
      <c r="Q728" s="194"/>
      <c r="R728" s="194"/>
      <c r="S728" s="194"/>
      <c r="T728" s="194"/>
      <c r="U728" s="194"/>
      <c r="V728" s="194"/>
      <c r="W728" s="194"/>
      <c r="X728" s="194"/>
      <c r="Y728" s="194"/>
      <c r="Z728" s="194"/>
      <c r="AA728" s="194"/>
      <c r="AB728" s="194"/>
      <c r="AC728" s="194"/>
      <c r="AD728" s="194"/>
      <c r="AE728" s="194"/>
      <c r="AF728" s="194"/>
      <c r="AG728" s="194"/>
      <c r="AH728" s="194"/>
      <c r="AI728" s="194"/>
      <c r="AJ728" s="194"/>
      <c r="AK728" s="194"/>
      <c r="AL728" s="194"/>
      <c r="AM728" s="194"/>
    </row>
    <row r="729" spans="1:39" ht="15.75" customHeight="1" x14ac:dyDescent="0.25">
      <c r="A729" s="194"/>
      <c r="B729" s="194"/>
      <c r="C729" s="194"/>
      <c r="D729" s="194"/>
      <c r="E729" s="194"/>
      <c r="F729" s="194"/>
      <c r="G729" s="194"/>
      <c r="H729" s="194"/>
      <c r="I729" s="194"/>
      <c r="J729" s="194"/>
      <c r="K729" s="194"/>
      <c r="L729" s="194"/>
      <c r="M729" s="194"/>
      <c r="N729" s="194"/>
      <c r="O729" s="194"/>
      <c r="P729" s="194"/>
      <c r="Q729" s="194"/>
      <c r="R729" s="194"/>
      <c r="S729" s="194"/>
      <c r="T729" s="194"/>
      <c r="U729" s="194"/>
      <c r="V729" s="194"/>
      <c r="W729" s="194"/>
      <c r="X729" s="194"/>
      <c r="Y729" s="194"/>
      <c r="Z729" s="194"/>
      <c r="AA729" s="194"/>
      <c r="AB729" s="194"/>
      <c r="AC729" s="194"/>
      <c r="AD729" s="194"/>
      <c r="AE729" s="194"/>
      <c r="AF729" s="194"/>
      <c r="AG729" s="194"/>
      <c r="AH729" s="194"/>
      <c r="AI729" s="194"/>
      <c r="AJ729" s="194"/>
      <c r="AK729" s="194"/>
      <c r="AL729" s="194"/>
      <c r="AM729" s="194"/>
    </row>
    <row r="730" spans="1:39" ht="15.75" customHeight="1" x14ac:dyDescent="0.25">
      <c r="A730" s="194"/>
      <c r="B730" s="194"/>
      <c r="C730" s="194"/>
      <c r="D730" s="194"/>
      <c r="E730" s="194"/>
      <c r="F730" s="194"/>
      <c r="G730" s="194"/>
      <c r="H730" s="194"/>
      <c r="I730" s="194"/>
      <c r="J730" s="194"/>
      <c r="K730" s="194"/>
      <c r="L730" s="194"/>
      <c r="M730" s="194"/>
      <c r="N730" s="194"/>
      <c r="O730" s="194"/>
      <c r="P730" s="194"/>
      <c r="Q730" s="194"/>
      <c r="R730" s="194"/>
      <c r="S730" s="194"/>
      <c r="T730" s="194"/>
      <c r="U730" s="194"/>
      <c r="V730" s="194"/>
      <c r="W730" s="194"/>
      <c r="X730" s="194"/>
      <c r="Y730" s="194"/>
      <c r="Z730" s="194"/>
      <c r="AA730" s="194"/>
      <c r="AB730" s="194"/>
      <c r="AC730" s="194"/>
      <c r="AD730" s="194"/>
      <c r="AE730" s="194"/>
      <c r="AF730" s="194"/>
      <c r="AG730" s="194"/>
      <c r="AH730" s="194"/>
      <c r="AI730" s="194"/>
      <c r="AJ730" s="194"/>
      <c r="AK730" s="194"/>
      <c r="AL730" s="194"/>
      <c r="AM730" s="194"/>
    </row>
    <row r="731" spans="1:39" ht="15.75" customHeight="1" x14ac:dyDescent="0.25">
      <c r="A731" s="194"/>
      <c r="B731" s="194"/>
      <c r="C731" s="194"/>
      <c r="D731" s="194"/>
      <c r="E731" s="194"/>
      <c r="F731" s="194"/>
      <c r="G731" s="194"/>
      <c r="H731" s="194"/>
      <c r="I731" s="194"/>
      <c r="J731" s="194"/>
      <c r="K731" s="194"/>
      <c r="L731" s="194"/>
      <c r="M731" s="194"/>
      <c r="N731" s="194"/>
      <c r="O731" s="194"/>
      <c r="P731" s="194"/>
      <c r="Q731" s="194"/>
      <c r="R731" s="194"/>
      <c r="S731" s="194"/>
      <c r="T731" s="194"/>
      <c r="U731" s="194"/>
      <c r="V731" s="194"/>
      <c r="W731" s="194"/>
      <c r="X731" s="194"/>
      <c r="Y731" s="194"/>
      <c r="Z731" s="194"/>
      <c r="AA731" s="194"/>
      <c r="AB731" s="194"/>
      <c r="AC731" s="194"/>
      <c r="AD731" s="194"/>
      <c r="AE731" s="194"/>
      <c r="AF731" s="194"/>
      <c r="AG731" s="194"/>
      <c r="AH731" s="194"/>
      <c r="AI731" s="194"/>
      <c r="AJ731" s="194"/>
      <c r="AK731" s="194"/>
      <c r="AL731" s="194"/>
      <c r="AM731" s="194"/>
    </row>
    <row r="732" spans="1:39" ht="15.75" customHeight="1" x14ac:dyDescent="0.25">
      <c r="A732" s="194"/>
      <c r="B732" s="194"/>
      <c r="C732" s="194"/>
      <c r="D732" s="194"/>
      <c r="E732" s="194"/>
      <c r="F732" s="194"/>
      <c r="G732" s="194"/>
      <c r="H732" s="194"/>
      <c r="I732" s="194"/>
      <c r="J732" s="194"/>
      <c r="K732" s="194"/>
      <c r="L732" s="194"/>
      <c r="M732" s="194"/>
      <c r="N732" s="194"/>
      <c r="O732" s="194"/>
      <c r="P732" s="194"/>
      <c r="Q732" s="194"/>
      <c r="R732" s="194"/>
      <c r="S732" s="194"/>
      <c r="T732" s="194"/>
      <c r="U732" s="194"/>
      <c r="V732" s="194"/>
      <c r="W732" s="194"/>
      <c r="X732" s="194"/>
      <c r="Y732" s="194"/>
      <c r="Z732" s="194"/>
      <c r="AA732" s="194"/>
      <c r="AB732" s="194"/>
      <c r="AC732" s="194"/>
      <c r="AD732" s="194"/>
      <c r="AE732" s="194"/>
      <c r="AF732" s="194"/>
      <c r="AG732" s="194"/>
      <c r="AH732" s="194"/>
      <c r="AI732" s="194"/>
      <c r="AJ732" s="194"/>
      <c r="AK732" s="194"/>
      <c r="AL732" s="194"/>
      <c r="AM732" s="194"/>
    </row>
    <row r="733" spans="1:39" ht="15.75" customHeight="1" x14ac:dyDescent="0.25">
      <c r="A733" s="194"/>
      <c r="B733" s="194"/>
      <c r="C733" s="194"/>
      <c r="D733" s="194"/>
      <c r="E733" s="194"/>
      <c r="F733" s="194"/>
      <c r="G733" s="194"/>
      <c r="H733" s="194"/>
      <c r="I733" s="194"/>
      <c r="J733" s="194"/>
      <c r="K733" s="194"/>
      <c r="L733" s="194"/>
      <c r="M733" s="194"/>
      <c r="N733" s="194"/>
      <c r="O733" s="194"/>
      <c r="P733" s="194"/>
      <c r="Q733" s="194"/>
      <c r="R733" s="194"/>
      <c r="S733" s="194"/>
      <c r="T733" s="194"/>
      <c r="U733" s="194"/>
      <c r="V733" s="194"/>
      <c r="W733" s="194"/>
      <c r="X733" s="194"/>
      <c r="Y733" s="194"/>
      <c r="Z733" s="194"/>
      <c r="AA733" s="194"/>
      <c r="AB733" s="194"/>
      <c r="AC733" s="194"/>
      <c r="AD733" s="194"/>
      <c r="AE733" s="194"/>
      <c r="AF733" s="194"/>
      <c r="AG733" s="194"/>
      <c r="AH733" s="194"/>
      <c r="AI733" s="194"/>
      <c r="AJ733" s="194"/>
      <c r="AK733" s="194"/>
      <c r="AL733" s="194"/>
      <c r="AM733" s="194"/>
    </row>
    <row r="734" spans="1:39" ht="15.75" customHeight="1" x14ac:dyDescent="0.25">
      <c r="A734" s="194"/>
      <c r="B734" s="194"/>
      <c r="C734" s="194"/>
      <c r="D734" s="194"/>
      <c r="E734" s="194"/>
      <c r="F734" s="194"/>
      <c r="G734" s="194"/>
      <c r="H734" s="194"/>
      <c r="I734" s="194"/>
      <c r="J734" s="194"/>
      <c r="K734" s="194"/>
      <c r="L734" s="194"/>
      <c r="M734" s="194"/>
      <c r="N734" s="194"/>
      <c r="O734" s="194"/>
      <c r="P734" s="194"/>
      <c r="Q734" s="194"/>
      <c r="R734" s="194"/>
      <c r="S734" s="194"/>
      <c r="T734" s="194"/>
      <c r="U734" s="194"/>
      <c r="V734" s="194"/>
      <c r="W734" s="194"/>
      <c r="X734" s="194"/>
      <c r="Y734" s="194"/>
      <c r="Z734" s="194"/>
      <c r="AA734" s="194"/>
      <c r="AB734" s="194"/>
      <c r="AC734" s="194"/>
      <c r="AD734" s="194"/>
      <c r="AE734" s="194"/>
      <c r="AF734" s="194"/>
      <c r="AG734" s="194"/>
      <c r="AH734" s="194"/>
      <c r="AI734" s="194"/>
      <c r="AJ734" s="194"/>
      <c r="AK734" s="194"/>
      <c r="AL734" s="194"/>
      <c r="AM734" s="194"/>
    </row>
    <row r="735" spans="1:39" ht="15.75" customHeight="1" x14ac:dyDescent="0.25">
      <c r="A735" s="194"/>
      <c r="B735" s="194"/>
      <c r="C735" s="194"/>
      <c r="D735" s="194"/>
      <c r="E735" s="194"/>
      <c r="F735" s="194"/>
      <c r="G735" s="194"/>
      <c r="H735" s="194"/>
      <c r="I735" s="194"/>
      <c r="J735" s="194"/>
      <c r="K735" s="194"/>
      <c r="L735" s="194"/>
      <c r="M735" s="194"/>
      <c r="N735" s="194"/>
      <c r="O735" s="194"/>
      <c r="P735" s="194"/>
      <c r="Q735" s="194"/>
      <c r="R735" s="194"/>
      <c r="S735" s="194"/>
      <c r="T735" s="194"/>
      <c r="U735" s="194"/>
      <c r="V735" s="194"/>
      <c r="W735" s="194"/>
      <c r="X735" s="194"/>
      <c r="Y735" s="194"/>
      <c r="Z735" s="194"/>
      <c r="AA735" s="194"/>
      <c r="AB735" s="194"/>
      <c r="AC735" s="194"/>
      <c r="AD735" s="194"/>
      <c r="AE735" s="194"/>
      <c r="AF735" s="194"/>
      <c r="AG735" s="194"/>
      <c r="AH735" s="194"/>
      <c r="AI735" s="194"/>
      <c r="AJ735" s="194"/>
      <c r="AK735" s="194"/>
      <c r="AL735" s="194"/>
      <c r="AM735" s="194"/>
    </row>
    <row r="736" spans="1:39" ht="15.75" customHeight="1" x14ac:dyDescent="0.25">
      <c r="A736" s="194"/>
      <c r="B736" s="194"/>
      <c r="C736" s="194"/>
      <c r="D736" s="194"/>
      <c r="E736" s="194"/>
      <c r="F736" s="194"/>
      <c r="G736" s="194"/>
      <c r="H736" s="194"/>
      <c r="I736" s="194"/>
      <c r="J736" s="194"/>
      <c r="K736" s="194"/>
      <c r="L736" s="194"/>
      <c r="M736" s="194"/>
      <c r="N736" s="194"/>
      <c r="O736" s="194"/>
      <c r="P736" s="194"/>
      <c r="Q736" s="194"/>
      <c r="R736" s="194"/>
      <c r="S736" s="194"/>
      <c r="T736" s="194"/>
      <c r="U736" s="194"/>
      <c r="V736" s="194"/>
      <c r="W736" s="194"/>
      <c r="X736" s="194"/>
      <c r="Y736" s="194"/>
      <c r="Z736" s="194"/>
      <c r="AA736" s="194"/>
      <c r="AB736" s="194"/>
      <c r="AC736" s="194"/>
      <c r="AD736" s="194"/>
      <c r="AE736" s="194"/>
      <c r="AF736" s="194"/>
      <c r="AG736" s="194"/>
      <c r="AH736" s="194"/>
      <c r="AI736" s="194"/>
      <c r="AJ736" s="194"/>
      <c r="AK736" s="194"/>
      <c r="AL736" s="194"/>
      <c r="AM736" s="194"/>
    </row>
    <row r="737" spans="1:39" ht="15.75" customHeight="1" x14ac:dyDescent="0.25">
      <c r="A737" s="194"/>
      <c r="B737" s="194"/>
      <c r="C737" s="194"/>
      <c r="D737" s="194"/>
      <c r="E737" s="194"/>
      <c r="F737" s="194"/>
      <c r="G737" s="194"/>
      <c r="H737" s="194"/>
      <c r="I737" s="194"/>
      <c r="J737" s="194"/>
      <c r="K737" s="194"/>
      <c r="L737" s="194"/>
      <c r="M737" s="194"/>
      <c r="N737" s="194"/>
      <c r="O737" s="194"/>
      <c r="P737" s="194"/>
      <c r="Q737" s="194"/>
      <c r="R737" s="194"/>
      <c r="S737" s="194"/>
      <c r="T737" s="194"/>
      <c r="U737" s="194"/>
      <c r="V737" s="194"/>
      <c r="W737" s="194"/>
      <c r="X737" s="194"/>
      <c r="Y737" s="194"/>
      <c r="Z737" s="194"/>
      <c r="AA737" s="194"/>
      <c r="AB737" s="194"/>
      <c r="AC737" s="194"/>
      <c r="AD737" s="194"/>
      <c r="AE737" s="194"/>
      <c r="AF737" s="194"/>
      <c r="AG737" s="194"/>
      <c r="AH737" s="194"/>
      <c r="AI737" s="194"/>
      <c r="AJ737" s="194"/>
      <c r="AK737" s="194"/>
      <c r="AL737" s="194"/>
      <c r="AM737" s="194"/>
    </row>
    <row r="738" spans="1:39" ht="15.75" customHeight="1" x14ac:dyDescent="0.25">
      <c r="A738" s="194"/>
      <c r="B738" s="194"/>
      <c r="C738" s="194"/>
      <c r="D738" s="194"/>
      <c r="E738" s="194"/>
      <c r="F738" s="194"/>
      <c r="G738" s="194"/>
      <c r="H738" s="194"/>
      <c r="I738" s="194"/>
      <c r="J738" s="194"/>
      <c r="K738" s="194"/>
      <c r="L738" s="194"/>
      <c r="M738" s="194"/>
      <c r="N738" s="194"/>
      <c r="O738" s="194"/>
      <c r="P738" s="194"/>
      <c r="Q738" s="194"/>
      <c r="R738" s="194"/>
      <c r="S738" s="194"/>
      <c r="T738" s="194"/>
      <c r="U738" s="194"/>
      <c r="V738" s="194"/>
      <c r="W738" s="194"/>
      <c r="X738" s="194"/>
      <c r="Y738" s="194"/>
      <c r="Z738" s="194"/>
      <c r="AA738" s="194"/>
      <c r="AB738" s="194"/>
      <c r="AC738" s="194"/>
      <c r="AD738" s="194"/>
      <c r="AE738" s="194"/>
      <c r="AF738" s="194"/>
      <c r="AG738" s="194"/>
      <c r="AH738" s="194"/>
      <c r="AI738" s="194"/>
      <c r="AJ738" s="194"/>
      <c r="AK738" s="194"/>
      <c r="AL738" s="194"/>
      <c r="AM738" s="194"/>
    </row>
    <row r="739" spans="1:39" ht="15.75" customHeight="1" x14ac:dyDescent="0.25">
      <c r="A739" s="194"/>
      <c r="B739" s="194"/>
      <c r="C739" s="194"/>
      <c r="D739" s="194"/>
      <c r="E739" s="194"/>
      <c r="F739" s="194"/>
      <c r="G739" s="194"/>
      <c r="H739" s="194"/>
      <c r="I739" s="194"/>
      <c r="J739" s="194"/>
      <c r="K739" s="194"/>
      <c r="L739" s="194"/>
      <c r="M739" s="194"/>
      <c r="N739" s="194"/>
      <c r="O739" s="194"/>
      <c r="P739" s="194"/>
      <c r="Q739" s="194"/>
      <c r="R739" s="194"/>
      <c r="S739" s="194"/>
      <c r="T739" s="194"/>
      <c r="U739" s="194"/>
      <c r="V739" s="194"/>
      <c r="W739" s="194"/>
      <c r="X739" s="194"/>
      <c r="Y739" s="194"/>
      <c r="Z739" s="194"/>
      <c r="AA739" s="194"/>
      <c r="AB739" s="194"/>
      <c r="AC739" s="194"/>
      <c r="AD739" s="194"/>
      <c r="AE739" s="194"/>
      <c r="AF739" s="194"/>
      <c r="AG739" s="194"/>
      <c r="AH739" s="194"/>
      <c r="AI739" s="194"/>
      <c r="AJ739" s="194"/>
      <c r="AK739" s="194"/>
      <c r="AL739" s="194"/>
      <c r="AM739" s="194"/>
    </row>
    <row r="740" spans="1:39" ht="15.75" customHeight="1" x14ac:dyDescent="0.25">
      <c r="A740" s="194"/>
      <c r="B740" s="194"/>
      <c r="C740" s="194"/>
      <c r="D740" s="194"/>
      <c r="E740" s="194"/>
      <c r="F740" s="194"/>
      <c r="G740" s="194"/>
      <c r="H740" s="194"/>
      <c r="I740" s="194"/>
      <c r="J740" s="194"/>
      <c r="K740" s="194"/>
      <c r="L740" s="194"/>
      <c r="M740" s="194"/>
      <c r="N740" s="194"/>
      <c r="O740" s="194"/>
      <c r="P740" s="194"/>
      <c r="Q740" s="194"/>
      <c r="R740" s="194"/>
      <c r="S740" s="194"/>
      <c r="T740" s="194"/>
      <c r="U740" s="194"/>
      <c r="V740" s="194"/>
      <c r="W740" s="194"/>
      <c r="X740" s="194"/>
      <c r="Y740" s="194"/>
      <c r="Z740" s="194"/>
      <c r="AA740" s="194"/>
      <c r="AB740" s="194"/>
      <c r="AC740" s="194"/>
      <c r="AD740" s="194"/>
      <c r="AE740" s="194"/>
      <c r="AF740" s="194"/>
      <c r="AG740" s="194"/>
      <c r="AH740" s="194"/>
      <c r="AI740" s="194"/>
      <c r="AJ740" s="194"/>
      <c r="AK740" s="194"/>
      <c r="AL740" s="194"/>
      <c r="AM740" s="194"/>
    </row>
    <row r="741" spans="1:39" ht="15.75" customHeight="1" x14ac:dyDescent="0.25">
      <c r="A741" s="194"/>
      <c r="B741" s="194"/>
      <c r="C741" s="194"/>
      <c r="D741" s="194"/>
      <c r="E741" s="194"/>
      <c r="F741" s="194"/>
      <c r="G741" s="194"/>
      <c r="H741" s="194"/>
      <c r="I741" s="194"/>
      <c r="J741" s="194"/>
      <c r="K741" s="194"/>
      <c r="L741" s="194"/>
      <c r="M741" s="194"/>
      <c r="N741" s="194"/>
      <c r="O741" s="194"/>
      <c r="P741" s="194"/>
      <c r="Q741" s="194"/>
      <c r="R741" s="194"/>
      <c r="S741" s="194"/>
      <c r="T741" s="194"/>
      <c r="U741" s="194"/>
      <c r="V741" s="194"/>
      <c r="W741" s="194"/>
      <c r="X741" s="194"/>
      <c r="Y741" s="194"/>
      <c r="Z741" s="194"/>
      <c r="AA741" s="194"/>
      <c r="AB741" s="194"/>
      <c r="AC741" s="194"/>
      <c r="AD741" s="194"/>
      <c r="AE741" s="194"/>
      <c r="AF741" s="194"/>
      <c r="AG741" s="194"/>
      <c r="AH741" s="194"/>
      <c r="AI741" s="194"/>
      <c r="AJ741" s="194"/>
      <c r="AK741" s="194"/>
      <c r="AL741" s="194"/>
      <c r="AM741" s="194"/>
    </row>
    <row r="742" spans="1:39" ht="15.75" customHeight="1" x14ac:dyDescent="0.25">
      <c r="A742" s="194"/>
      <c r="B742" s="194"/>
      <c r="C742" s="194"/>
      <c r="D742" s="194"/>
      <c r="E742" s="194"/>
      <c r="F742" s="194"/>
      <c r="G742" s="194"/>
      <c r="H742" s="194"/>
      <c r="I742" s="194"/>
      <c r="J742" s="194"/>
      <c r="K742" s="194"/>
      <c r="L742" s="194"/>
      <c r="M742" s="194"/>
      <c r="N742" s="194"/>
      <c r="O742" s="194"/>
      <c r="P742" s="194"/>
      <c r="Q742" s="194"/>
      <c r="R742" s="194"/>
      <c r="S742" s="194"/>
      <c r="T742" s="194"/>
      <c r="U742" s="194"/>
      <c r="V742" s="194"/>
      <c r="W742" s="194"/>
      <c r="X742" s="194"/>
      <c r="Y742" s="194"/>
      <c r="Z742" s="194"/>
      <c r="AA742" s="194"/>
      <c r="AB742" s="194"/>
      <c r="AC742" s="194"/>
      <c r="AD742" s="194"/>
      <c r="AE742" s="194"/>
      <c r="AF742" s="194"/>
      <c r="AG742" s="194"/>
      <c r="AH742" s="194"/>
      <c r="AI742" s="194"/>
      <c r="AJ742" s="194"/>
      <c r="AK742" s="194"/>
      <c r="AL742" s="194"/>
      <c r="AM742" s="194"/>
    </row>
    <row r="743" spans="1:39" ht="15.75" customHeight="1" x14ac:dyDescent="0.25">
      <c r="A743" s="194"/>
      <c r="B743" s="194"/>
      <c r="C743" s="194"/>
      <c r="D743" s="194"/>
      <c r="E743" s="194"/>
      <c r="F743" s="194"/>
      <c r="G743" s="194"/>
      <c r="H743" s="194"/>
      <c r="I743" s="194"/>
      <c r="J743" s="194"/>
      <c r="K743" s="194"/>
      <c r="L743" s="194"/>
      <c r="M743" s="194"/>
      <c r="N743" s="194"/>
      <c r="O743" s="194"/>
      <c r="P743" s="194"/>
      <c r="Q743" s="194"/>
      <c r="R743" s="194"/>
      <c r="S743" s="194"/>
      <c r="T743" s="194"/>
      <c r="U743" s="194"/>
      <c r="V743" s="194"/>
      <c r="W743" s="194"/>
      <c r="X743" s="194"/>
      <c r="Y743" s="194"/>
      <c r="Z743" s="194"/>
      <c r="AA743" s="194"/>
      <c r="AB743" s="194"/>
      <c r="AC743" s="194"/>
      <c r="AD743" s="194"/>
      <c r="AE743" s="194"/>
      <c r="AF743" s="194"/>
      <c r="AG743" s="194"/>
      <c r="AH743" s="194"/>
      <c r="AI743" s="194"/>
      <c r="AJ743" s="194"/>
      <c r="AK743" s="194"/>
      <c r="AL743" s="194"/>
      <c r="AM743" s="194"/>
    </row>
    <row r="744" spans="1:39" ht="15.75" customHeight="1" x14ac:dyDescent="0.25">
      <c r="A744" s="194"/>
      <c r="B744" s="194"/>
      <c r="C744" s="194"/>
      <c r="D744" s="194"/>
      <c r="E744" s="194"/>
      <c r="F744" s="194"/>
      <c r="G744" s="194"/>
      <c r="H744" s="194"/>
      <c r="I744" s="194"/>
      <c r="J744" s="194"/>
      <c r="K744" s="194"/>
      <c r="L744" s="194"/>
      <c r="M744" s="194"/>
      <c r="N744" s="194"/>
      <c r="O744" s="194"/>
      <c r="P744" s="194"/>
      <c r="Q744" s="194"/>
      <c r="R744" s="194"/>
      <c r="S744" s="194"/>
      <c r="T744" s="194"/>
      <c r="U744" s="194"/>
      <c r="V744" s="194"/>
      <c r="W744" s="194"/>
      <c r="X744" s="194"/>
      <c r="Y744" s="194"/>
      <c r="Z744" s="194"/>
      <c r="AA744" s="194"/>
      <c r="AB744" s="194"/>
      <c r="AC744" s="194"/>
      <c r="AD744" s="194"/>
      <c r="AE744" s="194"/>
      <c r="AF744" s="194"/>
      <c r="AG744" s="194"/>
      <c r="AH744" s="194"/>
      <c r="AI744" s="194"/>
      <c r="AJ744" s="194"/>
      <c r="AK744" s="194"/>
      <c r="AL744" s="194"/>
      <c r="AM744" s="194"/>
    </row>
    <row r="745" spans="1:39" ht="15.75" customHeight="1" x14ac:dyDescent="0.25">
      <c r="A745" s="194"/>
      <c r="B745" s="194"/>
      <c r="C745" s="194"/>
      <c r="D745" s="194"/>
      <c r="E745" s="194"/>
      <c r="F745" s="194"/>
      <c r="G745" s="194"/>
      <c r="H745" s="194"/>
      <c r="I745" s="194"/>
      <c r="J745" s="194"/>
      <c r="K745" s="194"/>
      <c r="L745" s="194"/>
      <c r="M745" s="194"/>
      <c r="N745" s="194"/>
      <c r="O745" s="194"/>
      <c r="P745" s="194"/>
      <c r="Q745" s="194"/>
      <c r="R745" s="194"/>
      <c r="S745" s="194"/>
      <c r="T745" s="194"/>
      <c r="U745" s="194"/>
      <c r="V745" s="194"/>
      <c r="W745" s="194"/>
      <c r="X745" s="194"/>
      <c r="Y745" s="194"/>
      <c r="Z745" s="194"/>
      <c r="AA745" s="194"/>
      <c r="AB745" s="194"/>
      <c r="AC745" s="194"/>
      <c r="AD745" s="194"/>
      <c r="AE745" s="194"/>
      <c r="AF745" s="194"/>
      <c r="AG745" s="194"/>
      <c r="AH745" s="194"/>
      <c r="AI745" s="194"/>
      <c r="AJ745" s="194"/>
      <c r="AK745" s="194"/>
      <c r="AL745" s="194"/>
      <c r="AM745" s="194"/>
    </row>
    <row r="746" spans="1:39" ht="15.75" customHeight="1" x14ac:dyDescent="0.25">
      <c r="A746" s="194"/>
      <c r="B746" s="194"/>
      <c r="C746" s="194"/>
      <c r="D746" s="194"/>
      <c r="E746" s="194"/>
      <c r="F746" s="194"/>
      <c r="G746" s="194"/>
      <c r="H746" s="194"/>
      <c r="I746" s="194"/>
      <c r="J746" s="194"/>
      <c r="K746" s="194"/>
      <c r="L746" s="194"/>
      <c r="M746" s="194"/>
      <c r="N746" s="194"/>
      <c r="O746" s="194"/>
      <c r="P746" s="194"/>
      <c r="Q746" s="194"/>
      <c r="R746" s="194"/>
      <c r="S746" s="194"/>
      <c r="T746" s="194"/>
      <c r="U746" s="194"/>
      <c r="V746" s="194"/>
      <c r="W746" s="194"/>
      <c r="X746" s="194"/>
      <c r="Y746" s="194"/>
      <c r="Z746" s="194"/>
      <c r="AA746" s="194"/>
      <c r="AB746" s="194"/>
      <c r="AC746" s="194"/>
      <c r="AD746" s="194"/>
      <c r="AE746" s="194"/>
      <c r="AF746" s="194"/>
      <c r="AG746" s="194"/>
      <c r="AH746" s="194"/>
      <c r="AI746" s="194"/>
      <c r="AJ746" s="194"/>
      <c r="AK746" s="194"/>
      <c r="AL746" s="194"/>
      <c r="AM746" s="194"/>
    </row>
    <row r="747" spans="1:39" ht="15.75" customHeight="1" x14ac:dyDescent="0.25">
      <c r="A747" s="194"/>
      <c r="B747" s="194"/>
      <c r="C747" s="194"/>
      <c r="D747" s="194"/>
      <c r="E747" s="194"/>
      <c r="F747" s="194"/>
      <c r="G747" s="194"/>
      <c r="H747" s="194"/>
      <c r="I747" s="194"/>
      <c r="J747" s="194"/>
      <c r="K747" s="194"/>
      <c r="L747" s="194"/>
      <c r="M747" s="194"/>
      <c r="N747" s="194"/>
      <c r="O747" s="194"/>
      <c r="P747" s="194"/>
      <c r="Q747" s="194"/>
      <c r="R747" s="194"/>
      <c r="S747" s="194"/>
      <c r="T747" s="194"/>
      <c r="U747" s="194"/>
      <c r="V747" s="194"/>
      <c r="W747" s="194"/>
      <c r="X747" s="194"/>
      <c r="Y747" s="194"/>
      <c r="Z747" s="194"/>
      <c r="AA747" s="194"/>
      <c r="AB747" s="194"/>
      <c r="AC747" s="194"/>
      <c r="AD747" s="194"/>
      <c r="AE747" s="194"/>
      <c r="AF747" s="194"/>
      <c r="AG747" s="194"/>
      <c r="AH747" s="194"/>
      <c r="AI747" s="194"/>
      <c r="AJ747" s="194"/>
      <c r="AK747" s="194"/>
      <c r="AL747" s="194"/>
      <c r="AM747" s="194"/>
    </row>
    <row r="748" spans="1:39" ht="15.75" customHeight="1" x14ac:dyDescent="0.25">
      <c r="A748" s="194"/>
      <c r="B748" s="194"/>
      <c r="C748" s="194"/>
      <c r="D748" s="194"/>
      <c r="E748" s="194"/>
      <c r="F748" s="194"/>
      <c r="G748" s="194"/>
      <c r="H748" s="194"/>
      <c r="I748" s="194"/>
      <c r="J748" s="194"/>
      <c r="K748" s="194"/>
      <c r="L748" s="194"/>
      <c r="M748" s="194"/>
      <c r="N748" s="194"/>
      <c r="O748" s="194"/>
      <c r="P748" s="194"/>
      <c r="Q748" s="194"/>
      <c r="R748" s="194"/>
      <c r="S748" s="194"/>
      <c r="T748" s="194"/>
      <c r="U748" s="194"/>
      <c r="V748" s="194"/>
      <c r="W748" s="194"/>
      <c r="X748" s="194"/>
      <c r="Y748" s="194"/>
      <c r="Z748" s="194"/>
      <c r="AA748" s="194"/>
      <c r="AB748" s="194"/>
      <c r="AC748" s="194"/>
      <c r="AD748" s="194"/>
      <c r="AE748" s="194"/>
      <c r="AF748" s="194"/>
      <c r="AG748" s="194"/>
      <c r="AH748" s="194"/>
      <c r="AI748" s="194"/>
      <c r="AJ748" s="194"/>
      <c r="AK748" s="194"/>
      <c r="AL748" s="194"/>
      <c r="AM748" s="194"/>
    </row>
    <row r="749" spans="1:39" ht="15.75" customHeight="1" x14ac:dyDescent="0.25">
      <c r="A749" s="194"/>
      <c r="B749" s="194"/>
      <c r="C749" s="194"/>
      <c r="D749" s="194"/>
      <c r="E749" s="194"/>
      <c r="F749" s="194"/>
      <c r="G749" s="194"/>
      <c r="H749" s="194"/>
      <c r="I749" s="194"/>
      <c r="J749" s="194"/>
      <c r="K749" s="194"/>
      <c r="L749" s="194"/>
      <c r="M749" s="194"/>
      <c r="N749" s="194"/>
      <c r="O749" s="194"/>
      <c r="P749" s="194"/>
      <c r="Q749" s="194"/>
      <c r="R749" s="194"/>
      <c r="S749" s="194"/>
      <c r="T749" s="194"/>
      <c r="U749" s="194"/>
      <c r="V749" s="194"/>
      <c r="W749" s="194"/>
      <c r="X749" s="194"/>
      <c r="Y749" s="194"/>
      <c r="Z749" s="194"/>
      <c r="AA749" s="194"/>
      <c r="AB749" s="194"/>
      <c r="AC749" s="194"/>
      <c r="AD749" s="194"/>
      <c r="AE749" s="194"/>
      <c r="AF749" s="194"/>
      <c r="AG749" s="194"/>
      <c r="AH749" s="194"/>
      <c r="AI749" s="194"/>
      <c r="AJ749" s="194"/>
      <c r="AK749" s="194"/>
      <c r="AL749" s="194"/>
      <c r="AM749" s="194"/>
    </row>
    <row r="750" spans="1:39" ht="15.75" customHeight="1" x14ac:dyDescent="0.25">
      <c r="A750" s="194"/>
      <c r="B750" s="194"/>
      <c r="C750" s="194"/>
      <c r="D750" s="194"/>
      <c r="E750" s="194"/>
      <c r="F750" s="194"/>
      <c r="G750" s="194"/>
      <c r="H750" s="194"/>
      <c r="I750" s="194"/>
      <c r="J750" s="194"/>
      <c r="K750" s="194"/>
      <c r="L750" s="194"/>
      <c r="M750" s="194"/>
      <c r="N750" s="194"/>
      <c r="O750" s="194"/>
      <c r="P750" s="194"/>
      <c r="Q750" s="194"/>
      <c r="R750" s="194"/>
      <c r="S750" s="194"/>
      <c r="T750" s="194"/>
      <c r="U750" s="194"/>
      <c r="V750" s="194"/>
      <c r="W750" s="194"/>
      <c r="X750" s="194"/>
      <c r="Y750" s="194"/>
      <c r="Z750" s="194"/>
      <c r="AA750" s="194"/>
      <c r="AB750" s="194"/>
      <c r="AC750" s="194"/>
      <c r="AD750" s="194"/>
      <c r="AE750" s="194"/>
      <c r="AF750" s="194"/>
      <c r="AG750" s="194"/>
      <c r="AH750" s="194"/>
      <c r="AI750" s="194"/>
      <c r="AJ750" s="194"/>
      <c r="AK750" s="194"/>
      <c r="AL750" s="194"/>
      <c r="AM750" s="194"/>
    </row>
    <row r="751" spans="1:39" ht="15.75" customHeight="1" x14ac:dyDescent="0.25">
      <c r="A751" s="194"/>
      <c r="B751" s="194"/>
      <c r="C751" s="194"/>
      <c r="D751" s="194"/>
      <c r="E751" s="194"/>
      <c r="F751" s="194"/>
      <c r="G751" s="194"/>
      <c r="H751" s="194"/>
      <c r="I751" s="194"/>
      <c r="J751" s="194"/>
      <c r="K751" s="194"/>
      <c r="L751" s="194"/>
      <c r="M751" s="194"/>
      <c r="N751" s="194"/>
      <c r="O751" s="194"/>
      <c r="P751" s="194"/>
      <c r="Q751" s="194"/>
      <c r="R751" s="194"/>
      <c r="S751" s="194"/>
      <c r="T751" s="194"/>
      <c r="U751" s="194"/>
      <c r="V751" s="194"/>
      <c r="W751" s="194"/>
      <c r="X751" s="194"/>
      <c r="Y751" s="194"/>
      <c r="Z751" s="194"/>
      <c r="AA751" s="194"/>
      <c r="AB751" s="194"/>
      <c r="AC751" s="194"/>
      <c r="AD751" s="194"/>
      <c r="AE751" s="194"/>
      <c r="AF751" s="194"/>
      <c r="AG751" s="194"/>
      <c r="AH751" s="194"/>
      <c r="AI751" s="194"/>
      <c r="AJ751" s="194"/>
      <c r="AK751" s="194"/>
      <c r="AL751" s="194"/>
      <c r="AM751" s="194"/>
    </row>
    <row r="752" spans="1:39" ht="15.75" customHeight="1" x14ac:dyDescent="0.25">
      <c r="A752" s="194"/>
      <c r="B752" s="194"/>
      <c r="C752" s="194"/>
      <c r="D752" s="194"/>
      <c r="E752" s="194"/>
      <c r="F752" s="194"/>
      <c r="G752" s="194"/>
      <c r="H752" s="194"/>
      <c r="I752" s="194"/>
      <c r="J752" s="194"/>
      <c r="K752" s="194"/>
      <c r="L752" s="194"/>
      <c r="M752" s="194"/>
      <c r="N752" s="194"/>
      <c r="O752" s="194"/>
      <c r="P752" s="194"/>
      <c r="Q752" s="194"/>
      <c r="R752" s="194"/>
      <c r="S752" s="194"/>
      <c r="T752" s="194"/>
      <c r="U752" s="194"/>
      <c r="V752" s="194"/>
      <c r="W752" s="194"/>
      <c r="X752" s="194"/>
      <c r="Y752" s="194"/>
      <c r="Z752" s="194"/>
      <c r="AA752" s="194"/>
      <c r="AB752" s="194"/>
      <c r="AC752" s="194"/>
      <c r="AD752" s="194"/>
      <c r="AE752" s="194"/>
      <c r="AF752" s="194"/>
      <c r="AG752" s="194"/>
      <c r="AH752" s="194"/>
      <c r="AI752" s="194"/>
      <c r="AJ752" s="194"/>
      <c r="AK752" s="194"/>
      <c r="AL752" s="194"/>
      <c r="AM752" s="194"/>
    </row>
    <row r="753" spans="1:39" ht="15.75" customHeight="1" x14ac:dyDescent="0.25">
      <c r="A753" s="194"/>
      <c r="B753" s="194"/>
      <c r="C753" s="194"/>
      <c r="D753" s="194"/>
      <c r="E753" s="194"/>
      <c r="F753" s="194"/>
      <c r="G753" s="194"/>
      <c r="H753" s="194"/>
      <c r="I753" s="194"/>
      <c r="J753" s="194"/>
      <c r="K753" s="194"/>
      <c r="L753" s="194"/>
      <c r="M753" s="194"/>
      <c r="N753" s="194"/>
      <c r="O753" s="194"/>
      <c r="P753" s="194"/>
      <c r="Q753" s="194"/>
      <c r="R753" s="194"/>
      <c r="S753" s="194"/>
      <c r="T753" s="194"/>
      <c r="U753" s="194"/>
      <c r="V753" s="194"/>
      <c r="W753" s="194"/>
      <c r="X753" s="194"/>
      <c r="Y753" s="194"/>
      <c r="Z753" s="194"/>
      <c r="AA753" s="194"/>
      <c r="AB753" s="194"/>
      <c r="AC753" s="194"/>
      <c r="AD753" s="194"/>
      <c r="AE753" s="194"/>
      <c r="AF753" s="194"/>
      <c r="AG753" s="194"/>
      <c r="AH753" s="194"/>
      <c r="AI753" s="194"/>
      <c r="AJ753" s="194"/>
      <c r="AK753" s="194"/>
      <c r="AL753" s="194"/>
      <c r="AM753" s="194"/>
    </row>
    <row r="754" spans="1:39" ht="15.75" customHeight="1" x14ac:dyDescent="0.25">
      <c r="A754" s="194"/>
      <c r="B754" s="194"/>
      <c r="C754" s="194"/>
      <c r="D754" s="194"/>
      <c r="E754" s="194"/>
      <c r="F754" s="194"/>
      <c r="G754" s="194"/>
      <c r="H754" s="194"/>
      <c r="I754" s="194"/>
      <c r="J754" s="194"/>
      <c r="K754" s="194"/>
      <c r="L754" s="194"/>
      <c r="M754" s="194"/>
      <c r="N754" s="194"/>
      <c r="O754" s="194"/>
      <c r="P754" s="194"/>
      <c r="Q754" s="194"/>
      <c r="R754" s="194"/>
      <c r="S754" s="194"/>
      <c r="T754" s="194"/>
      <c r="U754" s="194"/>
      <c r="V754" s="194"/>
      <c r="W754" s="194"/>
      <c r="X754" s="194"/>
      <c r="Y754" s="194"/>
      <c r="Z754" s="194"/>
      <c r="AA754" s="194"/>
      <c r="AB754" s="194"/>
      <c r="AC754" s="194"/>
      <c r="AD754" s="194"/>
      <c r="AE754" s="194"/>
      <c r="AF754" s="194"/>
      <c r="AG754" s="194"/>
      <c r="AH754" s="194"/>
      <c r="AI754" s="194"/>
      <c r="AJ754" s="194"/>
      <c r="AK754" s="194"/>
      <c r="AL754" s="194"/>
      <c r="AM754" s="194"/>
    </row>
    <row r="755" spans="1:39" ht="15.75" customHeight="1" x14ac:dyDescent="0.25">
      <c r="A755" s="194"/>
      <c r="B755" s="194"/>
      <c r="C755" s="194"/>
      <c r="D755" s="194"/>
      <c r="E755" s="194"/>
      <c r="F755" s="194"/>
      <c r="G755" s="194"/>
      <c r="H755" s="194"/>
      <c r="I755" s="194"/>
      <c r="J755" s="194"/>
      <c r="K755" s="194"/>
      <c r="L755" s="194"/>
      <c r="M755" s="194"/>
      <c r="N755" s="194"/>
      <c r="O755" s="194"/>
      <c r="P755" s="194"/>
      <c r="Q755" s="194"/>
      <c r="R755" s="194"/>
      <c r="S755" s="194"/>
      <c r="T755" s="194"/>
      <c r="U755" s="194"/>
      <c r="V755" s="194"/>
      <c r="W755" s="194"/>
      <c r="X755" s="194"/>
      <c r="Y755" s="194"/>
      <c r="Z755" s="194"/>
      <c r="AA755" s="194"/>
      <c r="AB755" s="194"/>
      <c r="AC755" s="194"/>
      <c r="AD755" s="194"/>
      <c r="AE755" s="194"/>
      <c r="AF755" s="194"/>
      <c r="AG755" s="194"/>
      <c r="AH755" s="194"/>
      <c r="AI755" s="194"/>
      <c r="AJ755" s="194"/>
      <c r="AK755" s="194"/>
      <c r="AL755" s="194"/>
      <c r="AM755" s="194"/>
    </row>
    <row r="756" spans="1:39" ht="15.75" customHeight="1" x14ac:dyDescent="0.25">
      <c r="A756" s="194"/>
      <c r="B756" s="194"/>
      <c r="C756" s="194"/>
      <c r="D756" s="194"/>
      <c r="E756" s="194"/>
      <c r="F756" s="194"/>
      <c r="G756" s="194"/>
      <c r="H756" s="194"/>
      <c r="I756" s="194"/>
      <c r="J756" s="194"/>
      <c r="K756" s="194"/>
      <c r="L756" s="194"/>
      <c r="M756" s="194"/>
      <c r="N756" s="194"/>
      <c r="O756" s="194"/>
      <c r="P756" s="194"/>
      <c r="Q756" s="194"/>
      <c r="R756" s="194"/>
      <c r="S756" s="194"/>
      <c r="T756" s="194"/>
      <c r="U756" s="194"/>
      <c r="V756" s="194"/>
      <c r="W756" s="194"/>
      <c r="X756" s="194"/>
      <c r="Y756" s="194"/>
      <c r="Z756" s="194"/>
      <c r="AA756" s="194"/>
      <c r="AB756" s="194"/>
      <c r="AC756" s="194"/>
      <c r="AD756" s="194"/>
      <c r="AE756" s="194"/>
      <c r="AF756" s="194"/>
      <c r="AG756" s="194"/>
      <c r="AH756" s="194"/>
      <c r="AI756" s="194"/>
      <c r="AJ756" s="194"/>
      <c r="AK756" s="194"/>
      <c r="AL756" s="194"/>
      <c r="AM756" s="194"/>
    </row>
    <row r="757" spans="1:39" ht="15.75" customHeight="1" x14ac:dyDescent="0.25">
      <c r="A757" s="194"/>
      <c r="B757" s="194"/>
      <c r="C757" s="194"/>
      <c r="D757" s="194"/>
      <c r="E757" s="194"/>
      <c r="F757" s="194"/>
      <c r="G757" s="194"/>
      <c r="H757" s="194"/>
      <c r="I757" s="194"/>
      <c r="J757" s="194"/>
      <c r="K757" s="194"/>
      <c r="L757" s="194"/>
      <c r="M757" s="194"/>
      <c r="N757" s="194"/>
      <c r="O757" s="194"/>
      <c r="P757" s="194"/>
      <c r="Q757" s="194"/>
      <c r="R757" s="194"/>
      <c r="S757" s="194"/>
      <c r="T757" s="194"/>
      <c r="U757" s="194"/>
      <c r="V757" s="194"/>
      <c r="W757" s="194"/>
      <c r="X757" s="194"/>
      <c r="Y757" s="194"/>
      <c r="Z757" s="194"/>
      <c r="AA757" s="194"/>
      <c r="AB757" s="194"/>
      <c r="AC757" s="194"/>
      <c r="AD757" s="194"/>
      <c r="AE757" s="194"/>
      <c r="AF757" s="194"/>
      <c r="AG757" s="194"/>
      <c r="AH757" s="194"/>
      <c r="AI757" s="194"/>
      <c r="AJ757" s="194"/>
      <c r="AK757" s="194"/>
      <c r="AL757" s="194"/>
      <c r="AM757" s="194"/>
    </row>
    <row r="758" spans="1:39" ht="15.75" customHeight="1" x14ac:dyDescent="0.25">
      <c r="A758" s="194"/>
      <c r="B758" s="194"/>
      <c r="C758" s="194"/>
      <c r="D758" s="194"/>
      <c r="E758" s="194"/>
      <c r="F758" s="194"/>
      <c r="G758" s="194"/>
      <c r="H758" s="194"/>
      <c r="I758" s="194"/>
      <c r="J758" s="194"/>
      <c r="K758" s="194"/>
      <c r="L758" s="194"/>
      <c r="M758" s="194"/>
      <c r="N758" s="194"/>
      <c r="O758" s="194"/>
      <c r="P758" s="194"/>
      <c r="Q758" s="194"/>
      <c r="R758" s="194"/>
      <c r="S758" s="194"/>
      <c r="T758" s="194"/>
      <c r="U758" s="194"/>
      <c r="V758" s="194"/>
      <c r="W758" s="194"/>
      <c r="X758" s="194"/>
      <c r="Y758" s="194"/>
      <c r="Z758" s="194"/>
      <c r="AA758" s="194"/>
      <c r="AB758" s="194"/>
      <c r="AC758" s="194"/>
      <c r="AD758" s="194"/>
      <c r="AE758" s="194"/>
      <c r="AF758" s="194"/>
      <c r="AG758" s="194"/>
      <c r="AH758" s="194"/>
      <c r="AI758" s="194"/>
      <c r="AJ758" s="194"/>
      <c r="AK758" s="194"/>
      <c r="AL758" s="194"/>
      <c r="AM758" s="194"/>
    </row>
    <row r="759" spans="1:39" ht="15.75" customHeight="1" x14ac:dyDescent="0.25">
      <c r="A759" s="194"/>
      <c r="B759" s="194"/>
      <c r="C759" s="194"/>
      <c r="D759" s="194"/>
      <c r="E759" s="194"/>
      <c r="F759" s="194"/>
      <c r="G759" s="194"/>
      <c r="H759" s="194"/>
      <c r="I759" s="194"/>
      <c r="J759" s="194"/>
      <c r="K759" s="194"/>
      <c r="L759" s="194"/>
      <c r="M759" s="194"/>
      <c r="N759" s="194"/>
      <c r="O759" s="194"/>
      <c r="P759" s="194"/>
      <c r="Q759" s="194"/>
      <c r="R759" s="194"/>
      <c r="S759" s="194"/>
      <c r="T759" s="194"/>
      <c r="U759" s="194"/>
      <c r="V759" s="194"/>
      <c r="W759" s="194"/>
      <c r="X759" s="194"/>
      <c r="Y759" s="194"/>
      <c r="Z759" s="194"/>
      <c r="AA759" s="194"/>
      <c r="AB759" s="194"/>
      <c r="AC759" s="194"/>
      <c r="AD759" s="194"/>
      <c r="AE759" s="194"/>
      <c r="AF759" s="194"/>
      <c r="AG759" s="194"/>
      <c r="AH759" s="194"/>
      <c r="AI759" s="194"/>
      <c r="AJ759" s="194"/>
      <c r="AK759" s="194"/>
      <c r="AL759" s="194"/>
      <c r="AM759" s="194"/>
    </row>
    <row r="760" spans="1:39" ht="15.75" customHeight="1" x14ac:dyDescent="0.25">
      <c r="A760" s="194"/>
      <c r="B760" s="194"/>
      <c r="C760" s="194"/>
      <c r="D760" s="194"/>
      <c r="E760" s="194"/>
      <c r="F760" s="194"/>
      <c r="G760" s="194"/>
      <c r="H760" s="194"/>
      <c r="I760" s="194"/>
      <c r="J760" s="194"/>
      <c r="K760" s="194"/>
      <c r="L760" s="194"/>
      <c r="M760" s="194"/>
      <c r="N760" s="194"/>
      <c r="O760" s="194"/>
      <c r="P760" s="194"/>
      <c r="Q760" s="194"/>
      <c r="R760" s="194"/>
      <c r="S760" s="194"/>
      <c r="T760" s="194"/>
      <c r="U760" s="194"/>
      <c r="V760" s="194"/>
      <c r="W760" s="194"/>
      <c r="X760" s="194"/>
      <c r="Y760" s="194"/>
      <c r="Z760" s="194"/>
      <c r="AA760" s="194"/>
      <c r="AB760" s="194"/>
      <c r="AC760" s="194"/>
      <c r="AD760" s="194"/>
      <c r="AE760" s="194"/>
      <c r="AF760" s="194"/>
      <c r="AG760" s="194"/>
      <c r="AH760" s="194"/>
      <c r="AI760" s="194"/>
      <c r="AJ760" s="194"/>
      <c r="AK760" s="194"/>
      <c r="AL760" s="194"/>
      <c r="AM760" s="194"/>
    </row>
    <row r="761" spans="1:39" ht="15.75" customHeight="1" x14ac:dyDescent="0.25">
      <c r="A761" s="194"/>
      <c r="B761" s="194"/>
      <c r="C761" s="194"/>
      <c r="D761" s="194"/>
      <c r="E761" s="194"/>
      <c r="F761" s="194"/>
      <c r="G761" s="194"/>
      <c r="H761" s="194"/>
      <c r="I761" s="194"/>
      <c r="J761" s="194"/>
      <c r="K761" s="194"/>
      <c r="L761" s="194"/>
      <c r="M761" s="194"/>
      <c r="N761" s="194"/>
      <c r="O761" s="194"/>
      <c r="P761" s="194"/>
      <c r="Q761" s="194"/>
      <c r="R761" s="194"/>
      <c r="S761" s="194"/>
      <c r="T761" s="194"/>
      <c r="U761" s="194"/>
      <c r="V761" s="194"/>
      <c r="W761" s="194"/>
      <c r="X761" s="194"/>
      <c r="Y761" s="194"/>
      <c r="Z761" s="194"/>
      <c r="AA761" s="194"/>
      <c r="AB761" s="194"/>
      <c r="AC761" s="194"/>
      <c r="AD761" s="194"/>
      <c r="AE761" s="194"/>
      <c r="AF761" s="194"/>
      <c r="AG761" s="194"/>
      <c r="AH761" s="194"/>
      <c r="AI761" s="194"/>
      <c r="AJ761" s="194"/>
      <c r="AK761" s="194"/>
      <c r="AL761" s="194"/>
      <c r="AM761" s="194"/>
    </row>
    <row r="762" spans="1:39" ht="15.75" customHeight="1" x14ac:dyDescent="0.25">
      <c r="A762" s="194"/>
      <c r="B762" s="194"/>
      <c r="C762" s="194"/>
      <c r="D762" s="194"/>
      <c r="E762" s="194"/>
      <c r="F762" s="194"/>
      <c r="G762" s="194"/>
      <c r="H762" s="194"/>
      <c r="I762" s="194"/>
      <c r="J762" s="194"/>
      <c r="K762" s="194"/>
      <c r="L762" s="194"/>
      <c r="M762" s="194"/>
      <c r="N762" s="194"/>
      <c r="O762" s="194"/>
      <c r="P762" s="194"/>
      <c r="Q762" s="194"/>
      <c r="R762" s="194"/>
      <c r="S762" s="194"/>
      <c r="T762" s="194"/>
      <c r="U762" s="194"/>
      <c r="V762" s="194"/>
      <c r="W762" s="194"/>
      <c r="X762" s="194"/>
      <c r="Y762" s="194"/>
      <c r="Z762" s="194"/>
      <c r="AA762" s="194"/>
      <c r="AB762" s="194"/>
      <c r="AC762" s="194"/>
      <c r="AD762" s="194"/>
      <c r="AE762" s="194"/>
      <c r="AF762" s="194"/>
      <c r="AG762" s="194"/>
      <c r="AH762" s="194"/>
      <c r="AI762" s="194"/>
      <c r="AJ762" s="194"/>
      <c r="AK762" s="194"/>
      <c r="AL762" s="194"/>
      <c r="AM762" s="194"/>
    </row>
    <row r="763" spans="1:39" ht="15.75" customHeight="1" x14ac:dyDescent="0.25">
      <c r="A763" s="194"/>
      <c r="B763" s="194"/>
      <c r="C763" s="194"/>
      <c r="D763" s="194"/>
      <c r="E763" s="194"/>
      <c r="F763" s="194"/>
      <c r="G763" s="194"/>
      <c r="H763" s="194"/>
      <c r="I763" s="194"/>
      <c r="J763" s="194"/>
      <c r="K763" s="194"/>
      <c r="L763" s="194"/>
      <c r="M763" s="194"/>
      <c r="N763" s="194"/>
      <c r="O763" s="194"/>
      <c r="P763" s="194"/>
      <c r="Q763" s="194"/>
      <c r="R763" s="194"/>
      <c r="S763" s="194"/>
      <c r="T763" s="194"/>
      <c r="U763" s="194"/>
      <c r="V763" s="194"/>
      <c r="W763" s="194"/>
      <c r="X763" s="194"/>
      <c r="Y763" s="194"/>
      <c r="Z763" s="194"/>
      <c r="AA763" s="194"/>
      <c r="AB763" s="194"/>
      <c r="AC763" s="194"/>
      <c r="AD763" s="194"/>
      <c r="AE763" s="194"/>
      <c r="AF763" s="194"/>
      <c r="AG763" s="194"/>
      <c r="AH763" s="194"/>
      <c r="AI763" s="194"/>
      <c r="AJ763" s="194"/>
      <c r="AK763" s="194"/>
      <c r="AL763" s="194"/>
      <c r="AM763" s="194"/>
    </row>
    <row r="764" spans="1:39" ht="15.75" customHeight="1" x14ac:dyDescent="0.25">
      <c r="A764" s="194"/>
      <c r="B764" s="194"/>
      <c r="C764" s="194"/>
      <c r="D764" s="194"/>
      <c r="E764" s="194"/>
      <c r="F764" s="194"/>
      <c r="G764" s="194"/>
      <c r="H764" s="194"/>
      <c r="I764" s="194"/>
      <c r="J764" s="194"/>
      <c r="K764" s="194"/>
      <c r="L764" s="194"/>
      <c r="M764" s="194"/>
      <c r="N764" s="194"/>
      <c r="O764" s="194"/>
      <c r="P764" s="194"/>
      <c r="Q764" s="194"/>
      <c r="R764" s="194"/>
      <c r="S764" s="194"/>
      <c r="T764" s="194"/>
      <c r="U764" s="194"/>
      <c r="V764" s="194"/>
      <c r="W764" s="194"/>
      <c r="X764" s="194"/>
      <c r="Y764" s="194"/>
      <c r="Z764" s="194"/>
      <c r="AA764" s="194"/>
      <c r="AB764" s="194"/>
      <c r="AC764" s="194"/>
      <c r="AD764" s="194"/>
      <c r="AE764" s="194"/>
      <c r="AF764" s="194"/>
      <c r="AG764" s="194"/>
      <c r="AH764" s="194"/>
      <c r="AI764" s="194"/>
      <c r="AJ764" s="194"/>
      <c r="AK764" s="194"/>
      <c r="AL764" s="194"/>
      <c r="AM764" s="194"/>
    </row>
    <row r="765" spans="1:39" ht="15.75" customHeight="1" x14ac:dyDescent="0.25">
      <c r="A765" s="194"/>
      <c r="B765" s="194"/>
      <c r="C765" s="194"/>
      <c r="D765" s="194"/>
      <c r="E765" s="194"/>
      <c r="F765" s="194"/>
      <c r="G765" s="194"/>
      <c r="H765" s="194"/>
      <c r="I765" s="194"/>
      <c r="J765" s="194"/>
      <c r="K765" s="194"/>
      <c r="L765" s="194"/>
      <c r="M765" s="194"/>
      <c r="N765" s="194"/>
      <c r="O765" s="194"/>
      <c r="P765" s="194"/>
      <c r="Q765" s="194"/>
      <c r="R765" s="194"/>
      <c r="S765" s="194"/>
      <c r="T765" s="194"/>
      <c r="U765" s="194"/>
      <c r="V765" s="194"/>
      <c r="W765" s="194"/>
      <c r="X765" s="194"/>
      <c r="Y765" s="194"/>
      <c r="Z765" s="194"/>
      <c r="AA765" s="194"/>
      <c r="AB765" s="194"/>
      <c r="AC765" s="194"/>
      <c r="AD765" s="194"/>
      <c r="AE765" s="194"/>
      <c r="AF765" s="194"/>
      <c r="AG765" s="194"/>
      <c r="AH765" s="194"/>
      <c r="AI765" s="194"/>
      <c r="AJ765" s="194"/>
      <c r="AK765" s="194"/>
      <c r="AL765" s="194"/>
      <c r="AM765" s="194"/>
    </row>
    <row r="766" spans="1:39" ht="15.75" customHeight="1" x14ac:dyDescent="0.25">
      <c r="A766" s="194"/>
      <c r="B766" s="194"/>
      <c r="C766" s="194"/>
      <c r="D766" s="194"/>
      <c r="E766" s="194"/>
      <c r="F766" s="194"/>
      <c r="G766" s="194"/>
      <c r="H766" s="194"/>
      <c r="I766" s="194"/>
      <c r="J766" s="194"/>
      <c r="K766" s="194"/>
      <c r="L766" s="194"/>
      <c r="M766" s="194"/>
      <c r="N766" s="194"/>
      <c r="O766" s="194"/>
      <c r="P766" s="194"/>
      <c r="Q766" s="194"/>
      <c r="R766" s="194"/>
      <c r="S766" s="194"/>
      <c r="T766" s="194"/>
      <c r="U766" s="194"/>
      <c r="V766" s="194"/>
      <c r="W766" s="194"/>
      <c r="X766" s="194"/>
      <c r="Y766" s="194"/>
      <c r="Z766" s="194"/>
      <c r="AA766" s="194"/>
      <c r="AB766" s="194"/>
      <c r="AC766" s="194"/>
      <c r="AD766" s="194"/>
      <c r="AE766" s="194"/>
      <c r="AF766" s="194"/>
      <c r="AG766" s="194"/>
      <c r="AH766" s="194"/>
      <c r="AI766" s="194"/>
      <c r="AJ766" s="194"/>
      <c r="AK766" s="194"/>
      <c r="AL766" s="194"/>
      <c r="AM766" s="194"/>
    </row>
    <row r="767" spans="1:39" ht="15.75" customHeight="1" x14ac:dyDescent="0.25">
      <c r="A767" s="194"/>
      <c r="B767" s="194"/>
      <c r="C767" s="194"/>
      <c r="D767" s="194"/>
      <c r="E767" s="194"/>
      <c r="F767" s="194"/>
      <c r="G767" s="194"/>
      <c r="H767" s="194"/>
      <c r="I767" s="194"/>
      <c r="J767" s="194"/>
      <c r="K767" s="194"/>
      <c r="L767" s="194"/>
      <c r="M767" s="194"/>
      <c r="N767" s="194"/>
      <c r="O767" s="194"/>
      <c r="P767" s="194"/>
      <c r="Q767" s="194"/>
      <c r="R767" s="194"/>
      <c r="S767" s="194"/>
      <c r="T767" s="194"/>
      <c r="U767" s="194"/>
      <c r="V767" s="194"/>
      <c r="W767" s="194"/>
      <c r="X767" s="194"/>
      <c r="Y767" s="194"/>
      <c r="Z767" s="194"/>
      <c r="AA767" s="194"/>
      <c r="AB767" s="194"/>
      <c r="AC767" s="194"/>
      <c r="AD767" s="194"/>
      <c r="AE767" s="194"/>
      <c r="AF767" s="194"/>
      <c r="AG767" s="194"/>
      <c r="AH767" s="194"/>
      <c r="AI767" s="194"/>
      <c r="AJ767" s="194"/>
      <c r="AK767" s="194"/>
      <c r="AL767" s="194"/>
      <c r="AM767" s="194"/>
    </row>
    <row r="768" spans="1:39" ht="15.75" customHeight="1" x14ac:dyDescent="0.25">
      <c r="A768" s="194"/>
      <c r="B768" s="194"/>
      <c r="C768" s="194"/>
      <c r="D768" s="194"/>
      <c r="E768" s="194"/>
      <c r="F768" s="194"/>
      <c r="G768" s="194"/>
      <c r="H768" s="194"/>
      <c r="I768" s="194"/>
      <c r="J768" s="194"/>
      <c r="K768" s="194"/>
      <c r="L768" s="194"/>
      <c r="M768" s="194"/>
      <c r="N768" s="194"/>
      <c r="O768" s="194"/>
      <c r="P768" s="194"/>
      <c r="Q768" s="194"/>
      <c r="R768" s="194"/>
      <c r="S768" s="194"/>
      <c r="T768" s="194"/>
      <c r="U768" s="194"/>
      <c r="V768" s="194"/>
      <c r="W768" s="194"/>
      <c r="X768" s="194"/>
      <c r="Y768" s="194"/>
      <c r="Z768" s="194"/>
      <c r="AA768" s="194"/>
      <c r="AB768" s="194"/>
      <c r="AC768" s="194"/>
      <c r="AD768" s="194"/>
      <c r="AE768" s="194"/>
      <c r="AF768" s="194"/>
      <c r="AG768" s="194"/>
      <c r="AH768" s="194"/>
      <c r="AI768" s="194"/>
      <c r="AJ768" s="194"/>
      <c r="AK768" s="194"/>
      <c r="AL768" s="194"/>
      <c r="AM768" s="194"/>
    </row>
    <row r="769" spans="1:39" ht="15.75" customHeight="1" x14ac:dyDescent="0.25">
      <c r="A769" s="194"/>
      <c r="B769" s="194"/>
      <c r="C769" s="194"/>
      <c r="D769" s="194"/>
      <c r="E769" s="194"/>
      <c r="F769" s="194"/>
      <c r="G769" s="194"/>
      <c r="H769" s="194"/>
      <c r="I769" s="194"/>
      <c r="J769" s="194"/>
      <c r="K769" s="194"/>
      <c r="L769" s="194"/>
      <c r="M769" s="194"/>
      <c r="N769" s="194"/>
      <c r="O769" s="194"/>
      <c r="P769" s="194"/>
      <c r="Q769" s="194"/>
      <c r="R769" s="194"/>
      <c r="S769" s="194"/>
      <c r="T769" s="194"/>
      <c r="U769" s="194"/>
      <c r="V769" s="194"/>
      <c r="W769" s="194"/>
      <c r="X769" s="194"/>
      <c r="Y769" s="194"/>
      <c r="Z769" s="194"/>
      <c r="AA769" s="194"/>
      <c r="AB769" s="194"/>
      <c r="AC769" s="194"/>
      <c r="AD769" s="194"/>
      <c r="AE769" s="194"/>
      <c r="AF769" s="194"/>
      <c r="AG769" s="194"/>
      <c r="AH769" s="194"/>
      <c r="AI769" s="194"/>
      <c r="AJ769" s="194"/>
      <c r="AK769" s="194"/>
      <c r="AL769" s="194"/>
      <c r="AM769" s="194"/>
    </row>
    <row r="770" spans="1:39" ht="15.75" customHeight="1" x14ac:dyDescent="0.25">
      <c r="A770" s="194"/>
      <c r="B770" s="194"/>
      <c r="C770" s="194"/>
      <c r="D770" s="194"/>
      <c r="E770" s="194"/>
      <c r="F770" s="194"/>
      <c r="G770" s="194"/>
      <c r="H770" s="194"/>
      <c r="I770" s="194"/>
      <c r="J770" s="194"/>
      <c r="K770" s="194"/>
      <c r="L770" s="194"/>
      <c r="M770" s="194"/>
      <c r="N770" s="194"/>
      <c r="O770" s="194"/>
      <c r="P770" s="194"/>
      <c r="Q770" s="194"/>
      <c r="R770" s="194"/>
      <c r="S770" s="194"/>
      <c r="T770" s="194"/>
      <c r="U770" s="194"/>
      <c r="V770" s="194"/>
      <c r="W770" s="194"/>
      <c r="X770" s="194"/>
      <c r="Y770" s="194"/>
      <c r="Z770" s="194"/>
      <c r="AA770" s="194"/>
      <c r="AB770" s="194"/>
      <c r="AC770" s="194"/>
      <c r="AD770" s="194"/>
      <c r="AE770" s="194"/>
      <c r="AF770" s="194"/>
      <c r="AG770" s="194"/>
      <c r="AH770" s="194"/>
      <c r="AI770" s="194"/>
      <c r="AJ770" s="194"/>
      <c r="AK770" s="194"/>
      <c r="AL770" s="194"/>
      <c r="AM770" s="194"/>
    </row>
    <row r="771" spans="1:39" ht="15.75" customHeight="1" x14ac:dyDescent="0.25">
      <c r="A771" s="194"/>
      <c r="B771" s="194"/>
      <c r="C771" s="194"/>
      <c r="D771" s="194"/>
      <c r="E771" s="194"/>
      <c r="F771" s="194"/>
      <c r="G771" s="194"/>
      <c r="H771" s="194"/>
      <c r="I771" s="194"/>
      <c r="J771" s="194"/>
      <c r="K771" s="194"/>
      <c r="L771" s="194"/>
      <c r="M771" s="194"/>
      <c r="N771" s="194"/>
      <c r="O771" s="194"/>
      <c r="P771" s="194"/>
      <c r="Q771" s="194"/>
      <c r="R771" s="194"/>
      <c r="S771" s="194"/>
      <c r="T771" s="194"/>
      <c r="U771" s="194"/>
      <c r="V771" s="194"/>
      <c r="W771" s="194"/>
      <c r="X771" s="194"/>
      <c r="Y771" s="194"/>
      <c r="Z771" s="194"/>
      <c r="AA771" s="194"/>
      <c r="AB771" s="194"/>
      <c r="AC771" s="194"/>
      <c r="AD771" s="194"/>
      <c r="AE771" s="194"/>
      <c r="AF771" s="194"/>
      <c r="AG771" s="194"/>
      <c r="AH771" s="194"/>
      <c r="AI771" s="194"/>
      <c r="AJ771" s="194"/>
      <c r="AK771" s="194"/>
      <c r="AL771" s="194"/>
      <c r="AM771" s="194"/>
    </row>
    <row r="772" spans="1:39" ht="15.75" customHeight="1" x14ac:dyDescent="0.25">
      <c r="A772" s="194"/>
      <c r="B772" s="194"/>
      <c r="C772" s="194"/>
      <c r="D772" s="194"/>
      <c r="E772" s="194"/>
      <c r="F772" s="194"/>
      <c r="G772" s="194"/>
      <c r="H772" s="194"/>
      <c r="I772" s="194"/>
      <c r="J772" s="194"/>
      <c r="K772" s="194"/>
      <c r="L772" s="194"/>
      <c r="M772" s="194"/>
      <c r="N772" s="194"/>
      <c r="O772" s="194"/>
      <c r="P772" s="194"/>
      <c r="Q772" s="194"/>
      <c r="R772" s="194"/>
      <c r="S772" s="194"/>
      <c r="T772" s="194"/>
      <c r="U772" s="194"/>
      <c r="V772" s="194"/>
      <c r="W772" s="194"/>
      <c r="X772" s="194"/>
      <c r="Y772" s="194"/>
      <c r="Z772" s="194"/>
      <c r="AA772" s="194"/>
      <c r="AB772" s="194"/>
      <c r="AC772" s="194"/>
      <c r="AD772" s="194"/>
      <c r="AE772" s="194"/>
      <c r="AF772" s="194"/>
      <c r="AG772" s="194"/>
      <c r="AH772" s="194"/>
      <c r="AI772" s="194"/>
      <c r="AJ772" s="194"/>
      <c r="AK772" s="194"/>
      <c r="AL772" s="194"/>
      <c r="AM772" s="194"/>
    </row>
    <row r="773" spans="1:39" ht="15.75" customHeight="1" x14ac:dyDescent="0.25">
      <c r="A773" s="194"/>
      <c r="B773" s="194"/>
      <c r="C773" s="194"/>
      <c r="D773" s="194"/>
      <c r="E773" s="194"/>
      <c r="F773" s="194"/>
      <c r="G773" s="194"/>
      <c r="H773" s="194"/>
      <c r="I773" s="194"/>
      <c r="J773" s="194"/>
      <c r="K773" s="194"/>
      <c r="L773" s="194"/>
      <c r="M773" s="194"/>
      <c r="N773" s="194"/>
      <c r="O773" s="194"/>
      <c r="P773" s="194"/>
      <c r="Q773" s="194"/>
      <c r="R773" s="194"/>
      <c r="S773" s="194"/>
      <c r="T773" s="194"/>
      <c r="U773" s="194"/>
      <c r="V773" s="194"/>
      <c r="W773" s="194"/>
      <c r="X773" s="194"/>
      <c r="Y773" s="194"/>
      <c r="Z773" s="194"/>
      <c r="AA773" s="194"/>
      <c r="AB773" s="194"/>
      <c r="AC773" s="194"/>
      <c r="AD773" s="194"/>
      <c r="AE773" s="194"/>
      <c r="AF773" s="194"/>
      <c r="AG773" s="194"/>
      <c r="AH773" s="194"/>
      <c r="AI773" s="194"/>
      <c r="AJ773" s="194"/>
      <c r="AK773" s="194"/>
      <c r="AL773" s="194"/>
      <c r="AM773" s="194"/>
    </row>
    <row r="774" spans="1:39" ht="15.75" customHeight="1" x14ac:dyDescent="0.25">
      <c r="A774" s="194"/>
      <c r="B774" s="194"/>
      <c r="C774" s="194"/>
      <c r="D774" s="194"/>
      <c r="E774" s="194"/>
      <c r="F774" s="194"/>
      <c r="G774" s="194"/>
      <c r="H774" s="194"/>
      <c r="I774" s="194"/>
      <c r="J774" s="194"/>
      <c r="K774" s="194"/>
      <c r="L774" s="194"/>
      <c r="M774" s="194"/>
      <c r="N774" s="194"/>
      <c r="O774" s="194"/>
      <c r="P774" s="194"/>
      <c r="Q774" s="194"/>
      <c r="R774" s="194"/>
      <c r="S774" s="194"/>
      <c r="T774" s="194"/>
      <c r="U774" s="194"/>
      <c r="V774" s="194"/>
      <c r="W774" s="194"/>
      <c r="X774" s="194"/>
      <c r="Y774" s="194"/>
      <c r="Z774" s="194"/>
      <c r="AA774" s="194"/>
      <c r="AB774" s="194"/>
      <c r="AC774" s="194"/>
      <c r="AD774" s="194"/>
      <c r="AE774" s="194"/>
      <c r="AF774" s="194"/>
      <c r="AG774" s="194"/>
      <c r="AH774" s="194"/>
      <c r="AI774" s="194"/>
      <c r="AJ774" s="194"/>
      <c r="AK774" s="194"/>
      <c r="AL774" s="194"/>
      <c r="AM774" s="194"/>
    </row>
    <row r="775" spans="1:39" ht="15.75" customHeight="1" x14ac:dyDescent="0.25">
      <c r="A775" s="194"/>
      <c r="B775" s="194"/>
      <c r="C775" s="194"/>
      <c r="D775" s="194"/>
      <c r="E775" s="194"/>
      <c r="F775" s="194"/>
      <c r="G775" s="194"/>
      <c r="H775" s="194"/>
      <c r="I775" s="194"/>
      <c r="J775" s="194"/>
      <c r="K775" s="194"/>
      <c r="L775" s="194"/>
      <c r="M775" s="194"/>
      <c r="N775" s="194"/>
      <c r="O775" s="194"/>
      <c r="P775" s="194"/>
      <c r="Q775" s="194"/>
      <c r="R775" s="194"/>
      <c r="S775" s="194"/>
      <c r="T775" s="194"/>
      <c r="U775" s="194"/>
      <c r="V775" s="194"/>
      <c r="W775" s="194"/>
      <c r="X775" s="194"/>
      <c r="Y775" s="194"/>
      <c r="Z775" s="194"/>
      <c r="AA775" s="194"/>
      <c r="AB775" s="194"/>
      <c r="AC775" s="194"/>
      <c r="AD775" s="194"/>
      <c r="AE775" s="194"/>
      <c r="AF775" s="194"/>
      <c r="AG775" s="194"/>
      <c r="AH775" s="194"/>
      <c r="AI775" s="194"/>
      <c r="AJ775" s="194"/>
      <c r="AK775" s="194"/>
      <c r="AL775" s="194"/>
      <c r="AM775" s="194"/>
    </row>
    <row r="776" spans="1:39" ht="15.75" customHeight="1" x14ac:dyDescent="0.25">
      <c r="A776" s="194"/>
      <c r="B776" s="194"/>
      <c r="C776" s="194"/>
      <c r="D776" s="194"/>
      <c r="E776" s="194"/>
      <c r="F776" s="194"/>
      <c r="G776" s="194"/>
      <c r="H776" s="194"/>
      <c r="I776" s="194"/>
      <c r="J776" s="194"/>
      <c r="K776" s="194"/>
      <c r="L776" s="194"/>
      <c r="M776" s="194"/>
      <c r="N776" s="194"/>
      <c r="O776" s="194"/>
      <c r="P776" s="194"/>
      <c r="Q776" s="194"/>
      <c r="R776" s="194"/>
      <c r="S776" s="194"/>
      <c r="T776" s="194"/>
      <c r="U776" s="194"/>
      <c r="V776" s="194"/>
      <c r="W776" s="194"/>
      <c r="X776" s="194"/>
      <c r="Y776" s="194"/>
      <c r="Z776" s="194"/>
      <c r="AA776" s="194"/>
      <c r="AB776" s="194"/>
      <c r="AC776" s="194"/>
      <c r="AD776" s="194"/>
      <c r="AE776" s="194"/>
      <c r="AF776" s="194"/>
      <c r="AG776" s="194"/>
      <c r="AH776" s="194"/>
      <c r="AI776" s="194"/>
      <c r="AJ776" s="194"/>
      <c r="AK776" s="194"/>
      <c r="AL776" s="194"/>
      <c r="AM776" s="194"/>
    </row>
    <row r="777" spans="1:39" ht="15.75" customHeight="1" x14ac:dyDescent="0.25">
      <c r="A777" s="194"/>
      <c r="B777" s="194"/>
      <c r="C777" s="194"/>
      <c r="D777" s="194"/>
      <c r="E777" s="194"/>
      <c r="F777" s="194"/>
      <c r="G777" s="194"/>
      <c r="H777" s="194"/>
      <c r="I777" s="194"/>
      <c r="J777" s="194"/>
      <c r="K777" s="194"/>
      <c r="L777" s="194"/>
      <c r="M777" s="194"/>
      <c r="N777" s="194"/>
      <c r="O777" s="194"/>
      <c r="P777" s="194"/>
      <c r="Q777" s="194"/>
      <c r="R777" s="194"/>
      <c r="S777" s="194"/>
      <c r="T777" s="194"/>
      <c r="U777" s="194"/>
      <c r="V777" s="194"/>
      <c r="W777" s="194"/>
      <c r="X777" s="194"/>
      <c r="Y777" s="194"/>
      <c r="Z777" s="194"/>
      <c r="AA777" s="194"/>
      <c r="AB777" s="194"/>
      <c r="AC777" s="194"/>
      <c r="AD777" s="194"/>
      <c r="AE777" s="194"/>
      <c r="AF777" s="194"/>
      <c r="AG777" s="194"/>
      <c r="AH777" s="194"/>
      <c r="AI777" s="194"/>
      <c r="AJ777" s="194"/>
      <c r="AK777" s="194"/>
      <c r="AL777" s="194"/>
      <c r="AM777" s="194"/>
    </row>
    <row r="778" spans="1:39" ht="15.75" customHeight="1" x14ac:dyDescent="0.25">
      <c r="A778" s="194"/>
      <c r="B778" s="194"/>
      <c r="C778" s="194"/>
      <c r="D778" s="194"/>
      <c r="E778" s="194"/>
      <c r="F778" s="194"/>
      <c r="G778" s="194"/>
      <c r="H778" s="194"/>
      <c r="I778" s="194"/>
      <c r="J778" s="194"/>
      <c r="K778" s="194"/>
      <c r="L778" s="194"/>
      <c r="M778" s="194"/>
      <c r="N778" s="194"/>
      <c r="O778" s="194"/>
      <c r="P778" s="194"/>
      <c r="Q778" s="194"/>
      <c r="R778" s="194"/>
      <c r="S778" s="194"/>
      <c r="T778" s="194"/>
      <c r="U778" s="194"/>
      <c r="V778" s="194"/>
      <c r="W778" s="194"/>
      <c r="X778" s="194"/>
      <c r="Y778" s="194"/>
      <c r="Z778" s="194"/>
      <c r="AA778" s="194"/>
      <c r="AB778" s="194"/>
      <c r="AC778" s="194"/>
      <c r="AD778" s="194"/>
      <c r="AE778" s="194"/>
      <c r="AF778" s="194"/>
      <c r="AG778" s="194"/>
      <c r="AH778" s="194"/>
      <c r="AI778" s="194"/>
      <c r="AJ778" s="194"/>
      <c r="AK778" s="194"/>
      <c r="AL778" s="194"/>
      <c r="AM778" s="194"/>
    </row>
    <row r="779" spans="1:39" ht="15.75" customHeight="1" x14ac:dyDescent="0.25">
      <c r="A779" s="194"/>
      <c r="B779" s="194"/>
      <c r="C779" s="194"/>
      <c r="D779" s="194"/>
      <c r="E779" s="194"/>
      <c r="F779" s="194"/>
      <c r="G779" s="194"/>
      <c r="H779" s="194"/>
      <c r="I779" s="194"/>
      <c r="J779" s="194"/>
      <c r="K779" s="194"/>
      <c r="L779" s="194"/>
      <c r="M779" s="194"/>
      <c r="N779" s="194"/>
      <c r="O779" s="194"/>
      <c r="P779" s="194"/>
      <c r="Q779" s="194"/>
      <c r="R779" s="194"/>
      <c r="S779" s="194"/>
      <c r="T779" s="194"/>
      <c r="U779" s="194"/>
      <c r="V779" s="194"/>
      <c r="W779" s="194"/>
      <c r="X779" s="194"/>
      <c r="Y779" s="194"/>
      <c r="Z779" s="194"/>
      <c r="AA779" s="194"/>
      <c r="AB779" s="194"/>
      <c r="AC779" s="194"/>
      <c r="AD779" s="194"/>
      <c r="AE779" s="194"/>
      <c r="AF779" s="194"/>
      <c r="AG779" s="194"/>
      <c r="AH779" s="194"/>
      <c r="AI779" s="194"/>
      <c r="AJ779" s="194"/>
      <c r="AK779" s="194"/>
      <c r="AL779" s="194"/>
      <c r="AM779" s="194"/>
    </row>
    <row r="780" spans="1:39" ht="15.75" customHeight="1" x14ac:dyDescent="0.25">
      <c r="A780" s="194"/>
      <c r="B780" s="194"/>
      <c r="C780" s="194"/>
      <c r="D780" s="194"/>
      <c r="E780" s="194"/>
      <c r="F780" s="194"/>
      <c r="G780" s="194"/>
      <c r="H780" s="194"/>
      <c r="I780" s="194"/>
      <c r="J780" s="194"/>
      <c r="K780" s="194"/>
      <c r="L780" s="194"/>
      <c r="M780" s="194"/>
      <c r="N780" s="194"/>
      <c r="O780" s="194"/>
      <c r="P780" s="194"/>
      <c r="Q780" s="194"/>
      <c r="R780" s="194"/>
      <c r="S780" s="194"/>
      <c r="T780" s="194"/>
      <c r="U780" s="194"/>
      <c r="V780" s="194"/>
      <c r="W780" s="194"/>
      <c r="X780" s="194"/>
      <c r="Y780" s="194"/>
      <c r="Z780" s="194"/>
      <c r="AA780" s="194"/>
      <c r="AB780" s="194"/>
      <c r="AC780" s="194"/>
      <c r="AD780" s="194"/>
      <c r="AE780" s="194"/>
      <c r="AF780" s="194"/>
      <c r="AG780" s="194"/>
      <c r="AH780" s="194"/>
      <c r="AI780" s="194"/>
      <c r="AJ780" s="194"/>
      <c r="AK780" s="194"/>
      <c r="AL780" s="194"/>
      <c r="AM780" s="194"/>
    </row>
    <row r="781" spans="1:39" ht="15.75" customHeight="1" x14ac:dyDescent="0.25">
      <c r="A781" s="194"/>
      <c r="B781" s="194"/>
      <c r="C781" s="194"/>
      <c r="D781" s="194"/>
      <c r="E781" s="194"/>
      <c r="F781" s="194"/>
      <c r="G781" s="194"/>
      <c r="H781" s="194"/>
      <c r="I781" s="194"/>
      <c r="J781" s="194"/>
      <c r="K781" s="194"/>
      <c r="L781" s="194"/>
      <c r="M781" s="194"/>
      <c r="N781" s="194"/>
      <c r="O781" s="194"/>
      <c r="P781" s="194"/>
      <c r="Q781" s="194"/>
      <c r="R781" s="194"/>
      <c r="S781" s="194"/>
      <c r="T781" s="194"/>
      <c r="U781" s="194"/>
      <c r="V781" s="194"/>
      <c r="W781" s="194"/>
      <c r="X781" s="194"/>
      <c r="Y781" s="194"/>
      <c r="Z781" s="194"/>
      <c r="AA781" s="194"/>
      <c r="AB781" s="194"/>
      <c r="AC781" s="194"/>
      <c r="AD781" s="194"/>
      <c r="AE781" s="194"/>
      <c r="AF781" s="194"/>
      <c r="AG781" s="194"/>
      <c r="AH781" s="194"/>
      <c r="AI781" s="194"/>
      <c r="AJ781" s="194"/>
      <c r="AK781" s="194"/>
      <c r="AL781" s="194"/>
      <c r="AM781" s="194"/>
    </row>
    <row r="782" spans="1:39" ht="15.75" customHeight="1" x14ac:dyDescent="0.25">
      <c r="A782" s="194"/>
      <c r="B782" s="194"/>
      <c r="C782" s="194"/>
      <c r="D782" s="194"/>
      <c r="E782" s="194"/>
      <c r="F782" s="194"/>
      <c r="G782" s="194"/>
      <c r="H782" s="194"/>
      <c r="I782" s="194"/>
      <c r="J782" s="194"/>
      <c r="K782" s="194"/>
      <c r="L782" s="194"/>
      <c r="M782" s="194"/>
      <c r="N782" s="194"/>
      <c r="O782" s="194"/>
      <c r="P782" s="194"/>
      <c r="Q782" s="194"/>
      <c r="R782" s="194"/>
      <c r="S782" s="194"/>
      <c r="T782" s="194"/>
      <c r="U782" s="194"/>
      <c r="V782" s="194"/>
      <c r="W782" s="194"/>
      <c r="X782" s="194"/>
      <c r="Y782" s="194"/>
      <c r="Z782" s="194"/>
      <c r="AA782" s="194"/>
      <c r="AB782" s="194"/>
      <c r="AC782" s="194"/>
      <c r="AD782" s="194"/>
      <c r="AE782" s="194"/>
      <c r="AF782" s="194"/>
      <c r="AG782" s="194"/>
      <c r="AH782" s="194"/>
      <c r="AI782" s="194"/>
      <c r="AJ782" s="194"/>
      <c r="AK782" s="194"/>
      <c r="AL782" s="194"/>
      <c r="AM782" s="194"/>
    </row>
    <row r="783" spans="1:39" ht="15.75" customHeight="1" x14ac:dyDescent="0.25">
      <c r="A783" s="194"/>
      <c r="B783" s="194"/>
      <c r="C783" s="194"/>
      <c r="D783" s="194"/>
      <c r="E783" s="194"/>
      <c r="F783" s="194"/>
      <c r="G783" s="194"/>
      <c r="H783" s="194"/>
      <c r="I783" s="194"/>
      <c r="J783" s="194"/>
      <c r="K783" s="194"/>
      <c r="L783" s="194"/>
      <c r="M783" s="194"/>
      <c r="N783" s="194"/>
      <c r="O783" s="194"/>
      <c r="P783" s="194"/>
      <c r="Q783" s="194"/>
      <c r="R783" s="194"/>
      <c r="S783" s="194"/>
      <c r="T783" s="194"/>
      <c r="U783" s="194"/>
      <c r="V783" s="194"/>
      <c r="W783" s="194"/>
      <c r="X783" s="194"/>
      <c r="Y783" s="194"/>
      <c r="Z783" s="194"/>
      <c r="AA783" s="194"/>
      <c r="AB783" s="194"/>
      <c r="AC783" s="194"/>
      <c r="AD783" s="194"/>
      <c r="AE783" s="194"/>
      <c r="AF783" s="194"/>
      <c r="AG783" s="194"/>
      <c r="AH783" s="194"/>
      <c r="AI783" s="194"/>
      <c r="AJ783" s="194"/>
      <c r="AK783" s="194"/>
      <c r="AL783" s="194"/>
      <c r="AM783" s="194"/>
    </row>
    <row r="784" spans="1:39" ht="15.75" customHeight="1" x14ac:dyDescent="0.25">
      <c r="A784" s="194"/>
      <c r="B784" s="194"/>
      <c r="C784" s="194"/>
      <c r="D784" s="194"/>
      <c r="E784" s="194"/>
      <c r="F784" s="194"/>
      <c r="G784" s="194"/>
      <c r="H784" s="194"/>
      <c r="I784" s="194"/>
      <c r="J784" s="194"/>
      <c r="K784" s="194"/>
      <c r="L784" s="194"/>
      <c r="M784" s="194"/>
      <c r="N784" s="194"/>
      <c r="O784" s="194"/>
      <c r="P784" s="194"/>
      <c r="Q784" s="194"/>
      <c r="R784" s="194"/>
      <c r="S784" s="194"/>
      <c r="T784" s="194"/>
      <c r="U784" s="194"/>
      <c r="V784" s="194"/>
      <c r="W784" s="194"/>
      <c r="X784" s="194"/>
      <c r="Y784" s="194"/>
      <c r="Z784" s="194"/>
      <c r="AA784" s="194"/>
      <c r="AB784" s="194"/>
      <c r="AC784" s="194"/>
      <c r="AD784" s="194"/>
      <c r="AE784" s="194"/>
      <c r="AF784" s="194"/>
      <c r="AG784" s="194"/>
      <c r="AH784" s="194"/>
      <c r="AI784" s="194"/>
      <c r="AJ784" s="194"/>
      <c r="AK784" s="194"/>
      <c r="AL784" s="194"/>
      <c r="AM784" s="194"/>
    </row>
    <row r="785" spans="1:39" ht="15.75" customHeight="1" x14ac:dyDescent="0.25">
      <c r="A785" s="194"/>
      <c r="B785" s="194"/>
      <c r="C785" s="194"/>
      <c r="D785" s="194"/>
      <c r="E785" s="194"/>
      <c r="F785" s="194"/>
      <c r="G785" s="194"/>
      <c r="H785" s="194"/>
      <c r="I785" s="194"/>
      <c r="J785" s="194"/>
      <c r="K785" s="194"/>
      <c r="L785" s="194"/>
      <c r="M785" s="194"/>
      <c r="N785" s="194"/>
      <c r="O785" s="194"/>
      <c r="P785" s="194"/>
      <c r="Q785" s="194"/>
      <c r="R785" s="194"/>
      <c r="S785" s="194"/>
      <c r="T785" s="194"/>
      <c r="U785" s="194"/>
      <c r="V785" s="194"/>
      <c r="W785" s="194"/>
      <c r="X785" s="194"/>
      <c r="Y785" s="194"/>
      <c r="Z785" s="194"/>
      <c r="AA785" s="194"/>
      <c r="AB785" s="194"/>
      <c r="AC785" s="194"/>
      <c r="AD785" s="194"/>
      <c r="AE785" s="194"/>
      <c r="AF785" s="194"/>
      <c r="AG785" s="194"/>
      <c r="AH785" s="194"/>
      <c r="AI785" s="194"/>
      <c r="AJ785" s="194"/>
      <c r="AK785" s="194"/>
      <c r="AL785" s="194"/>
      <c r="AM785" s="194"/>
    </row>
    <row r="786" spans="1:39" ht="15.75" customHeight="1" x14ac:dyDescent="0.25">
      <c r="A786" s="194"/>
      <c r="B786" s="194"/>
      <c r="C786" s="194"/>
      <c r="D786" s="194"/>
      <c r="E786" s="194"/>
      <c r="F786" s="194"/>
      <c r="G786" s="194"/>
      <c r="H786" s="194"/>
      <c r="I786" s="194"/>
      <c r="J786" s="194"/>
      <c r="K786" s="194"/>
      <c r="L786" s="194"/>
      <c r="M786" s="194"/>
      <c r="N786" s="194"/>
      <c r="O786" s="194"/>
      <c r="P786" s="194"/>
      <c r="Q786" s="194"/>
      <c r="R786" s="194"/>
      <c r="S786" s="194"/>
      <c r="T786" s="194"/>
      <c r="U786" s="194"/>
      <c r="V786" s="194"/>
      <c r="W786" s="194"/>
      <c r="X786" s="194"/>
      <c r="Y786" s="194"/>
      <c r="Z786" s="194"/>
      <c r="AA786" s="194"/>
      <c r="AB786" s="194"/>
      <c r="AC786" s="194"/>
      <c r="AD786" s="194"/>
      <c r="AE786" s="194"/>
      <c r="AF786" s="194"/>
      <c r="AG786" s="194"/>
      <c r="AH786" s="194"/>
      <c r="AI786" s="194"/>
      <c r="AJ786" s="194"/>
      <c r="AK786" s="194"/>
      <c r="AL786" s="194"/>
      <c r="AM786" s="194"/>
    </row>
    <row r="787" spans="1:39" ht="15.75" customHeight="1" x14ac:dyDescent="0.25">
      <c r="A787" s="194"/>
      <c r="B787" s="194"/>
      <c r="C787" s="194"/>
      <c r="D787" s="194"/>
      <c r="E787" s="194"/>
      <c r="F787" s="194"/>
      <c r="G787" s="194"/>
      <c r="H787" s="194"/>
      <c r="I787" s="194"/>
      <c r="J787" s="194"/>
      <c r="K787" s="194"/>
      <c r="L787" s="194"/>
      <c r="M787" s="194"/>
      <c r="N787" s="194"/>
      <c r="O787" s="194"/>
      <c r="P787" s="194"/>
      <c r="Q787" s="194"/>
      <c r="R787" s="194"/>
      <c r="S787" s="194"/>
      <c r="T787" s="194"/>
      <c r="U787" s="194"/>
      <c r="V787" s="194"/>
      <c r="W787" s="194"/>
      <c r="X787" s="194"/>
      <c r="Y787" s="194"/>
      <c r="Z787" s="194"/>
      <c r="AA787" s="194"/>
      <c r="AB787" s="194"/>
      <c r="AC787" s="194"/>
      <c r="AD787" s="194"/>
      <c r="AE787" s="194"/>
      <c r="AF787" s="194"/>
      <c r="AG787" s="194"/>
      <c r="AH787" s="194"/>
      <c r="AI787" s="194"/>
      <c r="AJ787" s="194"/>
      <c r="AK787" s="194"/>
      <c r="AL787" s="194"/>
      <c r="AM787" s="194"/>
    </row>
    <row r="788" spans="1:39" ht="15.75" customHeight="1" x14ac:dyDescent="0.25">
      <c r="A788" s="194"/>
      <c r="B788" s="194"/>
      <c r="C788" s="194"/>
      <c r="D788" s="194"/>
      <c r="E788" s="194"/>
      <c r="F788" s="194"/>
      <c r="G788" s="194"/>
      <c r="H788" s="194"/>
      <c r="I788" s="194"/>
      <c r="J788" s="194"/>
      <c r="K788" s="194"/>
      <c r="L788" s="194"/>
      <c r="M788" s="194"/>
      <c r="N788" s="194"/>
      <c r="O788" s="194"/>
      <c r="P788" s="194"/>
      <c r="Q788" s="194"/>
      <c r="R788" s="194"/>
      <c r="S788" s="194"/>
      <c r="T788" s="194"/>
      <c r="U788" s="194"/>
      <c r="V788" s="194"/>
      <c r="W788" s="194"/>
      <c r="X788" s="194"/>
      <c r="Y788" s="194"/>
      <c r="Z788" s="194"/>
      <c r="AA788" s="194"/>
      <c r="AB788" s="194"/>
      <c r="AC788" s="194"/>
      <c r="AD788" s="194"/>
      <c r="AE788" s="194"/>
      <c r="AF788" s="194"/>
      <c r="AG788" s="194"/>
      <c r="AH788" s="194"/>
      <c r="AI788" s="194"/>
      <c r="AJ788" s="194"/>
      <c r="AK788" s="194"/>
      <c r="AL788" s="194"/>
      <c r="AM788" s="194"/>
    </row>
    <row r="789" spans="1:39" ht="15.75" customHeight="1" x14ac:dyDescent="0.25">
      <c r="A789" s="194"/>
      <c r="B789" s="194"/>
      <c r="C789" s="194"/>
      <c r="D789" s="194"/>
      <c r="E789" s="194"/>
      <c r="F789" s="194"/>
      <c r="G789" s="194"/>
      <c r="H789" s="194"/>
      <c r="I789" s="194"/>
      <c r="J789" s="194"/>
      <c r="K789" s="194"/>
      <c r="L789" s="194"/>
      <c r="M789" s="194"/>
      <c r="N789" s="194"/>
      <c r="O789" s="194"/>
      <c r="P789" s="194"/>
      <c r="Q789" s="194"/>
      <c r="R789" s="194"/>
      <c r="S789" s="194"/>
      <c r="T789" s="194"/>
      <c r="U789" s="194"/>
      <c r="V789" s="194"/>
      <c r="W789" s="194"/>
      <c r="X789" s="194"/>
      <c r="Y789" s="194"/>
      <c r="Z789" s="194"/>
      <c r="AA789" s="194"/>
      <c r="AB789" s="194"/>
      <c r="AC789" s="194"/>
      <c r="AD789" s="194"/>
      <c r="AE789" s="194"/>
      <c r="AF789" s="194"/>
      <c r="AG789" s="194"/>
      <c r="AH789" s="194"/>
      <c r="AI789" s="194"/>
      <c r="AJ789" s="194"/>
      <c r="AK789" s="194"/>
      <c r="AL789" s="194"/>
      <c r="AM789" s="194"/>
    </row>
    <row r="790" spans="1:39" ht="15.75" customHeight="1" x14ac:dyDescent="0.25">
      <c r="A790" s="194"/>
      <c r="B790" s="194"/>
      <c r="C790" s="194"/>
      <c r="D790" s="194"/>
      <c r="E790" s="194"/>
      <c r="F790" s="194"/>
      <c r="G790" s="194"/>
      <c r="H790" s="194"/>
      <c r="I790" s="194"/>
      <c r="J790" s="194"/>
      <c r="K790" s="194"/>
      <c r="L790" s="194"/>
      <c r="M790" s="194"/>
      <c r="N790" s="194"/>
      <c r="O790" s="194"/>
      <c r="P790" s="194"/>
      <c r="Q790" s="194"/>
      <c r="R790" s="194"/>
      <c r="S790" s="194"/>
      <c r="T790" s="194"/>
      <c r="U790" s="194"/>
      <c r="V790" s="194"/>
      <c r="W790" s="194"/>
      <c r="X790" s="194"/>
      <c r="Y790" s="194"/>
      <c r="Z790" s="194"/>
      <c r="AA790" s="194"/>
      <c r="AB790" s="194"/>
      <c r="AC790" s="194"/>
      <c r="AD790" s="194"/>
      <c r="AE790" s="194"/>
      <c r="AF790" s="194"/>
      <c r="AG790" s="194"/>
      <c r="AH790" s="194"/>
      <c r="AI790" s="194"/>
      <c r="AJ790" s="194"/>
      <c r="AK790" s="194"/>
      <c r="AL790" s="194"/>
      <c r="AM790" s="194"/>
    </row>
    <row r="791" spans="1:39" ht="15.75" customHeight="1" x14ac:dyDescent="0.25">
      <c r="A791" s="194"/>
      <c r="B791" s="194"/>
      <c r="C791" s="194"/>
      <c r="D791" s="194"/>
      <c r="E791" s="194"/>
      <c r="F791" s="194"/>
      <c r="G791" s="194"/>
      <c r="H791" s="194"/>
      <c r="I791" s="194"/>
      <c r="J791" s="194"/>
      <c r="K791" s="194"/>
      <c r="L791" s="194"/>
      <c r="M791" s="194"/>
      <c r="N791" s="194"/>
      <c r="O791" s="194"/>
      <c r="P791" s="194"/>
      <c r="Q791" s="194"/>
      <c r="R791" s="194"/>
      <c r="S791" s="194"/>
      <c r="T791" s="194"/>
      <c r="U791" s="194"/>
      <c r="V791" s="194"/>
      <c r="W791" s="194"/>
      <c r="X791" s="194"/>
      <c r="Y791" s="194"/>
      <c r="Z791" s="194"/>
      <c r="AA791" s="194"/>
      <c r="AB791" s="194"/>
      <c r="AC791" s="194"/>
      <c r="AD791" s="194"/>
      <c r="AE791" s="194"/>
      <c r="AF791" s="194"/>
      <c r="AG791" s="194"/>
      <c r="AH791" s="194"/>
      <c r="AI791" s="194"/>
      <c r="AJ791" s="194"/>
      <c r="AK791" s="194"/>
      <c r="AL791" s="194"/>
      <c r="AM791" s="194"/>
    </row>
    <row r="792" spans="1:39" ht="15.75" customHeight="1" x14ac:dyDescent="0.25">
      <c r="A792" s="194"/>
      <c r="B792" s="194"/>
      <c r="C792" s="194"/>
      <c r="D792" s="194"/>
      <c r="E792" s="194"/>
      <c r="F792" s="194"/>
      <c r="G792" s="194"/>
      <c r="H792" s="194"/>
      <c r="I792" s="194"/>
      <c r="J792" s="194"/>
      <c r="K792" s="194"/>
      <c r="L792" s="194"/>
      <c r="M792" s="194"/>
      <c r="N792" s="194"/>
      <c r="O792" s="194"/>
      <c r="P792" s="194"/>
      <c r="Q792" s="194"/>
      <c r="R792" s="194"/>
      <c r="S792" s="194"/>
      <c r="T792" s="194"/>
      <c r="U792" s="194"/>
      <c r="V792" s="194"/>
      <c r="W792" s="194"/>
      <c r="X792" s="194"/>
      <c r="Y792" s="194"/>
      <c r="Z792" s="194"/>
      <c r="AA792" s="194"/>
      <c r="AB792" s="194"/>
      <c r="AC792" s="194"/>
      <c r="AD792" s="194"/>
      <c r="AE792" s="194"/>
      <c r="AF792" s="194"/>
      <c r="AG792" s="194"/>
      <c r="AH792" s="194"/>
      <c r="AI792" s="194"/>
      <c r="AJ792" s="194"/>
      <c r="AK792" s="194"/>
      <c r="AL792" s="194"/>
      <c r="AM792" s="194"/>
    </row>
    <row r="793" spans="1:39" ht="15.75" customHeight="1" x14ac:dyDescent="0.25">
      <c r="A793" s="194"/>
      <c r="B793" s="194"/>
      <c r="C793" s="194"/>
      <c r="D793" s="194"/>
      <c r="E793" s="194"/>
      <c r="F793" s="194"/>
      <c r="G793" s="194"/>
      <c r="H793" s="194"/>
      <c r="I793" s="194"/>
      <c r="J793" s="194"/>
      <c r="K793" s="194"/>
      <c r="L793" s="194"/>
      <c r="M793" s="194"/>
      <c r="N793" s="194"/>
      <c r="O793" s="194"/>
      <c r="P793" s="194"/>
      <c r="Q793" s="194"/>
      <c r="R793" s="194"/>
      <c r="S793" s="194"/>
      <c r="T793" s="194"/>
      <c r="U793" s="194"/>
      <c r="V793" s="194"/>
      <c r="W793" s="194"/>
      <c r="X793" s="194"/>
      <c r="Y793" s="194"/>
      <c r="Z793" s="194"/>
      <c r="AA793" s="194"/>
      <c r="AB793" s="194"/>
      <c r="AC793" s="194"/>
      <c r="AD793" s="194"/>
      <c r="AE793" s="194"/>
      <c r="AF793" s="194"/>
      <c r="AG793" s="194"/>
      <c r="AH793" s="194"/>
      <c r="AI793" s="194"/>
      <c r="AJ793" s="194"/>
      <c r="AK793" s="194"/>
      <c r="AL793" s="194"/>
      <c r="AM793" s="194"/>
    </row>
    <row r="794" spans="1:39" ht="15.75" customHeight="1" x14ac:dyDescent="0.25">
      <c r="A794" s="194"/>
      <c r="B794" s="194"/>
      <c r="C794" s="194"/>
      <c r="D794" s="194"/>
      <c r="E794" s="194"/>
      <c r="F794" s="194"/>
      <c r="G794" s="194"/>
      <c r="H794" s="194"/>
      <c r="I794" s="194"/>
      <c r="J794" s="194"/>
      <c r="K794" s="194"/>
      <c r="L794" s="194"/>
      <c r="M794" s="194"/>
      <c r="N794" s="194"/>
      <c r="O794" s="194"/>
      <c r="P794" s="194"/>
      <c r="Q794" s="194"/>
      <c r="R794" s="194"/>
      <c r="S794" s="194"/>
      <c r="T794" s="194"/>
      <c r="U794" s="194"/>
      <c r="V794" s="194"/>
      <c r="W794" s="194"/>
      <c r="X794" s="194"/>
      <c r="Y794" s="194"/>
      <c r="Z794" s="194"/>
      <c r="AA794" s="194"/>
      <c r="AB794" s="194"/>
      <c r="AC794" s="194"/>
      <c r="AD794" s="194"/>
      <c r="AE794" s="194"/>
      <c r="AF794" s="194"/>
      <c r="AG794" s="194"/>
      <c r="AH794" s="194"/>
      <c r="AI794" s="194"/>
      <c r="AJ794" s="194"/>
      <c r="AK794" s="194"/>
      <c r="AL794" s="194"/>
      <c r="AM794" s="194"/>
    </row>
    <row r="795" spans="1:39" ht="15.75" customHeight="1" x14ac:dyDescent="0.25">
      <c r="A795" s="194"/>
      <c r="B795" s="194"/>
      <c r="C795" s="194"/>
      <c r="D795" s="194"/>
      <c r="E795" s="194"/>
      <c r="F795" s="194"/>
      <c r="G795" s="194"/>
      <c r="H795" s="194"/>
      <c r="I795" s="194"/>
      <c r="J795" s="194"/>
      <c r="K795" s="194"/>
      <c r="L795" s="194"/>
      <c r="M795" s="194"/>
      <c r="N795" s="194"/>
      <c r="O795" s="194"/>
      <c r="P795" s="194"/>
      <c r="Q795" s="194"/>
      <c r="R795" s="194"/>
      <c r="S795" s="194"/>
      <c r="T795" s="194"/>
      <c r="U795" s="194"/>
      <c r="V795" s="194"/>
      <c r="W795" s="194"/>
      <c r="X795" s="194"/>
      <c r="Y795" s="194"/>
      <c r="Z795" s="194"/>
      <c r="AA795" s="194"/>
      <c r="AB795" s="194"/>
      <c r="AC795" s="194"/>
      <c r="AD795" s="194"/>
      <c r="AE795" s="194"/>
      <c r="AF795" s="194"/>
      <c r="AG795" s="194"/>
      <c r="AH795" s="194"/>
      <c r="AI795" s="194"/>
      <c r="AJ795" s="194"/>
      <c r="AK795" s="194"/>
      <c r="AL795" s="194"/>
      <c r="AM795" s="194"/>
    </row>
    <row r="796" spans="1:39" ht="15.75" customHeight="1" x14ac:dyDescent="0.25">
      <c r="A796" s="194"/>
      <c r="B796" s="194"/>
      <c r="C796" s="194"/>
      <c r="D796" s="194"/>
      <c r="E796" s="194"/>
      <c r="F796" s="194"/>
      <c r="G796" s="194"/>
      <c r="H796" s="194"/>
      <c r="I796" s="194"/>
      <c r="J796" s="194"/>
      <c r="K796" s="194"/>
      <c r="L796" s="194"/>
      <c r="M796" s="194"/>
      <c r="N796" s="194"/>
      <c r="O796" s="194"/>
      <c r="P796" s="194"/>
      <c r="Q796" s="194"/>
      <c r="R796" s="194"/>
      <c r="S796" s="194"/>
      <c r="T796" s="194"/>
      <c r="U796" s="194"/>
      <c r="V796" s="194"/>
      <c r="W796" s="194"/>
      <c r="X796" s="194"/>
      <c r="Y796" s="194"/>
      <c r="Z796" s="194"/>
      <c r="AA796" s="194"/>
      <c r="AB796" s="194"/>
      <c r="AC796" s="194"/>
      <c r="AD796" s="194"/>
      <c r="AE796" s="194"/>
      <c r="AF796" s="194"/>
      <c r="AG796" s="194"/>
      <c r="AH796" s="194"/>
      <c r="AI796" s="194"/>
      <c r="AJ796" s="194"/>
      <c r="AK796" s="194"/>
      <c r="AL796" s="194"/>
      <c r="AM796" s="194"/>
    </row>
    <row r="797" spans="1:39" ht="15.75" customHeight="1" x14ac:dyDescent="0.25">
      <c r="A797" s="194"/>
      <c r="B797" s="194"/>
      <c r="C797" s="194"/>
      <c r="D797" s="194"/>
      <c r="E797" s="194"/>
      <c r="F797" s="194"/>
      <c r="G797" s="194"/>
      <c r="H797" s="194"/>
      <c r="I797" s="194"/>
      <c r="J797" s="194"/>
      <c r="K797" s="194"/>
      <c r="L797" s="194"/>
      <c r="M797" s="194"/>
      <c r="N797" s="194"/>
      <c r="O797" s="194"/>
      <c r="P797" s="194"/>
      <c r="Q797" s="194"/>
      <c r="R797" s="194"/>
      <c r="S797" s="194"/>
      <c r="T797" s="194"/>
      <c r="U797" s="194"/>
      <c r="V797" s="194"/>
      <c r="W797" s="194"/>
      <c r="X797" s="194"/>
      <c r="Y797" s="194"/>
      <c r="Z797" s="194"/>
      <c r="AA797" s="194"/>
      <c r="AB797" s="194"/>
      <c r="AC797" s="194"/>
      <c r="AD797" s="194"/>
      <c r="AE797" s="194"/>
      <c r="AF797" s="194"/>
      <c r="AG797" s="194"/>
      <c r="AH797" s="194"/>
      <c r="AI797" s="194"/>
      <c r="AJ797" s="194"/>
      <c r="AK797" s="194"/>
      <c r="AL797" s="194"/>
      <c r="AM797" s="194"/>
    </row>
    <row r="798" spans="1:39" ht="15.75" customHeight="1" x14ac:dyDescent="0.25">
      <c r="A798" s="194"/>
      <c r="B798" s="194"/>
      <c r="C798" s="194"/>
      <c r="D798" s="194"/>
      <c r="E798" s="194"/>
      <c r="F798" s="194"/>
      <c r="G798" s="194"/>
      <c r="H798" s="194"/>
      <c r="I798" s="194"/>
      <c r="J798" s="194"/>
      <c r="K798" s="194"/>
      <c r="L798" s="194"/>
      <c r="M798" s="194"/>
      <c r="N798" s="194"/>
      <c r="O798" s="194"/>
      <c r="P798" s="194"/>
      <c r="Q798" s="194"/>
      <c r="R798" s="194"/>
      <c r="S798" s="194"/>
      <c r="T798" s="194"/>
      <c r="U798" s="194"/>
      <c r="V798" s="194"/>
      <c r="W798" s="194"/>
      <c r="X798" s="194"/>
      <c r="Y798" s="194"/>
      <c r="Z798" s="194"/>
      <c r="AA798" s="194"/>
      <c r="AB798" s="194"/>
      <c r="AC798" s="194"/>
      <c r="AD798" s="194"/>
      <c r="AE798" s="194"/>
      <c r="AF798" s="194"/>
      <c r="AG798" s="194"/>
      <c r="AH798" s="194"/>
      <c r="AI798" s="194"/>
      <c r="AJ798" s="194"/>
      <c r="AK798" s="194"/>
      <c r="AL798" s="194"/>
      <c r="AM798" s="194"/>
    </row>
    <row r="799" spans="1:39" ht="15.75" customHeight="1" x14ac:dyDescent="0.25">
      <c r="A799" s="194"/>
      <c r="B799" s="194"/>
      <c r="C799" s="194"/>
      <c r="D799" s="194"/>
      <c r="E799" s="194"/>
      <c r="F799" s="194"/>
      <c r="G799" s="194"/>
      <c r="H799" s="194"/>
      <c r="I799" s="194"/>
      <c r="J799" s="194"/>
      <c r="K799" s="194"/>
      <c r="L799" s="194"/>
      <c r="M799" s="194"/>
      <c r="N799" s="194"/>
      <c r="O799" s="194"/>
      <c r="P799" s="194"/>
      <c r="Q799" s="194"/>
      <c r="R799" s="194"/>
      <c r="S799" s="194"/>
      <c r="T799" s="194"/>
      <c r="U799" s="194"/>
      <c r="V799" s="194"/>
      <c r="W799" s="194"/>
      <c r="X799" s="194"/>
      <c r="Y799" s="194"/>
      <c r="Z799" s="194"/>
      <c r="AA799" s="194"/>
      <c r="AB799" s="194"/>
      <c r="AC799" s="194"/>
      <c r="AD799" s="194"/>
      <c r="AE799" s="194"/>
      <c r="AF799" s="194"/>
      <c r="AG799" s="194"/>
      <c r="AH799" s="194"/>
      <c r="AI799" s="194"/>
      <c r="AJ799" s="194"/>
      <c r="AK799" s="194"/>
      <c r="AL799" s="194"/>
      <c r="AM799" s="194"/>
    </row>
    <row r="800" spans="1:39" ht="15.75" customHeight="1" x14ac:dyDescent="0.25">
      <c r="A800" s="194"/>
      <c r="B800" s="194"/>
      <c r="C800" s="194"/>
      <c r="D800" s="194"/>
      <c r="E800" s="194"/>
      <c r="F800" s="194"/>
      <c r="G800" s="194"/>
      <c r="H800" s="194"/>
      <c r="I800" s="194"/>
      <c r="J800" s="194"/>
      <c r="K800" s="194"/>
      <c r="L800" s="194"/>
      <c r="M800" s="194"/>
      <c r="N800" s="194"/>
      <c r="O800" s="194"/>
      <c r="P800" s="194"/>
      <c r="Q800" s="194"/>
      <c r="R800" s="194"/>
      <c r="S800" s="194"/>
      <c r="T800" s="194"/>
      <c r="U800" s="194"/>
      <c r="V800" s="194"/>
      <c r="W800" s="194"/>
      <c r="X800" s="194"/>
      <c r="Y800" s="194"/>
      <c r="Z800" s="194"/>
      <c r="AA800" s="194"/>
      <c r="AB800" s="194"/>
      <c r="AC800" s="194"/>
      <c r="AD800" s="194"/>
      <c r="AE800" s="194"/>
      <c r="AF800" s="194"/>
      <c r="AG800" s="194"/>
      <c r="AH800" s="194"/>
      <c r="AI800" s="194"/>
      <c r="AJ800" s="194"/>
      <c r="AK800" s="194"/>
      <c r="AL800" s="194"/>
      <c r="AM800" s="194"/>
    </row>
    <row r="801" spans="1:39" ht="15.75" customHeight="1" x14ac:dyDescent="0.25">
      <c r="A801" s="194"/>
      <c r="B801" s="194"/>
      <c r="C801" s="194"/>
      <c r="D801" s="194"/>
      <c r="E801" s="194"/>
      <c r="F801" s="194"/>
      <c r="G801" s="194"/>
      <c r="H801" s="194"/>
      <c r="I801" s="194"/>
      <c r="J801" s="194"/>
      <c r="K801" s="194"/>
      <c r="L801" s="194"/>
      <c r="M801" s="194"/>
      <c r="N801" s="194"/>
      <c r="O801" s="194"/>
      <c r="P801" s="194"/>
      <c r="Q801" s="194"/>
      <c r="R801" s="194"/>
      <c r="S801" s="194"/>
      <c r="T801" s="194"/>
      <c r="U801" s="194"/>
      <c r="V801" s="194"/>
      <c r="W801" s="194"/>
      <c r="X801" s="194"/>
      <c r="Y801" s="194"/>
      <c r="Z801" s="194"/>
      <c r="AA801" s="194"/>
      <c r="AB801" s="194"/>
      <c r="AC801" s="194"/>
      <c r="AD801" s="194"/>
      <c r="AE801" s="194"/>
      <c r="AF801" s="194"/>
      <c r="AG801" s="194"/>
      <c r="AH801" s="194"/>
      <c r="AI801" s="194"/>
      <c r="AJ801" s="194"/>
      <c r="AK801" s="194"/>
      <c r="AL801" s="194"/>
      <c r="AM801" s="194"/>
    </row>
    <row r="802" spans="1:39" ht="15.75" customHeight="1" x14ac:dyDescent="0.25">
      <c r="A802" s="194"/>
      <c r="B802" s="194"/>
      <c r="C802" s="194"/>
      <c r="D802" s="194"/>
      <c r="E802" s="194"/>
      <c r="F802" s="194"/>
      <c r="G802" s="194"/>
      <c r="H802" s="194"/>
      <c r="I802" s="194"/>
      <c r="J802" s="194"/>
      <c r="K802" s="194"/>
      <c r="L802" s="194"/>
      <c r="M802" s="194"/>
      <c r="N802" s="194"/>
      <c r="O802" s="194"/>
      <c r="P802" s="194"/>
      <c r="Q802" s="194"/>
      <c r="R802" s="194"/>
      <c r="S802" s="194"/>
      <c r="T802" s="194"/>
      <c r="U802" s="194"/>
      <c r="V802" s="194"/>
      <c r="W802" s="194"/>
      <c r="X802" s="194"/>
      <c r="Y802" s="194"/>
      <c r="Z802" s="194"/>
      <c r="AA802" s="194"/>
      <c r="AB802" s="194"/>
      <c r="AC802" s="194"/>
      <c r="AD802" s="194"/>
      <c r="AE802" s="194"/>
      <c r="AF802" s="194"/>
      <c r="AG802" s="194"/>
      <c r="AH802" s="194"/>
      <c r="AI802" s="194"/>
      <c r="AJ802" s="194"/>
      <c r="AK802" s="194"/>
      <c r="AL802" s="194"/>
      <c r="AM802" s="194"/>
    </row>
    <row r="803" spans="1:39" ht="15.75" customHeight="1" x14ac:dyDescent="0.25">
      <c r="A803" s="194"/>
      <c r="B803" s="194"/>
      <c r="C803" s="194"/>
      <c r="D803" s="194"/>
      <c r="E803" s="194"/>
      <c r="F803" s="194"/>
      <c r="G803" s="194"/>
      <c r="H803" s="194"/>
      <c r="I803" s="194"/>
      <c r="J803" s="194"/>
      <c r="K803" s="194"/>
      <c r="L803" s="194"/>
      <c r="M803" s="194"/>
      <c r="N803" s="194"/>
      <c r="O803" s="194"/>
      <c r="P803" s="194"/>
      <c r="Q803" s="194"/>
      <c r="R803" s="194"/>
      <c r="S803" s="194"/>
      <c r="T803" s="194"/>
      <c r="U803" s="194"/>
      <c r="V803" s="194"/>
      <c r="W803" s="194"/>
      <c r="X803" s="194"/>
      <c r="Y803" s="194"/>
      <c r="Z803" s="194"/>
      <c r="AA803" s="194"/>
      <c r="AB803" s="194"/>
      <c r="AC803" s="194"/>
      <c r="AD803" s="194"/>
      <c r="AE803" s="194"/>
      <c r="AF803" s="194"/>
      <c r="AG803" s="194"/>
      <c r="AH803" s="194"/>
      <c r="AI803" s="194"/>
      <c r="AJ803" s="194"/>
      <c r="AK803" s="194"/>
      <c r="AL803" s="194"/>
      <c r="AM803" s="194"/>
    </row>
    <row r="804" spans="1:39" ht="15.75" customHeight="1" x14ac:dyDescent="0.25">
      <c r="A804" s="194"/>
      <c r="B804" s="194"/>
      <c r="C804" s="194"/>
      <c r="D804" s="194"/>
      <c r="E804" s="194"/>
      <c r="F804" s="194"/>
      <c r="G804" s="194"/>
      <c r="H804" s="194"/>
      <c r="I804" s="194"/>
      <c r="J804" s="194"/>
      <c r="K804" s="194"/>
      <c r="L804" s="194"/>
      <c r="M804" s="194"/>
      <c r="N804" s="194"/>
      <c r="O804" s="194"/>
      <c r="P804" s="194"/>
      <c r="Q804" s="194"/>
      <c r="R804" s="194"/>
      <c r="S804" s="194"/>
      <c r="T804" s="194"/>
      <c r="U804" s="194"/>
      <c r="V804" s="194"/>
      <c r="W804" s="194"/>
      <c r="X804" s="194"/>
      <c r="Y804" s="194"/>
      <c r="Z804" s="194"/>
      <c r="AA804" s="194"/>
      <c r="AB804" s="194"/>
      <c r="AC804" s="194"/>
      <c r="AD804" s="194"/>
      <c r="AE804" s="194"/>
      <c r="AF804" s="194"/>
      <c r="AG804" s="194"/>
      <c r="AH804" s="194"/>
      <c r="AI804" s="194"/>
      <c r="AJ804" s="194"/>
      <c r="AK804" s="194"/>
      <c r="AL804" s="194"/>
      <c r="AM804" s="194"/>
    </row>
    <row r="805" spans="1:39" ht="15.75" customHeight="1" x14ac:dyDescent="0.25">
      <c r="A805" s="194"/>
      <c r="B805" s="194"/>
      <c r="C805" s="194"/>
      <c r="D805" s="194"/>
      <c r="E805" s="194"/>
      <c r="F805" s="194"/>
      <c r="G805" s="194"/>
      <c r="H805" s="194"/>
      <c r="I805" s="194"/>
      <c r="J805" s="194"/>
      <c r="K805" s="194"/>
      <c r="L805" s="194"/>
      <c r="M805" s="194"/>
      <c r="N805" s="194"/>
      <c r="O805" s="194"/>
      <c r="P805" s="194"/>
      <c r="Q805" s="194"/>
      <c r="R805" s="194"/>
      <c r="S805" s="194"/>
      <c r="T805" s="194"/>
      <c r="U805" s="194"/>
      <c r="V805" s="194"/>
      <c r="W805" s="194"/>
      <c r="X805" s="194"/>
      <c r="Y805" s="194"/>
      <c r="Z805" s="194"/>
      <c r="AA805" s="194"/>
      <c r="AB805" s="194"/>
      <c r="AC805" s="194"/>
      <c r="AD805" s="194"/>
      <c r="AE805" s="194"/>
      <c r="AF805" s="194"/>
      <c r="AG805" s="194"/>
      <c r="AH805" s="194"/>
      <c r="AI805" s="194"/>
      <c r="AJ805" s="194"/>
      <c r="AK805" s="194"/>
      <c r="AL805" s="194"/>
      <c r="AM805" s="194"/>
    </row>
    <row r="806" spans="1:39" ht="15.75" customHeight="1" x14ac:dyDescent="0.25">
      <c r="A806" s="194"/>
      <c r="B806" s="194"/>
      <c r="C806" s="194"/>
      <c r="D806" s="194"/>
      <c r="E806" s="194"/>
      <c r="F806" s="194"/>
      <c r="G806" s="194"/>
      <c r="H806" s="194"/>
      <c r="I806" s="194"/>
      <c r="J806" s="194"/>
      <c r="K806" s="194"/>
      <c r="L806" s="194"/>
      <c r="M806" s="194"/>
      <c r="N806" s="194"/>
      <c r="O806" s="194"/>
      <c r="P806" s="194"/>
      <c r="Q806" s="194"/>
      <c r="R806" s="194"/>
      <c r="S806" s="194"/>
      <c r="T806" s="194"/>
      <c r="U806" s="194"/>
      <c r="V806" s="194"/>
      <c r="W806" s="194"/>
      <c r="X806" s="194"/>
      <c r="Y806" s="194"/>
      <c r="Z806" s="194"/>
      <c r="AA806" s="194"/>
      <c r="AB806" s="194"/>
      <c r="AC806" s="194"/>
      <c r="AD806" s="194"/>
      <c r="AE806" s="194"/>
      <c r="AF806" s="194"/>
      <c r="AG806" s="194"/>
      <c r="AH806" s="194"/>
      <c r="AI806" s="194"/>
      <c r="AJ806" s="194"/>
      <c r="AK806" s="194"/>
      <c r="AL806" s="194"/>
      <c r="AM806" s="194"/>
    </row>
    <row r="807" spans="1:39" ht="15.75" customHeight="1" x14ac:dyDescent="0.25">
      <c r="A807" s="194"/>
      <c r="B807" s="194"/>
      <c r="C807" s="194"/>
      <c r="D807" s="194"/>
      <c r="E807" s="194"/>
      <c r="F807" s="194"/>
      <c r="G807" s="194"/>
      <c r="H807" s="194"/>
      <c r="I807" s="194"/>
      <c r="J807" s="194"/>
      <c r="K807" s="194"/>
      <c r="L807" s="194"/>
      <c r="M807" s="194"/>
      <c r="N807" s="194"/>
      <c r="O807" s="194"/>
      <c r="P807" s="194"/>
      <c r="Q807" s="194"/>
      <c r="R807" s="194"/>
      <c r="S807" s="194"/>
      <c r="T807" s="194"/>
      <c r="U807" s="194"/>
      <c r="V807" s="194"/>
      <c r="W807" s="194"/>
      <c r="X807" s="194"/>
      <c r="Y807" s="194"/>
      <c r="Z807" s="194"/>
      <c r="AA807" s="194"/>
      <c r="AB807" s="194"/>
      <c r="AC807" s="194"/>
      <c r="AD807" s="194"/>
      <c r="AE807" s="194"/>
      <c r="AF807" s="194"/>
      <c r="AG807" s="194"/>
      <c r="AH807" s="194"/>
      <c r="AI807" s="194"/>
      <c r="AJ807" s="194"/>
      <c r="AK807" s="194"/>
      <c r="AL807" s="194"/>
      <c r="AM807" s="194"/>
    </row>
    <row r="808" spans="1:39" ht="15.75" customHeight="1" x14ac:dyDescent="0.25">
      <c r="A808" s="194"/>
      <c r="B808" s="194"/>
      <c r="C808" s="194"/>
      <c r="D808" s="194"/>
      <c r="E808" s="194"/>
      <c r="F808" s="194"/>
      <c r="G808" s="194"/>
      <c r="H808" s="194"/>
      <c r="I808" s="194"/>
      <c r="J808" s="194"/>
      <c r="K808" s="194"/>
      <c r="L808" s="194"/>
      <c r="M808" s="194"/>
      <c r="N808" s="194"/>
      <c r="O808" s="194"/>
      <c r="P808" s="194"/>
      <c r="Q808" s="194"/>
      <c r="R808" s="194"/>
      <c r="S808" s="194"/>
      <c r="T808" s="194"/>
      <c r="U808" s="194"/>
      <c r="V808" s="194"/>
      <c r="W808" s="194"/>
      <c r="X808" s="194"/>
      <c r="Y808" s="194"/>
      <c r="Z808" s="194"/>
      <c r="AA808" s="194"/>
      <c r="AB808" s="194"/>
      <c r="AC808" s="194"/>
      <c r="AD808" s="194"/>
      <c r="AE808" s="194"/>
      <c r="AF808" s="194"/>
      <c r="AG808" s="194"/>
      <c r="AH808" s="194"/>
      <c r="AI808" s="194"/>
      <c r="AJ808" s="194"/>
      <c r="AK808" s="194"/>
      <c r="AL808" s="194"/>
      <c r="AM808" s="194"/>
    </row>
    <row r="809" spans="1:39" ht="15.75" customHeight="1" x14ac:dyDescent="0.25">
      <c r="A809" s="194"/>
      <c r="B809" s="194"/>
      <c r="C809" s="194"/>
      <c r="D809" s="194"/>
      <c r="E809" s="194"/>
      <c r="F809" s="194"/>
      <c r="G809" s="194"/>
      <c r="H809" s="194"/>
      <c r="I809" s="194"/>
      <c r="J809" s="194"/>
      <c r="K809" s="194"/>
      <c r="L809" s="194"/>
      <c r="M809" s="194"/>
      <c r="N809" s="194"/>
      <c r="O809" s="194"/>
      <c r="P809" s="194"/>
      <c r="Q809" s="194"/>
      <c r="R809" s="194"/>
      <c r="S809" s="194"/>
      <c r="T809" s="194"/>
      <c r="U809" s="194"/>
      <c r="V809" s="194"/>
      <c r="W809" s="194"/>
      <c r="X809" s="194"/>
      <c r="Y809" s="194"/>
      <c r="Z809" s="194"/>
      <c r="AA809" s="194"/>
      <c r="AB809" s="194"/>
      <c r="AC809" s="194"/>
      <c r="AD809" s="194"/>
      <c r="AE809" s="194"/>
      <c r="AF809" s="194"/>
      <c r="AG809" s="194"/>
      <c r="AH809" s="194"/>
      <c r="AI809" s="194"/>
      <c r="AJ809" s="194"/>
      <c r="AK809" s="194"/>
      <c r="AL809" s="194"/>
      <c r="AM809" s="194"/>
    </row>
    <row r="810" spans="1:39" ht="15.75" customHeight="1" x14ac:dyDescent="0.25">
      <c r="A810" s="194"/>
      <c r="B810" s="194"/>
      <c r="C810" s="194"/>
      <c r="D810" s="194"/>
      <c r="E810" s="194"/>
      <c r="F810" s="194"/>
      <c r="G810" s="194"/>
      <c r="H810" s="194"/>
      <c r="I810" s="194"/>
      <c r="J810" s="194"/>
      <c r="K810" s="194"/>
      <c r="L810" s="194"/>
      <c r="M810" s="194"/>
      <c r="N810" s="194"/>
      <c r="O810" s="194"/>
      <c r="P810" s="194"/>
      <c r="Q810" s="194"/>
      <c r="R810" s="194"/>
      <c r="S810" s="194"/>
      <c r="T810" s="194"/>
      <c r="U810" s="194"/>
      <c r="V810" s="194"/>
      <c r="W810" s="194"/>
      <c r="X810" s="194"/>
      <c r="Y810" s="194"/>
      <c r="Z810" s="194"/>
      <c r="AA810" s="194"/>
      <c r="AB810" s="194"/>
      <c r="AC810" s="194"/>
      <c r="AD810" s="194"/>
      <c r="AE810" s="194"/>
      <c r="AF810" s="194"/>
      <c r="AG810" s="194"/>
      <c r="AH810" s="194"/>
      <c r="AI810" s="194"/>
      <c r="AJ810" s="194"/>
      <c r="AK810" s="194"/>
      <c r="AL810" s="194"/>
      <c r="AM810" s="194"/>
    </row>
    <row r="811" spans="1:39" ht="15.75" customHeight="1" x14ac:dyDescent="0.25">
      <c r="A811" s="194"/>
      <c r="B811" s="194"/>
      <c r="C811" s="194"/>
      <c r="D811" s="194"/>
      <c r="E811" s="194"/>
      <c r="F811" s="194"/>
      <c r="G811" s="194"/>
      <c r="H811" s="194"/>
      <c r="I811" s="194"/>
      <c r="J811" s="194"/>
      <c r="K811" s="194"/>
      <c r="L811" s="194"/>
      <c r="M811" s="194"/>
      <c r="N811" s="194"/>
      <c r="O811" s="194"/>
      <c r="P811" s="194"/>
      <c r="Q811" s="194"/>
      <c r="R811" s="194"/>
      <c r="S811" s="194"/>
      <c r="T811" s="194"/>
      <c r="U811" s="194"/>
      <c r="V811" s="194"/>
      <c r="W811" s="194"/>
      <c r="X811" s="194"/>
      <c r="Y811" s="194"/>
      <c r="Z811" s="194"/>
      <c r="AA811" s="194"/>
      <c r="AB811" s="194"/>
      <c r="AC811" s="194"/>
      <c r="AD811" s="194"/>
      <c r="AE811" s="194"/>
      <c r="AF811" s="194"/>
      <c r="AG811" s="194"/>
      <c r="AH811" s="194"/>
      <c r="AI811" s="194"/>
      <c r="AJ811" s="194"/>
      <c r="AK811" s="194"/>
      <c r="AL811" s="194"/>
      <c r="AM811" s="194"/>
    </row>
    <row r="812" spans="1:39" ht="15.75" customHeight="1" x14ac:dyDescent="0.25">
      <c r="A812" s="194"/>
      <c r="B812" s="194"/>
      <c r="C812" s="194"/>
      <c r="D812" s="194"/>
      <c r="E812" s="194"/>
      <c r="F812" s="194"/>
      <c r="G812" s="194"/>
      <c r="H812" s="194"/>
      <c r="I812" s="194"/>
      <c r="J812" s="194"/>
      <c r="K812" s="194"/>
      <c r="L812" s="194"/>
      <c r="M812" s="194"/>
      <c r="N812" s="194"/>
      <c r="O812" s="194"/>
      <c r="P812" s="194"/>
      <c r="Q812" s="194"/>
      <c r="R812" s="194"/>
      <c r="S812" s="194"/>
      <c r="T812" s="194"/>
      <c r="U812" s="194"/>
      <c r="V812" s="194"/>
      <c r="W812" s="194"/>
      <c r="X812" s="194"/>
      <c r="Y812" s="194"/>
      <c r="Z812" s="194"/>
      <c r="AA812" s="194"/>
      <c r="AB812" s="194"/>
      <c r="AC812" s="194"/>
      <c r="AD812" s="194"/>
      <c r="AE812" s="194"/>
      <c r="AF812" s="194"/>
      <c r="AG812" s="194"/>
      <c r="AH812" s="194"/>
      <c r="AI812" s="194"/>
      <c r="AJ812" s="194"/>
      <c r="AK812" s="194"/>
      <c r="AL812" s="194"/>
      <c r="AM812" s="194"/>
    </row>
    <row r="813" spans="1:39" ht="15.75" customHeight="1" x14ac:dyDescent="0.25">
      <c r="A813" s="194"/>
      <c r="B813" s="194"/>
      <c r="C813" s="194"/>
      <c r="D813" s="194"/>
      <c r="E813" s="194"/>
      <c r="F813" s="194"/>
      <c r="G813" s="194"/>
      <c r="H813" s="194"/>
      <c r="I813" s="194"/>
      <c r="J813" s="194"/>
      <c r="K813" s="194"/>
      <c r="L813" s="194"/>
      <c r="M813" s="194"/>
      <c r="N813" s="194"/>
      <c r="O813" s="194"/>
      <c r="P813" s="194"/>
      <c r="Q813" s="194"/>
      <c r="R813" s="194"/>
      <c r="S813" s="194"/>
      <c r="T813" s="194"/>
      <c r="U813" s="194"/>
      <c r="V813" s="194"/>
      <c r="W813" s="194"/>
      <c r="X813" s="194"/>
      <c r="Y813" s="194"/>
      <c r="Z813" s="194"/>
      <c r="AA813" s="194"/>
      <c r="AB813" s="194"/>
      <c r="AC813" s="194"/>
      <c r="AD813" s="194"/>
      <c r="AE813" s="194"/>
      <c r="AF813" s="194"/>
      <c r="AG813" s="194"/>
      <c r="AH813" s="194"/>
      <c r="AI813" s="194"/>
      <c r="AJ813" s="194"/>
      <c r="AK813" s="194"/>
      <c r="AL813" s="194"/>
      <c r="AM813" s="194"/>
    </row>
    <row r="814" spans="1:39" ht="15.75" customHeight="1" x14ac:dyDescent="0.25">
      <c r="A814" s="194"/>
      <c r="B814" s="194"/>
      <c r="C814" s="194"/>
      <c r="D814" s="194"/>
      <c r="E814" s="194"/>
      <c r="F814" s="194"/>
      <c r="G814" s="194"/>
      <c r="H814" s="194"/>
      <c r="I814" s="194"/>
      <c r="J814" s="194"/>
      <c r="K814" s="194"/>
      <c r="L814" s="194"/>
      <c r="M814" s="194"/>
      <c r="N814" s="194"/>
      <c r="O814" s="194"/>
      <c r="P814" s="194"/>
      <c r="Q814" s="194"/>
      <c r="R814" s="194"/>
      <c r="S814" s="194"/>
      <c r="T814" s="194"/>
      <c r="U814" s="194"/>
      <c r="V814" s="194"/>
      <c r="W814" s="194"/>
      <c r="X814" s="194"/>
      <c r="Y814" s="194"/>
      <c r="Z814" s="194"/>
      <c r="AA814" s="194"/>
      <c r="AB814" s="194"/>
      <c r="AC814" s="194"/>
      <c r="AD814" s="194"/>
      <c r="AE814" s="194"/>
      <c r="AF814" s="194"/>
      <c r="AG814" s="194"/>
      <c r="AH814" s="194"/>
      <c r="AI814" s="194"/>
      <c r="AJ814" s="194"/>
      <c r="AK814" s="194"/>
      <c r="AL814" s="194"/>
      <c r="AM814" s="194"/>
    </row>
    <row r="815" spans="1:39" ht="15.75" customHeight="1" x14ac:dyDescent="0.25">
      <c r="A815" s="194"/>
      <c r="B815" s="194"/>
      <c r="C815" s="194"/>
      <c r="D815" s="194"/>
      <c r="E815" s="194"/>
      <c r="F815" s="194"/>
      <c r="G815" s="194"/>
      <c r="H815" s="194"/>
      <c r="I815" s="194"/>
      <c r="J815" s="194"/>
      <c r="K815" s="194"/>
      <c r="L815" s="194"/>
      <c r="M815" s="194"/>
      <c r="N815" s="194"/>
      <c r="O815" s="194"/>
      <c r="P815" s="194"/>
      <c r="Q815" s="194"/>
      <c r="R815" s="194"/>
      <c r="S815" s="194"/>
      <c r="T815" s="194"/>
      <c r="U815" s="194"/>
      <c r="V815" s="194"/>
      <c r="W815" s="194"/>
      <c r="X815" s="194"/>
      <c r="Y815" s="194"/>
      <c r="Z815" s="194"/>
      <c r="AA815" s="194"/>
      <c r="AB815" s="194"/>
      <c r="AC815" s="194"/>
      <c r="AD815" s="194"/>
      <c r="AE815" s="194"/>
      <c r="AF815" s="194"/>
      <c r="AG815" s="194"/>
      <c r="AH815" s="194"/>
      <c r="AI815" s="194"/>
      <c r="AJ815" s="194"/>
      <c r="AK815" s="194"/>
      <c r="AL815" s="194"/>
      <c r="AM815" s="194"/>
    </row>
    <row r="816" spans="1:39" ht="15.75" customHeight="1" x14ac:dyDescent="0.25">
      <c r="A816" s="194"/>
      <c r="B816" s="194"/>
      <c r="C816" s="194"/>
      <c r="D816" s="194"/>
      <c r="E816" s="194"/>
      <c r="F816" s="194"/>
      <c r="G816" s="194"/>
      <c r="H816" s="194"/>
      <c r="I816" s="194"/>
      <c r="J816" s="194"/>
      <c r="K816" s="194"/>
      <c r="L816" s="194"/>
      <c r="M816" s="194"/>
      <c r="N816" s="194"/>
      <c r="O816" s="194"/>
      <c r="P816" s="194"/>
      <c r="Q816" s="194"/>
      <c r="R816" s="194"/>
      <c r="S816" s="194"/>
      <c r="T816" s="194"/>
      <c r="U816" s="194"/>
      <c r="V816" s="194"/>
      <c r="W816" s="194"/>
      <c r="X816" s="194"/>
      <c r="Y816" s="194"/>
      <c r="Z816" s="194"/>
      <c r="AA816" s="194"/>
      <c r="AB816" s="194"/>
      <c r="AC816" s="194"/>
      <c r="AD816" s="194"/>
      <c r="AE816" s="194"/>
      <c r="AF816" s="194"/>
      <c r="AG816" s="194"/>
      <c r="AH816" s="194"/>
      <c r="AI816" s="194"/>
      <c r="AJ816" s="194"/>
      <c r="AK816" s="194"/>
      <c r="AL816" s="194"/>
      <c r="AM816" s="194"/>
    </row>
    <row r="817" spans="1:39" ht="15.75" customHeight="1" x14ac:dyDescent="0.25">
      <c r="A817" s="194"/>
      <c r="B817" s="194"/>
      <c r="C817" s="194"/>
      <c r="D817" s="194"/>
      <c r="E817" s="194"/>
      <c r="F817" s="194"/>
      <c r="G817" s="194"/>
      <c r="H817" s="194"/>
      <c r="I817" s="194"/>
      <c r="J817" s="194"/>
      <c r="K817" s="194"/>
      <c r="L817" s="194"/>
      <c r="M817" s="194"/>
      <c r="N817" s="194"/>
      <c r="O817" s="194"/>
      <c r="P817" s="194"/>
      <c r="Q817" s="194"/>
      <c r="R817" s="194"/>
      <c r="S817" s="194"/>
      <c r="T817" s="194"/>
      <c r="U817" s="194"/>
      <c r="V817" s="194"/>
      <c r="W817" s="194"/>
      <c r="X817" s="194"/>
      <c r="Y817" s="194"/>
      <c r="Z817" s="194"/>
      <c r="AA817" s="194"/>
      <c r="AB817" s="194"/>
      <c r="AC817" s="194"/>
      <c r="AD817" s="194"/>
      <c r="AE817" s="194"/>
      <c r="AF817" s="194"/>
      <c r="AG817" s="194"/>
      <c r="AH817" s="194"/>
      <c r="AI817" s="194"/>
      <c r="AJ817" s="194"/>
      <c r="AK817" s="194"/>
      <c r="AL817" s="194"/>
      <c r="AM817" s="194"/>
    </row>
    <row r="818" spans="1:39" ht="15.75" customHeight="1" x14ac:dyDescent="0.25">
      <c r="A818" s="194"/>
      <c r="B818" s="194"/>
      <c r="C818" s="194"/>
      <c r="D818" s="194"/>
      <c r="E818" s="194"/>
      <c r="F818" s="194"/>
      <c r="G818" s="194"/>
      <c r="H818" s="194"/>
      <c r="I818" s="194"/>
      <c r="J818" s="194"/>
      <c r="K818" s="194"/>
      <c r="L818" s="194"/>
      <c r="M818" s="194"/>
      <c r="N818" s="194"/>
      <c r="O818" s="194"/>
      <c r="P818" s="194"/>
      <c r="Q818" s="194"/>
      <c r="R818" s="194"/>
      <c r="S818" s="194"/>
      <c r="T818" s="194"/>
      <c r="U818" s="194"/>
      <c r="V818" s="194"/>
      <c r="W818" s="194"/>
      <c r="X818" s="194"/>
      <c r="Y818" s="194"/>
      <c r="Z818" s="194"/>
      <c r="AA818" s="194"/>
      <c r="AB818" s="194"/>
      <c r="AC818" s="194"/>
      <c r="AD818" s="194"/>
      <c r="AE818" s="194"/>
      <c r="AF818" s="194"/>
      <c r="AG818" s="194"/>
      <c r="AH818" s="194"/>
      <c r="AI818" s="194"/>
      <c r="AJ818" s="194"/>
      <c r="AK818" s="194"/>
      <c r="AL818" s="194"/>
      <c r="AM818" s="194"/>
    </row>
    <row r="819" spans="1:39" ht="15.75" customHeight="1" x14ac:dyDescent="0.25">
      <c r="A819" s="194"/>
      <c r="B819" s="194"/>
      <c r="C819" s="194"/>
      <c r="D819" s="194"/>
      <c r="E819" s="194"/>
      <c r="F819" s="194"/>
      <c r="G819" s="194"/>
      <c r="H819" s="194"/>
      <c r="I819" s="194"/>
      <c r="J819" s="194"/>
      <c r="K819" s="194"/>
      <c r="L819" s="194"/>
      <c r="M819" s="194"/>
      <c r="N819" s="194"/>
      <c r="O819" s="194"/>
      <c r="P819" s="194"/>
      <c r="Q819" s="194"/>
      <c r="R819" s="194"/>
      <c r="S819" s="194"/>
      <c r="T819" s="194"/>
      <c r="U819" s="194"/>
      <c r="V819" s="194"/>
      <c r="W819" s="194"/>
      <c r="X819" s="194"/>
      <c r="Y819" s="194"/>
      <c r="Z819" s="194"/>
      <c r="AA819" s="194"/>
      <c r="AB819" s="194"/>
      <c r="AC819" s="194"/>
      <c r="AD819" s="194"/>
      <c r="AE819" s="194"/>
      <c r="AF819" s="194"/>
      <c r="AG819" s="194"/>
      <c r="AH819" s="194"/>
      <c r="AI819" s="194"/>
      <c r="AJ819" s="194"/>
      <c r="AK819" s="194"/>
      <c r="AL819" s="194"/>
      <c r="AM819" s="194"/>
    </row>
    <row r="820" spans="1:39" ht="15.75" customHeight="1" x14ac:dyDescent="0.25">
      <c r="A820" s="194"/>
      <c r="B820" s="194"/>
      <c r="C820" s="194"/>
      <c r="D820" s="194"/>
      <c r="E820" s="194"/>
      <c r="F820" s="194"/>
      <c r="G820" s="194"/>
      <c r="H820" s="194"/>
      <c r="I820" s="194"/>
      <c r="J820" s="194"/>
      <c r="K820" s="194"/>
      <c r="L820" s="194"/>
      <c r="M820" s="194"/>
      <c r="N820" s="194"/>
      <c r="O820" s="194"/>
      <c r="P820" s="194"/>
      <c r="Q820" s="194"/>
      <c r="R820" s="194"/>
      <c r="S820" s="194"/>
      <c r="T820" s="194"/>
      <c r="U820" s="194"/>
      <c r="V820" s="194"/>
      <c r="W820" s="194"/>
      <c r="X820" s="194"/>
      <c r="Y820" s="194"/>
      <c r="Z820" s="194"/>
      <c r="AA820" s="194"/>
      <c r="AB820" s="194"/>
      <c r="AC820" s="194"/>
      <c r="AD820" s="194"/>
      <c r="AE820" s="194"/>
      <c r="AF820" s="194"/>
      <c r="AG820" s="194"/>
      <c r="AH820" s="194"/>
      <c r="AI820" s="194"/>
      <c r="AJ820" s="194"/>
      <c r="AK820" s="194"/>
      <c r="AL820" s="194"/>
      <c r="AM820" s="194"/>
    </row>
    <row r="821" spans="1:39" ht="15.75" customHeight="1" x14ac:dyDescent="0.25">
      <c r="A821" s="194"/>
      <c r="B821" s="194"/>
      <c r="C821" s="194"/>
      <c r="D821" s="194"/>
      <c r="E821" s="194"/>
      <c r="F821" s="194"/>
      <c r="G821" s="194"/>
      <c r="H821" s="194"/>
      <c r="I821" s="194"/>
      <c r="J821" s="194"/>
      <c r="K821" s="194"/>
      <c r="L821" s="194"/>
      <c r="M821" s="194"/>
      <c r="N821" s="194"/>
      <c r="O821" s="194"/>
      <c r="P821" s="194"/>
      <c r="Q821" s="194"/>
      <c r="R821" s="194"/>
      <c r="S821" s="194"/>
      <c r="T821" s="194"/>
      <c r="U821" s="194"/>
      <c r="V821" s="194"/>
      <c r="W821" s="194"/>
      <c r="X821" s="194"/>
      <c r="Y821" s="194"/>
      <c r="Z821" s="194"/>
      <c r="AA821" s="194"/>
      <c r="AB821" s="194"/>
      <c r="AC821" s="194"/>
      <c r="AD821" s="194"/>
      <c r="AE821" s="194"/>
      <c r="AF821" s="194"/>
      <c r="AG821" s="194"/>
      <c r="AH821" s="194"/>
      <c r="AI821" s="194"/>
      <c r="AJ821" s="194"/>
      <c r="AK821" s="194"/>
      <c r="AL821" s="194"/>
      <c r="AM821" s="194"/>
    </row>
    <row r="822" spans="1:39" ht="15.75" customHeight="1" x14ac:dyDescent="0.25">
      <c r="A822" s="194"/>
      <c r="B822" s="194"/>
      <c r="C822" s="194"/>
      <c r="D822" s="194"/>
      <c r="E822" s="194"/>
      <c r="F822" s="194"/>
      <c r="G822" s="194"/>
      <c r="H822" s="194"/>
      <c r="I822" s="194"/>
      <c r="J822" s="194"/>
      <c r="K822" s="194"/>
      <c r="L822" s="194"/>
      <c r="M822" s="194"/>
      <c r="N822" s="194"/>
      <c r="O822" s="194"/>
      <c r="P822" s="194"/>
      <c r="Q822" s="194"/>
      <c r="R822" s="194"/>
      <c r="S822" s="194"/>
      <c r="T822" s="194"/>
      <c r="U822" s="194"/>
      <c r="V822" s="194"/>
      <c r="W822" s="194"/>
      <c r="X822" s="194"/>
      <c r="Y822" s="194"/>
      <c r="Z822" s="194"/>
      <c r="AA822" s="194"/>
      <c r="AB822" s="194"/>
      <c r="AC822" s="194"/>
      <c r="AD822" s="194"/>
      <c r="AE822" s="194"/>
      <c r="AF822" s="194"/>
      <c r="AG822" s="194"/>
      <c r="AH822" s="194"/>
      <c r="AI822" s="194"/>
      <c r="AJ822" s="194"/>
      <c r="AK822" s="194"/>
      <c r="AL822" s="194"/>
      <c r="AM822" s="194"/>
    </row>
    <row r="823" spans="1:39" ht="15.75" customHeight="1" x14ac:dyDescent="0.25">
      <c r="A823" s="194"/>
      <c r="B823" s="194"/>
      <c r="C823" s="194"/>
      <c r="D823" s="194"/>
      <c r="E823" s="194"/>
      <c r="F823" s="194"/>
      <c r="G823" s="194"/>
      <c r="H823" s="194"/>
      <c r="I823" s="194"/>
      <c r="J823" s="194"/>
      <c r="K823" s="194"/>
      <c r="L823" s="194"/>
      <c r="M823" s="194"/>
      <c r="N823" s="194"/>
      <c r="O823" s="194"/>
      <c r="P823" s="194"/>
      <c r="Q823" s="194"/>
      <c r="R823" s="194"/>
      <c r="S823" s="194"/>
      <c r="T823" s="194"/>
      <c r="U823" s="194"/>
      <c r="V823" s="194"/>
      <c r="W823" s="194"/>
      <c r="X823" s="194"/>
      <c r="Y823" s="194"/>
      <c r="Z823" s="194"/>
      <c r="AA823" s="194"/>
      <c r="AB823" s="194"/>
      <c r="AC823" s="194"/>
      <c r="AD823" s="194"/>
      <c r="AE823" s="194"/>
      <c r="AF823" s="194"/>
      <c r="AG823" s="194"/>
      <c r="AH823" s="194"/>
      <c r="AI823" s="194"/>
      <c r="AJ823" s="194"/>
      <c r="AK823" s="194"/>
      <c r="AL823" s="194"/>
      <c r="AM823" s="194"/>
    </row>
    <row r="824" spans="1:39" ht="15.75" customHeight="1" x14ac:dyDescent="0.25">
      <c r="A824" s="194"/>
      <c r="B824" s="194"/>
      <c r="C824" s="194"/>
      <c r="D824" s="194"/>
      <c r="E824" s="194"/>
      <c r="F824" s="194"/>
      <c r="G824" s="194"/>
      <c r="H824" s="194"/>
      <c r="I824" s="194"/>
      <c r="J824" s="194"/>
      <c r="K824" s="194"/>
      <c r="L824" s="194"/>
      <c r="M824" s="194"/>
      <c r="N824" s="194"/>
      <c r="O824" s="194"/>
      <c r="P824" s="194"/>
      <c r="Q824" s="194"/>
      <c r="R824" s="194"/>
      <c r="S824" s="194"/>
      <c r="T824" s="194"/>
      <c r="U824" s="194"/>
      <c r="V824" s="194"/>
      <c r="W824" s="194"/>
      <c r="X824" s="194"/>
      <c r="Y824" s="194"/>
      <c r="Z824" s="194"/>
      <c r="AA824" s="194"/>
      <c r="AB824" s="194"/>
      <c r="AC824" s="194"/>
      <c r="AD824" s="194"/>
      <c r="AE824" s="194"/>
      <c r="AF824" s="194"/>
      <c r="AG824" s="194"/>
      <c r="AH824" s="194"/>
      <c r="AI824" s="194"/>
      <c r="AJ824" s="194"/>
      <c r="AK824" s="194"/>
      <c r="AL824" s="194"/>
      <c r="AM824" s="194"/>
    </row>
    <row r="825" spans="1:39" ht="15.75" customHeight="1" x14ac:dyDescent="0.25">
      <c r="A825" s="194"/>
      <c r="B825" s="194"/>
      <c r="C825" s="194"/>
      <c r="D825" s="194"/>
      <c r="E825" s="194"/>
      <c r="F825" s="194"/>
      <c r="G825" s="194"/>
      <c r="H825" s="194"/>
      <c r="I825" s="194"/>
      <c r="J825" s="194"/>
      <c r="K825" s="194"/>
      <c r="L825" s="194"/>
      <c r="M825" s="194"/>
      <c r="N825" s="194"/>
      <c r="O825" s="194"/>
      <c r="P825" s="194"/>
      <c r="Q825" s="194"/>
      <c r="R825" s="194"/>
      <c r="S825" s="194"/>
      <c r="T825" s="194"/>
      <c r="U825" s="194"/>
      <c r="V825" s="194"/>
      <c r="W825" s="194"/>
      <c r="X825" s="194"/>
      <c r="Y825" s="194"/>
      <c r="Z825" s="194"/>
      <c r="AA825" s="194"/>
      <c r="AB825" s="194"/>
      <c r="AC825" s="194"/>
      <c r="AD825" s="194"/>
      <c r="AE825" s="194"/>
      <c r="AF825" s="194"/>
      <c r="AG825" s="194"/>
      <c r="AH825" s="194"/>
      <c r="AI825" s="194"/>
      <c r="AJ825" s="194"/>
      <c r="AK825" s="194"/>
      <c r="AL825" s="194"/>
      <c r="AM825" s="194"/>
    </row>
    <row r="826" spans="1:39" ht="15.75" customHeight="1" x14ac:dyDescent="0.25">
      <c r="A826" s="194"/>
      <c r="B826" s="194"/>
      <c r="C826" s="194"/>
      <c r="D826" s="194"/>
      <c r="E826" s="194"/>
      <c r="F826" s="194"/>
      <c r="G826" s="194"/>
      <c r="H826" s="194"/>
      <c r="I826" s="194"/>
      <c r="J826" s="194"/>
      <c r="K826" s="194"/>
      <c r="L826" s="194"/>
      <c r="M826" s="194"/>
      <c r="N826" s="194"/>
      <c r="O826" s="194"/>
      <c r="P826" s="194"/>
      <c r="Q826" s="194"/>
      <c r="R826" s="194"/>
      <c r="S826" s="194"/>
      <c r="T826" s="194"/>
      <c r="U826" s="194"/>
      <c r="V826" s="194"/>
      <c r="W826" s="194"/>
      <c r="X826" s="194"/>
      <c r="Y826" s="194"/>
      <c r="Z826" s="194"/>
      <c r="AA826" s="194"/>
      <c r="AB826" s="194"/>
      <c r="AC826" s="194"/>
      <c r="AD826" s="194"/>
      <c r="AE826" s="194"/>
      <c r="AF826" s="194"/>
      <c r="AG826" s="194"/>
      <c r="AH826" s="194"/>
      <c r="AI826" s="194"/>
      <c r="AJ826" s="194"/>
      <c r="AK826" s="194"/>
      <c r="AL826" s="194"/>
      <c r="AM826" s="194"/>
    </row>
    <row r="827" spans="1:39" ht="15.75" customHeight="1" x14ac:dyDescent="0.25">
      <c r="A827" s="194"/>
      <c r="B827" s="194"/>
      <c r="C827" s="194"/>
      <c r="D827" s="194"/>
      <c r="E827" s="194"/>
      <c r="F827" s="194"/>
      <c r="G827" s="194"/>
      <c r="H827" s="194"/>
      <c r="I827" s="194"/>
      <c r="J827" s="194"/>
      <c r="K827" s="194"/>
      <c r="L827" s="194"/>
      <c r="M827" s="194"/>
      <c r="N827" s="194"/>
      <c r="O827" s="194"/>
      <c r="P827" s="194"/>
      <c r="Q827" s="194"/>
      <c r="R827" s="194"/>
      <c r="S827" s="194"/>
      <c r="T827" s="194"/>
      <c r="U827" s="194"/>
      <c r="V827" s="194"/>
      <c r="W827" s="194"/>
      <c r="X827" s="194"/>
      <c r="Y827" s="194"/>
      <c r="Z827" s="194"/>
      <c r="AA827" s="194"/>
      <c r="AB827" s="194"/>
      <c r="AC827" s="194"/>
      <c r="AD827" s="194"/>
      <c r="AE827" s="194"/>
      <c r="AF827" s="194"/>
      <c r="AG827" s="194"/>
      <c r="AH827" s="194"/>
      <c r="AI827" s="194"/>
      <c r="AJ827" s="194"/>
      <c r="AK827" s="194"/>
      <c r="AL827" s="194"/>
      <c r="AM827" s="194"/>
    </row>
    <row r="828" spans="1:39" ht="15.75" customHeight="1" x14ac:dyDescent="0.25">
      <c r="A828" s="194"/>
      <c r="B828" s="194"/>
      <c r="C828" s="194"/>
      <c r="D828" s="194"/>
      <c r="E828" s="194"/>
      <c r="F828" s="194"/>
      <c r="G828" s="194"/>
      <c r="H828" s="194"/>
      <c r="I828" s="194"/>
      <c r="J828" s="194"/>
      <c r="K828" s="194"/>
      <c r="L828" s="194"/>
      <c r="M828" s="194"/>
      <c r="N828" s="194"/>
      <c r="O828" s="194"/>
      <c r="P828" s="194"/>
      <c r="Q828" s="194"/>
      <c r="R828" s="194"/>
      <c r="S828" s="194"/>
      <c r="T828" s="194"/>
      <c r="U828" s="194"/>
      <c r="V828" s="194"/>
      <c r="W828" s="194"/>
      <c r="X828" s="194"/>
      <c r="Y828" s="194"/>
      <c r="Z828" s="194"/>
      <c r="AA828" s="194"/>
      <c r="AB828" s="194"/>
      <c r="AC828" s="194"/>
      <c r="AD828" s="194"/>
      <c r="AE828" s="194"/>
      <c r="AF828" s="194"/>
      <c r="AG828" s="194"/>
      <c r="AH828" s="194"/>
      <c r="AI828" s="194"/>
      <c r="AJ828" s="194"/>
      <c r="AK828" s="194"/>
      <c r="AL828" s="194"/>
      <c r="AM828" s="194"/>
    </row>
    <row r="829" spans="1:39" ht="15.75" customHeight="1" x14ac:dyDescent="0.25">
      <c r="A829" s="194"/>
      <c r="B829" s="194"/>
      <c r="C829" s="194"/>
      <c r="D829" s="194"/>
      <c r="E829" s="194"/>
      <c r="F829" s="194"/>
      <c r="G829" s="194"/>
      <c r="H829" s="194"/>
      <c r="I829" s="194"/>
      <c r="J829" s="194"/>
      <c r="K829" s="194"/>
      <c r="L829" s="194"/>
      <c r="M829" s="194"/>
      <c r="N829" s="194"/>
      <c r="O829" s="194"/>
      <c r="P829" s="194"/>
      <c r="Q829" s="194"/>
      <c r="R829" s="194"/>
      <c r="S829" s="194"/>
      <c r="T829" s="194"/>
      <c r="U829" s="194"/>
      <c r="V829" s="194"/>
      <c r="W829" s="194"/>
      <c r="X829" s="194"/>
      <c r="Y829" s="194"/>
      <c r="Z829" s="194"/>
      <c r="AA829" s="194"/>
      <c r="AB829" s="194"/>
      <c r="AC829" s="194"/>
      <c r="AD829" s="194"/>
      <c r="AE829" s="194"/>
      <c r="AF829" s="194"/>
      <c r="AG829" s="194"/>
      <c r="AH829" s="194"/>
      <c r="AI829" s="194"/>
      <c r="AJ829" s="194"/>
      <c r="AK829" s="194"/>
      <c r="AL829" s="194"/>
      <c r="AM829" s="194"/>
    </row>
    <row r="830" spans="1:39" ht="15.75" customHeight="1" x14ac:dyDescent="0.25">
      <c r="A830" s="194"/>
      <c r="B830" s="194"/>
      <c r="C830" s="194"/>
      <c r="D830" s="194"/>
      <c r="E830" s="194"/>
      <c r="F830" s="194"/>
      <c r="G830" s="194"/>
      <c r="H830" s="194"/>
      <c r="I830" s="194"/>
      <c r="J830" s="194"/>
      <c r="K830" s="194"/>
      <c r="L830" s="194"/>
      <c r="M830" s="194"/>
      <c r="N830" s="194"/>
      <c r="O830" s="194"/>
      <c r="P830" s="194"/>
      <c r="Q830" s="194"/>
      <c r="R830" s="194"/>
      <c r="S830" s="194"/>
      <c r="T830" s="194"/>
      <c r="U830" s="194"/>
      <c r="V830" s="194"/>
      <c r="W830" s="194"/>
      <c r="X830" s="194"/>
      <c r="Y830" s="194"/>
      <c r="Z830" s="194"/>
      <c r="AA830" s="194"/>
      <c r="AB830" s="194"/>
      <c r="AC830" s="194"/>
      <c r="AD830" s="194"/>
      <c r="AE830" s="194"/>
      <c r="AF830" s="194"/>
      <c r="AG830" s="194"/>
      <c r="AH830" s="194"/>
      <c r="AI830" s="194"/>
      <c r="AJ830" s="194"/>
      <c r="AK830" s="194"/>
      <c r="AL830" s="194"/>
      <c r="AM830" s="194"/>
    </row>
    <row r="831" spans="1:39" ht="15.75" customHeight="1" x14ac:dyDescent="0.25">
      <c r="A831" s="194"/>
      <c r="B831" s="194"/>
      <c r="C831" s="194"/>
      <c r="D831" s="194"/>
      <c r="E831" s="194"/>
      <c r="F831" s="194"/>
      <c r="G831" s="194"/>
      <c r="H831" s="194"/>
      <c r="I831" s="194"/>
      <c r="J831" s="194"/>
      <c r="K831" s="194"/>
      <c r="L831" s="194"/>
      <c r="M831" s="194"/>
      <c r="N831" s="194"/>
      <c r="O831" s="194"/>
      <c r="P831" s="194"/>
      <c r="Q831" s="194"/>
      <c r="R831" s="194"/>
      <c r="S831" s="194"/>
      <c r="T831" s="194"/>
      <c r="U831" s="194"/>
      <c r="V831" s="194"/>
      <c r="W831" s="194"/>
      <c r="X831" s="194"/>
      <c r="Y831" s="194"/>
      <c r="Z831" s="194"/>
      <c r="AA831" s="194"/>
      <c r="AB831" s="194"/>
      <c r="AC831" s="194"/>
      <c r="AD831" s="194"/>
      <c r="AE831" s="194"/>
      <c r="AF831" s="194"/>
      <c r="AG831" s="194"/>
      <c r="AH831" s="194"/>
      <c r="AI831" s="194"/>
      <c r="AJ831" s="194"/>
      <c r="AK831" s="194"/>
      <c r="AL831" s="194"/>
      <c r="AM831" s="194"/>
    </row>
    <row r="832" spans="1:39" ht="15.75" customHeight="1" x14ac:dyDescent="0.25">
      <c r="A832" s="194"/>
      <c r="B832" s="194"/>
      <c r="C832" s="194"/>
      <c r="D832" s="194"/>
      <c r="E832" s="194"/>
      <c r="F832" s="194"/>
      <c r="G832" s="194"/>
      <c r="H832" s="194"/>
      <c r="I832" s="194"/>
      <c r="J832" s="194"/>
      <c r="K832" s="194"/>
      <c r="L832" s="194"/>
      <c r="M832" s="194"/>
      <c r="N832" s="194"/>
      <c r="O832" s="194"/>
      <c r="P832" s="194"/>
      <c r="Q832" s="194"/>
      <c r="R832" s="194"/>
      <c r="S832" s="194"/>
      <c r="T832" s="194"/>
      <c r="U832" s="194"/>
      <c r="V832" s="194"/>
      <c r="W832" s="194"/>
      <c r="X832" s="194"/>
      <c r="Y832" s="194"/>
      <c r="Z832" s="194"/>
      <c r="AA832" s="194"/>
      <c r="AB832" s="194"/>
      <c r="AC832" s="194"/>
      <c r="AD832" s="194"/>
      <c r="AE832" s="194"/>
      <c r="AF832" s="194"/>
      <c r="AG832" s="194"/>
      <c r="AH832" s="194"/>
      <c r="AI832" s="194"/>
      <c r="AJ832" s="194"/>
      <c r="AK832" s="194"/>
      <c r="AL832" s="194"/>
      <c r="AM832" s="194"/>
    </row>
    <row r="833" spans="1:39" ht="15.75" customHeight="1" x14ac:dyDescent="0.25">
      <c r="A833" s="194"/>
      <c r="B833" s="194"/>
      <c r="C833" s="194"/>
      <c r="D833" s="194"/>
      <c r="E833" s="194"/>
      <c r="F833" s="194"/>
      <c r="G833" s="194"/>
      <c r="H833" s="194"/>
      <c r="I833" s="194"/>
      <c r="J833" s="194"/>
      <c r="K833" s="194"/>
      <c r="L833" s="194"/>
      <c r="M833" s="194"/>
      <c r="N833" s="194"/>
      <c r="O833" s="194"/>
      <c r="P833" s="194"/>
      <c r="Q833" s="194"/>
      <c r="R833" s="194"/>
      <c r="S833" s="194"/>
      <c r="T833" s="194"/>
      <c r="U833" s="194"/>
      <c r="V833" s="194"/>
      <c r="W833" s="194"/>
      <c r="X833" s="194"/>
      <c r="Y833" s="194"/>
      <c r="Z833" s="194"/>
      <c r="AA833" s="194"/>
      <c r="AB833" s="194"/>
      <c r="AC833" s="194"/>
      <c r="AD833" s="194"/>
      <c r="AE833" s="194"/>
      <c r="AF833" s="194"/>
      <c r="AG833" s="194"/>
      <c r="AH833" s="194"/>
      <c r="AI833" s="194"/>
      <c r="AJ833" s="194"/>
      <c r="AK833" s="194"/>
      <c r="AL833" s="194"/>
      <c r="AM833" s="194"/>
    </row>
    <row r="834" spans="1:39" ht="15.75" customHeight="1" x14ac:dyDescent="0.25">
      <c r="A834" s="194"/>
      <c r="B834" s="194"/>
      <c r="C834" s="194"/>
      <c r="D834" s="194"/>
      <c r="E834" s="194"/>
      <c r="F834" s="194"/>
      <c r="G834" s="194"/>
      <c r="H834" s="194"/>
      <c r="I834" s="194"/>
      <c r="J834" s="194"/>
      <c r="K834" s="194"/>
      <c r="L834" s="194"/>
      <c r="M834" s="194"/>
      <c r="N834" s="194"/>
      <c r="O834" s="194"/>
      <c r="P834" s="194"/>
      <c r="Q834" s="194"/>
      <c r="R834" s="194"/>
      <c r="S834" s="194"/>
      <c r="T834" s="194"/>
      <c r="U834" s="194"/>
      <c r="V834" s="194"/>
      <c r="W834" s="194"/>
      <c r="X834" s="194"/>
      <c r="Y834" s="194"/>
      <c r="Z834" s="194"/>
      <c r="AA834" s="194"/>
      <c r="AB834" s="194"/>
      <c r="AC834" s="194"/>
      <c r="AD834" s="194"/>
      <c r="AE834" s="194"/>
      <c r="AF834" s="194"/>
      <c r="AG834" s="194"/>
      <c r="AH834" s="194"/>
      <c r="AI834" s="194"/>
      <c r="AJ834" s="194"/>
      <c r="AK834" s="194"/>
      <c r="AL834" s="194"/>
      <c r="AM834" s="194"/>
    </row>
    <row r="835" spans="1:39" ht="15.75" customHeight="1" x14ac:dyDescent="0.25">
      <c r="A835" s="194"/>
      <c r="B835" s="194"/>
      <c r="C835" s="194"/>
      <c r="D835" s="194"/>
      <c r="E835" s="194"/>
      <c r="F835" s="194"/>
      <c r="G835" s="194"/>
      <c r="H835" s="194"/>
      <c r="I835" s="194"/>
      <c r="J835" s="194"/>
      <c r="K835" s="194"/>
      <c r="L835" s="194"/>
      <c r="M835" s="194"/>
      <c r="N835" s="194"/>
      <c r="O835" s="194"/>
      <c r="P835" s="194"/>
      <c r="Q835" s="194"/>
      <c r="R835" s="194"/>
      <c r="S835" s="194"/>
      <c r="T835" s="194"/>
      <c r="U835" s="194"/>
      <c r="V835" s="194"/>
      <c r="W835" s="194"/>
      <c r="X835" s="194"/>
      <c r="Y835" s="194"/>
      <c r="Z835" s="194"/>
      <c r="AA835" s="194"/>
      <c r="AB835" s="194"/>
      <c r="AC835" s="194"/>
      <c r="AD835" s="194"/>
      <c r="AE835" s="194"/>
      <c r="AF835" s="194"/>
      <c r="AG835" s="194"/>
      <c r="AH835" s="194"/>
      <c r="AI835" s="194"/>
      <c r="AJ835" s="194"/>
      <c r="AK835" s="194"/>
      <c r="AL835" s="194"/>
      <c r="AM835" s="194"/>
    </row>
    <row r="836" spans="1:39" ht="15.75" customHeight="1" x14ac:dyDescent="0.25">
      <c r="A836" s="194"/>
      <c r="B836" s="194"/>
      <c r="C836" s="194"/>
      <c r="D836" s="194"/>
      <c r="E836" s="194"/>
      <c r="F836" s="194"/>
      <c r="G836" s="194"/>
      <c r="H836" s="194"/>
      <c r="I836" s="194"/>
      <c r="J836" s="194"/>
      <c r="K836" s="194"/>
      <c r="L836" s="194"/>
      <c r="M836" s="194"/>
      <c r="N836" s="194"/>
      <c r="O836" s="194"/>
      <c r="P836" s="194"/>
      <c r="Q836" s="194"/>
      <c r="R836" s="194"/>
      <c r="S836" s="194"/>
      <c r="T836" s="194"/>
      <c r="U836" s="194"/>
      <c r="V836" s="194"/>
      <c r="W836" s="194"/>
      <c r="X836" s="194"/>
      <c r="Y836" s="194"/>
      <c r="Z836" s="194"/>
      <c r="AA836" s="194"/>
      <c r="AB836" s="194"/>
      <c r="AC836" s="194"/>
      <c r="AD836" s="194"/>
      <c r="AE836" s="194"/>
      <c r="AF836" s="194"/>
      <c r="AG836" s="194"/>
      <c r="AH836" s="194"/>
      <c r="AI836" s="194"/>
      <c r="AJ836" s="194"/>
      <c r="AK836" s="194"/>
      <c r="AL836" s="194"/>
      <c r="AM836" s="194"/>
    </row>
    <row r="837" spans="1:39" ht="15.75" customHeight="1" x14ac:dyDescent="0.25">
      <c r="A837" s="194"/>
      <c r="B837" s="194"/>
      <c r="C837" s="194"/>
      <c r="D837" s="194"/>
      <c r="E837" s="194"/>
      <c r="F837" s="194"/>
      <c r="G837" s="194"/>
      <c r="H837" s="194"/>
      <c r="I837" s="194"/>
      <c r="J837" s="194"/>
      <c r="K837" s="194"/>
      <c r="L837" s="194"/>
      <c r="M837" s="194"/>
      <c r="N837" s="194"/>
      <c r="O837" s="194"/>
      <c r="P837" s="194"/>
      <c r="Q837" s="194"/>
      <c r="R837" s="194"/>
      <c r="S837" s="194"/>
      <c r="T837" s="194"/>
      <c r="U837" s="194"/>
      <c r="V837" s="194"/>
      <c r="W837" s="194"/>
      <c r="X837" s="194"/>
      <c r="Y837" s="194"/>
      <c r="Z837" s="194"/>
      <c r="AA837" s="194"/>
      <c r="AB837" s="194"/>
      <c r="AC837" s="194"/>
      <c r="AD837" s="194"/>
      <c r="AE837" s="194"/>
      <c r="AF837" s="194"/>
      <c r="AG837" s="194"/>
      <c r="AH837" s="194"/>
      <c r="AI837" s="194"/>
      <c r="AJ837" s="194"/>
      <c r="AK837" s="194"/>
      <c r="AL837" s="194"/>
      <c r="AM837" s="194"/>
    </row>
    <row r="838" spans="1:39" ht="15.75" customHeight="1" x14ac:dyDescent="0.25">
      <c r="A838" s="194"/>
      <c r="B838" s="194"/>
      <c r="C838" s="194"/>
      <c r="D838" s="194"/>
      <c r="E838" s="194"/>
      <c r="F838" s="194"/>
      <c r="G838" s="194"/>
      <c r="H838" s="194"/>
      <c r="I838" s="194"/>
      <c r="J838" s="194"/>
      <c r="K838" s="194"/>
      <c r="L838" s="194"/>
      <c r="M838" s="194"/>
      <c r="N838" s="194"/>
      <c r="O838" s="194"/>
      <c r="P838" s="194"/>
      <c r="Q838" s="194"/>
      <c r="R838" s="194"/>
      <c r="S838" s="194"/>
      <c r="T838" s="194"/>
      <c r="U838" s="194"/>
      <c r="V838" s="194"/>
      <c r="W838" s="194"/>
      <c r="X838" s="194"/>
      <c r="Y838" s="194"/>
      <c r="Z838" s="194"/>
      <c r="AA838" s="194"/>
      <c r="AB838" s="194"/>
      <c r="AC838" s="194"/>
      <c r="AD838" s="194"/>
      <c r="AE838" s="194"/>
      <c r="AF838" s="194"/>
      <c r="AG838" s="194"/>
      <c r="AH838" s="194"/>
      <c r="AI838" s="194"/>
      <c r="AJ838" s="194"/>
      <c r="AK838" s="194"/>
      <c r="AL838" s="194"/>
      <c r="AM838" s="194"/>
    </row>
    <row r="839" spans="1:39" ht="15.75" customHeight="1" x14ac:dyDescent="0.25">
      <c r="A839" s="194"/>
      <c r="B839" s="194"/>
      <c r="C839" s="194"/>
      <c r="D839" s="194"/>
      <c r="E839" s="194"/>
      <c r="F839" s="194"/>
      <c r="G839" s="194"/>
      <c r="H839" s="194"/>
      <c r="I839" s="194"/>
      <c r="J839" s="194"/>
      <c r="K839" s="194"/>
      <c r="L839" s="194"/>
      <c r="M839" s="194"/>
      <c r="N839" s="194"/>
      <c r="O839" s="194"/>
      <c r="P839" s="194"/>
      <c r="Q839" s="194"/>
      <c r="R839" s="194"/>
      <c r="S839" s="194"/>
      <c r="T839" s="194"/>
      <c r="U839" s="194"/>
      <c r="V839" s="194"/>
      <c r="W839" s="194"/>
      <c r="X839" s="194"/>
      <c r="Y839" s="194"/>
      <c r="Z839" s="194"/>
      <c r="AA839" s="194"/>
      <c r="AB839" s="194"/>
      <c r="AC839" s="194"/>
      <c r="AD839" s="194"/>
      <c r="AE839" s="194"/>
      <c r="AF839" s="194"/>
      <c r="AG839" s="194"/>
      <c r="AH839" s="194"/>
      <c r="AI839" s="194"/>
      <c r="AJ839" s="194"/>
      <c r="AK839" s="194"/>
      <c r="AL839" s="194"/>
      <c r="AM839" s="194"/>
    </row>
    <row r="840" spans="1:39" ht="15.75" customHeight="1" x14ac:dyDescent="0.25">
      <c r="A840" s="194"/>
      <c r="B840" s="194"/>
      <c r="C840" s="194"/>
      <c r="D840" s="194"/>
      <c r="E840" s="194"/>
      <c r="F840" s="194"/>
      <c r="G840" s="194"/>
      <c r="H840" s="194"/>
      <c r="I840" s="194"/>
      <c r="J840" s="194"/>
      <c r="K840" s="194"/>
      <c r="L840" s="194"/>
      <c r="M840" s="194"/>
      <c r="N840" s="194"/>
      <c r="O840" s="194"/>
      <c r="P840" s="194"/>
      <c r="Q840" s="194"/>
      <c r="R840" s="194"/>
      <c r="S840" s="194"/>
      <c r="T840" s="194"/>
      <c r="U840" s="194"/>
      <c r="V840" s="194"/>
      <c r="W840" s="194"/>
      <c r="X840" s="194"/>
      <c r="Y840" s="194"/>
      <c r="Z840" s="194"/>
      <c r="AA840" s="194"/>
      <c r="AB840" s="194"/>
      <c r="AC840" s="194"/>
      <c r="AD840" s="194"/>
      <c r="AE840" s="194"/>
      <c r="AF840" s="194"/>
      <c r="AG840" s="194"/>
      <c r="AH840" s="194"/>
      <c r="AI840" s="194"/>
      <c r="AJ840" s="194"/>
      <c r="AK840" s="194"/>
      <c r="AL840" s="194"/>
      <c r="AM840" s="194"/>
    </row>
    <row r="841" spans="1:39" ht="15.75" customHeight="1" x14ac:dyDescent="0.25">
      <c r="A841" s="194"/>
      <c r="B841" s="194"/>
      <c r="C841" s="194"/>
      <c r="D841" s="194"/>
      <c r="E841" s="194"/>
      <c r="F841" s="194"/>
      <c r="G841" s="194"/>
      <c r="H841" s="194"/>
      <c r="I841" s="194"/>
      <c r="J841" s="194"/>
      <c r="K841" s="194"/>
      <c r="L841" s="194"/>
      <c r="M841" s="194"/>
      <c r="N841" s="194"/>
      <c r="O841" s="194"/>
      <c r="P841" s="194"/>
      <c r="Q841" s="194"/>
      <c r="R841" s="194"/>
      <c r="S841" s="194"/>
      <c r="T841" s="194"/>
      <c r="U841" s="194"/>
      <c r="V841" s="194"/>
      <c r="W841" s="194"/>
      <c r="X841" s="194"/>
      <c r="Y841" s="194"/>
      <c r="Z841" s="194"/>
      <c r="AA841" s="194"/>
      <c r="AB841" s="194"/>
      <c r="AC841" s="194"/>
      <c r="AD841" s="194"/>
      <c r="AE841" s="194"/>
      <c r="AF841" s="194"/>
      <c r="AG841" s="194"/>
      <c r="AH841" s="194"/>
      <c r="AI841" s="194"/>
      <c r="AJ841" s="194"/>
      <c r="AK841" s="194"/>
      <c r="AL841" s="194"/>
      <c r="AM841" s="194"/>
    </row>
    <row r="842" spans="1:39" ht="15.75" customHeight="1" x14ac:dyDescent="0.25">
      <c r="A842" s="194"/>
      <c r="B842" s="194"/>
      <c r="C842" s="194"/>
      <c r="D842" s="194"/>
      <c r="E842" s="194"/>
      <c r="F842" s="194"/>
      <c r="G842" s="194"/>
      <c r="H842" s="194"/>
      <c r="I842" s="194"/>
      <c r="J842" s="194"/>
      <c r="K842" s="194"/>
      <c r="L842" s="194"/>
      <c r="M842" s="194"/>
      <c r="N842" s="194"/>
      <c r="O842" s="194"/>
      <c r="P842" s="194"/>
      <c r="Q842" s="194"/>
      <c r="R842" s="194"/>
      <c r="S842" s="194"/>
      <c r="T842" s="194"/>
      <c r="U842" s="194"/>
      <c r="V842" s="194"/>
      <c r="W842" s="194"/>
      <c r="X842" s="194"/>
      <c r="Y842" s="194"/>
      <c r="Z842" s="194"/>
      <c r="AA842" s="194"/>
      <c r="AB842" s="194"/>
      <c r="AC842" s="194"/>
      <c r="AD842" s="194"/>
      <c r="AE842" s="194"/>
      <c r="AF842" s="194"/>
      <c r="AG842" s="194"/>
      <c r="AH842" s="194"/>
      <c r="AI842" s="194"/>
      <c r="AJ842" s="194"/>
      <c r="AK842" s="194"/>
      <c r="AL842" s="194"/>
      <c r="AM842" s="194"/>
    </row>
    <row r="843" spans="1:39" ht="15.75" customHeight="1" x14ac:dyDescent="0.25">
      <c r="A843" s="194"/>
      <c r="B843" s="194"/>
      <c r="C843" s="194"/>
      <c r="D843" s="194"/>
      <c r="E843" s="194"/>
      <c r="F843" s="194"/>
      <c r="G843" s="194"/>
      <c r="H843" s="194"/>
      <c r="I843" s="194"/>
      <c r="J843" s="194"/>
      <c r="K843" s="194"/>
      <c r="L843" s="194"/>
      <c r="M843" s="194"/>
      <c r="N843" s="194"/>
      <c r="O843" s="194"/>
      <c r="P843" s="194"/>
      <c r="Q843" s="194"/>
      <c r="R843" s="194"/>
      <c r="S843" s="194"/>
      <c r="T843" s="194"/>
      <c r="U843" s="194"/>
      <c r="V843" s="194"/>
      <c r="W843" s="194"/>
      <c r="X843" s="194"/>
      <c r="Y843" s="194"/>
      <c r="Z843" s="194"/>
      <c r="AA843" s="194"/>
      <c r="AB843" s="194"/>
      <c r="AC843" s="194"/>
      <c r="AD843" s="194"/>
      <c r="AE843" s="194"/>
      <c r="AF843" s="194"/>
      <c r="AG843" s="194"/>
      <c r="AH843" s="194"/>
      <c r="AI843" s="194"/>
      <c r="AJ843" s="194"/>
      <c r="AK843" s="194"/>
      <c r="AL843" s="194"/>
      <c r="AM843" s="194"/>
    </row>
    <row r="844" spans="1:39" ht="15.75" customHeight="1" x14ac:dyDescent="0.25">
      <c r="A844" s="194"/>
      <c r="B844" s="194"/>
      <c r="C844" s="194"/>
      <c r="D844" s="194"/>
      <c r="E844" s="194"/>
      <c r="F844" s="194"/>
      <c r="G844" s="194"/>
      <c r="H844" s="194"/>
      <c r="I844" s="194"/>
      <c r="J844" s="194"/>
      <c r="K844" s="194"/>
      <c r="L844" s="194"/>
      <c r="M844" s="194"/>
      <c r="N844" s="194"/>
      <c r="O844" s="194"/>
      <c r="P844" s="194"/>
      <c r="Q844" s="194"/>
      <c r="R844" s="194"/>
      <c r="S844" s="194"/>
      <c r="T844" s="194"/>
      <c r="U844" s="194"/>
      <c r="V844" s="194"/>
      <c r="W844" s="194"/>
      <c r="X844" s="194"/>
      <c r="Y844" s="194"/>
      <c r="Z844" s="194"/>
      <c r="AA844" s="194"/>
      <c r="AB844" s="194"/>
      <c r="AC844" s="194"/>
      <c r="AD844" s="194"/>
      <c r="AE844" s="194"/>
      <c r="AF844" s="194"/>
      <c r="AG844" s="194"/>
      <c r="AH844" s="194"/>
      <c r="AI844" s="194"/>
      <c r="AJ844" s="194"/>
      <c r="AK844" s="194"/>
      <c r="AL844" s="194"/>
      <c r="AM844" s="194"/>
    </row>
    <row r="845" spans="1:39" ht="15.75" customHeight="1" x14ac:dyDescent="0.25">
      <c r="A845" s="194"/>
      <c r="B845" s="194"/>
      <c r="C845" s="194"/>
      <c r="D845" s="194"/>
      <c r="E845" s="194"/>
      <c r="F845" s="194"/>
      <c r="G845" s="194"/>
      <c r="H845" s="194"/>
      <c r="I845" s="194"/>
      <c r="J845" s="194"/>
      <c r="K845" s="194"/>
      <c r="L845" s="194"/>
      <c r="M845" s="194"/>
      <c r="N845" s="194"/>
      <c r="O845" s="194"/>
      <c r="P845" s="194"/>
      <c r="Q845" s="194"/>
      <c r="R845" s="194"/>
      <c r="S845" s="194"/>
      <c r="T845" s="194"/>
      <c r="U845" s="194"/>
      <c r="V845" s="194"/>
      <c r="W845" s="194"/>
      <c r="X845" s="194"/>
      <c r="Y845" s="194"/>
      <c r="Z845" s="194"/>
      <c r="AA845" s="194"/>
      <c r="AB845" s="194"/>
      <c r="AC845" s="194"/>
      <c r="AD845" s="194"/>
      <c r="AE845" s="194"/>
      <c r="AF845" s="194"/>
      <c r="AG845" s="194"/>
      <c r="AH845" s="194"/>
      <c r="AI845" s="194"/>
      <c r="AJ845" s="194"/>
      <c r="AK845" s="194"/>
      <c r="AL845" s="194"/>
      <c r="AM845" s="194"/>
    </row>
    <row r="846" spans="1:39" ht="15.75" customHeight="1" x14ac:dyDescent="0.25">
      <c r="A846" s="194"/>
      <c r="B846" s="194"/>
      <c r="C846" s="194"/>
      <c r="D846" s="194"/>
      <c r="E846" s="194"/>
      <c r="F846" s="194"/>
      <c r="G846" s="194"/>
      <c r="H846" s="194"/>
      <c r="I846" s="194"/>
      <c r="J846" s="194"/>
      <c r="K846" s="194"/>
      <c r="L846" s="194"/>
      <c r="M846" s="194"/>
      <c r="N846" s="194"/>
      <c r="O846" s="194"/>
      <c r="P846" s="194"/>
      <c r="Q846" s="194"/>
      <c r="R846" s="194"/>
      <c r="S846" s="194"/>
      <c r="T846" s="194"/>
      <c r="U846" s="194"/>
      <c r="V846" s="194"/>
      <c r="W846" s="194"/>
      <c r="X846" s="194"/>
      <c r="Y846" s="194"/>
      <c r="Z846" s="194"/>
      <c r="AA846" s="194"/>
      <c r="AB846" s="194"/>
      <c r="AC846" s="194"/>
      <c r="AD846" s="194"/>
      <c r="AE846" s="194"/>
      <c r="AF846" s="194"/>
      <c r="AG846" s="194"/>
      <c r="AH846" s="194"/>
      <c r="AI846" s="194"/>
      <c r="AJ846" s="194"/>
      <c r="AK846" s="194"/>
      <c r="AL846" s="194"/>
      <c r="AM846" s="194"/>
    </row>
    <row r="847" spans="1:39" ht="15.75" customHeight="1" x14ac:dyDescent="0.25">
      <c r="A847" s="194"/>
      <c r="B847" s="194"/>
      <c r="C847" s="194"/>
      <c r="D847" s="194"/>
      <c r="E847" s="194"/>
      <c r="F847" s="194"/>
      <c r="G847" s="194"/>
      <c r="H847" s="194"/>
      <c r="I847" s="194"/>
      <c r="J847" s="194"/>
      <c r="K847" s="194"/>
      <c r="L847" s="194"/>
      <c r="M847" s="194"/>
      <c r="N847" s="194"/>
      <c r="O847" s="194"/>
      <c r="P847" s="194"/>
      <c r="Q847" s="194"/>
      <c r="R847" s="194"/>
      <c r="S847" s="194"/>
      <c r="T847" s="194"/>
      <c r="U847" s="194"/>
      <c r="V847" s="194"/>
      <c r="W847" s="194"/>
      <c r="X847" s="194"/>
      <c r="Y847" s="194"/>
      <c r="Z847" s="194"/>
      <c r="AA847" s="194"/>
      <c r="AB847" s="194"/>
      <c r="AC847" s="194"/>
      <c r="AD847" s="194"/>
      <c r="AE847" s="194"/>
      <c r="AF847" s="194"/>
      <c r="AG847" s="194"/>
      <c r="AH847" s="194"/>
      <c r="AI847" s="194"/>
      <c r="AJ847" s="194"/>
      <c r="AK847" s="194"/>
      <c r="AL847" s="194"/>
      <c r="AM847" s="194"/>
    </row>
    <row r="848" spans="1:39" ht="15.75" customHeight="1" x14ac:dyDescent="0.25">
      <c r="A848" s="194"/>
      <c r="B848" s="194"/>
      <c r="C848" s="194"/>
      <c r="D848" s="194"/>
      <c r="E848" s="194"/>
      <c r="F848" s="194"/>
      <c r="G848" s="194"/>
      <c r="H848" s="194"/>
      <c r="I848" s="194"/>
      <c r="J848" s="194"/>
      <c r="K848" s="194"/>
      <c r="L848" s="194"/>
      <c r="M848" s="194"/>
      <c r="N848" s="194"/>
      <c r="O848" s="194"/>
      <c r="P848" s="194"/>
      <c r="Q848" s="194"/>
      <c r="R848" s="194"/>
      <c r="S848" s="194"/>
      <c r="T848" s="194"/>
      <c r="U848" s="194"/>
      <c r="V848" s="194"/>
      <c r="W848" s="194"/>
      <c r="X848" s="194"/>
      <c r="Y848" s="194"/>
      <c r="Z848" s="194"/>
      <c r="AA848" s="194"/>
      <c r="AB848" s="194"/>
      <c r="AC848" s="194"/>
      <c r="AD848" s="194"/>
      <c r="AE848" s="194"/>
      <c r="AF848" s="194"/>
      <c r="AG848" s="194"/>
      <c r="AH848" s="194"/>
      <c r="AI848" s="194"/>
      <c r="AJ848" s="194"/>
      <c r="AK848" s="194"/>
      <c r="AL848" s="194"/>
      <c r="AM848" s="194"/>
    </row>
    <row r="849" spans="1:39" ht="15.75" customHeight="1" x14ac:dyDescent="0.25">
      <c r="A849" s="194"/>
      <c r="B849" s="194"/>
      <c r="C849" s="194"/>
      <c r="D849" s="194"/>
      <c r="E849" s="194"/>
      <c r="F849" s="194"/>
      <c r="G849" s="194"/>
      <c r="H849" s="194"/>
      <c r="I849" s="194"/>
      <c r="J849" s="194"/>
      <c r="K849" s="194"/>
      <c r="L849" s="194"/>
      <c r="M849" s="194"/>
      <c r="N849" s="194"/>
      <c r="O849" s="194"/>
      <c r="P849" s="194"/>
      <c r="Q849" s="194"/>
      <c r="R849" s="194"/>
      <c r="S849" s="194"/>
      <c r="T849" s="194"/>
      <c r="U849" s="194"/>
      <c r="V849" s="194"/>
      <c r="W849" s="194"/>
      <c r="X849" s="194"/>
      <c r="Y849" s="194"/>
      <c r="Z849" s="194"/>
      <c r="AA849" s="194"/>
      <c r="AB849" s="194"/>
      <c r="AC849" s="194"/>
      <c r="AD849" s="194"/>
      <c r="AE849" s="194"/>
      <c r="AF849" s="194"/>
      <c r="AG849" s="194"/>
      <c r="AH849" s="194"/>
      <c r="AI849" s="194"/>
      <c r="AJ849" s="194"/>
      <c r="AK849" s="194"/>
      <c r="AL849" s="194"/>
      <c r="AM849" s="194"/>
    </row>
    <row r="850" spans="1:39" ht="15.75" customHeight="1" x14ac:dyDescent="0.25">
      <c r="A850" s="194"/>
      <c r="B850" s="194"/>
      <c r="C850" s="194"/>
      <c r="D850" s="194"/>
      <c r="E850" s="194"/>
      <c r="F850" s="194"/>
      <c r="G850" s="194"/>
      <c r="H850" s="194"/>
      <c r="I850" s="194"/>
      <c r="J850" s="194"/>
      <c r="K850" s="194"/>
      <c r="L850" s="194"/>
      <c r="M850" s="194"/>
      <c r="N850" s="194"/>
      <c r="O850" s="194"/>
      <c r="P850" s="194"/>
      <c r="Q850" s="194"/>
      <c r="R850" s="194"/>
      <c r="S850" s="194"/>
      <c r="T850" s="194"/>
      <c r="U850" s="194"/>
      <c r="V850" s="194"/>
      <c r="W850" s="194"/>
      <c r="X850" s="194"/>
      <c r="Y850" s="194"/>
      <c r="Z850" s="194"/>
      <c r="AA850" s="194"/>
      <c r="AB850" s="194"/>
      <c r="AC850" s="194"/>
      <c r="AD850" s="194"/>
      <c r="AE850" s="194"/>
      <c r="AF850" s="194"/>
      <c r="AG850" s="194"/>
      <c r="AH850" s="194"/>
      <c r="AI850" s="194"/>
      <c r="AJ850" s="194"/>
      <c r="AK850" s="194"/>
      <c r="AL850" s="194"/>
      <c r="AM850" s="194"/>
    </row>
    <row r="851" spans="1:39" ht="15.75" customHeight="1" x14ac:dyDescent="0.25">
      <c r="A851" s="194"/>
      <c r="B851" s="194"/>
      <c r="C851" s="194"/>
      <c r="D851" s="194"/>
      <c r="E851" s="194"/>
      <c r="F851" s="194"/>
      <c r="G851" s="194"/>
      <c r="H851" s="194"/>
      <c r="I851" s="194"/>
      <c r="J851" s="194"/>
      <c r="K851" s="194"/>
      <c r="L851" s="194"/>
      <c r="M851" s="194"/>
      <c r="N851" s="194"/>
      <c r="O851" s="194"/>
      <c r="P851" s="194"/>
      <c r="Q851" s="194"/>
      <c r="R851" s="194"/>
      <c r="S851" s="194"/>
      <c r="T851" s="194"/>
      <c r="U851" s="194"/>
      <c r="V851" s="194"/>
      <c r="W851" s="194"/>
      <c r="X851" s="194"/>
      <c r="Y851" s="194"/>
      <c r="Z851" s="194"/>
      <c r="AA851" s="194"/>
      <c r="AB851" s="194"/>
      <c r="AC851" s="194"/>
      <c r="AD851" s="194"/>
      <c r="AE851" s="194"/>
      <c r="AF851" s="194"/>
      <c r="AG851" s="194"/>
      <c r="AH851" s="194"/>
      <c r="AI851" s="194"/>
      <c r="AJ851" s="194"/>
      <c r="AK851" s="194"/>
      <c r="AL851" s="194"/>
      <c r="AM851" s="194"/>
    </row>
    <row r="852" spans="1:39" ht="15.75" customHeight="1" x14ac:dyDescent="0.25">
      <c r="A852" s="194"/>
      <c r="B852" s="194"/>
      <c r="C852" s="194"/>
      <c r="D852" s="194"/>
      <c r="E852" s="194"/>
      <c r="F852" s="194"/>
      <c r="G852" s="194"/>
      <c r="H852" s="194"/>
      <c r="I852" s="194"/>
      <c r="J852" s="194"/>
      <c r="K852" s="194"/>
      <c r="L852" s="194"/>
      <c r="M852" s="194"/>
      <c r="N852" s="194"/>
      <c r="O852" s="194"/>
      <c r="P852" s="194"/>
      <c r="Q852" s="194"/>
      <c r="R852" s="194"/>
      <c r="S852" s="194"/>
      <c r="T852" s="194"/>
      <c r="U852" s="194"/>
      <c r="V852" s="194"/>
      <c r="W852" s="194"/>
      <c r="X852" s="194"/>
      <c r="Y852" s="194"/>
      <c r="Z852" s="194"/>
      <c r="AA852" s="194"/>
      <c r="AB852" s="194"/>
      <c r="AC852" s="194"/>
      <c r="AD852" s="194"/>
      <c r="AE852" s="194"/>
      <c r="AF852" s="194"/>
      <c r="AG852" s="194"/>
      <c r="AH852" s="194"/>
      <c r="AI852" s="194"/>
      <c r="AJ852" s="194"/>
      <c r="AK852" s="194"/>
      <c r="AL852" s="194"/>
      <c r="AM852" s="194"/>
    </row>
    <row r="853" spans="1:39" ht="15.75" customHeight="1" x14ac:dyDescent="0.25">
      <c r="A853" s="194"/>
      <c r="B853" s="194"/>
      <c r="C853" s="194"/>
      <c r="D853" s="194"/>
      <c r="E853" s="194"/>
      <c r="F853" s="194"/>
      <c r="G853" s="194"/>
      <c r="H853" s="194"/>
      <c r="I853" s="194"/>
      <c r="J853" s="194"/>
      <c r="K853" s="194"/>
      <c r="L853" s="194"/>
      <c r="M853" s="194"/>
      <c r="N853" s="194"/>
      <c r="O853" s="194"/>
      <c r="P853" s="194"/>
      <c r="Q853" s="194"/>
      <c r="R853" s="194"/>
      <c r="S853" s="194"/>
      <c r="T853" s="194"/>
      <c r="U853" s="194"/>
      <c r="V853" s="194"/>
      <c r="W853" s="194"/>
      <c r="X853" s="194"/>
      <c r="Y853" s="194"/>
      <c r="Z853" s="194"/>
      <c r="AA853" s="194"/>
      <c r="AB853" s="194"/>
      <c r="AC853" s="194"/>
      <c r="AD853" s="194"/>
      <c r="AE853" s="194"/>
      <c r="AF853" s="194"/>
      <c r="AG853" s="194"/>
      <c r="AH853" s="194"/>
      <c r="AI853" s="194"/>
      <c r="AJ853" s="194"/>
      <c r="AK853" s="194"/>
      <c r="AL853" s="194"/>
      <c r="AM853" s="194"/>
    </row>
    <row r="854" spans="1:39" ht="15.75" customHeight="1" x14ac:dyDescent="0.25">
      <c r="A854" s="194"/>
      <c r="B854" s="194"/>
      <c r="C854" s="194"/>
      <c r="D854" s="194"/>
      <c r="E854" s="194"/>
      <c r="F854" s="194"/>
      <c r="G854" s="194"/>
      <c r="H854" s="194"/>
      <c r="I854" s="194"/>
      <c r="J854" s="194"/>
      <c r="K854" s="194"/>
      <c r="L854" s="194"/>
      <c r="M854" s="194"/>
      <c r="N854" s="194"/>
      <c r="O854" s="194"/>
      <c r="P854" s="194"/>
      <c r="Q854" s="194"/>
      <c r="R854" s="194"/>
      <c r="S854" s="194"/>
      <c r="T854" s="194"/>
      <c r="U854" s="194"/>
      <c r="V854" s="194"/>
      <c r="W854" s="194"/>
      <c r="X854" s="194"/>
      <c r="Y854" s="194"/>
      <c r="Z854" s="194"/>
      <c r="AA854" s="194"/>
      <c r="AB854" s="194"/>
      <c r="AC854" s="194"/>
      <c r="AD854" s="194"/>
      <c r="AE854" s="194"/>
      <c r="AF854" s="194"/>
      <c r="AG854" s="194"/>
      <c r="AH854" s="194"/>
      <c r="AI854" s="194"/>
      <c r="AJ854" s="194"/>
      <c r="AK854" s="194"/>
      <c r="AL854" s="194"/>
      <c r="AM854" s="194"/>
    </row>
    <row r="855" spans="1:39" ht="15.75" customHeight="1" x14ac:dyDescent="0.25">
      <c r="A855" s="194"/>
      <c r="B855" s="194"/>
      <c r="C855" s="194"/>
      <c r="D855" s="194"/>
      <c r="E855" s="194"/>
      <c r="F855" s="194"/>
      <c r="G855" s="194"/>
      <c r="H855" s="194"/>
      <c r="I855" s="194"/>
      <c r="J855" s="194"/>
      <c r="K855" s="194"/>
      <c r="L855" s="194"/>
      <c r="M855" s="194"/>
      <c r="N855" s="194"/>
      <c r="O855" s="194"/>
      <c r="P855" s="194"/>
      <c r="Q855" s="194"/>
      <c r="R855" s="194"/>
      <c r="S855" s="194"/>
      <c r="T855" s="194"/>
      <c r="U855" s="194"/>
      <c r="V855" s="194"/>
      <c r="W855" s="194"/>
      <c r="X855" s="194"/>
      <c r="Y855" s="194"/>
      <c r="Z855" s="194"/>
      <c r="AA855" s="194"/>
      <c r="AB855" s="194"/>
      <c r="AC855" s="194"/>
      <c r="AD855" s="194"/>
      <c r="AE855" s="194"/>
      <c r="AF855" s="194"/>
      <c r="AG855" s="194"/>
      <c r="AH855" s="194"/>
      <c r="AI855" s="194"/>
      <c r="AJ855" s="194"/>
      <c r="AK855" s="194"/>
      <c r="AL855" s="194"/>
      <c r="AM855" s="194"/>
    </row>
    <row r="856" spans="1:39" ht="15.75" customHeight="1" x14ac:dyDescent="0.25">
      <c r="A856" s="194"/>
      <c r="B856" s="194"/>
      <c r="C856" s="194"/>
      <c r="D856" s="194"/>
      <c r="E856" s="194"/>
      <c r="F856" s="194"/>
      <c r="G856" s="194"/>
      <c r="H856" s="194"/>
      <c r="I856" s="194"/>
      <c r="J856" s="194"/>
      <c r="K856" s="194"/>
      <c r="L856" s="194"/>
      <c r="M856" s="194"/>
      <c r="N856" s="194"/>
      <c r="O856" s="194"/>
      <c r="P856" s="194"/>
      <c r="Q856" s="194"/>
      <c r="R856" s="194"/>
      <c r="S856" s="194"/>
      <c r="T856" s="194"/>
      <c r="U856" s="194"/>
      <c r="V856" s="194"/>
      <c r="W856" s="194"/>
      <c r="X856" s="194"/>
      <c r="Y856" s="194"/>
      <c r="Z856" s="194"/>
      <c r="AA856" s="194"/>
      <c r="AB856" s="194"/>
      <c r="AC856" s="194"/>
      <c r="AD856" s="194"/>
      <c r="AE856" s="194"/>
      <c r="AF856" s="194"/>
      <c r="AG856" s="194"/>
      <c r="AH856" s="194"/>
      <c r="AI856" s="194"/>
      <c r="AJ856" s="194"/>
      <c r="AK856" s="194"/>
      <c r="AL856" s="194"/>
      <c r="AM856" s="194"/>
    </row>
    <row r="857" spans="1:39" ht="15.75" customHeight="1" x14ac:dyDescent="0.25">
      <c r="A857" s="194"/>
      <c r="B857" s="194"/>
      <c r="C857" s="194"/>
      <c r="D857" s="194"/>
      <c r="E857" s="194"/>
      <c r="F857" s="194"/>
      <c r="G857" s="194"/>
      <c r="H857" s="194"/>
      <c r="I857" s="194"/>
      <c r="J857" s="194"/>
      <c r="K857" s="194"/>
      <c r="L857" s="194"/>
      <c r="M857" s="194"/>
      <c r="N857" s="194"/>
      <c r="O857" s="194"/>
      <c r="P857" s="194"/>
      <c r="Q857" s="194"/>
      <c r="R857" s="194"/>
      <c r="S857" s="194"/>
      <c r="T857" s="194"/>
      <c r="U857" s="194"/>
      <c r="V857" s="194"/>
      <c r="W857" s="194"/>
      <c r="X857" s="194"/>
      <c r="Y857" s="194"/>
      <c r="Z857" s="194"/>
      <c r="AA857" s="194"/>
      <c r="AB857" s="194"/>
      <c r="AC857" s="194"/>
      <c r="AD857" s="194"/>
      <c r="AE857" s="194"/>
      <c r="AF857" s="194"/>
      <c r="AG857" s="194"/>
      <c r="AH857" s="194"/>
      <c r="AI857" s="194"/>
      <c r="AJ857" s="194"/>
      <c r="AK857" s="194"/>
      <c r="AL857" s="194"/>
      <c r="AM857" s="194"/>
    </row>
    <row r="858" spans="1:39" ht="15.75" customHeight="1" x14ac:dyDescent="0.25">
      <c r="A858" s="194"/>
      <c r="B858" s="194"/>
      <c r="C858" s="194"/>
      <c r="D858" s="194"/>
      <c r="E858" s="194"/>
      <c r="F858" s="194"/>
      <c r="G858" s="194"/>
      <c r="H858" s="194"/>
      <c r="I858" s="194"/>
      <c r="J858" s="194"/>
      <c r="K858" s="194"/>
      <c r="L858" s="194"/>
      <c r="M858" s="194"/>
      <c r="N858" s="194"/>
      <c r="O858" s="194"/>
      <c r="P858" s="194"/>
      <c r="Q858" s="194"/>
      <c r="R858" s="194"/>
      <c r="S858" s="194"/>
      <c r="T858" s="194"/>
      <c r="U858" s="194"/>
      <c r="V858" s="194"/>
      <c r="W858" s="194"/>
      <c r="X858" s="194"/>
      <c r="Y858" s="194"/>
      <c r="Z858" s="194"/>
      <c r="AA858" s="194"/>
      <c r="AB858" s="194"/>
      <c r="AC858" s="194"/>
      <c r="AD858" s="194"/>
      <c r="AE858" s="194"/>
      <c r="AF858" s="194"/>
      <c r="AG858" s="194"/>
      <c r="AH858" s="194"/>
      <c r="AI858" s="194"/>
      <c r="AJ858" s="194"/>
      <c r="AK858" s="194"/>
      <c r="AL858" s="194"/>
      <c r="AM858" s="194"/>
    </row>
    <row r="859" spans="1:39" ht="15.75" customHeight="1" x14ac:dyDescent="0.25">
      <c r="A859" s="194"/>
      <c r="B859" s="194"/>
      <c r="C859" s="194"/>
      <c r="D859" s="194"/>
      <c r="E859" s="194"/>
      <c r="F859" s="194"/>
      <c r="G859" s="194"/>
      <c r="H859" s="194"/>
      <c r="I859" s="194"/>
      <c r="J859" s="194"/>
      <c r="K859" s="194"/>
      <c r="L859" s="194"/>
      <c r="M859" s="194"/>
      <c r="N859" s="194"/>
      <c r="O859" s="194"/>
      <c r="P859" s="194"/>
      <c r="Q859" s="194"/>
      <c r="R859" s="194"/>
      <c r="S859" s="194"/>
      <c r="T859" s="194"/>
      <c r="U859" s="194"/>
      <c r="V859" s="194"/>
      <c r="W859" s="194"/>
      <c r="X859" s="194"/>
      <c r="Y859" s="194"/>
      <c r="Z859" s="194"/>
      <c r="AA859" s="194"/>
      <c r="AB859" s="194"/>
      <c r="AC859" s="194"/>
      <c r="AD859" s="194"/>
      <c r="AE859" s="194"/>
      <c r="AF859" s="194"/>
      <c r="AG859" s="194"/>
      <c r="AH859" s="194"/>
      <c r="AI859" s="194"/>
      <c r="AJ859" s="194"/>
      <c r="AK859" s="194"/>
      <c r="AL859" s="194"/>
      <c r="AM859" s="194"/>
    </row>
    <row r="860" spans="1:39" ht="15.75" customHeight="1" x14ac:dyDescent="0.25">
      <c r="A860" s="194"/>
      <c r="B860" s="194"/>
      <c r="C860" s="194"/>
      <c r="D860" s="194"/>
      <c r="E860" s="194"/>
      <c r="F860" s="194"/>
      <c r="G860" s="194"/>
      <c r="H860" s="194"/>
      <c r="I860" s="194"/>
      <c r="J860" s="194"/>
      <c r="K860" s="194"/>
      <c r="L860" s="194"/>
      <c r="M860" s="194"/>
      <c r="N860" s="194"/>
      <c r="O860" s="194"/>
      <c r="P860" s="194"/>
      <c r="Q860" s="194"/>
      <c r="R860" s="194"/>
      <c r="S860" s="194"/>
      <c r="T860" s="194"/>
      <c r="U860" s="194"/>
      <c r="V860" s="194"/>
      <c r="W860" s="194"/>
      <c r="X860" s="194"/>
      <c r="Y860" s="194"/>
      <c r="Z860" s="194"/>
      <c r="AA860" s="194"/>
      <c r="AB860" s="194"/>
      <c r="AC860" s="194"/>
      <c r="AD860" s="194"/>
      <c r="AE860" s="194"/>
      <c r="AF860" s="194"/>
      <c r="AG860" s="194"/>
      <c r="AH860" s="194"/>
      <c r="AI860" s="194"/>
      <c r="AJ860" s="194"/>
      <c r="AK860" s="194"/>
      <c r="AL860" s="194"/>
      <c r="AM860" s="194"/>
    </row>
    <row r="861" spans="1:39" ht="15.75" customHeight="1" x14ac:dyDescent="0.25">
      <c r="A861" s="194"/>
      <c r="B861" s="194"/>
      <c r="C861" s="194"/>
      <c r="D861" s="194"/>
      <c r="E861" s="194"/>
      <c r="F861" s="194"/>
      <c r="G861" s="194"/>
      <c r="H861" s="194"/>
      <c r="I861" s="194"/>
      <c r="J861" s="194"/>
      <c r="K861" s="194"/>
      <c r="L861" s="194"/>
      <c r="M861" s="194"/>
      <c r="N861" s="194"/>
      <c r="O861" s="194"/>
      <c r="P861" s="194"/>
      <c r="Q861" s="194"/>
      <c r="R861" s="194"/>
      <c r="S861" s="194"/>
      <c r="T861" s="194"/>
      <c r="U861" s="194"/>
      <c r="V861" s="194"/>
      <c r="W861" s="194"/>
      <c r="X861" s="194"/>
      <c r="Y861" s="194"/>
      <c r="Z861" s="194"/>
      <c r="AA861" s="194"/>
      <c r="AB861" s="194"/>
      <c r="AC861" s="194"/>
      <c r="AD861" s="194"/>
      <c r="AE861" s="194"/>
      <c r="AF861" s="194"/>
      <c r="AG861" s="194"/>
      <c r="AH861" s="194"/>
      <c r="AI861" s="194"/>
      <c r="AJ861" s="194"/>
      <c r="AK861" s="194"/>
      <c r="AL861" s="194"/>
      <c r="AM861" s="194"/>
    </row>
    <row r="862" spans="1:39" ht="15.75" customHeight="1" x14ac:dyDescent="0.25">
      <c r="A862" s="194"/>
      <c r="B862" s="194"/>
      <c r="C862" s="194"/>
      <c r="D862" s="194"/>
      <c r="E862" s="194"/>
      <c r="F862" s="194"/>
      <c r="G862" s="194"/>
      <c r="H862" s="194"/>
      <c r="I862" s="194"/>
      <c r="J862" s="194"/>
      <c r="K862" s="194"/>
      <c r="L862" s="194"/>
      <c r="M862" s="194"/>
      <c r="N862" s="194"/>
      <c r="O862" s="194"/>
      <c r="P862" s="194"/>
      <c r="Q862" s="194"/>
      <c r="R862" s="194"/>
      <c r="S862" s="194"/>
      <c r="T862" s="194"/>
      <c r="U862" s="194"/>
      <c r="V862" s="194"/>
      <c r="W862" s="194"/>
      <c r="X862" s="194"/>
      <c r="Y862" s="194"/>
      <c r="Z862" s="194"/>
      <c r="AA862" s="194"/>
      <c r="AB862" s="194"/>
      <c r="AC862" s="194"/>
      <c r="AD862" s="194"/>
      <c r="AE862" s="194"/>
      <c r="AF862" s="194"/>
      <c r="AG862" s="194"/>
      <c r="AH862" s="194"/>
      <c r="AI862" s="194"/>
      <c r="AJ862" s="194"/>
      <c r="AK862" s="194"/>
      <c r="AL862" s="194"/>
      <c r="AM862" s="194"/>
    </row>
    <row r="863" spans="1:39" ht="15.75" customHeight="1" x14ac:dyDescent="0.25">
      <c r="A863" s="194"/>
      <c r="B863" s="194"/>
      <c r="C863" s="194"/>
      <c r="D863" s="194"/>
      <c r="E863" s="194"/>
      <c r="F863" s="194"/>
      <c r="G863" s="194"/>
      <c r="H863" s="194"/>
      <c r="I863" s="194"/>
      <c r="J863" s="194"/>
      <c r="K863" s="194"/>
      <c r="L863" s="194"/>
      <c r="M863" s="194"/>
      <c r="N863" s="194"/>
      <c r="O863" s="194"/>
      <c r="P863" s="194"/>
      <c r="Q863" s="194"/>
      <c r="R863" s="194"/>
      <c r="S863" s="194"/>
      <c r="T863" s="194"/>
      <c r="U863" s="194"/>
      <c r="V863" s="194"/>
      <c r="W863" s="194"/>
      <c r="X863" s="194"/>
      <c r="Y863" s="194"/>
      <c r="Z863" s="194"/>
      <c r="AA863" s="194"/>
      <c r="AB863" s="194"/>
      <c r="AC863" s="194"/>
      <c r="AD863" s="194"/>
      <c r="AE863" s="194"/>
      <c r="AF863" s="194"/>
      <c r="AG863" s="194"/>
      <c r="AH863" s="194"/>
      <c r="AI863" s="194"/>
      <c r="AJ863" s="194"/>
      <c r="AK863" s="194"/>
      <c r="AL863" s="194"/>
      <c r="AM863" s="194"/>
    </row>
    <row r="864" spans="1:39" ht="15.75" customHeight="1" x14ac:dyDescent="0.25">
      <c r="A864" s="194"/>
      <c r="B864" s="194"/>
      <c r="C864" s="194"/>
      <c r="D864" s="194"/>
      <c r="E864" s="194"/>
      <c r="F864" s="194"/>
      <c r="G864" s="194"/>
      <c r="H864" s="194"/>
      <c r="I864" s="194"/>
      <c r="J864" s="194"/>
      <c r="K864" s="194"/>
      <c r="L864" s="194"/>
      <c r="M864" s="194"/>
      <c r="N864" s="194"/>
      <c r="O864" s="194"/>
      <c r="P864" s="194"/>
      <c r="Q864" s="194"/>
      <c r="R864" s="194"/>
      <c r="S864" s="194"/>
      <c r="T864" s="194"/>
      <c r="U864" s="194"/>
      <c r="V864" s="194"/>
      <c r="W864" s="194"/>
      <c r="X864" s="194"/>
      <c r="Y864" s="194"/>
      <c r="Z864" s="194"/>
      <c r="AA864" s="194"/>
      <c r="AB864" s="194"/>
      <c r="AC864" s="194"/>
      <c r="AD864" s="194"/>
      <c r="AE864" s="194"/>
      <c r="AF864" s="194"/>
      <c r="AG864" s="194"/>
      <c r="AH864" s="194"/>
      <c r="AI864" s="194"/>
      <c r="AJ864" s="194"/>
      <c r="AK864" s="194"/>
      <c r="AL864" s="194"/>
      <c r="AM864" s="194"/>
    </row>
    <row r="865" spans="1:39" ht="15.75" customHeight="1" x14ac:dyDescent="0.25">
      <c r="A865" s="194"/>
      <c r="B865" s="194"/>
      <c r="C865" s="194"/>
      <c r="D865" s="194"/>
      <c r="E865" s="194"/>
      <c r="F865" s="194"/>
      <c r="G865" s="194"/>
      <c r="H865" s="194"/>
      <c r="I865" s="194"/>
      <c r="J865" s="194"/>
      <c r="K865" s="194"/>
      <c r="L865" s="194"/>
      <c r="M865" s="194"/>
      <c r="N865" s="194"/>
      <c r="O865" s="194"/>
      <c r="P865" s="194"/>
      <c r="Q865" s="194"/>
      <c r="R865" s="194"/>
      <c r="S865" s="194"/>
      <c r="T865" s="194"/>
      <c r="U865" s="194"/>
      <c r="V865" s="194"/>
      <c r="W865" s="194"/>
      <c r="X865" s="194"/>
      <c r="Y865" s="194"/>
      <c r="Z865" s="194"/>
      <c r="AA865" s="194"/>
      <c r="AB865" s="194"/>
      <c r="AC865" s="194"/>
      <c r="AD865" s="194"/>
      <c r="AE865" s="194"/>
      <c r="AF865" s="194"/>
      <c r="AG865" s="194"/>
      <c r="AH865" s="194"/>
      <c r="AI865" s="194"/>
      <c r="AJ865" s="194"/>
      <c r="AK865" s="194"/>
      <c r="AL865" s="194"/>
      <c r="AM865" s="194"/>
    </row>
    <row r="866" spans="1:39" ht="15.75" customHeight="1" x14ac:dyDescent="0.25">
      <c r="A866" s="194"/>
      <c r="B866" s="194"/>
      <c r="C866" s="194"/>
      <c r="D866" s="194"/>
      <c r="E866" s="194"/>
      <c r="F866" s="194"/>
      <c r="G866" s="194"/>
      <c r="H866" s="194"/>
      <c r="I866" s="194"/>
      <c r="J866" s="194"/>
      <c r="K866" s="194"/>
      <c r="L866" s="194"/>
      <c r="M866" s="194"/>
      <c r="N866" s="194"/>
      <c r="O866" s="194"/>
      <c r="P866" s="194"/>
      <c r="Q866" s="194"/>
      <c r="R866" s="194"/>
      <c r="S866" s="194"/>
      <c r="T866" s="194"/>
      <c r="U866" s="194"/>
      <c r="V866" s="194"/>
      <c r="W866" s="194"/>
      <c r="X866" s="194"/>
      <c r="Y866" s="194"/>
      <c r="Z866" s="194"/>
      <c r="AA866" s="194"/>
      <c r="AB866" s="194"/>
      <c r="AC866" s="194"/>
      <c r="AD866" s="194"/>
      <c r="AE866" s="194"/>
      <c r="AF866" s="194"/>
      <c r="AG866" s="194"/>
      <c r="AH866" s="194"/>
      <c r="AI866" s="194"/>
      <c r="AJ866" s="194"/>
      <c r="AK866" s="194"/>
      <c r="AL866" s="194"/>
      <c r="AM866" s="194"/>
    </row>
    <row r="867" spans="1:39" ht="15.75" customHeight="1" x14ac:dyDescent="0.25">
      <c r="A867" s="194"/>
      <c r="B867" s="194"/>
      <c r="C867" s="194"/>
      <c r="D867" s="194"/>
      <c r="E867" s="194"/>
      <c r="F867" s="194"/>
      <c r="G867" s="194"/>
      <c r="H867" s="194"/>
      <c r="I867" s="194"/>
      <c r="J867" s="194"/>
      <c r="K867" s="194"/>
      <c r="L867" s="194"/>
      <c r="M867" s="194"/>
      <c r="N867" s="194"/>
      <c r="O867" s="194"/>
      <c r="P867" s="194"/>
      <c r="Q867" s="194"/>
      <c r="R867" s="194"/>
      <c r="S867" s="194"/>
      <c r="T867" s="194"/>
      <c r="U867" s="194"/>
      <c r="V867" s="194"/>
      <c r="W867" s="194"/>
      <c r="X867" s="194"/>
      <c r="Y867" s="194"/>
      <c r="Z867" s="194"/>
      <c r="AA867" s="194"/>
      <c r="AB867" s="194"/>
      <c r="AC867" s="194"/>
      <c r="AD867" s="194"/>
      <c r="AE867" s="194"/>
      <c r="AF867" s="194"/>
      <c r="AG867" s="194"/>
      <c r="AH867" s="194"/>
      <c r="AI867" s="194"/>
      <c r="AJ867" s="194"/>
      <c r="AK867" s="194"/>
      <c r="AL867" s="194"/>
      <c r="AM867" s="194"/>
    </row>
    <row r="868" spans="1:39" ht="15.75" customHeight="1" x14ac:dyDescent="0.25">
      <c r="A868" s="194"/>
      <c r="B868" s="194"/>
      <c r="C868" s="194"/>
      <c r="D868" s="194"/>
      <c r="E868" s="194"/>
      <c r="F868" s="194"/>
      <c r="G868" s="194"/>
      <c r="H868" s="194"/>
      <c r="I868" s="194"/>
      <c r="J868" s="194"/>
      <c r="K868" s="194"/>
      <c r="L868" s="194"/>
      <c r="M868" s="194"/>
      <c r="N868" s="194"/>
      <c r="O868" s="194"/>
      <c r="P868" s="194"/>
      <c r="Q868" s="194"/>
      <c r="R868" s="194"/>
      <c r="S868" s="194"/>
      <c r="T868" s="194"/>
      <c r="U868" s="194"/>
      <c r="V868" s="194"/>
      <c r="W868" s="194"/>
      <c r="X868" s="194"/>
      <c r="Y868" s="194"/>
      <c r="Z868" s="194"/>
      <c r="AA868" s="194"/>
      <c r="AB868" s="194"/>
      <c r="AC868" s="194"/>
      <c r="AD868" s="194"/>
      <c r="AE868" s="194"/>
      <c r="AF868" s="194"/>
      <c r="AG868" s="194"/>
      <c r="AH868" s="194"/>
      <c r="AI868" s="194"/>
      <c r="AJ868" s="194"/>
      <c r="AK868" s="194"/>
      <c r="AL868" s="194"/>
      <c r="AM868" s="194"/>
    </row>
    <row r="869" spans="1:39" ht="15.75" customHeight="1" x14ac:dyDescent="0.25">
      <c r="A869" s="194"/>
      <c r="B869" s="194"/>
      <c r="C869" s="194"/>
      <c r="D869" s="194"/>
      <c r="E869" s="194"/>
      <c r="F869" s="194"/>
      <c r="G869" s="194"/>
      <c r="H869" s="194"/>
      <c r="I869" s="194"/>
      <c r="J869" s="194"/>
      <c r="K869" s="194"/>
      <c r="L869" s="194"/>
      <c r="M869" s="194"/>
      <c r="N869" s="194"/>
      <c r="O869" s="194"/>
      <c r="P869" s="194"/>
      <c r="Q869" s="194"/>
      <c r="R869" s="194"/>
      <c r="S869" s="194"/>
      <c r="T869" s="194"/>
      <c r="U869" s="194"/>
      <c r="V869" s="194"/>
      <c r="W869" s="194"/>
      <c r="X869" s="194"/>
      <c r="Y869" s="194"/>
      <c r="Z869" s="194"/>
      <c r="AA869" s="194"/>
      <c r="AB869" s="194"/>
      <c r="AC869" s="194"/>
      <c r="AD869" s="194"/>
      <c r="AE869" s="194"/>
      <c r="AF869" s="194"/>
      <c r="AG869" s="194"/>
      <c r="AH869" s="194"/>
      <c r="AI869" s="194"/>
      <c r="AJ869" s="194"/>
      <c r="AK869" s="194"/>
      <c r="AL869" s="194"/>
      <c r="AM869" s="194"/>
    </row>
    <row r="870" spans="1:39" ht="15.75" customHeight="1" x14ac:dyDescent="0.25">
      <c r="A870" s="194"/>
      <c r="B870" s="194"/>
      <c r="C870" s="194"/>
      <c r="D870" s="194"/>
      <c r="E870" s="194"/>
      <c r="F870" s="194"/>
      <c r="G870" s="194"/>
      <c r="H870" s="194"/>
      <c r="I870" s="194"/>
      <c r="J870" s="194"/>
      <c r="K870" s="194"/>
      <c r="L870" s="194"/>
      <c r="M870" s="194"/>
      <c r="N870" s="194"/>
      <c r="O870" s="194"/>
      <c r="P870" s="194"/>
      <c r="Q870" s="194"/>
      <c r="R870" s="194"/>
      <c r="S870" s="194"/>
      <c r="T870" s="194"/>
      <c r="U870" s="194"/>
      <c r="V870" s="194"/>
      <c r="W870" s="194"/>
      <c r="X870" s="194"/>
      <c r="Y870" s="194"/>
      <c r="Z870" s="194"/>
      <c r="AA870" s="194"/>
      <c r="AB870" s="194"/>
      <c r="AC870" s="194"/>
      <c r="AD870" s="194"/>
      <c r="AE870" s="194"/>
      <c r="AF870" s="194"/>
      <c r="AG870" s="194"/>
      <c r="AH870" s="194"/>
      <c r="AI870" s="194"/>
      <c r="AJ870" s="194"/>
      <c r="AK870" s="194"/>
      <c r="AL870" s="194"/>
      <c r="AM870" s="194"/>
    </row>
    <row r="871" spans="1:39" ht="15.75" customHeight="1" x14ac:dyDescent="0.25">
      <c r="A871" s="194"/>
      <c r="B871" s="194"/>
      <c r="C871" s="194"/>
      <c r="D871" s="194"/>
      <c r="E871" s="194"/>
      <c r="F871" s="194"/>
      <c r="G871" s="194"/>
      <c r="H871" s="194"/>
      <c r="I871" s="194"/>
      <c r="J871" s="194"/>
      <c r="K871" s="194"/>
      <c r="L871" s="194"/>
      <c r="M871" s="194"/>
      <c r="N871" s="194"/>
      <c r="O871" s="194"/>
      <c r="P871" s="194"/>
      <c r="Q871" s="194"/>
      <c r="R871" s="194"/>
      <c r="S871" s="194"/>
      <c r="T871" s="194"/>
      <c r="U871" s="194"/>
      <c r="V871" s="194"/>
      <c r="W871" s="194"/>
      <c r="X871" s="194"/>
      <c r="Y871" s="194"/>
      <c r="Z871" s="194"/>
      <c r="AA871" s="194"/>
      <c r="AB871" s="194"/>
      <c r="AC871" s="194"/>
      <c r="AD871" s="194"/>
      <c r="AE871" s="194"/>
      <c r="AF871" s="194"/>
      <c r="AG871" s="194"/>
      <c r="AH871" s="194"/>
      <c r="AI871" s="194"/>
      <c r="AJ871" s="194"/>
      <c r="AK871" s="194"/>
      <c r="AL871" s="194"/>
      <c r="AM871" s="194"/>
    </row>
    <row r="872" spans="1:39" ht="15.75" customHeight="1" x14ac:dyDescent="0.25">
      <c r="A872" s="194"/>
      <c r="B872" s="194"/>
      <c r="C872" s="194"/>
      <c r="D872" s="194"/>
      <c r="E872" s="194"/>
      <c r="F872" s="194"/>
      <c r="G872" s="194"/>
      <c r="H872" s="194"/>
      <c r="I872" s="194"/>
      <c r="J872" s="194"/>
      <c r="K872" s="194"/>
      <c r="L872" s="194"/>
      <c r="M872" s="194"/>
      <c r="N872" s="194"/>
      <c r="O872" s="194"/>
      <c r="P872" s="194"/>
      <c r="Q872" s="194"/>
      <c r="R872" s="194"/>
      <c r="S872" s="194"/>
      <c r="T872" s="194"/>
      <c r="U872" s="194"/>
      <c r="V872" s="194"/>
      <c r="W872" s="194"/>
      <c r="X872" s="194"/>
      <c r="Y872" s="194"/>
      <c r="Z872" s="194"/>
      <c r="AA872" s="194"/>
      <c r="AB872" s="194"/>
      <c r="AC872" s="194"/>
      <c r="AD872" s="194"/>
      <c r="AE872" s="194"/>
      <c r="AF872" s="194"/>
      <c r="AG872" s="194"/>
      <c r="AH872" s="194"/>
      <c r="AI872" s="194"/>
      <c r="AJ872" s="194"/>
      <c r="AK872" s="194"/>
      <c r="AL872" s="194"/>
      <c r="AM872" s="194"/>
    </row>
    <row r="873" spans="1:39" ht="15.75" customHeight="1" x14ac:dyDescent="0.25">
      <c r="A873" s="194"/>
      <c r="B873" s="194"/>
      <c r="C873" s="194"/>
      <c r="D873" s="194"/>
      <c r="E873" s="194"/>
      <c r="F873" s="194"/>
      <c r="G873" s="194"/>
      <c r="H873" s="194"/>
      <c r="I873" s="194"/>
      <c r="J873" s="194"/>
      <c r="K873" s="194"/>
      <c r="L873" s="194"/>
      <c r="M873" s="194"/>
      <c r="N873" s="194"/>
      <c r="O873" s="194"/>
      <c r="P873" s="194"/>
      <c r="Q873" s="194"/>
      <c r="R873" s="194"/>
      <c r="S873" s="194"/>
      <c r="T873" s="194"/>
      <c r="U873" s="194"/>
      <c r="V873" s="194"/>
      <c r="W873" s="194"/>
      <c r="X873" s="194"/>
      <c r="Y873" s="194"/>
      <c r="Z873" s="194"/>
      <c r="AA873" s="194"/>
      <c r="AB873" s="194"/>
      <c r="AC873" s="194"/>
      <c r="AD873" s="194"/>
      <c r="AE873" s="194"/>
      <c r="AF873" s="194"/>
      <c r="AG873" s="194"/>
      <c r="AH873" s="194"/>
      <c r="AI873" s="194"/>
      <c r="AJ873" s="194"/>
      <c r="AK873" s="194"/>
      <c r="AL873" s="194"/>
      <c r="AM873" s="194"/>
    </row>
    <row r="874" spans="1:39" ht="15.75" customHeight="1" x14ac:dyDescent="0.25">
      <c r="A874" s="194"/>
      <c r="B874" s="194"/>
      <c r="C874" s="194"/>
      <c r="D874" s="194"/>
      <c r="E874" s="194"/>
      <c r="F874" s="194"/>
      <c r="G874" s="194"/>
      <c r="H874" s="194"/>
      <c r="I874" s="194"/>
      <c r="J874" s="194"/>
      <c r="K874" s="194"/>
      <c r="L874" s="194"/>
      <c r="M874" s="194"/>
      <c r="N874" s="194"/>
      <c r="O874" s="194"/>
      <c r="P874" s="194"/>
      <c r="Q874" s="194"/>
      <c r="R874" s="194"/>
      <c r="S874" s="194"/>
      <c r="T874" s="194"/>
      <c r="U874" s="194"/>
      <c r="V874" s="194"/>
      <c r="W874" s="194"/>
      <c r="X874" s="194"/>
      <c r="Y874" s="194"/>
      <c r="Z874" s="194"/>
      <c r="AA874" s="194"/>
      <c r="AB874" s="194"/>
      <c r="AC874" s="194"/>
      <c r="AD874" s="194"/>
      <c r="AE874" s="194"/>
      <c r="AF874" s="194"/>
      <c r="AG874" s="194"/>
      <c r="AH874" s="194"/>
      <c r="AI874" s="194"/>
      <c r="AJ874" s="194"/>
      <c r="AK874" s="194"/>
      <c r="AL874" s="194"/>
      <c r="AM874" s="194"/>
    </row>
    <row r="875" spans="1:39" ht="15.75" customHeight="1" x14ac:dyDescent="0.25">
      <c r="A875" s="194"/>
      <c r="B875" s="194"/>
      <c r="C875" s="194"/>
      <c r="D875" s="194"/>
      <c r="E875" s="194"/>
      <c r="F875" s="194"/>
      <c r="G875" s="194"/>
      <c r="H875" s="194"/>
      <c r="I875" s="194"/>
      <c r="J875" s="194"/>
      <c r="K875" s="194"/>
      <c r="L875" s="194"/>
      <c r="M875" s="194"/>
      <c r="N875" s="194"/>
      <c r="O875" s="194"/>
      <c r="P875" s="194"/>
      <c r="Q875" s="194"/>
      <c r="R875" s="194"/>
      <c r="S875" s="194"/>
      <c r="T875" s="194"/>
      <c r="U875" s="194"/>
      <c r="V875" s="194"/>
      <c r="W875" s="194"/>
      <c r="X875" s="194"/>
      <c r="Y875" s="194"/>
      <c r="Z875" s="194"/>
      <c r="AA875" s="194"/>
      <c r="AB875" s="194"/>
      <c r="AC875" s="194"/>
      <c r="AD875" s="194"/>
      <c r="AE875" s="194"/>
      <c r="AF875" s="194"/>
      <c r="AG875" s="194"/>
      <c r="AH875" s="194"/>
      <c r="AI875" s="194"/>
      <c r="AJ875" s="194"/>
      <c r="AK875" s="194"/>
      <c r="AL875" s="194"/>
      <c r="AM875" s="194"/>
    </row>
    <row r="876" spans="1:39" ht="15.75" customHeight="1" x14ac:dyDescent="0.25">
      <c r="A876" s="194"/>
      <c r="B876" s="194"/>
      <c r="C876" s="194"/>
      <c r="D876" s="194"/>
      <c r="E876" s="194"/>
      <c r="F876" s="194"/>
      <c r="G876" s="194"/>
      <c r="H876" s="194"/>
      <c r="I876" s="194"/>
      <c r="J876" s="194"/>
      <c r="K876" s="194"/>
      <c r="L876" s="194"/>
      <c r="M876" s="194"/>
      <c r="N876" s="194"/>
      <c r="O876" s="194"/>
      <c r="P876" s="194"/>
      <c r="Q876" s="194"/>
      <c r="R876" s="194"/>
      <c r="S876" s="194"/>
      <c r="T876" s="194"/>
      <c r="U876" s="194"/>
      <c r="V876" s="194"/>
      <c r="W876" s="194"/>
      <c r="X876" s="194"/>
      <c r="Y876" s="194"/>
      <c r="Z876" s="194"/>
      <c r="AA876" s="194"/>
      <c r="AB876" s="194"/>
      <c r="AC876" s="194"/>
      <c r="AD876" s="194"/>
      <c r="AE876" s="194"/>
      <c r="AF876" s="194"/>
      <c r="AG876" s="194"/>
      <c r="AH876" s="194"/>
      <c r="AI876" s="194"/>
      <c r="AJ876" s="194"/>
      <c r="AK876" s="194"/>
      <c r="AL876" s="194"/>
      <c r="AM876" s="194"/>
    </row>
    <row r="877" spans="1:39" ht="15.75" customHeight="1" x14ac:dyDescent="0.25">
      <c r="A877" s="194"/>
      <c r="B877" s="194"/>
      <c r="C877" s="194"/>
      <c r="D877" s="194"/>
      <c r="E877" s="194"/>
      <c r="F877" s="194"/>
      <c r="G877" s="194"/>
      <c r="H877" s="194"/>
      <c r="I877" s="194"/>
      <c r="J877" s="194"/>
      <c r="K877" s="194"/>
      <c r="L877" s="194"/>
      <c r="M877" s="194"/>
      <c r="N877" s="194"/>
      <c r="O877" s="194"/>
      <c r="P877" s="194"/>
      <c r="Q877" s="194"/>
      <c r="R877" s="194"/>
      <c r="S877" s="194"/>
      <c r="T877" s="194"/>
      <c r="U877" s="194"/>
      <c r="V877" s="194"/>
      <c r="W877" s="194"/>
      <c r="X877" s="194"/>
      <c r="Y877" s="194"/>
      <c r="Z877" s="194"/>
      <c r="AA877" s="194"/>
      <c r="AB877" s="194"/>
      <c r="AC877" s="194"/>
      <c r="AD877" s="194"/>
      <c r="AE877" s="194"/>
      <c r="AF877" s="194"/>
      <c r="AG877" s="194"/>
      <c r="AH877" s="194"/>
      <c r="AI877" s="194"/>
      <c r="AJ877" s="194"/>
      <c r="AK877" s="194"/>
      <c r="AL877" s="194"/>
      <c r="AM877" s="194"/>
    </row>
    <row r="878" spans="1:39" ht="15.75" customHeight="1" x14ac:dyDescent="0.25">
      <c r="A878" s="194"/>
      <c r="B878" s="194"/>
      <c r="C878" s="194"/>
      <c r="D878" s="194"/>
      <c r="E878" s="194"/>
      <c r="F878" s="194"/>
      <c r="G878" s="194"/>
      <c r="H878" s="194"/>
      <c r="I878" s="194"/>
      <c r="J878" s="194"/>
      <c r="K878" s="194"/>
      <c r="L878" s="194"/>
      <c r="M878" s="194"/>
      <c r="N878" s="194"/>
      <c r="O878" s="194"/>
      <c r="P878" s="194"/>
      <c r="Q878" s="194"/>
      <c r="R878" s="194"/>
      <c r="S878" s="194"/>
      <c r="T878" s="194"/>
      <c r="U878" s="194"/>
      <c r="V878" s="194"/>
      <c r="W878" s="194"/>
      <c r="X878" s="194"/>
      <c r="Y878" s="194"/>
      <c r="Z878" s="194"/>
      <c r="AA878" s="194"/>
      <c r="AB878" s="194"/>
      <c r="AC878" s="194"/>
      <c r="AD878" s="194"/>
      <c r="AE878" s="194"/>
      <c r="AF878" s="194"/>
      <c r="AG878" s="194"/>
      <c r="AH878" s="194"/>
      <c r="AI878" s="194"/>
      <c r="AJ878" s="194"/>
      <c r="AK878" s="194"/>
      <c r="AL878" s="194"/>
      <c r="AM878" s="194"/>
    </row>
    <row r="879" spans="1:39" ht="15.75" customHeight="1" x14ac:dyDescent="0.25">
      <c r="A879" s="194"/>
      <c r="B879" s="194"/>
      <c r="C879" s="194"/>
      <c r="D879" s="194"/>
      <c r="E879" s="194"/>
      <c r="F879" s="194"/>
      <c r="G879" s="194"/>
      <c r="H879" s="194"/>
      <c r="I879" s="194"/>
      <c r="J879" s="194"/>
      <c r="K879" s="194"/>
      <c r="L879" s="194"/>
      <c r="M879" s="194"/>
      <c r="N879" s="194"/>
      <c r="O879" s="194"/>
      <c r="P879" s="194"/>
      <c r="Q879" s="194"/>
      <c r="R879" s="194"/>
      <c r="S879" s="194"/>
      <c r="T879" s="194"/>
      <c r="U879" s="194"/>
      <c r="V879" s="194"/>
      <c r="W879" s="194"/>
      <c r="X879" s="194"/>
      <c r="Y879" s="194"/>
      <c r="Z879" s="194"/>
      <c r="AA879" s="194"/>
      <c r="AB879" s="194"/>
      <c r="AC879" s="194"/>
      <c r="AD879" s="194"/>
      <c r="AE879" s="194"/>
      <c r="AF879" s="194"/>
      <c r="AG879" s="194"/>
      <c r="AH879" s="194"/>
      <c r="AI879" s="194"/>
      <c r="AJ879" s="194"/>
      <c r="AK879" s="194"/>
      <c r="AL879" s="194"/>
      <c r="AM879" s="194"/>
    </row>
    <row r="880" spans="1:39" ht="15.75" customHeight="1" x14ac:dyDescent="0.25">
      <c r="A880" s="194"/>
      <c r="B880" s="194"/>
      <c r="C880" s="194"/>
      <c r="D880" s="194"/>
      <c r="E880" s="194"/>
      <c r="F880" s="194"/>
      <c r="G880" s="194"/>
      <c r="H880" s="194"/>
      <c r="I880" s="194"/>
      <c r="J880" s="194"/>
      <c r="K880" s="194"/>
      <c r="L880" s="194"/>
      <c r="M880" s="194"/>
      <c r="N880" s="194"/>
      <c r="O880" s="194"/>
      <c r="P880" s="194"/>
      <c r="Q880" s="194"/>
      <c r="R880" s="194"/>
      <c r="S880" s="194"/>
      <c r="T880" s="194"/>
      <c r="U880" s="194"/>
      <c r="V880" s="194"/>
      <c r="W880" s="194"/>
      <c r="X880" s="194"/>
      <c r="Y880" s="194"/>
      <c r="Z880" s="194"/>
      <c r="AA880" s="194"/>
      <c r="AB880" s="194"/>
      <c r="AC880" s="194"/>
      <c r="AD880" s="194"/>
      <c r="AE880" s="194"/>
      <c r="AF880" s="194"/>
      <c r="AG880" s="194"/>
      <c r="AH880" s="194"/>
      <c r="AI880" s="194"/>
      <c r="AJ880" s="194"/>
      <c r="AK880" s="194"/>
      <c r="AL880" s="194"/>
      <c r="AM880" s="194"/>
    </row>
    <row r="881" spans="1:39" ht="15.75" customHeight="1" x14ac:dyDescent="0.25">
      <c r="A881" s="194"/>
      <c r="B881" s="194"/>
      <c r="C881" s="194"/>
      <c r="D881" s="194"/>
      <c r="E881" s="194"/>
      <c r="F881" s="194"/>
      <c r="G881" s="194"/>
      <c r="H881" s="194"/>
      <c r="I881" s="194"/>
      <c r="J881" s="194"/>
      <c r="K881" s="194"/>
      <c r="L881" s="194"/>
      <c r="M881" s="194"/>
      <c r="N881" s="194"/>
      <c r="O881" s="194"/>
      <c r="P881" s="194"/>
      <c r="Q881" s="194"/>
      <c r="R881" s="194"/>
      <c r="S881" s="194"/>
      <c r="T881" s="194"/>
      <c r="U881" s="194"/>
      <c r="V881" s="194"/>
      <c r="W881" s="194"/>
      <c r="X881" s="194"/>
      <c r="Y881" s="194"/>
      <c r="Z881" s="194"/>
      <c r="AA881" s="194"/>
      <c r="AB881" s="194"/>
      <c r="AC881" s="194"/>
      <c r="AD881" s="194"/>
      <c r="AE881" s="194"/>
      <c r="AF881" s="194"/>
      <c r="AG881" s="194"/>
      <c r="AH881" s="194"/>
      <c r="AI881" s="194"/>
      <c r="AJ881" s="194"/>
      <c r="AK881" s="194"/>
      <c r="AL881" s="194"/>
      <c r="AM881" s="194"/>
    </row>
    <row r="882" spans="1:39" ht="15.75" customHeight="1" x14ac:dyDescent="0.25">
      <c r="A882" s="194"/>
      <c r="B882" s="194"/>
      <c r="C882" s="194"/>
      <c r="D882" s="194"/>
      <c r="E882" s="194"/>
      <c r="F882" s="194"/>
      <c r="G882" s="194"/>
      <c r="H882" s="194"/>
      <c r="I882" s="194"/>
      <c r="J882" s="194"/>
      <c r="K882" s="194"/>
      <c r="L882" s="194"/>
      <c r="M882" s="194"/>
      <c r="N882" s="194"/>
      <c r="O882" s="194"/>
      <c r="P882" s="194"/>
      <c r="Q882" s="194"/>
      <c r="R882" s="194"/>
      <c r="S882" s="194"/>
      <c r="T882" s="194"/>
      <c r="U882" s="194"/>
      <c r="V882" s="194"/>
      <c r="W882" s="194"/>
      <c r="X882" s="194"/>
      <c r="Y882" s="194"/>
      <c r="Z882" s="194"/>
      <c r="AA882" s="194"/>
      <c r="AB882" s="194"/>
      <c r="AC882" s="194"/>
      <c r="AD882" s="194"/>
      <c r="AE882" s="194"/>
      <c r="AF882" s="194"/>
      <c r="AG882" s="194"/>
      <c r="AH882" s="194"/>
      <c r="AI882" s="194"/>
      <c r="AJ882" s="194"/>
      <c r="AK882" s="194"/>
      <c r="AL882" s="194"/>
      <c r="AM882" s="194"/>
    </row>
    <row r="883" spans="1:39" ht="15.75" customHeight="1" x14ac:dyDescent="0.25">
      <c r="A883" s="194"/>
      <c r="B883" s="194"/>
      <c r="C883" s="194"/>
      <c r="D883" s="194"/>
      <c r="E883" s="194"/>
      <c r="F883" s="194"/>
      <c r="G883" s="194"/>
      <c r="H883" s="194"/>
      <c r="I883" s="194"/>
      <c r="J883" s="194"/>
      <c r="K883" s="194"/>
      <c r="L883" s="194"/>
      <c r="M883" s="194"/>
      <c r="N883" s="194"/>
      <c r="O883" s="194"/>
      <c r="P883" s="194"/>
      <c r="Q883" s="194"/>
      <c r="R883" s="194"/>
      <c r="S883" s="194"/>
      <c r="T883" s="194"/>
      <c r="U883" s="194"/>
      <c r="V883" s="194"/>
      <c r="W883" s="194"/>
      <c r="X883" s="194"/>
      <c r="Y883" s="194"/>
      <c r="Z883" s="194"/>
      <c r="AA883" s="194"/>
      <c r="AB883" s="194"/>
      <c r="AC883" s="194"/>
      <c r="AD883" s="194"/>
      <c r="AE883" s="194"/>
      <c r="AF883" s="194"/>
      <c r="AG883" s="194"/>
      <c r="AH883" s="194"/>
      <c r="AI883" s="194"/>
      <c r="AJ883" s="194"/>
      <c r="AK883" s="194"/>
      <c r="AL883" s="194"/>
      <c r="AM883" s="194"/>
    </row>
    <row r="884" spans="1:39" ht="15.75" customHeight="1" x14ac:dyDescent="0.25">
      <c r="A884" s="194"/>
      <c r="B884" s="194"/>
      <c r="C884" s="194"/>
      <c r="D884" s="194"/>
      <c r="E884" s="194"/>
      <c r="F884" s="194"/>
      <c r="G884" s="194"/>
      <c r="H884" s="194"/>
      <c r="I884" s="194"/>
      <c r="J884" s="194"/>
      <c r="K884" s="194"/>
      <c r="L884" s="194"/>
      <c r="M884" s="194"/>
      <c r="N884" s="194"/>
      <c r="O884" s="194"/>
      <c r="P884" s="194"/>
      <c r="Q884" s="194"/>
      <c r="R884" s="194"/>
      <c r="S884" s="194"/>
      <c r="T884" s="194"/>
      <c r="U884" s="194"/>
      <c r="V884" s="194"/>
      <c r="W884" s="194"/>
      <c r="X884" s="194"/>
      <c r="Y884" s="194"/>
      <c r="Z884" s="194"/>
      <c r="AA884" s="194"/>
      <c r="AB884" s="194"/>
      <c r="AC884" s="194"/>
      <c r="AD884" s="194"/>
      <c r="AE884" s="194"/>
      <c r="AF884" s="194"/>
      <c r="AG884" s="194"/>
      <c r="AH884" s="194"/>
      <c r="AI884" s="194"/>
      <c r="AJ884" s="194"/>
      <c r="AK884" s="194"/>
      <c r="AL884" s="194"/>
      <c r="AM884" s="194"/>
    </row>
    <row r="885" spans="1:39" ht="15.75" customHeight="1" x14ac:dyDescent="0.25">
      <c r="A885" s="194"/>
      <c r="B885" s="194"/>
      <c r="C885" s="194"/>
      <c r="D885" s="194"/>
      <c r="E885" s="194"/>
      <c r="F885" s="194"/>
      <c r="G885" s="194"/>
      <c r="H885" s="194"/>
      <c r="I885" s="194"/>
      <c r="J885" s="194"/>
      <c r="K885" s="194"/>
      <c r="L885" s="194"/>
      <c r="M885" s="194"/>
      <c r="N885" s="194"/>
      <c r="O885" s="194"/>
      <c r="P885" s="194"/>
      <c r="Q885" s="194"/>
      <c r="R885" s="194"/>
      <c r="S885" s="194"/>
      <c r="T885" s="194"/>
      <c r="U885" s="194"/>
      <c r="V885" s="194"/>
      <c r="W885" s="194"/>
      <c r="X885" s="194"/>
      <c r="Y885" s="194"/>
      <c r="Z885" s="194"/>
      <c r="AA885" s="194"/>
      <c r="AB885" s="194"/>
      <c r="AC885" s="194"/>
      <c r="AD885" s="194"/>
      <c r="AE885" s="194"/>
      <c r="AF885" s="194"/>
      <c r="AG885" s="194"/>
      <c r="AH885" s="194"/>
      <c r="AI885" s="194"/>
      <c r="AJ885" s="194"/>
      <c r="AK885" s="194"/>
      <c r="AL885" s="194"/>
      <c r="AM885" s="194"/>
    </row>
    <row r="886" spans="1:39" ht="15.75" customHeight="1" x14ac:dyDescent="0.25">
      <c r="A886" s="194"/>
      <c r="B886" s="194"/>
      <c r="C886" s="194"/>
      <c r="D886" s="194"/>
      <c r="E886" s="194"/>
      <c r="F886" s="194"/>
      <c r="G886" s="194"/>
      <c r="H886" s="194"/>
      <c r="I886" s="194"/>
      <c r="J886" s="194"/>
      <c r="K886" s="194"/>
      <c r="L886" s="194"/>
      <c r="M886" s="194"/>
      <c r="N886" s="194"/>
      <c r="O886" s="194"/>
      <c r="P886" s="194"/>
      <c r="Q886" s="194"/>
      <c r="R886" s="194"/>
      <c r="S886" s="194"/>
      <c r="T886" s="194"/>
      <c r="U886" s="194"/>
      <c r="V886" s="194"/>
      <c r="W886" s="194"/>
      <c r="X886" s="194"/>
      <c r="Y886" s="194"/>
      <c r="Z886" s="194"/>
      <c r="AA886" s="194"/>
      <c r="AB886" s="194"/>
      <c r="AC886" s="194"/>
      <c r="AD886" s="194"/>
      <c r="AE886" s="194"/>
      <c r="AF886" s="194"/>
      <c r="AG886" s="194"/>
      <c r="AH886" s="194"/>
      <c r="AI886" s="194"/>
      <c r="AJ886" s="194"/>
      <c r="AK886" s="194"/>
      <c r="AL886" s="194"/>
      <c r="AM886" s="194"/>
    </row>
    <row r="887" spans="1:39" ht="15.75" customHeight="1" x14ac:dyDescent="0.25">
      <c r="A887" s="194"/>
      <c r="B887" s="194"/>
      <c r="C887" s="194"/>
      <c r="D887" s="194"/>
      <c r="E887" s="194"/>
      <c r="F887" s="194"/>
      <c r="G887" s="194"/>
      <c r="H887" s="194"/>
      <c r="I887" s="194"/>
      <c r="J887" s="194"/>
      <c r="K887" s="194"/>
      <c r="L887" s="194"/>
      <c r="M887" s="194"/>
      <c r="N887" s="194"/>
      <c r="O887" s="194"/>
      <c r="P887" s="194"/>
      <c r="Q887" s="194"/>
      <c r="R887" s="194"/>
      <c r="S887" s="194"/>
      <c r="T887" s="194"/>
      <c r="U887" s="194"/>
      <c r="V887" s="194"/>
      <c r="W887" s="194"/>
      <c r="X887" s="194"/>
      <c r="Y887" s="194"/>
      <c r="Z887" s="194"/>
      <c r="AA887" s="194"/>
      <c r="AB887" s="194"/>
      <c r="AC887" s="194"/>
      <c r="AD887" s="194"/>
      <c r="AE887" s="194"/>
      <c r="AF887" s="194"/>
      <c r="AG887" s="194"/>
      <c r="AH887" s="194"/>
      <c r="AI887" s="194"/>
      <c r="AJ887" s="194"/>
      <c r="AK887" s="194"/>
      <c r="AL887" s="194"/>
      <c r="AM887" s="194"/>
    </row>
    <row r="888" spans="1:39" ht="15.75" customHeight="1" x14ac:dyDescent="0.25">
      <c r="A888" s="194"/>
      <c r="B888" s="194"/>
      <c r="C888" s="194"/>
      <c r="D888" s="194"/>
      <c r="E888" s="194"/>
      <c r="F888" s="194"/>
      <c r="G888" s="194"/>
      <c r="H888" s="194"/>
      <c r="I888" s="194"/>
      <c r="J888" s="194"/>
      <c r="K888" s="194"/>
      <c r="L888" s="194"/>
      <c r="M888" s="194"/>
      <c r="N888" s="194"/>
      <c r="O888" s="194"/>
      <c r="P888" s="194"/>
      <c r="Q888" s="194"/>
      <c r="R888" s="194"/>
      <c r="S888" s="194"/>
      <c r="T888" s="194"/>
      <c r="U888" s="194"/>
      <c r="V888" s="194"/>
      <c r="W888" s="194"/>
      <c r="X888" s="194"/>
      <c r="Y888" s="194"/>
      <c r="Z888" s="194"/>
      <c r="AA888" s="194"/>
      <c r="AB888" s="194"/>
      <c r="AC888" s="194"/>
      <c r="AD888" s="194"/>
      <c r="AE888" s="194"/>
      <c r="AF888" s="194"/>
      <c r="AG888" s="194"/>
      <c r="AH888" s="194"/>
      <c r="AI888" s="194"/>
      <c r="AJ888" s="194"/>
      <c r="AK888" s="194"/>
      <c r="AL888" s="194"/>
      <c r="AM888" s="194"/>
    </row>
    <row r="889" spans="1:39" ht="15.75" customHeight="1" x14ac:dyDescent="0.25">
      <c r="A889" s="194"/>
      <c r="B889" s="194"/>
      <c r="C889" s="194"/>
      <c r="D889" s="194"/>
      <c r="E889" s="194"/>
      <c r="F889" s="194"/>
      <c r="G889" s="194"/>
      <c r="H889" s="194"/>
      <c r="I889" s="194"/>
      <c r="J889" s="194"/>
      <c r="K889" s="194"/>
      <c r="L889" s="194"/>
      <c r="M889" s="194"/>
      <c r="N889" s="194"/>
      <c r="O889" s="194"/>
      <c r="P889" s="194"/>
      <c r="Q889" s="194"/>
      <c r="R889" s="194"/>
      <c r="S889" s="194"/>
      <c r="T889" s="194"/>
      <c r="U889" s="194"/>
      <c r="V889" s="194"/>
      <c r="W889" s="194"/>
      <c r="X889" s="194"/>
      <c r="Y889" s="194"/>
      <c r="Z889" s="194"/>
      <c r="AA889" s="194"/>
      <c r="AB889" s="194"/>
      <c r="AC889" s="194"/>
      <c r="AD889" s="194"/>
      <c r="AE889" s="194"/>
      <c r="AF889" s="194"/>
      <c r="AG889" s="194"/>
      <c r="AH889" s="194"/>
      <c r="AI889" s="194"/>
      <c r="AJ889" s="194"/>
      <c r="AK889" s="194"/>
      <c r="AL889" s="194"/>
      <c r="AM889" s="194"/>
    </row>
    <row r="890" spans="1:39" ht="15.75" customHeight="1" x14ac:dyDescent="0.25">
      <c r="A890" s="194"/>
      <c r="B890" s="194"/>
      <c r="C890" s="194"/>
      <c r="D890" s="194"/>
      <c r="E890" s="194"/>
      <c r="F890" s="194"/>
      <c r="G890" s="194"/>
      <c r="H890" s="194"/>
      <c r="I890" s="194"/>
      <c r="J890" s="194"/>
      <c r="K890" s="194"/>
      <c r="L890" s="194"/>
      <c r="M890" s="194"/>
      <c r="N890" s="194"/>
      <c r="O890" s="194"/>
      <c r="P890" s="194"/>
      <c r="Q890" s="194"/>
      <c r="R890" s="194"/>
      <c r="S890" s="194"/>
      <c r="T890" s="194"/>
      <c r="U890" s="194"/>
      <c r="V890" s="194"/>
      <c r="W890" s="194"/>
      <c r="X890" s="194"/>
      <c r="Y890" s="194"/>
      <c r="Z890" s="194"/>
      <c r="AA890" s="194"/>
      <c r="AB890" s="194"/>
      <c r="AC890" s="194"/>
      <c r="AD890" s="194"/>
      <c r="AE890" s="194"/>
      <c r="AF890" s="194"/>
      <c r="AG890" s="194"/>
      <c r="AH890" s="194"/>
      <c r="AI890" s="194"/>
      <c r="AJ890" s="194"/>
      <c r="AK890" s="194"/>
      <c r="AL890" s="194"/>
      <c r="AM890" s="194"/>
    </row>
    <row r="891" spans="1:39" ht="15.75" customHeight="1" x14ac:dyDescent="0.25">
      <c r="A891" s="194"/>
      <c r="B891" s="194"/>
      <c r="C891" s="194"/>
      <c r="D891" s="194"/>
      <c r="E891" s="194"/>
      <c r="F891" s="194"/>
      <c r="G891" s="194"/>
      <c r="H891" s="194"/>
      <c r="I891" s="194"/>
      <c r="J891" s="194"/>
      <c r="K891" s="194"/>
      <c r="L891" s="194"/>
      <c r="M891" s="194"/>
      <c r="N891" s="194"/>
      <c r="O891" s="194"/>
      <c r="P891" s="194"/>
      <c r="Q891" s="194"/>
      <c r="R891" s="194"/>
      <c r="S891" s="194"/>
      <c r="T891" s="194"/>
      <c r="U891" s="194"/>
      <c r="V891" s="194"/>
      <c r="W891" s="194"/>
      <c r="X891" s="194"/>
      <c r="Y891" s="194"/>
      <c r="Z891" s="194"/>
      <c r="AA891" s="194"/>
      <c r="AB891" s="194"/>
      <c r="AC891" s="194"/>
      <c r="AD891" s="194"/>
      <c r="AE891" s="194"/>
      <c r="AF891" s="194"/>
      <c r="AG891" s="194"/>
      <c r="AH891" s="194"/>
      <c r="AI891" s="194"/>
      <c r="AJ891" s="194"/>
      <c r="AK891" s="194"/>
      <c r="AL891" s="194"/>
      <c r="AM891" s="194"/>
    </row>
    <row r="892" spans="1:39" ht="15.75" customHeight="1" x14ac:dyDescent="0.25">
      <c r="A892" s="194"/>
      <c r="B892" s="194"/>
      <c r="C892" s="194"/>
      <c r="D892" s="194"/>
      <c r="E892" s="194"/>
      <c r="F892" s="194"/>
      <c r="G892" s="194"/>
      <c r="H892" s="194"/>
      <c r="I892" s="194"/>
      <c r="J892" s="194"/>
      <c r="K892" s="194"/>
      <c r="L892" s="194"/>
      <c r="M892" s="194"/>
      <c r="N892" s="194"/>
      <c r="O892" s="194"/>
      <c r="P892" s="194"/>
      <c r="Q892" s="194"/>
      <c r="R892" s="194"/>
      <c r="S892" s="194"/>
      <c r="T892" s="194"/>
      <c r="U892" s="194"/>
      <c r="V892" s="194"/>
      <c r="W892" s="194"/>
      <c r="X892" s="194"/>
      <c r="Y892" s="194"/>
      <c r="Z892" s="194"/>
      <c r="AA892" s="194"/>
      <c r="AB892" s="194"/>
      <c r="AC892" s="194"/>
      <c r="AD892" s="194"/>
      <c r="AE892" s="194"/>
      <c r="AF892" s="194"/>
      <c r="AG892" s="194"/>
      <c r="AH892" s="194"/>
      <c r="AI892" s="194"/>
      <c r="AJ892" s="194"/>
      <c r="AK892" s="194"/>
      <c r="AL892" s="194"/>
      <c r="AM892" s="194"/>
    </row>
    <row r="893" spans="1:39" ht="15.75" customHeight="1" x14ac:dyDescent="0.25">
      <c r="A893" s="194"/>
      <c r="B893" s="194"/>
      <c r="C893" s="194"/>
      <c r="D893" s="194"/>
      <c r="E893" s="194"/>
      <c r="F893" s="194"/>
      <c r="G893" s="194"/>
      <c r="H893" s="194"/>
      <c r="I893" s="194"/>
      <c r="J893" s="194"/>
      <c r="K893" s="194"/>
      <c r="L893" s="194"/>
      <c r="M893" s="194"/>
      <c r="N893" s="194"/>
      <c r="O893" s="194"/>
      <c r="P893" s="194"/>
      <c r="Q893" s="194"/>
      <c r="R893" s="194"/>
      <c r="S893" s="194"/>
      <c r="T893" s="194"/>
      <c r="U893" s="194"/>
      <c r="V893" s="194"/>
      <c r="W893" s="194"/>
      <c r="X893" s="194"/>
      <c r="Y893" s="194"/>
      <c r="Z893" s="194"/>
      <c r="AA893" s="194"/>
      <c r="AB893" s="194"/>
      <c r="AC893" s="194"/>
      <c r="AD893" s="194"/>
      <c r="AE893" s="194"/>
      <c r="AF893" s="194"/>
      <c r="AG893" s="194"/>
      <c r="AH893" s="194"/>
      <c r="AI893" s="194"/>
      <c r="AJ893" s="194"/>
      <c r="AK893" s="194"/>
      <c r="AL893" s="194"/>
      <c r="AM893" s="194"/>
    </row>
    <row r="894" spans="1:39" ht="15.75" customHeight="1" x14ac:dyDescent="0.25">
      <c r="A894" s="194"/>
      <c r="B894" s="194"/>
      <c r="C894" s="194"/>
      <c r="D894" s="194"/>
      <c r="E894" s="194"/>
      <c r="F894" s="194"/>
      <c r="G894" s="194"/>
      <c r="H894" s="194"/>
      <c r="I894" s="194"/>
      <c r="J894" s="194"/>
      <c r="K894" s="194"/>
      <c r="L894" s="194"/>
      <c r="M894" s="194"/>
      <c r="N894" s="194"/>
      <c r="O894" s="194"/>
      <c r="P894" s="194"/>
      <c r="Q894" s="194"/>
      <c r="R894" s="194"/>
      <c r="S894" s="194"/>
      <c r="T894" s="194"/>
      <c r="U894" s="194"/>
      <c r="V894" s="194"/>
      <c r="W894" s="194"/>
      <c r="X894" s="194"/>
      <c r="Y894" s="194"/>
      <c r="Z894" s="194"/>
      <c r="AA894" s="194"/>
      <c r="AB894" s="194"/>
      <c r="AC894" s="194"/>
      <c r="AD894" s="194"/>
      <c r="AE894" s="194"/>
      <c r="AF894" s="194"/>
      <c r="AG894" s="194"/>
      <c r="AH894" s="194"/>
      <c r="AI894" s="194"/>
      <c r="AJ894" s="194"/>
      <c r="AK894" s="194"/>
      <c r="AL894" s="194"/>
      <c r="AM894" s="194"/>
    </row>
    <row r="895" spans="1:39" ht="15.75" customHeight="1" x14ac:dyDescent="0.25">
      <c r="A895" s="194"/>
      <c r="B895" s="194"/>
      <c r="C895" s="194"/>
      <c r="D895" s="194"/>
      <c r="E895" s="194"/>
      <c r="F895" s="194"/>
      <c r="G895" s="194"/>
      <c r="H895" s="194"/>
      <c r="I895" s="194"/>
      <c r="J895" s="194"/>
      <c r="K895" s="194"/>
      <c r="L895" s="194"/>
      <c r="M895" s="194"/>
      <c r="N895" s="194"/>
      <c r="O895" s="194"/>
      <c r="P895" s="194"/>
      <c r="Q895" s="194"/>
      <c r="R895" s="194"/>
      <c r="S895" s="194"/>
      <c r="T895" s="194"/>
      <c r="U895" s="194"/>
      <c r="V895" s="194"/>
      <c r="W895" s="194"/>
      <c r="X895" s="194"/>
      <c r="Y895" s="194"/>
      <c r="Z895" s="194"/>
      <c r="AA895" s="194"/>
      <c r="AB895" s="194"/>
      <c r="AC895" s="194"/>
      <c r="AD895" s="194"/>
      <c r="AE895" s="194"/>
      <c r="AF895" s="194"/>
      <c r="AG895" s="194"/>
      <c r="AH895" s="194"/>
      <c r="AI895" s="194"/>
      <c r="AJ895" s="194"/>
      <c r="AK895" s="194"/>
      <c r="AL895" s="194"/>
      <c r="AM895" s="194"/>
    </row>
    <row r="896" spans="1:39" ht="15.75" customHeight="1" x14ac:dyDescent="0.25">
      <c r="A896" s="194"/>
      <c r="B896" s="194"/>
      <c r="C896" s="194"/>
      <c r="D896" s="194"/>
      <c r="E896" s="194"/>
      <c r="F896" s="194"/>
      <c r="G896" s="194"/>
      <c r="H896" s="194"/>
      <c r="I896" s="194"/>
      <c r="J896" s="194"/>
      <c r="K896" s="194"/>
      <c r="L896" s="194"/>
      <c r="M896" s="194"/>
      <c r="N896" s="194"/>
      <c r="O896" s="194"/>
      <c r="P896" s="194"/>
      <c r="Q896" s="194"/>
      <c r="R896" s="194"/>
      <c r="S896" s="194"/>
      <c r="T896" s="194"/>
      <c r="U896" s="194"/>
      <c r="V896" s="194"/>
      <c r="W896" s="194"/>
      <c r="X896" s="194"/>
      <c r="Y896" s="194"/>
      <c r="Z896" s="194"/>
      <c r="AA896" s="194"/>
      <c r="AB896" s="194"/>
      <c r="AC896" s="194"/>
      <c r="AD896" s="194"/>
      <c r="AE896" s="194"/>
      <c r="AF896" s="194"/>
      <c r="AG896" s="194"/>
      <c r="AH896" s="194"/>
      <c r="AI896" s="194"/>
      <c r="AJ896" s="194"/>
      <c r="AK896" s="194"/>
      <c r="AL896" s="194"/>
      <c r="AM896" s="194"/>
    </row>
    <row r="897" spans="1:39" ht="15.75" customHeight="1" x14ac:dyDescent="0.25">
      <c r="A897" s="194"/>
      <c r="B897" s="194"/>
      <c r="C897" s="194"/>
      <c r="D897" s="194"/>
      <c r="E897" s="194"/>
      <c r="F897" s="194"/>
      <c r="G897" s="194"/>
      <c r="H897" s="194"/>
      <c r="I897" s="194"/>
      <c r="J897" s="194"/>
      <c r="K897" s="194"/>
      <c r="L897" s="194"/>
      <c r="M897" s="194"/>
      <c r="N897" s="194"/>
      <c r="O897" s="194"/>
      <c r="P897" s="194"/>
      <c r="Q897" s="194"/>
      <c r="R897" s="194"/>
      <c r="S897" s="194"/>
      <c r="T897" s="194"/>
      <c r="U897" s="194"/>
      <c r="V897" s="194"/>
      <c r="W897" s="194"/>
      <c r="X897" s="194"/>
      <c r="Y897" s="194"/>
      <c r="Z897" s="194"/>
      <c r="AA897" s="194"/>
      <c r="AB897" s="194"/>
      <c r="AC897" s="194"/>
      <c r="AD897" s="194"/>
      <c r="AE897" s="194"/>
      <c r="AF897" s="194"/>
      <c r="AG897" s="194"/>
      <c r="AH897" s="194"/>
      <c r="AI897" s="194"/>
      <c r="AJ897" s="194"/>
      <c r="AK897" s="194"/>
      <c r="AL897" s="194"/>
      <c r="AM897" s="194"/>
    </row>
    <row r="898" spans="1:39" ht="15.75" customHeight="1" x14ac:dyDescent="0.25">
      <c r="A898" s="194"/>
      <c r="B898" s="194"/>
      <c r="C898" s="194"/>
      <c r="D898" s="194"/>
      <c r="E898" s="194"/>
      <c r="F898" s="194"/>
      <c r="G898" s="194"/>
      <c r="H898" s="194"/>
      <c r="I898" s="194"/>
      <c r="J898" s="194"/>
      <c r="K898" s="194"/>
      <c r="L898" s="194"/>
      <c r="M898" s="194"/>
      <c r="N898" s="194"/>
      <c r="O898" s="194"/>
      <c r="P898" s="194"/>
      <c r="Q898" s="194"/>
      <c r="R898" s="194"/>
      <c r="S898" s="194"/>
      <c r="T898" s="194"/>
      <c r="U898" s="194"/>
      <c r="V898" s="194"/>
      <c r="W898" s="194"/>
      <c r="X898" s="194"/>
      <c r="Y898" s="194"/>
      <c r="Z898" s="194"/>
      <c r="AA898" s="194"/>
      <c r="AB898" s="194"/>
      <c r="AC898" s="194"/>
      <c r="AD898" s="194"/>
      <c r="AE898" s="194"/>
      <c r="AF898" s="194"/>
      <c r="AG898" s="194"/>
      <c r="AH898" s="194"/>
      <c r="AI898" s="194"/>
      <c r="AJ898" s="194"/>
      <c r="AK898" s="194"/>
      <c r="AL898" s="194"/>
      <c r="AM898" s="194"/>
    </row>
    <row r="899" spans="1:39" ht="15.75" customHeight="1" x14ac:dyDescent="0.25">
      <c r="A899" s="194"/>
      <c r="B899" s="194"/>
      <c r="C899" s="194"/>
      <c r="D899" s="194"/>
      <c r="E899" s="194"/>
      <c r="F899" s="194"/>
      <c r="G899" s="194"/>
      <c r="H899" s="194"/>
      <c r="I899" s="194"/>
      <c r="J899" s="194"/>
      <c r="K899" s="194"/>
      <c r="L899" s="194"/>
      <c r="M899" s="194"/>
      <c r="N899" s="194"/>
      <c r="O899" s="194"/>
      <c r="P899" s="194"/>
      <c r="Q899" s="194"/>
      <c r="R899" s="194"/>
      <c r="S899" s="194"/>
      <c r="T899" s="194"/>
      <c r="U899" s="194"/>
      <c r="V899" s="194"/>
      <c r="W899" s="194"/>
      <c r="X899" s="194"/>
      <c r="Y899" s="194"/>
      <c r="Z899" s="194"/>
      <c r="AA899" s="194"/>
      <c r="AB899" s="194"/>
      <c r="AC899" s="194"/>
      <c r="AD899" s="194"/>
      <c r="AE899" s="194"/>
      <c r="AF899" s="194"/>
      <c r="AG899" s="194"/>
      <c r="AH899" s="194"/>
      <c r="AI899" s="194"/>
      <c r="AJ899" s="194"/>
      <c r="AK899" s="194"/>
      <c r="AL899" s="194"/>
      <c r="AM899" s="194"/>
    </row>
    <row r="900" spans="1:39" ht="15.75" customHeight="1" x14ac:dyDescent="0.25">
      <c r="A900" s="194"/>
      <c r="B900" s="194"/>
      <c r="C900" s="194"/>
      <c r="D900" s="194"/>
      <c r="E900" s="194"/>
      <c r="F900" s="194"/>
      <c r="G900" s="194"/>
      <c r="H900" s="194"/>
      <c r="I900" s="194"/>
      <c r="J900" s="194"/>
      <c r="K900" s="194"/>
      <c r="L900" s="194"/>
      <c r="M900" s="194"/>
      <c r="N900" s="194"/>
      <c r="O900" s="194"/>
      <c r="P900" s="194"/>
      <c r="Q900" s="194"/>
      <c r="R900" s="194"/>
      <c r="S900" s="194"/>
      <c r="T900" s="194"/>
      <c r="U900" s="194"/>
      <c r="V900" s="194"/>
      <c r="W900" s="194"/>
      <c r="X900" s="194"/>
      <c r="Y900" s="194"/>
      <c r="Z900" s="194"/>
      <c r="AA900" s="194"/>
      <c r="AB900" s="194"/>
      <c r="AC900" s="194"/>
      <c r="AD900" s="194"/>
      <c r="AE900" s="194"/>
      <c r="AF900" s="194"/>
      <c r="AG900" s="194"/>
      <c r="AH900" s="194"/>
      <c r="AI900" s="194"/>
      <c r="AJ900" s="194"/>
      <c r="AK900" s="194"/>
      <c r="AL900" s="194"/>
      <c r="AM900" s="194"/>
    </row>
    <row r="901" spans="1:39" ht="15.75" customHeight="1" x14ac:dyDescent="0.25">
      <c r="A901" s="194"/>
      <c r="B901" s="194"/>
      <c r="C901" s="194"/>
      <c r="D901" s="194"/>
      <c r="E901" s="194"/>
      <c r="F901" s="194"/>
      <c r="G901" s="194"/>
      <c r="H901" s="194"/>
      <c r="I901" s="194"/>
      <c r="J901" s="194"/>
      <c r="K901" s="194"/>
      <c r="L901" s="194"/>
      <c r="M901" s="194"/>
      <c r="N901" s="194"/>
      <c r="O901" s="194"/>
      <c r="P901" s="194"/>
      <c r="Q901" s="194"/>
      <c r="R901" s="194"/>
      <c r="S901" s="194"/>
      <c r="T901" s="194"/>
      <c r="U901" s="194"/>
      <c r="V901" s="194"/>
      <c r="W901" s="194"/>
      <c r="X901" s="194"/>
      <c r="Y901" s="194"/>
      <c r="Z901" s="194"/>
      <c r="AA901" s="194"/>
      <c r="AB901" s="194"/>
      <c r="AC901" s="194"/>
      <c r="AD901" s="194"/>
      <c r="AE901" s="194"/>
      <c r="AF901" s="194"/>
      <c r="AG901" s="194"/>
      <c r="AH901" s="194"/>
      <c r="AI901" s="194"/>
      <c r="AJ901" s="194"/>
      <c r="AK901" s="194"/>
      <c r="AL901" s="194"/>
      <c r="AM901" s="194"/>
    </row>
    <row r="902" spans="1:39" ht="15.75" customHeight="1" x14ac:dyDescent="0.25">
      <c r="A902" s="194"/>
      <c r="B902" s="194"/>
      <c r="C902" s="194"/>
      <c r="D902" s="194"/>
      <c r="E902" s="194"/>
      <c r="F902" s="194"/>
      <c r="G902" s="194"/>
      <c r="H902" s="194"/>
      <c r="I902" s="194"/>
      <c r="J902" s="194"/>
      <c r="K902" s="194"/>
      <c r="L902" s="194"/>
      <c r="M902" s="194"/>
      <c r="N902" s="194"/>
      <c r="O902" s="194"/>
      <c r="P902" s="194"/>
      <c r="Q902" s="194"/>
      <c r="R902" s="194"/>
      <c r="S902" s="194"/>
      <c r="T902" s="194"/>
      <c r="U902" s="194"/>
      <c r="V902" s="194"/>
      <c r="W902" s="194"/>
      <c r="X902" s="194"/>
      <c r="Y902" s="194"/>
      <c r="Z902" s="194"/>
      <c r="AA902" s="194"/>
      <c r="AB902" s="194"/>
      <c r="AC902" s="194"/>
      <c r="AD902" s="194"/>
      <c r="AE902" s="194"/>
      <c r="AF902" s="194"/>
      <c r="AG902" s="194"/>
      <c r="AH902" s="194"/>
      <c r="AI902" s="194"/>
      <c r="AJ902" s="194"/>
      <c r="AK902" s="194"/>
      <c r="AL902" s="194"/>
      <c r="AM902" s="194"/>
    </row>
    <row r="903" spans="1:39" ht="15.75" customHeight="1" x14ac:dyDescent="0.25">
      <c r="A903" s="194"/>
      <c r="B903" s="194"/>
      <c r="C903" s="194"/>
      <c r="D903" s="194"/>
      <c r="E903" s="194"/>
      <c r="F903" s="194"/>
      <c r="G903" s="194"/>
      <c r="H903" s="194"/>
      <c r="I903" s="194"/>
      <c r="J903" s="194"/>
      <c r="K903" s="194"/>
      <c r="L903" s="194"/>
      <c r="M903" s="194"/>
      <c r="N903" s="194"/>
      <c r="O903" s="194"/>
      <c r="P903" s="194"/>
      <c r="Q903" s="194"/>
      <c r="R903" s="194"/>
      <c r="S903" s="194"/>
      <c r="T903" s="194"/>
      <c r="U903" s="194"/>
      <c r="V903" s="194"/>
      <c r="W903" s="194"/>
      <c r="X903" s="194"/>
      <c r="Y903" s="194"/>
      <c r="Z903" s="194"/>
      <c r="AA903" s="194"/>
      <c r="AB903" s="194"/>
      <c r="AC903" s="194"/>
      <c r="AD903" s="194"/>
      <c r="AE903" s="194"/>
      <c r="AF903" s="194"/>
      <c r="AG903" s="194"/>
      <c r="AH903" s="194"/>
      <c r="AI903" s="194"/>
      <c r="AJ903" s="194"/>
      <c r="AK903" s="194"/>
      <c r="AL903" s="194"/>
      <c r="AM903" s="194"/>
    </row>
    <row r="904" spans="1:39" ht="15.75" customHeight="1" x14ac:dyDescent="0.25">
      <c r="A904" s="194"/>
      <c r="B904" s="194"/>
      <c r="C904" s="194"/>
      <c r="D904" s="194"/>
      <c r="E904" s="194"/>
      <c r="F904" s="194"/>
      <c r="G904" s="194"/>
      <c r="H904" s="194"/>
      <c r="I904" s="194"/>
      <c r="J904" s="194"/>
      <c r="K904" s="194"/>
      <c r="L904" s="194"/>
      <c r="M904" s="194"/>
      <c r="N904" s="194"/>
      <c r="O904" s="194"/>
      <c r="P904" s="194"/>
      <c r="Q904" s="194"/>
      <c r="R904" s="194"/>
      <c r="S904" s="194"/>
      <c r="T904" s="194"/>
      <c r="U904" s="194"/>
      <c r="V904" s="194"/>
      <c r="W904" s="194"/>
      <c r="X904" s="194"/>
      <c r="Y904" s="194"/>
      <c r="Z904" s="194"/>
      <c r="AA904" s="194"/>
      <c r="AB904" s="194"/>
      <c r="AC904" s="194"/>
      <c r="AD904" s="194"/>
      <c r="AE904" s="194"/>
      <c r="AF904" s="194"/>
      <c r="AG904" s="194"/>
      <c r="AH904" s="194"/>
      <c r="AI904" s="194"/>
      <c r="AJ904" s="194"/>
      <c r="AK904" s="194"/>
      <c r="AL904" s="194"/>
      <c r="AM904" s="194"/>
    </row>
    <row r="905" spans="1:39" ht="15.75" customHeight="1" x14ac:dyDescent="0.25">
      <c r="A905" s="194"/>
      <c r="B905" s="194"/>
      <c r="C905" s="194"/>
      <c r="D905" s="194"/>
      <c r="E905" s="194"/>
      <c r="F905" s="194"/>
      <c r="G905" s="194"/>
      <c r="H905" s="194"/>
      <c r="I905" s="194"/>
      <c r="J905" s="194"/>
      <c r="K905" s="194"/>
      <c r="L905" s="194"/>
      <c r="M905" s="194"/>
      <c r="N905" s="194"/>
      <c r="O905" s="194"/>
      <c r="P905" s="194"/>
      <c r="Q905" s="194"/>
      <c r="R905" s="194"/>
      <c r="S905" s="194"/>
      <c r="T905" s="194"/>
      <c r="U905" s="194"/>
      <c r="V905" s="194"/>
      <c r="W905" s="194"/>
      <c r="X905" s="194"/>
      <c r="Y905" s="194"/>
      <c r="Z905" s="194"/>
      <c r="AA905" s="194"/>
      <c r="AB905" s="194"/>
      <c r="AC905" s="194"/>
      <c r="AD905" s="194"/>
      <c r="AE905" s="194"/>
      <c r="AF905" s="194"/>
      <c r="AG905" s="194"/>
      <c r="AH905" s="194"/>
      <c r="AI905" s="194"/>
      <c r="AJ905" s="194"/>
      <c r="AK905" s="194"/>
      <c r="AL905" s="194"/>
      <c r="AM905" s="194"/>
    </row>
    <row r="906" spans="1:39" ht="15.75" customHeight="1" x14ac:dyDescent="0.25">
      <c r="A906" s="194"/>
      <c r="B906" s="194"/>
      <c r="C906" s="194"/>
      <c r="D906" s="194"/>
      <c r="E906" s="194"/>
      <c r="F906" s="194"/>
      <c r="G906" s="194"/>
      <c r="H906" s="194"/>
      <c r="I906" s="194"/>
      <c r="J906" s="194"/>
      <c r="K906" s="194"/>
      <c r="L906" s="194"/>
      <c r="M906" s="194"/>
      <c r="N906" s="194"/>
      <c r="O906" s="194"/>
      <c r="P906" s="194"/>
      <c r="Q906" s="194"/>
      <c r="R906" s="194"/>
      <c r="S906" s="194"/>
      <c r="T906" s="194"/>
      <c r="U906" s="194"/>
      <c r="V906" s="194"/>
      <c r="W906" s="194"/>
      <c r="X906" s="194"/>
      <c r="Y906" s="194"/>
      <c r="Z906" s="194"/>
      <c r="AA906" s="194"/>
      <c r="AB906" s="194"/>
      <c r="AC906" s="194"/>
      <c r="AD906" s="194"/>
      <c r="AE906" s="194"/>
      <c r="AF906" s="194"/>
      <c r="AG906" s="194"/>
      <c r="AH906" s="194"/>
      <c r="AI906" s="194"/>
      <c r="AJ906" s="194"/>
      <c r="AK906" s="194"/>
      <c r="AL906" s="194"/>
      <c r="AM906" s="194"/>
    </row>
    <row r="907" spans="1:39" ht="15.75" customHeight="1" x14ac:dyDescent="0.25">
      <c r="A907" s="194"/>
      <c r="B907" s="194"/>
      <c r="C907" s="194"/>
      <c r="D907" s="194"/>
      <c r="E907" s="194"/>
      <c r="F907" s="194"/>
      <c r="G907" s="194"/>
      <c r="H907" s="194"/>
      <c r="I907" s="194"/>
      <c r="J907" s="194"/>
      <c r="K907" s="194"/>
      <c r="L907" s="194"/>
      <c r="M907" s="194"/>
      <c r="N907" s="194"/>
      <c r="O907" s="194"/>
      <c r="P907" s="194"/>
      <c r="Q907" s="194"/>
      <c r="R907" s="194"/>
      <c r="S907" s="194"/>
      <c r="T907" s="194"/>
      <c r="U907" s="194"/>
      <c r="V907" s="194"/>
      <c r="W907" s="194"/>
      <c r="X907" s="194"/>
      <c r="Y907" s="194"/>
      <c r="Z907" s="194"/>
      <c r="AA907" s="194"/>
      <c r="AB907" s="194"/>
      <c r="AC907" s="194"/>
      <c r="AD907" s="194"/>
      <c r="AE907" s="194"/>
      <c r="AF907" s="194"/>
      <c r="AG907" s="194"/>
      <c r="AH907" s="194"/>
      <c r="AI907" s="194"/>
      <c r="AJ907" s="194"/>
      <c r="AK907" s="194"/>
      <c r="AL907" s="194"/>
      <c r="AM907" s="194"/>
    </row>
    <row r="908" spans="1:39" ht="15.75" customHeight="1" x14ac:dyDescent="0.25">
      <c r="A908" s="194"/>
      <c r="B908" s="194"/>
      <c r="C908" s="194"/>
      <c r="D908" s="194"/>
      <c r="E908" s="194"/>
      <c r="F908" s="194"/>
      <c r="G908" s="194"/>
      <c r="H908" s="194"/>
      <c r="I908" s="194"/>
      <c r="J908" s="194"/>
      <c r="K908" s="194"/>
      <c r="L908" s="194"/>
      <c r="M908" s="194"/>
      <c r="N908" s="194"/>
      <c r="O908" s="194"/>
      <c r="P908" s="194"/>
      <c r="Q908" s="194"/>
      <c r="R908" s="194"/>
      <c r="S908" s="194"/>
      <c r="T908" s="194"/>
      <c r="U908" s="194"/>
      <c r="V908" s="194"/>
      <c r="W908" s="194"/>
      <c r="X908" s="194"/>
      <c r="Y908" s="194"/>
      <c r="Z908" s="194"/>
      <c r="AA908" s="194"/>
      <c r="AB908" s="194"/>
      <c r="AC908" s="194"/>
      <c r="AD908" s="194"/>
      <c r="AE908" s="194"/>
      <c r="AF908" s="194"/>
      <c r="AG908" s="194"/>
      <c r="AH908" s="194"/>
      <c r="AI908" s="194"/>
      <c r="AJ908" s="194"/>
      <c r="AK908" s="194"/>
      <c r="AL908" s="194"/>
      <c r="AM908" s="194"/>
    </row>
    <row r="909" spans="1:39" ht="15.75" customHeight="1" x14ac:dyDescent="0.25">
      <c r="A909" s="194"/>
      <c r="B909" s="194"/>
      <c r="C909" s="194"/>
      <c r="D909" s="194"/>
      <c r="E909" s="194"/>
      <c r="F909" s="194"/>
      <c r="G909" s="194"/>
      <c r="H909" s="194"/>
      <c r="I909" s="194"/>
      <c r="J909" s="194"/>
      <c r="K909" s="194"/>
      <c r="L909" s="194"/>
      <c r="M909" s="194"/>
      <c r="N909" s="194"/>
      <c r="O909" s="194"/>
      <c r="P909" s="194"/>
      <c r="Q909" s="194"/>
      <c r="R909" s="194"/>
      <c r="S909" s="194"/>
      <c r="T909" s="194"/>
      <c r="U909" s="194"/>
      <c r="V909" s="194"/>
      <c r="W909" s="194"/>
      <c r="X909" s="194"/>
      <c r="Y909" s="194"/>
      <c r="Z909" s="194"/>
      <c r="AA909" s="194"/>
      <c r="AB909" s="194"/>
      <c r="AC909" s="194"/>
      <c r="AD909" s="194"/>
      <c r="AE909" s="194"/>
      <c r="AF909" s="194"/>
      <c r="AG909" s="194"/>
      <c r="AH909" s="194"/>
      <c r="AI909" s="194"/>
      <c r="AJ909" s="194"/>
      <c r="AK909" s="194"/>
      <c r="AL909" s="194"/>
      <c r="AM909" s="194"/>
    </row>
    <row r="910" spans="1:39" ht="15.75" customHeight="1" x14ac:dyDescent="0.25">
      <c r="A910" s="194"/>
      <c r="B910" s="194"/>
      <c r="C910" s="194"/>
      <c r="D910" s="194"/>
      <c r="E910" s="194"/>
      <c r="F910" s="194"/>
      <c r="G910" s="194"/>
      <c r="H910" s="194"/>
      <c r="I910" s="194"/>
      <c r="J910" s="194"/>
      <c r="K910" s="194"/>
      <c r="L910" s="194"/>
      <c r="M910" s="194"/>
      <c r="N910" s="194"/>
      <c r="O910" s="194"/>
      <c r="P910" s="194"/>
      <c r="Q910" s="194"/>
      <c r="R910" s="194"/>
      <c r="S910" s="194"/>
      <c r="T910" s="194"/>
      <c r="U910" s="194"/>
      <c r="V910" s="194"/>
      <c r="W910" s="194"/>
      <c r="X910" s="194"/>
      <c r="Y910" s="194"/>
      <c r="Z910" s="194"/>
      <c r="AA910" s="194"/>
      <c r="AB910" s="194"/>
      <c r="AC910" s="194"/>
      <c r="AD910" s="194"/>
      <c r="AE910" s="194"/>
      <c r="AF910" s="194"/>
      <c r="AG910" s="194"/>
      <c r="AH910" s="194"/>
      <c r="AI910" s="194"/>
      <c r="AJ910" s="194"/>
      <c r="AK910" s="194"/>
      <c r="AL910" s="194"/>
      <c r="AM910" s="194"/>
    </row>
    <row r="911" spans="1:39" ht="15.75" customHeight="1" x14ac:dyDescent="0.25">
      <c r="A911" s="194"/>
      <c r="B911" s="194"/>
      <c r="C911" s="194"/>
      <c r="D911" s="194"/>
      <c r="E911" s="194"/>
      <c r="F911" s="194"/>
      <c r="G911" s="194"/>
      <c r="H911" s="194"/>
      <c r="I911" s="194"/>
      <c r="J911" s="194"/>
      <c r="K911" s="194"/>
      <c r="L911" s="194"/>
      <c r="M911" s="194"/>
      <c r="N911" s="194"/>
      <c r="O911" s="194"/>
      <c r="P911" s="194"/>
      <c r="Q911" s="194"/>
      <c r="R911" s="194"/>
      <c r="S911" s="194"/>
      <c r="T911" s="194"/>
      <c r="U911" s="194"/>
      <c r="V911" s="194"/>
      <c r="W911" s="194"/>
      <c r="X911" s="194"/>
      <c r="Y911" s="194"/>
      <c r="Z911" s="194"/>
      <c r="AA911" s="194"/>
      <c r="AB911" s="194"/>
      <c r="AC911" s="194"/>
      <c r="AD911" s="194"/>
      <c r="AE911" s="194"/>
      <c r="AF911" s="194"/>
      <c r="AG911" s="194"/>
      <c r="AH911" s="194"/>
      <c r="AI911" s="194"/>
      <c r="AJ911" s="194"/>
      <c r="AK911" s="194"/>
      <c r="AL911" s="194"/>
      <c r="AM911" s="194"/>
    </row>
    <row r="912" spans="1:39" ht="15.75" customHeight="1" x14ac:dyDescent="0.25">
      <c r="A912" s="194"/>
      <c r="B912" s="194"/>
      <c r="C912" s="194"/>
      <c r="D912" s="194"/>
      <c r="E912" s="194"/>
      <c r="F912" s="194"/>
      <c r="G912" s="194"/>
      <c r="H912" s="194"/>
      <c r="I912" s="194"/>
      <c r="J912" s="194"/>
      <c r="K912" s="194"/>
      <c r="L912" s="194"/>
      <c r="M912" s="194"/>
      <c r="N912" s="194"/>
      <c r="O912" s="194"/>
      <c r="P912" s="194"/>
      <c r="Q912" s="194"/>
      <c r="R912" s="194"/>
      <c r="S912" s="194"/>
      <c r="T912" s="194"/>
      <c r="U912" s="194"/>
      <c r="V912" s="194"/>
      <c r="W912" s="194"/>
      <c r="X912" s="194"/>
      <c r="Y912" s="194"/>
      <c r="Z912" s="194"/>
      <c r="AA912" s="194"/>
      <c r="AB912" s="194"/>
      <c r="AC912" s="194"/>
      <c r="AD912" s="194"/>
      <c r="AE912" s="194"/>
      <c r="AF912" s="194"/>
      <c r="AG912" s="194"/>
      <c r="AH912" s="194"/>
      <c r="AI912" s="194"/>
      <c r="AJ912" s="194"/>
      <c r="AK912" s="194"/>
      <c r="AL912" s="194"/>
      <c r="AM912" s="194"/>
    </row>
    <row r="913" spans="1:39" ht="15.75" customHeight="1" x14ac:dyDescent="0.25">
      <c r="A913" s="194"/>
      <c r="B913" s="194"/>
      <c r="C913" s="194"/>
      <c r="D913" s="194"/>
      <c r="E913" s="194"/>
      <c r="F913" s="194"/>
      <c r="G913" s="194"/>
      <c r="H913" s="194"/>
      <c r="I913" s="194"/>
      <c r="J913" s="194"/>
      <c r="K913" s="194"/>
      <c r="L913" s="194"/>
      <c r="M913" s="194"/>
      <c r="N913" s="194"/>
      <c r="O913" s="194"/>
      <c r="P913" s="194"/>
      <c r="Q913" s="194"/>
      <c r="R913" s="194"/>
      <c r="S913" s="194"/>
      <c r="T913" s="194"/>
      <c r="U913" s="194"/>
      <c r="V913" s="194"/>
      <c r="W913" s="194"/>
      <c r="X913" s="194"/>
      <c r="Y913" s="194"/>
      <c r="Z913" s="194"/>
      <c r="AA913" s="194"/>
      <c r="AB913" s="194"/>
      <c r="AC913" s="194"/>
      <c r="AD913" s="194"/>
      <c r="AE913" s="194"/>
      <c r="AF913" s="194"/>
      <c r="AG913" s="194"/>
      <c r="AH913" s="194"/>
      <c r="AI913" s="194"/>
      <c r="AJ913" s="194"/>
      <c r="AK913" s="194"/>
      <c r="AL913" s="194"/>
      <c r="AM913" s="194"/>
    </row>
    <row r="914" spans="1:39" ht="15.75" customHeight="1" x14ac:dyDescent="0.25">
      <c r="A914" s="194"/>
      <c r="B914" s="194"/>
      <c r="C914" s="194"/>
      <c r="D914" s="194"/>
      <c r="E914" s="194"/>
      <c r="F914" s="194"/>
      <c r="G914" s="194"/>
      <c r="H914" s="194"/>
      <c r="I914" s="194"/>
      <c r="J914" s="194"/>
      <c r="K914" s="194"/>
      <c r="L914" s="194"/>
      <c r="M914" s="194"/>
      <c r="N914" s="194"/>
      <c r="O914" s="194"/>
      <c r="P914" s="194"/>
      <c r="Q914" s="194"/>
      <c r="R914" s="194"/>
      <c r="S914" s="194"/>
      <c r="T914" s="194"/>
      <c r="U914" s="194"/>
      <c r="V914" s="194"/>
      <c r="W914" s="194"/>
      <c r="X914" s="194"/>
      <c r="Y914" s="194"/>
      <c r="Z914" s="194"/>
      <c r="AA914" s="194"/>
      <c r="AB914" s="194"/>
      <c r="AC914" s="194"/>
      <c r="AD914" s="194"/>
      <c r="AE914" s="194"/>
      <c r="AF914" s="194"/>
      <c r="AG914" s="194"/>
      <c r="AH914" s="194"/>
      <c r="AI914" s="194"/>
      <c r="AJ914" s="194"/>
      <c r="AK914" s="194"/>
      <c r="AL914" s="194"/>
      <c r="AM914" s="194"/>
    </row>
    <row r="915" spans="1:39" ht="15.75" customHeight="1" x14ac:dyDescent="0.25">
      <c r="A915" s="194"/>
      <c r="B915" s="194"/>
      <c r="C915" s="194"/>
      <c r="D915" s="194"/>
      <c r="E915" s="194"/>
      <c r="F915" s="194"/>
      <c r="G915" s="194"/>
      <c r="H915" s="194"/>
      <c r="I915" s="194"/>
      <c r="J915" s="194"/>
      <c r="K915" s="194"/>
      <c r="L915" s="194"/>
      <c r="M915" s="194"/>
      <c r="N915" s="194"/>
      <c r="O915" s="194"/>
      <c r="P915" s="194"/>
      <c r="Q915" s="194"/>
      <c r="R915" s="194"/>
      <c r="S915" s="194"/>
      <c r="T915" s="194"/>
      <c r="U915" s="194"/>
      <c r="V915" s="194"/>
      <c r="W915" s="194"/>
      <c r="X915" s="194"/>
      <c r="Y915" s="194"/>
      <c r="Z915" s="194"/>
      <c r="AA915" s="194"/>
      <c r="AB915" s="194"/>
      <c r="AC915" s="194"/>
      <c r="AD915" s="194"/>
      <c r="AE915" s="194"/>
      <c r="AF915" s="194"/>
      <c r="AG915" s="194"/>
      <c r="AH915" s="194"/>
      <c r="AI915" s="194"/>
      <c r="AJ915" s="194"/>
      <c r="AK915" s="194"/>
      <c r="AL915" s="194"/>
      <c r="AM915" s="194"/>
    </row>
    <row r="916" spans="1:39" ht="15.75" customHeight="1" x14ac:dyDescent="0.25">
      <c r="A916" s="194"/>
      <c r="B916" s="194"/>
      <c r="C916" s="194"/>
      <c r="D916" s="194"/>
      <c r="E916" s="194"/>
      <c r="F916" s="194"/>
      <c r="G916" s="194"/>
      <c r="H916" s="194"/>
      <c r="I916" s="194"/>
      <c r="J916" s="194"/>
      <c r="K916" s="194"/>
      <c r="L916" s="194"/>
      <c r="M916" s="194"/>
      <c r="N916" s="194"/>
      <c r="O916" s="194"/>
      <c r="P916" s="194"/>
      <c r="Q916" s="194"/>
      <c r="R916" s="194"/>
      <c r="S916" s="194"/>
      <c r="T916" s="194"/>
      <c r="U916" s="194"/>
      <c r="V916" s="194"/>
      <c r="W916" s="194"/>
      <c r="X916" s="194"/>
      <c r="Y916" s="194"/>
      <c r="Z916" s="194"/>
      <c r="AA916" s="194"/>
      <c r="AB916" s="194"/>
      <c r="AC916" s="194"/>
      <c r="AD916" s="194"/>
      <c r="AE916" s="194"/>
      <c r="AF916" s="194"/>
      <c r="AG916" s="194"/>
      <c r="AH916" s="194"/>
      <c r="AI916" s="194"/>
      <c r="AJ916" s="194"/>
      <c r="AK916" s="194"/>
      <c r="AL916" s="194"/>
      <c r="AM916" s="194"/>
    </row>
    <row r="917" spans="1:39" ht="15.75" customHeight="1" x14ac:dyDescent="0.25">
      <c r="A917" s="194"/>
      <c r="B917" s="194"/>
      <c r="C917" s="194"/>
      <c r="D917" s="194"/>
      <c r="E917" s="194"/>
      <c r="F917" s="194"/>
      <c r="G917" s="194"/>
      <c r="H917" s="194"/>
      <c r="I917" s="194"/>
      <c r="J917" s="194"/>
      <c r="K917" s="194"/>
      <c r="L917" s="194"/>
      <c r="M917" s="194"/>
      <c r="N917" s="194"/>
      <c r="O917" s="194"/>
      <c r="P917" s="194"/>
      <c r="Q917" s="194"/>
      <c r="R917" s="194"/>
      <c r="S917" s="194"/>
      <c r="T917" s="194"/>
      <c r="U917" s="194"/>
      <c r="V917" s="194"/>
      <c r="W917" s="194"/>
      <c r="X917" s="194"/>
      <c r="Y917" s="194"/>
      <c r="Z917" s="194"/>
      <c r="AA917" s="194"/>
      <c r="AB917" s="194"/>
      <c r="AC917" s="194"/>
      <c r="AD917" s="194"/>
      <c r="AE917" s="194"/>
      <c r="AF917" s="194"/>
      <c r="AG917" s="194"/>
      <c r="AH917" s="194"/>
      <c r="AI917" s="194"/>
      <c r="AJ917" s="194"/>
      <c r="AK917" s="194"/>
      <c r="AL917" s="194"/>
      <c r="AM917" s="194"/>
    </row>
    <row r="918" spans="1:39" ht="15.75" customHeight="1" x14ac:dyDescent="0.25">
      <c r="A918" s="194"/>
      <c r="B918" s="194"/>
      <c r="C918" s="194"/>
      <c r="D918" s="194"/>
      <c r="E918" s="194"/>
      <c r="F918" s="194"/>
      <c r="G918" s="194"/>
      <c r="H918" s="194"/>
      <c r="I918" s="194"/>
      <c r="J918" s="194"/>
      <c r="K918" s="194"/>
      <c r="L918" s="194"/>
      <c r="M918" s="194"/>
      <c r="N918" s="194"/>
      <c r="O918" s="194"/>
      <c r="P918" s="194"/>
      <c r="Q918" s="194"/>
      <c r="R918" s="194"/>
      <c r="S918" s="194"/>
      <c r="T918" s="194"/>
      <c r="U918" s="194"/>
      <c r="V918" s="194"/>
      <c r="W918" s="194"/>
      <c r="X918" s="194"/>
      <c r="Y918" s="194"/>
      <c r="Z918" s="194"/>
      <c r="AA918" s="194"/>
      <c r="AB918" s="194"/>
      <c r="AC918" s="194"/>
      <c r="AD918" s="194"/>
      <c r="AE918" s="194"/>
      <c r="AF918" s="194"/>
      <c r="AG918" s="194"/>
      <c r="AH918" s="194"/>
      <c r="AI918" s="194"/>
      <c r="AJ918" s="194"/>
      <c r="AK918" s="194"/>
      <c r="AL918" s="194"/>
      <c r="AM918" s="194"/>
    </row>
    <row r="919" spans="1:39" ht="15.75" customHeight="1" x14ac:dyDescent="0.25">
      <c r="A919" s="194"/>
      <c r="B919" s="194"/>
      <c r="C919" s="194"/>
      <c r="D919" s="194"/>
      <c r="E919" s="194"/>
      <c r="F919" s="194"/>
      <c r="G919" s="194"/>
      <c r="H919" s="194"/>
      <c r="I919" s="194"/>
      <c r="J919" s="194"/>
      <c r="K919" s="194"/>
      <c r="L919" s="194"/>
      <c r="M919" s="194"/>
      <c r="N919" s="194"/>
      <c r="O919" s="194"/>
      <c r="P919" s="194"/>
      <c r="Q919" s="194"/>
      <c r="R919" s="194"/>
      <c r="S919" s="194"/>
      <c r="T919" s="194"/>
      <c r="U919" s="194"/>
      <c r="V919" s="194"/>
      <c r="W919" s="194"/>
      <c r="X919" s="194"/>
      <c r="Y919" s="194"/>
      <c r="Z919" s="194"/>
      <c r="AA919" s="194"/>
      <c r="AB919" s="194"/>
      <c r="AC919" s="194"/>
      <c r="AD919" s="194"/>
      <c r="AE919" s="194"/>
      <c r="AF919" s="194"/>
      <c r="AG919" s="194"/>
      <c r="AH919" s="194"/>
      <c r="AI919" s="194"/>
      <c r="AJ919" s="194"/>
      <c r="AK919" s="194"/>
      <c r="AL919" s="194"/>
      <c r="AM919" s="194"/>
    </row>
    <row r="920" spans="1:39" ht="15.75" customHeight="1" x14ac:dyDescent="0.25">
      <c r="A920" s="194"/>
      <c r="B920" s="194"/>
      <c r="C920" s="194"/>
      <c r="D920" s="194"/>
      <c r="E920" s="194"/>
      <c r="F920" s="194"/>
      <c r="G920" s="194"/>
      <c r="H920" s="194"/>
      <c r="I920" s="194"/>
      <c r="J920" s="194"/>
      <c r="K920" s="194"/>
      <c r="L920" s="194"/>
      <c r="M920" s="194"/>
      <c r="N920" s="194"/>
      <c r="O920" s="194"/>
      <c r="P920" s="194"/>
      <c r="Q920" s="194"/>
      <c r="R920" s="194"/>
      <c r="S920" s="194"/>
      <c r="T920" s="194"/>
      <c r="U920" s="194"/>
      <c r="V920" s="194"/>
      <c r="W920" s="194"/>
      <c r="X920" s="194"/>
      <c r="Y920" s="194"/>
      <c r="Z920" s="194"/>
      <c r="AA920" s="194"/>
      <c r="AB920" s="194"/>
      <c r="AC920" s="194"/>
      <c r="AD920" s="194"/>
      <c r="AE920" s="194"/>
      <c r="AF920" s="194"/>
      <c r="AG920" s="194"/>
      <c r="AH920" s="194"/>
      <c r="AI920" s="194"/>
      <c r="AJ920" s="194"/>
      <c r="AK920" s="194"/>
      <c r="AL920" s="194"/>
      <c r="AM920" s="194"/>
    </row>
    <row r="921" spans="1:39" ht="15.75" customHeight="1" x14ac:dyDescent="0.25">
      <c r="A921" s="194"/>
      <c r="B921" s="194"/>
      <c r="C921" s="194"/>
      <c r="D921" s="194"/>
      <c r="E921" s="194"/>
      <c r="F921" s="194"/>
      <c r="G921" s="194"/>
      <c r="H921" s="194"/>
      <c r="I921" s="194"/>
      <c r="J921" s="194"/>
      <c r="K921" s="194"/>
      <c r="L921" s="194"/>
      <c r="M921" s="194"/>
      <c r="N921" s="194"/>
      <c r="O921" s="194"/>
      <c r="P921" s="194"/>
      <c r="Q921" s="194"/>
      <c r="R921" s="194"/>
      <c r="S921" s="194"/>
      <c r="T921" s="194"/>
      <c r="U921" s="194"/>
      <c r="V921" s="194"/>
      <c r="W921" s="194"/>
      <c r="X921" s="194"/>
      <c r="Y921" s="194"/>
      <c r="Z921" s="194"/>
      <c r="AA921" s="194"/>
      <c r="AB921" s="194"/>
      <c r="AC921" s="194"/>
      <c r="AD921" s="194"/>
      <c r="AE921" s="194"/>
      <c r="AF921" s="194"/>
      <c r="AG921" s="194"/>
      <c r="AH921" s="194"/>
      <c r="AI921" s="194"/>
      <c r="AJ921" s="194"/>
      <c r="AK921" s="194"/>
      <c r="AL921" s="194"/>
      <c r="AM921" s="194"/>
    </row>
    <row r="922" spans="1:39" ht="15.75" customHeight="1" x14ac:dyDescent="0.25">
      <c r="A922" s="194"/>
      <c r="B922" s="194"/>
      <c r="C922" s="194"/>
      <c r="D922" s="194"/>
      <c r="E922" s="194"/>
      <c r="F922" s="194"/>
      <c r="G922" s="194"/>
      <c r="H922" s="194"/>
      <c r="I922" s="194"/>
      <c r="J922" s="194"/>
      <c r="K922" s="194"/>
      <c r="L922" s="194"/>
      <c r="M922" s="194"/>
      <c r="N922" s="194"/>
      <c r="O922" s="194"/>
      <c r="P922" s="194"/>
      <c r="Q922" s="194"/>
      <c r="R922" s="194"/>
      <c r="S922" s="194"/>
      <c r="T922" s="194"/>
      <c r="U922" s="194"/>
      <c r="V922" s="194"/>
      <c r="W922" s="194"/>
      <c r="X922" s="194"/>
      <c r="Y922" s="194"/>
      <c r="Z922" s="194"/>
      <c r="AA922" s="194"/>
      <c r="AB922" s="194"/>
      <c r="AC922" s="194"/>
      <c r="AD922" s="194"/>
      <c r="AE922" s="194"/>
      <c r="AF922" s="194"/>
      <c r="AG922" s="194"/>
      <c r="AH922" s="194"/>
      <c r="AI922" s="194"/>
      <c r="AJ922" s="194"/>
      <c r="AK922" s="194"/>
      <c r="AL922" s="194"/>
      <c r="AM922" s="194"/>
    </row>
    <row r="923" spans="1:39" ht="15.75" customHeight="1" x14ac:dyDescent="0.25">
      <c r="A923" s="194"/>
      <c r="B923" s="194"/>
      <c r="C923" s="194"/>
      <c r="D923" s="194"/>
      <c r="E923" s="194"/>
      <c r="F923" s="194"/>
      <c r="G923" s="194"/>
      <c r="H923" s="194"/>
      <c r="I923" s="194"/>
      <c r="J923" s="194"/>
      <c r="K923" s="194"/>
      <c r="L923" s="194"/>
      <c r="M923" s="194"/>
      <c r="N923" s="194"/>
      <c r="O923" s="194"/>
      <c r="P923" s="194"/>
      <c r="Q923" s="194"/>
      <c r="R923" s="194"/>
      <c r="S923" s="194"/>
      <c r="T923" s="194"/>
      <c r="U923" s="194"/>
      <c r="V923" s="194"/>
      <c r="W923" s="194"/>
      <c r="X923" s="194"/>
      <c r="Y923" s="194"/>
      <c r="Z923" s="194"/>
      <c r="AA923" s="194"/>
      <c r="AB923" s="194"/>
      <c r="AC923" s="194"/>
      <c r="AD923" s="194"/>
      <c r="AE923" s="194"/>
      <c r="AF923" s="194"/>
      <c r="AG923" s="194"/>
      <c r="AH923" s="194"/>
      <c r="AI923" s="194"/>
      <c r="AJ923" s="194"/>
      <c r="AK923" s="194"/>
      <c r="AL923" s="194"/>
      <c r="AM923" s="194"/>
    </row>
    <row r="924" spans="1:39" ht="15.75" customHeight="1" x14ac:dyDescent="0.25">
      <c r="A924" s="194"/>
      <c r="B924" s="194"/>
      <c r="C924" s="194"/>
      <c r="D924" s="194"/>
      <c r="E924" s="194"/>
      <c r="F924" s="194"/>
      <c r="G924" s="194"/>
      <c r="H924" s="194"/>
      <c r="I924" s="194"/>
      <c r="J924" s="194"/>
      <c r="K924" s="194"/>
      <c r="L924" s="194"/>
      <c r="M924" s="194"/>
      <c r="N924" s="194"/>
      <c r="O924" s="194"/>
      <c r="P924" s="194"/>
      <c r="Q924" s="194"/>
      <c r="R924" s="194"/>
      <c r="S924" s="194"/>
      <c r="T924" s="194"/>
      <c r="U924" s="194"/>
      <c r="V924" s="194"/>
      <c r="W924" s="194"/>
      <c r="X924" s="194"/>
      <c r="Y924" s="194"/>
      <c r="Z924" s="194"/>
      <c r="AA924" s="194"/>
      <c r="AB924" s="194"/>
      <c r="AC924" s="194"/>
      <c r="AD924" s="194"/>
      <c r="AE924" s="194"/>
      <c r="AF924" s="194"/>
      <c r="AG924" s="194"/>
      <c r="AH924" s="194"/>
      <c r="AI924" s="194"/>
      <c r="AJ924" s="194"/>
      <c r="AK924" s="194"/>
      <c r="AL924" s="194"/>
      <c r="AM924" s="194"/>
    </row>
    <row r="925" spans="1:39" ht="15.75" customHeight="1" x14ac:dyDescent="0.25">
      <c r="A925" s="194"/>
      <c r="B925" s="194"/>
      <c r="C925" s="194"/>
      <c r="D925" s="194"/>
      <c r="E925" s="194"/>
      <c r="F925" s="194"/>
      <c r="G925" s="194"/>
      <c r="H925" s="194"/>
      <c r="I925" s="194"/>
      <c r="J925" s="194"/>
      <c r="K925" s="194"/>
      <c r="L925" s="194"/>
      <c r="M925" s="194"/>
      <c r="N925" s="194"/>
      <c r="O925" s="194"/>
      <c r="P925" s="194"/>
      <c r="Q925" s="194"/>
      <c r="R925" s="194"/>
      <c r="S925" s="194"/>
      <c r="T925" s="194"/>
      <c r="U925" s="194"/>
      <c r="V925" s="194"/>
      <c r="W925" s="194"/>
      <c r="X925" s="194"/>
      <c r="Y925" s="194"/>
      <c r="Z925" s="194"/>
      <c r="AA925" s="194"/>
      <c r="AB925" s="194"/>
      <c r="AC925" s="194"/>
      <c r="AD925" s="194"/>
      <c r="AE925" s="194"/>
      <c r="AF925" s="194"/>
      <c r="AG925" s="194"/>
      <c r="AH925" s="194"/>
      <c r="AI925" s="194"/>
      <c r="AJ925" s="194"/>
      <c r="AK925" s="194"/>
      <c r="AL925" s="194"/>
      <c r="AM925" s="194"/>
    </row>
    <row r="926" spans="1:39" ht="15.75" customHeight="1" x14ac:dyDescent="0.25">
      <c r="A926" s="194"/>
      <c r="B926" s="194"/>
      <c r="C926" s="194"/>
      <c r="D926" s="194"/>
      <c r="E926" s="194"/>
      <c r="F926" s="194"/>
      <c r="G926" s="194"/>
      <c r="H926" s="194"/>
      <c r="I926" s="194"/>
      <c r="J926" s="194"/>
      <c r="K926" s="194"/>
      <c r="L926" s="194"/>
      <c r="M926" s="194"/>
      <c r="N926" s="194"/>
      <c r="O926" s="194"/>
      <c r="P926" s="194"/>
      <c r="Q926" s="194"/>
      <c r="R926" s="194"/>
      <c r="S926" s="194"/>
      <c r="T926" s="194"/>
      <c r="U926" s="194"/>
      <c r="V926" s="194"/>
      <c r="W926" s="194"/>
      <c r="X926" s="194"/>
      <c r="Y926" s="194"/>
      <c r="Z926" s="194"/>
      <c r="AA926" s="194"/>
      <c r="AB926" s="194"/>
      <c r="AC926" s="194"/>
      <c r="AD926" s="194"/>
      <c r="AE926" s="194"/>
      <c r="AF926" s="194"/>
      <c r="AG926" s="194"/>
      <c r="AH926" s="194"/>
      <c r="AI926" s="194"/>
      <c r="AJ926" s="194"/>
      <c r="AK926" s="194"/>
      <c r="AL926" s="194"/>
      <c r="AM926" s="194"/>
    </row>
    <row r="927" spans="1:39" ht="15.75" customHeight="1" x14ac:dyDescent="0.25">
      <c r="A927" s="194"/>
      <c r="B927" s="194"/>
      <c r="C927" s="194"/>
      <c r="D927" s="194"/>
      <c r="E927" s="194"/>
      <c r="F927" s="194"/>
      <c r="G927" s="194"/>
      <c r="H927" s="194"/>
      <c r="I927" s="194"/>
      <c r="J927" s="194"/>
      <c r="K927" s="194"/>
      <c r="L927" s="194"/>
      <c r="M927" s="194"/>
      <c r="N927" s="194"/>
      <c r="O927" s="194"/>
      <c r="P927" s="194"/>
      <c r="Q927" s="194"/>
      <c r="R927" s="194"/>
      <c r="S927" s="194"/>
      <c r="T927" s="194"/>
      <c r="U927" s="194"/>
      <c r="V927" s="194"/>
      <c r="W927" s="194"/>
      <c r="X927" s="194"/>
      <c r="Y927" s="194"/>
      <c r="Z927" s="194"/>
      <c r="AA927" s="194"/>
      <c r="AB927" s="194"/>
      <c r="AC927" s="194"/>
      <c r="AD927" s="194"/>
      <c r="AE927" s="194"/>
      <c r="AF927" s="194"/>
      <c r="AG927" s="194"/>
      <c r="AH927" s="194"/>
      <c r="AI927" s="194"/>
      <c r="AJ927" s="194"/>
      <c r="AK927" s="194"/>
      <c r="AL927" s="194"/>
      <c r="AM927" s="194"/>
    </row>
    <row r="928" spans="1:39" ht="15.75" customHeight="1" x14ac:dyDescent="0.25">
      <c r="A928" s="194"/>
      <c r="B928" s="194"/>
      <c r="C928" s="194"/>
      <c r="D928" s="194"/>
      <c r="E928" s="194"/>
      <c r="F928" s="194"/>
      <c r="G928" s="194"/>
      <c r="H928" s="194"/>
      <c r="I928" s="194"/>
      <c r="J928" s="194"/>
      <c r="K928" s="194"/>
      <c r="L928" s="194"/>
      <c r="M928" s="194"/>
      <c r="N928" s="194"/>
      <c r="O928" s="194"/>
      <c r="P928" s="194"/>
      <c r="Q928" s="194"/>
      <c r="R928" s="194"/>
      <c r="S928" s="194"/>
      <c r="T928" s="194"/>
      <c r="U928" s="194"/>
      <c r="V928" s="194"/>
      <c r="W928" s="194"/>
      <c r="X928" s="194"/>
      <c r="Y928" s="194"/>
      <c r="Z928" s="194"/>
      <c r="AA928" s="194"/>
      <c r="AB928" s="194"/>
      <c r="AC928" s="194"/>
      <c r="AD928" s="194"/>
      <c r="AE928" s="194"/>
      <c r="AF928" s="194"/>
      <c r="AG928" s="194"/>
      <c r="AH928" s="194"/>
      <c r="AI928" s="194"/>
      <c r="AJ928" s="194"/>
      <c r="AK928" s="194"/>
      <c r="AL928" s="194"/>
      <c r="AM928" s="194"/>
    </row>
    <row r="929" spans="1:39" ht="15.75" customHeight="1" x14ac:dyDescent="0.25">
      <c r="A929" s="194"/>
      <c r="B929" s="194"/>
      <c r="C929" s="194"/>
      <c r="D929" s="194"/>
      <c r="E929" s="194"/>
      <c r="F929" s="194"/>
      <c r="G929" s="194"/>
      <c r="H929" s="194"/>
      <c r="I929" s="194"/>
      <c r="J929" s="194"/>
      <c r="K929" s="194"/>
      <c r="L929" s="194"/>
      <c r="M929" s="194"/>
      <c r="N929" s="194"/>
      <c r="O929" s="194"/>
      <c r="P929" s="194"/>
      <c r="Q929" s="194"/>
      <c r="R929" s="194"/>
      <c r="S929" s="194"/>
      <c r="T929" s="194"/>
      <c r="U929" s="194"/>
      <c r="V929" s="194"/>
      <c r="W929" s="194"/>
      <c r="X929" s="194"/>
      <c r="Y929" s="194"/>
      <c r="Z929" s="194"/>
      <c r="AA929" s="194"/>
      <c r="AB929" s="194"/>
      <c r="AC929" s="194"/>
      <c r="AD929" s="194"/>
      <c r="AE929" s="194"/>
      <c r="AF929" s="194"/>
      <c r="AG929" s="194"/>
      <c r="AH929" s="194"/>
      <c r="AI929" s="194"/>
      <c r="AJ929" s="194"/>
      <c r="AK929" s="194"/>
      <c r="AL929" s="194"/>
      <c r="AM929" s="194"/>
    </row>
    <row r="930" spans="1:39" ht="15.75" customHeight="1" x14ac:dyDescent="0.25">
      <c r="A930" s="194"/>
      <c r="B930" s="194"/>
      <c r="C930" s="194"/>
      <c r="D930" s="194"/>
      <c r="E930" s="194"/>
      <c r="F930" s="194"/>
      <c r="G930" s="194"/>
      <c r="H930" s="194"/>
      <c r="I930" s="194"/>
      <c r="J930" s="194"/>
      <c r="K930" s="194"/>
      <c r="L930" s="194"/>
      <c r="M930" s="194"/>
      <c r="N930" s="194"/>
      <c r="O930" s="194"/>
      <c r="P930" s="194"/>
      <c r="Q930" s="194"/>
      <c r="R930" s="194"/>
      <c r="S930" s="194"/>
      <c r="T930" s="194"/>
      <c r="U930" s="194"/>
      <c r="V930" s="194"/>
      <c r="W930" s="194"/>
      <c r="X930" s="194"/>
      <c r="Y930" s="194"/>
      <c r="Z930" s="194"/>
      <c r="AA930" s="194"/>
      <c r="AB930" s="194"/>
      <c r="AC930" s="194"/>
      <c r="AD930" s="194"/>
      <c r="AE930" s="194"/>
      <c r="AF930" s="194"/>
      <c r="AG930" s="194"/>
      <c r="AH930" s="194"/>
      <c r="AI930" s="194"/>
      <c r="AJ930" s="194"/>
      <c r="AK930" s="194"/>
      <c r="AL930" s="194"/>
      <c r="AM930" s="194"/>
    </row>
    <row r="931" spans="1:39" ht="15.75" customHeight="1" x14ac:dyDescent="0.25">
      <c r="A931" s="194"/>
      <c r="B931" s="194"/>
      <c r="C931" s="194"/>
      <c r="D931" s="194"/>
      <c r="E931" s="194"/>
      <c r="F931" s="194"/>
      <c r="G931" s="194"/>
      <c r="H931" s="194"/>
      <c r="I931" s="194"/>
      <c r="J931" s="194"/>
      <c r="K931" s="194"/>
      <c r="L931" s="194"/>
      <c r="M931" s="194"/>
      <c r="N931" s="194"/>
      <c r="O931" s="194"/>
      <c r="P931" s="194"/>
      <c r="Q931" s="194"/>
      <c r="R931" s="194"/>
      <c r="S931" s="194"/>
      <c r="T931" s="194"/>
      <c r="U931" s="194"/>
      <c r="V931" s="194"/>
      <c r="W931" s="194"/>
      <c r="X931" s="194"/>
      <c r="Y931" s="194"/>
      <c r="Z931" s="194"/>
      <c r="AA931" s="194"/>
      <c r="AB931" s="194"/>
      <c r="AC931" s="194"/>
      <c r="AD931" s="194"/>
      <c r="AE931" s="194"/>
      <c r="AF931" s="194"/>
      <c r="AG931" s="194"/>
      <c r="AH931" s="194"/>
      <c r="AI931" s="194"/>
      <c r="AJ931" s="194"/>
      <c r="AK931" s="194"/>
      <c r="AL931" s="194"/>
      <c r="AM931" s="194"/>
    </row>
    <row r="932" spans="1:39" ht="15.75" customHeight="1" x14ac:dyDescent="0.25">
      <c r="A932" s="194"/>
      <c r="B932" s="194"/>
      <c r="C932" s="194"/>
      <c r="D932" s="194"/>
      <c r="E932" s="194"/>
      <c r="F932" s="194"/>
      <c r="G932" s="194"/>
      <c r="H932" s="194"/>
      <c r="I932" s="194"/>
      <c r="J932" s="194"/>
      <c r="K932" s="194"/>
      <c r="L932" s="194"/>
      <c r="M932" s="194"/>
      <c r="N932" s="194"/>
      <c r="O932" s="194"/>
      <c r="P932" s="194"/>
      <c r="Q932" s="194"/>
      <c r="R932" s="194"/>
      <c r="S932" s="194"/>
      <c r="T932" s="194"/>
      <c r="U932" s="194"/>
      <c r="V932" s="194"/>
      <c r="W932" s="194"/>
      <c r="X932" s="194"/>
      <c r="Y932" s="194"/>
      <c r="Z932" s="194"/>
      <c r="AA932" s="194"/>
      <c r="AB932" s="194"/>
      <c r="AC932" s="194"/>
      <c r="AD932" s="194"/>
      <c r="AE932" s="194"/>
      <c r="AF932" s="194"/>
      <c r="AG932" s="194"/>
      <c r="AH932" s="194"/>
      <c r="AI932" s="194"/>
      <c r="AJ932" s="194"/>
      <c r="AK932" s="194"/>
      <c r="AL932" s="194"/>
      <c r="AM932" s="194"/>
    </row>
    <row r="933" spans="1:39" ht="15.75" customHeight="1" x14ac:dyDescent="0.25">
      <c r="A933" s="194"/>
      <c r="B933" s="194"/>
      <c r="C933" s="194"/>
      <c r="D933" s="194"/>
      <c r="E933" s="194"/>
      <c r="F933" s="194"/>
      <c r="G933" s="194"/>
      <c r="H933" s="194"/>
      <c r="I933" s="194"/>
      <c r="J933" s="194"/>
      <c r="K933" s="194"/>
      <c r="L933" s="194"/>
      <c r="M933" s="194"/>
      <c r="N933" s="194"/>
      <c r="O933" s="194"/>
      <c r="P933" s="194"/>
      <c r="Q933" s="194"/>
      <c r="R933" s="194"/>
      <c r="S933" s="194"/>
      <c r="T933" s="194"/>
      <c r="U933" s="194"/>
      <c r="V933" s="194"/>
      <c r="W933" s="194"/>
      <c r="X933" s="194"/>
      <c r="Y933" s="194"/>
      <c r="Z933" s="194"/>
      <c r="AA933" s="194"/>
      <c r="AB933" s="194"/>
      <c r="AC933" s="194"/>
      <c r="AD933" s="194"/>
      <c r="AE933" s="194"/>
      <c r="AF933" s="194"/>
      <c r="AG933" s="194"/>
      <c r="AH933" s="194"/>
      <c r="AI933" s="194"/>
      <c r="AJ933" s="194"/>
      <c r="AK933" s="194"/>
      <c r="AL933" s="194"/>
      <c r="AM933" s="194"/>
    </row>
    <row r="934" spans="1:39" ht="15.75" customHeight="1" x14ac:dyDescent="0.25">
      <c r="A934" s="194"/>
      <c r="B934" s="194"/>
      <c r="C934" s="194"/>
      <c r="D934" s="194"/>
      <c r="E934" s="194"/>
      <c r="F934" s="194"/>
      <c r="G934" s="194"/>
      <c r="H934" s="194"/>
      <c r="I934" s="194"/>
      <c r="J934" s="194"/>
      <c r="K934" s="194"/>
      <c r="L934" s="194"/>
      <c r="M934" s="194"/>
      <c r="N934" s="194"/>
      <c r="O934" s="194"/>
      <c r="P934" s="194"/>
      <c r="Q934" s="194"/>
      <c r="R934" s="194"/>
      <c r="S934" s="194"/>
      <c r="T934" s="194"/>
      <c r="U934" s="194"/>
      <c r="V934" s="194"/>
      <c r="W934" s="194"/>
      <c r="X934" s="194"/>
      <c r="Y934" s="194"/>
      <c r="Z934" s="194"/>
      <c r="AA934" s="194"/>
      <c r="AB934" s="194"/>
      <c r="AC934" s="194"/>
      <c r="AD934" s="194"/>
      <c r="AE934" s="194"/>
      <c r="AF934" s="194"/>
      <c r="AG934" s="194"/>
      <c r="AH934" s="194"/>
      <c r="AI934" s="194"/>
      <c r="AJ934" s="194"/>
      <c r="AK934" s="194"/>
      <c r="AL934" s="194"/>
      <c r="AM934" s="194"/>
    </row>
    <row r="935" spans="1:39" ht="15.75" customHeight="1" x14ac:dyDescent="0.25">
      <c r="A935" s="194"/>
      <c r="B935" s="194"/>
      <c r="C935" s="194"/>
      <c r="D935" s="194"/>
      <c r="E935" s="194"/>
      <c r="F935" s="194"/>
      <c r="G935" s="194"/>
      <c r="H935" s="194"/>
      <c r="I935" s="194"/>
      <c r="J935" s="194"/>
      <c r="K935" s="194"/>
      <c r="L935" s="194"/>
      <c r="M935" s="194"/>
      <c r="N935" s="194"/>
      <c r="O935" s="194"/>
      <c r="P935" s="194"/>
      <c r="Q935" s="194"/>
      <c r="R935" s="194"/>
      <c r="S935" s="194"/>
      <c r="T935" s="194"/>
      <c r="U935" s="194"/>
      <c r="V935" s="194"/>
      <c r="W935" s="194"/>
      <c r="X935" s="194"/>
      <c r="Y935" s="194"/>
      <c r="Z935" s="194"/>
      <c r="AA935" s="194"/>
      <c r="AB935" s="194"/>
      <c r="AC935" s="194"/>
      <c r="AD935" s="194"/>
      <c r="AE935" s="194"/>
      <c r="AF935" s="194"/>
      <c r="AG935" s="194"/>
      <c r="AH935" s="194"/>
      <c r="AI935" s="194"/>
      <c r="AJ935" s="194"/>
      <c r="AK935" s="194"/>
      <c r="AL935" s="194"/>
      <c r="AM935" s="194"/>
    </row>
    <row r="936" spans="1:39" ht="15.75" customHeight="1" x14ac:dyDescent="0.25">
      <c r="A936" s="194"/>
      <c r="B936" s="194"/>
      <c r="C936" s="194"/>
      <c r="D936" s="194"/>
      <c r="E936" s="194"/>
      <c r="F936" s="194"/>
      <c r="G936" s="194"/>
      <c r="H936" s="194"/>
      <c r="I936" s="194"/>
      <c r="J936" s="194"/>
      <c r="K936" s="194"/>
      <c r="L936" s="194"/>
      <c r="M936" s="194"/>
      <c r="N936" s="194"/>
      <c r="O936" s="194"/>
      <c r="P936" s="194"/>
      <c r="Q936" s="194"/>
      <c r="R936" s="194"/>
      <c r="S936" s="194"/>
      <c r="T936" s="194"/>
      <c r="U936" s="194"/>
      <c r="V936" s="194"/>
      <c r="W936" s="194"/>
      <c r="X936" s="194"/>
      <c r="Y936" s="194"/>
      <c r="Z936" s="194"/>
      <c r="AA936" s="194"/>
      <c r="AB936" s="194"/>
      <c r="AC936" s="194"/>
      <c r="AD936" s="194"/>
      <c r="AE936" s="194"/>
      <c r="AF936" s="194"/>
      <c r="AG936" s="194"/>
      <c r="AH936" s="194"/>
      <c r="AI936" s="194"/>
      <c r="AJ936" s="194"/>
      <c r="AK936" s="194"/>
      <c r="AL936" s="194"/>
      <c r="AM936" s="194"/>
    </row>
    <row r="937" spans="1:39" ht="15.75" customHeight="1" x14ac:dyDescent="0.25">
      <c r="A937" s="194"/>
      <c r="B937" s="194"/>
      <c r="C937" s="194"/>
      <c r="D937" s="194"/>
      <c r="E937" s="194"/>
      <c r="F937" s="194"/>
      <c r="G937" s="194"/>
      <c r="H937" s="194"/>
      <c r="I937" s="194"/>
      <c r="J937" s="194"/>
      <c r="K937" s="194"/>
      <c r="L937" s="194"/>
      <c r="M937" s="194"/>
      <c r="N937" s="194"/>
      <c r="O937" s="194"/>
      <c r="P937" s="194"/>
      <c r="Q937" s="194"/>
      <c r="R937" s="194"/>
      <c r="S937" s="194"/>
      <c r="T937" s="194"/>
      <c r="U937" s="194"/>
      <c r="V937" s="194"/>
      <c r="W937" s="194"/>
      <c r="X937" s="194"/>
      <c r="Y937" s="194"/>
      <c r="Z937" s="194"/>
      <c r="AA937" s="194"/>
      <c r="AB937" s="194"/>
      <c r="AC937" s="194"/>
      <c r="AD937" s="194"/>
      <c r="AE937" s="194"/>
      <c r="AF937" s="194"/>
      <c r="AG937" s="194"/>
      <c r="AH937" s="194"/>
      <c r="AI937" s="194"/>
      <c r="AJ937" s="194"/>
      <c r="AK937" s="194"/>
      <c r="AL937" s="194"/>
      <c r="AM937" s="194"/>
    </row>
    <row r="938" spans="1:39" ht="15.75" customHeight="1" x14ac:dyDescent="0.25">
      <c r="A938" s="194"/>
      <c r="B938" s="194"/>
      <c r="C938" s="194"/>
      <c r="D938" s="194"/>
      <c r="E938" s="194"/>
      <c r="F938" s="194"/>
      <c r="G938" s="194"/>
      <c r="H938" s="194"/>
      <c r="I938" s="194"/>
      <c r="J938" s="194"/>
      <c r="K938" s="194"/>
      <c r="L938" s="194"/>
      <c r="M938" s="194"/>
      <c r="N938" s="194"/>
      <c r="O938" s="194"/>
      <c r="P938" s="194"/>
      <c r="Q938" s="194"/>
      <c r="R938" s="194"/>
      <c r="S938" s="194"/>
      <c r="T938" s="194"/>
      <c r="U938" s="194"/>
      <c r="V938" s="194"/>
      <c r="W938" s="194"/>
      <c r="X938" s="194"/>
      <c r="Y938" s="194"/>
      <c r="Z938" s="194"/>
      <c r="AA938" s="194"/>
      <c r="AB938" s="194"/>
      <c r="AC938" s="194"/>
      <c r="AD938" s="194"/>
      <c r="AE938" s="194"/>
      <c r="AF938" s="194"/>
      <c r="AG938" s="194"/>
      <c r="AH938" s="194"/>
      <c r="AI938" s="194"/>
      <c r="AJ938" s="194"/>
      <c r="AK938" s="194"/>
      <c r="AL938" s="194"/>
      <c r="AM938" s="194"/>
    </row>
    <row r="939" spans="1:39" ht="15.75" customHeight="1" x14ac:dyDescent="0.25">
      <c r="A939" s="194"/>
      <c r="B939" s="194"/>
      <c r="C939" s="194"/>
      <c r="D939" s="194"/>
      <c r="E939" s="194"/>
      <c r="F939" s="194"/>
      <c r="G939" s="194"/>
      <c r="H939" s="194"/>
      <c r="I939" s="194"/>
      <c r="J939" s="194"/>
      <c r="K939" s="194"/>
      <c r="L939" s="194"/>
      <c r="M939" s="194"/>
      <c r="N939" s="194"/>
      <c r="O939" s="194"/>
      <c r="P939" s="194"/>
      <c r="Q939" s="194"/>
      <c r="R939" s="194"/>
      <c r="S939" s="194"/>
      <c r="T939" s="194"/>
      <c r="U939" s="194"/>
      <c r="V939" s="194"/>
      <c r="W939" s="194"/>
      <c r="X939" s="194"/>
      <c r="Y939" s="194"/>
      <c r="Z939" s="194"/>
      <c r="AA939" s="194"/>
      <c r="AB939" s="194"/>
      <c r="AC939" s="194"/>
      <c r="AD939" s="194"/>
      <c r="AE939" s="194"/>
      <c r="AF939" s="194"/>
      <c r="AG939" s="194"/>
      <c r="AH939" s="194"/>
      <c r="AI939" s="194"/>
      <c r="AJ939" s="194"/>
      <c r="AK939" s="194"/>
      <c r="AL939" s="194"/>
      <c r="AM939" s="194"/>
    </row>
    <row r="940" spans="1:39" ht="15.75" customHeight="1" x14ac:dyDescent="0.25">
      <c r="A940" s="194"/>
      <c r="B940" s="194"/>
      <c r="C940" s="194"/>
      <c r="D940" s="194"/>
      <c r="E940" s="194"/>
      <c r="F940" s="194"/>
      <c r="G940" s="194"/>
      <c r="H940" s="194"/>
      <c r="I940" s="194"/>
      <c r="J940" s="194"/>
      <c r="K940" s="194"/>
      <c r="L940" s="194"/>
      <c r="M940" s="194"/>
      <c r="N940" s="194"/>
      <c r="O940" s="194"/>
      <c r="P940" s="194"/>
      <c r="Q940" s="194"/>
      <c r="R940" s="194"/>
      <c r="S940" s="194"/>
      <c r="T940" s="194"/>
      <c r="U940" s="194"/>
      <c r="V940" s="194"/>
      <c r="W940" s="194"/>
      <c r="X940" s="194"/>
      <c r="Y940" s="194"/>
      <c r="Z940" s="194"/>
      <c r="AA940" s="194"/>
      <c r="AB940" s="194"/>
      <c r="AC940" s="194"/>
      <c r="AD940" s="194"/>
      <c r="AE940" s="194"/>
      <c r="AF940" s="194"/>
      <c r="AG940" s="194"/>
      <c r="AH940" s="194"/>
      <c r="AI940" s="194"/>
      <c r="AJ940" s="194"/>
      <c r="AK940" s="194"/>
      <c r="AL940" s="194"/>
      <c r="AM940" s="194"/>
    </row>
    <row r="941" spans="1:39" ht="15.75" customHeight="1" x14ac:dyDescent="0.25">
      <c r="A941" s="194"/>
      <c r="B941" s="194"/>
      <c r="C941" s="194"/>
      <c r="D941" s="194"/>
      <c r="E941" s="194"/>
      <c r="F941" s="194"/>
      <c r="G941" s="194"/>
      <c r="H941" s="194"/>
      <c r="I941" s="194"/>
      <c r="J941" s="194"/>
      <c r="K941" s="194"/>
      <c r="L941" s="194"/>
      <c r="M941" s="194"/>
      <c r="N941" s="194"/>
      <c r="O941" s="194"/>
      <c r="P941" s="194"/>
      <c r="Q941" s="194"/>
      <c r="R941" s="194"/>
      <c r="S941" s="194"/>
      <c r="T941" s="194"/>
      <c r="U941" s="194"/>
      <c r="V941" s="194"/>
      <c r="W941" s="194"/>
      <c r="X941" s="194"/>
      <c r="Y941" s="194"/>
      <c r="Z941" s="194"/>
      <c r="AA941" s="194"/>
      <c r="AB941" s="194"/>
      <c r="AC941" s="194"/>
      <c r="AD941" s="194"/>
      <c r="AE941" s="194"/>
      <c r="AF941" s="194"/>
      <c r="AG941" s="194"/>
      <c r="AH941" s="194"/>
      <c r="AI941" s="194"/>
      <c r="AJ941" s="194"/>
      <c r="AK941" s="194"/>
      <c r="AL941" s="194"/>
      <c r="AM941" s="194"/>
    </row>
    <row r="942" spans="1:39" ht="15.75" customHeight="1" x14ac:dyDescent="0.25">
      <c r="A942" s="194"/>
      <c r="B942" s="194"/>
      <c r="C942" s="194"/>
      <c r="D942" s="194"/>
      <c r="E942" s="194"/>
      <c r="F942" s="194"/>
      <c r="G942" s="194"/>
      <c r="H942" s="194"/>
      <c r="I942" s="194"/>
      <c r="J942" s="194"/>
      <c r="K942" s="194"/>
      <c r="L942" s="194"/>
      <c r="M942" s="194"/>
      <c r="N942" s="194"/>
      <c r="O942" s="194"/>
      <c r="P942" s="194"/>
      <c r="Q942" s="194"/>
      <c r="R942" s="194"/>
      <c r="S942" s="194"/>
      <c r="T942" s="194"/>
      <c r="U942" s="194"/>
      <c r="V942" s="194"/>
      <c r="W942" s="194"/>
      <c r="X942" s="194"/>
      <c r="Y942" s="194"/>
      <c r="Z942" s="194"/>
      <c r="AA942" s="194"/>
      <c r="AB942" s="194"/>
      <c r="AC942" s="194"/>
      <c r="AD942" s="194"/>
      <c r="AE942" s="194"/>
      <c r="AF942" s="194"/>
      <c r="AG942" s="194"/>
      <c r="AH942" s="194"/>
      <c r="AI942" s="194"/>
      <c r="AJ942" s="194"/>
      <c r="AK942" s="194"/>
      <c r="AL942" s="194"/>
      <c r="AM942" s="194"/>
    </row>
    <row r="943" spans="1:39" ht="15.75" customHeight="1" x14ac:dyDescent="0.25">
      <c r="A943" s="194"/>
      <c r="B943" s="194"/>
      <c r="C943" s="194"/>
      <c r="D943" s="194"/>
      <c r="E943" s="194"/>
      <c r="F943" s="194"/>
      <c r="G943" s="194"/>
      <c r="H943" s="194"/>
      <c r="I943" s="194"/>
      <c r="J943" s="194"/>
      <c r="K943" s="194"/>
      <c r="L943" s="194"/>
      <c r="M943" s="194"/>
      <c r="N943" s="194"/>
      <c r="O943" s="194"/>
      <c r="P943" s="194"/>
      <c r="Q943" s="194"/>
      <c r="R943" s="194"/>
      <c r="S943" s="194"/>
      <c r="T943" s="194"/>
      <c r="U943" s="194"/>
      <c r="V943" s="194"/>
      <c r="W943" s="194"/>
      <c r="X943" s="194"/>
      <c r="Y943" s="194"/>
      <c r="Z943" s="194"/>
      <c r="AA943" s="194"/>
      <c r="AB943" s="194"/>
      <c r="AC943" s="194"/>
      <c r="AD943" s="194"/>
      <c r="AE943" s="194"/>
      <c r="AF943" s="194"/>
      <c r="AG943" s="194"/>
      <c r="AH943" s="194"/>
      <c r="AI943" s="194"/>
      <c r="AJ943" s="194"/>
      <c r="AK943" s="194"/>
      <c r="AL943" s="194"/>
      <c r="AM943" s="194"/>
    </row>
    <row r="944" spans="1:39" ht="15.75" customHeight="1" x14ac:dyDescent="0.25">
      <c r="A944" s="194"/>
      <c r="B944" s="194"/>
      <c r="C944" s="194"/>
      <c r="D944" s="194"/>
      <c r="E944" s="194"/>
      <c r="F944" s="194"/>
      <c r="G944" s="194"/>
      <c r="H944" s="194"/>
      <c r="I944" s="194"/>
      <c r="J944" s="194"/>
      <c r="K944" s="194"/>
      <c r="L944" s="194"/>
      <c r="M944" s="194"/>
      <c r="N944" s="194"/>
      <c r="O944" s="194"/>
      <c r="P944" s="194"/>
      <c r="Q944" s="194"/>
      <c r="R944" s="194"/>
      <c r="S944" s="194"/>
      <c r="T944" s="194"/>
      <c r="U944" s="194"/>
      <c r="V944" s="194"/>
      <c r="W944" s="194"/>
      <c r="X944" s="194"/>
      <c r="Y944" s="194"/>
      <c r="Z944" s="194"/>
      <c r="AA944" s="194"/>
      <c r="AB944" s="194"/>
      <c r="AC944" s="194"/>
      <c r="AD944" s="194"/>
      <c r="AE944" s="194"/>
      <c r="AF944" s="194"/>
      <c r="AG944" s="194"/>
      <c r="AH944" s="194"/>
      <c r="AI944" s="194"/>
      <c r="AJ944" s="194"/>
      <c r="AK944" s="194"/>
      <c r="AL944" s="194"/>
      <c r="AM944" s="194"/>
    </row>
    <row r="945" spans="1:39" ht="15.75" customHeight="1" x14ac:dyDescent="0.25">
      <c r="A945" s="194"/>
      <c r="B945" s="194"/>
      <c r="C945" s="194"/>
      <c r="D945" s="194"/>
      <c r="E945" s="194"/>
      <c r="F945" s="194"/>
      <c r="G945" s="194"/>
      <c r="H945" s="194"/>
      <c r="I945" s="194"/>
      <c r="J945" s="194"/>
      <c r="K945" s="194"/>
      <c r="L945" s="194"/>
      <c r="M945" s="194"/>
      <c r="N945" s="194"/>
      <c r="O945" s="194"/>
      <c r="P945" s="194"/>
      <c r="Q945" s="194"/>
      <c r="R945" s="194"/>
      <c r="S945" s="194"/>
      <c r="T945" s="194"/>
      <c r="U945" s="194"/>
      <c r="V945" s="194"/>
      <c r="W945" s="194"/>
      <c r="X945" s="194"/>
      <c r="Y945" s="194"/>
      <c r="Z945" s="194"/>
      <c r="AA945" s="194"/>
      <c r="AB945" s="194"/>
      <c r="AC945" s="194"/>
      <c r="AD945" s="194"/>
      <c r="AE945" s="194"/>
      <c r="AF945" s="194"/>
      <c r="AG945" s="194"/>
      <c r="AH945" s="194"/>
      <c r="AI945" s="194"/>
      <c r="AJ945" s="194"/>
      <c r="AK945" s="194"/>
      <c r="AL945" s="194"/>
      <c r="AM945" s="194"/>
    </row>
    <row r="946" spans="1:39" ht="15.75" customHeight="1" x14ac:dyDescent="0.25">
      <c r="A946" s="194"/>
      <c r="B946" s="194"/>
      <c r="C946" s="194"/>
      <c r="D946" s="194"/>
      <c r="E946" s="194"/>
      <c r="F946" s="194"/>
      <c r="G946" s="194"/>
      <c r="H946" s="194"/>
      <c r="I946" s="194"/>
      <c r="J946" s="194"/>
      <c r="K946" s="194"/>
      <c r="L946" s="194"/>
      <c r="M946" s="194"/>
      <c r="N946" s="194"/>
      <c r="O946" s="194"/>
      <c r="P946" s="194"/>
      <c r="Q946" s="194"/>
      <c r="R946" s="194"/>
      <c r="S946" s="194"/>
      <c r="T946" s="194"/>
      <c r="U946" s="194"/>
      <c r="V946" s="194"/>
      <c r="W946" s="194"/>
      <c r="X946" s="194"/>
      <c r="Y946" s="194"/>
      <c r="Z946" s="194"/>
      <c r="AA946" s="194"/>
      <c r="AB946" s="194"/>
      <c r="AC946" s="194"/>
      <c r="AD946" s="194"/>
      <c r="AE946" s="194"/>
      <c r="AF946" s="194"/>
      <c r="AG946" s="194"/>
      <c r="AH946" s="194"/>
      <c r="AI946" s="194"/>
      <c r="AJ946" s="194"/>
      <c r="AK946" s="194"/>
      <c r="AL946" s="194"/>
      <c r="AM946" s="194"/>
    </row>
    <row r="947" spans="1:39" ht="15.75" customHeight="1" x14ac:dyDescent="0.25">
      <c r="A947" s="194"/>
      <c r="B947" s="194"/>
      <c r="C947" s="194"/>
      <c r="D947" s="194"/>
      <c r="E947" s="194"/>
      <c r="F947" s="194"/>
      <c r="G947" s="194"/>
      <c r="H947" s="194"/>
      <c r="I947" s="194"/>
      <c r="J947" s="194"/>
      <c r="K947" s="194"/>
      <c r="L947" s="194"/>
      <c r="M947" s="194"/>
      <c r="N947" s="194"/>
      <c r="O947" s="194"/>
      <c r="P947" s="194"/>
      <c r="Q947" s="194"/>
      <c r="R947" s="194"/>
      <c r="S947" s="194"/>
      <c r="T947" s="194"/>
      <c r="U947" s="194"/>
      <c r="V947" s="194"/>
      <c r="W947" s="194"/>
      <c r="X947" s="194"/>
      <c r="Y947" s="194"/>
      <c r="Z947" s="194"/>
      <c r="AA947" s="194"/>
      <c r="AB947" s="194"/>
      <c r="AC947" s="194"/>
      <c r="AD947" s="194"/>
      <c r="AE947" s="194"/>
      <c r="AF947" s="194"/>
      <c r="AG947" s="194"/>
      <c r="AH947" s="194"/>
      <c r="AI947" s="194"/>
      <c r="AJ947" s="194"/>
      <c r="AK947" s="194"/>
      <c r="AL947" s="194"/>
      <c r="AM947" s="194"/>
    </row>
    <row r="948" spans="1:39" ht="15.75" customHeight="1" x14ac:dyDescent="0.25">
      <c r="A948" s="194"/>
      <c r="B948" s="194"/>
      <c r="C948" s="194"/>
      <c r="D948" s="194"/>
      <c r="E948" s="194"/>
      <c r="F948" s="194"/>
      <c r="G948" s="194"/>
      <c r="H948" s="194"/>
      <c r="I948" s="194"/>
      <c r="J948" s="194"/>
      <c r="K948" s="194"/>
      <c r="L948" s="194"/>
      <c r="M948" s="194"/>
      <c r="N948" s="194"/>
      <c r="O948" s="194"/>
      <c r="P948" s="194"/>
      <c r="Q948" s="194"/>
      <c r="R948" s="194"/>
      <c r="S948" s="194"/>
      <c r="T948" s="194"/>
      <c r="U948" s="194"/>
      <c r="V948" s="194"/>
      <c r="W948" s="194"/>
      <c r="X948" s="194"/>
      <c r="Y948" s="194"/>
      <c r="Z948" s="194"/>
      <c r="AA948" s="194"/>
      <c r="AB948" s="194"/>
      <c r="AC948" s="194"/>
      <c r="AD948" s="194"/>
      <c r="AE948" s="194"/>
      <c r="AF948" s="194"/>
      <c r="AG948" s="194"/>
      <c r="AH948" s="194"/>
      <c r="AI948" s="194"/>
      <c r="AJ948" s="194"/>
      <c r="AK948" s="194"/>
      <c r="AL948" s="194"/>
      <c r="AM948" s="194"/>
    </row>
    <row r="949" spans="1:39" ht="15.75" customHeight="1" x14ac:dyDescent="0.25">
      <c r="A949" s="194"/>
      <c r="B949" s="194"/>
      <c r="C949" s="194"/>
      <c r="D949" s="194"/>
      <c r="E949" s="194"/>
      <c r="F949" s="194"/>
      <c r="G949" s="194"/>
      <c r="H949" s="194"/>
      <c r="I949" s="194"/>
      <c r="J949" s="194"/>
      <c r="K949" s="194"/>
      <c r="L949" s="194"/>
      <c r="M949" s="194"/>
      <c r="N949" s="194"/>
      <c r="O949" s="194"/>
      <c r="P949" s="194"/>
      <c r="Q949" s="194"/>
      <c r="R949" s="194"/>
      <c r="S949" s="194"/>
      <c r="T949" s="194"/>
      <c r="U949" s="194"/>
      <c r="V949" s="194"/>
      <c r="W949" s="194"/>
      <c r="X949" s="194"/>
      <c r="Y949" s="194"/>
      <c r="Z949" s="194"/>
      <c r="AA949" s="194"/>
      <c r="AB949" s="194"/>
      <c r="AC949" s="194"/>
      <c r="AD949" s="194"/>
      <c r="AE949" s="194"/>
      <c r="AF949" s="194"/>
      <c r="AG949" s="194"/>
      <c r="AH949" s="194"/>
      <c r="AI949" s="194"/>
      <c r="AJ949" s="194"/>
      <c r="AK949" s="194"/>
      <c r="AL949" s="194"/>
      <c r="AM949" s="194"/>
    </row>
    <row r="950" spans="1:39" ht="15.75" customHeight="1" x14ac:dyDescent="0.25">
      <c r="A950" s="194"/>
      <c r="B950" s="194"/>
      <c r="C950" s="194"/>
      <c r="D950" s="194"/>
      <c r="E950" s="194"/>
      <c r="F950" s="194"/>
      <c r="G950" s="194"/>
      <c r="H950" s="194"/>
      <c r="I950" s="194"/>
      <c r="J950" s="194"/>
      <c r="K950" s="194"/>
      <c r="L950" s="194"/>
      <c r="M950" s="194"/>
      <c r="N950" s="194"/>
      <c r="O950" s="194"/>
      <c r="P950" s="194"/>
      <c r="Q950" s="194"/>
      <c r="R950" s="194"/>
      <c r="S950" s="194"/>
      <c r="T950" s="194"/>
      <c r="U950" s="194"/>
      <c r="V950" s="194"/>
      <c r="W950" s="194"/>
      <c r="X950" s="194"/>
      <c r="Y950" s="194"/>
      <c r="Z950" s="194"/>
      <c r="AA950" s="194"/>
      <c r="AB950" s="194"/>
      <c r="AC950" s="194"/>
      <c r="AD950" s="194"/>
      <c r="AE950" s="194"/>
      <c r="AF950" s="194"/>
      <c r="AG950" s="194"/>
      <c r="AH950" s="194"/>
      <c r="AI950" s="194"/>
      <c r="AJ950" s="194"/>
      <c r="AK950" s="194"/>
      <c r="AL950" s="194"/>
      <c r="AM950" s="194"/>
    </row>
    <row r="951" spans="1:39" ht="15.75" customHeight="1" x14ac:dyDescent="0.25">
      <c r="A951" s="194"/>
      <c r="B951" s="194"/>
      <c r="C951" s="194"/>
      <c r="D951" s="194"/>
      <c r="E951" s="194"/>
      <c r="F951" s="194"/>
      <c r="G951" s="194"/>
      <c r="H951" s="194"/>
      <c r="I951" s="194"/>
      <c r="J951" s="194"/>
      <c r="K951" s="194"/>
      <c r="L951" s="194"/>
      <c r="M951" s="194"/>
      <c r="N951" s="194"/>
      <c r="O951" s="194"/>
      <c r="P951" s="194"/>
      <c r="Q951" s="194"/>
      <c r="R951" s="194"/>
      <c r="S951" s="194"/>
      <c r="T951" s="194"/>
      <c r="U951" s="194"/>
      <c r="V951" s="194"/>
      <c r="W951" s="194"/>
      <c r="X951" s="194"/>
      <c r="Y951" s="194"/>
      <c r="Z951" s="194"/>
      <c r="AA951" s="194"/>
      <c r="AB951" s="194"/>
      <c r="AC951" s="194"/>
      <c r="AD951" s="194"/>
      <c r="AE951" s="194"/>
      <c r="AF951" s="194"/>
      <c r="AG951" s="194"/>
      <c r="AH951" s="194"/>
      <c r="AI951" s="194"/>
      <c r="AJ951" s="194"/>
      <c r="AK951" s="194"/>
      <c r="AL951" s="194"/>
      <c r="AM951" s="194"/>
    </row>
    <row r="952" spans="1:39" ht="15.75" customHeight="1" x14ac:dyDescent="0.25">
      <c r="A952" s="194"/>
      <c r="B952" s="194"/>
      <c r="C952" s="194"/>
      <c r="D952" s="194"/>
      <c r="E952" s="194"/>
      <c r="F952" s="194"/>
      <c r="G952" s="194"/>
      <c r="H952" s="194"/>
      <c r="I952" s="194"/>
      <c r="J952" s="194"/>
      <c r="K952" s="194"/>
      <c r="L952" s="194"/>
      <c r="M952" s="194"/>
      <c r="N952" s="194"/>
      <c r="O952" s="194"/>
      <c r="P952" s="194"/>
      <c r="Q952" s="194"/>
      <c r="R952" s="194"/>
      <c r="S952" s="194"/>
      <c r="T952" s="194"/>
      <c r="U952" s="194"/>
      <c r="V952" s="194"/>
      <c r="W952" s="194"/>
      <c r="X952" s="194"/>
      <c r="Y952" s="194"/>
      <c r="Z952" s="194"/>
      <c r="AA952" s="194"/>
      <c r="AB952" s="194"/>
      <c r="AC952" s="194"/>
      <c r="AD952" s="194"/>
      <c r="AE952" s="194"/>
      <c r="AF952" s="194"/>
      <c r="AG952" s="194"/>
      <c r="AH952" s="194"/>
      <c r="AI952" s="194"/>
      <c r="AJ952" s="194"/>
      <c r="AK952" s="194"/>
      <c r="AL952" s="194"/>
      <c r="AM952" s="194"/>
    </row>
    <row r="953" spans="1:39" ht="15.75" customHeight="1" x14ac:dyDescent="0.25">
      <c r="A953" s="194"/>
      <c r="B953" s="194"/>
      <c r="C953" s="194"/>
      <c r="D953" s="194"/>
      <c r="E953" s="194"/>
      <c r="F953" s="194"/>
      <c r="G953" s="194"/>
      <c r="H953" s="194"/>
      <c r="I953" s="194"/>
      <c r="J953" s="194"/>
      <c r="K953" s="194"/>
      <c r="L953" s="194"/>
      <c r="M953" s="194"/>
      <c r="N953" s="194"/>
      <c r="O953" s="194"/>
      <c r="P953" s="194"/>
      <c r="Q953" s="194"/>
      <c r="R953" s="194"/>
      <c r="S953" s="194"/>
      <c r="T953" s="194"/>
      <c r="U953" s="194"/>
      <c r="V953" s="194"/>
      <c r="W953" s="194"/>
      <c r="X953" s="194"/>
      <c r="Y953" s="194"/>
      <c r="Z953" s="194"/>
      <c r="AA953" s="194"/>
      <c r="AB953" s="194"/>
      <c r="AC953" s="194"/>
      <c r="AD953" s="194"/>
      <c r="AE953" s="194"/>
      <c r="AF953" s="194"/>
      <c r="AG953" s="194"/>
      <c r="AH953" s="194"/>
      <c r="AI953" s="194"/>
      <c r="AJ953" s="194"/>
      <c r="AK953" s="194"/>
      <c r="AL953" s="194"/>
      <c r="AM953" s="194"/>
    </row>
    <row r="954" spans="1:39" ht="15.75" customHeight="1" x14ac:dyDescent="0.25">
      <c r="A954" s="194"/>
      <c r="B954" s="194"/>
      <c r="C954" s="194"/>
      <c r="D954" s="194"/>
      <c r="E954" s="194"/>
      <c r="F954" s="194"/>
      <c r="G954" s="194"/>
      <c r="H954" s="194"/>
      <c r="I954" s="194"/>
      <c r="J954" s="194"/>
      <c r="K954" s="194"/>
      <c r="L954" s="194"/>
      <c r="M954" s="194"/>
      <c r="N954" s="194"/>
      <c r="O954" s="194"/>
      <c r="P954" s="194"/>
      <c r="Q954" s="194"/>
      <c r="R954" s="194"/>
      <c r="S954" s="194"/>
      <c r="T954" s="194"/>
      <c r="U954" s="194"/>
      <c r="V954" s="194"/>
      <c r="W954" s="194"/>
      <c r="X954" s="194"/>
      <c r="Y954" s="194"/>
      <c r="Z954" s="194"/>
      <c r="AA954" s="194"/>
      <c r="AB954" s="194"/>
      <c r="AC954" s="194"/>
      <c r="AD954" s="194"/>
      <c r="AE954" s="194"/>
      <c r="AF954" s="194"/>
      <c r="AG954" s="194"/>
      <c r="AH954" s="194"/>
      <c r="AI954" s="194"/>
      <c r="AJ954" s="194"/>
      <c r="AK954" s="194"/>
      <c r="AL954" s="194"/>
      <c r="AM954" s="194"/>
    </row>
    <row r="955" spans="1:39" ht="15.75" customHeight="1" x14ac:dyDescent="0.25">
      <c r="A955" s="194"/>
      <c r="B955" s="194"/>
      <c r="C955" s="194"/>
      <c r="D955" s="194"/>
      <c r="E955" s="194"/>
      <c r="F955" s="194"/>
      <c r="G955" s="194"/>
      <c r="H955" s="194"/>
      <c r="I955" s="194"/>
      <c r="J955" s="194"/>
      <c r="K955" s="194"/>
      <c r="L955" s="194"/>
      <c r="M955" s="194"/>
      <c r="N955" s="194"/>
      <c r="O955" s="194"/>
      <c r="P955" s="194"/>
      <c r="Q955" s="194"/>
      <c r="R955" s="194"/>
      <c r="S955" s="194"/>
      <c r="T955" s="194"/>
      <c r="U955" s="194"/>
      <c r="V955" s="194"/>
      <c r="W955" s="194"/>
      <c r="X955" s="194"/>
      <c r="Y955" s="194"/>
      <c r="Z955" s="194"/>
      <c r="AA955" s="194"/>
      <c r="AB955" s="194"/>
      <c r="AC955" s="194"/>
      <c r="AD955" s="194"/>
      <c r="AE955" s="194"/>
      <c r="AF955" s="194"/>
      <c r="AG955" s="194"/>
      <c r="AH955" s="194"/>
      <c r="AI955" s="194"/>
      <c r="AJ955" s="194"/>
      <c r="AK955" s="194"/>
      <c r="AL955" s="194"/>
      <c r="AM955" s="194"/>
    </row>
    <row r="956" spans="1:39" ht="15.75" customHeight="1" x14ac:dyDescent="0.25">
      <c r="A956" s="194"/>
      <c r="B956" s="194"/>
      <c r="C956" s="194"/>
      <c r="D956" s="194"/>
      <c r="E956" s="194"/>
      <c r="F956" s="194"/>
      <c r="G956" s="194"/>
      <c r="H956" s="194"/>
      <c r="I956" s="194"/>
      <c r="J956" s="194"/>
      <c r="K956" s="194"/>
      <c r="L956" s="194"/>
      <c r="M956" s="194"/>
      <c r="N956" s="194"/>
      <c r="O956" s="194"/>
      <c r="P956" s="194"/>
      <c r="Q956" s="194"/>
      <c r="R956" s="194"/>
      <c r="S956" s="194"/>
      <c r="T956" s="194"/>
      <c r="U956" s="194"/>
      <c r="V956" s="194"/>
      <c r="W956" s="194"/>
      <c r="X956" s="194"/>
      <c r="Y956" s="194"/>
      <c r="Z956" s="194"/>
      <c r="AA956" s="194"/>
      <c r="AB956" s="194"/>
      <c r="AC956" s="194"/>
      <c r="AD956" s="194"/>
      <c r="AE956" s="194"/>
      <c r="AF956" s="194"/>
      <c r="AG956" s="194"/>
      <c r="AH956" s="194"/>
      <c r="AI956" s="194"/>
      <c r="AJ956" s="194"/>
      <c r="AK956" s="194"/>
      <c r="AL956" s="194"/>
      <c r="AM956" s="194"/>
    </row>
    <row r="957" spans="1:39" ht="15.75" customHeight="1" x14ac:dyDescent="0.25">
      <c r="A957" s="194"/>
      <c r="B957" s="194"/>
      <c r="C957" s="194"/>
      <c r="D957" s="194"/>
      <c r="E957" s="194"/>
      <c r="F957" s="194"/>
      <c r="G957" s="194"/>
      <c r="H957" s="194"/>
      <c r="I957" s="194"/>
      <c r="J957" s="194"/>
      <c r="K957" s="194"/>
      <c r="L957" s="194"/>
      <c r="M957" s="194"/>
      <c r="N957" s="194"/>
      <c r="O957" s="194"/>
      <c r="P957" s="194"/>
      <c r="Q957" s="194"/>
      <c r="R957" s="194"/>
      <c r="S957" s="194"/>
      <c r="T957" s="194"/>
      <c r="U957" s="194"/>
      <c r="V957" s="194"/>
      <c r="W957" s="194"/>
      <c r="X957" s="194"/>
      <c r="Y957" s="194"/>
      <c r="Z957" s="194"/>
      <c r="AA957" s="194"/>
      <c r="AB957" s="194"/>
      <c r="AC957" s="194"/>
      <c r="AD957" s="194"/>
      <c r="AE957" s="194"/>
      <c r="AF957" s="194"/>
      <c r="AG957" s="194"/>
      <c r="AH957" s="194"/>
      <c r="AI957" s="194"/>
      <c r="AJ957" s="194"/>
      <c r="AK957" s="194"/>
      <c r="AL957" s="194"/>
      <c r="AM957" s="194"/>
    </row>
    <row r="958" spans="1:39" ht="15.75" customHeight="1" x14ac:dyDescent="0.25">
      <c r="A958" s="194"/>
      <c r="B958" s="194"/>
      <c r="C958" s="194"/>
      <c r="D958" s="194"/>
      <c r="E958" s="194"/>
      <c r="F958" s="194"/>
      <c r="G958" s="194"/>
      <c r="H958" s="194"/>
      <c r="I958" s="194"/>
      <c r="J958" s="194"/>
      <c r="K958" s="194"/>
      <c r="L958" s="194"/>
      <c r="M958" s="194"/>
      <c r="N958" s="194"/>
      <c r="O958" s="194"/>
      <c r="P958" s="194"/>
      <c r="Q958" s="194"/>
      <c r="R958" s="194"/>
      <c r="S958" s="194"/>
      <c r="T958" s="194"/>
      <c r="U958" s="194"/>
      <c r="V958" s="194"/>
      <c r="W958" s="194"/>
      <c r="X958" s="194"/>
      <c r="Y958" s="194"/>
      <c r="Z958" s="194"/>
      <c r="AA958" s="194"/>
      <c r="AB958" s="194"/>
      <c r="AC958" s="194"/>
      <c r="AD958" s="194"/>
      <c r="AE958" s="194"/>
      <c r="AF958" s="194"/>
      <c r="AG958" s="194"/>
      <c r="AH958" s="194"/>
      <c r="AI958" s="194"/>
      <c r="AJ958" s="194"/>
      <c r="AK958" s="194"/>
      <c r="AL958" s="194"/>
      <c r="AM958" s="194"/>
    </row>
    <row r="959" spans="1:39" ht="15.75" customHeight="1" x14ac:dyDescent="0.25">
      <c r="A959" s="194"/>
      <c r="B959" s="194"/>
      <c r="C959" s="194"/>
      <c r="D959" s="194"/>
      <c r="E959" s="194"/>
      <c r="F959" s="194"/>
      <c r="G959" s="194"/>
      <c r="H959" s="194"/>
      <c r="I959" s="194"/>
      <c r="J959" s="194"/>
      <c r="K959" s="194"/>
      <c r="L959" s="194"/>
      <c r="M959" s="194"/>
      <c r="N959" s="194"/>
      <c r="O959" s="194"/>
      <c r="P959" s="194"/>
      <c r="Q959" s="194"/>
      <c r="R959" s="194"/>
      <c r="S959" s="194"/>
      <c r="T959" s="194"/>
      <c r="U959" s="194"/>
      <c r="V959" s="194"/>
      <c r="W959" s="194"/>
      <c r="X959" s="194"/>
      <c r="Y959" s="194"/>
      <c r="Z959" s="194"/>
      <c r="AA959" s="194"/>
      <c r="AB959" s="194"/>
      <c r="AC959" s="194"/>
      <c r="AD959" s="194"/>
      <c r="AE959" s="194"/>
      <c r="AF959" s="194"/>
      <c r="AG959" s="194"/>
      <c r="AH959" s="194"/>
      <c r="AI959" s="194"/>
      <c r="AJ959" s="194"/>
      <c r="AK959" s="194"/>
      <c r="AL959" s="194"/>
      <c r="AM959" s="194"/>
    </row>
    <row r="960" spans="1:39" ht="15.75" customHeight="1" x14ac:dyDescent="0.25">
      <c r="A960" s="194"/>
      <c r="B960" s="194"/>
      <c r="C960" s="194"/>
      <c r="D960" s="194"/>
      <c r="E960" s="194"/>
      <c r="F960" s="194"/>
      <c r="G960" s="194"/>
      <c r="H960" s="194"/>
      <c r="I960" s="194"/>
      <c r="J960" s="194"/>
      <c r="K960" s="194"/>
      <c r="L960" s="194"/>
      <c r="M960" s="194"/>
      <c r="N960" s="194"/>
      <c r="O960" s="194"/>
      <c r="P960" s="194"/>
      <c r="Q960" s="194"/>
      <c r="R960" s="194"/>
      <c r="S960" s="194"/>
      <c r="T960" s="194"/>
      <c r="U960" s="194"/>
      <c r="V960" s="194"/>
      <c r="W960" s="194"/>
      <c r="X960" s="194"/>
      <c r="Y960" s="194"/>
      <c r="Z960" s="194"/>
      <c r="AA960" s="194"/>
      <c r="AB960" s="194"/>
      <c r="AC960" s="194"/>
      <c r="AD960" s="194"/>
      <c r="AE960" s="194"/>
      <c r="AF960" s="194"/>
      <c r="AG960" s="194"/>
      <c r="AH960" s="194"/>
      <c r="AI960" s="194"/>
      <c r="AJ960" s="194"/>
      <c r="AK960" s="194"/>
      <c r="AL960" s="194"/>
      <c r="AM960" s="194"/>
    </row>
    <row r="961" spans="1:39" ht="15.75" customHeight="1" x14ac:dyDescent="0.25">
      <c r="A961" s="194"/>
      <c r="B961" s="194"/>
      <c r="C961" s="194"/>
      <c r="D961" s="194"/>
      <c r="E961" s="194"/>
      <c r="F961" s="194"/>
      <c r="G961" s="194"/>
      <c r="H961" s="194"/>
      <c r="I961" s="194"/>
      <c r="J961" s="194"/>
      <c r="K961" s="194"/>
      <c r="L961" s="194"/>
      <c r="M961" s="194"/>
      <c r="N961" s="194"/>
      <c r="O961" s="194"/>
      <c r="P961" s="194"/>
      <c r="Q961" s="194"/>
      <c r="R961" s="194"/>
      <c r="S961" s="194"/>
      <c r="T961" s="194"/>
      <c r="U961" s="194"/>
      <c r="V961" s="194"/>
      <c r="W961" s="194"/>
      <c r="X961" s="194"/>
      <c r="Y961" s="194"/>
      <c r="Z961" s="194"/>
      <c r="AA961" s="194"/>
      <c r="AB961" s="194"/>
      <c r="AC961" s="194"/>
      <c r="AD961" s="194"/>
      <c r="AE961" s="194"/>
      <c r="AF961" s="194"/>
      <c r="AG961" s="194"/>
      <c r="AH961" s="194"/>
      <c r="AI961" s="194"/>
      <c r="AJ961" s="194"/>
      <c r="AK961" s="194"/>
      <c r="AL961" s="194"/>
      <c r="AM961" s="194"/>
    </row>
    <row r="962" spans="1:39" ht="15.75" customHeight="1" x14ac:dyDescent="0.25">
      <c r="A962" s="194"/>
      <c r="B962" s="194"/>
      <c r="C962" s="194"/>
      <c r="D962" s="194"/>
      <c r="E962" s="194"/>
      <c r="F962" s="194"/>
      <c r="G962" s="194"/>
      <c r="H962" s="194"/>
      <c r="I962" s="194"/>
      <c r="J962" s="194"/>
      <c r="K962" s="194"/>
      <c r="L962" s="194"/>
      <c r="M962" s="194"/>
      <c r="N962" s="194"/>
      <c r="O962" s="194"/>
      <c r="P962" s="194"/>
      <c r="Q962" s="194"/>
      <c r="R962" s="194"/>
      <c r="S962" s="194"/>
      <c r="T962" s="194"/>
      <c r="U962" s="194"/>
      <c r="V962" s="194"/>
      <c r="W962" s="194"/>
      <c r="X962" s="194"/>
      <c r="Y962" s="194"/>
      <c r="Z962" s="194"/>
      <c r="AA962" s="194"/>
      <c r="AB962" s="194"/>
      <c r="AC962" s="194"/>
      <c r="AD962" s="194"/>
      <c r="AE962" s="194"/>
      <c r="AF962" s="194"/>
      <c r="AG962" s="194"/>
      <c r="AH962" s="194"/>
      <c r="AI962" s="194"/>
      <c r="AJ962" s="194"/>
      <c r="AK962" s="194"/>
      <c r="AL962" s="194"/>
      <c r="AM962" s="194"/>
    </row>
    <row r="963" spans="1:39" ht="15.75" customHeight="1" x14ac:dyDescent="0.25">
      <c r="A963" s="194"/>
      <c r="B963" s="194"/>
      <c r="C963" s="194"/>
      <c r="D963" s="194"/>
      <c r="E963" s="194"/>
      <c r="F963" s="194"/>
      <c r="G963" s="194"/>
      <c r="H963" s="194"/>
      <c r="I963" s="194"/>
      <c r="J963" s="194"/>
      <c r="K963" s="194"/>
      <c r="L963" s="194"/>
      <c r="M963" s="194"/>
      <c r="N963" s="194"/>
      <c r="O963" s="194"/>
      <c r="P963" s="194"/>
      <c r="Q963" s="194"/>
      <c r="R963" s="194"/>
      <c r="S963" s="194"/>
      <c r="T963" s="194"/>
      <c r="U963" s="194"/>
      <c r="V963" s="194"/>
      <c r="W963" s="194"/>
      <c r="X963" s="194"/>
      <c r="Y963" s="194"/>
      <c r="Z963" s="194"/>
      <c r="AA963" s="194"/>
      <c r="AB963" s="194"/>
      <c r="AC963" s="194"/>
      <c r="AD963" s="194"/>
      <c r="AE963" s="194"/>
      <c r="AF963" s="194"/>
      <c r="AG963" s="194"/>
      <c r="AH963" s="194"/>
      <c r="AI963" s="194"/>
      <c r="AJ963" s="194"/>
      <c r="AK963" s="194"/>
      <c r="AL963" s="194"/>
      <c r="AM963" s="194"/>
    </row>
    <row r="964" spans="1:39" ht="15.75" customHeight="1" x14ac:dyDescent="0.25">
      <c r="A964" s="194"/>
      <c r="B964" s="194"/>
      <c r="C964" s="194"/>
      <c r="D964" s="194"/>
      <c r="E964" s="194"/>
      <c r="F964" s="194"/>
      <c r="G964" s="194"/>
      <c r="H964" s="194"/>
      <c r="I964" s="194"/>
      <c r="J964" s="194"/>
      <c r="K964" s="194"/>
      <c r="L964" s="194"/>
      <c r="M964" s="194"/>
      <c r="N964" s="194"/>
      <c r="O964" s="194"/>
      <c r="P964" s="194"/>
      <c r="Q964" s="194"/>
      <c r="R964" s="194"/>
      <c r="S964" s="194"/>
      <c r="T964" s="194"/>
      <c r="U964" s="194"/>
      <c r="V964" s="194"/>
      <c r="W964" s="194"/>
      <c r="X964" s="194"/>
      <c r="Y964" s="194"/>
      <c r="Z964" s="194"/>
      <c r="AA964" s="194"/>
      <c r="AB964" s="194"/>
      <c r="AC964" s="194"/>
      <c r="AD964" s="194"/>
      <c r="AE964" s="194"/>
      <c r="AF964" s="194"/>
      <c r="AG964" s="194"/>
      <c r="AH964" s="194"/>
      <c r="AI964" s="194"/>
      <c r="AJ964" s="194"/>
      <c r="AK964" s="194"/>
      <c r="AL964" s="194"/>
      <c r="AM964" s="194"/>
    </row>
    <row r="965" spans="1:39" ht="15.75" customHeight="1" x14ac:dyDescent="0.25">
      <c r="A965" s="194"/>
      <c r="B965" s="194"/>
      <c r="C965" s="194"/>
      <c r="D965" s="194"/>
      <c r="E965" s="194"/>
      <c r="F965" s="194"/>
      <c r="G965" s="194"/>
      <c r="H965" s="194"/>
      <c r="I965" s="194"/>
      <c r="J965" s="194"/>
      <c r="K965" s="194"/>
      <c r="L965" s="194"/>
      <c r="M965" s="194"/>
      <c r="N965" s="194"/>
      <c r="O965" s="194"/>
      <c r="P965" s="194"/>
      <c r="Q965" s="194"/>
      <c r="R965" s="194"/>
      <c r="S965" s="194"/>
      <c r="T965" s="194"/>
      <c r="U965" s="194"/>
      <c r="V965" s="194"/>
      <c r="W965" s="194"/>
      <c r="X965" s="194"/>
      <c r="Y965" s="194"/>
      <c r="Z965" s="194"/>
      <c r="AA965" s="194"/>
      <c r="AB965" s="194"/>
      <c r="AC965" s="194"/>
      <c r="AD965" s="194"/>
      <c r="AE965" s="194"/>
      <c r="AF965" s="194"/>
      <c r="AG965" s="194"/>
      <c r="AH965" s="194"/>
      <c r="AI965" s="194"/>
      <c r="AJ965" s="194"/>
      <c r="AK965" s="194"/>
      <c r="AL965" s="194"/>
      <c r="AM965" s="194"/>
    </row>
    <row r="966" spans="1:39" ht="15.75" customHeight="1" x14ac:dyDescent="0.25">
      <c r="A966" s="194"/>
      <c r="B966" s="194"/>
      <c r="C966" s="194"/>
      <c r="D966" s="194"/>
      <c r="E966" s="194"/>
      <c r="F966" s="194"/>
      <c r="G966" s="194"/>
      <c r="H966" s="194"/>
      <c r="I966" s="194"/>
      <c r="J966" s="194"/>
      <c r="K966" s="194"/>
      <c r="L966" s="194"/>
      <c r="M966" s="194"/>
      <c r="N966" s="194"/>
      <c r="O966" s="194"/>
      <c r="P966" s="194"/>
      <c r="Q966" s="194"/>
      <c r="R966" s="194"/>
      <c r="S966" s="194"/>
      <c r="T966" s="194"/>
      <c r="U966" s="194"/>
      <c r="V966" s="194"/>
      <c r="W966" s="194"/>
      <c r="X966" s="194"/>
      <c r="Y966" s="194"/>
      <c r="Z966" s="194"/>
      <c r="AA966" s="194"/>
      <c r="AB966" s="194"/>
      <c r="AC966" s="194"/>
      <c r="AD966" s="194"/>
      <c r="AE966" s="194"/>
      <c r="AF966" s="194"/>
      <c r="AG966" s="194"/>
      <c r="AH966" s="194"/>
      <c r="AI966" s="194"/>
      <c r="AJ966" s="194"/>
      <c r="AK966" s="194"/>
      <c r="AL966" s="194"/>
      <c r="AM966" s="194"/>
    </row>
    <row r="967" spans="1:39" ht="15.75" customHeight="1" x14ac:dyDescent="0.25">
      <c r="A967" s="194"/>
      <c r="B967" s="194"/>
      <c r="C967" s="194"/>
      <c r="D967" s="194"/>
      <c r="E967" s="194"/>
      <c r="F967" s="194"/>
      <c r="G967" s="194"/>
      <c r="H967" s="194"/>
      <c r="I967" s="194"/>
      <c r="J967" s="194"/>
      <c r="K967" s="194"/>
      <c r="L967" s="194"/>
      <c r="M967" s="194"/>
      <c r="N967" s="194"/>
      <c r="O967" s="194"/>
      <c r="P967" s="194"/>
      <c r="Q967" s="194"/>
      <c r="R967" s="194"/>
      <c r="S967" s="194"/>
      <c r="T967" s="194"/>
      <c r="U967" s="194"/>
      <c r="V967" s="194"/>
      <c r="W967" s="194"/>
      <c r="X967" s="194"/>
      <c r="Y967" s="194"/>
      <c r="Z967" s="194"/>
      <c r="AA967" s="194"/>
      <c r="AB967" s="194"/>
      <c r="AC967" s="194"/>
      <c r="AD967" s="194"/>
      <c r="AE967" s="194"/>
      <c r="AF967" s="194"/>
      <c r="AG967" s="194"/>
      <c r="AH967" s="194"/>
      <c r="AI967" s="194"/>
      <c r="AJ967" s="194"/>
      <c r="AK967" s="194"/>
      <c r="AL967" s="194"/>
      <c r="AM967" s="194"/>
    </row>
    <row r="968" spans="1:39" ht="15.75" customHeight="1" x14ac:dyDescent="0.25">
      <c r="A968" s="194"/>
      <c r="B968" s="194"/>
      <c r="C968" s="194"/>
      <c r="D968" s="194"/>
      <c r="E968" s="194"/>
      <c r="F968" s="194"/>
      <c r="G968" s="194"/>
      <c r="H968" s="194"/>
      <c r="I968" s="194"/>
      <c r="J968" s="194"/>
      <c r="K968" s="194"/>
      <c r="L968" s="194"/>
      <c r="M968" s="194"/>
      <c r="N968" s="194"/>
      <c r="O968" s="194"/>
      <c r="P968" s="194"/>
      <c r="Q968" s="194"/>
      <c r="R968" s="194"/>
      <c r="S968" s="194"/>
      <c r="T968" s="194"/>
      <c r="U968" s="194"/>
      <c r="V968" s="194"/>
      <c r="W968" s="194"/>
      <c r="X968" s="194"/>
      <c r="Y968" s="194"/>
      <c r="Z968" s="194"/>
      <c r="AA968" s="194"/>
      <c r="AB968" s="194"/>
      <c r="AC968" s="194"/>
      <c r="AD968" s="194"/>
      <c r="AE968" s="194"/>
      <c r="AF968" s="194"/>
      <c r="AG968" s="194"/>
      <c r="AH968" s="194"/>
      <c r="AI968" s="194"/>
      <c r="AJ968" s="194"/>
      <c r="AK968" s="194"/>
      <c r="AL968" s="194"/>
      <c r="AM968" s="194"/>
    </row>
    <row r="969" spans="1:39" ht="15.75" customHeight="1" x14ac:dyDescent="0.25">
      <c r="A969" s="194"/>
      <c r="B969" s="194"/>
      <c r="C969" s="194"/>
      <c r="D969" s="194"/>
      <c r="E969" s="194"/>
      <c r="F969" s="194"/>
      <c r="G969" s="194"/>
      <c r="H969" s="194"/>
      <c r="I969" s="194"/>
      <c r="J969" s="194"/>
      <c r="K969" s="194"/>
      <c r="L969" s="194"/>
      <c r="M969" s="194"/>
      <c r="N969" s="194"/>
      <c r="O969" s="194"/>
      <c r="P969" s="194"/>
      <c r="Q969" s="194"/>
      <c r="R969" s="194"/>
      <c r="S969" s="194"/>
      <c r="T969" s="194"/>
      <c r="U969" s="194"/>
      <c r="V969" s="194"/>
      <c r="W969" s="194"/>
      <c r="X969" s="194"/>
      <c r="Y969" s="194"/>
      <c r="Z969" s="194"/>
      <c r="AA969" s="194"/>
      <c r="AB969" s="194"/>
      <c r="AC969" s="194"/>
      <c r="AD969" s="194"/>
      <c r="AE969" s="194"/>
      <c r="AF969" s="194"/>
      <c r="AG969" s="194"/>
      <c r="AH969" s="194"/>
      <c r="AI969" s="194"/>
      <c r="AJ969" s="194"/>
      <c r="AK969" s="194"/>
      <c r="AL969" s="194"/>
      <c r="AM969" s="194"/>
    </row>
    <row r="970" spans="1:39" ht="15.75" customHeight="1" x14ac:dyDescent="0.25">
      <c r="A970" s="194"/>
      <c r="B970" s="194"/>
      <c r="C970" s="194"/>
      <c r="D970" s="194"/>
      <c r="E970" s="194"/>
      <c r="F970" s="194"/>
      <c r="G970" s="194"/>
      <c r="H970" s="194"/>
      <c r="I970" s="194"/>
      <c r="J970" s="194"/>
      <c r="K970" s="194"/>
      <c r="L970" s="194"/>
      <c r="M970" s="194"/>
      <c r="N970" s="194"/>
      <c r="O970" s="194"/>
      <c r="P970" s="194"/>
      <c r="Q970" s="194"/>
      <c r="R970" s="194"/>
      <c r="S970" s="194"/>
      <c r="T970" s="194"/>
      <c r="U970" s="194"/>
      <c r="V970" s="194"/>
      <c r="W970" s="194"/>
      <c r="X970" s="194"/>
      <c r="Y970" s="194"/>
      <c r="Z970" s="194"/>
      <c r="AA970" s="194"/>
      <c r="AB970" s="194"/>
      <c r="AC970" s="194"/>
      <c r="AD970" s="194"/>
      <c r="AE970" s="194"/>
      <c r="AF970" s="194"/>
      <c r="AG970" s="194"/>
      <c r="AH970" s="194"/>
      <c r="AI970" s="194"/>
      <c r="AJ970" s="194"/>
      <c r="AK970" s="194"/>
      <c r="AL970" s="194"/>
      <c r="AM970" s="194"/>
    </row>
    <row r="971" spans="1:39" ht="15.75" customHeight="1" x14ac:dyDescent="0.25">
      <c r="A971" s="194"/>
      <c r="B971" s="194"/>
      <c r="C971" s="194"/>
      <c r="D971" s="194"/>
      <c r="E971" s="194"/>
      <c r="F971" s="194"/>
      <c r="G971" s="194"/>
      <c r="H971" s="194"/>
      <c r="I971" s="194"/>
      <c r="J971" s="194"/>
      <c r="K971" s="194"/>
      <c r="L971" s="194"/>
      <c r="M971" s="194"/>
      <c r="N971" s="194"/>
      <c r="O971" s="194"/>
      <c r="P971" s="194"/>
      <c r="Q971" s="194"/>
      <c r="R971" s="194"/>
      <c r="S971" s="194"/>
      <c r="T971" s="194"/>
      <c r="U971" s="194"/>
      <c r="V971" s="194"/>
      <c r="W971" s="194"/>
      <c r="X971" s="194"/>
      <c r="Y971" s="194"/>
      <c r="Z971" s="194"/>
      <c r="AA971" s="194"/>
      <c r="AB971" s="194"/>
      <c r="AC971" s="194"/>
      <c r="AD971" s="194"/>
      <c r="AE971" s="194"/>
      <c r="AF971" s="194"/>
      <c r="AG971" s="194"/>
      <c r="AH971" s="194"/>
      <c r="AI971" s="194"/>
      <c r="AJ971" s="194"/>
      <c r="AK971" s="194"/>
      <c r="AL971" s="194"/>
      <c r="AM971" s="194"/>
    </row>
    <row r="972" spans="1:39" ht="15.75" customHeight="1" x14ac:dyDescent="0.25">
      <c r="A972" s="194"/>
      <c r="B972" s="194"/>
      <c r="C972" s="194"/>
      <c r="D972" s="194"/>
      <c r="E972" s="194"/>
      <c r="F972" s="194"/>
      <c r="G972" s="194"/>
      <c r="H972" s="194"/>
      <c r="I972" s="194"/>
      <c r="J972" s="194"/>
      <c r="K972" s="194"/>
      <c r="L972" s="194"/>
      <c r="M972" s="194"/>
      <c r="N972" s="194"/>
      <c r="O972" s="194"/>
      <c r="P972" s="194"/>
      <c r="Q972" s="194"/>
      <c r="R972" s="194"/>
      <c r="S972" s="194"/>
      <c r="T972" s="194"/>
      <c r="U972" s="194"/>
      <c r="V972" s="194"/>
      <c r="W972" s="194"/>
      <c r="X972" s="194"/>
      <c r="Y972" s="194"/>
      <c r="Z972" s="194"/>
      <c r="AA972" s="194"/>
      <c r="AB972" s="194"/>
      <c r="AC972" s="194"/>
      <c r="AD972" s="194"/>
      <c r="AE972" s="194"/>
      <c r="AF972" s="194"/>
      <c r="AG972" s="194"/>
      <c r="AH972" s="194"/>
      <c r="AI972" s="194"/>
      <c r="AJ972" s="194"/>
      <c r="AK972" s="194"/>
      <c r="AL972" s="194"/>
      <c r="AM972" s="194"/>
    </row>
    <row r="973" spans="1:39" ht="15.75" customHeight="1" x14ac:dyDescent="0.25">
      <c r="A973" s="194"/>
      <c r="B973" s="194"/>
      <c r="C973" s="194"/>
      <c r="D973" s="194"/>
      <c r="E973" s="194"/>
      <c r="F973" s="194"/>
      <c r="G973" s="194"/>
      <c r="H973" s="194"/>
      <c r="I973" s="194"/>
      <c r="J973" s="194"/>
      <c r="K973" s="194"/>
      <c r="L973" s="194"/>
      <c r="M973" s="194"/>
      <c r="N973" s="194"/>
      <c r="O973" s="194"/>
      <c r="P973" s="194"/>
      <c r="Q973" s="194"/>
      <c r="R973" s="194"/>
      <c r="S973" s="194"/>
      <c r="T973" s="194"/>
      <c r="U973" s="194"/>
      <c r="V973" s="194"/>
      <c r="W973" s="194"/>
      <c r="X973" s="194"/>
      <c r="Y973" s="194"/>
      <c r="Z973" s="194"/>
      <c r="AA973" s="194"/>
      <c r="AB973" s="194"/>
      <c r="AC973" s="194"/>
      <c r="AD973" s="194"/>
      <c r="AE973" s="194"/>
      <c r="AF973" s="194"/>
      <c r="AG973" s="194"/>
      <c r="AH973" s="194"/>
      <c r="AI973" s="194"/>
      <c r="AJ973" s="194"/>
      <c r="AK973" s="194"/>
      <c r="AL973" s="194"/>
      <c r="AM973" s="194"/>
    </row>
    <row r="974" spans="1:39" ht="15.75" customHeight="1" x14ac:dyDescent="0.25">
      <c r="A974" s="194"/>
      <c r="B974" s="194"/>
      <c r="C974" s="194"/>
      <c r="D974" s="194"/>
      <c r="E974" s="194"/>
      <c r="F974" s="194"/>
      <c r="G974" s="194"/>
      <c r="H974" s="194"/>
      <c r="I974" s="194"/>
      <c r="J974" s="194"/>
      <c r="K974" s="194"/>
      <c r="L974" s="194"/>
      <c r="M974" s="194"/>
      <c r="N974" s="194"/>
      <c r="O974" s="194"/>
      <c r="P974" s="194"/>
      <c r="Q974" s="194"/>
      <c r="R974" s="194"/>
      <c r="S974" s="194"/>
      <c r="T974" s="194"/>
      <c r="U974" s="194"/>
      <c r="V974" s="194"/>
      <c r="W974" s="194"/>
      <c r="X974" s="194"/>
      <c r="Y974" s="194"/>
      <c r="Z974" s="194"/>
      <c r="AA974" s="194"/>
      <c r="AB974" s="194"/>
      <c r="AC974" s="194"/>
      <c r="AD974" s="194"/>
      <c r="AE974" s="194"/>
      <c r="AF974" s="194"/>
      <c r="AG974" s="194"/>
      <c r="AH974" s="194"/>
      <c r="AI974" s="194"/>
      <c r="AJ974" s="194"/>
      <c r="AK974" s="194"/>
      <c r="AL974" s="194"/>
      <c r="AM974" s="194"/>
    </row>
    <row r="975" spans="1:39" ht="15.75" customHeight="1" x14ac:dyDescent="0.25">
      <c r="A975" s="194"/>
      <c r="B975" s="194"/>
      <c r="C975" s="194"/>
      <c r="D975" s="194"/>
      <c r="E975" s="194"/>
      <c r="F975" s="194"/>
      <c r="G975" s="194"/>
      <c r="H975" s="194"/>
      <c r="I975" s="194"/>
      <c r="J975" s="194"/>
      <c r="K975" s="194"/>
      <c r="L975" s="194"/>
      <c r="M975" s="194"/>
      <c r="N975" s="194"/>
      <c r="O975" s="194"/>
      <c r="P975" s="194"/>
      <c r="Q975" s="194"/>
      <c r="R975" s="194"/>
      <c r="S975" s="194"/>
      <c r="T975" s="194"/>
      <c r="U975" s="194"/>
      <c r="V975" s="194"/>
      <c r="W975" s="194"/>
      <c r="X975" s="194"/>
      <c r="Y975" s="194"/>
      <c r="Z975" s="194"/>
      <c r="AA975" s="194"/>
      <c r="AB975" s="194"/>
      <c r="AC975" s="194"/>
      <c r="AD975" s="194"/>
      <c r="AE975" s="194"/>
      <c r="AF975" s="194"/>
      <c r="AG975" s="194"/>
      <c r="AH975" s="194"/>
      <c r="AI975" s="194"/>
      <c r="AJ975" s="194"/>
      <c r="AK975" s="194"/>
      <c r="AL975" s="194"/>
      <c r="AM975" s="194"/>
    </row>
    <row r="976" spans="1:39" ht="15.75" customHeight="1" x14ac:dyDescent="0.25">
      <c r="A976" s="194"/>
      <c r="B976" s="194"/>
      <c r="C976" s="194"/>
      <c r="D976" s="194"/>
      <c r="E976" s="194"/>
      <c r="F976" s="194"/>
      <c r="G976" s="194"/>
      <c r="H976" s="194"/>
      <c r="I976" s="194"/>
      <c r="J976" s="194"/>
      <c r="K976" s="194"/>
      <c r="L976" s="194"/>
      <c r="M976" s="194"/>
      <c r="N976" s="194"/>
      <c r="O976" s="194"/>
      <c r="P976" s="194"/>
      <c r="Q976" s="194"/>
      <c r="R976" s="194"/>
      <c r="S976" s="194"/>
      <c r="T976" s="194"/>
      <c r="U976" s="194"/>
      <c r="V976" s="194"/>
      <c r="W976" s="194"/>
      <c r="X976" s="194"/>
      <c r="Y976" s="194"/>
      <c r="Z976" s="194"/>
      <c r="AA976" s="194"/>
      <c r="AB976" s="194"/>
      <c r="AC976" s="194"/>
      <c r="AD976" s="194"/>
      <c r="AE976" s="194"/>
      <c r="AF976" s="194"/>
      <c r="AG976" s="194"/>
      <c r="AH976" s="194"/>
      <c r="AI976" s="194"/>
      <c r="AJ976" s="194"/>
      <c r="AK976" s="194"/>
      <c r="AL976" s="194"/>
      <c r="AM976" s="194"/>
    </row>
    <row r="977" spans="1:39" ht="15.75" customHeight="1" x14ac:dyDescent="0.25">
      <c r="A977" s="194"/>
      <c r="B977" s="194"/>
      <c r="C977" s="194"/>
      <c r="D977" s="194"/>
      <c r="E977" s="194"/>
      <c r="F977" s="194"/>
      <c r="G977" s="194"/>
      <c r="H977" s="194"/>
      <c r="I977" s="194"/>
      <c r="J977" s="194"/>
      <c r="K977" s="194"/>
      <c r="L977" s="194"/>
      <c r="M977" s="194"/>
      <c r="N977" s="194"/>
      <c r="O977" s="194"/>
      <c r="P977" s="194"/>
      <c r="Q977" s="194"/>
      <c r="R977" s="194"/>
      <c r="S977" s="194"/>
      <c r="T977" s="194"/>
      <c r="U977" s="194"/>
      <c r="V977" s="194"/>
      <c r="W977" s="194"/>
      <c r="X977" s="194"/>
      <c r="Y977" s="194"/>
      <c r="Z977" s="194"/>
      <c r="AA977" s="194"/>
      <c r="AB977" s="194"/>
      <c r="AC977" s="194"/>
      <c r="AD977" s="194"/>
      <c r="AE977" s="194"/>
      <c r="AF977" s="194"/>
      <c r="AG977" s="194"/>
      <c r="AH977" s="194"/>
      <c r="AI977" s="194"/>
      <c r="AJ977" s="194"/>
      <c r="AK977" s="194"/>
      <c r="AL977" s="194"/>
      <c r="AM977" s="194"/>
    </row>
    <row r="978" spans="1:39" ht="15.75" customHeight="1" x14ac:dyDescent="0.25">
      <c r="A978" s="194"/>
      <c r="B978" s="194"/>
      <c r="C978" s="194"/>
      <c r="D978" s="194"/>
      <c r="E978" s="194"/>
      <c r="F978" s="194"/>
      <c r="G978" s="194"/>
      <c r="H978" s="194"/>
      <c r="I978" s="194"/>
      <c r="J978" s="194"/>
      <c r="K978" s="194"/>
      <c r="L978" s="194"/>
      <c r="M978" s="194"/>
      <c r="N978" s="194"/>
      <c r="O978" s="194"/>
      <c r="P978" s="194"/>
      <c r="Q978" s="194"/>
      <c r="R978" s="194"/>
      <c r="S978" s="194"/>
      <c r="T978" s="194"/>
      <c r="U978" s="194"/>
      <c r="V978" s="194"/>
      <c r="W978" s="194"/>
      <c r="X978" s="194"/>
      <c r="Y978" s="194"/>
      <c r="Z978" s="194"/>
      <c r="AA978" s="194"/>
      <c r="AB978" s="194"/>
      <c r="AC978" s="194"/>
      <c r="AD978" s="194"/>
      <c r="AE978" s="194"/>
      <c r="AF978" s="194"/>
      <c r="AG978" s="194"/>
      <c r="AH978" s="194"/>
      <c r="AI978" s="194"/>
      <c r="AJ978" s="194"/>
      <c r="AK978" s="194"/>
      <c r="AL978" s="194"/>
      <c r="AM978" s="194"/>
    </row>
    <row r="979" spans="1:39" ht="15.75" customHeight="1" x14ac:dyDescent="0.25">
      <c r="A979" s="194"/>
      <c r="B979" s="194"/>
      <c r="C979" s="194"/>
      <c r="D979" s="194"/>
      <c r="E979" s="194"/>
      <c r="F979" s="194"/>
      <c r="G979" s="194"/>
      <c r="H979" s="194"/>
      <c r="I979" s="194"/>
      <c r="J979" s="194"/>
      <c r="K979" s="194"/>
      <c r="L979" s="194"/>
      <c r="M979" s="194"/>
      <c r="N979" s="194"/>
      <c r="O979" s="194"/>
      <c r="P979" s="194"/>
      <c r="Q979" s="194"/>
      <c r="R979" s="194"/>
      <c r="S979" s="194"/>
      <c r="T979" s="194"/>
      <c r="U979" s="194"/>
      <c r="V979" s="194"/>
      <c r="W979" s="194"/>
      <c r="X979" s="194"/>
      <c r="Y979" s="194"/>
      <c r="Z979" s="194"/>
      <c r="AA979" s="194"/>
      <c r="AB979" s="194"/>
      <c r="AC979" s="194"/>
      <c r="AD979" s="194"/>
      <c r="AE979" s="194"/>
      <c r="AF979" s="194"/>
      <c r="AG979" s="194"/>
      <c r="AH979" s="194"/>
      <c r="AI979" s="194"/>
      <c r="AJ979" s="194"/>
      <c r="AK979" s="194"/>
      <c r="AL979" s="194"/>
      <c r="AM979" s="194"/>
    </row>
    <row r="980" spans="1:39" ht="15.75" customHeight="1" x14ac:dyDescent="0.25">
      <c r="A980" s="194"/>
      <c r="B980" s="194"/>
      <c r="C980" s="194"/>
      <c r="D980" s="194"/>
      <c r="E980" s="194"/>
      <c r="F980" s="194"/>
      <c r="G980" s="194"/>
      <c r="H980" s="194"/>
      <c r="I980" s="194"/>
      <c r="J980" s="194"/>
      <c r="K980" s="194"/>
      <c r="L980" s="194"/>
      <c r="M980" s="194"/>
      <c r="N980" s="194"/>
      <c r="O980" s="194"/>
      <c r="P980" s="194"/>
      <c r="Q980" s="194"/>
      <c r="R980" s="194"/>
      <c r="S980" s="194"/>
      <c r="T980" s="194"/>
      <c r="U980" s="194"/>
      <c r="V980" s="194"/>
      <c r="W980" s="194"/>
      <c r="X980" s="194"/>
      <c r="Y980" s="194"/>
      <c r="Z980" s="194"/>
      <c r="AA980" s="194"/>
      <c r="AB980" s="194"/>
      <c r="AC980" s="194"/>
      <c r="AD980" s="194"/>
      <c r="AE980" s="194"/>
      <c r="AF980" s="194"/>
      <c r="AG980" s="194"/>
      <c r="AH980" s="194"/>
      <c r="AI980" s="194"/>
      <c r="AJ980" s="194"/>
      <c r="AK980" s="194"/>
      <c r="AL980" s="194"/>
      <c r="AM980" s="194"/>
    </row>
    <row r="981" spans="1:39" ht="15.75" customHeight="1" x14ac:dyDescent="0.25">
      <c r="A981" s="194"/>
      <c r="B981" s="194"/>
      <c r="C981" s="194"/>
      <c r="D981" s="194"/>
      <c r="E981" s="194"/>
      <c r="F981" s="194"/>
      <c r="G981" s="194"/>
      <c r="H981" s="194"/>
      <c r="I981" s="194"/>
      <c r="J981" s="194"/>
      <c r="K981" s="194"/>
      <c r="L981" s="194"/>
      <c r="M981" s="194"/>
      <c r="N981" s="194"/>
      <c r="O981" s="194"/>
      <c r="P981" s="194"/>
      <c r="Q981" s="194"/>
      <c r="R981" s="194"/>
      <c r="S981" s="194"/>
      <c r="T981" s="194"/>
      <c r="U981" s="194"/>
      <c r="V981" s="194"/>
      <c r="W981" s="194"/>
      <c r="X981" s="194"/>
      <c r="Y981" s="194"/>
      <c r="Z981" s="194"/>
      <c r="AA981" s="194"/>
      <c r="AB981" s="194"/>
      <c r="AC981" s="194"/>
      <c r="AD981" s="194"/>
      <c r="AE981" s="194"/>
      <c r="AF981" s="194"/>
      <c r="AG981" s="194"/>
      <c r="AH981" s="194"/>
      <c r="AI981" s="194"/>
      <c r="AJ981" s="194"/>
      <c r="AK981" s="194"/>
      <c r="AL981" s="194"/>
      <c r="AM981" s="194"/>
    </row>
    <row r="982" spans="1:39" ht="15.75" customHeight="1" x14ac:dyDescent="0.25">
      <c r="A982" s="194"/>
      <c r="B982" s="194"/>
      <c r="C982" s="194"/>
      <c r="D982" s="194"/>
      <c r="E982" s="194"/>
      <c r="F982" s="194"/>
      <c r="G982" s="194"/>
      <c r="H982" s="194"/>
      <c r="I982" s="194"/>
      <c r="J982" s="194"/>
      <c r="K982" s="194"/>
      <c r="L982" s="194"/>
      <c r="M982" s="194"/>
      <c r="N982" s="194"/>
      <c r="O982" s="194"/>
      <c r="P982" s="194"/>
      <c r="Q982" s="194"/>
      <c r="R982" s="194"/>
      <c r="S982" s="194"/>
      <c r="T982" s="194"/>
      <c r="U982" s="194"/>
      <c r="V982" s="194"/>
      <c r="W982" s="194"/>
      <c r="X982" s="194"/>
      <c r="Y982" s="194"/>
      <c r="Z982" s="194"/>
      <c r="AA982" s="194"/>
      <c r="AB982" s="194"/>
      <c r="AC982" s="194"/>
      <c r="AD982" s="194"/>
      <c r="AE982" s="194"/>
      <c r="AF982" s="194"/>
      <c r="AG982" s="194"/>
      <c r="AH982" s="194"/>
      <c r="AI982" s="194"/>
      <c r="AJ982" s="194"/>
      <c r="AK982" s="194"/>
      <c r="AL982" s="194"/>
      <c r="AM982" s="194"/>
    </row>
    <row r="983" spans="1:39" ht="15.75" customHeight="1" x14ac:dyDescent="0.25">
      <c r="A983" s="194"/>
      <c r="B983" s="194"/>
      <c r="C983" s="194"/>
      <c r="D983" s="194"/>
      <c r="E983" s="194"/>
      <c r="F983" s="194"/>
      <c r="G983" s="194"/>
      <c r="H983" s="194"/>
      <c r="I983" s="194"/>
      <c r="J983" s="194"/>
      <c r="K983" s="194"/>
      <c r="L983" s="194"/>
      <c r="M983" s="194"/>
      <c r="N983" s="194"/>
      <c r="O983" s="194"/>
      <c r="P983" s="194"/>
      <c r="Q983" s="194"/>
      <c r="R983" s="194"/>
      <c r="S983" s="194"/>
      <c r="T983" s="194"/>
      <c r="U983" s="194"/>
      <c r="V983" s="194"/>
      <c r="W983" s="194"/>
      <c r="X983" s="194"/>
      <c r="Y983" s="194"/>
      <c r="Z983" s="194"/>
      <c r="AA983" s="194"/>
      <c r="AB983" s="194"/>
      <c r="AC983" s="194"/>
      <c r="AD983" s="194"/>
      <c r="AE983" s="194"/>
      <c r="AF983" s="194"/>
      <c r="AG983" s="194"/>
      <c r="AH983" s="194"/>
      <c r="AI983" s="194"/>
      <c r="AJ983" s="194"/>
      <c r="AK983" s="194"/>
      <c r="AL983" s="194"/>
      <c r="AM983" s="194"/>
    </row>
    <row r="984" spans="1:39" ht="15.75" customHeight="1" x14ac:dyDescent="0.25">
      <c r="A984" s="194"/>
      <c r="B984" s="194"/>
      <c r="C984" s="194"/>
      <c r="D984" s="194"/>
      <c r="E984" s="194"/>
      <c r="F984" s="194"/>
      <c r="G984" s="194"/>
      <c r="H984" s="194"/>
      <c r="I984" s="194"/>
      <c r="J984" s="194"/>
      <c r="K984" s="194"/>
      <c r="L984" s="194"/>
      <c r="M984" s="194"/>
      <c r="N984" s="194"/>
      <c r="O984" s="194"/>
      <c r="P984" s="194"/>
      <c r="Q984" s="194"/>
      <c r="R984" s="194"/>
      <c r="S984" s="194"/>
      <c r="T984" s="194"/>
      <c r="U984" s="194"/>
      <c r="V984" s="194"/>
      <c r="W984" s="194"/>
      <c r="X984" s="194"/>
      <c r="Y984" s="194"/>
      <c r="Z984" s="194"/>
      <c r="AA984" s="194"/>
      <c r="AB984" s="194"/>
      <c r="AC984" s="194"/>
      <c r="AD984" s="194"/>
      <c r="AE984" s="194"/>
      <c r="AF984" s="194"/>
      <c r="AG984" s="194"/>
      <c r="AH984" s="194"/>
      <c r="AI984" s="194"/>
      <c r="AJ984" s="194"/>
      <c r="AK984" s="194"/>
      <c r="AL984" s="194"/>
      <c r="AM984" s="194"/>
    </row>
    <row r="985" spans="1:39" ht="15.75" customHeight="1" x14ac:dyDescent="0.25">
      <c r="A985" s="194"/>
      <c r="B985" s="194"/>
      <c r="C985" s="194"/>
      <c r="D985" s="194"/>
      <c r="E985" s="194"/>
      <c r="F985" s="194"/>
      <c r="G985" s="194"/>
      <c r="H985" s="194"/>
      <c r="I985" s="194"/>
      <c r="J985" s="194"/>
      <c r="K985" s="194"/>
      <c r="L985" s="194"/>
      <c r="M985" s="194"/>
      <c r="N985" s="194"/>
      <c r="O985" s="194"/>
      <c r="P985" s="194"/>
      <c r="Q985" s="194"/>
      <c r="R985" s="194"/>
      <c r="S985" s="194"/>
      <c r="T985" s="194"/>
      <c r="U985" s="194"/>
      <c r="V985" s="194"/>
      <c r="W985" s="194"/>
      <c r="X985" s="194"/>
      <c r="Y985" s="194"/>
      <c r="Z985" s="194"/>
      <c r="AA985" s="194"/>
      <c r="AB985" s="194"/>
      <c r="AC985" s="194"/>
      <c r="AD985" s="194"/>
      <c r="AE985" s="194"/>
      <c r="AF985" s="194"/>
      <c r="AG985" s="194"/>
      <c r="AH985" s="194"/>
      <c r="AI985" s="194"/>
      <c r="AJ985" s="194"/>
      <c r="AK985" s="194"/>
      <c r="AL985" s="194"/>
      <c r="AM985" s="194"/>
    </row>
    <row r="986" spans="1:39" ht="15.75" customHeight="1" x14ac:dyDescent="0.25">
      <c r="A986" s="194"/>
      <c r="B986" s="194"/>
      <c r="C986" s="194"/>
      <c r="D986" s="194"/>
      <c r="E986" s="194"/>
      <c r="F986" s="194"/>
      <c r="G986" s="194"/>
      <c r="H986" s="194"/>
      <c r="I986" s="194"/>
      <c r="J986" s="194"/>
      <c r="K986" s="194"/>
      <c r="L986" s="194"/>
      <c r="M986" s="194"/>
      <c r="N986" s="194"/>
      <c r="O986" s="194"/>
      <c r="P986" s="194"/>
      <c r="Q986" s="194"/>
      <c r="R986" s="194"/>
      <c r="S986" s="194"/>
      <c r="T986" s="194"/>
      <c r="U986" s="194"/>
      <c r="V986" s="194"/>
      <c r="W986" s="194"/>
      <c r="X986" s="194"/>
      <c r="Y986" s="194"/>
      <c r="Z986" s="194"/>
      <c r="AA986" s="194"/>
      <c r="AB986" s="194"/>
      <c r="AC986" s="194"/>
      <c r="AD986" s="194"/>
      <c r="AE986" s="194"/>
      <c r="AF986" s="194"/>
      <c r="AG986" s="194"/>
      <c r="AH986" s="194"/>
      <c r="AI986" s="194"/>
      <c r="AJ986" s="194"/>
      <c r="AK986" s="194"/>
      <c r="AL986" s="194"/>
      <c r="AM986" s="194"/>
    </row>
    <row r="987" spans="1:39" ht="15.75" customHeight="1" x14ac:dyDescent="0.25">
      <c r="A987" s="194"/>
      <c r="B987" s="194"/>
      <c r="C987" s="194"/>
      <c r="D987" s="194"/>
      <c r="E987" s="194"/>
      <c r="F987" s="194"/>
      <c r="G987" s="194"/>
      <c r="H987" s="194"/>
      <c r="I987" s="194"/>
      <c r="J987" s="194"/>
      <c r="K987" s="194"/>
      <c r="L987" s="194"/>
      <c r="M987" s="194"/>
      <c r="N987" s="194"/>
      <c r="O987" s="194"/>
      <c r="P987" s="194"/>
      <c r="Q987" s="194"/>
      <c r="R987" s="194"/>
      <c r="S987" s="194"/>
      <c r="T987" s="194"/>
      <c r="U987" s="194"/>
      <c r="V987" s="194"/>
      <c r="W987" s="194"/>
      <c r="X987" s="194"/>
      <c r="Y987" s="194"/>
      <c r="Z987" s="194"/>
      <c r="AA987" s="194"/>
      <c r="AB987" s="194"/>
      <c r="AC987" s="194"/>
      <c r="AD987" s="194"/>
      <c r="AE987" s="194"/>
      <c r="AF987" s="194"/>
      <c r="AG987" s="194"/>
      <c r="AH987" s="194"/>
      <c r="AI987" s="194"/>
      <c r="AJ987" s="194"/>
      <c r="AK987" s="194"/>
      <c r="AL987" s="194"/>
      <c r="AM987" s="194"/>
    </row>
    <row r="988" spans="1:39" ht="15.75" customHeight="1" x14ac:dyDescent="0.25">
      <c r="A988" s="194"/>
      <c r="B988" s="194"/>
      <c r="C988" s="194"/>
      <c r="D988" s="194"/>
      <c r="E988" s="194"/>
      <c r="F988" s="194"/>
      <c r="G988" s="194"/>
      <c r="H988" s="194"/>
      <c r="I988" s="194"/>
      <c r="J988" s="194"/>
      <c r="K988" s="194"/>
      <c r="L988" s="194"/>
      <c r="M988" s="194"/>
      <c r="N988" s="194"/>
      <c r="O988" s="194"/>
      <c r="P988" s="194"/>
      <c r="Q988" s="194"/>
      <c r="R988" s="194"/>
      <c r="S988" s="194"/>
      <c r="T988" s="194"/>
      <c r="U988" s="194"/>
      <c r="V988" s="194"/>
      <c r="W988" s="194"/>
      <c r="X988" s="194"/>
      <c r="Y988" s="194"/>
      <c r="Z988" s="194"/>
      <c r="AA988" s="194"/>
      <c r="AB988" s="194"/>
      <c r="AC988" s="194"/>
      <c r="AD988" s="194"/>
      <c r="AE988" s="194"/>
      <c r="AF988" s="194"/>
      <c r="AG988" s="194"/>
      <c r="AH988" s="194"/>
      <c r="AI988" s="194"/>
      <c r="AJ988" s="194"/>
      <c r="AK988" s="194"/>
      <c r="AL988" s="194"/>
      <c r="AM988" s="194"/>
    </row>
    <row r="989" spans="1:39" ht="15.75" customHeight="1" x14ac:dyDescent="0.25">
      <c r="A989" s="194"/>
      <c r="B989" s="194"/>
      <c r="C989" s="194"/>
      <c r="D989" s="194"/>
      <c r="E989" s="194"/>
      <c r="F989" s="194"/>
      <c r="G989" s="194"/>
      <c r="H989" s="194"/>
      <c r="I989" s="194"/>
      <c r="J989" s="194"/>
      <c r="K989" s="194"/>
      <c r="L989" s="194"/>
      <c r="M989" s="194"/>
      <c r="N989" s="194"/>
      <c r="O989" s="194"/>
      <c r="P989" s="194"/>
      <c r="Q989" s="194"/>
      <c r="R989" s="194"/>
      <c r="S989" s="194"/>
      <c r="T989" s="194"/>
      <c r="U989" s="194"/>
      <c r="V989" s="194"/>
      <c r="W989" s="194"/>
      <c r="X989" s="194"/>
      <c r="Y989" s="194"/>
      <c r="Z989" s="194"/>
      <c r="AA989" s="194"/>
      <c r="AB989" s="194"/>
      <c r="AC989" s="194"/>
      <c r="AD989" s="194"/>
      <c r="AE989" s="194"/>
      <c r="AF989" s="194"/>
      <c r="AG989" s="194"/>
      <c r="AH989" s="194"/>
      <c r="AI989" s="194"/>
      <c r="AJ989" s="194"/>
      <c r="AK989" s="194"/>
      <c r="AL989" s="194"/>
      <c r="AM989" s="194"/>
    </row>
    <row r="990" spans="1:39" ht="15.75" customHeight="1" x14ac:dyDescent="0.25">
      <c r="A990" s="194"/>
      <c r="B990" s="194"/>
      <c r="C990" s="194"/>
      <c r="D990" s="194"/>
      <c r="E990" s="194"/>
      <c r="F990" s="194"/>
      <c r="G990" s="194"/>
      <c r="H990" s="194"/>
      <c r="I990" s="194"/>
      <c r="J990" s="194"/>
      <c r="K990" s="194"/>
      <c r="L990" s="194"/>
      <c r="M990" s="194"/>
      <c r="N990" s="194"/>
      <c r="O990" s="194"/>
      <c r="P990" s="194"/>
      <c r="Q990" s="194"/>
      <c r="R990" s="194"/>
      <c r="S990" s="194"/>
      <c r="T990" s="194"/>
      <c r="U990" s="194"/>
      <c r="V990" s="194"/>
      <c r="W990" s="194"/>
      <c r="X990" s="194"/>
      <c r="Y990" s="194"/>
      <c r="Z990" s="194"/>
      <c r="AA990" s="194"/>
      <c r="AB990" s="194"/>
      <c r="AC990" s="194"/>
      <c r="AD990" s="194"/>
      <c r="AE990" s="194"/>
      <c r="AF990" s="194"/>
      <c r="AG990" s="194"/>
      <c r="AH990" s="194"/>
      <c r="AI990" s="194"/>
      <c r="AJ990" s="194"/>
      <c r="AK990" s="194"/>
      <c r="AL990" s="194"/>
      <c r="AM990" s="194"/>
    </row>
    <row r="991" spans="1:39" ht="15.75" customHeight="1" x14ac:dyDescent="0.25">
      <c r="A991" s="194"/>
      <c r="B991" s="194"/>
      <c r="C991" s="194"/>
      <c r="D991" s="194"/>
      <c r="E991" s="194"/>
      <c r="F991" s="194"/>
      <c r="G991" s="194"/>
      <c r="H991" s="194"/>
      <c r="I991" s="194"/>
      <c r="J991" s="194"/>
      <c r="K991" s="194"/>
      <c r="L991" s="194"/>
      <c r="M991" s="194"/>
      <c r="N991" s="194"/>
      <c r="O991" s="194"/>
      <c r="P991" s="194"/>
      <c r="Q991" s="194"/>
      <c r="R991" s="194"/>
      <c r="S991" s="194"/>
      <c r="T991" s="194"/>
      <c r="U991" s="194"/>
      <c r="V991" s="194"/>
      <c r="W991" s="194"/>
      <c r="X991" s="194"/>
      <c r="Y991" s="194"/>
      <c r="Z991" s="194"/>
      <c r="AA991" s="194"/>
      <c r="AB991" s="194"/>
      <c r="AC991" s="194"/>
      <c r="AD991" s="194"/>
      <c r="AE991" s="194"/>
      <c r="AF991" s="194"/>
      <c r="AG991" s="194"/>
      <c r="AH991" s="194"/>
      <c r="AI991" s="194"/>
      <c r="AJ991" s="194"/>
      <c r="AK991" s="194"/>
      <c r="AL991" s="194"/>
      <c r="AM991" s="194"/>
    </row>
    <row r="992" spans="1:39" ht="15.75" customHeight="1" x14ac:dyDescent="0.25">
      <c r="A992" s="194"/>
      <c r="B992" s="194"/>
      <c r="C992" s="194"/>
      <c r="D992" s="194"/>
      <c r="E992" s="194"/>
      <c r="F992" s="194"/>
      <c r="G992" s="194"/>
      <c r="H992" s="194"/>
      <c r="I992" s="194"/>
      <c r="J992" s="194"/>
      <c r="K992" s="194"/>
      <c r="L992" s="194"/>
      <c r="M992" s="194"/>
      <c r="N992" s="194"/>
      <c r="O992" s="194"/>
      <c r="P992" s="194"/>
      <c r="Q992" s="194"/>
      <c r="R992" s="194"/>
      <c r="S992" s="194"/>
      <c r="T992" s="194"/>
      <c r="U992" s="194"/>
      <c r="V992" s="194"/>
      <c r="W992" s="194"/>
      <c r="X992" s="194"/>
      <c r="Y992" s="194"/>
      <c r="Z992" s="194"/>
      <c r="AA992" s="194"/>
      <c r="AB992" s="194"/>
      <c r="AC992" s="194"/>
      <c r="AD992" s="194"/>
      <c r="AE992" s="194"/>
      <c r="AF992" s="194"/>
      <c r="AG992" s="194"/>
      <c r="AH992" s="194"/>
      <c r="AI992" s="194"/>
      <c r="AJ992" s="194"/>
      <c r="AK992" s="194"/>
      <c r="AL992" s="194"/>
      <c r="AM992" s="194"/>
    </row>
    <row r="993" spans="1:39" ht="15.75" customHeight="1" x14ac:dyDescent="0.25">
      <c r="A993" s="194"/>
      <c r="B993" s="194"/>
      <c r="C993" s="194"/>
      <c r="D993" s="194"/>
      <c r="E993" s="194"/>
      <c r="F993" s="194"/>
      <c r="G993" s="194"/>
      <c r="H993" s="194"/>
      <c r="I993" s="194"/>
      <c r="J993" s="194"/>
      <c r="K993" s="194"/>
      <c r="L993" s="194"/>
      <c r="M993" s="194"/>
      <c r="N993" s="194"/>
      <c r="O993" s="194"/>
      <c r="P993" s="194"/>
      <c r="Q993" s="194"/>
      <c r="R993" s="194"/>
      <c r="S993" s="194"/>
      <c r="T993" s="194"/>
      <c r="U993" s="194"/>
      <c r="V993" s="194"/>
      <c r="W993" s="194"/>
      <c r="X993" s="194"/>
      <c r="Y993" s="194"/>
      <c r="Z993" s="194"/>
      <c r="AA993" s="194"/>
      <c r="AB993" s="194"/>
      <c r="AC993" s="194"/>
      <c r="AD993" s="194"/>
      <c r="AE993" s="194"/>
      <c r="AF993" s="194"/>
      <c r="AG993" s="194"/>
      <c r="AH993" s="194"/>
      <c r="AI993" s="194"/>
      <c r="AJ993" s="194"/>
      <c r="AK993" s="194"/>
      <c r="AL993" s="194"/>
      <c r="AM993" s="194"/>
    </row>
    <row r="994" spans="1:39" ht="15.75" customHeight="1" x14ac:dyDescent="0.25">
      <c r="A994" s="194"/>
      <c r="B994" s="194"/>
      <c r="C994" s="194"/>
      <c r="D994" s="194"/>
      <c r="E994" s="194"/>
      <c r="F994" s="194"/>
      <c r="G994" s="194"/>
      <c r="H994" s="194"/>
      <c r="I994" s="194"/>
      <c r="J994" s="194"/>
      <c r="K994" s="194"/>
      <c r="L994" s="194"/>
      <c r="M994" s="194"/>
      <c r="N994" s="194"/>
      <c r="O994" s="194"/>
      <c r="P994" s="194"/>
      <c r="Q994" s="194"/>
      <c r="R994" s="194"/>
      <c r="S994" s="194"/>
      <c r="T994" s="194"/>
      <c r="U994" s="194"/>
      <c r="V994" s="194"/>
      <c r="W994" s="194"/>
      <c r="X994" s="194"/>
      <c r="Y994" s="194"/>
      <c r="Z994" s="194"/>
      <c r="AA994" s="194"/>
      <c r="AB994" s="194"/>
      <c r="AC994" s="194"/>
      <c r="AD994" s="194"/>
      <c r="AE994" s="194"/>
      <c r="AF994" s="194"/>
      <c r="AG994" s="194"/>
      <c r="AH994" s="194"/>
      <c r="AI994" s="194"/>
      <c r="AJ994" s="194"/>
      <c r="AK994" s="194"/>
      <c r="AL994" s="194"/>
      <c r="AM994" s="194"/>
    </row>
    <row r="995" spans="1:39" ht="15.75" customHeight="1" x14ac:dyDescent="0.25">
      <c r="A995" s="194"/>
      <c r="B995" s="194"/>
      <c r="C995" s="194"/>
      <c r="D995" s="194"/>
      <c r="E995" s="194"/>
      <c r="F995" s="194"/>
      <c r="G995" s="194"/>
      <c r="H995" s="194"/>
      <c r="I995" s="194"/>
      <c r="J995" s="194"/>
      <c r="K995" s="194"/>
      <c r="L995" s="194"/>
      <c r="M995" s="194"/>
      <c r="N995" s="194"/>
      <c r="O995" s="194"/>
      <c r="P995" s="194"/>
      <c r="Q995" s="194"/>
      <c r="R995" s="194"/>
      <c r="S995" s="194"/>
      <c r="T995" s="194"/>
      <c r="U995" s="194"/>
      <c r="V995" s="194"/>
      <c r="W995" s="194"/>
      <c r="X995" s="194"/>
      <c r="Y995" s="194"/>
      <c r="Z995" s="194"/>
      <c r="AA995" s="194"/>
      <c r="AB995" s="194"/>
      <c r="AC995" s="194"/>
      <c r="AD995" s="194"/>
      <c r="AE995" s="194"/>
      <c r="AF995" s="194"/>
      <c r="AG995" s="194"/>
      <c r="AH995" s="194"/>
      <c r="AI995" s="194"/>
      <c r="AJ995" s="194"/>
      <c r="AK995" s="194"/>
      <c r="AL995" s="194"/>
      <c r="AM995" s="194"/>
    </row>
    <row r="996" spans="1:39" ht="15.75" customHeight="1" x14ac:dyDescent="0.25">
      <c r="A996" s="194"/>
      <c r="B996" s="194"/>
      <c r="C996" s="194"/>
      <c r="D996" s="194"/>
      <c r="E996" s="194"/>
      <c r="F996" s="194"/>
      <c r="G996" s="194"/>
      <c r="H996" s="194"/>
      <c r="I996" s="194"/>
      <c r="J996" s="194"/>
      <c r="K996" s="194"/>
      <c r="L996" s="194"/>
      <c r="M996" s="194"/>
      <c r="N996" s="194"/>
      <c r="O996" s="194"/>
      <c r="P996" s="194"/>
      <c r="Q996" s="194"/>
      <c r="R996" s="194"/>
      <c r="S996" s="194"/>
      <c r="T996" s="194"/>
      <c r="U996" s="194"/>
      <c r="V996" s="194"/>
      <c r="W996" s="194"/>
      <c r="X996" s="194"/>
      <c r="Y996" s="194"/>
      <c r="Z996" s="194"/>
      <c r="AA996" s="194"/>
      <c r="AB996" s="194"/>
      <c r="AC996" s="194"/>
      <c r="AD996" s="194"/>
      <c r="AE996" s="194"/>
      <c r="AF996" s="194"/>
      <c r="AG996" s="194"/>
      <c r="AH996" s="194"/>
      <c r="AI996" s="194"/>
      <c r="AJ996" s="194"/>
      <c r="AK996" s="194"/>
      <c r="AL996" s="194"/>
      <c r="AM996" s="194"/>
    </row>
    <row r="997" spans="1:39" ht="15.75" customHeight="1" x14ac:dyDescent="0.25">
      <c r="A997" s="194"/>
      <c r="B997" s="194"/>
      <c r="C997" s="194"/>
      <c r="D997" s="194"/>
      <c r="E997" s="194"/>
      <c r="F997" s="194"/>
      <c r="G997" s="194"/>
      <c r="H997" s="194"/>
      <c r="I997" s="194"/>
      <c r="J997" s="194"/>
      <c r="K997" s="194"/>
      <c r="L997" s="194"/>
      <c r="M997" s="194"/>
      <c r="N997" s="194"/>
      <c r="O997" s="194"/>
      <c r="P997" s="194"/>
      <c r="Q997" s="194"/>
      <c r="R997" s="194"/>
      <c r="S997" s="194"/>
      <c r="T997" s="194"/>
      <c r="U997" s="194"/>
      <c r="V997" s="194"/>
      <c r="W997" s="194"/>
      <c r="X997" s="194"/>
      <c r="Y997" s="194"/>
      <c r="Z997" s="194"/>
      <c r="AA997" s="194"/>
      <c r="AB997" s="194"/>
      <c r="AC997" s="194"/>
      <c r="AD997" s="194"/>
      <c r="AE997" s="194"/>
      <c r="AF997" s="194"/>
      <c r="AG997" s="194"/>
      <c r="AH997" s="194"/>
      <c r="AI997" s="194"/>
      <c r="AJ997" s="194"/>
      <c r="AK997" s="194"/>
      <c r="AL997" s="194"/>
      <c r="AM997" s="194"/>
    </row>
    <row r="998" spans="1:39" ht="15.75" customHeight="1" x14ac:dyDescent="0.25">
      <c r="A998" s="194"/>
      <c r="B998" s="194"/>
      <c r="C998" s="194"/>
      <c r="D998" s="194"/>
      <c r="E998" s="194"/>
      <c r="F998" s="194"/>
      <c r="G998" s="194"/>
      <c r="H998" s="194"/>
      <c r="I998" s="194"/>
      <c r="J998" s="194"/>
      <c r="K998" s="194"/>
      <c r="L998" s="194"/>
      <c r="M998" s="194"/>
      <c r="N998" s="194"/>
      <c r="O998" s="194"/>
      <c r="P998" s="194"/>
      <c r="Q998" s="194"/>
      <c r="R998" s="194"/>
      <c r="S998" s="194"/>
      <c r="T998" s="194"/>
      <c r="U998" s="194"/>
      <c r="V998" s="194"/>
      <c r="W998" s="194"/>
      <c r="X998" s="194"/>
      <c r="Y998" s="194"/>
      <c r="Z998" s="194"/>
      <c r="AA998" s="194"/>
      <c r="AB998" s="194"/>
      <c r="AC998" s="194"/>
      <c r="AD998" s="194"/>
      <c r="AE998" s="194"/>
      <c r="AF998" s="194"/>
      <c r="AG998" s="194"/>
      <c r="AH998" s="194"/>
      <c r="AI998" s="194"/>
      <c r="AJ998" s="194"/>
      <c r="AK998" s="194"/>
      <c r="AL998" s="194"/>
      <c r="AM998" s="194"/>
    </row>
    <row r="999" spans="1:39" ht="15.75" customHeight="1" x14ac:dyDescent="0.25">
      <c r="A999" s="194"/>
      <c r="B999" s="194"/>
      <c r="C999" s="194"/>
      <c r="D999" s="194"/>
      <c r="E999" s="194"/>
      <c r="F999" s="194"/>
      <c r="G999" s="194"/>
      <c r="H999" s="194"/>
      <c r="I999" s="194"/>
      <c r="J999" s="194"/>
      <c r="K999" s="194"/>
      <c r="L999" s="194"/>
      <c r="M999" s="194"/>
      <c r="N999" s="194"/>
      <c r="O999" s="194"/>
      <c r="P999" s="194"/>
      <c r="Q999" s="194"/>
      <c r="R999" s="194"/>
      <c r="S999" s="194"/>
      <c r="T999" s="194"/>
      <c r="U999" s="194"/>
      <c r="V999" s="194"/>
      <c r="W999" s="194"/>
      <c r="X999" s="194"/>
      <c r="Y999" s="194"/>
      <c r="Z999" s="194"/>
      <c r="AA999" s="194"/>
      <c r="AB999" s="194"/>
      <c r="AC999" s="194"/>
      <c r="AD999" s="194"/>
      <c r="AE999" s="194"/>
      <c r="AF999" s="194"/>
      <c r="AG999" s="194"/>
      <c r="AH999" s="194"/>
      <c r="AI999" s="194"/>
      <c r="AJ999" s="194"/>
      <c r="AK999" s="194"/>
      <c r="AL999" s="194"/>
      <c r="AM999" s="194"/>
    </row>
    <row r="1000" spans="1:39" ht="15.75" customHeight="1" x14ac:dyDescent="0.25">
      <c r="A1000" s="194"/>
      <c r="B1000" s="194"/>
      <c r="C1000" s="194"/>
      <c r="D1000" s="194"/>
      <c r="E1000" s="194"/>
      <c r="F1000" s="194"/>
      <c r="G1000" s="194"/>
      <c r="H1000" s="194"/>
      <c r="I1000" s="194"/>
      <c r="J1000" s="194"/>
      <c r="K1000" s="194"/>
      <c r="L1000" s="194"/>
      <c r="M1000" s="194"/>
      <c r="N1000" s="194"/>
      <c r="O1000" s="194"/>
      <c r="P1000" s="194"/>
      <c r="Q1000" s="194"/>
      <c r="R1000" s="194"/>
      <c r="S1000" s="194"/>
      <c r="T1000" s="194"/>
      <c r="U1000" s="194"/>
      <c r="V1000" s="194"/>
      <c r="W1000" s="194"/>
      <c r="X1000" s="194"/>
      <c r="Y1000" s="194"/>
      <c r="Z1000" s="194"/>
      <c r="AA1000" s="194"/>
      <c r="AB1000" s="194"/>
      <c r="AC1000" s="194"/>
      <c r="AD1000" s="194"/>
      <c r="AE1000" s="194"/>
      <c r="AF1000" s="194"/>
      <c r="AG1000" s="194"/>
      <c r="AH1000" s="194"/>
      <c r="AI1000" s="194"/>
      <c r="AJ1000" s="194"/>
      <c r="AK1000" s="194"/>
      <c r="AL1000" s="194"/>
      <c r="AM1000" s="194"/>
    </row>
  </sheetData>
  <mergeCells count="1">
    <mergeCell ref="B2:H2"/>
  </mergeCells>
  <pageMargins left="0.7" right="0.7" top="0.75" bottom="0.75" header="0" footer="0"/>
  <pageSetup orientation="landscape"/>
  <ignoredErrors>
    <ignoredError sqref="R98:R99" evalError="1"/>
  </ignoredErrors>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CC265"/>
  <sheetViews>
    <sheetView showGridLines="0" workbookViewId="0"/>
  </sheetViews>
  <sheetFormatPr defaultColWidth="16.83203125" defaultRowHeight="15" customHeight="1" x14ac:dyDescent="0.2"/>
  <cols>
    <col min="1" max="1" width="6" style="869" customWidth="1"/>
    <col min="2" max="2" width="34.33203125" style="869" customWidth="1"/>
    <col min="3" max="3" width="16" style="869" customWidth="1"/>
    <col min="4" max="4" width="3.83203125" style="869" customWidth="1"/>
    <col min="5" max="5" width="15.33203125" style="869" customWidth="1"/>
    <col min="6" max="6" width="3.83203125" style="869" customWidth="1"/>
    <col min="7" max="7" width="28.6640625" style="869" customWidth="1"/>
    <col min="8" max="8" width="3.83203125" style="869" customWidth="1"/>
    <col min="9" max="9" width="19.1640625" style="869" customWidth="1"/>
    <col min="10" max="10" width="3.83203125" style="869" customWidth="1"/>
    <col min="11" max="11" width="17.5" style="869" customWidth="1"/>
    <col min="12" max="12" width="3.83203125" style="869" customWidth="1"/>
    <col min="13" max="13" width="14.1640625" style="869" customWidth="1"/>
    <col min="14" max="14" width="10.83203125" style="869" customWidth="1"/>
    <col min="15" max="15" width="19.6640625" style="869" customWidth="1"/>
    <col min="16" max="16" width="3.83203125" style="869" customWidth="1"/>
    <col min="17" max="17" width="14.6640625" style="869" customWidth="1"/>
    <col min="18" max="18" width="5.6640625" style="869" customWidth="1"/>
    <col min="19" max="19" width="14.5" style="869" customWidth="1"/>
    <col min="20" max="20" width="3.83203125" style="869" customWidth="1"/>
    <col min="21" max="21" width="16.33203125" style="869" customWidth="1"/>
    <col min="22" max="22" width="3.83203125" style="869" customWidth="1"/>
    <col min="23" max="23" width="18.83203125" style="869" customWidth="1"/>
    <col min="24" max="24" width="2.83203125" style="869" customWidth="1"/>
    <col min="25" max="25" width="14" style="869" customWidth="1"/>
    <col min="26" max="26" width="15.83203125" style="869" customWidth="1"/>
    <col min="27" max="27" width="17.6640625" style="869" customWidth="1"/>
    <col min="28" max="28" width="12.1640625" style="869" customWidth="1"/>
    <col min="29" max="29" width="14" style="869" customWidth="1"/>
    <col min="30" max="30" width="17" style="869" customWidth="1"/>
    <col min="31" max="33" width="8.6640625" style="869" customWidth="1"/>
    <col min="34" max="34" width="9" style="869" customWidth="1"/>
    <col min="35" max="35" width="5" style="869" customWidth="1"/>
    <col min="36" max="36" width="15.1640625" style="869" customWidth="1"/>
    <col min="37" max="37" width="7.6640625" style="869" customWidth="1"/>
    <col min="38" max="39" width="8.83203125" style="869" customWidth="1"/>
    <col min="40" max="40" width="7.1640625" style="869" customWidth="1"/>
    <col min="41" max="42" width="8.83203125" style="869" customWidth="1"/>
    <col min="43" max="43" width="8" style="869" customWidth="1"/>
    <col min="44" max="44" width="11.83203125" style="869" customWidth="1"/>
    <col min="45" max="45" width="7.83203125" style="869" customWidth="1"/>
    <col min="46" max="47" width="12.83203125" style="869" customWidth="1"/>
    <col min="48" max="48" width="17" style="869" customWidth="1"/>
    <col min="49" max="49" width="8.6640625" style="869" customWidth="1"/>
    <col min="50" max="50" width="8.83203125" style="869" customWidth="1"/>
    <col min="51" max="51" width="11.83203125" style="869" customWidth="1"/>
    <col min="52" max="53" width="12.83203125" style="869" customWidth="1"/>
    <col min="54" max="54" width="17" style="869" customWidth="1"/>
    <col min="55" max="55" width="21.83203125" style="869" customWidth="1"/>
    <col min="56" max="56" width="14.1640625" style="869" customWidth="1"/>
    <col min="57" max="57" width="8" style="869" customWidth="1"/>
    <col min="58" max="58" width="6" style="869" customWidth="1"/>
    <col min="59" max="59" width="8.83203125" style="869" customWidth="1"/>
    <col min="60" max="60" width="8" style="869" customWidth="1"/>
    <col min="61" max="61" width="5.83203125" style="869" customWidth="1"/>
    <col min="62" max="62" width="7" style="869" customWidth="1"/>
    <col min="63" max="63" width="6.5" style="869" customWidth="1"/>
    <col min="64" max="64" width="11.83203125" style="869" customWidth="1"/>
    <col min="65" max="65" width="13.83203125" style="869" customWidth="1"/>
    <col min="66" max="66" width="17.1640625" style="869" customWidth="1"/>
    <col min="67" max="68" width="8.83203125" style="869" customWidth="1"/>
    <col min="69" max="69" width="24.1640625" style="869" customWidth="1"/>
    <col min="70" max="71" width="8.83203125" style="869" customWidth="1"/>
    <col min="72" max="72" width="24.1640625" style="869" customWidth="1"/>
    <col min="73" max="73" width="8.83203125" style="869" customWidth="1"/>
    <col min="74" max="74" width="13.83203125" style="869" customWidth="1"/>
    <col min="75" max="75" width="17.1640625" style="869" customWidth="1"/>
    <col min="76" max="77" width="8.83203125" style="869" customWidth="1"/>
    <col min="78" max="78" width="16.1640625" style="869" customWidth="1"/>
    <col min="79" max="80" width="8.83203125" style="869" customWidth="1"/>
    <col min="81" max="81" width="16.1640625" style="869" customWidth="1"/>
    <col min="82" max="16384" width="16.83203125" style="869"/>
  </cols>
  <sheetData>
    <row r="2" spans="1:81" ht="21" customHeight="1" x14ac:dyDescent="0.5">
      <c r="B2" s="1022" t="s">
        <v>1231</v>
      </c>
      <c r="E2" s="872"/>
    </row>
    <row r="3" spans="1:81" ht="409.5" customHeight="1" x14ac:dyDescent="0.2">
      <c r="A3" s="871"/>
      <c r="B3" s="871"/>
      <c r="C3" s="871"/>
      <c r="D3" s="871"/>
      <c r="E3" s="871"/>
      <c r="F3" s="871"/>
      <c r="G3" s="871"/>
      <c r="H3" s="871"/>
      <c r="I3" s="871"/>
      <c r="J3" s="871"/>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P3" s="871"/>
      <c r="AQ3" s="871"/>
      <c r="AR3" s="871"/>
      <c r="AS3" s="871"/>
      <c r="AT3" s="871"/>
      <c r="AU3" s="871"/>
      <c r="AV3" s="871"/>
      <c r="AW3" s="871"/>
      <c r="AX3" s="871"/>
      <c r="AY3" s="871"/>
      <c r="AZ3" s="871"/>
      <c r="BA3" s="871"/>
      <c r="BB3" s="871"/>
      <c r="BC3" s="871"/>
      <c r="BD3" s="871"/>
      <c r="BE3" s="871"/>
      <c r="BF3" s="871"/>
      <c r="BG3" s="871"/>
      <c r="BH3" s="871"/>
      <c r="BI3" s="871"/>
      <c r="BJ3" s="871"/>
      <c r="BK3" s="871"/>
      <c r="BL3" s="871"/>
      <c r="BM3" s="871"/>
      <c r="BN3" s="871"/>
      <c r="BO3" s="871"/>
      <c r="BP3" s="871"/>
      <c r="BQ3" s="871"/>
      <c r="BR3" s="871"/>
      <c r="BS3" s="871"/>
      <c r="BT3" s="871"/>
      <c r="BU3" s="871"/>
      <c r="BV3" s="871"/>
      <c r="BW3" s="871"/>
      <c r="BX3" s="871"/>
      <c r="BY3" s="871"/>
      <c r="BZ3" s="871"/>
      <c r="CA3" s="871"/>
      <c r="CB3" s="871"/>
      <c r="CC3" s="871"/>
    </row>
    <row r="4" spans="1:81" ht="11.25" x14ac:dyDescent="0.2">
      <c r="A4" s="871"/>
      <c r="B4" s="871"/>
      <c r="C4" s="871"/>
      <c r="D4" s="871"/>
      <c r="E4" s="871"/>
      <c r="F4" s="871"/>
      <c r="G4" s="871"/>
      <c r="H4" s="871"/>
      <c r="I4" s="871"/>
      <c r="J4" s="871"/>
      <c r="K4" s="871"/>
      <c r="L4" s="871"/>
      <c r="M4" s="871"/>
      <c r="N4" s="871"/>
      <c r="O4" s="871"/>
      <c r="P4" s="871"/>
      <c r="Q4" s="871"/>
      <c r="R4" s="871"/>
      <c r="S4" s="871"/>
      <c r="T4" s="871"/>
      <c r="U4" s="871"/>
      <c r="V4" s="871"/>
      <c r="W4" s="871"/>
      <c r="X4" s="871"/>
      <c r="Y4" s="871"/>
      <c r="Z4" s="871"/>
      <c r="AA4" s="871"/>
      <c r="AB4" s="871"/>
      <c r="AC4" s="871"/>
      <c r="AD4" s="871"/>
      <c r="AE4" s="871"/>
      <c r="AF4" s="871"/>
      <c r="AG4" s="871"/>
      <c r="AH4" s="871"/>
      <c r="AI4" s="871"/>
      <c r="AJ4" s="871"/>
      <c r="AK4" s="871"/>
      <c r="AL4" s="871"/>
      <c r="AM4" s="871"/>
      <c r="AN4" s="871"/>
      <c r="AO4" s="871"/>
      <c r="AP4" s="871"/>
      <c r="AQ4" s="871"/>
      <c r="AR4" s="871"/>
      <c r="AS4" s="871"/>
      <c r="AT4" s="871"/>
      <c r="AU4" s="871"/>
      <c r="AV4" s="871"/>
      <c r="AW4" s="871"/>
      <c r="AX4" s="871"/>
      <c r="AY4" s="871"/>
      <c r="AZ4" s="871"/>
      <c r="BA4" s="871"/>
      <c r="BB4" s="871"/>
      <c r="BC4" s="871"/>
      <c r="BD4" s="871"/>
      <c r="BE4" s="871"/>
      <c r="BF4" s="871"/>
      <c r="BG4" s="871"/>
      <c r="BH4" s="871"/>
      <c r="BI4" s="871"/>
      <c r="BJ4" s="871"/>
      <c r="BK4" s="871"/>
      <c r="BL4" s="871"/>
      <c r="BM4" s="871"/>
      <c r="BN4" s="871"/>
      <c r="BO4" s="871"/>
      <c r="BP4" s="871"/>
      <c r="BQ4" s="871"/>
      <c r="BR4" s="871"/>
      <c r="BS4" s="871"/>
      <c r="BT4" s="871"/>
      <c r="BU4" s="871"/>
      <c r="BV4" s="871"/>
      <c r="BW4" s="871"/>
      <c r="BX4" s="871"/>
      <c r="BY4" s="871"/>
      <c r="BZ4" s="871"/>
      <c r="CA4" s="871"/>
      <c r="CB4" s="871"/>
      <c r="CC4" s="871"/>
    </row>
    <row r="5" spans="1:81" ht="11.25" x14ac:dyDescent="0.2">
      <c r="A5" s="871"/>
      <c r="B5" s="871"/>
      <c r="C5" s="871"/>
      <c r="D5" s="871"/>
      <c r="E5" s="871"/>
      <c r="F5" s="871"/>
      <c r="G5" s="871"/>
      <c r="H5" s="871"/>
      <c r="I5" s="871"/>
      <c r="J5" s="871"/>
      <c r="K5" s="871"/>
      <c r="L5" s="871"/>
      <c r="M5" s="871"/>
      <c r="N5" s="871"/>
      <c r="O5" s="871"/>
      <c r="P5" s="871"/>
      <c r="Q5" s="871"/>
      <c r="R5" s="871"/>
      <c r="S5" s="871"/>
      <c r="T5" s="871"/>
      <c r="U5" s="871"/>
      <c r="V5" s="871"/>
      <c r="W5" s="871"/>
      <c r="X5" s="871"/>
      <c r="Y5" s="871"/>
      <c r="Z5" s="871"/>
      <c r="AA5" s="871"/>
      <c r="AB5" s="871"/>
      <c r="AC5" s="871"/>
      <c r="AD5" s="871"/>
      <c r="AE5" s="871"/>
      <c r="AF5" s="871"/>
      <c r="AG5" s="871"/>
      <c r="AH5" s="871"/>
      <c r="AI5" s="871"/>
      <c r="AJ5" s="871"/>
      <c r="AK5" s="871"/>
      <c r="AL5" s="871"/>
      <c r="AM5" s="871"/>
      <c r="AN5" s="871"/>
      <c r="AO5" s="871"/>
      <c r="AP5" s="871"/>
      <c r="AQ5" s="871"/>
      <c r="AR5" s="871"/>
      <c r="AS5" s="871"/>
      <c r="AT5" s="871"/>
      <c r="AU5" s="871"/>
      <c r="AV5" s="871"/>
      <c r="AW5" s="871"/>
      <c r="AX5" s="871"/>
      <c r="AY5" s="871"/>
      <c r="AZ5" s="871"/>
      <c r="BA5" s="871"/>
      <c r="BB5" s="871"/>
      <c r="BC5" s="871"/>
      <c r="BD5" s="871"/>
      <c r="BE5" s="871"/>
      <c r="BF5" s="871"/>
      <c r="BG5" s="871"/>
      <c r="BH5" s="871"/>
      <c r="BI5" s="871"/>
      <c r="BJ5" s="871"/>
      <c r="BK5" s="871"/>
      <c r="BL5" s="871"/>
      <c r="BM5" s="871"/>
      <c r="BN5" s="871"/>
      <c r="BO5" s="871"/>
      <c r="BP5" s="871"/>
      <c r="BQ5" s="871"/>
      <c r="BR5" s="871"/>
      <c r="BS5" s="871"/>
      <c r="BT5" s="871"/>
      <c r="BU5" s="871"/>
      <c r="BV5" s="871"/>
      <c r="BW5" s="871"/>
      <c r="BX5" s="871"/>
      <c r="BY5" s="871"/>
      <c r="BZ5" s="871"/>
      <c r="CA5" s="871"/>
      <c r="CB5" s="871"/>
      <c r="CC5" s="871"/>
    </row>
    <row r="6" spans="1:81" ht="11.25" x14ac:dyDescent="0.2">
      <c r="A6" s="871"/>
      <c r="B6" s="871"/>
      <c r="C6" s="871"/>
      <c r="D6" s="871"/>
      <c r="E6" s="871"/>
      <c r="F6" s="871"/>
      <c r="G6" s="871"/>
      <c r="H6" s="871"/>
      <c r="I6" s="871"/>
      <c r="J6" s="871"/>
      <c r="K6" s="871"/>
      <c r="L6" s="871"/>
      <c r="M6" s="871"/>
      <c r="N6" s="871"/>
      <c r="O6" s="871"/>
      <c r="P6" s="871"/>
      <c r="Q6" s="871"/>
      <c r="R6" s="871"/>
      <c r="S6" s="871"/>
      <c r="T6" s="871"/>
      <c r="U6" s="871"/>
      <c r="V6" s="871"/>
      <c r="W6" s="871"/>
      <c r="X6" s="871"/>
      <c r="Y6" s="871"/>
      <c r="Z6" s="871"/>
      <c r="AA6" s="871"/>
      <c r="AB6" s="871"/>
      <c r="AC6" s="871"/>
      <c r="AD6" s="871"/>
      <c r="AE6" s="871"/>
      <c r="AF6" s="871"/>
      <c r="AG6" s="871"/>
      <c r="AH6" s="871"/>
      <c r="AI6" s="871"/>
      <c r="AJ6" s="871"/>
      <c r="AK6" s="871"/>
      <c r="AL6" s="871"/>
      <c r="AM6" s="871"/>
      <c r="AN6" s="871"/>
      <c r="AO6" s="871"/>
      <c r="AP6" s="871"/>
      <c r="AQ6" s="871"/>
      <c r="AR6" s="871"/>
      <c r="AS6" s="871"/>
      <c r="AT6" s="871"/>
      <c r="AU6" s="871"/>
      <c r="AV6" s="871"/>
      <c r="AW6" s="871"/>
      <c r="AX6" s="871"/>
      <c r="AY6" s="871"/>
      <c r="AZ6" s="871"/>
      <c r="BA6" s="871"/>
      <c r="BB6" s="871"/>
      <c r="BC6" s="871"/>
      <c r="BD6" s="871"/>
      <c r="BE6" s="871"/>
      <c r="BF6" s="871"/>
      <c r="BG6" s="871"/>
      <c r="BH6" s="871"/>
      <c r="BI6" s="871"/>
      <c r="BJ6" s="871"/>
      <c r="BK6" s="871"/>
      <c r="BL6" s="871"/>
      <c r="BM6" s="871"/>
      <c r="BN6" s="871"/>
      <c r="BO6" s="871"/>
      <c r="BP6" s="871"/>
      <c r="BQ6" s="871"/>
      <c r="BR6" s="871"/>
      <c r="BS6" s="871"/>
      <c r="BT6" s="871"/>
      <c r="BU6" s="871"/>
      <c r="BV6" s="871"/>
      <c r="BW6" s="871"/>
      <c r="BX6" s="871"/>
      <c r="BY6" s="871"/>
      <c r="BZ6" s="871"/>
      <c r="CA6" s="871"/>
      <c r="CB6" s="871"/>
      <c r="CC6" s="871"/>
    </row>
    <row r="7" spans="1:81" ht="11.25" x14ac:dyDescent="0.2">
      <c r="A7" s="871"/>
      <c r="B7" s="871"/>
      <c r="C7" s="871"/>
      <c r="D7" s="871"/>
      <c r="E7" s="871"/>
      <c r="F7" s="871"/>
      <c r="G7" s="871"/>
      <c r="H7" s="871"/>
      <c r="I7" s="871"/>
      <c r="J7" s="871"/>
      <c r="K7" s="871"/>
      <c r="L7" s="871"/>
      <c r="M7" s="871"/>
      <c r="N7" s="871"/>
      <c r="O7" s="871"/>
      <c r="P7" s="871"/>
      <c r="Q7" s="871"/>
      <c r="R7" s="871"/>
      <c r="S7" s="871"/>
      <c r="T7" s="871"/>
      <c r="U7" s="871"/>
      <c r="V7" s="871"/>
      <c r="W7" s="871"/>
      <c r="X7" s="871"/>
      <c r="Y7" s="871"/>
      <c r="Z7" s="871"/>
      <c r="AA7" s="871"/>
      <c r="AB7" s="871"/>
      <c r="AC7" s="871"/>
      <c r="AD7" s="871"/>
      <c r="AE7" s="871"/>
      <c r="AF7" s="871"/>
      <c r="AG7" s="871"/>
      <c r="AH7" s="871"/>
      <c r="AI7" s="871"/>
      <c r="AJ7" s="871"/>
      <c r="AK7" s="871"/>
      <c r="AL7" s="871"/>
      <c r="AM7" s="871"/>
      <c r="AN7" s="871"/>
      <c r="AO7" s="871"/>
      <c r="AP7" s="871"/>
      <c r="AQ7" s="871"/>
      <c r="AR7" s="871"/>
      <c r="AS7" s="871"/>
      <c r="AT7" s="871"/>
      <c r="AU7" s="871"/>
      <c r="AV7" s="871"/>
      <c r="AW7" s="871"/>
      <c r="AX7" s="871"/>
      <c r="AY7" s="871"/>
      <c r="AZ7" s="871"/>
      <c r="BA7" s="871"/>
      <c r="BB7" s="871"/>
      <c r="BC7" s="871"/>
      <c r="BD7" s="871"/>
      <c r="BE7" s="871"/>
      <c r="BF7" s="871"/>
      <c r="BG7" s="871"/>
      <c r="BH7" s="871"/>
      <c r="BI7" s="871"/>
      <c r="BJ7" s="871"/>
      <c r="BK7" s="871"/>
      <c r="BL7" s="871"/>
      <c r="BM7" s="871"/>
      <c r="BN7" s="871"/>
      <c r="BO7" s="871"/>
      <c r="BP7" s="871"/>
      <c r="BQ7" s="871"/>
      <c r="BR7" s="871"/>
      <c r="BS7" s="871"/>
      <c r="BT7" s="871"/>
      <c r="BU7" s="871"/>
      <c r="BV7" s="871"/>
      <c r="BW7" s="871"/>
      <c r="BX7" s="871"/>
      <c r="BY7" s="871"/>
      <c r="BZ7" s="871"/>
      <c r="CA7" s="871"/>
      <c r="CB7" s="871"/>
      <c r="CC7" s="871"/>
    </row>
    <row r="8" spans="1:81" ht="11.25" x14ac:dyDescent="0.2">
      <c r="A8" s="871"/>
      <c r="B8" s="871"/>
      <c r="C8" s="871"/>
      <c r="D8" s="871"/>
      <c r="E8" s="871"/>
      <c r="F8" s="871"/>
      <c r="G8" s="871"/>
      <c r="H8" s="871"/>
      <c r="I8" s="871"/>
      <c r="J8" s="871"/>
      <c r="K8" s="871"/>
      <c r="L8" s="871"/>
      <c r="M8" s="871"/>
      <c r="N8" s="871"/>
      <c r="O8" s="871"/>
      <c r="P8" s="871"/>
      <c r="Q8" s="871"/>
      <c r="R8" s="871"/>
      <c r="S8" s="871"/>
      <c r="T8" s="871"/>
      <c r="U8" s="871"/>
      <c r="V8" s="871"/>
      <c r="W8" s="871"/>
      <c r="X8" s="871"/>
      <c r="Y8" s="871"/>
      <c r="Z8" s="871"/>
      <c r="AA8" s="871"/>
      <c r="AB8" s="871"/>
      <c r="AC8" s="871"/>
      <c r="AD8" s="871"/>
      <c r="AE8" s="871"/>
      <c r="AF8" s="871"/>
      <c r="AG8" s="871"/>
      <c r="AH8" s="871"/>
      <c r="AI8" s="871"/>
      <c r="AJ8" s="871"/>
      <c r="AK8" s="871"/>
      <c r="AL8" s="871"/>
      <c r="AM8" s="871"/>
      <c r="AN8" s="871"/>
      <c r="AO8" s="871"/>
      <c r="AP8" s="871"/>
      <c r="AQ8" s="871"/>
      <c r="AR8" s="871"/>
      <c r="AS8" s="871"/>
      <c r="AT8" s="871"/>
      <c r="AU8" s="871"/>
      <c r="AV8" s="871"/>
      <c r="AW8" s="871"/>
      <c r="AX8" s="871"/>
      <c r="AY8" s="871"/>
      <c r="AZ8" s="871"/>
      <c r="BA8" s="871"/>
      <c r="BB8" s="871"/>
      <c r="BC8" s="871"/>
      <c r="BD8" s="871"/>
      <c r="BE8" s="871"/>
      <c r="BF8" s="871"/>
      <c r="BG8" s="871"/>
      <c r="BH8" s="871"/>
      <c r="BI8" s="871"/>
      <c r="BJ8" s="871"/>
      <c r="BK8" s="871"/>
      <c r="BL8" s="871"/>
      <c r="BM8" s="871"/>
      <c r="BN8" s="871"/>
      <c r="BO8" s="871"/>
      <c r="BP8" s="871"/>
      <c r="BQ8" s="871"/>
      <c r="BR8" s="871"/>
      <c r="BS8" s="871"/>
      <c r="BT8" s="871"/>
      <c r="BU8" s="871"/>
      <c r="BV8" s="871"/>
      <c r="BW8" s="871"/>
      <c r="BX8" s="871"/>
      <c r="BY8" s="871"/>
      <c r="BZ8" s="871"/>
      <c r="CA8" s="871"/>
      <c r="CB8" s="871"/>
      <c r="CC8" s="871"/>
    </row>
    <row r="9" spans="1:81" ht="12.75" x14ac:dyDescent="0.2">
      <c r="A9" s="871"/>
      <c r="B9" s="871"/>
      <c r="C9" s="1365" t="s">
        <v>17</v>
      </c>
      <c r="D9" s="885"/>
      <c r="E9" s="885"/>
      <c r="T9" s="871"/>
      <c r="U9" s="871"/>
      <c r="V9" s="871"/>
      <c r="W9" s="871"/>
      <c r="X9" s="871"/>
      <c r="Y9" s="871"/>
      <c r="Z9" s="871"/>
      <c r="AA9" s="871"/>
      <c r="AB9" s="871"/>
      <c r="AC9" s="871"/>
      <c r="AD9" s="871"/>
      <c r="AE9" s="871"/>
      <c r="AF9" s="871"/>
      <c r="AG9" s="871"/>
      <c r="AH9" s="871"/>
      <c r="AI9" s="871"/>
      <c r="AJ9" s="871"/>
      <c r="AK9" s="871"/>
      <c r="AL9" s="871"/>
      <c r="AM9" s="871"/>
      <c r="AN9" s="871"/>
      <c r="AO9" s="871"/>
      <c r="AP9" s="871"/>
      <c r="AQ9" s="871"/>
      <c r="AR9" s="871"/>
      <c r="AS9" s="871"/>
      <c r="AT9" s="871"/>
      <c r="AU9" s="871"/>
      <c r="AV9" s="871"/>
      <c r="AW9" s="871"/>
      <c r="AX9" s="871"/>
      <c r="AY9" s="871"/>
      <c r="AZ9" s="871"/>
      <c r="BA9" s="871"/>
      <c r="BB9" s="871"/>
      <c r="BC9" s="871"/>
      <c r="BD9" s="871"/>
      <c r="BE9" s="871"/>
      <c r="BF9" s="871"/>
      <c r="BG9" s="871"/>
      <c r="BH9" s="871"/>
      <c r="BI9" s="871"/>
      <c r="BJ9" s="871"/>
      <c r="BK9" s="871"/>
      <c r="BL9" s="871"/>
      <c r="BM9" s="871"/>
      <c r="BN9" s="871"/>
      <c r="BO9" s="871"/>
      <c r="BP9" s="871"/>
      <c r="BQ9" s="871"/>
      <c r="BR9" s="871"/>
      <c r="BS9" s="871"/>
      <c r="BT9" s="871"/>
      <c r="BU9" s="871"/>
      <c r="BV9" s="871"/>
      <c r="BW9" s="871"/>
      <c r="BX9" s="871"/>
      <c r="BY9" s="871"/>
      <c r="BZ9" s="871"/>
      <c r="CA9" s="871"/>
      <c r="CB9" s="871"/>
      <c r="CC9" s="871"/>
    </row>
    <row r="10" spans="1:81" ht="12.75" x14ac:dyDescent="0.2">
      <c r="A10" s="871"/>
      <c r="B10" s="871"/>
      <c r="C10" s="1470"/>
      <c r="D10" s="885" t="s">
        <v>1232</v>
      </c>
      <c r="E10" s="885"/>
      <c r="T10" s="871"/>
      <c r="U10" s="871"/>
      <c r="V10" s="871"/>
      <c r="W10" s="871"/>
      <c r="X10" s="871"/>
      <c r="Y10" s="871"/>
      <c r="Z10" s="871"/>
      <c r="AA10" s="871"/>
      <c r="AB10" s="871"/>
      <c r="AC10" s="871"/>
      <c r="AD10" s="871"/>
      <c r="AE10" s="871"/>
      <c r="AF10" s="871"/>
      <c r="AG10" s="871"/>
      <c r="AH10" s="871"/>
      <c r="AI10" s="871"/>
      <c r="AJ10" s="871"/>
      <c r="AK10" s="871"/>
      <c r="AL10" s="871"/>
      <c r="AM10" s="871"/>
      <c r="AN10" s="871"/>
      <c r="AO10" s="871"/>
      <c r="AP10" s="871"/>
      <c r="AQ10" s="871"/>
      <c r="AR10" s="871"/>
      <c r="AS10" s="871"/>
      <c r="AT10" s="871"/>
      <c r="AU10" s="871"/>
      <c r="AV10" s="871"/>
      <c r="AW10" s="871"/>
      <c r="AX10" s="871"/>
      <c r="AY10" s="871"/>
      <c r="AZ10" s="871"/>
      <c r="BA10" s="871"/>
      <c r="BB10" s="871"/>
      <c r="BC10" s="871"/>
      <c r="BD10" s="871"/>
      <c r="BE10" s="871"/>
      <c r="BF10" s="871"/>
      <c r="BG10" s="871"/>
      <c r="BH10" s="871"/>
      <c r="BI10" s="871"/>
      <c r="BJ10" s="871"/>
      <c r="BK10" s="871"/>
      <c r="BL10" s="871"/>
      <c r="BM10" s="871"/>
      <c r="BN10" s="871"/>
      <c r="BO10" s="871"/>
      <c r="BP10" s="871"/>
      <c r="BQ10" s="871"/>
      <c r="BR10" s="871"/>
      <c r="BS10" s="871"/>
      <c r="BT10" s="871"/>
      <c r="BU10" s="871"/>
      <c r="BV10" s="871"/>
      <c r="BW10" s="871"/>
      <c r="BX10" s="871"/>
      <c r="BY10" s="871"/>
      <c r="BZ10" s="871"/>
      <c r="CA10" s="871"/>
      <c r="CB10" s="871"/>
      <c r="CC10" s="871"/>
    </row>
    <row r="11" spans="1:81" ht="12.75" x14ac:dyDescent="0.2">
      <c r="A11" s="871"/>
      <c r="B11" s="871"/>
      <c r="C11" s="1471"/>
      <c r="D11" s="885" t="s">
        <v>1233</v>
      </c>
      <c r="E11" s="885"/>
      <c r="T11" s="871"/>
      <c r="U11" s="871"/>
      <c r="V11" s="871"/>
      <c r="W11" s="871"/>
      <c r="X11" s="871"/>
      <c r="Y11" s="871"/>
      <c r="Z11" s="871"/>
      <c r="AA11" s="871"/>
      <c r="AB11" s="871"/>
      <c r="AC11" s="871"/>
      <c r="AD11" s="871"/>
      <c r="AE11" s="871"/>
      <c r="AF11" s="871"/>
      <c r="AG11" s="871"/>
      <c r="AH11" s="871"/>
      <c r="AI11" s="871"/>
      <c r="AJ11" s="871"/>
      <c r="AK11" s="871"/>
      <c r="AL11" s="871"/>
      <c r="AM11" s="871"/>
      <c r="AN11" s="871"/>
      <c r="AO11" s="871"/>
      <c r="AP11" s="871"/>
      <c r="AQ11" s="871"/>
      <c r="AR11" s="871"/>
      <c r="AS11" s="871"/>
      <c r="AT11" s="871"/>
      <c r="AU11" s="871"/>
      <c r="AV11" s="871"/>
      <c r="AW11" s="871"/>
      <c r="AX11" s="871"/>
      <c r="AY11" s="871"/>
      <c r="AZ11" s="871"/>
      <c r="BA11" s="871"/>
      <c r="BB11" s="871"/>
      <c r="BC11" s="871"/>
      <c r="BD11" s="871"/>
      <c r="BE11" s="871"/>
      <c r="BF11" s="871"/>
      <c r="BG11" s="871"/>
      <c r="BH11" s="871"/>
      <c r="BI11" s="871"/>
      <c r="BJ11" s="871"/>
      <c r="BK11" s="871"/>
      <c r="BL11" s="871"/>
      <c r="BM11" s="871"/>
      <c r="BN11" s="871"/>
      <c r="BO11" s="871"/>
      <c r="BP11" s="871"/>
      <c r="BQ11" s="871"/>
      <c r="BR11" s="871"/>
      <c r="BS11" s="871"/>
      <c r="BT11" s="871"/>
      <c r="BU11" s="871"/>
      <c r="BV11" s="871"/>
      <c r="BW11" s="871"/>
      <c r="BX11" s="871"/>
      <c r="BY11" s="871"/>
      <c r="BZ11" s="871"/>
      <c r="CA11" s="871"/>
      <c r="CB11" s="871"/>
      <c r="CC11" s="871"/>
    </row>
    <row r="12" spans="1:81" ht="12.75" x14ac:dyDescent="0.2">
      <c r="A12" s="871"/>
      <c r="B12" s="871"/>
      <c r="C12" s="1472"/>
      <c r="D12" s="885" t="s">
        <v>1234</v>
      </c>
      <c r="E12" s="885"/>
      <c r="T12" s="871"/>
      <c r="U12" s="871"/>
      <c r="V12" s="871"/>
      <c r="W12" s="871"/>
      <c r="X12" s="871"/>
      <c r="Y12" s="871"/>
      <c r="Z12" s="871"/>
      <c r="AA12" s="871"/>
      <c r="AB12" s="871"/>
      <c r="AC12" s="871"/>
      <c r="AD12" s="871"/>
      <c r="AE12" s="871"/>
      <c r="AF12" s="871"/>
      <c r="AG12" s="871"/>
      <c r="AH12" s="871"/>
      <c r="AI12" s="871"/>
      <c r="AJ12" s="871"/>
      <c r="AK12" s="871"/>
      <c r="AL12" s="871"/>
      <c r="AM12" s="871"/>
      <c r="AN12" s="871"/>
      <c r="AO12" s="871"/>
      <c r="AP12" s="871"/>
      <c r="AQ12" s="871"/>
      <c r="AR12" s="871"/>
      <c r="AS12" s="871"/>
      <c r="AT12" s="871"/>
      <c r="AU12" s="871"/>
      <c r="AV12" s="871"/>
      <c r="AW12" s="871"/>
      <c r="AX12" s="871"/>
      <c r="AY12" s="871"/>
      <c r="AZ12" s="871"/>
      <c r="BA12" s="871"/>
      <c r="BB12" s="871"/>
      <c r="BC12" s="871"/>
      <c r="BD12" s="871"/>
      <c r="BE12" s="871"/>
      <c r="BF12" s="871"/>
      <c r="BG12" s="871"/>
      <c r="BH12" s="871"/>
      <c r="BI12" s="871"/>
      <c r="BJ12" s="871"/>
      <c r="BK12" s="871"/>
      <c r="BL12" s="871"/>
      <c r="BM12" s="871"/>
      <c r="BN12" s="871"/>
      <c r="BO12" s="871"/>
      <c r="BP12" s="871"/>
      <c r="BQ12" s="871"/>
      <c r="BR12" s="871"/>
      <c r="BS12" s="871"/>
      <c r="BT12" s="871"/>
      <c r="BU12" s="871"/>
      <c r="BV12" s="871"/>
      <c r="BW12" s="871"/>
      <c r="BX12" s="871"/>
      <c r="BY12" s="871"/>
      <c r="BZ12" s="871"/>
      <c r="CA12" s="871"/>
      <c r="CB12" s="871"/>
      <c r="CC12" s="871"/>
    </row>
    <row r="13" spans="1:81" ht="11.25" x14ac:dyDescent="0.2">
      <c r="A13" s="871"/>
      <c r="B13" s="871"/>
      <c r="T13" s="871"/>
      <c r="U13" s="871"/>
      <c r="V13" s="871"/>
      <c r="W13" s="871"/>
      <c r="X13" s="871"/>
      <c r="Y13" s="871"/>
      <c r="Z13" s="871"/>
      <c r="AA13" s="871"/>
      <c r="AB13" s="871"/>
      <c r="AC13" s="871"/>
      <c r="AD13" s="871"/>
      <c r="AE13" s="871"/>
      <c r="AF13" s="871"/>
      <c r="AG13" s="871"/>
      <c r="AH13" s="871"/>
      <c r="AI13" s="871"/>
      <c r="AJ13" s="871"/>
      <c r="AK13" s="871"/>
      <c r="AL13" s="871"/>
      <c r="AM13" s="871"/>
      <c r="AN13" s="871"/>
      <c r="AO13" s="871"/>
      <c r="AP13" s="871"/>
      <c r="AQ13" s="871"/>
      <c r="AR13" s="871"/>
      <c r="AS13" s="871"/>
      <c r="AT13" s="871"/>
      <c r="AU13" s="871"/>
      <c r="AV13" s="871"/>
      <c r="AW13" s="871"/>
      <c r="AX13" s="871"/>
      <c r="AY13" s="871"/>
      <c r="AZ13" s="871"/>
      <c r="BA13" s="871"/>
      <c r="BB13" s="871"/>
      <c r="BC13" s="871"/>
      <c r="BD13" s="871"/>
      <c r="BE13" s="871"/>
      <c r="BF13" s="871"/>
      <c r="BG13" s="871"/>
      <c r="BH13" s="871"/>
      <c r="BI13" s="871"/>
      <c r="BJ13" s="871"/>
      <c r="BK13" s="871"/>
      <c r="BL13" s="871"/>
      <c r="BM13" s="871"/>
      <c r="BN13" s="871"/>
      <c r="BO13" s="871"/>
      <c r="BP13" s="871"/>
      <c r="BQ13" s="871"/>
      <c r="BR13" s="871"/>
      <c r="BS13" s="871"/>
      <c r="BT13" s="871"/>
      <c r="BU13" s="871"/>
      <c r="BV13" s="871"/>
      <c r="BW13" s="871"/>
      <c r="BX13" s="871"/>
      <c r="BY13" s="871"/>
      <c r="BZ13" s="871"/>
      <c r="CA13" s="871"/>
      <c r="CB13" s="871"/>
      <c r="CC13" s="871"/>
    </row>
    <row r="14" spans="1:81" ht="15.75" x14ac:dyDescent="0.25">
      <c r="B14" s="1473" t="s">
        <v>1235</v>
      </c>
      <c r="C14" s="1474"/>
      <c r="D14" s="1474"/>
      <c r="E14" s="1474"/>
      <c r="F14" s="1474"/>
      <c r="G14" s="1474"/>
      <c r="H14" s="1474"/>
      <c r="I14" s="1474"/>
      <c r="J14" s="1474"/>
      <c r="K14" s="1475"/>
      <c r="N14" s="2022" t="s">
        <v>1</v>
      </c>
      <c r="O14" s="2043"/>
    </row>
    <row r="15" spans="1:81" ht="24" x14ac:dyDescent="0.2">
      <c r="B15" s="1476"/>
      <c r="C15" s="1477" t="s">
        <v>1236</v>
      </c>
      <c r="D15" s="1477"/>
      <c r="E15" s="1477" t="s">
        <v>1897</v>
      </c>
      <c r="F15" s="1477"/>
      <c r="G15" s="1477" t="s">
        <v>1237</v>
      </c>
      <c r="H15" s="1478"/>
      <c r="I15" s="1477" t="s">
        <v>1238</v>
      </c>
      <c r="J15" s="1478"/>
      <c r="K15" s="1479" t="s">
        <v>1239</v>
      </c>
      <c r="N15" s="1887"/>
      <c r="O15" s="1888" t="str">
        <f>Summary!E3</f>
        <v>AR6 100-yr GWP</v>
      </c>
    </row>
    <row r="16" spans="1:81" ht="12.75" x14ac:dyDescent="0.2">
      <c r="B16" s="1480" t="s">
        <v>1240</v>
      </c>
      <c r="C16" s="1481"/>
      <c r="D16" s="1481"/>
      <c r="E16" s="1482"/>
      <c r="F16" s="1482"/>
      <c r="G16" s="1482"/>
      <c r="H16" s="1482"/>
      <c r="I16" s="1482"/>
      <c r="J16" s="1482"/>
      <c r="K16" s="1483"/>
      <c r="N16" s="894" t="str">
        <f>Summary!C4</f>
        <v>CO2</v>
      </c>
      <c r="O16" s="902">
        <f>Summary!E4</f>
        <v>1</v>
      </c>
    </row>
    <row r="17" spans="2:15" ht="12.75" x14ac:dyDescent="0.2">
      <c r="B17" s="1484" t="s">
        <v>1241</v>
      </c>
      <c r="C17" s="1485">
        <v>40</v>
      </c>
      <c r="D17" s="1481" t="s">
        <v>1044</v>
      </c>
      <c r="E17" s="1486">
        <v>145.69999999999999</v>
      </c>
      <c r="F17" s="1481" t="s">
        <v>1045</v>
      </c>
      <c r="G17" s="876">
        <f t="shared" ref="G17:G20" si="0">C17*E17*1000</f>
        <v>5828000</v>
      </c>
      <c r="H17" s="1481" t="s">
        <v>1045</v>
      </c>
      <c r="I17" s="876">
        <f t="shared" ref="I17:I20" si="1">G17/1000</f>
        <v>5828</v>
      </c>
      <c r="J17" s="1481" t="s">
        <v>1045</v>
      </c>
      <c r="K17" s="1487">
        <f t="shared" ref="K17:K20" si="2">I17*O$17/1000000</f>
        <v>0.16260119999999997</v>
      </c>
      <c r="N17" s="894" t="str">
        <f>Summary!C5</f>
        <v>CH4</v>
      </c>
      <c r="O17" s="902">
        <f>Summary!E5</f>
        <v>27.9</v>
      </c>
    </row>
    <row r="18" spans="2:15" ht="12.75" x14ac:dyDescent="0.2">
      <c r="B18" s="1484" t="s">
        <v>1242</v>
      </c>
      <c r="C18" s="1485">
        <v>23</v>
      </c>
      <c r="D18" s="1481" t="s">
        <v>1044</v>
      </c>
      <c r="E18" s="1486">
        <v>60.3</v>
      </c>
      <c r="F18" s="1481" t="s">
        <v>1045</v>
      </c>
      <c r="G18" s="876">
        <f t="shared" si="0"/>
        <v>1386899.9999999998</v>
      </c>
      <c r="H18" s="1481" t="s">
        <v>1045</v>
      </c>
      <c r="I18" s="876">
        <f t="shared" si="1"/>
        <v>1386.8999999999999</v>
      </c>
      <c r="J18" s="1481" t="s">
        <v>1045</v>
      </c>
      <c r="K18" s="1487">
        <f t="shared" si="2"/>
        <v>3.8694509999999994E-2</v>
      </c>
      <c r="N18" s="894" t="str">
        <f>Summary!C6</f>
        <v>N2O</v>
      </c>
      <c r="O18" s="902">
        <f>Summary!E6</f>
        <v>273</v>
      </c>
    </row>
    <row r="19" spans="2:15" ht="12.75" x14ac:dyDescent="0.2">
      <c r="B19" s="1484" t="s">
        <v>1243</v>
      </c>
      <c r="C19" s="1485">
        <v>0</v>
      </c>
      <c r="D19" s="1481" t="s">
        <v>1044</v>
      </c>
      <c r="E19" s="1486">
        <v>48</v>
      </c>
      <c r="F19" s="1481" t="s">
        <v>1045</v>
      </c>
      <c r="G19" s="876">
        <f t="shared" si="0"/>
        <v>0</v>
      </c>
      <c r="H19" s="1481" t="s">
        <v>1045</v>
      </c>
      <c r="I19" s="876">
        <f t="shared" si="1"/>
        <v>0</v>
      </c>
      <c r="J19" s="1481" t="s">
        <v>1045</v>
      </c>
      <c r="K19" s="1487">
        <f t="shared" si="2"/>
        <v>0</v>
      </c>
      <c r="N19" s="894" t="str">
        <f>Summary!C7</f>
        <v>SF6</v>
      </c>
      <c r="O19" s="909">
        <f>Summary!E7</f>
        <v>24300</v>
      </c>
    </row>
    <row r="20" spans="2:15" ht="11.25" x14ac:dyDescent="0.2">
      <c r="B20" s="1484" t="s">
        <v>1244</v>
      </c>
      <c r="C20" s="1485">
        <v>0</v>
      </c>
      <c r="D20" s="1481" t="s">
        <v>1044</v>
      </c>
      <c r="E20" s="1486">
        <v>72.5</v>
      </c>
      <c r="F20" s="1481" t="s">
        <v>1045</v>
      </c>
      <c r="G20" s="876">
        <f t="shared" si="0"/>
        <v>0</v>
      </c>
      <c r="H20" s="1481" t="s">
        <v>1045</v>
      </c>
      <c r="I20" s="876">
        <f t="shared" si="1"/>
        <v>0</v>
      </c>
      <c r="J20" s="1481" t="s">
        <v>1045</v>
      </c>
      <c r="K20" s="1487">
        <f t="shared" si="2"/>
        <v>0</v>
      </c>
    </row>
    <row r="21" spans="2:15" ht="11.25" x14ac:dyDescent="0.2">
      <c r="B21" s="1480" t="s">
        <v>1245</v>
      </c>
      <c r="C21" s="1488"/>
      <c r="D21" s="1481"/>
      <c r="E21" s="1486"/>
      <c r="F21" s="1481"/>
      <c r="G21" s="876"/>
      <c r="H21" s="1481"/>
      <c r="I21" s="881"/>
      <c r="J21" s="1481"/>
      <c r="K21" s="1487"/>
    </row>
    <row r="22" spans="2:15" ht="11.25" x14ac:dyDescent="0.2">
      <c r="B22" s="1484" t="s">
        <v>1246</v>
      </c>
      <c r="C22" s="1485">
        <v>40</v>
      </c>
      <c r="D22" s="1481" t="s">
        <v>1044</v>
      </c>
      <c r="E22" s="1486">
        <v>94.4</v>
      </c>
      <c r="F22" s="1481" t="s">
        <v>1045</v>
      </c>
      <c r="G22" s="876">
        <f t="shared" ref="G22:G30" si="3">C22*E22*1000</f>
        <v>3776000</v>
      </c>
      <c r="H22" s="1481" t="s">
        <v>1045</v>
      </c>
      <c r="I22" s="876">
        <f t="shared" ref="I22:I30" si="4">G22/1000</f>
        <v>3776</v>
      </c>
      <c r="J22" s="1481" t="s">
        <v>1045</v>
      </c>
      <c r="K22" s="1487">
        <f t="shared" ref="K22:K30" si="5">I22*O$17/1000000</f>
        <v>0.1053504</v>
      </c>
    </row>
    <row r="23" spans="2:15" ht="11.25" x14ac:dyDescent="0.2">
      <c r="B23" s="1484" t="s">
        <v>1249</v>
      </c>
      <c r="C23" s="1485">
        <v>8</v>
      </c>
      <c r="D23" s="1481" t="s">
        <v>1044</v>
      </c>
      <c r="E23" s="1486">
        <v>64.7</v>
      </c>
      <c r="F23" s="1481" t="s">
        <v>1045</v>
      </c>
      <c r="G23" s="876">
        <f t="shared" si="3"/>
        <v>517600</v>
      </c>
      <c r="H23" s="1481" t="s">
        <v>1045</v>
      </c>
      <c r="I23" s="876">
        <f t="shared" si="4"/>
        <v>517.6</v>
      </c>
      <c r="J23" s="1481" t="s">
        <v>1045</v>
      </c>
      <c r="K23" s="1487">
        <f t="shared" si="5"/>
        <v>1.4441039999999999E-2</v>
      </c>
    </row>
    <row r="24" spans="2:15" ht="11.25" x14ac:dyDescent="0.2">
      <c r="B24" s="1484" t="s">
        <v>1243</v>
      </c>
      <c r="C24" s="1485">
        <v>0</v>
      </c>
      <c r="D24" s="1481" t="s">
        <v>1044</v>
      </c>
      <c r="E24" s="1486">
        <v>60</v>
      </c>
      <c r="F24" s="1481" t="s">
        <v>1045</v>
      </c>
      <c r="G24" s="876">
        <f t="shared" si="3"/>
        <v>0</v>
      </c>
      <c r="H24" s="1481" t="s">
        <v>1045</v>
      </c>
      <c r="I24" s="876">
        <f t="shared" si="4"/>
        <v>0</v>
      </c>
      <c r="J24" s="1481" t="s">
        <v>1045</v>
      </c>
      <c r="K24" s="1487">
        <f t="shared" si="5"/>
        <v>0</v>
      </c>
    </row>
    <row r="25" spans="2:15" ht="11.25" x14ac:dyDescent="0.2">
      <c r="B25" s="1484" t="s">
        <v>1244</v>
      </c>
      <c r="C25" s="1485">
        <v>0</v>
      </c>
      <c r="D25" s="1481" t="s">
        <v>1044</v>
      </c>
      <c r="E25" s="1486">
        <v>69.400000000000006</v>
      </c>
      <c r="F25" s="1481" t="s">
        <v>1045</v>
      </c>
      <c r="G25" s="876">
        <f t="shared" si="3"/>
        <v>0</v>
      </c>
      <c r="H25" s="1481" t="s">
        <v>1045</v>
      </c>
      <c r="I25" s="876">
        <f t="shared" si="4"/>
        <v>0</v>
      </c>
      <c r="J25" s="1481" t="s">
        <v>1045</v>
      </c>
      <c r="K25" s="1487">
        <f t="shared" si="5"/>
        <v>0</v>
      </c>
    </row>
    <row r="26" spans="2:15" ht="11.25" x14ac:dyDescent="0.2">
      <c r="B26" s="1484" t="s">
        <v>1250</v>
      </c>
      <c r="C26" s="1485">
        <v>6</v>
      </c>
      <c r="D26" s="1481" t="s">
        <v>1044</v>
      </c>
      <c r="E26" s="1486">
        <v>60.2</v>
      </c>
      <c r="F26" s="1481" t="s">
        <v>1045</v>
      </c>
      <c r="G26" s="876">
        <f t="shared" si="3"/>
        <v>361200.00000000006</v>
      </c>
      <c r="H26" s="1481" t="s">
        <v>1045</v>
      </c>
      <c r="I26" s="876">
        <f t="shared" si="4"/>
        <v>361.20000000000005</v>
      </c>
      <c r="J26" s="1481" t="s">
        <v>1045</v>
      </c>
      <c r="K26" s="1487">
        <f t="shared" si="5"/>
        <v>1.0077480000000002E-2</v>
      </c>
    </row>
    <row r="27" spans="2:15" ht="11.25" x14ac:dyDescent="0.2">
      <c r="B27" s="1484" t="s">
        <v>1251</v>
      </c>
      <c r="C27" s="1485">
        <v>12</v>
      </c>
      <c r="D27" s="1481" t="s">
        <v>1044</v>
      </c>
      <c r="E27" s="1486">
        <v>58.1</v>
      </c>
      <c r="F27" s="1481" t="s">
        <v>1045</v>
      </c>
      <c r="G27" s="876">
        <f t="shared" si="3"/>
        <v>697200</v>
      </c>
      <c r="H27" s="1481" t="s">
        <v>1045</v>
      </c>
      <c r="I27" s="876">
        <f t="shared" si="4"/>
        <v>697.2</v>
      </c>
      <c r="J27" s="1481" t="s">
        <v>1045</v>
      </c>
      <c r="K27" s="1487">
        <f t="shared" si="5"/>
        <v>1.9451880000000001E-2</v>
      </c>
    </row>
    <row r="28" spans="2:15" ht="11.25" x14ac:dyDescent="0.2">
      <c r="B28" s="1484" t="s">
        <v>1252</v>
      </c>
      <c r="C28" s="1485">
        <v>2.1</v>
      </c>
      <c r="D28" s="1481" t="s">
        <v>1044</v>
      </c>
      <c r="E28" s="1486">
        <v>43.2</v>
      </c>
      <c r="F28" s="1481" t="s">
        <v>1045</v>
      </c>
      <c r="G28" s="876">
        <f t="shared" si="3"/>
        <v>90720.000000000015</v>
      </c>
      <c r="H28" s="1481" t="s">
        <v>1045</v>
      </c>
      <c r="I28" s="876">
        <f t="shared" si="4"/>
        <v>90.720000000000013</v>
      </c>
      <c r="J28" s="1481" t="s">
        <v>1045</v>
      </c>
      <c r="K28" s="1487">
        <f t="shared" si="5"/>
        <v>2.5310880000000003E-3</v>
      </c>
    </row>
    <row r="29" spans="2:15" ht="11.25" x14ac:dyDescent="0.2">
      <c r="B29" s="1484" t="s">
        <v>1253</v>
      </c>
      <c r="C29" s="1485">
        <v>3.9</v>
      </c>
      <c r="D29" s="1481" t="s">
        <v>1044</v>
      </c>
      <c r="E29" s="1486">
        <v>42</v>
      </c>
      <c r="F29" s="1481" t="s">
        <v>1045</v>
      </c>
      <c r="G29" s="876">
        <f t="shared" si="3"/>
        <v>163799.99999999997</v>
      </c>
      <c r="H29" s="1481" t="s">
        <v>1045</v>
      </c>
      <c r="I29" s="876">
        <f t="shared" si="4"/>
        <v>163.79999999999998</v>
      </c>
      <c r="J29" s="1481" t="s">
        <v>1045</v>
      </c>
      <c r="K29" s="1487">
        <f t="shared" si="5"/>
        <v>4.5700199999999993E-3</v>
      </c>
    </row>
    <row r="30" spans="2:15" ht="11.25" x14ac:dyDescent="0.2">
      <c r="B30" s="1484" t="s">
        <v>1254</v>
      </c>
      <c r="C30" s="1485">
        <v>3</v>
      </c>
      <c r="D30" s="1481" t="s">
        <v>1044</v>
      </c>
      <c r="E30" s="1486">
        <v>97.6</v>
      </c>
      <c r="F30" s="1481" t="s">
        <v>1045</v>
      </c>
      <c r="G30" s="876">
        <f t="shared" si="3"/>
        <v>292799.99999999994</v>
      </c>
      <c r="H30" s="1481" t="s">
        <v>1045</v>
      </c>
      <c r="I30" s="876">
        <f t="shared" si="4"/>
        <v>292.79999999999995</v>
      </c>
      <c r="J30" s="1481" t="s">
        <v>1045</v>
      </c>
      <c r="K30" s="1487">
        <f t="shared" si="5"/>
        <v>8.1691199999999985E-3</v>
      </c>
    </row>
    <row r="31" spans="2:15" ht="11.25" x14ac:dyDescent="0.2">
      <c r="B31" s="1480" t="s">
        <v>56</v>
      </c>
      <c r="C31" s="1489"/>
      <c r="D31" s="1481"/>
      <c r="E31" s="1486"/>
      <c r="F31" s="1481"/>
      <c r="G31" s="876"/>
      <c r="H31" s="1481"/>
      <c r="I31" s="881"/>
      <c r="J31" s="1481"/>
      <c r="K31" s="1487"/>
    </row>
    <row r="32" spans="2:15" ht="11.25" x14ac:dyDescent="0.2">
      <c r="B32" s="1484" t="s">
        <v>1255</v>
      </c>
      <c r="C32" s="1485">
        <v>10.8</v>
      </c>
      <c r="D32" s="1481" t="s">
        <v>1044</v>
      </c>
      <c r="E32" s="1486">
        <v>9</v>
      </c>
      <c r="F32" s="1481" t="s">
        <v>1045</v>
      </c>
      <c r="G32" s="876">
        <f t="shared" ref="G32:G35" si="6">C32*E32*1000</f>
        <v>97200</v>
      </c>
      <c r="H32" s="1481" t="s">
        <v>1045</v>
      </c>
      <c r="I32" s="876">
        <f t="shared" ref="I32:I35" si="7">G32/1000</f>
        <v>97.2</v>
      </c>
      <c r="J32" s="1481" t="s">
        <v>1045</v>
      </c>
      <c r="K32" s="1487">
        <f t="shared" ref="K32:K35" si="8">I32*O$17/1000000</f>
        <v>2.7118800000000003E-3</v>
      </c>
    </row>
    <row r="33" spans="2:23" ht="11.25" x14ac:dyDescent="0.2">
      <c r="B33" s="1484" t="s">
        <v>1256</v>
      </c>
      <c r="C33" s="1485">
        <v>16.899999999999999</v>
      </c>
      <c r="D33" s="1481" t="s">
        <v>1044</v>
      </c>
      <c r="E33" s="1486">
        <v>9</v>
      </c>
      <c r="F33" s="1481" t="s">
        <v>1045</v>
      </c>
      <c r="G33" s="876">
        <f t="shared" si="6"/>
        <v>152100</v>
      </c>
      <c r="H33" s="1481" t="s">
        <v>1045</v>
      </c>
      <c r="I33" s="876">
        <f t="shared" si="7"/>
        <v>152.1</v>
      </c>
      <c r="J33" s="1481" t="s">
        <v>1045</v>
      </c>
      <c r="K33" s="1487">
        <f t="shared" si="8"/>
        <v>4.2435899999999993E-3</v>
      </c>
    </row>
    <row r="34" spans="2:23" ht="11.25" x14ac:dyDescent="0.2">
      <c r="B34" s="1484" t="s">
        <v>1257</v>
      </c>
      <c r="C34" s="1485">
        <v>21</v>
      </c>
      <c r="D34" s="1481" t="s">
        <v>1044</v>
      </c>
      <c r="E34" s="1486">
        <v>1.5</v>
      </c>
      <c r="F34" s="1481" t="s">
        <v>1045</v>
      </c>
      <c r="G34" s="876">
        <f t="shared" si="6"/>
        <v>31500</v>
      </c>
      <c r="H34" s="1481" t="s">
        <v>1045</v>
      </c>
      <c r="I34" s="876">
        <f t="shared" si="7"/>
        <v>31.5</v>
      </c>
      <c r="J34" s="1481" t="s">
        <v>1045</v>
      </c>
      <c r="K34" s="1487">
        <f t="shared" si="8"/>
        <v>8.7884999999999992E-4</v>
      </c>
    </row>
    <row r="35" spans="2:23" ht="11.25" x14ac:dyDescent="0.2">
      <c r="B35" s="1484" t="s">
        <v>1258</v>
      </c>
      <c r="C35" s="1485">
        <v>26.6</v>
      </c>
      <c r="D35" s="1481" t="s">
        <v>1044</v>
      </c>
      <c r="E35" s="1486">
        <v>18</v>
      </c>
      <c r="F35" s="1481" t="s">
        <v>1045</v>
      </c>
      <c r="G35" s="876">
        <f t="shared" si="6"/>
        <v>478800</v>
      </c>
      <c r="H35" s="1481" t="s">
        <v>1045</v>
      </c>
      <c r="I35" s="876">
        <f t="shared" si="7"/>
        <v>478.8</v>
      </c>
      <c r="J35" s="1481" t="s">
        <v>1045</v>
      </c>
      <c r="K35" s="1487">
        <f t="shared" si="8"/>
        <v>1.335852E-2</v>
      </c>
    </row>
    <row r="36" spans="2:23" ht="11.25" x14ac:dyDescent="0.2">
      <c r="B36" s="1490" t="s">
        <v>575</v>
      </c>
      <c r="C36" s="1491"/>
      <c r="D36" s="1491"/>
      <c r="E36" s="1491"/>
      <c r="F36" s="1491"/>
      <c r="G36" s="1492">
        <f>SUM(G17:G35)</f>
        <v>13873820</v>
      </c>
      <c r="H36" s="1493"/>
      <c r="I36" s="1492">
        <f>SUM(I17:I35)</f>
        <v>13873.82</v>
      </c>
      <c r="J36" s="1494"/>
      <c r="K36" s="1495">
        <f>SUM(K17:K35)</f>
        <v>0.38707957799999998</v>
      </c>
    </row>
    <row r="37" spans="2:23" ht="11.25" x14ac:dyDescent="0.2">
      <c r="B37" s="1496"/>
      <c r="C37" s="974"/>
      <c r="D37" s="974"/>
      <c r="E37" s="974"/>
      <c r="F37" s="974"/>
      <c r="G37" s="1497"/>
      <c r="H37" s="874"/>
      <c r="I37" s="879"/>
      <c r="J37" s="874"/>
      <c r="K37" s="878"/>
      <c r="L37" s="871"/>
      <c r="M37" s="878"/>
    </row>
    <row r="38" spans="2:23" ht="11.25" x14ac:dyDescent="0.2">
      <c r="B38" s="1496"/>
      <c r="C38" s="974"/>
      <c r="D38" s="974"/>
      <c r="E38" s="974"/>
      <c r="F38" s="974"/>
      <c r="G38" s="1497"/>
      <c r="H38" s="874"/>
      <c r="I38" s="879"/>
      <c r="J38" s="874"/>
      <c r="K38" s="878"/>
      <c r="L38" s="871"/>
      <c r="M38" s="878"/>
      <c r="N38" s="871"/>
      <c r="O38" s="871"/>
      <c r="P38" s="871"/>
      <c r="Q38" s="871"/>
      <c r="R38" s="871"/>
      <c r="S38" s="871"/>
      <c r="T38" s="871"/>
      <c r="U38" s="871"/>
      <c r="V38" s="871"/>
      <c r="W38" s="871"/>
    </row>
    <row r="39" spans="2:23" ht="15.75" x14ac:dyDescent="0.25">
      <c r="B39" s="1473" t="s">
        <v>1259</v>
      </c>
      <c r="C39" s="1498"/>
      <c r="D39" s="1498"/>
      <c r="E39" s="1498"/>
      <c r="F39" s="1498"/>
      <c r="G39" s="1498"/>
      <c r="H39" s="1498"/>
      <c r="I39" s="1498"/>
      <c r="J39" s="1498"/>
      <c r="K39" s="1498"/>
      <c r="L39" s="1498"/>
      <c r="M39" s="1498"/>
      <c r="N39" s="1498"/>
      <c r="O39" s="1498"/>
      <c r="P39" s="1498"/>
      <c r="Q39" s="1498"/>
      <c r="R39" s="1498"/>
      <c r="S39" s="1498"/>
      <c r="T39" s="1498"/>
      <c r="U39" s="1499"/>
    </row>
    <row r="40" spans="2:23" ht="72" customHeight="1" x14ac:dyDescent="0.2">
      <c r="B40" s="1885"/>
      <c r="C40" s="1500" t="s">
        <v>1236</v>
      </c>
      <c r="D40" s="1813"/>
      <c r="E40" s="1500" t="s">
        <v>1260</v>
      </c>
      <c r="F40" s="1500"/>
      <c r="G40" s="1500" t="s">
        <v>1898</v>
      </c>
      <c r="H40" s="1500"/>
      <c r="I40" s="1500" t="s">
        <v>1261</v>
      </c>
      <c r="J40" s="1501"/>
      <c r="K40" s="1500" t="s">
        <v>1899</v>
      </c>
      <c r="L40" s="1500"/>
      <c r="M40" s="1500" t="s">
        <v>1262</v>
      </c>
      <c r="N40" s="1500"/>
      <c r="O40" s="1500" t="s">
        <v>1263</v>
      </c>
      <c r="P40" s="1500"/>
      <c r="Q40" s="1500" t="s">
        <v>1264</v>
      </c>
      <c r="R40" s="1500"/>
      <c r="S40" s="1500" t="s">
        <v>1238</v>
      </c>
      <c r="T40" s="1500"/>
      <c r="U40" s="1886" t="s">
        <v>1239</v>
      </c>
    </row>
    <row r="41" spans="2:23" ht="11.25" x14ac:dyDescent="0.2">
      <c r="B41" s="1502" t="s">
        <v>1240</v>
      </c>
      <c r="C41" s="1503"/>
      <c r="D41" s="1504"/>
      <c r="E41" s="1505"/>
      <c r="F41" s="1504"/>
      <c r="G41" s="1504"/>
      <c r="H41" s="1504"/>
      <c r="I41" s="1506"/>
      <c r="J41" s="1506"/>
      <c r="K41" s="1506"/>
      <c r="L41" s="1506"/>
      <c r="M41" s="1507"/>
      <c r="N41" s="1506"/>
      <c r="O41" s="1508"/>
      <c r="P41" s="1506"/>
      <c r="R41" s="1509"/>
      <c r="S41" s="1507"/>
      <c r="T41" s="1506"/>
      <c r="U41" s="1510"/>
    </row>
    <row r="42" spans="2:23" ht="11.25" x14ac:dyDescent="0.2">
      <c r="B42" s="1484" t="s">
        <v>1241</v>
      </c>
      <c r="C42" s="1485">
        <v>40</v>
      </c>
      <c r="D42" s="1511"/>
      <c r="E42" s="1512" t="s">
        <v>1044</v>
      </c>
      <c r="F42" s="1513"/>
      <c r="G42" s="1489">
        <f>2635.3</f>
        <v>2635.3</v>
      </c>
      <c r="H42" s="1481" t="s">
        <v>1045</v>
      </c>
      <c r="I42" s="1514">
        <f t="shared" ref="I42:I43" si="9">C42*1000*G42</f>
        <v>105412000</v>
      </c>
      <c r="J42" s="1481" t="s">
        <v>1044</v>
      </c>
      <c r="K42" s="1391">
        <v>0.24</v>
      </c>
      <c r="L42" s="1515" t="s">
        <v>1044</v>
      </c>
      <c r="M42" s="1516">
        <v>0.27900000000000003</v>
      </c>
      <c r="N42" s="1515" t="s">
        <v>1045</v>
      </c>
      <c r="O42" s="1514">
        <f t="shared" ref="O42:O43" si="10">(I42*K42)*M42</f>
        <v>7058387.5200000005</v>
      </c>
      <c r="P42" s="1515" t="s">
        <v>1044</v>
      </c>
      <c r="Q42" s="1517">
        <v>0.67605999999999999</v>
      </c>
      <c r="R42" s="1481" t="s">
        <v>1045</v>
      </c>
      <c r="S42" s="1514">
        <f t="shared" ref="S42:S43" si="11">O42*Q42/1000</f>
        <v>4771.8934667712001</v>
      </c>
      <c r="T42" s="1481" t="s">
        <v>1045</v>
      </c>
      <c r="U42" s="1518">
        <f t="shared" ref="U42:U43" si="12">S42*O$17/1000000</f>
        <v>0.13313582772291646</v>
      </c>
    </row>
    <row r="43" spans="2:23" ht="11.25" x14ac:dyDescent="0.2">
      <c r="B43" s="1484" t="s">
        <v>1242</v>
      </c>
      <c r="C43" s="1485">
        <v>23</v>
      </c>
      <c r="D43" s="1511"/>
      <c r="E43" s="1512" t="s">
        <v>1044</v>
      </c>
      <c r="F43" s="1513"/>
      <c r="G43" s="1489">
        <f>1255.2</f>
        <v>1255.2</v>
      </c>
      <c r="H43" s="1481" t="s">
        <v>1045</v>
      </c>
      <c r="I43" s="1514">
        <f t="shared" si="9"/>
        <v>28869600</v>
      </c>
      <c r="J43" s="1481" t="s">
        <v>1044</v>
      </c>
      <c r="K43" s="1391">
        <v>0.17</v>
      </c>
      <c r="L43" s="1515" t="s">
        <v>1044</v>
      </c>
      <c r="M43" s="1516">
        <v>1.2E-2</v>
      </c>
      <c r="N43" s="1515" t="s">
        <v>1045</v>
      </c>
      <c r="O43" s="1514">
        <f t="shared" si="10"/>
        <v>58893.984000000004</v>
      </c>
      <c r="P43" s="1515" t="s">
        <v>1044</v>
      </c>
      <c r="Q43" s="1517">
        <v>0.67605999999999999</v>
      </c>
      <c r="R43" s="1481" t="s">
        <v>1045</v>
      </c>
      <c r="S43" s="1514">
        <f t="shared" si="11"/>
        <v>39.815866823039997</v>
      </c>
      <c r="T43" s="1481" t="s">
        <v>1045</v>
      </c>
      <c r="U43" s="1518">
        <f t="shared" si="12"/>
        <v>1.1108626843628158E-3</v>
      </c>
    </row>
    <row r="44" spans="2:23" ht="11.25" x14ac:dyDescent="0.2">
      <c r="B44" s="1480" t="s">
        <v>1245</v>
      </c>
      <c r="C44" s="1519"/>
      <c r="D44" s="1512"/>
      <c r="E44" s="1520"/>
      <c r="F44" s="1512"/>
      <c r="G44" s="1521"/>
      <c r="H44" s="1512"/>
      <c r="I44" s="1522"/>
      <c r="J44" s="1512"/>
      <c r="K44" s="1523"/>
      <c r="L44" s="1512"/>
      <c r="M44" s="1512"/>
      <c r="N44" s="1512"/>
      <c r="O44" s="1522"/>
      <c r="P44" s="1512"/>
      <c r="R44" s="1512"/>
      <c r="S44" s="1522"/>
      <c r="T44" s="1512"/>
      <c r="U44" s="1524"/>
    </row>
    <row r="45" spans="2:23" ht="11.25" x14ac:dyDescent="0.2">
      <c r="B45" s="1484" t="s">
        <v>1252</v>
      </c>
      <c r="C45" s="1485">
        <v>2.1</v>
      </c>
      <c r="D45" s="1511"/>
      <c r="E45" s="1512" t="s">
        <v>1044</v>
      </c>
      <c r="F45" s="1513"/>
      <c r="G45" s="1489">
        <f>636.9</f>
        <v>636.9</v>
      </c>
      <c r="H45" s="1481" t="s">
        <v>1045</v>
      </c>
      <c r="I45" s="1514">
        <f t="shared" ref="I45:I47" si="13">C45*1000*G45</f>
        <v>1337490</v>
      </c>
      <c r="J45" s="1481" t="s">
        <v>1044</v>
      </c>
      <c r="K45" s="1391">
        <v>0.33</v>
      </c>
      <c r="L45" s="1481" t="s">
        <v>1044</v>
      </c>
      <c r="M45" s="1516">
        <v>6.0000000000000001E-3</v>
      </c>
      <c r="N45" s="1481" t="s">
        <v>1045</v>
      </c>
      <c r="O45" s="1525">
        <f t="shared" ref="O45:O52" si="14">(I45*K45)*M45</f>
        <v>2648.2302</v>
      </c>
      <c r="P45" s="1481" t="s">
        <v>1044</v>
      </c>
      <c r="Q45" s="1517">
        <v>0.67605999999999999</v>
      </c>
      <c r="R45" s="1481" t="s">
        <v>1045</v>
      </c>
      <c r="S45" s="1514">
        <f t="shared" ref="S45:S52" si="15">O45*Q45/1000</f>
        <v>1.7903625090119999</v>
      </c>
      <c r="T45" s="1526" t="s">
        <v>1045</v>
      </c>
      <c r="U45" s="1518">
        <f t="shared" ref="U45:U52" si="16">S45*O$17/1000000</f>
        <v>4.9951114001434794E-5</v>
      </c>
    </row>
    <row r="46" spans="2:23" ht="11.25" x14ac:dyDescent="0.2">
      <c r="B46" s="1484" t="s">
        <v>1253</v>
      </c>
      <c r="C46" s="1485">
        <v>3.9</v>
      </c>
      <c r="D46" s="1511"/>
      <c r="E46" s="1512" t="s">
        <v>1044</v>
      </c>
      <c r="F46" s="1513"/>
      <c r="G46" s="1489">
        <f>621.4</f>
        <v>621.4</v>
      </c>
      <c r="H46" s="1481" t="s">
        <v>1045</v>
      </c>
      <c r="I46" s="1514">
        <f t="shared" si="13"/>
        <v>2423460</v>
      </c>
      <c r="J46" s="1481" t="s">
        <v>1044</v>
      </c>
      <c r="K46" s="1391">
        <v>0.33</v>
      </c>
      <c r="L46" s="1481" t="s">
        <v>1044</v>
      </c>
      <c r="M46" s="1516">
        <v>6.0000000000000001E-3</v>
      </c>
      <c r="N46" s="1481" t="s">
        <v>1045</v>
      </c>
      <c r="O46" s="1525">
        <f t="shared" si="14"/>
        <v>4798.4508000000005</v>
      </c>
      <c r="P46" s="1481" t="s">
        <v>1044</v>
      </c>
      <c r="Q46" s="1517">
        <v>0.67605999999999999</v>
      </c>
      <c r="R46" s="1481" t="s">
        <v>1045</v>
      </c>
      <c r="S46" s="1514">
        <f t="shared" si="15"/>
        <v>3.2440406478480002</v>
      </c>
      <c r="T46" s="1526" t="s">
        <v>1045</v>
      </c>
      <c r="U46" s="1518">
        <f t="shared" si="16"/>
        <v>9.0508734074959193E-5</v>
      </c>
    </row>
    <row r="47" spans="2:23" ht="11.25" x14ac:dyDescent="0.2">
      <c r="B47" s="1484" t="s">
        <v>1254</v>
      </c>
      <c r="C47" s="1485">
        <v>3</v>
      </c>
      <c r="D47" s="1511"/>
      <c r="E47" s="1512" t="s">
        <v>1044</v>
      </c>
      <c r="F47" s="1513"/>
      <c r="G47" s="1489">
        <f>1730.7</f>
        <v>1730.7</v>
      </c>
      <c r="H47" s="1481" t="s">
        <v>1045</v>
      </c>
      <c r="I47" s="1514">
        <f t="shared" si="13"/>
        <v>5192100</v>
      </c>
      <c r="J47" s="1481" t="s">
        <v>1044</v>
      </c>
      <c r="K47" s="1391">
        <v>0.17</v>
      </c>
      <c r="L47" s="1481" t="s">
        <v>1044</v>
      </c>
      <c r="M47" s="1516">
        <v>1.0999999999999999E-2</v>
      </c>
      <c r="N47" s="1481" t="s">
        <v>1045</v>
      </c>
      <c r="O47" s="1514">
        <f t="shared" si="14"/>
        <v>9709.2270000000008</v>
      </c>
      <c r="P47" s="1481" t="s">
        <v>1044</v>
      </c>
      <c r="Q47" s="1517">
        <v>0.67605999999999999</v>
      </c>
      <c r="R47" s="1481" t="s">
        <v>1045</v>
      </c>
      <c r="S47" s="1514">
        <f t="shared" si="15"/>
        <v>6.5640200056199998</v>
      </c>
      <c r="T47" s="1526" t="s">
        <v>1045</v>
      </c>
      <c r="U47" s="1518">
        <f t="shared" si="16"/>
        <v>1.8313615815679799E-4</v>
      </c>
    </row>
    <row r="48" spans="2:23" ht="11.25" x14ac:dyDescent="0.2">
      <c r="B48" s="1484" t="s">
        <v>1265</v>
      </c>
      <c r="C48" s="1485">
        <v>25</v>
      </c>
      <c r="D48" s="1481" t="s">
        <v>1044</v>
      </c>
      <c r="E48" s="1489">
        <v>122.53</v>
      </c>
      <c r="F48" s="1481" t="s">
        <v>1044</v>
      </c>
      <c r="G48" s="1489">
        <f>7.7</f>
        <v>7.7</v>
      </c>
      <c r="H48" s="1481" t="s">
        <v>1045</v>
      </c>
      <c r="I48" s="1514">
        <f>C48*E48*G48*365</f>
        <v>8609264.125</v>
      </c>
      <c r="J48" s="1481" t="s">
        <v>1044</v>
      </c>
      <c r="K48" s="1391">
        <v>0.17</v>
      </c>
      <c r="L48" s="1481" t="s">
        <v>1044</v>
      </c>
      <c r="M48" s="1516">
        <v>1.0999999999999999E-2</v>
      </c>
      <c r="N48" s="1481" t="s">
        <v>1045</v>
      </c>
      <c r="O48" s="1514">
        <f t="shared" si="14"/>
        <v>16099.32391375</v>
      </c>
      <c r="P48" s="1481" t="s">
        <v>1044</v>
      </c>
      <c r="Q48" s="1517">
        <v>0.67605999999999999</v>
      </c>
      <c r="R48" s="1481" t="s">
        <v>1045</v>
      </c>
      <c r="S48" s="1514">
        <f t="shared" si="15"/>
        <v>10.884108925129825</v>
      </c>
      <c r="T48" s="1526" t="s">
        <v>1045</v>
      </c>
      <c r="U48" s="1518">
        <f t="shared" si="16"/>
        <v>3.0366663901112208E-4</v>
      </c>
    </row>
    <row r="49" spans="2:21" ht="11.25" x14ac:dyDescent="0.2">
      <c r="B49" s="1484" t="s">
        <v>1246</v>
      </c>
      <c r="C49" s="1485">
        <v>40</v>
      </c>
      <c r="D49" s="1511"/>
      <c r="E49" s="1512" t="s">
        <v>1044</v>
      </c>
      <c r="F49" s="1513"/>
      <c r="G49" s="1489">
        <f>1674.1</f>
        <v>1674.1</v>
      </c>
      <c r="H49" s="1481" t="s">
        <v>1045</v>
      </c>
      <c r="I49" s="1514">
        <f t="shared" ref="I49:I52" si="17">C49*1000*G49</f>
        <v>66964000</v>
      </c>
      <c r="J49" s="1481" t="s">
        <v>1044</v>
      </c>
      <c r="K49" s="1391">
        <v>0.17</v>
      </c>
      <c r="L49" s="1481" t="s">
        <v>1044</v>
      </c>
      <c r="M49" s="1516">
        <v>1.0999999999999999E-2</v>
      </c>
      <c r="N49" s="1481" t="s">
        <v>1045</v>
      </c>
      <c r="O49" s="1514">
        <f t="shared" si="14"/>
        <v>125222.68</v>
      </c>
      <c r="P49" s="1481" t="s">
        <v>1044</v>
      </c>
      <c r="Q49" s="1517">
        <v>0.67605999999999999</v>
      </c>
      <c r="R49" s="1481" t="s">
        <v>1045</v>
      </c>
      <c r="S49" s="1514">
        <f t="shared" si="15"/>
        <v>84.65804504079999</v>
      </c>
      <c r="T49" s="1526" t="s">
        <v>1045</v>
      </c>
      <c r="U49" s="1518">
        <f t="shared" si="16"/>
        <v>2.3619594566383199E-3</v>
      </c>
    </row>
    <row r="50" spans="2:21" ht="11.25" x14ac:dyDescent="0.2">
      <c r="B50" s="1484" t="s">
        <v>1249</v>
      </c>
      <c r="C50" s="1485">
        <v>8</v>
      </c>
      <c r="D50" s="1511"/>
      <c r="E50" s="1512" t="s">
        <v>1044</v>
      </c>
      <c r="F50" s="1513"/>
      <c r="G50" s="1489">
        <f>1095.3</f>
        <v>1095.3</v>
      </c>
      <c r="H50" s="1481" t="s">
        <v>1045</v>
      </c>
      <c r="I50" s="1514">
        <f t="shared" si="17"/>
        <v>8762400</v>
      </c>
      <c r="J50" s="1481" t="s">
        <v>1044</v>
      </c>
      <c r="K50" s="1391">
        <v>0.17</v>
      </c>
      <c r="L50" s="1481" t="s">
        <v>1044</v>
      </c>
      <c r="M50" s="1516">
        <v>1.0999999999999999E-2</v>
      </c>
      <c r="N50" s="1481" t="s">
        <v>1045</v>
      </c>
      <c r="O50" s="1514">
        <f t="shared" si="14"/>
        <v>16385.687999999998</v>
      </c>
      <c r="P50" s="1481" t="s">
        <v>1044</v>
      </c>
      <c r="Q50" s="1517">
        <v>0.67605999999999999</v>
      </c>
      <c r="R50" s="1481" t="s">
        <v>1045</v>
      </c>
      <c r="S50" s="1514">
        <f t="shared" si="15"/>
        <v>11.077708229279999</v>
      </c>
      <c r="T50" s="1526" t="s">
        <v>1045</v>
      </c>
      <c r="U50" s="1518">
        <f t="shared" si="16"/>
        <v>3.0906805959691195E-4</v>
      </c>
    </row>
    <row r="51" spans="2:21" ht="11.25" x14ac:dyDescent="0.2">
      <c r="B51" s="1484" t="s">
        <v>1251</v>
      </c>
      <c r="C51" s="1485">
        <v>12</v>
      </c>
      <c r="D51" s="1511"/>
      <c r="E51" s="1512" t="s">
        <v>1044</v>
      </c>
      <c r="F51" s="1513"/>
      <c r="G51" s="1489">
        <f>980.4</f>
        <v>980.4</v>
      </c>
      <c r="H51" s="1481" t="s">
        <v>1045</v>
      </c>
      <c r="I51" s="1514">
        <f t="shared" si="17"/>
        <v>11764800</v>
      </c>
      <c r="J51" s="1481" t="s">
        <v>1044</v>
      </c>
      <c r="K51" s="1391">
        <v>0.17</v>
      </c>
      <c r="L51" s="1481" t="s">
        <v>1044</v>
      </c>
      <c r="M51" s="1516">
        <v>1.0999999999999999E-2</v>
      </c>
      <c r="N51" s="1481" t="s">
        <v>1045</v>
      </c>
      <c r="O51" s="1514">
        <f t="shared" si="14"/>
        <v>22000.175999999999</v>
      </c>
      <c r="P51" s="1481" t="s">
        <v>1044</v>
      </c>
      <c r="Q51" s="1517">
        <v>0.67605999999999999</v>
      </c>
      <c r="R51" s="1526" t="s">
        <v>1045</v>
      </c>
      <c r="S51" s="1514">
        <f t="shared" si="15"/>
        <v>14.873438986559998</v>
      </c>
      <c r="T51" s="1526" t="s">
        <v>1045</v>
      </c>
      <c r="U51" s="1518">
        <f t="shared" si="16"/>
        <v>4.1496894772502394E-4</v>
      </c>
    </row>
    <row r="52" spans="2:21" ht="11.25" x14ac:dyDescent="0.2">
      <c r="B52" s="1484" t="s">
        <v>1250</v>
      </c>
      <c r="C52" s="1485">
        <v>6</v>
      </c>
      <c r="D52" s="1511"/>
      <c r="E52" s="1512" t="s">
        <v>1044</v>
      </c>
      <c r="F52" s="1513"/>
      <c r="G52" s="1489">
        <f>1095.3</f>
        <v>1095.3</v>
      </c>
      <c r="H52" s="1481" t="s">
        <v>1045</v>
      </c>
      <c r="I52" s="1514">
        <f t="shared" si="17"/>
        <v>6571800</v>
      </c>
      <c r="J52" s="1481" t="s">
        <v>1044</v>
      </c>
      <c r="K52" s="1391">
        <v>0.17</v>
      </c>
      <c r="L52" s="1481" t="s">
        <v>1044</v>
      </c>
      <c r="M52" s="1516">
        <v>1.0999999999999999E-2</v>
      </c>
      <c r="N52" s="1481" t="s">
        <v>1045</v>
      </c>
      <c r="O52" s="1514">
        <f t="shared" si="14"/>
        <v>12289.266</v>
      </c>
      <c r="P52" s="1481" t="s">
        <v>1044</v>
      </c>
      <c r="Q52" s="1517">
        <v>0.67605999999999999</v>
      </c>
      <c r="R52" s="1481" t="s">
        <v>1045</v>
      </c>
      <c r="S52" s="1514">
        <f t="shared" si="15"/>
        <v>8.3082811719599992</v>
      </c>
      <c r="T52" s="1526" t="s">
        <v>1045</v>
      </c>
      <c r="U52" s="1518">
        <f t="shared" si="16"/>
        <v>2.3180104469768399E-4</v>
      </c>
    </row>
    <row r="53" spans="2:21" ht="11.25" x14ac:dyDescent="0.2">
      <c r="B53" s="1480" t="s">
        <v>1257</v>
      </c>
      <c r="C53" s="1519"/>
      <c r="D53" s="1512"/>
      <c r="E53" s="1520"/>
      <c r="F53" s="1512"/>
      <c r="G53" s="1527"/>
      <c r="H53" s="1512"/>
      <c r="I53" s="1522"/>
      <c r="J53" s="1512"/>
      <c r="K53" s="1523"/>
      <c r="L53" s="1512"/>
      <c r="M53" s="1512"/>
      <c r="N53" s="1512"/>
      <c r="O53" s="1522"/>
      <c r="P53" s="1512"/>
      <c r="R53" s="1512"/>
      <c r="S53" s="1522"/>
      <c r="T53" s="1528"/>
      <c r="U53" s="1524"/>
    </row>
    <row r="54" spans="2:21" ht="11.25" x14ac:dyDescent="0.2">
      <c r="B54" s="1484" t="s">
        <v>1266</v>
      </c>
      <c r="C54" s="1485">
        <v>2.2999999999999998</v>
      </c>
      <c r="D54" s="1481" t="s">
        <v>1044</v>
      </c>
      <c r="E54" s="1489">
        <v>198</v>
      </c>
      <c r="F54" s="1481" t="s">
        <v>1044</v>
      </c>
      <c r="G54" s="1486">
        <f>2.7</f>
        <v>2.7</v>
      </c>
      <c r="H54" s="1481" t="s">
        <v>1045</v>
      </c>
      <c r="I54" s="1514">
        <f t="shared" ref="I54:I58" si="18">C54*E54*G54*365</f>
        <v>448796.69999999995</v>
      </c>
      <c r="J54" s="1481" t="s">
        <v>1044</v>
      </c>
      <c r="K54" s="1391">
        <v>0.48</v>
      </c>
      <c r="L54" s="1481" t="s">
        <v>1044</v>
      </c>
      <c r="M54" s="1516">
        <v>0.21299999999999999</v>
      </c>
      <c r="N54" s="1481" t="s">
        <v>1045</v>
      </c>
      <c r="O54" s="1514">
        <f t="shared" ref="O54:O58" si="19">(I54*K54)*M54</f>
        <v>45884.97460799999</v>
      </c>
      <c r="P54" s="1481" t="s">
        <v>1044</v>
      </c>
      <c r="Q54" s="1517">
        <v>0.67605999999999999</v>
      </c>
      <c r="R54" s="1481" t="s">
        <v>1045</v>
      </c>
      <c r="S54" s="1514">
        <f t="shared" ref="S54:S58" si="20">O54*Q54/1000</f>
        <v>31.020995933484471</v>
      </c>
      <c r="T54" s="1481" t="s">
        <v>1045</v>
      </c>
      <c r="U54" s="1518">
        <f t="shared" ref="U54:U58" si="21">S54*O$17/1000000</f>
        <v>8.6548578654421673E-4</v>
      </c>
    </row>
    <row r="55" spans="2:21" ht="11.25" x14ac:dyDescent="0.2">
      <c r="B55" s="1484" t="s">
        <v>1267</v>
      </c>
      <c r="C55" s="1485">
        <v>5</v>
      </c>
      <c r="D55" s="1481" t="s">
        <v>1044</v>
      </c>
      <c r="E55" s="1489">
        <v>15.88</v>
      </c>
      <c r="F55" s="1481" t="s">
        <v>1044</v>
      </c>
      <c r="G55" s="1486">
        <f>8.8</f>
        <v>8.8000000000000007</v>
      </c>
      <c r="H55" s="1481" t="s">
        <v>1045</v>
      </c>
      <c r="I55" s="1514">
        <f t="shared" si="18"/>
        <v>255032.80000000005</v>
      </c>
      <c r="J55" s="1481" t="s">
        <v>1044</v>
      </c>
      <c r="K55" s="1391">
        <v>0.48</v>
      </c>
      <c r="L55" s="1481" t="s">
        <v>1044</v>
      </c>
      <c r="M55" s="1516">
        <v>0.21299999999999999</v>
      </c>
      <c r="N55" s="1481" t="s">
        <v>1045</v>
      </c>
      <c r="O55" s="1514">
        <f t="shared" si="19"/>
        <v>26074.553472000003</v>
      </c>
      <c r="P55" s="1481" t="s">
        <v>1044</v>
      </c>
      <c r="Q55" s="1517">
        <v>0.67605999999999999</v>
      </c>
      <c r="R55" s="1481" t="s">
        <v>1045</v>
      </c>
      <c r="S55" s="1514">
        <f t="shared" si="20"/>
        <v>17.627962620280321</v>
      </c>
      <c r="T55" s="1481" t="s">
        <v>1045</v>
      </c>
      <c r="U55" s="1518">
        <f t="shared" si="21"/>
        <v>4.9182015710582099E-4</v>
      </c>
    </row>
    <row r="56" spans="2:21" ht="11.25" x14ac:dyDescent="0.2">
      <c r="B56" s="1484" t="s">
        <v>1268</v>
      </c>
      <c r="C56" s="1485">
        <v>4.7</v>
      </c>
      <c r="D56" s="1481" t="s">
        <v>1044</v>
      </c>
      <c r="E56" s="1489">
        <v>40.6</v>
      </c>
      <c r="F56" s="1481" t="s">
        <v>1044</v>
      </c>
      <c r="G56" s="1486">
        <f t="shared" ref="G56:G58" si="22">5.4</f>
        <v>5.4</v>
      </c>
      <c r="H56" s="1481" t="s">
        <v>1045</v>
      </c>
      <c r="I56" s="1514">
        <f t="shared" si="18"/>
        <v>376106.22000000003</v>
      </c>
      <c r="J56" s="1481" t="s">
        <v>1044</v>
      </c>
      <c r="K56" s="1391">
        <v>0.48</v>
      </c>
      <c r="L56" s="1481" t="s">
        <v>1044</v>
      </c>
      <c r="M56" s="1516">
        <v>0.21299999999999999</v>
      </c>
      <c r="N56" s="1481" t="s">
        <v>1045</v>
      </c>
      <c r="O56" s="1514">
        <f t="shared" si="19"/>
        <v>38453.099932800003</v>
      </c>
      <c r="P56" s="1481" t="s">
        <v>1044</v>
      </c>
      <c r="Q56" s="1517">
        <v>0.67605999999999999</v>
      </c>
      <c r="R56" s="1481" t="s">
        <v>1045</v>
      </c>
      <c r="S56" s="1514">
        <f t="shared" si="20"/>
        <v>25.996602740568772</v>
      </c>
      <c r="T56" s="1481" t="s">
        <v>1045</v>
      </c>
      <c r="U56" s="1518">
        <f t="shared" si="21"/>
        <v>7.253052164618687E-4</v>
      </c>
    </row>
    <row r="57" spans="2:21" ht="11.25" x14ac:dyDescent="0.2">
      <c r="B57" s="1484" t="s">
        <v>1269</v>
      </c>
      <c r="C57" s="1485">
        <v>3</v>
      </c>
      <c r="D57" s="1481" t="s">
        <v>1044</v>
      </c>
      <c r="E57" s="1489">
        <v>67.819999999999993</v>
      </c>
      <c r="F57" s="1481" t="s">
        <v>1044</v>
      </c>
      <c r="G57" s="1486">
        <f t="shared" si="22"/>
        <v>5.4</v>
      </c>
      <c r="H57" s="1481" t="s">
        <v>1045</v>
      </c>
      <c r="I57" s="1514">
        <f t="shared" si="18"/>
        <v>401019.66</v>
      </c>
      <c r="J57" s="1481" t="s">
        <v>1044</v>
      </c>
      <c r="K57" s="1391">
        <v>0.48</v>
      </c>
      <c r="L57" s="1481" t="s">
        <v>1044</v>
      </c>
      <c r="M57" s="1516">
        <v>0.21299999999999999</v>
      </c>
      <c r="N57" s="1481" t="s">
        <v>1045</v>
      </c>
      <c r="O57" s="1514">
        <f t="shared" si="19"/>
        <v>41000.250038399994</v>
      </c>
      <c r="P57" s="1481" t="s">
        <v>1044</v>
      </c>
      <c r="Q57" s="1517">
        <v>0.67605999999999999</v>
      </c>
      <c r="R57" s="1481" t="s">
        <v>1045</v>
      </c>
      <c r="S57" s="1514">
        <f t="shared" si="20"/>
        <v>27.7186290409607</v>
      </c>
      <c r="T57" s="1481" t="s">
        <v>1045</v>
      </c>
      <c r="U57" s="1518">
        <f t="shared" si="21"/>
        <v>7.7334975024280343E-4</v>
      </c>
    </row>
    <row r="58" spans="2:21" ht="11.25" x14ac:dyDescent="0.2">
      <c r="B58" s="1484" t="s">
        <v>1270</v>
      </c>
      <c r="C58" s="1485">
        <v>6</v>
      </c>
      <c r="D58" s="1529" t="s">
        <v>1044</v>
      </c>
      <c r="E58" s="1489">
        <v>90.75</v>
      </c>
      <c r="F58" s="1481" t="s">
        <v>1044</v>
      </c>
      <c r="G58" s="1486">
        <f t="shared" si="22"/>
        <v>5.4</v>
      </c>
      <c r="H58" s="1481" t="s">
        <v>1045</v>
      </c>
      <c r="I58" s="1514">
        <f t="shared" si="18"/>
        <v>1073209.5</v>
      </c>
      <c r="J58" s="1481" t="s">
        <v>1044</v>
      </c>
      <c r="K58" s="1391">
        <v>0.48</v>
      </c>
      <c r="L58" s="1481" t="s">
        <v>1044</v>
      </c>
      <c r="M58" s="1516">
        <v>0.21299999999999999</v>
      </c>
      <c r="N58" s="1481" t="s">
        <v>1045</v>
      </c>
      <c r="O58" s="1514">
        <f t="shared" si="19"/>
        <v>109724.93927999999</v>
      </c>
      <c r="P58" s="1481" t="s">
        <v>1044</v>
      </c>
      <c r="Q58" s="1517">
        <v>0.67605999999999999</v>
      </c>
      <c r="R58" s="1481" t="s">
        <v>1045</v>
      </c>
      <c r="S58" s="1514">
        <f t="shared" si="20"/>
        <v>74.180642449636792</v>
      </c>
      <c r="T58" s="1481" t="s">
        <v>1045</v>
      </c>
      <c r="U58" s="1518">
        <f t="shared" si="21"/>
        <v>2.0696399243448666E-3</v>
      </c>
    </row>
    <row r="59" spans="2:21" ht="11.25" x14ac:dyDescent="0.2">
      <c r="B59" s="1480" t="s">
        <v>1271</v>
      </c>
      <c r="C59" s="1530"/>
      <c r="D59" s="1531"/>
      <c r="E59" s="1532"/>
      <c r="F59" s="1531"/>
      <c r="G59" s="1531"/>
      <c r="H59" s="1531"/>
      <c r="I59" s="1533"/>
      <c r="J59" s="1531"/>
      <c r="K59" s="1534"/>
      <c r="L59" s="1531"/>
      <c r="M59" s="1535"/>
      <c r="N59" s="1531"/>
      <c r="O59" s="1533"/>
      <c r="P59" s="1531"/>
      <c r="R59" s="1531"/>
      <c r="S59" s="1533"/>
      <c r="T59" s="1531"/>
      <c r="U59" s="1536"/>
    </row>
    <row r="60" spans="2:21" ht="11.25" x14ac:dyDescent="0.2">
      <c r="B60" s="1484" t="s">
        <v>1272</v>
      </c>
      <c r="C60" s="1537"/>
      <c r="D60" s="1538"/>
      <c r="E60" s="1539"/>
      <c r="F60" s="1538"/>
      <c r="G60" s="1538"/>
      <c r="H60" s="1538"/>
      <c r="I60" s="1540"/>
      <c r="J60" s="1538"/>
      <c r="K60" s="1541"/>
      <c r="L60" s="1538"/>
      <c r="M60" s="1542"/>
      <c r="N60" s="1538"/>
      <c r="O60" s="1540"/>
      <c r="P60" s="1538"/>
      <c r="Q60" s="1543"/>
      <c r="R60" s="1538"/>
      <c r="S60" s="1540"/>
      <c r="T60" s="1538"/>
      <c r="U60" s="1544"/>
    </row>
    <row r="61" spans="2:21" ht="11.25" x14ac:dyDescent="0.2">
      <c r="B61" s="1484" t="s">
        <v>1273</v>
      </c>
      <c r="C61" s="1545">
        <v>2289</v>
      </c>
      <c r="D61" s="1546" t="s">
        <v>1044</v>
      </c>
      <c r="E61" s="1547">
        <v>1.8</v>
      </c>
      <c r="F61" s="1546" t="s">
        <v>1044</v>
      </c>
      <c r="G61" s="1546">
        <f t="shared" ref="G61:G62" si="23">10.2</f>
        <v>10.199999999999999</v>
      </c>
      <c r="H61" s="1546" t="s">
        <v>1045</v>
      </c>
      <c r="I61" s="1548">
        <f t="shared" ref="I61:I65" si="24">C61*E61*G61*365</f>
        <v>15339504.599999998</v>
      </c>
      <c r="J61" s="1546" t="s">
        <v>1044</v>
      </c>
      <c r="K61" s="1549">
        <v>0.39</v>
      </c>
      <c r="L61" s="1546" t="s">
        <v>1044</v>
      </c>
      <c r="M61" s="1550">
        <v>7.0000000000000001E-3</v>
      </c>
      <c r="N61" s="1546" t="s">
        <v>1045</v>
      </c>
      <c r="O61" s="1548">
        <f t="shared" ref="O61:O65" si="25">(I61*K61)*M61</f>
        <v>41876.847558000001</v>
      </c>
      <c r="P61" s="1546" t="s">
        <v>1044</v>
      </c>
      <c r="Q61" s="1551">
        <v>0.67605999999999999</v>
      </c>
      <c r="R61" s="1546" t="s">
        <v>1045</v>
      </c>
      <c r="S61" s="1514">
        <f t="shared" ref="S61:S65" si="26">O61*Q61/1000</f>
        <v>28.311261560061482</v>
      </c>
      <c r="T61" s="1546" t="s">
        <v>1045</v>
      </c>
      <c r="U61" s="1518">
        <f t="shared" ref="U61:U65" si="27">S61*O$17/1000000</f>
        <v>7.8988419752571532E-4</v>
      </c>
    </row>
    <row r="62" spans="2:21" ht="11.25" x14ac:dyDescent="0.2">
      <c r="B62" s="1484" t="s">
        <v>1274</v>
      </c>
      <c r="C62" s="1552">
        <v>1242</v>
      </c>
      <c r="D62" s="1481" t="s">
        <v>1044</v>
      </c>
      <c r="E62" s="1489">
        <v>1.8</v>
      </c>
      <c r="F62" s="1481" t="s">
        <v>1044</v>
      </c>
      <c r="G62" s="1481">
        <f t="shared" si="23"/>
        <v>10.199999999999999</v>
      </c>
      <c r="H62" s="1481" t="s">
        <v>1045</v>
      </c>
      <c r="I62" s="1514">
        <f t="shared" si="24"/>
        <v>8323138.7999999998</v>
      </c>
      <c r="J62" s="1481" t="s">
        <v>1044</v>
      </c>
      <c r="K62" s="1391">
        <v>0.39</v>
      </c>
      <c r="L62" s="1481" t="s">
        <v>1044</v>
      </c>
      <c r="M62" s="1516">
        <v>7.0000000000000001E-3</v>
      </c>
      <c r="N62" s="1481" t="s">
        <v>1045</v>
      </c>
      <c r="O62" s="1514">
        <f t="shared" si="25"/>
        <v>22722.168924000001</v>
      </c>
      <c r="P62" s="1481" t="s">
        <v>1044</v>
      </c>
      <c r="Q62" s="1517">
        <v>0.67605999999999999</v>
      </c>
      <c r="R62" s="1481" t="s">
        <v>1045</v>
      </c>
      <c r="S62" s="1514">
        <f t="shared" si="26"/>
        <v>15.361549522759439</v>
      </c>
      <c r="T62" s="1481" t="s">
        <v>1045</v>
      </c>
      <c r="U62" s="1518">
        <f t="shared" si="27"/>
        <v>4.2858723168498833E-4</v>
      </c>
    </row>
    <row r="63" spans="2:21" ht="11.25" x14ac:dyDescent="0.2">
      <c r="B63" s="1484" t="s">
        <v>1275</v>
      </c>
      <c r="C63" s="1553">
        <v>10</v>
      </c>
      <c r="D63" s="1481" t="s">
        <v>1044</v>
      </c>
      <c r="E63" s="1489">
        <v>1.8</v>
      </c>
      <c r="F63" s="1481" t="s">
        <v>1044</v>
      </c>
      <c r="G63" s="1486">
        <f>11</f>
        <v>11</v>
      </c>
      <c r="H63" s="1481" t="s">
        <v>1045</v>
      </c>
      <c r="I63" s="1514">
        <f t="shared" si="24"/>
        <v>72270</v>
      </c>
      <c r="J63" s="1481" t="s">
        <v>1044</v>
      </c>
      <c r="K63" s="1391">
        <v>0.39</v>
      </c>
      <c r="L63" s="1481" t="s">
        <v>1044</v>
      </c>
      <c r="M63" s="1516">
        <v>7.0000000000000001E-3</v>
      </c>
      <c r="N63" s="1481" t="s">
        <v>1045</v>
      </c>
      <c r="O63" s="1514">
        <f t="shared" si="25"/>
        <v>197.2971</v>
      </c>
      <c r="P63" s="1481" t="s">
        <v>1044</v>
      </c>
      <c r="Q63" s="1517">
        <v>0.67605999999999999</v>
      </c>
      <c r="R63" s="1481" t="s">
        <v>1045</v>
      </c>
      <c r="S63" s="1514">
        <f t="shared" si="26"/>
        <v>0.13338467742599999</v>
      </c>
      <c r="T63" s="1481" t="s">
        <v>1045</v>
      </c>
      <c r="U63" s="1518">
        <f t="shared" si="27"/>
        <v>3.7214325001853992E-6</v>
      </c>
    </row>
    <row r="64" spans="2:21" ht="11.25" x14ac:dyDescent="0.2">
      <c r="B64" s="1484" t="s">
        <v>1276</v>
      </c>
      <c r="C64" s="1552">
        <v>55600</v>
      </c>
      <c r="D64" s="1481" t="s">
        <v>1044</v>
      </c>
      <c r="E64" s="1489">
        <v>0.9</v>
      </c>
      <c r="F64" s="1481" t="s">
        <v>1044</v>
      </c>
      <c r="G64" s="1486">
        <f>17</f>
        <v>17</v>
      </c>
      <c r="H64" s="1481" t="s">
        <v>1045</v>
      </c>
      <c r="I64" s="1514">
        <f t="shared" si="24"/>
        <v>310498200</v>
      </c>
      <c r="J64" s="1481" t="s">
        <v>1044</v>
      </c>
      <c r="K64" s="1391">
        <v>0.36</v>
      </c>
      <c r="L64" s="1481" t="s">
        <v>1044</v>
      </c>
      <c r="M64" s="1517">
        <f>0.015</f>
        <v>1.4999999999999999E-2</v>
      </c>
      <c r="N64" s="1481" t="s">
        <v>1045</v>
      </c>
      <c r="O64" s="1514">
        <f t="shared" si="25"/>
        <v>1676690.28</v>
      </c>
      <c r="P64" s="1481" t="s">
        <v>1044</v>
      </c>
      <c r="Q64" s="1517">
        <v>0.67605999999999999</v>
      </c>
      <c r="R64" s="1481" t="s">
        <v>1045</v>
      </c>
      <c r="S64" s="1514">
        <f t="shared" si="26"/>
        <v>1133.5432306968</v>
      </c>
      <c r="T64" s="1481" t="s">
        <v>1045</v>
      </c>
      <c r="U64" s="1518">
        <f t="shared" si="27"/>
        <v>3.1625856136440721E-2</v>
      </c>
    </row>
    <row r="65" spans="1:23" ht="11.25" x14ac:dyDescent="0.2">
      <c r="B65" s="1484" t="s">
        <v>1277</v>
      </c>
      <c r="C65" s="1553">
        <v>25.6</v>
      </c>
      <c r="D65" s="1481" t="s">
        <v>1044</v>
      </c>
      <c r="E65" s="1489">
        <v>6.8</v>
      </c>
      <c r="F65" s="1481" t="s">
        <v>1044</v>
      </c>
      <c r="G65" s="1481">
        <f>8.5</f>
        <v>8.5</v>
      </c>
      <c r="H65" s="1481" t="s">
        <v>1045</v>
      </c>
      <c r="I65" s="1514">
        <f t="shared" si="24"/>
        <v>540083.20000000007</v>
      </c>
      <c r="J65" s="1481" t="s">
        <v>1044</v>
      </c>
      <c r="K65" s="1391">
        <v>0.36</v>
      </c>
      <c r="L65" s="1481" t="s">
        <v>1044</v>
      </c>
      <c r="M65" s="1517">
        <v>1.4999999999999999E-2</v>
      </c>
      <c r="N65" s="1481" t="s">
        <v>1045</v>
      </c>
      <c r="O65" s="1514">
        <f t="shared" si="25"/>
        <v>2916.4492800000003</v>
      </c>
      <c r="P65" s="1481" t="s">
        <v>1044</v>
      </c>
      <c r="Q65" s="1517">
        <v>0.67605999999999999</v>
      </c>
      <c r="R65" s="1481" t="s">
        <v>1045</v>
      </c>
      <c r="S65" s="1514">
        <f t="shared" si="26"/>
        <v>1.9716947002368002</v>
      </c>
      <c r="T65" s="1481" t="s">
        <v>1045</v>
      </c>
      <c r="U65" s="1518">
        <f t="shared" si="27"/>
        <v>5.5010282136606717E-5</v>
      </c>
    </row>
    <row r="66" spans="1:23" ht="11.25" x14ac:dyDescent="0.2">
      <c r="B66" s="1480" t="s">
        <v>56</v>
      </c>
      <c r="C66" s="1488"/>
      <c r="D66" s="1511"/>
      <c r="E66" s="1520"/>
      <c r="F66" s="1512"/>
      <c r="G66" s="1512"/>
      <c r="H66" s="1512"/>
      <c r="I66" s="1522"/>
      <c r="J66" s="1512"/>
      <c r="K66" s="1523"/>
      <c r="L66" s="1512"/>
      <c r="M66" s="1554"/>
      <c r="N66" s="1512"/>
      <c r="O66" s="1522"/>
      <c r="P66" s="1512"/>
      <c r="R66" s="1512"/>
      <c r="S66" s="1522"/>
      <c r="T66" s="1512"/>
      <c r="U66" s="1524"/>
    </row>
    <row r="67" spans="1:23" ht="11.25" x14ac:dyDescent="0.2">
      <c r="B67" s="1484" t="s">
        <v>1280</v>
      </c>
      <c r="C67" s="1485">
        <v>5.4</v>
      </c>
      <c r="D67" s="1481" t="s">
        <v>1044</v>
      </c>
      <c r="E67" s="1489">
        <v>25</v>
      </c>
      <c r="F67" s="1481" t="s">
        <v>1044</v>
      </c>
      <c r="G67" s="1486">
        <f t="shared" ref="G67:G68" si="28">8.3</f>
        <v>8.3000000000000007</v>
      </c>
      <c r="H67" s="1481" t="s">
        <v>1045</v>
      </c>
      <c r="I67" s="1514">
        <f t="shared" ref="I67:I70" si="29">C67*E67*G67*365</f>
        <v>408982.5</v>
      </c>
      <c r="J67" s="1481" t="s">
        <v>1044</v>
      </c>
      <c r="K67" s="1391">
        <v>0.36056372132540354</v>
      </c>
      <c r="L67" s="1481" t="s">
        <v>1044</v>
      </c>
      <c r="M67" s="1517">
        <f>0.011</f>
        <v>1.0999999999999999E-2</v>
      </c>
      <c r="N67" s="1481" t="s">
        <v>1045</v>
      </c>
      <c r="O67" s="1514">
        <f t="shared" ref="O67:O70" si="30">(I67*K67)*M67</f>
        <v>1622.1067737266353</v>
      </c>
      <c r="P67" s="1481" t="s">
        <v>1044</v>
      </c>
      <c r="Q67" s="1517">
        <v>0.67605999999999999</v>
      </c>
      <c r="R67" s="1481" t="s">
        <v>1045</v>
      </c>
      <c r="S67" s="1514">
        <f t="shared" ref="S67:S70" si="31">O67*Q67/1000</f>
        <v>1.0966415054456291</v>
      </c>
      <c r="T67" s="1481" t="s">
        <v>1045</v>
      </c>
      <c r="U67" s="1518">
        <f t="shared" ref="U67:U70" si="32">S67*O$17/1000000</f>
        <v>3.0596298001933049E-5</v>
      </c>
    </row>
    <row r="68" spans="1:23" ht="11.25" x14ac:dyDescent="0.2">
      <c r="B68" s="1484" t="s">
        <v>1282</v>
      </c>
      <c r="C68" s="1485">
        <v>5.4</v>
      </c>
      <c r="D68" s="1481" t="s">
        <v>1044</v>
      </c>
      <c r="E68" s="1489">
        <v>80</v>
      </c>
      <c r="F68" s="1481" t="s">
        <v>1044</v>
      </c>
      <c r="G68" s="1486">
        <f t="shared" si="28"/>
        <v>8.3000000000000007</v>
      </c>
      <c r="H68" s="1481" t="s">
        <v>1045</v>
      </c>
      <c r="I68" s="1514">
        <f t="shared" si="29"/>
        <v>1308744.0000000002</v>
      </c>
      <c r="J68" s="1481" t="s">
        <v>1044</v>
      </c>
      <c r="K68" s="1391">
        <v>0.1899677145284622</v>
      </c>
      <c r="L68" s="1481" t="s">
        <v>1044</v>
      </c>
      <c r="M68" s="1517">
        <v>3.0000000000000001E-3</v>
      </c>
      <c r="N68" s="1481" t="s">
        <v>1045</v>
      </c>
      <c r="O68" s="1514">
        <f t="shared" si="30"/>
        <v>745.85731974851342</v>
      </c>
      <c r="P68" s="1481" t="s">
        <v>1044</v>
      </c>
      <c r="Q68" s="1517">
        <v>0.67605999999999999</v>
      </c>
      <c r="R68" s="1481" t="s">
        <v>1045</v>
      </c>
      <c r="S68" s="1514">
        <f t="shared" si="31"/>
        <v>0.50424429958918005</v>
      </c>
      <c r="T68" s="1481" t="s">
        <v>1045</v>
      </c>
      <c r="U68" s="1518">
        <f t="shared" si="32"/>
        <v>1.4068415958538121E-5</v>
      </c>
    </row>
    <row r="69" spans="1:23" ht="11.25" x14ac:dyDescent="0.2">
      <c r="B69" s="1484" t="s">
        <v>1256</v>
      </c>
      <c r="C69" s="1485">
        <v>16.899999999999999</v>
      </c>
      <c r="D69" s="1481" t="s">
        <v>1044</v>
      </c>
      <c r="E69" s="1489">
        <v>64</v>
      </c>
      <c r="F69" s="1481" t="s">
        <v>1044</v>
      </c>
      <c r="G69" s="1486">
        <f>9.5</f>
        <v>9.5</v>
      </c>
      <c r="H69" s="1481" t="s">
        <v>1045</v>
      </c>
      <c r="I69" s="1514">
        <f t="shared" si="29"/>
        <v>3750447.9999999995</v>
      </c>
      <c r="J69" s="1481" t="s">
        <v>1044</v>
      </c>
      <c r="K69" s="1391">
        <v>0.16997111299915041</v>
      </c>
      <c r="L69" s="1481" t="s">
        <v>1044</v>
      </c>
      <c r="M69" s="1517">
        <f t="shared" ref="M69:M70" si="33">0.011</f>
        <v>1.0999999999999999E-2</v>
      </c>
      <c r="N69" s="1481" t="s">
        <v>1045</v>
      </c>
      <c r="O69" s="1514">
        <f t="shared" si="30"/>
        <v>7012.1460288598137</v>
      </c>
      <c r="P69" s="1481" t="s">
        <v>1044</v>
      </c>
      <c r="Q69" s="1517">
        <v>0.67605999999999999</v>
      </c>
      <c r="R69" s="1481" t="s">
        <v>1045</v>
      </c>
      <c r="S69" s="1514">
        <f t="shared" si="31"/>
        <v>4.7406314442709654</v>
      </c>
      <c r="T69" s="1481" t="s">
        <v>1045</v>
      </c>
      <c r="U69" s="1518">
        <f t="shared" si="32"/>
        <v>1.3226361729515992E-4</v>
      </c>
    </row>
    <row r="70" spans="1:23" ht="11.25" x14ac:dyDescent="0.2">
      <c r="B70" s="1484" t="s">
        <v>1258</v>
      </c>
      <c r="C70" s="1485">
        <v>26.6</v>
      </c>
      <c r="D70" s="1481" t="s">
        <v>1044</v>
      </c>
      <c r="E70" s="1489">
        <v>450</v>
      </c>
      <c r="F70" s="1481" t="s">
        <v>1044</v>
      </c>
      <c r="G70" s="1481">
        <f>6.1</f>
        <v>6.1</v>
      </c>
      <c r="H70" s="1481" t="s">
        <v>1045</v>
      </c>
      <c r="I70" s="1514">
        <f t="shared" si="29"/>
        <v>26651205</v>
      </c>
      <c r="J70" s="1481" t="s">
        <v>1044</v>
      </c>
      <c r="K70" s="1391">
        <v>0.33056881903143587</v>
      </c>
      <c r="L70" s="1481" t="s">
        <v>1044</v>
      </c>
      <c r="M70" s="1517">
        <f t="shared" si="33"/>
        <v>1.0999999999999999E-2</v>
      </c>
      <c r="N70" s="1481" t="s">
        <v>1045</v>
      </c>
      <c r="O70" s="1514">
        <f t="shared" si="30"/>
        <v>96910.630988761681</v>
      </c>
      <c r="P70" s="1481" t="s">
        <v>1044</v>
      </c>
      <c r="Q70" s="1517">
        <v>0.67605999999999999</v>
      </c>
      <c r="R70" s="1481" t="s">
        <v>1045</v>
      </c>
      <c r="S70" s="1514">
        <f t="shared" si="31"/>
        <v>65.517401186262219</v>
      </c>
      <c r="T70" s="1481" t="s">
        <v>1045</v>
      </c>
      <c r="U70" s="1518">
        <f t="shared" si="32"/>
        <v>1.827935493096716E-3</v>
      </c>
    </row>
    <row r="71" spans="1:23" ht="11.25" x14ac:dyDescent="0.2">
      <c r="B71" s="1490" t="s">
        <v>575</v>
      </c>
      <c r="C71" s="1494"/>
      <c r="D71" s="1494"/>
      <c r="E71" s="1491"/>
      <c r="F71" s="1494"/>
      <c r="G71" s="1494"/>
      <c r="H71" s="1494"/>
      <c r="I71" s="1494"/>
      <c r="J71" s="1491"/>
      <c r="K71" s="1491"/>
      <c r="L71" s="1491"/>
      <c r="M71" s="1491"/>
      <c r="N71" s="1491"/>
      <c r="O71" s="1555"/>
      <c r="P71" s="1491"/>
      <c r="Q71" s="1491"/>
      <c r="R71" s="1491"/>
      <c r="S71" s="1555">
        <f>SUM(S42:S70)</f>
        <v>6380.8342114882325</v>
      </c>
      <c r="T71" s="1494"/>
      <c r="U71" s="1556">
        <f>SUM(U42:U70)</f>
        <v>0.17802527450052164</v>
      </c>
    </row>
    <row r="72" spans="1:23" ht="12.75" x14ac:dyDescent="0.2">
      <c r="A72" s="871"/>
      <c r="B72" s="1496"/>
      <c r="C72" s="873"/>
      <c r="D72" s="873"/>
      <c r="E72" s="901"/>
      <c r="F72" s="873"/>
      <c r="G72" s="873"/>
      <c r="H72" s="873"/>
      <c r="I72" s="873"/>
      <c r="J72" s="974"/>
      <c r="K72" s="974"/>
      <c r="L72" s="974"/>
      <c r="M72" s="974"/>
      <c r="N72" s="974"/>
      <c r="O72" s="1557"/>
      <c r="P72" s="974"/>
      <c r="Q72" s="1557"/>
      <c r="R72" s="974"/>
      <c r="S72" s="1558"/>
      <c r="T72" s="974"/>
      <c r="U72" s="1558"/>
      <c r="V72" s="873"/>
      <c r="W72" s="1558"/>
    </row>
    <row r="73" spans="1:23" ht="11.25" x14ac:dyDescent="0.2">
      <c r="B73" s="1496"/>
      <c r="C73" s="974"/>
      <c r="D73" s="974"/>
      <c r="E73" s="974"/>
      <c r="F73" s="974"/>
      <c r="G73" s="1497"/>
      <c r="H73" s="874"/>
      <c r="I73" s="879"/>
      <c r="J73" s="874"/>
      <c r="K73" s="878"/>
      <c r="L73" s="871"/>
      <c r="M73" s="878"/>
      <c r="N73" s="871"/>
      <c r="O73" s="871"/>
      <c r="P73" s="871"/>
      <c r="Q73" s="871"/>
      <c r="R73" s="871"/>
      <c r="S73" s="871"/>
      <c r="T73" s="871"/>
      <c r="U73" s="871"/>
      <c r="V73" s="871"/>
      <c r="W73" s="871"/>
    </row>
    <row r="74" spans="1:23" ht="15.75" x14ac:dyDescent="0.25">
      <c r="B74" s="1473" t="s">
        <v>1283</v>
      </c>
      <c r="C74" s="1559"/>
      <c r="D74" s="1559"/>
      <c r="E74" s="1559"/>
      <c r="F74" s="1559"/>
      <c r="G74" s="1560"/>
      <c r="H74" s="1561"/>
      <c r="I74" s="1562"/>
      <c r="J74" s="1561"/>
      <c r="K74" s="1563"/>
      <c r="L74" s="1474"/>
      <c r="M74" s="1563"/>
      <c r="N74" s="1474"/>
      <c r="O74" s="1474"/>
      <c r="P74" s="1474"/>
      <c r="Q74" s="1474"/>
      <c r="R74" s="1474"/>
      <c r="S74" s="1475"/>
      <c r="V74" s="871"/>
      <c r="W74" s="871"/>
    </row>
    <row r="75" spans="1:23" ht="57.75" x14ac:dyDescent="0.25">
      <c r="B75" s="1428"/>
      <c r="C75" s="1884" t="s">
        <v>1236</v>
      </c>
      <c r="D75" s="1813"/>
      <c r="E75" s="1500" t="s">
        <v>1284</v>
      </c>
      <c r="F75" s="1813"/>
      <c r="G75" s="1500" t="s">
        <v>1285</v>
      </c>
      <c r="H75" s="1500"/>
      <c r="I75" s="1500" t="s">
        <v>1286</v>
      </c>
      <c r="J75" s="1813"/>
      <c r="K75" s="1500" t="s">
        <v>1900</v>
      </c>
      <c r="L75" s="1501"/>
      <c r="M75" s="1500" t="s">
        <v>1901</v>
      </c>
      <c r="N75" s="1813"/>
      <c r="O75" s="1500" t="s">
        <v>1902</v>
      </c>
      <c r="P75" s="1813"/>
      <c r="Q75" s="1500" t="s">
        <v>1287</v>
      </c>
      <c r="R75" s="1813"/>
      <c r="S75" s="1656" t="s">
        <v>1288</v>
      </c>
    </row>
    <row r="76" spans="1:23" ht="11.25" x14ac:dyDescent="0.2">
      <c r="B76" s="1502" t="s">
        <v>1289</v>
      </c>
      <c r="C76" s="1564"/>
      <c r="D76" s="1565"/>
      <c r="E76" s="1566"/>
      <c r="F76" s="1543"/>
      <c r="G76" s="1543"/>
      <c r="H76" s="1543"/>
      <c r="I76" s="1566"/>
      <c r="J76" s="1543"/>
      <c r="K76" s="1543"/>
      <c r="L76" s="1567"/>
      <c r="M76" s="1543"/>
      <c r="N76" s="1543"/>
      <c r="O76" s="1543"/>
      <c r="P76" s="1543"/>
      <c r="Q76" s="1543"/>
      <c r="R76" s="1543"/>
      <c r="S76" s="1568"/>
    </row>
    <row r="77" spans="1:23" ht="11.25" x14ac:dyDescent="0.2">
      <c r="B77" s="1484" t="s">
        <v>1241</v>
      </c>
      <c r="C77" s="1485">
        <v>40</v>
      </c>
      <c r="D77" s="1481"/>
      <c r="E77" s="1514">
        <v>5990917</v>
      </c>
      <c r="F77" s="1482"/>
      <c r="G77" s="1514">
        <v>1735211</v>
      </c>
      <c r="H77" s="876"/>
      <c r="I77" s="1514">
        <v>2746043.2880000002</v>
      </c>
      <c r="J77" s="1482"/>
      <c r="K77" s="1514">
        <f t="shared" ref="K77:K78" si="34">I77*0</f>
        <v>0</v>
      </c>
      <c r="L77" s="1481" t="s">
        <v>1290</v>
      </c>
      <c r="M77" s="1514">
        <f t="shared" ref="M77:M78" si="35">I77*0.02</f>
        <v>54920.865760000008</v>
      </c>
      <c r="N77" s="1514" t="s">
        <v>1045</v>
      </c>
      <c r="O77" s="1514">
        <f t="shared" ref="O77:O78" si="36">(K77+M77)*(44/28)</f>
        <v>86304.217622857148</v>
      </c>
      <c r="P77" s="876" t="s">
        <v>1045</v>
      </c>
      <c r="Q77" s="1514">
        <f t="shared" ref="Q77:Q78" si="37">O77/1000</f>
        <v>86.304217622857152</v>
      </c>
      <c r="R77" s="1514" t="s">
        <v>1045</v>
      </c>
      <c r="S77" s="1518">
        <f t="shared" ref="S77:S78" si="38">Q77*O$18/1000000</f>
        <v>2.3561051411040004E-2</v>
      </c>
      <c r="W77" s="883"/>
    </row>
    <row r="78" spans="1:23" ht="11.25" x14ac:dyDescent="0.2">
      <c r="B78" s="1484" t="s">
        <v>1242</v>
      </c>
      <c r="C78" s="1485">
        <v>23</v>
      </c>
      <c r="D78" s="1481"/>
      <c r="E78" s="1514">
        <v>1588949</v>
      </c>
      <c r="F78" s="1482"/>
      <c r="G78" s="1514">
        <v>460224</v>
      </c>
      <c r="H78" s="876"/>
      <c r="I78" s="1514">
        <v>1588948.656</v>
      </c>
      <c r="J78" s="1482"/>
      <c r="K78" s="1514">
        <f t="shared" si="34"/>
        <v>0</v>
      </c>
      <c r="L78" s="1481" t="s">
        <v>1290</v>
      </c>
      <c r="M78" s="1514">
        <f t="shared" si="35"/>
        <v>31778.973119999999</v>
      </c>
      <c r="N78" s="1514" t="s">
        <v>1045</v>
      </c>
      <c r="O78" s="1514">
        <f t="shared" si="36"/>
        <v>49938.38633142857</v>
      </c>
      <c r="P78" s="876" t="s">
        <v>1045</v>
      </c>
      <c r="Q78" s="1514">
        <f t="shared" si="37"/>
        <v>49.938386331428568</v>
      </c>
      <c r="R78" s="1514" t="s">
        <v>1045</v>
      </c>
      <c r="S78" s="1518">
        <f t="shared" si="38"/>
        <v>1.3633179468479998E-2</v>
      </c>
      <c r="W78" s="883"/>
    </row>
    <row r="79" spans="1:23" ht="11.25" x14ac:dyDescent="0.2">
      <c r="B79" s="1480" t="s">
        <v>1245</v>
      </c>
      <c r="C79" s="1569"/>
      <c r="D79" s="1512"/>
      <c r="E79" s="1570"/>
      <c r="F79" s="1571"/>
      <c r="G79" s="1522"/>
      <c r="H79" s="1572"/>
      <c r="I79" s="1522"/>
      <c r="J79" s="1571"/>
      <c r="K79" s="1522" t="s">
        <v>6</v>
      </c>
      <c r="L79" s="1512"/>
      <c r="M79" s="1512"/>
      <c r="N79" s="1522"/>
      <c r="O79" s="1522"/>
      <c r="P79" s="1572"/>
      <c r="Q79" s="1522"/>
      <c r="R79" s="1522"/>
      <c r="S79" s="1573"/>
    </row>
    <row r="80" spans="1:23" ht="11.25" x14ac:dyDescent="0.2">
      <c r="B80" s="1484" t="s">
        <v>1252</v>
      </c>
      <c r="C80" s="1485">
        <v>2.1</v>
      </c>
      <c r="D80" s="1481"/>
      <c r="E80" s="1514">
        <v>125586</v>
      </c>
      <c r="F80" s="1482"/>
      <c r="G80" s="1514" t="s">
        <v>1291</v>
      </c>
      <c r="H80" s="876"/>
      <c r="I80" s="1514">
        <v>125586.41160000001</v>
      </c>
      <c r="J80" s="1482"/>
      <c r="K80" s="1514" t="s">
        <v>1291</v>
      </c>
      <c r="L80" s="1481" t="s">
        <v>1290</v>
      </c>
      <c r="M80" s="1514">
        <f t="shared" ref="M80:M81" si="39">I80*0.02</f>
        <v>2511.7282320000004</v>
      </c>
      <c r="N80" s="1514" t="s">
        <v>1045</v>
      </c>
      <c r="O80" s="1514">
        <f t="shared" ref="O80:O81" si="40">M80*(44/28)</f>
        <v>3947.001507428572</v>
      </c>
      <c r="P80" s="876" t="s">
        <v>1045</v>
      </c>
      <c r="Q80" s="1514">
        <f t="shared" ref="Q80:Q81" si="41">O80/1000</f>
        <v>3.9470015074285723</v>
      </c>
      <c r="R80" s="1514" t="s">
        <v>1045</v>
      </c>
      <c r="S80" s="1518">
        <f t="shared" ref="S80:S81" si="42">Q80*O$18/1000000</f>
        <v>1.0775314115280003E-3</v>
      </c>
      <c r="W80" s="883"/>
    </row>
    <row r="81" spans="2:23" ht="11.25" x14ac:dyDescent="0.2">
      <c r="B81" s="1484" t="s">
        <v>1253</v>
      </c>
      <c r="C81" s="1485">
        <v>3.9</v>
      </c>
      <c r="D81" s="1481"/>
      <c r="E81" s="1514">
        <v>234068</v>
      </c>
      <c r="F81" s="1482"/>
      <c r="G81" s="1514" t="s">
        <v>1291</v>
      </c>
      <c r="H81" s="876"/>
      <c r="I81" s="1514">
        <v>234068.30929999999</v>
      </c>
      <c r="J81" s="1482"/>
      <c r="K81" s="1514" t="s">
        <v>1291</v>
      </c>
      <c r="L81" s="1481" t="s">
        <v>1290</v>
      </c>
      <c r="M81" s="1514">
        <f t="shared" si="39"/>
        <v>4681.3661860000002</v>
      </c>
      <c r="N81" s="1514" t="s">
        <v>1045</v>
      </c>
      <c r="O81" s="1514">
        <f t="shared" si="40"/>
        <v>7356.4325779999999</v>
      </c>
      <c r="P81" s="876" t="s">
        <v>1045</v>
      </c>
      <c r="Q81" s="1514">
        <f t="shared" si="41"/>
        <v>7.3564325779999997</v>
      </c>
      <c r="R81" s="1514" t="s">
        <v>1045</v>
      </c>
      <c r="S81" s="1518">
        <f t="shared" si="42"/>
        <v>2.008306093794E-3</v>
      </c>
      <c r="W81" s="883"/>
    </row>
    <row r="82" spans="2:23" ht="11.25" x14ac:dyDescent="0.2">
      <c r="B82" s="1480" t="s">
        <v>1257</v>
      </c>
      <c r="C82" s="1569"/>
      <c r="D82" s="1512"/>
      <c r="E82" s="1570"/>
      <c r="F82" s="1571"/>
      <c r="G82" s="1574"/>
      <c r="H82" s="1572"/>
      <c r="I82" s="1522"/>
      <c r="J82" s="1571"/>
      <c r="K82" s="1522" t="s">
        <v>6</v>
      </c>
      <c r="L82" s="1512"/>
      <c r="M82" s="1522"/>
      <c r="N82" s="1522"/>
      <c r="O82" s="1522"/>
      <c r="P82" s="1572"/>
      <c r="Q82" s="1522"/>
      <c r="R82" s="1522"/>
      <c r="S82" s="1573"/>
    </row>
    <row r="83" spans="2:23" ht="11.25" x14ac:dyDescent="0.2">
      <c r="B83" s="1484" t="s">
        <v>1266</v>
      </c>
      <c r="C83" s="1485">
        <v>2.2999999999999998</v>
      </c>
      <c r="D83" s="1481"/>
      <c r="E83" s="1514">
        <v>33660</v>
      </c>
      <c r="F83" s="1482"/>
      <c r="G83" s="1514">
        <f>19154</f>
        <v>19154</v>
      </c>
      <c r="H83" s="876"/>
      <c r="I83" s="1514">
        <v>0</v>
      </c>
      <c r="J83" s="1482"/>
      <c r="K83" s="1514">
        <f t="shared" ref="K83:K87" si="43">I83*0</f>
        <v>0</v>
      </c>
      <c r="L83" s="1481" t="s">
        <v>1290</v>
      </c>
      <c r="M83" s="1514">
        <v>0</v>
      </c>
      <c r="N83" s="1514" t="s">
        <v>1045</v>
      </c>
      <c r="O83" s="1514">
        <f t="shared" ref="O83:O87" si="44">(K83+M83)*(44/28)</f>
        <v>0</v>
      </c>
      <c r="P83" s="876" t="s">
        <v>1045</v>
      </c>
      <c r="Q83" s="1514">
        <f t="shared" ref="Q83:Q87" si="45">O83/1000</f>
        <v>0</v>
      </c>
      <c r="R83" s="1514" t="s">
        <v>1045</v>
      </c>
      <c r="S83" s="1518">
        <f t="shared" ref="S83:S87" si="46">Q83*O$18/1000000</f>
        <v>0</v>
      </c>
      <c r="W83" s="883"/>
    </row>
    <row r="84" spans="2:23" ht="11.25" x14ac:dyDescent="0.2">
      <c r="B84" s="1484" t="s">
        <v>1267</v>
      </c>
      <c r="C84" s="1485">
        <v>5</v>
      </c>
      <c r="D84" s="1481"/>
      <c r="E84" s="1514">
        <v>26663</v>
      </c>
      <c r="F84" s="1482"/>
      <c r="G84" s="1514">
        <f>15172</f>
        <v>15172</v>
      </c>
      <c r="H84" s="876"/>
      <c r="I84" s="1514">
        <v>0</v>
      </c>
      <c r="J84" s="1482"/>
      <c r="K84" s="1514">
        <f t="shared" si="43"/>
        <v>0</v>
      </c>
      <c r="L84" s="1481" t="s">
        <v>1290</v>
      </c>
      <c r="M84" s="1514">
        <v>0</v>
      </c>
      <c r="N84" s="1514" t="s">
        <v>1045</v>
      </c>
      <c r="O84" s="1514">
        <f t="shared" si="44"/>
        <v>0</v>
      </c>
      <c r="P84" s="876" t="s">
        <v>1045</v>
      </c>
      <c r="Q84" s="1514">
        <f t="shared" si="45"/>
        <v>0</v>
      </c>
      <c r="R84" s="1514" t="s">
        <v>1045</v>
      </c>
      <c r="S84" s="1518">
        <f t="shared" si="46"/>
        <v>0</v>
      </c>
      <c r="W84" s="883"/>
    </row>
    <row r="85" spans="2:23" ht="11.25" x14ac:dyDescent="0.2">
      <c r="B85" s="1484" t="s">
        <v>1268</v>
      </c>
      <c r="C85" s="1485">
        <v>4.7</v>
      </c>
      <c r="D85" s="1481"/>
      <c r="E85" s="1514">
        <v>37611</v>
      </c>
      <c r="F85" s="1482"/>
      <c r="G85" s="1514">
        <f>21402</f>
        <v>21402</v>
      </c>
      <c r="H85" s="876"/>
      <c r="I85" s="1514">
        <v>0</v>
      </c>
      <c r="J85" s="1482"/>
      <c r="K85" s="1514">
        <f t="shared" si="43"/>
        <v>0</v>
      </c>
      <c r="L85" s="1481" t="s">
        <v>1290</v>
      </c>
      <c r="M85" s="1514">
        <v>0</v>
      </c>
      <c r="N85" s="1514" t="s">
        <v>1045</v>
      </c>
      <c r="O85" s="1514">
        <f t="shared" si="44"/>
        <v>0</v>
      </c>
      <c r="P85" s="876" t="s">
        <v>1045</v>
      </c>
      <c r="Q85" s="1514">
        <f t="shared" si="45"/>
        <v>0</v>
      </c>
      <c r="R85" s="1514" t="s">
        <v>1045</v>
      </c>
      <c r="S85" s="1518">
        <f t="shared" si="46"/>
        <v>0</v>
      </c>
      <c r="W85" s="883"/>
    </row>
    <row r="86" spans="2:23" ht="11.25" x14ac:dyDescent="0.2">
      <c r="B86" s="1484" t="s">
        <v>1269</v>
      </c>
      <c r="C86" s="1485">
        <v>3</v>
      </c>
      <c r="D86" s="1481"/>
      <c r="E86" s="1514">
        <v>40102</v>
      </c>
      <c r="F86" s="1482"/>
      <c r="G86" s="1514">
        <f>22820</f>
        <v>22820</v>
      </c>
      <c r="H86" s="876"/>
      <c r="I86" s="1514">
        <v>0</v>
      </c>
      <c r="J86" s="1482"/>
      <c r="K86" s="1514">
        <f t="shared" si="43"/>
        <v>0</v>
      </c>
      <c r="L86" s="1481" t="s">
        <v>1290</v>
      </c>
      <c r="M86" s="1514">
        <v>0</v>
      </c>
      <c r="N86" s="1514" t="s">
        <v>1045</v>
      </c>
      <c r="O86" s="1514">
        <f t="shared" si="44"/>
        <v>0</v>
      </c>
      <c r="P86" s="876" t="s">
        <v>1045</v>
      </c>
      <c r="Q86" s="1514">
        <f t="shared" si="45"/>
        <v>0</v>
      </c>
      <c r="R86" s="1514" t="s">
        <v>1045</v>
      </c>
      <c r="S86" s="1518">
        <f t="shared" si="46"/>
        <v>0</v>
      </c>
      <c r="W86" s="883"/>
    </row>
    <row r="87" spans="2:23" ht="11.25" x14ac:dyDescent="0.2">
      <c r="B87" s="1484" t="s">
        <v>1270</v>
      </c>
      <c r="C87" s="1485">
        <v>6</v>
      </c>
      <c r="D87" s="1481"/>
      <c r="E87" s="1514">
        <v>107321</v>
      </c>
      <c r="F87" s="1482"/>
      <c r="G87" s="1514">
        <f>61070</f>
        <v>61070</v>
      </c>
      <c r="H87" s="876"/>
      <c r="I87" s="1514">
        <v>0</v>
      </c>
      <c r="J87" s="1482"/>
      <c r="K87" s="1514">
        <f t="shared" si="43"/>
        <v>0</v>
      </c>
      <c r="L87" s="1481" t="s">
        <v>1290</v>
      </c>
      <c r="M87" s="1514">
        <v>0</v>
      </c>
      <c r="N87" s="1514" t="s">
        <v>1045</v>
      </c>
      <c r="O87" s="1514">
        <f t="shared" si="44"/>
        <v>0</v>
      </c>
      <c r="P87" s="876" t="s">
        <v>1045</v>
      </c>
      <c r="Q87" s="1514">
        <f t="shared" si="45"/>
        <v>0</v>
      </c>
      <c r="R87" s="1514" t="s">
        <v>1045</v>
      </c>
      <c r="S87" s="1518">
        <f t="shared" si="46"/>
        <v>0</v>
      </c>
      <c r="W87" s="883"/>
    </row>
    <row r="88" spans="2:23" ht="11.25" x14ac:dyDescent="0.2">
      <c r="B88" s="1480" t="s">
        <v>1271</v>
      </c>
      <c r="C88" s="1530"/>
      <c r="D88" s="1531"/>
      <c r="E88" s="1575"/>
      <c r="F88" s="1531"/>
      <c r="G88" s="1531"/>
      <c r="H88" s="1531"/>
      <c r="I88" s="1533"/>
      <c r="J88" s="1531"/>
      <c r="K88" s="1534" t="s">
        <v>6</v>
      </c>
      <c r="L88" s="1534"/>
      <c r="M88" s="1534"/>
      <c r="N88" s="1534"/>
      <c r="O88" s="1534"/>
      <c r="P88" s="1534"/>
      <c r="Q88" s="1534"/>
      <c r="R88" s="1534"/>
      <c r="S88" s="1536"/>
    </row>
    <row r="89" spans="2:23" ht="11.25" x14ac:dyDescent="0.2">
      <c r="B89" s="1484" t="s">
        <v>1272</v>
      </c>
      <c r="C89" s="1537"/>
      <c r="D89" s="1538"/>
      <c r="E89" s="1576"/>
      <c r="F89" s="1538"/>
      <c r="G89" s="1538"/>
      <c r="H89" s="1538"/>
      <c r="I89" s="1540"/>
      <c r="J89" s="1538"/>
      <c r="K89" s="1541"/>
      <c r="L89" s="1541"/>
      <c r="M89" s="1541"/>
      <c r="N89" s="1541"/>
      <c r="O89" s="1541"/>
      <c r="P89" s="1541"/>
      <c r="Q89" s="1541"/>
      <c r="R89" s="1541"/>
      <c r="S89" s="1544"/>
    </row>
    <row r="90" spans="2:23" ht="11.25" x14ac:dyDescent="0.2">
      <c r="B90" s="1484" t="s">
        <v>1273</v>
      </c>
      <c r="C90" s="1545">
        <v>2289</v>
      </c>
      <c r="D90" s="1481"/>
      <c r="E90" s="1514">
        <v>1188060</v>
      </c>
      <c r="F90" s="1482"/>
      <c r="G90" s="1514">
        <f>124746</f>
        <v>124746</v>
      </c>
      <c r="H90" s="876"/>
      <c r="I90" s="1514">
        <v>571552.68909999996</v>
      </c>
      <c r="J90" s="1482"/>
      <c r="K90" s="1514">
        <f t="shared" ref="K90:K92" si="47">I90*0</f>
        <v>0</v>
      </c>
      <c r="L90" s="1481" t="s">
        <v>1290</v>
      </c>
      <c r="M90" s="1514">
        <v>7521</v>
      </c>
      <c r="N90" s="1514" t="s">
        <v>1045</v>
      </c>
      <c r="O90" s="1514">
        <f t="shared" ref="O90:O92" si="48">(K90+M90)*(44/28)</f>
        <v>11818.714285714286</v>
      </c>
      <c r="P90" s="876" t="s">
        <v>1045</v>
      </c>
      <c r="Q90" s="1514">
        <f t="shared" ref="Q90:Q94" si="49">O90/1000</f>
        <v>11.818714285714286</v>
      </c>
      <c r="R90" s="1514" t="s">
        <v>1045</v>
      </c>
      <c r="S90" s="1518">
        <f t="shared" ref="S90:S94" si="50">Q90*O$18/1000000</f>
        <v>3.2265089999999998E-3</v>
      </c>
      <c r="W90" s="883"/>
    </row>
    <row r="91" spans="2:23" ht="11.25" x14ac:dyDescent="0.2">
      <c r="B91" s="1484" t="s">
        <v>1274</v>
      </c>
      <c r="C91" s="1552">
        <v>1242</v>
      </c>
      <c r="D91" s="1481"/>
      <c r="E91" s="1514">
        <v>644635</v>
      </c>
      <c r="F91" s="1482"/>
      <c r="G91" s="1514">
        <f>67687</f>
        <v>67687</v>
      </c>
      <c r="H91" s="876"/>
      <c r="I91" s="1514">
        <v>310121.64260000002</v>
      </c>
      <c r="J91" s="1482"/>
      <c r="K91" s="1514">
        <f t="shared" si="47"/>
        <v>0</v>
      </c>
      <c r="L91" s="1481" t="s">
        <v>1290</v>
      </c>
      <c r="M91" s="1514">
        <v>4081</v>
      </c>
      <c r="N91" s="1514" t="s">
        <v>1045</v>
      </c>
      <c r="O91" s="1514">
        <f t="shared" si="48"/>
        <v>6413</v>
      </c>
      <c r="P91" s="876" t="s">
        <v>1045</v>
      </c>
      <c r="Q91" s="1514">
        <f t="shared" si="49"/>
        <v>6.4130000000000003</v>
      </c>
      <c r="R91" s="1514" t="s">
        <v>1045</v>
      </c>
      <c r="S91" s="1518">
        <f t="shared" si="50"/>
        <v>1.750749E-3</v>
      </c>
      <c r="W91" s="883"/>
    </row>
    <row r="92" spans="2:23" ht="11.25" x14ac:dyDescent="0.2">
      <c r="B92" s="1484" t="s">
        <v>1275</v>
      </c>
      <c r="C92" s="1553">
        <v>10</v>
      </c>
      <c r="D92" s="1481"/>
      <c r="E92" s="1514">
        <v>7227</v>
      </c>
      <c r="F92" s="1482"/>
      <c r="G92" s="1514">
        <f>759</f>
        <v>759</v>
      </c>
      <c r="H92" s="876"/>
      <c r="I92" s="1514">
        <v>3476.7708969999999</v>
      </c>
      <c r="J92" s="1482"/>
      <c r="K92" s="1514">
        <f t="shared" si="47"/>
        <v>0</v>
      </c>
      <c r="L92" s="1481" t="s">
        <v>1290</v>
      </c>
      <c r="M92" s="1514">
        <v>46</v>
      </c>
      <c r="N92" s="1514" t="s">
        <v>1045</v>
      </c>
      <c r="O92" s="1514">
        <f t="shared" si="48"/>
        <v>72.285714285714278</v>
      </c>
      <c r="P92" s="876" t="s">
        <v>1045</v>
      </c>
      <c r="Q92" s="1514">
        <f t="shared" si="49"/>
        <v>7.2285714285714273E-2</v>
      </c>
      <c r="R92" s="1514" t="s">
        <v>1045</v>
      </c>
      <c r="S92" s="1518">
        <f t="shared" si="50"/>
        <v>1.9733999999999994E-5</v>
      </c>
      <c r="W92" s="883"/>
    </row>
    <row r="93" spans="2:23" ht="11.25" x14ac:dyDescent="0.2">
      <c r="B93" s="1484" t="s">
        <v>1276</v>
      </c>
      <c r="C93" s="1552">
        <v>55600</v>
      </c>
      <c r="D93" s="1481"/>
      <c r="E93" s="1514">
        <v>17534016</v>
      </c>
      <c r="F93" s="1482"/>
      <c r="G93" s="1514" t="s">
        <v>1291</v>
      </c>
      <c r="H93" s="876"/>
      <c r="I93" s="1514">
        <v>17534016</v>
      </c>
      <c r="J93" s="1482"/>
      <c r="K93" s="1514" t="s">
        <v>1291</v>
      </c>
      <c r="L93" s="1481" t="s">
        <v>1290</v>
      </c>
      <c r="M93" s="1514">
        <f t="shared" ref="M93:M94" si="51">I93*0.02</f>
        <v>350680.32000000001</v>
      </c>
      <c r="N93" s="1514" t="s">
        <v>1045</v>
      </c>
      <c r="O93" s="1514">
        <f t="shared" ref="O93:O94" si="52">M93*(44/28)</f>
        <v>551069.07428571431</v>
      </c>
      <c r="P93" s="876" t="s">
        <v>1045</v>
      </c>
      <c r="Q93" s="1514">
        <f t="shared" si="49"/>
        <v>551.06907428571435</v>
      </c>
      <c r="R93" s="1514" t="s">
        <v>1045</v>
      </c>
      <c r="S93" s="1518">
        <f t="shared" si="50"/>
        <v>0.15044185728000004</v>
      </c>
      <c r="W93" s="883"/>
    </row>
    <row r="94" spans="2:23" ht="11.25" x14ac:dyDescent="0.2">
      <c r="B94" s="1484" t="s">
        <v>1277</v>
      </c>
      <c r="C94" s="1553">
        <v>25.6</v>
      </c>
      <c r="D94" s="1481"/>
      <c r="E94" s="1514">
        <v>39712</v>
      </c>
      <c r="F94" s="1482"/>
      <c r="G94" s="1514" t="s">
        <v>1291</v>
      </c>
      <c r="H94" s="876"/>
      <c r="I94" s="1514">
        <v>39712</v>
      </c>
      <c r="J94" s="1482"/>
      <c r="K94" s="1514" t="s">
        <v>1291</v>
      </c>
      <c r="L94" s="1481" t="s">
        <v>1290</v>
      </c>
      <c r="M94" s="1514">
        <f t="shared" si="51"/>
        <v>794.24</v>
      </c>
      <c r="N94" s="1514" t="s">
        <v>1045</v>
      </c>
      <c r="O94" s="1514">
        <f t="shared" si="52"/>
        <v>1248.0914285714287</v>
      </c>
      <c r="P94" s="876" t="s">
        <v>1045</v>
      </c>
      <c r="Q94" s="1514">
        <f t="shared" si="49"/>
        <v>1.2480914285714286</v>
      </c>
      <c r="R94" s="1514" t="s">
        <v>1045</v>
      </c>
      <c r="S94" s="1518">
        <f t="shared" si="50"/>
        <v>3.4072896000000001E-4</v>
      </c>
      <c r="W94" s="883"/>
    </row>
    <row r="95" spans="2:23" ht="11.25" x14ac:dyDescent="0.2">
      <c r="B95" s="1480" t="s">
        <v>56</v>
      </c>
      <c r="C95" s="1569"/>
      <c r="D95" s="1512"/>
      <c r="E95" s="1570"/>
      <c r="F95" s="1571"/>
      <c r="G95" s="1522"/>
      <c r="H95" s="1572"/>
      <c r="I95" s="1512"/>
      <c r="J95" s="1571"/>
      <c r="K95" s="1522" t="s">
        <v>6</v>
      </c>
      <c r="L95" s="1512"/>
      <c r="M95" s="1512"/>
      <c r="N95" s="1522"/>
      <c r="O95" s="1522"/>
      <c r="P95" s="1572"/>
      <c r="Q95" s="1522"/>
      <c r="R95" s="1522"/>
      <c r="S95" s="1573"/>
    </row>
    <row r="96" spans="2:23" ht="11.25" x14ac:dyDescent="0.2">
      <c r="B96" s="1484" t="s">
        <v>1280</v>
      </c>
      <c r="C96" s="1485">
        <v>5.4</v>
      </c>
      <c r="D96" s="1481"/>
      <c r="E96" s="1514">
        <v>22242</v>
      </c>
      <c r="F96" s="1482"/>
      <c r="G96" s="1514" t="s">
        <v>1291</v>
      </c>
      <c r="H96" s="876"/>
      <c r="I96" s="1514">
        <v>5862.8384230000001</v>
      </c>
      <c r="J96" s="1482"/>
      <c r="K96" s="1514" t="s">
        <v>1291</v>
      </c>
      <c r="L96" s="1481" t="s">
        <v>1290</v>
      </c>
      <c r="M96" s="1514">
        <f t="shared" ref="M96:M97" si="53">I96*0.02</f>
        <v>117.25676846</v>
      </c>
      <c r="N96" s="1514" t="s">
        <v>1045</v>
      </c>
      <c r="O96" s="1514">
        <f t="shared" ref="O96:O97" si="54">M96*(44/28)</f>
        <v>184.26063615142857</v>
      </c>
      <c r="P96" s="876" t="s">
        <v>1045</v>
      </c>
      <c r="Q96" s="1514">
        <f t="shared" ref="Q96:Q97" si="55">O96/1000</f>
        <v>0.18426063615142857</v>
      </c>
      <c r="R96" s="1514" t="s">
        <v>1045</v>
      </c>
      <c r="S96" s="1518">
        <f t="shared" ref="S96:S97" si="56">Q96*O$18/1000000</f>
        <v>5.0303153669339998E-5</v>
      </c>
      <c r="W96" s="883"/>
    </row>
    <row r="97" spans="1:81" ht="11.25" x14ac:dyDescent="0.2">
      <c r="B97" s="1484" t="s">
        <v>1282</v>
      </c>
      <c r="C97" s="1485">
        <v>5.4</v>
      </c>
      <c r="D97" s="1481"/>
      <c r="E97" s="1514">
        <v>71175</v>
      </c>
      <c r="F97" s="1482"/>
      <c r="G97" s="1514" t="s">
        <v>1291</v>
      </c>
      <c r="H97" s="876"/>
      <c r="I97" s="1514">
        <v>52413.917049999996</v>
      </c>
      <c r="J97" s="1482"/>
      <c r="K97" s="1514" t="s">
        <v>1291</v>
      </c>
      <c r="L97" s="1481" t="s">
        <v>1290</v>
      </c>
      <c r="M97" s="1514">
        <f t="shared" si="53"/>
        <v>1048.278341</v>
      </c>
      <c r="N97" s="1514" t="s">
        <v>1045</v>
      </c>
      <c r="O97" s="1514">
        <f t="shared" si="54"/>
        <v>1647.2945358571428</v>
      </c>
      <c r="P97" s="876" t="s">
        <v>1045</v>
      </c>
      <c r="Q97" s="1514">
        <f t="shared" si="55"/>
        <v>1.6472945358571429</v>
      </c>
      <c r="R97" s="1514" t="s">
        <v>1045</v>
      </c>
      <c r="S97" s="1518">
        <f t="shared" si="56"/>
        <v>4.4971140828900004E-4</v>
      </c>
      <c r="W97" s="883"/>
    </row>
    <row r="98" spans="1:81" ht="11.25" x14ac:dyDescent="0.2">
      <c r="B98" s="1490" t="s">
        <v>575</v>
      </c>
      <c r="C98" s="1577" t="s">
        <v>6</v>
      </c>
      <c r="D98" s="1494"/>
      <c r="E98" s="1555">
        <f>SUM(E77:E97)</f>
        <v>27691944</v>
      </c>
      <c r="F98" s="1494"/>
      <c r="G98" s="1555">
        <f>SUM(G77:G97)</f>
        <v>2528245</v>
      </c>
      <c r="H98" s="1494"/>
      <c r="I98" s="1555">
        <f>SUM(I77:I97)</f>
        <v>23211802.522969998</v>
      </c>
      <c r="J98" s="1578"/>
      <c r="K98" s="1555">
        <f>K77+K78+K83+K84+K85+K86+K87+K90+K91</f>
        <v>0</v>
      </c>
      <c r="L98" s="1579"/>
      <c r="M98" s="1555">
        <f>SUM(M77:M97)</f>
        <v>458181.02840746002</v>
      </c>
      <c r="N98" s="1578"/>
      <c r="O98" s="1555">
        <f>SUM(O77:O97)</f>
        <v>719998.7589260086</v>
      </c>
      <c r="P98" s="1578"/>
      <c r="Q98" s="1555">
        <f>SUM(Q77:Q97)</f>
        <v>719.99875892600869</v>
      </c>
      <c r="R98" s="1578"/>
      <c r="S98" s="1580">
        <f>SUM(S77:S97)</f>
        <v>0.19655966118680038</v>
      </c>
    </row>
    <row r="99" spans="1:81" ht="11.25" x14ac:dyDescent="0.2">
      <c r="A99" s="871"/>
      <c r="B99" s="1496"/>
      <c r="C99" s="974"/>
      <c r="D99" s="974"/>
      <c r="E99" s="974"/>
      <c r="F99" s="974"/>
      <c r="G99" s="1497"/>
      <c r="H99" s="874"/>
      <c r="I99" s="879"/>
      <c r="J99" s="874"/>
      <c r="K99" s="878"/>
      <c r="L99" s="871"/>
      <c r="M99" s="878"/>
      <c r="N99" s="871"/>
      <c r="O99" s="871"/>
      <c r="P99" s="871"/>
      <c r="Q99" s="871"/>
      <c r="R99" s="871"/>
      <c r="S99" s="871"/>
      <c r="T99" s="871"/>
      <c r="U99" s="871"/>
    </row>
    <row r="100" spans="1:81" ht="11.25" x14ac:dyDescent="0.2">
      <c r="A100" s="871"/>
      <c r="B100" s="1496"/>
      <c r="C100" s="974"/>
      <c r="D100" s="974"/>
      <c r="E100" s="974"/>
      <c r="F100" s="974"/>
      <c r="G100" s="1497"/>
      <c r="H100" s="874"/>
      <c r="I100" s="878"/>
      <c r="K100" s="879"/>
      <c r="L100" s="871"/>
      <c r="M100" s="878"/>
      <c r="N100" s="871"/>
      <c r="O100" s="871"/>
      <c r="P100" s="871"/>
      <c r="Q100" s="871"/>
      <c r="R100" s="871"/>
      <c r="S100" s="871"/>
      <c r="T100" s="871"/>
      <c r="U100" s="871"/>
    </row>
    <row r="101" spans="1:81" ht="15.75" x14ac:dyDescent="0.25">
      <c r="B101" s="1581" t="s">
        <v>1294</v>
      </c>
      <c r="C101" s="1582"/>
      <c r="D101" s="1582"/>
      <c r="E101" s="1582"/>
      <c r="F101" s="1583"/>
      <c r="G101" s="1583"/>
      <c r="H101" s="1583"/>
      <c r="I101" s="1584"/>
      <c r="J101" s="1585"/>
      <c r="K101" s="1586"/>
      <c r="L101" s="1585"/>
      <c r="M101" s="1584"/>
      <c r="N101" s="1585"/>
      <c r="O101" s="1585"/>
      <c r="P101" s="1585"/>
      <c r="Q101" s="1585"/>
      <c r="R101" s="1585"/>
      <c r="S101" s="1585"/>
      <c r="T101" s="1585"/>
      <c r="U101" s="1585"/>
      <c r="V101" s="1585"/>
      <c r="W101" s="1585"/>
      <c r="X101" s="1585"/>
      <c r="Y101" s="1585"/>
      <c r="Z101" s="1585"/>
      <c r="AA101" s="1585"/>
      <c r="AB101" s="1585"/>
      <c r="AC101" s="1587"/>
    </row>
    <row r="102" spans="1:81" ht="11.25" x14ac:dyDescent="0.2">
      <c r="A102" s="871"/>
      <c r="B102" s="1588" t="s">
        <v>1296</v>
      </c>
      <c r="C102" s="871"/>
      <c r="D102" s="871"/>
      <c r="E102" s="871"/>
      <c r="F102" s="871"/>
      <c r="G102" s="1589"/>
      <c r="H102" s="1589"/>
      <c r="I102" s="1589"/>
      <c r="J102" s="1589"/>
      <c r="K102" s="1589"/>
      <c r="L102" s="1589"/>
      <c r="M102" s="1590"/>
      <c r="N102" s="1589"/>
      <c r="O102" s="1589"/>
      <c r="P102" s="1591"/>
      <c r="Q102" s="1589"/>
      <c r="R102" s="1589"/>
      <c r="S102" s="1589"/>
      <c r="T102" s="1589"/>
      <c r="U102" s="1589"/>
      <c r="V102" s="1589"/>
      <c r="W102" s="1589"/>
      <c r="X102" s="1589"/>
      <c r="Y102" s="1589"/>
      <c r="Z102" s="1589"/>
      <c r="AA102" s="1589"/>
      <c r="AB102" s="1589"/>
      <c r="AC102" s="1592"/>
      <c r="AF102" s="871"/>
      <c r="AG102" s="871"/>
      <c r="AH102" s="871"/>
      <c r="AI102" s="871"/>
      <c r="AJ102" s="871"/>
      <c r="AK102" s="871"/>
      <c r="AL102" s="871"/>
      <c r="AM102" s="871"/>
      <c r="AN102" s="871"/>
      <c r="AO102" s="871"/>
      <c r="AP102" s="871"/>
      <c r="AQ102" s="871"/>
      <c r="AR102" s="871"/>
      <c r="AS102" s="871"/>
      <c r="AT102" s="871"/>
      <c r="AU102" s="871"/>
      <c r="AV102" s="871"/>
      <c r="AW102" s="871"/>
      <c r="AX102" s="871"/>
      <c r="AY102" s="871"/>
      <c r="AZ102" s="871"/>
      <c r="BA102" s="871"/>
      <c r="BB102" s="871"/>
      <c r="BC102" s="871"/>
      <c r="BD102" s="871"/>
      <c r="BE102" s="871"/>
      <c r="BF102" s="871"/>
      <c r="BG102" s="871"/>
      <c r="BH102" s="871"/>
      <c r="BI102" s="871"/>
      <c r="BJ102" s="871"/>
      <c r="BK102" s="871"/>
      <c r="BL102" s="871"/>
      <c r="BM102" s="871"/>
      <c r="BN102" s="871"/>
      <c r="BO102" s="871"/>
      <c r="BP102" s="871"/>
      <c r="BQ102" s="871"/>
      <c r="BR102" s="871"/>
      <c r="BS102" s="871"/>
      <c r="BT102" s="871"/>
      <c r="BU102" s="871"/>
      <c r="BV102" s="871"/>
      <c r="BW102" s="871"/>
      <c r="BX102" s="871"/>
      <c r="BY102" s="871"/>
      <c r="BZ102" s="871"/>
      <c r="CA102" s="871"/>
      <c r="CB102" s="871"/>
      <c r="CC102" s="871"/>
    </row>
    <row r="103" spans="1:81" ht="45" x14ac:dyDescent="0.2">
      <c r="A103" s="871"/>
      <c r="B103" s="1593" t="s">
        <v>1297</v>
      </c>
      <c r="C103" s="1594" t="s">
        <v>1298</v>
      </c>
      <c r="D103" s="1594"/>
      <c r="E103" s="1594" t="s">
        <v>1903</v>
      </c>
      <c r="F103" s="1595"/>
      <c r="G103" s="1594" t="s">
        <v>1904</v>
      </c>
      <c r="H103" s="1596"/>
      <c r="I103" s="1594" t="s">
        <v>1299</v>
      </c>
      <c r="J103" s="1594"/>
      <c r="K103" s="1594" t="s">
        <v>1300</v>
      </c>
      <c r="L103" s="1594"/>
      <c r="M103" s="1594" t="s">
        <v>1301</v>
      </c>
      <c r="N103" s="1597"/>
      <c r="O103" s="1594" t="s">
        <v>1302</v>
      </c>
      <c r="P103" s="1594"/>
      <c r="Q103" s="1594" t="s">
        <v>1303</v>
      </c>
      <c r="R103" s="1596"/>
      <c r="S103" s="1594" t="s">
        <v>1304</v>
      </c>
      <c r="T103" s="1594"/>
      <c r="U103" s="1594" t="s">
        <v>1305</v>
      </c>
      <c r="V103" s="1596"/>
      <c r="W103" s="1594" t="s">
        <v>1306</v>
      </c>
      <c r="X103" s="1598"/>
      <c r="Y103" s="1598"/>
      <c r="Z103" s="1594" t="s">
        <v>1905</v>
      </c>
      <c r="AA103" s="1594" t="s">
        <v>1307</v>
      </c>
      <c r="AB103" s="1410"/>
      <c r="AC103" s="1599" t="s">
        <v>1308</v>
      </c>
      <c r="AF103" s="871"/>
      <c r="AG103" s="871"/>
      <c r="AH103" s="871"/>
      <c r="AI103" s="871"/>
      <c r="AJ103" s="871"/>
      <c r="AK103" s="871"/>
      <c r="AL103" s="871"/>
      <c r="AM103" s="871"/>
      <c r="AN103" s="871"/>
      <c r="AO103" s="871"/>
      <c r="AP103" s="871"/>
      <c r="AQ103" s="871"/>
      <c r="AR103" s="871"/>
      <c r="AS103" s="871"/>
      <c r="AT103" s="871"/>
      <c r="AU103" s="871"/>
      <c r="AV103" s="871"/>
      <c r="AW103" s="871"/>
      <c r="AX103" s="871"/>
      <c r="AY103" s="871"/>
      <c r="AZ103" s="871"/>
      <c r="BA103" s="871"/>
      <c r="BB103" s="871"/>
      <c r="BC103" s="871"/>
      <c r="BD103" s="871"/>
      <c r="BE103" s="871"/>
      <c r="BF103" s="871"/>
      <c r="BG103" s="871"/>
      <c r="BH103" s="871"/>
      <c r="BI103" s="871"/>
      <c r="BJ103" s="871"/>
      <c r="BK103" s="871"/>
      <c r="BL103" s="871"/>
      <c r="BM103" s="871"/>
      <c r="BN103" s="871"/>
      <c r="BO103" s="871"/>
      <c r="BP103" s="871"/>
      <c r="BQ103" s="871"/>
      <c r="BR103" s="871"/>
      <c r="BS103" s="871"/>
      <c r="BT103" s="871"/>
      <c r="BU103" s="871"/>
      <c r="BV103" s="871"/>
      <c r="BW103" s="871"/>
      <c r="BX103" s="871"/>
      <c r="BY103" s="871"/>
      <c r="BZ103" s="871"/>
      <c r="CA103" s="871"/>
      <c r="CB103" s="871"/>
      <c r="CC103" s="871"/>
    </row>
    <row r="104" spans="1:81" ht="11.25" x14ac:dyDescent="0.2">
      <c r="A104" s="871"/>
      <c r="B104" s="1600" t="s">
        <v>1309</v>
      </c>
      <c r="C104" s="1601" t="s">
        <v>1310</v>
      </c>
      <c r="D104" s="1602"/>
      <c r="E104" s="1603">
        <f>135</f>
        <v>135</v>
      </c>
      <c r="F104" s="1604"/>
      <c r="G104" s="1605">
        <f>1000*0.907185</f>
        <v>907.18500000000006</v>
      </c>
      <c r="H104" s="1385"/>
      <c r="I104" s="1606">
        <f t="shared" ref="I104:I124" si="57">E104*G104</f>
        <v>122469.97500000001</v>
      </c>
      <c r="J104" s="1607"/>
      <c r="K104" s="1608">
        <v>0</v>
      </c>
      <c r="L104" s="1607"/>
      <c r="M104" s="1608">
        <v>0.85</v>
      </c>
      <c r="N104" s="1385"/>
      <c r="O104" s="1608">
        <v>0</v>
      </c>
      <c r="P104" s="1385"/>
      <c r="Q104" s="1608" t="s">
        <v>1291</v>
      </c>
      <c r="R104" s="1385"/>
      <c r="S104" s="1609" t="s">
        <v>1291</v>
      </c>
      <c r="T104" s="1610"/>
      <c r="U104" s="1608">
        <v>0.03</v>
      </c>
      <c r="V104" s="1385"/>
      <c r="W104" s="1611">
        <f>(I104*1000)*(1+K104)*M104*U104</f>
        <v>3122984.3624999998</v>
      </c>
      <c r="X104" s="1385"/>
      <c r="Y104" s="1612" t="s">
        <v>1311</v>
      </c>
      <c r="Z104" s="1610">
        <v>0.01</v>
      </c>
      <c r="AA104" s="1613">
        <f>S125/1000*Z104*44/28</f>
        <v>542.6437139737352</v>
      </c>
      <c r="AB104" s="1514" t="s">
        <v>1045</v>
      </c>
      <c r="AC104" s="1614">
        <f t="shared" ref="AC104:AC105" si="58">AA104*O$18/1000000</f>
        <v>0.14814173391482971</v>
      </c>
      <c r="AF104" s="871"/>
      <c r="AG104" s="871"/>
      <c r="AH104" s="871"/>
      <c r="AI104" s="871"/>
      <c r="AJ104" s="871"/>
      <c r="AK104" s="871"/>
      <c r="AL104" s="871"/>
      <c r="AM104" s="871"/>
      <c r="AN104" s="871"/>
      <c r="AO104" s="871"/>
      <c r="AP104" s="871"/>
      <c r="AQ104" s="871"/>
      <c r="AR104" s="871"/>
      <c r="AS104" s="871"/>
      <c r="AT104" s="871"/>
      <c r="AU104" s="871"/>
      <c r="AV104" s="871"/>
      <c r="AW104" s="871"/>
      <c r="AX104" s="871"/>
      <c r="AY104" s="871"/>
      <c r="AZ104" s="871"/>
      <c r="BA104" s="871"/>
      <c r="BB104" s="871"/>
      <c r="BC104" s="871"/>
      <c r="BD104" s="871"/>
      <c r="BE104" s="871"/>
      <c r="BF104" s="871"/>
      <c r="BG104" s="871"/>
      <c r="BH104" s="871"/>
      <c r="BI104" s="871"/>
      <c r="BJ104" s="871"/>
      <c r="BK104" s="871"/>
      <c r="BL104" s="871"/>
      <c r="BM104" s="871"/>
      <c r="BN104" s="871"/>
      <c r="BO104" s="871"/>
      <c r="BP104" s="871"/>
      <c r="BQ104" s="871"/>
      <c r="BR104" s="871"/>
      <c r="BS104" s="871"/>
      <c r="BT104" s="871"/>
      <c r="BU104" s="871"/>
      <c r="BV104" s="871"/>
      <c r="BW104" s="871"/>
      <c r="BX104" s="871"/>
      <c r="BY104" s="871"/>
      <c r="BZ104" s="871"/>
      <c r="CA104" s="871"/>
      <c r="CB104" s="871"/>
      <c r="CC104" s="871"/>
    </row>
    <row r="105" spans="1:81" ht="11.25" x14ac:dyDescent="0.2">
      <c r="A105" s="871"/>
      <c r="B105" s="1615" t="s">
        <v>1312</v>
      </c>
      <c r="C105" s="1616" t="s">
        <v>1313</v>
      </c>
      <c r="D105" s="1617"/>
      <c r="E105" s="1618">
        <f>72600</f>
        <v>72600</v>
      </c>
      <c r="F105" s="1482"/>
      <c r="G105" s="1619">
        <f>1000*0.025401147108</f>
        <v>25.401147108</v>
      </c>
      <c r="H105" s="1482"/>
      <c r="I105" s="1620">
        <f t="shared" si="57"/>
        <v>1844123.2800408001</v>
      </c>
      <c r="J105" s="1514"/>
      <c r="K105" s="1515">
        <v>1</v>
      </c>
      <c r="L105" s="1514"/>
      <c r="M105" s="1515">
        <v>0.91</v>
      </c>
      <c r="N105" s="1482"/>
      <c r="O105" s="1515">
        <v>0.9</v>
      </c>
      <c r="P105" s="1482"/>
      <c r="Q105" s="1515">
        <v>5.7999999999999996E-3</v>
      </c>
      <c r="R105" s="1482"/>
      <c r="S105" s="1621">
        <f t="shared" ref="S105:S119" si="59">(I105*1000)*K105*M105*O105*Q105</f>
        <v>8759954.4048498087</v>
      </c>
      <c r="T105" s="1481"/>
      <c r="U105" s="1515">
        <v>0.03</v>
      </c>
      <c r="V105" s="1482"/>
      <c r="W105" s="1514" t="s">
        <v>1291</v>
      </c>
      <c r="X105" s="1482"/>
      <c r="Y105" s="1622" t="s">
        <v>1314</v>
      </c>
      <c r="Z105" s="1481">
        <v>0.01</v>
      </c>
      <c r="AA105" s="1623">
        <f>W125/1000*Z105*44/28</f>
        <v>797.19659398408805</v>
      </c>
      <c r="AB105" s="1514" t="s">
        <v>1045</v>
      </c>
      <c r="AC105" s="1624">
        <f t="shared" si="58"/>
        <v>0.21763467015765606</v>
      </c>
      <c r="AF105" s="871"/>
      <c r="AG105" s="871"/>
      <c r="AH105" s="871"/>
      <c r="AI105" s="871"/>
      <c r="AJ105" s="871"/>
      <c r="AK105" s="871"/>
      <c r="AL105" s="871"/>
      <c r="AM105" s="871"/>
      <c r="AN105" s="871"/>
      <c r="AO105" s="871"/>
      <c r="AP105" s="871"/>
      <c r="AQ105" s="871"/>
      <c r="AR105" s="871"/>
      <c r="AS105" s="871"/>
      <c r="AT105" s="871"/>
      <c r="AU105" s="871"/>
      <c r="AV105" s="871"/>
      <c r="AW105" s="871"/>
      <c r="AX105" s="871"/>
      <c r="AY105" s="871"/>
      <c r="AZ105" s="871"/>
      <c r="BA105" s="871"/>
      <c r="BB105" s="871"/>
      <c r="BC105" s="871"/>
      <c r="BD105" s="871"/>
      <c r="BE105" s="871"/>
      <c r="BF105" s="871"/>
      <c r="BG105" s="871"/>
      <c r="BH105" s="871"/>
      <c r="BI105" s="871"/>
      <c r="BJ105" s="871"/>
      <c r="BK105" s="871"/>
      <c r="BL105" s="871"/>
      <c r="BM105" s="871"/>
      <c r="BN105" s="871"/>
      <c r="BO105" s="871"/>
      <c r="BP105" s="871"/>
      <c r="BQ105" s="871"/>
      <c r="BR105" s="871"/>
      <c r="BS105" s="871"/>
      <c r="BT105" s="871"/>
      <c r="BU105" s="871"/>
      <c r="BV105" s="871"/>
      <c r="BW105" s="871"/>
      <c r="BX105" s="871"/>
      <c r="BY105" s="871"/>
      <c r="BZ105" s="871"/>
      <c r="CA105" s="871"/>
      <c r="CB105" s="871"/>
      <c r="CC105" s="871"/>
    </row>
    <row r="106" spans="1:81" ht="11.25" x14ac:dyDescent="0.2">
      <c r="A106" s="871"/>
      <c r="B106" s="1615" t="s">
        <v>1315</v>
      </c>
      <c r="C106" s="1616" t="s">
        <v>1313</v>
      </c>
      <c r="D106" s="1617"/>
      <c r="E106" s="1618">
        <f>16575</f>
        <v>16575</v>
      </c>
      <c r="F106" s="1482"/>
      <c r="G106" s="1619">
        <f>1000*0.027215442853</f>
        <v>27.215442852999999</v>
      </c>
      <c r="H106" s="1482"/>
      <c r="I106" s="1620">
        <f t="shared" si="57"/>
        <v>451095.96528847498</v>
      </c>
      <c r="J106" s="1514"/>
      <c r="K106" s="1515">
        <v>1.3</v>
      </c>
      <c r="L106" s="1514"/>
      <c r="M106" s="1515">
        <v>0.93</v>
      </c>
      <c r="N106" s="1482"/>
      <c r="O106" s="1515">
        <v>0.9</v>
      </c>
      <c r="P106" s="1482"/>
      <c r="Q106" s="1515">
        <v>6.1999999999999998E-3</v>
      </c>
      <c r="R106" s="1482"/>
      <c r="S106" s="1621">
        <f t="shared" si="59"/>
        <v>3043192.622948416</v>
      </c>
      <c r="T106" s="1481"/>
      <c r="U106" s="1515">
        <v>0.03</v>
      </c>
      <c r="V106" s="1482"/>
      <c r="W106" s="1625" t="s">
        <v>1291</v>
      </c>
      <c r="X106" s="1626"/>
      <c r="Y106" s="882"/>
      <c r="Z106" s="1627"/>
      <c r="AA106" s="871"/>
      <c r="AB106" s="871"/>
      <c r="AC106" s="1628"/>
      <c r="AF106" s="871"/>
      <c r="AG106" s="871"/>
      <c r="AH106" s="871"/>
      <c r="AI106" s="871"/>
      <c r="AJ106" s="871"/>
      <c r="AK106" s="871"/>
      <c r="AL106" s="871"/>
      <c r="AM106" s="871"/>
      <c r="AN106" s="871"/>
      <c r="AO106" s="871"/>
      <c r="AP106" s="871"/>
      <c r="AQ106" s="871"/>
      <c r="AR106" s="871"/>
      <c r="AS106" s="871"/>
      <c r="AT106" s="871"/>
      <c r="AU106" s="871"/>
      <c r="AV106" s="871"/>
      <c r="AW106" s="871"/>
      <c r="AX106" s="871"/>
      <c r="AY106" s="871"/>
      <c r="AZ106" s="871"/>
      <c r="BA106" s="871"/>
      <c r="BB106" s="871"/>
      <c r="BC106" s="871"/>
      <c r="BD106" s="871"/>
      <c r="BE106" s="871"/>
      <c r="BF106" s="871"/>
      <c r="BG106" s="871"/>
      <c r="BH106" s="871"/>
      <c r="BI106" s="871"/>
      <c r="BJ106" s="871"/>
      <c r="BK106" s="871"/>
      <c r="BL106" s="871"/>
      <c r="BM106" s="871"/>
      <c r="BN106" s="871"/>
      <c r="BO106" s="871"/>
      <c r="BP106" s="871"/>
      <c r="BQ106" s="871"/>
      <c r="BR106" s="871"/>
      <c r="BS106" s="871"/>
      <c r="BT106" s="871"/>
      <c r="BU106" s="871"/>
      <c r="BV106" s="871"/>
      <c r="BW106" s="871"/>
      <c r="BX106" s="871"/>
      <c r="BY106" s="871"/>
      <c r="BZ106" s="871"/>
      <c r="CA106" s="871"/>
      <c r="CB106" s="871"/>
      <c r="CC106" s="871"/>
    </row>
    <row r="107" spans="1:81" ht="11.25" x14ac:dyDescent="0.2">
      <c r="A107" s="871"/>
      <c r="B107" s="1615" t="s">
        <v>1316</v>
      </c>
      <c r="C107" s="1616" t="s">
        <v>1313</v>
      </c>
      <c r="D107" s="1617"/>
      <c r="E107" s="1618">
        <f>1248</f>
        <v>1248</v>
      </c>
      <c r="F107" s="1482"/>
      <c r="G107" s="1619">
        <f>1000*0.021772</f>
        <v>21.771999999999998</v>
      </c>
      <c r="H107" s="1482"/>
      <c r="I107" s="1620">
        <f t="shared" si="57"/>
        <v>27171.455999999998</v>
      </c>
      <c r="J107" s="1514"/>
      <c r="K107" s="1515">
        <v>1.2</v>
      </c>
      <c r="L107" s="1514"/>
      <c r="M107" s="1515">
        <v>0.93</v>
      </c>
      <c r="N107" s="1482"/>
      <c r="O107" s="1515">
        <v>0.9</v>
      </c>
      <c r="P107" s="1482"/>
      <c r="Q107" s="1515">
        <v>7.7000000000000002E-3</v>
      </c>
      <c r="R107" s="1482"/>
      <c r="S107" s="1621">
        <f t="shared" si="59"/>
        <v>210140.78012928003</v>
      </c>
      <c r="T107" s="1481"/>
      <c r="U107" s="1515">
        <v>0.03</v>
      </c>
      <c r="V107" s="1482"/>
      <c r="W107" s="1625" t="s">
        <v>1291</v>
      </c>
      <c r="X107" s="1626"/>
      <c r="Y107" s="871"/>
      <c r="Z107" s="1627"/>
      <c r="AA107" s="871"/>
      <c r="AB107" s="871"/>
      <c r="AC107" s="1628"/>
      <c r="AF107" s="871"/>
      <c r="AG107" s="871"/>
      <c r="AH107" s="871"/>
      <c r="AI107" s="871"/>
      <c r="AJ107" s="871"/>
      <c r="AK107" s="871"/>
      <c r="AL107" s="871"/>
      <c r="AM107" s="871"/>
      <c r="AN107" s="871"/>
      <c r="AO107" s="871"/>
      <c r="AP107" s="871"/>
      <c r="AQ107" s="871"/>
      <c r="AR107" s="871"/>
      <c r="AS107" s="871"/>
      <c r="AT107" s="871"/>
      <c r="AU107" s="871"/>
      <c r="AV107" s="871"/>
      <c r="AW107" s="871"/>
      <c r="AX107" s="871"/>
      <c r="AY107" s="871"/>
      <c r="AZ107" s="871"/>
      <c r="BA107" s="871"/>
      <c r="BB107" s="871"/>
      <c r="BC107" s="871"/>
      <c r="BD107" s="871"/>
      <c r="BE107" s="871"/>
      <c r="BF107" s="871"/>
      <c r="BG107" s="871"/>
      <c r="BH107" s="871"/>
      <c r="BI107" s="871"/>
      <c r="BJ107" s="871"/>
      <c r="BK107" s="871"/>
      <c r="BL107" s="871"/>
      <c r="BM107" s="871"/>
      <c r="BN107" s="871"/>
      <c r="BO107" s="871"/>
      <c r="BP107" s="871"/>
      <c r="BQ107" s="871"/>
      <c r="BR107" s="871"/>
      <c r="BS107" s="871"/>
      <c r="BT107" s="871"/>
      <c r="BU107" s="871"/>
      <c r="BV107" s="871"/>
      <c r="BW107" s="871"/>
      <c r="BX107" s="871"/>
      <c r="BY107" s="871"/>
      <c r="BZ107" s="871"/>
      <c r="CA107" s="871"/>
      <c r="CB107" s="871"/>
      <c r="CC107" s="871"/>
    </row>
    <row r="108" spans="1:81" ht="11.25" x14ac:dyDescent="0.2">
      <c r="A108" s="871"/>
      <c r="B108" s="1615" t="s">
        <v>1318</v>
      </c>
      <c r="C108" s="1616" t="s">
        <v>1313</v>
      </c>
      <c r="D108" s="1617"/>
      <c r="E108" s="1629">
        <v>727</v>
      </c>
      <c r="F108" s="1482"/>
      <c r="G108" s="1619">
        <f>1000*0.0254011695127524</f>
        <v>25.4011695127524</v>
      </c>
      <c r="H108" s="1482"/>
      <c r="I108" s="1620">
        <f t="shared" si="57"/>
        <v>18466.650235770994</v>
      </c>
      <c r="J108" s="1514"/>
      <c r="K108" s="1515">
        <v>1.4</v>
      </c>
      <c r="L108" s="1514"/>
      <c r="M108" s="1515">
        <v>0.91</v>
      </c>
      <c r="N108" s="1482"/>
      <c r="O108" s="1515">
        <v>0.9</v>
      </c>
      <c r="P108" s="1482"/>
      <c r="Q108" s="1515">
        <v>1.0800000000000001E-2</v>
      </c>
      <c r="R108" s="1482"/>
      <c r="S108" s="1621">
        <f t="shared" si="59"/>
        <v>228677.70053161823</v>
      </c>
      <c r="T108" s="1481"/>
      <c r="U108" s="1515">
        <v>0.03</v>
      </c>
      <c r="V108" s="1482"/>
      <c r="W108" s="1625" t="s">
        <v>1291</v>
      </c>
      <c r="X108" s="1626"/>
      <c r="Y108" s="871"/>
      <c r="Z108" s="1627"/>
      <c r="AA108" s="871"/>
      <c r="AB108" s="871"/>
      <c r="AC108" s="1628"/>
      <c r="AF108" s="871"/>
      <c r="AG108" s="871"/>
      <c r="AH108" s="871"/>
      <c r="AI108" s="871"/>
      <c r="AJ108" s="871"/>
      <c r="AK108" s="871"/>
      <c r="AL108" s="871"/>
      <c r="AM108" s="871"/>
      <c r="AN108" s="871"/>
      <c r="AO108" s="871"/>
      <c r="AP108" s="871"/>
      <c r="AQ108" s="871"/>
      <c r="AR108" s="871"/>
      <c r="AS108" s="871"/>
      <c r="AT108" s="871"/>
      <c r="AU108" s="871"/>
      <c r="AV108" s="871"/>
      <c r="AW108" s="871"/>
      <c r="AX108" s="871"/>
      <c r="AY108" s="871"/>
      <c r="AZ108" s="871"/>
      <c r="BA108" s="871"/>
      <c r="BB108" s="871"/>
      <c r="BC108" s="871"/>
      <c r="BD108" s="871"/>
      <c r="BE108" s="871"/>
      <c r="BF108" s="871"/>
      <c r="BG108" s="871"/>
      <c r="BH108" s="871"/>
      <c r="BI108" s="871"/>
      <c r="BJ108" s="871"/>
      <c r="BK108" s="871"/>
      <c r="BL108" s="871"/>
      <c r="BM108" s="871"/>
      <c r="BN108" s="871"/>
      <c r="BO108" s="871"/>
      <c r="BP108" s="871"/>
      <c r="BQ108" s="871"/>
      <c r="BR108" s="871"/>
      <c r="BS108" s="871"/>
      <c r="BT108" s="871"/>
      <c r="BU108" s="871"/>
      <c r="BV108" s="871"/>
      <c r="BW108" s="871"/>
      <c r="BX108" s="871"/>
      <c r="BY108" s="871"/>
      <c r="BZ108" s="871"/>
      <c r="CA108" s="871"/>
      <c r="CB108" s="871"/>
      <c r="CC108" s="871"/>
    </row>
    <row r="109" spans="1:81" ht="11.25" x14ac:dyDescent="0.2">
      <c r="A109" s="871"/>
      <c r="B109" s="1615" t="s">
        <v>1319</v>
      </c>
      <c r="C109" s="1616" t="s">
        <v>1313</v>
      </c>
      <c r="D109" s="1617"/>
      <c r="E109" s="1629">
        <f>94</f>
        <v>94</v>
      </c>
      <c r="F109" s="1482"/>
      <c r="G109" s="1619">
        <f>1000*0.0145149592222233</f>
        <v>14.5149592222233</v>
      </c>
      <c r="H109" s="1482"/>
      <c r="I109" s="1620">
        <f t="shared" si="57"/>
        <v>1364.4061668889901</v>
      </c>
      <c r="J109" s="1514"/>
      <c r="K109" s="1515">
        <v>1.3</v>
      </c>
      <c r="L109" s="1514"/>
      <c r="M109" s="1515">
        <v>0.92</v>
      </c>
      <c r="N109" s="1482"/>
      <c r="O109" s="1515">
        <v>0.9</v>
      </c>
      <c r="P109" s="1482"/>
      <c r="Q109" s="1515">
        <v>7.0000000000000001E-3</v>
      </c>
      <c r="R109" s="1482"/>
      <c r="S109" s="1621">
        <f t="shared" si="59"/>
        <v>10280.527586275164</v>
      </c>
      <c r="T109" s="1481"/>
      <c r="U109" s="1515">
        <v>0.03</v>
      </c>
      <c r="V109" s="1482"/>
      <c r="W109" s="1625" t="s">
        <v>1291</v>
      </c>
      <c r="X109" s="1626"/>
      <c r="Y109" s="871"/>
      <c r="Z109" s="1627"/>
      <c r="AA109" s="871"/>
      <c r="AB109" s="871"/>
      <c r="AC109" s="1628"/>
      <c r="AF109" s="871"/>
      <c r="AG109" s="871"/>
      <c r="AH109" s="871"/>
      <c r="AI109" s="871"/>
      <c r="AJ109" s="871"/>
      <c r="AK109" s="871"/>
      <c r="AL109" s="871"/>
      <c r="AM109" s="871"/>
      <c r="AN109" s="871"/>
      <c r="AO109" s="871"/>
      <c r="AP109" s="871"/>
      <c r="AQ109" s="871"/>
      <c r="AR109" s="871"/>
      <c r="AS109" s="871"/>
      <c r="AT109" s="871"/>
      <c r="AU109" s="871"/>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1"/>
      <c r="BQ109" s="871"/>
      <c r="BR109" s="871"/>
      <c r="BS109" s="871"/>
      <c r="BT109" s="871"/>
      <c r="BU109" s="871"/>
      <c r="BV109" s="871"/>
      <c r="BW109" s="871"/>
      <c r="BX109" s="871"/>
      <c r="BY109" s="871"/>
      <c r="BZ109" s="871"/>
      <c r="CA109" s="871"/>
      <c r="CB109" s="871"/>
      <c r="CC109" s="871"/>
    </row>
    <row r="110" spans="1:81" ht="11.25" x14ac:dyDescent="0.2">
      <c r="A110" s="871"/>
      <c r="B110" s="1615" t="s">
        <v>1321</v>
      </c>
      <c r="C110" s="1616" t="s">
        <v>1313</v>
      </c>
      <c r="D110" s="1617"/>
      <c r="E110" s="1629">
        <f>170</f>
        <v>170</v>
      </c>
      <c r="F110" s="1482"/>
      <c r="G110" s="1619">
        <f>1000*0.0254010464940368</f>
        <v>25.401046494036802</v>
      </c>
      <c r="H110" s="1482"/>
      <c r="I110" s="1620">
        <f t="shared" si="57"/>
        <v>4318.1779039862558</v>
      </c>
      <c r="J110" s="1514"/>
      <c r="K110" s="1515">
        <v>1.6</v>
      </c>
      <c r="L110" s="1514"/>
      <c r="M110" s="1515">
        <v>0.9</v>
      </c>
      <c r="N110" s="1482"/>
      <c r="O110" s="1515">
        <v>0.9</v>
      </c>
      <c r="P110" s="1482"/>
      <c r="Q110" s="1515">
        <v>4.7999999999999996E-3</v>
      </c>
      <c r="R110" s="1482"/>
      <c r="S110" s="1621">
        <f t="shared" si="59"/>
        <v>26862.521105117696</v>
      </c>
      <c r="T110" s="1481"/>
      <c r="U110" s="1515">
        <v>0.03</v>
      </c>
      <c r="V110" s="1482"/>
      <c r="W110" s="1625" t="s">
        <v>1291</v>
      </c>
      <c r="X110" s="1626"/>
      <c r="Y110" s="871"/>
      <c r="Z110" s="1627"/>
      <c r="AA110" s="871"/>
      <c r="AB110" s="871"/>
      <c r="AC110" s="1628"/>
      <c r="AF110" s="871"/>
      <c r="AG110" s="871"/>
      <c r="AH110" s="871"/>
      <c r="AI110" s="871"/>
      <c r="AJ110" s="871"/>
      <c r="AK110" s="871"/>
      <c r="AL110" s="871"/>
      <c r="AM110" s="871"/>
      <c r="AN110" s="871"/>
      <c r="AO110" s="871"/>
      <c r="AP110" s="871"/>
      <c r="AQ110" s="871"/>
      <c r="AR110" s="871"/>
      <c r="AS110" s="871"/>
      <c r="AT110" s="871"/>
      <c r="AU110" s="871"/>
      <c r="AV110" s="871"/>
      <c r="AW110" s="871"/>
      <c r="AX110" s="871"/>
      <c r="AY110" s="871"/>
      <c r="AZ110" s="871"/>
      <c r="BA110" s="871"/>
      <c r="BB110" s="871"/>
      <c r="BC110" s="871"/>
      <c r="BD110" s="871"/>
      <c r="BE110" s="871"/>
      <c r="BF110" s="871"/>
      <c r="BG110" s="871"/>
      <c r="BH110" s="871"/>
      <c r="BI110" s="871"/>
      <c r="BJ110" s="871"/>
      <c r="BK110" s="871"/>
      <c r="BL110" s="871"/>
      <c r="BM110" s="871"/>
      <c r="BN110" s="871"/>
      <c r="BO110" s="871"/>
      <c r="BP110" s="871"/>
      <c r="BQ110" s="871"/>
      <c r="BR110" s="871"/>
      <c r="BS110" s="871"/>
      <c r="BT110" s="871"/>
      <c r="BU110" s="871"/>
      <c r="BV110" s="871"/>
      <c r="BW110" s="871"/>
      <c r="BX110" s="871"/>
      <c r="BY110" s="871"/>
      <c r="BZ110" s="871"/>
      <c r="CA110" s="871"/>
      <c r="CB110" s="871"/>
      <c r="CC110" s="871"/>
    </row>
    <row r="111" spans="1:81" ht="11.25" x14ac:dyDescent="0.2">
      <c r="A111" s="871"/>
      <c r="B111" s="1615" t="s">
        <v>1322</v>
      </c>
      <c r="C111" s="1616" t="s">
        <v>1313</v>
      </c>
      <c r="D111" s="1617"/>
      <c r="E111" s="1630">
        <v>0</v>
      </c>
      <c r="F111" s="1482"/>
      <c r="G111" s="1619">
        <f>1000*0.027215</f>
        <v>27.215</v>
      </c>
      <c r="H111" s="1482"/>
      <c r="I111" s="1620">
        <f t="shared" si="57"/>
        <v>0</v>
      </c>
      <c r="J111" s="1481"/>
      <c r="K111" s="1515">
        <v>1.4</v>
      </c>
      <c r="L111" s="1481"/>
      <c r="M111" s="1515">
        <v>0.89</v>
      </c>
      <c r="N111" s="1482"/>
      <c r="O111" s="1515">
        <v>0.89</v>
      </c>
      <c r="P111" s="1482"/>
      <c r="Q111" s="1515">
        <v>7.0000000000000001E-3</v>
      </c>
      <c r="R111" s="1482"/>
      <c r="S111" s="1621">
        <f t="shared" si="59"/>
        <v>0</v>
      </c>
      <c r="T111" s="1481"/>
      <c r="U111" s="1515">
        <v>0.03</v>
      </c>
      <c r="V111" s="1482"/>
      <c r="W111" s="1625" t="s">
        <v>1291</v>
      </c>
      <c r="X111" s="1626"/>
      <c r="Y111" s="871"/>
      <c r="Z111" s="1631"/>
      <c r="AA111" s="871"/>
      <c r="AB111" s="871"/>
      <c r="AC111" s="1628"/>
      <c r="AF111" s="871"/>
      <c r="AG111" s="871"/>
      <c r="AH111" s="871"/>
      <c r="AI111" s="871"/>
      <c r="AJ111" s="871"/>
      <c r="AK111" s="871"/>
      <c r="AL111" s="871"/>
      <c r="AM111" s="871"/>
      <c r="AN111" s="871"/>
      <c r="AO111" s="871"/>
      <c r="AP111" s="871"/>
      <c r="AQ111" s="871"/>
      <c r="AR111" s="871"/>
      <c r="AS111" s="871"/>
      <c r="AT111" s="871"/>
      <c r="AU111" s="871"/>
      <c r="AV111" s="871"/>
      <c r="AW111" s="871"/>
      <c r="AX111" s="871"/>
      <c r="AY111" s="871"/>
      <c r="AZ111" s="871"/>
      <c r="BA111" s="871"/>
      <c r="BB111" s="871"/>
      <c r="BC111" s="871"/>
      <c r="BD111" s="871"/>
      <c r="BE111" s="871"/>
      <c r="BF111" s="871"/>
      <c r="BG111" s="871"/>
      <c r="BH111" s="871"/>
      <c r="BI111" s="871"/>
      <c r="BJ111" s="871"/>
      <c r="BK111" s="871"/>
      <c r="BL111" s="871"/>
      <c r="BM111" s="871"/>
      <c r="BN111" s="871"/>
      <c r="BO111" s="871"/>
      <c r="BP111" s="871"/>
      <c r="BQ111" s="871"/>
      <c r="BR111" s="871"/>
      <c r="BS111" s="871"/>
      <c r="BT111" s="871"/>
      <c r="BU111" s="871"/>
      <c r="BV111" s="871"/>
      <c r="BW111" s="871"/>
      <c r="BX111" s="871"/>
      <c r="BY111" s="871"/>
      <c r="BZ111" s="871"/>
      <c r="CA111" s="871"/>
      <c r="CB111" s="871"/>
      <c r="CC111" s="871"/>
    </row>
    <row r="112" spans="1:81" ht="22.5" x14ac:dyDescent="0.2">
      <c r="A112" s="871"/>
      <c r="B112" s="1615" t="s">
        <v>1323</v>
      </c>
      <c r="C112" s="1616" t="s">
        <v>1324</v>
      </c>
      <c r="D112" s="1617"/>
      <c r="E112" s="1618">
        <v>0</v>
      </c>
      <c r="F112" s="1482"/>
      <c r="G112" s="1619">
        <f>1000*100/2000*0.907185</f>
        <v>45.359250000000003</v>
      </c>
      <c r="H112" s="1482"/>
      <c r="I112" s="1620">
        <f t="shared" si="57"/>
        <v>0</v>
      </c>
      <c r="J112" s="1514"/>
      <c r="K112" s="1515">
        <v>1.4</v>
      </c>
      <c r="L112" s="1514"/>
      <c r="M112" s="1515">
        <v>0.91</v>
      </c>
      <c r="N112" s="1482"/>
      <c r="O112" s="1515">
        <v>1</v>
      </c>
      <c r="P112" s="1482"/>
      <c r="Q112" s="1515">
        <v>7.1999999999999998E-3</v>
      </c>
      <c r="R112" s="1482"/>
      <c r="S112" s="1621">
        <f t="shared" si="59"/>
        <v>0</v>
      </c>
      <c r="T112" s="1481"/>
      <c r="U112" s="1515">
        <v>0.03</v>
      </c>
      <c r="V112" s="1482"/>
      <c r="W112" s="1625" t="s">
        <v>1291</v>
      </c>
      <c r="X112" s="1626"/>
      <c r="Y112" s="871"/>
      <c r="Z112" s="1627"/>
      <c r="AA112" s="871"/>
      <c r="AB112" s="871"/>
      <c r="AC112" s="1628"/>
      <c r="AF112" s="871"/>
      <c r="AG112" s="871"/>
      <c r="AH112" s="871"/>
      <c r="AI112" s="871"/>
      <c r="AJ112" s="871"/>
      <c r="AK112" s="871"/>
      <c r="AL112" s="871"/>
      <c r="AM112" s="871"/>
      <c r="AN112" s="871"/>
      <c r="AO112" s="871"/>
      <c r="AP112" s="871"/>
      <c r="AQ112" s="871"/>
      <c r="AR112" s="871"/>
      <c r="AS112" s="871"/>
      <c r="AT112" s="871"/>
      <c r="AU112" s="871"/>
      <c r="AV112" s="871"/>
      <c r="AW112" s="871"/>
      <c r="AX112" s="871"/>
      <c r="AY112" s="871"/>
      <c r="AZ112" s="871"/>
      <c r="BA112" s="871"/>
      <c r="BB112" s="871"/>
      <c r="BC112" s="871"/>
      <c r="BD112" s="871"/>
      <c r="BE112" s="871"/>
      <c r="BF112" s="871"/>
      <c r="BG112" s="871"/>
      <c r="BH112" s="871"/>
      <c r="BI112" s="871"/>
      <c r="BJ112" s="871"/>
      <c r="BK112" s="871"/>
      <c r="BL112" s="871"/>
      <c r="BM112" s="871"/>
      <c r="BN112" s="871"/>
      <c r="BO112" s="871"/>
      <c r="BP112" s="871"/>
      <c r="BQ112" s="871"/>
      <c r="BR112" s="871"/>
      <c r="BS112" s="871"/>
      <c r="BT112" s="871"/>
      <c r="BU112" s="871"/>
      <c r="BV112" s="871"/>
      <c r="BW112" s="871"/>
      <c r="BX112" s="871"/>
      <c r="BY112" s="871"/>
      <c r="BZ112" s="871"/>
      <c r="CA112" s="871"/>
      <c r="CB112" s="871"/>
      <c r="CC112" s="871"/>
    </row>
    <row r="113" spans="1:81" ht="11.25" x14ac:dyDescent="0.2">
      <c r="A113" s="871"/>
      <c r="B113" s="1615" t="s">
        <v>1325</v>
      </c>
      <c r="C113" s="1616" t="s">
        <v>1313</v>
      </c>
      <c r="D113" s="1617"/>
      <c r="E113" s="1618">
        <f>21620</f>
        <v>21620</v>
      </c>
      <c r="F113" s="1482"/>
      <c r="G113" s="1619">
        <f>1000*0.027215692075</f>
        <v>27.215692075</v>
      </c>
      <c r="H113" s="1482"/>
      <c r="I113" s="1620">
        <f t="shared" si="57"/>
        <v>588403.26266150002</v>
      </c>
      <c r="J113" s="1514"/>
      <c r="K113" s="1515">
        <v>2.1</v>
      </c>
      <c r="L113" s="1514"/>
      <c r="M113" s="1515">
        <v>0.87</v>
      </c>
      <c r="N113" s="1482"/>
      <c r="O113" s="1515">
        <v>0.9</v>
      </c>
      <c r="P113" s="1482"/>
      <c r="Q113" s="1515">
        <v>2.3E-2</v>
      </c>
      <c r="R113" s="1482"/>
      <c r="S113" s="1621">
        <f t="shared" si="59"/>
        <v>22252764.150269002</v>
      </c>
      <c r="T113" s="1481"/>
      <c r="U113" s="1515">
        <v>0.03</v>
      </c>
      <c r="V113" s="1482"/>
      <c r="W113" s="1625">
        <f t="shared" ref="W113:W124" si="60">(I113*1000)*(1+K113)*M113*U113</f>
        <v>47607707.981941961</v>
      </c>
      <c r="X113" s="1626"/>
      <c r="Y113" s="871"/>
      <c r="Z113" s="1627"/>
      <c r="AA113" s="871"/>
      <c r="AB113" s="871"/>
      <c r="AC113" s="1628"/>
      <c r="AF113" s="871"/>
      <c r="AG113" s="871"/>
      <c r="AH113" s="871"/>
      <c r="AI113" s="871"/>
      <c r="AJ113" s="871"/>
      <c r="AK113" s="871"/>
      <c r="AL113" s="871"/>
      <c r="AM113" s="871"/>
      <c r="AN113" s="871"/>
      <c r="AO113" s="871"/>
      <c r="AP113" s="871"/>
      <c r="AQ113" s="871"/>
      <c r="AR113" s="871"/>
      <c r="AS113" s="871"/>
      <c r="AT113" s="871"/>
      <c r="AU113" s="871"/>
      <c r="AV113" s="871"/>
      <c r="AW113" s="871"/>
      <c r="AX113" s="871"/>
      <c r="AY113" s="871"/>
      <c r="AZ113" s="871"/>
      <c r="BA113" s="871"/>
      <c r="BB113" s="871"/>
      <c r="BC113" s="871"/>
      <c r="BD113" s="871"/>
      <c r="BE113" s="871"/>
      <c r="BF113" s="871"/>
      <c r="BG113" s="871"/>
      <c r="BH113" s="871"/>
      <c r="BI113" s="871"/>
      <c r="BJ113" s="871"/>
      <c r="BK113" s="871"/>
      <c r="BL113" s="871"/>
      <c r="BM113" s="871"/>
      <c r="BN113" s="871"/>
      <c r="BO113" s="871"/>
      <c r="BP113" s="871"/>
      <c r="BQ113" s="871"/>
      <c r="BR113" s="871"/>
      <c r="BS113" s="871"/>
      <c r="BT113" s="871"/>
      <c r="BU113" s="871"/>
      <c r="BV113" s="871"/>
      <c r="BW113" s="871"/>
      <c r="BX113" s="871"/>
      <c r="BY113" s="871"/>
      <c r="BZ113" s="871"/>
      <c r="CA113" s="871"/>
      <c r="CB113" s="871"/>
      <c r="CC113" s="871"/>
    </row>
    <row r="114" spans="1:81" ht="11.25" x14ac:dyDescent="0.2">
      <c r="A114" s="871"/>
      <c r="B114" s="1615" t="s">
        <v>1326</v>
      </c>
      <c r="C114" s="1616" t="s">
        <v>1327</v>
      </c>
      <c r="D114" s="1617"/>
      <c r="E114" s="1618">
        <v>0</v>
      </c>
      <c r="F114" s="1482"/>
      <c r="G114" s="1619">
        <f>1000/2000*0.907185</f>
        <v>0.45359250000000001</v>
      </c>
      <c r="H114" s="1482"/>
      <c r="I114" s="1620">
        <f t="shared" si="57"/>
        <v>0</v>
      </c>
      <c r="J114" s="1514"/>
      <c r="K114" s="1515">
        <v>1</v>
      </c>
      <c r="L114" s="1514"/>
      <c r="M114" s="1515">
        <v>0.86</v>
      </c>
      <c r="N114" s="1482"/>
      <c r="O114" s="1515">
        <v>0.9</v>
      </c>
      <c r="P114" s="1482"/>
      <c r="Q114" s="1515">
        <v>1.06E-2</v>
      </c>
      <c r="R114" s="1482"/>
      <c r="S114" s="1621">
        <f t="shared" si="59"/>
        <v>0</v>
      </c>
      <c r="T114" s="1481"/>
      <c r="U114" s="1515">
        <v>0.03</v>
      </c>
      <c r="V114" s="1482"/>
      <c r="W114" s="1625">
        <f t="shared" si="60"/>
        <v>0</v>
      </c>
      <c r="X114" s="1626"/>
      <c r="Y114" s="871"/>
      <c r="Z114" s="1627"/>
      <c r="AA114" s="871"/>
      <c r="AB114" s="871"/>
      <c r="AC114" s="1628"/>
      <c r="AF114" s="871"/>
      <c r="AG114" s="871"/>
      <c r="AH114" s="871"/>
      <c r="AI114" s="871"/>
      <c r="AJ114" s="871"/>
      <c r="AK114" s="871"/>
      <c r="AL114" s="871"/>
      <c r="AM114" s="871"/>
      <c r="AN114" s="871"/>
      <c r="AO114" s="871"/>
      <c r="AP114" s="871"/>
      <c r="AQ114" s="871"/>
      <c r="AR114" s="871"/>
      <c r="AS114" s="871"/>
      <c r="AT114" s="871"/>
      <c r="AU114" s="871"/>
      <c r="AV114" s="871"/>
      <c r="AW114" s="871"/>
      <c r="AX114" s="871"/>
      <c r="AY114" s="871"/>
      <c r="AZ114" s="871"/>
      <c r="BA114" s="871"/>
      <c r="BB114" s="871"/>
      <c r="BC114" s="871"/>
      <c r="BD114" s="871"/>
      <c r="BE114" s="871"/>
      <c r="BF114" s="871"/>
      <c r="BG114" s="871"/>
      <c r="BH114" s="871"/>
      <c r="BI114" s="871"/>
      <c r="BJ114" s="871"/>
      <c r="BK114" s="871"/>
      <c r="BL114" s="871"/>
      <c r="BM114" s="871"/>
      <c r="BN114" s="871"/>
      <c r="BO114" s="871"/>
      <c r="BP114" s="871"/>
      <c r="BQ114" s="871"/>
      <c r="BR114" s="871"/>
      <c r="BS114" s="871"/>
      <c r="BT114" s="871"/>
      <c r="BU114" s="871"/>
      <c r="BV114" s="871"/>
      <c r="BW114" s="871"/>
      <c r="BX114" s="871"/>
      <c r="BY114" s="871"/>
      <c r="BZ114" s="871"/>
      <c r="CA114" s="871"/>
      <c r="CB114" s="871"/>
      <c r="CC114" s="871"/>
    </row>
    <row r="115" spans="1:81" ht="22.5" x14ac:dyDescent="0.2">
      <c r="A115" s="871"/>
      <c r="B115" s="1615" t="s">
        <v>1328</v>
      </c>
      <c r="C115" s="1616" t="s">
        <v>1324</v>
      </c>
      <c r="D115" s="1617"/>
      <c r="E115" s="1618">
        <v>0</v>
      </c>
      <c r="F115" s="1482"/>
      <c r="G115" s="1619">
        <f t="shared" ref="G115:G119" si="61">1000*100/2000*0.907185</f>
        <v>45.359250000000003</v>
      </c>
      <c r="H115" s="1482"/>
      <c r="I115" s="1620">
        <f t="shared" si="57"/>
        <v>0</v>
      </c>
      <c r="J115" s="1514"/>
      <c r="K115" s="1515">
        <v>2.1</v>
      </c>
      <c r="L115" s="1514"/>
      <c r="M115" s="1515">
        <v>0.87</v>
      </c>
      <c r="N115" s="1482"/>
      <c r="O115" s="1515">
        <v>1.55</v>
      </c>
      <c r="P115" s="1482"/>
      <c r="Q115" s="1515">
        <v>1.6799999999999999E-2</v>
      </c>
      <c r="R115" s="1482"/>
      <c r="S115" s="1621">
        <f t="shared" si="59"/>
        <v>0</v>
      </c>
      <c r="T115" s="1481"/>
      <c r="U115" s="1515">
        <v>0.03</v>
      </c>
      <c r="V115" s="1482"/>
      <c r="W115" s="1625">
        <f t="shared" si="60"/>
        <v>0</v>
      </c>
      <c r="X115" s="1626"/>
      <c r="Y115" s="871"/>
      <c r="Z115" s="1627"/>
      <c r="AA115" s="871"/>
      <c r="AB115" s="871"/>
      <c r="AC115" s="1628"/>
      <c r="AF115" s="871"/>
      <c r="AG115" s="871"/>
      <c r="AH115" s="871"/>
      <c r="AI115" s="871"/>
      <c r="AJ115" s="871"/>
      <c r="AK115" s="871"/>
      <c r="AL115" s="871"/>
      <c r="AM115" s="871"/>
      <c r="AN115" s="871"/>
      <c r="AO115" s="871"/>
      <c r="AP115" s="871"/>
      <c r="AQ115" s="871"/>
      <c r="AR115" s="871"/>
      <c r="AS115" s="871"/>
      <c r="AT115" s="871"/>
      <c r="AU115" s="871"/>
      <c r="AV115" s="871"/>
      <c r="AW115" s="871"/>
      <c r="AX115" s="871"/>
      <c r="AY115" s="871"/>
      <c r="AZ115" s="871"/>
      <c r="BA115" s="871"/>
      <c r="BB115" s="871"/>
      <c r="BC115" s="871"/>
      <c r="BD115" s="871"/>
      <c r="BE115" s="871"/>
      <c r="BF115" s="871"/>
      <c r="BG115" s="871"/>
      <c r="BH115" s="871"/>
      <c r="BI115" s="871"/>
      <c r="BJ115" s="871"/>
      <c r="BK115" s="871"/>
      <c r="BL115" s="871"/>
      <c r="BM115" s="871"/>
      <c r="BN115" s="871"/>
      <c r="BO115" s="871"/>
      <c r="BP115" s="871"/>
      <c r="BQ115" s="871"/>
      <c r="BR115" s="871"/>
      <c r="BS115" s="871"/>
      <c r="BT115" s="871"/>
      <c r="BU115" s="871"/>
      <c r="BV115" s="871"/>
      <c r="BW115" s="871"/>
      <c r="BX115" s="871"/>
      <c r="BY115" s="871"/>
      <c r="BZ115" s="871"/>
      <c r="CA115" s="871"/>
      <c r="CB115" s="871"/>
      <c r="CC115" s="871"/>
    </row>
    <row r="116" spans="1:81" ht="22.5" x14ac:dyDescent="0.2">
      <c r="A116" s="871"/>
      <c r="B116" s="1615" t="s">
        <v>1329</v>
      </c>
      <c r="C116" s="1616" t="s">
        <v>1324</v>
      </c>
      <c r="D116" s="1617"/>
      <c r="E116" s="1618">
        <v>0</v>
      </c>
      <c r="F116" s="1482"/>
      <c r="G116" s="1619">
        <f t="shared" si="61"/>
        <v>45.359250000000003</v>
      </c>
      <c r="H116" s="1482"/>
      <c r="I116" s="1620">
        <f t="shared" si="57"/>
        <v>0</v>
      </c>
      <c r="J116" s="1514"/>
      <c r="K116" s="1515">
        <v>1.5</v>
      </c>
      <c r="L116" s="1514"/>
      <c r="M116" s="1515">
        <v>0.87</v>
      </c>
      <c r="N116" s="1482"/>
      <c r="O116" s="1515">
        <v>0.9</v>
      </c>
      <c r="P116" s="1482"/>
      <c r="Q116" s="1515">
        <v>1.6799999999999999E-2</v>
      </c>
      <c r="R116" s="1482"/>
      <c r="S116" s="1621">
        <f t="shared" si="59"/>
        <v>0</v>
      </c>
      <c r="T116" s="1481"/>
      <c r="U116" s="1515">
        <v>0.03</v>
      </c>
      <c r="V116" s="1482"/>
      <c r="W116" s="1625">
        <f t="shared" si="60"/>
        <v>0</v>
      </c>
      <c r="X116" s="1626"/>
      <c r="Y116" s="871"/>
      <c r="Z116" s="1627"/>
      <c r="AA116" s="871"/>
      <c r="AB116" s="871"/>
      <c r="AC116" s="1628"/>
      <c r="AF116" s="871"/>
      <c r="AG116" s="871"/>
      <c r="AH116" s="871"/>
      <c r="AI116" s="871"/>
      <c r="AJ116" s="871"/>
      <c r="AK116" s="871"/>
      <c r="AL116" s="871"/>
      <c r="AM116" s="871"/>
      <c r="AN116" s="871"/>
      <c r="AO116" s="871"/>
      <c r="AP116" s="871"/>
      <c r="AQ116" s="871"/>
      <c r="AR116" s="871"/>
      <c r="AS116" s="871"/>
      <c r="AT116" s="871"/>
      <c r="AU116" s="871"/>
      <c r="AV116" s="871"/>
      <c r="AW116" s="871"/>
      <c r="AX116" s="871"/>
      <c r="AY116" s="871"/>
      <c r="AZ116" s="871"/>
      <c r="BA116" s="871"/>
      <c r="BB116" s="871"/>
      <c r="BC116" s="871"/>
      <c r="BD116" s="871"/>
      <c r="BE116" s="871"/>
      <c r="BF116" s="871"/>
      <c r="BG116" s="871"/>
      <c r="BH116" s="871"/>
      <c r="BI116" s="871"/>
      <c r="BJ116" s="871"/>
      <c r="BK116" s="871"/>
      <c r="BL116" s="871"/>
      <c r="BM116" s="871"/>
      <c r="BN116" s="871"/>
      <c r="BO116" s="871"/>
      <c r="BP116" s="871"/>
      <c r="BQ116" s="871"/>
      <c r="BR116" s="871"/>
      <c r="BS116" s="871"/>
      <c r="BT116" s="871"/>
      <c r="BU116" s="871"/>
      <c r="BV116" s="871"/>
      <c r="BW116" s="871"/>
      <c r="BX116" s="871"/>
      <c r="BY116" s="871"/>
      <c r="BZ116" s="871"/>
      <c r="CA116" s="871"/>
      <c r="CB116" s="871"/>
      <c r="CC116" s="871"/>
    </row>
    <row r="117" spans="1:81" ht="22.5" x14ac:dyDescent="0.2">
      <c r="A117" s="871"/>
      <c r="B117" s="1632" t="s">
        <v>1330</v>
      </c>
      <c r="C117" s="1616" t="s">
        <v>1324</v>
      </c>
      <c r="D117" s="1617"/>
      <c r="E117" s="1618">
        <v>0</v>
      </c>
      <c r="F117" s="1482"/>
      <c r="G117" s="1619">
        <f t="shared" si="61"/>
        <v>45.359250000000003</v>
      </c>
      <c r="H117" s="1482"/>
      <c r="I117" s="1620">
        <f t="shared" si="57"/>
        <v>0</v>
      </c>
      <c r="J117" s="1514"/>
      <c r="K117" s="1515">
        <v>1.5</v>
      </c>
      <c r="L117" s="1514"/>
      <c r="M117" s="1515">
        <v>0.87</v>
      </c>
      <c r="N117" s="1482"/>
      <c r="O117" s="1515">
        <v>0.9</v>
      </c>
      <c r="P117" s="1482"/>
      <c r="Q117" s="1515">
        <v>1.6799999999999999E-2</v>
      </c>
      <c r="R117" s="1482"/>
      <c r="S117" s="1621">
        <f t="shared" si="59"/>
        <v>0</v>
      </c>
      <c r="T117" s="1481"/>
      <c r="U117" s="1515">
        <v>0.03</v>
      </c>
      <c r="V117" s="1482"/>
      <c r="W117" s="1625">
        <f t="shared" si="60"/>
        <v>0</v>
      </c>
      <c r="X117" s="1626"/>
      <c r="Y117" s="871"/>
      <c r="Z117" s="1627"/>
      <c r="AA117" s="871"/>
      <c r="AB117" s="871"/>
      <c r="AC117" s="1628"/>
      <c r="AF117" s="871"/>
      <c r="AG117" s="871"/>
      <c r="AH117" s="871"/>
      <c r="AI117" s="871"/>
      <c r="AJ117" s="871"/>
      <c r="AK117" s="871"/>
      <c r="AL117" s="871"/>
      <c r="AM117" s="871"/>
      <c r="AN117" s="871"/>
      <c r="AO117" s="871"/>
      <c r="AP117" s="871"/>
      <c r="AQ117" s="871"/>
      <c r="AR117" s="871"/>
      <c r="AS117" s="871"/>
      <c r="AT117" s="871"/>
      <c r="AU117" s="871"/>
      <c r="AV117" s="871"/>
      <c r="AW117" s="871"/>
      <c r="AX117" s="871"/>
      <c r="AY117" s="871"/>
      <c r="AZ117" s="871"/>
      <c r="BA117" s="871"/>
      <c r="BB117" s="871"/>
      <c r="BC117" s="871"/>
      <c r="BD117" s="871"/>
      <c r="BE117" s="871"/>
      <c r="BF117" s="871"/>
      <c r="BG117" s="871"/>
      <c r="BH117" s="871"/>
      <c r="BI117" s="871"/>
      <c r="BJ117" s="871"/>
      <c r="BK117" s="871"/>
      <c r="BL117" s="871"/>
      <c r="BM117" s="871"/>
      <c r="BN117" s="871"/>
      <c r="BO117" s="871"/>
      <c r="BP117" s="871"/>
      <c r="BQ117" s="871"/>
      <c r="BR117" s="871"/>
      <c r="BS117" s="871"/>
      <c r="BT117" s="871"/>
      <c r="BU117" s="871"/>
      <c r="BV117" s="871"/>
      <c r="BW117" s="871"/>
      <c r="BX117" s="871"/>
      <c r="BY117" s="871"/>
      <c r="BZ117" s="871"/>
      <c r="CA117" s="871"/>
      <c r="CB117" s="871"/>
      <c r="CC117" s="871"/>
    </row>
    <row r="118" spans="1:81" ht="22.5" x14ac:dyDescent="0.2">
      <c r="A118" s="871"/>
      <c r="B118" s="1632" t="s">
        <v>1331</v>
      </c>
      <c r="C118" s="1616" t="s">
        <v>1324</v>
      </c>
      <c r="D118" s="1617"/>
      <c r="E118" s="1618">
        <v>0</v>
      </c>
      <c r="F118" s="1482"/>
      <c r="G118" s="1619">
        <f t="shared" si="61"/>
        <v>45.359250000000003</v>
      </c>
      <c r="H118" s="1482"/>
      <c r="I118" s="1620">
        <f t="shared" si="57"/>
        <v>0</v>
      </c>
      <c r="J118" s="1514"/>
      <c r="K118" s="1515">
        <v>2.1</v>
      </c>
      <c r="L118" s="1514"/>
      <c r="M118" s="1515">
        <v>0.87</v>
      </c>
      <c r="N118" s="1482"/>
      <c r="O118" s="1515">
        <v>1.55</v>
      </c>
      <c r="P118" s="1482"/>
      <c r="Q118" s="1515">
        <v>1.6799999999999999E-2</v>
      </c>
      <c r="R118" s="1482"/>
      <c r="S118" s="1621">
        <f t="shared" si="59"/>
        <v>0</v>
      </c>
      <c r="T118" s="1481"/>
      <c r="U118" s="1515">
        <v>0.03</v>
      </c>
      <c r="V118" s="1482"/>
      <c r="W118" s="1625">
        <f t="shared" si="60"/>
        <v>0</v>
      </c>
      <c r="X118" s="1626"/>
      <c r="Y118" s="1633"/>
      <c r="Z118" s="1627"/>
      <c r="AA118" s="871"/>
      <c r="AB118" s="871"/>
      <c r="AC118" s="1628"/>
      <c r="AF118" s="871"/>
      <c r="AG118" s="871"/>
      <c r="AH118" s="871"/>
      <c r="AI118" s="871"/>
      <c r="AJ118" s="871"/>
      <c r="AK118" s="871"/>
      <c r="AL118" s="871"/>
      <c r="AM118" s="871"/>
      <c r="AN118" s="871"/>
      <c r="AO118" s="871"/>
      <c r="AP118" s="871"/>
      <c r="AQ118" s="871"/>
      <c r="AR118" s="871"/>
      <c r="AS118" s="871"/>
      <c r="AT118" s="871"/>
      <c r="AU118" s="871"/>
      <c r="AV118" s="871"/>
      <c r="AW118" s="871"/>
      <c r="AX118" s="871"/>
      <c r="AY118" s="871"/>
      <c r="AZ118" s="871"/>
      <c r="BA118" s="871"/>
      <c r="BB118" s="871"/>
      <c r="BC118" s="871"/>
      <c r="BD118" s="871"/>
      <c r="BE118" s="871"/>
      <c r="BF118" s="871"/>
      <c r="BG118" s="871"/>
      <c r="BH118" s="871"/>
      <c r="BI118" s="871"/>
      <c r="BJ118" s="871"/>
      <c r="BK118" s="871"/>
      <c r="BL118" s="871"/>
      <c r="BM118" s="871"/>
      <c r="BN118" s="871"/>
      <c r="BO118" s="871"/>
      <c r="BP118" s="871"/>
      <c r="BQ118" s="871"/>
      <c r="BR118" s="871"/>
      <c r="BS118" s="871"/>
      <c r="BT118" s="871"/>
      <c r="BU118" s="871"/>
      <c r="BV118" s="871"/>
      <c r="BW118" s="871"/>
      <c r="BX118" s="871"/>
      <c r="BY118" s="871"/>
      <c r="BZ118" s="871"/>
      <c r="CA118" s="871"/>
      <c r="CB118" s="871"/>
      <c r="CC118" s="871"/>
    </row>
    <row r="119" spans="1:81" ht="22.5" x14ac:dyDescent="0.2">
      <c r="A119" s="871"/>
      <c r="B119" s="1632" t="s">
        <v>1332</v>
      </c>
      <c r="C119" s="1616" t="s">
        <v>1324</v>
      </c>
      <c r="D119" s="1617"/>
      <c r="E119" s="1618">
        <v>0</v>
      </c>
      <c r="F119" s="1482"/>
      <c r="G119" s="1619">
        <f t="shared" si="61"/>
        <v>45.359250000000003</v>
      </c>
      <c r="H119" s="1482"/>
      <c r="I119" s="1620">
        <f t="shared" si="57"/>
        <v>0</v>
      </c>
      <c r="J119" s="1514"/>
      <c r="K119" s="1515">
        <v>1.5</v>
      </c>
      <c r="L119" s="1514"/>
      <c r="M119" s="1515">
        <v>0.87</v>
      </c>
      <c r="N119" s="1482"/>
      <c r="O119" s="1515">
        <v>0.9</v>
      </c>
      <c r="P119" s="1482"/>
      <c r="Q119" s="1515">
        <v>1.6799999999999999E-2</v>
      </c>
      <c r="R119" s="1482"/>
      <c r="S119" s="1621">
        <f t="shared" si="59"/>
        <v>0</v>
      </c>
      <c r="T119" s="1481"/>
      <c r="U119" s="1515">
        <v>0.03</v>
      </c>
      <c r="V119" s="1482"/>
      <c r="W119" s="1625">
        <f t="shared" si="60"/>
        <v>0</v>
      </c>
      <c r="X119" s="1626"/>
      <c r="Y119" s="1633"/>
      <c r="Z119" s="1627"/>
      <c r="AA119" s="871"/>
      <c r="AB119" s="871"/>
      <c r="AC119" s="1628"/>
      <c r="AF119" s="871"/>
      <c r="AG119" s="871"/>
      <c r="AH119" s="871"/>
      <c r="AI119" s="871"/>
      <c r="AJ119" s="871"/>
      <c r="AK119" s="871"/>
      <c r="AL119" s="871"/>
      <c r="AM119" s="871"/>
      <c r="AN119" s="871"/>
      <c r="AO119" s="871"/>
      <c r="AP119" s="871"/>
      <c r="AQ119" s="871"/>
      <c r="AR119" s="871"/>
      <c r="AS119" s="871"/>
      <c r="AT119" s="871"/>
      <c r="AU119" s="871"/>
      <c r="AV119" s="871"/>
      <c r="AW119" s="871"/>
      <c r="AX119" s="871"/>
      <c r="AY119" s="871"/>
      <c r="AZ119" s="871"/>
      <c r="BA119" s="871"/>
      <c r="BB119" s="871"/>
      <c r="BC119" s="871"/>
      <c r="BD119" s="871"/>
      <c r="BE119" s="871"/>
      <c r="BF119" s="871"/>
      <c r="BG119" s="871"/>
      <c r="BH119" s="871"/>
      <c r="BI119" s="871"/>
      <c r="BJ119" s="871"/>
      <c r="BK119" s="871"/>
      <c r="BL119" s="871"/>
      <c r="BM119" s="871"/>
      <c r="BN119" s="871"/>
      <c r="BO119" s="871"/>
      <c r="BP119" s="871"/>
      <c r="BQ119" s="871"/>
      <c r="BR119" s="871"/>
      <c r="BS119" s="871"/>
      <c r="BT119" s="871"/>
      <c r="BU119" s="871"/>
      <c r="BV119" s="871"/>
      <c r="BW119" s="871"/>
      <c r="BX119" s="871"/>
      <c r="BY119" s="871"/>
      <c r="BZ119" s="871"/>
      <c r="CA119" s="871"/>
      <c r="CB119" s="871"/>
      <c r="CC119" s="871"/>
    </row>
    <row r="120" spans="1:81" ht="11.25" x14ac:dyDescent="0.2">
      <c r="A120" s="871"/>
      <c r="B120" s="1632" t="s">
        <v>1333</v>
      </c>
      <c r="C120" s="1617" t="s">
        <v>948</v>
      </c>
      <c r="D120" s="1617"/>
      <c r="E120" s="1630"/>
      <c r="F120" s="1482"/>
      <c r="G120" s="1634">
        <v>1</v>
      </c>
      <c r="H120" s="1482"/>
      <c r="I120" s="1620">
        <f t="shared" si="57"/>
        <v>0</v>
      </c>
      <c r="J120" s="1481"/>
      <c r="K120" s="1515"/>
      <c r="L120" s="1481"/>
      <c r="M120" s="1515"/>
      <c r="N120" s="1482"/>
      <c r="O120" s="1515"/>
      <c r="P120" s="1482"/>
      <c r="Q120" s="1482"/>
      <c r="R120" s="1482"/>
      <c r="S120" s="1621" t="s">
        <v>1291</v>
      </c>
      <c r="T120" s="1481"/>
      <c r="U120" s="1515">
        <v>0.03</v>
      </c>
      <c r="V120" s="1482"/>
      <c r="W120" s="1625">
        <f t="shared" si="60"/>
        <v>0</v>
      </c>
      <c r="X120" s="1626"/>
      <c r="Y120" s="1633"/>
      <c r="Z120" s="1627"/>
      <c r="AA120" s="871"/>
      <c r="AB120" s="871"/>
      <c r="AC120" s="1628"/>
      <c r="AF120" s="871"/>
      <c r="AG120" s="871"/>
      <c r="AH120" s="871"/>
      <c r="AI120" s="871"/>
      <c r="AJ120" s="871"/>
      <c r="AK120" s="871"/>
      <c r="AL120" s="871"/>
      <c r="AM120" s="871"/>
      <c r="AN120" s="871"/>
      <c r="AO120" s="871"/>
      <c r="AP120" s="871"/>
      <c r="AQ120" s="871"/>
      <c r="AR120" s="871"/>
      <c r="AS120" s="871"/>
      <c r="AT120" s="871"/>
      <c r="AU120" s="871"/>
      <c r="AV120" s="871"/>
      <c r="AW120" s="871"/>
      <c r="AX120" s="871"/>
      <c r="AY120" s="871"/>
      <c r="AZ120" s="871"/>
      <c r="BA120" s="871"/>
      <c r="BB120" s="871"/>
      <c r="BC120" s="871"/>
      <c r="BD120" s="871"/>
      <c r="BE120" s="871"/>
      <c r="BF120" s="871"/>
      <c r="BG120" s="871"/>
      <c r="BH120" s="871"/>
      <c r="BI120" s="871"/>
      <c r="BJ120" s="871"/>
      <c r="BK120" s="871"/>
      <c r="BL120" s="871"/>
      <c r="BM120" s="871"/>
      <c r="BN120" s="871"/>
      <c r="BO120" s="871"/>
      <c r="BP120" s="871"/>
      <c r="BQ120" s="871"/>
      <c r="BR120" s="871"/>
      <c r="BS120" s="871"/>
      <c r="BT120" s="871"/>
      <c r="BU120" s="871"/>
      <c r="BV120" s="871"/>
      <c r="BW120" s="871"/>
      <c r="BX120" s="871"/>
      <c r="BY120" s="871"/>
      <c r="BZ120" s="871"/>
      <c r="CA120" s="871"/>
      <c r="CB120" s="871"/>
      <c r="CC120" s="871"/>
    </row>
    <row r="121" spans="1:81" ht="11.25" x14ac:dyDescent="0.2">
      <c r="A121" s="871"/>
      <c r="B121" s="1632" t="s">
        <v>1334</v>
      </c>
      <c r="C121" s="1617" t="s">
        <v>948</v>
      </c>
      <c r="D121" s="1617"/>
      <c r="E121" s="1630"/>
      <c r="F121" s="1482"/>
      <c r="G121" s="1634">
        <v>1</v>
      </c>
      <c r="H121" s="1482"/>
      <c r="I121" s="1620">
        <f t="shared" si="57"/>
        <v>0</v>
      </c>
      <c r="J121" s="1481"/>
      <c r="K121" s="1515"/>
      <c r="L121" s="1481"/>
      <c r="M121" s="1515"/>
      <c r="N121" s="1482"/>
      <c r="O121" s="1515"/>
      <c r="P121" s="1482"/>
      <c r="Q121" s="1482"/>
      <c r="R121" s="1482"/>
      <c r="S121" s="1621" t="s">
        <v>1291</v>
      </c>
      <c r="T121" s="1481"/>
      <c r="U121" s="1515">
        <v>0.03</v>
      </c>
      <c r="V121" s="1482"/>
      <c r="W121" s="1625">
        <f t="shared" si="60"/>
        <v>0</v>
      </c>
      <c r="X121" s="1626"/>
      <c r="Y121" s="1633"/>
      <c r="Z121" s="1627"/>
      <c r="AA121" s="871"/>
      <c r="AB121" s="871"/>
      <c r="AC121" s="1628"/>
      <c r="AF121" s="871"/>
      <c r="AG121" s="871"/>
      <c r="AH121" s="871"/>
      <c r="AI121" s="871"/>
      <c r="AJ121" s="871"/>
      <c r="AK121" s="871"/>
      <c r="AL121" s="871"/>
      <c r="AM121" s="871"/>
      <c r="AN121" s="871"/>
      <c r="AO121" s="871"/>
      <c r="AP121" s="871"/>
      <c r="AQ121" s="871"/>
      <c r="AR121" s="871"/>
      <c r="AS121" s="871"/>
      <c r="AT121" s="871"/>
      <c r="AU121" s="871"/>
      <c r="AV121" s="871"/>
      <c r="AW121" s="871"/>
      <c r="AX121" s="871"/>
      <c r="AY121" s="871"/>
      <c r="AZ121" s="871"/>
      <c r="BA121" s="871"/>
      <c r="BB121" s="871"/>
      <c r="BC121" s="871"/>
      <c r="BD121" s="871"/>
      <c r="BE121" s="871"/>
      <c r="BF121" s="871"/>
      <c r="BG121" s="871"/>
      <c r="BH121" s="871"/>
      <c r="BI121" s="871"/>
      <c r="BJ121" s="871"/>
      <c r="BK121" s="871"/>
      <c r="BL121" s="871"/>
      <c r="BM121" s="871"/>
      <c r="BN121" s="871"/>
      <c r="BO121" s="871"/>
      <c r="BP121" s="871"/>
      <c r="BQ121" s="871"/>
      <c r="BR121" s="871"/>
      <c r="BS121" s="871"/>
      <c r="BT121" s="871"/>
      <c r="BU121" s="871"/>
      <c r="BV121" s="871"/>
      <c r="BW121" s="871"/>
      <c r="BX121" s="871"/>
      <c r="BY121" s="871"/>
      <c r="BZ121" s="871"/>
      <c r="CA121" s="871"/>
      <c r="CB121" s="871"/>
      <c r="CC121" s="871"/>
    </row>
    <row r="122" spans="1:81" ht="11.25" x14ac:dyDescent="0.2">
      <c r="A122" s="871"/>
      <c r="B122" s="1632" t="s">
        <v>1335</v>
      </c>
      <c r="C122" s="1617" t="s">
        <v>948</v>
      </c>
      <c r="D122" s="1617"/>
      <c r="E122" s="1630"/>
      <c r="F122" s="1482"/>
      <c r="G122" s="1634">
        <v>1</v>
      </c>
      <c r="H122" s="1482"/>
      <c r="I122" s="1620">
        <f t="shared" si="57"/>
        <v>0</v>
      </c>
      <c r="J122" s="1481"/>
      <c r="K122" s="1515"/>
      <c r="L122" s="1481"/>
      <c r="M122" s="1515"/>
      <c r="N122" s="1482"/>
      <c r="O122" s="1515"/>
      <c r="P122" s="1482"/>
      <c r="Q122" s="1482"/>
      <c r="R122" s="1482"/>
      <c r="S122" s="1621" t="s">
        <v>1291</v>
      </c>
      <c r="T122" s="1481"/>
      <c r="U122" s="1515">
        <v>0.03</v>
      </c>
      <c r="V122" s="1482"/>
      <c r="W122" s="1625">
        <f t="shared" si="60"/>
        <v>0</v>
      </c>
      <c r="X122" s="1626"/>
      <c r="Y122" s="1633"/>
      <c r="Z122" s="1627"/>
      <c r="AA122" s="871"/>
      <c r="AB122" s="871"/>
      <c r="AC122" s="1628"/>
      <c r="AF122" s="871"/>
      <c r="AG122" s="871"/>
      <c r="AH122" s="871"/>
      <c r="AI122" s="871"/>
      <c r="AJ122" s="871"/>
      <c r="AK122" s="871"/>
      <c r="AL122" s="871"/>
      <c r="AM122" s="871"/>
      <c r="AN122" s="871"/>
      <c r="AO122" s="871"/>
      <c r="AP122" s="871"/>
      <c r="AQ122" s="871"/>
      <c r="AR122" s="871"/>
      <c r="AS122" s="871"/>
      <c r="AT122" s="871"/>
      <c r="AU122" s="871"/>
      <c r="AV122" s="871"/>
      <c r="AW122" s="871"/>
      <c r="AX122" s="871"/>
      <c r="AY122" s="871"/>
      <c r="AZ122" s="871"/>
      <c r="BA122" s="871"/>
      <c r="BB122" s="871"/>
      <c r="BC122" s="871"/>
      <c r="BD122" s="871"/>
      <c r="BE122" s="871"/>
      <c r="BF122" s="871"/>
      <c r="BG122" s="871"/>
      <c r="BH122" s="871"/>
      <c r="BI122" s="871"/>
      <c r="BJ122" s="871"/>
      <c r="BK122" s="871"/>
      <c r="BL122" s="871"/>
      <c r="BM122" s="871"/>
      <c r="BN122" s="871"/>
      <c r="BO122" s="871"/>
      <c r="BP122" s="871"/>
      <c r="BQ122" s="871"/>
      <c r="BR122" s="871"/>
      <c r="BS122" s="871"/>
      <c r="BT122" s="871"/>
      <c r="BU122" s="871"/>
      <c r="BV122" s="871"/>
      <c r="BW122" s="871"/>
      <c r="BX122" s="871"/>
      <c r="BY122" s="871"/>
      <c r="BZ122" s="871"/>
      <c r="CA122" s="871"/>
      <c r="CB122" s="871"/>
      <c r="CC122" s="871"/>
    </row>
    <row r="123" spans="1:81" ht="11.25" x14ac:dyDescent="0.2">
      <c r="A123" s="871"/>
      <c r="B123" s="1632" t="s">
        <v>1336</v>
      </c>
      <c r="C123" s="1617" t="s">
        <v>948</v>
      </c>
      <c r="D123" s="1617"/>
      <c r="E123" s="1630"/>
      <c r="F123" s="1482"/>
      <c r="G123" s="1634">
        <v>1</v>
      </c>
      <c r="H123" s="1482"/>
      <c r="I123" s="1620">
        <f t="shared" si="57"/>
        <v>0</v>
      </c>
      <c r="J123" s="1481"/>
      <c r="K123" s="1515"/>
      <c r="L123" s="1481"/>
      <c r="M123" s="1515"/>
      <c r="N123" s="1482"/>
      <c r="O123" s="1515"/>
      <c r="P123" s="1482"/>
      <c r="Q123" s="1482"/>
      <c r="R123" s="1482"/>
      <c r="S123" s="1621" t="s">
        <v>1291</v>
      </c>
      <c r="T123" s="1481"/>
      <c r="U123" s="1515">
        <v>0.03</v>
      </c>
      <c r="V123" s="1482"/>
      <c r="W123" s="1625">
        <f t="shared" si="60"/>
        <v>0</v>
      </c>
      <c r="X123" s="1626"/>
      <c r="Y123" s="1633"/>
      <c r="Z123" s="1627"/>
      <c r="AA123" s="871"/>
      <c r="AB123" s="871"/>
      <c r="AC123" s="1628"/>
      <c r="AF123" s="871"/>
      <c r="AG123" s="871"/>
      <c r="AH123" s="871"/>
      <c r="AI123" s="871"/>
      <c r="AJ123" s="871"/>
      <c r="AK123" s="871"/>
      <c r="AL123" s="871"/>
      <c r="AM123" s="871"/>
      <c r="AN123" s="871"/>
      <c r="AO123" s="871"/>
      <c r="AP123" s="871"/>
      <c r="AQ123" s="871"/>
      <c r="AR123" s="871"/>
      <c r="AS123" s="871"/>
      <c r="AT123" s="871"/>
      <c r="AU123" s="871"/>
      <c r="AV123" s="871"/>
      <c r="AW123" s="871"/>
      <c r="AX123" s="871"/>
      <c r="AY123" s="871"/>
      <c r="AZ123" s="871"/>
      <c r="BA123" s="871"/>
      <c r="BB123" s="871"/>
      <c r="BC123" s="871"/>
      <c r="BD123" s="871"/>
      <c r="BE123" s="871"/>
      <c r="BF123" s="871"/>
      <c r="BG123" s="871"/>
      <c r="BH123" s="871"/>
      <c r="BI123" s="871"/>
      <c r="BJ123" s="871"/>
      <c r="BK123" s="871"/>
      <c r="BL123" s="871"/>
      <c r="BM123" s="871"/>
      <c r="BN123" s="871"/>
      <c r="BO123" s="871"/>
      <c r="BP123" s="871"/>
      <c r="BQ123" s="871"/>
      <c r="BR123" s="871"/>
      <c r="BS123" s="871"/>
      <c r="BT123" s="871"/>
      <c r="BU123" s="871"/>
      <c r="BV123" s="871"/>
      <c r="BW123" s="871"/>
      <c r="BX123" s="871"/>
      <c r="BY123" s="871"/>
      <c r="BZ123" s="871"/>
      <c r="CA123" s="871"/>
      <c r="CB123" s="871"/>
      <c r="CC123" s="871"/>
    </row>
    <row r="124" spans="1:81" ht="11.25" x14ac:dyDescent="0.2">
      <c r="A124" s="871"/>
      <c r="B124" s="1632" t="s">
        <v>1337</v>
      </c>
      <c r="C124" s="1617" t="s">
        <v>948</v>
      </c>
      <c r="D124" s="1617"/>
      <c r="E124" s="1630"/>
      <c r="F124" s="1482"/>
      <c r="G124" s="1634">
        <v>1</v>
      </c>
      <c r="H124" s="1482"/>
      <c r="I124" s="1620">
        <f t="shared" si="57"/>
        <v>0</v>
      </c>
      <c r="J124" s="1481"/>
      <c r="K124" s="1515"/>
      <c r="L124" s="1481"/>
      <c r="M124" s="1515"/>
      <c r="N124" s="1482"/>
      <c r="O124" s="1482"/>
      <c r="P124" s="1482"/>
      <c r="Q124" s="1482"/>
      <c r="R124" s="1482"/>
      <c r="S124" s="1621" t="s">
        <v>1291</v>
      </c>
      <c r="T124" s="1481"/>
      <c r="U124" s="1515">
        <v>0.03</v>
      </c>
      <c r="V124" s="1482"/>
      <c r="W124" s="1625">
        <f t="shared" si="60"/>
        <v>0</v>
      </c>
      <c r="X124" s="1635"/>
      <c r="Y124" s="1633"/>
      <c r="Z124" s="1627"/>
      <c r="AA124" s="871"/>
      <c r="AB124" s="871"/>
      <c r="AC124" s="1628"/>
      <c r="AF124" s="871"/>
      <c r="AG124" s="871"/>
      <c r="AH124" s="871"/>
      <c r="AI124" s="871"/>
      <c r="AJ124" s="871"/>
      <c r="AK124" s="871"/>
      <c r="AL124" s="871"/>
      <c r="AM124" s="871"/>
      <c r="AN124" s="871"/>
      <c r="AO124" s="871"/>
      <c r="AP124" s="871"/>
      <c r="AQ124" s="871"/>
      <c r="AR124" s="871"/>
      <c r="AS124" s="871"/>
      <c r="AT124" s="871"/>
      <c r="AU124" s="871"/>
      <c r="AV124" s="871"/>
      <c r="AW124" s="871"/>
      <c r="AX124" s="871"/>
      <c r="AY124" s="871"/>
      <c r="AZ124" s="871"/>
      <c r="BA124" s="871"/>
      <c r="BB124" s="871"/>
      <c r="BC124" s="871"/>
      <c r="BD124" s="871"/>
      <c r="BE124" s="871"/>
      <c r="BF124" s="871"/>
      <c r="BG124" s="871"/>
      <c r="BH124" s="871"/>
      <c r="BI124" s="871"/>
      <c r="BJ124" s="871"/>
      <c r="BK124" s="871"/>
      <c r="BL124" s="871"/>
      <c r="BM124" s="871"/>
      <c r="BN124" s="871"/>
      <c r="BO124" s="871"/>
      <c r="BP124" s="871"/>
      <c r="BQ124" s="871"/>
      <c r="BR124" s="871"/>
      <c r="BS124" s="871"/>
      <c r="BT124" s="871"/>
      <c r="BU124" s="871"/>
      <c r="BV124" s="871"/>
      <c r="BW124" s="871"/>
      <c r="BX124" s="871"/>
      <c r="BY124" s="871"/>
      <c r="BZ124" s="871"/>
      <c r="CA124" s="871"/>
      <c r="CB124" s="871"/>
      <c r="CC124" s="871"/>
    </row>
    <row r="125" spans="1:81" ht="11.25" x14ac:dyDescent="0.2">
      <c r="A125" s="871"/>
      <c r="B125" s="1490" t="s">
        <v>575</v>
      </c>
      <c r="C125" s="1636"/>
      <c r="D125" s="1636"/>
      <c r="E125" s="1494"/>
      <c r="F125" s="1494"/>
      <c r="G125" s="1494"/>
      <c r="H125" s="1494"/>
      <c r="I125" s="1637">
        <f>SUM(I104:I124)</f>
        <v>3057413.1732974211</v>
      </c>
      <c r="J125" s="1638"/>
      <c r="K125" s="1494"/>
      <c r="L125" s="1638"/>
      <c r="M125" s="1639"/>
      <c r="N125" s="1494"/>
      <c r="O125" s="1494"/>
      <c r="P125" s="1494"/>
      <c r="Q125" s="1494"/>
      <c r="R125" s="1494"/>
      <c r="S125" s="1640">
        <f>SUM(S104:S124)</f>
        <v>34531872.707419515</v>
      </c>
      <c r="T125" s="1641"/>
      <c r="U125" s="1494"/>
      <c r="V125" s="1494"/>
      <c r="W125" s="1640">
        <f>SUM(W104:W124)</f>
        <v>50730692.344441958</v>
      </c>
      <c r="X125" s="1642"/>
      <c r="Y125" s="1494"/>
      <c r="Z125" s="1643"/>
      <c r="AA125" s="1640">
        <f>SUM(AA104:AA105)</f>
        <v>1339.8403079578234</v>
      </c>
      <c r="AB125" s="1494"/>
      <c r="AC125" s="1644">
        <f>SUM(AC104:AC105)</f>
        <v>0.36577640407248579</v>
      </c>
      <c r="AF125" s="871"/>
      <c r="AG125" s="871"/>
      <c r="AH125" s="871"/>
      <c r="AI125" s="871"/>
      <c r="AJ125" s="871"/>
      <c r="AK125" s="871"/>
      <c r="AL125" s="871"/>
      <c r="AM125" s="871"/>
      <c r="AN125" s="871"/>
      <c r="AO125" s="871"/>
      <c r="AP125" s="871"/>
      <c r="AQ125" s="871"/>
      <c r="AR125" s="871"/>
      <c r="AS125" s="871"/>
      <c r="AT125" s="871"/>
      <c r="AU125" s="871"/>
      <c r="AV125" s="871"/>
      <c r="AW125" s="871"/>
      <c r="AX125" s="871"/>
      <c r="AY125" s="871"/>
      <c r="AZ125" s="871"/>
      <c r="BA125" s="871"/>
      <c r="BB125" s="871"/>
      <c r="BC125" s="871"/>
      <c r="BD125" s="871"/>
      <c r="BE125" s="871"/>
      <c r="BF125" s="871"/>
      <c r="BG125" s="871"/>
      <c r="BH125" s="871"/>
      <c r="BI125" s="871"/>
      <c r="BJ125" s="871"/>
      <c r="BK125" s="871"/>
      <c r="BL125" s="871"/>
      <c r="BM125" s="871"/>
      <c r="BN125" s="871"/>
      <c r="BO125" s="871"/>
      <c r="BP125" s="871"/>
      <c r="BQ125" s="871"/>
      <c r="BR125" s="871"/>
      <c r="BS125" s="871"/>
      <c r="BT125" s="871"/>
      <c r="BU125" s="871"/>
      <c r="BV125" s="871"/>
      <c r="BW125" s="871"/>
      <c r="BX125" s="871"/>
      <c r="BY125" s="871"/>
      <c r="BZ125" s="871"/>
      <c r="CA125" s="871"/>
      <c r="CB125" s="871"/>
      <c r="CC125" s="871"/>
    </row>
    <row r="126" spans="1:81" ht="11.25" x14ac:dyDescent="0.2">
      <c r="A126" s="871"/>
      <c r="B126" s="882"/>
      <c r="C126" s="882"/>
      <c r="D126" s="882"/>
      <c r="E126" s="871"/>
      <c r="F126" s="871"/>
      <c r="G126" s="871"/>
      <c r="H126" s="871"/>
      <c r="I126" s="871"/>
      <c r="J126" s="871"/>
      <c r="K126" s="1645"/>
      <c r="L126" s="1645"/>
      <c r="M126" s="878"/>
      <c r="N126" s="871"/>
      <c r="O126" s="871"/>
      <c r="P126" s="871"/>
      <c r="Q126" s="871"/>
      <c r="R126" s="871"/>
      <c r="S126" s="1645"/>
      <c r="T126" s="1646"/>
      <c r="U126" s="871"/>
      <c r="V126" s="871"/>
      <c r="W126" s="1647"/>
      <c r="X126" s="871"/>
      <c r="Y126" s="871"/>
      <c r="Z126" s="1627"/>
      <c r="AA126" s="871"/>
      <c r="AB126" s="871"/>
      <c r="AC126" s="871"/>
      <c r="AD126" s="871"/>
      <c r="AE126" s="871"/>
      <c r="AF126" s="871"/>
      <c r="AG126" s="871"/>
      <c r="AH126" s="871"/>
      <c r="AI126" s="871"/>
      <c r="AJ126" s="871"/>
      <c r="AK126" s="871"/>
      <c r="AL126" s="871"/>
      <c r="AM126" s="871"/>
      <c r="AN126" s="871"/>
      <c r="AO126" s="871"/>
      <c r="AP126" s="871"/>
      <c r="AQ126" s="871"/>
      <c r="AR126" s="871"/>
      <c r="AS126" s="871"/>
      <c r="AT126" s="871"/>
      <c r="AU126" s="871"/>
      <c r="AV126" s="871"/>
      <c r="AW126" s="871"/>
      <c r="AX126" s="871"/>
      <c r="AY126" s="871"/>
      <c r="AZ126" s="871"/>
      <c r="BA126" s="871"/>
      <c r="BB126" s="871"/>
      <c r="BC126" s="871"/>
      <c r="BD126" s="871"/>
      <c r="BE126" s="871"/>
      <c r="BF126" s="871"/>
      <c r="BG126" s="871"/>
      <c r="BH126" s="871"/>
      <c r="BI126" s="871"/>
      <c r="BJ126" s="871"/>
      <c r="BK126" s="871"/>
      <c r="BL126" s="871"/>
      <c r="BM126" s="871"/>
      <c r="BN126" s="871"/>
      <c r="BO126" s="871"/>
      <c r="BP126" s="871"/>
      <c r="BQ126" s="871"/>
      <c r="BR126" s="871"/>
      <c r="BS126" s="871"/>
      <c r="BT126" s="871"/>
      <c r="BU126" s="871"/>
      <c r="BV126" s="871"/>
      <c r="BW126" s="871"/>
      <c r="BX126" s="871"/>
      <c r="BY126" s="871"/>
      <c r="BZ126" s="871"/>
      <c r="CA126" s="871"/>
      <c r="CB126" s="871"/>
      <c r="CC126" s="871"/>
    </row>
    <row r="127" spans="1:81" ht="11.25" x14ac:dyDescent="0.2">
      <c r="A127" s="871"/>
      <c r="B127" s="1648"/>
      <c r="C127" s="1649"/>
      <c r="D127" s="1649"/>
      <c r="E127" s="1649"/>
      <c r="F127" s="1649"/>
      <c r="G127" s="1650"/>
      <c r="H127" s="1651"/>
      <c r="I127" s="1652"/>
      <c r="J127" s="1651"/>
      <c r="K127" s="1653"/>
      <c r="L127" s="1589"/>
      <c r="M127" s="1653"/>
      <c r="N127" s="1589"/>
      <c r="O127" s="1589"/>
      <c r="P127" s="1589"/>
      <c r="Q127" s="1589"/>
      <c r="R127" s="1589"/>
      <c r="S127" s="1589"/>
      <c r="T127" s="1589"/>
      <c r="U127" s="1589"/>
    </row>
    <row r="128" spans="1:81" ht="15.75" x14ac:dyDescent="0.25">
      <c r="A128" s="1628"/>
      <c r="B128" s="1654" t="s">
        <v>1340</v>
      </c>
      <c r="C128" s="1582"/>
      <c r="D128" s="1582"/>
      <c r="E128" s="1582"/>
      <c r="F128" s="1586"/>
      <c r="G128" s="1586"/>
      <c r="H128" s="1583"/>
      <c r="I128" s="1586"/>
      <c r="J128" s="1583"/>
      <c r="K128" s="1584"/>
      <c r="L128" s="1585"/>
      <c r="M128" s="1584"/>
      <c r="N128" s="1585"/>
      <c r="O128" s="1585"/>
      <c r="P128" s="1585"/>
      <c r="Q128" s="1585"/>
      <c r="R128" s="1585"/>
      <c r="S128" s="1585"/>
      <c r="T128" s="1585"/>
      <c r="U128" s="1585"/>
      <c r="V128" s="1585"/>
      <c r="W128" s="1585"/>
      <c r="X128" s="1585"/>
      <c r="Y128" s="1587"/>
    </row>
    <row r="129" spans="1:81" ht="53.45" customHeight="1" x14ac:dyDescent="0.2">
      <c r="A129" s="871"/>
      <c r="B129" s="1810" t="s">
        <v>1341</v>
      </c>
      <c r="C129" s="1814" t="s">
        <v>1906</v>
      </c>
      <c r="D129" s="1880"/>
      <c r="E129" s="1881" t="s">
        <v>1907</v>
      </c>
      <c r="F129" s="1882"/>
      <c r="G129" s="1500" t="s">
        <v>1908</v>
      </c>
      <c r="H129" s="1642"/>
      <c r="I129" s="1500" t="s">
        <v>1342</v>
      </c>
      <c r="J129" s="1642"/>
      <c r="K129" s="1814" t="s">
        <v>1909</v>
      </c>
      <c r="L129" s="1814"/>
      <c r="M129" s="1814" t="s">
        <v>1910</v>
      </c>
      <c r="N129" s="1880"/>
      <c r="O129" s="1500" t="s">
        <v>1905</v>
      </c>
      <c r="P129" s="1814"/>
      <c r="Q129" s="1500" t="s">
        <v>1911</v>
      </c>
      <c r="R129" s="1814"/>
      <c r="S129" s="1500" t="s">
        <v>1912</v>
      </c>
      <c r="T129" s="1883"/>
      <c r="U129" s="1500" t="s">
        <v>1308</v>
      </c>
      <c r="V129" s="1642"/>
      <c r="W129" s="1500" t="s">
        <v>1343</v>
      </c>
      <c r="X129" s="1429"/>
      <c r="Y129" s="1656" t="s">
        <v>1344</v>
      </c>
      <c r="Z129" s="871"/>
      <c r="AA129" s="871"/>
      <c r="AB129" s="871"/>
      <c r="AC129" s="871"/>
      <c r="AD129" s="871"/>
      <c r="AE129" s="871"/>
      <c r="AF129" s="871"/>
      <c r="AG129" s="871"/>
      <c r="AH129" s="871"/>
      <c r="AI129" s="871"/>
      <c r="AJ129" s="871"/>
      <c r="AK129" s="871"/>
      <c r="AL129" s="871"/>
      <c r="AM129" s="871"/>
      <c r="AN129" s="871"/>
      <c r="AO129" s="871"/>
      <c r="AP129" s="871"/>
      <c r="AQ129" s="871"/>
      <c r="AR129" s="871"/>
      <c r="AS129" s="871"/>
      <c r="AT129" s="871"/>
      <c r="AU129" s="871"/>
      <c r="AV129" s="871"/>
      <c r="AW129" s="871"/>
      <c r="AX129" s="871"/>
      <c r="AY129" s="871"/>
      <c r="AZ129" s="871"/>
      <c r="BA129" s="871"/>
      <c r="BB129" s="871"/>
      <c r="BC129" s="871"/>
      <c r="BD129" s="871"/>
      <c r="BE129" s="871"/>
      <c r="BF129" s="871"/>
      <c r="BG129" s="871"/>
      <c r="BH129" s="871"/>
      <c r="BI129" s="871"/>
      <c r="BJ129" s="871"/>
      <c r="BK129" s="871"/>
      <c r="BL129" s="871"/>
      <c r="BM129" s="871"/>
      <c r="BN129" s="871"/>
      <c r="BO129" s="871"/>
      <c r="BP129" s="871"/>
      <c r="BQ129" s="871"/>
      <c r="BR129" s="871"/>
      <c r="BS129" s="871"/>
      <c r="BT129" s="871"/>
      <c r="BU129" s="871"/>
      <c r="BV129" s="871"/>
      <c r="BW129" s="871"/>
      <c r="BX129" s="871"/>
      <c r="BY129" s="871"/>
      <c r="BZ129" s="871"/>
      <c r="CA129" s="871"/>
      <c r="CB129" s="871"/>
      <c r="CC129" s="871"/>
    </row>
    <row r="130" spans="1:81" ht="11.25" x14ac:dyDescent="0.2">
      <c r="A130" s="871"/>
      <c r="B130" s="1657" t="s">
        <v>1345</v>
      </c>
      <c r="C130" s="1658">
        <v>29777727</v>
      </c>
      <c r="D130" s="1659"/>
      <c r="E130" s="1660">
        <f>$C130*0.65+$C143*0.35</f>
        <v>29777727</v>
      </c>
      <c r="F130" s="1661"/>
      <c r="G130" s="1662">
        <v>0.1</v>
      </c>
      <c r="H130" s="1663"/>
      <c r="I130" s="1546" t="s">
        <v>1346</v>
      </c>
      <c r="J130" s="1663"/>
      <c r="K130" s="1664">
        <f>($E130*(1-G130))</f>
        <v>26799954.300000001</v>
      </c>
      <c r="L130" s="1664"/>
      <c r="M130" s="1664">
        <f>$E130*G130</f>
        <v>2977772.7</v>
      </c>
      <c r="O130" s="1610">
        <v>0.01</v>
      </c>
      <c r="Q130" s="1665">
        <f t="shared" ref="Q130:Q131" si="62">K130/1000*O130*44/28</f>
        <v>421.14213900000004</v>
      </c>
      <c r="S130" s="1665">
        <f t="shared" ref="S130:S131" si="63">M130/1000*O130*44/28</f>
        <v>46.793570999999993</v>
      </c>
      <c r="U130" s="1666">
        <f t="shared" ref="U130:U131" si="64">Q130*O$18/1000000</f>
        <v>0.114971803947</v>
      </c>
      <c r="V130" s="1663"/>
      <c r="W130" s="1666">
        <f t="shared" ref="W130:W131" si="65">S130*O$18/1000000</f>
        <v>1.2774644882999998E-2</v>
      </c>
      <c r="X130" s="1663"/>
      <c r="Y130" s="1614">
        <f t="shared" ref="Y130:Y131" si="66">U130+W130</f>
        <v>0.12774644883</v>
      </c>
      <c r="Z130" s="871"/>
      <c r="AA130" s="871"/>
      <c r="AB130" s="871"/>
      <c r="AC130" s="871"/>
      <c r="AD130" s="871"/>
      <c r="AE130" s="871"/>
      <c r="AF130" s="871"/>
      <c r="AG130" s="871"/>
      <c r="AH130" s="871"/>
      <c r="AI130" s="871"/>
      <c r="AJ130" s="871"/>
      <c r="AK130" s="871"/>
      <c r="AL130" s="871"/>
      <c r="AM130" s="871"/>
      <c r="AN130" s="871"/>
      <c r="AO130" s="871"/>
      <c r="AP130" s="871"/>
      <c r="AQ130" s="871"/>
      <c r="AR130" s="871"/>
      <c r="AS130" s="871"/>
      <c r="AT130" s="871"/>
      <c r="AU130" s="871"/>
      <c r="AV130" s="871"/>
      <c r="AW130" s="871"/>
      <c r="AX130" s="871"/>
      <c r="AY130" s="871"/>
      <c r="AZ130" s="871"/>
      <c r="BA130" s="871"/>
      <c r="BB130" s="871"/>
      <c r="BC130" s="871"/>
      <c r="BD130" s="871"/>
      <c r="BE130" s="871"/>
      <c r="BF130" s="871"/>
      <c r="BG130" s="871"/>
      <c r="BH130" s="871"/>
      <c r="BI130" s="871"/>
      <c r="BJ130" s="871"/>
      <c r="BK130" s="871"/>
      <c r="BL130" s="871"/>
      <c r="BM130" s="871"/>
      <c r="BN130" s="871"/>
      <c r="BO130" s="871"/>
      <c r="BP130" s="871"/>
      <c r="BQ130" s="871"/>
      <c r="BR130" s="871"/>
      <c r="BS130" s="871"/>
      <c r="BT130" s="871"/>
      <c r="BU130" s="871"/>
      <c r="BV130" s="871"/>
      <c r="BW130" s="871"/>
      <c r="BX130" s="871"/>
      <c r="BY130" s="871"/>
      <c r="BZ130" s="871"/>
      <c r="CA130" s="871"/>
      <c r="CB130" s="871"/>
      <c r="CC130" s="871"/>
    </row>
    <row r="131" spans="1:81" ht="11.25" x14ac:dyDescent="0.2">
      <c r="A131" s="871"/>
      <c r="B131" s="1667" t="s">
        <v>1347</v>
      </c>
      <c r="C131" s="1668">
        <f>SUM(C132:C138)</f>
        <v>73689</v>
      </c>
      <c r="D131" s="1668"/>
      <c r="E131" s="1669">
        <f>SUM(E132:E138)</f>
        <v>73689</v>
      </c>
      <c r="F131" s="1670"/>
      <c r="G131" s="1671">
        <v>0.2</v>
      </c>
      <c r="H131" s="1398"/>
      <c r="I131" s="1398">
        <v>4.1000000000000002E-2</v>
      </c>
      <c r="J131" s="1398"/>
      <c r="K131" s="1672">
        <f>$E140*I131*(1-G131)</f>
        <v>2359.7960000000003</v>
      </c>
      <c r="L131" s="1672"/>
      <c r="M131" s="1673">
        <f>$E140*G131*I131</f>
        <v>589.94900000000007</v>
      </c>
      <c r="N131" s="1672"/>
      <c r="O131" s="1674">
        <v>0.01</v>
      </c>
      <c r="P131" s="1672"/>
      <c r="Q131" s="1675">
        <f t="shared" si="62"/>
        <v>3.7082508571428571E-2</v>
      </c>
      <c r="R131" s="1672"/>
      <c r="S131" s="1675">
        <f t="shared" si="63"/>
        <v>9.2706271428571428E-3</v>
      </c>
      <c r="T131" s="1672"/>
      <c r="U131" s="1676">
        <f t="shared" si="64"/>
        <v>1.012352484E-5</v>
      </c>
      <c r="V131" s="1672"/>
      <c r="W131" s="1676">
        <f t="shared" si="65"/>
        <v>2.53088121E-6</v>
      </c>
      <c r="X131" s="1672"/>
      <c r="Y131" s="1677">
        <f t="shared" si="66"/>
        <v>1.2654406050000001E-5</v>
      </c>
      <c r="Z131" s="871"/>
      <c r="AA131" s="871"/>
      <c r="AB131" s="871"/>
      <c r="AC131" s="871"/>
      <c r="AD131" s="871"/>
      <c r="AE131" s="871"/>
      <c r="AF131" s="871"/>
      <c r="AG131" s="871"/>
      <c r="AH131" s="871"/>
      <c r="AI131" s="871"/>
      <c r="AJ131" s="871"/>
      <c r="AK131" s="871"/>
      <c r="AL131" s="871"/>
      <c r="AM131" s="871"/>
      <c r="AN131" s="871"/>
      <c r="AO131" s="871"/>
      <c r="AP131" s="871"/>
      <c r="AQ131" s="871"/>
      <c r="AR131" s="871"/>
      <c r="AS131" s="871"/>
      <c r="AT131" s="871"/>
      <c r="AU131" s="871"/>
      <c r="AV131" s="871"/>
      <c r="AW131" s="871"/>
      <c r="AX131" s="871"/>
      <c r="AY131" s="871"/>
      <c r="AZ131" s="871"/>
      <c r="BA131" s="871"/>
      <c r="BB131" s="871"/>
      <c r="BC131" s="871"/>
      <c r="BD131" s="871"/>
      <c r="BE131" s="871"/>
      <c r="BF131" s="871"/>
      <c r="BG131" s="871"/>
      <c r="BH131" s="871"/>
      <c r="BI131" s="871"/>
      <c r="BJ131" s="871"/>
      <c r="BK131" s="871"/>
      <c r="BL131" s="871"/>
      <c r="BM131" s="871"/>
      <c r="BN131" s="871"/>
      <c r="BO131" s="871"/>
      <c r="BP131" s="871"/>
      <c r="BQ131" s="871"/>
      <c r="BR131" s="871"/>
      <c r="BS131" s="871"/>
      <c r="BT131" s="871"/>
      <c r="BU131" s="871"/>
      <c r="BV131" s="871"/>
      <c r="BW131" s="871"/>
      <c r="BX131" s="871"/>
      <c r="BY131" s="871"/>
      <c r="BZ131" s="871"/>
      <c r="CA131" s="871"/>
      <c r="CB131" s="871"/>
      <c r="CC131" s="871"/>
    </row>
    <row r="132" spans="1:81" ht="11.25" x14ac:dyDescent="0.2">
      <c r="A132" s="871"/>
      <c r="B132" s="1678" t="s">
        <v>1348</v>
      </c>
      <c r="C132" s="1658"/>
      <c r="D132" s="1659"/>
      <c r="E132" s="1660">
        <f t="shared" ref="E132:E138" si="67">$C132*0.65+$C145*0.35</f>
        <v>0</v>
      </c>
      <c r="F132" s="1679"/>
      <c r="G132" s="1173"/>
      <c r="H132" s="1679"/>
      <c r="I132" s="871"/>
      <c r="J132" s="871"/>
      <c r="K132" s="1173"/>
      <c r="L132" s="1173"/>
      <c r="M132" s="1173"/>
      <c r="N132" s="1173"/>
      <c r="O132" s="1173"/>
      <c r="P132" s="875"/>
      <c r="Q132" s="875"/>
      <c r="R132" s="875"/>
      <c r="S132" s="875"/>
      <c r="T132" s="875"/>
      <c r="U132" s="875"/>
      <c r="V132" s="871"/>
      <c r="W132" s="1490" t="s">
        <v>575</v>
      </c>
      <c r="X132" s="1494"/>
      <c r="Y132" s="1680">
        <f>SUM(Y130:Y131)</f>
        <v>0.12775910323605</v>
      </c>
      <c r="Z132" s="871"/>
      <c r="AA132" s="871"/>
      <c r="AB132" s="871"/>
      <c r="AC132" s="871"/>
      <c r="AD132" s="871"/>
      <c r="AE132" s="871"/>
      <c r="AF132" s="871"/>
      <c r="AG132" s="871"/>
      <c r="AH132" s="871"/>
      <c r="AI132" s="871"/>
      <c r="AJ132" s="871"/>
      <c r="AK132" s="871"/>
      <c r="AL132" s="871"/>
      <c r="AM132" s="871"/>
      <c r="AN132" s="871"/>
      <c r="AO132" s="871"/>
      <c r="AP132" s="871"/>
      <c r="AQ132" s="871"/>
      <c r="AR132" s="871"/>
      <c r="AS132" s="871"/>
      <c r="AT132" s="871"/>
      <c r="AU132" s="871"/>
      <c r="AV132" s="871"/>
      <c r="AW132" s="871"/>
      <c r="AX132" s="871"/>
      <c r="AY132" s="871"/>
      <c r="AZ132" s="871"/>
      <c r="BA132" s="871"/>
      <c r="BB132" s="871"/>
      <c r="BC132" s="871"/>
      <c r="BD132" s="871"/>
      <c r="BE132" s="871"/>
      <c r="BF132" s="871"/>
      <c r="BG132" s="871"/>
      <c r="BH132" s="871"/>
      <c r="BI132" s="871"/>
      <c r="BJ132" s="871"/>
      <c r="BK132" s="871"/>
      <c r="BL132" s="871"/>
      <c r="BM132" s="871"/>
      <c r="BN132" s="871"/>
      <c r="BO132" s="871"/>
      <c r="BP132" s="871"/>
      <c r="BQ132" s="871"/>
      <c r="BR132" s="871"/>
      <c r="BS132" s="871"/>
      <c r="BT132" s="871"/>
      <c r="BU132" s="871"/>
      <c r="BV132" s="871"/>
      <c r="BW132" s="871"/>
      <c r="BX132" s="871"/>
      <c r="BY132" s="871"/>
      <c r="BZ132" s="871"/>
      <c r="CA132" s="871"/>
      <c r="CB132" s="871"/>
      <c r="CC132" s="871"/>
    </row>
    <row r="133" spans="1:81" ht="11.25" x14ac:dyDescent="0.2">
      <c r="A133" s="871"/>
      <c r="B133" s="1484" t="s">
        <v>1350</v>
      </c>
      <c r="C133" s="1618"/>
      <c r="D133" s="876"/>
      <c r="E133" s="1681">
        <f t="shared" si="67"/>
        <v>0</v>
      </c>
      <c r="F133" s="1679"/>
      <c r="G133" s="1679"/>
      <c r="H133" s="1679"/>
      <c r="I133" s="1173"/>
      <c r="J133" s="1173"/>
      <c r="K133" s="1173"/>
      <c r="L133" s="1173"/>
      <c r="M133" s="1173"/>
      <c r="N133" s="875"/>
      <c r="O133" s="875"/>
      <c r="P133" s="875"/>
      <c r="Q133" s="875"/>
      <c r="R133" s="875"/>
      <c r="S133" s="875"/>
      <c r="T133" s="871"/>
      <c r="U133" s="871"/>
      <c r="V133" s="871"/>
      <c r="W133" s="871"/>
      <c r="X133" s="871"/>
      <c r="Y133" s="871"/>
      <c r="Z133" s="871"/>
      <c r="AA133" s="871"/>
      <c r="AB133" s="871"/>
      <c r="AC133" s="871"/>
      <c r="AD133" s="871"/>
      <c r="AE133" s="871"/>
      <c r="AF133" s="871"/>
      <c r="AG133" s="871"/>
      <c r="AH133" s="871"/>
      <c r="AI133" s="871"/>
      <c r="AJ133" s="871"/>
      <c r="AK133" s="871"/>
      <c r="AL133" s="871"/>
      <c r="AM133" s="871"/>
      <c r="AN133" s="871"/>
      <c r="AO133" s="871"/>
      <c r="AP133" s="871"/>
      <c r="AQ133" s="871"/>
      <c r="AR133" s="871"/>
      <c r="AS133" s="871"/>
      <c r="AT133" s="871"/>
      <c r="AU133" s="871"/>
      <c r="AV133" s="871"/>
      <c r="AW133" s="871"/>
      <c r="AX133" s="871"/>
      <c r="AY133" s="871"/>
      <c r="AZ133" s="871"/>
      <c r="BA133" s="871"/>
      <c r="BB133" s="871"/>
      <c r="BC133" s="871"/>
      <c r="BD133" s="871"/>
      <c r="BE133" s="871"/>
      <c r="BF133" s="871"/>
      <c r="BG133" s="871"/>
      <c r="BH133" s="871"/>
      <c r="BI133" s="871"/>
      <c r="BJ133" s="871"/>
      <c r="BK133" s="871"/>
      <c r="BL133" s="871"/>
      <c r="BM133" s="871"/>
      <c r="BN133" s="871"/>
      <c r="BO133" s="871"/>
      <c r="BP133" s="871"/>
      <c r="BQ133" s="871"/>
      <c r="BR133" s="871"/>
      <c r="BS133" s="871"/>
      <c r="BT133" s="871"/>
      <c r="BU133" s="871"/>
      <c r="BV133" s="871"/>
      <c r="BW133" s="871"/>
      <c r="BX133" s="871"/>
      <c r="BY133" s="871"/>
      <c r="BZ133" s="871"/>
      <c r="CA133" s="871"/>
      <c r="CB133" s="871"/>
      <c r="CC133" s="871"/>
    </row>
    <row r="134" spans="1:81" ht="11.25" x14ac:dyDescent="0.2">
      <c r="A134" s="871"/>
      <c r="B134" s="1484" t="s">
        <v>1351</v>
      </c>
      <c r="C134" s="1618">
        <f>1744</f>
        <v>1744</v>
      </c>
      <c r="D134" s="876"/>
      <c r="E134" s="1681">
        <f t="shared" si="67"/>
        <v>1744</v>
      </c>
      <c r="F134" s="1679"/>
      <c r="G134" s="1679"/>
      <c r="H134" s="1679"/>
      <c r="I134" s="1173"/>
      <c r="J134" s="1173"/>
      <c r="K134" s="1173"/>
      <c r="L134" s="1173"/>
      <c r="M134" s="1173"/>
      <c r="N134" s="875"/>
      <c r="O134" s="875"/>
      <c r="P134" s="875"/>
      <c r="Q134" s="875"/>
      <c r="R134" s="875"/>
      <c r="S134" s="875"/>
      <c r="T134" s="871"/>
      <c r="U134" s="871"/>
      <c r="V134" s="871"/>
      <c r="W134" s="871"/>
      <c r="X134" s="871"/>
      <c r="Y134" s="871"/>
      <c r="Z134" s="871"/>
      <c r="AA134" s="871"/>
      <c r="AB134" s="871"/>
      <c r="AC134" s="871"/>
      <c r="AD134" s="871"/>
      <c r="AE134" s="871"/>
      <c r="AF134" s="871"/>
      <c r="AG134" s="871"/>
      <c r="AH134" s="871"/>
      <c r="AI134" s="871"/>
      <c r="AJ134" s="871"/>
      <c r="AK134" s="871"/>
      <c r="AL134" s="871"/>
      <c r="AM134" s="871"/>
      <c r="AN134" s="871"/>
      <c r="AO134" s="871"/>
      <c r="AP134" s="871"/>
      <c r="AQ134" s="871"/>
      <c r="AR134" s="871"/>
      <c r="AS134" s="871"/>
      <c r="AT134" s="871"/>
      <c r="AU134" s="871"/>
      <c r="AV134" s="871"/>
      <c r="AW134" s="871"/>
      <c r="AX134" s="871"/>
      <c r="AY134" s="871"/>
      <c r="AZ134" s="871"/>
      <c r="BA134" s="871"/>
      <c r="BB134" s="871"/>
      <c r="BC134" s="871"/>
      <c r="BD134" s="871"/>
      <c r="BE134" s="871"/>
      <c r="BF134" s="871"/>
      <c r="BG134" s="871"/>
      <c r="BH134" s="871"/>
      <c r="BI134" s="871"/>
      <c r="BJ134" s="871"/>
      <c r="BK134" s="871"/>
      <c r="BL134" s="871"/>
      <c r="BM134" s="871"/>
      <c r="BN134" s="871"/>
      <c r="BO134" s="871"/>
      <c r="BP134" s="871"/>
      <c r="BQ134" s="871"/>
      <c r="BR134" s="871"/>
      <c r="BS134" s="871"/>
      <c r="BT134" s="871"/>
      <c r="BU134" s="871"/>
      <c r="BV134" s="871"/>
      <c r="BW134" s="871"/>
      <c r="BX134" s="871"/>
      <c r="BY134" s="871"/>
      <c r="BZ134" s="871"/>
      <c r="CA134" s="871"/>
      <c r="CB134" s="871"/>
      <c r="CC134" s="871"/>
    </row>
    <row r="135" spans="1:81" ht="11.25" x14ac:dyDescent="0.2">
      <c r="A135" s="871"/>
      <c r="B135" s="1484" t="s">
        <v>1352</v>
      </c>
      <c r="C135" s="1618">
        <f>46269</f>
        <v>46269</v>
      </c>
      <c r="D135" s="876"/>
      <c r="E135" s="1681">
        <f t="shared" si="67"/>
        <v>46269</v>
      </c>
      <c r="F135" s="1679"/>
      <c r="G135" s="1679"/>
      <c r="H135" s="1679"/>
      <c r="I135" s="1173"/>
      <c r="J135" s="1173"/>
      <c r="K135" s="1173"/>
      <c r="L135" s="1173"/>
      <c r="M135" s="1173"/>
      <c r="N135" s="875"/>
      <c r="O135" s="875"/>
      <c r="P135" s="875"/>
      <c r="Q135" s="875"/>
      <c r="R135" s="875"/>
      <c r="S135" s="875"/>
      <c r="T135" s="871"/>
      <c r="U135" s="871"/>
      <c r="V135" s="871"/>
      <c r="W135" s="871"/>
      <c r="X135" s="871"/>
      <c r="Y135" s="871"/>
      <c r="Z135" s="871"/>
      <c r="AA135" s="871"/>
      <c r="AB135" s="871"/>
      <c r="AC135" s="871"/>
      <c r="AD135" s="871"/>
      <c r="AE135" s="871"/>
      <c r="AF135" s="871"/>
      <c r="AG135" s="871"/>
      <c r="AH135" s="871"/>
      <c r="AI135" s="871"/>
      <c r="AJ135" s="871"/>
      <c r="AK135" s="871"/>
      <c r="AL135" s="871"/>
      <c r="AM135" s="871"/>
      <c r="AN135" s="871"/>
      <c r="AO135" s="871"/>
      <c r="AP135" s="871"/>
      <c r="AQ135" s="871"/>
      <c r="AR135" s="871"/>
      <c r="AS135" s="871"/>
      <c r="AT135" s="871"/>
      <c r="AU135" s="871"/>
      <c r="AV135" s="871"/>
      <c r="AW135" s="871"/>
      <c r="AX135" s="871"/>
      <c r="AY135" s="871"/>
      <c r="AZ135" s="871"/>
      <c r="BA135" s="871"/>
      <c r="BB135" s="871"/>
      <c r="BC135" s="871"/>
      <c r="BD135" s="871"/>
      <c r="BE135" s="871"/>
      <c r="BF135" s="871"/>
      <c r="BG135" s="871"/>
      <c r="BH135" s="871"/>
      <c r="BI135" s="871"/>
      <c r="BJ135" s="871"/>
      <c r="BK135" s="871"/>
      <c r="BL135" s="871"/>
      <c r="BM135" s="871"/>
      <c r="BN135" s="871"/>
      <c r="BO135" s="871"/>
      <c r="BP135" s="871"/>
      <c r="BQ135" s="871"/>
      <c r="BR135" s="871"/>
      <c r="BS135" s="871"/>
      <c r="BT135" s="871"/>
      <c r="BU135" s="871"/>
      <c r="BV135" s="871"/>
      <c r="BW135" s="871"/>
      <c r="BX135" s="871"/>
      <c r="BY135" s="871"/>
      <c r="BZ135" s="871"/>
      <c r="CA135" s="871"/>
      <c r="CB135" s="871"/>
      <c r="CC135" s="871"/>
    </row>
    <row r="136" spans="1:81" ht="11.25" x14ac:dyDescent="0.2">
      <c r="A136" s="871"/>
      <c r="B136" s="1484" t="s">
        <v>1353</v>
      </c>
      <c r="C136" s="1618"/>
      <c r="D136" s="876"/>
      <c r="E136" s="1681">
        <f t="shared" si="67"/>
        <v>0</v>
      </c>
      <c r="F136" s="1679"/>
      <c r="G136" s="1679"/>
      <c r="H136" s="1679"/>
      <c r="I136" s="1173"/>
      <c r="J136" s="1173"/>
      <c r="K136" s="1173"/>
      <c r="L136" s="1173"/>
      <c r="M136" s="1173"/>
      <c r="N136" s="875"/>
      <c r="O136" s="875"/>
      <c r="P136" s="875"/>
      <c r="Q136" s="875"/>
      <c r="R136" s="875"/>
      <c r="S136" s="875"/>
      <c r="T136" s="871"/>
      <c r="U136" s="871"/>
      <c r="V136" s="871"/>
      <c r="W136" s="871"/>
      <c r="X136" s="871"/>
      <c r="Y136" s="871"/>
      <c r="Z136" s="871"/>
      <c r="AA136" s="871"/>
      <c r="AB136" s="871"/>
      <c r="AC136" s="871"/>
      <c r="AD136" s="871"/>
      <c r="AE136" s="871"/>
      <c r="AF136" s="871"/>
      <c r="AG136" s="871"/>
      <c r="AH136" s="871"/>
      <c r="AI136" s="871"/>
      <c r="AJ136" s="871"/>
      <c r="AK136" s="871"/>
      <c r="AL136" s="871"/>
      <c r="AM136" s="871"/>
      <c r="AN136" s="871"/>
      <c r="AO136" s="871"/>
      <c r="AP136" s="871"/>
      <c r="AQ136" s="871"/>
      <c r="AR136" s="871"/>
      <c r="AS136" s="871"/>
      <c r="AT136" s="871"/>
      <c r="AU136" s="871"/>
      <c r="AV136" s="871"/>
      <c r="AW136" s="871"/>
      <c r="AX136" s="871"/>
      <c r="AY136" s="871"/>
      <c r="AZ136" s="871"/>
      <c r="BA136" s="871"/>
      <c r="BB136" s="871"/>
      <c r="BC136" s="871"/>
      <c r="BD136" s="871"/>
      <c r="BE136" s="871"/>
      <c r="BF136" s="871"/>
      <c r="BG136" s="871"/>
      <c r="BH136" s="871"/>
      <c r="BI136" s="871"/>
      <c r="BJ136" s="871"/>
      <c r="BK136" s="871"/>
      <c r="BL136" s="871"/>
      <c r="BM136" s="871"/>
      <c r="BN136" s="871"/>
      <c r="BO136" s="871"/>
      <c r="BP136" s="871"/>
      <c r="BQ136" s="871"/>
      <c r="BR136" s="871"/>
      <c r="BS136" s="871"/>
      <c r="BT136" s="871"/>
      <c r="BU136" s="871"/>
      <c r="BV136" s="871"/>
      <c r="BW136" s="871"/>
      <c r="BX136" s="871"/>
      <c r="BY136" s="871"/>
      <c r="BZ136" s="871"/>
      <c r="CA136" s="871"/>
      <c r="CB136" s="871"/>
      <c r="CC136" s="871"/>
    </row>
    <row r="137" spans="1:81" ht="11.25" x14ac:dyDescent="0.2">
      <c r="A137" s="871"/>
      <c r="B137" s="1484" t="s">
        <v>1354</v>
      </c>
      <c r="C137" s="1618"/>
      <c r="D137" s="876"/>
      <c r="E137" s="1681">
        <f t="shared" si="67"/>
        <v>0</v>
      </c>
      <c r="F137" s="1679"/>
      <c r="G137" s="1679"/>
      <c r="H137" s="1679"/>
      <c r="I137" s="1173"/>
      <c r="J137" s="1173"/>
      <c r="K137" s="1173"/>
      <c r="L137" s="1173"/>
      <c r="M137" s="1173"/>
      <c r="N137" s="875"/>
      <c r="O137" s="875"/>
      <c r="P137" s="875"/>
      <c r="Q137" s="875"/>
      <c r="R137" s="875"/>
      <c r="S137" s="875"/>
      <c r="T137" s="871"/>
      <c r="U137" s="871"/>
      <c r="V137" s="871"/>
      <c r="W137" s="871"/>
      <c r="X137" s="871"/>
      <c r="Y137" s="871"/>
      <c r="Z137" s="871"/>
      <c r="AA137" s="871"/>
      <c r="AB137" s="871"/>
      <c r="AC137" s="871"/>
      <c r="AD137" s="871"/>
      <c r="AE137" s="871"/>
      <c r="AF137" s="871"/>
      <c r="AG137" s="871"/>
      <c r="AH137" s="871"/>
      <c r="AI137" s="871"/>
      <c r="AJ137" s="871"/>
      <c r="AK137" s="871"/>
      <c r="AL137" s="871"/>
      <c r="AM137" s="871"/>
      <c r="AN137" s="871"/>
      <c r="AO137" s="871"/>
      <c r="AP137" s="871"/>
      <c r="AQ137" s="871"/>
      <c r="AR137" s="871"/>
      <c r="AS137" s="871"/>
      <c r="AT137" s="871"/>
      <c r="AU137" s="871"/>
      <c r="AV137" s="871"/>
      <c r="AW137" s="871"/>
      <c r="AX137" s="871"/>
      <c r="AY137" s="871"/>
      <c r="AZ137" s="871"/>
      <c r="BA137" s="871"/>
      <c r="BB137" s="871"/>
      <c r="BC137" s="871"/>
      <c r="BD137" s="871"/>
      <c r="BE137" s="871"/>
      <c r="BF137" s="871"/>
      <c r="BG137" s="871"/>
      <c r="BH137" s="871"/>
      <c r="BI137" s="871"/>
      <c r="BJ137" s="871"/>
      <c r="BK137" s="871"/>
      <c r="BL137" s="871"/>
      <c r="BM137" s="871"/>
      <c r="BN137" s="871"/>
      <c r="BO137" s="871"/>
      <c r="BP137" s="871"/>
      <c r="BQ137" s="871"/>
      <c r="BR137" s="871"/>
      <c r="BS137" s="871"/>
      <c r="BT137" s="871"/>
      <c r="BU137" s="871"/>
      <c r="BV137" s="871"/>
      <c r="BW137" s="871"/>
      <c r="BX137" s="871"/>
      <c r="BY137" s="871"/>
      <c r="BZ137" s="871"/>
      <c r="CA137" s="871"/>
      <c r="CB137" s="871"/>
      <c r="CC137" s="871"/>
    </row>
    <row r="138" spans="1:81" ht="11.25" x14ac:dyDescent="0.2">
      <c r="A138" s="871"/>
      <c r="B138" s="1484" t="s">
        <v>1355</v>
      </c>
      <c r="C138" s="1618">
        <f>25676</f>
        <v>25676</v>
      </c>
      <c r="D138" s="876"/>
      <c r="E138" s="1681">
        <f t="shared" si="67"/>
        <v>25676</v>
      </c>
      <c r="F138" s="1679"/>
      <c r="G138" s="1679"/>
      <c r="H138" s="1679"/>
      <c r="I138" s="1173"/>
      <c r="J138" s="1682"/>
      <c r="K138" s="1173"/>
      <c r="L138" s="1173"/>
      <c r="M138" s="1173"/>
      <c r="N138" s="875"/>
      <c r="O138" s="875"/>
      <c r="P138" s="875"/>
      <c r="Q138" s="875"/>
      <c r="R138" s="875"/>
      <c r="S138" s="875"/>
      <c r="T138" s="871"/>
      <c r="U138" s="871"/>
      <c r="V138" s="871"/>
      <c r="W138" s="871"/>
      <c r="X138" s="871"/>
      <c r="Y138" s="871"/>
      <c r="Z138" s="871"/>
      <c r="AA138" s="871"/>
      <c r="AB138" s="871"/>
      <c r="AC138" s="871"/>
      <c r="AD138" s="871"/>
      <c r="AE138" s="871"/>
      <c r="AF138" s="871"/>
      <c r="AG138" s="871"/>
      <c r="AH138" s="871"/>
      <c r="AI138" s="871"/>
      <c r="AJ138" s="871"/>
      <c r="AK138" s="871"/>
      <c r="AL138" s="871"/>
      <c r="AM138" s="871"/>
      <c r="AN138" s="871"/>
      <c r="AO138" s="871"/>
      <c r="AP138" s="871"/>
      <c r="AQ138" s="871"/>
      <c r="AR138" s="871"/>
      <c r="AS138" s="871"/>
      <c r="AT138" s="871"/>
      <c r="AU138" s="871"/>
      <c r="AV138" s="871"/>
      <c r="AW138" s="871"/>
      <c r="AX138" s="871"/>
      <c r="AY138" s="871"/>
      <c r="AZ138" s="871"/>
      <c r="BA138" s="871"/>
      <c r="BB138" s="871"/>
      <c r="BC138" s="871"/>
      <c r="BD138" s="871"/>
      <c r="BE138" s="871"/>
      <c r="BF138" s="871"/>
      <c r="BG138" s="871"/>
      <c r="BH138" s="871"/>
      <c r="BI138" s="871"/>
      <c r="BJ138" s="871"/>
      <c r="BK138" s="871"/>
      <c r="BL138" s="871"/>
      <c r="BM138" s="871"/>
      <c r="BN138" s="871"/>
      <c r="BO138" s="871"/>
      <c r="BP138" s="871"/>
      <c r="BQ138" s="871"/>
      <c r="BR138" s="871"/>
      <c r="BS138" s="871"/>
      <c r="BT138" s="871"/>
      <c r="BU138" s="871"/>
      <c r="BV138" s="871"/>
      <c r="BW138" s="871"/>
      <c r="BX138" s="871"/>
      <c r="BY138" s="871"/>
      <c r="BZ138" s="871"/>
      <c r="CA138" s="871"/>
      <c r="CB138" s="871"/>
      <c r="CC138" s="871"/>
    </row>
    <row r="139" spans="1:81" ht="11.25" x14ac:dyDescent="0.2">
      <c r="A139" s="871"/>
      <c r="B139" s="1683" t="s">
        <v>1356</v>
      </c>
      <c r="C139" s="1684">
        <f>C134/C131</f>
        <v>2.3667033071421786E-2</v>
      </c>
      <c r="D139" s="876"/>
      <c r="E139" s="1685">
        <f>E134/E131</f>
        <v>2.3667033071421786E-2</v>
      </c>
      <c r="F139" s="1679"/>
      <c r="G139" s="1679"/>
      <c r="H139" s="1679"/>
      <c r="I139" s="1679"/>
      <c r="J139" s="1679"/>
      <c r="K139" s="1679"/>
      <c r="L139" s="1679"/>
      <c r="M139" s="1679"/>
      <c r="N139" s="871"/>
      <c r="O139" s="871"/>
      <c r="P139" s="871"/>
      <c r="Q139" s="871"/>
      <c r="R139" s="871"/>
      <c r="S139" s="871"/>
      <c r="T139" s="871"/>
      <c r="U139" s="871"/>
      <c r="V139" s="871"/>
      <c r="W139" s="871"/>
      <c r="X139" s="871"/>
      <c r="Y139" s="871"/>
      <c r="Z139" s="871"/>
      <c r="AA139" s="871"/>
      <c r="AB139" s="871"/>
      <c r="AC139" s="871"/>
      <c r="AD139" s="871"/>
      <c r="AE139" s="871"/>
      <c r="AF139" s="871"/>
      <c r="AG139" s="871"/>
      <c r="AH139" s="871"/>
      <c r="AI139" s="871"/>
      <c r="AJ139" s="871"/>
      <c r="AK139" s="871"/>
      <c r="AL139" s="871"/>
      <c r="AM139" s="871"/>
      <c r="AN139" s="871"/>
      <c r="AO139" s="871"/>
      <c r="AP139" s="871"/>
      <c r="AQ139" s="871"/>
      <c r="AR139" s="871"/>
      <c r="AS139" s="871"/>
      <c r="AT139" s="871"/>
      <c r="AU139" s="871"/>
      <c r="AV139" s="871"/>
      <c r="AW139" s="871"/>
      <c r="AX139" s="871"/>
      <c r="AY139" s="871"/>
      <c r="AZ139" s="871"/>
      <c r="BA139" s="871"/>
      <c r="BB139" s="871"/>
      <c r="BC139" s="871"/>
      <c r="BD139" s="871"/>
      <c r="BE139" s="871"/>
      <c r="BF139" s="871"/>
      <c r="BG139" s="871"/>
      <c r="BH139" s="871"/>
      <c r="BI139" s="871"/>
      <c r="BJ139" s="871"/>
      <c r="BK139" s="871"/>
      <c r="BL139" s="871"/>
      <c r="BM139" s="871"/>
      <c r="BN139" s="871"/>
      <c r="BO139" s="871"/>
      <c r="BP139" s="871"/>
      <c r="BQ139" s="871"/>
      <c r="BR139" s="871"/>
      <c r="BS139" s="871"/>
      <c r="BT139" s="871"/>
      <c r="BU139" s="871"/>
      <c r="BV139" s="871"/>
      <c r="BW139" s="871"/>
      <c r="BX139" s="871"/>
      <c r="BY139" s="871"/>
      <c r="BZ139" s="871"/>
      <c r="CA139" s="871"/>
      <c r="CB139" s="871"/>
      <c r="CC139" s="871"/>
    </row>
    <row r="140" spans="1:81" ht="11.25" x14ac:dyDescent="0.2">
      <c r="A140" s="871"/>
      <c r="B140" s="1683" t="s">
        <v>1357</v>
      </c>
      <c r="C140" s="876">
        <f>C131*(1-C139)</f>
        <v>71945</v>
      </c>
      <c r="D140" s="876"/>
      <c r="E140" s="1686">
        <f>E131*(1-E139)</f>
        <v>71945</v>
      </c>
      <c r="F140" s="1679"/>
      <c r="G140" s="1679"/>
      <c r="H140" s="1679"/>
      <c r="I140" s="1679"/>
      <c r="J140" s="1679"/>
      <c r="K140" s="1679"/>
      <c r="L140" s="1679"/>
      <c r="M140" s="1679"/>
      <c r="N140" s="871"/>
      <c r="O140" s="871"/>
      <c r="P140" s="871"/>
      <c r="Q140" s="871"/>
      <c r="R140" s="871"/>
      <c r="S140" s="871"/>
      <c r="T140" s="871"/>
      <c r="U140" s="871"/>
      <c r="V140" s="871"/>
      <c r="W140" s="871"/>
      <c r="X140" s="871"/>
      <c r="Y140" s="871"/>
      <c r="Z140" s="871"/>
      <c r="AA140" s="871"/>
      <c r="AB140" s="871"/>
      <c r="AC140" s="871"/>
      <c r="AD140" s="871"/>
      <c r="AE140" s="871"/>
      <c r="AF140" s="871"/>
      <c r="AG140" s="871"/>
      <c r="AH140" s="871"/>
      <c r="AI140" s="871"/>
      <c r="AJ140" s="871"/>
      <c r="AK140" s="871"/>
      <c r="AL140" s="871"/>
      <c r="AM140" s="871"/>
      <c r="AN140" s="871"/>
      <c r="AO140" s="871"/>
      <c r="AP140" s="871"/>
      <c r="AQ140" s="871"/>
      <c r="AR140" s="871"/>
      <c r="AS140" s="871"/>
      <c r="AT140" s="871"/>
      <c r="AU140" s="871"/>
      <c r="AV140" s="871"/>
      <c r="AW140" s="871"/>
      <c r="AX140" s="871"/>
      <c r="AY140" s="871"/>
      <c r="AZ140" s="871"/>
      <c r="BA140" s="871"/>
      <c r="BB140" s="871"/>
      <c r="BC140" s="871"/>
      <c r="BD140" s="871"/>
      <c r="BE140" s="871"/>
      <c r="BF140" s="871"/>
      <c r="BG140" s="871"/>
      <c r="BH140" s="871"/>
      <c r="BI140" s="871"/>
      <c r="BJ140" s="871"/>
      <c r="BK140" s="871"/>
      <c r="BL140" s="871"/>
      <c r="BM140" s="871"/>
      <c r="BN140" s="871"/>
      <c r="BO140" s="871"/>
      <c r="BP140" s="871"/>
      <c r="BQ140" s="871"/>
      <c r="BR140" s="871"/>
      <c r="BS140" s="871"/>
      <c r="BT140" s="871"/>
      <c r="BU140" s="871"/>
      <c r="BV140" s="871"/>
      <c r="BW140" s="871"/>
      <c r="BX140" s="871"/>
      <c r="BY140" s="871"/>
      <c r="BZ140" s="871"/>
      <c r="CA140" s="871"/>
      <c r="CB140" s="871"/>
      <c r="CC140" s="871"/>
    </row>
    <row r="141" spans="1:81" ht="11.25" x14ac:dyDescent="0.2">
      <c r="A141" s="871"/>
      <c r="B141" s="1687" t="s">
        <v>1358</v>
      </c>
      <c r="C141" s="877">
        <f>C131*C139</f>
        <v>1744</v>
      </c>
      <c r="D141" s="877"/>
      <c r="E141" s="1688">
        <f>E131*E139</f>
        <v>1744</v>
      </c>
      <c r="F141" s="1679"/>
      <c r="G141" s="1679"/>
      <c r="H141" s="1679"/>
      <c r="I141" s="1679"/>
      <c r="J141" s="1679"/>
      <c r="K141" s="1679"/>
      <c r="L141" s="1679"/>
      <c r="M141" s="1679"/>
      <c r="N141" s="871"/>
      <c r="O141" s="871"/>
      <c r="P141" s="871"/>
      <c r="Q141" s="871"/>
      <c r="R141" s="871"/>
      <c r="S141" s="871"/>
      <c r="T141" s="871"/>
      <c r="U141" s="871"/>
      <c r="V141" s="871"/>
      <c r="W141" s="871"/>
      <c r="X141" s="871"/>
      <c r="Y141" s="871"/>
      <c r="Z141" s="871"/>
      <c r="AA141" s="871"/>
      <c r="AB141" s="871"/>
      <c r="AC141" s="871"/>
      <c r="AD141" s="871"/>
      <c r="AE141" s="871"/>
      <c r="AF141" s="871"/>
      <c r="AG141" s="871"/>
      <c r="AH141" s="871"/>
      <c r="AI141" s="871"/>
      <c r="AJ141" s="871"/>
      <c r="AK141" s="871"/>
      <c r="AL141" s="871"/>
      <c r="AM141" s="871"/>
      <c r="AN141" s="871"/>
      <c r="AO141" s="871"/>
      <c r="AP141" s="871"/>
      <c r="AQ141" s="871"/>
      <c r="AR141" s="871"/>
      <c r="AS141" s="871"/>
      <c r="AT141" s="871"/>
      <c r="AU141" s="871"/>
      <c r="AV141" s="871"/>
      <c r="AW141" s="871"/>
      <c r="AX141" s="871"/>
      <c r="AY141" s="871"/>
      <c r="AZ141" s="871"/>
      <c r="BA141" s="871"/>
      <c r="BB141" s="871"/>
      <c r="BC141" s="871"/>
      <c r="BD141" s="871"/>
      <c r="BE141" s="871"/>
      <c r="BF141" s="871"/>
      <c r="BG141" s="871"/>
      <c r="BH141" s="871"/>
      <c r="BI141" s="871"/>
      <c r="BJ141" s="871"/>
      <c r="BK141" s="871"/>
      <c r="BL141" s="871"/>
      <c r="BM141" s="871"/>
      <c r="BN141" s="871"/>
      <c r="BO141" s="871"/>
      <c r="BP141" s="871"/>
      <c r="BQ141" s="871"/>
      <c r="BR141" s="871"/>
      <c r="BS141" s="871"/>
      <c r="BT141" s="871"/>
      <c r="BU141" s="871"/>
      <c r="BV141" s="871"/>
      <c r="BW141" s="871"/>
      <c r="BX141" s="871"/>
      <c r="BY141" s="871"/>
      <c r="BZ141" s="871"/>
      <c r="CA141" s="871"/>
      <c r="CB141" s="871"/>
      <c r="CC141" s="871"/>
    </row>
    <row r="142" spans="1:81" ht="33.75" x14ac:dyDescent="0.2">
      <c r="A142" s="1655"/>
      <c r="B142" s="1689" t="s">
        <v>1359</v>
      </c>
      <c r="C142" s="1690" t="s">
        <v>1906</v>
      </c>
      <c r="D142" s="1647"/>
      <c r="E142" s="1691"/>
      <c r="F142" s="871"/>
      <c r="G142" s="871"/>
      <c r="H142" s="871"/>
      <c r="I142" s="871"/>
      <c r="J142" s="871"/>
      <c r="K142" s="871"/>
      <c r="L142" s="871"/>
      <c r="M142" s="871"/>
      <c r="N142" s="871"/>
      <c r="O142" s="871"/>
      <c r="P142" s="871"/>
      <c r="Q142" s="871"/>
      <c r="R142" s="871"/>
      <c r="S142" s="871"/>
      <c r="T142" s="871"/>
      <c r="U142" s="871"/>
      <c r="V142" s="871"/>
      <c r="W142" s="871"/>
      <c r="X142" s="871"/>
      <c r="Y142" s="871"/>
      <c r="Z142" s="871"/>
      <c r="AA142" s="871"/>
      <c r="AB142" s="871"/>
      <c r="AC142" s="871"/>
      <c r="AD142" s="871"/>
      <c r="AE142" s="871"/>
      <c r="AF142" s="871"/>
      <c r="AG142" s="871"/>
      <c r="AH142" s="871"/>
      <c r="AI142" s="871"/>
      <c r="AJ142" s="871"/>
      <c r="AK142" s="871"/>
      <c r="AL142" s="871"/>
      <c r="AM142" s="871"/>
      <c r="AN142" s="871"/>
      <c r="AO142" s="871"/>
      <c r="AP142" s="871"/>
      <c r="AQ142" s="871"/>
      <c r="AR142" s="871"/>
      <c r="AS142" s="871"/>
      <c r="AT142" s="871"/>
      <c r="AU142" s="871"/>
      <c r="AV142" s="871"/>
      <c r="AW142" s="871"/>
      <c r="AX142" s="871"/>
      <c r="AY142" s="871"/>
      <c r="AZ142" s="871"/>
      <c r="BA142" s="871"/>
      <c r="BB142" s="871"/>
      <c r="BC142" s="871"/>
      <c r="BD142" s="871"/>
      <c r="BE142" s="871"/>
      <c r="BF142" s="871"/>
      <c r="BG142" s="871"/>
      <c r="BH142" s="871"/>
      <c r="BI142" s="871"/>
      <c r="BJ142" s="871"/>
      <c r="BK142" s="871"/>
      <c r="BL142" s="871"/>
      <c r="BM142" s="871"/>
      <c r="BN142" s="871"/>
      <c r="BO142" s="871"/>
      <c r="BP142" s="871"/>
      <c r="BQ142" s="871"/>
      <c r="BR142" s="871"/>
      <c r="BS142" s="871"/>
      <c r="BT142" s="871"/>
      <c r="BU142" s="871"/>
      <c r="BV142" s="871"/>
      <c r="BW142" s="871"/>
      <c r="BX142" s="871"/>
      <c r="BY142" s="871"/>
      <c r="BZ142" s="871"/>
      <c r="CA142" s="871"/>
      <c r="CB142" s="871"/>
      <c r="CC142" s="871"/>
    </row>
    <row r="143" spans="1:81" ht="11.25" x14ac:dyDescent="0.2">
      <c r="A143" s="871"/>
      <c r="B143" s="1657" t="s">
        <v>1345</v>
      </c>
      <c r="C143" s="1692">
        <f>C130</f>
        <v>29777727</v>
      </c>
      <c r="D143" s="1679"/>
      <c r="E143" s="1679"/>
      <c r="F143" s="871"/>
      <c r="G143" s="871"/>
      <c r="H143" s="871"/>
      <c r="I143" s="871"/>
      <c r="J143" s="871"/>
      <c r="K143" s="871"/>
      <c r="L143" s="871"/>
      <c r="M143" s="871"/>
      <c r="N143" s="871"/>
      <c r="O143" s="871"/>
      <c r="P143" s="871"/>
      <c r="Q143" s="871"/>
      <c r="R143" s="871"/>
      <c r="S143" s="871"/>
      <c r="T143" s="871"/>
      <c r="U143" s="871"/>
      <c r="V143" s="871"/>
      <c r="W143" s="871"/>
      <c r="X143" s="871"/>
      <c r="Y143" s="871"/>
      <c r="Z143" s="871"/>
      <c r="AA143" s="871"/>
      <c r="AB143" s="871"/>
      <c r="AC143" s="871"/>
      <c r="AD143" s="871"/>
      <c r="AE143" s="871"/>
      <c r="AF143" s="871"/>
      <c r="AG143" s="871"/>
      <c r="AH143" s="871"/>
      <c r="AI143" s="871"/>
      <c r="AJ143" s="871"/>
      <c r="AK143" s="871"/>
      <c r="AL143" s="871"/>
      <c r="AM143" s="871"/>
      <c r="AN143" s="871"/>
      <c r="AO143" s="871"/>
      <c r="AP143" s="871"/>
      <c r="AQ143" s="871"/>
      <c r="AR143" s="871"/>
      <c r="AS143" s="871"/>
      <c r="AT143" s="871"/>
      <c r="AU143" s="871"/>
      <c r="AV143" s="871"/>
      <c r="AW143" s="871"/>
      <c r="AX143" s="871"/>
      <c r="AY143" s="871"/>
      <c r="AZ143" s="871"/>
      <c r="BA143" s="871"/>
      <c r="BB143" s="871"/>
      <c r="BC143" s="871"/>
      <c r="BD143" s="871"/>
      <c r="BE143" s="871"/>
      <c r="BF143" s="871"/>
      <c r="BG143" s="871"/>
      <c r="BH143" s="871"/>
      <c r="BI143" s="871"/>
      <c r="BJ143" s="871"/>
      <c r="BK143" s="871"/>
      <c r="BL143" s="871"/>
      <c r="BM143" s="871"/>
      <c r="BN143" s="871"/>
      <c r="BO143" s="871"/>
      <c r="BP143" s="871"/>
      <c r="BQ143" s="871"/>
      <c r="BR143" s="871"/>
      <c r="BS143" s="871"/>
      <c r="BT143" s="871"/>
      <c r="BU143" s="871"/>
      <c r="BV143" s="871"/>
      <c r="BW143" s="871"/>
      <c r="BX143" s="871"/>
      <c r="BY143" s="871"/>
      <c r="BZ143" s="871"/>
      <c r="CA143" s="871"/>
      <c r="CB143" s="871"/>
      <c r="CC143" s="871"/>
    </row>
    <row r="144" spans="1:81" ht="11.25" x14ac:dyDescent="0.2">
      <c r="A144" s="871"/>
      <c r="B144" s="1693" t="s">
        <v>1347</v>
      </c>
      <c r="C144" s="1694">
        <f>SUM(C145:C151)</f>
        <v>73689</v>
      </c>
      <c r="D144" s="1173"/>
      <c r="E144" s="1173"/>
      <c r="F144" s="871"/>
      <c r="G144" s="871"/>
      <c r="H144" s="871"/>
      <c r="I144" s="871"/>
      <c r="J144" s="871"/>
      <c r="K144" s="871"/>
      <c r="L144" s="871"/>
      <c r="M144" s="871"/>
      <c r="N144" s="871"/>
      <c r="O144" s="871"/>
      <c r="P144" s="871"/>
      <c r="Q144" s="871"/>
      <c r="R144" s="871"/>
      <c r="S144" s="871"/>
      <c r="T144" s="871"/>
      <c r="U144" s="871"/>
      <c r="V144" s="871"/>
      <c r="W144" s="871"/>
      <c r="X144" s="871"/>
      <c r="Y144" s="871"/>
      <c r="Z144" s="871"/>
      <c r="AA144" s="871"/>
      <c r="AB144" s="871"/>
      <c r="AC144" s="871"/>
      <c r="AD144" s="871"/>
      <c r="AE144" s="871"/>
      <c r="AF144" s="871"/>
      <c r="AG144" s="871"/>
      <c r="AH144" s="871"/>
      <c r="AI144" s="871"/>
      <c r="AJ144" s="871"/>
      <c r="AK144" s="871"/>
      <c r="AL144" s="871"/>
      <c r="AM144" s="871"/>
      <c r="AN144" s="871"/>
      <c r="AO144" s="871"/>
      <c r="AP144" s="871"/>
      <c r="AQ144" s="871"/>
      <c r="AR144" s="871"/>
      <c r="AS144" s="871"/>
      <c r="AT144" s="871"/>
      <c r="AU144" s="871"/>
      <c r="AV144" s="871"/>
      <c r="AW144" s="871"/>
      <c r="AX144" s="871"/>
      <c r="AY144" s="871"/>
      <c r="AZ144" s="871"/>
      <c r="BA144" s="871"/>
      <c r="BB144" s="871"/>
      <c r="BC144" s="871"/>
      <c r="BD144" s="871"/>
      <c r="BE144" s="871"/>
      <c r="BF144" s="871"/>
      <c r="BG144" s="871"/>
      <c r="BH144" s="871"/>
      <c r="BI144" s="871"/>
      <c r="BJ144" s="871"/>
      <c r="BK144" s="871"/>
      <c r="BL144" s="871"/>
      <c r="BM144" s="871"/>
      <c r="BN144" s="871"/>
      <c r="BO144" s="871"/>
      <c r="BP144" s="871"/>
      <c r="BQ144" s="871"/>
      <c r="BR144" s="871"/>
      <c r="BS144" s="871"/>
      <c r="BT144" s="871"/>
      <c r="BU144" s="871"/>
      <c r="BV144" s="871"/>
      <c r="BW144" s="871"/>
      <c r="BX144" s="871"/>
      <c r="BY144" s="871"/>
      <c r="BZ144" s="871"/>
      <c r="CA144" s="871"/>
      <c r="CB144" s="871"/>
      <c r="CC144" s="871"/>
    </row>
    <row r="145" spans="1:81" ht="11.25" x14ac:dyDescent="0.2">
      <c r="A145" s="871"/>
      <c r="B145" s="1484" t="s">
        <v>1348</v>
      </c>
      <c r="C145" s="1695">
        <f t="shared" ref="C145:C151" si="68">C132</f>
        <v>0</v>
      </c>
      <c r="D145" s="1679"/>
      <c r="E145" s="1679"/>
      <c r="F145" s="1679"/>
      <c r="G145" s="1679"/>
      <c r="H145" s="1173"/>
      <c r="I145" s="1173"/>
      <c r="J145" s="1173"/>
      <c r="K145" s="1173"/>
      <c r="L145" s="1173"/>
      <c r="M145" s="875"/>
      <c r="N145" s="875"/>
      <c r="O145" s="875"/>
      <c r="P145" s="875"/>
      <c r="Q145" s="875"/>
      <c r="R145" s="875"/>
      <c r="S145" s="871"/>
      <c r="T145" s="871"/>
      <c r="U145" s="871"/>
      <c r="V145" s="871"/>
      <c r="W145" s="871"/>
      <c r="X145" s="871"/>
      <c r="Y145" s="871"/>
      <c r="Z145" s="871"/>
      <c r="AA145" s="871"/>
      <c r="AB145" s="871"/>
      <c r="AC145" s="871"/>
      <c r="AD145" s="871"/>
      <c r="AE145" s="871"/>
      <c r="AF145" s="871"/>
      <c r="AG145" s="871"/>
      <c r="AH145" s="871"/>
      <c r="AI145" s="871"/>
      <c r="AJ145" s="871"/>
      <c r="AK145" s="871"/>
      <c r="AL145" s="871"/>
      <c r="AM145" s="871"/>
      <c r="AN145" s="871"/>
      <c r="AO145" s="871"/>
      <c r="AP145" s="871"/>
      <c r="AQ145" s="871"/>
      <c r="AR145" s="871"/>
      <c r="AS145" s="871"/>
      <c r="AT145" s="871"/>
      <c r="AU145" s="871"/>
      <c r="AV145" s="871"/>
      <c r="AW145" s="871"/>
      <c r="AX145" s="871"/>
      <c r="AY145" s="871"/>
      <c r="AZ145" s="871"/>
      <c r="BA145" s="871"/>
      <c r="BB145" s="871"/>
      <c r="BC145" s="871"/>
      <c r="BD145" s="871"/>
      <c r="BE145" s="871"/>
      <c r="BF145" s="871"/>
      <c r="BG145" s="871"/>
      <c r="BH145" s="871"/>
      <c r="BI145" s="871"/>
      <c r="BJ145" s="871"/>
      <c r="BK145" s="871"/>
      <c r="BL145" s="871"/>
      <c r="BM145" s="871"/>
      <c r="BN145" s="871"/>
      <c r="BO145" s="871"/>
      <c r="BP145" s="871"/>
      <c r="BQ145" s="871"/>
      <c r="BR145" s="871"/>
      <c r="BS145" s="871"/>
      <c r="BT145" s="871"/>
      <c r="BU145" s="871"/>
      <c r="BV145" s="871"/>
      <c r="BW145" s="871"/>
      <c r="BX145" s="871"/>
      <c r="BY145" s="871"/>
      <c r="BZ145" s="871"/>
      <c r="CA145" s="871"/>
      <c r="CB145" s="871"/>
      <c r="CC145" s="871"/>
    </row>
    <row r="146" spans="1:81" ht="11.25" x14ac:dyDescent="0.2">
      <c r="A146" s="871"/>
      <c r="B146" s="1484" t="s">
        <v>1350</v>
      </c>
      <c r="C146" s="1695">
        <f t="shared" si="68"/>
        <v>0</v>
      </c>
      <c r="D146" s="1679"/>
      <c r="E146" s="1679"/>
      <c r="F146" s="1679"/>
      <c r="G146" s="1679"/>
      <c r="H146" s="1173"/>
      <c r="I146" s="1173"/>
      <c r="J146" s="1173"/>
      <c r="K146" s="1173"/>
      <c r="L146" s="1173"/>
      <c r="M146" s="875"/>
      <c r="N146" s="875"/>
      <c r="O146" s="875"/>
      <c r="P146" s="875"/>
      <c r="Q146" s="875"/>
      <c r="R146" s="875"/>
      <c r="S146" s="871"/>
      <c r="T146" s="871"/>
      <c r="U146" s="871"/>
      <c r="V146" s="871"/>
      <c r="W146" s="871"/>
      <c r="X146" s="871"/>
      <c r="Y146" s="871"/>
      <c r="Z146" s="871"/>
      <c r="AA146" s="871"/>
      <c r="AB146" s="871"/>
      <c r="AC146" s="871"/>
      <c r="AD146" s="871"/>
      <c r="AE146" s="871"/>
      <c r="AF146" s="871"/>
      <c r="AG146" s="871"/>
      <c r="AH146" s="871"/>
      <c r="AI146" s="871"/>
      <c r="AJ146" s="871"/>
      <c r="AK146" s="871"/>
      <c r="AL146" s="871"/>
      <c r="AM146" s="871"/>
      <c r="AN146" s="871"/>
      <c r="AO146" s="871"/>
      <c r="AP146" s="871"/>
      <c r="AQ146" s="871"/>
      <c r="AR146" s="871"/>
      <c r="AS146" s="871"/>
      <c r="AT146" s="871"/>
      <c r="AU146" s="871"/>
      <c r="AV146" s="871"/>
      <c r="AW146" s="871"/>
      <c r="AX146" s="871"/>
      <c r="AY146" s="871"/>
      <c r="AZ146" s="871"/>
      <c r="BA146" s="871"/>
      <c r="BB146" s="871"/>
      <c r="BC146" s="871"/>
      <c r="BD146" s="871"/>
      <c r="BE146" s="871"/>
      <c r="BF146" s="871"/>
      <c r="BG146" s="871"/>
      <c r="BH146" s="871"/>
      <c r="BI146" s="871"/>
      <c r="BJ146" s="871"/>
      <c r="BK146" s="871"/>
      <c r="BL146" s="871"/>
      <c r="BM146" s="871"/>
      <c r="BN146" s="871"/>
      <c r="BO146" s="871"/>
      <c r="BP146" s="871"/>
      <c r="BQ146" s="871"/>
      <c r="BR146" s="871"/>
      <c r="BS146" s="871"/>
      <c r="BT146" s="871"/>
      <c r="BU146" s="871"/>
      <c r="BV146" s="871"/>
      <c r="BW146" s="871"/>
      <c r="BX146" s="871"/>
      <c r="BY146" s="871"/>
      <c r="BZ146" s="871"/>
      <c r="CA146" s="871"/>
      <c r="CB146" s="871"/>
      <c r="CC146" s="871"/>
    </row>
    <row r="147" spans="1:81" ht="11.25" x14ac:dyDescent="0.2">
      <c r="A147" s="871"/>
      <c r="B147" s="1484" t="s">
        <v>1351</v>
      </c>
      <c r="C147" s="1695">
        <f t="shared" si="68"/>
        <v>1744</v>
      </c>
      <c r="D147" s="1679"/>
      <c r="E147" s="1679"/>
      <c r="F147" s="1679"/>
      <c r="G147" s="1679"/>
      <c r="H147" s="1173"/>
      <c r="I147" s="1173"/>
      <c r="J147" s="1173"/>
      <c r="K147" s="1173"/>
      <c r="L147" s="1173"/>
      <c r="M147" s="875"/>
      <c r="N147" s="875"/>
      <c r="O147" s="875"/>
      <c r="P147" s="875"/>
      <c r="Q147" s="875"/>
      <c r="R147" s="875"/>
      <c r="S147" s="871"/>
      <c r="T147" s="871"/>
      <c r="U147" s="871"/>
      <c r="V147" s="871"/>
      <c r="W147" s="871"/>
      <c r="X147" s="871"/>
      <c r="Y147" s="871"/>
      <c r="Z147" s="871"/>
      <c r="AA147" s="871"/>
      <c r="AB147" s="871"/>
      <c r="AC147" s="871"/>
      <c r="AD147" s="871"/>
      <c r="AE147" s="871"/>
      <c r="AF147" s="871"/>
      <c r="AG147" s="871"/>
      <c r="AH147" s="871"/>
      <c r="AI147" s="871"/>
      <c r="AJ147" s="871"/>
      <c r="AK147" s="871"/>
      <c r="AL147" s="871"/>
      <c r="AM147" s="871"/>
      <c r="AN147" s="871"/>
      <c r="AO147" s="871"/>
      <c r="AP147" s="871"/>
      <c r="AQ147" s="871"/>
      <c r="AR147" s="871"/>
      <c r="AS147" s="871"/>
      <c r="AT147" s="871"/>
      <c r="AU147" s="871"/>
      <c r="AV147" s="871"/>
      <c r="AW147" s="871"/>
      <c r="AX147" s="871"/>
      <c r="AY147" s="871"/>
      <c r="AZ147" s="871"/>
      <c r="BA147" s="871"/>
      <c r="BB147" s="871"/>
      <c r="BC147" s="871"/>
      <c r="BD147" s="871"/>
      <c r="BE147" s="871"/>
      <c r="BF147" s="871"/>
      <c r="BG147" s="871"/>
      <c r="BH147" s="871"/>
      <c r="BI147" s="871"/>
      <c r="BJ147" s="871"/>
      <c r="BK147" s="871"/>
      <c r="BL147" s="871"/>
      <c r="BM147" s="871"/>
      <c r="BN147" s="871"/>
      <c r="BO147" s="871"/>
      <c r="BP147" s="871"/>
      <c r="BQ147" s="871"/>
      <c r="BR147" s="871"/>
      <c r="BS147" s="871"/>
      <c r="BT147" s="871"/>
      <c r="BU147" s="871"/>
      <c r="BV147" s="871"/>
      <c r="BW147" s="871"/>
      <c r="BX147" s="871"/>
      <c r="BY147" s="871"/>
      <c r="BZ147" s="871"/>
      <c r="CA147" s="871"/>
      <c r="CB147" s="871"/>
      <c r="CC147" s="871"/>
    </row>
    <row r="148" spans="1:81" ht="11.25" x14ac:dyDescent="0.2">
      <c r="A148" s="871"/>
      <c r="B148" s="1484" t="s">
        <v>1352</v>
      </c>
      <c r="C148" s="1695">
        <f t="shared" si="68"/>
        <v>46269</v>
      </c>
      <c r="D148" s="1679"/>
      <c r="E148" s="1679"/>
      <c r="F148" s="1679"/>
      <c r="G148" s="1679"/>
      <c r="H148" s="1173"/>
      <c r="I148" s="1173"/>
      <c r="J148" s="1173"/>
      <c r="K148" s="1173"/>
      <c r="L148" s="1173"/>
      <c r="M148" s="875"/>
      <c r="N148" s="875"/>
      <c r="O148" s="875"/>
      <c r="P148" s="875"/>
      <c r="Q148" s="875"/>
      <c r="R148" s="875"/>
      <c r="S148" s="871"/>
      <c r="T148" s="871"/>
      <c r="U148" s="871"/>
      <c r="V148" s="871"/>
      <c r="W148" s="871"/>
      <c r="X148" s="871"/>
      <c r="Y148" s="871"/>
      <c r="Z148" s="871"/>
      <c r="AA148" s="871"/>
      <c r="AB148" s="871"/>
      <c r="AC148" s="871"/>
      <c r="AD148" s="871"/>
      <c r="AE148" s="871"/>
      <c r="AF148" s="871"/>
      <c r="AG148" s="871"/>
      <c r="AH148" s="871"/>
      <c r="AI148" s="871"/>
      <c r="AJ148" s="871"/>
      <c r="AK148" s="871"/>
      <c r="AL148" s="871"/>
      <c r="AM148" s="871"/>
      <c r="AN148" s="871"/>
      <c r="AO148" s="871"/>
      <c r="AP148" s="871"/>
      <c r="AQ148" s="871"/>
      <c r="AR148" s="871"/>
      <c r="AS148" s="871"/>
      <c r="AT148" s="871"/>
      <c r="AU148" s="871"/>
      <c r="AV148" s="871"/>
      <c r="AW148" s="871"/>
      <c r="AX148" s="871"/>
      <c r="AY148" s="871"/>
      <c r="AZ148" s="871"/>
      <c r="BA148" s="871"/>
      <c r="BB148" s="871"/>
      <c r="BC148" s="871"/>
      <c r="BD148" s="871"/>
      <c r="BE148" s="871"/>
      <c r="BF148" s="871"/>
      <c r="BG148" s="871"/>
      <c r="BH148" s="871"/>
      <c r="BI148" s="871"/>
      <c r="BJ148" s="871"/>
      <c r="BK148" s="871"/>
      <c r="BL148" s="871"/>
      <c r="BM148" s="871"/>
      <c r="BN148" s="871"/>
      <c r="BO148" s="871"/>
      <c r="BP148" s="871"/>
      <c r="BQ148" s="871"/>
      <c r="BR148" s="871"/>
      <c r="BS148" s="871"/>
      <c r="BT148" s="871"/>
      <c r="BU148" s="871"/>
      <c r="BV148" s="871"/>
      <c r="BW148" s="871"/>
      <c r="BX148" s="871"/>
      <c r="BY148" s="871"/>
      <c r="BZ148" s="871"/>
      <c r="CA148" s="871"/>
      <c r="CB148" s="871"/>
      <c r="CC148" s="871"/>
    </row>
    <row r="149" spans="1:81" ht="11.25" x14ac:dyDescent="0.2">
      <c r="A149" s="871"/>
      <c r="B149" s="1484" t="s">
        <v>1353</v>
      </c>
      <c r="C149" s="1695">
        <f t="shared" si="68"/>
        <v>0</v>
      </c>
      <c r="D149" s="1679"/>
      <c r="E149" s="1679"/>
      <c r="F149" s="1679"/>
      <c r="G149" s="1679"/>
      <c r="H149" s="1173"/>
      <c r="I149" s="1173"/>
      <c r="J149" s="1173"/>
      <c r="K149" s="1173"/>
      <c r="L149" s="1173"/>
      <c r="M149" s="875"/>
      <c r="N149" s="875"/>
      <c r="O149" s="875"/>
      <c r="P149" s="875"/>
      <c r="Q149" s="875"/>
      <c r="R149" s="875"/>
      <c r="S149" s="871"/>
      <c r="T149" s="871"/>
      <c r="U149" s="871"/>
      <c r="V149" s="871"/>
      <c r="W149" s="871"/>
      <c r="X149" s="871"/>
      <c r="Y149" s="871"/>
      <c r="Z149" s="871"/>
      <c r="AA149" s="871"/>
      <c r="AB149" s="871"/>
      <c r="AC149" s="871"/>
      <c r="AD149" s="871"/>
      <c r="AE149" s="871"/>
      <c r="AF149" s="871"/>
      <c r="AG149" s="871"/>
      <c r="AH149" s="871"/>
      <c r="AI149" s="871"/>
      <c r="AJ149" s="871"/>
      <c r="AK149" s="871"/>
      <c r="AL149" s="871"/>
      <c r="AM149" s="871"/>
      <c r="AN149" s="871"/>
      <c r="AO149" s="871"/>
      <c r="AP149" s="871"/>
      <c r="AQ149" s="871"/>
      <c r="AR149" s="871"/>
      <c r="AS149" s="871"/>
      <c r="AT149" s="871"/>
      <c r="AU149" s="871"/>
      <c r="AV149" s="871"/>
      <c r="AW149" s="871"/>
      <c r="AX149" s="871"/>
      <c r="AY149" s="871"/>
      <c r="AZ149" s="871"/>
      <c r="BA149" s="871"/>
      <c r="BB149" s="871"/>
      <c r="BC149" s="871"/>
      <c r="BD149" s="871"/>
      <c r="BE149" s="871"/>
      <c r="BF149" s="871"/>
      <c r="BG149" s="871"/>
      <c r="BH149" s="871"/>
      <c r="BI149" s="871"/>
      <c r="BJ149" s="871"/>
      <c r="BK149" s="871"/>
      <c r="BL149" s="871"/>
      <c r="BM149" s="871"/>
      <c r="BN149" s="871"/>
      <c r="BO149" s="871"/>
      <c r="BP149" s="871"/>
      <c r="BQ149" s="871"/>
      <c r="BR149" s="871"/>
      <c r="BS149" s="871"/>
      <c r="BT149" s="871"/>
      <c r="BU149" s="871"/>
      <c r="BV149" s="871"/>
      <c r="BW149" s="871"/>
      <c r="BX149" s="871"/>
      <c r="BY149" s="871"/>
      <c r="BZ149" s="871"/>
      <c r="CA149" s="871"/>
      <c r="CB149" s="871"/>
      <c r="CC149" s="871"/>
    </row>
    <row r="150" spans="1:81" ht="11.25" x14ac:dyDescent="0.2">
      <c r="A150" s="871"/>
      <c r="B150" s="1484" t="s">
        <v>1354</v>
      </c>
      <c r="C150" s="1695">
        <f t="shared" si="68"/>
        <v>0</v>
      </c>
      <c r="D150" s="1679"/>
      <c r="E150" s="1679"/>
      <c r="F150" s="1679"/>
      <c r="G150" s="1679"/>
      <c r="H150" s="1173"/>
      <c r="I150" s="1173"/>
      <c r="J150" s="1173"/>
      <c r="K150" s="1173"/>
      <c r="L150" s="1173"/>
      <c r="M150" s="875"/>
      <c r="N150" s="875"/>
      <c r="O150" s="875"/>
      <c r="P150" s="875"/>
      <c r="Q150" s="875"/>
      <c r="R150" s="875"/>
      <c r="S150" s="871"/>
      <c r="T150" s="871"/>
      <c r="U150" s="871"/>
      <c r="V150" s="871"/>
      <c r="W150" s="871"/>
      <c r="X150" s="871"/>
      <c r="Y150" s="871"/>
      <c r="Z150" s="871"/>
      <c r="AA150" s="871"/>
      <c r="AB150" s="871"/>
      <c r="AC150" s="871"/>
      <c r="AD150" s="871"/>
      <c r="AE150" s="871"/>
      <c r="AF150" s="871"/>
      <c r="AG150" s="871"/>
      <c r="AH150" s="871"/>
      <c r="AI150" s="871"/>
      <c r="AJ150" s="871"/>
      <c r="AK150" s="871"/>
      <c r="AL150" s="871"/>
      <c r="AM150" s="871"/>
      <c r="AN150" s="871"/>
      <c r="AO150" s="871"/>
      <c r="AP150" s="871"/>
      <c r="AQ150" s="871"/>
      <c r="AR150" s="871"/>
      <c r="AS150" s="871"/>
      <c r="AT150" s="871"/>
      <c r="AU150" s="871"/>
      <c r="AV150" s="871"/>
      <c r="AW150" s="871"/>
      <c r="AX150" s="871"/>
      <c r="AY150" s="871"/>
      <c r="AZ150" s="871"/>
      <c r="BA150" s="871"/>
      <c r="BB150" s="871"/>
      <c r="BC150" s="871"/>
      <c r="BD150" s="871"/>
      <c r="BE150" s="871"/>
      <c r="BF150" s="871"/>
      <c r="BG150" s="871"/>
      <c r="BH150" s="871"/>
      <c r="BI150" s="871"/>
      <c r="BJ150" s="871"/>
      <c r="BK150" s="871"/>
      <c r="BL150" s="871"/>
      <c r="BM150" s="871"/>
      <c r="BN150" s="871"/>
      <c r="BO150" s="871"/>
      <c r="BP150" s="871"/>
      <c r="BQ150" s="871"/>
      <c r="BR150" s="871"/>
      <c r="BS150" s="871"/>
      <c r="BT150" s="871"/>
      <c r="BU150" s="871"/>
      <c r="BV150" s="871"/>
      <c r="BW150" s="871"/>
      <c r="BX150" s="871"/>
      <c r="BY150" s="871"/>
      <c r="BZ150" s="871"/>
      <c r="CA150" s="871"/>
      <c r="CB150" s="871"/>
      <c r="CC150" s="871"/>
    </row>
    <row r="151" spans="1:81" ht="11.25" x14ac:dyDescent="0.2">
      <c r="A151" s="871"/>
      <c r="B151" s="1484" t="s">
        <v>1355</v>
      </c>
      <c r="C151" s="1695">
        <f t="shared" si="68"/>
        <v>25676</v>
      </c>
      <c r="D151" s="1679"/>
      <c r="E151" s="1679"/>
      <c r="F151" s="1679"/>
      <c r="G151" s="1679"/>
      <c r="H151" s="1173"/>
      <c r="I151" s="1682"/>
      <c r="J151" s="1173"/>
      <c r="K151" s="1173"/>
      <c r="L151" s="1173"/>
      <c r="M151" s="875"/>
      <c r="N151" s="875"/>
      <c r="O151" s="875"/>
      <c r="P151" s="875"/>
      <c r="Q151" s="875"/>
      <c r="R151" s="875"/>
      <c r="S151" s="871"/>
      <c r="T151" s="871"/>
      <c r="U151" s="871"/>
      <c r="V151" s="871"/>
      <c r="W151" s="871"/>
      <c r="X151" s="871"/>
      <c r="Y151" s="871"/>
      <c r="Z151" s="871"/>
      <c r="AA151" s="871"/>
      <c r="AB151" s="871"/>
      <c r="AC151" s="871"/>
      <c r="AD151" s="871"/>
      <c r="AE151" s="871"/>
      <c r="AF151" s="871"/>
      <c r="AG151" s="871"/>
      <c r="AH151" s="871"/>
      <c r="AI151" s="871"/>
      <c r="AJ151" s="871"/>
      <c r="AK151" s="871"/>
      <c r="AL151" s="871"/>
      <c r="AM151" s="871"/>
      <c r="AN151" s="871"/>
      <c r="AO151" s="871"/>
      <c r="AP151" s="871"/>
      <c r="AQ151" s="871"/>
      <c r="AR151" s="871"/>
      <c r="AS151" s="871"/>
      <c r="AT151" s="871"/>
      <c r="AU151" s="871"/>
      <c r="AV151" s="871"/>
      <c r="AW151" s="871"/>
      <c r="AX151" s="871"/>
      <c r="AY151" s="871"/>
      <c r="AZ151" s="871"/>
      <c r="BA151" s="871"/>
      <c r="BB151" s="871"/>
      <c r="BC151" s="871"/>
      <c r="BD151" s="871"/>
      <c r="BE151" s="871"/>
      <c r="BF151" s="871"/>
      <c r="BG151" s="871"/>
      <c r="BH151" s="871"/>
      <c r="BI151" s="871"/>
      <c r="BJ151" s="871"/>
      <c r="BK151" s="871"/>
      <c r="BL151" s="871"/>
      <c r="BM151" s="871"/>
      <c r="BN151" s="871"/>
      <c r="BO151" s="871"/>
      <c r="BP151" s="871"/>
      <c r="BQ151" s="871"/>
      <c r="BR151" s="871"/>
      <c r="BS151" s="871"/>
      <c r="BT151" s="871"/>
      <c r="BU151" s="871"/>
      <c r="BV151" s="871"/>
      <c r="BW151" s="871"/>
      <c r="BX151" s="871"/>
      <c r="BY151" s="871"/>
      <c r="BZ151" s="871"/>
      <c r="CA151" s="871"/>
      <c r="CB151" s="871"/>
      <c r="CC151" s="871"/>
    </row>
    <row r="152" spans="1:81" ht="11.25" x14ac:dyDescent="0.2">
      <c r="A152" s="871"/>
      <c r="B152" s="1683" t="s">
        <v>1356</v>
      </c>
      <c r="C152" s="1685">
        <f>C147/C144</f>
        <v>2.3667033071421786E-2</v>
      </c>
      <c r="D152" s="1679"/>
      <c r="E152" s="1679"/>
      <c r="F152" s="1679"/>
      <c r="G152" s="1679"/>
      <c r="H152" s="1679"/>
      <c r="I152" s="1679"/>
      <c r="J152" s="1679"/>
      <c r="K152" s="1679"/>
      <c r="L152" s="1679"/>
      <c r="M152" s="871"/>
      <c r="N152" s="871"/>
      <c r="O152" s="871"/>
      <c r="P152" s="871"/>
      <c r="Q152" s="871"/>
      <c r="R152" s="871"/>
      <c r="S152" s="871"/>
      <c r="T152" s="871"/>
      <c r="U152" s="871"/>
      <c r="V152" s="871"/>
      <c r="W152" s="871"/>
      <c r="X152" s="871"/>
      <c r="Y152" s="871"/>
      <c r="Z152" s="871"/>
      <c r="AA152" s="871"/>
      <c r="AB152" s="871"/>
      <c r="AC152" s="871"/>
      <c r="AD152" s="871"/>
      <c r="AE152" s="871"/>
      <c r="AF152" s="871"/>
      <c r="AG152" s="871"/>
      <c r="AH152" s="871"/>
      <c r="AI152" s="871"/>
      <c r="AJ152" s="871"/>
      <c r="AK152" s="871"/>
      <c r="AL152" s="871"/>
      <c r="AM152" s="871"/>
      <c r="AN152" s="871"/>
      <c r="AO152" s="871"/>
      <c r="AP152" s="871"/>
      <c r="AQ152" s="871"/>
      <c r="AR152" s="871"/>
      <c r="AS152" s="871"/>
      <c r="AT152" s="871"/>
      <c r="AU152" s="871"/>
      <c r="AV152" s="871"/>
      <c r="AW152" s="871"/>
      <c r="AX152" s="871"/>
      <c r="AY152" s="871"/>
      <c r="AZ152" s="871"/>
      <c r="BA152" s="871"/>
      <c r="BB152" s="871"/>
      <c r="BC152" s="871"/>
      <c r="BD152" s="871"/>
      <c r="BE152" s="871"/>
      <c r="BF152" s="871"/>
      <c r="BG152" s="871"/>
      <c r="BH152" s="871"/>
      <c r="BI152" s="871"/>
      <c r="BJ152" s="871"/>
      <c r="BK152" s="871"/>
      <c r="BL152" s="871"/>
      <c r="BM152" s="871"/>
      <c r="BN152" s="871"/>
      <c r="BO152" s="871"/>
      <c r="BP152" s="871"/>
      <c r="BQ152" s="871"/>
      <c r="BR152" s="871"/>
      <c r="BS152" s="871"/>
      <c r="BT152" s="871"/>
      <c r="BU152" s="871"/>
      <c r="BV152" s="871"/>
      <c r="BW152" s="871"/>
      <c r="BX152" s="871"/>
      <c r="BY152" s="871"/>
      <c r="BZ152" s="871"/>
      <c r="CA152" s="871"/>
      <c r="CB152" s="871"/>
      <c r="CC152" s="871"/>
    </row>
    <row r="153" spans="1:81" ht="11.25" x14ac:dyDescent="0.2">
      <c r="A153" s="871"/>
      <c r="B153" s="1683" t="s">
        <v>1357</v>
      </c>
      <c r="C153" s="1686">
        <f>C144*(1-C152)</f>
        <v>71945</v>
      </c>
      <c r="D153" s="1679"/>
      <c r="E153" s="1679"/>
      <c r="F153" s="1679"/>
      <c r="G153" s="1679"/>
      <c r="H153" s="1679"/>
      <c r="I153" s="1679"/>
      <c r="J153" s="1679"/>
      <c r="K153" s="1679"/>
      <c r="L153" s="1679"/>
      <c r="M153" s="871"/>
      <c r="N153" s="871"/>
      <c r="O153" s="871"/>
      <c r="P153" s="871"/>
      <c r="Q153" s="871"/>
      <c r="R153" s="871"/>
      <c r="S153" s="871"/>
      <c r="T153" s="871"/>
      <c r="U153" s="871"/>
      <c r="V153" s="871"/>
      <c r="W153" s="871"/>
      <c r="X153" s="871"/>
      <c r="Y153" s="871"/>
      <c r="Z153" s="871"/>
      <c r="AA153" s="871"/>
      <c r="AB153" s="871"/>
      <c r="AC153" s="871"/>
      <c r="AD153" s="871"/>
      <c r="AE153" s="871"/>
      <c r="AF153" s="871"/>
      <c r="AG153" s="871"/>
      <c r="AH153" s="871"/>
      <c r="AI153" s="871"/>
      <c r="AJ153" s="871"/>
      <c r="AK153" s="871"/>
      <c r="AL153" s="871"/>
      <c r="AM153" s="871"/>
      <c r="AN153" s="871"/>
      <c r="AO153" s="871"/>
      <c r="AP153" s="871"/>
      <c r="AQ153" s="871"/>
      <c r="AR153" s="871"/>
      <c r="AS153" s="871"/>
      <c r="AT153" s="871"/>
      <c r="AU153" s="871"/>
      <c r="AV153" s="871"/>
      <c r="AW153" s="871"/>
      <c r="AX153" s="871"/>
      <c r="AY153" s="871"/>
      <c r="AZ153" s="871"/>
      <c r="BA153" s="871"/>
      <c r="BB153" s="871"/>
      <c r="BC153" s="871"/>
      <c r="BD153" s="871"/>
      <c r="BE153" s="871"/>
      <c r="BF153" s="871"/>
      <c r="BG153" s="871"/>
      <c r="BH153" s="871"/>
      <c r="BI153" s="871"/>
      <c r="BJ153" s="871"/>
      <c r="BK153" s="871"/>
      <c r="BL153" s="871"/>
      <c r="BM153" s="871"/>
      <c r="BN153" s="871"/>
      <c r="BO153" s="871"/>
      <c r="BP153" s="871"/>
      <c r="BQ153" s="871"/>
      <c r="BR153" s="871"/>
      <c r="BS153" s="871"/>
      <c r="BT153" s="871"/>
      <c r="BU153" s="871"/>
      <c r="BV153" s="871"/>
      <c r="BW153" s="871"/>
      <c r="BX153" s="871"/>
      <c r="BY153" s="871"/>
      <c r="BZ153" s="871"/>
      <c r="CA153" s="871"/>
      <c r="CB153" s="871"/>
      <c r="CC153" s="871"/>
    </row>
    <row r="154" spans="1:81" ht="11.25" x14ac:dyDescent="0.2">
      <c r="A154" s="871"/>
      <c r="B154" s="1687" t="s">
        <v>1358</v>
      </c>
      <c r="C154" s="1688">
        <f>C144*C152</f>
        <v>1744</v>
      </c>
      <c r="D154" s="1679"/>
      <c r="E154" s="1679"/>
      <c r="F154" s="1679"/>
      <c r="G154" s="1679"/>
      <c r="H154" s="1679"/>
      <c r="I154" s="1679"/>
      <c r="J154" s="1679"/>
      <c r="K154" s="1679"/>
      <c r="L154" s="1679"/>
      <c r="M154" s="871"/>
      <c r="N154" s="871"/>
      <c r="O154" s="871"/>
      <c r="P154" s="871"/>
      <c r="Q154" s="871"/>
      <c r="R154" s="871"/>
      <c r="S154" s="871"/>
      <c r="T154" s="871"/>
      <c r="U154" s="871"/>
      <c r="V154" s="871"/>
      <c r="W154" s="871"/>
      <c r="X154" s="871"/>
      <c r="Y154" s="871"/>
      <c r="Z154" s="871"/>
      <c r="AA154" s="871"/>
      <c r="AB154" s="871"/>
      <c r="AC154" s="871"/>
      <c r="AD154" s="871"/>
      <c r="AE154" s="871"/>
      <c r="AF154" s="871"/>
      <c r="AG154" s="871"/>
      <c r="AH154" s="871"/>
      <c r="AI154" s="871"/>
      <c r="AJ154" s="871"/>
      <c r="AK154" s="871"/>
      <c r="AL154" s="871"/>
      <c r="AM154" s="871"/>
      <c r="AN154" s="871"/>
      <c r="AO154" s="871"/>
      <c r="AP154" s="871"/>
      <c r="AQ154" s="871"/>
      <c r="AR154" s="871"/>
      <c r="AS154" s="871"/>
      <c r="AT154" s="871"/>
      <c r="AU154" s="871"/>
      <c r="AV154" s="871"/>
      <c r="AW154" s="871"/>
      <c r="AX154" s="871"/>
      <c r="AY154" s="871"/>
      <c r="AZ154" s="871"/>
      <c r="BA154" s="871"/>
      <c r="BB154" s="871"/>
      <c r="BC154" s="871"/>
      <c r="BD154" s="871"/>
      <c r="BE154" s="871"/>
      <c r="BF154" s="871"/>
      <c r="BG154" s="871"/>
      <c r="BH154" s="871"/>
      <c r="BI154" s="871"/>
      <c r="BJ154" s="871"/>
      <c r="BK154" s="871"/>
      <c r="BL154" s="871"/>
      <c r="BM154" s="871"/>
      <c r="BN154" s="871"/>
      <c r="BO154" s="871"/>
      <c r="BP154" s="871"/>
      <c r="BQ154" s="871"/>
      <c r="BR154" s="871"/>
      <c r="BS154" s="871"/>
      <c r="BT154" s="871"/>
      <c r="BU154" s="871"/>
      <c r="BV154" s="871"/>
      <c r="BW154" s="871"/>
      <c r="BX154" s="871"/>
      <c r="BY154" s="871"/>
      <c r="BZ154" s="871"/>
      <c r="CA154" s="871"/>
      <c r="CB154" s="871"/>
      <c r="CC154" s="871"/>
    </row>
    <row r="155" spans="1:81" ht="11.25" x14ac:dyDescent="0.2">
      <c r="A155" s="871"/>
      <c r="B155" s="1496"/>
      <c r="C155" s="974"/>
      <c r="D155" s="974"/>
      <c r="E155" s="974"/>
      <c r="F155" s="974"/>
      <c r="G155" s="1497"/>
      <c r="H155" s="874"/>
      <c r="I155" s="879"/>
      <c r="J155" s="874"/>
      <c r="K155" s="878"/>
      <c r="L155" s="871"/>
      <c r="M155" s="878"/>
      <c r="N155" s="871"/>
      <c r="O155" s="871"/>
      <c r="P155" s="871"/>
      <c r="Q155" s="871"/>
      <c r="R155" s="871"/>
      <c r="S155" s="871"/>
      <c r="T155" s="871"/>
      <c r="U155" s="871"/>
    </row>
    <row r="156" spans="1:81" ht="11.25" x14ac:dyDescent="0.2">
      <c r="A156" s="871"/>
      <c r="B156" s="1496"/>
      <c r="C156" s="974"/>
      <c r="D156" s="974"/>
      <c r="E156" s="974"/>
      <c r="F156" s="974"/>
      <c r="G156" s="1497"/>
      <c r="H156" s="874"/>
      <c r="I156" s="879"/>
      <c r="J156" s="874"/>
      <c r="K156" s="878"/>
      <c r="L156" s="871"/>
      <c r="M156" s="878"/>
      <c r="N156" s="871"/>
      <c r="O156" s="871"/>
      <c r="P156" s="871"/>
      <c r="Q156" s="871"/>
      <c r="R156" s="871"/>
      <c r="S156" s="871"/>
      <c r="T156" s="871"/>
      <c r="U156" s="871"/>
    </row>
    <row r="157" spans="1:81" ht="15.75" x14ac:dyDescent="0.25">
      <c r="A157" s="1628"/>
      <c r="B157" s="1654" t="s">
        <v>1363</v>
      </c>
      <c r="C157" s="1582"/>
      <c r="D157" s="1582"/>
      <c r="E157" s="1582"/>
      <c r="F157" s="1582"/>
      <c r="G157" s="1582"/>
      <c r="H157" s="1583"/>
      <c r="I157" s="1586"/>
      <c r="J157" s="1583"/>
      <c r="K157" s="1584"/>
      <c r="L157" s="1585"/>
      <c r="M157" s="1584"/>
      <c r="N157" s="1585"/>
      <c r="O157" s="1585"/>
      <c r="P157" s="1585"/>
      <c r="Q157" s="1696"/>
      <c r="R157" s="1696"/>
      <c r="S157" s="1696"/>
      <c r="T157" s="1585"/>
      <c r="U157" s="1585"/>
      <c r="V157" s="1585"/>
      <c r="W157" s="1587"/>
      <c r="X157" s="871"/>
    </row>
    <row r="158" spans="1:81" ht="11.25" x14ac:dyDescent="0.2">
      <c r="A158" s="871"/>
      <c r="B158" s="1697"/>
      <c r="C158" s="1590"/>
      <c r="D158" s="1698"/>
      <c r="E158" s="1698"/>
      <c r="F158" s="1698"/>
      <c r="G158" s="1698"/>
      <c r="H158" s="1589"/>
      <c r="I158" s="1699" t="s">
        <v>1364</v>
      </c>
      <c r="J158" s="1700"/>
      <c r="K158" s="1701"/>
      <c r="L158" s="1702"/>
      <c r="M158" s="1703"/>
      <c r="N158" s="1704"/>
      <c r="O158" s="1705" t="s">
        <v>1365</v>
      </c>
      <c r="P158" s="1706"/>
      <c r="Q158" s="1703"/>
      <c r="R158" s="1704"/>
      <c r="S158" s="1704"/>
      <c r="T158" s="871"/>
      <c r="U158" s="871"/>
      <c r="V158" s="871"/>
      <c r="W158" s="1628"/>
      <c r="AB158" s="871"/>
      <c r="AC158" s="871"/>
      <c r="AD158" s="871"/>
      <c r="AE158" s="871"/>
      <c r="AF158" s="871"/>
      <c r="AG158" s="871"/>
      <c r="AH158" s="871"/>
      <c r="AI158" s="871"/>
      <c r="AJ158" s="871"/>
      <c r="AK158" s="871"/>
      <c r="AL158" s="871"/>
      <c r="AM158" s="871"/>
      <c r="AN158" s="871"/>
      <c r="AO158" s="871"/>
      <c r="AP158" s="871"/>
      <c r="AQ158" s="871"/>
      <c r="AR158" s="871"/>
      <c r="AS158" s="871"/>
      <c r="AT158" s="871"/>
      <c r="AU158" s="871"/>
      <c r="AV158" s="871"/>
      <c r="AW158" s="871"/>
      <c r="AX158" s="871"/>
      <c r="AY158" s="871"/>
      <c r="AZ158" s="871"/>
      <c r="BA158" s="871"/>
      <c r="BB158" s="871"/>
      <c r="BC158" s="871"/>
      <c r="BD158" s="871"/>
      <c r="BE158" s="871"/>
      <c r="BF158" s="871"/>
      <c r="BG158" s="871"/>
      <c r="BH158" s="871"/>
      <c r="BI158" s="871"/>
      <c r="BJ158" s="871"/>
      <c r="BK158" s="871"/>
      <c r="BL158" s="871"/>
      <c r="BM158" s="871"/>
      <c r="BN158" s="871"/>
      <c r="BO158" s="871"/>
      <c r="BP158" s="871"/>
      <c r="BQ158" s="871"/>
      <c r="BR158" s="871"/>
      <c r="BS158" s="871"/>
      <c r="BT158" s="871"/>
      <c r="BU158" s="871"/>
      <c r="BV158" s="871"/>
    </row>
    <row r="159" spans="1:81" ht="40.9" customHeight="1" x14ac:dyDescent="0.2">
      <c r="A159" s="871"/>
      <c r="B159" s="1707"/>
      <c r="C159" s="1708" t="s">
        <v>1913</v>
      </c>
      <c r="D159" s="1709"/>
      <c r="E159" s="1709" t="s">
        <v>1914</v>
      </c>
      <c r="F159" s="1710"/>
      <c r="G159" s="1500" t="s">
        <v>1915</v>
      </c>
      <c r="H159" s="1711"/>
      <c r="I159" s="1712" t="s">
        <v>1367</v>
      </c>
      <c r="J159" s="1594"/>
      <c r="K159" s="1713" t="s">
        <v>1368</v>
      </c>
      <c r="L159" s="1594"/>
      <c r="M159" s="1714" t="s">
        <v>1369</v>
      </c>
      <c r="N159" s="1711"/>
      <c r="O159" s="1594" t="s">
        <v>1370</v>
      </c>
      <c r="P159" s="1594"/>
      <c r="Q159" s="1594" t="s">
        <v>1371</v>
      </c>
      <c r="R159" s="1715"/>
      <c r="S159" s="1594" t="s">
        <v>1372</v>
      </c>
      <c r="T159" s="1716"/>
      <c r="U159" s="1716"/>
      <c r="V159" s="1717"/>
      <c r="W159" s="1718"/>
      <c r="Y159" s="882" t="s">
        <v>1916</v>
      </c>
      <c r="Z159" s="1719"/>
      <c r="AA159" s="1719"/>
      <c r="AB159" s="1719"/>
      <c r="AC159" s="1719"/>
      <c r="AD159" s="1719"/>
      <c r="AE159" s="1719"/>
      <c r="AF159" s="1719"/>
      <c r="AH159" s="873"/>
      <c r="AJ159" s="1719"/>
      <c r="AK159" s="1719"/>
      <c r="AL159" s="1719"/>
      <c r="AM159" s="873"/>
      <c r="AO159" s="1719"/>
      <c r="AP159" s="873"/>
      <c r="AR159" s="1719"/>
      <c r="AS159" s="873"/>
      <c r="AU159" s="1720"/>
      <c r="AV159" s="1720"/>
      <c r="AW159" s="1720"/>
      <c r="AX159" s="1720"/>
      <c r="AY159" s="1720"/>
      <c r="AZ159" s="871"/>
      <c r="BB159" s="1720"/>
      <c r="BC159" s="1720"/>
      <c r="BD159" s="1720"/>
      <c r="BE159" s="1720"/>
      <c r="BF159" s="871"/>
      <c r="BH159" s="1721"/>
      <c r="BI159" s="1721"/>
      <c r="BK159" s="1721"/>
      <c r="BL159" s="1721"/>
      <c r="BM159" s="871"/>
      <c r="BO159" s="1721"/>
      <c r="BP159" s="1721"/>
      <c r="BQ159" s="1721"/>
      <c r="BS159" s="1721"/>
      <c r="BT159" s="871"/>
      <c r="BV159" s="1721"/>
    </row>
    <row r="160" spans="1:81" ht="12.75" x14ac:dyDescent="0.2">
      <c r="A160" s="871"/>
      <c r="B160" s="1722" t="s">
        <v>1240</v>
      </c>
      <c r="C160" s="1723"/>
      <c r="D160" s="1506"/>
      <c r="E160" s="1724"/>
      <c r="F160" s="1725"/>
      <c r="G160" s="1726"/>
      <c r="H160" s="1725"/>
      <c r="I160" s="1727"/>
      <c r="J160" s="1727"/>
      <c r="K160" s="1725"/>
      <c r="L160" s="1725"/>
      <c r="M160" s="1728"/>
      <c r="N160" s="1728"/>
      <c r="O160" s="1729"/>
      <c r="P160" s="1729"/>
      <c r="Q160" s="1728"/>
      <c r="R160" s="1728"/>
      <c r="S160" s="871"/>
      <c r="T160" s="871"/>
      <c r="U160" s="871"/>
      <c r="V160" s="871"/>
      <c r="W160" s="1628"/>
      <c r="Y160" s="871"/>
      <c r="Z160" s="1730" t="s">
        <v>1373</v>
      </c>
      <c r="AA160" s="1731" t="s">
        <v>1374</v>
      </c>
      <c r="AB160" s="1732" t="s">
        <v>1375</v>
      </c>
      <c r="AC160" s="1731" t="s">
        <v>1376</v>
      </c>
      <c r="AD160" s="1731" t="s">
        <v>1377</v>
      </c>
      <c r="AE160" s="1731" t="s">
        <v>1378</v>
      </c>
      <c r="AF160" s="1731" t="s">
        <v>1379</v>
      </c>
      <c r="AH160" s="873"/>
      <c r="BT160" s="871"/>
    </row>
    <row r="161" spans="1:81" ht="12.75" x14ac:dyDescent="0.2">
      <c r="A161" s="871"/>
      <c r="B161" s="1733" t="s">
        <v>1241</v>
      </c>
      <c r="C161" s="1485">
        <f>40</f>
        <v>40</v>
      </c>
      <c r="D161" s="1481"/>
      <c r="E161" s="1514">
        <f>6025016</f>
        <v>6025016</v>
      </c>
      <c r="F161" s="1481"/>
      <c r="G161" s="1514">
        <f t="shared" ref="G161:G162" si="69">(E161*0.2*0.01)/1000</f>
        <v>12.050032</v>
      </c>
      <c r="H161" s="1482"/>
      <c r="I161" s="876">
        <f>E161*(AA161+AB161+AD161+AF161)</f>
        <v>4506760.885104904</v>
      </c>
      <c r="J161" s="1482"/>
      <c r="K161" s="876">
        <f>E161*(AE161)</f>
        <v>1263654.6159793839</v>
      </c>
      <c r="L161" s="876"/>
      <c r="M161" s="876">
        <f>E161*(AC161)</f>
        <v>238435.82683889597</v>
      </c>
      <c r="N161" s="876"/>
      <c r="O161" s="1734">
        <f t="shared" ref="O161:O162" si="70">((I161+M161)*(1-0.2)*0.0125)/1000</f>
        <v>47.451967119438002</v>
      </c>
      <c r="P161" s="876"/>
      <c r="Q161" s="1734">
        <f t="shared" ref="Q161:Q162" si="71">(K161*0.02)/1000</f>
        <v>25.273092319587679</v>
      </c>
      <c r="R161" s="1735"/>
      <c r="S161" s="1736">
        <f>K131</f>
        <v>2359.7960000000003</v>
      </c>
      <c r="T161" s="1571" t="s">
        <v>1380</v>
      </c>
      <c r="U161" s="1571"/>
      <c r="V161" s="1571"/>
      <c r="W161" s="1737"/>
      <c r="Y161" s="871" t="s">
        <v>1381</v>
      </c>
      <c r="Z161" s="1617" t="s">
        <v>1382</v>
      </c>
      <c r="AA161" s="1738">
        <v>0.225673659</v>
      </c>
      <c r="AB161" s="1738">
        <v>6.3966694000000004E-2</v>
      </c>
      <c r="AC161" s="1738">
        <v>3.9574305999999997E-2</v>
      </c>
      <c r="AD161" s="1738">
        <v>0.16394043999999999</v>
      </c>
      <c r="AE161" s="1738">
        <v>0.209734649</v>
      </c>
      <c r="AF161" s="1738">
        <v>0.29442732599999999</v>
      </c>
      <c r="AH161" s="873"/>
      <c r="BT161" s="871"/>
    </row>
    <row r="162" spans="1:81" ht="11.25" x14ac:dyDescent="0.2">
      <c r="A162" s="871"/>
      <c r="B162" s="1484" t="s">
        <v>1242</v>
      </c>
      <c r="C162" s="1485">
        <f>23</f>
        <v>23</v>
      </c>
      <c r="D162" s="1481"/>
      <c r="E162" s="1514">
        <f>1588559</f>
        <v>1588559</v>
      </c>
      <c r="F162" s="1481"/>
      <c r="G162" s="1514">
        <f t="shared" si="69"/>
        <v>3.1771180000000006</v>
      </c>
      <c r="H162" s="1482"/>
      <c r="I162" s="876">
        <f>E162*(AA163)</f>
        <v>772580.627584829</v>
      </c>
      <c r="J162" s="1482"/>
      <c r="K162" s="876">
        <f>E162*(AB163)</f>
        <v>104781.99024071801</v>
      </c>
      <c r="L162" s="1482"/>
      <c r="M162" s="876">
        <f>E162*(AC163)</f>
        <v>705015.73754773696</v>
      </c>
      <c r="N162" s="876"/>
      <c r="O162" s="1734">
        <f t="shared" si="70"/>
        <v>14.775963651325663</v>
      </c>
      <c r="P162" s="876"/>
      <c r="Q162" s="1734">
        <f t="shared" si="71"/>
        <v>2.0956398048143603</v>
      </c>
      <c r="R162" s="1735"/>
      <c r="S162" s="1736">
        <f>K130</f>
        <v>26799954.300000001</v>
      </c>
      <c r="T162" s="1571" t="s">
        <v>1383</v>
      </c>
      <c r="U162" s="1739"/>
      <c r="V162" s="1571"/>
      <c r="W162" s="1737"/>
      <c r="Y162" s="871"/>
      <c r="Z162" s="1740" t="s">
        <v>1373</v>
      </c>
      <c r="AA162" s="1740" t="s">
        <v>1384</v>
      </c>
      <c r="AB162" s="1732" t="s">
        <v>1385</v>
      </c>
      <c r="AC162" s="1731" t="s">
        <v>1376</v>
      </c>
      <c r="AD162" s="871"/>
      <c r="AE162" s="871"/>
      <c r="AF162" s="871"/>
      <c r="AH162" s="871"/>
      <c r="AI162" s="871"/>
      <c r="AJ162" s="871"/>
      <c r="AK162" s="871"/>
      <c r="AL162" s="871"/>
      <c r="AM162" s="871"/>
      <c r="AN162" s="871"/>
      <c r="AO162" s="871"/>
      <c r="AP162" s="871"/>
      <c r="AQ162" s="871"/>
      <c r="AR162" s="871"/>
      <c r="AS162" s="871"/>
      <c r="BF162" s="871"/>
      <c r="BG162" s="871"/>
      <c r="BH162" s="871"/>
      <c r="BI162" s="871"/>
      <c r="BJ162" s="871"/>
      <c r="BK162" s="871"/>
      <c r="BL162" s="871"/>
      <c r="BT162" s="871"/>
      <c r="BU162" s="871"/>
      <c r="BV162" s="871"/>
      <c r="BW162" s="871"/>
      <c r="BX162" s="871"/>
      <c r="BY162" s="871"/>
      <c r="BZ162" s="871"/>
      <c r="CA162" s="871"/>
      <c r="CB162" s="871"/>
      <c r="CC162" s="871"/>
    </row>
    <row r="163" spans="1:81" ht="11.25" x14ac:dyDescent="0.2">
      <c r="A163" s="871"/>
      <c r="B163" s="1480" t="s">
        <v>1245</v>
      </c>
      <c r="C163" s="1741"/>
      <c r="D163" s="1512"/>
      <c r="E163" s="1522"/>
      <c r="F163" s="1512"/>
      <c r="G163" s="1522"/>
      <c r="H163" s="1571"/>
      <c r="I163" s="1572"/>
      <c r="J163" s="1571"/>
      <c r="K163" s="1571"/>
      <c r="L163" s="1571"/>
      <c r="M163" s="1571"/>
      <c r="N163" s="1572"/>
      <c r="O163" s="1520"/>
      <c r="P163" s="1571"/>
      <c r="Q163" s="1571"/>
      <c r="R163" s="1735"/>
      <c r="S163" s="1742">
        <f>SUM(S161:S162)/1000*0.3</f>
        <v>8040.6942288</v>
      </c>
      <c r="T163" s="1743" t="s">
        <v>1917</v>
      </c>
      <c r="U163" s="1359"/>
      <c r="V163" s="1359"/>
      <c r="W163" s="1744"/>
      <c r="Y163" s="871" t="s">
        <v>1386</v>
      </c>
      <c r="Z163" s="1617" t="s">
        <v>1382</v>
      </c>
      <c r="AA163" s="1738">
        <v>0.48634053100000002</v>
      </c>
      <c r="AB163" s="1738">
        <v>6.5960402000000001E-2</v>
      </c>
      <c r="AC163" s="1738">
        <v>0.44380834299999999</v>
      </c>
      <c r="AD163" s="1745"/>
      <c r="AE163" s="871"/>
      <c r="AF163" s="871"/>
      <c r="AH163" s="871"/>
      <c r="AI163" s="871"/>
      <c r="AJ163" s="871"/>
      <c r="AK163" s="871"/>
      <c r="AL163" s="871"/>
      <c r="AM163" s="871"/>
      <c r="AN163" s="871"/>
      <c r="AO163" s="871"/>
      <c r="AP163" s="871"/>
      <c r="AQ163" s="871"/>
      <c r="AR163" s="871"/>
      <c r="AS163" s="871"/>
      <c r="BF163" s="871"/>
      <c r="BG163" s="871"/>
      <c r="BH163" s="871"/>
      <c r="BI163" s="871"/>
      <c r="BJ163" s="871"/>
      <c r="BK163" s="871"/>
      <c r="BL163" s="871"/>
      <c r="BT163" s="871"/>
      <c r="BU163" s="871"/>
      <c r="BV163" s="871"/>
      <c r="BW163" s="871"/>
      <c r="BX163" s="871"/>
      <c r="BY163" s="871"/>
      <c r="BZ163" s="871"/>
      <c r="CA163" s="871"/>
      <c r="CB163" s="871"/>
      <c r="CC163" s="871"/>
    </row>
    <row r="164" spans="1:81" ht="11.25" x14ac:dyDescent="0.2">
      <c r="A164" s="871"/>
      <c r="B164" s="1484" t="s">
        <v>1252</v>
      </c>
      <c r="C164" s="1485">
        <v>2.1</v>
      </c>
      <c r="D164" s="1481"/>
      <c r="E164" s="1514">
        <f>126471</f>
        <v>126471</v>
      </c>
      <c r="F164" s="1481"/>
      <c r="G164" s="1514">
        <f t="shared" ref="G164:G170" si="72">(E164*0.2*0.01)/1000</f>
        <v>0.252942</v>
      </c>
      <c r="H164" s="1482"/>
      <c r="I164" s="876">
        <f>E164*(AA165)</f>
        <v>126471</v>
      </c>
      <c r="J164" s="1482"/>
      <c r="K164" s="1481" t="s">
        <v>1291</v>
      </c>
      <c r="L164" s="1746"/>
      <c r="M164" s="1481" t="s">
        <v>1291</v>
      </c>
      <c r="N164" s="876"/>
      <c r="O164" s="1734">
        <f t="shared" ref="O164:O165" si="73">((I164)*(1-0.2)*0.0125)/1000</f>
        <v>1.26471</v>
      </c>
      <c r="P164" s="876"/>
      <c r="Q164" s="1511" t="s">
        <v>1291</v>
      </c>
      <c r="R164" s="1747"/>
      <c r="S164" s="1748"/>
      <c r="T164" s="871"/>
      <c r="U164" s="871"/>
      <c r="V164" s="871"/>
      <c r="W164" s="1628"/>
      <c r="Y164" s="871"/>
      <c r="Z164" s="1740" t="s">
        <v>1387</v>
      </c>
      <c r="AA164" s="1731" t="s">
        <v>1388</v>
      </c>
      <c r="AB164" s="871"/>
      <c r="AC164" s="871"/>
      <c r="AD164" s="871"/>
      <c r="AE164" s="871"/>
      <c r="AF164" s="871"/>
      <c r="AH164" s="871"/>
      <c r="AI164" s="871"/>
      <c r="AJ164" s="871"/>
      <c r="AK164" s="871"/>
      <c r="AL164" s="871"/>
      <c r="AM164" s="871"/>
      <c r="AN164" s="871"/>
      <c r="AO164" s="871"/>
      <c r="AP164" s="871"/>
      <c r="AQ164" s="871"/>
      <c r="AR164" s="871"/>
      <c r="AS164" s="871"/>
      <c r="BF164" s="871"/>
      <c r="BG164" s="871"/>
      <c r="BH164" s="871"/>
      <c r="BQ164" s="871"/>
      <c r="BR164" s="871"/>
      <c r="BS164" s="871"/>
      <c r="BT164" s="871"/>
      <c r="BU164" s="871"/>
      <c r="BV164" s="871"/>
      <c r="BW164" s="871"/>
      <c r="BX164" s="871"/>
      <c r="BY164" s="871"/>
      <c r="BZ164" s="871"/>
      <c r="CA164" s="871"/>
      <c r="CB164" s="871"/>
      <c r="CC164" s="871"/>
    </row>
    <row r="165" spans="1:81" ht="11.25" x14ac:dyDescent="0.2">
      <c r="A165" s="871"/>
      <c r="B165" s="1484" t="s">
        <v>1253</v>
      </c>
      <c r="C165" s="1485">
        <v>3.9</v>
      </c>
      <c r="D165" s="1481"/>
      <c r="E165" s="1514">
        <f>234350</f>
        <v>234350</v>
      </c>
      <c r="F165" s="1481"/>
      <c r="G165" s="1514">
        <f t="shared" si="72"/>
        <v>0.46870000000000001</v>
      </c>
      <c r="H165" s="1482"/>
      <c r="I165" s="876">
        <f>E165*AA165</f>
        <v>234350</v>
      </c>
      <c r="J165" s="1482"/>
      <c r="K165" s="1481" t="s">
        <v>1291</v>
      </c>
      <c r="L165" s="1746"/>
      <c r="M165" s="1481" t="s">
        <v>1291</v>
      </c>
      <c r="N165" s="876"/>
      <c r="O165" s="1734">
        <f t="shared" si="73"/>
        <v>2.3435000000000001</v>
      </c>
      <c r="P165" s="876"/>
      <c r="Q165" s="1511" t="s">
        <v>1291</v>
      </c>
      <c r="R165" s="1747"/>
      <c r="S165" s="1736">
        <f>E189</f>
        <v>33746962</v>
      </c>
      <c r="T165" s="1571" t="s">
        <v>1389</v>
      </c>
      <c r="U165" s="1739"/>
      <c r="V165" s="1571"/>
      <c r="W165" s="1737"/>
      <c r="Y165" s="871" t="s">
        <v>1390</v>
      </c>
      <c r="Z165" s="1617" t="s">
        <v>1099</v>
      </c>
      <c r="AA165" s="1738">
        <v>1</v>
      </c>
      <c r="AB165" s="1745"/>
      <c r="AC165" s="1745"/>
      <c r="AD165" s="871"/>
      <c r="AE165" s="871"/>
      <c r="AF165" s="871"/>
      <c r="AH165" s="871"/>
      <c r="AI165" s="871"/>
      <c r="AJ165" s="871"/>
      <c r="AK165" s="871"/>
      <c r="AL165" s="871"/>
      <c r="AM165" s="871"/>
      <c r="AN165" s="871"/>
      <c r="AO165" s="871"/>
      <c r="AP165" s="871"/>
      <c r="AQ165" s="871"/>
      <c r="AR165" s="871"/>
      <c r="AS165" s="871"/>
      <c r="BF165" s="871"/>
      <c r="BG165" s="871"/>
      <c r="BH165" s="871"/>
      <c r="BQ165" s="871"/>
      <c r="BR165" s="871"/>
      <c r="BS165" s="871"/>
      <c r="BT165" s="871"/>
      <c r="BU165" s="871"/>
      <c r="BV165" s="871"/>
      <c r="BW165" s="871"/>
      <c r="BX165" s="871"/>
      <c r="BY165" s="871"/>
      <c r="BZ165" s="871"/>
      <c r="CA165" s="871"/>
      <c r="CB165" s="871"/>
      <c r="CC165" s="871"/>
    </row>
    <row r="166" spans="1:81" ht="11.25" x14ac:dyDescent="0.2">
      <c r="A166" s="871"/>
      <c r="B166" s="1484" t="s">
        <v>1254</v>
      </c>
      <c r="C166" s="1485">
        <f>3</f>
        <v>3</v>
      </c>
      <c r="D166" s="1481"/>
      <c r="E166" s="1514">
        <f>252637</f>
        <v>252637</v>
      </c>
      <c r="F166" s="1481"/>
      <c r="G166" s="1514">
        <f t="shared" si="72"/>
        <v>0.505274</v>
      </c>
      <c r="H166" s="1482"/>
      <c r="I166" s="1514" t="s">
        <v>1291</v>
      </c>
      <c r="J166" s="1482"/>
      <c r="K166" s="1736">
        <f t="shared" ref="K166:K170" si="74">E166*(AA$167)</f>
        <v>252637</v>
      </c>
      <c r="L166" s="1746"/>
      <c r="M166" s="1481" t="s">
        <v>1291</v>
      </c>
      <c r="N166" s="876"/>
      <c r="O166" s="1514" t="s">
        <v>1291</v>
      </c>
      <c r="P166" s="876"/>
      <c r="Q166" s="1749">
        <f t="shared" ref="Q166:Q170" si="75">(K166*0.02)/1000</f>
        <v>5.05274</v>
      </c>
      <c r="R166" s="1735"/>
      <c r="S166" s="1742">
        <f>(S165*(1-0)/1000*0.3)</f>
        <v>10124.088599999999</v>
      </c>
      <c r="T166" s="1743" t="s">
        <v>1918</v>
      </c>
      <c r="U166" s="1359"/>
      <c r="V166" s="1359"/>
      <c r="W166" s="1744"/>
      <c r="Y166" s="871"/>
      <c r="Z166" s="1740" t="s">
        <v>1387</v>
      </c>
      <c r="AA166" s="1731" t="s">
        <v>1378</v>
      </c>
      <c r="AB166" s="871"/>
      <c r="AC166" s="871"/>
      <c r="AD166" s="871"/>
      <c r="AE166" s="871"/>
      <c r="AF166" s="871"/>
      <c r="AH166" s="871"/>
      <c r="AI166" s="871"/>
      <c r="AJ166" s="871"/>
      <c r="AK166" s="871"/>
      <c r="AL166" s="871"/>
      <c r="AM166" s="871"/>
      <c r="AN166" s="871"/>
      <c r="AO166" s="871"/>
      <c r="AP166" s="871"/>
      <c r="AQ166" s="871"/>
      <c r="AR166" s="871"/>
      <c r="AS166" s="871"/>
      <c r="BF166" s="871"/>
      <c r="BG166" s="871"/>
      <c r="BH166" s="871"/>
      <c r="BM166" s="871"/>
      <c r="BN166" s="871"/>
      <c r="BO166" s="871"/>
      <c r="BP166" s="871"/>
      <c r="BQ166" s="871"/>
      <c r="BR166" s="871"/>
      <c r="BS166" s="871"/>
      <c r="BT166" s="871"/>
      <c r="BU166" s="871"/>
      <c r="BV166" s="871"/>
      <c r="BW166" s="871"/>
      <c r="BX166" s="871"/>
      <c r="BY166" s="871"/>
      <c r="BZ166" s="871"/>
      <c r="CA166" s="871"/>
      <c r="CB166" s="871"/>
      <c r="CC166" s="871"/>
    </row>
    <row r="167" spans="1:81" ht="11.25" x14ac:dyDescent="0.2">
      <c r="A167" s="871"/>
      <c r="B167" s="1484" t="s">
        <v>1265</v>
      </c>
      <c r="C167" s="1485">
        <f>25</f>
        <v>25</v>
      </c>
      <c r="D167" s="1481"/>
      <c r="E167" s="1514">
        <f>504167</f>
        <v>504167</v>
      </c>
      <c r="F167" s="1481"/>
      <c r="G167" s="1514">
        <f t="shared" si="72"/>
        <v>1.0083340000000001</v>
      </c>
      <c r="H167" s="1482"/>
      <c r="I167" s="1514" t="s">
        <v>1291</v>
      </c>
      <c r="J167" s="1482"/>
      <c r="K167" s="1736">
        <f t="shared" si="74"/>
        <v>504167</v>
      </c>
      <c r="L167" s="1746"/>
      <c r="M167" s="1481" t="s">
        <v>1291</v>
      </c>
      <c r="N167" s="876"/>
      <c r="O167" s="1514" t="s">
        <v>1291</v>
      </c>
      <c r="P167" s="876"/>
      <c r="Q167" s="1749">
        <f t="shared" si="75"/>
        <v>10.08334</v>
      </c>
      <c r="R167" s="1735"/>
      <c r="S167" s="1748"/>
      <c r="T167" s="871"/>
      <c r="U167" s="882"/>
      <c r="V167" s="871"/>
      <c r="W167" s="1628"/>
      <c r="Y167" s="871" t="s">
        <v>1391</v>
      </c>
      <c r="Z167" s="1617" t="s">
        <v>1099</v>
      </c>
      <c r="AA167" s="1738">
        <v>1</v>
      </c>
      <c r="AB167" s="871"/>
      <c r="AC167" s="871"/>
      <c r="AD167" s="871"/>
      <c r="AE167" s="871"/>
      <c r="AF167" s="871"/>
      <c r="AH167" s="871"/>
      <c r="AI167" s="871"/>
      <c r="AJ167" s="871"/>
      <c r="AK167" s="871"/>
      <c r="AL167" s="871"/>
      <c r="AM167" s="871"/>
      <c r="AN167" s="871"/>
      <c r="AO167" s="871"/>
      <c r="AP167" s="871"/>
      <c r="AQ167" s="871"/>
      <c r="AR167" s="871"/>
      <c r="AS167" s="871"/>
      <c r="BF167" s="871"/>
      <c r="BG167" s="871"/>
      <c r="BH167" s="871"/>
      <c r="BM167" s="871"/>
      <c r="BN167" s="871"/>
      <c r="BO167" s="871"/>
      <c r="BP167" s="871"/>
      <c r="BQ167" s="871"/>
      <c r="BR167" s="871"/>
      <c r="BS167" s="871"/>
      <c r="BT167" s="871"/>
      <c r="BU167" s="871"/>
      <c r="BV167" s="871"/>
      <c r="BW167" s="871"/>
      <c r="BX167" s="871"/>
      <c r="BY167" s="871"/>
      <c r="BZ167" s="871"/>
      <c r="CA167" s="871"/>
      <c r="CB167" s="871"/>
      <c r="CC167" s="871"/>
    </row>
    <row r="168" spans="1:81" ht="12.75" x14ac:dyDescent="0.25">
      <c r="A168" s="871"/>
      <c r="B168" s="1484" t="s">
        <v>1246</v>
      </c>
      <c r="C168" s="1485">
        <f>40</f>
        <v>40</v>
      </c>
      <c r="D168" s="1481"/>
      <c r="E168" s="1514">
        <f>2970510</f>
        <v>2970510</v>
      </c>
      <c r="F168" s="1481"/>
      <c r="G168" s="1514">
        <f t="shared" si="72"/>
        <v>5.9410200000000009</v>
      </c>
      <c r="H168" s="1482"/>
      <c r="I168" s="1514" t="s">
        <v>1291</v>
      </c>
      <c r="J168" s="1482"/>
      <c r="K168" s="1736">
        <f t="shared" si="74"/>
        <v>2970510</v>
      </c>
      <c r="L168" s="1746"/>
      <c r="M168" s="1481" t="s">
        <v>1291</v>
      </c>
      <c r="N168" s="876"/>
      <c r="O168" s="1514" t="s">
        <v>1291</v>
      </c>
      <c r="P168" s="876"/>
      <c r="Q168" s="1749">
        <f t="shared" si="75"/>
        <v>59.410200000000003</v>
      </c>
      <c r="R168" s="1750"/>
      <c r="S168" s="1751">
        <f>SUM(S163,S166)*0.0075</f>
        <v>136.23587121599999</v>
      </c>
      <c r="T168" s="1752" t="s">
        <v>1919</v>
      </c>
      <c r="U168" s="1753"/>
      <c r="V168" s="1753"/>
      <c r="W168" s="1754"/>
      <c r="AF168" s="871"/>
      <c r="AH168" s="871"/>
      <c r="AI168" s="871"/>
      <c r="AJ168" s="871"/>
      <c r="AK168" s="871"/>
      <c r="AL168" s="871"/>
      <c r="AM168" s="871"/>
      <c r="AN168" s="871"/>
      <c r="AO168" s="871"/>
      <c r="AP168" s="871"/>
      <c r="AQ168" s="871"/>
      <c r="AR168" s="871"/>
      <c r="AS168" s="871"/>
      <c r="BF168" s="871"/>
      <c r="BG168" s="871"/>
      <c r="BH168" s="871"/>
      <c r="BM168" s="871"/>
      <c r="BN168" s="871"/>
      <c r="BO168" s="871"/>
      <c r="BP168" s="871"/>
      <c r="BQ168" s="871"/>
      <c r="BR168" s="871"/>
      <c r="BS168" s="871"/>
      <c r="BT168" s="871"/>
      <c r="BU168" s="871"/>
      <c r="BV168" s="871"/>
      <c r="BW168" s="871"/>
      <c r="BX168" s="871"/>
      <c r="BY168" s="871"/>
      <c r="BZ168" s="871"/>
      <c r="CA168" s="871"/>
      <c r="CB168" s="871"/>
      <c r="CC168" s="871"/>
    </row>
    <row r="169" spans="1:81" ht="11.25" x14ac:dyDescent="0.2">
      <c r="A169" s="871"/>
      <c r="B169" s="1484" t="s">
        <v>1251</v>
      </c>
      <c r="C169" s="1485">
        <f>8</f>
        <v>8</v>
      </c>
      <c r="D169" s="1481"/>
      <c r="E169" s="1514">
        <f>338514</f>
        <v>338514</v>
      </c>
      <c r="F169" s="1481"/>
      <c r="G169" s="1514">
        <f t="shared" si="72"/>
        <v>0.67702800000000007</v>
      </c>
      <c r="H169" s="1482"/>
      <c r="I169" s="1514" t="s">
        <v>1291</v>
      </c>
      <c r="J169" s="1482"/>
      <c r="K169" s="1736">
        <f t="shared" si="74"/>
        <v>338514</v>
      </c>
      <c r="L169" s="1746"/>
      <c r="M169" s="1481" t="s">
        <v>1291</v>
      </c>
      <c r="N169" s="876"/>
      <c r="O169" s="1514" t="s">
        <v>1291</v>
      </c>
      <c r="P169" s="876"/>
      <c r="Q169" s="1749">
        <f t="shared" si="75"/>
        <v>6.7702799999999996</v>
      </c>
      <c r="R169" s="1626"/>
      <c r="S169" s="1745"/>
      <c r="T169" s="871"/>
      <c r="U169" s="871"/>
      <c r="V169" s="871"/>
      <c r="W169" s="871"/>
      <c r="Y169" s="871"/>
      <c r="Z169" s="1731" t="s">
        <v>1373</v>
      </c>
      <c r="AA169" s="1731" t="s">
        <v>1378</v>
      </c>
      <c r="AB169" s="1732" t="s">
        <v>1377</v>
      </c>
      <c r="AC169" s="1731" t="s">
        <v>1375</v>
      </c>
      <c r="AD169" s="1731" t="s">
        <v>1374</v>
      </c>
      <c r="AE169" s="1731" t="s">
        <v>1379</v>
      </c>
      <c r="AF169" s="871"/>
      <c r="AH169" s="871"/>
      <c r="AI169" s="871"/>
      <c r="AJ169" s="871"/>
      <c r="AK169" s="871"/>
      <c r="AL169" s="871"/>
      <c r="AM169" s="871"/>
      <c r="AN169" s="871"/>
      <c r="AO169" s="871"/>
      <c r="AP169" s="871"/>
      <c r="AQ169" s="871"/>
      <c r="AR169" s="871"/>
      <c r="AS169" s="871"/>
      <c r="BF169" s="871"/>
      <c r="BG169" s="871"/>
      <c r="BH169" s="871"/>
      <c r="BM169" s="871"/>
      <c r="BN169" s="871"/>
      <c r="BO169" s="871"/>
      <c r="BP169" s="871"/>
      <c r="BQ169" s="871"/>
      <c r="BR169" s="871"/>
      <c r="BS169" s="871"/>
      <c r="BT169" s="871"/>
      <c r="BU169" s="871"/>
      <c r="BV169" s="871"/>
      <c r="BW169" s="871"/>
      <c r="BX169" s="871"/>
      <c r="BY169" s="871"/>
      <c r="BZ169" s="871"/>
      <c r="CA169" s="871"/>
      <c r="CB169" s="871"/>
      <c r="CC169" s="871"/>
    </row>
    <row r="170" spans="1:81" ht="11.25" x14ac:dyDescent="0.2">
      <c r="A170" s="871"/>
      <c r="B170" s="1484" t="s">
        <v>1392</v>
      </c>
      <c r="C170" s="1485">
        <f>8+6</f>
        <v>14</v>
      </c>
      <c r="D170" s="1481"/>
      <c r="E170" s="1514">
        <f>705701</f>
        <v>705701</v>
      </c>
      <c r="F170" s="1481"/>
      <c r="G170" s="1514">
        <f t="shared" si="72"/>
        <v>1.411402</v>
      </c>
      <c r="H170" s="1482"/>
      <c r="I170" s="1514" t="s">
        <v>1291</v>
      </c>
      <c r="J170" s="1482"/>
      <c r="K170" s="1736">
        <f t="shared" si="74"/>
        <v>705701</v>
      </c>
      <c r="L170" s="1746"/>
      <c r="M170" s="1481" t="s">
        <v>1291</v>
      </c>
      <c r="N170" s="876"/>
      <c r="O170" s="1514" t="s">
        <v>1291</v>
      </c>
      <c r="P170" s="876"/>
      <c r="Q170" s="1749">
        <f t="shared" si="75"/>
        <v>14.11402</v>
      </c>
      <c r="R170" s="1755"/>
      <c r="S170" s="1745"/>
      <c r="T170" s="871"/>
      <c r="U170" s="871"/>
      <c r="V170" s="871"/>
      <c r="W170" s="871"/>
      <c r="Y170" s="871" t="s">
        <v>1257</v>
      </c>
      <c r="Z170" s="1617" t="s">
        <v>1382</v>
      </c>
      <c r="AA170" s="1738">
        <v>0.36879358099999998</v>
      </c>
      <c r="AB170" s="1738">
        <v>0</v>
      </c>
      <c r="AC170" s="1738">
        <v>0.10417633</v>
      </c>
      <c r="AD170" s="1738">
        <v>2.1353536999999999E-2</v>
      </c>
      <c r="AE170" s="1738">
        <v>0.443511716</v>
      </c>
      <c r="AF170" s="871"/>
      <c r="AH170" s="871"/>
      <c r="AI170" s="871"/>
      <c r="AJ170" s="871"/>
      <c r="AK170" s="871"/>
      <c r="AL170" s="871"/>
      <c r="AM170" s="871"/>
      <c r="AN170" s="871"/>
      <c r="AO170" s="871"/>
      <c r="AP170" s="871"/>
      <c r="AQ170" s="871"/>
      <c r="AR170" s="871"/>
      <c r="AS170" s="871"/>
      <c r="BF170" s="871"/>
      <c r="BG170" s="871"/>
      <c r="BH170" s="871"/>
      <c r="BI170" s="871"/>
      <c r="BJ170" s="871"/>
      <c r="BK170" s="871"/>
      <c r="BL170" s="871"/>
      <c r="BM170" s="871"/>
      <c r="BN170" s="871"/>
      <c r="BO170" s="871"/>
      <c r="BP170" s="871"/>
      <c r="BQ170" s="871"/>
      <c r="BR170" s="871"/>
      <c r="BS170" s="871"/>
      <c r="BT170" s="871"/>
      <c r="BU170" s="871"/>
      <c r="BV170" s="871"/>
      <c r="BW170" s="871"/>
      <c r="BX170" s="871"/>
      <c r="BY170" s="871"/>
      <c r="BZ170" s="871"/>
      <c r="CA170" s="871"/>
      <c r="CB170" s="871"/>
      <c r="CC170" s="871"/>
    </row>
    <row r="171" spans="1:81" ht="11.25" x14ac:dyDescent="0.2">
      <c r="A171" s="871"/>
      <c r="B171" s="1480" t="s">
        <v>1257</v>
      </c>
      <c r="C171" s="1741"/>
      <c r="D171" s="1512"/>
      <c r="E171" s="1522"/>
      <c r="F171" s="1512"/>
      <c r="G171" s="1522"/>
      <c r="H171" s="1571"/>
      <c r="I171" s="1571"/>
      <c r="J171" s="1571"/>
      <c r="K171" s="1571"/>
      <c r="L171" s="1571"/>
      <c r="M171" s="1571"/>
      <c r="N171" s="1572"/>
      <c r="O171" s="1512"/>
      <c r="P171" s="1571"/>
      <c r="Q171" s="1571"/>
      <c r="R171" s="1755"/>
      <c r="S171" s="1756"/>
      <c r="T171" s="871"/>
      <c r="U171" s="871"/>
      <c r="V171" s="871"/>
      <c r="W171" s="871"/>
      <c r="AE171" s="871"/>
      <c r="AF171" s="871"/>
      <c r="AH171" s="871"/>
      <c r="AI171" s="871"/>
      <c r="AJ171" s="871"/>
      <c r="AK171" s="871"/>
      <c r="AL171" s="871"/>
      <c r="AM171" s="871"/>
      <c r="AN171" s="871"/>
      <c r="AO171" s="871"/>
      <c r="AP171" s="871"/>
      <c r="AQ171" s="871"/>
      <c r="AR171" s="871"/>
      <c r="AS171" s="871"/>
      <c r="BF171" s="871"/>
      <c r="BG171" s="871"/>
      <c r="BH171" s="871"/>
      <c r="BI171" s="871"/>
      <c r="BJ171" s="871"/>
      <c r="BK171" s="871"/>
      <c r="BL171" s="871"/>
      <c r="BM171" s="871"/>
      <c r="BN171" s="871"/>
      <c r="BO171" s="871"/>
      <c r="BP171" s="871"/>
      <c r="BQ171" s="871"/>
      <c r="BR171" s="871"/>
      <c r="BS171" s="871"/>
      <c r="BT171" s="871"/>
      <c r="BU171" s="871"/>
      <c r="BV171" s="871"/>
      <c r="BW171" s="871"/>
      <c r="BX171" s="871"/>
      <c r="BY171" s="871"/>
      <c r="BZ171" s="871"/>
      <c r="CA171" s="871"/>
      <c r="CB171" s="871"/>
      <c r="CC171" s="871"/>
    </row>
    <row r="172" spans="1:81" ht="11.25" x14ac:dyDescent="0.2">
      <c r="A172" s="871"/>
      <c r="B172" s="1484" t="s">
        <v>1266</v>
      </c>
      <c r="C172" s="1485">
        <f>2.3</f>
        <v>2.2999999999999998</v>
      </c>
      <c r="D172" s="1481"/>
      <c r="E172" s="1514">
        <f>33660</f>
        <v>33660</v>
      </c>
      <c r="F172" s="1481"/>
      <c r="G172" s="1514">
        <f t="shared" ref="G172:G176" si="76">(E172*0.2*0.01)/1000</f>
        <v>6.7320000000000005E-2</v>
      </c>
      <c r="H172" s="1482"/>
      <c r="I172" s="876">
        <f>E172*(AB170+AC170+AD170+AE170)</f>
        <v>19153.939683779998</v>
      </c>
      <c r="J172" s="1482"/>
      <c r="K172" s="876">
        <f t="shared" ref="K172:K176" si="77">E172*(AA$170)</f>
        <v>12413.591936459999</v>
      </c>
      <c r="L172" s="1482"/>
      <c r="M172" s="1481" t="s">
        <v>1291</v>
      </c>
      <c r="N172" s="876"/>
      <c r="O172" s="1734">
        <f t="shared" ref="O172:O176" si="78">((I172)*(1-0.2)*0.0125)/1000</f>
        <v>0.19153939683780002</v>
      </c>
      <c r="P172" s="876"/>
      <c r="Q172" s="1749">
        <f t="shared" ref="Q172:Q176" si="79">(K172*0.02)/1000</f>
        <v>0.2482718387292</v>
      </c>
      <c r="R172" s="1757"/>
      <c r="S172" s="1756"/>
      <c r="T172" s="871"/>
      <c r="U172" s="871"/>
      <c r="V172" s="871"/>
      <c r="W172" s="871"/>
      <c r="Y172" s="871"/>
      <c r="Z172" s="1731" t="s">
        <v>1373</v>
      </c>
      <c r="AA172" s="1731" t="s">
        <v>1377</v>
      </c>
      <c r="AB172" s="1732" t="s">
        <v>1375</v>
      </c>
      <c r="AC172" s="1732" t="s">
        <v>1374</v>
      </c>
      <c r="AD172" s="1732" t="s">
        <v>1393</v>
      </c>
      <c r="AE172" s="871"/>
      <c r="AF172" s="871"/>
      <c r="AH172" s="871"/>
      <c r="AI172" s="871"/>
      <c r="AJ172" s="871"/>
      <c r="AK172" s="871"/>
      <c r="AL172" s="871"/>
      <c r="AM172" s="871"/>
      <c r="AN172" s="871"/>
      <c r="AO172" s="871"/>
      <c r="AP172" s="871"/>
      <c r="AQ172" s="871"/>
      <c r="AR172" s="871"/>
      <c r="AS172" s="871"/>
      <c r="AT172" s="871"/>
      <c r="AU172" s="871"/>
      <c r="AV172" s="871"/>
      <c r="AW172" s="871"/>
      <c r="AX172" s="871"/>
      <c r="AY172" s="871"/>
      <c r="AZ172" s="871"/>
      <c r="BA172" s="871"/>
      <c r="BB172" s="871"/>
      <c r="BC172" s="871"/>
      <c r="BD172" s="871"/>
      <c r="BE172" s="871"/>
      <c r="BF172" s="871"/>
      <c r="BG172" s="871"/>
      <c r="BH172" s="871"/>
      <c r="BI172" s="871"/>
      <c r="BJ172" s="871"/>
      <c r="BK172" s="871"/>
      <c r="BL172" s="871"/>
      <c r="BM172" s="871"/>
      <c r="BN172" s="871"/>
      <c r="BO172" s="871"/>
      <c r="BP172" s="871"/>
      <c r="BQ172" s="871"/>
      <c r="BR172" s="871"/>
      <c r="BS172" s="871"/>
      <c r="BT172" s="871"/>
      <c r="BU172" s="871"/>
      <c r="BV172" s="871"/>
      <c r="BW172" s="871"/>
      <c r="BX172" s="871"/>
      <c r="BY172" s="871"/>
      <c r="BZ172" s="871"/>
      <c r="CA172" s="871"/>
      <c r="CB172" s="871"/>
      <c r="CC172" s="871"/>
    </row>
    <row r="173" spans="1:81" ht="11.25" x14ac:dyDescent="0.2">
      <c r="A173" s="871"/>
      <c r="B173" s="1484" t="s">
        <v>1267</v>
      </c>
      <c r="C173" s="1485">
        <f>5</f>
        <v>5</v>
      </c>
      <c r="D173" s="1481"/>
      <c r="E173" s="1514">
        <f>26663</f>
        <v>26663</v>
      </c>
      <c r="F173" s="1481"/>
      <c r="G173" s="1514">
        <f t="shared" si="76"/>
        <v>5.3326000000000005E-2</v>
      </c>
      <c r="H173" s="1482"/>
      <c r="I173" s="876">
        <f>E173*(AB170+AC170+AD170+AE170)</f>
        <v>15172.355727528999</v>
      </c>
      <c r="J173" s="1482"/>
      <c r="K173" s="876">
        <f t="shared" si="77"/>
        <v>9833.1432502030002</v>
      </c>
      <c r="L173" s="1482"/>
      <c r="M173" s="1481" t="s">
        <v>1291</v>
      </c>
      <c r="N173" s="876"/>
      <c r="O173" s="1734">
        <f t="shared" si="78"/>
        <v>0.15172355727528999</v>
      </c>
      <c r="P173" s="876"/>
      <c r="Q173" s="1749">
        <f t="shared" si="79"/>
        <v>0.19666286500405999</v>
      </c>
      <c r="R173" s="1758"/>
      <c r="S173" s="1756"/>
      <c r="T173" s="871"/>
      <c r="U173" s="871"/>
      <c r="V173" s="871"/>
      <c r="W173" s="871"/>
      <c r="Y173" s="871" t="s">
        <v>1272</v>
      </c>
      <c r="Z173" s="1617" t="s">
        <v>1382</v>
      </c>
      <c r="AA173" s="1738">
        <v>0</v>
      </c>
      <c r="AB173" s="1738">
        <v>0</v>
      </c>
      <c r="AC173" s="1738">
        <v>0.05</v>
      </c>
      <c r="AD173" s="1738">
        <v>0.92902464600000001</v>
      </c>
      <c r="AE173" s="871"/>
      <c r="AF173" s="871"/>
      <c r="AH173" s="871"/>
      <c r="AI173" s="871"/>
      <c r="AJ173" s="871"/>
      <c r="AK173" s="871"/>
      <c r="AL173" s="871"/>
      <c r="AM173" s="871"/>
      <c r="AN173" s="871"/>
      <c r="AO173" s="871"/>
      <c r="AP173" s="871"/>
      <c r="AQ173" s="871"/>
      <c r="AR173" s="871"/>
      <c r="AS173" s="871"/>
      <c r="AT173" s="871"/>
      <c r="AU173" s="871"/>
      <c r="AV173" s="871"/>
      <c r="AW173" s="871"/>
      <c r="AX173" s="871"/>
      <c r="AY173" s="871"/>
      <c r="AZ173" s="871"/>
      <c r="BA173" s="871"/>
      <c r="BB173" s="871"/>
      <c r="BC173" s="871"/>
      <c r="BD173" s="871"/>
      <c r="BE173" s="871"/>
      <c r="BF173" s="871"/>
      <c r="BG173" s="871"/>
      <c r="BH173" s="871"/>
      <c r="BI173" s="871"/>
      <c r="BJ173" s="871"/>
      <c r="BK173" s="871"/>
      <c r="BL173" s="871"/>
      <c r="BM173" s="871"/>
      <c r="BN173" s="871"/>
      <c r="BO173" s="871"/>
      <c r="BP173" s="871"/>
      <c r="BQ173" s="871"/>
      <c r="BR173" s="871"/>
      <c r="BS173" s="871"/>
      <c r="BT173" s="871"/>
      <c r="BU173" s="871"/>
      <c r="BV173" s="871"/>
      <c r="BW173" s="871"/>
      <c r="BX173" s="871"/>
      <c r="BY173" s="871"/>
      <c r="BZ173" s="871"/>
      <c r="CA173" s="871"/>
      <c r="CB173" s="871"/>
      <c r="CC173" s="871"/>
    </row>
    <row r="174" spans="1:81" ht="11.25" x14ac:dyDescent="0.2">
      <c r="A174" s="871"/>
      <c r="B174" s="1484" t="s">
        <v>1268</v>
      </c>
      <c r="C174" s="1485">
        <f>4.7</f>
        <v>4.7</v>
      </c>
      <c r="D174" s="1481"/>
      <c r="E174" s="1514">
        <f>37611</f>
        <v>37611</v>
      </c>
      <c r="F174" s="1481"/>
      <c r="G174" s="1514">
        <f t="shared" si="76"/>
        <v>7.5222000000000011E-2</v>
      </c>
      <c r="H174" s="1482"/>
      <c r="I174" s="876">
        <f>E174*(AB170+AC170+AD170+AE170)</f>
        <v>21402.222978212998</v>
      </c>
      <c r="J174" s="1482"/>
      <c r="K174" s="876">
        <f t="shared" si="77"/>
        <v>13870.695374990999</v>
      </c>
      <c r="L174" s="1482"/>
      <c r="M174" s="1481" t="s">
        <v>1291</v>
      </c>
      <c r="N174" s="876"/>
      <c r="O174" s="1734">
        <f t="shared" si="78"/>
        <v>0.21402222978213001</v>
      </c>
      <c r="P174" s="876"/>
      <c r="Q174" s="1749">
        <f t="shared" si="79"/>
        <v>0.27741390749981998</v>
      </c>
      <c r="R174" s="1757"/>
      <c r="S174" s="1756"/>
      <c r="T174" s="871"/>
      <c r="U174" s="871"/>
      <c r="V174" s="871"/>
      <c r="W174" s="871"/>
      <c r="Z174" s="1197"/>
      <c r="AA174" s="1759"/>
      <c r="AB174" s="1759"/>
      <c r="AC174" s="1759"/>
      <c r="AD174" s="1759"/>
      <c r="AE174" s="871"/>
      <c r="AF174" s="871"/>
      <c r="AH174" s="871"/>
      <c r="AI174" s="871"/>
      <c r="AJ174" s="871"/>
      <c r="AK174" s="871"/>
      <c r="AL174" s="871"/>
      <c r="AM174" s="871"/>
      <c r="AN174" s="871"/>
      <c r="AO174" s="871"/>
      <c r="AP174" s="871"/>
      <c r="AQ174" s="871"/>
      <c r="AR174" s="871"/>
      <c r="AS174" s="871"/>
      <c r="AT174" s="871"/>
      <c r="AU174" s="871"/>
      <c r="AV174" s="871"/>
      <c r="AW174" s="871"/>
      <c r="AX174" s="871"/>
      <c r="AY174" s="871"/>
      <c r="AZ174" s="871"/>
      <c r="BA174" s="871"/>
      <c r="BB174" s="871"/>
      <c r="BC174" s="871"/>
      <c r="BD174" s="871"/>
      <c r="BE174" s="871"/>
      <c r="BF174" s="871"/>
      <c r="BG174" s="871"/>
      <c r="BH174" s="871"/>
      <c r="BI174" s="871"/>
      <c r="BJ174" s="871"/>
      <c r="BK174" s="871"/>
      <c r="BL174" s="871"/>
      <c r="BM174" s="871"/>
      <c r="BN174" s="871"/>
      <c r="BO174" s="871"/>
      <c r="BP174" s="871"/>
      <c r="BQ174" s="871"/>
      <c r="BR174" s="871"/>
      <c r="BS174" s="871"/>
      <c r="BT174" s="871"/>
      <c r="BU174" s="871"/>
      <c r="BV174" s="871"/>
      <c r="BW174" s="871"/>
      <c r="BX174" s="871"/>
      <c r="BY174" s="871"/>
      <c r="BZ174" s="871"/>
      <c r="CA174" s="871"/>
      <c r="CB174" s="871"/>
      <c r="CC174" s="871"/>
    </row>
    <row r="175" spans="1:81" ht="11.25" x14ac:dyDescent="0.2">
      <c r="A175" s="871"/>
      <c r="B175" s="1484" t="s">
        <v>1269</v>
      </c>
      <c r="C175" s="1485">
        <f>3</f>
        <v>3</v>
      </c>
      <c r="D175" s="1481"/>
      <c r="E175" s="1514">
        <f>40102</f>
        <v>40102</v>
      </c>
      <c r="F175" s="1481"/>
      <c r="G175" s="1514">
        <f t="shared" si="76"/>
        <v>8.0204000000000011E-2</v>
      </c>
      <c r="H175" s="1482"/>
      <c r="I175" s="876">
        <f>E175*(AB170+AC170+AD170+AE170)</f>
        <v>22819.705561465998</v>
      </c>
      <c r="J175" s="1482"/>
      <c r="K175" s="876">
        <f t="shared" si="77"/>
        <v>14789.360185262</v>
      </c>
      <c r="L175" s="1482"/>
      <c r="M175" s="1481" t="s">
        <v>1291</v>
      </c>
      <c r="N175" s="876"/>
      <c r="O175" s="1734">
        <f t="shared" si="78"/>
        <v>0.22819705561466</v>
      </c>
      <c r="P175" s="876"/>
      <c r="Q175" s="1749">
        <f t="shared" si="79"/>
        <v>0.29578720370524003</v>
      </c>
      <c r="R175" s="1755"/>
      <c r="S175" s="1745"/>
      <c r="T175" s="871"/>
      <c r="U175" s="871"/>
      <c r="V175" s="871"/>
      <c r="W175" s="871"/>
      <c r="Y175" s="871"/>
      <c r="Z175" s="1740" t="s">
        <v>1396</v>
      </c>
      <c r="AA175" s="1731" t="s">
        <v>1397</v>
      </c>
      <c r="AB175" s="871"/>
      <c r="AC175" s="871"/>
      <c r="AD175" s="871"/>
      <c r="AE175" s="871"/>
      <c r="AF175" s="871"/>
      <c r="AH175" s="871"/>
      <c r="AI175" s="871"/>
      <c r="AJ175" s="871"/>
      <c r="AK175" s="871"/>
      <c r="AL175" s="871"/>
      <c r="AM175" s="871"/>
      <c r="AN175" s="871"/>
      <c r="AO175" s="871"/>
      <c r="AP175" s="871"/>
      <c r="AQ175" s="871"/>
      <c r="AR175" s="871"/>
      <c r="AS175" s="871"/>
      <c r="AT175" s="871"/>
      <c r="AU175" s="871"/>
      <c r="AV175" s="871"/>
      <c r="AW175" s="871"/>
      <c r="AX175" s="871"/>
      <c r="AY175" s="871"/>
      <c r="AZ175" s="871"/>
      <c r="BA175" s="871"/>
      <c r="BB175" s="871"/>
      <c r="BC175" s="871"/>
      <c r="BD175" s="871"/>
      <c r="BE175" s="871"/>
      <c r="BF175" s="871"/>
      <c r="BG175" s="871"/>
      <c r="BH175" s="871"/>
      <c r="BI175" s="871"/>
      <c r="BJ175" s="871"/>
      <c r="BK175" s="871"/>
      <c r="BL175" s="871"/>
      <c r="BM175" s="871"/>
      <c r="BN175" s="871"/>
      <c r="BO175" s="871"/>
      <c r="BP175" s="871"/>
      <c r="BQ175" s="871"/>
      <c r="BR175" s="871"/>
      <c r="BS175" s="871"/>
      <c r="BT175" s="871"/>
      <c r="BU175" s="871"/>
      <c r="BV175" s="871"/>
      <c r="BW175" s="871"/>
      <c r="BX175" s="871"/>
      <c r="BY175" s="871"/>
      <c r="BZ175" s="871"/>
      <c r="CA175" s="871"/>
      <c r="CB175" s="871"/>
      <c r="CC175" s="871"/>
    </row>
    <row r="176" spans="1:81" ht="11.25" x14ac:dyDescent="0.2">
      <c r="A176" s="871"/>
      <c r="B176" s="1484" t="s">
        <v>1270</v>
      </c>
      <c r="C176" s="1485">
        <f>6</f>
        <v>6</v>
      </c>
      <c r="D176" s="1481"/>
      <c r="E176" s="1514">
        <f>107321</f>
        <v>107321</v>
      </c>
      <c r="F176" s="1481"/>
      <c r="G176" s="1514">
        <f t="shared" si="76"/>
        <v>0.21464200000000003</v>
      </c>
      <c r="H176" s="1482"/>
      <c r="I176" s="876">
        <f>E176*(AB170+AC170+AD170+AE170)</f>
        <v>61070.111729142998</v>
      </c>
      <c r="J176" s="1482"/>
      <c r="K176" s="876">
        <f t="shared" si="77"/>
        <v>39579.295906501</v>
      </c>
      <c r="L176" s="1482"/>
      <c r="M176" s="1481" t="s">
        <v>1291</v>
      </c>
      <c r="N176" s="876"/>
      <c r="O176" s="1734">
        <f t="shared" si="78"/>
        <v>0.61070111729143006</v>
      </c>
      <c r="P176" s="876"/>
      <c r="Q176" s="1749">
        <f t="shared" si="79"/>
        <v>0.79158591813001999</v>
      </c>
      <c r="R176" s="1755"/>
      <c r="S176" s="1745"/>
      <c r="T176" s="871"/>
      <c r="U176" s="871"/>
      <c r="V176" s="871"/>
      <c r="W176" s="871"/>
      <c r="Y176" s="871" t="s">
        <v>1276</v>
      </c>
      <c r="Z176" s="1482" t="s">
        <v>1099</v>
      </c>
      <c r="AA176" s="1684">
        <v>1</v>
      </c>
      <c r="AB176" s="871"/>
      <c r="AC176" s="871"/>
      <c r="AD176" s="871"/>
      <c r="AE176" s="871"/>
      <c r="AF176" s="871"/>
      <c r="AH176" s="871"/>
      <c r="AI176" s="871"/>
      <c r="AJ176" s="871"/>
      <c r="AK176" s="871"/>
      <c r="AL176" s="871"/>
      <c r="AM176" s="871"/>
      <c r="AN176" s="871"/>
      <c r="AO176" s="871"/>
      <c r="AP176" s="871"/>
      <c r="AQ176" s="871"/>
      <c r="AR176" s="871"/>
      <c r="AS176" s="871"/>
      <c r="AT176" s="871"/>
      <c r="AU176" s="871"/>
      <c r="AV176" s="871"/>
      <c r="AW176" s="871"/>
      <c r="AX176" s="871"/>
      <c r="AY176" s="871"/>
      <c r="AZ176" s="871"/>
      <c r="BA176" s="871"/>
      <c r="BB176" s="871"/>
      <c r="BC176" s="871"/>
      <c r="BD176" s="871"/>
      <c r="BE176" s="871"/>
      <c r="BF176" s="871"/>
      <c r="BG176" s="871"/>
      <c r="BH176" s="871"/>
      <c r="BI176" s="871"/>
      <c r="BJ176" s="871"/>
      <c r="BK176" s="871"/>
      <c r="BL176" s="871"/>
      <c r="BM176" s="871"/>
      <c r="BN176" s="871"/>
      <c r="BO176" s="871"/>
      <c r="BP176" s="871"/>
      <c r="BQ176" s="871"/>
      <c r="BR176" s="871"/>
      <c r="BS176" s="871"/>
      <c r="BT176" s="871"/>
      <c r="BU176" s="871"/>
      <c r="BV176" s="871"/>
      <c r="BW176" s="871"/>
      <c r="BX176" s="871"/>
      <c r="BY176" s="871"/>
      <c r="BZ176" s="871"/>
      <c r="CA176" s="871"/>
      <c r="CB176" s="871"/>
      <c r="CC176" s="871"/>
    </row>
    <row r="177" spans="1:81" ht="11.25" x14ac:dyDescent="0.2">
      <c r="A177" s="871"/>
      <c r="B177" s="1480" t="s">
        <v>1271</v>
      </c>
      <c r="C177" s="1760"/>
      <c r="D177" s="1531"/>
      <c r="E177" s="1533"/>
      <c r="F177" s="1531"/>
      <c r="G177" s="1533"/>
      <c r="H177" s="1704"/>
      <c r="I177" s="1704"/>
      <c r="J177" s="1704"/>
      <c r="K177" s="1704"/>
      <c r="L177" s="1704"/>
      <c r="M177" s="1704"/>
      <c r="N177" s="1761"/>
      <c r="O177" s="1762"/>
      <c r="P177" s="1704"/>
      <c r="Q177" s="1704"/>
      <c r="R177" s="1755"/>
      <c r="S177" s="1679"/>
      <c r="T177" s="871"/>
      <c r="U177" s="871"/>
      <c r="V177" s="871"/>
      <c r="W177" s="871"/>
      <c r="AC177" s="871"/>
      <c r="AD177" s="871"/>
      <c r="AE177" s="871"/>
      <c r="AF177" s="871"/>
      <c r="AH177" s="871"/>
      <c r="AI177" s="871"/>
      <c r="AJ177" s="871"/>
      <c r="AK177" s="871"/>
      <c r="AL177" s="871"/>
      <c r="AM177" s="871"/>
      <c r="AN177" s="871"/>
      <c r="AO177" s="871"/>
      <c r="AP177" s="871"/>
      <c r="AQ177" s="871"/>
      <c r="AR177" s="871"/>
      <c r="AS177" s="871"/>
      <c r="AT177" s="871"/>
      <c r="AU177" s="871"/>
      <c r="AV177" s="871"/>
      <c r="AW177" s="871"/>
      <c r="AX177" s="871"/>
      <c r="AY177" s="871"/>
      <c r="AZ177" s="871"/>
      <c r="BA177" s="871"/>
      <c r="BB177" s="871"/>
      <c r="BC177" s="871"/>
      <c r="BD177" s="871"/>
      <c r="BE177" s="871"/>
      <c r="BF177" s="871"/>
      <c r="BG177" s="871"/>
      <c r="BH177" s="871"/>
      <c r="BI177" s="871"/>
      <c r="BJ177" s="871"/>
      <c r="BK177" s="871"/>
      <c r="BL177" s="871"/>
      <c r="BM177" s="871"/>
      <c r="BN177" s="871"/>
      <c r="BO177" s="871"/>
      <c r="BP177" s="871"/>
      <c r="BQ177" s="871"/>
      <c r="BR177" s="871"/>
      <c r="BS177" s="871"/>
      <c r="BT177" s="871"/>
      <c r="BU177" s="871"/>
      <c r="BV177" s="871"/>
      <c r="BW177" s="871"/>
      <c r="BX177" s="871"/>
      <c r="BY177" s="871"/>
      <c r="BZ177" s="871"/>
      <c r="CA177" s="871"/>
      <c r="CB177" s="871"/>
      <c r="CC177" s="871"/>
    </row>
    <row r="178" spans="1:81" ht="11.25" x14ac:dyDescent="0.2">
      <c r="A178" s="871"/>
      <c r="B178" s="1484" t="s">
        <v>1272</v>
      </c>
      <c r="C178" s="1763"/>
      <c r="D178" s="1567"/>
      <c r="E178" s="1764"/>
      <c r="F178" s="1567"/>
      <c r="G178" s="1764"/>
      <c r="H178" s="1543"/>
      <c r="I178" s="1543"/>
      <c r="J178" s="1543"/>
      <c r="K178" s="1543"/>
      <c r="L178" s="1543"/>
      <c r="M178" s="1543"/>
      <c r="N178" s="1765"/>
      <c r="O178" s="1766"/>
      <c r="P178" s="1543"/>
      <c r="Q178" s="1543"/>
      <c r="R178" s="1758"/>
      <c r="S178" s="1745"/>
      <c r="T178" s="871"/>
      <c r="U178" s="871"/>
      <c r="V178" s="871"/>
      <c r="W178" s="871"/>
      <c r="Y178" s="871"/>
      <c r="Z178" s="1740" t="s">
        <v>1396</v>
      </c>
      <c r="AA178" s="1740" t="s">
        <v>1397</v>
      </c>
      <c r="AB178" s="1740" t="s">
        <v>1398</v>
      </c>
      <c r="AC178" s="871"/>
      <c r="AD178" s="871"/>
      <c r="AE178" s="871"/>
      <c r="AF178" s="871"/>
      <c r="AH178" s="871"/>
      <c r="AI178" s="871"/>
      <c r="AJ178" s="871"/>
      <c r="AK178" s="871"/>
      <c r="AL178" s="871"/>
      <c r="AM178" s="871"/>
      <c r="AN178" s="871"/>
      <c r="AO178" s="871"/>
      <c r="AP178" s="871"/>
      <c r="AQ178" s="871"/>
      <c r="AR178" s="871"/>
      <c r="AS178" s="871"/>
      <c r="AT178" s="871"/>
      <c r="AU178" s="871"/>
      <c r="AV178" s="871"/>
      <c r="AW178" s="871"/>
      <c r="AX178" s="871"/>
      <c r="AY178" s="871"/>
      <c r="AZ178" s="871"/>
      <c r="BA178" s="871"/>
      <c r="BB178" s="871"/>
      <c r="BC178" s="871"/>
      <c r="BD178" s="871"/>
      <c r="BE178" s="871"/>
      <c r="BF178" s="871"/>
      <c r="BG178" s="871"/>
      <c r="BH178" s="871"/>
      <c r="BI178" s="871"/>
      <c r="BJ178" s="871"/>
      <c r="BK178" s="871"/>
      <c r="BL178" s="871"/>
      <c r="BM178" s="871"/>
      <c r="BN178" s="871"/>
      <c r="BO178" s="871"/>
      <c r="BP178" s="871"/>
      <c r="BQ178" s="871"/>
      <c r="BR178" s="871"/>
      <c r="BS178" s="871"/>
      <c r="BT178" s="871"/>
      <c r="BU178" s="871"/>
      <c r="BV178" s="871"/>
      <c r="BW178" s="871"/>
      <c r="BX178" s="871"/>
      <c r="BY178" s="871"/>
      <c r="BZ178" s="871"/>
      <c r="CA178" s="871"/>
      <c r="CB178" s="871"/>
      <c r="CC178" s="871"/>
    </row>
    <row r="179" spans="1:81" ht="11.25" x14ac:dyDescent="0.2">
      <c r="A179" s="871"/>
      <c r="B179" s="1484" t="s">
        <v>1273</v>
      </c>
      <c r="C179" s="1545">
        <v>2289</v>
      </c>
      <c r="D179" s="1546"/>
      <c r="E179" s="1548">
        <f>1188060</f>
        <v>1188060</v>
      </c>
      <c r="F179" s="1546"/>
      <c r="G179" s="1548">
        <f t="shared" ref="G179:G183" si="80">(E179*0.2*0.01)/1000</f>
        <v>2.3761199999999998</v>
      </c>
      <c r="H179" s="1663"/>
      <c r="I179" s="1659">
        <f t="shared" ref="I179:I181" si="81">E179*(AA$173+AB$173+AC$173+AD$173)</f>
        <v>1163140.02092676</v>
      </c>
      <c r="J179" s="1663"/>
      <c r="K179" s="1546" t="s">
        <v>1291</v>
      </c>
      <c r="L179" s="1663"/>
      <c r="M179" s="1546" t="s">
        <v>1291</v>
      </c>
      <c r="N179" s="1659"/>
      <c r="O179" s="1767">
        <f t="shared" ref="O179:O180" si="82">((I179)*(1-0.042)*(1-0.2)*0.0125)/1000</f>
        <v>11.142881400478364</v>
      </c>
      <c r="P179" s="1659"/>
      <c r="Q179" s="1768" t="s">
        <v>1291</v>
      </c>
      <c r="R179" s="1758"/>
      <c r="S179" s="1745"/>
      <c r="T179" s="871"/>
      <c r="U179" s="871"/>
      <c r="V179" s="871"/>
      <c r="W179" s="871"/>
      <c r="Y179" s="871" t="s">
        <v>1277</v>
      </c>
      <c r="Z179" s="1482" t="s">
        <v>1099</v>
      </c>
      <c r="AA179" s="1684">
        <v>0.99</v>
      </c>
      <c r="AB179" s="1684">
        <v>0.01</v>
      </c>
      <c r="AC179" s="871"/>
      <c r="AD179" s="871"/>
      <c r="AE179" s="871"/>
      <c r="AF179" s="871"/>
      <c r="AH179" s="871"/>
      <c r="AI179" s="871"/>
      <c r="AJ179" s="871"/>
      <c r="AK179" s="871"/>
      <c r="AL179" s="871"/>
      <c r="AM179" s="871"/>
      <c r="AN179" s="871"/>
      <c r="AO179" s="871"/>
      <c r="AP179" s="871"/>
      <c r="AQ179" s="871"/>
      <c r="AR179" s="871"/>
      <c r="AS179" s="871"/>
      <c r="AT179" s="871"/>
      <c r="AU179" s="871"/>
      <c r="AV179" s="871"/>
      <c r="AW179" s="871"/>
      <c r="AX179" s="871"/>
      <c r="AY179" s="871"/>
      <c r="AZ179" s="871"/>
      <c r="BA179" s="871"/>
      <c r="BB179" s="871"/>
      <c r="BC179" s="871"/>
      <c r="BD179" s="871"/>
      <c r="BE179" s="871"/>
      <c r="BF179" s="871"/>
      <c r="BG179" s="871"/>
      <c r="BH179" s="871"/>
      <c r="BI179" s="871"/>
      <c r="BJ179" s="871"/>
      <c r="BK179" s="871"/>
      <c r="BL179" s="871"/>
      <c r="BM179" s="871"/>
      <c r="BN179" s="871"/>
      <c r="BO179" s="871"/>
      <c r="BP179" s="871"/>
      <c r="BQ179" s="871"/>
      <c r="BR179" s="871"/>
      <c r="BS179" s="871"/>
      <c r="BT179" s="871"/>
      <c r="BU179" s="871"/>
      <c r="BV179" s="871"/>
      <c r="BW179" s="871"/>
      <c r="BX179" s="871"/>
      <c r="BY179" s="871"/>
      <c r="BZ179" s="871"/>
      <c r="CA179" s="871"/>
      <c r="CB179" s="871"/>
      <c r="CC179" s="871"/>
    </row>
    <row r="180" spans="1:81" ht="11.25" x14ac:dyDescent="0.2">
      <c r="A180" s="871"/>
      <c r="B180" s="1484" t="s">
        <v>1274</v>
      </c>
      <c r="C180" s="1552">
        <v>1242</v>
      </c>
      <c r="D180" s="1481"/>
      <c r="E180" s="1514">
        <f>644635</f>
        <v>644635</v>
      </c>
      <c r="F180" s="1481"/>
      <c r="G180" s="1514">
        <f t="shared" si="80"/>
        <v>1.2892699999999999</v>
      </c>
      <c r="H180" s="1482"/>
      <c r="I180" s="876">
        <f t="shared" si="81"/>
        <v>631113.55267421005</v>
      </c>
      <c r="J180" s="1482"/>
      <c r="K180" s="1481" t="s">
        <v>1291</v>
      </c>
      <c r="L180" s="1482"/>
      <c r="M180" s="1481" t="s">
        <v>1291</v>
      </c>
      <c r="N180" s="876"/>
      <c r="O180" s="1734">
        <f t="shared" si="82"/>
        <v>6.046067834618932</v>
      </c>
      <c r="P180" s="876"/>
      <c r="Q180" s="1511" t="s">
        <v>1291</v>
      </c>
      <c r="R180" s="1758"/>
      <c r="S180" s="1745"/>
      <c r="T180" s="871"/>
      <c r="U180" s="871"/>
      <c r="V180" s="871"/>
      <c r="W180" s="871"/>
      <c r="AC180" s="871"/>
      <c r="AD180" s="871"/>
      <c r="AE180" s="871"/>
      <c r="AF180" s="871"/>
      <c r="AH180" s="871"/>
      <c r="AI180" s="871"/>
      <c r="AJ180" s="871"/>
      <c r="AK180" s="871"/>
      <c r="AL180" s="871"/>
      <c r="AM180" s="871"/>
      <c r="AN180" s="871"/>
      <c r="AO180" s="871"/>
      <c r="AP180" s="871"/>
      <c r="AQ180" s="871"/>
      <c r="AR180" s="871"/>
      <c r="AS180" s="871"/>
      <c r="AT180" s="871"/>
      <c r="AU180" s="871"/>
      <c r="AV180" s="871"/>
      <c r="AW180" s="871"/>
      <c r="AX180" s="871"/>
      <c r="AY180" s="871"/>
      <c r="AZ180" s="871"/>
      <c r="BA180" s="871"/>
      <c r="BB180" s="871"/>
      <c r="BC180" s="871"/>
      <c r="BD180" s="871"/>
      <c r="BE180" s="871"/>
      <c r="BF180" s="871"/>
      <c r="BG180" s="871"/>
      <c r="BH180" s="871"/>
      <c r="BI180" s="871"/>
      <c r="BJ180" s="871"/>
      <c r="BK180" s="871"/>
      <c r="BL180" s="871"/>
      <c r="BM180" s="871"/>
      <c r="BN180" s="871"/>
      <c r="BO180" s="871"/>
      <c r="BP180" s="871"/>
      <c r="BQ180" s="871"/>
      <c r="BR180" s="871"/>
      <c r="BS180" s="871"/>
      <c r="BT180" s="871"/>
      <c r="BU180" s="871"/>
      <c r="BV180" s="871"/>
      <c r="BW180" s="871"/>
      <c r="BX180" s="871"/>
      <c r="BY180" s="871"/>
      <c r="BZ180" s="871"/>
      <c r="CA180" s="871"/>
      <c r="CB180" s="871"/>
      <c r="CC180" s="871"/>
    </row>
    <row r="181" spans="1:81" ht="11.25" x14ac:dyDescent="0.2">
      <c r="A181" s="871"/>
      <c r="B181" s="1484" t="s">
        <v>1275</v>
      </c>
      <c r="C181" s="1553">
        <v>10</v>
      </c>
      <c r="D181" s="1481"/>
      <c r="E181" s="1514">
        <f>7227</f>
        <v>7227</v>
      </c>
      <c r="F181" s="1481"/>
      <c r="G181" s="1514">
        <f t="shared" si="80"/>
        <v>1.4454E-2</v>
      </c>
      <c r="H181" s="1482"/>
      <c r="I181" s="876">
        <f t="shared" si="81"/>
        <v>7075.4111166420007</v>
      </c>
      <c r="J181" s="1482"/>
      <c r="K181" s="1481" t="s">
        <v>1291</v>
      </c>
      <c r="L181" s="1482"/>
      <c r="M181" s="1481" t="s">
        <v>1291</v>
      </c>
      <c r="N181" s="876"/>
      <c r="O181" s="1734">
        <f t="shared" ref="O181:O183" si="83">(((I181)*(0.958)*(1-0.2)*0.0125))/1000</f>
        <v>6.7782438497430375E-2</v>
      </c>
      <c r="P181" s="876"/>
      <c r="Q181" s="1511" t="s">
        <v>1291</v>
      </c>
      <c r="R181" s="1758"/>
      <c r="S181" s="1745"/>
      <c r="T181" s="871"/>
      <c r="U181" s="871"/>
      <c r="V181" s="871"/>
      <c r="W181" s="871"/>
      <c r="Y181" s="871"/>
      <c r="Z181" s="1730" t="s">
        <v>1373</v>
      </c>
      <c r="AA181" s="1740" t="s">
        <v>1399</v>
      </c>
      <c r="AB181" s="1769" t="s">
        <v>1400</v>
      </c>
      <c r="AC181" s="871"/>
      <c r="AD181" s="871"/>
      <c r="AE181" s="871"/>
      <c r="AF181" s="871"/>
      <c r="AH181" s="871"/>
      <c r="AI181" s="871"/>
      <c r="AJ181" s="871"/>
      <c r="AK181" s="871"/>
      <c r="AL181" s="871"/>
      <c r="AM181" s="871"/>
      <c r="AN181" s="871"/>
      <c r="AO181" s="871"/>
      <c r="AP181" s="871"/>
      <c r="AQ181" s="871"/>
      <c r="AR181" s="871"/>
      <c r="AS181" s="871"/>
      <c r="AT181" s="871"/>
      <c r="AU181" s="871"/>
      <c r="AV181" s="871"/>
      <c r="AW181" s="871"/>
      <c r="AX181" s="871"/>
      <c r="AY181" s="871"/>
      <c r="AZ181" s="871"/>
      <c r="BA181" s="871"/>
      <c r="BB181" s="871"/>
      <c r="BC181" s="871"/>
      <c r="BD181" s="871"/>
      <c r="BE181" s="871"/>
      <c r="BF181" s="871"/>
      <c r="BG181" s="871"/>
      <c r="BH181" s="871"/>
      <c r="BI181" s="871"/>
      <c r="BJ181" s="871"/>
      <c r="BK181" s="871"/>
      <c r="BL181" s="871"/>
      <c r="BM181" s="871"/>
      <c r="BN181" s="871"/>
      <c r="BO181" s="871"/>
      <c r="BP181" s="871"/>
      <c r="BQ181" s="871"/>
      <c r="BR181" s="871"/>
      <c r="BS181" s="871"/>
      <c r="BT181" s="871"/>
      <c r="BU181" s="871"/>
      <c r="BV181" s="871"/>
      <c r="BW181" s="871"/>
      <c r="BX181" s="871"/>
      <c r="BY181" s="871"/>
      <c r="BZ181" s="871"/>
      <c r="CA181" s="871"/>
      <c r="CB181" s="871"/>
      <c r="CC181" s="871"/>
    </row>
    <row r="182" spans="1:81" ht="11.25" x14ac:dyDescent="0.2">
      <c r="A182" s="871"/>
      <c r="B182" s="1484" t="s">
        <v>1276</v>
      </c>
      <c r="C182" s="1552">
        <v>55600</v>
      </c>
      <c r="D182" s="1481"/>
      <c r="E182" s="1514">
        <f>17534016</f>
        <v>17534016</v>
      </c>
      <c r="F182" s="1481"/>
      <c r="G182" s="1514">
        <f t="shared" si="80"/>
        <v>35.068032000000002</v>
      </c>
      <c r="H182" s="1482"/>
      <c r="I182" s="876">
        <f>E182*(AA176)</f>
        <v>17534016</v>
      </c>
      <c r="J182" s="1482"/>
      <c r="K182" s="1481" t="s">
        <v>1291</v>
      </c>
      <c r="L182" s="1482"/>
      <c r="M182" s="1481" t="s">
        <v>1291</v>
      </c>
      <c r="N182" s="876"/>
      <c r="O182" s="1734">
        <f t="shared" si="83"/>
        <v>167.97587328</v>
      </c>
      <c r="P182" s="876"/>
      <c r="Q182" s="1511" t="s">
        <v>1291</v>
      </c>
      <c r="R182" s="1755"/>
      <c r="S182" s="1745"/>
      <c r="T182" s="871"/>
      <c r="U182" s="871"/>
      <c r="V182" s="871"/>
      <c r="W182" s="871"/>
      <c r="Y182" s="871" t="s">
        <v>1255</v>
      </c>
      <c r="Z182" s="1482" t="s">
        <v>1099</v>
      </c>
      <c r="AA182" s="1684">
        <v>0.70653448299999999</v>
      </c>
      <c r="AB182" s="1684">
        <v>0.29346551700000001</v>
      </c>
      <c r="AC182" s="871"/>
      <c r="AD182" s="871"/>
      <c r="AE182" s="871"/>
      <c r="AF182" s="871"/>
      <c r="AG182" s="871"/>
      <c r="AH182" s="871"/>
      <c r="AI182" s="871"/>
      <c r="AJ182" s="871"/>
      <c r="AK182" s="871"/>
      <c r="AL182" s="871"/>
      <c r="AM182" s="871"/>
      <c r="AN182" s="871"/>
      <c r="AO182" s="871"/>
      <c r="AP182" s="871"/>
      <c r="AQ182" s="871"/>
      <c r="AR182" s="871"/>
      <c r="AS182" s="871"/>
      <c r="AT182" s="871"/>
      <c r="AU182" s="871"/>
      <c r="AV182" s="871"/>
      <c r="AW182" s="871"/>
      <c r="AX182" s="871"/>
      <c r="AY182" s="871"/>
      <c r="AZ182" s="871"/>
      <c r="BA182" s="871"/>
      <c r="BB182" s="871"/>
      <c r="BC182" s="871"/>
      <c r="BD182" s="871"/>
      <c r="BE182" s="871"/>
      <c r="BF182" s="871"/>
      <c r="BG182" s="871"/>
      <c r="BH182" s="871"/>
      <c r="BI182" s="871"/>
      <c r="BJ182" s="871"/>
      <c r="BK182" s="871"/>
      <c r="BL182" s="871"/>
      <c r="BM182" s="871"/>
      <c r="BN182" s="871"/>
      <c r="BO182" s="871"/>
      <c r="BP182" s="871"/>
      <c r="BQ182" s="871"/>
      <c r="BR182" s="871"/>
      <c r="BS182" s="871"/>
      <c r="BT182" s="871"/>
      <c r="BU182" s="871"/>
      <c r="BV182" s="871"/>
      <c r="BW182" s="871"/>
      <c r="BX182" s="871"/>
      <c r="BY182" s="871"/>
      <c r="BZ182" s="871"/>
      <c r="CA182" s="871"/>
      <c r="CB182" s="871"/>
      <c r="CC182" s="871"/>
    </row>
    <row r="183" spans="1:81" ht="11.25" x14ac:dyDescent="0.2">
      <c r="A183" s="871"/>
      <c r="B183" s="1484" t="s">
        <v>1277</v>
      </c>
      <c r="C183" s="1770">
        <v>25.6</v>
      </c>
      <c r="D183" s="1529"/>
      <c r="E183" s="1771">
        <f>39712</f>
        <v>39712</v>
      </c>
      <c r="F183" s="1529"/>
      <c r="G183" s="1772">
        <f t="shared" si="80"/>
        <v>7.9424000000000008E-2</v>
      </c>
      <c r="H183" s="1389"/>
      <c r="I183" s="1773">
        <f>E183*(AA179)</f>
        <v>39314.879999999997</v>
      </c>
      <c r="J183" s="1389"/>
      <c r="K183" s="1771">
        <f>E183*(AB179)</f>
        <v>397.12</v>
      </c>
      <c r="L183" s="1389"/>
      <c r="M183" s="1529" t="s">
        <v>1291</v>
      </c>
      <c r="N183" s="1773"/>
      <c r="O183" s="1774">
        <f t="shared" si="83"/>
        <v>0.37663655040000005</v>
      </c>
      <c r="P183" s="1773"/>
      <c r="Q183" s="1775">
        <f>(K183*0.02)/1000</f>
        <v>7.9424000000000005E-3</v>
      </c>
      <c r="R183" s="1755"/>
      <c r="S183" s="871"/>
      <c r="T183" s="871"/>
      <c r="U183" s="871"/>
      <c r="V183" s="871"/>
      <c r="W183" s="871"/>
      <c r="AB183" s="871"/>
      <c r="AC183" s="871"/>
      <c r="AD183" s="871"/>
      <c r="AE183" s="871"/>
      <c r="AF183" s="871"/>
      <c r="AG183" s="871"/>
      <c r="AH183" s="871"/>
      <c r="AI183" s="871"/>
      <c r="AJ183" s="871"/>
      <c r="AK183" s="871"/>
      <c r="AL183" s="871"/>
      <c r="AM183" s="871"/>
      <c r="AN183" s="871"/>
      <c r="AO183" s="871"/>
      <c r="AP183" s="871"/>
      <c r="AQ183" s="871"/>
      <c r="AR183" s="871"/>
      <c r="AS183" s="871"/>
      <c r="AT183" s="871"/>
      <c r="AU183" s="871"/>
      <c r="AV183" s="871"/>
      <c r="AW183" s="871"/>
      <c r="AX183" s="871"/>
      <c r="AY183" s="871"/>
      <c r="AZ183" s="871"/>
      <c r="BA183" s="871"/>
      <c r="BB183" s="871"/>
      <c r="BC183" s="871"/>
      <c r="BD183" s="871"/>
      <c r="BE183" s="871"/>
      <c r="BF183" s="871"/>
      <c r="BG183" s="871"/>
      <c r="BH183" s="871"/>
      <c r="BI183" s="871"/>
      <c r="BJ183" s="871"/>
      <c r="BK183" s="871"/>
      <c r="BL183" s="871"/>
      <c r="BM183" s="871"/>
      <c r="BN183" s="871"/>
      <c r="BO183" s="871"/>
      <c r="BP183" s="871"/>
      <c r="BQ183" s="871"/>
      <c r="BR183" s="871"/>
      <c r="BS183" s="871"/>
      <c r="BT183" s="871"/>
      <c r="BU183" s="871"/>
      <c r="BV183" s="871"/>
      <c r="BW183" s="871"/>
      <c r="BX183" s="871"/>
      <c r="BY183" s="871"/>
      <c r="BZ183" s="871"/>
      <c r="CA183" s="871"/>
      <c r="CB183" s="871"/>
      <c r="CC183" s="871"/>
    </row>
    <row r="184" spans="1:81" ht="11.25" x14ac:dyDescent="0.2">
      <c r="A184" s="871"/>
      <c r="B184" s="1776" t="s">
        <v>56</v>
      </c>
      <c r="C184" s="1777"/>
      <c r="D184" s="1512"/>
      <c r="E184" s="1522"/>
      <c r="F184" s="1512"/>
      <c r="G184" s="1522"/>
      <c r="H184" s="1571"/>
      <c r="I184" s="1571"/>
      <c r="J184" s="1571"/>
      <c r="K184" s="1571"/>
      <c r="L184" s="1571"/>
      <c r="M184" s="1571"/>
      <c r="N184" s="1572"/>
      <c r="O184" s="1570"/>
      <c r="P184" s="1571"/>
      <c r="Q184" s="1571"/>
      <c r="R184" s="1755"/>
      <c r="S184" s="871"/>
      <c r="T184" s="871"/>
      <c r="U184" s="871"/>
      <c r="V184" s="871"/>
      <c r="W184" s="871"/>
      <c r="Y184" s="871"/>
      <c r="Z184" s="1740" t="s">
        <v>1387</v>
      </c>
      <c r="AA184" s="1769" t="s">
        <v>1402</v>
      </c>
      <c r="AB184" s="871"/>
      <c r="AC184" s="871"/>
      <c r="AD184" s="871"/>
      <c r="AE184" s="871"/>
      <c r="AF184" s="871"/>
      <c r="AG184" s="871"/>
      <c r="AH184" s="871"/>
      <c r="AI184" s="871"/>
      <c r="AJ184" s="871"/>
      <c r="AK184" s="871"/>
      <c r="AL184" s="871"/>
      <c r="AM184" s="871"/>
      <c r="AN184" s="871"/>
      <c r="AO184" s="871"/>
      <c r="AP184" s="871"/>
      <c r="AQ184" s="871"/>
      <c r="AR184" s="871"/>
      <c r="AS184" s="871"/>
      <c r="AT184" s="871"/>
      <c r="AU184" s="871"/>
      <c r="AV184" s="871"/>
      <c r="AW184" s="871"/>
      <c r="AX184" s="871"/>
      <c r="AY184" s="871"/>
      <c r="AZ184" s="871"/>
      <c r="BA184" s="871"/>
      <c r="BB184" s="871"/>
      <c r="BC184" s="871"/>
      <c r="BD184" s="871"/>
      <c r="BE184" s="871"/>
      <c r="BF184" s="871"/>
      <c r="BG184" s="871"/>
      <c r="BH184" s="871"/>
      <c r="BI184" s="871"/>
      <c r="BJ184" s="871"/>
      <c r="BK184" s="871"/>
      <c r="BL184" s="871"/>
      <c r="BM184" s="871"/>
      <c r="BN184" s="871"/>
      <c r="BO184" s="871"/>
      <c r="BP184" s="871"/>
      <c r="BQ184" s="871"/>
      <c r="BR184" s="871"/>
      <c r="BS184" s="871"/>
      <c r="BT184" s="871"/>
      <c r="BU184" s="871"/>
      <c r="BV184" s="871"/>
      <c r="BW184" s="871"/>
      <c r="BX184" s="871"/>
      <c r="BY184" s="871"/>
      <c r="BZ184" s="871"/>
      <c r="CA184" s="871"/>
      <c r="CB184" s="871"/>
      <c r="CC184" s="871"/>
    </row>
    <row r="185" spans="1:81" ht="11.25" x14ac:dyDescent="0.2">
      <c r="A185" s="871"/>
      <c r="B185" s="1484" t="s">
        <v>1280</v>
      </c>
      <c r="C185" s="1778">
        <v>5.4</v>
      </c>
      <c r="D185" s="1546"/>
      <c r="E185" s="1548">
        <f>22242</f>
        <v>22242</v>
      </c>
      <c r="F185" s="1546"/>
      <c r="G185" s="1548">
        <f t="shared" ref="G185:G188" si="84">(E185*0.2*0.01)/1000</f>
        <v>4.448400000000001E-2</v>
      </c>
      <c r="H185" s="1546"/>
      <c r="I185" s="1659">
        <f>E185*(1-AA182)</f>
        <v>6527.2600291140006</v>
      </c>
      <c r="J185" s="1546"/>
      <c r="K185" s="1548">
        <f>E185*(AA182)</f>
        <v>15714.739970885999</v>
      </c>
      <c r="L185" s="1546"/>
      <c r="M185" s="1546" t="s">
        <v>1291</v>
      </c>
      <c r="N185" s="1659"/>
      <c r="O185" s="1767">
        <f t="shared" ref="O185:O186" si="85">((I185)*(1-0.2)*0.0125)/1000</f>
        <v>6.5272600291140015E-2</v>
      </c>
      <c r="P185" s="1659"/>
      <c r="Q185" s="1779">
        <f t="shared" ref="Q185:Q188" si="86">(K185*0.02)/1000</f>
        <v>0.31429479941772004</v>
      </c>
      <c r="R185" s="1755"/>
      <c r="S185" s="871"/>
      <c r="T185" s="871"/>
      <c r="U185" s="871"/>
      <c r="V185" s="871"/>
      <c r="W185" s="871"/>
      <c r="Y185" s="871" t="s">
        <v>1256</v>
      </c>
      <c r="Z185" s="1482" t="s">
        <v>1099</v>
      </c>
      <c r="AA185" s="1684">
        <v>1</v>
      </c>
      <c r="AB185" s="871"/>
      <c r="AC185" s="871"/>
      <c r="AD185" s="871"/>
      <c r="AE185" s="871"/>
      <c r="AF185" s="871"/>
      <c r="AG185" s="871"/>
      <c r="AH185" s="871"/>
      <c r="AI185" s="871"/>
      <c r="AJ185" s="871"/>
      <c r="AK185" s="871"/>
      <c r="AL185" s="871"/>
      <c r="AM185" s="871"/>
      <c r="AN185" s="871"/>
      <c r="AO185" s="871"/>
      <c r="AP185" s="871"/>
      <c r="AQ185" s="871"/>
      <c r="AR185" s="871"/>
      <c r="AS185" s="871"/>
      <c r="AT185" s="871"/>
      <c r="AU185" s="871"/>
      <c r="AV185" s="871"/>
      <c r="AW185" s="871"/>
      <c r="AX185" s="871"/>
      <c r="AY185" s="871"/>
      <c r="AZ185" s="871"/>
      <c r="BA185" s="871"/>
      <c r="BB185" s="871"/>
      <c r="BC185" s="871"/>
      <c r="BD185" s="871"/>
      <c r="BE185" s="871"/>
      <c r="BF185" s="871"/>
      <c r="BG185" s="871"/>
      <c r="BH185" s="871"/>
      <c r="BI185" s="871"/>
      <c r="BJ185" s="871"/>
      <c r="BK185" s="871"/>
      <c r="BL185" s="871"/>
      <c r="BM185" s="871"/>
      <c r="BN185" s="871"/>
      <c r="BO185" s="871"/>
      <c r="BP185" s="871"/>
      <c r="BQ185" s="871"/>
      <c r="BR185" s="871"/>
      <c r="BS185" s="871"/>
      <c r="BT185" s="871"/>
      <c r="BU185" s="871"/>
      <c r="BV185" s="871"/>
      <c r="BW185" s="871"/>
      <c r="BX185" s="871"/>
      <c r="BY185" s="871"/>
      <c r="BZ185" s="871"/>
      <c r="CA185" s="871"/>
      <c r="CB185" s="871"/>
      <c r="CC185" s="871"/>
    </row>
    <row r="186" spans="1:81" ht="11.25" x14ac:dyDescent="0.2">
      <c r="A186" s="871"/>
      <c r="B186" s="1484" t="s">
        <v>1282</v>
      </c>
      <c r="C186" s="1485">
        <v>5.4</v>
      </c>
      <c r="D186" s="1481"/>
      <c r="E186" s="1514">
        <f>71175</f>
        <v>71175</v>
      </c>
      <c r="F186" s="1481"/>
      <c r="G186" s="1514">
        <f t="shared" si="84"/>
        <v>0.14235</v>
      </c>
      <c r="H186" s="1481"/>
      <c r="I186" s="876">
        <f>E186*(1-AB182)</f>
        <v>50287.591827525001</v>
      </c>
      <c r="J186" s="1481"/>
      <c r="K186" s="1514">
        <f>E186*(AB182)</f>
        <v>20887.408172474999</v>
      </c>
      <c r="L186" s="1481"/>
      <c r="M186" s="1481" t="s">
        <v>1291</v>
      </c>
      <c r="N186" s="876"/>
      <c r="O186" s="1734">
        <f t="shared" si="85"/>
        <v>0.50287591827525002</v>
      </c>
      <c r="P186" s="876"/>
      <c r="Q186" s="1749">
        <f t="shared" si="86"/>
        <v>0.4177481634495</v>
      </c>
      <c r="R186" s="1755"/>
      <c r="S186" s="871"/>
      <c r="T186" s="871"/>
      <c r="U186" s="871"/>
      <c r="V186" s="871"/>
      <c r="W186" s="871"/>
      <c r="AB186" s="871"/>
      <c r="AC186" s="871"/>
      <c r="AD186" s="871"/>
      <c r="AE186" s="871"/>
      <c r="AF186" s="871"/>
      <c r="AG186" s="871"/>
      <c r="AH186" s="871"/>
      <c r="AI186" s="871"/>
      <c r="AJ186" s="871"/>
      <c r="AK186" s="871"/>
      <c r="AL186" s="871"/>
      <c r="AM186" s="871"/>
      <c r="AN186" s="871"/>
      <c r="AO186" s="871"/>
      <c r="AP186" s="871"/>
      <c r="AQ186" s="871"/>
      <c r="AR186" s="871"/>
      <c r="AS186" s="871"/>
      <c r="AT186" s="871"/>
      <c r="AU186" s="871"/>
      <c r="AV186" s="871"/>
      <c r="AW186" s="871"/>
      <c r="AX186" s="871"/>
      <c r="AY186" s="871"/>
      <c r="AZ186" s="871"/>
      <c r="BA186" s="871"/>
      <c r="BB186" s="871"/>
      <c r="BC186" s="871"/>
      <c r="BD186" s="871"/>
      <c r="BE186" s="871"/>
      <c r="BF186" s="871"/>
      <c r="BG186" s="871"/>
      <c r="BH186" s="871"/>
      <c r="BI186" s="871"/>
      <c r="BJ186" s="871"/>
      <c r="BK186" s="871"/>
      <c r="BL186" s="871"/>
      <c r="BM186" s="871"/>
      <c r="BN186" s="871"/>
      <c r="BO186" s="871"/>
      <c r="BP186" s="871"/>
      <c r="BQ186" s="871"/>
      <c r="BR186" s="871"/>
      <c r="BS186" s="871"/>
      <c r="BT186" s="871"/>
      <c r="BU186" s="871"/>
      <c r="BV186" s="871"/>
      <c r="BW186" s="871"/>
      <c r="BX186" s="871"/>
      <c r="BY186" s="871"/>
      <c r="BZ186" s="871"/>
      <c r="CA186" s="871"/>
      <c r="CB186" s="871"/>
      <c r="CC186" s="871"/>
    </row>
    <row r="187" spans="1:81" ht="11.25" x14ac:dyDescent="0.2">
      <c r="A187" s="871"/>
      <c r="B187" s="1484" t="s">
        <v>1256</v>
      </c>
      <c r="C187" s="1485">
        <f>16.9</f>
        <v>16.899999999999999</v>
      </c>
      <c r="D187" s="1481"/>
      <c r="E187" s="1514">
        <f>177874</f>
        <v>177874</v>
      </c>
      <c r="F187" s="1481"/>
      <c r="G187" s="1514">
        <f t="shared" si="84"/>
        <v>0.35574800000000006</v>
      </c>
      <c r="H187" s="1481"/>
      <c r="I187" s="1514" t="s">
        <v>1291</v>
      </c>
      <c r="J187" s="1481"/>
      <c r="K187" s="1514">
        <f>E187*(AA185)</f>
        <v>177874</v>
      </c>
      <c r="L187" s="1481"/>
      <c r="M187" s="1481" t="s">
        <v>1291</v>
      </c>
      <c r="N187" s="876"/>
      <c r="O187" s="1514" t="s">
        <v>1291</v>
      </c>
      <c r="P187" s="876"/>
      <c r="Q187" s="1749">
        <f t="shared" si="86"/>
        <v>3.55748</v>
      </c>
      <c r="R187" s="1755"/>
      <c r="S187" s="871"/>
      <c r="T187" s="871"/>
      <c r="U187" s="871"/>
      <c r="V187" s="871"/>
      <c r="W187" s="871"/>
      <c r="Y187" s="871"/>
      <c r="Z187" s="1740" t="s">
        <v>1387</v>
      </c>
      <c r="AA187" s="1769" t="s">
        <v>1402</v>
      </c>
      <c r="AB187" s="871"/>
      <c r="AC187" s="871"/>
      <c r="AD187" s="871"/>
      <c r="AE187" s="871"/>
      <c r="AF187" s="871"/>
      <c r="AG187" s="871"/>
      <c r="AH187" s="871"/>
      <c r="AI187" s="871"/>
      <c r="AJ187" s="871"/>
      <c r="AK187" s="871"/>
      <c r="AL187" s="871"/>
      <c r="AM187" s="871"/>
      <c r="AN187" s="871"/>
      <c r="AO187" s="871"/>
      <c r="AP187" s="871"/>
      <c r="AQ187" s="871"/>
      <c r="AR187" s="871"/>
      <c r="AS187" s="871"/>
      <c r="AT187" s="871"/>
      <c r="AU187" s="871"/>
      <c r="AV187" s="871"/>
      <c r="AW187" s="871"/>
      <c r="AX187" s="871"/>
      <c r="AY187" s="871"/>
      <c r="AZ187" s="871"/>
      <c r="BA187" s="871"/>
      <c r="BB187" s="871"/>
      <c r="BC187" s="871"/>
      <c r="BD187" s="871"/>
      <c r="BE187" s="871"/>
      <c r="BF187" s="871"/>
      <c r="BG187" s="871"/>
      <c r="BH187" s="871"/>
      <c r="BI187" s="871"/>
      <c r="BJ187" s="871"/>
      <c r="BK187" s="871"/>
      <c r="BL187" s="871"/>
      <c r="BM187" s="871"/>
      <c r="BN187" s="871"/>
      <c r="BO187" s="871"/>
      <c r="BP187" s="871"/>
      <c r="BQ187" s="871"/>
      <c r="BR187" s="871"/>
      <c r="BS187" s="871"/>
      <c r="BT187" s="871"/>
      <c r="BU187" s="871"/>
      <c r="BV187" s="871"/>
      <c r="BW187" s="871"/>
      <c r="BX187" s="871"/>
      <c r="BY187" s="871"/>
      <c r="BZ187" s="871"/>
      <c r="CA187" s="871"/>
      <c r="CB187" s="871"/>
      <c r="CC187" s="871"/>
    </row>
    <row r="188" spans="1:81" ht="11.25" x14ac:dyDescent="0.2">
      <c r="A188" s="871"/>
      <c r="B188" s="1484" t="s">
        <v>1258</v>
      </c>
      <c r="C188" s="1485">
        <f>26.6</f>
        <v>26.6</v>
      </c>
      <c r="D188" s="1481"/>
      <c r="E188" s="1514">
        <f>1070739</f>
        <v>1070739</v>
      </c>
      <c r="F188" s="1481"/>
      <c r="G188" s="1514">
        <f t="shared" si="84"/>
        <v>2.1414780000000002</v>
      </c>
      <c r="H188" s="1481"/>
      <c r="I188" s="1514" t="s">
        <v>1291</v>
      </c>
      <c r="J188" s="1481"/>
      <c r="K188" s="1514">
        <f>E188*AA188</f>
        <v>1070739</v>
      </c>
      <c r="L188" s="1481"/>
      <c r="M188" s="1481" t="s">
        <v>1291</v>
      </c>
      <c r="N188" s="876"/>
      <c r="O188" s="1514" t="s">
        <v>1291</v>
      </c>
      <c r="P188" s="876"/>
      <c r="Q188" s="1749">
        <f t="shared" si="86"/>
        <v>21.41478</v>
      </c>
      <c r="R188" s="1755"/>
      <c r="S188" s="871"/>
      <c r="T188" s="871"/>
      <c r="U188" s="871"/>
      <c r="V188" s="871"/>
      <c r="W188" s="871"/>
      <c r="Y188" s="871" t="s">
        <v>1258</v>
      </c>
      <c r="Z188" s="1482" t="s">
        <v>1099</v>
      </c>
      <c r="AA188" s="1684">
        <v>1</v>
      </c>
      <c r="AB188" s="871"/>
      <c r="AC188" s="871"/>
      <c r="AD188" s="871"/>
      <c r="AE188" s="871"/>
      <c r="AF188" s="871"/>
      <c r="AG188" s="871"/>
      <c r="AH188" s="871"/>
      <c r="AI188" s="871"/>
      <c r="AJ188" s="871"/>
      <c r="AK188" s="871"/>
      <c r="AL188" s="871"/>
      <c r="AM188" s="871"/>
      <c r="AN188" s="871"/>
      <c r="AO188" s="871"/>
      <c r="AP188" s="871"/>
      <c r="AQ188" s="871"/>
      <c r="AR188" s="871"/>
      <c r="AS188" s="871"/>
      <c r="AT188" s="871"/>
      <c r="AU188" s="871"/>
      <c r="AV188" s="871"/>
      <c r="AW188" s="871"/>
      <c r="AX188" s="871"/>
      <c r="AY188" s="871"/>
      <c r="AZ188" s="871"/>
      <c r="BA188" s="871"/>
      <c r="BB188" s="871"/>
      <c r="BC188" s="871"/>
      <c r="BD188" s="871"/>
      <c r="BE188" s="871"/>
      <c r="BF188" s="871"/>
      <c r="BG188" s="871"/>
      <c r="BH188" s="871"/>
      <c r="BI188" s="871"/>
      <c r="BJ188" s="871"/>
      <c r="BK188" s="871"/>
      <c r="BL188" s="871"/>
      <c r="BM188" s="871"/>
      <c r="BN188" s="871"/>
      <c r="BO188" s="871"/>
      <c r="BP188" s="871"/>
      <c r="BQ188" s="871"/>
      <c r="BR188" s="871"/>
      <c r="BS188" s="871"/>
      <c r="BT188" s="871"/>
      <c r="BU188" s="871"/>
      <c r="BV188" s="871"/>
      <c r="BW188" s="871"/>
      <c r="BX188" s="871"/>
      <c r="BY188" s="871"/>
      <c r="BZ188" s="871"/>
      <c r="CA188" s="871"/>
      <c r="CB188" s="871"/>
      <c r="CC188" s="871"/>
    </row>
    <row r="189" spans="1:81" ht="11.25" x14ac:dyDescent="0.2">
      <c r="A189" s="871"/>
      <c r="B189" s="1780" t="s">
        <v>575</v>
      </c>
      <c r="C189" s="1781"/>
      <c r="D189" s="1782"/>
      <c r="E189" s="1783">
        <f>SUM(E161:E188)</f>
        <v>33746962</v>
      </c>
      <c r="F189" s="1782"/>
      <c r="G189" s="1783">
        <f>SUM(G161:G188)</f>
        <v>67.493924000000007</v>
      </c>
      <c r="H189" s="1784"/>
      <c r="I189" s="1783">
        <f>SUM(I161:I188)</f>
        <v>25211255.564944115</v>
      </c>
      <c r="J189" s="1782"/>
      <c r="K189" s="1783">
        <f>SUM(K161:K188)</f>
        <v>7516063.9610168794</v>
      </c>
      <c r="L189" s="1784"/>
      <c r="M189" s="1783">
        <f>SUM(M161:M188)</f>
        <v>943451.56438663299</v>
      </c>
      <c r="N189" s="1782"/>
      <c r="O189" s="1785">
        <f>SUM(O161:O188)</f>
        <v>253.40971415012609</v>
      </c>
      <c r="P189" s="1783"/>
      <c r="Q189" s="1786">
        <f>SUM(Q161:Q188)</f>
        <v>150.32127922033763</v>
      </c>
      <c r="R189" s="1755"/>
      <c r="S189" s="871"/>
      <c r="T189" s="871"/>
      <c r="U189" s="1237"/>
      <c r="V189" s="871"/>
      <c r="W189" s="871"/>
      <c r="AB189" s="871"/>
      <c r="AC189" s="871"/>
      <c r="AD189" s="871"/>
      <c r="AE189" s="871"/>
      <c r="AF189" s="871"/>
      <c r="AG189" s="871"/>
      <c r="AH189" s="871"/>
      <c r="AI189" s="871"/>
      <c r="AJ189" s="871"/>
      <c r="AK189" s="871"/>
      <c r="AL189" s="871"/>
      <c r="AM189" s="871"/>
      <c r="AN189" s="871"/>
      <c r="AO189" s="871"/>
      <c r="AP189" s="871"/>
      <c r="AQ189" s="871"/>
      <c r="AR189" s="871"/>
      <c r="AS189" s="871"/>
      <c r="AT189" s="871"/>
      <c r="AU189" s="871"/>
      <c r="AV189" s="871"/>
      <c r="AW189" s="871"/>
      <c r="AX189" s="871"/>
      <c r="AY189" s="871"/>
      <c r="AZ189" s="871"/>
      <c r="BA189" s="871"/>
      <c r="BB189" s="871"/>
      <c r="BC189" s="871"/>
      <c r="BD189" s="871"/>
      <c r="BE189" s="871"/>
      <c r="BF189" s="871"/>
      <c r="BG189" s="871"/>
      <c r="BH189" s="871"/>
      <c r="BI189" s="871"/>
      <c r="BJ189" s="871"/>
      <c r="BK189" s="871"/>
      <c r="BL189" s="871"/>
      <c r="BM189" s="871"/>
      <c r="BN189" s="871"/>
      <c r="BO189" s="871"/>
      <c r="BP189" s="871"/>
      <c r="BQ189" s="871"/>
      <c r="BR189" s="871"/>
      <c r="BS189" s="871"/>
      <c r="BT189" s="871"/>
      <c r="BU189" s="871"/>
      <c r="BV189" s="871"/>
      <c r="BW189" s="871"/>
      <c r="BX189" s="871"/>
      <c r="BY189" s="871"/>
      <c r="BZ189" s="871"/>
      <c r="CA189" s="871"/>
      <c r="CB189" s="871"/>
      <c r="CC189" s="871"/>
    </row>
    <row r="190" spans="1:81" ht="11.25" x14ac:dyDescent="0.2">
      <c r="A190" s="871"/>
      <c r="B190" s="1787"/>
      <c r="C190" s="1788"/>
      <c r="D190" s="1789"/>
      <c r="E190" s="1790"/>
      <c r="F190" s="1789"/>
      <c r="G190" s="1790"/>
      <c r="H190" s="1791"/>
      <c r="I190" s="1791"/>
      <c r="J190" s="1791"/>
      <c r="K190" s="1791"/>
      <c r="L190" s="1791"/>
      <c r="M190" s="1791"/>
      <c r="N190" s="1791"/>
      <c r="O190" s="1791"/>
      <c r="P190" s="1791"/>
      <c r="Q190" s="1791"/>
      <c r="R190" s="871"/>
      <c r="S190" s="871"/>
      <c r="T190" s="871"/>
      <c r="U190" s="871"/>
      <c r="V190" s="871"/>
      <c r="W190" s="871"/>
      <c r="X190" s="871"/>
      <c r="Y190" s="871"/>
      <c r="Z190" s="871"/>
      <c r="AA190" s="871"/>
      <c r="AB190" s="871"/>
      <c r="AC190" s="871"/>
      <c r="AD190" s="871"/>
      <c r="AE190" s="871"/>
      <c r="AF190" s="871"/>
      <c r="AG190" s="871"/>
      <c r="AH190" s="871"/>
      <c r="AI190" s="871"/>
      <c r="AJ190" s="871"/>
      <c r="AK190" s="871"/>
      <c r="AL190" s="871"/>
      <c r="AM190" s="871"/>
      <c r="AN190" s="871"/>
      <c r="AO190" s="871"/>
      <c r="AP190" s="871"/>
      <c r="AQ190" s="871"/>
      <c r="AR190" s="871"/>
      <c r="AS190" s="871"/>
      <c r="AT190" s="871"/>
      <c r="AU190" s="871"/>
      <c r="AV190" s="871"/>
      <c r="AW190" s="871"/>
      <c r="AX190" s="871"/>
      <c r="AY190" s="871"/>
      <c r="AZ190" s="871"/>
      <c r="BA190" s="871"/>
      <c r="BB190" s="871"/>
      <c r="BC190" s="871"/>
      <c r="BD190" s="871"/>
      <c r="BE190" s="871"/>
      <c r="BF190" s="871"/>
      <c r="BG190" s="871"/>
      <c r="BH190" s="871"/>
      <c r="BI190" s="871"/>
      <c r="BJ190" s="871"/>
      <c r="BK190" s="871"/>
      <c r="BL190" s="871"/>
      <c r="BM190" s="871"/>
      <c r="BN190" s="871"/>
      <c r="BO190" s="871"/>
      <c r="BP190" s="871"/>
      <c r="BQ190" s="871"/>
      <c r="BR190" s="871"/>
      <c r="BS190" s="871"/>
      <c r="BT190" s="871"/>
      <c r="BU190" s="871"/>
      <c r="BV190" s="871"/>
      <c r="BW190" s="871"/>
      <c r="BX190" s="871"/>
      <c r="BY190" s="871"/>
      <c r="BZ190" s="871"/>
      <c r="CA190" s="871"/>
      <c r="CB190" s="871"/>
      <c r="CC190" s="871"/>
    </row>
    <row r="191" spans="1:81" ht="11.25" x14ac:dyDescent="0.2">
      <c r="A191" s="871"/>
      <c r="B191" s="1792" t="s">
        <v>1408</v>
      </c>
      <c r="C191" s="1793"/>
      <c r="D191" s="1794"/>
      <c r="E191" s="1795"/>
      <c r="F191" s="871"/>
      <c r="G191" s="871"/>
      <c r="H191" s="871"/>
      <c r="I191" s="871"/>
      <c r="J191" s="871"/>
      <c r="K191" s="871"/>
      <c r="L191" s="871"/>
      <c r="M191" s="871"/>
      <c r="N191" s="871"/>
      <c r="O191" s="871"/>
      <c r="P191" s="871"/>
      <c r="Q191" s="871"/>
      <c r="R191" s="1720"/>
      <c r="S191" s="871"/>
      <c r="T191" s="871"/>
      <c r="U191" s="871"/>
      <c r="V191" s="871"/>
      <c r="W191" s="871"/>
      <c r="X191" s="871"/>
      <c r="Y191" s="871"/>
      <c r="Z191" s="871"/>
      <c r="AA191" s="871"/>
      <c r="AB191" s="871"/>
      <c r="AC191" s="871"/>
      <c r="AD191" s="871"/>
      <c r="AE191" s="871"/>
      <c r="AF191" s="871"/>
      <c r="AG191" s="871"/>
      <c r="AH191" s="871"/>
      <c r="AI191" s="871"/>
      <c r="AJ191" s="871"/>
      <c r="AK191" s="871"/>
      <c r="AL191" s="871"/>
      <c r="AM191" s="871"/>
      <c r="AN191" s="871"/>
      <c r="AO191" s="871"/>
      <c r="AP191" s="871"/>
      <c r="AQ191" s="871"/>
      <c r="AR191" s="871"/>
      <c r="AS191" s="871"/>
      <c r="AT191" s="871"/>
      <c r="AU191" s="871"/>
      <c r="AV191" s="871"/>
      <c r="AW191" s="871"/>
      <c r="AX191" s="871"/>
      <c r="AY191" s="871"/>
      <c r="AZ191" s="871"/>
      <c r="BA191" s="871"/>
      <c r="BB191" s="871"/>
      <c r="BC191" s="871"/>
      <c r="BD191" s="871"/>
      <c r="BE191" s="871"/>
      <c r="BF191" s="871"/>
      <c r="BG191" s="871"/>
      <c r="BH191" s="871"/>
      <c r="BI191" s="871"/>
      <c r="BJ191" s="871"/>
      <c r="BK191" s="871"/>
      <c r="BL191" s="871"/>
      <c r="BM191" s="871"/>
      <c r="BN191" s="871"/>
      <c r="BO191" s="871"/>
      <c r="BP191" s="871"/>
      <c r="BQ191" s="871"/>
      <c r="BR191" s="871"/>
      <c r="BS191" s="871"/>
      <c r="BT191" s="871"/>
      <c r="BU191" s="871"/>
      <c r="BV191" s="871"/>
      <c r="BW191" s="871"/>
      <c r="BX191" s="871"/>
      <c r="BY191" s="871"/>
      <c r="BZ191" s="871"/>
      <c r="CA191" s="871"/>
      <c r="CB191" s="871"/>
      <c r="CC191" s="871"/>
    </row>
    <row r="192" spans="1:81" ht="22.5" x14ac:dyDescent="0.2">
      <c r="A192" s="871"/>
      <c r="B192" s="1796"/>
      <c r="C192" s="1797" t="s">
        <v>1410</v>
      </c>
      <c r="D192" s="1798"/>
      <c r="E192" s="1799" t="s">
        <v>1411</v>
      </c>
      <c r="J192" s="882"/>
      <c r="L192" s="882"/>
      <c r="M192" s="882"/>
      <c r="N192" s="1720"/>
      <c r="O192" s="1721"/>
      <c r="P192" s="882"/>
      <c r="Q192" s="1721"/>
      <c r="R192" s="1720"/>
      <c r="S192" s="1721"/>
      <c r="T192" s="871"/>
      <c r="U192" s="871"/>
      <c r="V192" s="871"/>
      <c r="W192" s="871"/>
      <c r="X192" s="871"/>
      <c r="Y192" s="871"/>
      <c r="Z192" s="871"/>
      <c r="AA192" s="871"/>
      <c r="AB192" s="871"/>
      <c r="AC192" s="871"/>
      <c r="AD192" s="871"/>
      <c r="AE192" s="871"/>
      <c r="AF192" s="871"/>
      <c r="AG192" s="871"/>
      <c r="AH192" s="871"/>
      <c r="AI192" s="871"/>
      <c r="AJ192" s="871"/>
      <c r="AK192" s="871"/>
      <c r="AL192" s="871"/>
      <c r="AM192" s="871"/>
      <c r="AN192" s="871"/>
      <c r="AO192" s="871"/>
      <c r="AP192" s="871"/>
      <c r="AQ192" s="871"/>
      <c r="AR192" s="871"/>
      <c r="AS192" s="871"/>
      <c r="AT192" s="871"/>
      <c r="AU192" s="871"/>
      <c r="AV192" s="871"/>
      <c r="AW192" s="871"/>
      <c r="AX192" s="871"/>
      <c r="AY192" s="871"/>
      <c r="AZ192" s="871"/>
      <c r="BA192" s="871"/>
      <c r="BB192" s="871"/>
      <c r="BC192" s="871"/>
      <c r="BD192" s="871"/>
      <c r="BE192" s="871"/>
      <c r="BF192" s="871"/>
      <c r="BG192" s="871"/>
      <c r="BH192" s="871"/>
      <c r="BI192" s="871"/>
      <c r="BJ192" s="871"/>
      <c r="BK192" s="871"/>
      <c r="BL192" s="871"/>
      <c r="BM192" s="871"/>
      <c r="BN192" s="871"/>
      <c r="BO192" s="871"/>
      <c r="BP192" s="871"/>
      <c r="BQ192" s="871"/>
      <c r="BR192" s="871"/>
      <c r="BS192" s="871"/>
      <c r="BT192" s="871"/>
      <c r="BU192" s="871"/>
      <c r="BV192" s="871"/>
      <c r="BW192" s="871"/>
      <c r="BX192" s="871"/>
      <c r="BY192" s="871"/>
      <c r="BZ192" s="871"/>
      <c r="CA192" s="871"/>
      <c r="CB192" s="871"/>
      <c r="CC192" s="871"/>
    </row>
    <row r="193" spans="1:81" ht="11.25" x14ac:dyDescent="0.2">
      <c r="A193" s="871"/>
      <c r="B193" s="1800" t="s">
        <v>1412</v>
      </c>
      <c r="C193" s="1514">
        <f>G189*44/28</f>
        <v>106.06188057142857</v>
      </c>
      <c r="D193" s="1801"/>
      <c r="E193" s="1624">
        <f t="shared" ref="E193:E194" si="87">C193*O$18/1000000</f>
        <v>2.8954893395999999E-2</v>
      </c>
      <c r="J193" s="882"/>
      <c r="L193" s="871"/>
      <c r="M193" s="871"/>
      <c r="N193" s="1802"/>
      <c r="P193" s="871"/>
      <c r="Q193" s="1803"/>
      <c r="R193" s="871"/>
      <c r="T193" s="871"/>
      <c r="U193" s="871"/>
      <c r="V193" s="871"/>
      <c r="W193" s="871"/>
      <c r="X193" s="871"/>
      <c r="Y193" s="871"/>
      <c r="Z193" s="871"/>
      <c r="AA193" s="871"/>
      <c r="AB193" s="871"/>
      <c r="AC193" s="871"/>
      <c r="AD193" s="871"/>
      <c r="AE193" s="871"/>
      <c r="AF193" s="871"/>
      <c r="AG193" s="871"/>
      <c r="AH193" s="871"/>
      <c r="AI193" s="871"/>
      <c r="AJ193" s="871"/>
      <c r="AK193" s="871"/>
      <c r="AL193" s="871"/>
      <c r="AM193" s="871"/>
      <c r="AN193" s="871"/>
      <c r="AO193" s="871"/>
      <c r="AP193" s="871"/>
      <c r="AQ193" s="871"/>
      <c r="AR193" s="871"/>
      <c r="AS193" s="871"/>
      <c r="AT193" s="871"/>
      <c r="AU193" s="871"/>
      <c r="AV193" s="871"/>
      <c r="AW193" s="871"/>
      <c r="AX193" s="871"/>
      <c r="AY193" s="871"/>
      <c r="AZ193" s="871"/>
      <c r="BA193" s="871"/>
      <c r="BB193" s="871"/>
      <c r="BC193" s="871"/>
      <c r="BD193" s="871"/>
      <c r="BE193" s="871"/>
      <c r="BF193" s="871"/>
      <c r="BG193" s="871"/>
      <c r="BH193" s="871"/>
      <c r="BI193" s="871"/>
      <c r="BJ193" s="871"/>
      <c r="BK193" s="871"/>
      <c r="BL193" s="871"/>
      <c r="BM193" s="871"/>
      <c r="BN193" s="871"/>
      <c r="BO193" s="871"/>
      <c r="BP193" s="871"/>
      <c r="BQ193" s="871"/>
      <c r="BR193" s="871"/>
      <c r="BS193" s="871"/>
      <c r="BT193" s="871"/>
      <c r="BU193" s="871"/>
      <c r="BV193" s="871"/>
      <c r="BW193" s="871"/>
      <c r="BX193" s="871"/>
      <c r="BY193" s="871"/>
      <c r="BZ193" s="871"/>
      <c r="CA193" s="871"/>
      <c r="CB193" s="871"/>
      <c r="CC193" s="871"/>
    </row>
    <row r="194" spans="1:81" ht="11.25" x14ac:dyDescent="0.2">
      <c r="A194" s="871"/>
      <c r="B194" s="1800" t="s">
        <v>1413</v>
      </c>
      <c r="C194" s="1514">
        <f>(Q189+O189)*44/28</f>
        <v>634.43441815358585</v>
      </c>
      <c r="D194" s="1482"/>
      <c r="E194" s="1624">
        <f t="shared" si="87"/>
        <v>0.17320059615592895</v>
      </c>
      <c r="J194" s="875"/>
      <c r="L194" s="871"/>
      <c r="M194" s="871"/>
      <c r="N194" s="1804"/>
      <c r="O194" s="1173"/>
      <c r="P194" s="871"/>
      <c r="Q194" s="1173"/>
      <c r="R194" s="871"/>
      <c r="S194" s="1173"/>
      <c r="T194" s="871"/>
      <c r="U194" s="871"/>
      <c r="V194" s="871"/>
      <c r="W194" s="871"/>
      <c r="X194" s="871"/>
      <c r="Y194" s="871"/>
      <c r="Z194" s="871"/>
      <c r="AA194" s="871"/>
      <c r="AB194" s="871"/>
      <c r="AC194" s="871"/>
      <c r="AD194" s="871"/>
      <c r="AE194" s="871"/>
      <c r="AF194" s="871"/>
      <c r="AG194" s="871"/>
      <c r="AH194" s="871"/>
      <c r="AI194" s="871"/>
      <c r="AJ194" s="871"/>
      <c r="AK194" s="871"/>
      <c r="AL194" s="871"/>
      <c r="AM194" s="871"/>
      <c r="AN194" s="871"/>
      <c r="AO194" s="871"/>
      <c r="AP194" s="871"/>
      <c r="AQ194" s="871"/>
      <c r="AR194" s="871"/>
      <c r="AS194" s="871"/>
      <c r="AT194" s="871"/>
      <c r="AU194" s="871"/>
      <c r="AV194" s="871"/>
      <c r="AW194" s="871"/>
      <c r="AX194" s="871"/>
      <c r="AY194" s="871"/>
      <c r="AZ194" s="871"/>
      <c r="BA194" s="871"/>
      <c r="BB194" s="871"/>
      <c r="BC194" s="871"/>
      <c r="BD194" s="871"/>
      <c r="BE194" s="871"/>
      <c r="BF194" s="871"/>
      <c r="BG194" s="871"/>
      <c r="BH194" s="871"/>
      <c r="BI194" s="871"/>
      <c r="BJ194" s="871"/>
      <c r="BK194" s="871"/>
      <c r="BL194" s="871"/>
      <c r="BM194" s="871"/>
      <c r="BN194" s="871"/>
      <c r="BO194" s="871"/>
      <c r="BP194" s="871"/>
      <c r="BQ194" s="871"/>
      <c r="BR194" s="871"/>
      <c r="BS194" s="871"/>
      <c r="BT194" s="871"/>
      <c r="BU194" s="871"/>
      <c r="BV194" s="871"/>
      <c r="BW194" s="871"/>
      <c r="BX194" s="871"/>
      <c r="BY194" s="871"/>
      <c r="BZ194" s="871"/>
      <c r="CA194" s="871"/>
      <c r="CB194" s="871"/>
      <c r="CC194" s="871"/>
    </row>
    <row r="195" spans="1:81" ht="11.25" x14ac:dyDescent="0.2">
      <c r="A195" s="871"/>
      <c r="B195" s="1805" t="s">
        <v>1414</v>
      </c>
      <c r="C195" s="1514">
        <f>S168*44/28</f>
        <v>214.0849404822857</v>
      </c>
      <c r="D195" s="1482"/>
      <c r="E195" s="1624">
        <f>C195*O$18/1000000</f>
        <v>5.8445188751663997E-2</v>
      </c>
      <c r="J195" s="871"/>
      <c r="K195" s="1803"/>
      <c r="L195" s="871"/>
      <c r="M195" s="871"/>
      <c r="N195" s="1804"/>
      <c r="O195" s="1173"/>
      <c r="P195" s="871"/>
      <c r="Q195" s="1173"/>
      <c r="R195" s="871"/>
      <c r="S195" s="1173"/>
      <c r="T195" s="871"/>
      <c r="U195" s="871"/>
      <c r="V195" s="871"/>
      <c r="W195" s="871"/>
      <c r="X195" s="871"/>
      <c r="Y195" s="871"/>
      <c r="Z195" s="871"/>
      <c r="AA195" s="871"/>
      <c r="AB195" s="871"/>
      <c r="AC195" s="871"/>
      <c r="AD195" s="871"/>
      <c r="AE195" s="871"/>
      <c r="AF195" s="871"/>
      <c r="AG195" s="871"/>
      <c r="AH195" s="871"/>
      <c r="AI195" s="871"/>
      <c r="AJ195" s="871"/>
      <c r="AK195" s="871"/>
      <c r="AL195" s="871"/>
      <c r="AM195" s="871"/>
      <c r="AN195" s="871"/>
      <c r="AO195" s="871"/>
      <c r="AP195" s="871"/>
      <c r="AQ195" s="871"/>
      <c r="AR195" s="871"/>
      <c r="AS195" s="871"/>
      <c r="AT195" s="871"/>
      <c r="AU195" s="871"/>
      <c r="AV195" s="871"/>
      <c r="AW195" s="871"/>
      <c r="AX195" s="871"/>
      <c r="AY195" s="871"/>
      <c r="AZ195" s="871"/>
      <c r="BA195" s="871"/>
      <c r="BB195" s="871"/>
      <c r="BC195" s="871"/>
      <c r="BD195" s="871"/>
      <c r="BE195" s="871"/>
      <c r="BF195" s="871"/>
      <c r="BG195" s="871"/>
      <c r="BH195" s="871"/>
      <c r="BI195" s="871"/>
      <c r="BJ195" s="871"/>
      <c r="BK195" s="871"/>
      <c r="BL195" s="871"/>
      <c r="BM195" s="871"/>
      <c r="BN195" s="871"/>
      <c r="BO195" s="871"/>
      <c r="BP195" s="871"/>
      <c r="BQ195" s="871"/>
      <c r="BR195" s="871"/>
      <c r="BS195" s="871"/>
      <c r="BT195" s="871"/>
      <c r="BU195" s="871"/>
      <c r="BV195" s="871"/>
      <c r="BW195" s="871"/>
      <c r="BX195" s="871"/>
      <c r="BY195" s="871"/>
      <c r="BZ195" s="871"/>
      <c r="CA195" s="871"/>
      <c r="CB195" s="871"/>
      <c r="CC195" s="871"/>
    </row>
    <row r="196" spans="1:81" ht="11.25" x14ac:dyDescent="0.2">
      <c r="A196" s="871"/>
      <c r="B196" s="1806" t="s">
        <v>1415</v>
      </c>
      <c r="C196" s="1555">
        <f>SUM(C193:C195)</f>
        <v>954.58123920730009</v>
      </c>
      <c r="D196" s="1494"/>
      <c r="E196" s="1807">
        <f>SUM(E193:E195)</f>
        <v>0.26060067830359296</v>
      </c>
      <c r="L196" s="871"/>
      <c r="M196" s="875"/>
      <c r="N196" s="871"/>
      <c r="O196" s="871"/>
      <c r="P196" s="875"/>
      <c r="Q196" s="875"/>
      <c r="R196" s="871"/>
      <c r="S196" s="871"/>
      <c r="T196" s="871"/>
      <c r="U196" s="871"/>
      <c r="V196" s="871"/>
      <c r="W196" s="871"/>
      <c r="X196" s="871"/>
      <c r="Y196" s="871"/>
      <c r="Z196" s="871"/>
      <c r="AA196" s="871"/>
      <c r="AB196" s="871"/>
      <c r="AC196" s="871"/>
      <c r="AD196" s="871"/>
      <c r="AE196" s="871"/>
      <c r="AF196" s="871"/>
      <c r="AG196" s="871"/>
      <c r="AH196" s="871"/>
      <c r="AI196" s="871"/>
      <c r="AJ196" s="871"/>
      <c r="AK196" s="871"/>
      <c r="AL196" s="871"/>
      <c r="AM196" s="871"/>
      <c r="AN196" s="871"/>
      <c r="AO196" s="871"/>
      <c r="AP196" s="871"/>
      <c r="AQ196" s="871"/>
      <c r="AR196" s="871"/>
      <c r="AS196" s="871"/>
      <c r="AT196" s="871"/>
      <c r="AU196" s="871"/>
      <c r="AV196" s="871"/>
      <c r="AW196" s="871"/>
      <c r="AX196" s="871"/>
      <c r="AY196" s="871"/>
      <c r="AZ196" s="871"/>
      <c r="BA196" s="871"/>
      <c r="BB196" s="871"/>
      <c r="BC196" s="871"/>
      <c r="BD196" s="871"/>
      <c r="BE196" s="871"/>
      <c r="BF196" s="871"/>
      <c r="BG196" s="871"/>
      <c r="BH196" s="871"/>
      <c r="BI196" s="871"/>
      <c r="BJ196" s="871"/>
      <c r="BK196" s="871"/>
      <c r="BL196" s="871"/>
      <c r="BM196" s="871"/>
      <c r="BN196" s="871"/>
      <c r="BO196" s="871"/>
      <c r="BP196" s="871"/>
      <c r="BQ196" s="871"/>
      <c r="BR196" s="871"/>
      <c r="BS196" s="871"/>
      <c r="BT196" s="871"/>
      <c r="BU196" s="871"/>
      <c r="BV196" s="871"/>
      <c r="BW196" s="871"/>
      <c r="BX196" s="871"/>
      <c r="BY196" s="871"/>
      <c r="BZ196" s="871"/>
      <c r="CA196" s="871"/>
      <c r="CB196" s="871"/>
      <c r="CC196" s="871"/>
    </row>
    <row r="197" spans="1:81" ht="11.25" x14ac:dyDescent="0.2">
      <c r="A197" s="871"/>
      <c r="B197" s="1808"/>
      <c r="L197" s="871"/>
      <c r="M197" s="875"/>
      <c r="N197" s="871"/>
      <c r="O197" s="871"/>
      <c r="P197" s="875"/>
      <c r="Q197" s="875"/>
      <c r="R197" s="871"/>
      <c r="S197" s="871"/>
      <c r="T197" s="871"/>
      <c r="U197" s="871"/>
      <c r="V197" s="871"/>
      <c r="W197" s="871"/>
      <c r="X197" s="871"/>
      <c r="Y197" s="871"/>
      <c r="Z197" s="871"/>
      <c r="AA197" s="871"/>
      <c r="AB197" s="871"/>
      <c r="AC197" s="871"/>
      <c r="AD197" s="871"/>
      <c r="AE197" s="871"/>
      <c r="AF197" s="871"/>
      <c r="AG197" s="871"/>
      <c r="AH197" s="871"/>
      <c r="AI197" s="871"/>
      <c r="AJ197" s="871"/>
      <c r="AK197" s="871"/>
      <c r="AL197" s="871"/>
      <c r="AM197" s="871"/>
      <c r="AN197" s="871"/>
      <c r="AO197" s="871"/>
      <c r="AP197" s="871"/>
      <c r="AQ197" s="871"/>
      <c r="AR197" s="871"/>
      <c r="AS197" s="871"/>
      <c r="AT197" s="871"/>
      <c r="AU197" s="871"/>
      <c r="AV197" s="871"/>
      <c r="AW197" s="871"/>
      <c r="AX197" s="871"/>
      <c r="AY197" s="871"/>
      <c r="AZ197" s="871"/>
      <c r="BA197" s="871"/>
      <c r="BB197" s="871"/>
      <c r="BC197" s="871"/>
      <c r="BD197" s="871"/>
      <c r="BE197" s="871"/>
      <c r="BF197" s="871"/>
      <c r="BG197" s="871"/>
      <c r="BH197" s="871"/>
      <c r="BI197" s="871"/>
      <c r="BJ197" s="871"/>
      <c r="BK197" s="871"/>
      <c r="BL197" s="871"/>
      <c r="BM197" s="871"/>
      <c r="BN197" s="871"/>
      <c r="BO197" s="871"/>
      <c r="BP197" s="871"/>
      <c r="BQ197" s="871"/>
      <c r="BR197" s="871"/>
      <c r="BS197" s="871"/>
      <c r="BT197" s="871"/>
      <c r="BU197" s="871"/>
      <c r="BV197" s="871"/>
      <c r="BW197" s="871"/>
      <c r="BX197" s="871"/>
      <c r="BY197" s="871"/>
      <c r="BZ197" s="871"/>
      <c r="CA197" s="871"/>
      <c r="CB197" s="871"/>
      <c r="CC197" s="871"/>
    </row>
    <row r="198" spans="1:81" ht="11.25" x14ac:dyDescent="0.2">
      <c r="A198" s="871"/>
      <c r="B198" s="1496"/>
      <c r="C198" s="974"/>
      <c r="D198" s="974"/>
      <c r="E198" s="974"/>
      <c r="F198" s="974"/>
      <c r="G198" s="1497"/>
      <c r="H198" s="874"/>
      <c r="I198" s="879"/>
      <c r="J198" s="874"/>
      <c r="K198" s="878"/>
      <c r="L198" s="871"/>
      <c r="M198" s="878"/>
      <c r="N198" s="871"/>
      <c r="O198" s="871"/>
      <c r="P198" s="871"/>
      <c r="Q198" s="871"/>
      <c r="R198" s="871"/>
      <c r="S198" s="871"/>
      <c r="T198" s="871"/>
      <c r="U198" s="871"/>
    </row>
    <row r="199" spans="1:81" ht="15.75" x14ac:dyDescent="0.25">
      <c r="A199" s="871"/>
      <c r="B199" s="1473" t="s">
        <v>1417</v>
      </c>
      <c r="C199" s="1559"/>
      <c r="D199" s="1559"/>
      <c r="E199" s="1559"/>
      <c r="F199" s="1563"/>
      <c r="G199" s="1563"/>
      <c r="H199" s="1563"/>
      <c r="I199" s="1563"/>
      <c r="J199" s="1561"/>
      <c r="K199" s="1563"/>
      <c r="L199" s="1474"/>
      <c r="M199" s="1563"/>
      <c r="N199" s="1474"/>
      <c r="O199" s="1474"/>
      <c r="P199" s="1474"/>
      <c r="Q199" s="1474"/>
      <c r="R199" s="1474"/>
      <c r="S199" s="1474"/>
      <c r="T199" s="1474"/>
      <c r="U199" s="1474"/>
      <c r="V199" s="1474"/>
      <c r="W199" s="1474"/>
      <c r="X199" s="1474"/>
      <c r="Y199" s="1474"/>
      <c r="Z199" s="1474"/>
      <c r="AA199" s="1475"/>
      <c r="AD199" s="871"/>
      <c r="AH199" s="882"/>
    </row>
    <row r="200" spans="1:81" ht="39.6" customHeight="1" x14ac:dyDescent="0.2">
      <c r="A200" s="1809"/>
      <c r="B200" s="1810" t="s">
        <v>1297</v>
      </c>
      <c r="C200" s="1493" t="s">
        <v>1298</v>
      </c>
      <c r="D200" s="1642"/>
      <c r="E200" s="1811" t="s">
        <v>1903</v>
      </c>
      <c r="F200" s="1812"/>
      <c r="G200" s="1500" t="s">
        <v>1904</v>
      </c>
      <c r="H200" s="1813"/>
      <c r="I200" s="1500" t="s">
        <v>1299</v>
      </c>
      <c r="J200" s="1500"/>
      <c r="K200" s="1500" t="s">
        <v>1418</v>
      </c>
      <c r="L200" s="1813"/>
      <c r="M200" s="1500" t="s">
        <v>1419</v>
      </c>
      <c r="N200" s="1813"/>
      <c r="O200" s="1500" t="s">
        <v>1420</v>
      </c>
      <c r="P200" s="1813"/>
      <c r="Q200" s="1500" t="s">
        <v>1421</v>
      </c>
      <c r="R200" s="1642"/>
      <c r="S200" s="1500" t="s">
        <v>1422</v>
      </c>
      <c r="T200" s="1642"/>
      <c r="U200" s="1814" t="s">
        <v>31</v>
      </c>
      <c r="V200" s="1642"/>
      <c r="W200" s="1814" t="s">
        <v>1423</v>
      </c>
      <c r="X200" s="1642"/>
      <c r="Y200" s="1500" t="s">
        <v>1424</v>
      </c>
      <c r="Z200" s="1813"/>
      <c r="AA200" s="1656" t="s">
        <v>1426</v>
      </c>
      <c r="AC200" s="871"/>
      <c r="AD200" s="871"/>
      <c r="AF200" s="871"/>
      <c r="AG200" s="871"/>
      <c r="AH200" s="871"/>
      <c r="AI200" s="871"/>
      <c r="AJ200" s="871"/>
      <c r="AK200" s="871"/>
      <c r="AL200" s="871"/>
      <c r="AM200" s="871"/>
      <c r="AN200" s="871"/>
      <c r="AO200" s="871"/>
      <c r="AP200" s="871"/>
      <c r="AQ200" s="871"/>
      <c r="AR200" s="871"/>
      <c r="AS200" s="871"/>
      <c r="AT200" s="871"/>
      <c r="AU200" s="871"/>
      <c r="AV200" s="871"/>
      <c r="AW200" s="871"/>
      <c r="AX200" s="871"/>
      <c r="AY200" s="871"/>
      <c r="AZ200" s="871"/>
      <c r="BA200" s="871"/>
      <c r="BB200" s="871"/>
      <c r="BC200" s="871"/>
      <c r="BD200" s="871"/>
      <c r="BE200" s="871"/>
      <c r="BF200" s="871"/>
      <c r="BG200" s="871"/>
      <c r="BH200" s="871"/>
      <c r="BI200" s="871"/>
      <c r="BJ200" s="871"/>
      <c r="BK200" s="871"/>
      <c r="BL200" s="871"/>
      <c r="BM200" s="871"/>
      <c r="BN200" s="871"/>
      <c r="BO200" s="871"/>
      <c r="BP200" s="871"/>
      <c r="BQ200" s="871"/>
      <c r="BR200" s="871"/>
      <c r="BS200" s="871"/>
      <c r="BT200" s="871"/>
      <c r="BU200" s="871"/>
      <c r="BV200" s="871"/>
      <c r="BW200" s="871"/>
      <c r="BX200" s="871"/>
      <c r="BY200" s="871"/>
      <c r="BZ200" s="871"/>
      <c r="CA200" s="871"/>
      <c r="CB200" s="871"/>
      <c r="CC200" s="871"/>
    </row>
    <row r="201" spans="1:81" ht="11.25" x14ac:dyDescent="0.2">
      <c r="A201" s="1809"/>
      <c r="B201" s="1678" t="s">
        <v>1427</v>
      </c>
      <c r="C201" s="1815" t="s">
        <v>1313</v>
      </c>
      <c r="D201" s="1663"/>
      <c r="E201" s="1816">
        <v>1248</v>
      </c>
      <c r="F201" s="1546" t="s">
        <v>1044</v>
      </c>
      <c r="G201" s="1619">
        <f>1000*0.021772</f>
        <v>21.771999999999998</v>
      </c>
      <c r="H201" s="1546" t="s">
        <v>1045</v>
      </c>
      <c r="I201" s="1817">
        <f t="shared" ref="I201:I207" si="88">E201*G201</f>
        <v>27171.455999999998</v>
      </c>
      <c r="J201" s="1546" t="s">
        <v>1044</v>
      </c>
      <c r="K201" s="1818">
        <v>1.181</v>
      </c>
      <c r="L201" s="1546" t="s">
        <v>1044</v>
      </c>
      <c r="M201" s="1819">
        <v>4.666206E-3</v>
      </c>
      <c r="N201" s="1546" t="s">
        <v>1044</v>
      </c>
      <c r="O201" s="1546">
        <v>0.93</v>
      </c>
      <c r="P201" s="1546" t="s">
        <v>1044</v>
      </c>
      <c r="Q201" s="1546">
        <v>0.93</v>
      </c>
      <c r="R201" s="1546" t="s">
        <v>1044</v>
      </c>
      <c r="S201" s="1391">
        <v>0.9</v>
      </c>
      <c r="T201" s="1546" t="s">
        <v>1044</v>
      </c>
      <c r="U201" s="1666">
        <v>0.44850000000000001</v>
      </c>
      <c r="V201" s="1546" t="s">
        <v>1045</v>
      </c>
      <c r="W201" s="1767">
        <f t="shared" ref="W201:W207" si="89">I201*K201*M201*O201*Q201*S201*U201</f>
        <v>52.275424756895291</v>
      </c>
      <c r="X201" s="1546" t="s">
        <v>1045</v>
      </c>
      <c r="Y201" s="1820">
        <f t="shared" ref="Y201:Y207" si="90">W201*0.005*(16/12)</f>
        <v>0.3485028317126353</v>
      </c>
      <c r="Z201" s="1821" t="s">
        <v>1045</v>
      </c>
      <c r="AA201" s="1822">
        <f t="shared" ref="AA201:AA207" si="91">Y201*O$17/1000000</f>
        <v>9.7232290047825239E-6</v>
      </c>
      <c r="AC201" s="871"/>
      <c r="AD201" s="871"/>
      <c r="AE201" s="1823"/>
      <c r="AF201" s="871"/>
      <c r="AG201" s="871"/>
      <c r="AH201" s="871"/>
      <c r="AI201" s="871"/>
      <c r="AJ201" s="871"/>
      <c r="AK201" s="871"/>
      <c r="AL201" s="871"/>
      <c r="AM201" s="871"/>
      <c r="AN201" s="871"/>
      <c r="AO201" s="871"/>
      <c r="AP201" s="871"/>
      <c r="AQ201" s="871"/>
      <c r="AR201" s="871"/>
      <c r="AS201" s="871"/>
      <c r="AT201" s="871"/>
      <c r="AU201" s="871"/>
      <c r="AV201" s="871"/>
      <c r="AW201" s="871"/>
      <c r="AX201" s="871"/>
      <c r="AY201" s="871"/>
      <c r="AZ201" s="871"/>
      <c r="BA201" s="871"/>
      <c r="BB201" s="871"/>
      <c r="BC201" s="871"/>
      <c r="BD201" s="871"/>
      <c r="BE201" s="871"/>
      <c r="BF201" s="871"/>
      <c r="BG201" s="871"/>
      <c r="BH201" s="871"/>
      <c r="BI201" s="871"/>
      <c r="BJ201" s="871"/>
      <c r="BK201" s="871"/>
      <c r="BL201" s="871"/>
      <c r="BM201" s="871"/>
      <c r="BN201" s="871"/>
      <c r="BO201" s="871"/>
      <c r="BP201" s="871"/>
      <c r="BQ201" s="871"/>
      <c r="BR201" s="871"/>
      <c r="BS201" s="871"/>
      <c r="BT201" s="871"/>
      <c r="BU201" s="871"/>
      <c r="BV201" s="871"/>
      <c r="BW201" s="871"/>
      <c r="BX201" s="871"/>
      <c r="BY201" s="871"/>
      <c r="BZ201" s="871"/>
      <c r="CA201" s="871"/>
      <c r="CB201" s="871"/>
      <c r="CC201" s="871"/>
    </row>
    <row r="202" spans="1:81" ht="11.25" x14ac:dyDescent="0.2">
      <c r="A202" s="1809"/>
      <c r="B202" s="1484" t="s">
        <v>1429</v>
      </c>
      <c r="C202" s="1824" t="s">
        <v>1313</v>
      </c>
      <c r="D202" s="1482"/>
      <c r="E202" s="1825">
        <v>72600</v>
      </c>
      <c r="F202" s="1481" t="s">
        <v>1044</v>
      </c>
      <c r="G202" s="1619">
        <f>1000*0.025401147108</f>
        <v>25.401147108</v>
      </c>
      <c r="H202" s="1481" t="s">
        <v>1045</v>
      </c>
      <c r="I202" s="1817">
        <f t="shared" si="88"/>
        <v>1844123.2800408001</v>
      </c>
      <c r="J202" s="1481" t="s">
        <v>1044</v>
      </c>
      <c r="K202" s="1826">
        <v>0.70699999999999996</v>
      </c>
      <c r="L202" s="1481" t="s">
        <v>1044</v>
      </c>
      <c r="M202" s="1819">
        <v>1.6756799999999999E-3</v>
      </c>
      <c r="N202" s="1481" t="s">
        <v>1044</v>
      </c>
      <c r="O202" s="1481">
        <v>0.91</v>
      </c>
      <c r="P202" s="1481" t="s">
        <v>1044</v>
      </c>
      <c r="Q202" s="1546">
        <v>0.93</v>
      </c>
      <c r="R202" s="1481" t="s">
        <v>1044</v>
      </c>
      <c r="S202" s="1391">
        <v>0.9</v>
      </c>
      <c r="T202" s="1481" t="s">
        <v>1044</v>
      </c>
      <c r="U202" s="1827">
        <v>0.44779999999999998</v>
      </c>
      <c r="V202" s="1481" t="s">
        <v>1045</v>
      </c>
      <c r="W202" s="1734">
        <f t="shared" si="89"/>
        <v>745.16318431542913</v>
      </c>
      <c r="X202" s="1481" t="s">
        <v>1045</v>
      </c>
      <c r="Y202" s="1828">
        <f t="shared" si="90"/>
        <v>4.9677545621028605</v>
      </c>
      <c r="Z202" s="1829" t="s">
        <v>1045</v>
      </c>
      <c r="AA202" s="1830">
        <f t="shared" si="91"/>
        <v>1.3860035228266981E-4</v>
      </c>
      <c r="AC202" s="871"/>
      <c r="AD202" s="871"/>
      <c r="AE202" s="1823"/>
      <c r="AF202" s="871"/>
      <c r="AG202" s="871"/>
      <c r="AH202" s="871"/>
      <c r="AI202" s="871"/>
      <c r="AJ202" s="871"/>
      <c r="AK202" s="871"/>
      <c r="AL202" s="871"/>
      <c r="AM202" s="871"/>
      <c r="AN202" s="871"/>
      <c r="AO202" s="871"/>
      <c r="AP202" s="871"/>
      <c r="AQ202" s="871"/>
      <c r="AR202" s="871"/>
      <c r="AS202" s="871"/>
      <c r="AT202" s="871"/>
      <c r="AU202" s="871"/>
      <c r="AV202" s="871"/>
      <c r="AW202" s="871"/>
      <c r="AX202" s="871"/>
      <c r="AY202" s="871"/>
      <c r="AZ202" s="871"/>
      <c r="BA202" s="871"/>
      <c r="BB202" s="871"/>
      <c r="BC202" s="871"/>
      <c r="BD202" s="871"/>
      <c r="BE202" s="871"/>
      <c r="BF202" s="871"/>
      <c r="BG202" s="871"/>
      <c r="BH202" s="871"/>
      <c r="BI202" s="871"/>
      <c r="BJ202" s="871"/>
      <c r="BK202" s="871"/>
      <c r="BL202" s="871"/>
      <c r="BM202" s="871"/>
      <c r="BN202" s="871"/>
      <c r="BO202" s="871"/>
      <c r="BP202" s="871"/>
      <c r="BQ202" s="871"/>
      <c r="BR202" s="871"/>
      <c r="BS202" s="871"/>
      <c r="BT202" s="871"/>
      <c r="BU202" s="871"/>
      <c r="BV202" s="871"/>
      <c r="BW202" s="871"/>
      <c r="BX202" s="871"/>
      <c r="BY202" s="871"/>
      <c r="BZ202" s="871"/>
      <c r="CA202" s="871"/>
      <c r="CB202" s="871"/>
      <c r="CC202" s="871"/>
    </row>
    <row r="203" spans="1:81" ht="11.25" x14ac:dyDescent="0.2">
      <c r="A203" s="1809"/>
      <c r="B203" s="1484" t="s">
        <v>1326</v>
      </c>
      <c r="C203" s="1824" t="s">
        <v>1430</v>
      </c>
      <c r="D203" s="1482"/>
      <c r="E203" s="1825">
        <v>0</v>
      </c>
      <c r="F203" s="1481" t="s">
        <v>1044</v>
      </c>
      <c r="G203" s="1619">
        <f>1000/2000*0.907185</f>
        <v>0.45359250000000001</v>
      </c>
      <c r="H203" s="1481" t="s">
        <v>1045</v>
      </c>
      <c r="I203" s="1817">
        <f t="shared" si="88"/>
        <v>0</v>
      </c>
      <c r="J203" s="1481" t="s">
        <v>1044</v>
      </c>
      <c r="K203" s="1826">
        <v>1.6</v>
      </c>
      <c r="L203" s="1481" t="s">
        <v>1044</v>
      </c>
      <c r="M203" s="1819">
        <v>2.052679E-3</v>
      </c>
      <c r="N203" s="1481" t="s">
        <v>1044</v>
      </c>
      <c r="O203" s="1481">
        <v>0.86</v>
      </c>
      <c r="P203" s="1481" t="s">
        <v>1044</v>
      </c>
      <c r="Q203" s="1546">
        <v>0.93</v>
      </c>
      <c r="R203" s="1481" t="s">
        <v>1044</v>
      </c>
      <c r="S203" s="1391">
        <v>0.9</v>
      </c>
      <c r="T203" s="1481" t="s">
        <v>1044</v>
      </c>
      <c r="U203" s="1827">
        <v>0.45</v>
      </c>
      <c r="V203" s="1481" t="s">
        <v>1045</v>
      </c>
      <c r="W203" s="1734">
        <f t="shared" si="89"/>
        <v>0</v>
      </c>
      <c r="X203" s="1481" t="s">
        <v>1045</v>
      </c>
      <c r="Y203" s="1828">
        <f t="shared" si="90"/>
        <v>0</v>
      </c>
      <c r="Z203" s="1829" t="s">
        <v>1045</v>
      </c>
      <c r="AA203" s="1831">
        <f t="shared" si="91"/>
        <v>0</v>
      </c>
      <c r="AC203" s="871"/>
      <c r="AD203" s="871"/>
      <c r="AE203" s="1823"/>
      <c r="AF203" s="871"/>
      <c r="AG203" s="871"/>
      <c r="AH203" s="871"/>
      <c r="AI203" s="871"/>
      <c r="AJ203" s="871"/>
      <c r="AK203" s="871"/>
      <c r="AL203" s="871"/>
      <c r="AM203" s="871"/>
      <c r="AN203" s="871"/>
      <c r="AO203" s="871"/>
      <c r="AP203" s="871"/>
      <c r="AQ203" s="871"/>
      <c r="AR203" s="871"/>
      <c r="AS203" s="871"/>
      <c r="AT203" s="871"/>
      <c r="AU203" s="871"/>
      <c r="AV203" s="871"/>
      <c r="AW203" s="871"/>
      <c r="AX203" s="871"/>
      <c r="AY203" s="871"/>
      <c r="AZ203" s="871"/>
      <c r="BA203" s="871"/>
      <c r="BB203" s="871"/>
      <c r="BC203" s="871"/>
      <c r="BD203" s="871"/>
      <c r="BE203" s="871"/>
      <c r="BF203" s="871"/>
      <c r="BG203" s="871"/>
      <c r="BH203" s="871"/>
      <c r="BI203" s="871"/>
      <c r="BJ203" s="871"/>
      <c r="BK203" s="871"/>
      <c r="BL203" s="871"/>
      <c r="BM203" s="871"/>
      <c r="BN203" s="871"/>
      <c r="BO203" s="871"/>
      <c r="BP203" s="871"/>
      <c r="BQ203" s="871"/>
      <c r="BR203" s="871"/>
      <c r="BS203" s="871"/>
      <c r="BT203" s="871"/>
      <c r="BU203" s="871"/>
      <c r="BV203" s="871"/>
      <c r="BW203" s="871"/>
      <c r="BX203" s="871"/>
      <c r="BY203" s="871"/>
      <c r="BZ203" s="871"/>
      <c r="CA203" s="871"/>
      <c r="CB203" s="871"/>
      <c r="CC203" s="871"/>
    </row>
    <row r="204" spans="1:81" ht="11.25" x14ac:dyDescent="0.2">
      <c r="A204" s="1809"/>
      <c r="B204" s="1484" t="s">
        <v>1323</v>
      </c>
      <c r="C204" s="1824" t="s">
        <v>1431</v>
      </c>
      <c r="D204" s="1482"/>
      <c r="E204" s="1825">
        <v>0</v>
      </c>
      <c r="F204" s="1481" t="s">
        <v>1044</v>
      </c>
      <c r="G204" s="1619">
        <f>1000*100/2000*0.907185</f>
        <v>45.359250000000003</v>
      </c>
      <c r="H204" s="1481" t="s">
        <v>1045</v>
      </c>
      <c r="I204" s="1817">
        <f t="shared" si="88"/>
        <v>0</v>
      </c>
      <c r="J204" s="1481" t="s">
        <v>1044</v>
      </c>
      <c r="K204" s="1826">
        <v>1.34</v>
      </c>
      <c r="L204" s="1481" t="s">
        <v>1044</v>
      </c>
      <c r="M204" s="1819">
        <v>0</v>
      </c>
      <c r="N204" s="1481" t="s">
        <v>1044</v>
      </c>
      <c r="O204" s="1481">
        <v>0.91</v>
      </c>
      <c r="P204" s="1481" t="s">
        <v>1044</v>
      </c>
      <c r="Q204" s="1546">
        <v>0.93</v>
      </c>
      <c r="R204" s="1481" t="s">
        <v>1044</v>
      </c>
      <c r="S204" s="1391">
        <v>0.9</v>
      </c>
      <c r="T204" s="1481" t="s">
        <v>1044</v>
      </c>
      <c r="U204" s="1827">
        <v>0.38059999999999999</v>
      </c>
      <c r="V204" s="1481" t="s">
        <v>1045</v>
      </c>
      <c r="W204" s="1734">
        <f t="shared" si="89"/>
        <v>0</v>
      </c>
      <c r="X204" s="1481" t="s">
        <v>1045</v>
      </c>
      <c r="Y204" s="1828">
        <f t="shared" si="90"/>
        <v>0</v>
      </c>
      <c r="Z204" s="1829" t="s">
        <v>1045</v>
      </c>
      <c r="AA204" s="1831">
        <f t="shared" si="91"/>
        <v>0</v>
      </c>
      <c r="AC204" s="871"/>
      <c r="AD204" s="871"/>
      <c r="AE204" s="1823"/>
      <c r="AF204" s="871"/>
      <c r="AG204" s="871"/>
      <c r="AH204" s="871"/>
      <c r="AI204" s="871"/>
      <c r="AJ204" s="871"/>
      <c r="AK204" s="871"/>
      <c r="AL204" s="871"/>
      <c r="AM204" s="871"/>
      <c r="AN204" s="871"/>
      <c r="AO204" s="871"/>
      <c r="AP204" s="871"/>
      <c r="AQ204" s="871"/>
      <c r="AR204" s="871"/>
      <c r="AS204" s="871"/>
      <c r="AT204" s="871"/>
      <c r="AU204" s="871"/>
      <c r="AV204" s="871"/>
      <c r="AW204" s="871"/>
      <c r="AX204" s="871"/>
      <c r="AY204" s="871"/>
      <c r="AZ204" s="871"/>
      <c r="BA204" s="871"/>
      <c r="BB204" s="871"/>
      <c r="BC204" s="871"/>
      <c r="BD204" s="871"/>
      <c r="BE204" s="871"/>
      <c r="BF204" s="871"/>
      <c r="BG204" s="871"/>
      <c r="BH204" s="871"/>
      <c r="BI204" s="871"/>
      <c r="BJ204" s="871"/>
      <c r="BK204" s="871"/>
      <c r="BL204" s="871"/>
      <c r="BM204" s="871"/>
      <c r="BN204" s="871"/>
      <c r="BO204" s="871"/>
      <c r="BP204" s="871"/>
      <c r="BQ204" s="871"/>
      <c r="BR204" s="871"/>
      <c r="BS204" s="871"/>
      <c r="BT204" s="871"/>
      <c r="BU204" s="871"/>
      <c r="BV204" s="871"/>
      <c r="BW204" s="871"/>
      <c r="BX204" s="871"/>
      <c r="BY204" s="871"/>
      <c r="BZ204" s="871"/>
      <c r="CA204" s="871"/>
      <c r="CB204" s="871"/>
      <c r="CC204" s="871"/>
    </row>
    <row r="205" spans="1:81" ht="11.25" x14ac:dyDescent="0.2">
      <c r="A205" s="1809"/>
      <c r="B205" s="1484" t="s">
        <v>1432</v>
      </c>
      <c r="C205" s="1824" t="s">
        <v>1313</v>
      </c>
      <c r="D205" s="1482"/>
      <c r="E205" s="1825">
        <f>21620</f>
        <v>21620</v>
      </c>
      <c r="F205" s="1481" t="s">
        <v>1044</v>
      </c>
      <c r="G205" s="1619">
        <f>1000*0.027215692075</f>
        <v>27.215692075</v>
      </c>
      <c r="H205" s="1481" t="s">
        <v>1045</v>
      </c>
      <c r="I205" s="1817">
        <f t="shared" si="88"/>
        <v>588403.26266150002</v>
      </c>
      <c r="J205" s="1481" t="s">
        <v>1044</v>
      </c>
      <c r="K205" s="1826">
        <v>1.5</v>
      </c>
      <c r="L205" s="1481" t="s">
        <v>1044</v>
      </c>
      <c r="M205" s="1819">
        <v>2.052679E-3</v>
      </c>
      <c r="N205" s="1481" t="s">
        <v>1044</v>
      </c>
      <c r="O205" s="1481">
        <v>0.87</v>
      </c>
      <c r="P205" s="1481" t="s">
        <v>1044</v>
      </c>
      <c r="Q205" s="1546">
        <v>0.93</v>
      </c>
      <c r="R205" s="1481" t="s">
        <v>1044</v>
      </c>
      <c r="S205" s="1391">
        <v>0.9</v>
      </c>
      <c r="T205" s="1481" t="s">
        <v>1044</v>
      </c>
      <c r="U205" s="1827">
        <v>0.45</v>
      </c>
      <c r="V205" s="1481" t="s">
        <v>1045</v>
      </c>
      <c r="W205" s="1734">
        <f t="shared" si="89"/>
        <v>593.66930515693775</v>
      </c>
      <c r="X205" s="1481" t="s">
        <v>1045</v>
      </c>
      <c r="Y205" s="1828">
        <f t="shared" si="90"/>
        <v>3.9577953677129178</v>
      </c>
      <c r="Z205" s="1829" t="s">
        <v>1045</v>
      </c>
      <c r="AA205" s="1830">
        <f t="shared" si="91"/>
        <v>1.104224907591904E-4</v>
      </c>
      <c r="AC205" s="871"/>
      <c r="AD205" s="871"/>
      <c r="AE205" s="1823"/>
      <c r="AF205" s="871"/>
      <c r="AG205" s="871"/>
      <c r="AH205" s="871"/>
      <c r="AI205" s="871"/>
      <c r="AJ205" s="871"/>
      <c r="AK205" s="871"/>
      <c r="AL205" s="871"/>
      <c r="AM205" s="871"/>
      <c r="AN205" s="871"/>
      <c r="AO205" s="871"/>
      <c r="AP205" s="871"/>
      <c r="AQ205" s="871"/>
      <c r="AR205" s="871"/>
      <c r="AS205" s="871"/>
      <c r="AT205" s="871"/>
      <c r="AU205" s="871"/>
      <c r="AV205" s="871"/>
      <c r="AW205" s="871"/>
      <c r="AX205" s="871"/>
      <c r="AY205" s="871"/>
      <c r="AZ205" s="871"/>
      <c r="BA205" s="871"/>
      <c r="BB205" s="871"/>
      <c r="BC205" s="871"/>
      <c r="BD205" s="871"/>
      <c r="BE205" s="871"/>
      <c r="BF205" s="871"/>
      <c r="BG205" s="871"/>
      <c r="BH205" s="871"/>
      <c r="BI205" s="871"/>
      <c r="BJ205" s="871"/>
      <c r="BK205" s="871"/>
      <c r="BL205" s="871"/>
      <c r="BM205" s="871"/>
      <c r="BN205" s="871"/>
      <c r="BO205" s="871"/>
      <c r="BP205" s="871"/>
      <c r="BQ205" s="871"/>
      <c r="BR205" s="871"/>
      <c r="BS205" s="871"/>
      <c r="BT205" s="871"/>
      <c r="BU205" s="871"/>
      <c r="BV205" s="871"/>
      <c r="BW205" s="871"/>
      <c r="BX205" s="871"/>
      <c r="BY205" s="871"/>
      <c r="BZ205" s="871"/>
      <c r="CA205" s="871"/>
      <c r="CB205" s="871"/>
      <c r="CC205" s="871"/>
    </row>
    <row r="206" spans="1:81" ht="11.25" x14ac:dyDescent="0.2">
      <c r="A206" s="1809"/>
      <c r="B206" s="1484" t="s">
        <v>1433</v>
      </c>
      <c r="C206" s="1824" t="s">
        <v>1310</v>
      </c>
      <c r="D206" s="1482"/>
      <c r="E206" s="1825">
        <v>0</v>
      </c>
      <c r="F206" s="1481" t="s">
        <v>1044</v>
      </c>
      <c r="G206" s="1619">
        <f>1000*0.907185</f>
        <v>907.18500000000006</v>
      </c>
      <c r="H206" s="1481" t="s">
        <v>1045</v>
      </c>
      <c r="I206" s="1817">
        <f t="shared" si="88"/>
        <v>0</v>
      </c>
      <c r="J206" s="1481" t="s">
        <v>1044</v>
      </c>
      <c r="K206" s="1826">
        <v>0.41</v>
      </c>
      <c r="L206" s="1481" t="s">
        <v>1044</v>
      </c>
      <c r="M206" s="1819">
        <v>0</v>
      </c>
      <c r="N206" s="1481" t="s">
        <v>1044</v>
      </c>
      <c r="O206" s="1481">
        <v>0.62</v>
      </c>
      <c r="P206" s="1481" t="s">
        <v>1044</v>
      </c>
      <c r="Q206" s="1546">
        <v>0.93</v>
      </c>
      <c r="R206" s="1481" t="s">
        <v>1044</v>
      </c>
      <c r="S206" s="1391">
        <v>0.9</v>
      </c>
      <c r="T206" s="1481" t="s">
        <v>1044</v>
      </c>
      <c r="U206" s="1827">
        <v>0.42349999999999999</v>
      </c>
      <c r="V206" s="1481" t="s">
        <v>1045</v>
      </c>
      <c r="W206" s="1734">
        <f t="shared" si="89"/>
        <v>0</v>
      </c>
      <c r="X206" s="1481" t="s">
        <v>1045</v>
      </c>
      <c r="Y206" s="1828">
        <f t="shared" si="90"/>
        <v>0</v>
      </c>
      <c r="Z206" s="1829" t="s">
        <v>1045</v>
      </c>
      <c r="AA206" s="1831">
        <f t="shared" si="91"/>
        <v>0</v>
      </c>
      <c r="AC206" s="871"/>
      <c r="AD206" s="871"/>
      <c r="AE206" s="1823"/>
      <c r="AF206" s="871"/>
      <c r="AG206" s="871"/>
      <c r="AH206" s="871"/>
      <c r="AI206" s="871"/>
      <c r="AJ206" s="871"/>
      <c r="AK206" s="871"/>
      <c r="AL206" s="871"/>
      <c r="AM206" s="871"/>
      <c r="AN206" s="871"/>
      <c r="AO206" s="871"/>
      <c r="AP206" s="871"/>
      <c r="AQ206" s="871"/>
      <c r="AR206" s="871"/>
      <c r="AS206" s="871"/>
      <c r="AT206" s="871"/>
      <c r="AU206" s="871"/>
      <c r="AV206" s="871"/>
      <c r="AW206" s="871"/>
      <c r="AX206" s="871"/>
      <c r="AY206" s="871"/>
      <c r="AZ206" s="871"/>
      <c r="BA206" s="871"/>
      <c r="BB206" s="871"/>
      <c r="BC206" s="871"/>
      <c r="BD206" s="871"/>
      <c r="BE206" s="871"/>
      <c r="BF206" s="871"/>
      <c r="BG206" s="871"/>
      <c r="BH206" s="871"/>
      <c r="BI206" s="871"/>
      <c r="BJ206" s="871"/>
      <c r="BK206" s="871"/>
      <c r="BL206" s="871"/>
      <c r="BM206" s="871"/>
      <c r="BN206" s="871"/>
      <c r="BO206" s="871"/>
      <c r="BP206" s="871"/>
      <c r="BQ206" s="871"/>
      <c r="BR206" s="871"/>
      <c r="BS206" s="871"/>
      <c r="BT206" s="871"/>
      <c r="BU206" s="871"/>
      <c r="BV206" s="871"/>
      <c r="BW206" s="871"/>
      <c r="BX206" s="871"/>
      <c r="BY206" s="871"/>
      <c r="BZ206" s="871"/>
      <c r="CA206" s="871"/>
      <c r="CB206" s="871"/>
      <c r="CC206" s="871"/>
    </row>
    <row r="207" spans="1:81" ht="11.25" x14ac:dyDescent="0.2">
      <c r="A207" s="1809"/>
      <c r="B207" s="1484" t="s">
        <v>1434</v>
      </c>
      <c r="C207" s="1824" t="s">
        <v>1313</v>
      </c>
      <c r="D207" s="1482"/>
      <c r="E207" s="1825">
        <f>16575</f>
        <v>16575</v>
      </c>
      <c r="F207" s="1481" t="s">
        <v>1044</v>
      </c>
      <c r="G207" s="1619">
        <f>1000*0.027215442853</f>
        <v>27.215442852999999</v>
      </c>
      <c r="H207" s="1481" t="s">
        <v>1045</v>
      </c>
      <c r="I207" s="1817">
        <f t="shared" si="88"/>
        <v>451095.96528847498</v>
      </c>
      <c r="J207" s="1481" t="s">
        <v>1044</v>
      </c>
      <c r="K207" s="1826">
        <v>1.7250000000000001</v>
      </c>
      <c r="L207" s="1481" t="s">
        <v>1044</v>
      </c>
      <c r="M207" s="1819">
        <v>4.666206E-3</v>
      </c>
      <c r="N207" s="1481" t="s">
        <v>1044</v>
      </c>
      <c r="O207" s="1481">
        <v>0.93</v>
      </c>
      <c r="P207" s="1481" t="s">
        <v>1044</v>
      </c>
      <c r="Q207" s="1546">
        <v>0.93</v>
      </c>
      <c r="R207" s="1481" t="s">
        <v>1044</v>
      </c>
      <c r="S207" s="1391">
        <v>0.9</v>
      </c>
      <c r="T207" s="1481" t="s">
        <v>1044</v>
      </c>
      <c r="U207" s="1827">
        <v>0.44280000000000003</v>
      </c>
      <c r="V207" s="1481" t="s">
        <v>1045</v>
      </c>
      <c r="W207" s="1734">
        <f t="shared" si="89"/>
        <v>1251.5205024129523</v>
      </c>
      <c r="X207" s="1481" t="s">
        <v>1045</v>
      </c>
      <c r="Y207" s="1828">
        <f t="shared" si="90"/>
        <v>8.3434700160863482</v>
      </c>
      <c r="Z207" s="1829" t="s">
        <v>1045</v>
      </c>
      <c r="AA207" s="1830">
        <f t="shared" si="91"/>
        <v>2.3278281344880911E-4</v>
      </c>
      <c r="AC207" s="871"/>
      <c r="AD207" s="871"/>
      <c r="AE207" s="1823"/>
      <c r="AF207" s="871"/>
      <c r="AG207" s="871"/>
      <c r="AH207" s="871"/>
      <c r="AI207" s="871"/>
      <c r="AJ207" s="871"/>
      <c r="AK207" s="871"/>
      <c r="AL207" s="871"/>
      <c r="AM207" s="871"/>
      <c r="AN207" s="871"/>
      <c r="AO207" s="871"/>
      <c r="AP207" s="871"/>
      <c r="AQ207" s="871"/>
      <c r="AR207" s="871"/>
      <c r="AS207" s="871"/>
      <c r="AT207" s="871"/>
      <c r="AU207" s="871"/>
      <c r="AV207" s="871"/>
      <c r="AW207" s="871"/>
      <c r="AX207" s="871"/>
      <c r="AY207" s="871"/>
      <c r="AZ207" s="871"/>
      <c r="BA207" s="871"/>
      <c r="BB207" s="871"/>
      <c r="BC207" s="871"/>
      <c r="BD207" s="871"/>
      <c r="BE207" s="871"/>
      <c r="BF207" s="871"/>
      <c r="BG207" s="871"/>
      <c r="BH207" s="871"/>
      <c r="BI207" s="871"/>
      <c r="BJ207" s="871"/>
      <c r="BK207" s="871"/>
      <c r="BL207" s="871"/>
      <c r="BM207" s="871"/>
      <c r="BN207" s="871"/>
      <c r="BO207" s="871"/>
      <c r="BP207" s="871"/>
      <c r="BQ207" s="871"/>
      <c r="BR207" s="871"/>
      <c r="BS207" s="871"/>
      <c r="BT207" s="871"/>
      <c r="BU207" s="871"/>
      <c r="BV207" s="871"/>
      <c r="BW207" s="871"/>
      <c r="BX207" s="871"/>
      <c r="BY207" s="871"/>
      <c r="BZ207" s="871"/>
      <c r="CA207" s="871"/>
      <c r="CB207" s="871"/>
      <c r="CC207" s="871"/>
    </row>
    <row r="208" spans="1:81" ht="11.25" x14ac:dyDescent="0.2">
      <c r="A208" s="1809"/>
      <c r="B208" s="1490" t="s">
        <v>575</v>
      </c>
      <c r="C208" s="1636"/>
      <c r="D208" s="1494"/>
      <c r="E208" s="1491"/>
      <c r="F208" s="1491"/>
      <c r="G208" s="1494"/>
      <c r="H208" s="1494"/>
      <c r="I208" s="1491"/>
      <c r="J208" s="1491"/>
      <c r="K208" s="1492"/>
      <c r="L208" s="1493"/>
      <c r="M208" s="1492"/>
      <c r="N208" s="1493"/>
      <c r="O208" s="1639"/>
      <c r="P208" s="1494"/>
      <c r="Q208" s="1639"/>
      <c r="R208" s="1494"/>
      <c r="S208" s="1639"/>
      <c r="T208" s="1494"/>
      <c r="U208" s="1492"/>
      <c r="V208" s="1494"/>
      <c r="W208" s="1751">
        <f>SUM(W201:W207)</f>
        <v>2642.6284166422147</v>
      </c>
      <c r="X208" s="1494"/>
      <c r="Y208" s="1832">
        <f>SUM(Y201:Y207)</f>
        <v>17.617522777614759</v>
      </c>
      <c r="Z208" s="1494"/>
      <c r="AA208" s="1833">
        <f>SUM(AA201:AA207)</f>
        <v>4.9152888549545189E-4</v>
      </c>
      <c r="AD208" s="871"/>
      <c r="AE208" s="1834"/>
      <c r="AF208" s="871"/>
      <c r="AG208" s="871"/>
      <c r="AH208" s="871"/>
      <c r="AI208" s="871"/>
      <c r="AJ208" s="871"/>
      <c r="AK208" s="871"/>
      <c r="AL208" s="871"/>
      <c r="AM208" s="871"/>
      <c r="AN208" s="871"/>
      <c r="AO208" s="871"/>
      <c r="AP208" s="871"/>
      <c r="AQ208" s="871"/>
      <c r="AR208" s="871"/>
      <c r="AS208" s="871"/>
      <c r="AT208" s="871"/>
      <c r="AU208" s="871"/>
      <c r="AV208" s="871"/>
      <c r="AW208" s="871"/>
      <c r="AX208" s="871"/>
      <c r="AY208" s="871"/>
      <c r="AZ208" s="871"/>
      <c r="BA208" s="871"/>
      <c r="BB208" s="871"/>
      <c r="BC208" s="871"/>
      <c r="BD208" s="871"/>
      <c r="BE208" s="871"/>
      <c r="BF208" s="871"/>
      <c r="BG208" s="871"/>
      <c r="BH208" s="871"/>
      <c r="BI208" s="871"/>
      <c r="BJ208" s="871"/>
      <c r="BK208" s="871"/>
      <c r="BL208" s="871"/>
      <c r="BM208" s="871"/>
      <c r="BN208" s="871"/>
      <c r="BO208" s="871"/>
      <c r="BP208" s="871"/>
      <c r="BQ208" s="871"/>
      <c r="BR208" s="871"/>
      <c r="BS208" s="871"/>
      <c r="BT208" s="871"/>
      <c r="BU208" s="871"/>
      <c r="BV208" s="871"/>
      <c r="BW208" s="871"/>
      <c r="BX208" s="871"/>
      <c r="BY208" s="871"/>
      <c r="BZ208" s="871"/>
      <c r="CA208" s="871"/>
      <c r="CB208" s="871"/>
      <c r="CC208" s="871"/>
    </row>
    <row r="209" spans="1:81" ht="11.25" x14ac:dyDescent="0.2">
      <c r="A209" s="871"/>
      <c r="B209" s="1496"/>
      <c r="C209" s="974"/>
      <c r="D209" s="974"/>
      <c r="E209" s="974"/>
      <c r="F209" s="974"/>
      <c r="G209" s="1497"/>
      <c r="H209" s="874"/>
      <c r="I209" s="879"/>
      <c r="J209" s="874"/>
      <c r="K209" s="878"/>
      <c r="L209" s="871"/>
      <c r="M209" s="878"/>
      <c r="N209" s="871"/>
      <c r="O209" s="871"/>
      <c r="P209" s="871"/>
      <c r="Q209" s="871"/>
      <c r="R209" s="871"/>
      <c r="S209" s="871"/>
      <c r="T209" s="871"/>
      <c r="U209" s="871"/>
      <c r="AE209" s="1834"/>
    </row>
    <row r="210" spans="1:81" ht="15.75" x14ac:dyDescent="0.25">
      <c r="A210" s="1628"/>
      <c r="B210" s="1473" t="s">
        <v>1436</v>
      </c>
      <c r="C210" s="1559"/>
      <c r="D210" s="1559"/>
      <c r="E210" s="1559"/>
      <c r="F210" s="1559"/>
      <c r="G210" s="1560"/>
      <c r="H210" s="1561"/>
      <c r="I210" s="1562"/>
      <c r="J210" s="1561"/>
      <c r="K210" s="1563"/>
      <c r="L210" s="1474"/>
      <c r="M210" s="1563"/>
      <c r="N210" s="1474"/>
      <c r="O210" s="1474"/>
      <c r="P210" s="1474"/>
      <c r="Q210" s="1474"/>
      <c r="R210" s="1474"/>
      <c r="S210" s="1474"/>
      <c r="T210" s="1474"/>
      <c r="U210" s="1474"/>
      <c r="V210" s="1474"/>
      <c r="W210" s="1474"/>
      <c r="X210" s="1474"/>
      <c r="Y210" s="1474"/>
      <c r="Z210" s="1474"/>
      <c r="AA210" s="1475"/>
      <c r="AD210" s="871"/>
      <c r="AH210" s="882"/>
    </row>
    <row r="211" spans="1:81" ht="42.6" customHeight="1" x14ac:dyDescent="0.2">
      <c r="A211" s="1835"/>
      <c r="B211" s="1810" t="s">
        <v>1297</v>
      </c>
      <c r="C211" s="1493" t="s">
        <v>1298</v>
      </c>
      <c r="D211" s="1642"/>
      <c r="E211" s="1811" t="s">
        <v>1903</v>
      </c>
      <c r="F211" s="1812"/>
      <c r="G211" s="1500" t="s">
        <v>1904</v>
      </c>
      <c r="H211" s="1813"/>
      <c r="I211" s="1500" t="s">
        <v>1299</v>
      </c>
      <c r="J211" s="1500"/>
      <c r="K211" s="1500" t="s">
        <v>1418</v>
      </c>
      <c r="L211" s="1813"/>
      <c r="M211" s="1500" t="s">
        <v>1419</v>
      </c>
      <c r="N211" s="1636"/>
      <c r="O211" s="1811" t="s">
        <v>1420</v>
      </c>
      <c r="P211" s="1636"/>
      <c r="Q211" s="1811" t="s">
        <v>1421</v>
      </c>
      <c r="R211" s="1494"/>
      <c r="S211" s="1811" t="s">
        <v>1422</v>
      </c>
      <c r="T211" s="1494"/>
      <c r="U211" s="1640" t="s">
        <v>1437</v>
      </c>
      <c r="V211" s="1494"/>
      <c r="W211" s="1811" t="s">
        <v>1438</v>
      </c>
      <c r="X211" s="1494"/>
      <c r="Y211" s="1811" t="s">
        <v>1920</v>
      </c>
      <c r="Z211" s="1494"/>
      <c r="AA211" s="1836" t="s">
        <v>1411</v>
      </c>
      <c r="AD211" s="871"/>
      <c r="AE211" s="871"/>
      <c r="AF211" s="871"/>
      <c r="AG211" s="871"/>
      <c r="AH211" s="871"/>
      <c r="AI211" s="871"/>
      <c r="AJ211" s="871"/>
      <c r="AK211" s="871"/>
      <c r="AL211" s="871"/>
      <c r="AM211" s="871"/>
      <c r="AN211" s="871"/>
      <c r="AO211" s="871"/>
      <c r="AP211" s="871"/>
      <c r="AQ211" s="871"/>
      <c r="AR211" s="871"/>
      <c r="AS211" s="871"/>
      <c r="AT211" s="871"/>
      <c r="AU211" s="871"/>
      <c r="AV211" s="871"/>
      <c r="AW211" s="871"/>
      <c r="AX211" s="871"/>
      <c r="AY211" s="871"/>
      <c r="AZ211" s="871"/>
      <c r="BA211" s="871"/>
      <c r="BB211" s="871"/>
      <c r="BC211" s="871"/>
      <c r="BD211" s="871"/>
      <c r="BE211" s="871"/>
      <c r="BF211" s="871"/>
      <c r="BG211" s="871"/>
      <c r="BH211" s="871"/>
      <c r="BI211" s="871"/>
      <c r="BJ211" s="871"/>
      <c r="BK211" s="871"/>
      <c r="BL211" s="871"/>
      <c r="BM211" s="871"/>
      <c r="BN211" s="871"/>
      <c r="BO211" s="871"/>
      <c r="BP211" s="871"/>
      <c r="BQ211" s="871"/>
      <c r="BR211" s="871"/>
      <c r="BS211" s="871"/>
      <c r="BT211" s="871"/>
      <c r="BU211" s="871"/>
      <c r="BV211" s="871"/>
      <c r="BW211" s="871"/>
      <c r="BX211" s="871"/>
      <c r="BY211" s="871"/>
      <c r="BZ211" s="871"/>
      <c r="CA211" s="871"/>
      <c r="CB211" s="871"/>
      <c r="CC211" s="871"/>
    </row>
    <row r="212" spans="1:81" ht="11.25" x14ac:dyDescent="0.2">
      <c r="A212" s="1835"/>
      <c r="B212" s="1837" t="s">
        <v>1427</v>
      </c>
      <c r="C212" s="1824" t="s">
        <v>1313</v>
      </c>
      <c r="D212" s="1482"/>
      <c r="E212" s="1825">
        <f>1248</f>
        <v>1248</v>
      </c>
      <c r="F212" s="1546" t="s">
        <v>1044</v>
      </c>
      <c r="G212" s="1619">
        <f>1000*0.021772</f>
        <v>21.771999999999998</v>
      </c>
      <c r="H212" s="1546" t="s">
        <v>1045</v>
      </c>
      <c r="I212" s="1817">
        <f t="shared" ref="I212:I218" si="92">E212*G212</f>
        <v>27171.455999999998</v>
      </c>
      <c r="J212" s="1481" t="s">
        <v>1044</v>
      </c>
      <c r="K212" s="1818">
        <v>1.181</v>
      </c>
      <c r="L212" s="1481" t="s">
        <v>1044</v>
      </c>
      <c r="M212" s="1819">
        <v>4.666206E-3</v>
      </c>
      <c r="N212" s="1546" t="s">
        <v>1044</v>
      </c>
      <c r="O212" s="1546">
        <v>0.93</v>
      </c>
      <c r="P212" s="1546" t="s">
        <v>1044</v>
      </c>
      <c r="Q212" s="1546">
        <v>0.93</v>
      </c>
      <c r="R212" s="1546" t="s">
        <v>1044</v>
      </c>
      <c r="S212" s="1391">
        <v>0.9</v>
      </c>
      <c r="T212" s="1546" t="s">
        <v>1044</v>
      </c>
      <c r="U212" s="1666">
        <v>7.7000000000000002E-3</v>
      </c>
      <c r="V212" s="1546" t="s">
        <v>1045</v>
      </c>
      <c r="W212" s="1838">
        <f t="shared" ref="W212:W218" si="93">I212*K212*M212*O212*Q212*S212*U212</f>
        <v>0.89748220875829154</v>
      </c>
      <c r="X212" s="1546" t="s">
        <v>1045</v>
      </c>
      <c r="Y212" s="1839">
        <f t="shared" ref="Y212:Y218" si="94">W212*0.007*(44/28)</f>
        <v>9.8723042963412069E-3</v>
      </c>
      <c r="Z212" s="1546" t="s">
        <v>1045</v>
      </c>
      <c r="AA212" s="1840">
        <f t="shared" ref="AA212:AA218" si="95">Y212*O$18/1000000</f>
        <v>2.6951390729011491E-6</v>
      </c>
      <c r="AD212" s="871"/>
      <c r="AE212" s="871"/>
      <c r="AF212" s="871"/>
      <c r="AG212" s="871"/>
      <c r="AH212" s="871"/>
      <c r="AI212" s="871"/>
      <c r="AJ212" s="871"/>
      <c r="AK212" s="871"/>
      <c r="AL212" s="871"/>
      <c r="AM212" s="871"/>
      <c r="AN212" s="871"/>
      <c r="AO212" s="871"/>
      <c r="AP212" s="871"/>
      <c r="AQ212" s="871"/>
      <c r="AR212" s="871"/>
      <c r="AS212" s="871"/>
      <c r="AT212" s="871"/>
      <c r="AU212" s="871"/>
      <c r="AV212" s="871"/>
      <c r="AW212" s="871"/>
      <c r="AX212" s="871"/>
      <c r="AY212" s="871"/>
      <c r="AZ212" s="871"/>
      <c r="BA212" s="871"/>
      <c r="BB212" s="871"/>
      <c r="BC212" s="871"/>
      <c r="BD212" s="871"/>
      <c r="BE212" s="871"/>
      <c r="BF212" s="871"/>
      <c r="BG212" s="871"/>
      <c r="BH212" s="871"/>
      <c r="BI212" s="871"/>
      <c r="BJ212" s="871"/>
      <c r="BK212" s="871"/>
      <c r="BL212" s="871"/>
      <c r="BM212" s="871"/>
      <c r="BN212" s="871"/>
      <c r="BO212" s="871"/>
      <c r="BP212" s="871"/>
      <c r="BQ212" s="871"/>
      <c r="BR212" s="871"/>
      <c r="BS212" s="871"/>
      <c r="BT212" s="871"/>
      <c r="BU212" s="871"/>
      <c r="BV212" s="871"/>
      <c r="BW212" s="871"/>
      <c r="BX212" s="871"/>
      <c r="BY212" s="871"/>
      <c r="BZ212" s="871"/>
      <c r="CA212" s="871"/>
      <c r="CB212" s="871"/>
      <c r="CC212" s="871"/>
    </row>
    <row r="213" spans="1:81" ht="11.25" x14ac:dyDescent="0.2">
      <c r="A213" s="1835"/>
      <c r="B213" s="1837" t="s">
        <v>1429</v>
      </c>
      <c r="C213" s="1824" t="s">
        <v>1313</v>
      </c>
      <c r="D213" s="1482"/>
      <c r="E213" s="1825">
        <f>72600</f>
        <v>72600</v>
      </c>
      <c r="F213" s="1481" t="s">
        <v>1044</v>
      </c>
      <c r="G213" s="1619">
        <f>1000*0.025401147108</f>
        <v>25.401147108</v>
      </c>
      <c r="H213" s="1481" t="s">
        <v>1045</v>
      </c>
      <c r="I213" s="1817">
        <f t="shared" si="92"/>
        <v>1844123.2800408001</v>
      </c>
      <c r="J213" s="1481" t="s">
        <v>1044</v>
      </c>
      <c r="K213" s="1826">
        <v>0.70699999999999996</v>
      </c>
      <c r="L213" s="1481" t="s">
        <v>1044</v>
      </c>
      <c r="M213" s="1819">
        <v>1.6756799999999999E-3</v>
      </c>
      <c r="N213" s="1481" t="s">
        <v>1044</v>
      </c>
      <c r="O213" s="1481">
        <v>0.91</v>
      </c>
      <c r="P213" s="1481" t="s">
        <v>1044</v>
      </c>
      <c r="Q213" s="1546">
        <v>0.93</v>
      </c>
      <c r="R213" s="1481" t="s">
        <v>1044</v>
      </c>
      <c r="S213" s="1391">
        <v>0.9</v>
      </c>
      <c r="T213" s="1481" t="s">
        <v>1044</v>
      </c>
      <c r="U213" s="1827">
        <v>5.7999999999999996E-3</v>
      </c>
      <c r="V213" s="1481" t="s">
        <v>1045</v>
      </c>
      <c r="W213" s="1841">
        <f t="shared" si="93"/>
        <v>9.6515106499095324</v>
      </c>
      <c r="X213" s="1481" t="s">
        <v>1045</v>
      </c>
      <c r="Y213" s="1842">
        <f t="shared" si="94"/>
        <v>0.10616661714900485</v>
      </c>
      <c r="Z213" s="1481" t="s">
        <v>1045</v>
      </c>
      <c r="AA213" s="1843">
        <f t="shared" si="95"/>
        <v>2.8983486481678326E-5</v>
      </c>
      <c r="AD213" s="871"/>
      <c r="AE213" s="871"/>
      <c r="AF213" s="871"/>
      <c r="AG213" s="871"/>
      <c r="AH213" s="871"/>
      <c r="AI213" s="871"/>
      <c r="AJ213" s="871"/>
      <c r="AK213" s="871"/>
      <c r="AL213" s="871"/>
      <c r="AM213" s="871"/>
      <c r="AN213" s="871"/>
      <c r="AO213" s="871"/>
      <c r="AP213" s="871"/>
      <c r="AQ213" s="871"/>
      <c r="AR213" s="871"/>
      <c r="AS213" s="871"/>
      <c r="AT213" s="871"/>
      <c r="AU213" s="871"/>
      <c r="AV213" s="871"/>
      <c r="AW213" s="871"/>
      <c r="AX213" s="871"/>
      <c r="AY213" s="871"/>
      <c r="AZ213" s="871"/>
      <c r="BA213" s="871"/>
      <c r="BB213" s="871"/>
      <c r="BC213" s="871"/>
      <c r="BD213" s="871"/>
      <c r="BE213" s="871"/>
      <c r="BF213" s="871"/>
      <c r="BG213" s="871"/>
      <c r="BH213" s="871"/>
      <c r="BI213" s="871"/>
      <c r="BJ213" s="871"/>
      <c r="BK213" s="871"/>
      <c r="BL213" s="871"/>
      <c r="BM213" s="871"/>
      <c r="BN213" s="871"/>
      <c r="BO213" s="871"/>
      <c r="BP213" s="871"/>
      <c r="BQ213" s="871"/>
      <c r="BR213" s="871"/>
      <c r="BS213" s="871"/>
      <c r="BT213" s="871"/>
      <c r="BU213" s="871"/>
      <c r="BV213" s="871"/>
      <c r="BW213" s="871"/>
      <c r="BX213" s="871"/>
      <c r="BY213" s="871"/>
      <c r="BZ213" s="871"/>
      <c r="CA213" s="871"/>
      <c r="CB213" s="871"/>
      <c r="CC213" s="871"/>
    </row>
    <row r="214" spans="1:81" ht="11.25" x14ac:dyDescent="0.2">
      <c r="A214" s="1835"/>
      <c r="B214" s="1837" t="s">
        <v>1326</v>
      </c>
      <c r="C214" s="1824" t="s">
        <v>1430</v>
      </c>
      <c r="D214" s="1482"/>
      <c r="E214" s="1825">
        <v>0</v>
      </c>
      <c r="F214" s="1481" t="s">
        <v>1044</v>
      </c>
      <c r="G214" s="1619">
        <f>1000/2000*0.907185</f>
        <v>0.45359250000000001</v>
      </c>
      <c r="H214" s="1481" t="s">
        <v>1045</v>
      </c>
      <c r="I214" s="1817">
        <f t="shared" si="92"/>
        <v>0</v>
      </c>
      <c r="J214" s="1481" t="s">
        <v>1044</v>
      </c>
      <c r="K214" s="1826">
        <v>1.6</v>
      </c>
      <c r="L214" s="1481" t="s">
        <v>1044</v>
      </c>
      <c r="M214" s="1819">
        <v>2.052679E-3</v>
      </c>
      <c r="N214" s="1481" t="s">
        <v>1044</v>
      </c>
      <c r="O214" s="1481">
        <v>0.86</v>
      </c>
      <c r="P214" s="1481" t="s">
        <v>1044</v>
      </c>
      <c r="Q214" s="1546">
        <v>0.93</v>
      </c>
      <c r="R214" s="1481" t="s">
        <v>1044</v>
      </c>
      <c r="S214" s="1391">
        <v>0.9</v>
      </c>
      <c r="T214" s="1481" t="s">
        <v>1044</v>
      </c>
      <c r="U214" s="1827">
        <v>1.06E-2</v>
      </c>
      <c r="V214" s="1481" t="s">
        <v>1045</v>
      </c>
      <c r="W214" s="1841">
        <f t="shared" si="93"/>
        <v>0</v>
      </c>
      <c r="X214" s="1481" t="s">
        <v>1045</v>
      </c>
      <c r="Y214" s="1842">
        <f t="shared" si="94"/>
        <v>0</v>
      </c>
      <c r="Z214" s="1481" t="s">
        <v>1045</v>
      </c>
      <c r="AA214" s="1844">
        <f t="shared" si="95"/>
        <v>0</v>
      </c>
      <c r="AD214" s="871"/>
      <c r="AE214" s="871"/>
      <c r="AF214" s="871"/>
      <c r="AG214" s="871"/>
      <c r="AH214" s="871"/>
      <c r="AI214" s="871"/>
      <c r="AJ214" s="871"/>
      <c r="AK214" s="871"/>
      <c r="AL214" s="871"/>
      <c r="AM214" s="871"/>
      <c r="AN214" s="871"/>
      <c r="AO214" s="871"/>
      <c r="AP214" s="871"/>
      <c r="AQ214" s="871"/>
      <c r="AR214" s="871"/>
      <c r="AS214" s="871"/>
      <c r="AT214" s="871"/>
      <c r="AU214" s="871"/>
      <c r="AV214" s="871"/>
      <c r="AW214" s="871"/>
      <c r="AX214" s="871"/>
      <c r="AY214" s="871"/>
      <c r="AZ214" s="871"/>
      <c r="BA214" s="871"/>
      <c r="BB214" s="871"/>
      <c r="BC214" s="871"/>
      <c r="BD214" s="871"/>
      <c r="BE214" s="871"/>
      <c r="BF214" s="871"/>
      <c r="BG214" s="871"/>
      <c r="BH214" s="871"/>
      <c r="BI214" s="871"/>
      <c r="BJ214" s="871"/>
      <c r="BK214" s="871"/>
      <c r="BL214" s="871"/>
      <c r="BM214" s="871"/>
      <c r="BN214" s="871"/>
      <c r="BO214" s="871"/>
      <c r="BP214" s="871"/>
      <c r="BQ214" s="871"/>
      <c r="BR214" s="871"/>
      <c r="BS214" s="871"/>
      <c r="BT214" s="871"/>
      <c r="BU214" s="871"/>
      <c r="BV214" s="871"/>
      <c r="BW214" s="871"/>
      <c r="BX214" s="871"/>
      <c r="BY214" s="871"/>
      <c r="BZ214" s="871"/>
      <c r="CA214" s="871"/>
      <c r="CB214" s="871"/>
      <c r="CC214" s="871"/>
    </row>
    <row r="215" spans="1:81" ht="11.25" x14ac:dyDescent="0.2">
      <c r="A215" s="1835"/>
      <c r="B215" s="1837" t="s">
        <v>1323</v>
      </c>
      <c r="C215" s="1824" t="s">
        <v>1431</v>
      </c>
      <c r="D215" s="1482"/>
      <c r="E215" s="1825">
        <v>0</v>
      </c>
      <c r="F215" s="1481" t="s">
        <v>1044</v>
      </c>
      <c r="G215" s="1619">
        <f>1000*100/2000*0.907185</f>
        <v>45.359250000000003</v>
      </c>
      <c r="H215" s="1481" t="s">
        <v>1045</v>
      </c>
      <c r="I215" s="1817">
        <f t="shared" si="92"/>
        <v>0</v>
      </c>
      <c r="J215" s="1481" t="s">
        <v>1044</v>
      </c>
      <c r="K215" s="1826">
        <v>1.34</v>
      </c>
      <c r="L215" s="1481" t="s">
        <v>1044</v>
      </c>
      <c r="M215" s="1819">
        <v>0</v>
      </c>
      <c r="N215" s="1481" t="s">
        <v>1044</v>
      </c>
      <c r="O215" s="1481">
        <v>0.91</v>
      </c>
      <c r="P215" s="1481" t="s">
        <v>1044</v>
      </c>
      <c r="Q215" s="1546">
        <v>0.93</v>
      </c>
      <c r="R215" s="1481" t="s">
        <v>1044</v>
      </c>
      <c r="S215" s="1391">
        <v>0.9</v>
      </c>
      <c r="T215" s="1481" t="s">
        <v>1044</v>
      </c>
      <c r="U215" s="1827">
        <v>7.1999999999999998E-3</v>
      </c>
      <c r="V215" s="1481" t="s">
        <v>1045</v>
      </c>
      <c r="W215" s="1841">
        <f t="shared" si="93"/>
        <v>0</v>
      </c>
      <c r="X215" s="1481" t="s">
        <v>1045</v>
      </c>
      <c r="Y215" s="1842">
        <f t="shared" si="94"/>
        <v>0</v>
      </c>
      <c r="Z215" s="1481" t="s">
        <v>1045</v>
      </c>
      <c r="AA215" s="1844">
        <f t="shared" si="95"/>
        <v>0</v>
      </c>
      <c r="AD215" s="871"/>
      <c r="AE215" s="871"/>
      <c r="AF215" s="871"/>
      <c r="AG215" s="871"/>
      <c r="AH215" s="871"/>
      <c r="AI215" s="871"/>
      <c r="AJ215" s="871"/>
      <c r="AK215" s="871"/>
      <c r="AL215" s="871"/>
      <c r="AM215" s="871"/>
      <c r="AN215" s="871"/>
      <c r="AO215" s="871"/>
      <c r="AP215" s="871"/>
      <c r="AQ215" s="871"/>
      <c r="AR215" s="871"/>
      <c r="AS215" s="871"/>
      <c r="AT215" s="871"/>
      <c r="AU215" s="871"/>
      <c r="AV215" s="871"/>
      <c r="AW215" s="871"/>
      <c r="AX215" s="871"/>
      <c r="AY215" s="871"/>
      <c r="AZ215" s="871"/>
      <c r="BA215" s="871"/>
      <c r="BB215" s="871"/>
      <c r="BC215" s="871"/>
      <c r="BD215" s="871"/>
      <c r="BE215" s="871"/>
      <c r="BF215" s="871"/>
      <c r="BG215" s="871"/>
      <c r="BH215" s="871"/>
      <c r="BI215" s="871"/>
      <c r="BJ215" s="871"/>
      <c r="BK215" s="871"/>
      <c r="BL215" s="871"/>
      <c r="BM215" s="871"/>
      <c r="BN215" s="871"/>
      <c r="BO215" s="871"/>
      <c r="BP215" s="871"/>
      <c r="BQ215" s="871"/>
      <c r="BR215" s="871"/>
      <c r="BS215" s="871"/>
      <c r="BT215" s="871"/>
      <c r="BU215" s="871"/>
      <c r="BV215" s="871"/>
      <c r="BW215" s="871"/>
      <c r="BX215" s="871"/>
      <c r="BY215" s="871"/>
      <c r="BZ215" s="871"/>
      <c r="CA215" s="871"/>
      <c r="CB215" s="871"/>
      <c r="CC215" s="871"/>
    </row>
    <row r="216" spans="1:81" ht="11.25" x14ac:dyDescent="0.2">
      <c r="A216" s="1835"/>
      <c r="B216" s="1837" t="s">
        <v>1432</v>
      </c>
      <c r="C216" s="1824" t="s">
        <v>1313</v>
      </c>
      <c r="D216" s="1482"/>
      <c r="E216" s="1825">
        <f>21620</f>
        <v>21620</v>
      </c>
      <c r="F216" s="1481" t="s">
        <v>1044</v>
      </c>
      <c r="G216" s="1619">
        <f>1000*0.027215692075</f>
        <v>27.215692075</v>
      </c>
      <c r="H216" s="1481" t="s">
        <v>1045</v>
      </c>
      <c r="I216" s="1817">
        <f t="shared" si="92"/>
        <v>588403.26266150002</v>
      </c>
      <c r="J216" s="1481" t="s">
        <v>1044</v>
      </c>
      <c r="K216" s="1826">
        <v>1.5</v>
      </c>
      <c r="L216" s="1481" t="s">
        <v>1044</v>
      </c>
      <c r="M216" s="1819">
        <v>2.052679E-3</v>
      </c>
      <c r="N216" s="1481" t="s">
        <v>1044</v>
      </c>
      <c r="O216" s="1481">
        <v>0.87</v>
      </c>
      <c r="P216" s="1481" t="s">
        <v>1044</v>
      </c>
      <c r="Q216" s="1546">
        <v>0.93</v>
      </c>
      <c r="R216" s="1481" t="s">
        <v>1044</v>
      </c>
      <c r="S216" s="1391">
        <v>0.9</v>
      </c>
      <c r="T216" s="1481" t="s">
        <v>1044</v>
      </c>
      <c r="U216" s="1827">
        <v>2.3E-2</v>
      </c>
      <c r="V216" s="1481" t="s">
        <v>1045</v>
      </c>
      <c r="W216" s="1841">
        <f t="shared" si="93"/>
        <v>30.343097819132375</v>
      </c>
      <c r="X216" s="1481" t="s">
        <v>1045</v>
      </c>
      <c r="Y216" s="1842">
        <f t="shared" si="94"/>
        <v>0.33377407601045611</v>
      </c>
      <c r="Z216" s="1481" t="s">
        <v>1045</v>
      </c>
      <c r="AA216" s="1845">
        <f t="shared" si="95"/>
        <v>9.1120322750854507E-5</v>
      </c>
      <c r="AD216" s="871"/>
      <c r="AE216" s="871"/>
      <c r="AF216" s="871"/>
      <c r="AG216" s="871"/>
      <c r="AH216" s="871"/>
      <c r="AI216" s="871"/>
      <c r="AJ216" s="871"/>
      <c r="AK216" s="871"/>
      <c r="AL216" s="871"/>
      <c r="AM216" s="871"/>
      <c r="AN216" s="871"/>
      <c r="AO216" s="871"/>
      <c r="AP216" s="871"/>
      <c r="AQ216" s="871"/>
      <c r="AR216" s="871"/>
      <c r="AS216" s="871"/>
      <c r="AT216" s="871"/>
      <c r="AU216" s="871"/>
      <c r="AV216" s="871"/>
      <c r="AW216" s="871"/>
      <c r="AX216" s="871"/>
      <c r="AY216" s="871"/>
      <c r="AZ216" s="871"/>
      <c r="BA216" s="871"/>
      <c r="BB216" s="871"/>
      <c r="BC216" s="871"/>
      <c r="BD216" s="871"/>
      <c r="BE216" s="871"/>
      <c r="BF216" s="871"/>
      <c r="BG216" s="871"/>
      <c r="BH216" s="871"/>
      <c r="BI216" s="871"/>
      <c r="BJ216" s="871"/>
      <c r="BK216" s="871"/>
      <c r="BL216" s="871"/>
      <c r="BM216" s="871"/>
      <c r="BN216" s="871"/>
      <c r="BO216" s="871"/>
      <c r="BP216" s="871"/>
      <c r="BQ216" s="871"/>
      <c r="BR216" s="871"/>
      <c r="BS216" s="871"/>
      <c r="BT216" s="871"/>
      <c r="BU216" s="871"/>
      <c r="BV216" s="871"/>
      <c r="BW216" s="871"/>
      <c r="BX216" s="871"/>
      <c r="BY216" s="871"/>
      <c r="BZ216" s="871"/>
      <c r="CA216" s="871"/>
      <c r="CB216" s="871"/>
      <c r="CC216" s="871"/>
    </row>
    <row r="217" spans="1:81" ht="11.25" x14ac:dyDescent="0.2">
      <c r="A217" s="1835"/>
      <c r="B217" s="1837" t="s">
        <v>1433</v>
      </c>
      <c r="C217" s="1824" t="s">
        <v>1310</v>
      </c>
      <c r="D217" s="1482"/>
      <c r="E217" s="1825">
        <v>0</v>
      </c>
      <c r="F217" s="1481" t="s">
        <v>1044</v>
      </c>
      <c r="G217" s="1619">
        <f>1000*0.907185</f>
        <v>907.18500000000006</v>
      </c>
      <c r="H217" s="1481" t="s">
        <v>1045</v>
      </c>
      <c r="I217" s="1817">
        <f t="shared" si="92"/>
        <v>0</v>
      </c>
      <c r="J217" s="1481" t="s">
        <v>1044</v>
      </c>
      <c r="K217" s="1826">
        <v>0.41</v>
      </c>
      <c r="L217" s="1481" t="s">
        <v>1044</v>
      </c>
      <c r="M217" s="1819">
        <v>0</v>
      </c>
      <c r="N217" s="1481" t="s">
        <v>1044</v>
      </c>
      <c r="O217" s="1481">
        <v>0.62</v>
      </c>
      <c r="P217" s="1481" t="s">
        <v>1044</v>
      </c>
      <c r="Q217" s="1546">
        <v>0.93</v>
      </c>
      <c r="R217" s="1481" t="s">
        <v>1044</v>
      </c>
      <c r="S217" s="1391">
        <v>0.9</v>
      </c>
      <c r="T217" s="1481" t="s">
        <v>1044</v>
      </c>
      <c r="U217" s="1827">
        <v>4.0000000000000001E-3</v>
      </c>
      <c r="V217" s="1481" t="s">
        <v>1045</v>
      </c>
      <c r="W217" s="1841">
        <f t="shared" si="93"/>
        <v>0</v>
      </c>
      <c r="X217" s="1481" t="s">
        <v>1045</v>
      </c>
      <c r="Y217" s="1842">
        <f t="shared" si="94"/>
        <v>0</v>
      </c>
      <c r="Z217" s="1481" t="s">
        <v>1045</v>
      </c>
      <c r="AA217" s="1844">
        <f t="shared" si="95"/>
        <v>0</v>
      </c>
      <c r="AD217" s="871"/>
      <c r="AE217" s="871"/>
      <c r="AF217" s="871"/>
      <c r="AG217" s="871"/>
      <c r="AH217" s="871"/>
      <c r="AI217" s="871"/>
      <c r="AJ217" s="871"/>
      <c r="AK217" s="871"/>
      <c r="AL217" s="871"/>
      <c r="AM217" s="871"/>
      <c r="AN217" s="871"/>
      <c r="AO217" s="871"/>
      <c r="AP217" s="871"/>
      <c r="AQ217" s="871"/>
      <c r="AR217" s="871"/>
      <c r="AS217" s="871"/>
      <c r="AT217" s="871"/>
      <c r="AU217" s="871"/>
      <c r="AV217" s="871"/>
      <c r="AW217" s="871"/>
      <c r="AX217" s="871"/>
      <c r="AY217" s="871"/>
      <c r="AZ217" s="871"/>
      <c r="BA217" s="871"/>
      <c r="BB217" s="871"/>
      <c r="BC217" s="871"/>
      <c r="BD217" s="871"/>
      <c r="BE217" s="871"/>
      <c r="BF217" s="871"/>
      <c r="BG217" s="871"/>
      <c r="BH217" s="871"/>
      <c r="BI217" s="871"/>
      <c r="BJ217" s="871"/>
      <c r="BK217" s="871"/>
      <c r="BL217" s="871"/>
      <c r="BM217" s="871"/>
      <c r="BN217" s="871"/>
      <c r="BO217" s="871"/>
      <c r="BP217" s="871"/>
      <c r="BQ217" s="871"/>
      <c r="BR217" s="871"/>
      <c r="BS217" s="871"/>
      <c r="BT217" s="871"/>
      <c r="BU217" s="871"/>
      <c r="BV217" s="871"/>
      <c r="BW217" s="871"/>
      <c r="BX217" s="871"/>
      <c r="BY217" s="871"/>
      <c r="BZ217" s="871"/>
      <c r="CA217" s="871"/>
      <c r="CB217" s="871"/>
      <c r="CC217" s="871"/>
    </row>
    <row r="218" spans="1:81" ht="11.25" x14ac:dyDescent="0.2">
      <c r="A218" s="1835"/>
      <c r="B218" s="1837" t="s">
        <v>1434</v>
      </c>
      <c r="C218" s="1824" t="s">
        <v>1313</v>
      </c>
      <c r="D218" s="1482"/>
      <c r="E218" s="1825">
        <f>16575</f>
        <v>16575</v>
      </c>
      <c r="F218" s="1481" t="s">
        <v>1044</v>
      </c>
      <c r="G218" s="1619">
        <f>1000*0.027215442853</f>
        <v>27.215442852999999</v>
      </c>
      <c r="H218" s="1481" t="s">
        <v>1045</v>
      </c>
      <c r="I218" s="1817">
        <f t="shared" si="92"/>
        <v>451095.96528847498</v>
      </c>
      <c r="J218" s="1481" t="s">
        <v>1044</v>
      </c>
      <c r="K218" s="1826">
        <v>1.7250000000000001</v>
      </c>
      <c r="L218" s="1481" t="s">
        <v>1044</v>
      </c>
      <c r="M218" s="1819">
        <v>4.666206E-3</v>
      </c>
      <c r="N218" s="1481" t="s">
        <v>1044</v>
      </c>
      <c r="O218" s="1481">
        <v>0.93</v>
      </c>
      <c r="P218" s="1481" t="s">
        <v>1044</v>
      </c>
      <c r="Q218" s="1546">
        <v>0.93</v>
      </c>
      <c r="R218" s="1481" t="s">
        <v>1044</v>
      </c>
      <c r="S218" s="1391">
        <v>0.9</v>
      </c>
      <c r="T218" s="1481" t="s">
        <v>1044</v>
      </c>
      <c r="U218" s="1827">
        <v>6.1999999999999998E-3</v>
      </c>
      <c r="V218" s="1481" t="s">
        <v>1045</v>
      </c>
      <c r="W218" s="1841">
        <f t="shared" si="93"/>
        <v>17.523548136766721</v>
      </c>
      <c r="X218" s="1481" t="s">
        <v>1045</v>
      </c>
      <c r="Y218" s="1842">
        <f t="shared" si="94"/>
        <v>0.19275902950443394</v>
      </c>
      <c r="Z218" s="1481" t="s">
        <v>1045</v>
      </c>
      <c r="AA218" s="1845">
        <f t="shared" si="95"/>
        <v>5.2623215054710463E-5</v>
      </c>
      <c r="AD218" s="871"/>
      <c r="AE218" s="871"/>
      <c r="AF218" s="871"/>
      <c r="AG218" s="871"/>
      <c r="AH218" s="871"/>
      <c r="AI218" s="871"/>
      <c r="AJ218" s="871"/>
      <c r="AK218" s="871"/>
      <c r="AL218" s="871"/>
      <c r="AM218" s="871"/>
      <c r="AN218" s="871"/>
      <c r="AO218" s="871"/>
      <c r="AP218" s="871"/>
      <c r="AQ218" s="871"/>
      <c r="AR218" s="871"/>
      <c r="AS218" s="871"/>
      <c r="AT218" s="871"/>
      <c r="AU218" s="871"/>
      <c r="AV218" s="871"/>
      <c r="AW218" s="871"/>
      <c r="AX218" s="871"/>
      <c r="AY218" s="871"/>
      <c r="AZ218" s="871"/>
      <c r="BA218" s="871"/>
      <c r="BB218" s="871"/>
      <c r="BC218" s="871"/>
      <c r="BD218" s="871"/>
      <c r="BE218" s="871"/>
      <c r="BF218" s="871"/>
      <c r="BG218" s="871"/>
      <c r="BH218" s="871"/>
      <c r="BI218" s="871"/>
      <c r="BJ218" s="871"/>
      <c r="BK218" s="871"/>
      <c r="BL218" s="871"/>
      <c r="BM218" s="871"/>
      <c r="BN218" s="871"/>
      <c r="BO218" s="871"/>
      <c r="BP218" s="871"/>
      <c r="BQ218" s="871"/>
      <c r="BR218" s="871"/>
      <c r="BS218" s="871"/>
      <c r="BT218" s="871"/>
      <c r="BU218" s="871"/>
      <c r="BV218" s="871"/>
      <c r="BW218" s="871"/>
      <c r="BX218" s="871"/>
      <c r="BY218" s="871"/>
      <c r="BZ218" s="871"/>
      <c r="CA218" s="871"/>
      <c r="CB218" s="871"/>
      <c r="CC218" s="871"/>
    </row>
    <row r="219" spans="1:81" ht="11.25" x14ac:dyDescent="0.2">
      <c r="A219" s="1835"/>
      <c r="B219" s="1846" t="s">
        <v>575</v>
      </c>
      <c r="C219" s="1636"/>
      <c r="D219" s="1494"/>
      <c r="E219" s="1491"/>
      <c r="F219" s="1491"/>
      <c r="G219" s="1494"/>
      <c r="H219" s="1494"/>
      <c r="I219" s="1491"/>
      <c r="J219" s="1491"/>
      <c r="K219" s="1492"/>
      <c r="L219" s="1493"/>
      <c r="M219" s="1492"/>
      <c r="N219" s="1493"/>
      <c r="O219" s="1639"/>
      <c r="P219" s="1494"/>
      <c r="Q219" s="1639"/>
      <c r="R219" s="1494"/>
      <c r="S219" s="1494"/>
      <c r="T219" s="1494"/>
      <c r="U219" s="1639"/>
      <c r="V219" s="1494"/>
      <c r="W219" s="1492">
        <f>SUM(W212:W218)</f>
        <v>58.415638814566918</v>
      </c>
      <c r="X219" s="1494"/>
      <c r="Y219" s="1832">
        <f>SUM(Y212:Y218)</f>
        <v>0.64257202696023608</v>
      </c>
      <c r="Z219" s="1494"/>
      <c r="AA219" s="1847">
        <f>SUM(AA212:AA218)</f>
        <v>1.7542216336014445E-4</v>
      </c>
      <c r="AD219" s="871"/>
      <c r="AE219" s="871"/>
      <c r="AF219" s="871"/>
      <c r="AG219" s="871"/>
      <c r="AH219" s="871"/>
      <c r="AI219" s="871"/>
      <c r="AJ219" s="871"/>
      <c r="AK219" s="871"/>
      <c r="AL219" s="871"/>
      <c r="AM219" s="871"/>
      <c r="AN219" s="871"/>
      <c r="AO219" s="871"/>
      <c r="AP219" s="871"/>
      <c r="AQ219" s="871"/>
      <c r="AR219" s="871"/>
      <c r="AS219" s="871"/>
      <c r="AT219" s="871"/>
      <c r="AU219" s="871"/>
      <c r="AV219" s="871"/>
      <c r="AW219" s="871"/>
      <c r="AX219" s="871"/>
      <c r="AY219" s="871"/>
      <c r="AZ219" s="871"/>
      <c r="BA219" s="871"/>
      <c r="BB219" s="871"/>
      <c r="BC219" s="871"/>
      <c r="BD219" s="871"/>
      <c r="BE219" s="871"/>
      <c r="BF219" s="871"/>
      <c r="BG219" s="871"/>
      <c r="BH219" s="871"/>
      <c r="BI219" s="871"/>
      <c r="BJ219" s="871"/>
      <c r="BK219" s="871"/>
      <c r="BL219" s="871"/>
      <c r="BM219" s="871"/>
      <c r="BN219" s="871"/>
      <c r="BO219" s="871"/>
      <c r="BP219" s="871"/>
      <c r="BQ219" s="871"/>
      <c r="BR219" s="871"/>
      <c r="BS219" s="871"/>
      <c r="BT219" s="871"/>
      <c r="BU219" s="871"/>
      <c r="BV219" s="871"/>
      <c r="BW219" s="871"/>
      <c r="BX219" s="871"/>
      <c r="BY219" s="871"/>
      <c r="BZ219" s="871"/>
      <c r="CA219" s="871"/>
      <c r="CB219" s="871"/>
      <c r="CC219" s="871"/>
    </row>
    <row r="220" spans="1:81" ht="11.25" x14ac:dyDescent="0.2">
      <c r="A220" s="871"/>
      <c r="B220" s="1496"/>
      <c r="C220" s="974"/>
      <c r="D220" s="974"/>
      <c r="E220" s="974"/>
      <c r="F220" s="974"/>
      <c r="G220" s="1497"/>
      <c r="H220" s="874"/>
      <c r="I220" s="879"/>
      <c r="J220" s="874"/>
      <c r="K220" s="878"/>
      <c r="L220" s="871"/>
      <c r="M220" s="878"/>
      <c r="N220" s="871"/>
      <c r="O220" s="871"/>
      <c r="P220" s="871"/>
      <c r="Q220" s="871"/>
      <c r="R220" s="871"/>
      <c r="S220" s="871"/>
      <c r="T220" s="871"/>
      <c r="U220" s="871"/>
      <c r="V220" s="871"/>
      <c r="W220" s="871"/>
      <c r="X220" s="871"/>
      <c r="Y220" s="871"/>
      <c r="Z220" s="871"/>
      <c r="AA220" s="871"/>
      <c r="AB220" s="871"/>
      <c r="AC220" s="871"/>
    </row>
    <row r="221" spans="1:81" ht="11.25" x14ac:dyDescent="0.2">
      <c r="A221" s="871"/>
      <c r="B221" s="1496"/>
      <c r="C221" s="974"/>
      <c r="D221" s="974"/>
      <c r="E221" s="974"/>
      <c r="F221" s="974"/>
      <c r="G221" s="1497"/>
      <c r="H221" s="874"/>
      <c r="I221" s="879"/>
      <c r="J221" s="874"/>
      <c r="K221" s="878"/>
      <c r="L221" s="871"/>
      <c r="M221" s="878"/>
      <c r="N221" s="871"/>
      <c r="O221" s="871"/>
      <c r="P221" s="871"/>
      <c r="Q221" s="871"/>
      <c r="R221" s="871"/>
      <c r="S221" s="871"/>
      <c r="T221" s="871"/>
      <c r="U221" s="871"/>
      <c r="V221" s="871"/>
      <c r="W221" s="871"/>
      <c r="X221" s="871"/>
      <c r="Y221" s="871"/>
      <c r="Z221" s="871"/>
      <c r="AA221" s="871"/>
      <c r="AB221" s="871"/>
      <c r="AC221" s="871"/>
    </row>
    <row r="222" spans="1:81" ht="15.75" x14ac:dyDescent="0.25">
      <c r="A222" s="871"/>
      <c r="B222" s="1473" t="s">
        <v>1439</v>
      </c>
      <c r="C222" s="1559"/>
      <c r="D222" s="1559"/>
      <c r="E222" s="1559"/>
      <c r="F222" s="1559"/>
      <c r="G222" s="1560"/>
      <c r="H222" s="1561"/>
      <c r="I222" s="1562"/>
      <c r="J222" s="1561"/>
      <c r="K222" s="1848"/>
      <c r="L222" s="871"/>
      <c r="M222" s="878"/>
      <c r="N222" s="871"/>
      <c r="O222" s="871"/>
      <c r="P222" s="871"/>
      <c r="Q222" s="871"/>
      <c r="R222" s="871"/>
      <c r="S222" s="871"/>
      <c r="T222" s="871"/>
      <c r="U222" s="871"/>
      <c r="V222" s="871"/>
      <c r="W222" s="871"/>
      <c r="X222" s="871"/>
      <c r="Y222" s="871"/>
      <c r="Z222" s="871"/>
      <c r="AA222" s="871"/>
      <c r="AB222" s="871"/>
      <c r="AC222" s="871"/>
    </row>
    <row r="223" spans="1:81" ht="47.45" customHeight="1" x14ac:dyDescent="0.2">
      <c r="A223" s="871"/>
      <c r="B223" s="1849"/>
      <c r="C223" s="1811" t="s">
        <v>1921</v>
      </c>
      <c r="D223" s="1850"/>
      <c r="E223" s="1811" t="s">
        <v>1922</v>
      </c>
      <c r="F223" s="1850"/>
      <c r="G223" s="1811" t="s">
        <v>1441</v>
      </c>
      <c r="H223" s="1851"/>
      <c r="I223" s="1811" t="s">
        <v>1041</v>
      </c>
      <c r="J223" s="1850"/>
      <c r="K223" s="1836" t="s">
        <v>1042</v>
      </c>
      <c r="L223" s="871"/>
      <c r="M223" s="878"/>
      <c r="N223" s="871"/>
      <c r="O223" s="871"/>
      <c r="P223" s="871"/>
      <c r="Q223" s="871"/>
      <c r="R223" s="871"/>
      <c r="S223" s="871"/>
      <c r="T223" s="871"/>
      <c r="U223" s="871"/>
      <c r="V223" s="871"/>
      <c r="W223" s="871"/>
      <c r="X223" s="871"/>
      <c r="Y223" s="871"/>
      <c r="Z223" s="871"/>
      <c r="AA223" s="871"/>
      <c r="AB223" s="871"/>
      <c r="AC223" s="871"/>
    </row>
    <row r="224" spans="1:81" ht="11.25" x14ac:dyDescent="0.2">
      <c r="A224" s="871"/>
      <c r="B224" s="1852" t="s">
        <v>1442</v>
      </c>
      <c r="C224" s="1853">
        <v>22156</v>
      </c>
      <c r="D224" s="1698" t="s">
        <v>1044</v>
      </c>
      <c r="E224" s="1429">
        <v>0.2</v>
      </c>
      <c r="F224" s="1854" t="s">
        <v>1045</v>
      </c>
      <c r="G224" s="1855">
        <f>C224*E224</f>
        <v>4431.2</v>
      </c>
      <c r="H224" s="1854" t="s">
        <v>1045</v>
      </c>
      <c r="I224" s="1856">
        <f>G224*(44/12)</f>
        <v>16247.733333333332</v>
      </c>
      <c r="J224" s="1854" t="s">
        <v>1045</v>
      </c>
      <c r="K224" s="1857">
        <f>I224/1000000</f>
        <v>1.6247733333333333E-2</v>
      </c>
      <c r="L224" s="871"/>
      <c r="M224" s="878"/>
      <c r="N224" s="871"/>
      <c r="O224" s="871"/>
      <c r="P224" s="871"/>
      <c r="Q224" s="871"/>
      <c r="R224" s="871"/>
      <c r="S224" s="871"/>
      <c r="T224" s="871"/>
      <c r="U224" s="871"/>
      <c r="V224" s="871"/>
      <c r="W224" s="871"/>
      <c r="X224" s="871"/>
      <c r="Y224" s="871"/>
      <c r="Z224" s="871"/>
      <c r="AA224" s="871"/>
      <c r="AB224" s="871"/>
      <c r="AC224" s="871"/>
    </row>
    <row r="225" spans="1:29" ht="11.25" x14ac:dyDescent="0.2">
      <c r="A225" s="871"/>
      <c r="B225" s="1496"/>
      <c r="C225" s="974"/>
      <c r="D225" s="974"/>
      <c r="E225" s="974"/>
      <c r="F225" s="974"/>
      <c r="G225" s="1497"/>
      <c r="H225" s="874"/>
      <c r="I225" s="879"/>
      <c r="J225" s="874"/>
      <c r="K225" s="878"/>
      <c r="L225" s="871"/>
      <c r="M225" s="878"/>
      <c r="N225" s="871"/>
      <c r="O225" s="871"/>
      <c r="P225" s="871"/>
      <c r="Q225" s="871"/>
      <c r="R225" s="871"/>
      <c r="S225" s="871"/>
      <c r="T225" s="871"/>
      <c r="U225" s="871"/>
      <c r="V225" s="871"/>
      <c r="W225" s="871"/>
      <c r="X225" s="871"/>
      <c r="Y225" s="871"/>
      <c r="Z225" s="871"/>
      <c r="AA225" s="871"/>
      <c r="AB225" s="871"/>
      <c r="AC225" s="871"/>
    </row>
    <row r="226" spans="1:29" ht="15.75" x14ac:dyDescent="0.25">
      <c r="A226" s="871"/>
      <c r="B226" s="1473" t="s">
        <v>1443</v>
      </c>
      <c r="C226" s="1559"/>
      <c r="D226" s="1559"/>
      <c r="E226" s="1559"/>
      <c r="F226" s="1559"/>
      <c r="G226" s="1560"/>
      <c r="H226" s="1561"/>
      <c r="I226" s="1562"/>
      <c r="J226" s="1561"/>
      <c r="K226" s="1848"/>
      <c r="L226" s="871"/>
      <c r="M226" s="878"/>
      <c r="N226" s="871"/>
      <c r="O226" s="871"/>
      <c r="P226" s="871"/>
      <c r="Q226" s="871"/>
      <c r="R226" s="871"/>
      <c r="S226" s="871"/>
      <c r="T226" s="871"/>
      <c r="U226" s="871"/>
      <c r="V226" s="871"/>
      <c r="W226" s="871"/>
      <c r="X226" s="871"/>
      <c r="Y226" s="871"/>
      <c r="Z226" s="871"/>
      <c r="AA226" s="871"/>
      <c r="AB226" s="871"/>
      <c r="AC226" s="871"/>
    </row>
    <row r="227" spans="1:29" ht="58.9" customHeight="1" x14ac:dyDescent="0.2">
      <c r="A227" s="871"/>
      <c r="B227" s="1849"/>
      <c r="C227" s="1811" t="s">
        <v>1923</v>
      </c>
      <c r="D227" s="1589"/>
      <c r="E227" s="1811" t="s">
        <v>1924</v>
      </c>
      <c r="F227" s="1589"/>
      <c r="G227" s="1811" t="s">
        <v>1441</v>
      </c>
      <c r="H227" s="1589"/>
      <c r="I227" s="1811" t="s">
        <v>1041</v>
      </c>
      <c r="J227" s="1589"/>
      <c r="K227" s="1836" t="s">
        <v>1042</v>
      </c>
      <c r="L227" s="871"/>
      <c r="M227" s="878"/>
      <c r="N227" s="871"/>
      <c r="O227" s="871"/>
      <c r="P227" s="871"/>
      <c r="Q227" s="871"/>
      <c r="R227" s="871"/>
      <c r="S227" s="871"/>
      <c r="T227" s="871"/>
      <c r="U227" s="871"/>
      <c r="V227" s="871"/>
      <c r="W227" s="871"/>
      <c r="X227" s="871"/>
      <c r="Y227" s="871"/>
      <c r="Z227" s="871"/>
      <c r="AA227" s="871"/>
      <c r="AB227" s="871"/>
      <c r="AC227" s="871"/>
    </row>
    <row r="228" spans="1:29" ht="11.25" x14ac:dyDescent="0.2">
      <c r="A228" s="871"/>
      <c r="B228" s="1858" t="s">
        <v>1043</v>
      </c>
      <c r="C228" s="1859">
        <v>455.17</v>
      </c>
      <c r="D228" s="1546" t="s">
        <v>1044</v>
      </c>
      <c r="E228" s="1860">
        <v>5.8999999999999997E-2</v>
      </c>
      <c r="F228" s="1861" t="s">
        <v>1045</v>
      </c>
      <c r="G228" s="1838">
        <f t="shared" ref="G228:G229" si="96">C228*1000*E228</f>
        <v>26855.03</v>
      </c>
      <c r="H228" s="1861" t="s">
        <v>1045</v>
      </c>
      <c r="I228" s="1862">
        <f t="shared" ref="I228:I229" si="97">G228*(44/12)</f>
        <v>98468.443333333329</v>
      </c>
      <c r="J228" s="1861" t="s">
        <v>1045</v>
      </c>
      <c r="K228" s="1863">
        <f t="shared" ref="K228:K229" si="98">I228/1000000</f>
        <v>9.8468443333333336E-2</v>
      </c>
      <c r="L228" s="871"/>
      <c r="M228" s="878"/>
      <c r="N228" s="871"/>
      <c r="O228" s="871"/>
      <c r="P228" s="871"/>
      <c r="Q228" s="871"/>
      <c r="R228" s="871"/>
      <c r="S228" s="871"/>
      <c r="T228" s="871"/>
      <c r="U228" s="871"/>
      <c r="V228" s="871"/>
      <c r="W228" s="871"/>
      <c r="X228" s="871"/>
      <c r="Y228" s="871"/>
      <c r="Z228" s="871"/>
      <c r="AA228" s="871"/>
      <c r="AB228" s="871"/>
      <c r="AC228" s="871"/>
    </row>
    <row r="229" spans="1:29" ht="11.25" x14ac:dyDescent="0.2">
      <c r="A229" s="871"/>
      <c r="B229" s="1615" t="s">
        <v>1444</v>
      </c>
      <c r="C229" s="1864">
        <v>26.38</v>
      </c>
      <c r="D229" s="1481" t="s">
        <v>1044</v>
      </c>
      <c r="E229" s="1746">
        <v>6.4000000000000001E-2</v>
      </c>
      <c r="F229" s="1865" t="s">
        <v>1045</v>
      </c>
      <c r="G229" s="1841">
        <f t="shared" si="96"/>
        <v>1688.32</v>
      </c>
      <c r="H229" s="1865" t="s">
        <v>1045</v>
      </c>
      <c r="I229" s="1488">
        <f t="shared" si="97"/>
        <v>6190.5066666666662</v>
      </c>
      <c r="J229" s="1865" t="s">
        <v>1045</v>
      </c>
      <c r="K229" s="1866">
        <f t="shared" si="98"/>
        <v>6.1905066666666664E-3</v>
      </c>
      <c r="L229" s="871"/>
      <c r="M229" s="878"/>
      <c r="N229" s="871"/>
      <c r="O229" s="871"/>
      <c r="P229" s="871"/>
      <c r="Q229" s="871"/>
      <c r="R229" s="871"/>
      <c r="S229" s="871"/>
      <c r="T229" s="871"/>
      <c r="U229" s="871"/>
      <c r="V229" s="871"/>
      <c r="W229" s="871"/>
      <c r="X229" s="871"/>
      <c r="Y229" s="871"/>
      <c r="Z229" s="871"/>
      <c r="AA229" s="871"/>
      <c r="AB229" s="871"/>
      <c r="AC229" s="871"/>
    </row>
    <row r="230" spans="1:29" ht="11.25" x14ac:dyDescent="0.2">
      <c r="A230" s="871"/>
      <c r="B230" s="1490" t="s">
        <v>575</v>
      </c>
      <c r="C230" s="1491"/>
      <c r="D230" s="1491"/>
      <c r="E230" s="1491"/>
      <c r="F230" s="1491"/>
      <c r="G230" s="1492"/>
      <c r="H230" s="1493"/>
      <c r="I230" s="1867">
        <f>SUM(I228:I229)</f>
        <v>104658.95</v>
      </c>
      <c r="J230" s="1493"/>
      <c r="K230" s="1495">
        <f>SUM(K228:K229)</f>
        <v>0.10465895</v>
      </c>
      <c r="L230" s="871"/>
      <c r="M230" s="878"/>
      <c r="N230" s="871"/>
      <c r="O230" s="871"/>
      <c r="P230" s="871"/>
      <c r="Q230" s="871"/>
      <c r="R230" s="871"/>
      <c r="S230" s="871"/>
      <c r="T230" s="871"/>
      <c r="U230" s="871"/>
      <c r="V230" s="871"/>
      <c r="W230" s="871"/>
      <c r="X230" s="871"/>
      <c r="Y230" s="871"/>
      <c r="Z230" s="871"/>
      <c r="AA230" s="871"/>
      <c r="AB230" s="871"/>
      <c r="AC230" s="871"/>
    </row>
    <row r="231" spans="1:29" ht="11.25" x14ac:dyDescent="0.2">
      <c r="A231" s="871"/>
      <c r="B231" s="1496"/>
      <c r="C231" s="974"/>
      <c r="D231" s="974"/>
      <c r="E231" s="974"/>
      <c r="F231" s="974"/>
      <c r="G231" s="1497"/>
      <c r="H231" s="874"/>
      <c r="I231" s="879"/>
      <c r="J231" s="874"/>
      <c r="K231" s="878"/>
      <c r="L231" s="871"/>
      <c r="M231" s="878"/>
      <c r="N231" s="871"/>
      <c r="O231" s="871"/>
      <c r="P231" s="871"/>
      <c r="Q231" s="871"/>
      <c r="R231" s="871"/>
      <c r="S231" s="871"/>
      <c r="T231" s="871"/>
      <c r="U231" s="871"/>
      <c r="V231" s="871"/>
      <c r="W231" s="871"/>
      <c r="X231" s="871"/>
      <c r="Y231" s="871"/>
      <c r="Z231" s="871"/>
      <c r="AA231" s="871"/>
      <c r="AB231" s="871"/>
      <c r="AC231" s="871"/>
    </row>
    <row r="232" spans="1:29" ht="12" x14ac:dyDescent="0.2">
      <c r="A232" s="884"/>
      <c r="B232" s="884"/>
      <c r="C232" s="884"/>
      <c r="D232" s="884"/>
      <c r="E232" s="884"/>
    </row>
    <row r="233" spans="1:29" ht="15.75" x14ac:dyDescent="0.25">
      <c r="B233" s="1221" t="s">
        <v>847</v>
      </c>
      <c r="C233" s="947"/>
      <c r="D233" s="947"/>
      <c r="E233" s="947"/>
      <c r="F233" s="947"/>
      <c r="G233" s="947"/>
      <c r="H233" s="947"/>
      <c r="I233" s="947"/>
    </row>
    <row r="234" spans="1:29" ht="12.75" x14ac:dyDescent="0.2">
      <c r="B234" s="958"/>
      <c r="C234" s="890"/>
      <c r="E234" s="890"/>
      <c r="G234" s="890"/>
      <c r="I234" s="890"/>
    </row>
    <row r="235" spans="1:29" ht="25.5" x14ac:dyDescent="0.2">
      <c r="B235" s="1868" t="s">
        <v>1446</v>
      </c>
      <c r="C235" s="1206" t="s">
        <v>1447</v>
      </c>
      <c r="D235" s="1206"/>
      <c r="E235" s="1206" t="s">
        <v>1448</v>
      </c>
      <c r="F235" s="1206"/>
      <c r="G235" s="1206" t="s">
        <v>1449</v>
      </c>
      <c r="I235" s="890"/>
    </row>
    <row r="236" spans="1:29" ht="12.75" x14ac:dyDescent="0.2">
      <c r="B236" s="1190" t="s">
        <v>339</v>
      </c>
      <c r="C236" s="1190">
        <v>0</v>
      </c>
      <c r="D236" s="1190"/>
      <c r="E236" s="905">
        <f>I36</f>
        <v>13873.82</v>
      </c>
      <c r="F236" s="1190"/>
      <c r="G236" s="1190">
        <v>0</v>
      </c>
      <c r="I236" s="1869"/>
    </row>
    <row r="237" spans="1:29" ht="12.75" x14ac:dyDescent="0.2">
      <c r="B237" s="1190" t="s">
        <v>344</v>
      </c>
      <c r="C237" s="1190">
        <v>0</v>
      </c>
      <c r="D237" s="1190"/>
      <c r="E237" s="905">
        <f>S71</f>
        <v>6380.8342114882325</v>
      </c>
      <c r="F237" s="1190"/>
      <c r="G237" s="905">
        <f>Q98</f>
        <v>719.99875892600869</v>
      </c>
      <c r="I237" s="1869"/>
    </row>
    <row r="238" spans="1:29" ht="12.75" x14ac:dyDescent="0.2">
      <c r="B238" s="1190" t="s">
        <v>1450</v>
      </c>
      <c r="C238" s="1190">
        <v>0</v>
      </c>
      <c r="D238" s="1190"/>
      <c r="E238" s="1190">
        <v>0</v>
      </c>
      <c r="F238" s="1190"/>
      <c r="G238" s="905">
        <f>AA125</f>
        <v>1339.8403079578234</v>
      </c>
      <c r="I238" s="1869"/>
    </row>
    <row r="239" spans="1:29" ht="12.75" x14ac:dyDescent="0.2">
      <c r="B239" s="1190" t="s">
        <v>1451</v>
      </c>
      <c r="C239" s="1190">
        <v>0</v>
      </c>
      <c r="D239" s="1190"/>
      <c r="E239" s="1190">
        <v>0</v>
      </c>
      <c r="F239" s="1190"/>
      <c r="G239" s="905">
        <f>Q130+S130+Q131+S131</f>
        <v>467.98206313571433</v>
      </c>
      <c r="I239" s="1869"/>
    </row>
    <row r="240" spans="1:29" ht="12.75" x14ac:dyDescent="0.2">
      <c r="B240" s="1190" t="s">
        <v>1452</v>
      </c>
      <c r="C240" s="1190">
        <v>0</v>
      </c>
      <c r="D240" s="1190"/>
      <c r="E240" s="1190">
        <v>0</v>
      </c>
      <c r="F240" s="1190"/>
      <c r="G240" s="905">
        <f>C193+C194</f>
        <v>740.49629872501441</v>
      </c>
      <c r="I240" s="1869"/>
    </row>
    <row r="241" spans="2:9" ht="12.75" x14ac:dyDescent="0.2">
      <c r="B241" s="1190" t="s">
        <v>1453</v>
      </c>
      <c r="C241" s="1190">
        <v>0</v>
      </c>
      <c r="D241" s="1190"/>
      <c r="E241" s="1190">
        <v>0</v>
      </c>
      <c r="F241" s="1190"/>
      <c r="G241" s="905">
        <f>C195</f>
        <v>214.0849404822857</v>
      </c>
      <c r="I241" s="1869"/>
    </row>
    <row r="242" spans="2:9" ht="12.75" x14ac:dyDescent="0.2">
      <c r="B242" s="1190" t="s">
        <v>1454</v>
      </c>
      <c r="C242" s="1190">
        <v>0</v>
      </c>
      <c r="D242" s="1190"/>
      <c r="E242" s="905">
        <f>Y208</f>
        <v>17.617522777614759</v>
      </c>
      <c r="F242" s="1190"/>
      <c r="G242" s="905">
        <f>Y219</f>
        <v>0.64257202696023608</v>
      </c>
      <c r="I242" s="1869"/>
    </row>
    <row r="243" spans="2:9" ht="12.75" x14ac:dyDescent="0.2">
      <c r="B243" s="1190" t="s">
        <v>1455</v>
      </c>
      <c r="C243" s="1340">
        <f>I224</f>
        <v>16247.733333333332</v>
      </c>
      <c r="D243" s="1340"/>
      <c r="E243" s="1190">
        <v>0</v>
      </c>
      <c r="F243" s="1340"/>
      <c r="G243" s="1190">
        <v>0</v>
      </c>
      <c r="I243" s="1869"/>
    </row>
    <row r="244" spans="2:9" ht="12.75" x14ac:dyDescent="0.2">
      <c r="B244" s="1190" t="s">
        <v>1456</v>
      </c>
      <c r="C244" s="1340">
        <f>I230</f>
        <v>104658.95</v>
      </c>
      <c r="D244" s="1340"/>
      <c r="E244" s="1190">
        <v>0</v>
      </c>
      <c r="F244" s="1340"/>
      <c r="G244" s="1190">
        <v>0</v>
      </c>
      <c r="I244" s="1869"/>
    </row>
    <row r="245" spans="2:9" ht="12.75" x14ac:dyDescent="0.2">
      <c r="B245" s="1870" t="s">
        <v>102</v>
      </c>
      <c r="C245" s="1871">
        <f>SUM(C236:C244)</f>
        <v>120906.68333333333</v>
      </c>
      <c r="D245" s="1871"/>
      <c r="E245" s="1871">
        <f>SUM(E236:E244)</f>
        <v>20272.271734265847</v>
      </c>
      <c r="F245" s="1871"/>
      <c r="G245" s="1871">
        <f>SUM(G236:G244)</f>
        <v>3483.0449412538069</v>
      </c>
      <c r="I245" s="1872"/>
    </row>
    <row r="246" spans="2:9" ht="11.25" x14ac:dyDescent="0.2"/>
    <row r="247" spans="2:9" ht="25.5" x14ac:dyDescent="0.2">
      <c r="B247" s="1868" t="s">
        <v>1446</v>
      </c>
      <c r="C247" s="1206" t="s">
        <v>661</v>
      </c>
      <c r="D247" s="1206"/>
      <c r="E247" s="1206" t="s">
        <v>662</v>
      </c>
      <c r="F247" s="1206"/>
      <c r="G247" s="1206" t="s">
        <v>663</v>
      </c>
      <c r="H247" s="1206"/>
      <c r="I247" s="1206" t="s">
        <v>664</v>
      </c>
    </row>
    <row r="248" spans="2:9" ht="12.75" x14ac:dyDescent="0.2">
      <c r="B248" s="1190" t="s">
        <v>339</v>
      </c>
      <c r="C248" s="1190">
        <v>0</v>
      </c>
      <c r="D248" s="1190"/>
      <c r="E248" s="1873">
        <f>K36</f>
        <v>0.38707957799999998</v>
      </c>
      <c r="F248" s="1190"/>
      <c r="G248" s="1190">
        <v>0</v>
      </c>
      <c r="H248" s="1190"/>
      <c r="I248" s="1874">
        <f t="shared" ref="I248:I256" si="99">SUM(C248:G248)</f>
        <v>0.38707957799999998</v>
      </c>
    </row>
    <row r="249" spans="2:9" ht="12.75" x14ac:dyDescent="0.2">
      <c r="B249" s="1190" t="s">
        <v>344</v>
      </c>
      <c r="C249" s="1190">
        <v>0</v>
      </c>
      <c r="D249" s="1190"/>
      <c r="E249" s="1873">
        <f>U71</f>
        <v>0.17802527450052164</v>
      </c>
      <c r="F249" s="1190"/>
      <c r="G249" s="1875">
        <f>S98</f>
        <v>0.19655966118680038</v>
      </c>
      <c r="H249" s="1190"/>
      <c r="I249" s="1874">
        <f t="shared" si="99"/>
        <v>0.37458493568732198</v>
      </c>
    </row>
    <row r="250" spans="2:9" ht="12.75" x14ac:dyDescent="0.2">
      <c r="B250" s="1190" t="s">
        <v>1450</v>
      </c>
      <c r="C250" s="1190">
        <v>0</v>
      </c>
      <c r="D250" s="1190"/>
      <c r="E250" s="1190">
        <v>0</v>
      </c>
      <c r="F250" s="1190"/>
      <c r="G250" s="1876">
        <f>AC125</f>
        <v>0.36577640407248579</v>
      </c>
      <c r="H250" s="1190"/>
      <c r="I250" s="1874">
        <f t="shared" si="99"/>
        <v>0.36577640407248579</v>
      </c>
    </row>
    <row r="251" spans="2:9" ht="12.75" x14ac:dyDescent="0.2">
      <c r="B251" s="1190" t="s">
        <v>1451</v>
      </c>
      <c r="C251" s="1190">
        <v>0</v>
      </c>
      <c r="D251" s="1190"/>
      <c r="E251" s="1190">
        <v>0</v>
      </c>
      <c r="F251" s="1190"/>
      <c r="G251" s="1876">
        <f>Y132</f>
        <v>0.12775910323605</v>
      </c>
      <c r="H251" s="1190"/>
      <c r="I251" s="1874">
        <f t="shared" si="99"/>
        <v>0.12775910323605</v>
      </c>
    </row>
    <row r="252" spans="2:9" ht="12.75" x14ac:dyDescent="0.2">
      <c r="B252" s="1190" t="s">
        <v>1452</v>
      </c>
      <c r="C252" s="1190">
        <v>0</v>
      </c>
      <c r="D252" s="1190"/>
      <c r="E252" s="1190">
        <v>0</v>
      </c>
      <c r="F252" s="1190"/>
      <c r="G252" s="1876">
        <f>E193+E194</f>
        <v>0.20215548955192894</v>
      </c>
      <c r="H252" s="1190"/>
      <c r="I252" s="1874">
        <f t="shared" si="99"/>
        <v>0.20215548955192894</v>
      </c>
    </row>
    <row r="253" spans="2:9" ht="12.75" x14ac:dyDescent="0.2">
      <c r="B253" s="1190" t="s">
        <v>1453</v>
      </c>
      <c r="C253" s="1190">
        <v>0</v>
      </c>
      <c r="D253" s="1190"/>
      <c r="E253" s="1190">
        <v>0</v>
      </c>
      <c r="F253" s="1190"/>
      <c r="G253" s="1876">
        <f>E195</f>
        <v>5.8445188751663997E-2</v>
      </c>
      <c r="H253" s="1190"/>
      <c r="I253" s="1874">
        <f t="shared" si="99"/>
        <v>5.8445188751663997E-2</v>
      </c>
    </row>
    <row r="254" spans="2:9" ht="12.75" x14ac:dyDescent="0.2">
      <c r="B254" s="1190" t="s">
        <v>1454</v>
      </c>
      <c r="C254" s="1190">
        <v>0</v>
      </c>
      <c r="D254" s="1190"/>
      <c r="E254" s="956">
        <f>AA208</f>
        <v>4.9152888549545189E-4</v>
      </c>
      <c r="F254" s="1190"/>
      <c r="G254" s="956">
        <f>AA219</f>
        <v>1.7542216336014445E-4</v>
      </c>
      <c r="H254" s="1190"/>
      <c r="I254" s="1877">
        <f t="shared" si="99"/>
        <v>6.6695104885559637E-4</v>
      </c>
    </row>
    <row r="255" spans="2:9" ht="12.75" x14ac:dyDescent="0.2">
      <c r="B255" s="1190" t="s">
        <v>1455</v>
      </c>
      <c r="C255" s="1878">
        <f>K224</f>
        <v>1.6247733333333333E-2</v>
      </c>
      <c r="D255" s="1878"/>
      <c r="E255" s="1190">
        <v>0</v>
      </c>
      <c r="F255" s="1878"/>
      <c r="G255" s="1190">
        <v>0</v>
      </c>
      <c r="H255" s="1878"/>
      <c r="I255" s="1874">
        <f t="shared" si="99"/>
        <v>1.6247733333333333E-2</v>
      </c>
    </row>
    <row r="256" spans="2:9" ht="12.75" x14ac:dyDescent="0.2">
      <c r="B256" s="1190" t="s">
        <v>1456</v>
      </c>
      <c r="C256" s="1873">
        <f>K230</f>
        <v>0.10465895</v>
      </c>
      <c r="D256" s="1873"/>
      <c r="E256" s="1190">
        <v>0</v>
      </c>
      <c r="F256" s="1873"/>
      <c r="G256" s="1190">
        <v>0</v>
      </c>
      <c r="H256" s="1873"/>
      <c r="I256" s="1874">
        <f t="shared" si="99"/>
        <v>0.10465895</v>
      </c>
    </row>
    <row r="257" spans="2:9" ht="12.75" x14ac:dyDescent="0.2">
      <c r="B257" s="1870" t="s">
        <v>102</v>
      </c>
      <c r="C257" s="1879">
        <f>SUM(C248:C256)</f>
        <v>0.12090668333333333</v>
      </c>
      <c r="D257" s="1879"/>
      <c r="E257" s="1879">
        <f>SUM(E248:E256)</f>
        <v>0.56559638138601698</v>
      </c>
      <c r="F257" s="1879"/>
      <c r="G257" s="1879">
        <f>SUM(G248:G256)</f>
        <v>0.95087126896228935</v>
      </c>
      <c r="H257" s="1879"/>
      <c r="I257" s="1879">
        <f>SUM(I248:I256)</f>
        <v>1.6373743336816393</v>
      </c>
    </row>
    <row r="258" spans="2:9" ht="11.25" x14ac:dyDescent="0.2"/>
    <row r="259" spans="2:9" ht="25.5" x14ac:dyDescent="0.2">
      <c r="B259" s="1868" t="s">
        <v>1458</v>
      </c>
      <c r="C259" s="1206" t="s">
        <v>661</v>
      </c>
      <c r="D259" s="1206"/>
      <c r="E259" s="1206" t="s">
        <v>662</v>
      </c>
      <c r="F259" s="1206"/>
      <c r="G259" s="1206" t="s">
        <v>663</v>
      </c>
      <c r="H259" s="1206"/>
      <c r="I259" s="1206" t="s">
        <v>664</v>
      </c>
    </row>
    <row r="260" spans="2:9" ht="12.75" x14ac:dyDescent="0.2">
      <c r="B260" s="1190" t="s">
        <v>339</v>
      </c>
      <c r="C260" s="1190">
        <f t="shared" ref="C260:C261" si="100">C248</f>
        <v>0</v>
      </c>
      <c r="D260" s="1190"/>
      <c r="E260" s="1873">
        <f t="shared" ref="E260:E261" si="101">E248</f>
        <v>0.38707957799999998</v>
      </c>
      <c r="F260" s="1190"/>
      <c r="G260" s="1190">
        <f t="shared" ref="G260:G261" si="102">G248</f>
        <v>0</v>
      </c>
      <c r="H260" s="1190"/>
      <c r="I260" s="1874">
        <f t="shared" ref="I260:I264" si="103">SUM(C260:G260)</f>
        <v>0.38707957799999998</v>
      </c>
    </row>
    <row r="261" spans="2:9" ht="12.75" x14ac:dyDescent="0.2">
      <c r="B261" s="1190" t="s">
        <v>344</v>
      </c>
      <c r="C261" s="1190">
        <f t="shared" si="100"/>
        <v>0</v>
      </c>
      <c r="D261" s="1190"/>
      <c r="E261" s="1873">
        <f t="shared" si="101"/>
        <v>0.17802527450052164</v>
      </c>
      <c r="F261" s="1190"/>
      <c r="G261" s="1875">
        <f t="shared" si="102"/>
        <v>0.19655966118680038</v>
      </c>
      <c r="H261" s="1190"/>
      <c r="I261" s="1874">
        <f t="shared" si="103"/>
        <v>0.37458493568732198</v>
      </c>
    </row>
    <row r="262" spans="2:9" ht="12.75" x14ac:dyDescent="0.2">
      <c r="B262" s="1190" t="s">
        <v>351</v>
      </c>
      <c r="C262" s="1190">
        <f>SUM(C250:C253)</f>
        <v>0</v>
      </c>
      <c r="D262" s="1190"/>
      <c r="E262" s="1190">
        <f>SUM(E250:E253)</f>
        <v>0</v>
      </c>
      <c r="F262" s="1190"/>
      <c r="G262" s="1876">
        <f>SUM(G250:G253)</f>
        <v>0.75413618561212881</v>
      </c>
      <c r="H262" s="1190"/>
      <c r="I262" s="1874">
        <f t="shared" si="103"/>
        <v>0.75413618561212881</v>
      </c>
    </row>
    <row r="263" spans="2:9" ht="12.75" x14ac:dyDescent="0.2">
      <c r="B263" s="1190" t="s">
        <v>1454</v>
      </c>
      <c r="C263" s="1190">
        <f>C254</f>
        <v>0</v>
      </c>
      <c r="D263" s="1190"/>
      <c r="E263" s="956">
        <f>E254</f>
        <v>4.9152888549545189E-4</v>
      </c>
      <c r="F263" s="1190"/>
      <c r="G263" s="956">
        <f>G254</f>
        <v>1.7542216336014445E-4</v>
      </c>
      <c r="H263" s="1190"/>
      <c r="I263" s="1874">
        <f t="shared" si="103"/>
        <v>6.6695104885559637E-4</v>
      </c>
    </row>
    <row r="264" spans="2:9" ht="12.75" x14ac:dyDescent="0.2">
      <c r="B264" s="1190" t="s">
        <v>1459</v>
      </c>
      <c r="C264" s="1878">
        <f>C255+C256</f>
        <v>0.12090668333333333</v>
      </c>
      <c r="D264" s="1878"/>
      <c r="E264" s="1190">
        <f>E255+E256</f>
        <v>0</v>
      </c>
      <c r="F264" s="1878"/>
      <c r="G264" s="1190">
        <f>G255+G256</f>
        <v>0</v>
      </c>
      <c r="H264" s="1878"/>
      <c r="I264" s="1874">
        <f t="shared" si="103"/>
        <v>0.12090668333333333</v>
      </c>
    </row>
    <row r="265" spans="2:9" ht="12.75" x14ac:dyDescent="0.2">
      <c r="B265" s="1870" t="s">
        <v>102</v>
      </c>
      <c r="C265" s="1879">
        <f>SUM(C260:C264)</f>
        <v>0.12090668333333333</v>
      </c>
      <c r="D265" s="1879"/>
      <c r="E265" s="1879">
        <f>SUM(E260:E264)</f>
        <v>0.56559638138601698</v>
      </c>
      <c r="F265" s="1879"/>
      <c r="G265" s="1879">
        <f>SUM(G260:G264)</f>
        <v>0.95087126896228935</v>
      </c>
      <c r="H265" s="1879"/>
      <c r="I265" s="1879">
        <f>SUM(I260:I264)</f>
        <v>1.6373743336816398</v>
      </c>
    </row>
  </sheetData>
  <mergeCells count="1">
    <mergeCell ref="N14:O14"/>
  </mergeCells>
  <printOptions gridLines="1"/>
  <pageMargins left="0.25" right="0.25" top="0.21" bottom="0.5" header="0" footer="0"/>
  <pageSetup paperSize="5" orientation="landscape"/>
  <rowBreaks count="7" manualBreakCount="7">
    <brk id="198" man="1"/>
    <brk id="38" man="1"/>
    <brk id="231" man="1"/>
    <brk id="71" man="1"/>
    <brk id="156" man="1"/>
    <brk id="127" man="1"/>
    <brk id="100" man="1"/>
  </rowBreaks>
  <colBreaks count="2" manualBreakCount="2">
    <brk id="24" man="1"/>
    <brk id="29" man="1"/>
  </colBreaks>
  <ignoredErrors>
    <ignoredError sqref="C144" formula="1"/>
    <ignoredError sqref="C262" formulaRange="1"/>
  </ignoredErrors>
  <drawing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1001"/>
  <sheetViews>
    <sheetView showGridLines="0" workbookViewId="0"/>
  </sheetViews>
  <sheetFormatPr defaultColWidth="16.83203125" defaultRowHeight="15" customHeight="1" x14ac:dyDescent="0.2"/>
  <cols>
    <col min="1" max="1" width="2.5" customWidth="1"/>
    <col min="2" max="2" width="29" customWidth="1"/>
    <col min="3" max="6" width="19.83203125" customWidth="1"/>
    <col min="7" max="7" width="4.6640625" customWidth="1"/>
    <col min="8" max="8" width="28.33203125" customWidth="1"/>
    <col min="9" max="12" width="19.83203125" customWidth="1"/>
    <col min="13" max="13" width="5" customWidth="1"/>
    <col min="14" max="14" width="22.5" customWidth="1"/>
    <col min="15" max="15" width="16.6640625" customWidth="1"/>
    <col min="16" max="16" width="20.6640625" customWidth="1"/>
    <col min="17" max="17" width="4.1640625" customWidth="1"/>
  </cols>
  <sheetData>
    <row r="1" spans="1:23" ht="12.75" x14ac:dyDescent="0.2">
      <c r="A1" s="2"/>
      <c r="B1" s="2"/>
      <c r="C1" s="2"/>
      <c r="D1" s="2"/>
      <c r="E1" s="2"/>
      <c r="F1" s="2"/>
      <c r="G1" s="2"/>
      <c r="H1" s="2"/>
      <c r="I1" s="2"/>
      <c r="J1" s="2"/>
      <c r="K1" s="2"/>
      <c r="L1" s="2"/>
      <c r="M1" s="2"/>
      <c r="N1" s="2"/>
      <c r="O1" s="2"/>
      <c r="P1" s="8"/>
      <c r="Q1" s="8"/>
      <c r="R1" s="8"/>
      <c r="S1" s="8"/>
      <c r="T1" s="8"/>
      <c r="U1" s="8"/>
      <c r="V1" s="8"/>
      <c r="W1" s="8"/>
    </row>
    <row r="2" spans="1:23" ht="15.75" x14ac:dyDescent="0.25">
      <c r="A2" s="8"/>
      <c r="B2" s="272" t="s">
        <v>1463</v>
      </c>
      <c r="C2" s="2"/>
      <c r="D2" s="2"/>
      <c r="E2" s="2"/>
      <c r="F2" s="2"/>
      <c r="G2" s="8"/>
      <c r="H2" s="2"/>
      <c r="I2" s="233"/>
      <c r="J2" s="2"/>
      <c r="K2" s="2"/>
      <c r="L2" s="2"/>
      <c r="M2" s="2"/>
      <c r="N2" s="2"/>
      <c r="O2" s="2"/>
      <c r="P2" s="8"/>
      <c r="Q2" s="8"/>
      <c r="R2" s="8"/>
      <c r="S2" s="8"/>
      <c r="T2" s="8"/>
      <c r="U2" s="8"/>
      <c r="V2" s="8"/>
      <c r="W2" s="8"/>
    </row>
    <row r="3" spans="1:23" ht="57" customHeight="1" x14ac:dyDescent="0.2">
      <c r="A3" s="2"/>
      <c r="B3" s="2"/>
      <c r="C3" s="2"/>
      <c r="D3" s="2"/>
      <c r="E3" s="2"/>
      <c r="F3" s="2"/>
      <c r="G3" s="2"/>
      <c r="H3" s="2"/>
      <c r="I3" s="2"/>
      <c r="J3" s="2"/>
      <c r="K3" s="2"/>
      <c r="L3" s="2"/>
      <c r="M3" s="2"/>
      <c r="N3" s="2"/>
      <c r="O3" s="2"/>
      <c r="P3" s="8"/>
      <c r="Q3" s="8"/>
      <c r="R3" s="8"/>
      <c r="S3" s="8"/>
      <c r="T3" s="8"/>
      <c r="U3" s="8"/>
      <c r="V3" s="8"/>
      <c r="W3" s="8"/>
    </row>
    <row r="4" spans="1:23" ht="12.75" x14ac:dyDescent="0.2">
      <c r="A4" s="2"/>
      <c r="B4" s="2"/>
      <c r="C4" s="2"/>
      <c r="D4" s="2"/>
      <c r="E4" s="2"/>
      <c r="F4" s="2"/>
      <c r="G4" s="2"/>
      <c r="H4" s="8"/>
      <c r="M4" s="2"/>
      <c r="N4" s="2"/>
      <c r="O4" s="2"/>
      <c r="P4" s="8"/>
      <c r="Q4" s="8"/>
      <c r="R4" s="8"/>
      <c r="S4" s="8"/>
      <c r="T4" s="8"/>
      <c r="U4" s="8"/>
      <c r="V4" s="8"/>
      <c r="W4" s="8"/>
    </row>
    <row r="5" spans="1:23" ht="15" customHeight="1" x14ac:dyDescent="0.2">
      <c r="A5" s="2"/>
      <c r="B5" s="440" t="s">
        <v>1464</v>
      </c>
      <c r="C5" s="441"/>
      <c r="D5" s="441"/>
      <c r="E5" s="441"/>
      <c r="F5" s="442"/>
      <c r="G5" s="8"/>
      <c r="H5" s="440" t="s">
        <v>1465</v>
      </c>
      <c r="I5" s="441"/>
      <c r="J5" s="441"/>
      <c r="K5" s="441"/>
      <c r="L5" s="442"/>
      <c r="M5" s="8"/>
      <c r="P5" s="8"/>
    </row>
    <row r="6" spans="1:23" ht="15" customHeight="1" x14ac:dyDescent="0.2">
      <c r="A6" s="2"/>
      <c r="B6" s="427"/>
      <c r="C6" s="443" t="s">
        <v>121</v>
      </c>
      <c r="D6" s="443" t="s">
        <v>134</v>
      </c>
      <c r="E6" s="443" t="s">
        <v>160</v>
      </c>
      <c r="F6" s="444" t="s">
        <v>102</v>
      </c>
      <c r="G6" s="8"/>
      <c r="H6" s="427"/>
      <c r="I6" s="443" t="s">
        <v>121</v>
      </c>
      <c r="J6" s="443" t="s">
        <v>134</v>
      </c>
      <c r="K6" s="443" t="s">
        <v>160</v>
      </c>
      <c r="L6" s="444" t="s">
        <v>102</v>
      </c>
      <c r="M6" s="8"/>
      <c r="N6" s="2026" t="s">
        <v>1</v>
      </c>
      <c r="O6" s="2009"/>
      <c r="P6" s="8"/>
    </row>
    <row r="7" spans="1:23" ht="15" customHeight="1" x14ac:dyDescent="0.2">
      <c r="A7" s="2"/>
      <c r="B7" s="445" t="s">
        <v>1466</v>
      </c>
      <c r="C7" s="446"/>
      <c r="D7" s="446"/>
      <c r="E7" s="446"/>
      <c r="F7" s="447"/>
      <c r="G7" s="8"/>
      <c r="H7" s="445" t="s">
        <v>1466</v>
      </c>
      <c r="I7" s="446"/>
      <c r="J7" s="446"/>
      <c r="K7" s="446"/>
      <c r="L7" s="447"/>
      <c r="M7" s="8"/>
      <c r="N7" s="276"/>
      <c r="O7" s="276" t="str">
        <f>Summary!E3</f>
        <v>AR6 100-yr GWP</v>
      </c>
      <c r="P7" s="8"/>
    </row>
    <row r="8" spans="1:23" ht="15" customHeight="1" x14ac:dyDescent="0.2">
      <c r="A8" s="2"/>
      <c r="B8" s="448" t="s">
        <v>1467</v>
      </c>
      <c r="C8" s="355">
        <v>162653</v>
      </c>
      <c r="D8" s="355">
        <v>234935</v>
      </c>
      <c r="E8" s="355">
        <v>221204</v>
      </c>
      <c r="F8" s="449">
        <f>SUM(C8:E8)</f>
        <v>618792</v>
      </c>
      <c r="G8" s="8"/>
      <c r="H8" s="448" t="s">
        <v>1468</v>
      </c>
      <c r="I8" s="355">
        <v>182266</v>
      </c>
      <c r="J8" s="355">
        <v>171432</v>
      </c>
      <c r="K8" s="355">
        <v>168500</v>
      </c>
      <c r="L8" s="449">
        <f t="shared" ref="L8:L11" si="0">SUM(I8:K8)</f>
        <v>522198</v>
      </c>
      <c r="M8" s="8"/>
      <c r="N8" s="276" t="str">
        <f>Summary!C4</f>
        <v>CO2</v>
      </c>
      <c r="O8" s="276">
        <f>Summary!E4</f>
        <v>1</v>
      </c>
      <c r="P8" s="8"/>
    </row>
    <row r="9" spans="1:23" ht="15" customHeight="1" x14ac:dyDescent="0.2">
      <c r="A9" s="2"/>
      <c r="B9" s="448" t="s">
        <v>945</v>
      </c>
      <c r="C9" s="355">
        <v>184550</v>
      </c>
      <c r="D9" s="355">
        <v>276434</v>
      </c>
      <c r="E9" s="355">
        <v>251955</v>
      </c>
      <c r="F9" s="449">
        <f>C9+D9+E9</f>
        <v>712939</v>
      </c>
      <c r="G9" s="230"/>
      <c r="H9" s="448" t="s">
        <v>945</v>
      </c>
      <c r="I9" s="355">
        <f>204198.91</f>
        <v>204198.91</v>
      </c>
      <c r="J9" s="355">
        <f>198366.72</f>
        <v>198366.72</v>
      </c>
      <c r="K9" s="355">
        <f>193154.44</f>
        <v>193154.44</v>
      </c>
      <c r="L9" s="449">
        <f t="shared" si="0"/>
        <v>595720.07000000007</v>
      </c>
      <c r="M9" s="64"/>
      <c r="N9" s="276" t="str">
        <f>Summary!C5</f>
        <v>CH4</v>
      </c>
      <c r="O9" s="276">
        <f>Summary!E5</f>
        <v>27.9</v>
      </c>
      <c r="P9" s="8"/>
    </row>
    <row r="10" spans="1:23" ht="15" customHeight="1" x14ac:dyDescent="0.25">
      <c r="A10" s="2"/>
      <c r="B10" s="281" t="s">
        <v>1469</v>
      </c>
      <c r="C10" s="450">
        <v>0.5</v>
      </c>
      <c r="D10" s="450">
        <v>0.7</v>
      </c>
      <c r="E10" s="450">
        <v>0.6</v>
      </c>
      <c r="F10" s="451">
        <f t="shared" ref="F10:F11" si="1">SUM(C10:E10)</f>
        <v>1.7999999999999998</v>
      </c>
      <c r="G10" s="8"/>
      <c r="H10" s="281" t="s">
        <v>1470</v>
      </c>
      <c r="I10" s="452">
        <f>0.0279</f>
        <v>2.7900000000000001E-2</v>
      </c>
      <c r="J10" s="452">
        <f>0.0258</f>
        <v>2.58E-2</v>
      </c>
      <c r="K10" s="452">
        <f>0.0295</f>
        <v>2.9499999999999998E-2</v>
      </c>
      <c r="L10" s="453">
        <f t="shared" si="0"/>
        <v>8.3199999999999996E-2</v>
      </c>
      <c r="M10" s="8"/>
      <c r="N10" s="276" t="str">
        <f>Summary!C6</f>
        <v>N2O</v>
      </c>
      <c r="O10" s="276">
        <f>Summary!E6</f>
        <v>273</v>
      </c>
      <c r="P10" s="8"/>
      <c r="Q10" s="8"/>
      <c r="R10" s="8"/>
      <c r="S10" s="8"/>
      <c r="T10" s="8"/>
      <c r="U10" s="8"/>
      <c r="V10" s="8"/>
      <c r="W10" s="8"/>
    </row>
    <row r="11" spans="1:23" ht="15" customHeight="1" x14ac:dyDescent="0.25">
      <c r="A11" s="2"/>
      <c r="B11" s="281" t="s">
        <v>1471</v>
      </c>
      <c r="C11" s="450">
        <v>8.3000000000000007</v>
      </c>
      <c r="D11" s="450">
        <v>12.2</v>
      </c>
      <c r="E11" s="450">
        <v>11.5</v>
      </c>
      <c r="F11" s="451">
        <f t="shared" si="1"/>
        <v>32</v>
      </c>
      <c r="G11" s="8"/>
      <c r="H11" s="281" t="s">
        <v>1472</v>
      </c>
      <c r="I11" s="452">
        <f>0.0267</f>
        <v>2.6700000000000002E-2</v>
      </c>
      <c r="J11" s="452">
        <f>0.0247</f>
        <v>2.47E-2</v>
      </c>
      <c r="K11" s="452">
        <f>0.0282</f>
        <v>2.8199999999999999E-2</v>
      </c>
      <c r="L11" s="453">
        <f t="shared" si="0"/>
        <v>7.9600000000000004E-2</v>
      </c>
      <c r="M11" s="8"/>
      <c r="N11" s="276" t="str">
        <f>Summary!C7</f>
        <v>SF6</v>
      </c>
      <c r="O11" s="454">
        <f>Summary!E7</f>
        <v>24300</v>
      </c>
      <c r="P11" s="8"/>
      <c r="Q11" s="8"/>
      <c r="R11" s="8"/>
      <c r="S11" s="8"/>
      <c r="T11" s="8"/>
      <c r="U11" s="8"/>
      <c r="V11" s="8"/>
      <c r="W11" s="8"/>
    </row>
    <row r="12" spans="1:23" ht="15" customHeight="1" x14ac:dyDescent="0.2">
      <c r="A12" s="2"/>
      <c r="B12" s="324"/>
      <c r="F12" s="455"/>
      <c r="H12" s="324"/>
      <c r="L12" s="455"/>
      <c r="O12" s="456"/>
      <c r="P12" s="8"/>
      <c r="Q12" s="8"/>
      <c r="R12" s="8"/>
      <c r="S12" s="8"/>
      <c r="T12" s="8"/>
      <c r="U12" s="8"/>
      <c r="V12" s="8"/>
      <c r="W12" s="8"/>
    </row>
    <row r="13" spans="1:23" ht="15" customHeight="1" x14ac:dyDescent="0.2">
      <c r="A13" s="2"/>
      <c r="B13" s="445" t="s">
        <v>1473</v>
      </c>
      <c r="C13" s="446"/>
      <c r="D13" s="446"/>
      <c r="E13" s="446"/>
      <c r="F13" s="447"/>
      <c r="H13" s="445" t="s">
        <v>1473</v>
      </c>
      <c r="I13" s="446"/>
      <c r="J13" s="446"/>
      <c r="K13" s="446"/>
      <c r="L13" s="447"/>
      <c r="M13" s="8"/>
      <c r="N13" s="23" t="s">
        <v>1474</v>
      </c>
      <c r="O13" s="386"/>
      <c r="P13" s="8"/>
      <c r="Q13" s="8"/>
      <c r="R13" s="8"/>
      <c r="S13" s="8"/>
      <c r="T13" s="8"/>
      <c r="U13" s="8"/>
      <c r="V13" s="8"/>
      <c r="W13" s="8"/>
    </row>
    <row r="14" spans="1:23" ht="15" customHeight="1" x14ac:dyDescent="0.2">
      <c r="A14" s="2"/>
      <c r="B14" s="448" t="s">
        <v>1475</v>
      </c>
      <c r="C14" s="355">
        <f t="shared" ref="C14:E14" si="2">C8*$O$14</f>
        <v>1618397.3499999999</v>
      </c>
      <c r="D14" s="355">
        <f t="shared" si="2"/>
        <v>2337603.25</v>
      </c>
      <c r="E14" s="355">
        <f t="shared" si="2"/>
        <v>2200979.7999999998</v>
      </c>
      <c r="F14" s="457"/>
      <c r="G14" s="8"/>
      <c r="H14" s="448" t="s">
        <v>1475</v>
      </c>
      <c r="I14" s="355">
        <f t="shared" ref="I14:K14" si="3">I8*$O$14</f>
        <v>1813546.7</v>
      </c>
      <c r="J14" s="355">
        <f t="shared" si="3"/>
        <v>1705748.4</v>
      </c>
      <c r="K14" s="355">
        <f t="shared" si="3"/>
        <v>1676574.9999999998</v>
      </c>
      <c r="L14" s="457"/>
      <c r="M14" s="8"/>
      <c r="N14" s="239" t="s">
        <v>1476</v>
      </c>
      <c r="O14" s="239">
        <v>9.9499999999999993</v>
      </c>
      <c r="P14" s="239" t="s">
        <v>1477</v>
      </c>
      <c r="S14" s="8"/>
      <c r="T14" s="8"/>
      <c r="U14" s="8"/>
      <c r="V14" s="8"/>
      <c r="W14" s="8"/>
    </row>
    <row r="15" spans="1:23" ht="15" customHeight="1" x14ac:dyDescent="0.25">
      <c r="A15" s="2"/>
      <c r="B15" s="448" t="s">
        <v>945</v>
      </c>
      <c r="C15" s="355">
        <f t="shared" ref="C15:E15" si="4">C$14*$O15/1000/0.907185</f>
        <v>161806.73142192606</v>
      </c>
      <c r="D15" s="355">
        <f t="shared" si="4"/>
        <v>233712.65483335813</v>
      </c>
      <c r="E15" s="355">
        <f t="shared" si="4"/>
        <v>220053.09596168366</v>
      </c>
      <c r="F15" s="449">
        <f t="shared" ref="F15:F17" si="5">C15+D15+E15</f>
        <v>615572.48221696785</v>
      </c>
      <c r="G15" s="8"/>
      <c r="H15" s="448" t="s">
        <v>945</v>
      </c>
      <c r="I15" s="355">
        <f t="shared" ref="I15:K15" si="6">I$14*$O15/1000/0.907185</f>
        <v>181317.68678935387</v>
      </c>
      <c r="J15" s="355">
        <f t="shared" si="6"/>
        <v>170540.05509350353</v>
      </c>
      <c r="K15" s="355">
        <f t="shared" si="6"/>
        <v>167623.31001945576</v>
      </c>
      <c r="L15" s="449">
        <f t="shared" ref="L15:L17" si="7">I15+J15+K15</f>
        <v>519481.05190231313</v>
      </c>
      <c r="M15" s="8"/>
      <c r="N15" s="239" t="s">
        <v>1478</v>
      </c>
      <c r="O15" s="239">
        <v>90.7</v>
      </c>
      <c r="P15" s="239" t="s">
        <v>1479</v>
      </c>
      <c r="R15" s="458" t="s">
        <v>1480</v>
      </c>
      <c r="S15" s="8"/>
      <c r="T15" s="8"/>
      <c r="U15" s="8"/>
      <c r="V15" s="8"/>
      <c r="W15" s="8"/>
    </row>
    <row r="16" spans="1:23" ht="15" customHeight="1" x14ac:dyDescent="0.25">
      <c r="A16" s="2"/>
      <c r="B16" s="281" t="s">
        <v>1481</v>
      </c>
      <c r="C16" s="355">
        <f t="shared" ref="C16:E16" si="8">C$14*$O16/1000/0.907185</f>
        <v>57.087270181936425</v>
      </c>
      <c r="D16" s="355">
        <f t="shared" si="8"/>
        <v>82.456504461603743</v>
      </c>
      <c r="E16" s="355">
        <f t="shared" si="8"/>
        <v>77.637255466084653</v>
      </c>
      <c r="F16" s="459">
        <f t="shared" si="5"/>
        <v>217.18103010962483</v>
      </c>
      <c r="H16" s="281" t="s">
        <v>1482</v>
      </c>
      <c r="I16" s="355">
        <f t="shared" ref="I16:K16" si="9">I$14*$O16/1000/0.907185</f>
        <v>63.970958955450101</v>
      </c>
      <c r="J16" s="355">
        <f t="shared" si="9"/>
        <v>60.16848691281271</v>
      </c>
      <c r="K16" s="355">
        <f t="shared" si="9"/>
        <v>59.139425806202702</v>
      </c>
      <c r="L16" s="459">
        <f t="shared" si="7"/>
        <v>183.27887167446551</v>
      </c>
      <c r="M16" s="8"/>
      <c r="N16" s="239" t="s">
        <v>1484</v>
      </c>
      <c r="O16" s="239">
        <f>32/1000</f>
        <v>3.2000000000000001E-2</v>
      </c>
      <c r="P16" s="239" t="s">
        <v>1485</v>
      </c>
      <c r="R16" s="418" t="s">
        <v>1486</v>
      </c>
      <c r="S16" s="8"/>
      <c r="T16" s="8"/>
      <c r="U16" s="8"/>
      <c r="V16" s="8"/>
      <c r="W16" s="8"/>
    </row>
    <row r="17" spans="1:23" ht="15" customHeight="1" x14ac:dyDescent="0.25">
      <c r="A17" s="2"/>
      <c r="B17" s="281" t="s">
        <v>1487</v>
      </c>
      <c r="C17" s="355">
        <f t="shared" ref="C17:E17" si="10">C$14*$O17/1000/0.907185</f>
        <v>7.4927042113791575</v>
      </c>
      <c r="D17" s="355">
        <f t="shared" si="10"/>
        <v>10.822416210585493</v>
      </c>
      <c r="E17" s="355">
        <f t="shared" si="10"/>
        <v>10.189889779923611</v>
      </c>
      <c r="F17" s="459">
        <f t="shared" si="5"/>
        <v>28.505010201888261</v>
      </c>
      <c r="G17" s="8"/>
      <c r="H17" s="281" t="s">
        <v>1488</v>
      </c>
      <c r="I17" s="355">
        <f t="shared" ref="I17:K17" si="11">I$14*$O17/1000/0.907185</f>
        <v>8.3961883629028264</v>
      </c>
      <c r="J17" s="355">
        <f t="shared" si="11"/>
        <v>7.8971139073066681</v>
      </c>
      <c r="K17" s="355">
        <f t="shared" si="11"/>
        <v>7.7620496370641048</v>
      </c>
      <c r="L17" s="459">
        <f t="shared" si="7"/>
        <v>24.0553519072736</v>
      </c>
      <c r="M17" s="8"/>
      <c r="N17" s="239" t="s">
        <v>1489</v>
      </c>
      <c r="O17" s="239">
        <f>4.2/1000</f>
        <v>4.2000000000000006E-3</v>
      </c>
      <c r="P17" s="239" t="s">
        <v>1490</v>
      </c>
      <c r="Q17" s="8"/>
      <c r="R17" s="458" t="s">
        <v>1491</v>
      </c>
      <c r="S17" s="8"/>
      <c r="T17" s="8"/>
      <c r="U17" s="8"/>
      <c r="V17" s="8"/>
      <c r="W17" s="8"/>
    </row>
    <row r="18" spans="1:23" ht="15" customHeight="1" x14ac:dyDescent="0.2">
      <c r="A18" s="2"/>
      <c r="B18" s="324"/>
      <c r="C18" s="463"/>
      <c r="F18" s="455"/>
      <c r="H18" s="324"/>
      <c r="I18" s="463"/>
      <c r="L18" s="455"/>
      <c r="M18" s="8"/>
      <c r="P18" s="8"/>
      <c r="Q18" s="8"/>
      <c r="R18" s="8"/>
      <c r="S18" s="8"/>
      <c r="T18" s="8"/>
      <c r="U18" s="8"/>
      <c r="V18" s="8"/>
      <c r="W18" s="8"/>
    </row>
    <row r="19" spans="1:23" ht="15" customHeight="1" x14ac:dyDescent="0.2">
      <c r="A19" s="2"/>
      <c r="B19" s="445" t="s">
        <v>1492</v>
      </c>
      <c r="C19" s="446"/>
      <c r="D19" s="446"/>
      <c r="E19" s="446"/>
      <c r="F19" s="447"/>
      <c r="H19" s="445" t="s">
        <v>1492</v>
      </c>
      <c r="I19" s="446"/>
      <c r="J19" s="446"/>
      <c r="K19" s="446"/>
      <c r="L19" s="447"/>
      <c r="M19" s="8"/>
      <c r="N19" s="464" t="s">
        <v>1494</v>
      </c>
      <c r="O19" s="863" t="s">
        <v>948</v>
      </c>
      <c r="P19" s="864" t="s">
        <v>27</v>
      </c>
      <c r="Q19" s="8"/>
      <c r="R19" s="8"/>
      <c r="S19" s="8"/>
      <c r="T19" s="8"/>
      <c r="U19" s="8"/>
      <c r="V19" s="8"/>
      <c r="W19" s="8"/>
    </row>
    <row r="20" spans="1:23" ht="15" customHeight="1" x14ac:dyDescent="0.2">
      <c r="A20" s="2"/>
      <c r="B20" s="448" t="s">
        <v>944</v>
      </c>
      <c r="C20" s="465"/>
      <c r="D20" s="465"/>
      <c r="E20" s="465"/>
      <c r="F20" s="449">
        <f t="shared" ref="F20:F22" si="12">F9*0.907185</f>
        <v>646767.56671499996</v>
      </c>
      <c r="H20" s="448" t="s">
        <v>944</v>
      </c>
      <c r="I20" s="465"/>
      <c r="J20" s="465"/>
      <c r="K20" s="465"/>
      <c r="L20" s="449">
        <f t="shared" ref="L20:L22" si="13">L9*0.907185</f>
        <v>540428.31170295004</v>
      </c>
      <c r="M20" s="8"/>
      <c r="N20" s="448" t="s">
        <v>813</v>
      </c>
      <c r="O20" s="355">
        <f t="shared" ref="O20:O22" si="14">F20+L20</f>
        <v>1187195.8784179501</v>
      </c>
      <c r="P20" s="467">
        <f>O20/1000000</f>
        <v>1.1871958784179502</v>
      </c>
      <c r="Q20" s="8"/>
      <c r="R20" s="8"/>
      <c r="S20" s="8"/>
      <c r="T20" s="8"/>
      <c r="U20" s="8"/>
      <c r="V20" s="8"/>
      <c r="W20" s="8"/>
    </row>
    <row r="21" spans="1:23" ht="15" customHeight="1" x14ac:dyDescent="0.2">
      <c r="A21" s="2"/>
      <c r="B21" s="281" t="s">
        <v>1424</v>
      </c>
      <c r="C21" s="465"/>
      <c r="D21" s="465"/>
      <c r="E21" s="465"/>
      <c r="F21" s="459">
        <f t="shared" si="12"/>
        <v>1.632933</v>
      </c>
      <c r="H21" s="281" t="s">
        <v>1424</v>
      </c>
      <c r="I21" s="465"/>
      <c r="J21" s="465"/>
      <c r="K21" s="465"/>
      <c r="L21" s="459">
        <f t="shared" si="13"/>
        <v>7.5477792000000002E-2</v>
      </c>
      <c r="M21" s="8"/>
      <c r="N21" s="281" t="s">
        <v>906</v>
      </c>
      <c r="O21" s="355">
        <f t="shared" si="14"/>
        <v>1.708410792</v>
      </c>
      <c r="P21" s="469">
        <f>O21*$O$9/1000000</f>
        <v>4.7664661096799994E-5</v>
      </c>
      <c r="Q21" s="8"/>
      <c r="R21" s="8"/>
      <c r="S21" s="8"/>
      <c r="T21" s="8"/>
      <c r="U21" s="8"/>
      <c r="V21" s="8"/>
      <c r="W21" s="8"/>
    </row>
    <row r="22" spans="1:23" ht="15" customHeight="1" x14ac:dyDescent="0.2">
      <c r="A22" s="2"/>
      <c r="B22" s="286" t="s">
        <v>1410</v>
      </c>
      <c r="C22" s="472"/>
      <c r="D22" s="472"/>
      <c r="E22" s="472"/>
      <c r="F22" s="473">
        <f t="shared" si="12"/>
        <v>29.029920000000001</v>
      </c>
      <c r="H22" s="286" t="s">
        <v>1410</v>
      </c>
      <c r="I22" s="472"/>
      <c r="J22" s="472"/>
      <c r="K22" s="472"/>
      <c r="L22" s="473">
        <f t="shared" si="13"/>
        <v>7.221192600000001E-2</v>
      </c>
      <c r="N22" s="281" t="s">
        <v>905</v>
      </c>
      <c r="O22" s="355">
        <f t="shared" si="14"/>
        <v>29.102131926000002</v>
      </c>
      <c r="P22" s="476">
        <f>O22*$O$10/1000000</f>
        <v>7.9448820157980004E-3</v>
      </c>
      <c r="Q22" s="8"/>
      <c r="R22" s="8"/>
      <c r="S22" s="8"/>
      <c r="T22" s="8"/>
      <c r="U22" s="8"/>
      <c r="V22" s="8"/>
      <c r="W22" s="8"/>
    </row>
    <row r="23" spans="1:23" ht="15" customHeight="1" x14ac:dyDescent="0.2">
      <c r="A23" s="2"/>
      <c r="M23" s="8"/>
      <c r="N23" s="478" t="s">
        <v>102</v>
      </c>
      <c r="O23" s="422"/>
      <c r="P23" s="481">
        <f>SUM(P20:P22)</f>
        <v>1.1951884250948448</v>
      </c>
      <c r="Q23" s="8"/>
      <c r="R23" s="8"/>
      <c r="S23" s="8"/>
      <c r="T23" s="8"/>
      <c r="U23" s="8"/>
      <c r="V23" s="8"/>
      <c r="W23" s="8"/>
    </row>
    <row r="24" spans="1:23" ht="12.75" x14ac:dyDescent="0.2">
      <c r="A24" s="2"/>
      <c r="E24" s="415"/>
      <c r="G24" s="8"/>
      <c r="H24" s="8"/>
      <c r="I24" s="483"/>
      <c r="J24" s="483"/>
      <c r="K24" s="483"/>
      <c r="L24" s="483"/>
      <c r="M24" s="8"/>
      <c r="N24" s="8"/>
      <c r="O24" s="8"/>
      <c r="P24" s="8"/>
      <c r="Q24" s="8"/>
      <c r="R24" s="8"/>
      <c r="S24" s="8"/>
      <c r="T24" s="8"/>
      <c r="U24" s="8"/>
      <c r="V24" s="8"/>
      <c r="W24" s="8"/>
    </row>
    <row r="25" spans="1:23" ht="12.75" x14ac:dyDescent="0.2">
      <c r="A25" s="2"/>
      <c r="E25" s="386"/>
      <c r="G25" s="8"/>
      <c r="H25" s="8"/>
      <c r="I25" s="485"/>
      <c r="J25" s="485"/>
      <c r="K25" s="485"/>
      <c r="L25" s="386"/>
      <c r="M25" s="8"/>
      <c r="N25" s="8"/>
      <c r="O25" s="81"/>
      <c r="P25" s="8"/>
      <c r="Q25" s="8"/>
      <c r="R25" s="8"/>
      <c r="S25" s="8"/>
      <c r="T25" s="8"/>
      <c r="U25" s="8"/>
      <c r="V25" s="8"/>
      <c r="W25" s="8"/>
    </row>
    <row r="26" spans="1:23" ht="12.75" x14ac:dyDescent="0.2">
      <c r="A26" s="2"/>
      <c r="E26" s="424"/>
      <c r="G26" s="8"/>
      <c r="H26" s="8"/>
      <c r="I26" s="485"/>
      <c r="J26" s="485"/>
      <c r="K26" s="485"/>
      <c r="L26" s="386"/>
      <c r="M26" s="8"/>
      <c r="O26" s="485"/>
      <c r="P26" s="8"/>
      <c r="Q26" s="8"/>
      <c r="R26" s="8"/>
      <c r="S26" s="8"/>
      <c r="T26" s="8"/>
      <c r="U26" s="8"/>
      <c r="V26" s="8"/>
      <c r="W26" s="8"/>
    </row>
    <row r="27" spans="1:23" ht="12.75" x14ac:dyDescent="0.2">
      <c r="A27" s="2"/>
      <c r="E27" s="386"/>
      <c r="F27" s="386"/>
      <c r="G27" s="8"/>
      <c r="H27" s="2"/>
      <c r="I27" s="415"/>
      <c r="J27" s="415"/>
      <c r="K27" s="415"/>
      <c r="M27" s="8"/>
      <c r="O27" s="485"/>
      <c r="P27" s="8"/>
      <c r="Q27" s="8"/>
      <c r="R27" s="8"/>
      <c r="S27" s="8"/>
      <c r="T27" s="8"/>
      <c r="U27" s="8"/>
      <c r="V27" s="8"/>
      <c r="W27" s="8"/>
    </row>
    <row r="28" spans="1:23" ht="12.75" x14ac:dyDescent="0.2">
      <c r="A28" s="2"/>
      <c r="E28" s="489"/>
      <c r="F28" s="386"/>
      <c r="G28" s="230"/>
      <c r="H28" s="2"/>
      <c r="I28" s="485"/>
      <c r="J28" s="485"/>
      <c r="K28" s="485"/>
      <c r="L28" s="386"/>
      <c r="M28" s="8"/>
      <c r="O28" s="8"/>
      <c r="P28" s="8"/>
      <c r="Q28" s="8"/>
      <c r="R28" s="8"/>
      <c r="S28" s="8"/>
      <c r="T28" s="8"/>
      <c r="U28" s="8"/>
      <c r="V28" s="8"/>
      <c r="W28" s="8"/>
    </row>
    <row r="29" spans="1:23" ht="12.75" x14ac:dyDescent="0.2">
      <c r="A29" s="2"/>
      <c r="C29" s="2"/>
      <c r="D29" s="2"/>
      <c r="E29" s="490"/>
      <c r="F29" s="386"/>
      <c r="G29" s="8"/>
      <c r="H29" s="8"/>
      <c r="I29" s="386"/>
      <c r="J29" s="386"/>
      <c r="K29" s="386"/>
      <c r="L29" s="386"/>
      <c r="N29" s="8"/>
      <c r="O29" s="491"/>
      <c r="P29" s="8"/>
      <c r="Q29" s="8"/>
      <c r="R29" s="8"/>
      <c r="S29" s="8"/>
      <c r="T29" s="8"/>
      <c r="U29" s="8"/>
      <c r="V29" s="8"/>
      <c r="W29" s="8"/>
    </row>
    <row r="30" spans="1:23" ht="12.75" x14ac:dyDescent="0.2">
      <c r="A30" s="2"/>
      <c r="D30" s="2"/>
      <c r="E30" s="490"/>
      <c r="F30" s="494"/>
      <c r="G30" s="8"/>
      <c r="H30" s="2"/>
      <c r="I30" s="485"/>
      <c r="J30" s="485"/>
      <c r="K30" s="485"/>
      <c r="L30" s="386"/>
      <c r="M30" s="8"/>
      <c r="N30" s="8"/>
      <c r="O30" s="8"/>
      <c r="P30" s="8"/>
      <c r="Q30" s="8"/>
      <c r="R30" s="8"/>
      <c r="S30" s="8"/>
      <c r="T30" s="8"/>
      <c r="U30" s="8"/>
      <c r="V30" s="8"/>
      <c r="W30" s="8"/>
    </row>
    <row r="31" spans="1:23" ht="12.75" x14ac:dyDescent="0.2">
      <c r="A31" s="2"/>
      <c r="H31" s="8"/>
      <c r="I31" s="386"/>
      <c r="J31" s="386"/>
      <c r="K31" s="386"/>
      <c r="L31" s="386"/>
      <c r="M31" s="8"/>
      <c r="P31" s="8"/>
      <c r="Q31" s="8"/>
      <c r="R31" s="8"/>
      <c r="S31" s="8"/>
      <c r="T31" s="8"/>
      <c r="U31" s="8"/>
      <c r="V31" s="8"/>
      <c r="W31" s="8"/>
    </row>
    <row r="32" spans="1:23" ht="12.75" x14ac:dyDescent="0.2">
      <c r="A32" s="2"/>
      <c r="B32" s="8"/>
      <c r="C32" s="8"/>
      <c r="D32" s="8"/>
      <c r="E32" s="8"/>
      <c r="F32" s="8"/>
      <c r="G32" s="8"/>
      <c r="H32" s="2"/>
      <c r="I32" s="485"/>
      <c r="J32" s="485"/>
      <c r="K32" s="485"/>
      <c r="L32" s="494"/>
      <c r="M32" s="8"/>
      <c r="N32" s="8"/>
      <c r="O32" s="8"/>
      <c r="P32" s="8"/>
      <c r="Q32" s="8"/>
      <c r="R32" s="8"/>
      <c r="S32" s="8"/>
      <c r="T32" s="8"/>
      <c r="U32" s="8"/>
      <c r="V32" s="8"/>
      <c r="W32" s="8"/>
    </row>
    <row r="33" spans="1:23" ht="12.75" x14ac:dyDescent="0.2">
      <c r="A33" s="2"/>
      <c r="B33" s="2"/>
      <c r="C33" s="490"/>
      <c r="D33" s="490"/>
      <c r="E33" s="490"/>
      <c r="F33" s="386"/>
      <c r="G33" s="230"/>
      <c r="H33" s="8"/>
      <c r="I33" s="386"/>
      <c r="J33" s="386"/>
      <c r="K33" s="386"/>
      <c r="L33" s="386"/>
      <c r="M33" s="8"/>
      <c r="N33" s="8"/>
      <c r="O33" s="81"/>
      <c r="P33" s="8"/>
      <c r="Q33" s="8"/>
      <c r="R33" s="8"/>
      <c r="S33" s="8"/>
      <c r="T33" s="8"/>
      <c r="U33" s="8"/>
      <c r="V33" s="8"/>
      <c r="W33" s="8"/>
    </row>
    <row r="34" spans="1:23" ht="12.75" x14ac:dyDescent="0.2">
      <c r="A34" s="2"/>
      <c r="B34" s="64"/>
      <c r="C34" s="421"/>
      <c r="D34" s="421"/>
      <c r="E34" s="421"/>
      <c r="F34" s="386"/>
      <c r="G34" s="8"/>
      <c r="H34" s="2"/>
      <c r="I34" s="485"/>
      <c r="J34" s="485"/>
      <c r="K34" s="485"/>
      <c r="L34" s="494"/>
      <c r="M34" s="8"/>
      <c r="N34" s="8"/>
      <c r="O34" s="8"/>
      <c r="P34" s="8"/>
      <c r="Q34" s="8"/>
      <c r="R34" s="8"/>
      <c r="S34" s="8"/>
      <c r="T34" s="8"/>
      <c r="U34" s="8"/>
      <c r="V34" s="8"/>
      <c r="W34" s="8"/>
    </row>
    <row r="35" spans="1:23" ht="12.75" x14ac:dyDescent="0.2">
      <c r="A35" s="2"/>
      <c r="B35" s="64"/>
      <c r="C35" s="421"/>
      <c r="D35" s="421"/>
      <c r="E35" s="421"/>
      <c r="F35" s="494"/>
      <c r="G35" s="8"/>
      <c r="H35" s="2"/>
      <c r="I35" s="485"/>
      <c r="J35" s="485"/>
      <c r="K35" s="485"/>
      <c r="L35" s="386"/>
      <c r="M35" s="8"/>
      <c r="N35" s="8"/>
      <c r="O35" s="456"/>
      <c r="P35" s="8"/>
      <c r="Q35" s="8"/>
      <c r="R35" s="8"/>
      <c r="S35" s="8"/>
      <c r="T35" s="8"/>
      <c r="U35" s="8"/>
      <c r="V35" s="8"/>
      <c r="W35" s="8"/>
    </row>
    <row r="36" spans="1:23" ht="12.75" x14ac:dyDescent="0.2">
      <c r="A36" s="2"/>
      <c r="B36" s="64"/>
      <c r="C36" s="319"/>
      <c r="D36" s="319"/>
      <c r="E36" s="319"/>
      <c r="F36" s="494"/>
      <c r="G36" s="8"/>
      <c r="H36" s="2"/>
      <c r="I36" s="485"/>
      <c r="J36" s="485"/>
      <c r="K36" s="485"/>
      <c r="L36" s="485"/>
      <c r="M36" s="8"/>
      <c r="N36" s="8"/>
      <c r="O36" s="8"/>
      <c r="P36" s="8"/>
      <c r="Q36" s="8"/>
      <c r="R36" s="8"/>
      <c r="S36" s="8"/>
      <c r="T36" s="8"/>
      <c r="U36" s="8"/>
      <c r="V36" s="8"/>
      <c r="W36" s="8"/>
    </row>
    <row r="37" spans="1:23" ht="12.75" x14ac:dyDescent="0.2">
      <c r="A37" s="2"/>
      <c r="B37" s="64"/>
      <c r="H37" s="8"/>
      <c r="I37" s="8"/>
      <c r="J37" s="8"/>
      <c r="K37" s="8"/>
      <c r="L37" s="8"/>
      <c r="M37" s="8"/>
      <c r="N37" s="8"/>
      <c r="O37" s="491"/>
      <c r="P37" s="8"/>
      <c r="Q37" s="8"/>
      <c r="R37" s="8"/>
      <c r="S37" s="8"/>
      <c r="T37" s="8"/>
      <c r="U37" s="8"/>
      <c r="V37" s="8"/>
      <c r="W37" s="8"/>
    </row>
    <row r="38" spans="1:23" ht="12.75" x14ac:dyDescent="0.2">
      <c r="A38" s="2"/>
      <c r="B38" s="8"/>
      <c r="C38" s="386"/>
      <c r="D38" s="386"/>
      <c r="E38" s="386"/>
      <c r="F38" s="386"/>
      <c r="G38" s="8"/>
      <c r="M38" s="8"/>
      <c r="N38" s="8"/>
      <c r="O38" s="8"/>
      <c r="P38" s="8"/>
      <c r="Q38" s="8"/>
      <c r="R38" s="8"/>
      <c r="S38" s="8"/>
      <c r="T38" s="8"/>
      <c r="U38" s="8"/>
      <c r="V38" s="8"/>
      <c r="W38" s="8"/>
    </row>
    <row r="39" spans="1:23" ht="12.75" x14ac:dyDescent="0.2">
      <c r="A39" s="2"/>
      <c r="M39" s="8"/>
      <c r="N39" s="8"/>
      <c r="O39" s="510"/>
      <c r="P39" s="8"/>
      <c r="Q39" s="8"/>
      <c r="R39" s="8"/>
      <c r="S39" s="8"/>
      <c r="T39" s="8"/>
      <c r="U39" s="8"/>
      <c r="V39" s="8"/>
      <c r="W39" s="8"/>
    </row>
    <row r="40" spans="1:23" ht="12.75" x14ac:dyDescent="0.2">
      <c r="A40" s="2"/>
      <c r="B40" s="8"/>
      <c r="C40" s="8"/>
      <c r="D40" s="8"/>
      <c r="E40" s="8"/>
      <c r="F40" s="8"/>
      <c r="G40" s="8"/>
      <c r="M40" s="8"/>
      <c r="N40" s="8"/>
      <c r="O40" s="8"/>
      <c r="P40" s="8"/>
      <c r="Q40" s="8"/>
      <c r="R40" s="8"/>
      <c r="S40" s="8"/>
      <c r="T40" s="8"/>
      <c r="U40" s="8"/>
      <c r="V40" s="8"/>
      <c r="W40" s="8"/>
    </row>
    <row r="41" spans="1:23" ht="12.75" x14ac:dyDescent="0.2">
      <c r="A41" s="2"/>
      <c r="B41" s="8"/>
      <c r="C41" s="8"/>
      <c r="D41" s="8"/>
      <c r="E41" s="8"/>
      <c r="F41" s="8"/>
      <c r="G41" s="8"/>
      <c r="M41" s="8"/>
      <c r="N41" s="8"/>
      <c r="O41" s="8"/>
      <c r="P41" s="8"/>
      <c r="Q41" s="8"/>
      <c r="R41" s="8"/>
      <c r="S41" s="8"/>
      <c r="T41" s="8"/>
      <c r="U41" s="8"/>
      <c r="V41" s="8"/>
      <c r="W41" s="8"/>
    </row>
    <row r="42" spans="1:23" ht="12.75" x14ac:dyDescent="0.2">
      <c r="A42" s="2"/>
      <c r="E42" s="8"/>
      <c r="F42" s="8"/>
      <c r="G42" s="8"/>
      <c r="M42" s="8"/>
      <c r="N42" s="8"/>
      <c r="O42" s="8"/>
      <c r="P42" s="8"/>
      <c r="Q42" s="8"/>
      <c r="R42" s="8"/>
      <c r="S42" s="8"/>
      <c r="T42" s="8"/>
      <c r="U42" s="8"/>
      <c r="V42" s="8"/>
      <c r="W42" s="8"/>
    </row>
    <row r="43" spans="1:23" ht="12.75" x14ac:dyDescent="0.2">
      <c r="A43" s="2"/>
      <c r="F43" s="2"/>
      <c r="G43" s="2"/>
      <c r="M43" s="2"/>
      <c r="N43" s="2"/>
      <c r="O43" s="2"/>
      <c r="P43" s="8"/>
      <c r="Q43" s="8"/>
      <c r="R43" s="8"/>
      <c r="S43" s="8"/>
      <c r="T43" s="8"/>
      <c r="U43" s="8"/>
      <c r="V43" s="8"/>
      <c r="W43" s="8"/>
    </row>
    <row r="44" spans="1:23" ht="12.75" x14ac:dyDescent="0.2">
      <c r="A44" s="2"/>
      <c r="F44" s="2"/>
      <c r="G44" s="2"/>
      <c r="M44" s="2"/>
      <c r="N44" s="2"/>
      <c r="O44" s="2"/>
      <c r="P44" s="8"/>
      <c r="Q44" s="8"/>
      <c r="R44" s="8"/>
      <c r="S44" s="8"/>
      <c r="T44" s="8"/>
      <c r="U44" s="8"/>
      <c r="V44" s="8"/>
      <c r="W44" s="8"/>
    </row>
    <row r="45" spans="1:23" ht="12.75" x14ac:dyDescent="0.2">
      <c r="A45" s="2"/>
      <c r="F45" s="2"/>
      <c r="G45" s="2"/>
      <c r="M45" s="2"/>
      <c r="N45" s="2"/>
      <c r="O45" s="2"/>
      <c r="P45" s="8"/>
      <c r="Q45" s="8"/>
      <c r="R45" s="8"/>
      <c r="S45" s="8"/>
      <c r="T45" s="8"/>
      <c r="U45" s="8"/>
      <c r="V45" s="8"/>
      <c r="W45" s="8"/>
    </row>
    <row r="46" spans="1:23" ht="12.75" x14ac:dyDescent="0.2">
      <c r="A46" s="2"/>
      <c r="F46" s="2"/>
      <c r="G46" s="2"/>
      <c r="H46" s="8"/>
      <c r="I46" s="8"/>
      <c r="J46" s="8"/>
      <c r="K46" s="8"/>
      <c r="L46" s="8"/>
      <c r="M46" s="2"/>
      <c r="N46" s="2"/>
      <c r="O46" s="2"/>
      <c r="P46" s="8"/>
      <c r="Q46" s="8"/>
      <c r="R46" s="8"/>
      <c r="S46" s="8"/>
      <c r="T46" s="8"/>
      <c r="U46" s="8"/>
      <c r="V46" s="8"/>
      <c r="W46" s="8"/>
    </row>
    <row r="47" spans="1:23" ht="12.75" x14ac:dyDescent="0.2">
      <c r="A47" s="2"/>
      <c r="F47" s="2"/>
      <c r="G47" s="2"/>
      <c r="M47" s="2"/>
      <c r="N47" s="2"/>
      <c r="O47" s="2"/>
      <c r="P47" s="8"/>
      <c r="Q47" s="8"/>
      <c r="R47" s="8"/>
      <c r="S47" s="8"/>
      <c r="T47" s="8"/>
      <c r="U47" s="8"/>
      <c r="V47" s="8"/>
      <c r="W47" s="8"/>
    </row>
    <row r="48" spans="1:23" ht="12.75" x14ac:dyDescent="0.2">
      <c r="A48" s="2"/>
      <c r="E48" s="2"/>
      <c r="F48" s="2"/>
      <c r="G48" s="2"/>
      <c r="M48" s="2"/>
      <c r="N48" s="2"/>
      <c r="O48" s="2"/>
      <c r="P48" s="8"/>
      <c r="Q48" s="8"/>
      <c r="R48" s="8"/>
      <c r="S48" s="8"/>
      <c r="T48" s="8"/>
      <c r="U48" s="8"/>
      <c r="V48" s="8"/>
      <c r="W48" s="8"/>
    </row>
    <row r="49" spans="1:23" ht="12.75" x14ac:dyDescent="0.2">
      <c r="A49" s="2"/>
      <c r="E49" s="2"/>
      <c r="F49" s="2"/>
      <c r="G49" s="2"/>
      <c r="M49" s="2"/>
      <c r="N49" s="2"/>
      <c r="O49" s="2"/>
      <c r="P49" s="8"/>
      <c r="Q49" s="8"/>
      <c r="R49" s="8"/>
      <c r="S49" s="8"/>
      <c r="T49" s="8"/>
      <c r="U49" s="8"/>
      <c r="V49" s="8"/>
      <c r="W49" s="8"/>
    </row>
    <row r="50" spans="1:23" ht="12.75" x14ac:dyDescent="0.2">
      <c r="A50" s="2"/>
      <c r="E50" s="8"/>
      <c r="F50" s="2"/>
      <c r="G50" s="2"/>
      <c r="M50" s="2"/>
      <c r="N50" s="2"/>
      <c r="O50" s="2"/>
      <c r="P50" s="8"/>
      <c r="Q50" s="8"/>
      <c r="R50" s="8"/>
      <c r="S50" s="8"/>
      <c r="T50" s="8"/>
      <c r="U50" s="8"/>
      <c r="V50" s="8"/>
      <c r="W50" s="8"/>
    </row>
    <row r="51" spans="1:23" ht="12.75" x14ac:dyDescent="0.2">
      <c r="A51" s="2"/>
      <c r="D51" s="8"/>
      <c r="E51" s="8"/>
      <c r="F51" s="2"/>
      <c r="G51" s="2"/>
      <c r="M51" s="2"/>
      <c r="N51" s="2"/>
      <c r="O51" s="2"/>
      <c r="P51" s="8"/>
      <c r="Q51" s="8"/>
      <c r="R51" s="8"/>
      <c r="S51" s="8"/>
      <c r="T51" s="8"/>
      <c r="U51" s="8"/>
      <c r="V51" s="8"/>
      <c r="W51" s="8"/>
    </row>
    <row r="52" spans="1:23" ht="12.75" x14ac:dyDescent="0.2">
      <c r="A52" s="2"/>
      <c r="D52" s="64"/>
      <c r="E52" s="64"/>
      <c r="F52" s="2"/>
      <c r="G52" s="2"/>
      <c r="M52" s="2"/>
      <c r="N52" s="2"/>
      <c r="O52" s="2"/>
      <c r="P52" s="8"/>
      <c r="Q52" s="8"/>
      <c r="R52" s="8"/>
      <c r="S52" s="8"/>
      <c r="T52" s="8"/>
      <c r="U52" s="8"/>
      <c r="V52" s="8"/>
      <c r="W52" s="8"/>
    </row>
    <row r="53" spans="1:23" ht="12.75" x14ac:dyDescent="0.2">
      <c r="A53" s="2"/>
      <c r="B53" s="8"/>
      <c r="C53" s="8"/>
      <c r="D53" s="8"/>
      <c r="E53" s="8"/>
      <c r="F53" s="2"/>
      <c r="G53" s="2"/>
      <c r="H53" s="2"/>
      <c r="I53" s="2"/>
      <c r="J53" s="2"/>
      <c r="K53" s="2"/>
      <c r="L53" s="2"/>
      <c r="M53" s="2"/>
      <c r="N53" s="2"/>
      <c r="O53" s="2"/>
      <c r="P53" s="8"/>
      <c r="Q53" s="8"/>
      <c r="R53" s="8"/>
      <c r="S53" s="8"/>
      <c r="T53" s="8"/>
      <c r="U53" s="8"/>
      <c r="V53" s="8"/>
      <c r="W53" s="8"/>
    </row>
    <row r="54" spans="1:23" ht="12.75" x14ac:dyDescent="0.2">
      <c r="A54" s="2"/>
      <c r="B54" s="2"/>
      <c r="C54" s="2"/>
      <c r="D54" s="2"/>
      <c r="E54" s="2"/>
      <c r="F54" s="2"/>
      <c r="G54" s="2"/>
      <c r="H54" s="2"/>
      <c r="I54" s="2"/>
      <c r="J54" s="2"/>
      <c r="K54" s="2"/>
      <c r="L54" s="2"/>
      <c r="M54" s="2"/>
      <c r="N54" s="2"/>
      <c r="O54" s="2"/>
      <c r="P54" s="8"/>
      <c r="Q54" s="8"/>
      <c r="R54" s="8"/>
      <c r="S54" s="8"/>
      <c r="T54" s="8"/>
      <c r="U54" s="8"/>
      <c r="V54" s="8"/>
      <c r="W54" s="8"/>
    </row>
    <row r="55" spans="1:23" ht="12.75" x14ac:dyDescent="0.2">
      <c r="A55" s="2"/>
      <c r="B55" s="2"/>
      <c r="C55" s="2"/>
      <c r="D55" s="2"/>
      <c r="E55" s="2"/>
      <c r="F55" s="2"/>
      <c r="G55" s="2"/>
      <c r="H55" s="2"/>
      <c r="I55" s="2"/>
      <c r="J55" s="2"/>
      <c r="K55" s="2"/>
      <c r="L55" s="2"/>
      <c r="M55" s="2"/>
      <c r="N55" s="2"/>
      <c r="O55" s="2"/>
      <c r="P55" s="8"/>
      <c r="Q55" s="8"/>
      <c r="R55" s="8"/>
      <c r="S55" s="8"/>
      <c r="T55" s="8"/>
      <c r="U55" s="8"/>
      <c r="V55" s="8"/>
      <c r="W55" s="8"/>
    </row>
    <row r="56" spans="1:23" ht="12.75" x14ac:dyDescent="0.2">
      <c r="A56" s="2"/>
      <c r="B56" s="2"/>
      <c r="C56" s="2"/>
      <c r="D56" s="2"/>
      <c r="E56" s="2"/>
      <c r="F56" s="2"/>
      <c r="G56" s="2"/>
      <c r="H56" s="2"/>
      <c r="I56" s="2"/>
      <c r="J56" s="2"/>
      <c r="K56" s="2"/>
      <c r="L56" s="2"/>
      <c r="M56" s="2"/>
      <c r="N56" s="2"/>
      <c r="O56" s="2"/>
      <c r="P56" s="8"/>
      <c r="Q56" s="8"/>
      <c r="R56" s="8"/>
      <c r="S56" s="8"/>
      <c r="T56" s="8"/>
      <c r="U56" s="8"/>
      <c r="V56" s="8"/>
      <c r="W56" s="8"/>
    </row>
    <row r="57" spans="1:23" ht="12.75" x14ac:dyDescent="0.2">
      <c r="A57" s="2"/>
      <c r="B57" s="2"/>
      <c r="C57" s="2"/>
      <c r="D57" s="2"/>
      <c r="E57" s="2"/>
      <c r="F57" s="2"/>
      <c r="G57" s="2"/>
      <c r="H57" s="2"/>
      <c r="I57" s="2"/>
      <c r="J57" s="2"/>
      <c r="K57" s="2"/>
      <c r="L57" s="2"/>
      <c r="M57" s="2"/>
      <c r="N57" s="2"/>
      <c r="O57" s="2"/>
      <c r="P57" s="8"/>
      <c r="Q57" s="8"/>
      <c r="R57" s="8"/>
      <c r="S57" s="8"/>
      <c r="T57" s="8"/>
      <c r="U57" s="8"/>
      <c r="V57" s="8"/>
      <c r="W57" s="8"/>
    </row>
    <row r="58" spans="1:23" ht="12.75" x14ac:dyDescent="0.2">
      <c r="A58" s="2"/>
      <c r="B58" s="2"/>
      <c r="C58" s="2"/>
      <c r="D58" s="2"/>
      <c r="E58" s="2"/>
      <c r="F58" s="2"/>
      <c r="G58" s="2"/>
      <c r="H58" s="2"/>
      <c r="I58" s="2"/>
      <c r="J58" s="2"/>
      <c r="K58" s="2"/>
      <c r="L58" s="2"/>
      <c r="M58" s="2"/>
      <c r="N58" s="2"/>
      <c r="O58" s="2"/>
      <c r="P58" s="8"/>
      <c r="Q58" s="8"/>
      <c r="R58" s="8"/>
      <c r="S58" s="8"/>
      <c r="T58" s="8"/>
      <c r="U58" s="8"/>
      <c r="V58" s="8"/>
      <c r="W58" s="8"/>
    </row>
    <row r="59" spans="1:23" ht="12.75" x14ac:dyDescent="0.2">
      <c r="A59" s="2"/>
      <c r="B59" s="2"/>
      <c r="C59" s="2"/>
      <c r="D59" s="2"/>
      <c r="E59" s="2"/>
      <c r="F59" s="2"/>
      <c r="G59" s="2"/>
      <c r="H59" s="2"/>
      <c r="I59" s="2"/>
      <c r="J59" s="2"/>
      <c r="K59" s="2"/>
      <c r="L59" s="2"/>
      <c r="M59" s="2"/>
      <c r="N59" s="2"/>
      <c r="O59" s="2"/>
      <c r="P59" s="8"/>
      <c r="Q59" s="8"/>
      <c r="R59" s="8"/>
      <c r="S59" s="8"/>
      <c r="T59" s="8"/>
      <c r="U59" s="8"/>
      <c r="V59" s="8"/>
      <c r="W59" s="8"/>
    </row>
    <row r="60" spans="1:23" ht="12.75" x14ac:dyDescent="0.2">
      <c r="A60" s="2"/>
      <c r="B60" s="2"/>
      <c r="C60" s="2"/>
      <c r="D60" s="2"/>
      <c r="E60" s="2"/>
      <c r="F60" s="2"/>
      <c r="G60" s="2"/>
      <c r="H60" s="2"/>
      <c r="I60" s="2"/>
      <c r="J60" s="2"/>
      <c r="K60" s="2"/>
      <c r="L60" s="2"/>
      <c r="M60" s="2"/>
      <c r="N60" s="2"/>
      <c r="O60" s="2"/>
      <c r="P60" s="8"/>
      <c r="Q60" s="8"/>
      <c r="R60" s="8"/>
      <c r="S60" s="8"/>
      <c r="T60" s="8"/>
      <c r="U60" s="8"/>
      <c r="V60" s="8"/>
      <c r="W60" s="8"/>
    </row>
    <row r="61" spans="1:23" ht="12.75" x14ac:dyDescent="0.2">
      <c r="A61" s="2"/>
      <c r="B61" s="2"/>
      <c r="C61" s="2"/>
      <c r="D61" s="2"/>
      <c r="E61" s="2"/>
      <c r="F61" s="2"/>
      <c r="G61" s="2"/>
      <c r="H61" s="2"/>
      <c r="I61" s="2"/>
      <c r="J61" s="2"/>
      <c r="K61" s="2"/>
      <c r="L61" s="2"/>
      <c r="M61" s="2"/>
      <c r="N61" s="2"/>
      <c r="O61" s="2"/>
      <c r="P61" s="8"/>
      <c r="Q61" s="8"/>
      <c r="R61" s="8"/>
      <c r="S61" s="8"/>
      <c r="T61" s="8"/>
      <c r="U61" s="8"/>
      <c r="V61" s="8"/>
      <c r="W61" s="8"/>
    </row>
    <row r="62" spans="1:23" ht="12.75" x14ac:dyDescent="0.2">
      <c r="A62" s="2"/>
      <c r="B62" s="2"/>
      <c r="C62" s="2"/>
      <c r="D62" s="2"/>
      <c r="E62" s="2"/>
      <c r="F62" s="2"/>
      <c r="G62" s="2"/>
      <c r="H62" s="2"/>
      <c r="I62" s="2"/>
      <c r="J62" s="2"/>
      <c r="K62" s="2"/>
      <c r="L62" s="2"/>
      <c r="M62" s="2"/>
      <c r="N62" s="2"/>
      <c r="O62" s="2"/>
      <c r="P62" s="8"/>
      <c r="Q62" s="8"/>
      <c r="R62" s="8"/>
      <c r="S62" s="8"/>
      <c r="T62" s="8"/>
      <c r="U62" s="8"/>
      <c r="V62" s="8"/>
      <c r="W62" s="8"/>
    </row>
    <row r="63" spans="1:23" ht="12.75" x14ac:dyDescent="0.2">
      <c r="A63" s="2"/>
      <c r="B63" s="2"/>
      <c r="C63" s="2"/>
      <c r="D63" s="2"/>
      <c r="E63" s="2"/>
      <c r="F63" s="2"/>
      <c r="G63" s="2"/>
      <c r="H63" s="2"/>
      <c r="I63" s="2"/>
      <c r="J63" s="2"/>
      <c r="K63" s="2"/>
      <c r="L63" s="2"/>
      <c r="M63" s="2"/>
      <c r="N63" s="2"/>
      <c r="O63" s="2"/>
      <c r="P63" s="8"/>
      <c r="Q63" s="8"/>
      <c r="R63" s="8"/>
      <c r="S63" s="8"/>
      <c r="T63" s="8"/>
      <c r="U63" s="8"/>
      <c r="V63" s="8"/>
      <c r="W63" s="8"/>
    </row>
    <row r="64" spans="1:23" ht="12.75" x14ac:dyDescent="0.2">
      <c r="A64" s="2"/>
      <c r="B64" s="2"/>
      <c r="C64" s="2"/>
      <c r="D64" s="2"/>
      <c r="E64" s="2"/>
      <c r="F64" s="2"/>
      <c r="G64" s="2"/>
      <c r="H64" s="2"/>
      <c r="I64" s="2"/>
      <c r="J64" s="2"/>
      <c r="K64" s="2"/>
      <c r="L64" s="2"/>
      <c r="M64" s="2"/>
      <c r="N64" s="2"/>
      <c r="O64" s="2"/>
      <c r="P64" s="8"/>
      <c r="Q64" s="8"/>
      <c r="R64" s="8"/>
      <c r="S64" s="8"/>
      <c r="T64" s="8"/>
      <c r="U64" s="8"/>
      <c r="V64" s="8"/>
      <c r="W64" s="8"/>
    </row>
    <row r="65" spans="1:23" ht="12.75" x14ac:dyDescent="0.2">
      <c r="A65" s="2"/>
      <c r="B65" s="2"/>
      <c r="C65" s="2"/>
      <c r="D65" s="2"/>
      <c r="E65" s="2"/>
      <c r="F65" s="2"/>
      <c r="G65" s="2"/>
      <c r="H65" s="2"/>
      <c r="I65" s="2"/>
      <c r="J65" s="2"/>
      <c r="K65" s="2"/>
      <c r="L65" s="2"/>
      <c r="M65" s="2"/>
      <c r="N65" s="2"/>
      <c r="O65" s="2"/>
      <c r="P65" s="8"/>
      <c r="Q65" s="8"/>
      <c r="R65" s="8"/>
      <c r="S65" s="8"/>
      <c r="T65" s="8"/>
      <c r="U65" s="8"/>
      <c r="V65" s="8"/>
      <c r="W65" s="8"/>
    </row>
    <row r="66" spans="1:23" ht="12.75" x14ac:dyDescent="0.2">
      <c r="A66" s="2"/>
      <c r="B66" s="2"/>
      <c r="C66" s="2"/>
      <c r="D66" s="2"/>
      <c r="E66" s="2"/>
      <c r="F66" s="2"/>
      <c r="G66" s="2"/>
      <c r="H66" s="2"/>
      <c r="I66" s="2"/>
      <c r="J66" s="2"/>
      <c r="K66" s="2"/>
      <c r="L66" s="2"/>
      <c r="M66" s="2"/>
      <c r="N66" s="2"/>
      <c r="O66" s="2"/>
      <c r="P66" s="8"/>
      <c r="Q66" s="8"/>
      <c r="R66" s="8"/>
      <c r="S66" s="8"/>
      <c r="T66" s="8"/>
      <c r="U66" s="8"/>
      <c r="V66" s="8"/>
      <c r="W66" s="8"/>
    </row>
    <row r="67" spans="1:23" ht="12.75" x14ac:dyDescent="0.2">
      <c r="A67" s="2"/>
      <c r="B67" s="2"/>
      <c r="C67" s="2"/>
      <c r="D67" s="2"/>
      <c r="E67" s="2"/>
      <c r="F67" s="2"/>
      <c r="G67" s="2"/>
      <c r="H67" s="2"/>
      <c r="I67" s="2"/>
      <c r="J67" s="2"/>
      <c r="K67" s="2"/>
      <c r="L67" s="2"/>
      <c r="M67" s="2"/>
      <c r="N67" s="2"/>
      <c r="O67" s="2"/>
      <c r="P67" s="8"/>
      <c r="Q67" s="8"/>
      <c r="R67" s="8"/>
      <c r="S67" s="8"/>
      <c r="T67" s="8"/>
      <c r="U67" s="8"/>
      <c r="V67" s="8"/>
      <c r="W67" s="8"/>
    </row>
    <row r="68" spans="1:23" ht="12.75" x14ac:dyDescent="0.2">
      <c r="A68" s="2"/>
      <c r="B68" s="2"/>
      <c r="C68" s="2"/>
      <c r="D68" s="2"/>
      <c r="E68" s="2"/>
      <c r="F68" s="2"/>
      <c r="G68" s="2"/>
      <c r="H68" s="2"/>
      <c r="I68" s="2"/>
      <c r="J68" s="2"/>
      <c r="K68" s="2"/>
      <c r="L68" s="2"/>
      <c r="M68" s="2"/>
      <c r="N68" s="2"/>
      <c r="O68" s="2"/>
      <c r="P68" s="8"/>
      <c r="Q68" s="8"/>
      <c r="R68" s="8"/>
      <c r="S68" s="8"/>
      <c r="T68" s="8"/>
      <c r="U68" s="8"/>
      <c r="V68" s="8"/>
      <c r="W68" s="8"/>
    </row>
    <row r="69" spans="1:23" ht="12.75" x14ac:dyDescent="0.2">
      <c r="A69" s="2"/>
      <c r="B69" s="2"/>
      <c r="C69" s="2"/>
      <c r="D69" s="2"/>
      <c r="E69" s="2"/>
      <c r="F69" s="2"/>
      <c r="G69" s="2"/>
      <c r="H69" s="2"/>
      <c r="I69" s="2"/>
      <c r="J69" s="2"/>
      <c r="K69" s="2"/>
      <c r="L69" s="2"/>
      <c r="M69" s="2"/>
      <c r="N69" s="2"/>
      <c r="O69" s="2"/>
      <c r="P69" s="8"/>
      <c r="Q69" s="8"/>
      <c r="R69" s="8"/>
      <c r="S69" s="8"/>
      <c r="T69" s="8"/>
      <c r="U69" s="8"/>
      <c r="V69" s="8"/>
      <c r="W69" s="8"/>
    </row>
    <row r="70" spans="1:23" ht="12.75" x14ac:dyDescent="0.2">
      <c r="A70" s="2"/>
      <c r="B70" s="2"/>
      <c r="C70" s="2"/>
      <c r="D70" s="2"/>
      <c r="E70" s="2"/>
      <c r="F70" s="2"/>
      <c r="G70" s="2"/>
      <c r="H70" s="2"/>
      <c r="I70" s="2"/>
      <c r="J70" s="2"/>
      <c r="K70" s="2"/>
      <c r="L70" s="2"/>
      <c r="M70" s="2"/>
      <c r="N70" s="2"/>
      <c r="O70" s="2"/>
      <c r="P70" s="8"/>
      <c r="Q70" s="8"/>
      <c r="R70" s="8"/>
      <c r="S70" s="8"/>
      <c r="T70" s="8"/>
      <c r="U70" s="8"/>
      <c r="V70" s="8"/>
      <c r="W70" s="8"/>
    </row>
    <row r="71" spans="1:23" ht="12.75" x14ac:dyDescent="0.2">
      <c r="A71" s="2"/>
      <c r="B71" s="2"/>
      <c r="C71" s="2"/>
      <c r="D71" s="2"/>
      <c r="E71" s="2"/>
      <c r="F71" s="2"/>
      <c r="G71" s="2"/>
      <c r="H71" s="2"/>
      <c r="I71" s="2"/>
      <c r="J71" s="2"/>
      <c r="K71" s="2"/>
      <c r="L71" s="2"/>
      <c r="M71" s="2"/>
      <c r="N71" s="2"/>
      <c r="O71" s="2"/>
      <c r="P71" s="8"/>
      <c r="Q71" s="8"/>
      <c r="R71" s="8"/>
      <c r="S71" s="8"/>
      <c r="T71" s="8"/>
      <c r="U71" s="8"/>
      <c r="V71" s="8"/>
      <c r="W71" s="8"/>
    </row>
    <row r="72" spans="1:23" ht="12.75" x14ac:dyDescent="0.2">
      <c r="A72" s="2"/>
      <c r="B72" s="2"/>
      <c r="C72" s="2"/>
      <c r="D72" s="2"/>
      <c r="E72" s="2"/>
      <c r="F72" s="2"/>
      <c r="G72" s="2"/>
      <c r="H72" s="2"/>
      <c r="I72" s="2"/>
      <c r="J72" s="2"/>
      <c r="K72" s="2"/>
      <c r="L72" s="2"/>
      <c r="M72" s="2"/>
      <c r="N72" s="2"/>
      <c r="O72" s="2"/>
      <c r="P72" s="8"/>
      <c r="Q72" s="8"/>
      <c r="R72" s="8"/>
      <c r="S72" s="8"/>
      <c r="T72" s="8"/>
      <c r="U72" s="8"/>
      <c r="V72" s="8"/>
      <c r="W72" s="8"/>
    </row>
    <row r="73" spans="1:23" ht="12.75" x14ac:dyDescent="0.2">
      <c r="A73" s="2"/>
      <c r="B73" s="2"/>
      <c r="C73" s="2"/>
      <c r="D73" s="2"/>
      <c r="E73" s="2"/>
      <c r="F73" s="2"/>
      <c r="G73" s="2"/>
      <c r="H73" s="2"/>
      <c r="I73" s="2"/>
      <c r="J73" s="2"/>
      <c r="K73" s="2"/>
      <c r="L73" s="2"/>
      <c r="M73" s="2"/>
      <c r="N73" s="2"/>
      <c r="O73" s="2"/>
      <c r="P73" s="8"/>
      <c r="Q73" s="8"/>
      <c r="R73" s="8"/>
      <c r="S73" s="8"/>
      <c r="T73" s="8"/>
      <c r="U73" s="8"/>
      <c r="V73" s="8"/>
      <c r="W73" s="8"/>
    </row>
    <row r="74" spans="1:23" ht="12.75" x14ac:dyDescent="0.2">
      <c r="A74" s="2"/>
      <c r="B74" s="2"/>
      <c r="C74" s="2"/>
      <c r="D74" s="2"/>
      <c r="E74" s="2"/>
      <c r="F74" s="2"/>
      <c r="G74" s="2"/>
      <c r="H74" s="2"/>
      <c r="I74" s="2"/>
      <c r="J74" s="2"/>
      <c r="K74" s="2"/>
      <c r="L74" s="2"/>
      <c r="M74" s="2"/>
      <c r="N74" s="2"/>
      <c r="O74" s="2"/>
      <c r="P74" s="8"/>
      <c r="Q74" s="8"/>
      <c r="R74" s="8"/>
      <c r="S74" s="8"/>
      <c r="T74" s="8"/>
      <c r="U74" s="8"/>
      <c r="V74" s="8"/>
      <c r="W74" s="8"/>
    </row>
    <row r="75" spans="1:23" ht="12.75" x14ac:dyDescent="0.2">
      <c r="A75" s="2"/>
      <c r="B75" s="2"/>
      <c r="C75" s="2"/>
      <c r="D75" s="2"/>
      <c r="E75" s="2"/>
      <c r="F75" s="2"/>
      <c r="G75" s="2"/>
      <c r="H75" s="2"/>
      <c r="I75" s="2"/>
      <c r="J75" s="2"/>
      <c r="K75" s="2"/>
      <c r="L75" s="2"/>
      <c r="M75" s="2"/>
      <c r="N75" s="2"/>
      <c r="O75" s="2"/>
      <c r="P75" s="8"/>
      <c r="Q75" s="8"/>
      <c r="R75" s="8"/>
      <c r="S75" s="8"/>
      <c r="T75" s="8"/>
      <c r="U75" s="8"/>
      <c r="V75" s="8"/>
      <c r="W75" s="8"/>
    </row>
    <row r="76" spans="1:23" ht="12.75" x14ac:dyDescent="0.2">
      <c r="A76" s="2"/>
      <c r="B76" s="2"/>
      <c r="C76" s="2"/>
      <c r="D76" s="2"/>
      <c r="E76" s="2"/>
      <c r="F76" s="2"/>
      <c r="G76" s="2"/>
      <c r="H76" s="2"/>
      <c r="I76" s="2"/>
      <c r="J76" s="2"/>
      <c r="K76" s="2"/>
      <c r="L76" s="2"/>
      <c r="M76" s="2"/>
      <c r="N76" s="2"/>
      <c r="O76" s="2"/>
      <c r="P76" s="8"/>
      <c r="Q76" s="8"/>
      <c r="R76" s="8"/>
      <c r="S76" s="8"/>
      <c r="T76" s="8"/>
      <c r="U76" s="8"/>
      <c r="V76" s="8"/>
      <c r="W76" s="8"/>
    </row>
    <row r="77" spans="1:23" ht="12.75" x14ac:dyDescent="0.2">
      <c r="A77" s="2"/>
      <c r="B77" s="2"/>
      <c r="C77" s="2"/>
      <c r="D77" s="2"/>
      <c r="E77" s="2"/>
      <c r="F77" s="2"/>
      <c r="G77" s="2"/>
      <c r="H77" s="2"/>
      <c r="I77" s="2"/>
      <c r="J77" s="2"/>
      <c r="K77" s="2"/>
      <c r="L77" s="2"/>
      <c r="M77" s="2"/>
      <c r="N77" s="2"/>
      <c r="O77" s="2"/>
      <c r="P77" s="8"/>
      <c r="Q77" s="8"/>
      <c r="R77" s="8"/>
      <c r="S77" s="8"/>
      <c r="T77" s="8"/>
      <c r="U77" s="8"/>
      <c r="V77" s="8"/>
      <c r="W77" s="8"/>
    </row>
    <row r="78" spans="1:23" ht="12.75" x14ac:dyDescent="0.2">
      <c r="A78" s="2"/>
      <c r="B78" s="2"/>
      <c r="C78" s="2"/>
      <c r="D78" s="2"/>
      <c r="E78" s="2"/>
      <c r="F78" s="2"/>
      <c r="G78" s="2"/>
      <c r="H78" s="2"/>
      <c r="I78" s="2"/>
      <c r="J78" s="2"/>
      <c r="K78" s="2"/>
      <c r="L78" s="2"/>
      <c r="M78" s="2"/>
      <c r="N78" s="2"/>
      <c r="O78" s="2"/>
      <c r="P78" s="8"/>
      <c r="Q78" s="8"/>
      <c r="R78" s="8"/>
      <c r="S78" s="8"/>
      <c r="T78" s="8"/>
      <c r="U78" s="8"/>
      <c r="V78" s="8"/>
      <c r="W78" s="8"/>
    </row>
    <row r="79" spans="1:23" ht="12.75" x14ac:dyDescent="0.2">
      <c r="A79" s="2"/>
      <c r="B79" s="2"/>
      <c r="C79" s="2"/>
      <c r="D79" s="2"/>
      <c r="E79" s="2"/>
      <c r="F79" s="2"/>
      <c r="G79" s="2"/>
      <c r="H79" s="2"/>
      <c r="I79" s="2"/>
      <c r="J79" s="2"/>
      <c r="K79" s="2"/>
      <c r="L79" s="2"/>
      <c r="M79" s="2"/>
      <c r="N79" s="2"/>
      <c r="O79" s="2"/>
      <c r="P79" s="8"/>
      <c r="Q79" s="8"/>
      <c r="R79" s="8"/>
      <c r="S79" s="8"/>
      <c r="T79" s="8"/>
      <c r="U79" s="8"/>
      <c r="V79" s="8"/>
      <c r="W79" s="8"/>
    </row>
    <row r="80" spans="1:23" ht="12.75" x14ac:dyDescent="0.2">
      <c r="A80" s="2"/>
      <c r="B80" s="2"/>
      <c r="C80" s="2"/>
      <c r="D80" s="2"/>
      <c r="E80" s="2"/>
      <c r="F80" s="2"/>
      <c r="G80" s="2"/>
      <c r="H80" s="2"/>
      <c r="I80" s="2"/>
      <c r="J80" s="2"/>
      <c r="K80" s="2"/>
      <c r="L80" s="2"/>
      <c r="M80" s="2"/>
      <c r="N80" s="2"/>
      <c r="O80" s="2"/>
      <c r="P80" s="8"/>
      <c r="Q80" s="8"/>
      <c r="R80" s="8"/>
      <c r="S80" s="8"/>
      <c r="T80" s="8"/>
      <c r="U80" s="8"/>
      <c r="V80" s="8"/>
      <c r="W80" s="8"/>
    </row>
    <row r="81" spans="1:23" ht="12.75" x14ac:dyDescent="0.2">
      <c r="A81" s="2"/>
      <c r="B81" s="2"/>
      <c r="C81" s="2"/>
      <c r="D81" s="2"/>
      <c r="E81" s="2"/>
      <c r="F81" s="2"/>
      <c r="G81" s="2"/>
      <c r="H81" s="2"/>
      <c r="I81" s="2"/>
      <c r="J81" s="2"/>
      <c r="K81" s="2"/>
      <c r="L81" s="2"/>
      <c r="M81" s="2"/>
      <c r="N81" s="2"/>
      <c r="O81" s="2"/>
      <c r="P81" s="8"/>
      <c r="Q81" s="8"/>
      <c r="R81" s="8"/>
      <c r="S81" s="8"/>
      <c r="T81" s="8"/>
      <c r="U81" s="8"/>
      <c r="V81" s="8"/>
      <c r="W81" s="8"/>
    </row>
    <row r="82" spans="1:23" ht="12.75" x14ac:dyDescent="0.2">
      <c r="A82" s="2"/>
      <c r="B82" s="2"/>
      <c r="C82" s="2"/>
      <c r="D82" s="2"/>
      <c r="E82" s="2"/>
      <c r="F82" s="2"/>
      <c r="G82" s="2"/>
      <c r="H82" s="2"/>
      <c r="I82" s="2"/>
      <c r="J82" s="2"/>
      <c r="K82" s="2"/>
      <c r="L82" s="2"/>
      <c r="M82" s="2"/>
      <c r="N82" s="2"/>
      <c r="O82" s="2"/>
      <c r="P82" s="8"/>
      <c r="Q82" s="8"/>
      <c r="R82" s="8"/>
      <c r="S82" s="8"/>
      <c r="T82" s="8"/>
      <c r="U82" s="8"/>
      <c r="V82" s="8"/>
      <c r="W82" s="8"/>
    </row>
    <row r="83" spans="1:23" ht="12.75" x14ac:dyDescent="0.2">
      <c r="A83" s="2"/>
      <c r="B83" s="2"/>
      <c r="C83" s="2"/>
      <c r="D83" s="2"/>
      <c r="E83" s="2"/>
      <c r="F83" s="2"/>
      <c r="G83" s="2"/>
      <c r="H83" s="2"/>
      <c r="I83" s="2"/>
      <c r="J83" s="2"/>
      <c r="K83" s="2"/>
      <c r="L83" s="2"/>
      <c r="M83" s="2"/>
      <c r="N83" s="2"/>
      <c r="O83" s="2"/>
      <c r="P83" s="8"/>
      <c r="Q83" s="8"/>
      <c r="R83" s="8"/>
      <c r="S83" s="8"/>
      <c r="T83" s="8"/>
      <c r="U83" s="8"/>
      <c r="V83" s="8"/>
      <c r="W83" s="8"/>
    </row>
    <row r="84" spans="1:23" ht="12.75" x14ac:dyDescent="0.2">
      <c r="A84" s="2"/>
      <c r="B84" s="2"/>
      <c r="C84" s="2"/>
      <c r="D84" s="2"/>
      <c r="E84" s="2"/>
      <c r="F84" s="2"/>
      <c r="G84" s="2"/>
      <c r="H84" s="2"/>
      <c r="I84" s="2"/>
      <c r="J84" s="2"/>
      <c r="K84" s="2"/>
      <c r="L84" s="2"/>
      <c r="M84" s="2"/>
      <c r="N84" s="2"/>
      <c r="O84" s="2"/>
      <c r="P84" s="8"/>
      <c r="Q84" s="8"/>
      <c r="R84" s="8"/>
      <c r="S84" s="8"/>
      <c r="T84" s="8"/>
      <c r="U84" s="8"/>
      <c r="V84" s="8"/>
      <c r="W84" s="8"/>
    </row>
    <row r="85" spans="1:23" ht="12.75" x14ac:dyDescent="0.2">
      <c r="A85" s="2"/>
      <c r="B85" s="2"/>
      <c r="C85" s="2"/>
      <c r="D85" s="2"/>
      <c r="E85" s="2"/>
      <c r="F85" s="2"/>
      <c r="G85" s="2"/>
      <c r="H85" s="2"/>
      <c r="I85" s="2"/>
      <c r="J85" s="2"/>
      <c r="K85" s="2"/>
      <c r="L85" s="2"/>
      <c r="M85" s="2"/>
      <c r="N85" s="2"/>
      <c r="O85" s="2"/>
      <c r="P85" s="8"/>
      <c r="Q85" s="8"/>
      <c r="R85" s="8"/>
      <c r="S85" s="8"/>
      <c r="T85" s="8"/>
      <c r="U85" s="8"/>
      <c r="V85" s="8"/>
      <c r="W85" s="8"/>
    </row>
    <row r="86" spans="1:23" ht="12.75" x14ac:dyDescent="0.2">
      <c r="A86" s="2"/>
      <c r="B86" s="2"/>
      <c r="C86" s="2"/>
      <c r="D86" s="2"/>
      <c r="E86" s="2"/>
      <c r="F86" s="2"/>
      <c r="G86" s="2"/>
      <c r="H86" s="2"/>
      <c r="I86" s="2"/>
      <c r="J86" s="2"/>
      <c r="K86" s="2"/>
      <c r="L86" s="2"/>
      <c r="M86" s="2"/>
      <c r="N86" s="2"/>
      <c r="O86" s="2"/>
      <c r="P86" s="8"/>
      <c r="Q86" s="8"/>
      <c r="R86" s="8"/>
      <c r="S86" s="8"/>
      <c r="T86" s="8"/>
      <c r="U86" s="8"/>
      <c r="V86" s="8"/>
      <c r="W86" s="8"/>
    </row>
    <row r="87" spans="1:23" ht="12.75" x14ac:dyDescent="0.2">
      <c r="A87" s="2"/>
      <c r="B87" s="2"/>
      <c r="C87" s="2"/>
      <c r="D87" s="2"/>
      <c r="E87" s="2"/>
      <c r="F87" s="2"/>
      <c r="G87" s="2"/>
      <c r="H87" s="2"/>
      <c r="I87" s="2"/>
      <c r="J87" s="2"/>
      <c r="K87" s="2"/>
      <c r="L87" s="2"/>
      <c r="M87" s="2"/>
      <c r="N87" s="2"/>
      <c r="O87" s="2"/>
      <c r="P87" s="8"/>
      <c r="Q87" s="8"/>
      <c r="R87" s="8"/>
      <c r="S87" s="8"/>
      <c r="T87" s="8"/>
      <c r="U87" s="8"/>
      <c r="V87" s="8"/>
      <c r="W87" s="8"/>
    </row>
    <row r="88" spans="1:23" ht="12.75" x14ac:dyDescent="0.2">
      <c r="A88" s="2"/>
      <c r="B88" s="2"/>
      <c r="C88" s="2"/>
      <c r="D88" s="2"/>
      <c r="E88" s="2"/>
      <c r="F88" s="2"/>
      <c r="G88" s="2"/>
      <c r="H88" s="2"/>
      <c r="I88" s="2"/>
      <c r="J88" s="2"/>
      <c r="K88" s="2"/>
      <c r="L88" s="2"/>
      <c r="M88" s="2"/>
      <c r="N88" s="2"/>
      <c r="O88" s="2"/>
      <c r="P88" s="8"/>
      <c r="Q88" s="8"/>
      <c r="R88" s="8"/>
      <c r="S88" s="8"/>
      <c r="T88" s="8"/>
      <c r="U88" s="8"/>
      <c r="V88" s="8"/>
      <c r="W88" s="8"/>
    </row>
    <row r="89" spans="1:23" ht="12.75" x14ac:dyDescent="0.2">
      <c r="A89" s="2"/>
      <c r="B89" s="2"/>
      <c r="C89" s="2"/>
      <c r="D89" s="2"/>
      <c r="E89" s="2"/>
      <c r="F89" s="2"/>
      <c r="G89" s="2"/>
      <c r="H89" s="2"/>
      <c r="I89" s="2"/>
      <c r="J89" s="2"/>
      <c r="K89" s="2"/>
      <c r="L89" s="2"/>
      <c r="M89" s="2"/>
      <c r="N89" s="2"/>
      <c r="O89" s="2"/>
      <c r="P89" s="8"/>
      <c r="Q89" s="8"/>
      <c r="R89" s="8"/>
      <c r="S89" s="8"/>
      <c r="T89" s="8"/>
      <c r="U89" s="8"/>
      <c r="V89" s="8"/>
      <c r="W89" s="8"/>
    </row>
    <row r="90" spans="1:23" ht="12.75" x14ac:dyDescent="0.2">
      <c r="A90" s="2"/>
      <c r="B90" s="2"/>
      <c r="C90" s="2"/>
      <c r="D90" s="2"/>
      <c r="E90" s="2"/>
      <c r="F90" s="2"/>
      <c r="G90" s="2"/>
      <c r="H90" s="2"/>
      <c r="I90" s="2"/>
      <c r="J90" s="2"/>
      <c r="K90" s="2"/>
      <c r="L90" s="2"/>
      <c r="M90" s="2"/>
      <c r="N90" s="2"/>
      <c r="O90" s="2"/>
      <c r="P90" s="8"/>
      <c r="Q90" s="8"/>
      <c r="R90" s="8"/>
      <c r="S90" s="8"/>
      <c r="T90" s="8"/>
      <c r="U90" s="8"/>
      <c r="V90" s="8"/>
      <c r="W90" s="8"/>
    </row>
    <row r="91" spans="1:23" ht="12.75" x14ac:dyDescent="0.2">
      <c r="A91" s="2"/>
      <c r="B91" s="2"/>
      <c r="C91" s="2"/>
      <c r="D91" s="2"/>
      <c r="E91" s="2"/>
      <c r="F91" s="2"/>
      <c r="G91" s="2"/>
      <c r="H91" s="2"/>
      <c r="I91" s="2"/>
      <c r="J91" s="2"/>
      <c r="K91" s="2"/>
      <c r="L91" s="2"/>
      <c r="M91" s="2"/>
      <c r="N91" s="2"/>
      <c r="O91" s="2"/>
      <c r="P91" s="8"/>
      <c r="Q91" s="8"/>
      <c r="R91" s="8"/>
      <c r="S91" s="8"/>
      <c r="T91" s="8"/>
      <c r="U91" s="8"/>
      <c r="V91" s="8"/>
      <c r="W91" s="8"/>
    </row>
    <row r="92" spans="1:23" ht="12.75" x14ac:dyDescent="0.2">
      <c r="A92" s="2"/>
      <c r="B92" s="2"/>
      <c r="C92" s="2"/>
      <c r="D92" s="2"/>
      <c r="E92" s="2"/>
      <c r="F92" s="2"/>
      <c r="G92" s="2"/>
      <c r="H92" s="2"/>
      <c r="I92" s="2"/>
      <c r="J92" s="2"/>
      <c r="K92" s="2"/>
      <c r="L92" s="2"/>
      <c r="M92" s="2"/>
      <c r="N92" s="2"/>
      <c r="O92" s="2"/>
      <c r="P92" s="8"/>
      <c r="Q92" s="8"/>
      <c r="R92" s="8"/>
      <c r="S92" s="8"/>
      <c r="T92" s="8"/>
      <c r="U92" s="8"/>
      <c r="V92" s="8"/>
      <c r="W92" s="8"/>
    </row>
    <row r="93" spans="1:23" ht="12.75" x14ac:dyDescent="0.2">
      <c r="A93" s="2"/>
      <c r="B93" s="2"/>
      <c r="C93" s="2"/>
      <c r="D93" s="2"/>
      <c r="E93" s="2"/>
      <c r="F93" s="2"/>
      <c r="G93" s="2"/>
      <c r="H93" s="2"/>
      <c r="I93" s="2"/>
      <c r="J93" s="2"/>
      <c r="K93" s="2"/>
      <c r="L93" s="2"/>
      <c r="M93" s="2"/>
      <c r="N93" s="2"/>
      <c r="O93" s="2"/>
      <c r="P93" s="8"/>
      <c r="Q93" s="8"/>
      <c r="R93" s="8"/>
      <c r="S93" s="8"/>
      <c r="T93" s="8"/>
      <c r="U93" s="8"/>
      <c r="V93" s="8"/>
      <c r="W93" s="8"/>
    </row>
    <row r="94" spans="1:23" ht="12.75" x14ac:dyDescent="0.2">
      <c r="A94" s="2"/>
      <c r="B94" s="2"/>
      <c r="C94" s="2"/>
      <c r="D94" s="2"/>
      <c r="E94" s="2"/>
      <c r="F94" s="2"/>
      <c r="G94" s="2"/>
      <c r="H94" s="2"/>
      <c r="I94" s="2"/>
      <c r="J94" s="2"/>
      <c r="K94" s="2"/>
      <c r="L94" s="2"/>
      <c r="M94" s="2"/>
      <c r="N94" s="2"/>
      <c r="O94" s="2"/>
      <c r="P94" s="8"/>
      <c r="Q94" s="8"/>
      <c r="R94" s="8"/>
      <c r="S94" s="8"/>
      <c r="T94" s="8"/>
      <c r="U94" s="8"/>
      <c r="V94" s="8"/>
      <c r="W94" s="8"/>
    </row>
    <row r="95" spans="1:23" ht="12.75" x14ac:dyDescent="0.2">
      <c r="A95" s="2"/>
      <c r="B95" s="2"/>
      <c r="C95" s="2"/>
      <c r="D95" s="2"/>
      <c r="E95" s="2"/>
      <c r="F95" s="2"/>
      <c r="G95" s="2"/>
      <c r="H95" s="2"/>
      <c r="I95" s="2"/>
      <c r="J95" s="2"/>
      <c r="K95" s="2"/>
      <c r="L95" s="2"/>
      <c r="M95" s="2"/>
      <c r="N95" s="2"/>
      <c r="O95" s="2"/>
      <c r="P95" s="8"/>
      <c r="Q95" s="8"/>
      <c r="R95" s="8"/>
      <c r="S95" s="8"/>
      <c r="T95" s="8"/>
      <c r="U95" s="8"/>
      <c r="V95" s="8"/>
      <c r="W95" s="8"/>
    </row>
    <row r="96" spans="1:23" ht="12.75" x14ac:dyDescent="0.2">
      <c r="A96" s="2"/>
      <c r="B96" s="2"/>
      <c r="C96" s="2"/>
      <c r="D96" s="2"/>
      <c r="E96" s="2"/>
      <c r="F96" s="2"/>
      <c r="G96" s="2"/>
      <c r="H96" s="2"/>
      <c r="I96" s="2"/>
      <c r="J96" s="2"/>
      <c r="K96" s="2"/>
      <c r="L96" s="2"/>
      <c r="M96" s="2"/>
      <c r="N96" s="2"/>
      <c r="O96" s="2"/>
      <c r="P96" s="8"/>
      <c r="Q96" s="8"/>
      <c r="R96" s="8"/>
      <c r="S96" s="8"/>
      <c r="T96" s="8"/>
      <c r="U96" s="8"/>
      <c r="V96" s="8"/>
      <c r="W96" s="8"/>
    </row>
    <row r="97" spans="1:23" ht="12.75" x14ac:dyDescent="0.2">
      <c r="A97" s="2"/>
      <c r="B97" s="2"/>
      <c r="C97" s="2"/>
      <c r="D97" s="2"/>
      <c r="E97" s="2"/>
      <c r="F97" s="2"/>
      <c r="G97" s="2"/>
      <c r="H97" s="2"/>
      <c r="I97" s="2"/>
      <c r="J97" s="2"/>
      <c r="K97" s="2"/>
      <c r="L97" s="2"/>
      <c r="M97" s="2"/>
      <c r="N97" s="2"/>
      <c r="O97" s="2"/>
      <c r="P97" s="8"/>
      <c r="Q97" s="8"/>
      <c r="R97" s="8"/>
      <c r="S97" s="8"/>
      <c r="T97" s="8"/>
      <c r="U97" s="8"/>
      <c r="V97" s="8"/>
      <c r="W97" s="8"/>
    </row>
    <row r="98" spans="1:23" ht="12.75" x14ac:dyDescent="0.2">
      <c r="A98" s="2"/>
      <c r="B98" s="2"/>
      <c r="C98" s="2"/>
      <c r="D98" s="2"/>
      <c r="E98" s="2"/>
      <c r="F98" s="2"/>
      <c r="G98" s="2"/>
      <c r="H98" s="2"/>
      <c r="I98" s="2"/>
      <c r="J98" s="2"/>
      <c r="K98" s="2"/>
      <c r="L98" s="2"/>
      <c r="M98" s="2"/>
      <c r="N98" s="2"/>
      <c r="O98" s="2"/>
      <c r="P98" s="8"/>
      <c r="Q98" s="8"/>
      <c r="R98" s="8"/>
      <c r="S98" s="8"/>
      <c r="T98" s="8"/>
      <c r="U98" s="8"/>
      <c r="V98" s="8"/>
      <c r="W98" s="8"/>
    </row>
    <row r="99" spans="1:23" ht="12.75" x14ac:dyDescent="0.2">
      <c r="A99" s="2"/>
      <c r="B99" s="2"/>
      <c r="C99" s="2"/>
      <c r="D99" s="2"/>
      <c r="E99" s="2"/>
      <c r="F99" s="2"/>
      <c r="G99" s="2"/>
      <c r="H99" s="2"/>
      <c r="I99" s="2"/>
      <c r="J99" s="2"/>
      <c r="K99" s="2"/>
      <c r="L99" s="2"/>
      <c r="M99" s="2"/>
      <c r="N99" s="2"/>
      <c r="O99" s="2"/>
      <c r="P99" s="8"/>
      <c r="Q99" s="8"/>
      <c r="R99" s="8"/>
      <c r="S99" s="8"/>
      <c r="T99" s="8"/>
      <c r="U99" s="8"/>
      <c r="V99" s="8"/>
      <c r="W99" s="8"/>
    </row>
    <row r="100" spans="1:23" ht="12.75" x14ac:dyDescent="0.2">
      <c r="A100" s="2"/>
      <c r="B100" s="2"/>
      <c r="C100" s="2"/>
      <c r="D100" s="2"/>
      <c r="E100" s="2"/>
      <c r="F100" s="2"/>
      <c r="G100" s="2"/>
      <c r="H100" s="2"/>
      <c r="I100" s="2"/>
      <c r="J100" s="2"/>
      <c r="K100" s="2"/>
      <c r="L100" s="2"/>
      <c r="M100" s="2"/>
      <c r="N100" s="2"/>
      <c r="O100" s="2"/>
      <c r="P100" s="8"/>
      <c r="Q100" s="8"/>
      <c r="R100" s="8"/>
      <c r="S100" s="8"/>
      <c r="T100" s="8"/>
      <c r="U100" s="8"/>
      <c r="V100" s="8"/>
      <c r="W100" s="8"/>
    </row>
    <row r="101" spans="1:23" ht="12.75" x14ac:dyDescent="0.2">
      <c r="A101" s="2"/>
      <c r="B101" s="2"/>
      <c r="C101" s="2"/>
      <c r="D101" s="2"/>
      <c r="E101" s="2"/>
      <c r="F101" s="2"/>
      <c r="G101" s="2"/>
      <c r="H101" s="2"/>
      <c r="I101" s="2"/>
      <c r="J101" s="2"/>
      <c r="K101" s="2"/>
      <c r="L101" s="2"/>
      <c r="M101" s="2"/>
      <c r="N101" s="2"/>
      <c r="O101" s="2"/>
      <c r="P101" s="8"/>
      <c r="Q101" s="8"/>
      <c r="R101" s="8"/>
      <c r="S101" s="8"/>
      <c r="T101" s="8"/>
      <c r="U101" s="8"/>
      <c r="V101" s="8"/>
      <c r="W101" s="8"/>
    </row>
    <row r="102" spans="1:23" ht="12.75" x14ac:dyDescent="0.2">
      <c r="A102" s="2"/>
      <c r="B102" s="2"/>
      <c r="C102" s="2"/>
      <c r="D102" s="2"/>
      <c r="E102" s="2"/>
      <c r="F102" s="2"/>
      <c r="G102" s="2"/>
      <c r="H102" s="2"/>
      <c r="I102" s="2"/>
      <c r="J102" s="2"/>
      <c r="K102" s="2"/>
      <c r="L102" s="2"/>
      <c r="M102" s="2"/>
      <c r="N102" s="2"/>
      <c r="O102" s="2"/>
      <c r="P102" s="8"/>
      <c r="Q102" s="8"/>
      <c r="R102" s="8"/>
      <c r="S102" s="8"/>
      <c r="T102" s="8"/>
      <c r="U102" s="8"/>
      <c r="V102" s="8"/>
      <c r="W102" s="8"/>
    </row>
    <row r="103" spans="1:23" ht="12.75" x14ac:dyDescent="0.2">
      <c r="A103" s="2"/>
      <c r="B103" s="2"/>
      <c r="C103" s="2"/>
      <c r="D103" s="2"/>
      <c r="E103" s="2"/>
      <c r="F103" s="2"/>
      <c r="G103" s="2"/>
      <c r="H103" s="2"/>
      <c r="I103" s="2"/>
      <c r="J103" s="2"/>
      <c r="K103" s="2"/>
      <c r="L103" s="2"/>
      <c r="M103" s="2"/>
      <c r="N103" s="2"/>
      <c r="O103" s="2"/>
      <c r="P103" s="8"/>
      <c r="Q103" s="8"/>
      <c r="R103" s="8"/>
      <c r="S103" s="8"/>
      <c r="T103" s="8"/>
      <c r="U103" s="8"/>
      <c r="V103" s="8"/>
      <c r="W103" s="8"/>
    </row>
    <row r="104" spans="1:23" ht="12.75" x14ac:dyDescent="0.2">
      <c r="A104" s="2"/>
      <c r="B104" s="2"/>
      <c r="C104" s="2"/>
      <c r="D104" s="2"/>
      <c r="E104" s="2"/>
      <c r="F104" s="2"/>
      <c r="G104" s="2"/>
      <c r="H104" s="2"/>
      <c r="I104" s="2"/>
      <c r="J104" s="2"/>
      <c r="K104" s="2"/>
      <c r="L104" s="2"/>
      <c r="M104" s="2"/>
      <c r="N104" s="2"/>
      <c r="O104" s="2"/>
      <c r="P104" s="8"/>
      <c r="Q104" s="8"/>
      <c r="R104" s="8"/>
      <c r="S104" s="8"/>
      <c r="T104" s="8"/>
      <c r="U104" s="8"/>
      <c r="V104" s="8"/>
      <c r="W104" s="8"/>
    </row>
    <row r="105" spans="1:23" ht="12.75" x14ac:dyDescent="0.2">
      <c r="A105" s="2"/>
      <c r="B105" s="2"/>
      <c r="C105" s="2"/>
      <c r="D105" s="2"/>
      <c r="E105" s="2"/>
      <c r="F105" s="2"/>
      <c r="G105" s="2"/>
      <c r="H105" s="2"/>
      <c r="I105" s="2"/>
      <c r="J105" s="2"/>
      <c r="K105" s="2"/>
      <c r="L105" s="2"/>
      <c r="M105" s="2"/>
      <c r="N105" s="2"/>
      <c r="O105" s="2"/>
      <c r="P105" s="8"/>
      <c r="Q105" s="8"/>
      <c r="R105" s="8"/>
      <c r="S105" s="8"/>
      <c r="T105" s="8"/>
      <c r="U105" s="8"/>
      <c r="V105" s="8"/>
      <c r="W105" s="8"/>
    </row>
    <row r="106" spans="1:23" ht="12.75" x14ac:dyDescent="0.2">
      <c r="A106" s="2"/>
      <c r="B106" s="2"/>
      <c r="C106" s="2"/>
      <c r="D106" s="2"/>
      <c r="E106" s="2"/>
      <c r="F106" s="2"/>
      <c r="G106" s="2"/>
      <c r="H106" s="2"/>
      <c r="I106" s="2"/>
      <c r="J106" s="2"/>
      <c r="K106" s="2"/>
      <c r="L106" s="2"/>
      <c r="M106" s="2"/>
      <c r="N106" s="2"/>
      <c r="O106" s="2"/>
      <c r="P106" s="8"/>
      <c r="Q106" s="8"/>
      <c r="R106" s="8"/>
      <c r="S106" s="8"/>
      <c r="T106" s="8"/>
      <c r="U106" s="8"/>
      <c r="V106" s="8"/>
      <c r="W106" s="8"/>
    </row>
    <row r="107" spans="1:23" ht="12.75" x14ac:dyDescent="0.2">
      <c r="A107" s="2"/>
      <c r="B107" s="2"/>
      <c r="C107" s="2"/>
      <c r="D107" s="2"/>
      <c r="E107" s="2"/>
      <c r="F107" s="2"/>
      <c r="G107" s="2"/>
      <c r="H107" s="2"/>
      <c r="I107" s="2"/>
      <c r="J107" s="2"/>
      <c r="K107" s="2"/>
      <c r="L107" s="2"/>
      <c r="M107" s="2"/>
      <c r="N107" s="2"/>
      <c r="O107" s="2"/>
      <c r="P107" s="8"/>
      <c r="Q107" s="8"/>
      <c r="R107" s="8"/>
      <c r="S107" s="8"/>
      <c r="T107" s="8"/>
      <c r="U107" s="8"/>
      <c r="V107" s="8"/>
      <c r="W107" s="8"/>
    </row>
    <row r="108" spans="1:23" ht="12.75" x14ac:dyDescent="0.2">
      <c r="A108" s="2"/>
      <c r="B108" s="2"/>
      <c r="C108" s="2"/>
      <c r="D108" s="2"/>
      <c r="E108" s="2"/>
      <c r="F108" s="2"/>
      <c r="G108" s="2"/>
      <c r="H108" s="2"/>
      <c r="I108" s="2"/>
      <c r="J108" s="2"/>
      <c r="K108" s="2"/>
      <c r="L108" s="2"/>
      <c r="M108" s="2"/>
      <c r="N108" s="2"/>
      <c r="O108" s="2"/>
      <c r="P108" s="8"/>
      <c r="Q108" s="8"/>
      <c r="R108" s="8"/>
      <c r="S108" s="8"/>
      <c r="T108" s="8"/>
      <c r="U108" s="8"/>
      <c r="V108" s="8"/>
      <c r="W108" s="8"/>
    </row>
    <row r="109" spans="1:23" ht="12.75" x14ac:dyDescent="0.2">
      <c r="A109" s="2"/>
      <c r="B109" s="2"/>
      <c r="C109" s="2"/>
      <c r="D109" s="2"/>
      <c r="E109" s="2"/>
      <c r="F109" s="2"/>
      <c r="G109" s="2"/>
      <c r="H109" s="2"/>
      <c r="I109" s="2"/>
      <c r="J109" s="2"/>
      <c r="K109" s="2"/>
      <c r="L109" s="2"/>
      <c r="M109" s="2"/>
      <c r="N109" s="2"/>
      <c r="O109" s="2"/>
      <c r="P109" s="8"/>
      <c r="Q109" s="8"/>
      <c r="R109" s="8"/>
      <c r="S109" s="8"/>
      <c r="T109" s="8"/>
      <c r="U109" s="8"/>
      <c r="V109" s="8"/>
      <c r="W109" s="8"/>
    </row>
    <row r="110" spans="1:23" ht="12.75" x14ac:dyDescent="0.2">
      <c r="A110" s="2"/>
      <c r="B110" s="2"/>
      <c r="C110" s="2"/>
      <c r="D110" s="2"/>
      <c r="E110" s="2"/>
      <c r="F110" s="2"/>
      <c r="G110" s="2"/>
      <c r="H110" s="2"/>
      <c r="I110" s="2"/>
      <c r="J110" s="2"/>
      <c r="K110" s="2"/>
      <c r="L110" s="2"/>
      <c r="M110" s="2"/>
      <c r="N110" s="2"/>
      <c r="O110" s="2"/>
      <c r="P110" s="8"/>
      <c r="Q110" s="8"/>
      <c r="R110" s="8"/>
      <c r="S110" s="8"/>
      <c r="T110" s="8"/>
      <c r="U110" s="8"/>
      <c r="V110" s="8"/>
      <c r="W110" s="8"/>
    </row>
    <row r="111" spans="1:23" ht="12.75" x14ac:dyDescent="0.2">
      <c r="A111" s="2"/>
      <c r="B111" s="2"/>
      <c r="C111" s="2"/>
      <c r="D111" s="2"/>
      <c r="E111" s="2"/>
      <c r="F111" s="2"/>
      <c r="G111" s="2"/>
      <c r="H111" s="2"/>
      <c r="I111" s="2"/>
      <c r="J111" s="2"/>
      <c r="K111" s="2"/>
      <c r="L111" s="2"/>
      <c r="M111" s="2"/>
      <c r="N111" s="2"/>
      <c r="O111" s="2"/>
      <c r="P111" s="8"/>
      <c r="Q111" s="8"/>
      <c r="R111" s="8"/>
      <c r="S111" s="8"/>
      <c r="T111" s="8"/>
      <c r="U111" s="8"/>
      <c r="V111" s="8"/>
      <c r="W111" s="8"/>
    </row>
    <row r="112" spans="1:23" ht="12.75" x14ac:dyDescent="0.2">
      <c r="A112" s="2"/>
      <c r="B112" s="2"/>
      <c r="C112" s="2"/>
      <c r="D112" s="2"/>
      <c r="E112" s="2"/>
      <c r="F112" s="2"/>
      <c r="G112" s="2"/>
      <c r="H112" s="2"/>
      <c r="I112" s="2"/>
      <c r="J112" s="2"/>
      <c r="K112" s="2"/>
      <c r="L112" s="2"/>
      <c r="M112" s="2"/>
      <c r="N112" s="2"/>
      <c r="O112" s="2"/>
      <c r="P112" s="8"/>
      <c r="Q112" s="8"/>
      <c r="R112" s="8"/>
      <c r="S112" s="8"/>
      <c r="T112" s="8"/>
      <c r="U112" s="8"/>
      <c r="V112" s="8"/>
      <c r="W112" s="8"/>
    </row>
    <row r="113" spans="1:23" ht="12.75" x14ac:dyDescent="0.2">
      <c r="A113" s="2"/>
      <c r="B113" s="2"/>
      <c r="C113" s="2"/>
      <c r="D113" s="2"/>
      <c r="E113" s="2"/>
      <c r="F113" s="2"/>
      <c r="G113" s="2"/>
      <c r="H113" s="2"/>
      <c r="I113" s="2"/>
      <c r="J113" s="2"/>
      <c r="K113" s="2"/>
      <c r="L113" s="2"/>
      <c r="M113" s="2"/>
      <c r="N113" s="2"/>
      <c r="O113" s="2"/>
      <c r="P113" s="8"/>
      <c r="Q113" s="8"/>
      <c r="R113" s="8"/>
      <c r="S113" s="8"/>
      <c r="T113" s="8"/>
      <c r="U113" s="8"/>
      <c r="V113" s="8"/>
      <c r="W113" s="8"/>
    </row>
    <row r="114" spans="1:23" ht="12.75" x14ac:dyDescent="0.2">
      <c r="A114" s="2"/>
      <c r="B114" s="2"/>
      <c r="C114" s="2"/>
      <c r="D114" s="2"/>
      <c r="E114" s="2"/>
      <c r="F114" s="2"/>
      <c r="G114" s="2"/>
      <c r="H114" s="2"/>
      <c r="I114" s="2"/>
      <c r="J114" s="2"/>
      <c r="K114" s="2"/>
      <c r="L114" s="2"/>
      <c r="M114" s="2"/>
      <c r="N114" s="2"/>
      <c r="O114" s="2"/>
      <c r="P114" s="8"/>
      <c r="Q114" s="8"/>
      <c r="R114" s="8"/>
      <c r="S114" s="8"/>
      <c r="T114" s="8"/>
      <c r="U114" s="8"/>
      <c r="V114" s="8"/>
      <c r="W114" s="8"/>
    </row>
    <row r="115" spans="1:23" ht="12.75" x14ac:dyDescent="0.2">
      <c r="A115" s="2"/>
      <c r="B115" s="2"/>
      <c r="C115" s="2"/>
      <c r="D115" s="2"/>
      <c r="E115" s="2"/>
      <c r="F115" s="2"/>
      <c r="G115" s="2"/>
      <c r="H115" s="2"/>
      <c r="I115" s="2"/>
      <c r="J115" s="2"/>
      <c r="K115" s="2"/>
      <c r="L115" s="2"/>
      <c r="M115" s="2"/>
      <c r="N115" s="2"/>
      <c r="O115" s="2"/>
      <c r="P115" s="8"/>
      <c r="Q115" s="8"/>
      <c r="R115" s="8"/>
      <c r="S115" s="8"/>
      <c r="T115" s="8"/>
      <c r="U115" s="8"/>
      <c r="V115" s="8"/>
      <c r="W115" s="8"/>
    </row>
    <row r="116" spans="1:23" ht="12.75" x14ac:dyDescent="0.2">
      <c r="A116" s="2"/>
      <c r="B116" s="2"/>
      <c r="C116" s="2"/>
      <c r="D116" s="2"/>
      <c r="E116" s="2"/>
      <c r="F116" s="2"/>
      <c r="G116" s="2"/>
      <c r="H116" s="2"/>
      <c r="I116" s="2"/>
      <c r="J116" s="2"/>
      <c r="K116" s="2"/>
      <c r="L116" s="2"/>
      <c r="M116" s="2"/>
      <c r="N116" s="2"/>
      <c r="O116" s="2"/>
      <c r="P116" s="8"/>
      <c r="Q116" s="8"/>
      <c r="R116" s="8"/>
      <c r="S116" s="8"/>
      <c r="T116" s="8"/>
      <c r="U116" s="8"/>
      <c r="V116" s="8"/>
      <c r="W116" s="8"/>
    </row>
    <row r="117" spans="1:23" ht="12.75" x14ac:dyDescent="0.2">
      <c r="A117" s="2"/>
      <c r="B117" s="2"/>
      <c r="C117" s="2"/>
      <c r="D117" s="2"/>
      <c r="E117" s="2"/>
      <c r="F117" s="2"/>
      <c r="G117" s="2"/>
      <c r="H117" s="2"/>
      <c r="I117" s="2"/>
      <c r="J117" s="2"/>
      <c r="K117" s="2"/>
      <c r="L117" s="2"/>
      <c r="M117" s="2"/>
      <c r="N117" s="2"/>
      <c r="O117" s="2"/>
      <c r="P117" s="8"/>
      <c r="Q117" s="8"/>
      <c r="R117" s="8"/>
      <c r="S117" s="8"/>
      <c r="T117" s="8"/>
      <c r="U117" s="8"/>
      <c r="V117" s="8"/>
      <c r="W117" s="8"/>
    </row>
    <row r="118" spans="1:23" ht="12.75" x14ac:dyDescent="0.2">
      <c r="A118" s="2"/>
      <c r="B118" s="2"/>
      <c r="C118" s="2"/>
      <c r="D118" s="2"/>
      <c r="E118" s="2"/>
      <c r="F118" s="2"/>
      <c r="G118" s="2"/>
      <c r="H118" s="2"/>
      <c r="I118" s="2"/>
      <c r="J118" s="2"/>
      <c r="K118" s="2"/>
      <c r="L118" s="2"/>
      <c r="M118" s="2"/>
      <c r="N118" s="2"/>
      <c r="O118" s="2"/>
      <c r="P118" s="8"/>
      <c r="Q118" s="8"/>
      <c r="R118" s="8"/>
      <c r="S118" s="8"/>
      <c r="T118" s="8"/>
      <c r="U118" s="8"/>
      <c r="V118" s="8"/>
      <c r="W118" s="8"/>
    </row>
    <row r="119" spans="1:23" ht="12.75" x14ac:dyDescent="0.2">
      <c r="A119" s="2"/>
      <c r="B119" s="2"/>
      <c r="C119" s="2"/>
      <c r="D119" s="2"/>
      <c r="E119" s="2"/>
      <c r="F119" s="2"/>
      <c r="G119" s="2"/>
      <c r="H119" s="2"/>
      <c r="I119" s="2"/>
      <c r="J119" s="2"/>
      <c r="K119" s="2"/>
      <c r="L119" s="2"/>
      <c r="M119" s="2"/>
      <c r="N119" s="2"/>
      <c r="O119" s="2"/>
      <c r="P119" s="8"/>
      <c r="Q119" s="8"/>
      <c r="R119" s="8"/>
      <c r="S119" s="8"/>
      <c r="T119" s="8"/>
      <c r="U119" s="8"/>
      <c r="V119" s="8"/>
      <c r="W119" s="8"/>
    </row>
    <row r="120" spans="1:23" ht="12.75" x14ac:dyDescent="0.2">
      <c r="A120" s="2"/>
      <c r="B120" s="2"/>
      <c r="C120" s="2"/>
      <c r="D120" s="2"/>
      <c r="E120" s="2"/>
      <c r="F120" s="2"/>
      <c r="G120" s="2"/>
      <c r="H120" s="2"/>
      <c r="I120" s="2"/>
      <c r="J120" s="2"/>
      <c r="K120" s="2"/>
      <c r="L120" s="2"/>
      <c r="M120" s="2"/>
      <c r="N120" s="2"/>
      <c r="O120" s="2"/>
      <c r="P120" s="8"/>
      <c r="Q120" s="8"/>
      <c r="R120" s="8"/>
      <c r="S120" s="8"/>
      <c r="T120" s="8"/>
      <c r="U120" s="8"/>
      <c r="V120" s="8"/>
      <c r="W120" s="8"/>
    </row>
    <row r="121" spans="1:23" ht="12.75" x14ac:dyDescent="0.2">
      <c r="A121" s="2"/>
      <c r="B121" s="2"/>
      <c r="C121" s="2"/>
      <c r="D121" s="2"/>
      <c r="E121" s="2"/>
      <c r="F121" s="2"/>
      <c r="G121" s="2"/>
      <c r="H121" s="2"/>
      <c r="I121" s="2"/>
      <c r="J121" s="2"/>
      <c r="K121" s="2"/>
      <c r="L121" s="2"/>
      <c r="M121" s="2"/>
      <c r="N121" s="2"/>
      <c r="O121" s="2"/>
      <c r="P121" s="8"/>
      <c r="Q121" s="8"/>
      <c r="R121" s="8"/>
      <c r="S121" s="8"/>
      <c r="T121" s="8"/>
      <c r="U121" s="8"/>
      <c r="V121" s="8"/>
      <c r="W121" s="8"/>
    </row>
    <row r="122" spans="1:23" ht="12.75" x14ac:dyDescent="0.2">
      <c r="A122" s="2"/>
      <c r="B122" s="2"/>
      <c r="C122" s="2"/>
      <c r="D122" s="2"/>
      <c r="E122" s="2"/>
      <c r="F122" s="2"/>
      <c r="G122" s="2"/>
      <c r="H122" s="2"/>
      <c r="I122" s="2"/>
      <c r="J122" s="2"/>
      <c r="K122" s="2"/>
      <c r="L122" s="2"/>
      <c r="M122" s="2"/>
      <c r="N122" s="2"/>
      <c r="O122" s="2"/>
      <c r="P122" s="8"/>
      <c r="Q122" s="8"/>
      <c r="R122" s="8"/>
      <c r="S122" s="8"/>
      <c r="T122" s="8"/>
      <c r="U122" s="8"/>
      <c r="V122" s="8"/>
      <c r="W122" s="8"/>
    </row>
    <row r="123" spans="1:23" ht="12.75" x14ac:dyDescent="0.2">
      <c r="A123" s="2"/>
      <c r="B123" s="2"/>
      <c r="C123" s="2"/>
      <c r="D123" s="2"/>
      <c r="E123" s="2"/>
      <c r="F123" s="2"/>
      <c r="G123" s="2"/>
      <c r="H123" s="2"/>
      <c r="I123" s="2"/>
      <c r="J123" s="2"/>
      <c r="K123" s="2"/>
      <c r="L123" s="2"/>
      <c r="M123" s="2"/>
      <c r="N123" s="2"/>
      <c r="O123" s="2"/>
      <c r="P123" s="8"/>
      <c r="Q123" s="8"/>
      <c r="R123" s="8"/>
      <c r="S123" s="8"/>
      <c r="T123" s="8"/>
      <c r="U123" s="8"/>
      <c r="V123" s="8"/>
      <c r="W123" s="8"/>
    </row>
    <row r="124" spans="1:23" ht="12.75" x14ac:dyDescent="0.2">
      <c r="A124" s="2"/>
      <c r="B124" s="2"/>
      <c r="C124" s="2"/>
      <c r="D124" s="2"/>
      <c r="E124" s="2"/>
      <c r="F124" s="2"/>
      <c r="G124" s="2"/>
      <c r="H124" s="2"/>
      <c r="I124" s="2"/>
      <c r="J124" s="2"/>
      <c r="K124" s="2"/>
      <c r="L124" s="2"/>
      <c r="M124" s="2"/>
      <c r="N124" s="2"/>
      <c r="O124" s="2"/>
      <c r="P124" s="8"/>
      <c r="Q124" s="8"/>
      <c r="R124" s="8"/>
      <c r="S124" s="8"/>
      <c r="T124" s="8"/>
      <c r="U124" s="8"/>
      <c r="V124" s="8"/>
      <c r="W124" s="8"/>
    </row>
    <row r="125" spans="1:23" ht="12.75" x14ac:dyDescent="0.2">
      <c r="A125" s="2"/>
      <c r="B125" s="2"/>
      <c r="C125" s="2"/>
      <c r="D125" s="2"/>
      <c r="E125" s="2"/>
      <c r="F125" s="2"/>
      <c r="G125" s="2"/>
      <c r="H125" s="2"/>
      <c r="I125" s="2"/>
      <c r="J125" s="2"/>
      <c r="K125" s="2"/>
      <c r="L125" s="2"/>
      <c r="M125" s="2"/>
      <c r="N125" s="2"/>
      <c r="O125" s="2"/>
      <c r="P125" s="8"/>
      <c r="Q125" s="8"/>
      <c r="R125" s="8"/>
      <c r="S125" s="8"/>
      <c r="T125" s="8"/>
      <c r="U125" s="8"/>
      <c r="V125" s="8"/>
      <c r="W125" s="8"/>
    </row>
    <row r="126" spans="1:23" ht="12.75" x14ac:dyDescent="0.2">
      <c r="A126" s="2"/>
      <c r="B126" s="2"/>
      <c r="C126" s="2"/>
      <c r="D126" s="2"/>
      <c r="E126" s="2"/>
      <c r="F126" s="2"/>
      <c r="G126" s="2"/>
      <c r="H126" s="2"/>
      <c r="I126" s="2"/>
      <c r="J126" s="2"/>
      <c r="K126" s="2"/>
      <c r="L126" s="2"/>
      <c r="M126" s="2"/>
      <c r="N126" s="2"/>
      <c r="O126" s="2"/>
      <c r="P126" s="8"/>
      <c r="Q126" s="8"/>
      <c r="R126" s="8"/>
      <c r="S126" s="8"/>
      <c r="T126" s="8"/>
      <c r="U126" s="8"/>
      <c r="V126" s="8"/>
      <c r="W126" s="8"/>
    </row>
    <row r="127" spans="1:23" ht="12.75" x14ac:dyDescent="0.2">
      <c r="A127" s="2"/>
      <c r="B127" s="2"/>
      <c r="C127" s="2"/>
      <c r="D127" s="2"/>
      <c r="E127" s="2"/>
      <c r="F127" s="2"/>
      <c r="G127" s="2"/>
      <c r="H127" s="2"/>
      <c r="I127" s="2"/>
      <c r="J127" s="2"/>
      <c r="K127" s="2"/>
      <c r="L127" s="2"/>
      <c r="M127" s="2"/>
      <c r="N127" s="2"/>
      <c r="O127" s="2"/>
      <c r="P127" s="8"/>
      <c r="Q127" s="8"/>
      <c r="R127" s="8"/>
      <c r="S127" s="8"/>
      <c r="T127" s="8"/>
      <c r="U127" s="8"/>
      <c r="V127" s="8"/>
      <c r="W127" s="8"/>
    </row>
    <row r="128" spans="1:23" ht="12.75" x14ac:dyDescent="0.2">
      <c r="A128" s="2"/>
      <c r="B128" s="2"/>
      <c r="C128" s="2"/>
      <c r="D128" s="2"/>
      <c r="E128" s="2"/>
      <c r="F128" s="2"/>
      <c r="G128" s="2"/>
      <c r="H128" s="2"/>
      <c r="I128" s="2"/>
      <c r="J128" s="2"/>
      <c r="K128" s="2"/>
      <c r="L128" s="2"/>
      <c r="M128" s="2"/>
      <c r="N128" s="2"/>
      <c r="O128" s="2"/>
      <c r="P128" s="8"/>
      <c r="Q128" s="8"/>
      <c r="R128" s="8"/>
      <c r="S128" s="8"/>
      <c r="T128" s="8"/>
      <c r="U128" s="8"/>
      <c r="V128" s="8"/>
      <c r="W128" s="8"/>
    </row>
    <row r="129" spans="1:23" ht="12.75" x14ac:dyDescent="0.2">
      <c r="A129" s="2"/>
      <c r="B129" s="2"/>
      <c r="C129" s="2"/>
      <c r="D129" s="2"/>
      <c r="E129" s="2"/>
      <c r="F129" s="2"/>
      <c r="G129" s="2"/>
      <c r="H129" s="2"/>
      <c r="I129" s="2"/>
      <c r="J129" s="2"/>
      <c r="K129" s="2"/>
      <c r="L129" s="2"/>
      <c r="M129" s="2"/>
      <c r="N129" s="2"/>
      <c r="O129" s="2"/>
      <c r="P129" s="8"/>
      <c r="Q129" s="8"/>
      <c r="R129" s="8"/>
      <c r="S129" s="8"/>
      <c r="T129" s="8"/>
      <c r="U129" s="8"/>
      <c r="V129" s="8"/>
      <c r="W129" s="8"/>
    </row>
    <row r="130" spans="1:23" ht="12.75" x14ac:dyDescent="0.2">
      <c r="A130" s="2"/>
      <c r="B130" s="2"/>
      <c r="C130" s="2"/>
      <c r="D130" s="2"/>
      <c r="E130" s="2"/>
      <c r="F130" s="2"/>
      <c r="G130" s="2"/>
      <c r="H130" s="2"/>
      <c r="I130" s="2"/>
      <c r="J130" s="2"/>
      <c r="K130" s="2"/>
      <c r="L130" s="2"/>
      <c r="M130" s="2"/>
      <c r="N130" s="2"/>
      <c r="O130" s="2"/>
      <c r="P130" s="8"/>
      <c r="Q130" s="8"/>
      <c r="R130" s="8"/>
      <c r="S130" s="8"/>
      <c r="T130" s="8"/>
      <c r="U130" s="8"/>
      <c r="V130" s="8"/>
      <c r="W130" s="8"/>
    </row>
    <row r="131" spans="1:23" ht="12.75" x14ac:dyDescent="0.2">
      <c r="A131" s="2"/>
      <c r="B131" s="2"/>
      <c r="C131" s="2"/>
      <c r="D131" s="2"/>
      <c r="E131" s="2"/>
      <c r="F131" s="2"/>
      <c r="G131" s="2"/>
      <c r="H131" s="2"/>
      <c r="I131" s="2"/>
      <c r="J131" s="2"/>
      <c r="K131" s="2"/>
      <c r="L131" s="2"/>
      <c r="M131" s="2"/>
      <c r="N131" s="2"/>
      <c r="O131" s="2"/>
      <c r="P131" s="8"/>
      <c r="Q131" s="8"/>
      <c r="R131" s="8"/>
      <c r="S131" s="8"/>
      <c r="T131" s="8"/>
      <c r="U131" s="8"/>
      <c r="V131" s="8"/>
      <c r="W131" s="8"/>
    </row>
    <row r="132" spans="1:23" ht="12.75" x14ac:dyDescent="0.2">
      <c r="A132" s="2"/>
      <c r="B132" s="2"/>
      <c r="C132" s="2"/>
      <c r="D132" s="2"/>
      <c r="E132" s="2"/>
      <c r="F132" s="2"/>
      <c r="G132" s="2"/>
      <c r="H132" s="2"/>
      <c r="I132" s="2"/>
      <c r="J132" s="2"/>
      <c r="K132" s="2"/>
      <c r="L132" s="2"/>
      <c r="M132" s="2"/>
      <c r="N132" s="2"/>
      <c r="O132" s="2"/>
      <c r="P132" s="8"/>
      <c r="Q132" s="8"/>
      <c r="R132" s="8"/>
      <c r="S132" s="8"/>
      <c r="T132" s="8"/>
      <c r="U132" s="8"/>
      <c r="V132" s="8"/>
      <c r="W132" s="8"/>
    </row>
    <row r="133" spans="1:23" ht="12.75" x14ac:dyDescent="0.2">
      <c r="A133" s="2"/>
      <c r="B133" s="2"/>
      <c r="C133" s="2"/>
      <c r="D133" s="2"/>
      <c r="E133" s="2"/>
      <c r="F133" s="2"/>
      <c r="G133" s="2"/>
      <c r="H133" s="2"/>
      <c r="I133" s="2"/>
      <c r="J133" s="2"/>
      <c r="K133" s="2"/>
      <c r="L133" s="2"/>
      <c r="M133" s="2"/>
      <c r="N133" s="2"/>
      <c r="O133" s="2"/>
      <c r="P133" s="8"/>
      <c r="Q133" s="8"/>
      <c r="R133" s="8"/>
      <c r="S133" s="8"/>
      <c r="T133" s="8"/>
      <c r="U133" s="8"/>
      <c r="V133" s="8"/>
      <c r="W133" s="8"/>
    </row>
    <row r="134" spans="1:23" ht="12.75" x14ac:dyDescent="0.2">
      <c r="A134" s="2"/>
      <c r="B134" s="2"/>
      <c r="C134" s="2"/>
      <c r="D134" s="2"/>
      <c r="E134" s="2"/>
      <c r="F134" s="2"/>
      <c r="G134" s="2"/>
      <c r="H134" s="2"/>
      <c r="I134" s="2"/>
      <c r="J134" s="2"/>
      <c r="K134" s="2"/>
      <c r="L134" s="2"/>
      <c r="M134" s="2"/>
      <c r="N134" s="2"/>
      <c r="O134" s="2"/>
      <c r="P134" s="8"/>
      <c r="Q134" s="8"/>
      <c r="R134" s="8"/>
      <c r="S134" s="8"/>
      <c r="T134" s="8"/>
      <c r="U134" s="8"/>
      <c r="V134" s="8"/>
      <c r="W134" s="8"/>
    </row>
    <row r="135" spans="1:23" ht="12.75" x14ac:dyDescent="0.2">
      <c r="A135" s="2"/>
      <c r="B135" s="2"/>
      <c r="C135" s="2"/>
      <c r="D135" s="2"/>
      <c r="E135" s="2"/>
      <c r="F135" s="2"/>
      <c r="G135" s="2"/>
      <c r="H135" s="2"/>
      <c r="I135" s="2"/>
      <c r="J135" s="2"/>
      <c r="K135" s="2"/>
      <c r="L135" s="2"/>
      <c r="M135" s="2"/>
      <c r="N135" s="2"/>
      <c r="O135" s="2"/>
      <c r="P135" s="8"/>
      <c r="Q135" s="8"/>
      <c r="R135" s="8"/>
      <c r="S135" s="8"/>
      <c r="T135" s="8"/>
      <c r="U135" s="8"/>
      <c r="V135" s="8"/>
      <c r="W135" s="8"/>
    </row>
    <row r="136" spans="1:23" ht="12.75" x14ac:dyDescent="0.2">
      <c r="A136" s="2"/>
      <c r="B136" s="2"/>
      <c r="C136" s="2"/>
      <c r="D136" s="2"/>
      <c r="E136" s="2"/>
      <c r="F136" s="2"/>
      <c r="G136" s="2"/>
      <c r="H136" s="2"/>
      <c r="I136" s="2"/>
      <c r="J136" s="2"/>
      <c r="K136" s="2"/>
      <c r="L136" s="2"/>
      <c r="M136" s="2"/>
      <c r="N136" s="2"/>
      <c r="O136" s="2"/>
      <c r="P136" s="8"/>
      <c r="Q136" s="8"/>
      <c r="R136" s="8"/>
      <c r="S136" s="8"/>
      <c r="T136" s="8"/>
      <c r="U136" s="8"/>
      <c r="V136" s="8"/>
      <c r="W136" s="8"/>
    </row>
    <row r="137" spans="1:23" ht="12.75" x14ac:dyDescent="0.2">
      <c r="A137" s="2"/>
      <c r="B137" s="2"/>
      <c r="C137" s="2"/>
      <c r="D137" s="2"/>
      <c r="E137" s="2"/>
      <c r="F137" s="2"/>
      <c r="G137" s="2"/>
      <c r="H137" s="2"/>
      <c r="I137" s="2"/>
      <c r="J137" s="2"/>
      <c r="K137" s="2"/>
      <c r="L137" s="2"/>
      <c r="M137" s="2"/>
      <c r="N137" s="2"/>
      <c r="O137" s="2"/>
      <c r="P137" s="8"/>
      <c r="Q137" s="8"/>
      <c r="R137" s="8"/>
      <c r="S137" s="8"/>
      <c r="T137" s="8"/>
      <c r="U137" s="8"/>
      <c r="V137" s="8"/>
      <c r="W137" s="8"/>
    </row>
    <row r="138" spans="1:23" ht="12.75" x14ac:dyDescent="0.2">
      <c r="A138" s="2"/>
      <c r="B138" s="2"/>
      <c r="C138" s="2"/>
      <c r="D138" s="2"/>
      <c r="E138" s="2"/>
      <c r="F138" s="2"/>
      <c r="G138" s="2"/>
      <c r="H138" s="2"/>
      <c r="I138" s="2"/>
      <c r="J138" s="2"/>
      <c r="K138" s="2"/>
      <c r="L138" s="2"/>
      <c r="M138" s="2"/>
      <c r="N138" s="2"/>
      <c r="O138" s="2"/>
      <c r="P138" s="8"/>
      <c r="Q138" s="8"/>
      <c r="R138" s="8"/>
      <c r="S138" s="8"/>
      <c r="T138" s="8"/>
      <c r="U138" s="8"/>
      <c r="V138" s="8"/>
      <c r="W138" s="8"/>
    </row>
    <row r="139" spans="1:23" ht="12.75" x14ac:dyDescent="0.2">
      <c r="A139" s="2"/>
      <c r="B139" s="2"/>
      <c r="C139" s="2"/>
      <c r="D139" s="2"/>
      <c r="E139" s="2"/>
      <c r="F139" s="2"/>
      <c r="G139" s="2"/>
      <c r="H139" s="2"/>
      <c r="I139" s="2"/>
      <c r="J139" s="2"/>
      <c r="K139" s="2"/>
      <c r="L139" s="2"/>
      <c r="M139" s="2"/>
      <c r="N139" s="2"/>
      <c r="O139" s="2"/>
      <c r="P139" s="8"/>
      <c r="Q139" s="8"/>
      <c r="R139" s="8"/>
      <c r="S139" s="8"/>
      <c r="T139" s="8"/>
      <c r="U139" s="8"/>
      <c r="V139" s="8"/>
      <c r="W139" s="8"/>
    </row>
    <row r="140" spans="1:23" ht="12.75" x14ac:dyDescent="0.2">
      <c r="A140" s="2"/>
      <c r="B140" s="2"/>
      <c r="C140" s="2"/>
      <c r="D140" s="2"/>
      <c r="E140" s="2"/>
      <c r="F140" s="2"/>
      <c r="G140" s="2"/>
      <c r="H140" s="2"/>
      <c r="I140" s="2"/>
      <c r="J140" s="2"/>
      <c r="K140" s="2"/>
      <c r="L140" s="2"/>
      <c r="M140" s="2"/>
      <c r="N140" s="2"/>
      <c r="O140" s="2"/>
      <c r="P140" s="8"/>
      <c r="Q140" s="8"/>
      <c r="R140" s="8"/>
      <c r="S140" s="8"/>
      <c r="T140" s="8"/>
      <c r="U140" s="8"/>
      <c r="V140" s="8"/>
      <c r="W140" s="8"/>
    </row>
    <row r="141" spans="1:23" ht="12.75" x14ac:dyDescent="0.2">
      <c r="A141" s="2"/>
      <c r="B141" s="2"/>
      <c r="C141" s="2"/>
      <c r="D141" s="2"/>
      <c r="E141" s="2"/>
      <c r="F141" s="2"/>
      <c r="G141" s="2"/>
      <c r="H141" s="2"/>
      <c r="I141" s="2"/>
      <c r="J141" s="2"/>
      <c r="K141" s="2"/>
      <c r="L141" s="2"/>
      <c r="M141" s="2"/>
      <c r="N141" s="2"/>
      <c r="O141" s="2"/>
      <c r="P141" s="8"/>
      <c r="Q141" s="8"/>
      <c r="R141" s="8"/>
      <c r="S141" s="8"/>
      <c r="T141" s="8"/>
      <c r="U141" s="8"/>
      <c r="V141" s="8"/>
      <c r="W141" s="8"/>
    </row>
    <row r="142" spans="1:23" ht="12.75" x14ac:dyDescent="0.2">
      <c r="A142" s="2"/>
      <c r="B142" s="2"/>
      <c r="C142" s="2"/>
      <c r="D142" s="2"/>
      <c r="E142" s="2"/>
      <c r="F142" s="2"/>
      <c r="G142" s="2"/>
      <c r="H142" s="2"/>
      <c r="I142" s="2"/>
      <c r="J142" s="2"/>
      <c r="K142" s="2"/>
      <c r="L142" s="2"/>
      <c r="M142" s="2"/>
      <c r="N142" s="2"/>
      <c r="O142" s="2"/>
      <c r="P142" s="8"/>
      <c r="Q142" s="8"/>
      <c r="R142" s="8"/>
      <c r="S142" s="8"/>
      <c r="T142" s="8"/>
      <c r="U142" s="8"/>
      <c r="V142" s="8"/>
      <c r="W142" s="8"/>
    </row>
    <row r="143" spans="1:23" ht="12.75" x14ac:dyDescent="0.2">
      <c r="A143" s="2"/>
      <c r="B143" s="2"/>
      <c r="C143" s="2"/>
      <c r="D143" s="2"/>
      <c r="E143" s="2"/>
      <c r="F143" s="2"/>
      <c r="G143" s="2"/>
      <c r="H143" s="2"/>
      <c r="I143" s="2"/>
      <c r="J143" s="2"/>
      <c r="K143" s="2"/>
      <c r="L143" s="2"/>
      <c r="M143" s="2"/>
      <c r="N143" s="2"/>
      <c r="O143" s="2"/>
      <c r="P143" s="8"/>
      <c r="Q143" s="8"/>
      <c r="R143" s="8"/>
      <c r="S143" s="8"/>
      <c r="T143" s="8"/>
      <c r="U143" s="8"/>
      <c r="V143" s="8"/>
      <c r="W143" s="8"/>
    </row>
    <row r="144" spans="1:23" ht="12.75" x14ac:dyDescent="0.2">
      <c r="A144" s="2"/>
      <c r="B144" s="2"/>
      <c r="C144" s="2"/>
      <c r="D144" s="2"/>
      <c r="E144" s="2"/>
      <c r="F144" s="2"/>
      <c r="G144" s="2"/>
      <c r="H144" s="2"/>
      <c r="I144" s="2"/>
      <c r="J144" s="2"/>
      <c r="K144" s="2"/>
      <c r="L144" s="2"/>
      <c r="M144" s="2"/>
      <c r="N144" s="2"/>
      <c r="O144" s="2"/>
      <c r="P144" s="8"/>
      <c r="Q144" s="8"/>
      <c r="R144" s="8"/>
      <c r="S144" s="8"/>
      <c r="T144" s="8"/>
      <c r="U144" s="8"/>
      <c r="V144" s="8"/>
      <c r="W144" s="8"/>
    </row>
    <row r="145" spans="1:23" ht="12.75" x14ac:dyDescent="0.2">
      <c r="A145" s="2"/>
      <c r="B145" s="2"/>
      <c r="C145" s="2"/>
      <c r="D145" s="2"/>
      <c r="E145" s="2"/>
      <c r="F145" s="2"/>
      <c r="G145" s="2"/>
      <c r="H145" s="2"/>
      <c r="I145" s="2"/>
      <c r="J145" s="2"/>
      <c r="K145" s="2"/>
      <c r="L145" s="2"/>
      <c r="M145" s="2"/>
      <c r="N145" s="2"/>
      <c r="O145" s="2"/>
      <c r="P145" s="8"/>
      <c r="Q145" s="8"/>
      <c r="R145" s="8"/>
      <c r="S145" s="8"/>
      <c r="T145" s="8"/>
      <c r="U145" s="8"/>
      <c r="V145" s="8"/>
      <c r="W145" s="8"/>
    </row>
    <row r="146" spans="1:23" ht="12.75" x14ac:dyDescent="0.2">
      <c r="A146" s="2"/>
      <c r="B146" s="2"/>
      <c r="C146" s="2"/>
      <c r="D146" s="2"/>
      <c r="E146" s="2"/>
      <c r="F146" s="2"/>
      <c r="G146" s="2"/>
      <c r="H146" s="2"/>
      <c r="I146" s="2"/>
      <c r="J146" s="2"/>
      <c r="K146" s="2"/>
      <c r="L146" s="2"/>
      <c r="M146" s="2"/>
      <c r="N146" s="2"/>
      <c r="O146" s="2"/>
      <c r="P146" s="8"/>
      <c r="Q146" s="8"/>
      <c r="R146" s="8"/>
      <c r="S146" s="8"/>
      <c r="T146" s="8"/>
      <c r="U146" s="8"/>
      <c r="V146" s="8"/>
      <c r="W146" s="8"/>
    </row>
    <row r="147" spans="1:23" ht="12.75" x14ac:dyDescent="0.2">
      <c r="A147" s="2"/>
      <c r="B147" s="2"/>
      <c r="C147" s="2"/>
      <c r="D147" s="2"/>
      <c r="E147" s="2"/>
      <c r="F147" s="2"/>
      <c r="G147" s="2"/>
      <c r="H147" s="2"/>
      <c r="I147" s="2"/>
      <c r="J147" s="2"/>
      <c r="K147" s="2"/>
      <c r="L147" s="2"/>
      <c r="M147" s="2"/>
      <c r="N147" s="2"/>
      <c r="O147" s="2"/>
      <c r="P147" s="8"/>
      <c r="Q147" s="8"/>
      <c r="R147" s="8"/>
      <c r="S147" s="8"/>
      <c r="T147" s="8"/>
      <c r="U147" s="8"/>
      <c r="V147" s="8"/>
      <c r="W147" s="8"/>
    </row>
    <row r="148" spans="1:23" ht="12.75" x14ac:dyDescent="0.2">
      <c r="A148" s="2"/>
      <c r="B148" s="2"/>
      <c r="C148" s="2"/>
      <c r="D148" s="2"/>
      <c r="E148" s="2"/>
      <c r="F148" s="2"/>
      <c r="G148" s="2"/>
      <c r="H148" s="2"/>
      <c r="I148" s="2"/>
      <c r="J148" s="2"/>
      <c r="K148" s="2"/>
      <c r="L148" s="2"/>
      <c r="M148" s="2"/>
      <c r="N148" s="2"/>
      <c r="O148" s="2"/>
      <c r="P148" s="8"/>
      <c r="Q148" s="8"/>
      <c r="R148" s="8"/>
      <c r="S148" s="8"/>
      <c r="T148" s="8"/>
      <c r="U148" s="8"/>
      <c r="V148" s="8"/>
      <c r="W148" s="8"/>
    </row>
    <row r="149" spans="1:23" ht="12.75" x14ac:dyDescent="0.2">
      <c r="A149" s="2"/>
      <c r="B149" s="2"/>
      <c r="C149" s="2"/>
      <c r="D149" s="2"/>
      <c r="E149" s="2"/>
      <c r="F149" s="2"/>
      <c r="G149" s="2"/>
      <c r="H149" s="2"/>
      <c r="I149" s="2"/>
      <c r="J149" s="2"/>
      <c r="K149" s="2"/>
      <c r="L149" s="2"/>
      <c r="M149" s="2"/>
      <c r="N149" s="2"/>
      <c r="O149" s="2"/>
      <c r="P149" s="8"/>
      <c r="Q149" s="8"/>
      <c r="R149" s="8"/>
      <c r="S149" s="8"/>
      <c r="T149" s="8"/>
      <c r="U149" s="8"/>
      <c r="V149" s="8"/>
      <c r="W149" s="8"/>
    </row>
    <row r="150" spans="1:23" ht="12.75" x14ac:dyDescent="0.2">
      <c r="A150" s="2"/>
      <c r="B150" s="2"/>
      <c r="C150" s="2"/>
      <c r="D150" s="2"/>
      <c r="E150" s="2"/>
      <c r="F150" s="2"/>
      <c r="G150" s="2"/>
      <c r="H150" s="2"/>
      <c r="I150" s="2"/>
      <c r="J150" s="2"/>
      <c r="K150" s="2"/>
      <c r="L150" s="2"/>
      <c r="M150" s="2"/>
      <c r="N150" s="2"/>
      <c r="O150" s="2"/>
      <c r="P150" s="8"/>
      <c r="Q150" s="8"/>
      <c r="R150" s="8"/>
      <c r="S150" s="8"/>
      <c r="T150" s="8"/>
      <c r="U150" s="8"/>
      <c r="V150" s="8"/>
      <c r="W150" s="8"/>
    </row>
    <row r="151" spans="1:23" ht="12.75" x14ac:dyDescent="0.2">
      <c r="A151" s="2"/>
      <c r="B151" s="2"/>
      <c r="C151" s="2"/>
      <c r="D151" s="2"/>
      <c r="E151" s="2"/>
      <c r="F151" s="2"/>
      <c r="G151" s="2"/>
      <c r="H151" s="2"/>
      <c r="I151" s="2"/>
      <c r="J151" s="2"/>
      <c r="K151" s="2"/>
      <c r="L151" s="2"/>
      <c r="M151" s="2"/>
      <c r="N151" s="2"/>
      <c r="O151" s="2"/>
      <c r="P151" s="8"/>
      <c r="Q151" s="8"/>
      <c r="R151" s="8"/>
      <c r="S151" s="8"/>
      <c r="T151" s="8"/>
      <c r="U151" s="8"/>
      <c r="V151" s="8"/>
      <c r="W151" s="8"/>
    </row>
    <row r="152" spans="1:23" ht="12.75" x14ac:dyDescent="0.2">
      <c r="A152" s="2"/>
      <c r="B152" s="2"/>
      <c r="C152" s="2"/>
      <c r="D152" s="2"/>
      <c r="E152" s="2"/>
      <c r="F152" s="2"/>
      <c r="G152" s="2"/>
      <c r="H152" s="2"/>
      <c r="I152" s="2"/>
      <c r="J152" s="2"/>
      <c r="K152" s="2"/>
      <c r="L152" s="2"/>
      <c r="M152" s="2"/>
      <c r="N152" s="2"/>
      <c r="O152" s="2"/>
      <c r="P152" s="8"/>
      <c r="Q152" s="8"/>
      <c r="R152" s="8"/>
      <c r="S152" s="8"/>
      <c r="T152" s="8"/>
      <c r="U152" s="8"/>
      <c r="V152" s="8"/>
      <c r="W152" s="8"/>
    </row>
    <row r="153" spans="1:23" ht="12.75" x14ac:dyDescent="0.2">
      <c r="A153" s="2"/>
      <c r="B153" s="2"/>
      <c r="C153" s="2"/>
      <c r="D153" s="2"/>
      <c r="E153" s="2"/>
      <c r="F153" s="2"/>
      <c r="G153" s="2"/>
      <c r="H153" s="2"/>
      <c r="I153" s="2"/>
      <c r="J153" s="2"/>
      <c r="K153" s="2"/>
      <c r="L153" s="2"/>
      <c r="M153" s="2"/>
      <c r="N153" s="2"/>
      <c r="O153" s="2"/>
      <c r="P153" s="8"/>
      <c r="Q153" s="8"/>
      <c r="R153" s="8"/>
      <c r="S153" s="8"/>
      <c r="T153" s="8"/>
      <c r="U153" s="8"/>
      <c r="V153" s="8"/>
      <c r="W153" s="8"/>
    </row>
    <row r="154" spans="1:23" ht="12.75" x14ac:dyDescent="0.2">
      <c r="A154" s="2"/>
      <c r="B154" s="2"/>
      <c r="C154" s="2"/>
      <c r="D154" s="2"/>
      <c r="E154" s="2"/>
      <c r="F154" s="2"/>
      <c r="G154" s="2"/>
      <c r="H154" s="2"/>
      <c r="I154" s="2"/>
      <c r="J154" s="2"/>
      <c r="K154" s="2"/>
      <c r="L154" s="2"/>
      <c r="M154" s="2"/>
      <c r="N154" s="2"/>
      <c r="O154" s="2"/>
      <c r="P154" s="8"/>
      <c r="Q154" s="8"/>
      <c r="R154" s="8"/>
      <c r="S154" s="8"/>
      <c r="T154" s="8"/>
      <c r="U154" s="8"/>
      <c r="V154" s="8"/>
      <c r="W154" s="8"/>
    </row>
    <row r="155" spans="1:23" ht="12.75" x14ac:dyDescent="0.2">
      <c r="A155" s="2"/>
      <c r="B155" s="2"/>
      <c r="C155" s="2"/>
      <c r="D155" s="2"/>
      <c r="E155" s="2"/>
      <c r="F155" s="2"/>
      <c r="G155" s="2"/>
      <c r="H155" s="2"/>
      <c r="I155" s="2"/>
      <c r="J155" s="2"/>
      <c r="K155" s="2"/>
      <c r="L155" s="2"/>
      <c r="M155" s="2"/>
      <c r="N155" s="2"/>
      <c r="O155" s="2"/>
      <c r="P155" s="8"/>
      <c r="Q155" s="8"/>
      <c r="R155" s="8"/>
      <c r="S155" s="8"/>
      <c r="T155" s="8"/>
      <c r="U155" s="8"/>
      <c r="V155" s="8"/>
      <c r="W155" s="8"/>
    </row>
    <row r="156" spans="1:23" ht="12.75" x14ac:dyDescent="0.2">
      <c r="A156" s="2"/>
      <c r="B156" s="2"/>
      <c r="C156" s="2"/>
      <c r="D156" s="2"/>
      <c r="E156" s="2"/>
      <c r="F156" s="2"/>
      <c r="G156" s="2"/>
      <c r="H156" s="2"/>
      <c r="I156" s="2"/>
      <c r="J156" s="2"/>
      <c r="K156" s="2"/>
      <c r="L156" s="2"/>
      <c r="M156" s="2"/>
      <c r="N156" s="2"/>
      <c r="O156" s="2"/>
      <c r="P156" s="8"/>
      <c r="Q156" s="8"/>
      <c r="R156" s="8"/>
      <c r="S156" s="8"/>
      <c r="T156" s="8"/>
      <c r="U156" s="8"/>
      <c r="V156" s="8"/>
      <c r="W156" s="8"/>
    </row>
    <row r="157" spans="1:23" ht="12.75" x14ac:dyDescent="0.2">
      <c r="A157" s="2"/>
      <c r="B157" s="2"/>
      <c r="C157" s="2"/>
      <c r="D157" s="2"/>
      <c r="E157" s="2"/>
      <c r="F157" s="2"/>
      <c r="G157" s="2"/>
      <c r="H157" s="2"/>
      <c r="I157" s="2"/>
      <c r="J157" s="2"/>
      <c r="K157" s="2"/>
      <c r="L157" s="2"/>
      <c r="M157" s="2"/>
      <c r="N157" s="2"/>
      <c r="O157" s="2"/>
      <c r="P157" s="8"/>
      <c r="Q157" s="8"/>
      <c r="R157" s="8"/>
      <c r="S157" s="8"/>
      <c r="T157" s="8"/>
      <c r="U157" s="8"/>
      <c r="V157" s="8"/>
      <c r="W157" s="8"/>
    </row>
    <row r="158" spans="1:23" ht="12.75" x14ac:dyDescent="0.2">
      <c r="A158" s="2"/>
      <c r="B158" s="2"/>
      <c r="C158" s="2"/>
      <c r="D158" s="2"/>
      <c r="E158" s="2"/>
      <c r="F158" s="2"/>
      <c r="G158" s="2"/>
      <c r="H158" s="2"/>
      <c r="I158" s="2"/>
      <c r="J158" s="2"/>
      <c r="K158" s="2"/>
      <c r="L158" s="2"/>
      <c r="M158" s="2"/>
      <c r="N158" s="2"/>
      <c r="O158" s="2"/>
      <c r="P158" s="8"/>
      <c r="Q158" s="8"/>
      <c r="R158" s="8"/>
      <c r="S158" s="8"/>
      <c r="T158" s="8"/>
      <c r="U158" s="8"/>
      <c r="V158" s="8"/>
      <c r="W158" s="8"/>
    </row>
    <row r="159" spans="1:23" ht="12.75" x14ac:dyDescent="0.2">
      <c r="A159" s="2"/>
      <c r="B159" s="2"/>
      <c r="C159" s="2"/>
      <c r="D159" s="2"/>
      <c r="E159" s="2"/>
      <c r="F159" s="2"/>
      <c r="G159" s="2"/>
      <c r="H159" s="2"/>
      <c r="I159" s="2"/>
      <c r="J159" s="2"/>
      <c r="K159" s="2"/>
      <c r="L159" s="2"/>
      <c r="M159" s="2"/>
      <c r="N159" s="2"/>
      <c r="O159" s="2"/>
      <c r="P159" s="8"/>
      <c r="Q159" s="8"/>
      <c r="R159" s="8"/>
      <c r="S159" s="8"/>
      <c r="T159" s="8"/>
      <c r="U159" s="8"/>
      <c r="V159" s="8"/>
      <c r="W159" s="8"/>
    </row>
    <row r="160" spans="1:23" ht="12.75" x14ac:dyDescent="0.2">
      <c r="A160" s="2"/>
      <c r="B160" s="2"/>
      <c r="C160" s="2"/>
      <c r="D160" s="2"/>
      <c r="E160" s="2"/>
      <c r="F160" s="2"/>
      <c r="G160" s="2"/>
      <c r="H160" s="2"/>
      <c r="I160" s="2"/>
      <c r="J160" s="2"/>
      <c r="K160" s="2"/>
      <c r="L160" s="2"/>
      <c r="M160" s="2"/>
      <c r="N160" s="2"/>
      <c r="O160" s="2"/>
      <c r="P160" s="8"/>
      <c r="Q160" s="8"/>
      <c r="R160" s="8"/>
      <c r="S160" s="8"/>
      <c r="T160" s="8"/>
      <c r="U160" s="8"/>
      <c r="V160" s="8"/>
      <c r="W160" s="8"/>
    </row>
    <row r="161" spans="1:23" ht="12.75" x14ac:dyDescent="0.2">
      <c r="A161" s="2"/>
      <c r="B161" s="2"/>
      <c r="C161" s="2"/>
      <c r="D161" s="2"/>
      <c r="E161" s="2"/>
      <c r="F161" s="2"/>
      <c r="G161" s="2"/>
      <c r="H161" s="2"/>
      <c r="I161" s="2"/>
      <c r="J161" s="2"/>
      <c r="K161" s="2"/>
      <c r="L161" s="2"/>
      <c r="M161" s="2"/>
      <c r="N161" s="2"/>
      <c r="O161" s="2"/>
      <c r="P161" s="8"/>
      <c r="Q161" s="8"/>
      <c r="R161" s="8"/>
      <c r="S161" s="8"/>
      <c r="T161" s="8"/>
      <c r="U161" s="8"/>
      <c r="V161" s="8"/>
      <c r="W161" s="8"/>
    </row>
    <row r="162" spans="1:23" ht="12.75" x14ac:dyDescent="0.2">
      <c r="A162" s="2"/>
      <c r="B162" s="2"/>
      <c r="C162" s="2"/>
      <c r="D162" s="2"/>
      <c r="E162" s="2"/>
      <c r="F162" s="2"/>
      <c r="G162" s="2"/>
      <c r="H162" s="2"/>
      <c r="I162" s="2"/>
      <c r="J162" s="2"/>
      <c r="K162" s="2"/>
      <c r="L162" s="2"/>
      <c r="M162" s="2"/>
      <c r="N162" s="2"/>
      <c r="O162" s="2"/>
      <c r="P162" s="8"/>
      <c r="Q162" s="8"/>
      <c r="R162" s="8"/>
      <c r="S162" s="8"/>
      <c r="T162" s="8"/>
      <c r="U162" s="8"/>
      <c r="V162" s="8"/>
      <c r="W162" s="8"/>
    </row>
    <row r="163" spans="1:23" ht="12.75" x14ac:dyDescent="0.2">
      <c r="A163" s="2"/>
      <c r="B163" s="2"/>
      <c r="C163" s="2"/>
      <c r="D163" s="2"/>
      <c r="E163" s="2"/>
      <c r="F163" s="2"/>
      <c r="G163" s="2"/>
      <c r="H163" s="2"/>
      <c r="I163" s="2"/>
      <c r="J163" s="2"/>
      <c r="K163" s="2"/>
      <c r="L163" s="2"/>
      <c r="M163" s="2"/>
      <c r="N163" s="2"/>
      <c r="O163" s="2"/>
      <c r="P163" s="8"/>
      <c r="Q163" s="8"/>
      <c r="R163" s="8"/>
      <c r="S163" s="8"/>
      <c r="T163" s="8"/>
      <c r="U163" s="8"/>
      <c r="V163" s="8"/>
      <c r="W163" s="8"/>
    </row>
    <row r="164" spans="1:23" ht="12.75" x14ac:dyDescent="0.2">
      <c r="A164" s="2"/>
      <c r="B164" s="2"/>
      <c r="C164" s="2"/>
      <c r="D164" s="2"/>
      <c r="E164" s="2"/>
      <c r="F164" s="2"/>
      <c r="G164" s="2"/>
      <c r="H164" s="2"/>
      <c r="I164" s="2"/>
      <c r="J164" s="2"/>
      <c r="K164" s="2"/>
      <c r="L164" s="2"/>
      <c r="M164" s="2"/>
      <c r="N164" s="2"/>
      <c r="O164" s="2"/>
      <c r="P164" s="8"/>
      <c r="Q164" s="8"/>
      <c r="R164" s="8"/>
      <c r="S164" s="8"/>
      <c r="T164" s="8"/>
      <c r="U164" s="8"/>
      <c r="V164" s="8"/>
      <c r="W164" s="8"/>
    </row>
    <row r="165" spans="1:23" ht="12.75" x14ac:dyDescent="0.2">
      <c r="A165" s="2"/>
      <c r="B165" s="2"/>
      <c r="C165" s="2"/>
      <c r="D165" s="2"/>
      <c r="E165" s="2"/>
      <c r="F165" s="2"/>
      <c r="G165" s="2"/>
      <c r="H165" s="2"/>
      <c r="I165" s="2"/>
      <c r="J165" s="2"/>
      <c r="K165" s="2"/>
      <c r="L165" s="2"/>
      <c r="M165" s="2"/>
      <c r="N165" s="2"/>
      <c r="O165" s="2"/>
      <c r="P165" s="8"/>
      <c r="Q165" s="8"/>
      <c r="R165" s="8"/>
      <c r="S165" s="8"/>
      <c r="T165" s="8"/>
      <c r="U165" s="8"/>
      <c r="V165" s="8"/>
      <c r="W165" s="8"/>
    </row>
    <row r="166" spans="1:23" ht="12.75" x14ac:dyDescent="0.2">
      <c r="A166" s="2"/>
      <c r="B166" s="2"/>
      <c r="C166" s="2"/>
      <c r="D166" s="2"/>
      <c r="E166" s="2"/>
      <c r="F166" s="2"/>
      <c r="G166" s="2"/>
      <c r="H166" s="2"/>
      <c r="I166" s="2"/>
      <c r="J166" s="2"/>
      <c r="K166" s="2"/>
      <c r="L166" s="2"/>
      <c r="M166" s="2"/>
      <c r="N166" s="2"/>
      <c r="O166" s="2"/>
      <c r="P166" s="8"/>
      <c r="Q166" s="8"/>
      <c r="R166" s="8"/>
      <c r="S166" s="8"/>
      <c r="T166" s="8"/>
      <c r="U166" s="8"/>
      <c r="V166" s="8"/>
      <c r="W166" s="8"/>
    </row>
    <row r="167" spans="1:23" ht="12.75" x14ac:dyDescent="0.2">
      <c r="A167" s="2"/>
      <c r="B167" s="2"/>
      <c r="C167" s="2"/>
      <c r="D167" s="2"/>
      <c r="E167" s="2"/>
      <c r="F167" s="2"/>
      <c r="G167" s="2"/>
      <c r="H167" s="2"/>
      <c r="I167" s="2"/>
      <c r="J167" s="2"/>
      <c r="K167" s="2"/>
      <c r="L167" s="2"/>
      <c r="M167" s="2"/>
      <c r="N167" s="2"/>
      <c r="O167" s="2"/>
      <c r="P167" s="8"/>
      <c r="Q167" s="8"/>
      <c r="R167" s="8"/>
      <c r="S167" s="8"/>
      <c r="T167" s="8"/>
      <c r="U167" s="8"/>
      <c r="V167" s="8"/>
      <c r="W167" s="8"/>
    </row>
    <row r="168" spans="1:23" ht="12.75" x14ac:dyDescent="0.2">
      <c r="A168" s="2"/>
      <c r="B168" s="2"/>
      <c r="C168" s="2"/>
      <c r="D168" s="2"/>
      <c r="E168" s="2"/>
      <c r="F168" s="2"/>
      <c r="G168" s="2"/>
      <c r="H168" s="2"/>
      <c r="I168" s="2"/>
      <c r="J168" s="2"/>
      <c r="K168" s="2"/>
      <c r="L168" s="2"/>
      <c r="M168" s="2"/>
      <c r="N168" s="2"/>
      <c r="O168" s="2"/>
      <c r="P168" s="8"/>
      <c r="Q168" s="8"/>
      <c r="R168" s="8"/>
      <c r="S168" s="8"/>
      <c r="T168" s="8"/>
      <c r="U168" s="8"/>
      <c r="V168" s="8"/>
      <c r="W168" s="8"/>
    </row>
    <row r="169" spans="1:23" ht="12.75" x14ac:dyDescent="0.2">
      <c r="A169" s="2"/>
      <c r="B169" s="2"/>
      <c r="C169" s="2"/>
      <c r="D169" s="2"/>
      <c r="E169" s="2"/>
      <c r="F169" s="2"/>
      <c r="G169" s="2"/>
      <c r="H169" s="2"/>
      <c r="I169" s="2"/>
      <c r="J169" s="2"/>
      <c r="K169" s="2"/>
      <c r="L169" s="2"/>
      <c r="M169" s="2"/>
      <c r="N169" s="2"/>
      <c r="O169" s="2"/>
      <c r="P169" s="8"/>
      <c r="Q169" s="8"/>
      <c r="R169" s="8"/>
      <c r="S169" s="8"/>
      <c r="T169" s="8"/>
      <c r="U169" s="8"/>
      <c r="V169" s="8"/>
      <c r="W169" s="8"/>
    </row>
    <row r="170" spans="1:23" ht="12.75" x14ac:dyDescent="0.2">
      <c r="A170" s="2"/>
      <c r="B170" s="2"/>
      <c r="C170" s="2"/>
      <c r="D170" s="2"/>
      <c r="E170" s="2"/>
      <c r="F170" s="2"/>
      <c r="G170" s="2"/>
      <c r="H170" s="2"/>
      <c r="I170" s="2"/>
      <c r="J170" s="2"/>
      <c r="K170" s="2"/>
      <c r="L170" s="2"/>
      <c r="M170" s="2"/>
      <c r="N170" s="2"/>
      <c r="O170" s="2"/>
      <c r="P170" s="8"/>
      <c r="Q170" s="8"/>
      <c r="R170" s="8"/>
      <c r="S170" s="8"/>
      <c r="T170" s="8"/>
      <c r="U170" s="8"/>
      <c r="V170" s="8"/>
      <c r="W170" s="8"/>
    </row>
    <row r="171" spans="1:23" ht="12.75" x14ac:dyDescent="0.2">
      <c r="A171" s="2"/>
      <c r="B171" s="2"/>
      <c r="C171" s="2"/>
      <c r="D171" s="2"/>
      <c r="E171" s="2"/>
      <c r="F171" s="2"/>
      <c r="G171" s="2"/>
      <c r="H171" s="2"/>
      <c r="I171" s="2"/>
      <c r="J171" s="2"/>
      <c r="K171" s="2"/>
      <c r="L171" s="2"/>
      <c r="M171" s="2"/>
      <c r="N171" s="2"/>
      <c r="O171" s="2"/>
      <c r="P171" s="8"/>
      <c r="Q171" s="8"/>
      <c r="R171" s="8"/>
      <c r="S171" s="8"/>
      <c r="T171" s="8"/>
      <c r="U171" s="8"/>
      <c r="V171" s="8"/>
      <c r="W171" s="8"/>
    </row>
    <row r="172" spans="1:23" ht="12.75" x14ac:dyDescent="0.2">
      <c r="A172" s="2"/>
      <c r="B172" s="2"/>
      <c r="C172" s="2"/>
      <c r="D172" s="2"/>
      <c r="E172" s="2"/>
      <c r="F172" s="2"/>
      <c r="G172" s="2"/>
      <c r="H172" s="2"/>
      <c r="I172" s="2"/>
      <c r="J172" s="2"/>
      <c r="K172" s="2"/>
      <c r="L172" s="2"/>
      <c r="M172" s="2"/>
      <c r="N172" s="2"/>
      <c r="O172" s="2"/>
      <c r="P172" s="8"/>
      <c r="Q172" s="8"/>
      <c r="R172" s="8"/>
      <c r="S172" s="8"/>
      <c r="T172" s="8"/>
      <c r="U172" s="8"/>
      <c r="V172" s="8"/>
      <c r="W172" s="8"/>
    </row>
    <row r="173" spans="1:23" ht="12.75" x14ac:dyDescent="0.2">
      <c r="A173" s="2"/>
      <c r="B173" s="2"/>
      <c r="C173" s="2"/>
      <c r="D173" s="2"/>
      <c r="E173" s="2"/>
      <c r="F173" s="2"/>
      <c r="G173" s="2"/>
      <c r="H173" s="2"/>
      <c r="I173" s="2"/>
      <c r="J173" s="2"/>
      <c r="K173" s="2"/>
      <c r="L173" s="2"/>
      <c r="M173" s="2"/>
      <c r="N173" s="2"/>
      <c r="O173" s="2"/>
      <c r="P173" s="8"/>
      <c r="Q173" s="8"/>
      <c r="R173" s="8"/>
      <c r="S173" s="8"/>
      <c r="T173" s="8"/>
      <c r="U173" s="8"/>
      <c r="V173" s="8"/>
      <c r="W173" s="8"/>
    </row>
    <row r="174" spans="1:23" ht="12.75" x14ac:dyDescent="0.2">
      <c r="A174" s="2"/>
      <c r="B174" s="2"/>
      <c r="C174" s="2"/>
      <c r="D174" s="2"/>
      <c r="E174" s="2"/>
      <c r="F174" s="2"/>
      <c r="G174" s="2"/>
      <c r="H174" s="2"/>
      <c r="I174" s="2"/>
      <c r="J174" s="2"/>
      <c r="K174" s="2"/>
      <c r="L174" s="2"/>
      <c r="M174" s="2"/>
      <c r="N174" s="2"/>
      <c r="O174" s="2"/>
      <c r="P174" s="8"/>
      <c r="Q174" s="8"/>
      <c r="R174" s="8"/>
      <c r="S174" s="8"/>
      <c r="T174" s="8"/>
      <c r="U174" s="8"/>
      <c r="V174" s="8"/>
      <c r="W174" s="8"/>
    </row>
    <row r="175" spans="1:23" ht="12.75" x14ac:dyDescent="0.2">
      <c r="A175" s="2"/>
      <c r="B175" s="2"/>
      <c r="C175" s="2"/>
      <c r="D175" s="2"/>
      <c r="E175" s="2"/>
      <c r="F175" s="2"/>
      <c r="G175" s="2"/>
      <c r="H175" s="2"/>
      <c r="I175" s="2"/>
      <c r="J175" s="2"/>
      <c r="K175" s="2"/>
      <c r="L175" s="2"/>
      <c r="M175" s="2"/>
      <c r="N175" s="2"/>
      <c r="O175" s="2"/>
      <c r="P175" s="8"/>
      <c r="Q175" s="8"/>
      <c r="R175" s="8"/>
      <c r="S175" s="8"/>
      <c r="T175" s="8"/>
      <c r="U175" s="8"/>
      <c r="V175" s="8"/>
      <c r="W175" s="8"/>
    </row>
    <row r="176" spans="1:23" ht="12.75" x14ac:dyDescent="0.2">
      <c r="A176" s="2"/>
      <c r="B176" s="2"/>
      <c r="C176" s="2"/>
      <c r="D176" s="2"/>
      <c r="E176" s="2"/>
      <c r="F176" s="2"/>
      <c r="G176" s="2"/>
      <c r="H176" s="2"/>
      <c r="I176" s="2"/>
      <c r="J176" s="2"/>
      <c r="K176" s="2"/>
      <c r="L176" s="2"/>
      <c r="M176" s="2"/>
      <c r="N176" s="2"/>
      <c r="O176" s="2"/>
      <c r="P176" s="8"/>
      <c r="Q176" s="8"/>
      <c r="R176" s="8"/>
      <c r="S176" s="8"/>
      <c r="T176" s="8"/>
      <c r="U176" s="8"/>
      <c r="V176" s="8"/>
      <c r="W176" s="8"/>
    </row>
    <row r="177" spans="1:23" ht="12.75" x14ac:dyDescent="0.2">
      <c r="A177" s="2"/>
      <c r="B177" s="2"/>
      <c r="C177" s="2"/>
      <c r="D177" s="2"/>
      <c r="E177" s="2"/>
      <c r="F177" s="2"/>
      <c r="G177" s="2"/>
      <c r="H177" s="2"/>
      <c r="I177" s="2"/>
      <c r="J177" s="2"/>
      <c r="K177" s="2"/>
      <c r="L177" s="2"/>
      <c r="M177" s="2"/>
      <c r="N177" s="2"/>
      <c r="O177" s="2"/>
      <c r="P177" s="8"/>
      <c r="Q177" s="8"/>
      <c r="R177" s="8"/>
      <c r="S177" s="8"/>
      <c r="T177" s="8"/>
      <c r="U177" s="8"/>
      <c r="V177" s="8"/>
      <c r="W177" s="8"/>
    </row>
    <row r="178" spans="1:23" ht="12.75" x14ac:dyDescent="0.2">
      <c r="A178" s="2"/>
      <c r="B178" s="2"/>
      <c r="C178" s="2"/>
      <c r="D178" s="2"/>
      <c r="E178" s="2"/>
      <c r="F178" s="2"/>
      <c r="G178" s="2"/>
      <c r="H178" s="2"/>
      <c r="I178" s="2"/>
      <c r="J178" s="2"/>
      <c r="K178" s="2"/>
      <c r="L178" s="2"/>
      <c r="M178" s="2"/>
      <c r="N178" s="2"/>
      <c r="O178" s="2"/>
      <c r="P178" s="8"/>
      <c r="Q178" s="8"/>
      <c r="R178" s="8"/>
      <c r="S178" s="8"/>
      <c r="T178" s="8"/>
      <c r="U178" s="8"/>
      <c r="V178" s="8"/>
      <c r="W178" s="8"/>
    </row>
    <row r="179" spans="1:23" ht="12.75" x14ac:dyDescent="0.2">
      <c r="A179" s="2"/>
      <c r="B179" s="2"/>
      <c r="C179" s="2"/>
      <c r="D179" s="2"/>
      <c r="E179" s="2"/>
      <c r="F179" s="2"/>
      <c r="G179" s="2"/>
      <c r="H179" s="2"/>
      <c r="I179" s="2"/>
      <c r="J179" s="2"/>
      <c r="K179" s="2"/>
      <c r="L179" s="2"/>
      <c r="M179" s="2"/>
      <c r="N179" s="2"/>
      <c r="O179" s="2"/>
      <c r="P179" s="8"/>
      <c r="Q179" s="8"/>
      <c r="R179" s="8"/>
      <c r="S179" s="8"/>
      <c r="T179" s="8"/>
      <c r="U179" s="8"/>
      <c r="V179" s="8"/>
      <c r="W179" s="8"/>
    </row>
    <row r="180" spans="1:23" ht="12.75" x14ac:dyDescent="0.2">
      <c r="A180" s="2"/>
      <c r="B180" s="2"/>
      <c r="C180" s="2"/>
      <c r="D180" s="2"/>
      <c r="E180" s="2"/>
      <c r="F180" s="2"/>
      <c r="G180" s="2"/>
      <c r="H180" s="2"/>
      <c r="I180" s="2"/>
      <c r="J180" s="2"/>
      <c r="K180" s="2"/>
      <c r="L180" s="2"/>
      <c r="M180" s="2"/>
      <c r="N180" s="2"/>
      <c r="O180" s="2"/>
      <c r="P180" s="8"/>
      <c r="Q180" s="8"/>
      <c r="R180" s="8"/>
      <c r="S180" s="8"/>
      <c r="T180" s="8"/>
      <c r="U180" s="8"/>
      <c r="V180" s="8"/>
      <c r="W180" s="8"/>
    </row>
    <row r="181" spans="1:23" ht="12.75" x14ac:dyDescent="0.2">
      <c r="A181" s="2"/>
      <c r="B181" s="2"/>
      <c r="C181" s="2"/>
      <c r="D181" s="2"/>
      <c r="E181" s="2"/>
      <c r="F181" s="2"/>
      <c r="G181" s="2"/>
      <c r="H181" s="2"/>
      <c r="I181" s="2"/>
      <c r="J181" s="2"/>
      <c r="K181" s="2"/>
      <c r="L181" s="2"/>
      <c r="M181" s="2"/>
      <c r="N181" s="2"/>
      <c r="O181" s="2"/>
      <c r="P181" s="8"/>
      <c r="Q181" s="8"/>
      <c r="R181" s="8"/>
      <c r="S181" s="8"/>
      <c r="T181" s="8"/>
      <c r="U181" s="8"/>
      <c r="V181" s="8"/>
      <c r="W181" s="8"/>
    </row>
    <row r="182" spans="1:23" ht="12.75" x14ac:dyDescent="0.2">
      <c r="A182" s="2"/>
      <c r="B182" s="2"/>
      <c r="C182" s="2"/>
      <c r="D182" s="2"/>
      <c r="E182" s="2"/>
      <c r="F182" s="2"/>
      <c r="G182" s="2"/>
      <c r="H182" s="2"/>
      <c r="I182" s="2"/>
      <c r="J182" s="2"/>
      <c r="K182" s="2"/>
      <c r="L182" s="2"/>
      <c r="M182" s="2"/>
      <c r="N182" s="2"/>
      <c r="O182" s="2"/>
      <c r="P182" s="8"/>
      <c r="Q182" s="8"/>
      <c r="R182" s="8"/>
      <c r="S182" s="8"/>
      <c r="T182" s="8"/>
      <c r="U182" s="8"/>
      <c r="V182" s="8"/>
      <c r="W182" s="8"/>
    </row>
    <row r="183" spans="1:23" ht="12.75" x14ac:dyDescent="0.2">
      <c r="A183" s="2"/>
      <c r="B183" s="2"/>
      <c r="C183" s="2"/>
      <c r="D183" s="2"/>
      <c r="E183" s="2"/>
      <c r="F183" s="2"/>
      <c r="G183" s="2"/>
      <c r="H183" s="2"/>
      <c r="I183" s="2"/>
      <c r="J183" s="2"/>
      <c r="K183" s="2"/>
      <c r="L183" s="2"/>
      <c r="M183" s="2"/>
      <c r="N183" s="2"/>
      <c r="O183" s="2"/>
      <c r="P183" s="8"/>
      <c r="Q183" s="8"/>
      <c r="R183" s="8"/>
      <c r="S183" s="8"/>
      <c r="T183" s="8"/>
      <c r="U183" s="8"/>
      <c r="V183" s="8"/>
      <c r="W183" s="8"/>
    </row>
    <row r="184" spans="1:23" ht="12.75" x14ac:dyDescent="0.2">
      <c r="A184" s="2"/>
      <c r="B184" s="2"/>
      <c r="C184" s="2"/>
      <c r="D184" s="2"/>
      <c r="E184" s="2"/>
      <c r="F184" s="2"/>
      <c r="G184" s="2"/>
      <c r="H184" s="2"/>
      <c r="I184" s="2"/>
      <c r="J184" s="2"/>
      <c r="K184" s="2"/>
      <c r="L184" s="2"/>
      <c r="M184" s="2"/>
      <c r="N184" s="2"/>
      <c r="O184" s="2"/>
      <c r="P184" s="8"/>
      <c r="Q184" s="8"/>
      <c r="R184" s="8"/>
      <c r="S184" s="8"/>
      <c r="T184" s="8"/>
      <c r="U184" s="8"/>
      <c r="V184" s="8"/>
      <c r="W184" s="8"/>
    </row>
    <row r="185" spans="1:23" ht="12.75" x14ac:dyDescent="0.2">
      <c r="A185" s="2"/>
      <c r="B185" s="2"/>
      <c r="C185" s="2"/>
      <c r="D185" s="2"/>
      <c r="E185" s="2"/>
      <c r="F185" s="2"/>
      <c r="G185" s="2"/>
      <c r="H185" s="2"/>
      <c r="I185" s="2"/>
      <c r="J185" s="2"/>
      <c r="K185" s="2"/>
      <c r="L185" s="2"/>
      <c r="M185" s="2"/>
      <c r="N185" s="2"/>
      <c r="O185" s="2"/>
      <c r="P185" s="8"/>
      <c r="Q185" s="8"/>
      <c r="R185" s="8"/>
      <c r="S185" s="8"/>
      <c r="T185" s="8"/>
      <c r="U185" s="8"/>
      <c r="V185" s="8"/>
      <c r="W185" s="8"/>
    </row>
    <row r="186" spans="1:23" ht="12.75" x14ac:dyDescent="0.2">
      <c r="A186" s="2"/>
      <c r="B186" s="2"/>
      <c r="C186" s="2"/>
      <c r="D186" s="2"/>
      <c r="E186" s="2"/>
      <c r="F186" s="2"/>
      <c r="G186" s="2"/>
      <c r="H186" s="2"/>
      <c r="I186" s="2"/>
      <c r="J186" s="2"/>
      <c r="K186" s="2"/>
      <c r="L186" s="2"/>
      <c r="M186" s="2"/>
      <c r="N186" s="2"/>
      <c r="O186" s="2"/>
      <c r="P186" s="8"/>
      <c r="Q186" s="8"/>
      <c r="R186" s="8"/>
      <c r="S186" s="8"/>
      <c r="T186" s="8"/>
      <c r="U186" s="8"/>
      <c r="V186" s="8"/>
      <c r="W186" s="8"/>
    </row>
    <row r="187" spans="1:23" ht="12.75" x14ac:dyDescent="0.2">
      <c r="A187" s="2"/>
      <c r="B187" s="2"/>
      <c r="C187" s="2"/>
      <c r="D187" s="2"/>
      <c r="E187" s="2"/>
      <c r="F187" s="2"/>
      <c r="G187" s="2"/>
      <c r="H187" s="2"/>
      <c r="I187" s="2"/>
      <c r="J187" s="2"/>
      <c r="K187" s="2"/>
      <c r="L187" s="2"/>
      <c r="M187" s="2"/>
      <c r="N187" s="2"/>
      <c r="O187" s="2"/>
      <c r="P187" s="8"/>
      <c r="Q187" s="8"/>
      <c r="R187" s="8"/>
      <c r="S187" s="8"/>
      <c r="T187" s="8"/>
      <c r="U187" s="8"/>
      <c r="V187" s="8"/>
      <c r="W187" s="8"/>
    </row>
    <row r="188" spans="1:23" ht="12.75" x14ac:dyDescent="0.2">
      <c r="A188" s="2"/>
      <c r="B188" s="2"/>
      <c r="C188" s="2"/>
      <c r="D188" s="2"/>
      <c r="E188" s="2"/>
      <c r="F188" s="2"/>
      <c r="G188" s="2"/>
      <c r="H188" s="2"/>
      <c r="I188" s="2"/>
      <c r="J188" s="2"/>
      <c r="K188" s="2"/>
      <c r="L188" s="2"/>
      <c r="M188" s="2"/>
      <c r="N188" s="2"/>
      <c r="O188" s="2"/>
      <c r="P188" s="8"/>
      <c r="Q188" s="8"/>
      <c r="R188" s="8"/>
      <c r="S188" s="8"/>
      <c r="T188" s="8"/>
      <c r="U188" s="8"/>
      <c r="V188" s="8"/>
      <c r="W188" s="8"/>
    </row>
    <row r="189" spans="1:23" ht="12.75" x14ac:dyDescent="0.2">
      <c r="A189" s="2"/>
      <c r="B189" s="2"/>
      <c r="C189" s="2"/>
      <c r="D189" s="2"/>
      <c r="E189" s="2"/>
      <c r="F189" s="2"/>
      <c r="G189" s="2"/>
      <c r="H189" s="2"/>
      <c r="I189" s="2"/>
      <c r="J189" s="2"/>
      <c r="K189" s="2"/>
      <c r="L189" s="2"/>
      <c r="M189" s="2"/>
      <c r="N189" s="2"/>
      <c r="O189" s="2"/>
      <c r="P189" s="8"/>
      <c r="Q189" s="8"/>
      <c r="R189" s="8"/>
      <c r="S189" s="8"/>
      <c r="T189" s="8"/>
      <c r="U189" s="8"/>
      <c r="V189" s="8"/>
      <c r="W189" s="8"/>
    </row>
    <row r="190" spans="1:23" ht="12.75" x14ac:dyDescent="0.2">
      <c r="A190" s="2"/>
      <c r="B190" s="2"/>
      <c r="C190" s="2"/>
      <c r="D190" s="2"/>
      <c r="E190" s="2"/>
      <c r="F190" s="2"/>
      <c r="G190" s="2"/>
      <c r="H190" s="2"/>
      <c r="I190" s="2"/>
      <c r="J190" s="2"/>
      <c r="K190" s="2"/>
      <c r="L190" s="2"/>
      <c r="M190" s="2"/>
      <c r="N190" s="2"/>
      <c r="O190" s="2"/>
      <c r="P190" s="8"/>
      <c r="Q190" s="8"/>
      <c r="R190" s="8"/>
      <c r="S190" s="8"/>
      <c r="T190" s="8"/>
      <c r="U190" s="8"/>
      <c r="V190" s="8"/>
      <c r="W190" s="8"/>
    </row>
    <row r="191" spans="1:23" ht="12.75" x14ac:dyDescent="0.2">
      <c r="A191" s="2"/>
      <c r="B191" s="2"/>
      <c r="C191" s="2"/>
      <c r="D191" s="2"/>
      <c r="E191" s="2"/>
      <c r="F191" s="2"/>
      <c r="G191" s="2"/>
      <c r="H191" s="2"/>
      <c r="I191" s="2"/>
      <c r="J191" s="2"/>
      <c r="K191" s="2"/>
      <c r="L191" s="2"/>
      <c r="M191" s="2"/>
      <c r="N191" s="2"/>
      <c r="O191" s="2"/>
      <c r="P191" s="8"/>
      <c r="Q191" s="8"/>
      <c r="R191" s="8"/>
      <c r="S191" s="8"/>
      <c r="T191" s="8"/>
      <c r="U191" s="8"/>
      <c r="V191" s="8"/>
      <c r="W191" s="8"/>
    </row>
    <row r="192" spans="1:23" ht="12.75" x14ac:dyDescent="0.2">
      <c r="A192" s="2"/>
      <c r="B192" s="2"/>
      <c r="C192" s="2"/>
      <c r="D192" s="2"/>
      <c r="E192" s="2"/>
      <c r="F192" s="2"/>
      <c r="G192" s="2"/>
      <c r="H192" s="2"/>
      <c r="I192" s="2"/>
      <c r="J192" s="2"/>
      <c r="K192" s="2"/>
      <c r="L192" s="2"/>
      <c r="M192" s="2"/>
      <c r="N192" s="2"/>
      <c r="O192" s="2"/>
      <c r="P192" s="8"/>
      <c r="Q192" s="8"/>
      <c r="R192" s="8"/>
      <c r="S192" s="8"/>
      <c r="T192" s="8"/>
      <c r="U192" s="8"/>
      <c r="V192" s="8"/>
      <c r="W192" s="8"/>
    </row>
    <row r="193" spans="1:23" ht="12.75" x14ac:dyDescent="0.2">
      <c r="A193" s="2"/>
      <c r="B193" s="2"/>
      <c r="C193" s="2"/>
      <c r="D193" s="2"/>
      <c r="E193" s="2"/>
      <c r="F193" s="2"/>
      <c r="G193" s="2"/>
      <c r="H193" s="2"/>
      <c r="I193" s="2"/>
      <c r="J193" s="2"/>
      <c r="K193" s="2"/>
      <c r="L193" s="2"/>
      <c r="M193" s="2"/>
      <c r="N193" s="2"/>
      <c r="O193" s="2"/>
      <c r="P193" s="8"/>
      <c r="Q193" s="8"/>
      <c r="R193" s="8"/>
      <c r="S193" s="8"/>
      <c r="T193" s="8"/>
      <c r="U193" s="8"/>
      <c r="V193" s="8"/>
      <c r="W193" s="8"/>
    </row>
    <row r="194" spans="1:23" ht="12.75" x14ac:dyDescent="0.2">
      <c r="A194" s="2"/>
      <c r="B194" s="2"/>
      <c r="C194" s="2"/>
      <c r="D194" s="2"/>
      <c r="E194" s="2"/>
      <c r="F194" s="2"/>
      <c r="G194" s="2"/>
      <c r="H194" s="2"/>
      <c r="I194" s="2"/>
      <c r="J194" s="2"/>
      <c r="K194" s="2"/>
      <c r="L194" s="2"/>
      <c r="M194" s="2"/>
      <c r="N194" s="2"/>
      <c r="O194" s="2"/>
      <c r="P194" s="8"/>
      <c r="Q194" s="8"/>
      <c r="R194" s="8"/>
      <c r="S194" s="8"/>
      <c r="T194" s="8"/>
      <c r="U194" s="8"/>
      <c r="V194" s="8"/>
      <c r="W194" s="8"/>
    </row>
    <row r="195" spans="1:23" ht="12.75" x14ac:dyDescent="0.2">
      <c r="A195" s="2"/>
      <c r="B195" s="2"/>
      <c r="C195" s="2"/>
      <c r="D195" s="2"/>
      <c r="E195" s="2"/>
      <c r="F195" s="2"/>
      <c r="G195" s="2"/>
      <c r="H195" s="2"/>
      <c r="I195" s="2"/>
      <c r="J195" s="2"/>
      <c r="K195" s="2"/>
      <c r="L195" s="2"/>
      <c r="M195" s="2"/>
      <c r="N195" s="2"/>
      <c r="O195" s="2"/>
      <c r="P195" s="8"/>
      <c r="Q195" s="8"/>
      <c r="R195" s="8"/>
      <c r="S195" s="8"/>
      <c r="T195" s="8"/>
      <c r="U195" s="8"/>
      <c r="V195" s="8"/>
      <c r="W195" s="8"/>
    </row>
    <row r="196" spans="1:23" ht="12.75" x14ac:dyDescent="0.2">
      <c r="A196" s="2"/>
      <c r="B196" s="2"/>
      <c r="C196" s="2"/>
      <c r="D196" s="2"/>
      <c r="E196" s="2"/>
      <c r="F196" s="2"/>
      <c r="G196" s="2"/>
      <c r="H196" s="2"/>
      <c r="I196" s="2"/>
      <c r="J196" s="2"/>
      <c r="K196" s="2"/>
      <c r="L196" s="2"/>
      <c r="M196" s="2"/>
      <c r="N196" s="2"/>
      <c r="O196" s="2"/>
      <c r="P196" s="8"/>
      <c r="Q196" s="8"/>
      <c r="R196" s="8"/>
      <c r="S196" s="8"/>
      <c r="T196" s="8"/>
      <c r="U196" s="8"/>
      <c r="V196" s="8"/>
      <c r="W196" s="8"/>
    </row>
    <row r="197" spans="1:23" ht="12.75" x14ac:dyDescent="0.2">
      <c r="A197" s="2"/>
      <c r="B197" s="2"/>
      <c r="C197" s="2"/>
      <c r="D197" s="2"/>
      <c r="E197" s="2"/>
      <c r="F197" s="2"/>
      <c r="G197" s="2"/>
      <c r="H197" s="2"/>
      <c r="I197" s="2"/>
      <c r="J197" s="2"/>
      <c r="K197" s="2"/>
      <c r="L197" s="2"/>
      <c r="M197" s="2"/>
      <c r="N197" s="2"/>
      <c r="O197" s="2"/>
      <c r="P197" s="8"/>
      <c r="Q197" s="8"/>
      <c r="R197" s="8"/>
      <c r="S197" s="8"/>
      <c r="T197" s="8"/>
      <c r="U197" s="8"/>
      <c r="V197" s="8"/>
      <c r="W197" s="8"/>
    </row>
    <row r="198" spans="1:23" ht="12.75" x14ac:dyDescent="0.2">
      <c r="A198" s="2"/>
      <c r="B198" s="2"/>
      <c r="C198" s="2"/>
      <c r="D198" s="2"/>
      <c r="E198" s="2"/>
      <c r="F198" s="2"/>
      <c r="G198" s="2"/>
      <c r="H198" s="2"/>
      <c r="I198" s="2"/>
      <c r="J198" s="2"/>
      <c r="K198" s="2"/>
      <c r="L198" s="2"/>
      <c r="M198" s="2"/>
      <c r="N198" s="2"/>
      <c r="O198" s="2"/>
      <c r="P198" s="8"/>
      <c r="Q198" s="8"/>
      <c r="R198" s="8"/>
      <c r="S198" s="8"/>
      <c r="T198" s="8"/>
      <c r="U198" s="8"/>
      <c r="V198" s="8"/>
      <c r="W198" s="8"/>
    </row>
    <row r="199" spans="1:23" ht="12.75" x14ac:dyDescent="0.2">
      <c r="A199" s="2"/>
      <c r="B199" s="2"/>
      <c r="C199" s="2"/>
      <c r="D199" s="2"/>
      <c r="E199" s="2"/>
      <c r="F199" s="2"/>
      <c r="G199" s="2"/>
      <c r="H199" s="2"/>
      <c r="I199" s="2"/>
      <c r="J199" s="2"/>
      <c r="K199" s="2"/>
      <c r="L199" s="2"/>
      <c r="M199" s="2"/>
      <c r="N199" s="2"/>
      <c r="O199" s="2"/>
      <c r="P199" s="8"/>
      <c r="Q199" s="8"/>
      <c r="R199" s="8"/>
      <c r="S199" s="8"/>
      <c r="T199" s="8"/>
      <c r="U199" s="8"/>
      <c r="V199" s="8"/>
      <c r="W199" s="8"/>
    </row>
    <row r="200" spans="1:23" ht="12.75" x14ac:dyDescent="0.2">
      <c r="A200" s="2"/>
      <c r="B200" s="2"/>
      <c r="C200" s="2"/>
      <c r="D200" s="2"/>
      <c r="E200" s="2"/>
      <c r="F200" s="2"/>
      <c r="G200" s="2"/>
      <c r="H200" s="2"/>
      <c r="I200" s="2"/>
      <c r="J200" s="2"/>
      <c r="K200" s="2"/>
      <c r="L200" s="2"/>
      <c r="M200" s="2"/>
      <c r="N200" s="2"/>
      <c r="O200" s="2"/>
      <c r="P200" s="8"/>
      <c r="Q200" s="8"/>
      <c r="R200" s="8"/>
      <c r="S200" s="8"/>
      <c r="T200" s="8"/>
      <c r="U200" s="8"/>
      <c r="V200" s="8"/>
      <c r="W200" s="8"/>
    </row>
    <row r="201" spans="1:23" ht="12.75" x14ac:dyDescent="0.2">
      <c r="A201" s="2"/>
      <c r="B201" s="2"/>
      <c r="C201" s="2"/>
      <c r="D201" s="2"/>
      <c r="E201" s="2"/>
      <c r="F201" s="2"/>
      <c r="G201" s="2"/>
      <c r="H201" s="2"/>
      <c r="I201" s="2"/>
      <c r="J201" s="2"/>
      <c r="K201" s="2"/>
      <c r="L201" s="2"/>
      <c r="M201" s="2"/>
      <c r="N201" s="2"/>
      <c r="O201" s="2"/>
      <c r="P201" s="8"/>
      <c r="Q201" s="8"/>
      <c r="R201" s="8"/>
      <c r="S201" s="8"/>
      <c r="T201" s="8"/>
      <c r="U201" s="8"/>
      <c r="V201" s="8"/>
      <c r="W201" s="8"/>
    </row>
    <row r="202" spans="1:23" ht="12.75" x14ac:dyDescent="0.2">
      <c r="A202" s="2"/>
      <c r="B202" s="2"/>
      <c r="C202" s="2"/>
      <c r="D202" s="2"/>
      <c r="E202" s="2"/>
      <c r="F202" s="2"/>
      <c r="G202" s="2"/>
      <c r="H202" s="2"/>
      <c r="I202" s="2"/>
      <c r="J202" s="2"/>
      <c r="K202" s="2"/>
      <c r="L202" s="2"/>
      <c r="M202" s="2"/>
      <c r="N202" s="2"/>
      <c r="O202" s="2"/>
      <c r="P202" s="8"/>
      <c r="Q202" s="8"/>
      <c r="R202" s="8"/>
      <c r="S202" s="8"/>
      <c r="T202" s="8"/>
      <c r="U202" s="8"/>
      <c r="V202" s="8"/>
      <c r="W202" s="8"/>
    </row>
    <row r="203" spans="1:23" ht="12.75" x14ac:dyDescent="0.2">
      <c r="A203" s="2"/>
      <c r="B203" s="2"/>
      <c r="C203" s="2"/>
      <c r="D203" s="2"/>
      <c r="E203" s="2"/>
      <c r="F203" s="2"/>
      <c r="G203" s="2"/>
      <c r="H203" s="2"/>
      <c r="I203" s="2"/>
      <c r="J203" s="2"/>
      <c r="K203" s="2"/>
      <c r="L203" s="2"/>
      <c r="M203" s="2"/>
      <c r="N203" s="2"/>
      <c r="O203" s="2"/>
      <c r="P203" s="8"/>
      <c r="Q203" s="8"/>
      <c r="R203" s="8"/>
      <c r="S203" s="8"/>
      <c r="T203" s="8"/>
      <c r="U203" s="8"/>
      <c r="V203" s="8"/>
      <c r="W203" s="8"/>
    </row>
    <row r="204" spans="1:23" ht="12.75" x14ac:dyDescent="0.2">
      <c r="A204" s="2"/>
      <c r="B204" s="2"/>
      <c r="C204" s="2"/>
      <c r="D204" s="2"/>
      <c r="E204" s="2"/>
      <c r="F204" s="2"/>
      <c r="G204" s="2"/>
      <c r="H204" s="2"/>
      <c r="I204" s="2"/>
      <c r="J204" s="2"/>
      <c r="K204" s="2"/>
      <c r="L204" s="2"/>
      <c r="M204" s="2"/>
      <c r="N204" s="2"/>
      <c r="O204" s="2"/>
      <c r="P204" s="8"/>
      <c r="Q204" s="8"/>
      <c r="R204" s="8"/>
      <c r="S204" s="8"/>
      <c r="T204" s="8"/>
      <c r="U204" s="8"/>
      <c r="V204" s="8"/>
      <c r="W204" s="8"/>
    </row>
    <row r="205" spans="1:23" ht="12.75" x14ac:dyDescent="0.2">
      <c r="A205" s="2"/>
      <c r="B205" s="2"/>
      <c r="C205" s="2"/>
      <c r="D205" s="2"/>
      <c r="E205" s="2"/>
      <c r="F205" s="2"/>
      <c r="G205" s="2"/>
      <c r="H205" s="2"/>
      <c r="I205" s="2"/>
      <c r="J205" s="2"/>
      <c r="K205" s="2"/>
      <c r="L205" s="2"/>
      <c r="M205" s="2"/>
      <c r="N205" s="2"/>
      <c r="O205" s="2"/>
      <c r="P205" s="8"/>
      <c r="Q205" s="8"/>
      <c r="R205" s="8"/>
      <c r="S205" s="8"/>
      <c r="T205" s="8"/>
      <c r="U205" s="8"/>
      <c r="V205" s="8"/>
      <c r="W205" s="8"/>
    </row>
    <row r="206" spans="1:23" ht="12.75" x14ac:dyDescent="0.2">
      <c r="A206" s="2"/>
      <c r="B206" s="2"/>
      <c r="C206" s="2"/>
      <c r="D206" s="2"/>
      <c r="E206" s="2"/>
      <c r="F206" s="2"/>
      <c r="G206" s="2"/>
      <c r="H206" s="2"/>
      <c r="I206" s="2"/>
      <c r="J206" s="2"/>
      <c r="K206" s="2"/>
      <c r="L206" s="2"/>
      <c r="M206" s="2"/>
      <c r="N206" s="2"/>
      <c r="O206" s="2"/>
      <c r="P206" s="8"/>
      <c r="Q206" s="8"/>
      <c r="R206" s="8"/>
      <c r="S206" s="8"/>
      <c r="T206" s="8"/>
      <c r="U206" s="8"/>
      <c r="V206" s="8"/>
      <c r="W206" s="8"/>
    </row>
    <row r="207" spans="1:23" ht="12.75" x14ac:dyDescent="0.2">
      <c r="A207" s="2"/>
      <c r="B207" s="2"/>
      <c r="C207" s="2"/>
      <c r="D207" s="2"/>
      <c r="E207" s="2"/>
      <c r="F207" s="2"/>
      <c r="G207" s="2"/>
      <c r="H207" s="2"/>
      <c r="I207" s="2"/>
      <c r="J207" s="2"/>
      <c r="K207" s="2"/>
      <c r="L207" s="2"/>
      <c r="M207" s="2"/>
      <c r="N207" s="2"/>
      <c r="O207" s="2"/>
      <c r="P207" s="8"/>
      <c r="Q207" s="8"/>
      <c r="R207" s="8"/>
      <c r="S207" s="8"/>
      <c r="T207" s="8"/>
      <c r="U207" s="8"/>
      <c r="V207" s="8"/>
      <c r="W207" s="8"/>
    </row>
    <row r="208" spans="1:23" ht="12.75" x14ac:dyDescent="0.2">
      <c r="A208" s="2"/>
      <c r="B208" s="2"/>
      <c r="C208" s="2"/>
      <c r="D208" s="2"/>
      <c r="E208" s="2"/>
      <c r="F208" s="2"/>
      <c r="G208" s="2"/>
      <c r="H208" s="2"/>
      <c r="I208" s="2"/>
      <c r="J208" s="2"/>
      <c r="K208" s="2"/>
      <c r="L208" s="2"/>
      <c r="M208" s="2"/>
      <c r="N208" s="2"/>
      <c r="O208" s="2"/>
      <c r="P208" s="8"/>
      <c r="Q208" s="8"/>
      <c r="R208" s="8"/>
      <c r="S208" s="8"/>
      <c r="T208" s="8"/>
      <c r="U208" s="8"/>
      <c r="V208" s="8"/>
      <c r="W208" s="8"/>
    </row>
    <row r="209" spans="1:23" ht="12.75" x14ac:dyDescent="0.2">
      <c r="A209" s="2"/>
      <c r="B209" s="2"/>
      <c r="C209" s="2"/>
      <c r="D209" s="2"/>
      <c r="E209" s="2"/>
      <c r="F209" s="2"/>
      <c r="G209" s="2"/>
      <c r="H209" s="2"/>
      <c r="I209" s="2"/>
      <c r="J209" s="2"/>
      <c r="K209" s="2"/>
      <c r="L209" s="2"/>
      <c r="M209" s="2"/>
      <c r="N209" s="2"/>
      <c r="O209" s="2"/>
      <c r="P209" s="8"/>
      <c r="Q209" s="8"/>
      <c r="R209" s="8"/>
      <c r="S209" s="8"/>
      <c r="T209" s="8"/>
      <c r="U209" s="8"/>
      <c r="V209" s="8"/>
      <c r="W209" s="8"/>
    </row>
    <row r="210" spans="1:23" ht="12.75" x14ac:dyDescent="0.2">
      <c r="A210" s="2"/>
      <c r="B210" s="2"/>
      <c r="C210" s="2"/>
      <c r="D210" s="2"/>
      <c r="E210" s="2"/>
      <c r="F210" s="2"/>
      <c r="G210" s="2"/>
      <c r="H210" s="2"/>
      <c r="I210" s="2"/>
      <c r="J210" s="2"/>
      <c r="K210" s="2"/>
      <c r="L210" s="2"/>
      <c r="M210" s="2"/>
      <c r="N210" s="2"/>
      <c r="O210" s="2"/>
      <c r="P210" s="8"/>
      <c r="Q210" s="8"/>
      <c r="R210" s="8"/>
      <c r="S210" s="8"/>
      <c r="T210" s="8"/>
      <c r="U210" s="8"/>
      <c r="V210" s="8"/>
      <c r="W210" s="8"/>
    </row>
    <row r="211" spans="1:23" ht="12.75" x14ac:dyDescent="0.2">
      <c r="A211" s="2"/>
      <c r="B211" s="2"/>
      <c r="C211" s="2"/>
      <c r="D211" s="2"/>
      <c r="E211" s="2"/>
      <c r="F211" s="2"/>
      <c r="G211" s="2"/>
      <c r="H211" s="2"/>
      <c r="I211" s="2"/>
      <c r="J211" s="2"/>
      <c r="K211" s="2"/>
      <c r="L211" s="2"/>
      <c r="M211" s="2"/>
      <c r="N211" s="2"/>
      <c r="O211" s="2"/>
      <c r="P211" s="8"/>
      <c r="Q211" s="8"/>
      <c r="R211" s="8"/>
      <c r="S211" s="8"/>
      <c r="T211" s="8"/>
      <c r="U211" s="8"/>
      <c r="V211" s="8"/>
      <c r="W211" s="8"/>
    </row>
    <row r="212" spans="1:23" ht="12.75" x14ac:dyDescent="0.2">
      <c r="A212" s="2"/>
      <c r="B212" s="2"/>
      <c r="C212" s="2"/>
      <c r="D212" s="2"/>
      <c r="E212" s="2"/>
      <c r="F212" s="2"/>
      <c r="G212" s="2"/>
      <c r="H212" s="2"/>
      <c r="I212" s="2"/>
      <c r="J212" s="2"/>
      <c r="K212" s="2"/>
      <c r="L212" s="2"/>
      <c r="M212" s="2"/>
      <c r="N212" s="2"/>
      <c r="O212" s="2"/>
      <c r="P212" s="8"/>
      <c r="Q212" s="8"/>
      <c r="R212" s="8"/>
      <c r="S212" s="8"/>
      <c r="T212" s="8"/>
      <c r="U212" s="8"/>
      <c r="V212" s="8"/>
      <c r="W212" s="8"/>
    </row>
    <row r="213" spans="1:23" ht="12.75" x14ac:dyDescent="0.2">
      <c r="A213" s="2"/>
      <c r="B213" s="2"/>
      <c r="C213" s="2"/>
      <c r="D213" s="2"/>
      <c r="E213" s="2"/>
      <c r="F213" s="2"/>
      <c r="G213" s="2"/>
      <c r="H213" s="2"/>
      <c r="I213" s="2"/>
      <c r="J213" s="2"/>
      <c r="K213" s="2"/>
      <c r="L213" s="2"/>
      <c r="M213" s="2"/>
      <c r="N213" s="2"/>
      <c r="O213" s="2"/>
      <c r="P213" s="8"/>
      <c r="Q213" s="8"/>
      <c r="R213" s="8"/>
      <c r="S213" s="8"/>
      <c r="T213" s="8"/>
      <c r="U213" s="8"/>
      <c r="V213" s="8"/>
      <c r="W213" s="8"/>
    </row>
    <row r="214" spans="1:23" ht="12.75" x14ac:dyDescent="0.2">
      <c r="A214" s="2"/>
      <c r="B214" s="2"/>
      <c r="C214" s="2"/>
      <c r="D214" s="2"/>
      <c r="E214" s="2"/>
      <c r="F214" s="2"/>
      <c r="G214" s="2"/>
      <c r="H214" s="2"/>
      <c r="I214" s="2"/>
      <c r="J214" s="2"/>
      <c r="K214" s="2"/>
      <c r="L214" s="2"/>
      <c r="M214" s="2"/>
      <c r="N214" s="2"/>
      <c r="O214" s="2"/>
      <c r="P214" s="8"/>
      <c r="Q214" s="8"/>
      <c r="R214" s="8"/>
      <c r="S214" s="8"/>
      <c r="T214" s="8"/>
      <c r="U214" s="8"/>
      <c r="V214" s="8"/>
      <c r="W214" s="8"/>
    </row>
    <row r="215" spans="1:23" ht="12.75" x14ac:dyDescent="0.2">
      <c r="A215" s="2"/>
      <c r="B215" s="2"/>
      <c r="C215" s="2"/>
      <c r="D215" s="2"/>
      <c r="E215" s="2"/>
      <c r="F215" s="2"/>
      <c r="G215" s="2"/>
      <c r="H215" s="2"/>
      <c r="I215" s="2"/>
      <c r="J215" s="2"/>
      <c r="K215" s="2"/>
      <c r="L215" s="2"/>
      <c r="M215" s="2"/>
      <c r="N215" s="2"/>
      <c r="O215" s="2"/>
      <c r="P215" s="8"/>
      <c r="Q215" s="8"/>
      <c r="R215" s="8"/>
      <c r="S215" s="8"/>
      <c r="T215" s="8"/>
      <c r="U215" s="8"/>
      <c r="V215" s="8"/>
      <c r="W215" s="8"/>
    </row>
    <row r="216" spans="1:23" ht="12.75" x14ac:dyDescent="0.2">
      <c r="A216" s="2"/>
      <c r="B216" s="2"/>
      <c r="C216" s="2"/>
      <c r="D216" s="2"/>
      <c r="E216" s="2"/>
      <c r="F216" s="2"/>
      <c r="G216" s="2"/>
      <c r="H216" s="2"/>
      <c r="I216" s="2"/>
      <c r="J216" s="2"/>
      <c r="K216" s="2"/>
      <c r="L216" s="2"/>
      <c r="M216" s="2"/>
      <c r="N216" s="2"/>
      <c r="O216" s="2"/>
      <c r="P216" s="8"/>
      <c r="Q216" s="8"/>
      <c r="R216" s="8"/>
      <c r="S216" s="8"/>
      <c r="T216" s="8"/>
      <c r="U216" s="8"/>
      <c r="V216" s="8"/>
      <c r="W216" s="8"/>
    </row>
    <row r="217" spans="1:23" ht="12.75" x14ac:dyDescent="0.2">
      <c r="A217" s="2"/>
      <c r="B217" s="2"/>
      <c r="C217" s="2"/>
      <c r="D217" s="2"/>
      <c r="E217" s="2"/>
      <c r="F217" s="2"/>
      <c r="G217" s="2"/>
      <c r="H217" s="2"/>
      <c r="I217" s="2"/>
      <c r="J217" s="2"/>
      <c r="K217" s="2"/>
      <c r="L217" s="2"/>
      <c r="M217" s="2"/>
      <c r="N217" s="2"/>
      <c r="O217" s="2"/>
      <c r="P217" s="8"/>
      <c r="Q217" s="8"/>
      <c r="R217" s="8"/>
      <c r="S217" s="8"/>
      <c r="T217" s="8"/>
      <c r="U217" s="8"/>
      <c r="V217" s="8"/>
      <c r="W217" s="8"/>
    </row>
    <row r="218" spans="1:23" ht="12.75" x14ac:dyDescent="0.2">
      <c r="A218" s="2"/>
      <c r="B218" s="2"/>
      <c r="C218" s="2"/>
      <c r="D218" s="2"/>
      <c r="E218" s="2"/>
      <c r="F218" s="2"/>
      <c r="G218" s="2"/>
      <c r="H218" s="2"/>
      <c r="I218" s="2"/>
      <c r="J218" s="2"/>
      <c r="K218" s="2"/>
      <c r="L218" s="2"/>
      <c r="M218" s="2"/>
      <c r="N218" s="2"/>
      <c r="O218" s="2"/>
      <c r="P218" s="8"/>
      <c r="Q218" s="8"/>
      <c r="R218" s="8"/>
      <c r="S218" s="8"/>
      <c r="T218" s="8"/>
      <c r="U218" s="8"/>
      <c r="V218" s="8"/>
      <c r="W218" s="8"/>
    </row>
    <row r="219" spans="1:23" ht="12.75" x14ac:dyDescent="0.2">
      <c r="A219" s="2"/>
      <c r="B219" s="2"/>
      <c r="C219" s="2"/>
      <c r="D219" s="2"/>
      <c r="E219" s="2"/>
      <c r="F219" s="2"/>
      <c r="G219" s="2"/>
      <c r="H219" s="2"/>
      <c r="I219" s="2"/>
      <c r="J219" s="2"/>
      <c r="K219" s="2"/>
      <c r="L219" s="2"/>
      <c r="M219" s="2"/>
      <c r="N219" s="2"/>
      <c r="O219" s="2"/>
      <c r="P219" s="8"/>
      <c r="Q219" s="8"/>
      <c r="R219" s="8"/>
      <c r="S219" s="8"/>
      <c r="T219" s="8"/>
      <c r="U219" s="8"/>
      <c r="V219" s="8"/>
      <c r="W219" s="8"/>
    </row>
    <row r="220" spans="1:23" ht="12.75" x14ac:dyDescent="0.2">
      <c r="A220" s="2"/>
      <c r="B220" s="2"/>
      <c r="C220" s="2"/>
      <c r="D220" s="2"/>
      <c r="E220" s="2"/>
      <c r="F220" s="2"/>
      <c r="G220" s="2"/>
      <c r="H220" s="2"/>
      <c r="I220" s="2"/>
      <c r="J220" s="2"/>
      <c r="K220" s="2"/>
      <c r="L220" s="2"/>
      <c r="M220" s="2"/>
      <c r="N220" s="2"/>
      <c r="O220" s="2"/>
      <c r="P220" s="8"/>
      <c r="Q220" s="8"/>
      <c r="R220" s="8"/>
      <c r="S220" s="8"/>
      <c r="T220" s="8"/>
      <c r="U220" s="8"/>
      <c r="V220" s="8"/>
      <c r="W220" s="8"/>
    </row>
    <row r="221" spans="1:23" ht="12.75" x14ac:dyDescent="0.2">
      <c r="A221" s="2"/>
      <c r="B221" s="2"/>
      <c r="C221" s="2"/>
      <c r="D221" s="2"/>
      <c r="E221" s="2"/>
      <c r="F221" s="2"/>
      <c r="G221" s="2"/>
      <c r="H221" s="2"/>
      <c r="I221" s="2"/>
      <c r="J221" s="2"/>
      <c r="K221" s="2"/>
      <c r="L221" s="2"/>
      <c r="M221" s="2"/>
      <c r="N221" s="2"/>
      <c r="O221" s="2"/>
      <c r="P221" s="8"/>
      <c r="Q221" s="8"/>
      <c r="R221" s="8"/>
      <c r="S221" s="8"/>
      <c r="T221" s="8"/>
      <c r="U221" s="8"/>
      <c r="V221" s="8"/>
      <c r="W221" s="8"/>
    </row>
    <row r="222" spans="1:23" ht="12.75" x14ac:dyDescent="0.2">
      <c r="A222" s="2"/>
      <c r="B222" s="2"/>
      <c r="C222" s="2"/>
      <c r="D222" s="2"/>
      <c r="E222" s="2"/>
      <c r="F222" s="2"/>
      <c r="G222" s="2"/>
      <c r="H222" s="2"/>
      <c r="I222" s="2"/>
      <c r="J222" s="2"/>
      <c r="K222" s="2"/>
      <c r="L222" s="2"/>
      <c r="M222" s="2"/>
      <c r="N222" s="2"/>
      <c r="O222" s="2"/>
      <c r="P222" s="8"/>
      <c r="Q222" s="8"/>
      <c r="R222" s="8"/>
      <c r="S222" s="8"/>
      <c r="T222" s="8"/>
      <c r="U222" s="8"/>
      <c r="V222" s="8"/>
      <c r="W222" s="8"/>
    </row>
    <row r="223" spans="1:23" ht="12.75" x14ac:dyDescent="0.2">
      <c r="A223" s="2"/>
      <c r="B223" s="2"/>
      <c r="C223" s="2"/>
      <c r="D223" s="2"/>
      <c r="E223" s="2"/>
      <c r="F223" s="2"/>
      <c r="G223" s="2"/>
      <c r="H223" s="2"/>
      <c r="I223" s="2"/>
      <c r="J223" s="2"/>
      <c r="K223" s="2"/>
      <c r="L223" s="2"/>
      <c r="M223" s="2"/>
      <c r="N223" s="2"/>
      <c r="O223" s="2"/>
      <c r="P223" s="8"/>
      <c r="Q223" s="8"/>
      <c r="R223" s="8"/>
      <c r="S223" s="8"/>
      <c r="T223" s="8"/>
      <c r="U223" s="8"/>
      <c r="V223" s="8"/>
      <c r="W223" s="8"/>
    </row>
    <row r="224" spans="1:23" ht="12.75" x14ac:dyDescent="0.2">
      <c r="A224" s="2"/>
      <c r="B224" s="2"/>
      <c r="C224" s="2"/>
      <c r="D224" s="2"/>
      <c r="E224" s="2"/>
      <c r="F224" s="2"/>
      <c r="G224" s="2"/>
      <c r="H224" s="2"/>
      <c r="I224" s="2"/>
      <c r="J224" s="2"/>
      <c r="K224" s="2"/>
      <c r="L224" s="2"/>
      <c r="M224" s="2"/>
      <c r="N224" s="2"/>
      <c r="O224" s="2"/>
      <c r="P224" s="8"/>
      <c r="Q224" s="8"/>
      <c r="R224" s="8"/>
      <c r="S224" s="8"/>
      <c r="T224" s="8"/>
      <c r="U224" s="8"/>
      <c r="V224" s="8"/>
      <c r="W224" s="8"/>
    </row>
    <row r="225" spans="1:23" ht="12.75" x14ac:dyDescent="0.2">
      <c r="A225" s="2"/>
      <c r="B225" s="2"/>
      <c r="C225" s="2"/>
      <c r="D225" s="2"/>
      <c r="E225" s="2"/>
      <c r="F225" s="2"/>
      <c r="G225" s="2"/>
      <c r="H225" s="2"/>
      <c r="I225" s="2"/>
      <c r="J225" s="2"/>
      <c r="K225" s="2"/>
      <c r="L225" s="2"/>
      <c r="M225" s="2"/>
      <c r="N225" s="2"/>
      <c r="O225" s="2"/>
      <c r="P225" s="8"/>
      <c r="Q225" s="8"/>
      <c r="R225" s="8"/>
      <c r="S225" s="8"/>
      <c r="T225" s="8"/>
      <c r="U225" s="8"/>
      <c r="V225" s="8"/>
      <c r="W225" s="8"/>
    </row>
    <row r="226" spans="1:23" ht="12.75" x14ac:dyDescent="0.2">
      <c r="A226" s="2"/>
      <c r="B226" s="2"/>
      <c r="C226" s="2"/>
      <c r="D226" s="2"/>
      <c r="E226" s="2"/>
      <c r="F226" s="2"/>
      <c r="G226" s="2"/>
      <c r="H226" s="2"/>
      <c r="I226" s="2"/>
      <c r="J226" s="2"/>
      <c r="K226" s="2"/>
      <c r="L226" s="2"/>
      <c r="M226" s="2"/>
      <c r="N226" s="2"/>
      <c r="O226" s="2"/>
      <c r="P226" s="8"/>
      <c r="Q226" s="8"/>
      <c r="R226" s="8"/>
      <c r="S226" s="8"/>
      <c r="T226" s="8"/>
      <c r="U226" s="8"/>
      <c r="V226" s="8"/>
      <c r="W226" s="8"/>
    </row>
    <row r="227" spans="1:23" ht="12.75" x14ac:dyDescent="0.2">
      <c r="A227" s="2"/>
      <c r="B227" s="2"/>
      <c r="C227" s="2"/>
      <c r="D227" s="2"/>
      <c r="E227" s="2"/>
      <c r="F227" s="2"/>
      <c r="G227" s="2"/>
      <c r="H227" s="2"/>
      <c r="I227" s="2"/>
      <c r="J227" s="2"/>
      <c r="K227" s="2"/>
      <c r="L227" s="2"/>
      <c r="M227" s="2"/>
      <c r="N227" s="2"/>
      <c r="O227" s="2"/>
      <c r="P227" s="8"/>
      <c r="Q227" s="8"/>
      <c r="R227" s="8"/>
      <c r="S227" s="8"/>
      <c r="T227" s="8"/>
      <c r="U227" s="8"/>
      <c r="V227" s="8"/>
      <c r="W227" s="8"/>
    </row>
    <row r="228" spans="1:23" ht="12.75" x14ac:dyDescent="0.2">
      <c r="A228" s="2"/>
      <c r="B228" s="2"/>
      <c r="C228" s="2"/>
      <c r="D228" s="2"/>
      <c r="E228" s="2"/>
      <c r="F228" s="2"/>
      <c r="G228" s="2"/>
      <c r="H228" s="2"/>
      <c r="I228" s="2"/>
      <c r="J228" s="2"/>
      <c r="K228" s="2"/>
      <c r="L228" s="2"/>
      <c r="M228" s="2"/>
      <c r="N228" s="2"/>
      <c r="O228" s="2"/>
      <c r="P228" s="8"/>
      <c r="Q228" s="8"/>
      <c r="R228" s="8"/>
      <c r="S228" s="8"/>
      <c r="T228" s="8"/>
      <c r="U228" s="8"/>
      <c r="V228" s="8"/>
      <c r="W228" s="8"/>
    </row>
    <row r="229" spans="1:23" ht="12.75" x14ac:dyDescent="0.2">
      <c r="A229" s="2"/>
      <c r="B229" s="2"/>
      <c r="C229" s="2"/>
      <c r="D229" s="2"/>
      <c r="E229" s="2"/>
      <c r="F229" s="2"/>
      <c r="G229" s="2"/>
      <c r="H229" s="2"/>
      <c r="I229" s="2"/>
      <c r="J229" s="2"/>
      <c r="K229" s="2"/>
      <c r="L229" s="2"/>
      <c r="M229" s="2"/>
      <c r="N229" s="2"/>
      <c r="O229" s="2"/>
      <c r="P229" s="8"/>
      <c r="Q229" s="8"/>
      <c r="R229" s="8"/>
      <c r="S229" s="8"/>
      <c r="T229" s="8"/>
      <c r="U229" s="8"/>
      <c r="V229" s="8"/>
      <c r="W229" s="8"/>
    </row>
    <row r="230" spans="1:23" ht="12.75" x14ac:dyDescent="0.2">
      <c r="A230" s="2"/>
      <c r="B230" s="2"/>
      <c r="C230" s="2"/>
      <c r="D230" s="2"/>
      <c r="E230" s="2"/>
      <c r="F230" s="2"/>
      <c r="G230" s="2"/>
      <c r="H230" s="2"/>
      <c r="I230" s="2"/>
      <c r="J230" s="2"/>
      <c r="K230" s="2"/>
      <c r="L230" s="2"/>
      <c r="M230" s="2"/>
      <c r="N230" s="2"/>
      <c r="O230" s="2"/>
      <c r="P230" s="8"/>
      <c r="Q230" s="8"/>
      <c r="R230" s="8"/>
      <c r="S230" s="8"/>
      <c r="T230" s="8"/>
      <c r="U230" s="8"/>
      <c r="V230" s="8"/>
      <c r="W230" s="8"/>
    </row>
    <row r="231" spans="1:23" ht="12.75" x14ac:dyDescent="0.2">
      <c r="A231" s="2"/>
      <c r="B231" s="2"/>
      <c r="C231" s="2"/>
      <c r="D231" s="2"/>
      <c r="E231" s="2"/>
      <c r="F231" s="2"/>
      <c r="G231" s="2"/>
      <c r="H231" s="2"/>
      <c r="I231" s="2"/>
      <c r="J231" s="2"/>
      <c r="K231" s="2"/>
      <c r="L231" s="2"/>
      <c r="M231" s="2"/>
      <c r="N231" s="2"/>
      <c r="O231" s="2"/>
      <c r="P231" s="8"/>
      <c r="Q231" s="8"/>
      <c r="R231" s="8"/>
      <c r="S231" s="8"/>
      <c r="T231" s="8"/>
      <c r="U231" s="8"/>
      <c r="V231" s="8"/>
      <c r="W231" s="8"/>
    </row>
    <row r="232" spans="1:23" ht="12.75" x14ac:dyDescent="0.2">
      <c r="A232" s="2"/>
      <c r="B232" s="2"/>
      <c r="C232" s="2"/>
      <c r="D232" s="2"/>
      <c r="E232" s="2"/>
      <c r="F232" s="2"/>
      <c r="G232" s="2"/>
      <c r="H232" s="2"/>
      <c r="I232" s="2"/>
      <c r="J232" s="2"/>
      <c r="K232" s="2"/>
      <c r="L232" s="2"/>
      <c r="M232" s="2"/>
      <c r="N232" s="2"/>
      <c r="O232" s="2"/>
      <c r="P232" s="8"/>
      <c r="Q232" s="8"/>
      <c r="R232" s="8"/>
      <c r="S232" s="8"/>
      <c r="T232" s="8"/>
      <c r="U232" s="8"/>
      <c r="V232" s="8"/>
      <c r="W232" s="8"/>
    </row>
    <row r="233" spans="1:23" ht="12.75" x14ac:dyDescent="0.2">
      <c r="A233" s="2"/>
      <c r="B233" s="2"/>
      <c r="C233" s="2"/>
      <c r="D233" s="2"/>
      <c r="E233" s="2"/>
      <c r="F233" s="2"/>
      <c r="G233" s="2"/>
      <c r="H233" s="2"/>
      <c r="I233" s="2"/>
      <c r="J233" s="2"/>
      <c r="K233" s="2"/>
      <c r="L233" s="2"/>
      <c r="M233" s="2"/>
      <c r="N233" s="2"/>
      <c r="O233" s="2"/>
      <c r="P233" s="8"/>
      <c r="Q233" s="8"/>
      <c r="R233" s="8"/>
      <c r="S233" s="8"/>
      <c r="T233" s="8"/>
      <c r="U233" s="8"/>
      <c r="V233" s="8"/>
      <c r="W233" s="8"/>
    </row>
    <row r="234" spans="1:23" ht="12.75" x14ac:dyDescent="0.2">
      <c r="A234" s="2"/>
      <c r="B234" s="2"/>
      <c r="C234" s="2"/>
      <c r="D234" s="2"/>
      <c r="E234" s="2"/>
      <c r="F234" s="2"/>
      <c r="G234" s="2"/>
      <c r="H234" s="2"/>
      <c r="I234" s="2"/>
      <c r="J234" s="2"/>
      <c r="K234" s="2"/>
      <c r="L234" s="2"/>
      <c r="M234" s="2"/>
      <c r="N234" s="2"/>
      <c r="O234" s="2"/>
      <c r="P234" s="8"/>
      <c r="Q234" s="8"/>
      <c r="R234" s="8"/>
      <c r="S234" s="8"/>
      <c r="T234" s="8"/>
      <c r="U234" s="8"/>
      <c r="V234" s="8"/>
      <c r="W234" s="8"/>
    </row>
    <row r="235" spans="1:23" ht="12.75" x14ac:dyDescent="0.2">
      <c r="A235" s="2"/>
      <c r="B235" s="2"/>
      <c r="C235" s="2"/>
      <c r="D235" s="2"/>
      <c r="E235" s="2"/>
      <c r="F235" s="2"/>
      <c r="G235" s="2"/>
      <c r="H235" s="2"/>
      <c r="I235" s="2"/>
      <c r="J235" s="2"/>
      <c r="K235" s="2"/>
      <c r="L235" s="2"/>
      <c r="M235" s="2"/>
      <c r="N235" s="2"/>
      <c r="O235" s="2"/>
      <c r="P235" s="8"/>
      <c r="Q235" s="8"/>
      <c r="R235" s="8"/>
      <c r="S235" s="8"/>
      <c r="T235" s="8"/>
      <c r="U235" s="8"/>
      <c r="V235" s="8"/>
      <c r="W235" s="8"/>
    </row>
    <row r="236" spans="1:23" ht="12.75" x14ac:dyDescent="0.2">
      <c r="A236" s="2"/>
      <c r="B236" s="2"/>
      <c r="C236" s="2"/>
      <c r="D236" s="2"/>
      <c r="E236" s="2"/>
      <c r="F236" s="2"/>
      <c r="G236" s="2"/>
      <c r="H236" s="2"/>
      <c r="I236" s="2"/>
      <c r="J236" s="2"/>
      <c r="K236" s="2"/>
      <c r="L236" s="2"/>
      <c r="M236" s="2"/>
      <c r="N236" s="2"/>
      <c r="O236" s="2"/>
      <c r="P236" s="8"/>
      <c r="Q236" s="8"/>
      <c r="R236" s="8"/>
      <c r="S236" s="8"/>
      <c r="T236" s="8"/>
      <c r="U236" s="8"/>
      <c r="V236" s="8"/>
      <c r="W236" s="8"/>
    </row>
    <row r="237" spans="1:23" ht="12.75" x14ac:dyDescent="0.2">
      <c r="A237" s="2"/>
      <c r="B237" s="2"/>
      <c r="C237" s="2"/>
      <c r="D237" s="2"/>
      <c r="E237" s="2"/>
      <c r="F237" s="2"/>
      <c r="G237" s="2"/>
      <c r="H237" s="2"/>
      <c r="I237" s="2"/>
      <c r="J237" s="2"/>
      <c r="K237" s="2"/>
      <c r="L237" s="2"/>
      <c r="M237" s="2"/>
      <c r="N237" s="2"/>
      <c r="O237" s="2"/>
      <c r="P237" s="8"/>
      <c r="Q237" s="8"/>
      <c r="R237" s="8"/>
      <c r="S237" s="8"/>
      <c r="T237" s="8"/>
      <c r="U237" s="8"/>
      <c r="V237" s="8"/>
      <c r="W237" s="8"/>
    </row>
    <row r="238" spans="1:23" ht="12.75" x14ac:dyDescent="0.2">
      <c r="A238" s="2"/>
      <c r="B238" s="2"/>
      <c r="C238" s="2"/>
      <c r="D238" s="2"/>
      <c r="E238" s="2"/>
      <c r="F238" s="2"/>
      <c r="G238" s="2"/>
      <c r="H238" s="2"/>
      <c r="I238" s="2"/>
      <c r="J238" s="2"/>
      <c r="K238" s="2"/>
      <c r="L238" s="2"/>
      <c r="M238" s="2"/>
      <c r="N238" s="2"/>
      <c r="O238" s="2"/>
      <c r="P238" s="8"/>
      <c r="Q238" s="8"/>
      <c r="R238" s="8"/>
      <c r="S238" s="8"/>
      <c r="T238" s="8"/>
      <c r="U238" s="8"/>
      <c r="V238" s="8"/>
      <c r="W238" s="8"/>
    </row>
    <row r="239" spans="1:23" ht="12.75" x14ac:dyDescent="0.2">
      <c r="A239" s="2"/>
      <c r="B239" s="2"/>
      <c r="C239" s="2"/>
      <c r="D239" s="2"/>
      <c r="E239" s="2"/>
      <c r="F239" s="2"/>
      <c r="G239" s="2"/>
      <c r="H239" s="2"/>
      <c r="I239" s="2"/>
      <c r="J239" s="2"/>
      <c r="K239" s="2"/>
      <c r="L239" s="2"/>
      <c r="M239" s="2"/>
      <c r="N239" s="2"/>
      <c r="O239" s="2"/>
      <c r="P239" s="8"/>
      <c r="Q239" s="8"/>
      <c r="R239" s="8"/>
      <c r="S239" s="8"/>
      <c r="T239" s="8"/>
      <c r="U239" s="8"/>
      <c r="V239" s="8"/>
      <c r="W239" s="8"/>
    </row>
    <row r="240" spans="1:23" ht="12.75" x14ac:dyDescent="0.2">
      <c r="A240" s="2"/>
      <c r="B240" s="2"/>
      <c r="C240" s="2"/>
      <c r="D240" s="2"/>
      <c r="E240" s="2"/>
      <c r="F240" s="2"/>
      <c r="G240" s="2"/>
      <c r="H240" s="2"/>
      <c r="I240" s="2"/>
      <c r="J240" s="2"/>
      <c r="K240" s="2"/>
      <c r="L240" s="2"/>
      <c r="M240" s="2"/>
      <c r="N240" s="2"/>
      <c r="O240" s="2"/>
      <c r="P240" s="8"/>
      <c r="Q240" s="8"/>
      <c r="R240" s="8"/>
      <c r="S240" s="8"/>
      <c r="T240" s="8"/>
      <c r="U240" s="8"/>
      <c r="V240" s="8"/>
      <c r="W240" s="8"/>
    </row>
    <row r="241" spans="1:23" ht="12.75" x14ac:dyDescent="0.2">
      <c r="A241" s="2"/>
      <c r="B241" s="2"/>
      <c r="C241" s="2"/>
      <c r="D241" s="2"/>
      <c r="E241" s="2"/>
      <c r="F241" s="2"/>
      <c r="G241" s="2"/>
      <c r="H241" s="2"/>
      <c r="I241" s="2"/>
      <c r="J241" s="2"/>
      <c r="K241" s="2"/>
      <c r="L241" s="2"/>
      <c r="M241" s="2"/>
      <c r="N241" s="2"/>
      <c r="O241" s="2"/>
      <c r="P241" s="8"/>
      <c r="Q241" s="8"/>
      <c r="R241" s="8"/>
      <c r="S241" s="8"/>
      <c r="T241" s="8"/>
      <c r="U241" s="8"/>
      <c r="V241" s="8"/>
      <c r="W241" s="8"/>
    </row>
    <row r="242" spans="1:23" ht="12.75" x14ac:dyDescent="0.2">
      <c r="A242" s="2"/>
      <c r="B242" s="2"/>
      <c r="C242" s="2"/>
      <c r="D242" s="2"/>
      <c r="E242" s="2"/>
      <c r="F242" s="2"/>
      <c r="G242" s="2"/>
      <c r="H242" s="2"/>
      <c r="I242" s="2"/>
      <c r="J242" s="2"/>
      <c r="K242" s="2"/>
      <c r="L242" s="2"/>
      <c r="M242" s="2"/>
      <c r="N242" s="2"/>
      <c r="O242" s="2"/>
      <c r="P242" s="8"/>
      <c r="Q242" s="8"/>
      <c r="R242" s="8"/>
      <c r="S242" s="8"/>
      <c r="T242" s="8"/>
      <c r="U242" s="8"/>
      <c r="V242" s="8"/>
      <c r="W242" s="8"/>
    </row>
    <row r="243" spans="1:23" ht="12.75" x14ac:dyDescent="0.2">
      <c r="A243" s="2"/>
      <c r="B243" s="2"/>
      <c r="C243" s="2"/>
      <c r="D243" s="2"/>
      <c r="E243" s="2"/>
      <c r="F243" s="2"/>
      <c r="G243" s="2"/>
      <c r="H243" s="2"/>
      <c r="I243" s="2"/>
      <c r="J243" s="2"/>
      <c r="K243" s="2"/>
      <c r="L243" s="2"/>
      <c r="M243" s="2"/>
      <c r="N243" s="2"/>
      <c r="O243" s="2"/>
      <c r="P243" s="8"/>
      <c r="Q243" s="8"/>
      <c r="R243" s="8"/>
      <c r="S243" s="8"/>
      <c r="T243" s="8"/>
      <c r="U243" s="8"/>
      <c r="V243" s="8"/>
      <c r="W243" s="8"/>
    </row>
    <row r="244" spans="1:23" ht="12.75" x14ac:dyDescent="0.2">
      <c r="A244" s="2"/>
      <c r="B244" s="2"/>
      <c r="C244" s="2"/>
      <c r="D244" s="2"/>
      <c r="E244" s="2"/>
      <c r="F244" s="2"/>
      <c r="G244" s="2"/>
      <c r="H244" s="2"/>
      <c r="I244" s="2"/>
      <c r="J244" s="2"/>
      <c r="K244" s="2"/>
      <c r="L244" s="2"/>
      <c r="M244" s="2"/>
      <c r="N244" s="2"/>
      <c r="O244" s="2"/>
      <c r="P244" s="8"/>
      <c r="Q244" s="8"/>
      <c r="R244" s="8"/>
      <c r="S244" s="8"/>
      <c r="T244" s="8"/>
      <c r="U244" s="8"/>
      <c r="V244" s="8"/>
      <c r="W244" s="8"/>
    </row>
    <row r="245" spans="1:23" ht="12.75" x14ac:dyDescent="0.2">
      <c r="A245" s="2"/>
      <c r="B245" s="2"/>
      <c r="C245" s="2"/>
      <c r="D245" s="2"/>
      <c r="E245" s="2"/>
      <c r="F245" s="2"/>
      <c r="G245" s="2"/>
      <c r="H245" s="2"/>
      <c r="I245" s="2"/>
      <c r="J245" s="2"/>
      <c r="K245" s="2"/>
      <c r="L245" s="2"/>
      <c r="M245" s="2"/>
      <c r="N245" s="2"/>
      <c r="O245" s="2"/>
      <c r="P245" s="8"/>
      <c r="Q245" s="8"/>
      <c r="R245" s="8"/>
      <c r="S245" s="8"/>
      <c r="T245" s="8"/>
      <c r="U245" s="8"/>
      <c r="V245" s="8"/>
      <c r="W245" s="8"/>
    </row>
    <row r="246" spans="1:23" ht="12.75" x14ac:dyDescent="0.2">
      <c r="A246" s="2"/>
      <c r="B246" s="2"/>
      <c r="C246" s="2"/>
      <c r="D246" s="2"/>
      <c r="E246" s="2"/>
      <c r="F246" s="2"/>
      <c r="G246" s="2"/>
      <c r="H246" s="2"/>
      <c r="I246" s="2"/>
      <c r="J246" s="2"/>
      <c r="K246" s="2"/>
      <c r="L246" s="2"/>
      <c r="M246" s="2"/>
      <c r="N246" s="2"/>
      <c r="O246" s="2"/>
      <c r="P246" s="8"/>
      <c r="Q246" s="8"/>
      <c r="R246" s="8"/>
      <c r="S246" s="8"/>
      <c r="T246" s="8"/>
      <c r="U246" s="8"/>
      <c r="V246" s="8"/>
      <c r="W246" s="8"/>
    </row>
    <row r="247" spans="1:23" ht="12.75" x14ac:dyDescent="0.2">
      <c r="A247" s="2"/>
      <c r="B247" s="2"/>
      <c r="C247" s="2"/>
      <c r="D247" s="2"/>
      <c r="E247" s="2"/>
      <c r="F247" s="2"/>
      <c r="G247" s="2"/>
      <c r="H247" s="2"/>
      <c r="I247" s="2"/>
      <c r="J247" s="2"/>
      <c r="K247" s="2"/>
      <c r="L247" s="2"/>
      <c r="M247" s="2"/>
      <c r="N247" s="2"/>
      <c r="O247" s="2"/>
      <c r="P247" s="8"/>
      <c r="Q247" s="8"/>
      <c r="R247" s="8"/>
      <c r="S247" s="8"/>
      <c r="T247" s="8"/>
      <c r="U247" s="8"/>
      <c r="V247" s="8"/>
      <c r="W247" s="8"/>
    </row>
    <row r="248" spans="1:23" ht="12.75" x14ac:dyDescent="0.2">
      <c r="A248" s="2"/>
      <c r="B248" s="2"/>
      <c r="C248" s="2"/>
      <c r="D248" s="2"/>
      <c r="E248" s="2"/>
      <c r="F248" s="2"/>
      <c r="G248" s="2"/>
      <c r="H248" s="2"/>
      <c r="I248" s="2"/>
      <c r="J248" s="2"/>
      <c r="K248" s="2"/>
      <c r="L248" s="2"/>
      <c r="M248" s="2"/>
      <c r="N248" s="2"/>
      <c r="O248" s="2"/>
      <c r="P248" s="8"/>
      <c r="Q248" s="8"/>
      <c r="R248" s="8"/>
      <c r="S248" s="8"/>
      <c r="T248" s="8"/>
      <c r="U248" s="8"/>
      <c r="V248" s="8"/>
      <c r="W248" s="8"/>
    </row>
    <row r="249" spans="1:23" ht="12.75" x14ac:dyDescent="0.2">
      <c r="A249" s="2"/>
      <c r="B249" s="2"/>
      <c r="C249" s="2"/>
      <c r="D249" s="2"/>
      <c r="E249" s="2"/>
      <c r="F249" s="2"/>
      <c r="G249" s="2"/>
      <c r="H249" s="2"/>
      <c r="I249" s="2"/>
      <c r="J249" s="2"/>
      <c r="K249" s="2"/>
      <c r="L249" s="2"/>
      <c r="M249" s="2"/>
      <c r="N249" s="2"/>
      <c r="O249" s="2"/>
      <c r="P249" s="8"/>
      <c r="Q249" s="8"/>
      <c r="R249" s="8"/>
      <c r="S249" s="8"/>
      <c r="T249" s="8"/>
      <c r="U249" s="8"/>
      <c r="V249" s="8"/>
      <c r="W249" s="8"/>
    </row>
    <row r="250" spans="1:23" ht="12.75" x14ac:dyDescent="0.2">
      <c r="A250" s="2"/>
      <c r="B250" s="2"/>
      <c r="C250" s="2"/>
      <c r="D250" s="2"/>
      <c r="E250" s="2"/>
      <c r="F250" s="2"/>
      <c r="G250" s="2"/>
      <c r="H250" s="2"/>
      <c r="I250" s="2"/>
      <c r="J250" s="2"/>
      <c r="K250" s="2"/>
      <c r="L250" s="2"/>
      <c r="M250" s="2"/>
      <c r="N250" s="2"/>
      <c r="O250" s="2"/>
      <c r="P250" s="8"/>
      <c r="Q250" s="8"/>
      <c r="R250" s="8"/>
      <c r="S250" s="8"/>
      <c r="T250" s="8"/>
      <c r="U250" s="8"/>
      <c r="V250" s="8"/>
      <c r="W250" s="8"/>
    </row>
    <row r="251" spans="1:23" ht="12.75" x14ac:dyDescent="0.2">
      <c r="A251" s="2"/>
      <c r="B251" s="2"/>
      <c r="C251" s="2"/>
      <c r="D251" s="2"/>
      <c r="E251" s="2"/>
      <c r="F251" s="2"/>
      <c r="G251" s="2"/>
      <c r="H251" s="2"/>
      <c r="I251" s="2"/>
      <c r="J251" s="2"/>
      <c r="K251" s="2"/>
      <c r="L251" s="2"/>
      <c r="M251" s="2"/>
      <c r="N251" s="2"/>
      <c r="O251" s="2"/>
      <c r="P251" s="8"/>
      <c r="Q251" s="8"/>
      <c r="R251" s="8"/>
      <c r="S251" s="8"/>
      <c r="T251" s="8"/>
      <c r="U251" s="8"/>
      <c r="V251" s="8"/>
      <c r="W251" s="8"/>
    </row>
    <row r="252" spans="1:23" ht="12.75" x14ac:dyDescent="0.2">
      <c r="A252" s="2"/>
      <c r="B252" s="2"/>
      <c r="C252" s="2"/>
      <c r="D252" s="2"/>
      <c r="E252" s="2"/>
      <c r="F252" s="2"/>
      <c r="G252" s="2"/>
      <c r="H252" s="2"/>
      <c r="I252" s="2"/>
      <c r="J252" s="2"/>
      <c r="K252" s="2"/>
      <c r="L252" s="2"/>
      <c r="M252" s="2"/>
      <c r="N252" s="2"/>
      <c r="O252" s="2"/>
      <c r="P252" s="8"/>
      <c r="Q252" s="8"/>
      <c r="R252" s="8"/>
      <c r="S252" s="8"/>
      <c r="T252" s="8"/>
      <c r="U252" s="8"/>
      <c r="V252" s="8"/>
      <c r="W252" s="8"/>
    </row>
    <row r="253" spans="1:23" ht="12.75" x14ac:dyDescent="0.2">
      <c r="A253" s="2"/>
      <c r="B253" s="2"/>
      <c r="C253" s="2"/>
      <c r="D253" s="2"/>
      <c r="E253" s="2"/>
      <c r="F253" s="2"/>
      <c r="G253" s="2"/>
      <c r="H253" s="2"/>
      <c r="I253" s="2"/>
      <c r="J253" s="2"/>
      <c r="K253" s="2"/>
      <c r="L253" s="2"/>
      <c r="M253" s="2"/>
      <c r="N253" s="2"/>
      <c r="O253" s="2"/>
      <c r="P253" s="8"/>
      <c r="Q253" s="8"/>
      <c r="R253" s="8"/>
      <c r="S253" s="8"/>
      <c r="T253" s="8"/>
      <c r="U253" s="8"/>
      <c r="V253" s="8"/>
      <c r="W253" s="8"/>
    </row>
    <row r="254" spans="1:23" ht="12.75" x14ac:dyDescent="0.2">
      <c r="A254" s="8"/>
      <c r="B254" s="8"/>
      <c r="C254" s="8"/>
      <c r="D254" s="8"/>
      <c r="E254" s="8"/>
      <c r="F254" s="8"/>
      <c r="G254" s="8"/>
      <c r="H254" s="8"/>
      <c r="I254" s="8"/>
      <c r="J254" s="8"/>
      <c r="K254" s="8"/>
      <c r="L254" s="8"/>
      <c r="M254" s="8"/>
      <c r="N254" s="8"/>
      <c r="O254" s="8"/>
      <c r="P254" s="8"/>
      <c r="Q254" s="8"/>
      <c r="R254" s="8"/>
      <c r="S254" s="8"/>
      <c r="T254" s="8"/>
      <c r="U254" s="8"/>
      <c r="V254" s="8"/>
      <c r="W254" s="8"/>
    </row>
    <row r="255" spans="1:23" ht="12.75" x14ac:dyDescent="0.2">
      <c r="A255" s="8"/>
      <c r="B255" s="8"/>
      <c r="C255" s="8"/>
      <c r="D255" s="8"/>
      <c r="E255" s="8"/>
      <c r="F255" s="8"/>
      <c r="G255" s="8"/>
      <c r="H255" s="8"/>
      <c r="I255" s="8"/>
      <c r="J255" s="8"/>
      <c r="K255" s="8"/>
      <c r="L255" s="8"/>
      <c r="M255" s="8"/>
      <c r="N255" s="8"/>
      <c r="O255" s="8"/>
      <c r="P255" s="8"/>
      <c r="Q255" s="8"/>
      <c r="R255" s="8"/>
      <c r="S255" s="8"/>
      <c r="T255" s="8"/>
      <c r="U255" s="8"/>
      <c r="V255" s="8"/>
      <c r="W255" s="8"/>
    </row>
    <row r="256" spans="1:23" ht="12.75" x14ac:dyDescent="0.2">
      <c r="A256" s="8"/>
      <c r="B256" s="8"/>
      <c r="C256" s="8"/>
      <c r="D256" s="8"/>
      <c r="E256" s="8"/>
      <c r="F256" s="8"/>
      <c r="G256" s="8"/>
      <c r="H256" s="8"/>
      <c r="I256" s="8"/>
      <c r="J256" s="8"/>
      <c r="K256" s="8"/>
      <c r="L256" s="8"/>
      <c r="M256" s="8"/>
      <c r="N256" s="8"/>
      <c r="O256" s="8"/>
      <c r="P256" s="8"/>
      <c r="Q256" s="8"/>
      <c r="R256" s="8"/>
      <c r="S256" s="8"/>
      <c r="T256" s="8"/>
      <c r="U256" s="8"/>
      <c r="V256" s="8"/>
      <c r="W256" s="8"/>
    </row>
    <row r="257" spans="1:23" ht="12.75" x14ac:dyDescent="0.2">
      <c r="A257" s="8"/>
      <c r="B257" s="8"/>
      <c r="C257" s="8"/>
      <c r="D257" s="8"/>
      <c r="E257" s="8"/>
      <c r="F257" s="8"/>
      <c r="G257" s="8"/>
      <c r="H257" s="8"/>
      <c r="I257" s="8"/>
      <c r="J257" s="8"/>
      <c r="K257" s="8"/>
      <c r="L257" s="8"/>
      <c r="M257" s="8"/>
      <c r="N257" s="8"/>
      <c r="O257" s="8"/>
      <c r="P257" s="8"/>
      <c r="Q257" s="8"/>
      <c r="R257" s="8"/>
      <c r="S257" s="8"/>
      <c r="T257" s="8"/>
      <c r="U257" s="8"/>
      <c r="V257" s="8"/>
      <c r="W257" s="8"/>
    </row>
    <row r="258" spans="1:23" ht="12.75" x14ac:dyDescent="0.2">
      <c r="A258" s="8"/>
      <c r="B258" s="8"/>
      <c r="C258" s="8"/>
      <c r="D258" s="8"/>
      <c r="E258" s="8"/>
      <c r="F258" s="8"/>
      <c r="G258" s="8"/>
      <c r="H258" s="8"/>
      <c r="I258" s="8"/>
      <c r="J258" s="8"/>
      <c r="K258" s="8"/>
      <c r="L258" s="8"/>
      <c r="M258" s="8"/>
      <c r="N258" s="8"/>
      <c r="O258" s="8"/>
      <c r="P258" s="8"/>
      <c r="Q258" s="8"/>
      <c r="R258" s="8"/>
      <c r="S258" s="8"/>
      <c r="T258" s="8"/>
      <c r="U258" s="8"/>
      <c r="V258" s="8"/>
      <c r="W258" s="8"/>
    </row>
    <row r="259" spans="1:23" ht="12.75" x14ac:dyDescent="0.2">
      <c r="A259" s="8"/>
      <c r="B259" s="8"/>
      <c r="C259" s="8"/>
      <c r="D259" s="8"/>
      <c r="E259" s="8"/>
      <c r="F259" s="8"/>
      <c r="G259" s="8"/>
      <c r="H259" s="8"/>
      <c r="I259" s="8"/>
      <c r="J259" s="8"/>
      <c r="K259" s="8"/>
      <c r="L259" s="8"/>
      <c r="M259" s="8"/>
      <c r="N259" s="8"/>
      <c r="O259" s="8"/>
      <c r="P259" s="8"/>
      <c r="Q259" s="8"/>
      <c r="R259" s="8"/>
      <c r="S259" s="8"/>
      <c r="T259" s="8"/>
      <c r="U259" s="8"/>
      <c r="V259" s="8"/>
      <c r="W259" s="8"/>
    </row>
    <row r="260" spans="1:23" ht="12.75" x14ac:dyDescent="0.2">
      <c r="A260" s="8"/>
      <c r="B260" s="8"/>
      <c r="C260" s="8"/>
      <c r="D260" s="8"/>
      <c r="E260" s="8"/>
      <c r="F260" s="8"/>
      <c r="G260" s="8"/>
      <c r="H260" s="8"/>
      <c r="I260" s="8"/>
      <c r="J260" s="8"/>
      <c r="K260" s="8"/>
      <c r="L260" s="8"/>
      <c r="M260" s="8"/>
      <c r="N260" s="8"/>
      <c r="O260" s="8"/>
      <c r="P260" s="8"/>
      <c r="Q260" s="8"/>
      <c r="R260" s="8"/>
      <c r="S260" s="8"/>
      <c r="T260" s="8"/>
      <c r="U260" s="8"/>
      <c r="V260" s="8"/>
      <c r="W260" s="8"/>
    </row>
    <row r="261" spans="1:23" ht="12.75" x14ac:dyDescent="0.2">
      <c r="A261" s="8"/>
      <c r="B261" s="8"/>
      <c r="C261" s="8"/>
      <c r="D261" s="8"/>
      <c r="E261" s="8"/>
      <c r="F261" s="8"/>
      <c r="G261" s="8"/>
      <c r="H261" s="8"/>
      <c r="I261" s="8"/>
      <c r="J261" s="8"/>
      <c r="K261" s="8"/>
      <c r="L261" s="8"/>
      <c r="M261" s="8"/>
      <c r="N261" s="8"/>
      <c r="O261" s="8"/>
      <c r="P261" s="8"/>
      <c r="Q261" s="8"/>
      <c r="R261" s="8"/>
      <c r="S261" s="8"/>
      <c r="T261" s="8"/>
      <c r="U261" s="8"/>
      <c r="V261" s="8"/>
      <c r="W261" s="8"/>
    </row>
    <row r="262" spans="1:23" ht="12.75" x14ac:dyDescent="0.2">
      <c r="A262" s="8"/>
      <c r="B262" s="8"/>
      <c r="C262" s="8"/>
      <c r="D262" s="8"/>
      <c r="E262" s="8"/>
      <c r="F262" s="8"/>
      <c r="G262" s="8"/>
      <c r="H262" s="8"/>
      <c r="I262" s="8"/>
      <c r="J262" s="8"/>
      <c r="K262" s="8"/>
      <c r="L262" s="8"/>
      <c r="M262" s="8"/>
      <c r="N262" s="8"/>
      <c r="O262" s="8"/>
      <c r="P262" s="8"/>
      <c r="Q262" s="8"/>
      <c r="R262" s="8"/>
      <c r="S262" s="8"/>
      <c r="T262" s="8"/>
      <c r="U262" s="8"/>
      <c r="V262" s="8"/>
      <c r="W262" s="8"/>
    </row>
    <row r="263" spans="1:23" ht="12.75" x14ac:dyDescent="0.2">
      <c r="A263" s="8"/>
      <c r="B263" s="8"/>
      <c r="C263" s="8"/>
      <c r="D263" s="8"/>
      <c r="E263" s="8"/>
      <c r="F263" s="8"/>
      <c r="G263" s="8"/>
      <c r="H263" s="8"/>
      <c r="I263" s="8"/>
      <c r="J263" s="8"/>
      <c r="K263" s="8"/>
      <c r="L263" s="8"/>
      <c r="M263" s="8"/>
      <c r="N263" s="8"/>
      <c r="O263" s="8"/>
      <c r="P263" s="8"/>
      <c r="Q263" s="8"/>
      <c r="R263" s="8"/>
      <c r="S263" s="8"/>
      <c r="T263" s="8"/>
      <c r="U263" s="8"/>
      <c r="V263" s="8"/>
      <c r="W263" s="8"/>
    </row>
    <row r="264" spans="1:23" ht="12.75" x14ac:dyDescent="0.2">
      <c r="A264" s="8"/>
      <c r="B264" s="8"/>
      <c r="C264" s="8"/>
      <c r="D264" s="8"/>
      <c r="E264" s="8"/>
      <c r="F264" s="8"/>
      <c r="G264" s="8"/>
      <c r="H264" s="8"/>
      <c r="I264" s="8"/>
      <c r="J264" s="8"/>
      <c r="K264" s="8"/>
      <c r="L264" s="8"/>
      <c r="M264" s="8"/>
      <c r="N264" s="8"/>
      <c r="O264" s="8"/>
      <c r="P264" s="8"/>
      <c r="Q264" s="8"/>
      <c r="R264" s="8"/>
      <c r="S264" s="8"/>
      <c r="T264" s="8"/>
      <c r="U264" s="8"/>
      <c r="V264" s="8"/>
      <c r="W264" s="8"/>
    </row>
    <row r="265" spans="1:23" ht="12.75" x14ac:dyDescent="0.2">
      <c r="A265" s="8"/>
      <c r="B265" s="8"/>
      <c r="C265" s="8"/>
      <c r="D265" s="8"/>
      <c r="E265" s="8"/>
      <c r="F265" s="8"/>
      <c r="G265" s="8"/>
      <c r="H265" s="8"/>
      <c r="I265" s="8"/>
      <c r="J265" s="8"/>
      <c r="K265" s="8"/>
      <c r="L265" s="8"/>
      <c r="M265" s="8"/>
      <c r="N265" s="8"/>
      <c r="O265" s="8"/>
      <c r="P265" s="8"/>
      <c r="Q265" s="8"/>
      <c r="R265" s="8"/>
      <c r="S265" s="8"/>
      <c r="T265" s="8"/>
      <c r="U265" s="8"/>
      <c r="V265" s="8"/>
      <c r="W265" s="8"/>
    </row>
    <row r="266" spans="1:23" ht="12.75" x14ac:dyDescent="0.2">
      <c r="A266" s="8"/>
      <c r="B266" s="8"/>
      <c r="C266" s="8"/>
      <c r="D266" s="8"/>
      <c r="E266" s="8"/>
      <c r="F266" s="8"/>
      <c r="G266" s="8"/>
      <c r="H266" s="8"/>
      <c r="I266" s="8"/>
      <c r="J266" s="8"/>
      <c r="K266" s="8"/>
      <c r="L266" s="8"/>
      <c r="M266" s="8"/>
      <c r="N266" s="8"/>
      <c r="O266" s="8"/>
      <c r="P266" s="8"/>
      <c r="Q266" s="8"/>
      <c r="R266" s="8"/>
      <c r="S266" s="8"/>
      <c r="T266" s="8"/>
      <c r="U266" s="8"/>
      <c r="V266" s="8"/>
      <c r="W266" s="8"/>
    </row>
    <row r="267" spans="1:23" ht="12.75" x14ac:dyDescent="0.2">
      <c r="A267" s="8"/>
      <c r="B267" s="8"/>
      <c r="C267" s="8"/>
      <c r="D267" s="8"/>
      <c r="E267" s="8"/>
      <c r="F267" s="8"/>
      <c r="G267" s="8"/>
      <c r="H267" s="8"/>
      <c r="I267" s="8"/>
      <c r="J267" s="8"/>
      <c r="K267" s="8"/>
      <c r="L267" s="8"/>
      <c r="M267" s="8"/>
      <c r="N267" s="8"/>
      <c r="O267" s="8"/>
      <c r="P267" s="8"/>
      <c r="Q267" s="8"/>
      <c r="R267" s="8"/>
      <c r="S267" s="8"/>
      <c r="T267" s="8"/>
      <c r="U267" s="8"/>
      <c r="V267" s="8"/>
      <c r="W267" s="8"/>
    </row>
    <row r="268" spans="1:23" ht="12.75" x14ac:dyDescent="0.2">
      <c r="A268" s="8"/>
      <c r="B268" s="8"/>
      <c r="C268" s="8"/>
      <c r="D268" s="8"/>
      <c r="E268" s="8"/>
      <c r="F268" s="8"/>
      <c r="G268" s="8"/>
      <c r="H268" s="8"/>
      <c r="I268" s="8"/>
      <c r="J268" s="8"/>
      <c r="K268" s="8"/>
      <c r="L268" s="8"/>
      <c r="M268" s="8"/>
      <c r="N268" s="8"/>
      <c r="O268" s="8"/>
      <c r="P268" s="8"/>
      <c r="Q268" s="8"/>
      <c r="R268" s="8"/>
      <c r="S268" s="8"/>
      <c r="T268" s="8"/>
      <c r="U268" s="8"/>
      <c r="V268" s="8"/>
      <c r="W268" s="8"/>
    </row>
    <row r="269" spans="1:23" ht="12.75" x14ac:dyDescent="0.2">
      <c r="A269" s="8"/>
      <c r="B269" s="8"/>
      <c r="C269" s="8"/>
      <c r="D269" s="8"/>
      <c r="E269" s="8"/>
      <c r="F269" s="8"/>
      <c r="G269" s="8"/>
      <c r="H269" s="8"/>
      <c r="I269" s="8"/>
      <c r="J269" s="8"/>
      <c r="K269" s="8"/>
      <c r="L269" s="8"/>
      <c r="M269" s="8"/>
      <c r="N269" s="8"/>
      <c r="O269" s="8"/>
      <c r="P269" s="8"/>
      <c r="Q269" s="8"/>
      <c r="R269" s="8"/>
      <c r="S269" s="8"/>
      <c r="T269" s="8"/>
      <c r="U269" s="8"/>
      <c r="V269" s="8"/>
      <c r="W269" s="8"/>
    </row>
    <row r="270" spans="1:23" ht="12.75" x14ac:dyDescent="0.2">
      <c r="A270" s="8"/>
      <c r="B270" s="8"/>
      <c r="C270" s="8"/>
      <c r="D270" s="8"/>
      <c r="E270" s="8"/>
      <c r="F270" s="8"/>
      <c r="G270" s="8"/>
      <c r="H270" s="8"/>
      <c r="I270" s="8"/>
      <c r="J270" s="8"/>
      <c r="K270" s="8"/>
      <c r="L270" s="8"/>
      <c r="M270" s="8"/>
      <c r="N270" s="8"/>
      <c r="O270" s="8"/>
      <c r="P270" s="8"/>
      <c r="Q270" s="8"/>
      <c r="R270" s="8"/>
      <c r="S270" s="8"/>
      <c r="T270" s="8"/>
      <c r="U270" s="8"/>
      <c r="V270" s="8"/>
      <c r="W270" s="8"/>
    </row>
    <row r="271" spans="1:23" ht="12.75" x14ac:dyDescent="0.2">
      <c r="A271" s="8"/>
      <c r="B271" s="8"/>
      <c r="C271" s="8"/>
      <c r="D271" s="8"/>
      <c r="E271" s="8"/>
      <c r="F271" s="8"/>
      <c r="G271" s="8"/>
      <c r="H271" s="8"/>
      <c r="I271" s="8"/>
      <c r="J271" s="8"/>
      <c r="K271" s="8"/>
      <c r="L271" s="8"/>
      <c r="M271" s="8"/>
      <c r="N271" s="8"/>
      <c r="O271" s="8"/>
      <c r="P271" s="8"/>
      <c r="Q271" s="8"/>
      <c r="R271" s="8"/>
      <c r="S271" s="8"/>
      <c r="T271" s="8"/>
      <c r="U271" s="8"/>
      <c r="V271" s="8"/>
      <c r="W271" s="8"/>
    </row>
    <row r="272" spans="1:23" ht="12.75" x14ac:dyDescent="0.2">
      <c r="A272" s="8"/>
      <c r="B272" s="8"/>
      <c r="C272" s="8"/>
      <c r="D272" s="8"/>
      <c r="E272" s="8"/>
      <c r="F272" s="8"/>
      <c r="G272" s="8"/>
      <c r="H272" s="8"/>
      <c r="I272" s="8"/>
      <c r="J272" s="8"/>
      <c r="K272" s="8"/>
      <c r="L272" s="8"/>
      <c r="M272" s="8"/>
      <c r="N272" s="8"/>
      <c r="O272" s="8"/>
      <c r="P272" s="8"/>
      <c r="Q272" s="8"/>
      <c r="R272" s="8"/>
      <c r="S272" s="8"/>
      <c r="T272" s="8"/>
      <c r="U272" s="8"/>
      <c r="V272" s="8"/>
      <c r="W272" s="8"/>
    </row>
    <row r="273" spans="1:23" ht="12.75" x14ac:dyDescent="0.2">
      <c r="A273" s="8"/>
      <c r="B273" s="8"/>
      <c r="C273" s="8"/>
      <c r="D273" s="8"/>
      <c r="E273" s="8"/>
      <c r="F273" s="8"/>
      <c r="G273" s="8"/>
      <c r="H273" s="8"/>
      <c r="I273" s="8"/>
      <c r="J273" s="8"/>
      <c r="K273" s="8"/>
      <c r="L273" s="8"/>
      <c r="M273" s="8"/>
      <c r="N273" s="8"/>
      <c r="O273" s="8"/>
      <c r="P273" s="8"/>
      <c r="Q273" s="8"/>
      <c r="R273" s="8"/>
      <c r="S273" s="8"/>
      <c r="T273" s="8"/>
      <c r="U273" s="8"/>
      <c r="V273" s="8"/>
      <c r="W273" s="8"/>
    </row>
    <row r="274" spans="1:23" ht="12.75" x14ac:dyDescent="0.2">
      <c r="A274" s="8"/>
      <c r="B274" s="8"/>
      <c r="C274" s="8"/>
      <c r="D274" s="8"/>
      <c r="E274" s="8"/>
      <c r="F274" s="8"/>
      <c r="G274" s="8"/>
      <c r="H274" s="8"/>
      <c r="I274" s="8"/>
      <c r="J274" s="8"/>
      <c r="K274" s="8"/>
      <c r="L274" s="8"/>
      <c r="M274" s="8"/>
      <c r="N274" s="8"/>
      <c r="O274" s="8"/>
      <c r="P274" s="8"/>
      <c r="Q274" s="8"/>
      <c r="R274" s="8"/>
      <c r="S274" s="8"/>
      <c r="T274" s="8"/>
      <c r="U274" s="8"/>
      <c r="V274" s="8"/>
      <c r="W274" s="8"/>
    </row>
    <row r="275" spans="1:23" ht="12.75" x14ac:dyDescent="0.2">
      <c r="A275" s="8"/>
      <c r="B275" s="8"/>
      <c r="C275" s="8"/>
      <c r="D275" s="8"/>
      <c r="E275" s="8"/>
      <c r="F275" s="8"/>
      <c r="G275" s="8"/>
      <c r="H275" s="8"/>
      <c r="I275" s="8"/>
      <c r="J275" s="8"/>
      <c r="K275" s="8"/>
      <c r="L275" s="8"/>
      <c r="M275" s="8"/>
      <c r="N275" s="8"/>
      <c r="O275" s="8"/>
      <c r="P275" s="8"/>
      <c r="Q275" s="8"/>
      <c r="R275" s="8"/>
      <c r="S275" s="8"/>
      <c r="T275" s="8"/>
      <c r="U275" s="8"/>
      <c r="V275" s="8"/>
      <c r="W275" s="8"/>
    </row>
    <row r="276" spans="1:23" ht="12.75" x14ac:dyDescent="0.2">
      <c r="A276" s="8"/>
      <c r="B276" s="8"/>
      <c r="C276" s="8"/>
      <c r="D276" s="8"/>
      <c r="E276" s="8"/>
      <c r="F276" s="8"/>
      <c r="G276" s="8"/>
      <c r="H276" s="8"/>
      <c r="I276" s="8"/>
      <c r="J276" s="8"/>
      <c r="K276" s="8"/>
      <c r="L276" s="8"/>
      <c r="M276" s="8"/>
      <c r="N276" s="8"/>
      <c r="O276" s="8"/>
      <c r="P276" s="8"/>
      <c r="Q276" s="8"/>
      <c r="R276" s="8"/>
      <c r="S276" s="8"/>
      <c r="T276" s="8"/>
      <c r="U276" s="8"/>
      <c r="V276" s="8"/>
      <c r="W276" s="8"/>
    </row>
    <row r="277" spans="1:23" ht="12.75" x14ac:dyDescent="0.2">
      <c r="A277" s="8"/>
      <c r="B277" s="8"/>
      <c r="C277" s="8"/>
      <c r="D277" s="8"/>
      <c r="E277" s="8"/>
      <c r="F277" s="8"/>
      <c r="G277" s="8"/>
      <c r="H277" s="8"/>
      <c r="I277" s="8"/>
      <c r="J277" s="8"/>
      <c r="K277" s="8"/>
      <c r="L277" s="8"/>
      <c r="M277" s="8"/>
      <c r="N277" s="8"/>
      <c r="O277" s="8"/>
      <c r="P277" s="8"/>
      <c r="Q277" s="8"/>
      <c r="R277" s="8"/>
      <c r="S277" s="8"/>
      <c r="T277" s="8"/>
      <c r="U277" s="8"/>
      <c r="V277" s="8"/>
      <c r="W277" s="8"/>
    </row>
    <row r="278" spans="1:23" ht="12.75" x14ac:dyDescent="0.2">
      <c r="A278" s="8"/>
      <c r="B278" s="8"/>
      <c r="C278" s="8"/>
      <c r="D278" s="8"/>
      <c r="E278" s="8"/>
      <c r="F278" s="8"/>
      <c r="G278" s="8"/>
      <c r="H278" s="8"/>
      <c r="I278" s="8"/>
      <c r="J278" s="8"/>
      <c r="K278" s="8"/>
      <c r="L278" s="8"/>
      <c r="M278" s="8"/>
      <c r="N278" s="8"/>
      <c r="O278" s="8"/>
      <c r="P278" s="8"/>
      <c r="Q278" s="8"/>
      <c r="R278" s="8"/>
      <c r="S278" s="8"/>
      <c r="T278" s="8"/>
      <c r="U278" s="8"/>
      <c r="V278" s="8"/>
      <c r="W278" s="8"/>
    </row>
    <row r="279" spans="1:23" ht="12.75" x14ac:dyDescent="0.2">
      <c r="A279" s="8"/>
      <c r="B279" s="8"/>
      <c r="C279" s="8"/>
      <c r="D279" s="8"/>
      <c r="E279" s="8"/>
      <c r="F279" s="8"/>
      <c r="G279" s="8"/>
      <c r="H279" s="8"/>
      <c r="I279" s="8"/>
      <c r="J279" s="8"/>
      <c r="K279" s="8"/>
      <c r="L279" s="8"/>
      <c r="M279" s="8"/>
      <c r="N279" s="8"/>
      <c r="O279" s="8"/>
      <c r="P279" s="8"/>
      <c r="Q279" s="8"/>
      <c r="R279" s="8"/>
      <c r="S279" s="8"/>
      <c r="T279" s="8"/>
      <c r="U279" s="8"/>
      <c r="V279" s="8"/>
      <c r="W279" s="8"/>
    </row>
    <row r="280" spans="1:23" ht="12.75" x14ac:dyDescent="0.2">
      <c r="A280" s="8"/>
      <c r="B280" s="8"/>
      <c r="C280" s="8"/>
      <c r="D280" s="8"/>
      <c r="E280" s="8"/>
      <c r="F280" s="8"/>
      <c r="G280" s="8"/>
      <c r="H280" s="8"/>
      <c r="I280" s="8"/>
      <c r="J280" s="8"/>
      <c r="K280" s="8"/>
      <c r="L280" s="8"/>
      <c r="M280" s="8"/>
      <c r="N280" s="8"/>
      <c r="O280" s="8"/>
      <c r="P280" s="8"/>
      <c r="Q280" s="8"/>
      <c r="R280" s="8"/>
      <c r="S280" s="8"/>
      <c r="T280" s="8"/>
      <c r="U280" s="8"/>
      <c r="V280" s="8"/>
      <c r="W280" s="8"/>
    </row>
    <row r="281" spans="1:23" ht="12.75" x14ac:dyDescent="0.2">
      <c r="A281" s="8"/>
      <c r="B281" s="8"/>
      <c r="C281" s="8"/>
      <c r="D281" s="8"/>
      <c r="E281" s="8"/>
      <c r="F281" s="8"/>
      <c r="G281" s="8"/>
      <c r="H281" s="8"/>
      <c r="I281" s="8"/>
      <c r="J281" s="8"/>
      <c r="K281" s="8"/>
      <c r="L281" s="8"/>
      <c r="M281" s="8"/>
      <c r="N281" s="8"/>
      <c r="O281" s="8"/>
      <c r="P281" s="8"/>
      <c r="Q281" s="8"/>
      <c r="R281" s="8"/>
      <c r="S281" s="8"/>
      <c r="T281" s="8"/>
      <c r="U281" s="8"/>
      <c r="V281" s="8"/>
      <c r="W281" s="8"/>
    </row>
    <row r="282" spans="1:23" ht="12.75" x14ac:dyDescent="0.2">
      <c r="A282" s="8"/>
      <c r="B282" s="8"/>
      <c r="C282" s="8"/>
      <c r="D282" s="8"/>
      <c r="E282" s="8"/>
      <c r="F282" s="8"/>
      <c r="G282" s="8"/>
      <c r="H282" s="8"/>
      <c r="I282" s="8"/>
      <c r="J282" s="8"/>
      <c r="K282" s="8"/>
      <c r="L282" s="8"/>
      <c r="M282" s="8"/>
      <c r="N282" s="8"/>
      <c r="O282" s="8"/>
      <c r="P282" s="8"/>
      <c r="Q282" s="8"/>
      <c r="R282" s="8"/>
      <c r="S282" s="8"/>
      <c r="T282" s="8"/>
      <c r="U282" s="8"/>
      <c r="V282" s="8"/>
      <c r="W282" s="8"/>
    </row>
    <row r="283" spans="1:23" ht="12.75" x14ac:dyDescent="0.2">
      <c r="A283" s="8"/>
      <c r="B283" s="8"/>
      <c r="C283" s="8"/>
      <c r="D283" s="8"/>
      <c r="E283" s="8"/>
      <c r="F283" s="8"/>
      <c r="G283" s="8"/>
      <c r="H283" s="8"/>
      <c r="I283" s="8"/>
      <c r="J283" s="8"/>
      <c r="K283" s="8"/>
      <c r="L283" s="8"/>
      <c r="M283" s="8"/>
      <c r="N283" s="8"/>
      <c r="O283" s="8"/>
      <c r="P283" s="8"/>
      <c r="Q283" s="8"/>
      <c r="R283" s="8"/>
      <c r="S283" s="8"/>
      <c r="T283" s="8"/>
      <c r="U283" s="8"/>
      <c r="V283" s="8"/>
      <c r="W283" s="8"/>
    </row>
    <row r="284" spans="1:23" ht="12.75" x14ac:dyDescent="0.2">
      <c r="A284" s="8"/>
      <c r="B284" s="8"/>
      <c r="C284" s="8"/>
      <c r="D284" s="8"/>
      <c r="E284" s="8"/>
      <c r="F284" s="8"/>
      <c r="G284" s="8"/>
      <c r="H284" s="8"/>
      <c r="I284" s="8"/>
      <c r="J284" s="8"/>
      <c r="K284" s="8"/>
      <c r="L284" s="8"/>
      <c r="M284" s="8"/>
      <c r="N284" s="8"/>
      <c r="O284" s="8"/>
      <c r="P284" s="8"/>
      <c r="Q284" s="8"/>
      <c r="R284" s="8"/>
      <c r="S284" s="8"/>
      <c r="T284" s="8"/>
      <c r="U284" s="8"/>
      <c r="V284" s="8"/>
      <c r="W284" s="8"/>
    </row>
    <row r="285" spans="1:23" ht="12.75" x14ac:dyDescent="0.2">
      <c r="A285" s="8"/>
      <c r="B285" s="8"/>
      <c r="C285" s="8"/>
      <c r="D285" s="8"/>
      <c r="E285" s="8"/>
      <c r="F285" s="8"/>
      <c r="G285" s="8"/>
      <c r="H285" s="8"/>
      <c r="I285" s="8"/>
      <c r="J285" s="8"/>
      <c r="K285" s="8"/>
      <c r="L285" s="8"/>
      <c r="M285" s="8"/>
      <c r="N285" s="8"/>
      <c r="O285" s="8"/>
      <c r="P285" s="8"/>
      <c r="Q285" s="8"/>
      <c r="R285" s="8"/>
      <c r="S285" s="8"/>
      <c r="T285" s="8"/>
      <c r="U285" s="8"/>
      <c r="V285" s="8"/>
      <c r="W285" s="8"/>
    </row>
    <row r="286" spans="1:23" ht="12.75" x14ac:dyDescent="0.2">
      <c r="A286" s="8"/>
      <c r="B286" s="8"/>
      <c r="C286" s="8"/>
      <c r="D286" s="8"/>
      <c r="E286" s="8"/>
      <c r="F286" s="8"/>
      <c r="G286" s="8"/>
      <c r="H286" s="8"/>
      <c r="I286" s="8"/>
      <c r="J286" s="8"/>
      <c r="K286" s="8"/>
      <c r="L286" s="8"/>
      <c r="M286" s="8"/>
      <c r="N286" s="8"/>
      <c r="O286" s="8"/>
      <c r="P286" s="8"/>
      <c r="Q286" s="8"/>
      <c r="R286" s="8"/>
      <c r="S286" s="8"/>
      <c r="T286" s="8"/>
      <c r="U286" s="8"/>
      <c r="V286" s="8"/>
      <c r="W286" s="8"/>
    </row>
    <row r="287" spans="1:23" ht="12.75" x14ac:dyDescent="0.2">
      <c r="A287" s="8"/>
      <c r="B287" s="8"/>
      <c r="C287" s="8"/>
      <c r="D287" s="8"/>
      <c r="E287" s="8"/>
      <c r="F287" s="8"/>
      <c r="G287" s="8"/>
      <c r="H287" s="8"/>
      <c r="I287" s="8"/>
      <c r="J287" s="8"/>
      <c r="K287" s="8"/>
      <c r="L287" s="8"/>
      <c r="M287" s="8"/>
      <c r="N287" s="8"/>
      <c r="O287" s="8"/>
      <c r="P287" s="8"/>
      <c r="Q287" s="8"/>
      <c r="R287" s="8"/>
      <c r="S287" s="8"/>
      <c r="T287" s="8"/>
      <c r="U287" s="8"/>
      <c r="V287" s="8"/>
      <c r="W287" s="8"/>
    </row>
    <row r="288" spans="1:23" ht="12.75" x14ac:dyDescent="0.2">
      <c r="A288" s="8"/>
      <c r="B288" s="8"/>
      <c r="C288" s="8"/>
      <c r="D288" s="8"/>
      <c r="E288" s="8"/>
      <c r="F288" s="8"/>
      <c r="G288" s="8"/>
      <c r="H288" s="8"/>
      <c r="I288" s="8"/>
      <c r="J288" s="8"/>
      <c r="K288" s="8"/>
      <c r="L288" s="8"/>
      <c r="M288" s="8"/>
      <c r="N288" s="8"/>
      <c r="O288" s="8"/>
      <c r="P288" s="8"/>
      <c r="Q288" s="8"/>
      <c r="R288" s="8"/>
      <c r="S288" s="8"/>
      <c r="T288" s="8"/>
      <c r="U288" s="8"/>
      <c r="V288" s="8"/>
      <c r="W288" s="8"/>
    </row>
    <row r="289" spans="1:23" ht="12.75" x14ac:dyDescent="0.2">
      <c r="A289" s="8"/>
      <c r="B289" s="8"/>
      <c r="C289" s="8"/>
      <c r="D289" s="8"/>
      <c r="E289" s="8"/>
      <c r="F289" s="8"/>
      <c r="G289" s="8"/>
      <c r="H289" s="8"/>
      <c r="I289" s="8"/>
      <c r="J289" s="8"/>
      <c r="K289" s="8"/>
      <c r="L289" s="8"/>
      <c r="M289" s="8"/>
      <c r="N289" s="8"/>
      <c r="O289" s="8"/>
      <c r="P289" s="8"/>
      <c r="Q289" s="8"/>
      <c r="R289" s="8"/>
      <c r="S289" s="8"/>
      <c r="T289" s="8"/>
      <c r="U289" s="8"/>
      <c r="V289" s="8"/>
      <c r="W289" s="8"/>
    </row>
    <row r="290" spans="1:23" ht="12.75" x14ac:dyDescent="0.2">
      <c r="A290" s="8"/>
      <c r="B290" s="8"/>
      <c r="C290" s="8"/>
      <c r="D290" s="8"/>
      <c r="E290" s="8"/>
      <c r="F290" s="8"/>
      <c r="G290" s="8"/>
      <c r="H290" s="8"/>
      <c r="I290" s="8"/>
      <c r="J290" s="8"/>
      <c r="K290" s="8"/>
      <c r="L290" s="8"/>
      <c r="M290" s="8"/>
      <c r="N290" s="8"/>
      <c r="O290" s="8"/>
      <c r="P290" s="8"/>
      <c r="Q290" s="8"/>
      <c r="R290" s="8"/>
      <c r="S290" s="8"/>
      <c r="T290" s="8"/>
      <c r="U290" s="8"/>
      <c r="V290" s="8"/>
      <c r="W290" s="8"/>
    </row>
    <row r="291" spans="1:23" ht="12.75" x14ac:dyDescent="0.2">
      <c r="A291" s="8"/>
      <c r="B291" s="8"/>
      <c r="C291" s="8"/>
      <c r="D291" s="8"/>
      <c r="E291" s="8"/>
      <c r="F291" s="8"/>
      <c r="G291" s="8"/>
      <c r="H291" s="8"/>
      <c r="I291" s="8"/>
      <c r="J291" s="8"/>
      <c r="K291" s="8"/>
      <c r="L291" s="8"/>
      <c r="M291" s="8"/>
      <c r="N291" s="8"/>
      <c r="O291" s="8"/>
      <c r="P291" s="8"/>
      <c r="Q291" s="8"/>
      <c r="R291" s="8"/>
      <c r="S291" s="8"/>
      <c r="T291" s="8"/>
      <c r="U291" s="8"/>
      <c r="V291" s="8"/>
      <c r="W291" s="8"/>
    </row>
    <row r="292" spans="1:23" ht="12.75" x14ac:dyDescent="0.2">
      <c r="A292" s="8"/>
      <c r="B292" s="8"/>
      <c r="C292" s="8"/>
      <c r="D292" s="8"/>
      <c r="E292" s="8"/>
      <c r="F292" s="8"/>
      <c r="G292" s="8"/>
      <c r="H292" s="8"/>
      <c r="I292" s="8"/>
      <c r="J292" s="8"/>
      <c r="K292" s="8"/>
      <c r="L292" s="8"/>
      <c r="M292" s="8"/>
      <c r="N292" s="8"/>
      <c r="O292" s="8"/>
      <c r="P292" s="8"/>
      <c r="Q292" s="8"/>
      <c r="R292" s="8"/>
      <c r="S292" s="8"/>
      <c r="T292" s="8"/>
      <c r="U292" s="8"/>
      <c r="V292" s="8"/>
      <c r="W292" s="8"/>
    </row>
    <row r="293" spans="1:23" ht="12.75" x14ac:dyDescent="0.2">
      <c r="A293" s="8"/>
      <c r="B293" s="8"/>
      <c r="C293" s="8"/>
      <c r="D293" s="8"/>
      <c r="E293" s="8"/>
      <c r="F293" s="8"/>
      <c r="G293" s="8"/>
      <c r="H293" s="8"/>
      <c r="I293" s="8"/>
      <c r="J293" s="8"/>
      <c r="K293" s="8"/>
      <c r="L293" s="8"/>
      <c r="M293" s="8"/>
      <c r="N293" s="8"/>
      <c r="O293" s="8"/>
      <c r="P293" s="8"/>
      <c r="Q293" s="8"/>
      <c r="R293" s="8"/>
      <c r="S293" s="8"/>
      <c r="T293" s="8"/>
      <c r="U293" s="8"/>
      <c r="V293" s="8"/>
      <c r="W293" s="8"/>
    </row>
    <row r="294" spans="1:23" ht="12.75" x14ac:dyDescent="0.2">
      <c r="A294" s="8"/>
      <c r="B294" s="8"/>
      <c r="C294" s="8"/>
      <c r="D294" s="8"/>
      <c r="E294" s="8"/>
      <c r="F294" s="8"/>
      <c r="G294" s="8"/>
      <c r="H294" s="8"/>
      <c r="I294" s="8"/>
      <c r="J294" s="8"/>
      <c r="K294" s="8"/>
      <c r="L294" s="8"/>
      <c r="M294" s="8"/>
      <c r="N294" s="8"/>
      <c r="O294" s="8"/>
      <c r="P294" s="8"/>
      <c r="Q294" s="8"/>
      <c r="R294" s="8"/>
      <c r="S294" s="8"/>
      <c r="T294" s="8"/>
      <c r="U294" s="8"/>
      <c r="V294" s="8"/>
      <c r="W294" s="8"/>
    </row>
    <row r="295" spans="1:23" ht="12.75" x14ac:dyDescent="0.2">
      <c r="A295" s="8"/>
      <c r="B295" s="8"/>
      <c r="C295" s="8"/>
      <c r="D295" s="8"/>
      <c r="E295" s="8"/>
      <c r="F295" s="8"/>
      <c r="G295" s="8"/>
      <c r="H295" s="8"/>
      <c r="I295" s="8"/>
      <c r="J295" s="8"/>
      <c r="K295" s="8"/>
      <c r="L295" s="8"/>
      <c r="M295" s="8"/>
      <c r="N295" s="8"/>
      <c r="O295" s="8"/>
      <c r="P295" s="8"/>
      <c r="Q295" s="8"/>
      <c r="R295" s="8"/>
      <c r="S295" s="8"/>
      <c r="T295" s="8"/>
      <c r="U295" s="8"/>
      <c r="V295" s="8"/>
      <c r="W295" s="8"/>
    </row>
    <row r="296" spans="1:23" ht="12.75" x14ac:dyDescent="0.2">
      <c r="A296" s="8"/>
      <c r="B296" s="8"/>
      <c r="C296" s="8"/>
      <c r="D296" s="8"/>
      <c r="E296" s="8"/>
      <c r="F296" s="8"/>
      <c r="G296" s="8"/>
      <c r="H296" s="8"/>
      <c r="I296" s="8"/>
      <c r="J296" s="8"/>
      <c r="K296" s="8"/>
      <c r="L296" s="8"/>
      <c r="M296" s="8"/>
      <c r="N296" s="8"/>
      <c r="O296" s="8"/>
      <c r="P296" s="8"/>
      <c r="Q296" s="8"/>
      <c r="R296" s="8"/>
      <c r="S296" s="8"/>
      <c r="T296" s="8"/>
      <c r="U296" s="8"/>
      <c r="V296" s="8"/>
      <c r="W296" s="8"/>
    </row>
    <row r="297" spans="1:23" ht="12.75" x14ac:dyDescent="0.2">
      <c r="A297" s="8"/>
      <c r="B297" s="8"/>
      <c r="C297" s="8"/>
      <c r="D297" s="8"/>
      <c r="E297" s="8"/>
      <c r="F297" s="8"/>
      <c r="G297" s="8"/>
      <c r="H297" s="8"/>
      <c r="I297" s="8"/>
      <c r="J297" s="8"/>
      <c r="K297" s="8"/>
      <c r="L297" s="8"/>
      <c r="M297" s="8"/>
      <c r="N297" s="8"/>
      <c r="O297" s="8"/>
      <c r="P297" s="8"/>
      <c r="Q297" s="8"/>
      <c r="R297" s="8"/>
      <c r="S297" s="8"/>
      <c r="T297" s="8"/>
      <c r="U297" s="8"/>
      <c r="V297" s="8"/>
      <c r="W297" s="8"/>
    </row>
    <row r="298" spans="1:23" ht="12.75" x14ac:dyDescent="0.2">
      <c r="A298" s="8"/>
      <c r="B298" s="8"/>
      <c r="C298" s="8"/>
      <c r="D298" s="8"/>
      <c r="E298" s="8"/>
      <c r="F298" s="8"/>
      <c r="G298" s="8"/>
      <c r="H298" s="8"/>
      <c r="I298" s="8"/>
      <c r="J298" s="8"/>
      <c r="K298" s="8"/>
      <c r="L298" s="8"/>
      <c r="M298" s="8"/>
      <c r="N298" s="8"/>
      <c r="O298" s="8"/>
      <c r="P298" s="8"/>
      <c r="Q298" s="8"/>
      <c r="R298" s="8"/>
      <c r="S298" s="8"/>
      <c r="T298" s="8"/>
      <c r="U298" s="8"/>
      <c r="V298" s="8"/>
      <c r="W298" s="8"/>
    </row>
    <row r="299" spans="1:23" ht="12.75" x14ac:dyDescent="0.2">
      <c r="A299" s="8"/>
      <c r="B299" s="8"/>
      <c r="C299" s="8"/>
      <c r="D299" s="8"/>
      <c r="E299" s="8"/>
      <c r="F299" s="8"/>
      <c r="G299" s="8"/>
      <c r="H299" s="8"/>
      <c r="I299" s="8"/>
      <c r="J299" s="8"/>
      <c r="K299" s="8"/>
      <c r="L299" s="8"/>
      <c r="M299" s="8"/>
      <c r="N299" s="8"/>
      <c r="O299" s="8"/>
      <c r="P299" s="8"/>
      <c r="Q299" s="8"/>
      <c r="R299" s="8"/>
      <c r="S299" s="8"/>
      <c r="T299" s="8"/>
      <c r="U299" s="8"/>
      <c r="V299" s="8"/>
      <c r="W299" s="8"/>
    </row>
    <row r="300" spans="1:23" ht="12.75" x14ac:dyDescent="0.2">
      <c r="A300" s="8"/>
      <c r="B300" s="8"/>
      <c r="C300" s="8"/>
      <c r="D300" s="8"/>
      <c r="E300" s="8"/>
      <c r="F300" s="8"/>
      <c r="G300" s="8"/>
      <c r="H300" s="8"/>
      <c r="I300" s="8"/>
      <c r="J300" s="8"/>
      <c r="K300" s="8"/>
      <c r="L300" s="8"/>
      <c r="M300" s="8"/>
      <c r="N300" s="8"/>
      <c r="O300" s="8"/>
      <c r="P300" s="8"/>
      <c r="Q300" s="8"/>
      <c r="R300" s="8"/>
      <c r="S300" s="8"/>
      <c r="T300" s="8"/>
      <c r="U300" s="8"/>
      <c r="V300" s="8"/>
      <c r="W300" s="8"/>
    </row>
    <row r="301" spans="1:23" ht="12.75" x14ac:dyDescent="0.2">
      <c r="A301" s="8"/>
      <c r="B301" s="8"/>
      <c r="C301" s="8"/>
      <c r="D301" s="8"/>
      <c r="E301" s="8"/>
      <c r="F301" s="8"/>
      <c r="G301" s="8"/>
      <c r="H301" s="8"/>
      <c r="I301" s="8"/>
      <c r="J301" s="8"/>
      <c r="K301" s="8"/>
      <c r="L301" s="8"/>
      <c r="M301" s="8"/>
      <c r="N301" s="8"/>
      <c r="O301" s="8"/>
      <c r="P301" s="8"/>
      <c r="Q301" s="8"/>
      <c r="R301" s="8"/>
      <c r="S301" s="8"/>
      <c r="T301" s="8"/>
      <c r="U301" s="8"/>
      <c r="V301" s="8"/>
      <c r="W301" s="8"/>
    </row>
    <row r="302" spans="1:23" ht="12.75" x14ac:dyDescent="0.2">
      <c r="A302" s="8"/>
      <c r="B302" s="8"/>
      <c r="C302" s="8"/>
      <c r="D302" s="8"/>
      <c r="E302" s="8"/>
      <c r="F302" s="8"/>
      <c r="G302" s="8"/>
      <c r="H302" s="8"/>
      <c r="I302" s="8"/>
      <c r="J302" s="8"/>
      <c r="K302" s="8"/>
      <c r="L302" s="8"/>
      <c r="M302" s="8"/>
      <c r="N302" s="8"/>
      <c r="O302" s="8"/>
      <c r="P302" s="8"/>
      <c r="Q302" s="8"/>
      <c r="R302" s="8"/>
      <c r="S302" s="8"/>
      <c r="T302" s="8"/>
      <c r="U302" s="8"/>
      <c r="V302" s="8"/>
      <c r="W302" s="8"/>
    </row>
    <row r="303" spans="1:23" ht="12.75" x14ac:dyDescent="0.2">
      <c r="A303" s="8"/>
      <c r="B303" s="8"/>
      <c r="C303" s="8"/>
      <c r="D303" s="8"/>
      <c r="E303" s="8"/>
      <c r="F303" s="8"/>
      <c r="G303" s="8"/>
      <c r="H303" s="8"/>
      <c r="I303" s="8"/>
      <c r="J303" s="8"/>
      <c r="K303" s="8"/>
      <c r="L303" s="8"/>
      <c r="M303" s="8"/>
      <c r="N303" s="8"/>
      <c r="O303" s="8"/>
      <c r="P303" s="8"/>
      <c r="Q303" s="8"/>
      <c r="R303" s="8"/>
      <c r="S303" s="8"/>
      <c r="T303" s="8"/>
      <c r="U303" s="8"/>
      <c r="V303" s="8"/>
      <c r="W303" s="8"/>
    </row>
    <row r="304" spans="1:23" ht="12.75" x14ac:dyDescent="0.2">
      <c r="A304" s="8"/>
      <c r="B304" s="8"/>
      <c r="C304" s="8"/>
      <c r="D304" s="8"/>
      <c r="E304" s="8"/>
      <c r="F304" s="8"/>
      <c r="G304" s="8"/>
      <c r="H304" s="8"/>
      <c r="I304" s="8"/>
      <c r="J304" s="8"/>
      <c r="K304" s="8"/>
      <c r="L304" s="8"/>
      <c r="M304" s="8"/>
      <c r="N304" s="8"/>
      <c r="O304" s="8"/>
      <c r="P304" s="8"/>
      <c r="Q304" s="8"/>
      <c r="R304" s="8"/>
      <c r="S304" s="8"/>
      <c r="T304" s="8"/>
      <c r="U304" s="8"/>
      <c r="V304" s="8"/>
      <c r="W304" s="8"/>
    </row>
    <row r="305" spans="1:23" ht="12.75" x14ac:dyDescent="0.2">
      <c r="A305" s="8"/>
      <c r="B305" s="8"/>
      <c r="C305" s="8"/>
      <c r="D305" s="8"/>
      <c r="E305" s="8"/>
      <c r="F305" s="8"/>
      <c r="G305" s="8"/>
      <c r="H305" s="8"/>
      <c r="I305" s="8"/>
      <c r="J305" s="8"/>
      <c r="K305" s="8"/>
      <c r="L305" s="8"/>
      <c r="M305" s="8"/>
      <c r="N305" s="8"/>
      <c r="O305" s="8"/>
      <c r="P305" s="8"/>
      <c r="Q305" s="8"/>
      <c r="R305" s="8"/>
      <c r="S305" s="8"/>
      <c r="T305" s="8"/>
      <c r="U305" s="8"/>
      <c r="V305" s="8"/>
      <c r="W305" s="8"/>
    </row>
    <row r="306" spans="1:23" ht="12.75" x14ac:dyDescent="0.2">
      <c r="A306" s="8"/>
      <c r="B306" s="8"/>
      <c r="C306" s="8"/>
      <c r="D306" s="8"/>
      <c r="E306" s="8"/>
      <c r="F306" s="8"/>
      <c r="G306" s="8"/>
      <c r="H306" s="8"/>
      <c r="I306" s="8"/>
      <c r="J306" s="8"/>
      <c r="K306" s="8"/>
      <c r="L306" s="8"/>
      <c r="M306" s="8"/>
      <c r="N306" s="8"/>
      <c r="O306" s="8"/>
      <c r="P306" s="8"/>
      <c r="Q306" s="8"/>
      <c r="R306" s="8"/>
      <c r="S306" s="8"/>
      <c r="T306" s="8"/>
      <c r="U306" s="8"/>
      <c r="V306" s="8"/>
      <c r="W306" s="8"/>
    </row>
    <row r="307" spans="1:23" ht="12.75" x14ac:dyDescent="0.2">
      <c r="A307" s="8"/>
      <c r="B307" s="8"/>
      <c r="C307" s="8"/>
      <c r="D307" s="8"/>
      <c r="E307" s="8"/>
      <c r="F307" s="8"/>
      <c r="G307" s="8"/>
      <c r="H307" s="8"/>
      <c r="I307" s="8"/>
      <c r="J307" s="8"/>
      <c r="K307" s="8"/>
      <c r="L307" s="8"/>
      <c r="M307" s="8"/>
      <c r="N307" s="8"/>
      <c r="O307" s="8"/>
      <c r="P307" s="8"/>
      <c r="Q307" s="8"/>
      <c r="R307" s="8"/>
      <c r="S307" s="8"/>
      <c r="T307" s="8"/>
      <c r="U307" s="8"/>
      <c r="V307" s="8"/>
      <c r="W307" s="8"/>
    </row>
    <row r="308" spans="1:23" ht="12.75" x14ac:dyDescent="0.2">
      <c r="A308" s="8"/>
      <c r="B308" s="8"/>
      <c r="C308" s="8"/>
      <c r="D308" s="8"/>
      <c r="E308" s="8"/>
      <c r="F308" s="8"/>
      <c r="G308" s="8"/>
      <c r="H308" s="8"/>
      <c r="I308" s="8"/>
      <c r="J308" s="8"/>
      <c r="K308" s="8"/>
      <c r="L308" s="8"/>
      <c r="M308" s="8"/>
      <c r="N308" s="8"/>
      <c r="O308" s="8"/>
      <c r="P308" s="8"/>
      <c r="Q308" s="8"/>
      <c r="R308" s="8"/>
      <c r="S308" s="8"/>
      <c r="T308" s="8"/>
      <c r="U308" s="8"/>
      <c r="V308" s="8"/>
      <c r="W308" s="8"/>
    </row>
    <row r="309" spans="1:23" ht="12.75" x14ac:dyDescent="0.2">
      <c r="A309" s="8"/>
      <c r="B309" s="8"/>
      <c r="C309" s="8"/>
      <c r="D309" s="8"/>
      <c r="E309" s="8"/>
      <c r="F309" s="8"/>
      <c r="G309" s="8"/>
      <c r="H309" s="8"/>
      <c r="I309" s="8"/>
      <c r="J309" s="8"/>
      <c r="K309" s="8"/>
      <c r="L309" s="8"/>
      <c r="M309" s="8"/>
      <c r="N309" s="8"/>
      <c r="O309" s="8"/>
      <c r="P309" s="8"/>
      <c r="Q309" s="8"/>
      <c r="R309" s="8"/>
      <c r="S309" s="8"/>
      <c r="T309" s="8"/>
      <c r="U309" s="8"/>
      <c r="V309" s="8"/>
      <c r="W309" s="8"/>
    </row>
    <row r="310" spans="1:23" ht="12.75" x14ac:dyDescent="0.2">
      <c r="A310" s="8"/>
      <c r="B310" s="8"/>
      <c r="C310" s="8"/>
      <c r="D310" s="8"/>
      <c r="E310" s="8"/>
      <c r="F310" s="8"/>
      <c r="G310" s="8"/>
      <c r="H310" s="8"/>
      <c r="I310" s="8"/>
      <c r="J310" s="8"/>
      <c r="K310" s="8"/>
      <c r="L310" s="8"/>
      <c r="M310" s="8"/>
      <c r="N310" s="8"/>
      <c r="O310" s="8"/>
      <c r="P310" s="8"/>
      <c r="Q310" s="8"/>
      <c r="R310" s="8"/>
      <c r="S310" s="8"/>
      <c r="T310" s="8"/>
      <c r="U310" s="8"/>
      <c r="V310" s="8"/>
      <c r="W310" s="8"/>
    </row>
    <row r="311" spans="1:23" ht="12.75" x14ac:dyDescent="0.2">
      <c r="A311" s="8"/>
      <c r="B311" s="8"/>
      <c r="C311" s="8"/>
      <c r="D311" s="8"/>
      <c r="E311" s="8"/>
      <c r="F311" s="8"/>
      <c r="G311" s="8"/>
      <c r="H311" s="8"/>
      <c r="I311" s="8"/>
      <c r="J311" s="8"/>
      <c r="K311" s="8"/>
      <c r="L311" s="8"/>
      <c r="M311" s="8"/>
      <c r="N311" s="8"/>
      <c r="O311" s="8"/>
      <c r="P311" s="8"/>
      <c r="Q311" s="8"/>
      <c r="R311" s="8"/>
      <c r="S311" s="8"/>
      <c r="T311" s="8"/>
      <c r="U311" s="8"/>
      <c r="V311" s="8"/>
      <c r="W311" s="8"/>
    </row>
    <row r="312" spans="1:23" ht="12.75" x14ac:dyDescent="0.2">
      <c r="A312" s="8"/>
      <c r="B312" s="8"/>
      <c r="C312" s="8"/>
      <c r="D312" s="8"/>
      <c r="E312" s="8"/>
      <c r="F312" s="8"/>
      <c r="G312" s="8"/>
      <c r="H312" s="8"/>
      <c r="I312" s="8"/>
      <c r="J312" s="8"/>
      <c r="K312" s="8"/>
      <c r="L312" s="8"/>
      <c r="M312" s="8"/>
      <c r="N312" s="8"/>
      <c r="O312" s="8"/>
      <c r="P312" s="8"/>
      <c r="Q312" s="8"/>
      <c r="R312" s="8"/>
      <c r="S312" s="8"/>
      <c r="T312" s="8"/>
      <c r="U312" s="8"/>
      <c r="V312" s="8"/>
      <c r="W312" s="8"/>
    </row>
    <row r="313" spans="1:23" ht="12.75" x14ac:dyDescent="0.2">
      <c r="A313" s="8"/>
      <c r="B313" s="8"/>
      <c r="C313" s="8"/>
      <c r="D313" s="8"/>
      <c r="E313" s="8"/>
      <c r="F313" s="8"/>
      <c r="G313" s="8"/>
      <c r="H313" s="8"/>
      <c r="I313" s="8"/>
      <c r="J313" s="8"/>
      <c r="K313" s="8"/>
      <c r="L313" s="8"/>
      <c r="M313" s="8"/>
      <c r="N313" s="8"/>
      <c r="O313" s="8"/>
      <c r="P313" s="8"/>
      <c r="Q313" s="8"/>
      <c r="R313" s="8"/>
      <c r="S313" s="8"/>
      <c r="T313" s="8"/>
      <c r="U313" s="8"/>
      <c r="V313" s="8"/>
      <c r="W313" s="8"/>
    </row>
    <row r="314" spans="1:23" ht="12.75" x14ac:dyDescent="0.2">
      <c r="A314" s="8"/>
      <c r="B314" s="8"/>
      <c r="C314" s="8"/>
      <c r="D314" s="8"/>
      <c r="E314" s="8"/>
      <c r="F314" s="8"/>
      <c r="G314" s="8"/>
      <c r="H314" s="8"/>
      <c r="I314" s="8"/>
      <c r="J314" s="8"/>
      <c r="K314" s="8"/>
      <c r="L314" s="8"/>
      <c r="M314" s="8"/>
      <c r="N314" s="8"/>
      <c r="O314" s="8"/>
      <c r="P314" s="8"/>
      <c r="Q314" s="8"/>
      <c r="R314" s="8"/>
      <c r="S314" s="8"/>
      <c r="T314" s="8"/>
      <c r="U314" s="8"/>
      <c r="V314" s="8"/>
      <c r="W314" s="8"/>
    </row>
    <row r="315" spans="1:23" ht="12.75" x14ac:dyDescent="0.2">
      <c r="A315" s="8"/>
      <c r="B315" s="8"/>
      <c r="C315" s="8"/>
      <c r="D315" s="8"/>
      <c r="E315" s="8"/>
      <c r="F315" s="8"/>
      <c r="G315" s="8"/>
      <c r="H315" s="8"/>
      <c r="I315" s="8"/>
      <c r="J315" s="8"/>
      <c r="K315" s="8"/>
      <c r="L315" s="8"/>
      <c r="M315" s="8"/>
      <c r="N315" s="8"/>
      <c r="O315" s="8"/>
      <c r="P315" s="8"/>
      <c r="Q315" s="8"/>
      <c r="R315" s="8"/>
      <c r="S315" s="8"/>
      <c r="T315" s="8"/>
      <c r="U315" s="8"/>
      <c r="V315" s="8"/>
      <c r="W315" s="8"/>
    </row>
    <row r="316" spans="1:23" ht="12.75" x14ac:dyDescent="0.2">
      <c r="A316" s="8"/>
      <c r="B316" s="8"/>
      <c r="C316" s="8"/>
      <c r="D316" s="8"/>
      <c r="E316" s="8"/>
      <c r="F316" s="8"/>
      <c r="G316" s="8"/>
      <c r="H316" s="8"/>
      <c r="I316" s="8"/>
      <c r="J316" s="8"/>
      <c r="K316" s="8"/>
      <c r="L316" s="8"/>
      <c r="M316" s="8"/>
      <c r="N316" s="8"/>
      <c r="O316" s="8"/>
      <c r="P316" s="8"/>
      <c r="Q316" s="8"/>
      <c r="R316" s="8"/>
      <c r="S316" s="8"/>
      <c r="T316" s="8"/>
      <c r="U316" s="8"/>
      <c r="V316" s="8"/>
      <c r="W316" s="8"/>
    </row>
    <row r="317" spans="1:23" ht="12.75" x14ac:dyDescent="0.2">
      <c r="A317" s="8"/>
      <c r="B317" s="8"/>
      <c r="C317" s="8"/>
      <c r="D317" s="8"/>
      <c r="E317" s="8"/>
      <c r="F317" s="8"/>
      <c r="G317" s="8"/>
      <c r="H317" s="8"/>
      <c r="I317" s="8"/>
      <c r="J317" s="8"/>
      <c r="K317" s="8"/>
      <c r="L317" s="8"/>
      <c r="M317" s="8"/>
      <c r="N317" s="8"/>
      <c r="O317" s="8"/>
      <c r="P317" s="8"/>
      <c r="Q317" s="8"/>
      <c r="R317" s="8"/>
      <c r="S317" s="8"/>
      <c r="T317" s="8"/>
      <c r="U317" s="8"/>
      <c r="V317" s="8"/>
      <c r="W317" s="8"/>
    </row>
    <row r="318" spans="1:23" ht="12.75" x14ac:dyDescent="0.2">
      <c r="A318" s="8"/>
      <c r="B318" s="8"/>
      <c r="C318" s="8"/>
      <c r="D318" s="8"/>
      <c r="E318" s="8"/>
      <c r="F318" s="8"/>
      <c r="G318" s="8"/>
      <c r="H318" s="8"/>
      <c r="I318" s="8"/>
      <c r="J318" s="8"/>
      <c r="K318" s="8"/>
      <c r="L318" s="8"/>
      <c r="M318" s="8"/>
      <c r="N318" s="8"/>
      <c r="O318" s="8"/>
      <c r="P318" s="8"/>
      <c r="Q318" s="8"/>
      <c r="R318" s="8"/>
      <c r="S318" s="8"/>
      <c r="T318" s="8"/>
      <c r="U318" s="8"/>
      <c r="V318" s="8"/>
      <c r="W318" s="8"/>
    </row>
    <row r="319" spans="1:23" ht="12.75" x14ac:dyDescent="0.2">
      <c r="A319" s="8"/>
      <c r="B319" s="8"/>
      <c r="C319" s="8"/>
      <c r="D319" s="8"/>
      <c r="E319" s="8"/>
      <c r="F319" s="8"/>
      <c r="G319" s="8"/>
      <c r="H319" s="8"/>
      <c r="I319" s="8"/>
      <c r="J319" s="8"/>
      <c r="K319" s="8"/>
      <c r="L319" s="8"/>
      <c r="M319" s="8"/>
      <c r="N319" s="8"/>
      <c r="O319" s="8"/>
      <c r="P319" s="8"/>
      <c r="Q319" s="8"/>
      <c r="R319" s="8"/>
      <c r="S319" s="8"/>
      <c r="T319" s="8"/>
      <c r="U319" s="8"/>
      <c r="V319" s="8"/>
      <c r="W319" s="8"/>
    </row>
    <row r="320" spans="1:23" ht="12.75" x14ac:dyDescent="0.2">
      <c r="A320" s="8"/>
      <c r="B320" s="8"/>
      <c r="C320" s="8"/>
      <c r="D320" s="8"/>
      <c r="E320" s="8"/>
      <c r="F320" s="8"/>
      <c r="G320" s="8"/>
      <c r="H320" s="8"/>
      <c r="I320" s="8"/>
      <c r="J320" s="8"/>
      <c r="K320" s="8"/>
      <c r="L320" s="8"/>
      <c r="M320" s="8"/>
      <c r="N320" s="8"/>
      <c r="O320" s="8"/>
      <c r="P320" s="8"/>
      <c r="Q320" s="8"/>
      <c r="R320" s="8"/>
      <c r="S320" s="8"/>
      <c r="T320" s="8"/>
      <c r="U320" s="8"/>
      <c r="V320" s="8"/>
      <c r="W320" s="8"/>
    </row>
    <row r="321" spans="1:23" ht="12.75" x14ac:dyDescent="0.2">
      <c r="A321" s="8"/>
      <c r="B321" s="8"/>
      <c r="C321" s="8"/>
      <c r="D321" s="8"/>
      <c r="E321" s="8"/>
      <c r="F321" s="8"/>
      <c r="G321" s="8"/>
      <c r="H321" s="8"/>
      <c r="I321" s="8"/>
      <c r="J321" s="8"/>
      <c r="K321" s="8"/>
      <c r="L321" s="8"/>
      <c r="M321" s="8"/>
      <c r="N321" s="8"/>
      <c r="O321" s="8"/>
      <c r="P321" s="8"/>
      <c r="Q321" s="8"/>
      <c r="R321" s="8"/>
      <c r="S321" s="8"/>
      <c r="T321" s="8"/>
      <c r="U321" s="8"/>
      <c r="V321" s="8"/>
      <c r="W321" s="8"/>
    </row>
    <row r="322" spans="1:23" ht="12.75" x14ac:dyDescent="0.2">
      <c r="A322" s="8"/>
      <c r="B322" s="8"/>
      <c r="C322" s="8"/>
      <c r="D322" s="8"/>
      <c r="E322" s="8"/>
      <c r="F322" s="8"/>
      <c r="G322" s="8"/>
      <c r="H322" s="8"/>
      <c r="I322" s="8"/>
      <c r="J322" s="8"/>
      <c r="K322" s="8"/>
      <c r="L322" s="8"/>
      <c r="M322" s="8"/>
      <c r="N322" s="8"/>
      <c r="O322" s="8"/>
      <c r="P322" s="8"/>
      <c r="Q322" s="8"/>
      <c r="R322" s="8"/>
      <c r="S322" s="8"/>
      <c r="T322" s="8"/>
      <c r="U322" s="8"/>
      <c r="V322" s="8"/>
      <c r="W322" s="8"/>
    </row>
    <row r="323" spans="1:23" ht="12.75" x14ac:dyDescent="0.2">
      <c r="A323" s="8"/>
      <c r="B323" s="8"/>
      <c r="C323" s="8"/>
      <c r="D323" s="8"/>
      <c r="E323" s="8"/>
      <c r="F323" s="8"/>
      <c r="G323" s="8"/>
      <c r="H323" s="8"/>
      <c r="I323" s="8"/>
      <c r="J323" s="8"/>
      <c r="K323" s="8"/>
      <c r="L323" s="8"/>
      <c r="M323" s="8"/>
      <c r="N323" s="8"/>
      <c r="O323" s="8"/>
      <c r="P323" s="8"/>
      <c r="Q323" s="8"/>
      <c r="R323" s="8"/>
      <c r="S323" s="8"/>
      <c r="T323" s="8"/>
      <c r="U323" s="8"/>
      <c r="V323" s="8"/>
      <c r="W323" s="8"/>
    </row>
    <row r="324" spans="1:23" ht="12.75" x14ac:dyDescent="0.2">
      <c r="A324" s="8"/>
      <c r="B324" s="8"/>
      <c r="C324" s="8"/>
      <c r="D324" s="8"/>
      <c r="E324" s="8"/>
      <c r="F324" s="8"/>
      <c r="G324" s="8"/>
      <c r="H324" s="8"/>
      <c r="I324" s="8"/>
      <c r="J324" s="8"/>
      <c r="K324" s="8"/>
      <c r="L324" s="8"/>
      <c r="M324" s="8"/>
      <c r="N324" s="8"/>
      <c r="O324" s="8"/>
      <c r="P324" s="8"/>
      <c r="Q324" s="8"/>
      <c r="R324" s="8"/>
      <c r="S324" s="8"/>
      <c r="T324" s="8"/>
      <c r="U324" s="8"/>
      <c r="V324" s="8"/>
      <c r="W324" s="8"/>
    </row>
    <row r="325" spans="1:23" ht="12.75" x14ac:dyDescent="0.2">
      <c r="A325" s="8"/>
      <c r="B325" s="8"/>
      <c r="C325" s="8"/>
      <c r="D325" s="8"/>
      <c r="E325" s="8"/>
      <c r="F325" s="8"/>
      <c r="G325" s="8"/>
      <c r="H325" s="8"/>
      <c r="I325" s="8"/>
      <c r="J325" s="8"/>
      <c r="K325" s="8"/>
      <c r="L325" s="8"/>
      <c r="M325" s="8"/>
      <c r="N325" s="8"/>
      <c r="O325" s="8"/>
      <c r="P325" s="8"/>
      <c r="Q325" s="8"/>
      <c r="R325" s="8"/>
      <c r="S325" s="8"/>
      <c r="T325" s="8"/>
      <c r="U325" s="8"/>
      <c r="V325" s="8"/>
      <c r="W325" s="8"/>
    </row>
    <row r="326" spans="1:23" ht="12.75" x14ac:dyDescent="0.2">
      <c r="A326" s="8"/>
      <c r="B326" s="8"/>
      <c r="C326" s="8"/>
      <c r="D326" s="8"/>
      <c r="E326" s="8"/>
      <c r="F326" s="8"/>
      <c r="G326" s="8"/>
      <c r="H326" s="8"/>
      <c r="I326" s="8"/>
      <c r="J326" s="8"/>
      <c r="K326" s="8"/>
      <c r="L326" s="8"/>
      <c r="M326" s="8"/>
      <c r="N326" s="8"/>
      <c r="O326" s="8"/>
      <c r="P326" s="8"/>
      <c r="Q326" s="8"/>
      <c r="R326" s="8"/>
      <c r="S326" s="8"/>
      <c r="T326" s="8"/>
      <c r="U326" s="8"/>
      <c r="V326" s="8"/>
      <c r="W326" s="8"/>
    </row>
    <row r="327" spans="1:23" ht="12.75" x14ac:dyDescent="0.2">
      <c r="A327" s="8"/>
      <c r="B327" s="8"/>
      <c r="C327" s="8"/>
      <c r="D327" s="8"/>
      <c r="E327" s="8"/>
      <c r="F327" s="8"/>
      <c r="G327" s="8"/>
      <c r="H327" s="8"/>
      <c r="I327" s="8"/>
      <c r="J327" s="8"/>
      <c r="K327" s="8"/>
      <c r="L327" s="8"/>
      <c r="M327" s="8"/>
      <c r="N327" s="8"/>
      <c r="O327" s="8"/>
      <c r="P327" s="8"/>
      <c r="Q327" s="8"/>
      <c r="R327" s="8"/>
      <c r="S327" s="8"/>
      <c r="T327" s="8"/>
      <c r="U327" s="8"/>
      <c r="V327" s="8"/>
      <c r="W327" s="8"/>
    </row>
    <row r="328" spans="1:23" ht="12.75" x14ac:dyDescent="0.2">
      <c r="A328" s="8"/>
      <c r="B328" s="8"/>
      <c r="C328" s="8"/>
      <c r="D328" s="8"/>
      <c r="E328" s="8"/>
      <c r="F328" s="8"/>
      <c r="G328" s="8"/>
      <c r="H328" s="8"/>
      <c r="I328" s="8"/>
      <c r="J328" s="8"/>
      <c r="K328" s="8"/>
      <c r="L328" s="8"/>
      <c r="M328" s="8"/>
      <c r="N328" s="8"/>
      <c r="O328" s="8"/>
      <c r="P328" s="8"/>
      <c r="Q328" s="8"/>
      <c r="R328" s="8"/>
      <c r="S328" s="8"/>
      <c r="T328" s="8"/>
      <c r="U328" s="8"/>
      <c r="V328" s="8"/>
      <c r="W328" s="8"/>
    </row>
    <row r="329" spans="1:23" ht="12.75" x14ac:dyDescent="0.2">
      <c r="A329" s="8"/>
      <c r="B329" s="8"/>
      <c r="C329" s="8"/>
      <c r="D329" s="8"/>
      <c r="E329" s="8"/>
      <c r="F329" s="8"/>
      <c r="G329" s="8"/>
      <c r="H329" s="8"/>
      <c r="I329" s="8"/>
      <c r="J329" s="8"/>
      <c r="K329" s="8"/>
      <c r="L329" s="8"/>
      <c r="M329" s="8"/>
      <c r="N329" s="8"/>
      <c r="O329" s="8"/>
      <c r="P329" s="8"/>
      <c r="Q329" s="8"/>
      <c r="R329" s="8"/>
      <c r="S329" s="8"/>
      <c r="T329" s="8"/>
      <c r="U329" s="8"/>
      <c r="V329" s="8"/>
      <c r="W329" s="8"/>
    </row>
    <row r="330" spans="1:23" ht="12.75" x14ac:dyDescent="0.2">
      <c r="A330" s="8"/>
      <c r="B330" s="8"/>
      <c r="C330" s="8"/>
      <c r="D330" s="8"/>
      <c r="E330" s="8"/>
      <c r="F330" s="8"/>
      <c r="G330" s="8"/>
      <c r="H330" s="8"/>
      <c r="I330" s="8"/>
      <c r="J330" s="8"/>
      <c r="K330" s="8"/>
      <c r="L330" s="8"/>
      <c r="M330" s="8"/>
      <c r="N330" s="8"/>
      <c r="O330" s="8"/>
      <c r="P330" s="8"/>
      <c r="Q330" s="8"/>
      <c r="R330" s="8"/>
      <c r="S330" s="8"/>
      <c r="T330" s="8"/>
      <c r="U330" s="8"/>
      <c r="V330" s="8"/>
      <c r="W330" s="8"/>
    </row>
    <row r="331" spans="1:23" ht="12.75" x14ac:dyDescent="0.2">
      <c r="A331" s="8"/>
      <c r="B331" s="8"/>
      <c r="C331" s="8"/>
      <c r="D331" s="8"/>
      <c r="E331" s="8"/>
      <c r="F331" s="8"/>
      <c r="G331" s="8"/>
      <c r="H331" s="8"/>
      <c r="I331" s="8"/>
      <c r="J331" s="8"/>
      <c r="K331" s="8"/>
      <c r="L331" s="8"/>
      <c r="M331" s="8"/>
      <c r="N331" s="8"/>
      <c r="O331" s="8"/>
      <c r="P331" s="8"/>
      <c r="Q331" s="8"/>
      <c r="R331" s="8"/>
      <c r="S331" s="8"/>
      <c r="T331" s="8"/>
      <c r="U331" s="8"/>
      <c r="V331" s="8"/>
      <c r="W331" s="8"/>
    </row>
    <row r="332" spans="1:23" ht="12.75" x14ac:dyDescent="0.2">
      <c r="A332" s="8"/>
      <c r="B332" s="8"/>
      <c r="C332" s="8"/>
      <c r="D332" s="8"/>
      <c r="E332" s="8"/>
      <c r="F332" s="8"/>
      <c r="G332" s="8"/>
      <c r="H332" s="8"/>
      <c r="I332" s="8"/>
      <c r="J332" s="8"/>
      <c r="K332" s="8"/>
      <c r="L332" s="8"/>
      <c r="M332" s="8"/>
      <c r="N332" s="8"/>
      <c r="O332" s="8"/>
      <c r="P332" s="8"/>
      <c r="Q332" s="8"/>
      <c r="R332" s="8"/>
      <c r="S332" s="8"/>
      <c r="T332" s="8"/>
      <c r="U332" s="8"/>
      <c r="V332" s="8"/>
      <c r="W332" s="8"/>
    </row>
    <row r="333" spans="1:23" ht="12.75" x14ac:dyDescent="0.2">
      <c r="A333" s="8"/>
      <c r="B333" s="8"/>
      <c r="C333" s="8"/>
      <c r="D333" s="8"/>
      <c r="E333" s="8"/>
      <c r="F333" s="8"/>
      <c r="G333" s="8"/>
      <c r="H333" s="8"/>
      <c r="I333" s="8"/>
      <c r="J333" s="8"/>
      <c r="K333" s="8"/>
      <c r="L333" s="8"/>
      <c r="M333" s="8"/>
      <c r="N333" s="8"/>
      <c r="O333" s="8"/>
      <c r="P333" s="8"/>
      <c r="Q333" s="8"/>
      <c r="R333" s="8"/>
      <c r="S333" s="8"/>
      <c r="T333" s="8"/>
      <c r="U333" s="8"/>
      <c r="V333" s="8"/>
      <c r="W333" s="8"/>
    </row>
    <row r="334" spans="1:23" ht="12.75" x14ac:dyDescent="0.2">
      <c r="A334" s="8"/>
      <c r="B334" s="8"/>
      <c r="C334" s="8"/>
      <c r="D334" s="8"/>
      <c r="E334" s="8"/>
      <c r="F334" s="8"/>
      <c r="G334" s="8"/>
      <c r="H334" s="8"/>
      <c r="I334" s="8"/>
      <c r="J334" s="8"/>
      <c r="K334" s="8"/>
      <c r="L334" s="8"/>
      <c r="M334" s="8"/>
      <c r="N334" s="8"/>
      <c r="O334" s="8"/>
      <c r="P334" s="8"/>
      <c r="Q334" s="8"/>
      <c r="R334" s="8"/>
      <c r="S334" s="8"/>
      <c r="T334" s="8"/>
      <c r="U334" s="8"/>
      <c r="V334" s="8"/>
      <c r="W334" s="8"/>
    </row>
    <row r="335" spans="1:23" ht="12.75" x14ac:dyDescent="0.2">
      <c r="A335" s="8"/>
      <c r="B335" s="8"/>
      <c r="C335" s="8"/>
      <c r="D335" s="8"/>
      <c r="E335" s="8"/>
      <c r="F335" s="8"/>
      <c r="G335" s="8"/>
      <c r="H335" s="8"/>
      <c r="I335" s="8"/>
      <c r="J335" s="8"/>
      <c r="K335" s="8"/>
      <c r="L335" s="8"/>
      <c r="M335" s="8"/>
      <c r="N335" s="8"/>
      <c r="O335" s="8"/>
      <c r="P335" s="8"/>
      <c r="Q335" s="8"/>
      <c r="R335" s="8"/>
      <c r="S335" s="8"/>
      <c r="T335" s="8"/>
      <c r="U335" s="8"/>
      <c r="V335" s="8"/>
      <c r="W335" s="8"/>
    </row>
    <row r="336" spans="1:23" ht="12.75" x14ac:dyDescent="0.2">
      <c r="A336" s="8"/>
      <c r="B336" s="8"/>
      <c r="C336" s="8"/>
      <c r="D336" s="8"/>
      <c r="E336" s="8"/>
      <c r="F336" s="8"/>
      <c r="G336" s="8"/>
      <c r="H336" s="8"/>
      <c r="I336" s="8"/>
      <c r="J336" s="8"/>
      <c r="K336" s="8"/>
      <c r="L336" s="8"/>
      <c r="M336" s="8"/>
      <c r="N336" s="8"/>
      <c r="O336" s="8"/>
      <c r="P336" s="8"/>
      <c r="Q336" s="8"/>
      <c r="R336" s="8"/>
      <c r="S336" s="8"/>
      <c r="T336" s="8"/>
      <c r="U336" s="8"/>
      <c r="V336" s="8"/>
      <c r="W336" s="8"/>
    </row>
    <row r="337" spans="1:23" ht="12.75" x14ac:dyDescent="0.2">
      <c r="A337" s="8"/>
      <c r="B337" s="8"/>
      <c r="C337" s="8"/>
      <c r="D337" s="8"/>
      <c r="E337" s="8"/>
      <c r="F337" s="8"/>
      <c r="G337" s="8"/>
      <c r="H337" s="8"/>
      <c r="I337" s="8"/>
      <c r="J337" s="8"/>
      <c r="K337" s="8"/>
      <c r="L337" s="8"/>
      <c r="M337" s="8"/>
      <c r="N337" s="8"/>
      <c r="O337" s="8"/>
      <c r="P337" s="8"/>
      <c r="Q337" s="8"/>
      <c r="R337" s="8"/>
      <c r="S337" s="8"/>
      <c r="T337" s="8"/>
      <c r="U337" s="8"/>
      <c r="V337" s="8"/>
      <c r="W337" s="8"/>
    </row>
    <row r="338" spans="1:23" ht="12.75" x14ac:dyDescent="0.2">
      <c r="A338" s="8"/>
      <c r="B338" s="8"/>
      <c r="C338" s="8"/>
      <c r="D338" s="8"/>
      <c r="E338" s="8"/>
      <c r="F338" s="8"/>
      <c r="G338" s="8"/>
      <c r="H338" s="8"/>
      <c r="I338" s="8"/>
      <c r="J338" s="8"/>
      <c r="K338" s="8"/>
      <c r="L338" s="8"/>
      <c r="M338" s="8"/>
      <c r="N338" s="8"/>
      <c r="O338" s="8"/>
      <c r="P338" s="8"/>
      <c r="Q338" s="8"/>
      <c r="R338" s="8"/>
      <c r="S338" s="8"/>
      <c r="T338" s="8"/>
      <c r="U338" s="8"/>
      <c r="V338" s="8"/>
      <c r="W338" s="8"/>
    </row>
    <row r="339" spans="1:23" ht="12.75" x14ac:dyDescent="0.2">
      <c r="A339" s="8"/>
      <c r="B339" s="8"/>
      <c r="C339" s="8"/>
      <c r="D339" s="8"/>
      <c r="E339" s="8"/>
      <c r="F339" s="8"/>
      <c r="G339" s="8"/>
      <c r="H339" s="8"/>
      <c r="I339" s="8"/>
      <c r="J339" s="8"/>
      <c r="K339" s="8"/>
      <c r="L339" s="8"/>
      <c r="M339" s="8"/>
      <c r="N339" s="8"/>
      <c r="O339" s="8"/>
      <c r="P339" s="8"/>
      <c r="Q339" s="8"/>
      <c r="R339" s="8"/>
      <c r="S339" s="8"/>
      <c r="T339" s="8"/>
      <c r="U339" s="8"/>
      <c r="V339" s="8"/>
      <c r="W339" s="8"/>
    </row>
    <row r="340" spans="1:23" ht="12.75" x14ac:dyDescent="0.2">
      <c r="A340" s="8"/>
      <c r="B340" s="8"/>
      <c r="C340" s="8"/>
      <c r="D340" s="8"/>
      <c r="E340" s="8"/>
      <c r="F340" s="8"/>
      <c r="G340" s="8"/>
      <c r="H340" s="8"/>
      <c r="I340" s="8"/>
      <c r="J340" s="8"/>
      <c r="K340" s="8"/>
      <c r="L340" s="8"/>
      <c r="M340" s="8"/>
      <c r="N340" s="8"/>
      <c r="O340" s="8"/>
      <c r="P340" s="8"/>
      <c r="Q340" s="8"/>
      <c r="R340" s="8"/>
      <c r="S340" s="8"/>
      <c r="T340" s="8"/>
      <c r="U340" s="8"/>
      <c r="V340" s="8"/>
      <c r="W340" s="8"/>
    </row>
    <row r="341" spans="1:23" ht="12.75" x14ac:dyDescent="0.2">
      <c r="A341" s="8"/>
      <c r="B341" s="8"/>
      <c r="C341" s="8"/>
      <c r="D341" s="8"/>
      <c r="E341" s="8"/>
      <c r="F341" s="8"/>
      <c r="G341" s="8"/>
      <c r="H341" s="8"/>
      <c r="I341" s="8"/>
      <c r="J341" s="8"/>
      <c r="K341" s="8"/>
      <c r="L341" s="8"/>
      <c r="M341" s="8"/>
      <c r="N341" s="8"/>
      <c r="O341" s="8"/>
      <c r="P341" s="8"/>
      <c r="Q341" s="8"/>
      <c r="R341" s="8"/>
      <c r="S341" s="8"/>
      <c r="T341" s="8"/>
      <c r="U341" s="8"/>
      <c r="V341" s="8"/>
      <c r="W341" s="8"/>
    </row>
    <row r="342" spans="1:23" ht="12.75" x14ac:dyDescent="0.2">
      <c r="A342" s="8"/>
      <c r="B342" s="8"/>
      <c r="C342" s="8"/>
      <c r="D342" s="8"/>
      <c r="E342" s="8"/>
      <c r="F342" s="8"/>
      <c r="G342" s="8"/>
      <c r="H342" s="8"/>
      <c r="I342" s="8"/>
      <c r="J342" s="8"/>
      <c r="K342" s="8"/>
      <c r="L342" s="8"/>
      <c r="M342" s="8"/>
      <c r="N342" s="8"/>
      <c r="O342" s="8"/>
      <c r="P342" s="8"/>
      <c r="Q342" s="8"/>
      <c r="R342" s="8"/>
      <c r="S342" s="8"/>
      <c r="T342" s="8"/>
      <c r="U342" s="8"/>
      <c r="V342" s="8"/>
      <c r="W342" s="8"/>
    </row>
    <row r="343" spans="1:23" ht="12.75" x14ac:dyDescent="0.2">
      <c r="A343" s="8"/>
      <c r="B343" s="8"/>
      <c r="C343" s="8"/>
      <c r="D343" s="8"/>
      <c r="E343" s="8"/>
      <c r="F343" s="8"/>
      <c r="G343" s="8"/>
      <c r="H343" s="8"/>
      <c r="I343" s="8"/>
      <c r="J343" s="8"/>
      <c r="K343" s="8"/>
      <c r="L343" s="8"/>
      <c r="M343" s="8"/>
      <c r="N343" s="8"/>
      <c r="O343" s="8"/>
      <c r="P343" s="8"/>
      <c r="Q343" s="8"/>
      <c r="R343" s="8"/>
      <c r="S343" s="8"/>
      <c r="T343" s="8"/>
      <c r="U343" s="8"/>
      <c r="V343" s="8"/>
      <c r="W343" s="8"/>
    </row>
    <row r="344" spans="1:23" ht="12.75" x14ac:dyDescent="0.2">
      <c r="A344" s="8"/>
      <c r="B344" s="8"/>
      <c r="C344" s="8"/>
      <c r="D344" s="8"/>
      <c r="E344" s="8"/>
      <c r="F344" s="8"/>
      <c r="G344" s="8"/>
      <c r="H344" s="8"/>
      <c r="I344" s="8"/>
      <c r="J344" s="8"/>
      <c r="K344" s="8"/>
      <c r="L344" s="8"/>
      <c r="M344" s="8"/>
      <c r="N344" s="8"/>
      <c r="O344" s="8"/>
      <c r="P344" s="8"/>
      <c r="Q344" s="8"/>
      <c r="R344" s="8"/>
      <c r="S344" s="8"/>
      <c r="T344" s="8"/>
      <c r="U344" s="8"/>
      <c r="V344" s="8"/>
      <c r="W344" s="8"/>
    </row>
    <row r="345" spans="1:23" ht="12.75" x14ac:dyDescent="0.2">
      <c r="A345" s="8"/>
      <c r="B345" s="8"/>
      <c r="C345" s="8"/>
      <c r="D345" s="8"/>
      <c r="E345" s="8"/>
      <c r="F345" s="8"/>
      <c r="G345" s="8"/>
      <c r="H345" s="8"/>
      <c r="I345" s="8"/>
      <c r="J345" s="8"/>
      <c r="K345" s="8"/>
      <c r="L345" s="8"/>
      <c r="M345" s="8"/>
      <c r="N345" s="8"/>
      <c r="O345" s="8"/>
      <c r="P345" s="8"/>
      <c r="Q345" s="8"/>
      <c r="R345" s="8"/>
      <c r="S345" s="8"/>
      <c r="T345" s="8"/>
      <c r="U345" s="8"/>
      <c r="V345" s="8"/>
      <c r="W345" s="8"/>
    </row>
    <row r="346" spans="1:23" ht="12.75" x14ac:dyDescent="0.2">
      <c r="A346" s="8"/>
      <c r="B346" s="8"/>
      <c r="C346" s="8"/>
      <c r="D346" s="8"/>
      <c r="E346" s="8"/>
      <c r="F346" s="8"/>
      <c r="G346" s="8"/>
      <c r="H346" s="8"/>
      <c r="I346" s="8"/>
      <c r="J346" s="8"/>
      <c r="K346" s="8"/>
      <c r="L346" s="8"/>
      <c r="M346" s="8"/>
      <c r="N346" s="8"/>
      <c r="O346" s="8"/>
      <c r="P346" s="8"/>
      <c r="Q346" s="8"/>
      <c r="R346" s="8"/>
      <c r="S346" s="8"/>
      <c r="T346" s="8"/>
      <c r="U346" s="8"/>
      <c r="V346" s="8"/>
      <c r="W346" s="8"/>
    </row>
    <row r="347" spans="1:23" ht="12.75" x14ac:dyDescent="0.2">
      <c r="A347" s="8"/>
      <c r="B347" s="8"/>
      <c r="C347" s="8"/>
      <c r="D347" s="8"/>
      <c r="E347" s="8"/>
      <c r="F347" s="8"/>
      <c r="G347" s="8"/>
      <c r="H347" s="8"/>
      <c r="I347" s="8"/>
      <c r="J347" s="8"/>
      <c r="K347" s="8"/>
      <c r="L347" s="8"/>
      <c r="M347" s="8"/>
      <c r="N347" s="8"/>
      <c r="O347" s="8"/>
      <c r="P347" s="8"/>
      <c r="Q347" s="8"/>
      <c r="R347" s="8"/>
      <c r="S347" s="8"/>
      <c r="T347" s="8"/>
      <c r="U347" s="8"/>
      <c r="V347" s="8"/>
      <c r="W347" s="8"/>
    </row>
    <row r="348" spans="1:23" ht="12.75" x14ac:dyDescent="0.2">
      <c r="A348" s="8"/>
      <c r="B348" s="8"/>
      <c r="C348" s="8"/>
      <c r="D348" s="8"/>
      <c r="E348" s="8"/>
      <c r="F348" s="8"/>
      <c r="G348" s="8"/>
      <c r="H348" s="8"/>
      <c r="I348" s="8"/>
      <c r="J348" s="8"/>
      <c r="K348" s="8"/>
      <c r="L348" s="8"/>
      <c r="M348" s="8"/>
      <c r="N348" s="8"/>
      <c r="O348" s="8"/>
      <c r="P348" s="8"/>
      <c r="Q348" s="8"/>
      <c r="R348" s="8"/>
      <c r="S348" s="8"/>
      <c r="T348" s="8"/>
      <c r="U348" s="8"/>
      <c r="V348" s="8"/>
      <c r="W348" s="8"/>
    </row>
    <row r="349" spans="1:23" ht="12.75" x14ac:dyDescent="0.2">
      <c r="A349" s="8"/>
      <c r="B349" s="8"/>
      <c r="C349" s="8"/>
      <c r="D349" s="8"/>
      <c r="E349" s="8"/>
      <c r="F349" s="8"/>
      <c r="G349" s="8"/>
      <c r="H349" s="8"/>
      <c r="I349" s="8"/>
      <c r="J349" s="8"/>
      <c r="K349" s="8"/>
      <c r="L349" s="8"/>
      <c r="M349" s="8"/>
      <c r="N349" s="8"/>
      <c r="O349" s="8"/>
      <c r="P349" s="8"/>
      <c r="Q349" s="8"/>
      <c r="R349" s="8"/>
      <c r="S349" s="8"/>
      <c r="T349" s="8"/>
      <c r="U349" s="8"/>
      <c r="V349" s="8"/>
      <c r="W349" s="8"/>
    </row>
    <row r="350" spans="1:23" ht="12.75" x14ac:dyDescent="0.2">
      <c r="A350" s="8"/>
      <c r="B350" s="8"/>
      <c r="C350" s="8"/>
      <c r="D350" s="8"/>
      <c r="E350" s="8"/>
      <c r="F350" s="8"/>
      <c r="G350" s="8"/>
      <c r="H350" s="8"/>
      <c r="I350" s="8"/>
      <c r="J350" s="8"/>
      <c r="K350" s="8"/>
      <c r="L350" s="8"/>
      <c r="M350" s="8"/>
      <c r="N350" s="8"/>
      <c r="O350" s="8"/>
      <c r="P350" s="8"/>
      <c r="Q350" s="8"/>
      <c r="R350" s="8"/>
      <c r="S350" s="8"/>
      <c r="T350" s="8"/>
      <c r="U350" s="8"/>
      <c r="V350" s="8"/>
      <c r="W350" s="8"/>
    </row>
    <row r="351" spans="1:23" ht="12.75" x14ac:dyDescent="0.2">
      <c r="A351" s="8"/>
      <c r="B351" s="8"/>
      <c r="C351" s="8"/>
      <c r="D351" s="8"/>
      <c r="E351" s="8"/>
      <c r="F351" s="8"/>
      <c r="G351" s="8"/>
      <c r="H351" s="8"/>
      <c r="I351" s="8"/>
      <c r="J351" s="8"/>
      <c r="K351" s="8"/>
      <c r="L351" s="8"/>
      <c r="M351" s="8"/>
      <c r="N351" s="8"/>
      <c r="O351" s="8"/>
      <c r="P351" s="8"/>
      <c r="Q351" s="8"/>
      <c r="R351" s="8"/>
      <c r="S351" s="8"/>
      <c r="T351" s="8"/>
      <c r="U351" s="8"/>
      <c r="V351" s="8"/>
      <c r="W351" s="8"/>
    </row>
    <row r="352" spans="1:23" ht="12.75" x14ac:dyDescent="0.2">
      <c r="A352" s="8"/>
      <c r="B352" s="8"/>
      <c r="C352" s="8"/>
      <c r="D352" s="8"/>
      <c r="E352" s="8"/>
      <c r="F352" s="8"/>
      <c r="G352" s="8"/>
      <c r="H352" s="8"/>
      <c r="I352" s="8"/>
      <c r="J352" s="8"/>
      <c r="K352" s="8"/>
      <c r="L352" s="8"/>
      <c r="M352" s="8"/>
      <c r="N352" s="8"/>
      <c r="O352" s="8"/>
      <c r="P352" s="8"/>
      <c r="Q352" s="8"/>
      <c r="R352" s="8"/>
      <c r="S352" s="8"/>
      <c r="T352" s="8"/>
      <c r="U352" s="8"/>
      <c r="V352" s="8"/>
      <c r="W352" s="8"/>
    </row>
    <row r="353" spans="1:23" ht="12.75" x14ac:dyDescent="0.2">
      <c r="A353" s="8"/>
      <c r="B353" s="8"/>
      <c r="C353" s="8"/>
      <c r="D353" s="8"/>
      <c r="E353" s="8"/>
      <c r="F353" s="8"/>
      <c r="G353" s="8"/>
      <c r="H353" s="8"/>
      <c r="I353" s="8"/>
      <c r="J353" s="8"/>
      <c r="K353" s="8"/>
      <c r="L353" s="8"/>
      <c r="M353" s="8"/>
      <c r="N353" s="8"/>
      <c r="O353" s="8"/>
      <c r="P353" s="8"/>
      <c r="Q353" s="8"/>
      <c r="R353" s="8"/>
      <c r="S353" s="8"/>
      <c r="T353" s="8"/>
      <c r="U353" s="8"/>
      <c r="V353" s="8"/>
      <c r="W353" s="8"/>
    </row>
    <row r="354" spans="1:23" ht="12.75" x14ac:dyDescent="0.2">
      <c r="A354" s="8"/>
      <c r="B354" s="8"/>
      <c r="C354" s="8"/>
      <c r="D354" s="8"/>
      <c r="E354" s="8"/>
      <c r="F354" s="8"/>
      <c r="G354" s="8"/>
      <c r="H354" s="8"/>
      <c r="I354" s="8"/>
      <c r="J354" s="8"/>
      <c r="K354" s="8"/>
      <c r="L354" s="8"/>
      <c r="M354" s="8"/>
      <c r="N354" s="8"/>
      <c r="O354" s="8"/>
      <c r="P354" s="8"/>
      <c r="Q354" s="8"/>
      <c r="R354" s="8"/>
      <c r="S354" s="8"/>
      <c r="T354" s="8"/>
      <c r="U354" s="8"/>
      <c r="V354" s="8"/>
      <c r="W354" s="8"/>
    </row>
    <row r="355" spans="1:23" ht="12.75" x14ac:dyDescent="0.2">
      <c r="A355" s="8"/>
      <c r="B355" s="8"/>
      <c r="C355" s="8"/>
      <c r="D355" s="8"/>
      <c r="E355" s="8"/>
      <c r="F355" s="8"/>
      <c r="G355" s="8"/>
      <c r="H355" s="8"/>
      <c r="I355" s="8"/>
      <c r="J355" s="8"/>
      <c r="K355" s="8"/>
      <c r="L355" s="8"/>
      <c r="M355" s="8"/>
      <c r="N355" s="8"/>
      <c r="O355" s="8"/>
      <c r="P355" s="8"/>
      <c r="Q355" s="8"/>
      <c r="R355" s="8"/>
      <c r="S355" s="8"/>
      <c r="T355" s="8"/>
      <c r="U355" s="8"/>
      <c r="V355" s="8"/>
      <c r="W355" s="8"/>
    </row>
    <row r="356" spans="1:23" ht="12.75" x14ac:dyDescent="0.2">
      <c r="A356" s="8"/>
      <c r="B356" s="8"/>
      <c r="C356" s="8"/>
      <c r="D356" s="8"/>
      <c r="E356" s="8"/>
      <c r="F356" s="8"/>
      <c r="G356" s="8"/>
      <c r="H356" s="8"/>
      <c r="I356" s="8"/>
      <c r="J356" s="8"/>
      <c r="K356" s="8"/>
      <c r="L356" s="8"/>
      <c r="M356" s="8"/>
      <c r="N356" s="8"/>
      <c r="O356" s="8"/>
      <c r="P356" s="8"/>
      <c r="Q356" s="8"/>
      <c r="R356" s="8"/>
      <c r="S356" s="8"/>
      <c r="T356" s="8"/>
      <c r="U356" s="8"/>
      <c r="V356" s="8"/>
      <c r="W356" s="8"/>
    </row>
    <row r="357" spans="1:23" ht="12.75" x14ac:dyDescent="0.2">
      <c r="A357" s="8"/>
      <c r="B357" s="8"/>
      <c r="C357" s="8"/>
      <c r="D357" s="8"/>
      <c r="E357" s="8"/>
      <c r="F357" s="8"/>
      <c r="G357" s="8"/>
      <c r="H357" s="8"/>
      <c r="I357" s="8"/>
      <c r="J357" s="8"/>
      <c r="K357" s="8"/>
      <c r="L357" s="8"/>
      <c r="M357" s="8"/>
      <c r="N357" s="8"/>
      <c r="O357" s="8"/>
      <c r="P357" s="8"/>
      <c r="Q357" s="8"/>
      <c r="R357" s="8"/>
      <c r="S357" s="8"/>
      <c r="T357" s="8"/>
      <c r="U357" s="8"/>
      <c r="V357" s="8"/>
      <c r="W357" s="8"/>
    </row>
    <row r="358" spans="1:23" ht="12.75" x14ac:dyDescent="0.2">
      <c r="A358" s="8"/>
      <c r="B358" s="8"/>
      <c r="C358" s="8"/>
      <c r="D358" s="8"/>
      <c r="E358" s="8"/>
      <c r="F358" s="8"/>
      <c r="G358" s="8"/>
      <c r="H358" s="8"/>
      <c r="I358" s="8"/>
      <c r="J358" s="8"/>
      <c r="K358" s="8"/>
      <c r="L358" s="8"/>
      <c r="M358" s="8"/>
      <c r="N358" s="8"/>
      <c r="O358" s="8"/>
      <c r="P358" s="8"/>
      <c r="Q358" s="8"/>
      <c r="R358" s="8"/>
      <c r="S358" s="8"/>
      <c r="T358" s="8"/>
      <c r="U358" s="8"/>
      <c r="V358" s="8"/>
      <c r="W358" s="8"/>
    </row>
    <row r="359" spans="1:23" ht="12.75" x14ac:dyDescent="0.2">
      <c r="A359" s="8"/>
      <c r="B359" s="8"/>
      <c r="C359" s="8"/>
      <c r="D359" s="8"/>
      <c r="E359" s="8"/>
      <c r="F359" s="8"/>
      <c r="G359" s="8"/>
      <c r="H359" s="8"/>
      <c r="I359" s="8"/>
      <c r="J359" s="8"/>
      <c r="K359" s="8"/>
      <c r="L359" s="8"/>
      <c r="M359" s="8"/>
      <c r="N359" s="8"/>
      <c r="O359" s="8"/>
      <c r="P359" s="8"/>
      <c r="Q359" s="8"/>
      <c r="R359" s="8"/>
      <c r="S359" s="8"/>
      <c r="T359" s="8"/>
      <c r="U359" s="8"/>
      <c r="V359" s="8"/>
      <c r="W359" s="8"/>
    </row>
    <row r="360" spans="1:23" ht="12.75" x14ac:dyDescent="0.2">
      <c r="A360" s="8"/>
      <c r="B360" s="8"/>
      <c r="C360" s="8"/>
      <c r="D360" s="8"/>
      <c r="E360" s="8"/>
      <c r="F360" s="8"/>
      <c r="G360" s="8"/>
      <c r="H360" s="8"/>
      <c r="I360" s="8"/>
      <c r="J360" s="8"/>
      <c r="K360" s="8"/>
      <c r="L360" s="8"/>
      <c r="M360" s="8"/>
      <c r="N360" s="8"/>
      <c r="O360" s="8"/>
      <c r="P360" s="8"/>
      <c r="Q360" s="8"/>
      <c r="R360" s="8"/>
      <c r="S360" s="8"/>
      <c r="T360" s="8"/>
      <c r="U360" s="8"/>
      <c r="V360" s="8"/>
      <c r="W360" s="8"/>
    </row>
    <row r="361" spans="1:23" ht="12.75" x14ac:dyDescent="0.2">
      <c r="A361" s="8"/>
      <c r="B361" s="8"/>
      <c r="C361" s="8"/>
      <c r="D361" s="8"/>
      <c r="E361" s="8"/>
      <c r="F361" s="8"/>
      <c r="G361" s="8"/>
      <c r="H361" s="8"/>
      <c r="I361" s="8"/>
      <c r="J361" s="8"/>
      <c r="K361" s="8"/>
      <c r="L361" s="8"/>
      <c r="M361" s="8"/>
      <c r="N361" s="8"/>
      <c r="O361" s="8"/>
      <c r="P361" s="8"/>
      <c r="Q361" s="8"/>
      <c r="R361" s="8"/>
      <c r="S361" s="8"/>
      <c r="T361" s="8"/>
      <c r="U361" s="8"/>
      <c r="V361" s="8"/>
      <c r="W361" s="8"/>
    </row>
    <row r="362" spans="1:23" ht="12.75" x14ac:dyDescent="0.2">
      <c r="A362" s="8"/>
      <c r="B362" s="8"/>
      <c r="C362" s="8"/>
      <c r="D362" s="8"/>
      <c r="E362" s="8"/>
      <c r="F362" s="8"/>
      <c r="G362" s="8"/>
      <c r="H362" s="8"/>
      <c r="I362" s="8"/>
      <c r="J362" s="8"/>
      <c r="K362" s="8"/>
      <c r="L362" s="8"/>
      <c r="M362" s="8"/>
      <c r="N362" s="8"/>
      <c r="O362" s="8"/>
      <c r="P362" s="8"/>
      <c r="Q362" s="8"/>
      <c r="R362" s="8"/>
      <c r="S362" s="8"/>
      <c r="T362" s="8"/>
      <c r="U362" s="8"/>
      <c r="V362" s="8"/>
      <c r="W362" s="8"/>
    </row>
    <row r="363" spans="1:23" ht="12.75" x14ac:dyDescent="0.2">
      <c r="A363" s="8"/>
      <c r="B363" s="8"/>
      <c r="C363" s="8"/>
      <c r="D363" s="8"/>
      <c r="E363" s="8"/>
      <c r="F363" s="8"/>
      <c r="G363" s="8"/>
      <c r="H363" s="8"/>
      <c r="I363" s="8"/>
      <c r="J363" s="8"/>
      <c r="K363" s="8"/>
      <c r="L363" s="8"/>
      <c r="M363" s="8"/>
      <c r="N363" s="8"/>
      <c r="O363" s="8"/>
      <c r="P363" s="8"/>
      <c r="Q363" s="8"/>
      <c r="R363" s="8"/>
      <c r="S363" s="8"/>
      <c r="T363" s="8"/>
      <c r="U363" s="8"/>
      <c r="V363" s="8"/>
      <c r="W363" s="8"/>
    </row>
    <row r="364" spans="1:23" ht="12.75" x14ac:dyDescent="0.2">
      <c r="A364" s="8"/>
      <c r="B364" s="8"/>
      <c r="C364" s="8"/>
      <c r="D364" s="8"/>
      <c r="E364" s="8"/>
      <c r="F364" s="8"/>
      <c r="G364" s="8"/>
      <c r="H364" s="8"/>
      <c r="I364" s="8"/>
      <c r="J364" s="8"/>
      <c r="K364" s="8"/>
      <c r="L364" s="8"/>
      <c r="M364" s="8"/>
      <c r="N364" s="8"/>
      <c r="O364" s="8"/>
      <c r="P364" s="8"/>
      <c r="Q364" s="8"/>
      <c r="R364" s="8"/>
      <c r="S364" s="8"/>
      <c r="T364" s="8"/>
      <c r="U364" s="8"/>
      <c r="V364" s="8"/>
      <c r="W364" s="8"/>
    </row>
    <row r="365" spans="1:23" ht="12.75" x14ac:dyDescent="0.2">
      <c r="A365" s="8"/>
      <c r="B365" s="8"/>
      <c r="C365" s="8"/>
      <c r="D365" s="8"/>
      <c r="E365" s="8"/>
      <c r="F365" s="8"/>
      <c r="G365" s="8"/>
      <c r="H365" s="8"/>
      <c r="I365" s="8"/>
      <c r="J365" s="8"/>
      <c r="K365" s="8"/>
      <c r="L365" s="8"/>
      <c r="M365" s="8"/>
      <c r="N365" s="8"/>
      <c r="O365" s="8"/>
      <c r="P365" s="8"/>
      <c r="Q365" s="8"/>
      <c r="R365" s="8"/>
      <c r="S365" s="8"/>
      <c r="T365" s="8"/>
      <c r="U365" s="8"/>
      <c r="V365" s="8"/>
      <c r="W365" s="8"/>
    </row>
    <row r="366" spans="1:23" ht="12.75" x14ac:dyDescent="0.2">
      <c r="A366" s="8"/>
      <c r="B366" s="8"/>
      <c r="C366" s="8"/>
      <c r="D366" s="8"/>
      <c r="E366" s="8"/>
      <c r="F366" s="8"/>
      <c r="G366" s="8"/>
      <c r="H366" s="8"/>
      <c r="I366" s="8"/>
      <c r="J366" s="8"/>
      <c r="K366" s="8"/>
      <c r="L366" s="8"/>
      <c r="M366" s="8"/>
      <c r="N366" s="8"/>
      <c r="O366" s="8"/>
      <c r="P366" s="8"/>
      <c r="Q366" s="8"/>
      <c r="R366" s="8"/>
      <c r="S366" s="8"/>
      <c r="T366" s="8"/>
      <c r="U366" s="8"/>
      <c r="V366" s="8"/>
      <c r="W366" s="8"/>
    </row>
    <row r="367" spans="1:23" ht="12.75" x14ac:dyDescent="0.2">
      <c r="A367" s="8"/>
      <c r="B367" s="8"/>
      <c r="C367" s="8"/>
      <c r="D367" s="8"/>
      <c r="E367" s="8"/>
      <c r="F367" s="8"/>
      <c r="G367" s="8"/>
      <c r="H367" s="8"/>
      <c r="I367" s="8"/>
      <c r="J367" s="8"/>
      <c r="K367" s="8"/>
      <c r="L367" s="8"/>
      <c r="M367" s="8"/>
      <c r="N367" s="8"/>
      <c r="O367" s="8"/>
      <c r="P367" s="8"/>
      <c r="Q367" s="8"/>
      <c r="R367" s="8"/>
      <c r="S367" s="8"/>
      <c r="T367" s="8"/>
      <c r="U367" s="8"/>
      <c r="V367" s="8"/>
      <c r="W367" s="8"/>
    </row>
    <row r="368" spans="1:23" ht="12.75" x14ac:dyDescent="0.2">
      <c r="A368" s="8"/>
      <c r="B368" s="8"/>
      <c r="C368" s="8"/>
      <c r="D368" s="8"/>
      <c r="E368" s="8"/>
      <c r="F368" s="8"/>
      <c r="G368" s="8"/>
      <c r="H368" s="8"/>
      <c r="I368" s="8"/>
      <c r="J368" s="8"/>
      <c r="K368" s="8"/>
      <c r="L368" s="8"/>
      <c r="M368" s="8"/>
      <c r="N368" s="8"/>
      <c r="O368" s="8"/>
      <c r="P368" s="8"/>
      <c r="Q368" s="8"/>
      <c r="R368" s="8"/>
      <c r="S368" s="8"/>
      <c r="T368" s="8"/>
      <c r="U368" s="8"/>
      <c r="V368" s="8"/>
      <c r="W368" s="8"/>
    </row>
    <row r="369" spans="1:23" ht="12.75" x14ac:dyDescent="0.2">
      <c r="A369" s="8"/>
      <c r="B369" s="8"/>
      <c r="C369" s="8"/>
      <c r="D369" s="8"/>
      <c r="E369" s="8"/>
      <c r="F369" s="8"/>
      <c r="G369" s="8"/>
      <c r="H369" s="8"/>
      <c r="I369" s="8"/>
      <c r="J369" s="8"/>
      <c r="K369" s="8"/>
      <c r="L369" s="8"/>
      <c r="M369" s="8"/>
      <c r="N369" s="8"/>
      <c r="O369" s="8"/>
      <c r="P369" s="8"/>
      <c r="Q369" s="8"/>
      <c r="R369" s="8"/>
      <c r="S369" s="8"/>
      <c r="T369" s="8"/>
      <c r="U369" s="8"/>
      <c r="V369" s="8"/>
      <c r="W369" s="8"/>
    </row>
    <row r="370" spans="1:23" ht="12.75" x14ac:dyDescent="0.2">
      <c r="A370" s="8"/>
      <c r="B370" s="8"/>
      <c r="C370" s="8"/>
      <c r="D370" s="8"/>
      <c r="E370" s="8"/>
      <c r="F370" s="8"/>
      <c r="G370" s="8"/>
      <c r="H370" s="8"/>
      <c r="I370" s="8"/>
      <c r="J370" s="8"/>
      <c r="K370" s="8"/>
      <c r="L370" s="8"/>
      <c r="M370" s="8"/>
      <c r="N370" s="8"/>
      <c r="O370" s="8"/>
      <c r="P370" s="8"/>
      <c r="Q370" s="8"/>
      <c r="R370" s="8"/>
      <c r="S370" s="8"/>
      <c r="T370" s="8"/>
      <c r="U370" s="8"/>
      <c r="V370" s="8"/>
      <c r="W370" s="8"/>
    </row>
    <row r="371" spans="1:23" ht="12.75" x14ac:dyDescent="0.2">
      <c r="A371" s="8"/>
      <c r="B371" s="8"/>
      <c r="C371" s="8"/>
      <c r="D371" s="8"/>
      <c r="E371" s="8"/>
      <c r="F371" s="8"/>
      <c r="G371" s="8"/>
      <c r="H371" s="8"/>
      <c r="I371" s="8"/>
      <c r="J371" s="8"/>
      <c r="K371" s="8"/>
      <c r="L371" s="8"/>
      <c r="M371" s="8"/>
      <c r="N371" s="8"/>
      <c r="O371" s="8"/>
      <c r="P371" s="8"/>
      <c r="Q371" s="8"/>
      <c r="R371" s="8"/>
      <c r="S371" s="8"/>
      <c r="T371" s="8"/>
      <c r="U371" s="8"/>
      <c r="V371" s="8"/>
      <c r="W371" s="8"/>
    </row>
    <row r="372" spans="1:23" ht="12.75" x14ac:dyDescent="0.2">
      <c r="A372" s="8"/>
      <c r="B372" s="8"/>
      <c r="C372" s="8"/>
      <c r="D372" s="8"/>
      <c r="E372" s="8"/>
      <c r="F372" s="8"/>
      <c r="G372" s="8"/>
      <c r="H372" s="8"/>
      <c r="I372" s="8"/>
      <c r="J372" s="8"/>
      <c r="K372" s="8"/>
      <c r="L372" s="8"/>
      <c r="M372" s="8"/>
      <c r="N372" s="8"/>
      <c r="O372" s="8"/>
      <c r="P372" s="8"/>
      <c r="Q372" s="8"/>
      <c r="R372" s="8"/>
      <c r="S372" s="8"/>
      <c r="T372" s="8"/>
      <c r="U372" s="8"/>
      <c r="V372" s="8"/>
      <c r="W372" s="8"/>
    </row>
    <row r="373" spans="1:23" ht="12.75" x14ac:dyDescent="0.2">
      <c r="A373" s="8"/>
      <c r="B373" s="8"/>
      <c r="C373" s="8"/>
      <c r="D373" s="8"/>
      <c r="E373" s="8"/>
      <c r="F373" s="8"/>
      <c r="G373" s="8"/>
      <c r="H373" s="8"/>
      <c r="I373" s="8"/>
      <c r="J373" s="8"/>
      <c r="K373" s="8"/>
      <c r="L373" s="8"/>
      <c r="M373" s="8"/>
      <c r="N373" s="8"/>
      <c r="O373" s="8"/>
      <c r="P373" s="8"/>
      <c r="Q373" s="8"/>
      <c r="R373" s="8"/>
      <c r="S373" s="8"/>
      <c r="T373" s="8"/>
      <c r="U373" s="8"/>
      <c r="V373" s="8"/>
      <c r="W373" s="8"/>
    </row>
    <row r="374" spans="1:23" ht="12.75" x14ac:dyDescent="0.2">
      <c r="A374" s="8"/>
      <c r="B374" s="8"/>
      <c r="C374" s="8"/>
      <c r="D374" s="8"/>
      <c r="E374" s="8"/>
      <c r="F374" s="8"/>
      <c r="G374" s="8"/>
      <c r="H374" s="8"/>
      <c r="I374" s="8"/>
      <c r="J374" s="8"/>
      <c r="K374" s="8"/>
      <c r="L374" s="8"/>
      <c r="M374" s="8"/>
      <c r="N374" s="8"/>
      <c r="O374" s="8"/>
      <c r="P374" s="8"/>
      <c r="Q374" s="8"/>
      <c r="R374" s="8"/>
      <c r="S374" s="8"/>
      <c r="T374" s="8"/>
      <c r="U374" s="8"/>
      <c r="V374" s="8"/>
      <c r="W374" s="8"/>
    </row>
    <row r="375" spans="1:23" ht="12.75" x14ac:dyDescent="0.2">
      <c r="A375" s="8"/>
      <c r="B375" s="8"/>
      <c r="C375" s="8"/>
      <c r="D375" s="8"/>
      <c r="E375" s="8"/>
      <c r="F375" s="8"/>
      <c r="G375" s="8"/>
      <c r="H375" s="8"/>
      <c r="I375" s="8"/>
      <c r="J375" s="8"/>
      <c r="K375" s="8"/>
      <c r="L375" s="8"/>
      <c r="M375" s="8"/>
      <c r="N375" s="8"/>
      <c r="O375" s="8"/>
      <c r="P375" s="8"/>
      <c r="Q375" s="8"/>
      <c r="R375" s="8"/>
      <c r="S375" s="8"/>
      <c r="T375" s="8"/>
      <c r="U375" s="8"/>
      <c r="V375" s="8"/>
      <c r="W375" s="8"/>
    </row>
    <row r="376" spans="1:23" ht="12.75" x14ac:dyDescent="0.2">
      <c r="A376" s="8"/>
      <c r="B376" s="8"/>
      <c r="C376" s="8"/>
      <c r="D376" s="8"/>
      <c r="E376" s="8"/>
      <c r="F376" s="8"/>
      <c r="G376" s="8"/>
      <c r="H376" s="8"/>
      <c r="I376" s="8"/>
      <c r="J376" s="8"/>
      <c r="K376" s="8"/>
      <c r="L376" s="8"/>
      <c r="M376" s="8"/>
      <c r="N376" s="8"/>
      <c r="O376" s="8"/>
      <c r="P376" s="8"/>
      <c r="Q376" s="8"/>
      <c r="R376" s="8"/>
      <c r="S376" s="8"/>
      <c r="T376" s="8"/>
      <c r="U376" s="8"/>
      <c r="V376" s="8"/>
      <c r="W376" s="8"/>
    </row>
    <row r="377" spans="1:23" ht="12.75" x14ac:dyDescent="0.2">
      <c r="A377" s="8"/>
      <c r="B377" s="8"/>
      <c r="C377" s="8"/>
      <c r="D377" s="8"/>
      <c r="E377" s="8"/>
      <c r="F377" s="8"/>
      <c r="G377" s="8"/>
      <c r="H377" s="8"/>
      <c r="I377" s="8"/>
      <c r="J377" s="8"/>
      <c r="K377" s="8"/>
      <c r="L377" s="8"/>
      <c r="M377" s="8"/>
      <c r="N377" s="8"/>
      <c r="O377" s="8"/>
      <c r="P377" s="8"/>
      <c r="Q377" s="8"/>
      <c r="R377" s="8"/>
      <c r="S377" s="8"/>
      <c r="T377" s="8"/>
      <c r="U377" s="8"/>
      <c r="V377" s="8"/>
      <c r="W377" s="8"/>
    </row>
    <row r="378" spans="1:23" ht="12.75" x14ac:dyDescent="0.2">
      <c r="A378" s="8"/>
      <c r="B378" s="8"/>
      <c r="C378" s="8"/>
      <c r="D378" s="8"/>
      <c r="E378" s="8"/>
      <c r="F378" s="8"/>
      <c r="G378" s="8"/>
      <c r="H378" s="8"/>
      <c r="I378" s="8"/>
      <c r="J378" s="8"/>
      <c r="K378" s="8"/>
      <c r="L378" s="8"/>
      <c r="M378" s="8"/>
      <c r="N378" s="8"/>
      <c r="O378" s="8"/>
      <c r="P378" s="8"/>
      <c r="Q378" s="8"/>
      <c r="R378" s="8"/>
      <c r="S378" s="8"/>
      <c r="T378" s="8"/>
      <c r="U378" s="8"/>
      <c r="V378" s="8"/>
      <c r="W378" s="8"/>
    </row>
    <row r="379" spans="1:23" ht="12.75" x14ac:dyDescent="0.2">
      <c r="A379" s="8"/>
      <c r="B379" s="8"/>
      <c r="C379" s="8"/>
      <c r="D379" s="8"/>
      <c r="E379" s="8"/>
      <c r="F379" s="8"/>
      <c r="G379" s="8"/>
      <c r="H379" s="8"/>
      <c r="I379" s="8"/>
      <c r="J379" s="8"/>
      <c r="K379" s="8"/>
      <c r="L379" s="8"/>
      <c r="M379" s="8"/>
      <c r="N379" s="8"/>
      <c r="O379" s="8"/>
      <c r="P379" s="8"/>
      <c r="Q379" s="8"/>
      <c r="R379" s="8"/>
      <c r="S379" s="8"/>
      <c r="T379" s="8"/>
      <c r="U379" s="8"/>
      <c r="V379" s="8"/>
      <c r="W379" s="8"/>
    </row>
    <row r="380" spans="1:23" ht="12.75" x14ac:dyDescent="0.2">
      <c r="A380" s="8"/>
      <c r="B380" s="8"/>
      <c r="C380" s="8"/>
      <c r="D380" s="8"/>
      <c r="E380" s="8"/>
      <c r="F380" s="8"/>
      <c r="G380" s="8"/>
      <c r="H380" s="8"/>
      <c r="I380" s="8"/>
      <c r="J380" s="8"/>
      <c r="K380" s="8"/>
      <c r="L380" s="8"/>
      <c r="M380" s="8"/>
      <c r="N380" s="8"/>
      <c r="O380" s="8"/>
      <c r="P380" s="8"/>
      <c r="Q380" s="8"/>
      <c r="R380" s="8"/>
      <c r="S380" s="8"/>
      <c r="T380" s="8"/>
      <c r="U380" s="8"/>
      <c r="V380" s="8"/>
      <c r="W380" s="8"/>
    </row>
    <row r="381" spans="1:23" ht="12.75" x14ac:dyDescent="0.2">
      <c r="A381" s="8"/>
      <c r="B381" s="8"/>
      <c r="C381" s="8"/>
      <c r="D381" s="8"/>
      <c r="E381" s="8"/>
      <c r="F381" s="8"/>
      <c r="G381" s="8"/>
      <c r="H381" s="8"/>
      <c r="I381" s="8"/>
      <c r="J381" s="8"/>
      <c r="K381" s="8"/>
      <c r="L381" s="8"/>
      <c r="M381" s="8"/>
      <c r="N381" s="8"/>
      <c r="O381" s="8"/>
      <c r="P381" s="8"/>
      <c r="Q381" s="8"/>
      <c r="R381" s="8"/>
      <c r="S381" s="8"/>
      <c r="T381" s="8"/>
      <c r="U381" s="8"/>
      <c r="V381" s="8"/>
      <c r="W381" s="8"/>
    </row>
    <row r="382" spans="1:23" ht="12.75" x14ac:dyDescent="0.2">
      <c r="A382" s="8"/>
      <c r="B382" s="8"/>
      <c r="C382" s="8"/>
      <c r="D382" s="8"/>
      <c r="E382" s="8"/>
      <c r="F382" s="8"/>
      <c r="G382" s="8"/>
      <c r="H382" s="8"/>
      <c r="I382" s="8"/>
      <c r="J382" s="8"/>
      <c r="K382" s="8"/>
      <c r="L382" s="8"/>
      <c r="M382" s="8"/>
      <c r="N382" s="8"/>
      <c r="O382" s="8"/>
      <c r="P382" s="8"/>
      <c r="Q382" s="8"/>
      <c r="R382" s="8"/>
      <c r="S382" s="8"/>
      <c r="T382" s="8"/>
      <c r="U382" s="8"/>
      <c r="V382" s="8"/>
      <c r="W382" s="8"/>
    </row>
    <row r="383" spans="1:23" ht="12.75" x14ac:dyDescent="0.2">
      <c r="A383" s="8"/>
      <c r="B383" s="8"/>
      <c r="C383" s="8"/>
      <c r="D383" s="8"/>
      <c r="E383" s="8"/>
      <c r="F383" s="8"/>
      <c r="G383" s="8"/>
      <c r="H383" s="8"/>
      <c r="I383" s="8"/>
      <c r="J383" s="8"/>
      <c r="K383" s="8"/>
      <c r="L383" s="8"/>
      <c r="M383" s="8"/>
      <c r="N383" s="8"/>
      <c r="O383" s="8"/>
      <c r="P383" s="8"/>
      <c r="Q383" s="8"/>
      <c r="R383" s="8"/>
      <c r="S383" s="8"/>
      <c r="T383" s="8"/>
      <c r="U383" s="8"/>
      <c r="V383" s="8"/>
      <c r="W383" s="8"/>
    </row>
    <row r="384" spans="1:23" ht="12.75" x14ac:dyDescent="0.2">
      <c r="A384" s="8"/>
      <c r="B384" s="8"/>
      <c r="C384" s="8"/>
      <c r="D384" s="8"/>
      <c r="E384" s="8"/>
      <c r="F384" s="8"/>
      <c r="G384" s="8"/>
      <c r="H384" s="8"/>
      <c r="I384" s="8"/>
      <c r="J384" s="8"/>
      <c r="K384" s="8"/>
      <c r="L384" s="8"/>
      <c r="M384" s="8"/>
      <c r="N384" s="8"/>
      <c r="O384" s="8"/>
      <c r="P384" s="8"/>
      <c r="Q384" s="8"/>
      <c r="R384" s="8"/>
      <c r="S384" s="8"/>
      <c r="T384" s="8"/>
      <c r="U384" s="8"/>
      <c r="V384" s="8"/>
      <c r="W384" s="8"/>
    </row>
    <row r="385" spans="1:23" ht="12.75" x14ac:dyDescent="0.2">
      <c r="A385" s="8"/>
      <c r="B385" s="8"/>
      <c r="C385" s="8"/>
      <c r="D385" s="8"/>
      <c r="E385" s="8"/>
      <c r="F385" s="8"/>
      <c r="G385" s="8"/>
      <c r="H385" s="8"/>
      <c r="I385" s="8"/>
      <c r="J385" s="8"/>
      <c r="K385" s="8"/>
      <c r="L385" s="8"/>
      <c r="M385" s="8"/>
      <c r="N385" s="8"/>
      <c r="O385" s="8"/>
      <c r="P385" s="8"/>
      <c r="Q385" s="8"/>
      <c r="R385" s="8"/>
      <c r="S385" s="8"/>
      <c r="T385" s="8"/>
      <c r="U385" s="8"/>
      <c r="V385" s="8"/>
      <c r="W385" s="8"/>
    </row>
    <row r="386" spans="1:23" ht="12.75" x14ac:dyDescent="0.2">
      <c r="A386" s="8"/>
      <c r="B386" s="8"/>
      <c r="C386" s="8"/>
      <c r="D386" s="8"/>
      <c r="E386" s="8"/>
      <c r="F386" s="8"/>
      <c r="G386" s="8"/>
      <c r="H386" s="8"/>
      <c r="I386" s="8"/>
      <c r="J386" s="8"/>
      <c r="K386" s="8"/>
      <c r="L386" s="8"/>
      <c r="M386" s="8"/>
      <c r="N386" s="8"/>
      <c r="O386" s="8"/>
      <c r="P386" s="8"/>
      <c r="Q386" s="8"/>
      <c r="R386" s="8"/>
      <c r="S386" s="8"/>
      <c r="T386" s="8"/>
      <c r="U386" s="8"/>
      <c r="V386" s="8"/>
      <c r="W386" s="8"/>
    </row>
    <row r="387" spans="1:23" ht="12.75" x14ac:dyDescent="0.2">
      <c r="A387" s="8"/>
      <c r="B387" s="8"/>
      <c r="C387" s="8"/>
      <c r="D387" s="8"/>
      <c r="E387" s="8"/>
      <c r="F387" s="8"/>
      <c r="G387" s="8"/>
      <c r="H387" s="8"/>
      <c r="I387" s="8"/>
      <c r="J387" s="8"/>
      <c r="K387" s="8"/>
      <c r="L387" s="8"/>
      <c r="M387" s="8"/>
      <c r="N387" s="8"/>
      <c r="O387" s="8"/>
      <c r="P387" s="8"/>
      <c r="Q387" s="8"/>
      <c r="R387" s="8"/>
      <c r="S387" s="8"/>
      <c r="T387" s="8"/>
      <c r="U387" s="8"/>
      <c r="V387" s="8"/>
      <c r="W387" s="8"/>
    </row>
    <row r="388" spans="1:23" ht="12.75" x14ac:dyDescent="0.2">
      <c r="A388" s="8"/>
      <c r="B388" s="8"/>
      <c r="C388" s="8"/>
      <c r="D388" s="8"/>
      <c r="E388" s="8"/>
      <c r="F388" s="8"/>
      <c r="G388" s="8"/>
      <c r="H388" s="8"/>
      <c r="I388" s="8"/>
      <c r="J388" s="8"/>
      <c r="K388" s="8"/>
      <c r="L388" s="8"/>
      <c r="M388" s="8"/>
      <c r="N388" s="8"/>
      <c r="O388" s="8"/>
      <c r="P388" s="8"/>
      <c r="Q388" s="8"/>
      <c r="R388" s="8"/>
      <c r="S388" s="8"/>
      <c r="T388" s="8"/>
      <c r="U388" s="8"/>
      <c r="V388" s="8"/>
      <c r="W388" s="8"/>
    </row>
    <row r="389" spans="1:23" ht="12.75" x14ac:dyDescent="0.2">
      <c r="A389" s="8"/>
      <c r="B389" s="8"/>
      <c r="C389" s="8"/>
      <c r="D389" s="8"/>
      <c r="E389" s="8"/>
      <c r="F389" s="8"/>
      <c r="G389" s="8"/>
      <c r="H389" s="8"/>
      <c r="I389" s="8"/>
      <c r="J389" s="8"/>
      <c r="K389" s="8"/>
      <c r="L389" s="8"/>
      <c r="M389" s="8"/>
      <c r="N389" s="8"/>
      <c r="O389" s="8"/>
      <c r="P389" s="8"/>
      <c r="Q389" s="8"/>
      <c r="R389" s="8"/>
      <c r="S389" s="8"/>
      <c r="T389" s="8"/>
      <c r="U389" s="8"/>
      <c r="V389" s="8"/>
      <c r="W389" s="8"/>
    </row>
    <row r="390" spans="1:23" ht="12.75" x14ac:dyDescent="0.2">
      <c r="A390" s="8"/>
      <c r="B390" s="8"/>
      <c r="C390" s="8"/>
      <c r="D390" s="8"/>
      <c r="E390" s="8"/>
      <c r="F390" s="8"/>
      <c r="G390" s="8"/>
      <c r="H390" s="8"/>
      <c r="I390" s="8"/>
      <c r="J390" s="8"/>
      <c r="K390" s="8"/>
      <c r="L390" s="8"/>
      <c r="M390" s="8"/>
      <c r="N390" s="8"/>
      <c r="O390" s="8"/>
      <c r="P390" s="8"/>
      <c r="Q390" s="8"/>
      <c r="R390" s="8"/>
      <c r="S390" s="8"/>
      <c r="T390" s="8"/>
      <c r="U390" s="8"/>
      <c r="V390" s="8"/>
      <c r="W390" s="8"/>
    </row>
    <row r="391" spans="1:23" ht="12.75" x14ac:dyDescent="0.2">
      <c r="A391" s="8"/>
      <c r="B391" s="8"/>
      <c r="C391" s="8"/>
      <c r="D391" s="8"/>
      <c r="E391" s="8"/>
      <c r="F391" s="8"/>
      <c r="G391" s="8"/>
      <c r="H391" s="8"/>
      <c r="I391" s="8"/>
      <c r="J391" s="8"/>
      <c r="K391" s="8"/>
      <c r="L391" s="8"/>
      <c r="M391" s="8"/>
      <c r="N391" s="8"/>
      <c r="O391" s="8"/>
      <c r="P391" s="8"/>
      <c r="Q391" s="8"/>
      <c r="R391" s="8"/>
      <c r="S391" s="8"/>
      <c r="T391" s="8"/>
      <c r="U391" s="8"/>
      <c r="V391" s="8"/>
      <c r="W391" s="8"/>
    </row>
    <row r="392" spans="1:23" ht="12.75" x14ac:dyDescent="0.2">
      <c r="A392" s="8"/>
      <c r="B392" s="8"/>
      <c r="C392" s="8"/>
      <c r="D392" s="8"/>
      <c r="E392" s="8"/>
      <c r="F392" s="8"/>
      <c r="G392" s="8"/>
      <c r="H392" s="8"/>
      <c r="I392" s="8"/>
      <c r="J392" s="8"/>
      <c r="K392" s="8"/>
      <c r="L392" s="8"/>
      <c r="M392" s="8"/>
      <c r="N392" s="8"/>
      <c r="O392" s="8"/>
      <c r="P392" s="8"/>
      <c r="Q392" s="8"/>
      <c r="R392" s="8"/>
      <c r="S392" s="8"/>
      <c r="T392" s="8"/>
      <c r="U392" s="8"/>
      <c r="V392" s="8"/>
      <c r="W392" s="8"/>
    </row>
    <row r="393" spans="1:23" ht="12.75" x14ac:dyDescent="0.2">
      <c r="A393" s="8"/>
      <c r="B393" s="8"/>
      <c r="C393" s="8"/>
      <c r="D393" s="8"/>
      <c r="E393" s="8"/>
      <c r="F393" s="8"/>
      <c r="G393" s="8"/>
      <c r="H393" s="8"/>
      <c r="I393" s="8"/>
      <c r="J393" s="8"/>
      <c r="K393" s="8"/>
      <c r="L393" s="8"/>
      <c r="M393" s="8"/>
      <c r="N393" s="8"/>
      <c r="O393" s="8"/>
      <c r="P393" s="8"/>
      <c r="Q393" s="8"/>
      <c r="R393" s="8"/>
      <c r="S393" s="8"/>
      <c r="T393" s="8"/>
      <c r="U393" s="8"/>
      <c r="V393" s="8"/>
      <c r="W393" s="8"/>
    </row>
    <row r="394" spans="1:23" ht="12.75" x14ac:dyDescent="0.2">
      <c r="A394" s="8"/>
      <c r="B394" s="8"/>
      <c r="C394" s="8"/>
      <c r="D394" s="8"/>
      <c r="E394" s="8"/>
      <c r="F394" s="8"/>
      <c r="G394" s="8"/>
      <c r="H394" s="8"/>
      <c r="I394" s="8"/>
      <c r="J394" s="8"/>
      <c r="K394" s="8"/>
      <c r="L394" s="8"/>
      <c r="M394" s="8"/>
      <c r="N394" s="8"/>
      <c r="O394" s="8"/>
      <c r="P394" s="8"/>
      <c r="Q394" s="8"/>
      <c r="R394" s="8"/>
      <c r="S394" s="8"/>
      <c r="T394" s="8"/>
      <c r="U394" s="8"/>
      <c r="V394" s="8"/>
      <c r="W394" s="8"/>
    </row>
    <row r="395" spans="1:23" ht="12.75" x14ac:dyDescent="0.2">
      <c r="A395" s="8"/>
      <c r="B395" s="8"/>
      <c r="C395" s="8"/>
      <c r="D395" s="8"/>
      <c r="E395" s="8"/>
      <c r="F395" s="8"/>
      <c r="G395" s="8"/>
      <c r="H395" s="8"/>
      <c r="I395" s="8"/>
      <c r="J395" s="8"/>
      <c r="K395" s="8"/>
      <c r="L395" s="8"/>
      <c r="M395" s="8"/>
      <c r="N395" s="8"/>
      <c r="O395" s="8"/>
      <c r="P395" s="8"/>
      <c r="Q395" s="8"/>
      <c r="R395" s="8"/>
      <c r="S395" s="8"/>
      <c r="T395" s="8"/>
      <c r="U395" s="8"/>
      <c r="V395" s="8"/>
      <c r="W395" s="8"/>
    </row>
    <row r="396" spans="1:23" ht="12.75" x14ac:dyDescent="0.2">
      <c r="A396" s="8"/>
      <c r="B396" s="8"/>
      <c r="C396" s="8"/>
      <c r="D396" s="8"/>
      <c r="E396" s="8"/>
      <c r="F396" s="8"/>
      <c r="G396" s="8"/>
      <c r="H396" s="8"/>
      <c r="I396" s="8"/>
      <c r="J396" s="8"/>
      <c r="K396" s="8"/>
      <c r="L396" s="8"/>
      <c r="M396" s="8"/>
      <c r="N396" s="8"/>
      <c r="O396" s="8"/>
      <c r="P396" s="8"/>
      <c r="Q396" s="8"/>
      <c r="R396" s="8"/>
      <c r="S396" s="8"/>
      <c r="T396" s="8"/>
      <c r="U396" s="8"/>
      <c r="V396" s="8"/>
      <c r="W396" s="8"/>
    </row>
    <row r="397" spans="1:23" ht="12.75" x14ac:dyDescent="0.2">
      <c r="A397" s="8"/>
      <c r="B397" s="8"/>
      <c r="C397" s="8"/>
      <c r="D397" s="8"/>
      <c r="E397" s="8"/>
      <c r="F397" s="8"/>
      <c r="G397" s="8"/>
      <c r="H397" s="8"/>
      <c r="I397" s="8"/>
      <c r="J397" s="8"/>
      <c r="K397" s="8"/>
      <c r="L397" s="8"/>
      <c r="M397" s="8"/>
      <c r="N397" s="8"/>
      <c r="O397" s="8"/>
      <c r="P397" s="8"/>
      <c r="Q397" s="8"/>
      <c r="R397" s="8"/>
      <c r="S397" s="8"/>
      <c r="T397" s="8"/>
      <c r="U397" s="8"/>
      <c r="V397" s="8"/>
      <c r="W397" s="8"/>
    </row>
    <row r="398" spans="1:23" ht="12.75" x14ac:dyDescent="0.2">
      <c r="A398" s="8"/>
      <c r="B398" s="8"/>
      <c r="C398" s="8"/>
      <c r="D398" s="8"/>
      <c r="E398" s="8"/>
      <c r="F398" s="8"/>
      <c r="G398" s="8"/>
      <c r="H398" s="8"/>
      <c r="I398" s="8"/>
      <c r="J398" s="8"/>
      <c r="K398" s="8"/>
      <c r="L398" s="8"/>
      <c r="M398" s="8"/>
      <c r="N398" s="8"/>
      <c r="O398" s="8"/>
      <c r="P398" s="8"/>
      <c r="Q398" s="8"/>
      <c r="R398" s="8"/>
      <c r="S398" s="8"/>
      <c r="T398" s="8"/>
      <c r="U398" s="8"/>
      <c r="V398" s="8"/>
      <c r="W398" s="8"/>
    </row>
    <row r="399" spans="1:23" ht="12.75" x14ac:dyDescent="0.2">
      <c r="A399" s="8"/>
      <c r="B399" s="8"/>
      <c r="C399" s="8"/>
      <c r="D399" s="8"/>
      <c r="E399" s="8"/>
      <c r="F399" s="8"/>
      <c r="G399" s="8"/>
      <c r="H399" s="8"/>
      <c r="I399" s="8"/>
      <c r="J399" s="8"/>
      <c r="K399" s="8"/>
      <c r="L399" s="8"/>
      <c r="M399" s="8"/>
      <c r="N399" s="8"/>
      <c r="O399" s="8"/>
      <c r="P399" s="8"/>
      <c r="Q399" s="8"/>
      <c r="R399" s="8"/>
      <c r="S399" s="8"/>
      <c r="T399" s="8"/>
      <c r="U399" s="8"/>
      <c r="V399" s="8"/>
      <c r="W399" s="8"/>
    </row>
    <row r="400" spans="1:23" ht="12.75" x14ac:dyDescent="0.2">
      <c r="A400" s="8"/>
      <c r="B400" s="8"/>
      <c r="C400" s="8"/>
      <c r="D400" s="8"/>
      <c r="E400" s="8"/>
      <c r="F400" s="8"/>
      <c r="G400" s="8"/>
      <c r="H400" s="8"/>
      <c r="I400" s="8"/>
      <c r="J400" s="8"/>
      <c r="K400" s="8"/>
      <c r="L400" s="8"/>
      <c r="M400" s="8"/>
      <c r="N400" s="8"/>
      <c r="O400" s="8"/>
      <c r="P400" s="8"/>
      <c r="Q400" s="8"/>
      <c r="R400" s="8"/>
      <c r="S400" s="8"/>
      <c r="T400" s="8"/>
      <c r="U400" s="8"/>
      <c r="V400" s="8"/>
      <c r="W400" s="8"/>
    </row>
    <row r="401" spans="1:23" ht="12.75" x14ac:dyDescent="0.2">
      <c r="A401" s="8"/>
      <c r="B401" s="8"/>
      <c r="C401" s="8"/>
      <c r="D401" s="8"/>
      <c r="E401" s="8"/>
      <c r="F401" s="8"/>
      <c r="G401" s="8"/>
      <c r="H401" s="8"/>
      <c r="I401" s="8"/>
      <c r="J401" s="8"/>
      <c r="K401" s="8"/>
      <c r="L401" s="8"/>
      <c r="M401" s="8"/>
      <c r="N401" s="8"/>
      <c r="O401" s="8"/>
      <c r="P401" s="8"/>
      <c r="Q401" s="8"/>
      <c r="R401" s="8"/>
      <c r="S401" s="8"/>
      <c r="T401" s="8"/>
      <c r="U401" s="8"/>
      <c r="V401" s="8"/>
      <c r="W401" s="8"/>
    </row>
    <row r="402" spans="1:23" ht="12.75" x14ac:dyDescent="0.2">
      <c r="A402" s="8"/>
      <c r="B402" s="8"/>
      <c r="C402" s="8"/>
      <c r="D402" s="8"/>
      <c r="E402" s="8"/>
      <c r="F402" s="8"/>
      <c r="G402" s="8"/>
      <c r="H402" s="8"/>
      <c r="I402" s="8"/>
      <c r="J402" s="8"/>
      <c r="K402" s="8"/>
      <c r="L402" s="8"/>
      <c r="M402" s="8"/>
      <c r="N402" s="8"/>
      <c r="O402" s="8"/>
      <c r="P402" s="8"/>
      <c r="Q402" s="8"/>
      <c r="R402" s="8"/>
      <c r="S402" s="8"/>
      <c r="T402" s="8"/>
      <c r="U402" s="8"/>
      <c r="V402" s="8"/>
      <c r="W402" s="8"/>
    </row>
    <row r="403" spans="1:23" ht="12.75" x14ac:dyDescent="0.2">
      <c r="A403" s="8"/>
      <c r="B403" s="8"/>
      <c r="C403" s="8"/>
      <c r="D403" s="8"/>
      <c r="E403" s="8"/>
      <c r="F403" s="8"/>
      <c r="G403" s="8"/>
      <c r="H403" s="8"/>
      <c r="I403" s="8"/>
      <c r="J403" s="8"/>
      <c r="K403" s="8"/>
      <c r="L403" s="8"/>
      <c r="M403" s="8"/>
      <c r="N403" s="8"/>
      <c r="O403" s="8"/>
      <c r="P403" s="8"/>
      <c r="Q403" s="8"/>
      <c r="R403" s="8"/>
      <c r="S403" s="8"/>
      <c r="T403" s="8"/>
      <c r="U403" s="8"/>
      <c r="V403" s="8"/>
      <c r="W403" s="8"/>
    </row>
    <row r="404" spans="1:23" ht="12.75" x14ac:dyDescent="0.2">
      <c r="A404" s="8"/>
      <c r="B404" s="8"/>
      <c r="C404" s="8"/>
      <c r="D404" s="8"/>
      <c r="E404" s="8"/>
      <c r="F404" s="8"/>
      <c r="G404" s="8"/>
      <c r="H404" s="8"/>
      <c r="I404" s="8"/>
      <c r="J404" s="8"/>
      <c r="K404" s="8"/>
      <c r="L404" s="8"/>
      <c r="M404" s="8"/>
      <c r="N404" s="8"/>
      <c r="O404" s="8"/>
      <c r="P404" s="8"/>
      <c r="Q404" s="8"/>
      <c r="R404" s="8"/>
      <c r="S404" s="8"/>
      <c r="T404" s="8"/>
      <c r="U404" s="8"/>
      <c r="V404" s="8"/>
      <c r="W404" s="8"/>
    </row>
    <row r="405" spans="1:23" ht="12.75" x14ac:dyDescent="0.2">
      <c r="A405" s="8"/>
      <c r="B405" s="8"/>
      <c r="C405" s="8"/>
      <c r="D405" s="8"/>
      <c r="E405" s="8"/>
      <c r="F405" s="8"/>
      <c r="G405" s="8"/>
      <c r="H405" s="8"/>
      <c r="I405" s="8"/>
      <c r="J405" s="8"/>
      <c r="K405" s="8"/>
      <c r="L405" s="8"/>
      <c r="M405" s="8"/>
      <c r="N405" s="8"/>
      <c r="O405" s="8"/>
      <c r="P405" s="8"/>
      <c r="Q405" s="8"/>
      <c r="R405" s="8"/>
      <c r="S405" s="8"/>
      <c r="T405" s="8"/>
      <c r="U405" s="8"/>
      <c r="V405" s="8"/>
      <c r="W405" s="8"/>
    </row>
    <row r="406" spans="1:23" ht="12.75" x14ac:dyDescent="0.2">
      <c r="A406" s="8"/>
      <c r="B406" s="8"/>
      <c r="C406" s="8"/>
      <c r="D406" s="8"/>
      <c r="E406" s="8"/>
      <c r="F406" s="8"/>
      <c r="G406" s="8"/>
      <c r="H406" s="8"/>
      <c r="I406" s="8"/>
      <c r="J406" s="8"/>
      <c r="K406" s="8"/>
      <c r="L406" s="8"/>
      <c r="M406" s="8"/>
      <c r="N406" s="8"/>
      <c r="O406" s="8"/>
      <c r="P406" s="8"/>
      <c r="Q406" s="8"/>
      <c r="R406" s="8"/>
      <c r="S406" s="8"/>
      <c r="T406" s="8"/>
      <c r="U406" s="8"/>
      <c r="V406" s="8"/>
      <c r="W406" s="8"/>
    </row>
    <row r="407" spans="1:23" ht="12.75" x14ac:dyDescent="0.2">
      <c r="A407" s="8"/>
      <c r="B407" s="8"/>
      <c r="C407" s="8"/>
      <c r="D407" s="8"/>
      <c r="E407" s="8"/>
      <c r="F407" s="8"/>
      <c r="G407" s="8"/>
      <c r="H407" s="8"/>
      <c r="I407" s="8"/>
      <c r="J407" s="8"/>
      <c r="K407" s="8"/>
      <c r="L407" s="8"/>
      <c r="M407" s="8"/>
      <c r="N407" s="8"/>
      <c r="O407" s="8"/>
      <c r="P407" s="8"/>
      <c r="Q407" s="8"/>
      <c r="R407" s="8"/>
      <c r="S407" s="8"/>
      <c r="T407" s="8"/>
      <c r="U407" s="8"/>
      <c r="V407" s="8"/>
      <c r="W407" s="8"/>
    </row>
    <row r="408" spans="1:23" ht="12.75" x14ac:dyDescent="0.2">
      <c r="A408" s="8"/>
      <c r="B408" s="8"/>
      <c r="C408" s="8"/>
      <c r="D408" s="8"/>
      <c r="E408" s="8"/>
      <c r="F408" s="8"/>
      <c r="G408" s="8"/>
      <c r="H408" s="8"/>
      <c r="I408" s="8"/>
      <c r="J408" s="8"/>
      <c r="K408" s="8"/>
      <c r="L408" s="8"/>
      <c r="M408" s="8"/>
      <c r="N408" s="8"/>
      <c r="O408" s="8"/>
      <c r="P408" s="8"/>
      <c r="Q408" s="8"/>
      <c r="R408" s="8"/>
      <c r="S408" s="8"/>
      <c r="T408" s="8"/>
      <c r="U408" s="8"/>
      <c r="V408" s="8"/>
      <c r="W408" s="8"/>
    </row>
    <row r="409" spans="1:23" ht="12.75" x14ac:dyDescent="0.2">
      <c r="A409" s="8"/>
      <c r="B409" s="8"/>
      <c r="C409" s="8"/>
      <c r="D409" s="8"/>
      <c r="E409" s="8"/>
      <c r="F409" s="8"/>
      <c r="G409" s="8"/>
      <c r="H409" s="8"/>
      <c r="I409" s="8"/>
      <c r="J409" s="8"/>
      <c r="K409" s="8"/>
      <c r="L409" s="8"/>
      <c r="M409" s="8"/>
      <c r="N409" s="8"/>
      <c r="O409" s="8"/>
      <c r="P409" s="8"/>
      <c r="Q409" s="8"/>
      <c r="R409" s="8"/>
      <c r="S409" s="8"/>
      <c r="T409" s="8"/>
      <c r="U409" s="8"/>
      <c r="V409" s="8"/>
      <c r="W409" s="8"/>
    </row>
    <row r="410" spans="1:23" ht="12.75" x14ac:dyDescent="0.2">
      <c r="A410" s="8"/>
      <c r="B410" s="8"/>
      <c r="C410" s="8"/>
      <c r="D410" s="8"/>
      <c r="E410" s="8"/>
      <c r="F410" s="8"/>
      <c r="G410" s="8"/>
      <c r="H410" s="8"/>
      <c r="I410" s="8"/>
      <c r="J410" s="8"/>
      <c r="K410" s="8"/>
      <c r="L410" s="8"/>
      <c r="M410" s="8"/>
      <c r="N410" s="8"/>
      <c r="O410" s="8"/>
      <c r="P410" s="8"/>
      <c r="Q410" s="8"/>
      <c r="R410" s="8"/>
      <c r="S410" s="8"/>
      <c r="T410" s="8"/>
      <c r="U410" s="8"/>
      <c r="V410" s="8"/>
      <c r="W410" s="8"/>
    </row>
    <row r="411" spans="1:23" ht="12.75" x14ac:dyDescent="0.2">
      <c r="A411" s="8"/>
      <c r="B411" s="8"/>
      <c r="C411" s="8"/>
      <c r="D411" s="8"/>
      <c r="E411" s="8"/>
      <c r="F411" s="8"/>
      <c r="G411" s="8"/>
      <c r="H411" s="8"/>
      <c r="I411" s="8"/>
      <c r="J411" s="8"/>
      <c r="K411" s="8"/>
      <c r="L411" s="8"/>
      <c r="M411" s="8"/>
      <c r="N411" s="8"/>
      <c r="O411" s="8"/>
      <c r="P411" s="8"/>
      <c r="Q411" s="8"/>
      <c r="R411" s="8"/>
      <c r="S411" s="8"/>
      <c r="T411" s="8"/>
      <c r="U411" s="8"/>
      <c r="V411" s="8"/>
      <c r="W411" s="8"/>
    </row>
    <row r="412" spans="1:23" ht="12.75" x14ac:dyDescent="0.2">
      <c r="A412" s="8"/>
      <c r="B412" s="8"/>
      <c r="C412" s="8"/>
      <c r="D412" s="8"/>
      <c r="E412" s="8"/>
      <c r="F412" s="8"/>
      <c r="G412" s="8"/>
      <c r="H412" s="8"/>
      <c r="I412" s="8"/>
      <c r="J412" s="8"/>
      <c r="K412" s="8"/>
      <c r="L412" s="8"/>
      <c r="M412" s="8"/>
      <c r="N412" s="8"/>
      <c r="O412" s="8"/>
      <c r="P412" s="8"/>
      <c r="Q412" s="8"/>
      <c r="R412" s="8"/>
      <c r="S412" s="8"/>
      <c r="T412" s="8"/>
      <c r="U412" s="8"/>
      <c r="V412" s="8"/>
      <c r="W412" s="8"/>
    </row>
    <row r="413" spans="1:23" ht="12.75" x14ac:dyDescent="0.2">
      <c r="A413" s="8"/>
      <c r="B413" s="8"/>
      <c r="C413" s="8"/>
      <c r="D413" s="8"/>
      <c r="E413" s="8"/>
      <c r="F413" s="8"/>
      <c r="G413" s="8"/>
      <c r="H413" s="8"/>
      <c r="I413" s="8"/>
      <c r="J413" s="8"/>
      <c r="K413" s="8"/>
      <c r="L413" s="8"/>
      <c r="M413" s="8"/>
      <c r="N413" s="8"/>
      <c r="O413" s="8"/>
      <c r="P413" s="8"/>
      <c r="Q413" s="8"/>
      <c r="R413" s="8"/>
      <c r="S413" s="8"/>
      <c r="T413" s="8"/>
      <c r="U413" s="8"/>
      <c r="V413" s="8"/>
      <c r="W413" s="8"/>
    </row>
    <row r="414" spans="1:23" ht="12.75" x14ac:dyDescent="0.2">
      <c r="A414" s="8"/>
      <c r="B414" s="8"/>
      <c r="C414" s="8"/>
      <c r="D414" s="8"/>
      <c r="E414" s="8"/>
      <c r="F414" s="8"/>
      <c r="G414" s="8"/>
      <c r="H414" s="8"/>
      <c r="I414" s="8"/>
      <c r="J414" s="8"/>
      <c r="K414" s="8"/>
      <c r="L414" s="8"/>
      <c r="M414" s="8"/>
      <c r="N414" s="8"/>
      <c r="O414" s="8"/>
      <c r="P414" s="8"/>
      <c r="Q414" s="8"/>
      <c r="R414" s="8"/>
      <c r="S414" s="8"/>
      <c r="T414" s="8"/>
      <c r="U414" s="8"/>
      <c r="V414" s="8"/>
      <c r="W414" s="8"/>
    </row>
    <row r="415" spans="1:23" ht="12.75" x14ac:dyDescent="0.2">
      <c r="A415" s="8"/>
      <c r="B415" s="8"/>
      <c r="C415" s="8"/>
      <c r="D415" s="8"/>
      <c r="E415" s="8"/>
      <c r="F415" s="8"/>
      <c r="G415" s="8"/>
      <c r="H415" s="8"/>
      <c r="I415" s="8"/>
      <c r="J415" s="8"/>
      <c r="K415" s="8"/>
      <c r="L415" s="8"/>
      <c r="M415" s="8"/>
      <c r="N415" s="8"/>
      <c r="O415" s="8"/>
      <c r="P415" s="8"/>
      <c r="Q415" s="8"/>
      <c r="R415" s="8"/>
      <c r="S415" s="8"/>
      <c r="T415" s="8"/>
      <c r="U415" s="8"/>
      <c r="V415" s="8"/>
      <c r="W415" s="8"/>
    </row>
    <row r="416" spans="1:23" ht="12.75" x14ac:dyDescent="0.2">
      <c r="A416" s="8"/>
      <c r="B416" s="8"/>
      <c r="C416" s="8"/>
      <c r="D416" s="8"/>
      <c r="E416" s="8"/>
      <c r="F416" s="8"/>
      <c r="G416" s="8"/>
      <c r="H416" s="8"/>
      <c r="I416" s="8"/>
      <c r="J416" s="8"/>
      <c r="K416" s="8"/>
      <c r="L416" s="8"/>
      <c r="M416" s="8"/>
      <c r="N416" s="8"/>
      <c r="O416" s="8"/>
      <c r="P416" s="8"/>
      <c r="Q416" s="8"/>
      <c r="R416" s="8"/>
      <c r="S416" s="8"/>
      <c r="T416" s="8"/>
      <c r="U416" s="8"/>
      <c r="V416" s="8"/>
      <c r="W416" s="8"/>
    </row>
    <row r="417" spans="1:23" ht="12.75" x14ac:dyDescent="0.2">
      <c r="A417" s="8"/>
      <c r="B417" s="8"/>
      <c r="C417" s="8"/>
      <c r="D417" s="8"/>
      <c r="E417" s="8"/>
      <c r="F417" s="8"/>
      <c r="G417" s="8"/>
      <c r="H417" s="8"/>
      <c r="I417" s="8"/>
      <c r="J417" s="8"/>
      <c r="K417" s="8"/>
      <c r="L417" s="8"/>
      <c r="M417" s="8"/>
      <c r="N417" s="8"/>
      <c r="O417" s="8"/>
      <c r="P417" s="8"/>
      <c r="Q417" s="8"/>
      <c r="R417" s="8"/>
      <c r="S417" s="8"/>
      <c r="T417" s="8"/>
      <c r="U417" s="8"/>
      <c r="V417" s="8"/>
      <c r="W417" s="8"/>
    </row>
    <row r="418" spans="1:23" ht="12.75" x14ac:dyDescent="0.2">
      <c r="A418" s="8"/>
      <c r="B418" s="8"/>
      <c r="C418" s="8"/>
      <c r="D418" s="8"/>
      <c r="E418" s="8"/>
      <c r="F418" s="8"/>
      <c r="G418" s="8"/>
      <c r="H418" s="8"/>
      <c r="I418" s="8"/>
      <c r="J418" s="8"/>
      <c r="K418" s="8"/>
      <c r="L418" s="8"/>
      <c r="M418" s="8"/>
      <c r="N418" s="8"/>
      <c r="O418" s="8"/>
      <c r="P418" s="8"/>
      <c r="Q418" s="8"/>
      <c r="R418" s="8"/>
      <c r="S418" s="8"/>
      <c r="T418" s="8"/>
      <c r="U418" s="8"/>
      <c r="V418" s="8"/>
      <c r="W418" s="8"/>
    </row>
    <row r="419" spans="1:23" ht="12.75" x14ac:dyDescent="0.2">
      <c r="A419" s="8"/>
      <c r="B419" s="8"/>
      <c r="C419" s="8"/>
      <c r="D419" s="8"/>
      <c r="E419" s="8"/>
      <c r="F419" s="8"/>
      <c r="G419" s="8"/>
      <c r="H419" s="8"/>
      <c r="I419" s="8"/>
      <c r="J419" s="8"/>
      <c r="K419" s="8"/>
      <c r="L419" s="8"/>
      <c r="M419" s="8"/>
      <c r="N419" s="8"/>
      <c r="O419" s="8"/>
      <c r="P419" s="8"/>
      <c r="Q419" s="8"/>
      <c r="R419" s="8"/>
      <c r="S419" s="8"/>
      <c r="T419" s="8"/>
      <c r="U419" s="8"/>
      <c r="V419" s="8"/>
      <c r="W419" s="8"/>
    </row>
    <row r="420" spans="1:23" ht="12.75" x14ac:dyDescent="0.2">
      <c r="A420" s="8"/>
      <c r="B420" s="8"/>
      <c r="C420" s="8"/>
      <c r="D420" s="8"/>
      <c r="E420" s="8"/>
      <c r="F420" s="8"/>
      <c r="G420" s="8"/>
      <c r="H420" s="8"/>
      <c r="I420" s="8"/>
      <c r="J420" s="8"/>
      <c r="K420" s="8"/>
      <c r="L420" s="8"/>
      <c r="M420" s="8"/>
      <c r="N420" s="8"/>
      <c r="O420" s="8"/>
      <c r="P420" s="8"/>
      <c r="Q420" s="8"/>
      <c r="R420" s="8"/>
      <c r="S420" s="8"/>
      <c r="T420" s="8"/>
      <c r="U420" s="8"/>
      <c r="V420" s="8"/>
      <c r="W420" s="8"/>
    </row>
    <row r="421" spans="1:23" ht="12.75" x14ac:dyDescent="0.2">
      <c r="A421" s="8"/>
      <c r="B421" s="8"/>
      <c r="C421" s="8"/>
      <c r="D421" s="8"/>
      <c r="E421" s="8"/>
      <c r="F421" s="8"/>
      <c r="G421" s="8"/>
      <c r="H421" s="8"/>
      <c r="I421" s="8"/>
      <c r="J421" s="8"/>
      <c r="K421" s="8"/>
      <c r="L421" s="8"/>
      <c r="M421" s="8"/>
      <c r="N421" s="8"/>
      <c r="O421" s="8"/>
      <c r="P421" s="8"/>
      <c r="Q421" s="8"/>
      <c r="R421" s="8"/>
      <c r="S421" s="8"/>
      <c r="T421" s="8"/>
      <c r="U421" s="8"/>
      <c r="V421" s="8"/>
      <c r="W421" s="8"/>
    </row>
    <row r="422" spans="1:23" ht="12.75" x14ac:dyDescent="0.2">
      <c r="A422" s="8"/>
      <c r="B422" s="8"/>
      <c r="C422" s="8"/>
      <c r="D422" s="8"/>
      <c r="E422" s="8"/>
      <c r="F422" s="8"/>
      <c r="G422" s="8"/>
      <c r="H422" s="8"/>
      <c r="I422" s="8"/>
      <c r="J422" s="8"/>
      <c r="K422" s="8"/>
      <c r="L422" s="8"/>
      <c r="M422" s="8"/>
      <c r="N422" s="8"/>
      <c r="O422" s="8"/>
      <c r="P422" s="8"/>
      <c r="Q422" s="8"/>
      <c r="R422" s="8"/>
      <c r="S422" s="8"/>
      <c r="T422" s="8"/>
      <c r="U422" s="8"/>
      <c r="V422" s="8"/>
      <c r="W422" s="8"/>
    </row>
    <row r="423" spans="1:23" ht="12.75" x14ac:dyDescent="0.2">
      <c r="A423" s="8"/>
      <c r="B423" s="8"/>
      <c r="C423" s="8"/>
      <c r="D423" s="8"/>
      <c r="E423" s="8"/>
      <c r="F423" s="8"/>
      <c r="G423" s="8"/>
      <c r="H423" s="8"/>
      <c r="I423" s="8"/>
      <c r="J423" s="8"/>
      <c r="K423" s="8"/>
      <c r="L423" s="8"/>
      <c r="M423" s="8"/>
      <c r="N423" s="8"/>
      <c r="O423" s="8"/>
      <c r="P423" s="8"/>
      <c r="Q423" s="8"/>
      <c r="R423" s="8"/>
      <c r="S423" s="8"/>
      <c r="T423" s="8"/>
      <c r="U423" s="8"/>
      <c r="V423" s="8"/>
      <c r="W423" s="8"/>
    </row>
    <row r="424" spans="1:23" ht="12.75" x14ac:dyDescent="0.2">
      <c r="A424" s="8"/>
      <c r="B424" s="8"/>
      <c r="C424" s="8"/>
      <c r="D424" s="8"/>
      <c r="E424" s="8"/>
      <c r="F424" s="8"/>
      <c r="G424" s="8"/>
      <c r="H424" s="8"/>
      <c r="I424" s="8"/>
      <c r="J424" s="8"/>
      <c r="K424" s="8"/>
      <c r="L424" s="8"/>
      <c r="M424" s="8"/>
      <c r="N424" s="8"/>
      <c r="O424" s="8"/>
      <c r="P424" s="8"/>
      <c r="Q424" s="8"/>
      <c r="R424" s="8"/>
      <c r="S424" s="8"/>
      <c r="T424" s="8"/>
      <c r="U424" s="8"/>
      <c r="V424" s="8"/>
      <c r="W424" s="8"/>
    </row>
    <row r="425" spans="1:23" ht="12.75" x14ac:dyDescent="0.2">
      <c r="A425" s="8"/>
      <c r="B425" s="8"/>
      <c r="C425" s="8"/>
      <c r="D425" s="8"/>
      <c r="E425" s="8"/>
      <c r="F425" s="8"/>
      <c r="G425" s="8"/>
      <c r="H425" s="8"/>
      <c r="I425" s="8"/>
      <c r="J425" s="8"/>
      <c r="K425" s="8"/>
      <c r="L425" s="8"/>
      <c r="M425" s="8"/>
      <c r="N425" s="8"/>
      <c r="O425" s="8"/>
      <c r="P425" s="8"/>
      <c r="Q425" s="8"/>
      <c r="R425" s="8"/>
      <c r="S425" s="8"/>
      <c r="T425" s="8"/>
      <c r="U425" s="8"/>
      <c r="V425" s="8"/>
      <c r="W425" s="8"/>
    </row>
    <row r="426" spans="1:23" ht="12.75" x14ac:dyDescent="0.2">
      <c r="A426" s="8"/>
      <c r="B426" s="8"/>
      <c r="C426" s="8"/>
      <c r="D426" s="8"/>
      <c r="E426" s="8"/>
      <c r="F426" s="8"/>
      <c r="G426" s="8"/>
      <c r="H426" s="8"/>
      <c r="I426" s="8"/>
      <c r="J426" s="8"/>
      <c r="K426" s="8"/>
      <c r="L426" s="8"/>
      <c r="M426" s="8"/>
      <c r="N426" s="8"/>
      <c r="O426" s="8"/>
      <c r="P426" s="8"/>
      <c r="Q426" s="8"/>
      <c r="R426" s="8"/>
      <c r="S426" s="8"/>
      <c r="T426" s="8"/>
      <c r="U426" s="8"/>
      <c r="V426" s="8"/>
      <c r="W426" s="8"/>
    </row>
    <row r="427" spans="1:23" ht="12.75" x14ac:dyDescent="0.2">
      <c r="A427" s="8"/>
      <c r="B427" s="8"/>
      <c r="C427" s="8"/>
      <c r="D427" s="8"/>
      <c r="E427" s="8"/>
      <c r="F427" s="8"/>
      <c r="G427" s="8"/>
      <c r="H427" s="8"/>
      <c r="I427" s="8"/>
      <c r="J427" s="8"/>
      <c r="K427" s="8"/>
      <c r="L427" s="8"/>
      <c r="M427" s="8"/>
      <c r="N427" s="8"/>
      <c r="O427" s="8"/>
      <c r="P427" s="8"/>
      <c r="Q427" s="8"/>
      <c r="R427" s="8"/>
      <c r="S427" s="8"/>
      <c r="T427" s="8"/>
      <c r="U427" s="8"/>
      <c r="V427" s="8"/>
      <c r="W427" s="8"/>
    </row>
    <row r="428" spans="1:23" ht="12.75" x14ac:dyDescent="0.2">
      <c r="A428" s="8"/>
      <c r="B428" s="8"/>
      <c r="C428" s="8"/>
      <c r="D428" s="8"/>
      <c r="E428" s="8"/>
      <c r="F428" s="8"/>
      <c r="G428" s="8"/>
      <c r="H428" s="8"/>
      <c r="I428" s="8"/>
      <c r="J428" s="8"/>
      <c r="K428" s="8"/>
      <c r="L428" s="8"/>
      <c r="M428" s="8"/>
      <c r="N428" s="8"/>
      <c r="O428" s="8"/>
      <c r="P428" s="8"/>
      <c r="Q428" s="8"/>
      <c r="R428" s="8"/>
      <c r="S428" s="8"/>
      <c r="T428" s="8"/>
      <c r="U428" s="8"/>
      <c r="V428" s="8"/>
      <c r="W428" s="8"/>
    </row>
    <row r="429" spans="1:23" ht="12.75" x14ac:dyDescent="0.2">
      <c r="A429" s="8"/>
      <c r="B429" s="8"/>
      <c r="C429" s="8"/>
      <c r="D429" s="8"/>
      <c r="E429" s="8"/>
      <c r="F429" s="8"/>
      <c r="G429" s="8"/>
      <c r="H429" s="8"/>
      <c r="I429" s="8"/>
      <c r="J429" s="8"/>
      <c r="K429" s="8"/>
      <c r="L429" s="8"/>
      <c r="M429" s="8"/>
      <c r="N429" s="8"/>
      <c r="O429" s="8"/>
      <c r="P429" s="8"/>
      <c r="Q429" s="8"/>
      <c r="R429" s="8"/>
      <c r="S429" s="8"/>
      <c r="T429" s="8"/>
      <c r="U429" s="8"/>
      <c r="V429" s="8"/>
      <c r="W429" s="8"/>
    </row>
    <row r="430" spans="1:23" ht="12.75" x14ac:dyDescent="0.2">
      <c r="A430" s="8"/>
      <c r="B430" s="8"/>
      <c r="C430" s="8"/>
      <c r="D430" s="8"/>
      <c r="E430" s="8"/>
      <c r="F430" s="8"/>
      <c r="G430" s="8"/>
      <c r="H430" s="8"/>
      <c r="I430" s="8"/>
      <c r="J430" s="8"/>
      <c r="K430" s="8"/>
      <c r="L430" s="8"/>
      <c r="M430" s="8"/>
      <c r="N430" s="8"/>
      <c r="O430" s="8"/>
      <c r="P430" s="8"/>
      <c r="Q430" s="8"/>
      <c r="R430" s="8"/>
      <c r="S430" s="8"/>
      <c r="T430" s="8"/>
      <c r="U430" s="8"/>
      <c r="V430" s="8"/>
      <c r="W430" s="8"/>
    </row>
    <row r="431" spans="1:23" ht="12.75" x14ac:dyDescent="0.2">
      <c r="A431" s="8"/>
      <c r="B431" s="8"/>
      <c r="C431" s="8"/>
      <c r="D431" s="8"/>
      <c r="E431" s="8"/>
      <c r="F431" s="8"/>
      <c r="G431" s="8"/>
      <c r="H431" s="8"/>
      <c r="I431" s="8"/>
      <c r="J431" s="8"/>
      <c r="K431" s="8"/>
      <c r="L431" s="8"/>
      <c r="M431" s="8"/>
      <c r="N431" s="8"/>
      <c r="O431" s="8"/>
      <c r="P431" s="8"/>
      <c r="Q431" s="8"/>
      <c r="R431" s="8"/>
      <c r="S431" s="8"/>
      <c r="T431" s="8"/>
      <c r="U431" s="8"/>
      <c r="V431" s="8"/>
      <c r="W431" s="8"/>
    </row>
    <row r="432" spans="1:23" ht="12.75" x14ac:dyDescent="0.2">
      <c r="A432" s="8"/>
      <c r="B432" s="8"/>
      <c r="C432" s="8"/>
      <c r="D432" s="8"/>
      <c r="E432" s="8"/>
      <c r="F432" s="8"/>
      <c r="G432" s="8"/>
      <c r="H432" s="8"/>
      <c r="I432" s="8"/>
      <c r="J432" s="8"/>
      <c r="K432" s="8"/>
      <c r="L432" s="8"/>
      <c r="M432" s="8"/>
      <c r="N432" s="8"/>
      <c r="O432" s="8"/>
      <c r="P432" s="8"/>
      <c r="Q432" s="8"/>
      <c r="R432" s="8"/>
      <c r="S432" s="8"/>
      <c r="T432" s="8"/>
      <c r="U432" s="8"/>
      <c r="V432" s="8"/>
      <c r="W432" s="8"/>
    </row>
    <row r="433" spans="1:23" ht="12.75" x14ac:dyDescent="0.2">
      <c r="A433" s="8"/>
      <c r="B433" s="8"/>
      <c r="C433" s="8"/>
      <c r="D433" s="8"/>
      <c r="E433" s="8"/>
      <c r="F433" s="8"/>
      <c r="G433" s="8"/>
      <c r="H433" s="8"/>
      <c r="I433" s="8"/>
      <c r="J433" s="8"/>
      <c r="K433" s="8"/>
      <c r="L433" s="8"/>
      <c r="M433" s="8"/>
      <c r="N433" s="8"/>
      <c r="O433" s="8"/>
      <c r="P433" s="8"/>
      <c r="Q433" s="8"/>
      <c r="R433" s="8"/>
      <c r="S433" s="8"/>
      <c r="T433" s="8"/>
      <c r="U433" s="8"/>
      <c r="V433" s="8"/>
      <c r="W433" s="8"/>
    </row>
    <row r="434" spans="1:23" ht="12.75" x14ac:dyDescent="0.2">
      <c r="A434" s="8"/>
      <c r="B434" s="8"/>
      <c r="C434" s="8"/>
      <c r="D434" s="8"/>
      <c r="E434" s="8"/>
      <c r="F434" s="8"/>
      <c r="G434" s="8"/>
      <c r="H434" s="8"/>
      <c r="I434" s="8"/>
      <c r="J434" s="8"/>
      <c r="K434" s="8"/>
      <c r="L434" s="8"/>
      <c r="M434" s="8"/>
      <c r="N434" s="8"/>
      <c r="O434" s="8"/>
      <c r="P434" s="8"/>
      <c r="Q434" s="8"/>
      <c r="R434" s="8"/>
      <c r="S434" s="8"/>
      <c r="T434" s="8"/>
      <c r="U434" s="8"/>
      <c r="V434" s="8"/>
      <c r="W434" s="8"/>
    </row>
    <row r="435" spans="1:23" ht="12.75" x14ac:dyDescent="0.2">
      <c r="A435" s="8"/>
      <c r="B435" s="8"/>
      <c r="C435" s="8"/>
      <c r="D435" s="8"/>
      <c r="E435" s="8"/>
      <c r="F435" s="8"/>
      <c r="G435" s="8"/>
      <c r="H435" s="8"/>
      <c r="I435" s="8"/>
      <c r="J435" s="8"/>
      <c r="K435" s="8"/>
      <c r="L435" s="8"/>
      <c r="M435" s="8"/>
      <c r="N435" s="8"/>
      <c r="O435" s="8"/>
      <c r="P435" s="8"/>
      <c r="Q435" s="8"/>
      <c r="R435" s="8"/>
      <c r="S435" s="8"/>
      <c r="T435" s="8"/>
      <c r="U435" s="8"/>
      <c r="V435" s="8"/>
      <c r="W435" s="8"/>
    </row>
    <row r="436" spans="1:23" ht="12.75" x14ac:dyDescent="0.2">
      <c r="A436" s="8"/>
      <c r="B436" s="8"/>
      <c r="C436" s="8"/>
      <c r="D436" s="8"/>
      <c r="E436" s="8"/>
      <c r="F436" s="8"/>
      <c r="G436" s="8"/>
      <c r="H436" s="8"/>
      <c r="I436" s="8"/>
      <c r="J436" s="8"/>
      <c r="K436" s="8"/>
      <c r="L436" s="8"/>
      <c r="M436" s="8"/>
      <c r="N436" s="8"/>
      <c r="O436" s="8"/>
      <c r="P436" s="8"/>
      <c r="Q436" s="8"/>
      <c r="R436" s="8"/>
      <c r="S436" s="8"/>
      <c r="T436" s="8"/>
      <c r="U436" s="8"/>
      <c r="V436" s="8"/>
      <c r="W436" s="8"/>
    </row>
    <row r="437" spans="1:23" ht="12.75" x14ac:dyDescent="0.2">
      <c r="A437" s="8"/>
      <c r="B437" s="8"/>
      <c r="C437" s="8"/>
      <c r="D437" s="8"/>
      <c r="E437" s="8"/>
      <c r="F437" s="8"/>
      <c r="G437" s="8"/>
      <c r="H437" s="8"/>
      <c r="I437" s="8"/>
      <c r="J437" s="8"/>
      <c r="K437" s="8"/>
      <c r="L437" s="8"/>
      <c r="M437" s="8"/>
      <c r="N437" s="8"/>
      <c r="O437" s="8"/>
      <c r="P437" s="8"/>
      <c r="Q437" s="8"/>
      <c r="R437" s="8"/>
      <c r="S437" s="8"/>
      <c r="T437" s="8"/>
      <c r="U437" s="8"/>
      <c r="V437" s="8"/>
      <c r="W437" s="8"/>
    </row>
    <row r="438" spans="1:23" ht="12.75" x14ac:dyDescent="0.2">
      <c r="A438" s="8"/>
      <c r="B438" s="8"/>
      <c r="C438" s="8"/>
      <c r="D438" s="8"/>
      <c r="E438" s="8"/>
      <c r="F438" s="8"/>
      <c r="G438" s="8"/>
      <c r="H438" s="8"/>
      <c r="I438" s="8"/>
      <c r="J438" s="8"/>
      <c r="K438" s="8"/>
      <c r="L438" s="8"/>
      <c r="M438" s="8"/>
      <c r="N438" s="8"/>
      <c r="O438" s="8"/>
      <c r="P438" s="8"/>
      <c r="Q438" s="8"/>
      <c r="R438" s="8"/>
      <c r="S438" s="8"/>
      <c r="T438" s="8"/>
      <c r="U438" s="8"/>
      <c r="V438" s="8"/>
      <c r="W438" s="8"/>
    </row>
    <row r="439" spans="1:23" ht="12.75" x14ac:dyDescent="0.2">
      <c r="A439" s="8"/>
      <c r="B439" s="8"/>
      <c r="C439" s="8"/>
      <c r="D439" s="8"/>
      <c r="E439" s="8"/>
      <c r="F439" s="8"/>
      <c r="G439" s="8"/>
      <c r="H439" s="8"/>
      <c r="I439" s="8"/>
      <c r="J439" s="8"/>
      <c r="K439" s="8"/>
      <c r="L439" s="8"/>
      <c r="M439" s="8"/>
      <c r="N439" s="8"/>
      <c r="O439" s="8"/>
      <c r="P439" s="8"/>
      <c r="Q439" s="8"/>
      <c r="R439" s="8"/>
      <c r="S439" s="8"/>
      <c r="T439" s="8"/>
      <c r="U439" s="8"/>
      <c r="V439" s="8"/>
      <c r="W439" s="8"/>
    </row>
    <row r="440" spans="1:23" ht="12.75" x14ac:dyDescent="0.2">
      <c r="A440" s="8"/>
      <c r="B440" s="8"/>
      <c r="C440" s="8"/>
      <c r="D440" s="8"/>
      <c r="E440" s="8"/>
      <c r="F440" s="8"/>
      <c r="G440" s="8"/>
      <c r="H440" s="8"/>
      <c r="I440" s="8"/>
      <c r="J440" s="8"/>
      <c r="K440" s="8"/>
      <c r="L440" s="8"/>
      <c r="M440" s="8"/>
      <c r="N440" s="8"/>
      <c r="O440" s="8"/>
      <c r="P440" s="8"/>
      <c r="Q440" s="8"/>
      <c r="R440" s="8"/>
      <c r="S440" s="8"/>
      <c r="T440" s="8"/>
      <c r="U440" s="8"/>
      <c r="V440" s="8"/>
      <c r="W440" s="8"/>
    </row>
    <row r="441" spans="1:23" ht="12.75" x14ac:dyDescent="0.2">
      <c r="A441" s="8"/>
      <c r="B441" s="8"/>
      <c r="C441" s="8"/>
      <c r="D441" s="8"/>
      <c r="E441" s="8"/>
      <c r="F441" s="8"/>
      <c r="G441" s="8"/>
      <c r="H441" s="8"/>
      <c r="I441" s="8"/>
      <c r="J441" s="8"/>
      <c r="K441" s="8"/>
      <c r="L441" s="8"/>
      <c r="M441" s="8"/>
      <c r="N441" s="8"/>
      <c r="O441" s="8"/>
      <c r="P441" s="8"/>
      <c r="Q441" s="8"/>
      <c r="R441" s="8"/>
      <c r="S441" s="8"/>
      <c r="T441" s="8"/>
      <c r="U441" s="8"/>
      <c r="V441" s="8"/>
      <c r="W441" s="8"/>
    </row>
    <row r="442" spans="1:23" ht="12.75" x14ac:dyDescent="0.2">
      <c r="A442" s="8"/>
      <c r="B442" s="8"/>
      <c r="C442" s="8"/>
      <c r="D442" s="8"/>
      <c r="E442" s="8"/>
      <c r="F442" s="8"/>
      <c r="G442" s="8"/>
      <c r="H442" s="8"/>
      <c r="I442" s="8"/>
      <c r="J442" s="8"/>
      <c r="K442" s="8"/>
      <c r="L442" s="8"/>
      <c r="M442" s="8"/>
      <c r="N442" s="8"/>
      <c r="O442" s="8"/>
      <c r="P442" s="8"/>
      <c r="Q442" s="8"/>
      <c r="R442" s="8"/>
      <c r="S442" s="8"/>
      <c r="T442" s="8"/>
      <c r="U442" s="8"/>
      <c r="V442" s="8"/>
      <c r="W442" s="8"/>
    </row>
    <row r="443" spans="1:23" ht="12.75" x14ac:dyDescent="0.2">
      <c r="A443" s="8"/>
      <c r="B443" s="8"/>
      <c r="C443" s="8"/>
      <c r="D443" s="8"/>
      <c r="E443" s="8"/>
      <c r="F443" s="8"/>
      <c r="G443" s="8"/>
      <c r="H443" s="8"/>
      <c r="I443" s="8"/>
      <c r="J443" s="8"/>
      <c r="K443" s="8"/>
      <c r="L443" s="8"/>
      <c r="M443" s="8"/>
      <c r="N443" s="8"/>
      <c r="O443" s="8"/>
      <c r="P443" s="8"/>
      <c r="Q443" s="8"/>
      <c r="R443" s="8"/>
      <c r="S443" s="8"/>
      <c r="T443" s="8"/>
      <c r="U443" s="8"/>
      <c r="V443" s="8"/>
      <c r="W443" s="8"/>
    </row>
    <row r="444" spans="1:23" ht="12.75" x14ac:dyDescent="0.2">
      <c r="A444" s="8"/>
      <c r="B444" s="8"/>
      <c r="C444" s="8"/>
      <c r="D444" s="8"/>
      <c r="E444" s="8"/>
      <c r="F444" s="8"/>
      <c r="G444" s="8"/>
      <c r="H444" s="8"/>
      <c r="I444" s="8"/>
      <c r="J444" s="8"/>
      <c r="K444" s="8"/>
      <c r="L444" s="8"/>
      <c r="M444" s="8"/>
      <c r="N444" s="8"/>
      <c r="O444" s="8"/>
      <c r="P444" s="8"/>
      <c r="Q444" s="8"/>
      <c r="R444" s="8"/>
      <c r="S444" s="8"/>
      <c r="T444" s="8"/>
      <c r="U444" s="8"/>
      <c r="V444" s="8"/>
      <c r="W444" s="8"/>
    </row>
    <row r="445" spans="1:23" ht="12.75" x14ac:dyDescent="0.2">
      <c r="A445" s="8"/>
      <c r="B445" s="8"/>
      <c r="C445" s="8"/>
      <c r="D445" s="8"/>
      <c r="E445" s="8"/>
      <c r="F445" s="8"/>
      <c r="G445" s="8"/>
      <c r="H445" s="8"/>
      <c r="I445" s="8"/>
      <c r="J445" s="8"/>
      <c r="K445" s="8"/>
      <c r="L445" s="8"/>
      <c r="M445" s="8"/>
      <c r="N445" s="8"/>
      <c r="O445" s="8"/>
      <c r="P445" s="8"/>
      <c r="Q445" s="8"/>
      <c r="R445" s="8"/>
      <c r="S445" s="8"/>
      <c r="T445" s="8"/>
      <c r="U445" s="8"/>
      <c r="V445" s="8"/>
      <c r="W445" s="8"/>
    </row>
    <row r="446" spans="1:23" ht="12.75" x14ac:dyDescent="0.2">
      <c r="A446" s="8"/>
      <c r="B446" s="8"/>
      <c r="C446" s="8"/>
      <c r="D446" s="8"/>
      <c r="E446" s="8"/>
      <c r="F446" s="8"/>
      <c r="G446" s="8"/>
      <c r="H446" s="8"/>
      <c r="I446" s="8"/>
      <c r="J446" s="8"/>
      <c r="K446" s="8"/>
      <c r="L446" s="8"/>
      <c r="M446" s="8"/>
      <c r="N446" s="8"/>
      <c r="O446" s="8"/>
      <c r="P446" s="8"/>
      <c r="Q446" s="8"/>
      <c r="R446" s="8"/>
      <c r="S446" s="8"/>
      <c r="T446" s="8"/>
      <c r="U446" s="8"/>
      <c r="V446" s="8"/>
      <c r="W446" s="8"/>
    </row>
    <row r="447" spans="1:23" ht="12.75" x14ac:dyDescent="0.2">
      <c r="A447" s="8"/>
      <c r="B447" s="8"/>
      <c r="C447" s="8"/>
      <c r="D447" s="8"/>
      <c r="E447" s="8"/>
      <c r="F447" s="8"/>
      <c r="G447" s="8"/>
      <c r="H447" s="8"/>
      <c r="I447" s="8"/>
      <c r="J447" s="8"/>
      <c r="K447" s="8"/>
      <c r="L447" s="8"/>
      <c r="M447" s="8"/>
      <c r="N447" s="8"/>
      <c r="O447" s="8"/>
      <c r="P447" s="8"/>
      <c r="Q447" s="8"/>
      <c r="R447" s="8"/>
      <c r="S447" s="8"/>
      <c r="T447" s="8"/>
      <c r="U447" s="8"/>
      <c r="V447" s="8"/>
      <c r="W447" s="8"/>
    </row>
    <row r="448" spans="1:23" ht="12.75" x14ac:dyDescent="0.2">
      <c r="A448" s="8"/>
      <c r="B448" s="8"/>
      <c r="C448" s="8"/>
      <c r="D448" s="8"/>
      <c r="E448" s="8"/>
      <c r="F448" s="8"/>
      <c r="G448" s="8"/>
      <c r="H448" s="8"/>
      <c r="I448" s="8"/>
      <c r="J448" s="8"/>
      <c r="K448" s="8"/>
      <c r="L448" s="8"/>
      <c r="M448" s="8"/>
      <c r="N448" s="8"/>
      <c r="O448" s="8"/>
      <c r="P448" s="8"/>
      <c r="Q448" s="8"/>
      <c r="R448" s="8"/>
      <c r="S448" s="8"/>
      <c r="T448" s="8"/>
      <c r="U448" s="8"/>
      <c r="V448" s="8"/>
      <c r="W448" s="8"/>
    </row>
    <row r="449" spans="1:23" ht="12.75" x14ac:dyDescent="0.2">
      <c r="A449" s="8"/>
      <c r="B449" s="8"/>
      <c r="C449" s="8"/>
      <c r="D449" s="8"/>
      <c r="E449" s="8"/>
      <c r="F449" s="8"/>
      <c r="G449" s="8"/>
      <c r="H449" s="8"/>
      <c r="I449" s="8"/>
      <c r="J449" s="8"/>
      <c r="K449" s="8"/>
      <c r="L449" s="8"/>
      <c r="M449" s="8"/>
      <c r="N449" s="8"/>
      <c r="O449" s="8"/>
      <c r="P449" s="8"/>
      <c r="Q449" s="8"/>
      <c r="R449" s="8"/>
      <c r="S449" s="8"/>
      <c r="T449" s="8"/>
      <c r="U449" s="8"/>
      <c r="V449" s="8"/>
      <c r="W449" s="8"/>
    </row>
    <row r="450" spans="1:23" ht="12.75" x14ac:dyDescent="0.2">
      <c r="A450" s="8"/>
      <c r="B450" s="8"/>
      <c r="C450" s="8"/>
      <c r="D450" s="8"/>
      <c r="E450" s="8"/>
      <c r="F450" s="8"/>
      <c r="G450" s="8"/>
      <c r="H450" s="8"/>
      <c r="I450" s="8"/>
      <c r="J450" s="8"/>
      <c r="K450" s="8"/>
      <c r="L450" s="8"/>
      <c r="M450" s="8"/>
      <c r="N450" s="8"/>
      <c r="O450" s="8"/>
      <c r="P450" s="8"/>
      <c r="Q450" s="8"/>
      <c r="R450" s="8"/>
      <c r="S450" s="8"/>
      <c r="T450" s="8"/>
      <c r="U450" s="8"/>
      <c r="V450" s="8"/>
      <c r="W450" s="8"/>
    </row>
    <row r="451" spans="1:23" ht="12.75" x14ac:dyDescent="0.2">
      <c r="A451" s="8"/>
      <c r="B451" s="8"/>
      <c r="C451" s="8"/>
      <c r="D451" s="8"/>
      <c r="E451" s="8"/>
      <c r="F451" s="8"/>
      <c r="G451" s="8"/>
      <c r="H451" s="8"/>
      <c r="I451" s="8"/>
      <c r="J451" s="8"/>
      <c r="K451" s="8"/>
      <c r="L451" s="8"/>
      <c r="M451" s="8"/>
      <c r="N451" s="8"/>
      <c r="O451" s="8"/>
      <c r="P451" s="8"/>
      <c r="Q451" s="8"/>
      <c r="R451" s="8"/>
      <c r="S451" s="8"/>
      <c r="T451" s="8"/>
      <c r="U451" s="8"/>
      <c r="V451" s="8"/>
      <c r="W451" s="8"/>
    </row>
    <row r="452" spans="1:23" ht="12.75" x14ac:dyDescent="0.2">
      <c r="A452" s="8"/>
      <c r="B452" s="8"/>
      <c r="C452" s="8"/>
      <c r="D452" s="8"/>
      <c r="E452" s="8"/>
      <c r="F452" s="8"/>
      <c r="G452" s="8"/>
      <c r="H452" s="8"/>
      <c r="I452" s="8"/>
      <c r="J452" s="8"/>
      <c r="K452" s="8"/>
      <c r="L452" s="8"/>
      <c r="M452" s="8"/>
      <c r="N452" s="8"/>
      <c r="O452" s="8"/>
      <c r="P452" s="8"/>
      <c r="Q452" s="8"/>
      <c r="R452" s="8"/>
      <c r="S452" s="8"/>
      <c r="T452" s="8"/>
      <c r="U452" s="8"/>
      <c r="V452" s="8"/>
      <c r="W452" s="8"/>
    </row>
    <row r="453" spans="1:23" ht="12.75" x14ac:dyDescent="0.2">
      <c r="A453" s="8"/>
      <c r="B453" s="8"/>
      <c r="C453" s="8"/>
      <c r="D453" s="8"/>
      <c r="E453" s="8"/>
      <c r="F453" s="8"/>
      <c r="G453" s="8"/>
      <c r="H453" s="8"/>
      <c r="I453" s="8"/>
      <c r="J453" s="8"/>
      <c r="K453" s="8"/>
      <c r="L453" s="8"/>
      <c r="M453" s="8"/>
      <c r="N453" s="8"/>
      <c r="O453" s="8"/>
      <c r="P453" s="8"/>
      <c r="Q453" s="8"/>
      <c r="R453" s="8"/>
      <c r="S453" s="8"/>
      <c r="T453" s="8"/>
      <c r="U453" s="8"/>
      <c r="V453" s="8"/>
      <c r="W453" s="8"/>
    </row>
    <row r="454" spans="1:23" ht="12.75" x14ac:dyDescent="0.2">
      <c r="A454" s="8"/>
      <c r="B454" s="8"/>
      <c r="C454" s="8"/>
      <c r="D454" s="8"/>
      <c r="E454" s="8"/>
      <c r="F454" s="8"/>
      <c r="G454" s="8"/>
      <c r="H454" s="8"/>
      <c r="I454" s="8"/>
      <c r="J454" s="8"/>
      <c r="K454" s="8"/>
      <c r="L454" s="8"/>
      <c r="M454" s="8"/>
      <c r="N454" s="8"/>
      <c r="O454" s="8"/>
      <c r="P454" s="8"/>
      <c r="Q454" s="8"/>
      <c r="R454" s="8"/>
      <c r="S454" s="8"/>
      <c r="T454" s="8"/>
      <c r="U454" s="8"/>
      <c r="V454" s="8"/>
      <c r="W454" s="8"/>
    </row>
    <row r="455" spans="1:23" ht="12.75" x14ac:dyDescent="0.2">
      <c r="A455" s="8"/>
      <c r="B455" s="8"/>
      <c r="C455" s="8"/>
      <c r="D455" s="8"/>
      <c r="E455" s="8"/>
      <c r="F455" s="8"/>
      <c r="G455" s="8"/>
      <c r="H455" s="8"/>
      <c r="I455" s="8"/>
      <c r="J455" s="8"/>
      <c r="K455" s="8"/>
      <c r="L455" s="8"/>
      <c r="M455" s="8"/>
      <c r="N455" s="8"/>
      <c r="O455" s="8"/>
      <c r="P455" s="8"/>
      <c r="Q455" s="8"/>
      <c r="R455" s="8"/>
      <c r="S455" s="8"/>
      <c r="T455" s="8"/>
      <c r="U455" s="8"/>
      <c r="V455" s="8"/>
      <c r="W455" s="8"/>
    </row>
    <row r="456" spans="1:23" ht="12.75" x14ac:dyDescent="0.2">
      <c r="A456" s="8"/>
      <c r="B456" s="8"/>
      <c r="C456" s="8"/>
      <c r="D456" s="8"/>
      <c r="E456" s="8"/>
      <c r="F456" s="8"/>
      <c r="G456" s="8"/>
      <c r="H456" s="8"/>
      <c r="I456" s="8"/>
      <c r="J456" s="8"/>
      <c r="K456" s="8"/>
      <c r="L456" s="8"/>
      <c r="M456" s="8"/>
      <c r="N456" s="8"/>
      <c r="O456" s="8"/>
      <c r="P456" s="8"/>
      <c r="Q456" s="8"/>
      <c r="R456" s="8"/>
      <c r="S456" s="8"/>
      <c r="T456" s="8"/>
      <c r="U456" s="8"/>
      <c r="V456" s="8"/>
      <c r="W456" s="8"/>
    </row>
    <row r="457" spans="1:23" ht="12.75" x14ac:dyDescent="0.2">
      <c r="A457" s="8"/>
      <c r="B457" s="8"/>
      <c r="C457" s="8"/>
      <c r="D457" s="8"/>
      <c r="E457" s="8"/>
      <c r="F457" s="8"/>
      <c r="G457" s="8"/>
      <c r="H457" s="8"/>
      <c r="I457" s="8"/>
      <c r="J457" s="8"/>
      <c r="K457" s="8"/>
      <c r="L457" s="8"/>
      <c r="M457" s="8"/>
      <c r="N457" s="8"/>
      <c r="O457" s="8"/>
      <c r="P457" s="8"/>
      <c r="Q457" s="8"/>
      <c r="R457" s="8"/>
      <c r="S457" s="8"/>
      <c r="T457" s="8"/>
      <c r="U457" s="8"/>
      <c r="V457" s="8"/>
      <c r="W457" s="8"/>
    </row>
    <row r="458" spans="1:23" ht="12.75" x14ac:dyDescent="0.2">
      <c r="A458" s="8"/>
      <c r="B458" s="8"/>
      <c r="C458" s="8"/>
      <c r="D458" s="8"/>
      <c r="E458" s="8"/>
      <c r="F458" s="8"/>
      <c r="G458" s="8"/>
      <c r="H458" s="8"/>
      <c r="I458" s="8"/>
      <c r="J458" s="8"/>
      <c r="K458" s="8"/>
      <c r="L458" s="8"/>
      <c r="M458" s="8"/>
      <c r="N458" s="8"/>
      <c r="O458" s="8"/>
      <c r="P458" s="8"/>
      <c r="Q458" s="8"/>
      <c r="R458" s="8"/>
      <c r="S458" s="8"/>
      <c r="T458" s="8"/>
      <c r="U458" s="8"/>
      <c r="V458" s="8"/>
      <c r="W458" s="8"/>
    </row>
    <row r="459" spans="1:23" ht="12.75" x14ac:dyDescent="0.2">
      <c r="A459" s="8"/>
      <c r="B459" s="8"/>
      <c r="C459" s="8"/>
      <c r="D459" s="8"/>
      <c r="E459" s="8"/>
      <c r="F459" s="8"/>
      <c r="G459" s="8"/>
      <c r="H459" s="8"/>
      <c r="I459" s="8"/>
      <c r="J459" s="8"/>
      <c r="K459" s="8"/>
      <c r="L459" s="8"/>
      <c r="M459" s="8"/>
      <c r="N459" s="8"/>
      <c r="O459" s="8"/>
      <c r="P459" s="8"/>
      <c r="Q459" s="8"/>
      <c r="R459" s="8"/>
      <c r="S459" s="8"/>
      <c r="T459" s="8"/>
      <c r="U459" s="8"/>
      <c r="V459" s="8"/>
      <c r="W459" s="8"/>
    </row>
    <row r="460" spans="1:23" ht="12.75" x14ac:dyDescent="0.2">
      <c r="A460" s="8"/>
      <c r="B460" s="8"/>
      <c r="C460" s="8"/>
      <c r="D460" s="8"/>
      <c r="E460" s="8"/>
      <c r="F460" s="8"/>
      <c r="G460" s="8"/>
      <c r="H460" s="8"/>
      <c r="I460" s="8"/>
      <c r="J460" s="8"/>
      <c r="K460" s="8"/>
      <c r="L460" s="8"/>
      <c r="M460" s="8"/>
      <c r="N460" s="8"/>
      <c r="O460" s="8"/>
      <c r="P460" s="8"/>
      <c r="Q460" s="8"/>
      <c r="R460" s="8"/>
      <c r="S460" s="8"/>
      <c r="T460" s="8"/>
      <c r="U460" s="8"/>
      <c r="V460" s="8"/>
      <c r="W460" s="8"/>
    </row>
    <row r="461" spans="1:23" ht="12.75" x14ac:dyDescent="0.2">
      <c r="A461" s="8"/>
      <c r="B461" s="8"/>
      <c r="C461" s="8"/>
      <c r="D461" s="8"/>
      <c r="E461" s="8"/>
      <c r="F461" s="8"/>
      <c r="G461" s="8"/>
      <c r="H461" s="8"/>
      <c r="I461" s="8"/>
      <c r="J461" s="8"/>
      <c r="K461" s="8"/>
      <c r="L461" s="8"/>
      <c r="M461" s="8"/>
      <c r="N461" s="8"/>
      <c r="O461" s="8"/>
      <c r="P461" s="8"/>
      <c r="Q461" s="8"/>
      <c r="R461" s="8"/>
      <c r="S461" s="8"/>
      <c r="T461" s="8"/>
      <c r="U461" s="8"/>
      <c r="V461" s="8"/>
      <c r="W461" s="8"/>
    </row>
    <row r="462" spans="1:23" ht="12.75" x14ac:dyDescent="0.2">
      <c r="A462" s="8"/>
      <c r="B462" s="8"/>
      <c r="C462" s="8"/>
      <c r="D462" s="8"/>
      <c r="E462" s="8"/>
      <c r="F462" s="8"/>
      <c r="G462" s="8"/>
      <c r="H462" s="8"/>
      <c r="I462" s="8"/>
      <c r="J462" s="8"/>
      <c r="K462" s="8"/>
      <c r="L462" s="8"/>
      <c r="M462" s="8"/>
      <c r="N462" s="8"/>
      <c r="O462" s="8"/>
      <c r="P462" s="8"/>
      <c r="Q462" s="8"/>
      <c r="R462" s="8"/>
      <c r="S462" s="8"/>
      <c r="T462" s="8"/>
      <c r="U462" s="8"/>
      <c r="V462" s="8"/>
      <c r="W462" s="8"/>
    </row>
    <row r="463" spans="1:23" ht="12.75" x14ac:dyDescent="0.2">
      <c r="A463" s="8"/>
      <c r="B463" s="8"/>
      <c r="C463" s="8"/>
      <c r="D463" s="8"/>
      <c r="E463" s="8"/>
      <c r="F463" s="8"/>
      <c r="G463" s="8"/>
      <c r="H463" s="8"/>
      <c r="I463" s="8"/>
      <c r="J463" s="8"/>
      <c r="K463" s="8"/>
      <c r="L463" s="8"/>
      <c r="M463" s="8"/>
      <c r="N463" s="8"/>
      <c r="O463" s="8"/>
      <c r="P463" s="8"/>
      <c r="Q463" s="8"/>
      <c r="R463" s="8"/>
      <c r="S463" s="8"/>
      <c r="T463" s="8"/>
      <c r="U463" s="8"/>
      <c r="V463" s="8"/>
      <c r="W463" s="8"/>
    </row>
    <row r="464" spans="1:23" ht="12.75" x14ac:dyDescent="0.2">
      <c r="A464" s="8"/>
      <c r="B464" s="8"/>
      <c r="C464" s="8"/>
      <c r="D464" s="8"/>
      <c r="E464" s="8"/>
      <c r="F464" s="8"/>
      <c r="G464" s="8"/>
      <c r="H464" s="8"/>
      <c r="I464" s="8"/>
      <c r="J464" s="8"/>
      <c r="K464" s="8"/>
      <c r="L464" s="8"/>
      <c r="M464" s="8"/>
      <c r="N464" s="8"/>
      <c r="O464" s="8"/>
      <c r="P464" s="8"/>
      <c r="Q464" s="8"/>
      <c r="R464" s="8"/>
      <c r="S464" s="8"/>
      <c r="T464" s="8"/>
      <c r="U464" s="8"/>
      <c r="V464" s="8"/>
      <c r="W464" s="8"/>
    </row>
    <row r="465" spans="1:23" ht="12.75" x14ac:dyDescent="0.2">
      <c r="A465" s="8"/>
      <c r="B465" s="8"/>
      <c r="C465" s="8"/>
      <c r="D465" s="8"/>
      <c r="E465" s="8"/>
      <c r="F465" s="8"/>
      <c r="G465" s="8"/>
      <c r="H465" s="8"/>
      <c r="I465" s="8"/>
      <c r="J465" s="8"/>
      <c r="K465" s="8"/>
      <c r="L465" s="8"/>
      <c r="M465" s="8"/>
      <c r="N465" s="8"/>
      <c r="O465" s="8"/>
      <c r="P465" s="8"/>
      <c r="Q465" s="8"/>
      <c r="R465" s="8"/>
      <c r="S465" s="8"/>
      <c r="T465" s="8"/>
      <c r="U465" s="8"/>
      <c r="V465" s="8"/>
      <c r="W465" s="8"/>
    </row>
    <row r="466" spans="1:23" ht="12.75" x14ac:dyDescent="0.2">
      <c r="A466" s="8"/>
      <c r="B466" s="8"/>
      <c r="C466" s="8"/>
      <c r="D466" s="8"/>
      <c r="E466" s="8"/>
      <c r="F466" s="8"/>
      <c r="G466" s="8"/>
      <c r="H466" s="8"/>
      <c r="I466" s="8"/>
      <c r="J466" s="8"/>
      <c r="K466" s="8"/>
      <c r="L466" s="8"/>
      <c r="M466" s="8"/>
      <c r="N466" s="8"/>
      <c r="O466" s="8"/>
      <c r="P466" s="8"/>
      <c r="Q466" s="8"/>
      <c r="R466" s="8"/>
      <c r="S466" s="8"/>
      <c r="T466" s="8"/>
      <c r="U466" s="8"/>
      <c r="V466" s="8"/>
      <c r="W466" s="8"/>
    </row>
    <row r="467" spans="1:23" ht="12.75" x14ac:dyDescent="0.2">
      <c r="A467" s="8"/>
      <c r="B467" s="8"/>
      <c r="C467" s="8"/>
      <c r="D467" s="8"/>
      <c r="E467" s="8"/>
      <c r="F467" s="8"/>
      <c r="G467" s="8"/>
      <c r="H467" s="8"/>
      <c r="I467" s="8"/>
      <c r="J467" s="8"/>
      <c r="K467" s="8"/>
      <c r="L467" s="8"/>
      <c r="M467" s="8"/>
      <c r="N467" s="8"/>
      <c r="O467" s="8"/>
      <c r="P467" s="8"/>
      <c r="Q467" s="8"/>
      <c r="R467" s="8"/>
      <c r="S467" s="8"/>
      <c r="T467" s="8"/>
      <c r="U467" s="8"/>
      <c r="V467" s="8"/>
      <c r="W467" s="8"/>
    </row>
    <row r="468" spans="1:23" ht="12.75" x14ac:dyDescent="0.2">
      <c r="A468" s="8"/>
      <c r="B468" s="8"/>
      <c r="C468" s="8"/>
      <c r="D468" s="8"/>
      <c r="E468" s="8"/>
      <c r="F468" s="8"/>
      <c r="G468" s="8"/>
      <c r="H468" s="8"/>
      <c r="I468" s="8"/>
      <c r="J468" s="8"/>
      <c r="K468" s="8"/>
      <c r="L468" s="8"/>
      <c r="M468" s="8"/>
      <c r="N468" s="8"/>
      <c r="O468" s="8"/>
      <c r="P468" s="8"/>
      <c r="Q468" s="8"/>
      <c r="R468" s="8"/>
      <c r="S468" s="8"/>
      <c r="T468" s="8"/>
      <c r="U468" s="8"/>
      <c r="V468" s="8"/>
      <c r="W468" s="8"/>
    </row>
    <row r="469" spans="1:23" ht="12.75" x14ac:dyDescent="0.2">
      <c r="A469" s="8"/>
      <c r="B469" s="8"/>
      <c r="C469" s="8"/>
      <c r="D469" s="8"/>
      <c r="E469" s="8"/>
      <c r="F469" s="8"/>
      <c r="G469" s="8"/>
      <c r="H469" s="8"/>
      <c r="I469" s="8"/>
      <c r="J469" s="8"/>
      <c r="K469" s="8"/>
      <c r="L469" s="8"/>
      <c r="M469" s="8"/>
      <c r="N469" s="8"/>
      <c r="O469" s="8"/>
      <c r="P469" s="8"/>
      <c r="Q469" s="8"/>
      <c r="R469" s="8"/>
      <c r="S469" s="8"/>
      <c r="T469" s="8"/>
      <c r="U469" s="8"/>
      <c r="V469" s="8"/>
      <c r="W469" s="8"/>
    </row>
    <row r="470" spans="1:23" ht="12.75" x14ac:dyDescent="0.2">
      <c r="A470" s="8"/>
      <c r="B470" s="8"/>
      <c r="C470" s="8"/>
      <c r="D470" s="8"/>
      <c r="E470" s="8"/>
      <c r="F470" s="8"/>
      <c r="G470" s="8"/>
      <c r="H470" s="8"/>
      <c r="I470" s="8"/>
      <c r="J470" s="8"/>
      <c r="K470" s="8"/>
      <c r="L470" s="8"/>
      <c r="M470" s="8"/>
      <c r="N470" s="8"/>
      <c r="O470" s="8"/>
      <c r="P470" s="8"/>
      <c r="Q470" s="8"/>
      <c r="R470" s="8"/>
      <c r="S470" s="8"/>
      <c r="T470" s="8"/>
      <c r="U470" s="8"/>
      <c r="V470" s="8"/>
      <c r="W470" s="8"/>
    </row>
    <row r="471" spans="1:23" ht="12.75" x14ac:dyDescent="0.2">
      <c r="A471" s="8"/>
      <c r="B471" s="8"/>
      <c r="C471" s="8"/>
      <c r="D471" s="8"/>
      <c r="E471" s="8"/>
      <c r="F471" s="8"/>
      <c r="G471" s="8"/>
      <c r="H471" s="8"/>
      <c r="I471" s="8"/>
      <c r="J471" s="8"/>
      <c r="K471" s="8"/>
      <c r="L471" s="8"/>
      <c r="M471" s="8"/>
      <c r="N471" s="8"/>
      <c r="O471" s="8"/>
      <c r="P471" s="8"/>
      <c r="Q471" s="8"/>
      <c r="R471" s="8"/>
      <c r="S471" s="8"/>
      <c r="T471" s="8"/>
      <c r="U471" s="8"/>
      <c r="V471" s="8"/>
      <c r="W471" s="8"/>
    </row>
    <row r="472" spans="1:23" ht="12.75" x14ac:dyDescent="0.2">
      <c r="A472" s="8"/>
      <c r="B472" s="8"/>
      <c r="C472" s="8"/>
      <c r="D472" s="8"/>
      <c r="E472" s="8"/>
      <c r="F472" s="8"/>
      <c r="G472" s="8"/>
      <c r="H472" s="8"/>
      <c r="I472" s="8"/>
      <c r="J472" s="8"/>
      <c r="K472" s="8"/>
      <c r="L472" s="8"/>
      <c r="M472" s="8"/>
      <c r="N472" s="8"/>
      <c r="O472" s="8"/>
      <c r="P472" s="8"/>
      <c r="Q472" s="8"/>
      <c r="R472" s="8"/>
      <c r="S472" s="8"/>
      <c r="T472" s="8"/>
      <c r="U472" s="8"/>
      <c r="V472" s="8"/>
      <c r="W472" s="8"/>
    </row>
    <row r="473" spans="1:23" ht="12.75" x14ac:dyDescent="0.2">
      <c r="A473" s="8"/>
      <c r="B473" s="8"/>
      <c r="C473" s="8"/>
      <c r="D473" s="8"/>
      <c r="E473" s="8"/>
      <c r="F473" s="8"/>
      <c r="G473" s="8"/>
      <c r="H473" s="8"/>
      <c r="I473" s="8"/>
      <c r="J473" s="8"/>
      <c r="K473" s="8"/>
      <c r="L473" s="8"/>
      <c r="M473" s="8"/>
      <c r="N473" s="8"/>
      <c r="O473" s="8"/>
      <c r="P473" s="8"/>
      <c r="Q473" s="8"/>
      <c r="R473" s="8"/>
      <c r="S473" s="8"/>
      <c r="T473" s="8"/>
      <c r="U473" s="8"/>
      <c r="V473" s="8"/>
      <c r="W473" s="8"/>
    </row>
    <row r="474" spans="1:23" ht="12.75" x14ac:dyDescent="0.2">
      <c r="A474" s="8"/>
      <c r="B474" s="8"/>
      <c r="C474" s="8"/>
      <c r="D474" s="8"/>
      <c r="E474" s="8"/>
      <c r="F474" s="8"/>
      <c r="G474" s="8"/>
      <c r="H474" s="8"/>
      <c r="I474" s="8"/>
      <c r="J474" s="8"/>
      <c r="K474" s="8"/>
      <c r="L474" s="8"/>
      <c r="M474" s="8"/>
      <c r="N474" s="8"/>
      <c r="O474" s="8"/>
      <c r="P474" s="8"/>
      <c r="Q474" s="8"/>
      <c r="R474" s="8"/>
      <c r="S474" s="8"/>
      <c r="T474" s="8"/>
      <c r="U474" s="8"/>
      <c r="V474" s="8"/>
      <c r="W474" s="8"/>
    </row>
    <row r="475" spans="1:23" ht="12.75" x14ac:dyDescent="0.2">
      <c r="A475" s="8"/>
      <c r="B475" s="8"/>
      <c r="C475" s="8"/>
      <c r="D475" s="8"/>
      <c r="E475" s="8"/>
      <c r="F475" s="8"/>
      <c r="G475" s="8"/>
      <c r="H475" s="8"/>
      <c r="I475" s="8"/>
      <c r="J475" s="8"/>
      <c r="K475" s="8"/>
      <c r="L475" s="8"/>
      <c r="M475" s="8"/>
      <c r="N475" s="8"/>
      <c r="O475" s="8"/>
      <c r="P475" s="8"/>
      <c r="Q475" s="8"/>
      <c r="R475" s="8"/>
      <c r="S475" s="8"/>
      <c r="T475" s="8"/>
      <c r="U475" s="8"/>
      <c r="V475" s="8"/>
      <c r="W475" s="8"/>
    </row>
    <row r="476" spans="1:23" ht="12.75" x14ac:dyDescent="0.2">
      <c r="A476" s="8"/>
      <c r="B476" s="8"/>
      <c r="C476" s="8"/>
      <c r="D476" s="8"/>
      <c r="E476" s="8"/>
      <c r="F476" s="8"/>
      <c r="G476" s="8"/>
      <c r="H476" s="8"/>
      <c r="I476" s="8"/>
      <c r="J476" s="8"/>
      <c r="K476" s="8"/>
      <c r="L476" s="8"/>
      <c r="M476" s="8"/>
      <c r="N476" s="8"/>
      <c r="O476" s="8"/>
      <c r="P476" s="8"/>
      <c r="Q476" s="8"/>
      <c r="R476" s="8"/>
      <c r="S476" s="8"/>
      <c r="T476" s="8"/>
      <c r="U476" s="8"/>
      <c r="V476" s="8"/>
      <c r="W476" s="8"/>
    </row>
    <row r="477" spans="1:23" ht="12.75" x14ac:dyDescent="0.2">
      <c r="A477" s="8"/>
      <c r="B477" s="8"/>
      <c r="C477" s="8"/>
      <c r="D477" s="8"/>
      <c r="E477" s="8"/>
      <c r="F477" s="8"/>
      <c r="G477" s="8"/>
      <c r="H477" s="8"/>
      <c r="I477" s="8"/>
      <c r="J477" s="8"/>
      <c r="K477" s="8"/>
      <c r="L477" s="8"/>
      <c r="M477" s="8"/>
      <c r="N477" s="8"/>
      <c r="O477" s="8"/>
      <c r="P477" s="8"/>
      <c r="Q477" s="8"/>
      <c r="R477" s="8"/>
      <c r="S477" s="8"/>
      <c r="T477" s="8"/>
      <c r="U477" s="8"/>
      <c r="V477" s="8"/>
      <c r="W477" s="8"/>
    </row>
    <row r="478" spans="1:23" ht="12.75" x14ac:dyDescent="0.2">
      <c r="A478" s="8"/>
      <c r="B478" s="8"/>
      <c r="C478" s="8"/>
      <c r="D478" s="8"/>
      <c r="E478" s="8"/>
      <c r="F478" s="8"/>
      <c r="G478" s="8"/>
      <c r="H478" s="8"/>
      <c r="I478" s="8"/>
      <c r="J478" s="8"/>
      <c r="K478" s="8"/>
      <c r="L478" s="8"/>
      <c r="M478" s="8"/>
      <c r="N478" s="8"/>
      <c r="O478" s="8"/>
      <c r="P478" s="8"/>
      <c r="Q478" s="8"/>
      <c r="R478" s="8"/>
      <c r="S478" s="8"/>
      <c r="T478" s="8"/>
      <c r="U478" s="8"/>
      <c r="V478" s="8"/>
      <c r="W478" s="8"/>
    </row>
    <row r="479" spans="1:23" ht="12.75" x14ac:dyDescent="0.2">
      <c r="A479" s="8"/>
      <c r="B479" s="8"/>
      <c r="C479" s="8"/>
      <c r="D479" s="8"/>
      <c r="E479" s="8"/>
      <c r="F479" s="8"/>
      <c r="G479" s="8"/>
      <c r="H479" s="8"/>
      <c r="I479" s="8"/>
      <c r="J479" s="8"/>
      <c r="K479" s="8"/>
      <c r="L479" s="8"/>
      <c r="M479" s="8"/>
      <c r="N479" s="8"/>
      <c r="O479" s="8"/>
      <c r="P479" s="8"/>
      <c r="Q479" s="8"/>
      <c r="R479" s="8"/>
      <c r="S479" s="8"/>
      <c r="T479" s="8"/>
      <c r="U479" s="8"/>
      <c r="V479" s="8"/>
      <c r="W479" s="8"/>
    </row>
    <row r="480" spans="1:23" ht="12.75" x14ac:dyDescent="0.2">
      <c r="A480" s="8"/>
      <c r="B480" s="8"/>
      <c r="C480" s="8"/>
      <c r="D480" s="8"/>
      <c r="E480" s="8"/>
      <c r="F480" s="8"/>
      <c r="G480" s="8"/>
      <c r="H480" s="8"/>
      <c r="I480" s="8"/>
      <c r="J480" s="8"/>
      <c r="K480" s="8"/>
      <c r="L480" s="8"/>
      <c r="M480" s="8"/>
      <c r="N480" s="8"/>
      <c r="O480" s="8"/>
      <c r="P480" s="8"/>
      <c r="Q480" s="8"/>
      <c r="R480" s="8"/>
      <c r="S480" s="8"/>
      <c r="T480" s="8"/>
      <c r="U480" s="8"/>
      <c r="V480" s="8"/>
      <c r="W480" s="8"/>
    </row>
    <row r="481" spans="1:23" ht="12.75" x14ac:dyDescent="0.2">
      <c r="A481" s="8"/>
      <c r="B481" s="8"/>
      <c r="C481" s="8"/>
      <c r="D481" s="8"/>
      <c r="E481" s="8"/>
      <c r="F481" s="8"/>
      <c r="G481" s="8"/>
      <c r="H481" s="8"/>
      <c r="I481" s="8"/>
      <c r="J481" s="8"/>
      <c r="K481" s="8"/>
      <c r="L481" s="8"/>
      <c r="M481" s="8"/>
      <c r="N481" s="8"/>
      <c r="O481" s="8"/>
      <c r="P481" s="8"/>
      <c r="Q481" s="8"/>
      <c r="R481" s="8"/>
      <c r="S481" s="8"/>
      <c r="T481" s="8"/>
      <c r="U481" s="8"/>
      <c r="V481" s="8"/>
      <c r="W481" s="8"/>
    </row>
    <row r="482" spans="1:23" ht="12.75" x14ac:dyDescent="0.2">
      <c r="A482" s="8"/>
      <c r="B482" s="8"/>
      <c r="C482" s="8"/>
      <c r="D482" s="8"/>
      <c r="E482" s="8"/>
      <c r="F482" s="8"/>
      <c r="G482" s="8"/>
      <c r="H482" s="8"/>
      <c r="I482" s="8"/>
      <c r="J482" s="8"/>
      <c r="K482" s="8"/>
      <c r="L482" s="8"/>
      <c r="M482" s="8"/>
      <c r="N482" s="8"/>
      <c r="O482" s="8"/>
      <c r="P482" s="8"/>
      <c r="Q482" s="8"/>
      <c r="R482" s="8"/>
      <c r="S482" s="8"/>
      <c r="T482" s="8"/>
      <c r="U482" s="8"/>
      <c r="V482" s="8"/>
      <c r="W482" s="8"/>
    </row>
    <row r="483" spans="1:23" ht="12.75" x14ac:dyDescent="0.2">
      <c r="A483" s="8"/>
      <c r="B483" s="8"/>
      <c r="C483" s="8"/>
      <c r="D483" s="8"/>
      <c r="E483" s="8"/>
      <c r="F483" s="8"/>
      <c r="G483" s="8"/>
      <c r="H483" s="8"/>
      <c r="I483" s="8"/>
      <c r="J483" s="8"/>
      <c r="K483" s="8"/>
      <c r="L483" s="8"/>
      <c r="M483" s="8"/>
      <c r="N483" s="8"/>
      <c r="O483" s="8"/>
      <c r="P483" s="8"/>
      <c r="Q483" s="8"/>
      <c r="R483" s="8"/>
      <c r="S483" s="8"/>
      <c r="T483" s="8"/>
      <c r="U483" s="8"/>
      <c r="V483" s="8"/>
      <c r="W483" s="8"/>
    </row>
    <row r="484" spans="1:23" ht="12.75" x14ac:dyDescent="0.2">
      <c r="A484" s="8"/>
      <c r="B484" s="8"/>
      <c r="C484" s="8"/>
      <c r="D484" s="8"/>
      <c r="E484" s="8"/>
      <c r="F484" s="8"/>
      <c r="G484" s="8"/>
      <c r="H484" s="8"/>
      <c r="I484" s="8"/>
      <c r="J484" s="8"/>
      <c r="K484" s="8"/>
      <c r="L484" s="8"/>
      <c r="M484" s="8"/>
      <c r="N484" s="8"/>
      <c r="O484" s="8"/>
      <c r="P484" s="8"/>
      <c r="Q484" s="8"/>
      <c r="R484" s="8"/>
      <c r="S484" s="8"/>
      <c r="T484" s="8"/>
      <c r="U484" s="8"/>
      <c r="V484" s="8"/>
      <c r="W484" s="8"/>
    </row>
    <row r="485" spans="1:23" ht="12.75" x14ac:dyDescent="0.2">
      <c r="A485" s="8"/>
      <c r="B485" s="8"/>
      <c r="C485" s="8"/>
      <c r="D485" s="8"/>
      <c r="E485" s="8"/>
      <c r="F485" s="8"/>
      <c r="G485" s="8"/>
      <c r="H485" s="8"/>
      <c r="I485" s="8"/>
      <c r="J485" s="8"/>
      <c r="K485" s="8"/>
      <c r="L485" s="8"/>
      <c r="M485" s="8"/>
      <c r="N485" s="8"/>
      <c r="O485" s="8"/>
      <c r="P485" s="8"/>
      <c r="Q485" s="8"/>
      <c r="R485" s="8"/>
      <c r="S485" s="8"/>
      <c r="T485" s="8"/>
      <c r="U485" s="8"/>
      <c r="V485" s="8"/>
      <c r="W485" s="8"/>
    </row>
    <row r="486" spans="1:23" ht="12.75" x14ac:dyDescent="0.2">
      <c r="A486" s="8"/>
      <c r="B486" s="8"/>
      <c r="C486" s="8"/>
      <c r="D486" s="8"/>
      <c r="E486" s="8"/>
      <c r="F486" s="8"/>
      <c r="G486" s="8"/>
      <c r="H486" s="8"/>
      <c r="I486" s="8"/>
      <c r="J486" s="8"/>
      <c r="K486" s="8"/>
      <c r="L486" s="8"/>
      <c r="M486" s="8"/>
      <c r="N486" s="8"/>
      <c r="O486" s="8"/>
      <c r="P486" s="8"/>
      <c r="Q486" s="8"/>
      <c r="R486" s="8"/>
      <c r="S486" s="8"/>
      <c r="T486" s="8"/>
      <c r="U486" s="8"/>
      <c r="V486" s="8"/>
      <c r="W486" s="8"/>
    </row>
    <row r="487" spans="1:23" ht="12.75" x14ac:dyDescent="0.2">
      <c r="A487" s="8"/>
      <c r="B487" s="8"/>
      <c r="C487" s="8"/>
      <c r="D487" s="8"/>
      <c r="E487" s="8"/>
      <c r="F487" s="8"/>
      <c r="G487" s="8"/>
      <c r="H487" s="8"/>
      <c r="I487" s="8"/>
      <c r="J487" s="8"/>
      <c r="K487" s="8"/>
      <c r="L487" s="8"/>
      <c r="M487" s="8"/>
      <c r="N487" s="8"/>
      <c r="O487" s="8"/>
      <c r="P487" s="8"/>
      <c r="Q487" s="8"/>
      <c r="R487" s="8"/>
      <c r="S487" s="8"/>
      <c r="T487" s="8"/>
      <c r="U487" s="8"/>
      <c r="V487" s="8"/>
      <c r="W487" s="8"/>
    </row>
    <row r="488" spans="1:23" ht="12.75" x14ac:dyDescent="0.2">
      <c r="A488" s="8"/>
      <c r="B488" s="8"/>
      <c r="C488" s="8"/>
      <c r="D488" s="8"/>
      <c r="E488" s="8"/>
      <c r="F488" s="8"/>
      <c r="G488" s="8"/>
      <c r="H488" s="8"/>
      <c r="I488" s="8"/>
      <c r="J488" s="8"/>
      <c r="K488" s="8"/>
      <c r="L488" s="8"/>
      <c r="M488" s="8"/>
      <c r="N488" s="8"/>
      <c r="O488" s="8"/>
      <c r="P488" s="8"/>
      <c r="Q488" s="8"/>
      <c r="R488" s="8"/>
      <c r="S488" s="8"/>
      <c r="T488" s="8"/>
      <c r="U488" s="8"/>
      <c r="V488" s="8"/>
      <c r="W488" s="8"/>
    </row>
    <row r="489" spans="1:23" ht="12.75" x14ac:dyDescent="0.2">
      <c r="A489" s="8"/>
      <c r="B489" s="8"/>
      <c r="C489" s="8"/>
      <c r="D489" s="8"/>
      <c r="E489" s="8"/>
      <c r="F489" s="8"/>
      <c r="G489" s="8"/>
      <c r="H489" s="8"/>
      <c r="I489" s="8"/>
      <c r="J489" s="8"/>
      <c r="K489" s="8"/>
      <c r="L489" s="8"/>
      <c r="M489" s="8"/>
      <c r="N489" s="8"/>
      <c r="O489" s="8"/>
      <c r="P489" s="8"/>
      <c r="Q489" s="8"/>
      <c r="R489" s="8"/>
      <c r="S489" s="8"/>
      <c r="T489" s="8"/>
      <c r="U489" s="8"/>
      <c r="V489" s="8"/>
      <c r="W489" s="8"/>
    </row>
    <row r="490" spans="1:23" ht="12.75" x14ac:dyDescent="0.2">
      <c r="A490" s="8"/>
      <c r="B490" s="8"/>
      <c r="C490" s="8"/>
      <c r="D490" s="8"/>
      <c r="E490" s="8"/>
      <c r="F490" s="8"/>
      <c r="G490" s="8"/>
      <c r="H490" s="8"/>
      <c r="I490" s="8"/>
      <c r="J490" s="8"/>
      <c r="K490" s="8"/>
      <c r="L490" s="8"/>
      <c r="M490" s="8"/>
      <c r="N490" s="8"/>
      <c r="O490" s="8"/>
      <c r="P490" s="8"/>
      <c r="Q490" s="8"/>
      <c r="R490" s="8"/>
      <c r="S490" s="8"/>
      <c r="T490" s="8"/>
      <c r="U490" s="8"/>
      <c r="V490" s="8"/>
      <c r="W490" s="8"/>
    </row>
    <row r="491" spans="1:23" ht="12.75" x14ac:dyDescent="0.2">
      <c r="A491" s="8"/>
      <c r="B491" s="8"/>
      <c r="C491" s="8"/>
      <c r="D491" s="8"/>
      <c r="E491" s="8"/>
      <c r="F491" s="8"/>
      <c r="G491" s="8"/>
      <c r="H491" s="8"/>
      <c r="I491" s="8"/>
      <c r="J491" s="8"/>
      <c r="K491" s="8"/>
      <c r="L491" s="8"/>
      <c r="M491" s="8"/>
      <c r="N491" s="8"/>
      <c r="O491" s="8"/>
      <c r="P491" s="8"/>
      <c r="Q491" s="8"/>
      <c r="R491" s="8"/>
      <c r="S491" s="8"/>
      <c r="T491" s="8"/>
      <c r="U491" s="8"/>
      <c r="V491" s="8"/>
      <c r="W491" s="8"/>
    </row>
    <row r="492" spans="1:23" ht="12.75" x14ac:dyDescent="0.2">
      <c r="A492" s="8"/>
      <c r="B492" s="8"/>
      <c r="C492" s="8"/>
      <c r="D492" s="8"/>
      <c r="E492" s="8"/>
      <c r="F492" s="8"/>
      <c r="G492" s="8"/>
      <c r="H492" s="8"/>
      <c r="I492" s="8"/>
      <c r="J492" s="8"/>
      <c r="K492" s="8"/>
      <c r="L492" s="8"/>
      <c r="M492" s="8"/>
      <c r="N492" s="8"/>
      <c r="O492" s="8"/>
      <c r="P492" s="8"/>
      <c r="Q492" s="8"/>
      <c r="R492" s="8"/>
      <c r="S492" s="8"/>
      <c r="T492" s="8"/>
      <c r="U492" s="8"/>
      <c r="V492" s="8"/>
      <c r="W492" s="8"/>
    </row>
    <row r="493" spans="1:23" ht="12.75" x14ac:dyDescent="0.2">
      <c r="A493" s="8"/>
      <c r="B493" s="8"/>
      <c r="C493" s="8"/>
      <c r="D493" s="8"/>
      <c r="E493" s="8"/>
      <c r="F493" s="8"/>
      <c r="G493" s="8"/>
      <c r="H493" s="8"/>
      <c r="I493" s="8"/>
      <c r="J493" s="8"/>
      <c r="K493" s="8"/>
      <c r="L493" s="8"/>
      <c r="M493" s="8"/>
      <c r="N493" s="8"/>
      <c r="O493" s="8"/>
      <c r="P493" s="8"/>
      <c r="Q493" s="8"/>
      <c r="R493" s="8"/>
      <c r="S493" s="8"/>
      <c r="T493" s="8"/>
      <c r="U493" s="8"/>
      <c r="V493" s="8"/>
      <c r="W493" s="8"/>
    </row>
    <row r="494" spans="1:23" ht="12.75" x14ac:dyDescent="0.2">
      <c r="A494" s="8"/>
      <c r="B494" s="8"/>
      <c r="C494" s="8"/>
      <c r="D494" s="8"/>
      <c r="E494" s="8"/>
      <c r="F494" s="8"/>
      <c r="G494" s="8"/>
      <c r="H494" s="8"/>
      <c r="I494" s="8"/>
      <c r="J494" s="8"/>
      <c r="K494" s="8"/>
      <c r="L494" s="8"/>
      <c r="M494" s="8"/>
      <c r="N494" s="8"/>
      <c r="O494" s="8"/>
      <c r="P494" s="8"/>
      <c r="Q494" s="8"/>
      <c r="R494" s="8"/>
      <c r="S494" s="8"/>
      <c r="T494" s="8"/>
      <c r="U494" s="8"/>
      <c r="V494" s="8"/>
      <c r="W494" s="8"/>
    </row>
    <row r="495" spans="1:23" ht="12.75" x14ac:dyDescent="0.2">
      <c r="A495" s="8"/>
      <c r="B495" s="8"/>
      <c r="C495" s="8"/>
      <c r="D495" s="8"/>
      <c r="E495" s="8"/>
      <c r="F495" s="8"/>
      <c r="G495" s="8"/>
      <c r="H495" s="8"/>
      <c r="I495" s="8"/>
      <c r="J495" s="8"/>
      <c r="K495" s="8"/>
      <c r="L495" s="8"/>
      <c r="M495" s="8"/>
      <c r="N495" s="8"/>
      <c r="O495" s="8"/>
      <c r="P495" s="8"/>
      <c r="Q495" s="8"/>
      <c r="R495" s="8"/>
      <c r="S495" s="8"/>
      <c r="T495" s="8"/>
      <c r="U495" s="8"/>
      <c r="V495" s="8"/>
      <c r="W495" s="8"/>
    </row>
    <row r="496" spans="1:23" ht="12.75" x14ac:dyDescent="0.2">
      <c r="A496" s="8"/>
      <c r="B496" s="8"/>
      <c r="C496" s="8"/>
      <c r="D496" s="8"/>
      <c r="E496" s="8"/>
      <c r="F496" s="8"/>
      <c r="G496" s="8"/>
      <c r="H496" s="8"/>
      <c r="I496" s="8"/>
      <c r="J496" s="8"/>
      <c r="K496" s="8"/>
      <c r="L496" s="8"/>
      <c r="M496" s="8"/>
      <c r="N496" s="8"/>
      <c r="O496" s="8"/>
      <c r="P496" s="8"/>
      <c r="Q496" s="8"/>
      <c r="R496" s="8"/>
      <c r="S496" s="8"/>
      <c r="T496" s="8"/>
      <c r="U496" s="8"/>
      <c r="V496" s="8"/>
      <c r="W496" s="8"/>
    </row>
    <row r="497" spans="1:23" ht="12.75" x14ac:dyDescent="0.2">
      <c r="A497" s="8"/>
      <c r="B497" s="8"/>
      <c r="C497" s="8"/>
      <c r="D497" s="8"/>
      <c r="E497" s="8"/>
      <c r="F497" s="8"/>
      <c r="G497" s="8"/>
      <c r="H497" s="8"/>
      <c r="I497" s="8"/>
      <c r="J497" s="8"/>
      <c r="K497" s="8"/>
      <c r="L497" s="8"/>
      <c r="M497" s="8"/>
      <c r="N497" s="8"/>
      <c r="O497" s="8"/>
      <c r="P497" s="8"/>
      <c r="Q497" s="8"/>
      <c r="R497" s="8"/>
      <c r="S497" s="8"/>
      <c r="T497" s="8"/>
      <c r="U497" s="8"/>
      <c r="V497" s="8"/>
      <c r="W497" s="8"/>
    </row>
    <row r="498" spans="1:23" ht="12.75" x14ac:dyDescent="0.2">
      <c r="A498" s="8"/>
      <c r="B498" s="8"/>
      <c r="C498" s="8"/>
      <c r="D498" s="8"/>
      <c r="E498" s="8"/>
      <c r="F498" s="8"/>
      <c r="G498" s="8"/>
      <c r="H498" s="8"/>
      <c r="I498" s="8"/>
      <c r="J498" s="8"/>
      <c r="K498" s="8"/>
      <c r="L498" s="8"/>
      <c r="M498" s="8"/>
      <c r="N498" s="8"/>
      <c r="O498" s="8"/>
      <c r="P498" s="8"/>
      <c r="Q498" s="8"/>
      <c r="R498" s="8"/>
      <c r="S498" s="8"/>
      <c r="T498" s="8"/>
      <c r="U498" s="8"/>
      <c r="V498" s="8"/>
      <c r="W498" s="8"/>
    </row>
    <row r="499" spans="1:23" ht="12.75" x14ac:dyDescent="0.2">
      <c r="A499" s="8"/>
      <c r="B499" s="8"/>
      <c r="C499" s="8"/>
      <c r="D499" s="8"/>
      <c r="E499" s="8"/>
      <c r="F499" s="8"/>
      <c r="G499" s="8"/>
      <c r="H499" s="8"/>
      <c r="I499" s="8"/>
      <c r="J499" s="8"/>
      <c r="K499" s="8"/>
      <c r="L499" s="8"/>
      <c r="M499" s="8"/>
      <c r="N499" s="8"/>
      <c r="O499" s="8"/>
      <c r="P499" s="8"/>
      <c r="Q499" s="8"/>
      <c r="R499" s="8"/>
      <c r="S499" s="8"/>
      <c r="T499" s="8"/>
      <c r="U499" s="8"/>
      <c r="V499" s="8"/>
      <c r="W499" s="8"/>
    </row>
    <row r="500" spans="1:23" ht="12.75" x14ac:dyDescent="0.2">
      <c r="A500" s="8"/>
      <c r="B500" s="8"/>
      <c r="C500" s="8"/>
      <c r="D500" s="8"/>
      <c r="E500" s="8"/>
      <c r="F500" s="8"/>
      <c r="G500" s="8"/>
      <c r="H500" s="8"/>
      <c r="I500" s="8"/>
      <c r="J500" s="8"/>
      <c r="K500" s="8"/>
      <c r="L500" s="8"/>
      <c r="M500" s="8"/>
      <c r="N500" s="8"/>
      <c r="O500" s="8"/>
      <c r="P500" s="8"/>
      <c r="Q500" s="8"/>
      <c r="R500" s="8"/>
      <c r="S500" s="8"/>
      <c r="T500" s="8"/>
      <c r="U500" s="8"/>
      <c r="V500" s="8"/>
      <c r="W500" s="8"/>
    </row>
    <row r="501" spans="1:23" ht="12.75" x14ac:dyDescent="0.2">
      <c r="A501" s="8"/>
      <c r="B501" s="8"/>
      <c r="C501" s="8"/>
      <c r="D501" s="8"/>
      <c r="E501" s="8"/>
      <c r="F501" s="8"/>
      <c r="G501" s="8"/>
      <c r="H501" s="8"/>
      <c r="I501" s="8"/>
      <c r="J501" s="8"/>
      <c r="K501" s="8"/>
      <c r="L501" s="8"/>
      <c r="M501" s="8"/>
      <c r="N501" s="8"/>
      <c r="O501" s="8"/>
      <c r="P501" s="8"/>
      <c r="Q501" s="8"/>
      <c r="R501" s="8"/>
      <c r="S501" s="8"/>
      <c r="T501" s="8"/>
      <c r="U501" s="8"/>
      <c r="V501" s="8"/>
      <c r="W501" s="8"/>
    </row>
    <row r="502" spans="1:23" ht="12.75" x14ac:dyDescent="0.2">
      <c r="A502" s="8"/>
      <c r="B502" s="8"/>
      <c r="C502" s="8"/>
      <c r="D502" s="8"/>
      <c r="E502" s="8"/>
      <c r="F502" s="8"/>
      <c r="G502" s="8"/>
      <c r="H502" s="8"/>
      <c r="I502" s="8"/>
      <c r="J502" s="8"/>
      <c r="K502" s="8"/>
      <c r="L502" s="8"/>
      <c r="M502" s="8"/>
      <c r="N502" s="8"/>
      <c r="O502" s="8"/>
      <c r="P502" s="8"/>
      <c r="Q502" s="8"/>
      <c r="R502" s="8"/>
      <c r="S502" s="8"/>
      <c r="T502" s="8"/>
      <c r="U502" s="8"/>
      <c r="V502" s="8"/>
      <c r="W502" s="8"/>
    </row>
    <row r="503" spans="1:23" ht="12.75" x14ac:dyDescent="0.2">
      <c r="A503" s="8"/>
      <c r="B503" s="8"/>
      <c r="C503" s="8"/>
      <c r="D503" s="8"/>
      <c r="E503" s="8"/>
      <c r="F503" s="8"/>
      <c r="G503" s="8"/>
      <c r="H503" s="8"/>
      <c r="I503" s="8"/>
      <c r="J503" s="8"/>
      <c r="K503" s="8"/>
      <c r="L503" s="8"/>
      <c r="M503" s="8"/>
      <c r="N503" s="8"/>
      <c r="O503" s="8"/>
      <c r="P503" s="8"/>
      <c r="Q503" s="8"/>
      <c r="R503" s="8"/>
      <c r="S503" s="8"/>
      <c r="T503" s="8"/>
      <c r="U503" s="8"/>
      <c r="V503" s="8"/>
      <c r="W503" s="8"/>
    </row>
    <row r="504" spans="1:23" ht="12.75" x14ac:dyDescent="0.2">
      <c r="A504" s="8"/>
      <c r="B504" s="8"/>
      <c r="C504" s="8"/>
      <c r="D504" s="8"/>
      <c r="E504" s="8"/>
      <c r="F504" s="8"/>
      <c r="G504" s="8"/>
      <c r="H504" s="8"/>
      <c r="I504" s="8"/>
      <c r="J504" s="8"/>
      <c r="K504" s="8"/>
      <c r="L504" s="8"/>
      <c r="M504" s="8"/>
      <c r="N504" s="8"/>
      <c r="O504" s="8"/>
      <c r="P504" s="8"/>
      <c r="Q504" s="8"/>
      <c r="R504" s="8"/>
      <c r="S504" s="8"/>
      <c r="T504" s="8"/>
      <c r="U504" s="8"/>
      <c r="V504" s="8"/>
      <c r="W504" s="8"/>
    </row>
    <row r="505" spans="1:23" ht="12.75" x14ac:dyDescent="0.2">
      <c r="A505" s="8"/>
      <c r="B505" s="8"/>
      <c r="C505" s="8"/>
      <c r="D505" s="8"/>
      <c r="E505" s="8"/>
      <c r="F505" s="8"/>
      <c r="G505" s="8"/>
      <c r="H505" s="8"/>
      <c r="I505" s="8"/>
      <c r="J505" s="8"/>
      <c r="K505" s="8"/>
      <c r="L505" s="8"/>
      <c r="M505" s="8"/>
      <c r="N505" s="8"/>
      <c r="O505" s="8"/>
      <c r="P505" s="8"/>
      <c r="Q505" s="8"/>
      <c r="R505" s="8"/>
      <c r="S505" s="8"/>
      <c r="T505" s="8"/>
      <c r="U505" s="8"/>
      <c r="V505" s="8"/>
      <c r="W505" s="8"/>
    </row>
    <row r="506" spans="1:23" ht="12.75" x14ac:dyDescent="0.2">
      <c r="A506" s="8"/>
      <c r="B506" s="8"/>
      <c r="C506" s="8"/>
      <c r="D506" s="8"/>
      <c r="E506" s="8"/>
      <c r="F506" s="8"/>
      <c r="G506" s="8"/>
      <c r="H506" s="8"/>
      <c r="I506" s="8"/>
      <c r="J506" s="8"/>
      <c r="K506" s="8"/>
      <c r="L506" s="8"/>
      <c r="M506" s="8"/>
      <c r="N506" s="8"/>
      <c r="O506" s="8"/>
      <c r="P506" s="8"/>
      <c r="Q506" s="8"/>
      <c r="R506" s="8"/>
      <c r="S506" s="8"/>
      <c r="T506" s="8"/>
      <c r="U506" s="8"/>
      <c r="V506" s="8"/>
      <c r="W506" s="8"/>
    </row>
    <row r="507" spans="1:23" ht="12.75" x14ac:dyDescent="0.2">
      <c r="A507" s="8"/>
      <c r="B507" s="8"/>
      <c r="C507" s="8"/>
      <c r="D507" s="8"/>
      <c r="E507" s="8"/>
      <c r="F507" s="8"/>
      <c r="G507" s="8"/>
      <c r="H507" s="8"/>
      <c r="I507" s="8"/>
      <c r="J507" s="8"/>
      <c r="K507" s="8"/>
      <c r="L507" s="8"/>
      <c r="M507" s="8"/>
      <c r="N507" s="8"/>
      <c r="O507" s="8"/>
      <c r="P507" s="8"/>
      <c r="Q507" s="8"/>
      <c r="R507" s="8"/>
      <c r="S507" s="8"/>
      <c r="T507" s="8"/>
      <c r="U507" s="8"/>
      <c r="V507" s="8"/>
      <c r="W507" s="8"/>
    </row>
    <row r="508" spans="1:23" ht="12.75" x14ac:dyDescent="0.2">
      <c r="A508" s="8"/>
      <c r="B508" s="8"/>
      <c r="C508" s="8"/>
      <c r="D508" s="8"/>
      <c r="E508" s="8"/>
      <c r="F508" s="8"/>
      <c r="G508" s="8"/>
      <c r="H508" s="8"/>
      <c r="I508" s="8"/>
      <c r="J508" s="8"/>
      <c r="K508" s="8"/>
      <c r="L508" s="8"/>
      <c r="M508" s="8"/>
      <c r="N508" s="8"/>
      <c r="O508" s="8"/>
      <c r="P508" s="8"/>
      <c r="Q508" s="8"/>
      <c r="R508" s="8"/>
      <c r="S508" s="8"/>
      <c r="T508" s="8"/>
      <c r="U508" s="8"/>
      <c r="V508" s="8"/>
      <c r="W508" s="8"/>
    </row>
    <row r="509" spans="1:23" ht="12.75" x14ac:dyDescent="0.2">
      <c r="A509" s="8"/>
      <c r="B509" s="8"/>
      <c r="C509" s="8"/>
      <c r="D509" s="8"/>
      <c r="E509" s="8"/>
      <c r="F509" s="8"/>
      <c r="G509" s="8"/>
      <c r="H509" s="8"/>
      <c r="I509" s="8"/>
      <c r="J509" s="8"/>
      <c r="K509" s="8"/>
      <c r="L509" s="8"/>
      <c r="M509" s="8"/>
      <c r="N509" s="8"/>
      <c r="O509" s="8"/>
      <c r="P509" s="8"/>
      <c r="Q509" s="8"/>
      <c r="R509" s="8"/>
      <c r="S509" s="8"/>
      <c r="T509" s="8"/>
      <c r="U509" s="8"/>
      <c r="V509" s="8"/>
      <c r="W509" s="8"/>
    </row>
    <row r="510" spans="1:23" ht="12.75" x14ac:dyDescent="0.2">
      <c r="A510" s="8"/>
      <c r="B510" s="8"/>
      <c r="C510" s="8"/>
      <c r="D510" s="8"/>
      <c r="E510" s="8"/>
      <c r="F510" s="8"/>
      <c r="G510" s="8"/>
      <c r="H510" s="8"/>
      <c r="I510" s="8"/>
      <c r="J510" s="8"/>
      <c r="K510" s="8"/>
      <c r="L510" s="8"/>
      <c r="M510" s="8"/>
      <c r="N510" s="8"/>
      <c r="O510" s="8"/>
      <c r="P510" s="8"/>
      <c r="Q510" s="8"/>
      <c r="R510" s="8"/>
      <c r="S510" s="8"/>
      <c r="T510" s="8"/>
      <c r="U510" s="8"/>
      <c r="V510" s="8"/>
      <c r="W510" s="8"/>
    </row>
    <row r="511" spans="1:23" ht="12.75" x14ac:dyDescent="0.2">
      <c r="A511" s="8"/>
      <c r="B511" s="8"/>
      <c r="C511" s="8"/>
      <c r="D511" s="8"/>
      <c r="E511" s="8"/>
      <c r="F511" s="8"/>
      <c r="G511" s="8"/>
      <c r="H511" s="8"/>
      <c r="I511" s="8"/>
      <c r="J511" s="8"/>
      <c r="K511" s="8"/>
      <c r="L511" s="8"/>
      <c r="M511" s="8"/>
      <c r="N511" s="8"/>
      <c r="O511" s="8"/>
      <c r="P511" s="8"/>
      <c r="Q511" s="8"/>
      <c r="R511" s="8"/>
      <c r="S511" s="8"/>
      <c r="T511" s="8"/>
      <c r="U511" s="8"/>
      <c r="V511" s="8"/>
      <c r="W511" s="8"/>
    </row>
    <row r="512" spans="1:23" ht="12.75" x14ac:dyDescent="0.2">
      <c r="A512" s="8"/>
      <c r="B512" s="8"/>
      <c r="C512" s="8"/>
      <c r="D512" s="8"/>
      <c r="E512" s="8"/>
      <c r="F512" s="8"/>
      <c r="G512" s="8"/>
      <c r="H512" s="8"/>
      <c r="I512" s="8"/>
      <c r="J512" s="8"/>
      <c r="K512" s="8"/>
      <c r="L512" s="8"/>
      <c r="M512" s="8"/>
      <c r="N512" s="8"/>
      <c r="O512" s="8"/>
      <c r="P512" s="8"/>
      <c r="Q512" s="8"/>
      <c r="R512" s="8"/>
      <c r="S512" s="8"/>
      <c r="T512" s="8"/>
      <c r="U512" s="8"/>
      <c r="V512" s="8"/>
      <c r="W512" s="8"/>
    </row>
    <row r="513" spans="1:23" ht="12.75" x14ac:dyDescent="0.2">
      <c r="A513" s="8"/>
      <c r="B513" s="8"/>
      <c r="C513" s="8"/>
      <c r="D513" s="8"/>
      <c r="E513" s="8"/>
      <c r="F513" s="8"/>
      <c r="G513" s="8"/>
      <c r="H513" s="8"/>
      <c r="I513" s="8"/>
      <c r="J513" s="8"/>
      <c r="K513" s="8"/>
      <c r="L513" s="8"/>
      <c r="M513" s="8"/>
      <c r="N513" s="8"/>
      <c r="O513" s="8"/>
      <c r="P513" s="8"/>
      <c r="Q513" s="8"/>
      <c r="R513" s="8"/>
      <c r="S513" s="8"/>
      <c r="T513" s="8"/>
      <c r="U513" s="8"/>
      <c r="V513" s="8"/>
      <c r="W513" s="8"/>
    </row>
    <row r="514" spans="1:23" ht="12.75" x14ac:dyDescent="0.2">
      <c r="A514" s="8"/>
      <c r="B514" s="8"/>
      <c r="C514" s="8"/>
      <c r="D514" s="8"/>
      <c r="E514" s="8"/>
      <c r="F514" s="8"/>
      <c r="G514" s="8"/>
      <c r="H514" s="8"/>
      <c r="I514" s="8"/>
      <c r="J514" s="8"/>
      <c r="K514" s="8"/>
      <c r="L514" s="8"/>
      <c r="M514" s="8"/>
      <c r="N514" s="8"/>
      <c r="O514" s="8"/>
      <c r="P514" s="8"/>
      <c r="Q514" s="8"/>
      <c r="R514" s="8"/>
      <c r="S514" s="8"/>
      <c r="T514" s="8"/>
      <c r="U514" s="8"/>
      <c r="V514" s="8"/>
      <c r="W514" s="8"/>
    </row>
    <row r="515" spans="1:23" ht="12.75" x14ac:dyDescent="0.2">
      <c r="A515" s="8"/>
      <c r="B515" s="8"/>
      <c r="C515" s="8"/>
      <c r="D515" s="8"/>
      <c r="E515" s="8"/>
      <c r="F515" s="8"/>
      <c r="G515" s="8"/>
      <c r="H515" s="8"/>
      <c r="I515" s="8"/>
      <c r="J515" s="8"/>
      <c r="K515" s="8"/>
      <c r="L515" s="8"/>
      <c r="M515" s="8"/>
      <c r="N515" s="8"/>
      <c r="O515" s="8"/>
      <c r="P515" s="8"/>
      <c r="Q515" s="8"/>
      <c r="R515" s="8"/>
      <c r="S515" s="8"/>
      <c r="T515" s="8"/>
      <c r="U515" s="8"/>
      <c r="V515" s="8"/>
      <c r="W515" s="8"/>
    </row>
    <row r="516" spans="1:23" ht="12.75" x14ac:dyDescent="0.2">
      <c r="A516" s="8"/>
      <c r="B516" s="8"/>
      <c r="C516" s="8"/>
      <c r="D516" s="8"/>
      <c r="E516" s="8"/>
      <c r="F516" s="8"/>
      <c r="G516" s="8"/>
      <c r="H516" s="8"/>
      <c r="I516" s="8"/>
      <c r="J516" s="8"/>
      <c r="K516" s="8"/>
      <c r="L516" s="8"/>
      <c r="M516" s="8"/>
      <c r="N516" s="8"/>
      <c r="O516" s="8"/>
      <c r="P516" s="8"/>
      <c r="Q516" s="8"/>
      <c r="R516" s="8"/>
      <c r="S516" s="8"/>
      <c r="T516" s="8"/>
      <c r="U516" s="8"/>
      <c r="V516" s="8"/>
      <c r="W516" s="8"/>
    </row>
    <row r="517" spans="1:23" ht="12.75" x14ac:dyDescent="0.2">
      <c r="A517" s="8"/>
      <c r="B517" s="8"/>
      <c r="C517" s="8"/>
      <c r="D517" s="8"/>
      <c r="E517" s="8"/>
      <c r="F517" s="8"/>
      <c r="G517" s="8"/>
      <c r="H517" s="8"/>
      <c r="I517" s="8"/>
      <c r="J517" s="8"/>
      <c r="K517" s="8"/>
      <c r="L517" s="8"/>
      <c r="M517" s="8"/>
      <c r="N517" s="8"/>
      <c r="O517" s="8"/>
      <c r="P517" s="8"/>
      <c r="Q517" s="8"/>
      <c r="R517" s="8"/>
      <c r="S517" s="8"/>
      <c r="T517" s="8"/>
      <c r="U517" s="8"/>
      <c r="V517" s="8"/>
      <c r="W517" s="8"/>
    </row>
    <row r="518" spans="1:23" ht="12.75" x14ac:dyDescent="0.2">
      <c r="A518" s="8"/>
      <c r="B518" s="8"/>
      <c r="C518" s="8"/>
      <c r="D518" s="8"/>
      <c r="E518" s="8"/>
      <c r="F518" s="8"/>
      <c r="G518" s="8"/>
      <c r="H518" s="8"/>
      <c r="I518" s="8"/>
      <c r="J518" s="8"/>
      <c r="K518" s="8"/>
      <c r="L518" s="8"/>
      <c r="M518" s="8"/>
      <c r="N518" s="8"/>
      <c r="O518" s="8"/>
      <c r="P518" s="8"/>
      <c r="Q518" s="8"/>
      <c r="R518" s="8"/>
      <c r="S518" s="8"/>
      <c r="T518" s="8"/>
      <c r="U518" s="8"/>
      <c r="V518" s="8"/>
      <c r="W518" s="8"/>
    </row>
    <row r="519" spans="1:23" ht="12.75" x14ac:dyDescent="0.2">
      <c r="A519" s="8"/>
      <c r="B519" s="8"/>
      <c r="C519" s="8"/>
      <c r="D519" s="8"/>
      <c r="E519" s="8"/>
      <c r="F519" s="8"/>
      <c r="G519" s="8"/>
      <c r="H519" s="8"/>
      <c r="I519" s="8"/>
      <c r="J519" s="8"/>
      <c r="K519" s="8"/>
      <c r="L519" s="8"/>
      <c r="M519" s="8"/>
      <c r="N519" s="8"/>
      <c r="O519" s="8"/>
      <c r="P519" s="8"/>
      <c r="Q519" s="8"/>
      <c r="R519" s="8"/>
      <c r="S519" s="8"/>
      <c r="T519" s="8"/>
      <c r="U519" s="8"/>
      <c r="V519" s="8"/>
      <c r="W519" s="8"/>
    </row>
    <row r="520" spans="1:23" ht="12.75" x14ac:dyDescent="0.2">
      <c r="A520" s="8"/>
      <c r="B520" s="8"/>
      <c r="C520" s="8"/>
      <c r="D520" s="8"/>
      <c r="E520" s="8"/>
      <c r="F520" s="8"/>
      <c r="G520" s="8"/>
      <c r="H520" s="8"/>
      <c r="I520" s="8"/>
      <c r="J520" s="8"/>
      <c r="K520" s="8"/>
      <c r="L520" s="8"/>
      <c r="M520" s="8"/>
      <c r="N520" s="8"/>
      <c r="O520" s="8"/>
      <c r="P520" s="8"/>
      <c r="Q520" s="8"/>
      <c r="R520" s="8"/>
      <c r="S520" s="8"/>
      <c r="T520" s="8"/>
      <c r="U520" s="8"/>
      <c r="V520" s="8"/>
      <c r="W520" s="8"/>
    </row>
    <row r="521" spans="1:23" ht="12.75" x14ac:dyDescent="0.2">
      <c r="A521" s="8"/>
      <c r="B521" s="8"/>
      <c r="C521" s="8"/>
      <c r="D521" s="8"/>
      <c r="E521" s="8"/>
      <c r="F521" s="8"/>
      <c r="G521" s="8"/>
      <c r="H521" s="8"/>
      <c r="I521" s="8"/>
      <c r="J521" s="8"/>
      <c r="K521" s="8"/>
      <c r="L521" s="8"/>
      <c r="M521" s="8"/>
      <c r="N521" s="8"/>
      <c r="O521" s="8"/>
      <c r="P521" s="8"/>
      <c r="Q521" s="8"/>
      <c r="R521" s="8"/>
      <c r="S521" s="8"/>
      <c r="T521" s="8"/>
      <c r="U521" s="8"/>
      <c r="V521" s="8"/>
      <c r="W521" s="8"/>
    </row>
    <row r="522" spans="1:23" ht="12.75" x14ac:dyDescent="0.2">
      <c r="A522" s="8"/>
      <c r="B522" s="8"/>
      <c r="C522" s="8"/>
      <c r="D522" s="8"/>
      <c r="E522" s="8"/>
      <c r="F522" s="8"/>
      <c r="G522" s="8"/>
      <c r="H522" s="8"/>
      <c r="I522" s="8"/>
      <c r="J522" s="8"/>
      <c r="K522" s="8"/>
      <c r="L522" s="8"/>
      <c r="M522" s="8"/>
      <c r="N522" s="8"/>
      <c r="O522" s="8"/>
      <c r="P522" s="8"/>
      <c r="Q522" s="8"/>
      <c r="R522" s="8"/>
      <c r="S522" s="8"/>
      <c r="T522" s="8"/>
      <c r="U522" s="8"/>
      <c r="V522" s="8"/>
      <c r="W522" s="8"/>
    </row>
    <row r="523" spans="1:23" ht="12.75" x14ac:dyDescent="0.2">
      <c r="A523" s="8"/>
      <c r="B523" s="8"/>
      <c r="C523" s="8"/>
      <c r="D523" s="8"/>
      <c r="E523" s="8"/>
      <c r="F523" s="8"/>
      <c r="G523" s="8"/>
      <c r="H523" s="8"/>
      <c r="I523" s="8"/>
      <c r="J523" s="8"/>
      <c r="K523" s="8"/>
      <c r="L523" s="8"/>
      <c r="M523" s="8"/>
      <c r="N523" s="8"/>
      <c r="O523" s="8"/>
      <c r="P523" s="8"/>
      <c r="Q523" s="8"/>
      <c r="R523" s="8"/>
      <c r="S523" s="8"/>
      <c r="T523" s="8"/>
      <c r="U523" s="8"/>
      <c r="V523" s="8"/>
      <c r="W523" s="8"/>
    </row>
    <row r="524" spans="1:23" ht="12.75" x14ac:dyDescent="0.2">
      <c r="A524" s="8"/>
      <c r="B524" s="8"/>
      <c r="C524" s="8"/>
      <c r="D524" s="8"/>
      <c r="E524" s="8"/>
      <c r="F524" s="8"/>
      <c r="G524" s="8"/>
      <c r="H524" s="8"/>
      <c r="I524" s="8"/>
      <c r="J524" s="8"/>
      <c r="K524" s="8"/>
      <c r="L524" s="8"/>
      <c r="M524" s="8"/>
      <c r="N524" s="8"/>
      <c r="O524" s="8"/>
      <c r="P524" s="8"/>
      <c r="Q524" s="8"/>
      <c r="R524" s="8"/>
      <c r="S524" s="8"/>
      <c r="T524" s="8"/>
      <c r="U524" s="8"/>
      <c r="V524" s="8"/>
      <c r="W524" s="8"/>
    </row>
    <row r="525" spans="1:23" ht="12.75" x14ac:dyDescent="0.2">
      <c r="A525" s="8"/>
      <c r="B525" s="8"/>
      <c r="C525" s="8"/>
      <c r="D525" s="8"/>
      <c r="E525" s="8"/>
      <c r="F525" s="8"/>
      <c r="G525" s="8"/>
      <c r="H525" s="8"/>
      <c r="I525" s="8"/>
      <c r="J525" s="8"/>
      <c r="K525" s="8"/>
      <c r="L525" s="8"/>
      <c r="M525" s="8"/>
      <c r="N525" s="8"/>
      <c r="O525" s="8"/>
      <c r="P525" s="8"/>
      <c r="Q525" s="8"/>
      <c r="R525" s="8"/>
      <c r="S525" s="8"/>
      <c r="T525" s="8"/>
      <c r="U525" s="8"/>
      <c r="V525" s="8"/>
      <c r="W525" s="8"/>
    </row>
    <row r="526" spans="1:23" ht="12.75" x14ac:dyDescent="0.2">
      <c r="A526" s="8"/>
      <c r="B526" s="8"/>
      <c r="C526" s="8"/>
      <c r="D526" s="8"/>
      <c r="E526" s="8"/>
      <c r="F526" s="8"/>
      <c r="G526" s="8"/>
      <c r="H526" s="8"/>
      <c r="I526" s="8"/>
      <c r="J526" s="8"/>
      <c r="K526" s="8"/>
      <c r="L526" s="8"/>
      <c r="M526" s="8"/>
      <c r="N526" s="8"/>
      <c r="O526" s="8"/>
      <c r="P526" s="8"/>
      <c r="Q526" s="8"/>
      <c r="R526" s="8"/>
      <c r="S526" s="8"/>
      <c r="T526" s="8"/>
      <c r="U526" s="8"/>
      <c r="V526" s="8"/>
      <c r="W526" s="8"/>
    </row>
    <row r="527" spans="1:23" ht="12.75" x14ac:dyDescent="0.2">
      <c r="A527" s="8"/>
      <c r="B527" s="8"/>
      <c r="C527" s="8"/>
      <c r="D527" s="8"/>
      <c r="E527" s="8"/>
      <c r="F527" s="8"/>
      <c r="G527" s="8"/>
      <c r="H527" s="8"/>
      <c r="I527" s="8"/>
      <c r="J527" s="8"/>
      <c r="K527" s="8"/>
      <c r="L527" s="8"/>
      <c r="M527" s="8"/>
      <c r="N527" s="8"/>
      <c r="O527" s="8"/>
      <c r="P527" s="8"/>
      <c r="Q527" s="8"/>
      <c r="R527" s="8"/>
      <c r="S527" s="8"/>
      <c r="T527" s="8"/>
      <c r="U527" s="8"/>
      <c r="V527" s="8"/>
      <c r="W527" s="8"/>
    </row>
    <row r="528" spans="1:23" ht="12.75" x14ac:dyDescent="0.2">
      <c r="A528" s="8"/>
      <c r="B528" s="8"/>
      <c r="C528" s="8"/>
      <c r="D528" s="8"/>
      <c r="E528" s="8"/>
      <c r="F528" s="8"/>
      <c r="G528" s="8"/>
      <c r="H528" s="8"/>
      <c r="I528" s="8"/>
      <c r="J528" s="8"/>
      <c r="K528" s="8"/>
      <c r="L528" s="8"/>
      <c r="M528" s="8"/>
      <c r="N528" s="8"/>
      <c r="O528" s="8"/>
      <c r="P528" s="8"/>
      <c r="Q528" s="8"/>
      <c r="R528" s="8"/>
      <c r="S528" s="8"/>
      <c r="T528" s="8"/>
      <c r="U528" s="8"/>
      <c r="V528" s="8"/>
      <c r="W528" s="8"/>
    </row>
    <row r="529" spans="1:23" ht="12.75" x14ac:dyDescent="0.2">
      <c r="A529" s="8"/>
      <c r="B529" s="8"/>
      <c r="C529" s="8"/>
      <c r="D529" s="8"/>
      <c r="E529" s="8"/>
      <c r="F529" s="8"/>
      <c r="G529" s="8"/>
      <c r="H529" s="8"/>
      <c r="I529" s="8"/>
      <c r="J529" s="8"/>
      <c r="K529" s="8"/>
      <c r="L529" s="8"/>
      <c r="M529" s="8"/>
      <c r="N529" s="8"/>
      <c r="O529" s="8"/>
      <c r="P529" s="8"/>
      <c r="Q529" s="8"/>
      <c r="R529" s="8"/>
      <c r="S529" s="8"/>
      <c r="T529" s="8"/>
      <c r="U529" s="8"/>
      <c r="V529" s="8"/>
      <c r="W529" s="8"/>
    </row>
    <row r="530" spans="1:23" ht="12.75" x14ac:dyDescent="0.2">
      <c r="A530" s="8"/>
      <c r="B530" s="8"/>
      <c r="C530" s="8"/>
      <c r="D530" s="8"/>
      <c r="E530" s="8"/>
      <c r="F530" s="8"/>
      <c r="G530" s="8"/>
      <c r="H530" s="8"/>
      <c r="I530" s="8"/>
      <c r="J530" s="8"/>
      <c r="K530" s="8"/>
      <c r="L530" s="8"/>
      <c r="M530" s="8"/>
      <c r="N530" s="8"/>
      <c r="O530" s="8"/>
      <c r="P530" s="8"/>
      <c r="Q530" s="8"/>
      <c r="R530" s="8"/>
      <c r="S530" s="8"/>
      <c r="T530" s="8"/>
      <c r="U530" s="8"/>
      <c r="V530" s="8"/>
      <c r="W530" s="8"/>
    </row>
    <row r="531" spans="1:23" ht="12.75" x14ac:dyDescent="0.2">
      <c r="A531" s="8"/>
      <c r="B531" s="8"/>
      <c r="C531" s="8"/>
      <c r="D531" s="8"/>
      <c r="E531" s="8"/>
      <c r="F531" s="8"/>
      <c r="G531" s="8"/>
      <c r="H531" s="8"/>
      <c r="I531" s="8"/>
      <c r="J531" s="8"/>
      <c r="K531" s="8"/>
      <c r="L531" s="8"/>
      <c r="M531" s="8"/>
      <c r="N531" s="8"/>
      <c r="O531" s="8"/>
      <c r="P531" s="8"/>
      <c r="Q531" s="8"/>
      <c r="R531" s="8"/>
      <c r="S531" s="8"/>
      <c r="T531" s="8"/>
      <c r="U531" s="8"/>
      <c r="V531" s="8"/>
      <c r="W531" s="8"/>
    </row>
    <row r="532" spans="1:23" ht="12.75" x14ac:dyDescent="0.2">
      <c r="A532" s="8"/>
      <c r="B532" s="8"/>
      <c r="C532" s="8"/>
      <c r="D532" s="8"/>
      <c r="E532" s="8"/>
      <c r="F532" s="8"/>
      <c r="G532" s="8"/>
      <c r="H532" s="8"/>
      <c r="I532" s="8"/>
      <c r="J532" s="8"/>
      <c r="K532" s="8"/>
      <c r="L532" s="8"/>
      <c r="M532" s="8"/>
      <c r="N532" s="8"/>
      <c r="O532" s="8"/>
      <c r="P532" s="8"/>
      <c r="Q532" s="8"/>
      <c r="R532" s="8"/>
      <c r="S532" s="8"/>
      <c r="T532" s="8"/>
      <c r="U532" s="8"/>
      <c r="V532" s="8"/>
      <c r="W532" s="8"/>
    </row>
    <row r="533" spans="1:23" ht="12.75" x14ac:dyDescent="0.2">
      <c r="A533" s="8"/>
      <c r="B533" s="8"/>
      <c r="C533" s="8"/>
      <c r="D533" s="8"/>
      <c r="E533" s="8"/>
      <c r="F533" s="8"/>
      <c r="G533" s="8"/>
      <c r="H533" s="8"/>
      <c r="I533" s="8"/>
      <c r="J533" s="8"/>
      <c r="K533" s="8"/>
      <c r="L533" s="8"/>
      <c r="M533" s="8"/>
      <c r="N533" s="8"/>
      <c r="O533" s="8"/>
      <c r="P533" s="8"/>
      <c r="Q533" s="8"/>
      <c r="R533" s="8"/>
      <c r="S533" s="8"/>
      <c r="T533" s="8"/>
      <c r="U533" s="8"/>
      <c r="V533" s="8"/>
      <c r="W533" s="8"/>
    </row>
    <row r="534" spans="1:23" ht="12.75" x14ac:dyDescent="0.2">
      <c r="A534" s="8"/>
      <c r="B534" s="8"/>
      <c r="C534" s="8"/>
      <c r="D534" s="8"/>
      <c r="E534" s="8"/>
      <c r="F534" s="8"/>
      <c r="G534" s="8"/>
      <c r="H534" s="8"/>
      <c r="I534" s="8"/>
      <c r="J534" s="8"/>
      <c r="K534" s="8"/>
      <c r="L534" s="8"/>
      <c r="M534" s="8"/>
      <c r="N534" s="8"/>
      <c r="O534" s="8"/>
      <c r="P534" s="8"/>
      <c r="Q534" s="8"/>
      <c r="R534" s="8"/>
      <c r="S534" s="8"/>
      <c r="T534" s="8"/>
      <c r="U534" s="8"/>
      <c r="V534" s="8"/>
      <c r="W534" s="8"/>
    </row>
    <row r="535" spans="1:23" ht="12.75" x14ac:dyDescent="0.2">
      <c r="A535" s="8"/>
      <c r="B535" s="8"/>
      <c r="C535" s="8"/>
      <c r="D535" s="8"/>
      <c r="E535" s="8"/>
      <c r="F535" s="8"/>
      <c r="G535" s="8"/>
      <c r="H535" s="8"/>
      <c r="I535" s="8"/>
      <c r="J535" s="8"/>
      <c r="K535" s="8"/>
      <c r="L535" s="8"/>
      <c r="M535" s="8"/>
      <c r="N535" s="8"/>
      <c r="O535" s="8"/>
      <c r="P535" s="8"/>
      <c r="Q535" s="8"/>
      <c r="R535" s="8"/>
      <c r="S535" s="8"/>
      <c r="T535" s="8"/>
      <c r="U535" s="8"/>
      <c r="V535" s="8"/>
      <c r="W535" s="8"/>
    </row>
    <row r="536" spans="1:23" ht="12.75" x14ac:dyDescent="0.2">
      <c r="A536" s="8"/>
      <c r="B536" s="8"/>
      <c r="C536" s="8"/>
      <c r="D536" s="8"/>
      <c r="E536" s="8"/>
      <c r="F536" s="8"/>
      <c r="G536" s="8"/>
      <c r="H536" s="8"/>
      <c r="I536" s="8"/>
      <c r="J536" s="8"/>
      <c r="K536" s="8"/>
      <c r="L536" s="8"/>
      <c r="M536" s="8"/>
      <c r="N536" s="8"/>
      <c r="O536" s="8"/>
      <c r="P536" s="8"/>
      <c r="Q536" s="8"/>
      <c r="R536" s="8"/>
      <c r="S536" s="8"/>
      <c r="T536" s="8"/>
      <c r="U536" s="8"/>
      <c r="V536" s="8"/>
      <c r="W536" s="8"/>
    </row>
    <row r="537" spans="1:23" ht="12.75" x14ac:dyDescent="0.2">
      <c r="A537" s="8"/>
      <c r="B537" s="8"/>
      <c r="C537" s="8"/>
      <c r="D537" s="8"/>
      <c r="E537" s="8"/>
      <c r="F537" s="8"/>
      <c r="G537" s="8"/>
      <c r="H537" s="8"/>
      <c r="I537" s="8"/>
      <c r="J537" s="8"/>
      <c r="K537" s="8"/>
      <c r="L537" s="8"/>
      <c r="M537" s="8"/>
      <c r="N537" s="8"/>
      <c r="O537" s="8"/>
      <c r="P537" s="8"/>
      <c r="Q537" s="8"/>
      <c r="R537" s="8"/>
      <c r="S537" s="8"/>
      <c r="T537" s="8"/>
      <c r="U537" s="8"/>
      <c r="V537" s="8"/>
      <c r="W537" s="8"/>
    </row>
    <row r="538" spans="1:23" ht="12.75" x14ac:dyDescent="0.2">
      <c r="A538" s="8"/>
      <c r="B538" s="8"/>
      <c r="C538" s="8"/>
      <c r="D538" s="8"/>
      <c r="E538" s="8"/>
      <c r="F538" s="8"/>
      <c r="G538" s="8"/>
      <c r="H538" s="8"/>
      <c r="I538" s="8"/>
      <c r="J538" s="8"/>
      <c r="K538" s="8"/>
      <c r="L538" s="8"/>
      <c r="M538" s="8"/>
      <c r="N538" s="8"/>
      <c r="O538" s="8"/>
      <c r="P538" s="8"/>
      <c r="Q538" s="8"/>
      <c r="R538" s="8"/>
      <c r="S538" s="8"/>
      <c r="T538" s="8"/>
      <c r="U538" s="8"/>
      <c r="V538" s="8"/>
      <c r="W538" s="8"/>
    </row>
    <row r="539" spans="1:23" ht="12.75" x14ac:dyDescent="0.2">
      <c r="A539" s="8"/>
      <c r="B539" s="8"/>
      <c r="C539" s="8"/>
      <c r="D539" s="8"/>
      <c r="E539" s="8"/>
      <c r="F539" s="8"/>
      <c r="G539" s="8"/>
      <c r="H539" s="8"/>
      <c r="I539" s="8"/>
      <c r="J539" s="8"/>
      <c r="K539" s="8"/>
      <c r="L539" s="8"/>
      <c r="M539" s="8"/>
      <c r="N539" s="8"/>
      <c r="O539" s="8"/>
      <c r="P539" s="8"/>
      <c r="Q539" s="8"/>
      <c r="R539" s="8"/>
      <c r="S539" s="8"/>
      <c r="T539" s="8"/>
      <c r="U539" s="8"/>
      <c r="V539" s="8"/>
      <c r="W539" s="8"/>
    </row>
    <row r="540" spans="1:23" ht="12.75" x14ac:dyDescent="0.2">
      <c r="A540" s="8"/>
      <c r="B540" s="8"/>
      <c r="C540" s="8"/>
      <c r="D540" s="8"/>
      <c r="E540" s="8"/>
      <c r="F540" s="8"/>
      <c r="G540" s="8"/>
      <c r="H540" s="8"/>
      <c r="I540" s="8"/>
      <c r="J540" s="8"/>
      <c r="K540" s="8"/>
      <c r="L540" s="8"/>
      <c r="M540" s="8"/>
      <c r="N540" s="8"/>
      <c r="O540" s="8"/>
      <c r="P540" s="8"/>
      <c r="Q540" s="8"/>
      <c r="R540" s="8"/>
      <c r="S540" s="8"/>
      <c r="T540" s="8"/>
      <c r="U540" s="8"/>
      <c r="V540" s="8"/>
      <c r="W540" s="8"/>
    </row>
    <row r="541" spans="1:23" ht="12.75" x14ac:dyDescent="0.2">
      <c r="A541" s="8"/>
      <c r="B541" s="8"/>
      <c r="C541" s="8"/>
      <c r="D541" s="8"/>
      <c r="E541" s="8"/>
      <c r="F541" s="8"/>
      <c r="G541" s="8"/>
      <c r="H541" s="8"/>
      <c r="I541" s="8"/>
      <c r="J541" s="8"/>
      <c r="K541" s="8"/>
      <c r="L541" s="8"/>
      <c r="M541" s="8"/>
      <c r="N541" s="8"/>
      <c r="O541" s="8"/>
      <c r="P541" s="8"/>
      <c r="Q541" s="8"/>
      <c r="R541" s="8"/>
      <c r="S541" s="8"/>
      <c r="T541" s="8"/>
      <c r="U541" s="8"/>
      <c r="V541" s="8"/>
      <c r="W541" s="8"/>
    </row>
    <row r="542" spans="1:23" ht="12.75" x14ac:dyDescent="0.2">
      <c r="A542" s="8"/>
      <c r="B542" s="8"/>
      <c r="C542" s="8"/>
      <c r="D542" s="8"/>
      <c r="E542" s="8"/>
      <c r="F542" s="8"/>
      <c r="G542" s="8"/>
      <c r="H542" s="8"/>
      <c r="I542" s="8"/>
      <c r="J542" s="8"/>
      <c r="K542" s="8"/>
      <c r="L542" s="8"/>
      <c r="M542" s="8"/>
      <c r="N542" s="8"/>
      <c r="O542" s="8"/>
      <c r="P542" s="8"/>
      <c r="Q542" s="8"/>
      <c r="R542" s="8"/>
      <c r="S542" s="8"/>
      <c r="T542" s="8"/>
      <c r="U542" s="8"/>
      <c r="V542" s="8"/>
      <c r="W542" s="8"/>
    </row>
    <row r="543" spans="1:23" ht="12.75" x14ac:dyDescent="0.2">
      <c r="A543" s="8"/>
      <c r="B543" s="8"/>
      <c r="C543" s="8"/>
      <c r="D543" s="8"/>
      <c r="E543" s="8"/>
      <c r="F543" s="8"/>
      <c r="G543" s="8"/>
      <c r="H543" s="8"/>
      <c r="I543" s="8"/>
      <c r="J543" s="8"/>
      <c r="K543" s="8"/>
      <c r="L543" s="8"/>
      <c r="M543" s="8"/>
      <c r="N543" s="8"/>
      <c r="O543" s="8"/>
      <c r="P543" s="8"/>
      <c r="Q543" s="8"/>
      <c r="R543" s="8"/>
      <c r="S543" s="8"/>
      <c r="T543" s="8"/>
      <c r="U543" s="8"/>
      <c r="V543" s="8"/>
      <c r="W543" s="8"/>
    </row>
    <row r="544" spans="1:23" ht="12.75" x14ac:dyDescent="0.2">
      <c r="A544" s="8"/>
      <c r="B544" s="8"/>
      <c r="C544" s="8"/>
      <c r="D544" s="8"/>
      <c r="E544" s="8"/>
      <c r="F544" s="8"/>
      <c r="G544" s="8"/>
      <c r="H544" s="8"/>
      <c r="I544" s="8"/>
      <c r="J544" s="8"/>
      <c r="K544" s="8"/>
      <c r="L544" s="8"/>
      <c r="M544" s="8"/>
      <c r="N544" s="8"/>
      <c r="O544" s="8"/>
      <c r="P544" s="8"/>
      <c r="Q544" s="8"/>
      <c r="R544" s="8"/>
      <c r="S544" s="8"/>
      <c r="T544" s="8"/>
      <c r="U544" s="8"/>
      <c r="V544" s="8"/>
      <c r="W544" s="8"/>
    </row>
    <row r="545" spans="1:23" ht="12.75" x14ac:dyDescent="0.2">
      <c r="A545" s="8"/>
      <c r="B545" s="8"/>
      <c r="C545" s="8"/>
      <c r="D545" s="8"/>
      <c r="E545" s="8"/>
      <c r="F545" s="8"/>
      <c r="G545" s="8"/>
      <c r="H545" s="8"/>
      <c r="I545" s="8"/>
      <c r="J545" s="8"/>
      <c r="K545" s="8"/>
      <c r="L545" s="8"/>
      <c r="M545" s="8"/>
      <c r="N545" s="8"/>
      <c r="O545" s="8"/>
      <c r="P545" s="8"/>
      <c r="Q545" s="8"/>
      <c r="R545" s="8"/>
      <c r="S545" s="8"/>
      <c r="T545" s="8"/>
      <c r="U545" s="8"/>
      <c r="V545" s="8"/>
      <c r="W545" s="8"/>
    </row>
    <row r="546" spans="1:23" ht="12.75" x14ac:dyDescent="0.2">
      <c r="A546" s="8"/>
      <c r="B546" s="8"/>
      <c r="C546" s="8"/>
      <c r="D546" s="8"/>
      <c r="E546" s="8"/>
      <c r="F546" s="8"/>
      <c r="G546" s="8"/>
      <c r="H546" s="8"/>
      <c r="I546" s="8"/>
      <c r="J546" s="8"/>
      <c r="K546" s="8"/>
      <c r="L546" s="8"/>
      <c r="M546" s="8"/>
      <c r="N546" s="8"/>
      <c r="O546" s="8"/>
      <c r="P546" s="8"/>
      <c r="Q546" s="8"/>
      <c r="R546" s="8"/>
      <c r="S546" s="8"/>
      <c r="T546" s="8"/>
      <c r="U546" s="8"/>
      <c r="V546" s="8"/>
      <c r="W546" s="8"/>
    </row>
    <row r="547" spans="1:23" ht="12.75" x14ac:dyDescent="0.2">
      <c r="A547" s="8"/>
      <c r="B547" s="8"/>
      <c r="C547" s="8"/>
      <c r="D547" s="8"/>
      <c r="E547" s="8"/>
      <c r="F547" s="8"/>
      <c r="G547" s="8"/>
      <c r="H547" s="8"/>
      <c r="I547" s="8"/>
      <c r="J547" s="8"/>
      <c r="K547" s="8"/>
      <c r="L547" s="8"/>
      <c r="M547" s="8"/>
      <c r="N547" s="8"/>
      <c r="O547" s="8"/>
      <c r="P547" s="8"/>
      <c r="Q547" s="8"/>
      <c r="R547" s="8"/>
      <c r="S547" s="8"/>
      <c r="T547" s="8"/>
      <c r="U547" s="8"/>
      <c r="V547" s="8"/>
      <c r="W547" s="8"/>
    </row>
    <row r="548" spans="1:23" ht="12.75" x14ac:dyDescent="0.2">
      <c r="A548" s="8"/>
      <c r="B548" s="8"/>
      <c r="C548" s="8"/>
      <c r="D548" s="8"/>
      <c r="E548" s="8"/>
      <c r="F548" s="8"/>
      <c r="G548" s="8"/>
      <c r="H548" s="8"/>
      <c r="I548" s="8"/>
      <c r="J548" s="8"/>
      <c r="K548" s="8"/>
      <c r="L548" s="8"/>
      <c r="M548" s="8"/>
      <c r="N548" s="8"/>
      <c r="O548" s="8"/>
      <c r="P548" s="8"/>
      <c r="Q548" s="8"/>
      <c r="R548" s="8"/>
      <c r="S548" s="8"/>
      <c r="T548" s="8"/>
      <c r="U548" s="8"/>
      <c r="V548" s="8"/>
      <c r="W548" s="8"/>
    </row>
    <row r="549" spans="1:23" ht="12.75" x14ac:dyDescent="0.2">
      <c r="A549" s="8"/>
      <c r="B549" s="8"/>
      <c r="C549" s="8"/>
      <c r="D549" s="8"/>
      <c r="E549" s="8"/>
      <c r="F549" s="8"/>
      <c r="G549" s="8"/>
      <c r="H549" s="8"/>
      <c r="I549" s="8"/>
      <c r="J549" s="8"/>
      <c r="K549" s="8"/>
      <c r="L549" s="8"/>
      <c r="M549" s="8"/>
      <c r="N549" s="8"/>
      <c r="O549" s="8"/>
      <c r="P549" s="8"/>
      <c r="Q549" s="8"/>
      <c r="R549" s="8"/>
      <c r="S549" s="8"/>
      <c r="T549" s="8"/>
      <c r="U549" s="8"/>
      <c r="V549" s="8"/>
      <c r="W549" s="8"/>
    </row>
    <row r="550" spans="1:23" ht="12.75" x14ac:dyDescent="0.2">
      <c r="A550" s="8"/>
      <c r="B550" s="8"/>
      <c r="C550" s="8"/>
      <c r="D550" s="8"/>
      <c r="E550" s="8"/>
      <c r="F550" s="8"/>
      <c r="G550" s="8"/>
      <c r="H550" s="8"/>
      <c r="I550" s="8"/>
      <c r="J550" s="8"/>
      <c r="K550" s="8"/>
      <c r="L550" s="8"/>
      <c r="M550" s="8"/>
      <c r="N550" s="8"/>
      <c r="O550" s="8"/>
      <c r="P550" s="8"/>
      <c r="Q550" s="8"/>
      <c r="R550" s="8"/>
      <c r="S550" s="8"/>
      <c r="T550" s="8"/>
      <c r="U550" s="8"/>
      <c r="V550" s="8"/>
      <c r="W550" s="8"/>
    </row>
    <row r="551" spans="1:23" ht="12.75" x14ac:dyDescent="0.2">
      <c r="A551" s="8"/>
      <c r="B551" s="8"/>
      <c r="C551" s="8"/>
      <c r="D551" s="8"/>
      <c r="E551" s="8"/>
      <c r="F551" s="8"/>
      <c r="G551" s="8"/>
      <c r="H551" s="8"/>
      <c r="I551" s="8"/>
      <c r="J551" s="8"/>
      <c r="K551" s="8"/>
      <c r="L551" s="8"/>
      <c r="M551" s="8"/>
      <c r="N551" s="8"/>
      <c r="O551" s="8"/>
      <c r="P551" s="8"/>
      <c r="Q551" s="8"/>
      <c r="R551" s="8"/>
      <c r="S551" s="8"/>
      <c r="T551" s="8"/>
      <c r="U551" s="8"/>
      <c r="V551" s="8"/>
      <c r="W551" s="8"/>
    </row>
    <row r="552" spans="1:23" ht="12.75" x14ac:dyDescent="0.2">
      <c r="A552" s="8"/>
      <c r="B552" s="8"/>
      <c r="C552" s="8"/>
      <c r="D552" s="8"/>
      <c r="E552" s="8"/>
      <c r="F552" s="8"/>
      <c r="G552" s="8"/>
      <c r="H552" s="8"/>
      <c r="I552" s="8"/>
      <c r="J552" s="8"/>
      <c r="K552" s="8"/>
      <c r="L552" s="8"/>
      <c r="M552" s="8"/>
      <c r="N552" s="8"/>
      <c r="O552" s="8"/>
      <c r="P552" s="8"/>
      <c r="Q552" s="8"/>
      <c r="R552" s="8"/>
      <c r="S552" s="8"/>
      <c r="T552" s="8"/>
      <c r="U552" s="8"/>
      <c r="V552" s="8"/>
      <c r="W552" s="8"/>
    </row>
    <row r="553" spans="1:23" ht="12.75" x14ac:dyDescent="0.2">
      <c r="A553" s="8"/>
      <c r="B553" s="8"/>
      <c r="C553" s="8"/>
      <c r="D553" s="8"/>
      <c r="E553" s="8"/>
      <c r="F553" s="8"/>
      <c r="G553" s="8"/>
      <c r="H553" s="8"/>
      <c r="I553" s="8"/>
      <c r="J553" s="8"/>
      <c r="K553" s="8"/>
      <c r="L553" s="8"/>
      <c r="M553" s="8"/>
      <c r="N553" s="8"/>
      <c r="O553" s="8"/>
      <c r="P553" s="8"/>
      <c r="Q553" s="8"/>
      <c r="R553" s="8"/>
      <c r="S553" s="8"/>
      <c r="T553" s="8"/>
      <c r="U553" s="8"/>
      <c r="V553" s="8"/>
      <c r="W553" s="8"/>
    </row>
    <row r="554" spans="1:23" ht="12.75" x14ac:dyDescent="0.2">
      <c r="A554" s="8"/>
      <c r="B554" s="8"/>
      <c r="C554" s="8"/>
      <c r="D554" s="8"/>
      <c r="E554" s="8"/>
      <c r="F554" s="8"/>
      <c r="G554" s="8"/>
      <c r="H554" s="8"/>
      <c r="I554" s="8"/>
      <c r="J554" s="8"/>
      <c r="K554" s="8"/>
      <c r="L554" s="8"/>
      <c r="M554" s="8"/>
      <c r="N554" s="8"/>
      <c r="O554" s="8"/>
      <c r="P554" s="8"/>
      <c r="Q554" s="8"/>
      <c r="R554" s="8"/>
      <c r="S554" s="8"/>
      <c r="T554" s="8"/>
      <c r="U554" s="8"/>
      <c r="V554" s="8"/>
      <c r="W554" s="8"/>
    </row>
    <row r="555" spans="1:23" ht="12.75" x14ac:dyDescent="0.2">
      <c r="A555" s="8"/>
      <c r="B555" s="8"/>
      <c r="C555" s="8"/>
      <c r="D555" s="8"/>
      <c r="E555" s="8"/>
      <c r="F555" s="8"/>
      <c r="G555" s="8"/>
      <c r="H555" s="8"/>
      <c r="I555" s="8"/>
      <c r="J555" s="8"/>
      <c r="K555" s="8"/>
      <c r="L555" s="8"/>
      <c r="M555" s="8"/>
      <c r="N555" s="8"/>
      <c r="O555" s="8"/>
      <c r="P555" s="8"/>
      <c r="Q555" s="8"/>
      <c r="R555" s="8"/>
      <c r="S555" s="8"/>
      <c r="T555" s="8"/>
      <c r="U555" s="8"/>
      <c r="V555" s="8"/>
      <c r="W555" s="8"/>
    </row>
    <row r="556" spans="1:23" ht="12.75" x14ac:dyDescent="0.2">
      <c r="A556" s="8"/>
      <c r="B556" s="8"/>
      <c r="C556" s="8"/>
      <c r="D556" s="8"/>
      <c r="E556" s="8"/>
      <c r="F556" s="8"/>
      <c r="G556" s="8"/>
      <c r="H556" s="8"/>
      <c r="I556" s="8"/>
      <c r="J556" s="8"/>
      <c r="K556" s="8"/>
      <c r="L556" s="8"/>
      <c r="M556" s="8"/>
      <c r="N556" s="8"/>
      <c r="O556" s="8"/>
      <c r="P556" s="8"/>
      <c r="Q556" s="8"/>
      <c r="R556" s="8"/>
      <c r="S556" s="8"/>
      <c r="T556" s="8"/>
      <c r="U556" s="8"/>
      <c r="V556" s="8"/>
      <c r="W556" s="8"/>
    </row>
    <row r="557" spans="1:23" ht="12.75" x14ac:dyDescent="0.2">
      <c r="A557" s="8"/>
      <c r="B557" s="8"/>
      <c r="C557" s="8"/>
      <c r="D557" s="8"/>
      <c r="E557" s="8"/>
      <c r="F557" s="8"/>
      <c r="G557" s="8"/>
      <c r="H557" s="8"/>
      <c r="I557" s="8"/>
      <c r="J557" s="8"/>
      <c r="K557" s="8"/>
      <c r="L557" s="8"/>
      <c r="M557" s="8"/>
      <c r="N557" s="8"/>
      <c r="O557" s="8"/>
      <c r="P557" s="8"/>
      <c r="Q557" s="8"/>
      <c r="R557" s="8"/>
      <c r="S557" s="8"/>
      <c r="T557" s="8"/>
      <c r="U557" s="8"/>
      <c r="V557" s="8"/>
      <c r="W557" s="8"/>
    </row>
    <row r="558" spans="1:23" ht="12.75" x14ac:dyDescent="0.2">
      <c r="A558" s="8"/>
      <c r="B558" s="8"/>
      <c r="C558" s="8"/>
      <c r="D558" s="8"/>
      <c r="E558" s="8"/>
      <c r="F558" s="8"/>
      <c r="G558" s="8"/>
      <c r="H558" s="8"/>
      <c r="I558" s="8"/>
      <c r="J558" s="8"/>
      <c r="K558" s="8"/>
      <c r="L558" s="8"/>
      <c r="M558" s="8"/>
      <c r="N558" s="8"/>
      <c r="O558" s="8"/>
      <c r="P558" s="8"/>
      <c r="Q558" s="8"/>
      <c r="R558" s="8"/>
      <c r="S558" s="8"/>
      <c r="T558" s="8"/>
      <c r="U558" s="8"/>
      <c r="V558" s="8"/>
      <c r="W558" s="8"/>
    </row>
    <row r="559" spans="1:23" ht="12.75" x14ac:dyDescent="0.2">
      <c r="A559" s="8"/>
      <c r="B559" s="8"/>
      <c r="C559" s="8"/>
      <c r="D559" s="8"/>
      <c r="E559" s="8"/>
      <c r="F559" s="8"/>
      <c r="G559" s="8"/>
      <c r="H559" s="8"/>
      <c r="I559" s="8"/>
      <c r="J559" s="8"/>
      <c r="K559" s="8"/>
      <c r="L559" s="8"/>
      <c r="M559" s="8"/>
      <c r="N559" s="8"/>
      <c r="O559" s="8"/>
      <c r="P559" s="8"/>
      <c r="Q559" s="8"/>
      <c r="R559" s="8"/>
      <c r="S559" s="8"/>
      <c r="T559" s="8"/>
      <c r="U559" s="8"/>
      <c r="V559" s="8"/>
      <c r="W559" s="8"/>
    </row>
    <row r="560" spans="1:23" ht="12.75" x14ac:dyDescent="0.2">
      <c r="A560" s="8"/>
      <c r="B560" s="8"/>
      <c r="C560" s="8"/>
      <c r="D560" s="8"/>
      <c r="E560" s="8"/>
      <c r="F560" s="8"/>
      <c r="G560" s="8"/>
      <c r="H560" s="8"/>
      <c r="I560" s="8"/>
      <c r="J560" s="8"/>
      <c r="K560" s="8"/>
      <c r="L560" s="8"/>
      <c r="M560" s="8"/>
      <c r="N560" s="8"/>
      <c r="O560" s="8"/>
      <c r="P560" s="8"/>
      <c r="Q560" s="8"/>
      <c r="R560" s="8"/>
      <c r="S560" s="8"/>
      <c r="T560" s="8"/>
      <c r="U560" s="8"/>
      <c r="V560" s="8"/>
      <c r="W560" s="8"/>
    </row>
    <row r="561" spans="1:23" ht="12.75" x14ac:dyDescent="0.2">
      <c r="A561" s="8"/>
      <c r="B561" s="8"/>
      <c r="C561" s="8"/>
      <c r="D561" s="8"/>
      <c r="E561" s="8"/>
      <c r="F561" s="8"/>
      <c r="G561" s="8"/>
      <c r="H561" s="8"/>
      <c r="I561" s="8"/>
      <c r="J561" s="8"/>
      <c r="K561" s="8"/>
      <c r="L561" s="8"/>
      <c r="M561" s="8"/>
      <c r="N561" s="8"/>
      <c r="O561" s="8"/>
      <c r="P561" s="8"/>
      <c r="Q561" s="8"/>
      <c r="R561" s="8"/>
      <c r="S561" s="8"/>
      <c r="T561" s="8"/>
      <c r="U561" s="8"/>
      <c r="V561" s="8"/>
      <c r="W561" s="8"/>
    </row>
    <row r="562" spans="1:23" ht="12.75" x14ac:dyDescent="0.2">
      <c r="A562" s="8"/>
      <c r="B562" s="8"/>
      <c r="C562" s="8"/>
      <c r="D562" s="8"/>
      <c r="E562" s="8"/>
      <c r="F562" s="8"/>
      <c r="G562" s="8"/>
      <c r="H562" s="8"/>
      <c r="I562" s="8"/>
      <c r="J562" s="8"/>
      <c r="K562" s="8"/>
      <c r="L562" s="8"/>
      <c r="M562" s="8"/>
      <c r="N562" s="8"/>
      <c r="O562" s="8"/>
      <c r="P562" s="8"/>
      <c r="Q562" s="8"/>
      <c r="R562" s="8"/>
      <c r="S562" s="8"/>
      <c r="T562" s="8"/>
      <c r="U562" s="8"/>
      <c r="V562" s="8"/>
      <c r="W562" s="8"/>
    </row>
    <row r="563" spans="1:23" ht="12.75" x14ac:dyDescent="0.2">
      <c r="A563" s="8"/>
      <c r="B563" s="8"/>
      <c r="C563" s="8"/>
      <c r="D563" s="8"/>
      <c r="E563" s="8"/>
      <c r="F563" s="8"/>
      <c r="G563" s="8"/>
      <c r="H563" s="8"/>
      <c r="I563" s="8"/>
      <c r="J563" s="8"/>
      <c r="K563" s="8"/>
      <c r="L563" s="8"/>
      <c r="M563" s="8"/>
      <c r="N563" s="8"/>
      <c r="O563" s="8"/>
      <c r="P563" s="8"/>
      <c r="Q563" s="8"/>
      <c r="R563" s="8"/>
      <c r="S563" s="8"/>
      <c r="T563" s="8"/>
      <c r="U563" s="8"/>
      <c r="V563" s="8"/>
      <c r="W563" s="8"/>
    </row>
    <row r="564" spans="1:23" ht="12.75" x14ac:dyDescent="0.2">
      <c r="A564" s="8"/>
      <c r="B564" s="8"/>
      <c r="C564" s="8"/>
      <c r="D564" s="8"/>
      <c r="E564" s="8"/>
      <c r="F564" s="8"/>
      <c r="G564" s="8"/>
      <c r="H564" s="8"/>
      <c r="I564" s="8"/>
      <c r="J564" s="8"/>
      <c r="K564" s="8"/>
      <c r="L564" s="8"/>
      <c r="M564" s="8"/>
      <c r="N564" s="8"/>
      <c r="O564" s="8"/>
      <c r="P564" s="8"/>
      <c r="Q564" s="8"/>
      <c r="R564" s="8"/>
      <c r="S564" s="8"/>
      <c r="T564" s="8"/>
      <c r="U564" s="8"/>
      <c r="V564" s="8"/>
      <c r="W564" s="8"/>
    </row>
    <row r="565" spans="1:23" ht="12.75" x14ac:dyDescent="0.2">
      <c r="A565" s="8"/>
      <c r="B565" s="8"/>
      <c r="C565" s="8"/>
      <c r="D565" s="8"/>
      <c r="E565" s="8"/>
      <c r="F565" s="8"/>
      <c r="G565" s="8"/>
      <c r="H565" s="8"/>
      <c r="I565" s="8"/>
      <c r="J565" s="8"/>
      <c r="K565" s="8"/>
      <c r="L565" s="8"/>
      <c r="M565" s="8"/>
      <c r="N565" s="8"/>
      <c r="O565" s="8"/>
      <c r="P565" s="8"/>
      <c r="Q565" s="8"/>
      <c r="R565" s="8"/>
      <c r="S565" s="8"/>
      <c r="T565" s="8"/>
      <c r="U565" s="8"/>
      <c r="V565" s="8"/>
      <c r="W565" s="8"/>
    </row>
    <row r="566" spans="1:23" ht="12.75" x14ac:dyDescent="0.2">
      <c r="A566" s="8"/>
      <c r="B566" s="8"/>
      <c r="C566" s="8"/>
      <c r="D566" s="8"/>
      <c r="E566" s="8"/>
      <c r="F566" s="8"/>
      <c r="G566" s="8"/>
      <c r="H566" s="8"/>
      <c r="I566" s="8"/>
      <c r="J566" s="8"/>
      <c r="K566" s="8"/>
      <c r="L566" s="8"/>
      <c r="M566" s="8"/>
      <c r="N566" s="8"/>
      <c r="O566" s="8"/>
      <c r="P566" s="8"/>
      <c r="Q566" s="8"/>
      <c r="R566" s="8"/>
      <c r="S566" s="8"/>
      <c r="T566" s="8"/>
      <c r="U566" s="8"/>
      <c r="V566" s="8"/>
      <c r="W566" s="8"/>
    </row>
    <row r="567" spans="1:23" ht="12.75" x14ac:dyDescent="0.2">
      <c r="A567" s="8"/>
      <c r="B567" s="8"/>
      <c r="C567" s="8"/>
      <c r="D567" s="8"/>
      <c r="E567" s="8"/>
      <c r="F567" s="8"/>
      <c r="G567" s="8"/>
      <c r="H567" s="8"/>
      <c r="I567" s="8"/>
      <c r="J567" s="8"/>
      <c r="K567" s="8"/>
      <c r="L567" s="8"/>
      <c r="M567" s="8"/>
      <c r="N567" s="8"/>
      <c r="O567" s="8"/>
      <c r="P567" s="8"/>
      <c r="Q567" s="8"/>
      <c r="R567" s="8"/>
      <c r="S567" s="8"/>
      <c r="T567" s="8"/>
      <c r="U567" s="8"/>
      <c r="V567" s="8"/>
      <c r="W567" s="8"/>
    </row>
    <row r="568" spans="1:23" ht="12.75" x14ac:dyDescent="0.2">
      <c r="A568" s="8"/>
      <c r="B568" s="8"/>
      <c r="C568" s="8"/>
      <c r="D568" s="8"/>
      <c r="E568" s="8"/>
      <c r="F568" s="8"/>
      <c r="G568" s="8"/>
      <c r="H568" s="8"/>
      <c r="I568" s="8"/>
      <c r="J568" s="8"/>
      <c r="K568" s="8"/>
      <c r="L568" s="8"/>
      <c r="M568" s="8"/>
      <c r="N568" s="8"/>
      <c r="O568" s="8"/>
      <c r="P568" s="8"/>
      <c r="Q568" s="8"/>
      <c r="R568" s="8"/>
      <c r="S568" s="8"/>
      <c r="T568" s="8"/>
      <c r="U568" s="8"/>
      <c r="V568" s="8"/>
      <c r="W568" s="8"/>
    </row>
    <row r="569" spans="1:23" ht="12.75" x14ac:dyDescent="0.2">
      <c r="A569" s="8"/>
      <c r="B569" s="8"/>
      <c r="C569" s="8"/>
      <c r="D569" s="8"/>
      <c r="E569" s="8"/>
      <c r="F569" s="8"/>
      <c r="G569" s="8"/>
      <c r="H569" s="8"/>
      <c r="I569" s="8"/>
      <c r="J569" s="8"/>
      <c r="K569" s="8"/>
      <c r="L569" s="8"/>
      <c r="M569" s="8"/>
      <c r="N569" s="8"/>
      <c r="O569" s="8"/>
      <c r="P569" s="8"/>
      <c r="Q569" s="8"/>
      <c r="R569" s="8"/>
      <c r="S569" s="8"/>
      <c r="T569" s="8"/>
      <c r="U569" s="8"/>
      <c r="V569" s="8"/>
      <c r="W569" s="8"/>
    </row>
    <row r="570" spans="1:23" ht="12.75" x14ac:dyDescent="0.2">
      <c r="A570" s="8"/>
      <c r="B570" s="8"/>
      <c r="C570" s="8"/>
      <c r="D570" s="8"/>
      <c r="E570" s="8"/>
      <c r="F570" s="8"/>
      <c r="G570" s="8"/>
      <c r="H570" s="8"/>
      <c r="I570" s="8"/>
      <c r="J570" s="8"/>
      <c r="K570" s="8"/>
      <c r="L570" s="8"/>
      <c r="M570" s="8"/>
      <c r="N570" s="8"/>
      <c r="O570" s="8"/>
      <c r="P570" s="8"/>
      <c r="Q570" s="8"/>
      <c r="R570" s="8"/>
      <c r="S570" s="8"/>
      <c r="T570" s="8"/>
      <c r="U570" s="8"/>
      <c r="V570" s="8"/>
      <c r="W570" s="8"/>
    </row>
    <row r="571" spans="1:23" ht="12.75" x14ac:dyDescent="0.2">
      <c r="A571" s="8"/>
      <c r="B571" s="8"/>
      <c r="C571" s="8"/>
      <c r="D571" s="8"/>
      <c r="E571" s="8"/>
      <c r="F571" s="8"/>
      <c r="G571" s="8"/>
      <c r="H571" s="8"/>
      <c r="I571" s="8"/>
      <c r="J571" s="8"/>
      <c r="K571" s="8"/>
      <c r="L571" s="8"/>
      <c r="M571" s="8"/>
      <c r="N571" s="8"/>
      <c r="O571" s="8"/>
      <c r="P571" s="8"/>
      <c r="Q571" s="8"/>
      <c r="R571" s="8"/>
      <c r="S571" s="8"/>
      <c r="T571" s="8"/>
      <c r="U571" s="8"/>
      <c r="V571" s="8"/>
      <c r="W571" s="8"/>
    </row>
    <row r="572" spans="1:23" ht="12.75" x14ac:dyDescent="0.2">
      <c r="A572" s="8"/>
      <c r="B572" s="8"/>
      <c r="C572" s="8"/>
      <c r="D572" s="8"/>
      <c r="E572" s="8"/>
      <c r="F572" s="8"/>
      <c r="G572" s="8"/>
      <c r="H572" s="8"/>
      <c r="I572" s="8"/>
      <c r="J572" s="8"/>
      <c r="K572" s="8"/>
      <c r="L572" s="8"/>
      <c r="M572" s="8"/>
      <c r="N572" s="8"/>
      <c r="O572" s="8"/>
      <c r="P572" s="8"/>
      <c r="Q572" s="8"/>
      <c r="R572" s="8"/>
      <c r="S572" s="8"/>
      <c r="T572" s="8"/>
      <c r="U572" s="8"/>
      <c r="V572" s="8"/>
      <c r="W572" s="8"/>
    </row>
    <row r="573" spans="1:23" ht="12.75" x14ac:dyDescent="0.2">
      <c r="A573" s="8"/>
      <c r="B573" s="8"/>
      <c r="C573" s="8"/>
      <c r="D573" s="8"/>
      <c r="E573" s="8"/>
      <c r="F573" s="8"/>
      <c r="G573" s="8"/>
      <c r="H573" s="8"/>
      <c r="I573" s="8"/>
      <c r="J573" s="8"/>
      <c r="K573" s="8"/>
      <c r="L573" s="8"/>
      <c r="M573" s="8"/>
      <c r="N573" s="8"/>
      <c r="O573" s="8"/>
      <c r="P573" s="8"/>
      <c r="Q573" s="8"/>
      <c r="R573" s="8"/>
      <c r="S573" s="8"/>
      <c r="T573" s="8"/>
      <c r="U573" s="8"/>
      <c r="V573" s="8"/>
      <c r="W573" s="8"/>
    </row>
    <row r="574" spans="1:23" ht="12.75" x14ac:dyDescent="0.2">
      <c r="A574" s="8"/>
      <c r="B574" s="8"/>
      <c r="C574" s="8"/>
      <c r="D574" s="8"/>
      <c r="E574" s="8"/>
      <c r="F574" s="8"/>
      <c r="G574" s="8"/>
      <c r="H574" s="8"/>
      <c r="I574" s="8"/>
      <c r="J574" s="8"/>
      <c r="K574" s="8"/>
      <c r="L574" s="8"/>
      <c r="M574" s="8"/>
      <c r="N574" s="8"/>
      <c r="O574" s="8"/>
      <c r="P574" s="8"/>
      <c r="Q574" s="8"/>
      <c r="R574" s="8"/>
      <c r="S574" s="8"/>
      <c r="T574" s="8"/>
      <c r="U574" s="8"/>
      <c r="V574" s="8"/>
      <c r="W574" s="8"/>
    </row>
    <row r="575" spans="1:23" ht="12.75" x14ac:dyDescent="0.2">
      <c r="A575" s="8"/>
      <c r="B575" s="8"/>
      <c r="C575" s="8"/>
      <c r="D575" s="8"/>
      <c r="E575" s="8"/>
      <c r="F575" s="8"/>
      <c r="G575" s="8"/>
      <c r="H575" s="8"/>
      <c r="I575" s="8"/>
      <c r="J575" s="8"/>
      <c r="K575" s="8"/>
      <c r="L575" s="8"/>
      <c r="M575" s="8"/>
      <c r="N575" s="8"/>
      <c r="O575" s="8"/>
      <c r="P575" s="8"/>
      <c r="Q575" s="8"/>
      <c r="R575" s="8"/>
      <c r="S575" s="8"/>
      <c r="T575" s="8"/>
      <c r="U575" s="8"/>
      <c r="V575" s="8"/>
      <c r="W575" s="8"/>
    </row>
    <row r="576" spans="1:23" ht="12.75" x14ac:dyDescent="0.2">
      <c r="A576" s="8"/>
      <c r="B576" s="8"/>
      <c r="C576" s="8"/>
      <c r="D576" s="8"/>
      <c r="E576" s="8"/>
      <c r="F576" s="8"/>
      <c r="G576" s="8"/>
      <c r="H576" s="8"/>
      <c r="I576" s="8"/>
      <c r="J576" s="8"/>
      <c r="K576" s="8"/>
      <c r="L576" s="8"/>
      <c r="M576" s="8"/>
      <c r="N576" s="8"/>
      <c r="O576" s="8"/>
      <c r="P576" s="8"/>
      <c r="Q576" s="8"/>
      <c r="R576" s="8"/>
      <c r="S576" s="8"/>
      <c r="T576" s="8"/>
      <c r="U576" s="8"/>
      <c r="V576" s="8"/>
      <c r="W576" s="8"/>
    </row>
    <row r="577" spans="1:23" ht="12.75" x14ac:dyDescent="0.2">
      <c r="A577" s="8"/>
      <c r="B577" s="8"/>
      <c r="C577" s="8"/>
      <c r="D577" s="8"/>
      <c r="E577" s="8"/>
      <c r="F577" s="8"/>
      <c r="G577" s="8"/>
      <c r="H577" s="8"/>
      <c r="I577" s="8"/>
      <c r="J577" s="8"/>
      <c r="K577" s="8"/>
      <c r="L577" s="8"/>
      <c r="M577" s="8"/>
      <c r="N577" s="8"/>
      <c r="O577" s="8"/>
      <c r="P577" s="8"/>
      <c r="Q577" s="8"/>
      <c r="R577" s="8"/>
      <c r="S577" s="8"/>
      <c r="T577" s="8"/>
      <c r="U577" s="8"/>
      <c r="V577" s="8"/>
      <c r="W577" s="8"/>
    </row>
    <row r="578" spans="1:23" ht="12.75" x14ac:dyDescent="0.2">
      <c r="A578" s="8"/>
      <c r="B578" s="8"/>
      <c r="C578" s="8"/>
      <c r="D578" s="8"/>
      <c r="E578" s="8"/>
      <c r="F578" s="8"/>
      <c r="G578" s="8"/>
      <c r="H578" s="8"/>
      <c r="I578" s="8"/>
      <c r="J578" s="8"/>
      <c r="K578" s="8"/>
      <c r="L578" s="8"/>
      <c r="M578" s="8"/>
      <c r="N578" s="8"/>
      <c r="O578" s="8"/>
      <c r="P578" s="8"/>
      <c r="Q578" s="8"/>
      <c r="R578" s="8"/>
      <c r="S578" s="8"/>
      <c r="T578" s="8"/>
      <c r="U578" s="8"/>
      <c r="V578" s="8"/>
      <c r="W578" s="8"/>
    </row>
    <row r="579" spans="1:23" ht="12.75" x14ac:dyDescent="0.2">
      <c r="A579" s="8"/>
      <c r="B579" s="8"/>
      <c r="C579" s="8"/>
      <c r="D579" s="8"/>
      <c r="E579" s="8"/>
      <c r="F579" s="8"/>
      <c r="G579" s="8"/>
      <c r="H579" s="8"/>
      <c r="I579" s="8"/>
      <c r="J579" s="8"/>
      <c r="K579" s="8"/>
      <c r="L579" s="8"/>
      <c r="M579" s="8"/>
      <c r="N579" s="8"/>
      <c r="O579" s="8"/>
      <c r="P579" s="8"/>
      <c r="Q579" s="8"/>
      <c r="R579" s="8"/>
      <c r="S579" s="8"/>
      <c r="T579" s="8"/>
      <c r="U579" s="8"/>
      <c r="V579" s="8"/>
      <c r="W579" s="8"/>
    </row>
    <row r="580" spans="1:23" ht="12.75" x14ac:dyDescent="0.2">
      <c r="A580" s="8"/>
      <c r="B580" s="8"/>
      <c r="C580" s="8"/>
      <c r="D580" s="8"/>
      <c r="E580" s="8"/>
      <c r="F580" s="8"/>
      <c r="G580" s="8"/>
      <c r="H580" s="8"/>
      <c r="I580" s="8"/>
      <c r="J580" s="8"/>
      <c r="K580" s="8"/>
      <c r="L580" s="8"/>
      <c r="M580" s="8"/>
      <c r="N580" s="8"/>
      <c r="O580" s="8"/>
      <c r="P580" s="8"/>
      <c r="Q580" s="8"/>
      <c r="R580" s="8"/>
      <c r="S580" s="8"/>
      <c r="T580" s="8"/>
      <c r="U580" s="8"/>
      <c r="V580" s="8"/>
      <c r="W580" s="8"/>
    </row>
    <row r="581" spans="1:23" ht="12.75" x14ac:dyDescent="0.2">
      <c r="A581" s="8"/>
      <c r="B581" s="8"/>
      <c r="C581" s="8"/>
      <c r="D581" s="8"/>
      <c r="E581" s="8"/>
      <c r="F581" s="8"/>
      <c r="G581" s="8"/>
      <c r="H581" s="8"/>
      <c r="I581" s="8"/>
      <c r="J581" s="8"/>
      <c r="K581" s="8"/>
      <c r="L581" s="8"/>
      <c r="M581" s="8"/>
      <c r="N581" s="8"/>
      <c r="O581" s="8"/>
      <c r="P581" s="8"/>
      <c r="Q581" s="8"/>
      <c r="R581" s="8"/>
      <c r="S581" s="8"/>
      <c r="T581" s="8"/>
      <c r="U581" s="8"/>
      <c r="V581" s="8"/>
      <c r="W581" s="8"/>
    </row>
    <row r="582" spans="1:23" ht="12.75" x14ac:dyDescent="0.2">
      <c r="A582" s="8"/>
      <c r="B582" s="8"/>
      <c r="C582" s="8"/>
      <c r="D582" s="8"/>
      <c r="E582" s="8"/>
      <c r="F582" s="8"/>
      <c r="G582" s="8"/>
      <c r="H582" s="8"/>
      <c r="I582" s="8"/>
      <c r="J582" s="8"/>
      <c r="K582" s="8"/>
      <c r="L582" s="8"/>
      <c r="M582" s="8"/>
      <c r="N582" s="8"/>
      <c r="O582" s="8"/>
      <c r="P582" s="8"/>
      <c r="Q582" s="8"/>
      <c r="R582" s="8"/>
      <c r="S582" s="8"/>
      <c r="T582" s="8"/>
      <c r="U582" s="8"/>
      <c r="V582" s="8"/>
      <c r="W582" s="8"/>
    </row>
    <row r="583" spans="1:23" ht="12.75" x14ac:dyDescent="0.2">
      <c r="A583" s="8"/>
      <c r="B583" s="8"/>
      <c r="C583" s="8"/>
      <c r="D583" s="8"/>
      <c r="E583" s="8"/>
      <c r="F583" s="8"/>
      <c r="G583" s="8"/>
      <c r="H583" s="8"/>
      <c r="I583" s="8"/>
      <c r="J583" s="8"/>
      <c r="K583" s="8"/>
      <c r="L583" s="8"/>
      <c r="M583" s="8"/>
      <c r="N583" s="8"/>
      <c r="O583" s="8"/>
      <c r="P583" s="8"/>
      <c r="Q583" s="8"/>
      <c r="R583" s="8"/>
      <c r="S583" s="8"/>
      <c r="T583" s="8"/>
      <c r="U583" s="8"/>
      <c r="V583" s="8"/>
      <c r="W583" s="8"/>
    </row>
    <row r="584" spans="1:23" ht="12.75" x14ac:dyDescent="0.2">
      <c r="A584" s="8"/>
      <c r="B584" s="8"/>
      <c r="C584" s="8"/>
      <c r="D584" s="8"/>
      <c r="E584" s="8"/>
      <c r="F584" s="8"/>
      <c r="G584" s="8"/>
      <c r="H584" s="8"/>
      <c r="I584" s="8"/>
      <c r="J584" s="8"/>
      <c r="K584" s="8"/>
      <c r="L584" s="8"/>
      <c r="M584" s="8"/>
      <c r="N584" s="8"/>
      <c r="O584" s="8"/>
      <c r="P584" s="8"/>
      <c r="Q584" s="8"/>
      <c r="R584" s="8"/>
      <c r="S584" s="8"/>
      <c r="T584" s="8"/>
      <c r="U584" s="8"/>
      <c r="V584" s="8"/>
      <c r="W584" s="8"/>
    </row>
    <row r="585" spans="1:23" ht="12.75" x14ac:dyDescent="0.2">
      <c r="A585" s="8"/>
      <c r="B585" s="8"/>
      <c r="C585" s="8"/>
      <c r="D585" s="8"/>
      <c r="E585" s="8"/>
      <c r="F585" s="8"/>
      <c r="G585" s="8"/>
      <c r="H585" s="8"/>
      <c r="I585" s="8"/>
      <c r="J585" s="8"/>
      <c r="K585" s="8"/>
      <c r="L585" s="8"/>
      <c r="M585" s="8"/>
      <c r="N585" s="8"/>
      <c r="O585" s="8"/>
      <c r="P585" s="8"/>
      <c r="Q585" s="8"/>
      <c r="R585" s="8"/>
      <c r="S585" s="8"/>
      <c r="T585" s="8"/>
      <c r="U585" s="8"/>
      <c r="V585" s="8"/>
      <c r="W585" s="8"/>
    </row>
    <row r="586" spans="1:23" ht="12.75" x14ac:dyDescent="0.2">
      <c r="A586" s="8"/>
      <c r="B586" s="8"/>
      <c r="C586" s="8"/>
      <c r="D586" s="8"/>
      <c r="E586" s="8"/>
      <c r="F586" s="8"/>
      <c r="G586" s="8"/>
      <c r="H586" s="8"/>
      <c r="I586" s="8"/>
      <c r="J586" s="8"/>
      <c r="K586" s="8"/>
      <c r="L586" s="8"/>
      <c r="M586" s="8"/>
      <c r="N586" s="8"/>
      <c r="O586" s="8"/>
      <c r="P586" s="8"/>
      <c r="Q586" s="8"/>
      <c r="R586" s="8"/>
      <c r="S586" s="8"/>
      <c r="T586" s="8"/>
      <c r="U586" s="8"/>
      <c r="V586" s="8"/>
      <c r="W586" s="8"/>
    </row>
    <row r="587" spans="1:23" ht="12.75" x14ac:dyDescent="0.2">
      <c r="A587" s="8"/>
      <c r="B587" s="8"/>
      <c r="C587" s="8"/>
      <c r="D587" s="8"/>
      <c r="E587" s="8"/>
      <c r="F587" s="8"/>
      <c r="G587" s="8"/>
      <c r="H587" s="8"/>
      <c r="I587" s="8"/>
      <c r="J587" s="8"/>
      <c r="K587" s="8"/>
      <c r="L587" s="8"/>
      <c r="M587" s="8"/>
      <c r="N587" s="8"/>
      <c r="O587" s="8"/>
      <c r="P587" s="8"/>
      <c r="Q587" s="8"/>
      <c r="R587" s="8"/>
      <c r="S587" s="8"/>
      <c r="T587" s="8"/>
      <c r="U587" s="8"/>
      <c r="V587" s="8"/>
      <c r="W587" s="8"/>
    </row>
    <row r="588" spans="1:23" ht="12.75" x14ac:dyDescent="0.2">
      <c r="A588" s="8"/>
      <c r="B588" s="8"/>
      <c r="C588" s="8"/>
      <c r="D588" s="8"/>
      <c r="E588" s="8"/>
      <c r="F588" s="8"/>
      <c r="G588" s="8"/>
      <c r="H588" s="8"/>
      <c r="I588" s="8"/>
      <c r="J588" s="8"/>
      <c r="K588" s="8"/>
      <c r="L588" s="8"/>
      <c r="M588" s="8"/>
      <c r="N588" s="8"/>
      <c r="O588" s="8"/>
      <c r="P588" s="8"/>
      <c r="Q588" s="8"/>
      <c r="R588" s="8"/>
      <c r="S588" s="8"/>
      <c r="T588" s="8"/>
      <c r="U588" s="8"/>
      <c r="V588" s="8"/>
      <c r="W588" s="8"/>
    </row>
    <row r="589" spans="1:23" ht="12.75" x14ac:dyDescent="0.2">
      <c r="A589" s="8"/>
      <c r="B589" s="8"/>
      <c r="C589" s="8"/>
      <c r="D589" s="8"/>
      <c r="E589" s="8"/>
      <c r="F589" s="8"/>
      <c r="G589" s="8"/>
      <c r="H589" s="8"/>
      <c r="I589" s="8"/>
      <c r="J589" s="8"/>
      <c r="K589" s="8"/>
      <c r="L589" s="8"/>
      <c r="M589" s="8"/>
      <c r="N589" s="8"/>
      <c r="O589" s="8"/>
      <c r="P589" s="8"/>
      <c r="Q589" s="8"/>
      <c r="R589" s="8"/>
      <c r="S589" s="8"/>
      <c r="T589" s="8"/>
      <c r="U589" s="8"/>
      <c r="V589" s="8"/>
      <c r="W589" s="8"/>
    </row>
    <row r="590" spans="1:23" ht="12.75" x14ac:dyDescent="0.2">
      <c r="A590" s="8"/>
      <c r="B590" s="8"/>
      <c r="C590" s="8"/>
      <c r="D590" s="8"/>
      <c r="E590" s="8"/>
      <c r="F590" s="8"/>
      <c r="G590" s="8"/>
      <c r="H590" s="8"/>
      <c r="I590" s="8"/>
      <c r="J590" s="8"/>
      <c r="K590" s="8"/>
      <c r="L590" s="8"/>
      <c r="M590" s="8"/>
      <c r="N590" s="8"/>
      <c r="O590" s="8"/>
      <c r="P590" s="8"/>
      <c r="Q590" s="8"/>
      <c r="R590" s="8"/>
      <c r="S590" s="8"/>
      <c r="T590" s="8"/>
      <c r="U590" s="8"/>
      <c r="V590" s="8"/>
      <c r="W590" s="8"/>
    </row>
    <row r="591" spans="1:23" ht="12.75" x14ac:dyDescent="0.2">
      <c r="A591" s="8"/>
      <c r="B591" s="8"/>
      <c r="C591" s="8"/>
      <c r="D591" s="8"/>
      <c r="E591" s="8"/>
      <c r="F591" s="8"/>
      <c r="G591" s="8"/>
      <c r="H591" s="8"/>
      <c r="I591" s="8"/>
      <c r="J591" s="8"/>
      <c r="K591" s="8"/>
      <c r="L591" s="8"/>
      <c r="M591" s="8"/>
      <c r="N591" s="8"/>
      <c r="O591" s="8"/>
      <c r="P591" s="8"/>
      <c r="Q591" s="8"/>
      <c r="R591" s="8"/>
      <c r="S591" s="8"/>
      <c r="T591" s="8"/>
      <c r="U591" s="8"/>
      <c r="V591" s="8"/>
      <c r="W591" s="8"/>
    </row>
    <row r="592" spans="1:23" ht="12.75" x14ac:dyDescent="0.2">
      <c r="A592" s="8"/>
      <c r="B592" s="8"/>
      <c r="C592" s="8"/>
      <c r="D592" s="8"/>
      <c r="E592" s="8"/>
      <c r="F592" s="8"/>
      <c r="G592" s="8"/>
      <c r="H592" s="8"/>
      <c r="I592" s="8"/>
      <c r="J592" s="8"/>
      <c r="K592" s="8"/>
      <c r="L592" s="8"/>
      <c r="M592" s="8"/>
      <c r="N592" s="8"/>
      <c r="O592" s="8"/>
      <c r="P592" s="8"/>
      <c r="Q592" s="8"/>
      <c r="R592" s="8"/>
      <c r="S592" s="8"/>
      <c r="T592" s="8"/>
      <c r="U592" s="8"/>
      <c r="V592" s="8"/>
      <c r="W592" s="8"/>
    </row>
    <row r="593" spans="1:23" ht="12.75" x14ac:dyDescent="0.2">
      <c r="A593" s="8"/>
      <c r="B593" s="8"/>
      <c r="C593" s="8"/>
      <c r="D593" s="8"/>
      <c r="E593" s="8"/>
      <c r="F593" s="8"/>
      <c r="G593" s="8"/>
      <c r="H593" s="8"/>
      <c r="I593" s="8"/>
      <c r="J593" s="8"/>
      <c r="K593" s="8"/>
      <c r="L593" s="8"/>
      <c r="M593" s="8"/>
      <c r="N593" s="8"/>
      <c r="O593" s="8"/>
      <c r="P593" s="8"/>
      <c r="Q593" s="8"/>
      <c r="R593" s="8"/>
      <c r="S593" s="8"/>
      <c r="T593" s="8"/>
      <c r="U593" s="8"/>
      <c r="V593" s="8"/>
      <c r="W593" s="8"/>
    </row>
    <row r="594" spans="1:23" ht="12.75" x14ac:dyDescent="0.2">
      <c r="A594" s="8"/>
      <c r="B594" s="8"/>
      <c r="C594" s="8"/>
      <c r="D594" s="8"/>
      <c r="E594" s="8"/>
      <c r="F594" s="8"/>
      <c r="G594" s="8"/>
      <c r="H594" s="8"/>
      <c r="I594" s="8"/>
      <c r="J594" s="8"/>
      <c r="K594" s="8"/>
      <c r="L594" s="8"/>
      <c r="M594" s="8"/>
      <c r="N594" s="8"/>
      <c r="O594" s="8"/>
      <c r="P594" s="8"/>
      <c r="Q594" s="8"/>
      <c r="R594" s="8"/>
      <c r="S594" s="8"/>
      <c r="T594" s="8"/>
      <c r="U594" s="8"/>
      <c r="V594" s="8"/>
      <c r="W594" s="8"/>
    </row>
    <row r="595" spans="1:23" ht="12.75" x14ac:dyDescent="0.2">
      <c r="A595" s="8"/>
      <c r="B595" s="8"/>
      <c r="C595" s="8"/>
      <c r="D595" s="8"/>
      <c r="E595" s="8"/>
      <c r="F595" s="8"/>
      <c r="G595" s="8"/>
      <c r="H595" s="8"/>
      <c r="I595" s="8"/>
      <c r="J595" s="8"/>
      <c r="K595" s="8"/>
      <c r="L595" s="8"/>
      <c r="M595" s="8"/>
      <c r="N595" s="8"/>
      <c r="O595" s="8"/>
      <c r="P595" s="8"/>
      <c r="Q595" s="8"/>
      <c r="R595" s="8"/>
      <c r="S595" s="8"/>
      <c r="T595" s="8"/>
      <c r="U595" s="8"/>
      <c r="V595" s="8"/>
      <c r="W595" s="8"/>
    </row>
    <row r="596" spans="1:23" ht="12.75" x14ac:dyDescent="0.2">
      <c r="A596" s="8"/>
      <c r="B596" s="8"/>
      <c r="C596" s="8"/>
      <c r="D596" s="8"/>
      <c r="E596" s="8"/>
      <c r="F596" s="8"/>
      <c r="G596" s="8"/>
      <c r="H596" s="8"/>
      <c r="I596" s="8"/>
      <c r="J596" s="8"/>
      <c r="K596" s="8"/>
      <c r="L596" s="8"/>
      <c r="M596" s="8"/>
      <c r="N596" s="8"/>
      <c r="O596" s="8"/>
      <c r="P596" s="8"/>
      <c r="Q596" s="8"/>
      <c r="R596" s="8"/>
      <c r="S596" s="8"/>
      <c r="T596" s="8"/>
      <c r="U596" s="8"/>
      <c r="V596" s="8"/>
      <c r="W596" s="8"/>
    </row>
    <row r="597" spans="1:23" ht="12.75" x14ac:dyDescent="0.2">
      <c r="A597" s="8"/>
      <c r="B597" s="8"/>
      <c r="C597" s="8"/>
      <c r="D597" s="8"/>
      <c r="E597" s="8"/>
      <c r="F597" s="8"/>
      <c r="G597" s="8"/>
      <c r="H597" s="8"/>
      <c r="I597" s="8"/>
      <c r="J597" s="8"/>
      <c r="K597" s="8"/>
      <c r="L597" s="8"/>
      <c r="M597" s="8"/>
      <c r="N597" s="8"/>
      <c r="O597" s="8"/>
      <c r="P597" s="8"/>
      <c r="Q597" s="8"/>
      <c r="R597" s="8"/>
      <c r="S597" s="8"/>
      <c r="T597" s="8"/>
      <c r="U597" s="8"/>
      <c r="V597" s="8"/>
      <c r="W597" s="8"/>
    </row>
    <row r="598" spans="1:23" ht="12.75" x14ac:dyDescent="0.2">
      <c r="A598" s="8"/>
      <c r="B598" s="8"/>
      <c r="C598" s="8"/>
      <c r="D598" s="8"/>
      <c r="E598" s="8"/>
      <c r="F598" s="8"/>
      <c r="G598" s="8"/>
      <c r="H598" s="8"/>
      <c r="I598" s="8"/>
      <c r="J598" s="8"/>
      <c r="K598" s="8"/>
      <c r="L598" s="8"/>
      <c r="M598" s="8"/>
      <c r="N598" s="8"/>
      <c r="O598" s="8"/>
      <c r="P598" s="8"/>
      <c r="Q598" s="8"/>
      <c r="R598" s="8"/>
      <c r="S598" s="8"/>
      <c r="T598" s="8"/>
      <c r="U598" s="8"/>
      <c r="V598" s="8"/>
      <c r="W598" s="8"/>
    </row>
    <row r="599" spans="1:23" ht="12.75" x14ac:dyDescent="0.2">
      <c r="A599" s="8"/>
      <c r="B599" s="8"/>
      <c r="C599" s="8"/>
      <c r="D599" s="8"/>
      <c r="E599" s="8"/>
      <c r="F599" s="8"/>
      <c r="G599" s="8"/>
      <c r="H599" s="8"/>
      <c r="I599" s="8"/>
      <c r="J599" s="8"/>
      <c r="K599" s="8"/>
      <c r="L599" s="8"/>
      <c r="M599" s="8"/>
      <c r="N599" s="8"/>
      <c r="O599" s="8"/>
      <c r="P599" s="8"/>
      <c r="Q599" s="8"/>
      <c r="R599" s="8"/>
      <c r="S599" s="8"/>
      <c r="T599" s="8"/>
      <c r="U599" s="8"/>
      <c r="V599" s="8"/>
      <c r="W599" s="8"/>
    </row>
    <row r="600" spans="1:23" ht="12.75" x14ac:dyDescent="0.2">
      <c r="A600" s="8"/>
      <c r="B600" s="8"/>
      <c r="C600" s="8"/>
      <c r="D600" s="8"/>
      <c r="E600" s="8"/>
      <c r="F600" s="8"/>
      <c r="G600" s="8"/>
      <c r="H600" s="8"/>
      <c r="I600" s="8"/>
      <c r="J600" s="8"/>
      <c r="K600" s="8"/>
      <c r="L600" s="8"/>
      <c r="M600" s="8"/>
      <c r="N600" s="8"/>
      <c r="O600" s="8"/>
      <c r="P600" s="8"/>
      <c r="Q600" s="8"/>
      <c r="R600" s="8"/>
      <c r="S600" s="8"/>
      <c r="T600" s="8"/>
      <c r="U600" s="8"/>
      <c r="V600" s="8"/>
      <c r="W600" s="8"/>
    </row>
    <row r="601" spans="1:23" ht="12.75" x14ac:dyDescent="0.2">
      <c r="A601" s="8"/>
      <c r="B601" s="8"/>
      <c r="C601" s="8"/>
      <c r="D601" s="8"/>
      <c r="E601" s="8"/>
      <c r="F601" s="8"/>
      <c r="G601" s="8"/>
      <c r="H601" s="8"/>
      <c r="I601" s="8"/>
      <c r="J601" s="8"/>
      <c r="K601" s="8"/>
      <c r="L601" s="8"/>
      <c r="M601" s="8"/>
      <c r="N601" s="8"/>
      <c r="O601" s="8"/>
      <c r="P601" s="8"/>
      <c r="Q601" s="8"/>
      <c r="R601" s="8"/>
      <c r="S601" s="8"/>
      <c r="T601" s="8"/>
      <c r="U601" s="8"/>
      <c r="V601" s="8"/>
      <c r="W601" s="8"/>
    </row>
    <row r="602" spans="1:23" ht="12.75" x14ac:dyDescent="0.2">
      <c r="A602" s="8"/>
      <c r="B602" s="8"/>
      <c r="C602" s="8"/>
      <c r="D602" s="8"/>
      <c r="E602" s="8"/>
      <c r="F602" s="8"/>
      <c r="G602" s="8"/>
      <c r="H602" s="8"/>
      <c r="I602" s="8"/>
      <c r="J602" s="8"/>
      <c r="K602" s="8"/>
      <c r="L602" s="8"/>
      <c r="M602" s="8"/>
      <c r="N602" s="8"/>
      <c r="O602" s="8"/>
      <c r="P602" s="8"/>
      <c r="Q602" s="8"/>
      <c r="R602" s="8"/>
      <c r="S602" s="8"/>
      <c r="T602" s="8"/>
      <c r="U602" s="8"/>
      <c r="V602" s="8"/>
      <c r="W602" s="8"/>
    </row>
    <row r="603" spans="1:23" ht="12.75" x14ac:dyDescent="0.2">
      <c r="A603" s="8"/>
      <c r="B603" s="8"/>
      <c r="C603" s="8"/>
      <c r="D603" s="8"/>
      <c r="E603" s="8"/>
      <c r="F603" s="8"/>
      <c r="G603" s="8"/>
      <c r="H603" s="8"/>
      <c r="I603" s="8"/>
      <c r="J603" s="8"/>
      <c r="K603" s="8"/>
      <c r="L603" s="8"/>
      <c r="M603" s="8"/>
      <c r="N603" s="8"/>
      <c r="O603" s="8"/>
      <c r="P603" s="8"/>
      <c r="Q603" s="8"/>
      <c r="R603" s="8"/>
      <c r="S603" s="8"/>
      <c r="T603" s="8"/>
      <c r="U603" s="8"/>
      <c r="V603" s="8"/>
      <c r="W603" s="8"/>
    </row>
    <row r="604" spans="1:23" ht="12.75" x14ac:dyDescent="0.2">
      <c r="A604" s="8"/>
      <c r="B604" s="8"/>
      <c r="C604" s="8"/>
      <c r="D604" s="8"/>
      <c r="E604" s="8"/>
      <c r="F604" s="8"/>
      <c r="G604" s="8"/>
      <c r="H604" s="8"/>
      <c r="I604" s="8"/>
      <c r="J604" s="8"/>
      <c r="K604" s="8"/>
      <c r="L604" s="8"/>
      <c r="M604" s="8"/>
      <c r="N604" s="8"/>
      <c r="O604" s="8"/>
      <c r="P604" s="8"/>
      <c r="Q604" s="8"/>
      <c r="R604" s="8"/>
      <c r="S604" s="8"/>
      <c r="T604" s="8"/>
      <c r="U604" s="8"/>
      <c r="V604" s="8"/>
      <c r="W604" s="8"/>
    </row>
    <row r="605" spans="1:23" ht="12.75" x14ac:dyDescent="0.2">
      <c r="A605" s="8"/>
      <c r="B605" s="8"/>
      <c r="C605" s="8"/>
      <c r="D605" s="8"/>
      <c r="E605" s="8"/>
      <c r="F605" s="8"/>
      <c r="G605" s="8"/>
      <c r="H605" s="8"/>
      <c r="I605" s="8"/>
      <c r="J605" s="8"/>
      <c r="K605" s="8"/>
      <c r="L605" s="8"/>
      <c r="M605" s="8"/>
      <c r="N605" s="8"/>
      <c r="O605" s="8"/>
      <c r="P605" s="8"/>
      <c r="Q605" s="8"/>
      <c r="R605" s="8"/>
      <c r="S605" s="8"/>
      <c r="T605" s="8"/>
      <c r="U605" s="8"/>
      <c r="V605" s="8"/>
      <c r="W605" s="8"/>
    </row>
    <row r="606" spans="1:23" ht="12.75" x14ac:dyDescent="0.2">
      <c r="A606" s="8"/>
      <c r="B606" s="8"/>
      <c r="C606" s="8"/>
      <c r="D606" s="8"/>
      <c r="E606" s="8"/>
      <c r="F606" s="8"/>
      <c r="G606" s="8"/>
      <c r="H606" s="8"/>
      <c r="I606" s="8"/>
      <c r="J606" s="8"/>
      <c r="K606" s="8"/>
      <c r="L606" s="8"/>
      <c r="M606" s="8"/>
      <c r="N606" s="8"/>
      <c r="O606" s="8"/>
      <c r="P606" s="8"/>
      <c r="Q606" s="8"/>
      <c r="R606" s="8"/>
      <c r="S606" s="8"/>
      <c r="T606" s="8"/>
      <c r="U606" s="8"/>
      <c r="V606" s="8"/>
      <c r="W606" s="8"/>
    </row>
    <row r="607" spans="1:23" ht="12.75" x14ac:dyDescent="0.2">
      <c r="A607" s="8"/>
      <c r="B607" s="8"/>
      <c r="C607" s="8"/>
      <c r="D607" s="8"/>
      <c r="E607" s="8"/>
      <c r="F607" s="8"/>
      <c r="G607" s="8"/>
      <c r="H607" s="8"/>
      <c r="I607" s="8"/>
      <c r="J607" s="8"/>
      <c r="K607" s="8"/>
      <c r="L607" s="8"/>
      <c r="M607" s="8"/>
      <c r="N607" s="8"/>
      <c r="O607" s="8"/>
      <c r="P607" s="8"/>
      <c r="Q607" s="8"/>
      <c r="R607" s="8"/>
      <c r="S607" s="8"/>
      <c r="T607" s="8"/>
      <c r="U607" s="8"/>
      <c r="V607" s="8"/>
      <c r="W607" s="8"/>
    </row>
    <row r="608" spans="1:23" ht="12.75" x14ac:dyDescent="0.2">
      <c r="A608" s="8"/>
      <c r="B608" s="8"/>
      <c r="C608" s="8"/>
      <c r="D608" s="8"/>
      <c r="E608" s="8"/>
      <c r="F608" s="8"/>
      <c r="G608" s="8"/>
      <c r="H608" s="8"/>
      <c r="I608" s="8"/>
      <c r="J608" s="8"/>
      <c r="K608" s="8"/>
      <c r="L608" s="8"/>
      <c r="M608" s="8"/>
      <c r="N608" s="8"/>
      <c r="O608" s="8"/>
      <c r="P608" s="8"/>
      <c r="Q608" s="8"/>
      <c r="R608" s="8"/>
      <c r="S608" s="8"/>
      <c r="T608" s="8"/>
      <c r="U608" s="8"/>
      <c r="V608" s="8"/>
      <c r="W608" s="8"/>
    </row>
    <row r="609" spans="1:23" ht="12.75" x14ac:dyDescent="0.2">
      <c r="A609" s="8"/>
      <c r="B609" s="8"/>
      <c r="C609" s="8"/>
      <c r="D609" s="8"/>
      <c r="E609" s="8"/>
      <c r="F609" s="8"/>
      <c r="G609" s="8"/>
      <c r="H609" s="8"/>
      <c r="I609" s="8"/>
      <c r="J609" s="8"/>
      <c r="K609" s="8"/>
      <c r="L609" s="8"/>
      <c r="M609" s="8"/>
      <c r="N609" s="8"/>
      <c r="O609" s="8"/>
      <c r="P609" s="8"/>
      <c r="Q609" s="8"/>
      <c r="R609" s="8"/>
      <c r="S609" s="8"/>
      <c r="T609" s="8"/>
      <c r="U609" s="8"/>
      <c r="V609" s="8"/>
      <c r="W609" s="8"/>
    </row>
    <row r="610" spans="1:23" ht="12.75" x14ac:dyDescent="0.2">
      <c r="A610" s="8"/>
      <c r="B610" s="8"/>
      <c r="C610" s="8"/>
      <c r="D610" s="8"/>
      <c r="E610" s="8"/>
      <c r="F610" s="8"/>
      <c r="G610" s="8"/>
      <c r="H610" s="8"/>
      <c r="I610" s="8"/>
      <c r="J610" s="8"/>
      <c r="K610" s="8"/>
      <c r="L610" s="8"/>
      <c r="M610" s="8"/>
      <c r="N610" s="8"/>
      <c r="O610" s="8"/>
      <c r="P610" s="8"/>
      <c r="Q610" s="8"/>
      <c r="R610" s="8"/>
      <c r="S610" s="8"/>
      <c r="T610" s="8"/>
      <c r="U610" s="8"/>
      <c r="V610" s="8"/>
      <c r="W610" s="8"/>
    </row>
    <row r="611" spans="1:23" ht="12.75" x14ac:dyDescent="0.2">
      <c r="A611" s="8"/>
      <c r="B611" s="8"/>
      <c r="C611" s="8"/>
      <c r="D611" s="8"/>
      <c r="E611" s="8"/>
      <c r="F611" s="8"/>
      <c r="G611" s="8"/>
      <c r="H611" s="8"/>
      <c r="I611" s="8"/>
      <c r="J611" s="8"/>
      <c r="K611" s="8"/>
      <c r="L611" s="8"/>
      <c r="M611" s="8"/>
      <c r="N611" s="8"/>
      <c r="O611" s="8"/>
      <c r="P611" s="8"/>
      <c r="Q611" s="8"/>
      <c r="R611" s="8"/>
      <c r="S611" s="8"/>
      <c r="T611" s="8"/>
      <c r="U611" s="8"/>
      <c r="V611" s="8"/>
      <c r="W611" s="8"/>
    </row>
    <row r="612" spans="1:23" ht="12.75" x14ac:dyDescent="0.2">
      <c r="A612" s="8"/>
      <c r="B612" s="8"/>
      <c r="C612" s="8"/>
      <c r="D612" s="8"/>
      <c r="E612" s="8"/>
      <c r="F612" s="8"/>
      <c r="G612" s="8"/>
      <c r="H612" s="8"/>
      <c r="I612" s="8"/>
      <c r="J612" s="8"/>
      <c r="K612" s="8"/>
      <c r="L612" s="8"/>
      <c r="M612" s="8"/>
      <c r="N612" s="8"/>
      <c r="O612" s="8"/>
      <c r="P612" s="8"/>
      <c r="Q612" s="8"/>
      <c r="R612" s="8"/>
      <c r="S612" s="8"/>
      <c r="T612" s="8"/>
      <c r="U612" s="8"/>
      <c r="V612" s="8"/>
      <c r="W612" s="8"/>
    </row>
    <row r="613" spans="1:23" ht="12.75" x14ac:dyDescent="0.2">
      <c r="A613" s="8"/>
      <c r="B613" s="8"/>
      <c r="C613" s="8"/>
      <c r="D613" s="8"/>
      <c r="E613" s="8"/>
      <c r="F613" s="8"/>
      <c r="G613" s="8"/>
      <c r="H613" s="8"/>
      <c r="I613" s="8"/>
      <c r="J613" s="8"/>
      <c r="K613" s="8"/>
      <c r="L613" s="8"/>
      <c r="M613" s="8"/>
      <c r="N613" s="8"/>
      <c r="O613" s="8"/>
      <c r="P613" s="8"/>
      <c r="Q613" s="8"/>
      <c r="R613" s="8"/>
      <c r="S613" s="8"/>
      <c r="T613" s="8"/>
      <c r="U613" s="8"/>
      <c r="V613" s="8"/>
      <c r="W613" s="8"/>
    </row>
    <row r="614" spans="1:23" ht="12.75" x14ac:dyDescent="0.2">
      <c r="A614" s="8"/>
      <c r="B614" s="8"/>
      <c r="C614" s="8"/>
      <c r="D614" s="8"/>
      <c r="E614" s="8"/>
      <c r="F614" s="8"/>
      <c r="G614" s="8"/>
      <c r="H614" s="8"/>
      <c r="I614" s="8"/>
      <c r="J614" s="8"/>
      <c r="K614" s="8"/>
      <c r="L614" s="8"/>
      <c r="M614" s="8"/>
      <c r="N614" s="8"/>
      <c r="O614" s="8"/>
      <c r="P614" s="8"/>
      <c r="Q614" s="8"/>
      <c r="R614" s="8"/>
      <c r="S614" s="8"/>
      <c r="T614" s="8"/>
      <c r="U614" s="8"/>
      <c r="V614" s="8"/>
      <c r="W614" s="8"/>
    </row>
    <row r="615" spans="1:23" ht="12.75" x14ac:dyDescent="0.2">
      <c r="A615" s="8"/>
      <c r="B615" s="8"/>
      <c r="C615" s="8"/>
      <c r="D615" s="8"/>
      <c r="E615" s="8"/>
      <c r="F615" s="8"/>
      <c r="G615" s="8"/>
      <c r="H615" s="8"/>
      <c r="I615" s="8"/>
      <c r="J615" s="8"/>
      <c r="K615" s="8"/>
      <c r="L615" s="8"/>
      <c r="M615" s="8"/>
      <c r="N615" s="8"/>
      <c r="O615" s="8"/>
      <c r="P615" s="8"/>
      <c r="Q615" s="8"/>
      <c r="R615" s="8"/>
      <c r="S615" s="8"/>
      <c r="T615" s="8"/>
      <c r="U615" s="8"/>
      <c r="V615" s="8"/>
      <c r="W615" s="8"/>
    </row>
    <row r="616" spans="1:23" ht="12.75" x14ac:dyDescent="0.2">
      <c r="A616" s="8"/>
      <c r="B616" s="8"/>
      <c r="C616" s="8"/>
      <c r="D616" s="8"/>
      <c r="E616" s="8"/>
      <c r="F616" s="8"/>
      <c r="G616" s="8"/>
      <c r="H616" s="8"/>
      <c r="I616" s="8"/>
      <c r="J616" s="8"/>
      <c r="K616" s="8"/>
      <c r="L616" s="8"/>
      <c r="M616" s="8"/>
      <c r="N616" s="8"/>
      <c r="O616" s="8"/>
      <c r="P616" s="8"/>
      <c r="Q616" s="8"/>
      <c r="R616" s="8"/>
      <c r="S616" s="8"/>
      <c r="T616" s="8"/>
      <c r="U616" s="8"/>
      <c r="V616" s="8"/>
      <c r="W616" s="8"/>
    </row>
    <row r="617" spans="1:23" ht="12.75" x14ac:dyDescent="0.2">
      <c r="A617" s="8"/>
      <c r="B617" s="8"/>
      <c r="C617" s="8"/>
      <c r="D617" s="8"/>
      <c r="E617" s="8"/>
      <c r="F617" s="8"/>
      <c r="G617" s="8"/>
      <c r="H617" s="8"/>
      <c r="I617" s="8"/>
      <c r="J617" s="8"/>
      <c r="K617" s="8"/>
      <c r="L617" s="8"/>
      <c r="M617" s="8"/>
      <c r="N617" s="8"/>
      <c r="O617" s="8"/>
      <c r="P617" s="8"/>
      <c r="Q617" s="8"/>
      <c r="R617" s="8"/>
      <c r="S617" s="8"/>
      <c r="T617" s="8"/>
      <c r="U617" s="8"/>
      <c r="V617" s="8"/>
      <c r="W617" s="8"/>
    </row>
    <row r="618" spans="1:23" ht="12.75" x14ac:dyDescent="0.2">
      <c r="A618" s="8"/>
      <c r="B618" s="8"/>
      <c r="C618" s="8"/>
      <c r="D618" s="8"/>
      <c r="E618" s="8"/>
      <c r="F618" s="8"/>
      <c r="G618" s="8"/>
      <c r="H618" s="8"/>
      <c r="I618" s="8"/>
      <c r="J618" s="8"/>
      <c r="K618" s="8"/>
      <c r="L618" s="8"/>
      <c r="M618" s="8"/>
      <c r="N618" s="8"/>
      <c r="O618" s="8"/>
      <c r="P618" s="8"/>
      <c r="Q618" s="8"/>
      <c r="R618" s="8"/>
      <c r="S618" s="8"/>
      <c r="T618" s="8"/>
      <c r="U618" s="8"/>
      <c r="V618" s="8"/>
      <c r="W618" s="8"/>
    </row>
    <row r="619" spans="1:23" ht="12.75" x14ac:dyDescent="0.2">
      <c r="A619" s="8"/>
      <c r="B619" s="8"/>
      <c r="C619" s="8"/>
      <c r="D619" s="8"/>
      <c r="E619" s="8"/>
      <c r="F619" s="8"/>
      <c r="G619" s="8"/>
      <c r="H619" s="8"/>
      <c r="I619" s="8"/>
      <c r="J619" s="8"/>
      <c r="K619" s="8"/>
      <c r="L619" s="8"/>
      <c r="M619" s="8"/>
      <c r="N619" s="8"/>
      <c r="O619" s="8"/>
      <c r="P619" s="8"/>
      <c r="Q619" s="8"/>
      <c r="R619" s="8"/>
      <c r="S619" s="8"/>
      <c r="T619" s="8"/>
      <c r="U619" s="8"/>
      <c r="V619" s="8"/>
      <c r="W619" s="8"/>
    </row>
    <row r="620" spans="1:23" ht="12.75" x14ac:dyDescent="0.2">
      <c r="A620" s="8"/>
      <c r="B620" s="8"/>
      <c r="C620" s="8"/>
      <c r="D620" s="8"/>
      <c r="E620" s="8"/>
      <c r="F620" s="8"/>
      <c r="G620" s="8"/>
      <c r="H620" s="8"/>
      <c r="I620" s="8"/>
      <c r="J620" s="8"/>
      <c r="K620" s="8"/>
      <c r="L620" s="8"/>
      <c r="M620" s="8"/>
      <c r="N620" s="8"/>
      <c r="O620" s="8"/>
      <c r="P620" s="8"/>
      <c r="Q620" s="8"/>
      <c r="R620" s="8"/>
      <c r="S620" s="8"/>
      <c r="T620" s="8"/>
      <c r="U620" s="8"/>
      <c r="V620" s="8"/>
      <c r="W620" s="8"/>
    </row>
    <row r="621" spans="1:23" ht="12.75" x14ac:dyDescent="0.2">
      <c r="A621" s="8"/>
      <c r="B621" s="8"/>
      <c r="C621" s="8"/>
      <c r="D621" s="8"/>
      <c r="E621" s="8"/>
      <c r="F621" s="8"/>
      <c r="G621" s="8"/>
      <c r="H621" s="8"/>
      <c r="I621" s="8"/>
      <c r="J621" s="8"/>
      <c r="K621" s="8"/>
      <c r="L621" s="8"/>
      <c r="M621" s="8"/>
      <c r="N621" s="8"/>
      <c r="O621" s="8"/>
      <c r="P621" s="8"/>
      <c r="Q621" s="8"/>
      <c r="R621" s="8"/>
      <c r="S621" s="8"/>
      <c r="T621" s="8"/>
      <c r="U621" s="8"/>
      <c r="V621" s="8"/>
      <c r="W621" s="8"/>
    </row>
    <row r="622" spans="1:23" ht="12.75" x14ac:dyDescent="0.2">
      <c r="A622" s="8"/>
      <c r="B622" s="8"/>
      <c r="C622" s="8"/>
      <c r="D622" s="8"/>
      <c r="E622" s="8"/>
      <c r="F622" s="8"/>
      <c r="G622" s="8"/>
      <c r="H622" s="8"/>
      <c r="I622" s="8"/>
      <c r="J622" s="8"/>
      <c r="K622" s="8"/>
      <c r="L622" s="8"/>
      <c r="M622" s="8"/>
      <c r="N622" s="8"/>
      <c r="O622" s="8"/>
      <c r="P622" s="8"/>
      <c r="Q622" s="8"/>
      <c r="R622" s="8"/>
      <c r="S622" s="8"/>
      <c r="T622" s="8"/>
      <c r="U622" s="8"/>
      <c r="V622" s="8"/>
      <c r="W622" s="8"/>
    </row>
    <row r="623" spans="1:23" ht="12.75" x14ac:dyDescent="0.2">
      <c r="A623" s="8"/>
      <c r="B623" s="8"/>
      <c r="C623" s="8"/>
      <c r="D623" s="8"/>
      <c r="E623" s="8"/>
      <c r="F623" s="8"/>
      <c r="G623" s="8"/>
      <c r="H623" s="8"/>
      <c r="I623" s="8"/>
      <c r="J623" s="8"/>
      <c r="K623" s="8"/>
      <c r="L623" s="8"/>
      <c r="M623" s="8"/>
      <c r="N623" s="8"/>
      <c r="O623" s="8"/>
      <c r="P623" s="8"/>
      <c r="Q623" s="8"/>
      <c r="R623" s="8"/>
      <c r="S623" s="8"/>
      <c r="T623" s="8"/>
      <c r="U623" s="8"/>
      <c r="V623" s="8"/>
      <c r="W623" s="8"/>
    </row>
    <row r="624" spans="1:23" ht="12.75" x14ac:dyDescent="0.2">
      <c r="A624" s="8"/>
      <c r="B624" s="8"/>
      <c r="C624" s="8"/>
      <c r="D624" s="8"/>
      <c r="E624" s="8"/>
      <c r="F624" s="8"/>
      <c r="G624" s="8"/>
      <c r="H624" s="8"/>
      <c r="I624" s="8"/>
      <c r="J624" s="8"/>
      <c r="K624" s="8"/>
      <c r="L624" s="8"/>
      <c r="M624" s="8"/>
      <c r="N624" s="8"/>
      <c r="O624" s="8"/>
      <c r="P624" s="8"/>
      <c r="Q624" s="8"/>
      <c r="R624" s="8"/>
      <c r="S624" s="8"/>
      <c r="T624" s="8"/>
      <c r="U624" s="8"/>
      <c r="V624" s="8"/>
      <c r="W624" s="8"/>
    </row>
    <row r="625" spans="1:23" ht="12.75" x14ac:dyDescent="0.2">
      <c r="A625" s="8"/>
      <c r="B625" s="8"/>
      <c r="C625" s="8"/>
      <c r="D625" s="8"/>
      <c r="E625" s="8"/>
      <c r="F625" s="8"/>
      <c r="G625" s="8"/>
      <c r="H625" s="8"/>
      <c r="I625" s="8"/>
      <c r="J625" s="8"/>
      <c r="K625" s="8"/>
      <c r="L625" s="8"/>
      <c r="M625" s="8"/>
      <c r="N625" s="8"/>
      <c r="O625" s="8"/>
      <c r="P625" s="8"/>
      <c r="Q625" s="8"/>
      <c r="R625" s="8"/>
      <c r="S625" s="8"/>
      <c r="T625" s="8"/>
      <c r="U625" s="8"/>
      <c r="V625" s="8"/>
      <c r="W625" s="8"/>
    </row>
    <row r="626" spans="1:23" ht="12.75" x14ac:dyDescent="0.2">
      <c r="A626" s="8"/>
      <c r="B626" s="8"/>
      <c r="C626" s="8"/>
      <c r="D626" s="8"/>
      <c r="E626" s="8"/>
      <c r="F626" s="8"/>
      <c r="G626" s="8"/>
      <c r="H626" s="8"/>
      <c r="I626" s="8"/>
      <c r="J626" s="8"/>
      <c r="K626" s="8"/>
      <c r="L626" s="8"/>
      <c r="M626" s="8"/>
      <c r="N626" s="8"/>
      <c r="O626" s="8"/>
      <c r="P626" s="8"/>
      <c r="Q626" s="8"/>
      <c r="R626" s="8"/>
      <c r="S626" s="8"/>
      <c r="T626" s="8"/>
      <c r="U626" s="8"/>
      <c r="V626" s="8"/>
      <c r="W626" s="8"/>
    </row>
    <row r="627" spans="1:23" ht="12.75" x14ac:dyDescent="0.2">
      <c r="A627" s="8"/>
      <c r="B627" s="8"/>
      <c r="C627" s="8"/>
      <c r="D627" s="8"/>
      <c r="E627" s="8"/>
      <c r="F627" s="8"/>
      <c r="G627" s="8"/>
      <c r="H627" s="8"/>
      <c r="I627" s="8"/>
      <c r="J627" s="8"/>
      <c r="K627" s="8"/>
      <c r="L627" s="8"/>
      <c r="M627" s="8"/>
      <c r="N627" s="8"/>
      <c r="O627" s="8"/>
      <c r="P627" s="8"/>
      <c r="Q627" s="8"/>
      <c r="R627" s="8"/>
      <c r="S627" s="8"/>
      <c r="T627" s="8"/>
      <c r="U627" s="8"/>
      <c r="V627" s="8"/>
      <c r="W627" s="8"/>
    </row>
    <row r="628" spans="1:23" ht="12.75" x14ac:dyDescent="0.2">
      <c r="A628" s="8"/>
      <c r="B628" s="8"/>
      <c r="C628" s="8"/>
      <c r="D628" s="8"/>
      <c r="E628" s="8"/>
      <c r="F628" s="8"/>
      <c r="G628" s="8"/>
      <c r="H628" s="8"/>
      <c r="I628" s="8"/>
      <c r="J628" s="8"/>
      <c r="K628" s="8"/>
      <c r="L628" s="8"/>
      <c r="M628" s="8"/>
      <c r="N628" s="8"/>
      <c r="O628" s="8"/>
      <c r="P628" s="8"/>
      <c r="Q628" s="8"/>
      <c r="R628" s="8"/>
      <c r="S628" s="8"/>
      <c r="T628" s="8"/>
      <c r="U628" s="8"/>
      <c r="V628" s="8"/>
      <c r="W628" s="8"/>
    </row>
    <row r="629" spans="1:23" ht="12.75" x14ac:dyDescent="0.2">
      <c r="A629" s="8"/>
      <c r="B629" s="8"/>
      <c r="C629" s="8"/>
      <c r="D629" s="8"/>
      <c r="E629" s="8"/>
      <c r="F629" s="8"/>
      <c r="G629" s="8"/>
      <c r="H629" s="8"/>
      <c r="I629" s="8"/>
      <c r="J629" s="8"/>
      <c r="K629" s="8"/>
      <c r="L629" s="8"/>
      <c r="M629" s="8"/>
      <c r="N629" s="8"/>
      <c r="O629" s="8"/>
      <c r="P629" s="8"/>
      <c r="Q629" s="8"/>
      <c r="R629" s="8"/>
      <c r="S629" s="8"/>
      <c r="T629" s="8"/>
      <c r="U629" s="8"/>
      <c r="V629" s="8"/>
      <c r="W629" s="8"/>
    </row>
    <row r="630" spans="1:23" ht="12.75" x14ac:dyDescent="0.2">
      <c r="A630" s="8"/>
      <c r="B630" s="8"/>
      <c r="C630" s="8"/>
      <c r="D630" s="8"/>
      <c r="E630" s="8"/>
      <c r="F630" s="8"/>
      <c r="G630" s="8"/>
      <c r="H630" s="8"/>
      <c r="I630" s="8"/>
      <c r="J630" s="8"/>
      <c r="K630" s="8"/>
      <c r="L630" s="8"/>
      <c r="M630" s="8"/>
      <c r="N630" s="8"/>
      <c r="O630" s="8"/>
      <c r="P630" s="8"/>
      <c r="Q630" s="8"/>
      <c r="R630" s="8"/>
      <c r="S630" s="8"/>
      <c r="T630" s="8"/>
      <c r="U630" s="8"/>
      <c r="V630" s="8"/>
      <c r="W630" s="8"/>
    </row>
    <row r="631" spans="1:23" ht="12.75" x14ac:dyDescent="0.2">
      <c r="A631" s="8"/>
      <c r="B631" s="8"/>
      <c r="C631" s="8"/>
      <c r="D631" s="8"/>
      <c r="E631" s="8"/>
      <c r="F631" s="8"/>
      <c r="G631" s="8"/>
      <c r="H631" s="8"/>
      <c r="I631" s="8"/>
      <c r="J631" s="8"/>
      <c r="K631" s="8"/>
      <c r="L631" s="8"/>
      <c r="M631" s="8"/>
      <c r="N631" s="8"/>
      <c r="O631" s="8"/>
      <c r="P631" s="8"/>
      <c r="Q631" s="8"/>
      <c r="R631" s="8"/>
      <c r="S631" s="8"/>
      <c r="T631" s="8"/>
      <c r="U631" s="8"/>
      <c r="V631" s="8"/>
      <c r="W631" s="8"/>
    </row>
    <row r="632" spans="1:23" ht="12.75" x14ac:dyDescent="0.2">
      <c r="A632" s="8"/>
      <c r="B632" s="8"/>
      <c r="C632" s="8"/>
      <c r="D632" s="8"/>
      <c r="E632" s="8"/>
      <c r="F632" s="8"/>
      <c r="G632" s="8"/>
      <c r="H632" s="8"/>
      <c r="I632" s="8"/>
      <c r="J632" s="8"/>
      <c r="K632" s="8"/>
      <c r="L632" s="8"/>
      <c r="M632" s="8"/>
      <c r="N632" s="8"/>
      <c r="O632" s="8"/>
      <c r="P632" s="8"/>
      <c r="Q632" s="8"/>
      <c r="R632" s="8"/>
      <c r="S632" s="8"/>
      <c r="T632" s="8"/>
      <c r="U632" s="8"/>
      <c r="V632" s="8"/>
      <c r="W632" s="8"/>
    </row>
    <row r="633" spans="1:23" ht="12.75" x14ac:dyDescent="0.2">
      <c r="A633" s="8"/>
      <c r="B633" s="8"/>
      <c r="C633" s="8"/>
      <c r="D633" s="8"/>
      <c r="E633" s="8"/>
      <c r="F633" s="8"/>
      <c r="G633" s="8"/>
      <c r="H633" s="8"/>
      <c r="I633" s="8"/>
      <c r="J633" s="8"/>
      <c r="K633" s="8"/>
      <c r="L633" s="8"/>
      <c r="M633" s="8"/>
      <c r="N633" s="8"/>
      <c r="O633" s="8"/>
      <c r="P633" s="8"/>
      <c r="Q633" s="8"/>
      <c r="R633" s="8"/>
      <c r="S633" s="8"/>
      <c r="T633" s="8"/>
      <c r="U633" s="8"/>
      <c r="V633" s="8"/>
      <c r="W633" s="8"/>
    </row>
    <row r="634" spans="1:23" ht="12.75" x14ac:dyDescent="0.2">
      <c r="A634" s="8"/>
      <c r="B634" s="8"/>
      <c r="C634" s="8"/>
      <c r="D634" s="8"/>
      <c r="E634" s="8"/>
      <c r="F634" s="8"/>
      <c r="G634" s="8"/>
      <c r="H634" s="8"/>
      <c r="I634" s="8"/>
      <c r="J634" s="8"/>
      <c r="K634" s="8"/>
      <c r="L634" s="8"/>
      <c r="M634" s="8"/>
      <c r="N634" s="8"/>
      <c r="O634" s="8"/>
      <c r="P634" s="8"/>
      <c r="Q634" s="8"/>
      <c r="R634" s="8"/>
      <c r="S634" s="8"/>
      <c r="T634" s="8"/>
      <c r="U634" s="8"/>
      <c r="V634" s="8"/>
      <c r="W634" s="8"/>
    </row>
    <row r="635" spans="1:23" ht="12.75" x14ac:dyDescent="0.2">
      <c r="A635" s="8"/>
      <c r="B635" s="8"/>
      <c r="C635" s="8"/>
      <c r="D635" s="8"/>
      <c r="E635" s="8"/>
      <c r="F635" s="8"/>
      <c r="G635" s="8"/>
      <c r="H635" s="8"/>
      <c r="I635" s="8"/>
      <c r="J635" s="8"/>
      <c r="K635" s="8"/>
      <c r="L635" s="8"/>
      <c r="M635" s="8"/>
      <c r="N635" s="8"/>
      <c r="O635" s="8"/>
      <c r="P635" s="8"/>
      <c r="Q635" s="8"/>
      <c r="R635" s="8"/>
      <c r="S635" s="8"/>
      <c r="T635" s="8"/>
      <c r="U635" s="8"/>
      <c r="V635" s="8"/>
      <c r="W635" s="8"/>
    </row>
    <row r="636" spans="1:23" ht="12.75" x14ac:dyDescent="0.2">
      <c r="A636" s="8"/>
      <c r="B636" s="8"/>
      <c r="C636" s="8"/>
      <c r="D636" s="8"/>
      <c r="E636" s="8"/>
      <c r="F636" s="8"/>
      <c r="G636" s="8"/>
      <c r="H636" s="8"/>
      <c r="I636" s="8"/>
      <c r="J636" s="8"/>
      <c r="K636" s="8"/>
      <c r="L636" s="8"/>
      <c r="M636" s="8"/>
      <c r="N636" s="8"/>
      <c r="O636" s="8"/>
      <c r="P636" s="8"/>
      <c r="Q636" s="8"/>
      <c r="R636" s="8"/>
      <c r="S636" s="8"/>
      <c r="T636" s="8"/>
      <c r="U636" s="8"/>
      <c r="V636" s="8"/>
      <c r="W636" s="8"/>
    </row>
    <row r="637" spans="1:23" ht="12.75" x14ac:dyDescent="0.2">
      <c r="A637" s="8"/>
      <c r="B637" s="8"/>
      <c r="C637" s="8"/>
      <c r="D637" s="8"/>
      <c r="E637" s="8"/>
      <c r="F637" s="8"/>
      <c r="G637" s="8"/>
      <c r="H637" s="8"/>
      <c r="I637" s="8"/>
      <c r="J637" s="8"/>
      <c r="K637" s="8"/>
      <c r="L637" s="8"/>
      <c r="M637" s="8"/>
      <c r="N637" s="8"/>
      <c r="O637" s="8"/>
      <c r="P637" s="8"/>
      <c r="Q637" s="8"/>
      <c r="R637" s="8"/>
      <c r="S637" s="8"/>
      <c r="T637" s="8"/>
      <c r="U637" s="8"/>
      <c r="V637" s="8"/>
      <c r="W637" s="8"/>
    </row>
    <row r="638" spans="1:23" ht="12.75" x14ac:dyDescent="0.2">
      <c r="A638" s="8"/>
      <c r="B638" s="8"/>
      <c r="C638" s="8"/>
      <c r="D638" s="8"/>
      <c r="E638" s="8"/>
      <c r="F638" s="8"/>
      <c r="G638" s="8"/>
      <c r="H638" s="8"/>
      <c r="I638" s="8"/>
      <c r="J638" s="8"/>
      <c r="K638" s="8"/>
      <c r="L638" s="8"/>
      <c r="M638" s="8"/>
      <c r="N638" s="8"/>
      <c r="O638" s="8"/>
      <c r="P638" s="8"/>
      <c r="Q638" s="8"/>
      <c r="R638" s="8"/>
      <c r="S638" s="8"/>
      <c r="T638" s="8"/>
      <c r="U638" s="8"/>
      <c r="V638" s="8"/>
      <c r="W638" s="8"/>
    </row>
    <row r="639" spans="1:23" ht="12.75" x14ac:dyDescent="0.2">
      <c r="A639" s="8"/>
      <c r="B639" s="8"/>
      <c r="C639" s="8"/>
      <c r="D639" s="8"/>
      <c r="E639" s="8"/>
      <c r="F639" s="8"/>
      <c r="G639" s="8"/>
      <c r="H639" s="8"/>
      <c r="I639" s="8"/>
      <c r="J639" s="8"/>
      <c r="K639" s="8"/>
      <c r="L639" s="8"/>
      <c r="M639" s="8"/>
      <c r="N639" s="8"/>
      <c r="O639" s="8"/>
      <c r="P639" s="8"/>
      <c r="Q639" s="8"/>
      <c r="R639" s="8"/>
      <c r="S639" s="8"/>
      <c r="T639" s="8"/>
      <c r="U639" s="8"/>
      <c r="V639" s="8"/>
      <c r="W639" s="8"/>
    </row>
    <row r="640" spans="1:23" ht="12.75" x14ac:dyDescent="0.2">
      <c r="A640" s="8"/>
      <c r="B640" s="8"/>
      <c r="C640" s="8"/>
      <c r="D640" s="8"/>
      <c r="E640" s="8"/>
      <c r="F640" s="8"/>
      <c r="G640" s="8"/>
      <c r="H640" s="8"/>
      <c r="I640" s="8"/>
      <c r="J640" s="8"/>
      <c r="K640" s="8"/>
      <c r="L640" s="8"/>
      <c r="M640" s="8"/>
      <c r="N640" s="8"/>
      <c r="O640" s="8"/>
      <c r="P640" s="8"/>
      <c r="Q640" s="8"/>
      <c r="R640" s="8"/>
      <c r="S640" s="8"/>
      <c r="T640" s="8"/>
      <c r="U640" s="8"/>
      <c r="V640" s="8"/>
      <c r="W640" s="8"/>
    </row>
    <row r="641" spans="1:23" ht="12.75" x14ac:dyDescent="0.2">
      <c r="A641" s="8"/>
      <c r="B641" s="8"/>
      <c r="C641" s="8"/>
      <c r="D641" s="8"/>
      <c r="E641" s="8"/>
      <c r="F641" s="8"/>
      <c r="G641" s="8"/>
      <c r="H641" s="8"/>
      <c r="I641" s="8"/>
      <c r="J641" s="8"/>
      <c r="K641" s="8"/>
      <c r="L641" s="8"/>
      <c r="M641" s="8"/>
      <c r="N641" s="8"/>
      <c r="O641" s="8"/>
      <c r="P641" s="8"/>
      <c r="Q641" s="8"/>
      <c r="R641" s="8"/>
      <c r="S641" s="8"/>
      <c r="T641" s="8"/>
      <c r="U641" s="8"/>
      <c r="V641" s="8"/>
      <c r="W641" s="8"/>
    </row>
    <row r="642" spans="1:23" ht="12.75" x14ac:dyDescent="0.2">
      <c r="A642" s="8"/>
      <c r="B642" s="8"/>
      <c r="C642" s="8"/>
      <c r="D642" s="8"/>
      <c r="E642" s="8"/>
      <c r="F642" s="8"/>
      <c r="G642" s="8"/>
      <c r="H642" s="8"/>
      <c r="I642" s="8"/>
      <c r="J642" s="8"/>
      <c r="K642" s="8"/>
      <c r="L642" s="8"/>
      <c r="M642" s="8"/>
      <c r="N642" s="8"/>
      <c r="O642" s="8"/>
      <c r="P642" s="8"/>
      <c r="Q642" s="8"/>
      <c r="R642" s="8"/>
      <c r="S642" s="8"/>
      <c r="T642" s="8"/>
      <c r="U642" s="8"/>
      <c r="V642" s="8"/>
      <c r="W642" s="8"/>
    </row>
    <row r="643" spans="1:23" ht="12.75" x14ac:dyDescent="0.2">
      <c r="A643" s="8"/>
      <c r="B643" s="8"/>
      <c r="C643" s="8"/>
      <c r="D643" s="8"/>
      <c r="E643" s="8"/>
      <c r="F643" s="8"/>
      <c r="G643" s="8"/>
      <c r="H643" s="8"/>
      <c r="I643" s="8"/>
      <c r="J643" s="8"/>
      <c r="K643" s="8"/>
      <c r="L643" s="8"/>
      <c r="M643" s="8"/>
      <c r="N643" s="8"/>
      <c r="O643" s="8"/>
      <c r="P643" s="8"/>
      <c r="Q643" s="8"/>
      <c r="R643" s="8"/>
      <c r="S643" s="8"/>
      <c r="T643" s="8"/>
      <c r="U643" s="8"/>
      <c r="V643" s="8"/>
      <c r="W643" s="8"/>
    </row>
    <row r="644" spans="1:23" ht="12.75" x14ac:dyDescent="0.2">
      <c r="A644" s="8"/>
      <c r="B644" s="8"/>
      <c r="C644" s="8"/>
      <c r="D644" s="8"/>
      <c r="E644" s="8"/>
      <c r="F644" s="8"/>
      <c r="G644" s="8"/>
      <c r="H644" s="8"/>
      <c r="I644" s="8"/>
      <c r="J644" s="8"/>
      <c r="K644" s="8"/>
      <c r="L644" s="8"/>
      <c r="M644" s="8"/>
      <c r="N644" s="8"/>
      <c r="O644" s="8"/>
      <c r="P644" s="8"/>
      <c r="Q644" s="8"/>
      <c r="R644" s="8"/>
      <c r="S644" s="8"/>
      <c r="T644" s="8"/>
      <c r="U644" s="8"/>
      <c r="V644" s="8"/>
      <c r="W644" s="8"/>
    </row>
    <row r="645" spans="1:23" ht="12.75" x14ac:dyDescent="0.2">
      <c r="A645" s="8"/>
      <c r="B645" s="8"/>
      <c r="C645" s="8"/>
      <c r="D645" s="8"/>
      <c r="E645" s="8"/>
      <c r="F645" s="8"/>
      <c r="G645" s="8"/>
      <c r="H645" s="8"/>
      <c r="I645" s="8"/>
      <c r="J645" s="8"/>
      <c r="K645" s="8"/>
      <c r="L645" s="8"/>
      <c r="M645" s="8"/>
      <c r="N645" s="8"/>
      <c r="O645" s="8"/>
      <c r="P645" s="8"/>
      <c r="Q645" s="8"/>
      <c r="R645" s="8"/>
      <c r="S645" s="8"/>
      <c r="T645" s="8"/>
      <c r="U645" s="8"/>
      <c r="V645" s="8"/>
      <c r="W645" s="8"/>
    </row>
    <row r="646" spans="1:23" ht="12.75" x14ac:dyDescent="0.2">
      <c r="A646" s="8"/>
      <c r="B646" s="8"/>
      <c r="C646" s="8"/>
      <c r="D646" s="8"/>
      <c r="E646" s="8"/>
      <c r="F646" s="8"/>
      <c r="G646" s="8"/>
      <c r="H646" s="8"/>
      <c r="I646" s="8"/>
      <c r="J646" s="8"/>
      <c r="K646" s="8"/>
      <c r="L646" s="8"/>
      <c r="M646" s="8"/>
      <c r="N646" s="8"/>
      <c r="O646" s="8"/>
      <c r="P646" s="8"/>
      <c r="Q646" s="8"/>
      <c r="R646" s="8"/>
      <c r="S646" s="8"/>
      <c r="T646" s="8"/>
      <c r="U646" s="8"/>
      <c r="V646" s="8"/>
      <c r="W646" s="8"/>
    </row>
    <row r="647" spans="1:23" ht="12.75" x14ac:dyDescent="0.2">
      <c r="A647" s="8"/>
      <c r="B647" s="8"/>
      <c r="C647" s="8"/>
      <c r="D647" s="8"/>
      <c r="E647" s="8"/>
      <c r="F647" s="8"/>
      <c r="G647" s="8"/>
      <c r="H647" s="8"/>
      <c r="I647" s="8"/>
      <c r="J647" s="8"/>
      <c r="K647" s="8"/>
      <c r="L647" s="8"/>
      <c r="M647" s="8"/>
      <c r="N647" s="8"/>
      <c r="O647" s="8"/>
      <c r="P647" s="8"/>
      <c r="Q647" s="8"/>
      <c r="R647" s="8"/>
      <c r="S647" s="8"/>
      <c r="T647" s="8"/>
      <c r="U647" s="8"/>
      <c r="V647" s="8"/>
      <c r="W647" s="8"/>
    </row>
    <row r="648" spans="1:23" ht="12.75" x14ac:dyDescent="0.2">
      <c r="A648" s="8"/>
      <c r="B648" s="8"/>
      <c r="C648" s="8"/>
      <c r="D648" s="8"/>
      <c r="E648" s="8"/>
      <c r="F648" s="8"/>
      <c r="G648" s="8"/>
      <c r="H648" s="8"/>
      <c r="I648" s="8"/>
      <c r="J648" s="8"/>
      <c r="K648" s="8"/>
      <c r="L648" s="8"/>
      <c r="M648" s="8"/>
      <c r="N648" s="8"/>
      <c r="O648" s="8"/>
      <c r="P648" s="8"/>
      <c r="Q648" s="8"/>
      <c r="R648" s="8"/>
      <c r="S648" s="8"/>
      <c r="T648" s="8"/>
      <c r="U648" s="8"/>
      <c r="V648" s="8"/>
      <c r="W648" s="8"/>
    </row>
    <row r="649" spans="1:23" ht="12.75" x14ac:dyDescent="0.2">
      <c r="A649" s="8"/>
      <c r="B649" s="8"/>
      <c r="C649" s="8"/>
      <c r="D649" s="8"/>
      <c r="E649" s="8"/>
      <c r="F649" s="8"/>
      <c r="G649" s="8"/>
      <c r="H649" s="8"/>
      <c r="I649" s="8"/>
      <c r="J649" s="8"/>
      <c r="K649" s="8"/>
      <c r="L649" s="8"/>
      <c r="M649" s="8"/>
      <c r="N649" s="8"/>
      <c r="O649" s="8"/>
      <c r="P649" s="8"/>
      <c r="Q649" s="8"/>
      <c r="R649" s="8"/>
      <c r="S649" s="8"/>
      <c r="T649" s="8"/>
      <c r="U649" s="8"/>
      <c r="V649" s="8"/>
      <c r="W649" s="8"/>
    </row>
    <row r="650" spans="1:23" ht="12.75" x14ac:dyDescent="0.2">
      <c r="A650" s="8"/>
      <c r="B650" s="8"/>
      <c r="C650" s="8"/>
      <c r="D650" s="8"/>
      <c r="E650" s="8"/>
      <c r="F650" s="8"/>
      <c r="G650" s="8"/>
      <c r="H650" s="8"/>
      <c r="I650" s="8"/>
      <c r="J650" s="8"/>
      <c r="K650" s="8"/>
      <c r="L650" s="8"/>
      <c r="M650" s="8"/>
      <c r="N650" s="8"/>
      <c r="O650" s="8"/>
      <c r="P650" s="8"/>
      <c r="Q650" s="8"/>
      <c r="R650" s="8"/>
      <c r="S650" s="8"/>
      <c r="T650" s="8"/>
      <c r="U650" s="8"/>
      <c r="V650" s="8"/>
      <c r="W650" s="8"/>
    </row>
    <row r="651" spans="1:23" ht="12.75" x14ac:dyDescent="0.2">
      <c r="A651" s="8"/>
      <c r="B651" s="8"/>
      <c r="C651" s="8"/>
      <c r="D651" s="8"/>
      <c r="E651" s="8"/>
      <c r="F651" s="8"/>
      <c r="G651" s="8"/>
      <c r="H651" s="8"/>
      <c r="I651" s="8"/>
      <c r="J651" s="8"/>
      <c r="K651" s="8"/>
      <c r="L651" s="8"/>
      <c r="M651" s="8"/>
      <c r="N651" s="8"/>
      <c r="O651" s="8"/>
      <c r="P651" s="8"/>
      <c r="Q651" s="8"/>
      <c r="R651" s="8"/>
      <c r="S651" s="8"/>
      <c r="T651" s="8"/>
      <c r="U651" s="8"/>
      <c r="V651" s="8"/>
      <c r="W651" s="8"/>
    </row>
    <row r="652" spans="1:23" ht="12.75" x14ac:dyDescent="0.2">
      <c r="A652" s="8"/>
      <c r="B652" s="8"/>
      <c r="C652" s="8"/>
      <c r="D652" s="8"/>
      <c r="E652" s="8"/>
      <c r="F652" s="8"/>
      <c r="G652" s="8"/>
      <c r="H652" s="8"/>
      <c r="I652" s="8"/>
      <c r="J652" s="8"/>
      <c r="K652" s="8"/>
      <c r="L652" s="8"/>
      <c r="M652" s="8"/>
      <c r="N652" s="8"/>
      <c r="O652" s="8"/>
      <c r="P652" s="8"/>
      <c r="Q652" s="8"/>
      <c r="R652" s="8"/>
      <c r="S652" s="8"/>
      <c r="T652" s="8"/>
      <c r="U652" s="8"/>
      <c r="V652" s="8"/>
      <c r="W652" s="8"/>
    </row>
    <row r="653" spans="1:23" ht="12.75" x14ac:dyDescent="0.2">
      <c r="A653" s="8"/>
      <c r="B653" s="8"/>
      <c r="C653" s="8"/>
      <c r="D653" s="8"/>
      <c r="E653" s="8"/>
      <c r="F653" s="8"/>
      <c r="G653" s="8"/>
      <c r="H653" s="8"/>
      <c r="I653" s="8"/>
      <c r="J653" s="8"/>
      <c r="K653" s="8"/>
      <c r="L653" s="8"/>
      <c r="M653" s="8"/>
      <c r="N653" s="8"/>
      <c r="O653" s="8"/>
      <c r="P653" s="8"/>
      <c r="Q653" s="8"/>
      <c r="R653" s="8"/>
      <c r="S653" s="8"/>
      <c r="T653" s="8"/>
      <c r="U653" s="8"/>
      <c r="V653" s="8"/>
      <c r="W653" s="8"/>
    </row>
    <row r="654" spans="1:23" ht="12.75" x14ac:dyDescent="0.2">
      <c r="A654" s="8"/>
      <c r="B654" s="8"/>
      <c r="C654" s="8"/>
      <c r="D654" s="8"/>
      <c r="E654" s="8"/>
      <c r="F654" s="8"/>
      <c r="G654" s="8"/>
      <c r="H654" s="8"/>
      <c r="I654" s="8"/>
      <c r="J654" s="8"/>
      <c r="K654" s="8"/>
      <c r="L654" s="8"/>
      <c r="M654" s="8"/>
      <c r="N654" s="8"/>
      <c r="O654" s="8"/>
      <c r="P654" s="8"/>
      <c r="Q654" s="8"/>
      <c r="R654" s="8"/>
      <c r="S654" s="8"/>
      <c r="T654" s="8"/>
      <c r="U654" s="8"/>
      <c r="V654" s="8"/>
      <c r="W654" s="8"/>
    </row>
    <row r="655" spans="1:23" ht="12.75" x14ac:dyDescent="0.2">
      <c r="A655" s="8"/>
      <c r="B655" s="8"/>
      <c r="C655" s="8"/>
      <c r="D655" s="8"/>
      <c r="E655" s="8"/>
      <c r="F655" s="8"/>
      <c r="G655" s="8"/>
      <c r="H655" s="8"/>
      <c r="I655" s="8"/>
      <c r="J655" s="8"/>
      <c r="K655" s="8"/>
      <c r="L655" s="8"/>
      <c r="M655" s="8"/>
      <c r="N655" s="8"/>
      <c r="O655" s="8"/>
      <c r="P655" s="8"/>
      <c r="Q655" s="8"/>
      <c r="R655" s="8"/>
      <c r="S655" s="8"/>
      <c r="T655" s="8"/>
      <c r="U655" s="8"/>
      <c r="V655" s="8"/>
      <c r="W655" s="8"/>
    </row>
    <row r="656" spans="1:23" ht="12.75" x14ac:dyDescent="0.2">
      <c r="A656" s="8"/>
      <c r="B656" s="8"/>
      <c r="C656" s="8"/>
      <c r="D656" s="8"/>
      <c r="E656" s="8"/>
      <c r="F656" s="8"/>
      <c r="G656" s="8"/>
      <c r="H656" s="8"/>
      <c r="I656" s="8"/>
      <c r="J656" s="8"/>
      <c r="K656" s="8"/>
      <c r="L656" s="8"/>
      <c r="M656" s="8"/>
      <c r="N656" s="8"/>
      <c r="O656" s="8"/>
      <c r="P656" s="8"/>
      <c r="Q656" s="8"/>
      <c r="R656" s="8"/>
      <c r="S656" s="8"/>
      <c r="T656" s="8"/>
      <c r="U656" s="8"/>
      <c r="V656" s="8"/>
      <c r="W656" s="8"/>
    </row>
    <row r="657" spans="1:23" ht="12.75" x14ac:dyDescent="0.2">
      <c r="A657" s="8"/>
      <c r="B657" s="8"/>
      <c r="C657" s="8"/>
      <c r="D657" s="8"/>
      <c r="E657" s="8"/>
      <c r="F657" s="8"/>
      <c r="G657" s="8"/>
      <c r="H657" s="8"/>
      <c r="I657" s="8"/>
      <c r="J657" s="8"/>
      <c r="K657" s="8"/>
      <c r="L657" s="8"/>
      <c r="M657" s="8"/>
      <c r="N657" s="8"/>
      <c r="O657" s="8"/>
      <c r="P657" s="8"/>
      <c r="Q657" s="8"/>
      <c r="R657" s="8"/>
      <c r="S657" s="8"/>
      <c r="T657" s="8"/>
      <c r="U657" s="8"/>
      <c r="V657" s="8"/>
      <c r="W657" s="8"/>
    </row>
    <row r="658" spans="1:23" ht="12.75" x14ac:dyDescent="0.2">
      <c r="A658" s="8"/>
      <c r="B658" s="8"/>
      <c r="C658" s="8"/>
      <c r="D658" s="8"/>
      <c r="E658" s="8"/>
      <c r="F658" s="8"/>
      <c r="G658" s="8"/>
      <c r="H658" s="8"/>
      <c r="I658" s="8"/>
      <c r="J658" s="8"/>
      <c r="K658" s="8"/>
      <c r="L658" s="8"/>
      <c r="M658" s="8"/>
      <c r="N658" s="8"/>
      <c r="O658" s="8"/>
      <c r="P658" s="8"/>
      <c r="Q658" s="8"/>
      <c r="R658" s="8"/>
      <c r="S658" s="8"/>
      <c r="T658" s="8"/>
      <c r="U658" s="8"/>
      <c r="V658" s="8"/>
      <c r="W658" s="8"/>
    </row>
    <row r="659" spans="1:23" ht="12.75" x14ac:dyDescent="0.2">
      <c r="A659" s="8"/>
      <c r="B659" s="8"/>
      <c r="C659" s="8"/>
      <c r="D659" s="8"/>
      <c r="E659" s="8"/>
      <c r="F659" s="8"/>
      <c r="G659" s="8"/>
      <c r="H659" s="8"/>
      <c r="I659" s="8"/>
      <c r="J659" s="8"/>
      <c r="K659" s="8"/>
      <c r="L659" s="8"/>
      <c r="M659" s="8"/>
      <c r="N659" s="8"/>
      <c r="O659" s="8"/>
      <c r="P659" s="8"/>
      <c r="Q659" s="8"/>
      <c r="R659" s="8"/>
      <c r="S659" s="8"/>
      <c r="T659" s="8"/>
      <c r="U659" s="8"/>
      <c r="V659" s="8"/>
      <c r="W659" s="8"/>
    </row>
    <row r="660" spans="1:23" ht="12.75" x14ac:dyDescent="0.2">
      <c r="A660" s="8"/>
      <c r="B660" s="8"/>
      <c r="C660" s="8"/>
      <c r="D660" s="8"/>
      <c r="E660" s="8"/>
      <c r="F660" s="8"/>
      <c r="G660" s="8"/>
      <c r="H660" s="8"/>
      <c r="I660" s="8"/>
      <c r="J660" s="8"/>
      <c r="K660" s="8"/>
      <c r="L660" s="8"/>
      <c r="M660" s="8"/>
      <c r="N660" s="8"/>
      <c r="O660" s="8"/>
      <c r="P660" s="8"/>
      <c r="Q660" s="8"/>
      <c r="R660" s="8"/>
      <c r="S660" s="8"/>
      <c r="T660" s="8"/>
      <c r="U660" s="8"/>
      <c r="V660" s="8"/>
      <c r="W660" s="8"/>
    </row>
    <row r="661" spans="1:23" ht="12.75" x14ac:dyDescent="0.2">
      <c r="A661" s="8"/>
      <c r="B661" s="8"/>
      <c r="C661" s="8"/>
      <c r="D661" s="8"/>
      <c r="E661" s="8"/>
      <c r="F661" s="8"/>
      <c r="G661" s="8"/>
      <c r="H661" s="8"/>
      <c r="I661" s="8"/>
      <c r="J661" s="8"/>
      <c r="K661" s="8"/>
      <c r="L661" s="8"/>
      <c r="M661" s="8"/>
      <c r="N661" s="8"/>
      <c r="O661" s="8"/>
      <c r="P661" s="8"/>
      <c r="Q661" s="8"/>
      <c r="R661" s="8"/>
      <c r="S661" s="8"/>
      <c r="T661" s="8"/>
      <c r="U661" s="8"/>
      <c r="V661" s="8"/>
      <c r="W661" s="8"/>
    </row>
    <row r="662" spans="1:23" ht="12.75" x14ac:dyDescent="0.2">
      <c r="A662" s="8"/>
      <c r="B662" s="8"/>
      <c r="C662" s="8"/>
      <c r="D662" s="8"/>
      <c r="E662" s="8"/>
      <c r="F662" s="8"/>
      <c r="G662" s="8"/>
      <c r="H662" s="8"/>
      <c r="I662" s="8"/>
      <c r="J662" s="8"/>
      <c r="K662" s="8"/>
      <c r="L662" s="8"/>
      <c r="M662" s="8"/>
      <c r="N662" s="8"/>
      <c r="O662" s="8"/>
      <c r="P662" s="8"/>
      <c r="Q662" s="8"/>
      <c r="R662" s="8"/>
      <c r="S662" s="8"/>
      <c r="T662" s="8"/>
      <c r="U662" s="8"/>
      <c r="V662" s="8"/>
      <c r="W662" s="8"/>
    </row>
    <row r="663" spans="1:23" ht="12.75" x14ac:dyDescent="0.2">
      <c r="A663" s="8"/>
      <c r="B663" s="8"/>
      <c r="C663" s="8"/>
      <c r="D663" s="8"/>
      <c r="E663" s="8"/>
      <c r="F663" s="8"/>
      <c r="G663" s="8"/>
      <c r="H663" s="8"/>
      <c r="I663" s="8"/>
      <c r="J663" s="8"/>
      <c r="K663" s="8"/>
      <c r="L663" s="8"/>
      <c r="M663" s="8"/>
      <c r="N663" s="8"/>
      <c r="O663" s="8"/>
      <c r="P663" s="8"/>
      <c r="Q663" s="8"/>
      <c r="R663" s="8"/>
      <c r="S663" s="8"/>
      <c r="T663" s="8"/>
      <c r="U663" s="8"/>
      <c r="V663" s="8"/>
      <c r="W663" s="8"/>
    </row>
    <row r="664" spans="1:23" ht="12.75" x14ac:dyDescent="0.2">
      <c r="A664" s="8"/>
      <c r="B664" s="8"/>
      <c r="C664" s="8"/>
      <c r="D664" s="8"/>
      <c r="E664" s="8"/>
      <c r="F664" s="8"/>
      <c r="G664" s="8"/>
      <c r="H664" s="8"/>
      <c r="I664" s="8"/>
      <c r="J664" s="8"/>
      <c r="K664" s="8"/>
      <c r="L664" s="8"/>
      <c r="M664" s="8"/>
      <c r="N664" s="8"/>
      <c r="O664" s="8"/>
      <c r="P664" s="8"/>
      <c r="Q664" s="8"/>
      <c r="R664" s="8"/>
      <c r="S664" s="8"/>
      <c r="T664" s="8"/>
      <c r="U664" s="8"/>
      <c r="V664" s="8"/>
      <c r="W664" s="8"/>
    </row>
    <row r="665" spans="1:23" ht="12.75" x14ac:dyDescent="0.2">
      <c r="A665" s="8"/>
      <c r="B665" s="8"/>
      <c r="C665" s="8"/>
      <c r="D665" s="8"/>
      <c r="E665" s="8"/>
      <c r="F665" s="8"/>
      <c r="G665" s="8"/>
      <c r="H665" s="8"/>
      <c r="I665" s="8"/>
      <c r="J665" s="8"/>
      <c r="K665" s="8"/>
      <c r="L665" s="8"/>
      <c r="M665" s="8"/>
      <c r="N665" s="8"/>
      <c r="O665" s="8"/>
      <c r="P665" s="8"/>
      <c r="Q665" s="8"/>
      <c r="R665" s="8"/>
      <c r="S665" s="8"/>
      <c r="T665" s="8"/>
      <c r="U665" s="8"/>
      <c r="V665" s="8"/>
      <c r="W665" s="8"/>
    </row>
    <row r="666" spans="1:23" ht="12.75" x14ac:dyDescent="0.2">
      <c r="A666" s="8"/>
      <c r="B666" s="8"/>
      <c r="C666" s="8"/>
      <c r="D666" s="8"/>
      <c r="E666" s="8"/>
      <c r="F666" s="8"/>
      <c r="G666" s="8"/>
      <c r="H666" s="8"/>
      <c r="I666" s="8"/>
      <c r="J666" s="8"/>
      <c r="K666" s="8"/>
      <c r="L666" s="8"/>
      <c r="M666" s="8"/>
      <c r="N666" s="8"/>
      <c r="O666" s="8"/>
      <c r="P666" s="8"/>
      <c r="Q666" s="8"/>
      <c r="R666" s="8"/>
      <c r="S666" s="8"/>
      <c r="T666" s="8"/>
      <c r="U666" s="8"/>
      <c r="V666" s="8"/>
      <c r="W666" s="8"/>
    </row>
    <row r="667" spans="1:23" ht="12.75" x14ac:dyDescent="0.2">
      <c r="A667" s="8"/>
      <c r="B667" s="8"/>
      <c r="C667" s="8"/>
      <c r="D667" s="8"/>
      <c r="E667" s="8"/>
      <c r="F667" s="8"/>
      <c r="G667" s="8"/>
      <c r="H667" s="8"/>
      <c r="I667" s="8"/>
      <c r="J667" s="8"/>
      <c r="K667" s="8"/>
      <c r="L667" s="8"/>
      <c r="M667" s="8"/>
      <c r="N667" s="8"/>
      <c r="O667" s="8"/>
      <c r="P667" s="8"/>
      <c r="Q667" s="8"/>
      <c r="R667" s="8"/>
      <c r="S667" s="8"/>
      <c r="T667" s="8"/>
      <c r="U667" s="8"/>
      <c r="V667" s="8"/>
      <c r="W667" s="8"/>
    </row>
    <row r="668" spans="1:23" ht="12.75" x14ac:dyDescent="0.2">
      <c r="A668" s="8"/>
      <c r="B668" s="8"/>
      <c r="C668" s="8"/>
      <c r="D668" s="8"/>
      <c r="E668" s="8"/>
      <c r="F668" s="8"/>
      <c r="G668" s="8"/>
      <c r="H668" s="8"/>
      <c r="I668" s="8"/>
      <c r="J668" s="8"/>
      <c r="K668" s="8"/>
      <c r="L668" s="8"/>
      <c r="M668" s="8"/>
      <c r="N668" s="8"/>
      <c r="O668" s="8"/>
      <c r="P668" s="8"/>
      <c r="Q668" s="8"/>
      <c r="R668" s="8"/>
      <c r="S668" s="8"/>
      <c r="T668" s="8"/>
      <c r="U668" s="8"/>
      <c r="V668" s="8"/>
      <c r="W668" s="8"/>
    </row>
    <row r="669" spans="1:23" ht="12.75" x14ac:dyDescent="0.2">
      <c r="A669" s="8"/>
      <c r="B669" s="8"/>
      <c r="C669" s="8"/>
      <c r="D669" s="8"/>
      <c r="E669" s="8"/>
      <c r="F669" s="8"/>
      <c r="G669" s="8"/>
      <c r="H669" s="8"/>
      <c r="I669" s="8"/>
      <c r="J669" s="8"/>
      <c r="K669" s="8"/>
      <c r="L669" s="8"/>
      <c r="M669" s="8"/>
      <c r="N669" s="8"/>
      <c r="O669" s="8"/>
      <c r="P669" s="8"/>
      <c r="Q669" s="8"/>
      <c r="R669" s="8"/>
      <c r="S669" s="8"/>
      <c r="T669" s="8"/>
      <c r="U669" s="8"/>
      <c r="V669" s="8"/>
      <c r="W669" s="8"/>
    </row>
    <row r="670" spans="1:23" ht="12.75" x14ac:dyDescent="0.2">
      <c r="A670" s="8"/>
      <c r="B670" s="8"/>
      <c r="C670" s="8"/>
      <c r="D670" s="8"/>
      <c r="E670" s="8"/>
      <c r="F670" s="8"/>
      <c r="G670" s="8"/>
      <c r="H670" s="8"/>
      <c r="I670" s="8"/>
      <c r="J670" s="8"/>
      <c r="K670" s="8"/>
      <c r="L670" s="8"/>
      <c r="M670" s="8"/>
      <c r="N670" s="8"/>
      <c r="O670" s="8"/>
      <c r="P670" s="8"/>
      <c r="Q670" s="8"/>
      <c r="R670" s="8"/>
      <c r="S670" s="8"/>
      <c r="T670" s="8"/>
      <c r="U670" s="8"/>
      <c r="V670" s="8"/>
      <c r="W670" s="8"/>
    </row>
    <row r="671" spans="1:23" ht="12.75" x14ac:dyDescent="0.2">
      <c r="A671" s="8"/>
      <c r="B671" s="8"/>
      <c r="C671" s="8"/>
      <c r="D671" s="8"/>
      <c r="E671" s="8"/>
      <c r="F671" s="8"/>
      <c r="G671" s="8"/>
      <c r="H671" s="8"/>
      <c r="I671" s="8"/>
      <c r="J671" s="8"/>
      <c r="K671" s="8"/>
      <c r="L671" s="8"/>
      <c r="M671" s="8"/>
      <c r="N671" s="8"/>
      <c r="O671" s="8"/>
      <c r="P671" s="8"/>
      <c r="Q671" s="8"/>
      <c r="R671" s="8"/>
      <c r="S671" s="8"/>
      <c r="T671" s="8"/>
      <c r="U671" s="8"/>
      <c r="V671" s="8"/>
      <c r="W671" s="8"/>
    </row>
    <row r="672" spans="1:23" ht="12.75" x14ac:dyDescent="0.2">
      <c r="A672" s="8"/>
      <c r="B672" s="8"/>
      <c r="C672" s="8"/>
      <c r="D672" s="8"/>
      <c r="E672" s="8"/>
      <c r="F672" s="8"/>
      <c r="G672" s="8"/>
      <c r="H672" s="8"/>
      <c r="I672" s="8"/>
      <c r="J672" s="8"/>
      <c r="K672" s="8"/>
      <c r="L672" s="8"/>
      <c r="M672" s="8"/>
      <c r="N672" s="8"/>
      <c r="O672" s="8"/>
      <c r="P672" s="8"/>
      <c r="Q672" s="8"/>
      <c r="R672" s="8"/>
      <c r="S672" s="8"/>
      <c r="T672" s="8"/>
      <c r="U672" s="8"/>
      <c r="V672" s="8"/>
      <c r="W672" s="8"/>
    </row>
    <row r="673" spans="1:23" ht="12.75" x14ac:dyDescent="0.2">
      <c r="A673" s="8"/>
      <c r="B673" s="8"/>
      <c r="C673" s="8"/>
      <c r="D673" s="8"/>
      <c r="E673" s="8"/>
      <c r="F673" s="8"/>
      <c r="G673" s="8"/>
      <c r="H673" s="8"/>
      <c r="I673" s="8"/>
      <c r="J673" s="8"/>
      <c r="K673" s="8"/>
      <c r="L673" s="8"/>
      <c r="M673" s="8"/>
      <c r="N673" s="8"/>
      <c r="O673" s="8"/>
      <c r="P673" s="8"/>
      <c r="Q673" s="8"/>
      <c r="R673" s="8"/>
      <c r="S673" s="8"/>
      <c r="T673" s="8"/>
      <c r="U673" s="8"/>
      <c r="V673" s="8"/>
      <c r="W673" s="8"/>
    </row>
    <row r="674" spans="1:23" ht="12.75" x14ac:dyDescent="0.2">
      <c r="A674" s="8"/>
      <c r="B674" s="8"/>
      <c r="C674" s="8"/>
      <c r="D674" s="8"/>
      <c r="E674" s="8"/>
      <c r="F674" s="8"/>
      <c r="G674" s="8"/>
      <c r="H674" s="8"/>
      <c r="I674" s="8"/>
      <c r="J674" s="8"/>
      <c r="K674" s="8"/>
      <c r="L674" s="8"/>
      <c r="M674" s="8"/>
      <c r="N674" s="8"/>
      <c r="O674" s="8"/>
      <c r="P674" s="8"/>
      <c r="Q674" s="8"/>
      <c r="R674" s="8"/>
      <c r="S674" s="8"/>
      <c r="T674" s="8"/>
      <c r="U674" s="8"/>
      <c r="V674" s="8"/>
      <c r="W674" s="8"/>
    </row>
    <row r="675" spans="1:23" ht="12.75" x14ac:dyDescent="0.2">
      <c r="A675" s="8"/>
      <c r="B675" s="8"/>
      <c r="C675" s="8"/>
      <c r="D675" s="8"/>
      <c r="E675" s="8"/>
      <c r="F675" s="8"/>
      <c r="G675" s="8"/>
      <c r="H675" s="8"/>
      <c r="I675" s="8"/>
      <c r="J675" s="8"/>
      <c r="K675" s="8"/>
      <c r="L675" s="8"/>
      <c r="M675" s="8"/>
      <c r="N675" s="8"/>
      <c r="O675" s="8"/>
      <c r="P675" s="8"/>
      <c r="Q675" s="8"/>
      <c r="R675" s="8"/>
      <c r="S675" s="8"/>
      <c r="T675" s="8"/>
      <c r="U675" s="8"/>
      <c r="V675" s="8"/>
      <c r="W675" s="8"/>
    </row>
    <row r="676" spans="1:23" ht="12.75" x14ac:dyDescent="0.2">
      <c r="A676" s="8"/>
      <c r="B676" s="8"/>
      <c r="C676" s="8"/>
      <c r="D676" s="8"/>
      <c r="E676" s="8"/>
      <c r="F676" s="8"/>
      <c r="G676" s="8"/>
      <c r="H676" s="8"/>
      <c r="I676" s="8"/>
      <c r="J676" s="8"/>
      <c r="K676" s="8"/>
      <c r="L676" s="8"/>
      <c r="M676" s="8"/>
      <c r="N676" s="8"/>
      <c r="O676" s="8"/>
      <c r="P676" s="8"/>
      <c r="Q676" s="8"/>
      <c r="R676" s="8"/>
      <c r="S676" s="8"/>
      <c r="T676" s="8"/>
      <c r="U676" s="8"/>
      <c r="V676" s="8"/>
      <c r="W676" s="8"/>
    </row>
    <row r="677" spans="1:23" ht="12.75" x14ac:dyDescent="0.2">
      <c r="A677" s="8"/>
      <c r="B677" s="8"/>
      <c r="C677" s="8"/>
      <c r="D677" s="8"/>
      <c r="E677" s="8"/>
      <c r="F677" s="8"/>
      <c r="G677" s="8"/>
      <c r="H677" s="8"/>
      <c r="I677" s="8"/>
      <c r="J677" s="8"/>
      <c r="K677" s="8"/>
      <c r="L677" s="8"/>
      <c r="M677" s="8"/>
      <c r="N677" s="8"/>
      <c r="O677" s="8"/>
      <c r="P677" s="8"/>
      <c r="Q677" s="8"/>
      <c r="R677" s="8"/>
      <c r="S677" s="8"/>
      <c r="T677" s="8"/>
      <c r="U677" s="8"/>
      <c r="V677" s="8"/>
      <c r="W677" s="8"/>
    </row>
    <row r="678" spans="1:23" ht="12.75" x14ac:dyDescent="0.2">
      <c r="A678" s="8"/>
      <c r="B678" s="8"/>
      <c r="C678" s="8"/>
      <c r="D678" s="8"/>
      <c r="E678" s="8"/>
      <c r="F678" s="8"/>
      <c r="G678" s="8"/>
      <c r="H678" s="8"/>
      <c r="I678" s="8"/>
      <c r="J678" s="8"/>
      <c r="K678" s="8"/>
      <c r="L678" s="8"/>
      <c r="M678" s="8"/>
      <c r="N678" s="8"/>
      <c r="O678" s="8"/>
      <c r="P678" s="8"/>
      <c r="Q678" s="8"/>
      <c r="R678" s="8"/>
      <c r="S678" s="8"/>
      <c r="T678" s="8"/>
      <c r="U678" s="8"/>
      <c r="V678" s="8"/>
      <c r="W678" s="8"/>
    </row>
    <row r="679" spans="1:23" ht="12.75" x14ac:dyDescent="0.2">
      <c r="A679" s="8"/>
      <c r="B679" s="8"/>
      <c r="C679" s="8"/>
      <c r="D679" s="8"/>
      <c r="E679" s="8"/>
      <c r="F679" s="8"/>
      <c r="G679" s="8"/>
      <c r="H679" s="8"/>
      <c r="I679" s="8"/>
      <c r="J679" s="8"/>
      <c r="K679" s="8"/>
      <c r="L679" s="8"/>
      <c r="M679" s="8"/>
      <c r="N679" s="8"/>
      <c r="O679" s="8"/>
      <c r="P679" s="8"/>
      <c r="Q679" s="8"/>
      <c r="R679" s="8"/>
      <c r="S679" s="8"/>
      <c r="T679" s="8"/>
      <c r="U679" s="8"/>
      <c r="V679" s="8"/>
      <c r="W679" s="8"/>
    </row>
    <row r="680" spans="1:23" ht="12.75" x14ac:dyDescent="0.2">
      <c r="A680" s="8"/>
      <c r="B680" s="8"/>
      <c r="C680" s="8"/>
      <c r="D680" s="8"/>
      <c r="E680" s="8"/>
      <c r="F680" s="8"/>
      <c r="G680" s="8"/>
      <c r="H680" s="8"/>
      <c r="I680" s="8"/>
      <c r="J680" s="8"/>
      <c r="K680" s="8"/>
      <c r="L680" s="8"/>
      <c r="M680" s="8"/>
      <c r="N680" s="8"/>
      <c r="O680" s="8"/>
      <c r="P680" s="8"/>
      <c r="Q680" s="8"/>
      <c r="R680" s="8"/>
      <c r="S680" s="8"/>
      <c r="T680" s="8"/>
      <c r="U680" s="8"/>
      <c r="V680" s="8"/>
      <c r="W680" s="8"/>
    </row>
    <row r="681" spans="1:23" ht="12.75" x14ac:dyDescent="0.2">
      <c r="A681" s="8"/>
      <c r="B681" s="8"/>
      <c r="C681" s="8"/>
      <c r="D681" s="8"/>
      <c r="E681" s="8"/>
      <c r="F681" s="8"/>
      <c r="G681" s="8"/>
      <c r="H681" s="8"/>
      <c r="I681" s="8"/>
      <c r="J681" s="8"/>
      <c r="K681" s="8"/>
      <c r="L681" s="8"/>
      <c r="M681" s="8"/>
      <c r="N681" s="8"/>
      <c r="O681" s="8"/>
      <c r="P681" s="8"/>
      <c r="Q681" s="8"/>
      <c r="R681" s="8"/>
      <c r="S681" s="8"/>
      <c r="T681" s="8"/>
      <c r="U681" s="8"/>
      <c r="V681" s="8"/>
      <c r="W681" s="8"/>
    </row>
    <row r="682" spans="1:23" ht="12.75" x14ac:dyDescent="0.2">
      <c r="A682" s="8"/>
      <c r="B682" s="8"/>
      <c r="C682" s="8"/>
      <c r="D682" s="8"/>
      <c r="E682" s="8"/>
      <c r="F682" s="8"/>
      <c r="G682" s="8"/>
      <c r="H682" s="8"/>
      <c r="I682" s="8"/>
      <c r="J682" s="8"/>
      <c r="K682" s="8"/>
      <c r="L682" s="8"/>
      <c r="M682" s="8"/>
      <c r="N682" s="8"/>
      <c r="O682" s="8"/>
      <c r="P682" s="8"/>
      <c r="Q682" s="8"/>
      <c r="R682" s="8"/>
      <c r="S682" s="8"/>
      <c r="T682" s="8"/>
      <c r="U682" s="8"/>
      <c r="V682" s="8"/>
      <c r="W682" s="8"/>
    </row>
    <row r="683" spans="1:23" ht="12.75" x14ac:dyDescent="0.2">
      <c r="A683" s="8"/>
      <c r="B683" s="8"/>
      <c r="C683" s="8"/>
      <c r="D683" s="8"/>
      <c r="E683" s="8"/>
      <c r="F683" s="8"/>
      <c r="G683" s="8"/>
      <c r="H683" s="8"/>
      <c r="I683" s="8"/>
      <c r="J683" s="8"/>
      <c r="K683" s="8"/>
      <c r="L683" s="8"/>
      <c r="M683" s="8"/>
      <c r="N683" s="8"/>
      <c r="O683" s="8"/>
      <c r="P683" s="8"/>
      <c r="Q683" s="8"/>
      <c r="R683" s="8"/>
      <c r="S683" s="8"/>
      <c r="T683" s="8"/>
      <c r="U683" s="8"/>
      <c r="V683" s="8"/>
      <c r="W683" s="8"/>
    </row>
    <row r="684" spans="1:23" ht="12.75" x14ac:dyDescent="0.2">
      <c r="A684" s="8"/>
      <c r="B684" s="8"/>
      <c r="C684" s="8"/>
      <c r="D684" s="8"/>
      <c r="E684" s="8"/>
      <c r="F684" s="8"/>
      <c r="G684" s="8"/>
      <c r="H684" s="8"/>
      <c r="I684" s="8"/>
      <c r="J684" s="8"/>
      <c r="K684" s="8"/>
      <c r="L684" s="8"/>
      <c r="M684" s="8"/>
      <c r="N684" s="8"/>
      <c r="O684" s="8"/>
      <c r="P684" s="8"/>
      <c r="Q684" s="8"/>
      <c r="R684" s="8"/>
      <c r="S684" s="8"/>
      <c r="T684" s="8"/>
      <c r="U684" s="8"/>
      <c r="V684" s="8"/>
      <c r="W684" s="8"/>
    </row>
    <row r="685" spans="1:23" ht="12.75" x14ac:dyDescent="0.2">
      <c r="A685" s="8"/>
      <c r="B685" s="8"/>
      <c r="C685" s="8"/>
      <c r="D685" s="8"/>
      <c r="E685" s="8"/>
      <c r="F685" s="8"/>
      <c r="G685" s="8"/>
      <c r="H685" s="8"/>
      <c r="I685" s="8"/>
      <c r="J685" s="8"/>
      <c r="K685" s="8"/>
      <c r="L685" s="8"/>
      <c r="M685" s="8"/>
      <c r="N685" s="8"/>
      <c r="O685" s="8"/>
      <c r="P685" s="8"/>
      <c r="Q685" s="8"/>
      <c r="R685" s="8"/>
      <c r="S685" s="8"/>
      <c r="T685" s="8"/>
      <c r="U685" s="8"/>
      <c r="V685" s="8"/>
      <c r="W685" s="8"/>
    </row>
    <row r="686" spans="1:23" ht="12.75" x14ac:dyDescent="0.2">
      <c r="A686" s="8"/>
      <c r="B686" s="8"/>
      <c r="C686" s="8"/>
      <c r="D686" s="8"/>
      <c r="E686" s="8"/>
      <c r="F686" s="8"/>
      <c r="G686" s="8"/>
      <c r="H686" s="8"/>
      <c r="I686" s="8"/>
      <c r="J686" s="8"/>
      <c r="K686" s="8"/>
      <c r="L686" s="8"/>
      <c r="M686" s="8"/>
      <c r="N686" s="8"/>
      <c r="O686" s="8"/>
      <c r="P686" s="8"/>
      <c r="Q686" s="8"/>
      <c r="R686" s="8"/>
      <c r="S686" s="8"/>
      <c r="T686" s="8"/>
      <c r="U686" s="8"/>
      <c r="V686" s="8"/>
      <c r="W686" s="8"/>
    </row>
    <row r="687" spans="1:23" ht="12.75" x14ac:dyDescent="0.2">
      <c r="A687" s="8"/>
      <c r="B687" s="8"/>
      <c r="C687" s="8"/>
      <c r="D687" s="8"/>
      <c r="E687" s="8"/>
      <c r="F687" s="8"/>
      <c r="G687" s="8"/>
      <c r="H687" s="8"/>
      <c r="I687" s="8"/>
      <c r="J687" s="8"/>
      <c r="K687" s="8"/>
      <c r="L687" s="8"/>
      <c r="M687" s="8"/>
      <c r="N687" s="8"/>
      <c r="O687" s="8"/>
      <c r="P687" s="8"/>
      <c r="Q687" s="8"/>
      <c r="R687" s="8"/>
      <c r="S687" s="8"/>
      <c r="T687" s="8"/>
      <c r="U687" s="8"/>
      <c r="V687" s="8"/>
      <c r="W687" s="8"/>
    </row>
    <row r="688" spans="1:23" ht="12.75" x14ac:dyDescent="0.2">
      <c r="A688" s="8"/>
      <c r="B688" s="8"/>
      <c r="C688" s="8"/>
      <c r="D688" s="8"/>
      <c r="E688" s="8"/>
      <c r="F688" s="8"/>
      <c r="G688" s="8"/>
      <c r="H688" s="8"/>
      <c r="I688" s="8"/>
      <c r="J688" s="8"/>
      <c r="K688" s="8"/>
      <c r="L688" s="8"/>
      <c r="M688" s="8"/>
      <c r="N688" s="8"/>
      <c r="O688" s="8"/>
      <c r="P688" s="8"/>
      <c r="Q688" s="8"/>
      <c r="R688" s="8"/>
      <c r="S688" s="8"/>
      <c r="T688" s="8"/>
      <c r="U688" s="8"/>
      <c r="V688" s="8"/>
      <c r="W688" s="8"/>
    </row>
    <row r="689" spans="1:23" ht="12.75" x14ac:dyDescent="0.2">
      <c r="A689" s="8"/>
      <c r="B689" s="8"/>
      <c r="C689" s="8"/>
      <c r="D689" s="8"/>
      <c r="E689" s="8"/>
      <c r="F689" s="8"/>
      <c r="G689" s="8"/>
      <c r="H689" s="8"/>
      <c r="I689" s="8"/>
      <c r="J689" s="8"/>
      <c r="K689" s="8"/>
      <c r="L689" s="8"/>
      <c r="M689" s="8"/>
      <c r="N689" s="8"/>
      <c r="O689" s="8"/>
      <c r="P689" s="8"/>
      <c r="Q689" s="8"/>
      <c r="R689" s="8"/>
      <c r="S689" s="8"/>
      <c r="T689" s="8"/>
      <c r="U689" s="8"/>
      <c r="V689" s="8"/>
      <c r="W689" s="8"/>
    </row>
    <row r="690" spans="1:23" ht="12.75" x14ac:dyDescent="0.2">
      <c r="A690" s="8"/>
      <c r="B690" s="8"/>
      <c r="C690" s="8"/>
      <c r="D690" s="8"/>
      <c r="E690" s="8"/>
      <c r="F690" s="8"/>
      <c r="G690" s="8"/>
      <c r="H690" s="8"/>
      <c r="I690" s="8"/>
      <c r="J690" s="8"/>
      <c r="K690" s="8"/>
      <c r="L690" s="8"/>
      <c r="M690" s="8"/>
      <c r="N690" s="8"/>
      <c r="O690" s="8"/>
      <c r="P690" s="8"/>
      <c r="Q690" s="8"/>
      <c r="R690" s="8"/>
      <c r="S690" s="8"/>
      <c r="T690" s="8"/>
      <c r="U690" s="8"/>
      <c r="V690" s="8"/>
      <c r="W690" s="8"/>
    </row>
    <row r="691" spans="1:23" ht="12.75" x14ac:dyDescent="0.2">
      <c r="A691" s="8"/>
      <c r="B691" s="8"/>
      <c r="C691" s="8"/>
      <c r="D691" s="8"/>
      <c r="E691" s="8"/>
      <c r="F691" s="8"/>
      <c r="G691" s="8"/>
      <c r="H691" s="8"/>
      <c r="I691" s="8"/>
      <c r="J691" s="8"/>
      <c r="K691" s="8"/>
      <c r="L691" s="8"/>
      <c r="M691" s="8"/>
      <c r="N691" s="8"/>
      <c r="O691" s="8"/>
      <c r="P691" s="8"/>
      <c r="Q691" s="8"/>
      <c r="R691" s="8"/>
      <c r="S691" s="8"/>
      <c r="T691" s="8"/>
      <c r="U691" s="8"/>
      <c r="V691" s="8"/>
      <c r="W691" s="8"/>
    </row>
    <row r="692" spans="1:23" ht="12.75" x14ac:dyDescent="0.2">
      <c r="A692" s="8"/>
      <c r="B692" s="8"/>
      <c r="C692" s="8"/>
      <c r="D692" s="8"/>
      <c r="E692" s="8"/>
      <c r="F692" s="8"/>
      <c r="G692" s="8"/>
      <c r="H692" s="8"/>
      <c r="I692" s="8"/>
      <c r="J692" s="8"/>
      <c r="K692" s="8"/>
      <c r="L692" s="8"/>
      <c r="M692" s="8"/>
      <c r="N692" s="8"/>
      <c r="O692" s="8"/>
      <c r="P692" s="8"/>
      <c r="Q692" s="8"/>
      <c r="R692" s="8"/>
      <c r="S692" s="8"/>
      <c r="T692" s="8"/>
      <c r="U692" s="8"/>
      <c r="V692" s="8"/>
      <c r="W692" s="8"/>
    </row>
    <row r="693" spans="1:23" ht="12.75" x14ac:dyDescent="0.2">
      <c r="A693" s="8"/>
      <c r="B693" s="8"/>
      <c r="C693" s="8"/>
      <c r="D693" s="8"/>
      <c r="E693" s="8"/>
      <c r="F693" s="8"/>
      <c r="G693" s="8"/>
      <c r="H693" s="8"/>
      <c r="I693" s="8"/>
      <c r="J693" s="8"/>
      <c r="K693" s="8"/>
      <c r="L693" s="8"/>
      <c r="M693" s="8"/>
      <c r="N693" s="8"/>
      <c r="O693" s="8"/>
      <c r="P693" s="8"/>
      <c r="Q693" s="8"/>
      <c r="R693" s="8"/>
      <c r="S693" s="8"/>
      <c r="T693" s="8"/>
      <c r="U693" s="8"/>
      <c r="V693" s="8"/>
      <c r="W693" s="8"/>
    </row>
    <row r="694" spans="1:23" ht="12.75" x14ac:dyDescent="0.2">
      <c r="A694" s="8"/>
      <c r="B694" s="8"/>
      <c r="C694" s="8"/>
      <c r="D694" s="8"/>
      <c r="E694" s="8"/>
      <c r="F694" s="8"/>
      <c r="G694" s="8"/>
      <c r="H694" s="8"/>
      <c r="I694" s="8"/>
      <c r="J694" s="8"/>
      <c r="K694" s="8"/>
      <c r="L694" s="8"/>
      <c r="M694" s="8"/>
      <c r="N694" s="8"/>
      <c r="O694" s="8"/>
      <c r="P694" s="8"/>
      <c r="Q694" s="8"/>
      <c r="R694" s="8"/>
      <c r="S694" s="8"/>
      <c r="T694" s="8"/>
      <c r="U694" s="8"/>
      <c r="V694" s="8"/>
      <c r="W694" s="8"/>
    </row>
    <row r="695" spans="1:23" ht="12.75" x14ac:dyDescent="0.2">
      <c r="A695" s="8"/>
      <c r="B695" s="8"/>
      <c r="C695" s="8"/>
      <c r="D695" s="8"/>
      <c r="E695" s="8"/>
      <c r="F695" s="8"/>
      <c r="G695" s="8"/>
      <c r="H695" s="8"/>
      <c r="I695" s="8"/>
      <c r="J695" s="8"/>
      <c r="K695" s="8"/>
      <c r="L695" s="8"/>
      <c r="M695" s="8"/>
      <c r="N695" s="8"/>
      <c r="O695" s="8"/>
      <c r="P695" s="8"/>
      <c r="Q695" s="8"/>
      <c r="R695" s="8"/>
      <c r="S695" s="8"/>
      <c r="T695" s="8"/>
      <c r="U695" s="8"/>
      <c r="V695" s="8"/>
      <c r="W695" s="8"/>
    </row>
    <row r="696" spans="1:23" ht="12.75" x14ac:dyDescent="0.2">
      <c r="A696" s="8"/>
      <c r="B696" s="8"/>
      <c r="C696" s="8"/>
      <c r="D696" s="8"/>
      <c r="E696" s="8"/>
      <c r="F696" s="8"/>
      <c r="G696" s="8"/>
      <c r="H696" s="8"/>
      <c r="I696" s="8"/>
      <c r="J696" s="8"/>
      <c r="K696" s="8"/>
      <c r="L696" s="8"/>
      <c r="M696" s="8"/>
      <c r="N696" s="8"/>
      <c r="O696" s="8"/>
      <c r="P696" s="8"/>
      <c r="Q696" s="8"/>
      <c r="R696" s="8"/>
      <c r="S696" s="8"/>
      <c r="T696" s="8"/>
      <c r="U696" s="8"/>
      <c r="V696" s="8"/>
      <c r="W696" s="8"/>
    </row>
    <row r="697" spans="1:23" ht="12.75" x14ac:dyDescent="0.2">
      <c r="A697" s="8"/>
      <c r="B697" s="8"/>
      <c r="C697" s="8"/>
      <c r="D697" s="8"/>
      <c r="E697" s="8"/>
      <c r="F697" s="8"/>
      <c r="G697" s="8"/>
      <c r="H697" s="8"/>
      <c r="I697" s="8"/>
      <c r="J697" s="8"/>
      <c r="K697" s="8"/>
      <c r="L697" s="8"/>
      <c r="M697" s="8"/>
      <c r="N697" s="8"/>
      <c r="O697" s="8"/>
      <c r="P697" s="8"/>
      <c r="Q697" s="8"/>
      <c r="R697" s="8"/>
      <c r="S697" s="8"/>
      <c r="T697" s="8"/>
      <c r="U697" s="8"/>
      <c r="V697" s="8"/>
      <c r="W697" s="8"/>
    </row>
    <row r="698" spans="1:23" ht="12.75" x14ac:dyDescent="0.2">
      <c r="A698" s="8"/>
      <c r="B698" s="8"/>
      <c r="C698" s="8"/>
      <c r="D698" s="8"/>
      <c r="E698" s="8"/>
      <c r="F698" s="8"/>
      <c r="G698" s="8"/>
      <c r="H698" s="8"/>
      <c r="I698" s="8"/>
      <c r="J698" s="8"/>
      <c r="K698" s="8"/>
      <c r="L698" s="8"/>
      <c r="M698" s="8"/>
      <c r="N698" s="8"/>
      <c r="O698" s="8"/>
      <c r="P698" s="8"/>
      <c r="Q698" s="8"/>
      <c r="R698" s="8"/>
      <c r="S698" s="8"/>
      <c r="T698" s="8"/>
      <c r="U698" s="8"/>
      <c r="V698" s="8"/>
      <c r="W698" s="8"/>
    </row>
    <row r="699" spans="1:23" ht="12.75" x14ac:dyDescent="0.2">
      <c r="A699" s="8"/>
      <c r="B699" s="8"/>
      <c r="C699" s="8"/>
      <c r="D699" s="8"/>
      <c r="E699" s="8"/>
      <c r="F699" s="8"/>
      <c r="G699" s="8"/>
      <c r="H699" s="8"/>
      <c r="I699" s="8"/>
      <c r="J699" s="8"/>
      <c r="K699" s="8"/>
      <c r="L699" s="8"/>
      <c r="M699" s="8"/>
      <c r="N699" s="8"/>
      <c r="O699" s="8"/>
      <c r="P699" s="8"/>
      <c r="Q699" s="8"/>
      <c r="R699" s="8"/>
      <c r="S699" s="8"/>
      <c r="T699" s="8"/>
      <c r="U699" s="8"/>
      <c r="V699" s="8"/>
      <c r="W699" s="8"/>
    </row>
    <row r="700" spans="1:23" ht="12.75" x14ac:dyDescent="0.2">
      <c r="A700" s="8"/>
      <c r="B700" s="8"/>
      <c r="C700" s="8"/>
      <c r="D700" s="8"/>
      <c r="E700" s="8"/>
      <c r="F700" s="8"/>
      <c r="G700" s="8"/>
      <c r="H700" s="8"/>
      <c r="I700" s="8"/>
      <c r="J700" s="8"/>
      <c r="K700" s="8"/>
      <c r="L700" s="8"/>
      <c r="M700" s="8"/>
      <c r="N700" s="8"/>
      <c r="O700" s="8"/>
      <c r="P700" s="8"/>
      <c r="Q700" s="8"/>
      <c r="R700" s="8"/>
      <c r="S700" s="8"/>
      <c r="T700" s="8"/>
      <c r="U700" s="8"/>
      <c r="V700" s="8"/>
      <c r="W700" s="8"/>
    </row>
    <row r="701" spans="1:23" ht="12.75" x14ac:dyDescent="0.2">
      <c r="A701" s="8"/>
      <c r="B701" s="8"/>
      <c r="C701" s="8"/>
      <c r="D701" s="8"/>
      <c r="E701" s="8"/>
      <c r="F701" s="8"/>
      <c r="G701" s="8"/>
      <c r="H701" s="8"/>
      <c r="I701" s="8"/>
      <c r="J701" s="8"/>
      <c r="K701" s="8"/>
      <c r="L701" s="8"/>
      <c r="M701" s="8"/>
      <c r="N701" s="8"/>
      <c r="O701" s="8"/>
      <c r="P701" s="8"/>
      <c r="Q701" s="8"/>
      <c r="R701" s="8"/>
      <c r="S701" s="8"/>
      <c r="T701" s="8"/>
      <c r="U701" s="8"/>
      <c r="V701" s="8"/>
      <c r="W701" s="8"/>
    </row>
    <row r="702" spans="1:23" ht="12.75" x14ac:dyDescent="0.2">
      <c r="A702" s="8"/>
      <c r="B702" s="8"/>
      <c r="C702" s="8"/>
      <c r="D702" s="8"/>
      <c r="E702" s="8"/>
      <c r="F702" s="8"/>
      <c r="G702" s="8"/>
      <c r="H702" s="8"/>
      <c r="I702" s="8"/>
      <c r="J702" s="8"/>
      <c r="K702" s="8"/>
      <c r="L702" s="8"/>
      <c r="M702" s="8"/>
      <c r="N702" s="8"/>
      <c r="O702" s="8"/>
      <c r="P702" s="8"/>
      <c r="Q702" s="8"/>
      <c r="R702" s="8"/>
      <c r="S702" s="8"/>
      <c r="T702" s="8"/>
      <c r="U702" s="8"/>
      <c r="V702" s="8"/>
      <c r="W702" s="8"/>
    </row>
    <row r="703" spans="1:23" ht="12.75" x14ac:dyDescent="0.2">
      <c r="A703" s="8"/>
      <c r="B703" s="8"/>
      <c r="C703" s="8"/>
      <c r="D703" s="8"/>
      <c r="E703" s="8"/>
      <c r="F703" s="8"/>
      <c r="G703" s="8"/>
      <c r="H703" s="8"/>
      <c r="I703" s="8"/>
      <c r="J703" s="8"/>
      <c r="K703" s="8"/>
      <c r="L703" s="8"/>
      <c r="M703" s="8"/>
      <c r="N703" s="8"/>
      <c r="O703" s="8"/>
      <c r="P703" s="8"/>
      <c r="Q703" s="8"/>
      <c r="R703" s="8"/>
      <c r="S703" s="8"/>
      <c r="T703" s="8"/>
      <c r="U703" s="8"/>
      <c r="V703" s="8"/>
      <c r="W703" s="8"/>
    </row>
    <row r="704" spans="1:23" ht="12.75" x14ac:dyDescent="0.2">
      <c r="A704" s="8"/>
      <c r="B704" s="8"/>
      <c r="C704" s="8"/>
      <c r="D704" s="8"/>
      <c r="E704" s="8"/>
      <c r="F704" s="8"/>
      <c r="G704" s="8"/>
      <c r="H704" s="8"/>
      <c r="I704" s="8"/>
      <c r="J704" s="8"/>
      <c r="K704" s="8"/>
      <c r="L704" s="8"/>
      <c r="M704" s="8"/>
      <c r="N704" s="8"/>
      <c r="O704" s="8"/>
      <c r="P704" s="8"/>
      <c r="Q704" s="8"/>
      <c r="R704" s="8"/>
      <c r="S704" s="8"/>
      <c r="T704" s="8"/>
      <c r="U704" s="8"/>
      <c r="V704" s="8"/>
      <c r="W704" s="8"/>
    </row>
    <row r="705" spans="1:23" ht="12.75" x14ac:dyDescent="0.2">
      <c r="A705" s="8"/>
      <c r="B705" s="8"/>
      <c r="C705" s="8"/>
      <c r="D705" s="8"/>
      <c r="E705" s="8"/>
      <c r="F705" s="8"/>
      <c r="G705" s="8"/>
      <c r="H705" s="8"/>
      <c r="I705" s="8"/>
      <c r="J705" s="8"/>
      <c r="K705" s="8"/>
      <c r="L705" s="8"/>
      <c r="M705" s="8"/>
      <c r="N705" s="8"/>
      <c r="O705" s="8"/>
      <c r="P705" s="8"/>
      <c r="Q705" s="8"/>
      <c r="R705" s="8"/>
      <c r="S705" s="8"/>
      <c r="T705" s="8"/>
      <c r="U705" s="8"/>
      <c r="V705" s="8"/>
      <c r="W705" s="8"/>
    </row>
    <row r="706" spans="1:23" ht="12.75" x14ac:dyDescent="0.2">
      <c r="A706" s="8"/>
      <c r="B706" s="8"/>
      <c r="C706" s="8"/>
      <c r="D706" s="8"/>
      <c r="E706" s="8"/>
      <c r="F706" s="8"/>
      <c r="G706" s="8"/>
      <c r="H706" s="8"/>
      <c r="I706" s="8"/>
      <c r="J706" s="8"/>
      <c r="K706" s="8"/>
      <c r="L706" s="8"/>
      <c r="M706" s="8"/>
      <c r="N706" s="8"/>
      <c r="O706" s="8"/>
      <c r="P706" s="8"/>
      <c r="Q706" s="8"/>
      <c r="R706" s="8"/>
      <c r="S706" s="8"/>
      <c r="T706" s="8"/>
      <c r="U706" s="8"/>
      <c r="V706" s="8"/>
      <c r="W706" s="8"/>
    </row>
    <row r="707" spans="1:23" ht="12.75" x14ac:dyDescent="0.2">
      <c r="A707" s="8"/>
      <c r="B707" s="8"/>
      <c r="C707" s="8"/>
      <c r="D707" s="8"/>
      <c r="E707" s="8"/>
      <c r="F707" s="8"/>
      <c r="G707" s="8"/>
      <c r="H707" s="8"/>
      <c r="I707" s="8"/>
      <c r="J707" s="8"/>
      <c r="K707" s="8"/>
      <c r="L707" s="8"/>
      <c r="M707" s="8"/>
      <c r="N707" s="8"/>
      <c r="O707" s="8"/>
      <c r="P707" s="8"/>
      <c r="Q707" s="8"/>
      <c r="R707" s="8"/>
      <c r="S707" s="8"/>
      <c r="T707" s="8"/>
      <c r="U707" s="8"/>
      <c r="V707" s="8"/>
      <c r="W707" s="8"/>
    </row>
    <row r="708" spans="1:23" ht="12.75" x14ac:dyDescent="0.2">
      <c r="A708" s="8"/>
      <c r="B708" s="8"/>
      <c r="C708" s="8"/>
      <c r="D708" s="8"/>
      <c r="E708" s="8"/>
      <c r="F708" s="8"/>
      <c r="G708" s="8"/>
      <c r="H708" s="8"/>
      <c r="I708" s="8"/>
      <c r="J708" s="8"/>
      <c r="K708" s="8"/>
      <c r="L708" s="8"/>
      <c r="M708" s="8"/>
      <c r="N708" s="8"/>
      <c r="O708" s="8"/>
      <c r="P708" s="8"/>
      <c r="Q708" s="8"/>
      <c r="R708" s="8"/>
      <c r="S708" s="8"/>
      <c r="T708" s="8"/>
      <c r="U708" s="8"/>
      <c r="V708" s="8"/>
      <c r="W708" s="8"/>
    </row>
    <row r="709" spans="1:23" ht="12.75" x14ac:dyDescent="0.2">
      <c r="A709" s="8"/>
      <c r="B709" s="8"/>
      <c r="C709" s="8"/>
      <c r="D709" s="8"/>
      <c r="E709" s="8"/>
      <c r="F709" s="8"/>
      <c r="G709" s="8"/>
      <c r="H709" s="8"/>
      <c r="I709" s="8"/>
      <c r="J709" s="8"/>
      <c r="K709" s="8"/>
      <c r="L709" s="8"/>
      <c r="M709" s="8"/>
      <c r="N709" s="8"/>
      <c r="O709" s="8"/>
      <c r="P709" s="8"/>
      <c r="Q709" s="8"/>
      <c r="R709" s="8"/>
      <c r="S709" s="8"/>
      <c r="T709" s="8"/>
      <c r="U709" s="8"/>
      <c r="V709" s="8"/>
      <c r="W709" s="8"/>
    </row>
    <row r="710" spans="1:23" ht="12.75" x14ac:dyDescent="0.2">
      <c r="A710" s="8"/>
      <c r="B710" s="8"/>
      <c r="C710" s="8"/>
      <c r="D710" s="8"/>
      <c r="E710" s="8"/>
      <c r="F710" s="8"/>
      <c r="G710" s="8"/>
      <c r="H710" s="8"/>
      <c r="I710" s="8"/>
      <c r="J710" s="8"/>
      <c r="K710" s="8"/>
      <c r="L710" s="8"/>
      <c r="M710" s="8"/>
      <c r="N710" s="8"/>
      <c r="O710" s="8"/>
      <c r="P710" s="8"/>
      <c r="Q710" s="8"/>
      <c r="R710" s="8"/>
      <c r="S710" s="8"/>
      <c r="T710" s="8"/>
      <c r="U710" s="8"/>
      <c r="V710" s="8"/>
      <c r="W710" s="8"/>
    </row>
    <row r="711" spans="1:23" ht="12.75" x14ac:dyDescent="0.2">
      <c r="A711" s="8"/>
      <c r="B711" s="8"/>
      <c r="C711" s="8"/>
      <c r="D711" s="8"/>
      <c r="E711" s="8"/>
      <c r="F711" s="8"/>
      <c r="G711" s="8"/>
      <c r="H711" s="8"/>
      <c r="I711" s="8"/>
      <c r="J711" s="8"/>
      <c r="K711" s="8"/>
      <c r="L711" s="8"/>
      <c r="M711" s="8"/>
      <c r="N711" s="8"/>
      <c r="O711" s="8"/>
      <c r="P711" s="8"/>
      <c r="Q711" s="8"/>
      <c r="R711" s="8"/>
      <c r="S711" s="8"/>
      <c r="T711" s="8"/>
      <c r="U711" s="8"/>
      <c r="V711" s="8"/>
      <c r="W711" s="8"/>
    </row>
    <row r="712" spans="1:23" ht="12.75" x14ac:dyDescent="0.2">
      <c r="A712" s="8"/>
      <c r="B712" s="8"/>
      <c r="C712" s="8"/>
      <c r="D712" s="8"/>
      <c r="E712" s="8"/>
      <c r="F712" s="8"/>
      <c r="G712" s="8"/>
      <c r="H712" s="8"/>
      <c r="I712" s="8"/>
      <c r="J712" s="8"/>
      <c r="K712" s="8"/>
      <c r="L712" s="8"/>
      <c r="M712" s="8"/>
      <c r="N712" s="8"/>
      <c r="O712" s="8"/>
      <c r="P712" s="8"/>
      <c r="Q712" s="8"/>
      <c r="R712" s="8"/>
      <c r="S712" s="8"/>
      <c r="T712" s="8"/>
      <c r="U712" s="8"/>
      <c r="V712" s="8"/>
      <c r="W712" s="8"/>
    </row>
    <row r="713" spans="1:23" ht="12.75" x14ac:dyDescent="0.2">
      <c r="A713" s="8"/>
      <c r="B713" s="8"/>
      <c r="C713" s="8"/>
      <c r="D713" s="8"/>
      <c r="E713" s="8"/>
      <c r="F713" s="8"/>
      <c r="G713" s="8"/>
      <c r="H713" s="8"/>
      <c r="I713" s="8"/>
      <c r="J713" s="8"/>
      <c r="K713" s="8"/>
      <c r="L713" s="8"/>
      <c r="M713" s="8"/>
      <c r="N713" s="8"/>
      <c r="O713" s="8"/>
      <c r="P713" s="8"/>
      <c r="Q713" s="8"/>
      <c r="R713" s="8"/>
      <c r="S713" s="8"/>
      <c r="T713" s="8"/>
      <c r="U713" s="8"/>
      <c r="V713" s="8"/>
      <c r="W713" s="8"/>
    </row>
    <row r="714" spans="1:23" ht="12.75" x14ac:dyDescent="0.2">
      <c r="A714" s="8"/>
      <c r="B714" s="8"/>
      <c r="C714" s="8"/>
      <c r="D714" s="8"/>
      <c r="E714" s="8"/>
      <c r="F714" s="8"/>
      <c r="G714" s="8"/>
      <c r="H714" s="8"/>
      <c r="I714" s="8"/>
      <c r="J714" s="8"/>
      <c r="K714" s="8"/>
      <c r="L714" s="8"/>
      <c r="M714" s="8"/>
      <c r="N714" s="8"/>
      <c r="O714" s="8"/>
      <c r="P714" s="8"/>
      <c r="Q714" s="8"/>
      <c r="R714" s="8"/>
      <c r="S714" s="8"/>
      <c r="T714" s="8"/>
      <c r="U714" s="8"/>
      <c r="V714" s="8"/>
      <c r="W714" s="8"/>
    </row>
    <row r="715" spans="1:23" ht="12.75" x14ac:dyDescent="0.2">
      <c r="A715" s="8"/>
      <c r="B715" s="8"/>
      <c r="C715" s="8"/>
      <c r="D715" s="8"/>
      <c r="E715" s="8"/>
      <c r="F715" s="8"/>
      <c r="G715" s="8"/>
      <c r="H715" s="8"/>
      <c r="I715" s="8"/>
      <c r="J715" s="8"/>
      <c r="K715" s="8"/>
      <c r="L715" s="8"/>
      <c r="M715" s="8"/>
      <c r="N715" s="8"/>
      <c r="O715" s="8"/>
      <c r="P715" s="8"/>
      <c r="Q715" s="8"/>
      <c r="R715" s="8"/>
      <c r="S715" s="8"/>
      <c r="T715" s="8"/>
      <c r="U715" s="8"/>
      <c r="V715" s="8"/>
      <c r="W715" s="8"/>
    </row>
    <row r="716" spans="1:23" ht="12.75" x14ac:dyDescent="0.2">
      <c r="A716" s="8"/>
      <c r="B716" s="8"/>
      <c r="C716" s="8"/>
      <c r="D716" s="8"/>
      <c r="E716" s="8"/>
      <c r="F716" s="8"/>
      <c r="G716" s="8"/>
      <c r="H716" s="8"/>
      <c r="I716" s="8"/>
      <c r="J716" s="8"/>
      <c r="K716" s="8"/>
      <c r="L716" s="8"/>
      <c r="M716" s="8"/>
      <c r="N716" s="8"/>
      <c r="O716" s="8"/>
      <c r="P716" s="8"/>
      <c r="Q716" s="8"/>
      <c r="R716" s="8"/>
      <c r="S716" s="8"/>
      <c r="T716" s="8"/>
      <c r="U716" s="8"/>
      <c r="V716" s="8"/>
      <c r="W716" s="8"/>
    </row>
    <row r="717" spans="1:23" ht="12.75" x14ac:dyDescent="0.2">
      <c r="A717" s="8"/>
      <c r="B717" s="8"/>
      <c r="C717" s="8"/>
      <c r="D717" s="8"/>
      <c r="E717" s="8"/>
      <c r="F717" s="8"/>
      <c r="G717" s="8"/>
      <c r="H717" s="8"/>
      <c r="I717" s="8"/>
      <c r="J717" s="8"/>
      <c r="K717" s="8"/>
      <c r="L717" s="8"/>
      <c r="M717" s="8"/>
      <c r="N717" s="8"/>
      <c r="O717" s="8"/>
      <c r="P717" s="8"/>
      <c r="Q717" s="8"/>
      <c r="R717" s="8"/>
      <c r="S717" s="8"/>
      <c r="T717" s="8"/>
      <c r="U717" s="8"/>
      <c r="V717" s="8"/>
      <c r="W717" s="8"/>
    </row>
    <row r="718" spans="1:23" ht="12.75" x14ac:dyDescent="0.2">
      <c r="A718" s="8"/>
      <c r="B718" s="8"/>
      <c r="C718" s="8"/>
      <c r="D718" s="8"/>
      <c r="E718" s="8"/>
      <c r="F718" s="8"/>
      <c r="G718" s="8"/>
      <c r="H718" s="8"/>
      <c r="I718" s="8"/>
      <c r="J718" s="8"/>
      <c r="K718" s="8"/>
      <c r="L718" s="8"/>
      <c r="M718" s="8"/>
      <c r="N718" s="8"/>
      <c r="O718" s="8"/>
      <c r="P718" s="8"/>
      <c r="Q718" s="8"/>
      <c r="R718" s="8"/>
      <c r="S718" s="8"/>
      <c r="T718" s="8"/>
      <c r="U718" s="8"/>
      <c r="V718" s="8"/>
      <c r="W718" s="8"/>
    </row>
    <row r="719" spans="1:23" ht="12.75" x14ac:dyDescent="0.2">
      <c r="A719" s="8"/>
      <c r="B719" s="8"/>
      <c r="C719" s="8"/>
      <c r="D719" s="8"/>
      <c r="E719" s="8"/>
      <c r="F719" s="8"/>
      <c r="G719" s="8"/>
      <c r="H719" s="8"/>
      <c r="I719" s="8"/>
      <c r="J719" s="8"/>
      <c r="K719" s="8"/>
      <c r="L719" s="8"/>
      <c r="M719" s="8"/>
      <c r="N719" s="8"/>
      <c r="O719" s="8"/>
      <c r="P719" s="8"/>
      <c r="Q719" s="8"/>
      <c r="R719" s="8"/>
      <c r="S719" s="8"/>
      <c r="T719" s="8"/>
      <c r="U719" s="8"/>
      <c r="V719" s="8"/>
      <c r="W719" s="8"/>
    </row>
    <row r="720" spans="1:23" ht="12.75" x14ac:dyDescent="0.2">
      <c r="A720" s="8"/>
      <c r="B720" s="8"/>
      <c r="C720" s="8"/>
      <c r="D720" s="8"/>
      <c r="E720" s="8"/>
      <c r="F720" s="8"/>
      <c r="G720" s="8"/>
      <c r="H720" s="8"/>
      <c r="I720" s="8"/>
      <c r="J720" s="8"/>
      <c r="K720" s="8"/>
      <c r="L720" s="8"/>
      <c r="M720" s="8"/>
      <c r="N720" s="8"/>
      <c r="O720" s="8"/>
      <c r="P720" s="8"/>
      <c r="Q720" s="8"/>
      <c r="R720" s="8"/>
      <c r="S720" s="8"/>
      <c r="T720" s="8"/>
      <c r="U720" s="8"/>
      <c r="V720" s="8"/>
      <c r="W720" s="8"/>
    </row>
    <row r="721" spans="1:23" ht="12.75" x14ac:dyDescent="0.2">
      <c r="A721" s="8"/>
      <c r="B721" s="8"/>
      <c r="C721" s="8"/>
      <c r="D721" s="8"/>
      <c r="E721" s="8"/>
      <c r="F721" s="8"/>
      <c r="G721" s="8"/>
      <c r="H721" s="8"/>
      <c r="I721" s="8"/>
      <c r="J721" s="8"/>
      <c r="K721" s="8"/>
      <c r="L721" s="8"/>
      <c r="M721" s="8"/>
      <c r="N721" s="8"/>
      <c r="O721" s="8"/>
      <c r="P721" s="8"/>
      <c r="Q721" s="8"/>
      <c r="R721" s="8"/>
      <c r="S721" s="8"/>
      <c r="T721" s="8"/>
      <c r="U721" s="8"/>
      <c r="V721" s="8"/>
      <c r="W721" s="8"/>
    </row>
    <row r="722" spans="1:23" ht="12.75" x14ac:dyDescent="0.2">
      <c r="A722" s="8"/>
      <c r="B722" s="8"/>
      <c r="C722" s="8"/>
      <c r="D722" s="8"/>
      <c r="E722" s="8"/>
      <c r="F722" s="8"/>
      <c r="G722" s="8"/>
      <c r="H722" s="8"/>
      <c r="I722" s="8"/>
      <c r="J722" s="8"/>
      <c r="K722" s="8"/>
      <c r="L722" s="8"/>
      <c r="M722" s="8"/>
      <c r="N722" s="8"/>
      <c r="O722" s="8"/>
      <c r="P722" s="8"/>
      <c r="Q722" s="8"/>
      <c r="R722" s="8"/>
      <c r="S722" s="8"/>
      <c r="T722" s="8"/>
      <c r="U722" s="8"/>
      <c r="V722" s="8"/>
      <c r="W722" s="8"/>
    </row>
    <row r="723" spans="1:23" ht="12.75" x14ac:dyDescent="0.2">
      <c r="A723" s="8"/>
      <c r="B723" s="8"/>
      <c r="C723" s="8"/>
      <c r="D723" s="8"/>
      <c r="E723" s="8"/>
      <c r="F723" s="8"/>
      <c r="G723" s="8"/>
      <c r="H723" s="8"/>
      <c r="I723" s="8"/>
      <c r="J723" s="8"/>
      <c r="K723" s="8"/>
      <c r="L723" s="8"/>
      <c r="M723" s="8"/>
      <c r="N723" s="8"/>
      <c r="O723" s="8"/>
      <c r="P723" s="8"/>
      <c r="Q723" s="8"/>
      <c r="R723" s="8"/>
      <c r="S723" s="8"/>
      <c r="T723" s="8"/>
      <c r="U723" s="8"/>
      <c r="V723" s="8"/>
      <c r="W723" s="8"/>
    </row>
    <row r="724" spans="1:23" ht="12.75" x14ac:dyDescent="0.2">
      <c r="A724" s="8"/>
      <c r="B724" s="8"/>
      <c r="C724" s="8"/>
      <c r="D724" s="8"/>
      <c r="E724" s="8"/>
      <c r="F724" s="8"/>
      <c r="G724" s="8"/>
      <c r="H724" s="8"/>
      <c r="I724" s="8"/>
      <c r="J724" s="8"/>
      <c r="K724" s="8"/>
      <c r="L724" s="8"/>
      <c r="M724" s="8"/>
      <c r="N724" s="8"/>
      <c r="O724" s="8"/>
      <c r="P724" s="8"/>
      <c r="Q724" s="8"/>
      <c r="R724" s="8"/>
      <c r="S724" s="8"/>
      <c r="T724" s="8"/>
      <c r="U724" s="8"/>
      <c r="V724" s="8"/>
      <c r="W724" s="8"/>
    </row>
    <row r="725" spans="1:23" ht="12.75" x14ac:dyDescent="0.2">
      <c r="A725" s="8"/>
      <c r="B725" s="8"/>
      <c r="C725" s="8"/>
      <c r="D725" s="8"/>
      <c r="E725" s="8"/>
      <c r="F725" s="8"/>
      <c r="G725" s="8"/>
      <c r="H725" s="8"/>
      <c r="I725" s="8"/>
      <c r="J725" s="8"/>
      <c r="K725" s="8"/>
      <c r="L725" s="8"/>
      <c r="M725" s="8"/>
      <c r="N725" s="8"/>
      <c r="O725" s="8"/>
      <c r="P725" s="8"/>
      <c r="Q725" s="8"/>
      <c r="R725" s="8"/>
      <c r="S725" s="8"/>
      <c r="T725" s="8"/>
      <c r="U725" s="8"/>
      <c r="V725" s="8"/>
      <c r="W725" s="8"/>
    </row>
    <row r="726" spans="1:23" ht="12.75" x14ac:dyDescent="0.2">
      <c r="A726" s="8"/>
      <c r="B726" s="8"/>
      <c r="C726" s="8"/>
      <c r="D726" s="8"/>
      <c r="E726" s="8"/>
      <c r="F726" s="8"/>
      <c r="G726" s="8"/>
      <c r="H726" s="8"/>
      <c r="I726" s="8"/>
      <c r="J726" s="8"/>
      <c r="K726" s="8"/>
      <c r="L726" s="8"/>
      <c r="M726" s="8"/>
      <c r="N726" s="8"/>
      <c r="O726" s="8"/>
      <c r="P726" s="8"/>
      <c r="Q726" s="8"/>
      <c r="R726" s="8"/>
      <c r="S726" s="8"/>
      <c r="T726" s="8"/>
      <c r="U726" s="8"/>
      <c r="V726" s="8"/>
      <c r="W726" s="8"/>
    </row>
    <row r="727" spans="1:23" ht="12.75" x14ac:dyDescent="0.2">
      <c r="A727" s="8"/>
      <c r="B727" s="8"/>
      <c r="C727" s="8"/>
      <c r="D727" s="8"/>
      <c r="E727" s="8"/>
      <c r="F727" s="8"/>
      <c r="G727" s="8"/>
      <c r="H727" s="8"/>
      <c r="I727" s="8"/>
      <c r="J727" s="8"/>
      <c r="K727" s="8"/>
      <c r="L727" s="8"/>
      <c r="M727" s="8"/>
      <c r="N727" s="8"/>
      <c r="O727" s="8"/>
      <c r="P727" s="8"/>
      <c r="Q727" s="8"/>
      <c r="R727" s="8"/>
      <c r="S727" s="8"/>
      <c r="T727" s="8"/>
      <c r="U727" s="8"/>
      <c r="V727" s="8"/>
      <c r="W727" s="8"/>
    </row>
    <row r="728" spans="1:23" ht="12.75" x14ac:dyDescent="0.2">
      <c r="A728" s="8"/>
      <c r="B728" s="8"/>
      <c r="C728" s="8"/>
      <c r="D728" s="8"/>
      <c r="E728" s="8"/>
      <c r="F728" s="8"/>
      <c r="G728" s="8"/>
      <c r="H728" s="8"/>
      <c r="I728" s="8"/>
      <c r="J728" s="8"/>
      <c r="K728" s="8"/>
      <c r="L728" s="8"/>
      <c r="M728" s="8"/>
      <c r="N728" s="8"/>
      <c r="O728" s="8"/>
      <c r="P728" s="8"/>
      <c r="Q728" s="8"/>
      <c r="R728" s="8"/>
      <c r="S728" s="8"/>
      <c r="T728" s="8"/>
      <c r="U728" s="8"/>
      <c r="V728" s="8"/>
      <c r="W728" s="8"/>
    </row>
    <row r="729" spans="1:23" ht="12.75" x14ac:dyDescent="0.2">
      <c r="A729" s="8"/>
      <c r="B729" s="8"/>
      <c r="C729" s="8"/>
      <c r="D729" s="8"/>
      <c r="E729" s="8"/>
      <c r="F729" s="8"/>
      <c r="G729" s="8"/>
      <c r="H729" s="8"/>
      <c r="I729" s="8"/>
      <c r="J729" s="8"/>
      <c r="K729" s="8"/>
      <c r="L729" s="8"/>
      <c r="M729" s="8"/>
      <c r="N729" s="8"/>
      <c r="O729" s="8"/>
      <c r="P729" s="8"/>
      <c r="Q729" s="8"/>
      <c r="R729" s="8"/>
      <c r="S729" s="8"/>
      <c r="T729" s="8"/>
      <c r="U729" s="8"/>
      <c r="V729" s="8"/>
      <c r="W729" s="8"/>
    </row>
    <row r="730" spans="1:23" ht="12.75" x14ac:dyDescent="0.2">
      <c r="A730" s="8"/>
      <c r="B730" s="8"/>
      <c r="C730" s="8"/>
      <c r="D730" s="8"/>
      <c r="E730" s="8"/>
      <c r="F730" s="8"/>
      <c r="G730" s="8"/>
      <c r="H730" s="8"/>
      <c r="I730" s="8"/>
      <c r="J730" s="8"/>
      <c r="K730" s="8"/>
      <c r="L730" s="8"/>
      <c r="M730" s="8"/>
      <c r="N730" s="8"/>
      <c r="O730" s="8"/>
      <c r="P730" s="8"/>
      <c r="Q730" s="8"/>
      <c r="R730" s="8"/>
      <c r="S730" s="8"/>
      <c r="T730" s="8"/>
      <c r="U730" s="8"/>
      <c r="V730" s="8"/>
      <c r="W730" s="8"/>
    </row>
    <row r="731" spans="1:23" ht="12.75" x14ac:dyDescent="0.2">
      <c r="A731" s="8"/>
      <c r="B731" s="8"/>
      <c r="C731" s="8"/>
      <c r="D731" s="8"/>
      <c r="E731" s="8"/>
      <c r="F731" s="8"/>
      <c r="G731" s="8"/>
      <c r="H731" s="8"/>
      <c r="I731" s="8"/>
      <c r="J731" s="8"/>
      <c r="K731" s="8"/>
      <c r="L731" s="8"/>
      <c r="M731" s="8"/>
      <c r="N731" s="8"/>
      <c r="O731" s="8"/>
      <c r="P731" s="8"/>
      <c r="Q731" s="8"/>
      <c r="R731" s="8"/>
      <c r="S731" s="8"/>
      <c r="T731" s="8"/>
      <c r="U731" s="8"/>
      <c r="V731" s="8"/>
      <c r="W731" s="8"/>
    </row>
    <row r="732" spans="1:23" ht="12.75" x14ac:dyDescent="0.2">
      <c r="A732" s="8"/>
      <c r="B732" s="8"/>
      <c r="C732" s="8"/>
      <c r="D732" s="8"/>
      <c r="E732" s="8"/>
      <c r="F732" s="8"/>
      <c r="G732" s="8"/>
      <c r="H732" s="8"/>
      <c r="I732" s="8"/>
      <c r="J732" s="8"/>
      <c r="K732" s="8"/>
      <c r="L732" s="8"/>
      <c r="M732" s="8"/>
      <c r="N732" s="8"/>
      <c r="O732" s="8"/>
      <c r="P732" s="8"/>
      <c r="Q732" s="8"/>
      <c r="R732" s="8"/>
      <c r="S732" s="8"/>
      <c r="T732" s="8"/>
      <c r="U732" s="8"/>
      <c r="V732" s="8"/>
      <c r="W732" s="8"/>
    </row>
    <row r="733" spans="1:23" ht="12.75" x14ac:dyDescent="0.2">
      <c r="A733" s="8"/>
      <c r="B733" s="8"/>
      <c r="C733" s="8"/>
      <c r="D733" s="8"/>
      <c r="E733" s="8"/>
      <c r="F733" s="8"/>
      <c r="G733" s="8"/>
      <c r="H733" s="8"/>
      <c r="I733" s="8"/>
      <c r="J733" s="8"/>
      <c r="K733" s="8"/>
      <c r="L733" s="8"/>
      <c r="M733" s="8"/>
      <c r="N733" s="8"/>
      <c r="O733" s="8"/>
      <c r="P733" s="8"/>
      <c r="Q733" s="8"/>
      <c r="R733" s="8"/>
      <c r="S733" s="8"/>
      <c r="T733" s="8"/>
      <c r="U733" s="8"/>
      <c r="V733" s="8"/>
      <c r="W733" s="8"/>
    </row>
    <row r="734" spans="1:23" ht="12.75" x14ac:dyDescent="0.2">
      <c r="A734" s="8"/>
      <c r="B734" s="8"/>
      <c r="C734" s="8"/>
      <c r="D734" s="8"/>
      <c r="E734" s="8"/>
      <c r="F734" s="8"/>
      <c r="G734" s="8"/>
      <c r="H734" s="8"/>
      <c r="I734" s="8"/>
      <c r="J734" s="8"/>
      <c r="K734" s="8"/>
      <c r="L734" s="8"/>
      <c r="M734" s="8"/>
      <c r="N734" s="8"/>
      <c r="O734" s="8"/>
      <c r="P734" s="8"/>
      <c r="Q734" s="8"/>
      <c r="R734" s="8"/>
      <c r="S734" s="8"/>
      <c r="T734" s="8"/>
      <c r="U734" s="8"/>
      <c r="V734" s="8"/>
      <c r="W734" s="8"/>
    </row>
    <row r="735" spans="1:23" ht="12.75" x14ac:dyDescent="0.2">
      <c r="A735" s="8"/>
      <c r="B735" s="8"/>
      <c r="C735" s="8"/>
      <c r="D735" s="8"/>
      <c r="E735" s="8"/>
      <c r="F735" s="8"/>
      <c r="G735" s="8"/>
      <c r="H735" s="8"/>
      <c r="I735" s="8"/>
      <c r="J735" s="8"/>
      <c r="K735" s="8"/>
      <c r="L735" s="8"/>
      <c r="M735" s="8"/>
      <c r="N735" s="8"/>
      <c r="O735" s="8"/>
      <c r="P735" s="8"/>
      <c r="Q735" s="8"/>
      <c r="R735" s="8"/>
      <c r="S735" s="8"/>
      <c r="T735" s="8"/>
      <c r="U735" s="8"/>
      <c r="V735" s="8"/>
      <c r="W735" s="8"/>
    </row>
    <row r="736" spans="1:23" ht="12.75" x14ac:dyDescent="0.2">
      <c r="A736" s="8"/>
      <c r="B736" s="8"/>
      <c r="C736" s="8"/>
      <c r="D736" s="8"/>
      <c r="E736" s="8"/>
      <c r="F736" s="8"/>
      <c r="G736" s="8"/>
      <c r="H736" s="8"/>
      <c r="I736" s="8"/>
      <c r="J736" s="8"/>
      <c r="K736" s="8"/>
      <c r="L736" s="8"/>
      <c r="M736" s="8"/>
      <c r="N736" s="8"/>
      <c r="O736" s="8"/>
      <c r="P736" s="8"/>
      <c r="Q736" s="8"/>
      <c r="R736" s="8"/>
      <c r="S736" s="8"/>
      <c r="T736" s="8"/>
      <c r="U736" s="8"/>
      <c r="V736" s="8"/>
      <c r="W736" s="8"/>
    </row>
    <row r="737" spans="1:23" ht="12.75" x14ac:dyDescent="0.2">
      <c r="A737" s="8"/>
      <c r="B737" s="8"/>
      <c r="C737" s="8"/>
      <c r="D737" s="8"/>
      <c r="E737" s="8"/>
      <c r="F737" s="8"/>
      <c r="G737" s="8"/>
      <c r="H737" s="8"/>
      <c r="I737" s="8"/>
      <c r="J737" s="8"/>
      <c r="K737" s="8"/>
      <c r="L737" s="8"/>
      <c r="M737" s="8"/>
      <c r="N737" s="8"/>
      <c r="O737" s="8"/>
      <c r="P737" s="8"/>
      <c r="Q737" s="8"/>
      <c r="R737" s="8"/>
      <c r="S737" s="8"/>
      <c r="T737" s="8"/>
      <c r="U737" s="8"/>
      <c r="V737" s="8"/>
      <c r="W737" s="8"/>
    </row>
    <row r="738" spans="1:23" ht="12.75" x14ac:dyDescent="0.2">
      <c r="A738" s="8"/>
      <c r="B738" s="8"/>
      <c r="C738" s="8"/>
      <c r="D738" s="8"/>
      <c r="E738" s="8"/>
      <c r="F738" s="8"/>
      <c r="G738" s="8"/>
      <c r="H738" s="8"/>
      <c r="I738" s="8"/>
      <c r="J738" s="8"/>
      <c r="K738" s="8"/>
      <c r="L738" s="8"/>
      <c r="M738" s="8"/>
      <c r="N738" s="8"/>
      <c r="O738" s="8"/>
      <c r="P738" s="8"/>
      <c r="Q738" s="8"/>
      <c r="R738" s="8"/>
      <c r="S738" s="8"/>
      <c r="T738" s="8"/>
      <c r="U738" s="8"/>
      <c r="V738" s="8"/>
      <c r="W738" s="8"/>
    </row>
    <row r="739" spans="1:23" ht="12.75" x14ac:dyDescent="0.2">
      <c r="A739" s="8"/>
      <c r="B739" s="8"/>
      <c r="C739" s="8"/>
      <c r="D739" s="8"/>
      <c r="E739" s="8"/>
      <c r="F739" s="8"/>
      <c r="G739" s="8"/>
      <c r="H739" s="8"/>
      <c r="I739" s="8"/>
      <c r="J739" s="8"/>
      <c r="K739" s="8"/>
      <c r="L739" s="8"/>
      <c r="M739" s="8"/>
      <c r="N739" s="8"/>
      <c r="O739" s="8"/>
      <c r="P739" s="8"/>
      <c r="Q739" s="8"/>
      <c r="R739" s="8"/>
      <c r="S739" s="8"/>
      <c r="T739" s="8"/>
      <c r="U739" s="8"/>
      <c r="V739" s="8"/>
      <c r="W739" s="8"/>
    </row>
    <row r="740" spans="1:23" ht="12.75" x14ac:dyDescent="0.2">
      <c r="A740" s="8"/>
      <c r="B740" s="8"/>
      <c r="C740" s="8"/>
      <c r="D740" s="8"/>
      <c r="E740" s="8"/>
      <c r="F740" s="8"/>
      <c r="G740" s="8"/>
      <c r="H740" s="8"/>
      <c r="I740" s="8"/>
      <c r="J740" s="8"/>
      <c r="K740" s="8"/>
      <c r="L740" s="8"/>
      <c r="M740" s="8"/>
      <c r="N740" s="8"/>
      <c r="O740" s="8"/>
      <c r="P740" s="8"/>
      <c r="Q740" s="8"/>
      <c r="R740" s="8"/>
      <c r="S740" s="8"/>
      <c r="T740" s="8"/>
      <c r="U740" s="8"/>
      <c r="V740" s="8"/>
      <c r="W740" s="8"/>
    </row>
    <row r="741" spans="1:23" ht="12.75" x14ac:dyDescent="0.2">
      <c r="A741" s="8"/>
      <c r="B741" s="8"/>
      <c r="C741" s="8"/>
      <c r="D741" s="8"/>
      <c r="E741" s="8"/>
      <c r="F741" s="8"/>
      <c r="G741" s="8"/>
      <c r="H741" s="8"/>
      <c r="I741" s="8"/>
      <c r="J741" s="8"/>
      <c r="K741" s="8"/>
      <c r="L741" s="8"/>
      <c r="M741" s="8"/>
      <c r="N741" s="8"/>
      <c r="O741" s="8"/>
      <c r="P741" s="8"/>
      <c r="Q741" s="8"/>
      <c r="R741" s="8"/>
      <c r="S741" s="8"/>
      <c r="T741" s="8"/>
      <c r="U741" s="8"/>
      <c r="V741" s="8"/>
      <c r="W741" s="8"/>
    </row>
    <row r="742" spans="1:23" ht="12.75" x14ac:dyDescent="0.2">
      <c r="A742" s="8"/>
      <c r="B742" s="8"/>
      <c r="C742" s="8"/>
      <c r="D742" s="8"/>
      <c r="E742" s="8"/>
      <c r="F742" s="8"/>
      <c r="G742" s="8"/>
      <c r="H742" s="8"/>
      <c r="I742" s="8"/>
      <c r="J742" s="8"/>
      <c r="K742" s="8"/>
      <c r="L742" s="8"/>
      <c r="M742" s="8"/>
      <c r="N742" s="8"/>
      <c r="O742" s="8"/>
      <c r="P742" s="8"/>
      <c r="Q742" s="8"/>
      <c r="R742" s="8"/>
      <c r="S742" s="8"/>
      <c r="T742" s="8"/>
      <c r="U742" s="8"/>
      <c r="V742" s="8"/>
      <c r="W742" s="8"/>
    </row>
    <row r="743" spans="1:23" ht="12.75" x14ac:dyDescent="0.2">
      <c r="A743" s="8"/>
      <c r="B743" s="8"/>
      <c r="C743" s="8"/>
      <c r="D743" s="8"/>
      <c r="E743" s="8"/>
      <c r="F743" s="8"/>
      <c r="G743" s="8"/>
      <c r="H743" s="8"/>
      <c r="I743" s="8"/>
      <c r="J743" s="8"/>
      <c r="K743" s="8"/>
      <c r="L743" s="8"/>
      <c r="M743" s="8"/>
      <c r="N743" s="8"/>
      <c r="O743" s="8"/>
      <c r="P743" s="8"/>
      <c r="Q743" s="8"/>
      <c r="R743" s="8"/>
      <c r="S743" s="8"/>
      <c r="T743" s="8"/>
      <c r="U743" s="8"/>
      <c r="V743" s="8"/>
      <c r="W743" s="8"/>
    </row>
    <row r="744" spans="1:23" ht="12.75" x14ac:dyDescent="0.2">
      <c r="A744" s="8"/>
      <c r="B744" s="8"/>
      <c r="C744" s="8"/>
      <c r="D744" s="8"/>
      <c r="E744" s="8"/>
      <c r="F744" s="8"/>
      <c r="G744" s="8"/>
      <c r="H744" s="8"/>
      <c r="I744" s="8"/>
      <c r="J744" s="8"/>
      <c r="K744" s="8"/>
      <c r="L744" s="8"/>
      <c r="M744" s="8"/>
      <c r="N744" s="8"/>
      <c r="O744" s="8"/>
      <c r="P744" s="8"/>
      <c r="Q744" s="8"/>
      <c r="R744" s="8"/>
      <c r="S744" s="8"/>
      <c r="T744" s="8"/>
      <c r="U744" s="8"/>
      <c r="V744" s="8"/>
      <c r="W744" s="8"/>
    </row>
    <row r="745" spans="1:23" ht="12.75" x14ac:dyDescent="0.2">
      <c r="A745" s="8"/>
      <c r="B745" s="8"/>
      <c r="C745" s="8"/>
      <c r="D745" s="8"/>
      <c r="E745" s="8"/>
      <c r="F745" s="8"/>
      <c r="G745" s="8"/>
      <c r="H745" s="8"/>
      <c r="I745" s="8"/>
      <c r="J745" s="8"/>
      <c r="K745" s="8"/>
      <c r="L745" s="8"/>
      <c r="M745" s="8"/>
      <c r="N745" s="8"/>
      <c r="O745" s="8"/>
      <c r="P745" s="8"/>
      <c r="Q745" s="8"/>
      <c r="R745" s="8"/>
      <c r="S745" s="8"/>
      <c r="T745" s="8"/>
      <c r="U745" s="8"/>
      <c r="V745" s="8"/>
      <c r="W745" s="8"/>
    </row>
    <row r="746" spans="1:23" ht="12.75" x14ac:dyDescent="0.2">
      <c r="A746" s="8"/>
      <c r="B746" s="8"/>
      <c r="C746" s="8"/>
      <c r="D746" s="8"/>
      <c r="E746" s="8"/>
      <c r="F746" s="8"/>
      <c r="G746" s="8"/>
      <c r="H746" s="8"/>
      <c r="I746" s="8"/>
      <c r="J746" s="8"/>
      <c r="K746" s="8"/>
      <c r="L746" s="8"/>
      <c r="M746" s="8"/>
      <c r="N746" s="8"/>
      <c r="O746" s="8"/>
      <c r="P746" s="8"/>
      <c r="Q746" s="8"/>
      <c r="R746" s="8"/>
      <c r="S746" s="8"/>
      <c r="T746" s="8"/>
      <c r="U746" s="8"/>
      <c r="V746" s="8"/>
      <c r="W746" s="8"/>
    </row>
    <row r="747" spans="1:23" ht="12.75" x14ac:dyDescent="0.2">
      <c r="A747" s="8"/>
      <c r="B747" s="8"/>
      <c r="C747" s="8"/>
      <c r="D747" s="8"/>
      <c r="E747" s="8"/>
      <c r="F747" s="8"/>
      <c r="G747" s="8"/>
      <c r="H747" s="8"/>
      <c r="I747" s="8"/>
      <c r="J747" s="8"/>
      <c r="K747" s="8"/>
      <c r="L747" s="8"/>
      <c r="M747" s="8"/>
      <c r="N747" s="8"/>
      <c r="O747" s="8"/>
      <c r="P747" s="8"/>
      <c r="Q747" s="8"/>
      <c r="R747" s="8"/>
      <c r="S747" s="8"/>
      <c r="T747" s="8"/>
      <c r="U747" s="8"/>
      <c r="V747" s="8"/>
      <c r="W747" s="8"/>
    </row>
    <row r="748" spans="1:23" ht="12.75" x14ac:dyDescent="0.2">
      <c r="A748" s="8"/>
      <c r="B748" s="8"/>
      <c r="C748" s="8"/>
      <c r="D748" s="8"/>
      <c r="E748" s="8"/>
      <c r="F748" s="8"/>
      <c r="G748" s="8"/>
      <c r="H748" s="8"/>
      <c r="I748" s="8"/>
      <c r="J748" s="8"/>
      <c r="K748" s="8"/>
      <c r="L748" s="8"/>
      <c r="M748" s="8"/>
      <c r="N748" s="8"/>
      <c r="O748" s="8"/>
      <c r="P748" s="8"/>
      <c r="Q748" s="8"/>
      <c r="R748" s="8"/>
      <c r="S748" s="8"/>
      <c r="T748" s="8"/>
      <c r="U748" s="8"/>
      <c r="V748" s="8"/>
      <c r="W748" s="8"/>
    </row>
    <row r="749" spans="1:23" ht="12.75" x14ac:dyDescent="0.2">
      <c r="A749" s="8"/>
      <c r="B749" s="8"/>
      <c r="C749" s="8"/>
      <c r="D749" s="8"/>
      <c r="E749" s="8"/>
      <c r="F749" s="8"/>
      <c r="G749" s="8"/>
      <c r="H749" s="8"/>
      <c r="I749" s="8"/>
      <c r="J749" s="8"/>
      <c r="K749" s="8"/>
      <c r="L749" s="8"/>
      <c r="M749" s="8"/>
      <c r="N749" s="8"/>
      <c r="O749" s="8"/>
      <c r="P749" s="8"/>
      <c r="Q749" s="8"/>
      <c r="R749" s="8"/>
      <c r="S749" s="8"/>
      <c r="T749" s="8"/>
      <c r="U749" s="8"/>
      <c r="V749" s="8"/>
      <c r="W749" s="8"/>
    </row>
    <row r="750" spans="1:23" ht="12.75" x14ac:dyDescent="0.2">
      <c r="A750" s="8"/>
      <c r="B750" s="8"/>
      <c r="C750" s="8"/>
      <c r="D750" s="8"/>
      <c r="E750" s="8"/>
      <c r="F750" s="8"/>
      <c r="G750" s="8"/>
      <c r="H750" s="8"/>
      <c r="I750" s="8"/>
      <c r="J750" s="8"/>
      <c r="K750" s="8"/>
      <c r="L750" s="8"/>
      <c r="M750" s="8"/>
      <c r="N750" s="8"/>
      <c r="O750" s="8"/>
      <c r="P750" s="8"/>
      <c r="Q750" s="8"/>
      <c r="R750" s="8"/>
      <c r="S750" s="8"/>
      <c r="T750" s="8"/>
      <c r="U750" s="8"/>
      <c r="V750" s="8"/>
      <c r="W750" s="8"/>
    </row>
    <row r="751" spans="1:23" ht="12.75" x14ac:dyDescent="0.2">
      <c r="A751" s="8"/>
      <c r="B751" s="8"/>
      <c r="C751" s="8"/>
      <c r="D751" s="8"/>
      <c r="E751" s="8"/>
      <c r="F751" s="8"/>
      <c r="G751" s="8"/>
      <c r="H751" s="8"/>
      <c r="I751" s="8"/>
      <c r="J751" s="8"/>
      <c r="K751" s="8"/>
      <c r="L751" s="8"/>
      <c r="M751" s="8"/>
      <c r="N751" s="8"/>
      <c r="O751" s="8"/>
      <c r="P751" s="8"/>
      <c r="Q751" s="8"/>
      <c r="R751" s="8"/>
      <c r="S751" s="8"/>
      <c r="T751" s="8"/>
      <c r="U751" s="8"/>
      <c r="V751" s="8"/>
      <c r="W751" s="8"/>
    </row>
    <row r="752" spans="1:23" ht="12.75" x14ac:dyDescent="0.2">
      <c r="A752" s="8"/>
      <c r="B752" s="8"/>
      <c r="C752" s="8"/>
      <c r="D752" s="8"/>
      <c r="E752" s="8"/>
      <c r="F752" s="8"/>
      <c r="G752" s="8"/>
      <c r="H752" s="8"/>
      <c r="I752" s="8"/>
      <c r="J752" s="8"/>
      <c r="K752" s="8"/>
      <c r="L752" s="8"/>
      <c r="M752" s="8"/>
      <c r="N752" s="8"/>
      <c r="O752" s="8"/>
      <c r="P752" s="8"/>
      <c r="Q752" s="8"/>
      <c r="R752" s="8"/>
      <c r="S752" s="8"/>
      <c r="T752" s="8"/>
      <c r="U752" s="8"/>
      <c r="V752" s="8"/>
      <c r="W752" s="8"/>
    </row>
    <row r="753" spans="1:23" ht="12.75" x14ac:dyDescent="0.2">
      <c r="A753" s="8"/>
      <c r="B753" s="8"/>
      <c r="C753" s="8"/>
      <c r="D753" s="8"/>
      <c r="E753" s="8"/>
      <c r="F753" s="8"/>
      <c r="G753" s="8"/>
      <c r="H753" s="8"/>
      <c r="I753" s="8"/>
      <c r="J753" s="8"/>
      <c r="K753" s="8"/>
      <c r="L753" s="8"/>
      <c r="M753" s="8"/>
      <c r="N753" s="8"/>
      <c r="O753" s="8"/>
      <c r="P753" s="8"/>
      <c r="Q753" s="8"/>
      <c r="R753" s="8"/>
      <c r="S753" s="8"/>
      <c r="T753" s="8"/>
      <c r="U753" s="8"/>
      <c r="V753" s="8"/>
      <c r="W753" s="8"/>
    </row>
    <row r="754" spans="1:23" ht="12.75" x14ac:dyDescent="0.2">
      <c r="A754" s="8"/>
      <c r="B754" s="8"/>
      <c r="C754" s="8"/>
      <c r="D754" s="8"/>
      <c r="E754" s="8"/>
      <c r="F754" s="8"/>
      <c r="G754" s="8"/>
      <c r="H754" s="8"/>
      <c r="I754" s="8"/>
      <c r="J754" s="8"/>
      <c r="K754" s="8"/>
      <c r="L754" s="8"/>
      <c r="M754" s="8"/>
      <c r="N754" s="8"/>
      <c r="O754" s="8"/>
      <c r="P754" s="8"/>
      <c r="Q754" s="8"/>
      <c r="R754" s="8"/>
      <c r="S754" s="8"/>
      <c r="T754" s="8"/>
      <c r="U754" s="8"/>
      <c r="V754" s="8"/>
      <c r="W754" s="8"/>
    </row>
    <row r="755" spans="1:23" ht="12.75" x14ac:dyDescent="0.2">
      <c r="A755" s="8"/>
      <c r="B755" s="8"/>
      <c r="C755" s="8"/>
      <c r="D755" s="8"/>
      <c r="E755" s="8"/>
      <c r="F755" s="8"/>
      <c r="G755" s="8"/>
      <c r="H755" s="8"/>
      <c r="I755" s="8"/>
      <c r="J755" s="8"/>
      <c r="K755" s="8"/>
      <c r="L755" s="8"/>
      <c r="M755" s="8"/>
      <c r="N755" s="8"/>
      <c r="O755" s="8"/>
      <c r="P755" s="8"/>
      <c r="Q755" s="8"/>
      <c r="R755" s="8"/>
      <c r="S755" s="8"/>
      <c r="T755" s="8"/>
      <c r="U755" s="8"/>
      <c r="V755" s="8"/>
      <c r="W755" s="8"/>
    </row>
    <row r="756" spans="1:23" ht="12.75" x14ac:dyDescent="0.2">
      <c r="A756" s="8"/>
      <c r="B756" s="8"/>
      <c r="C756" s="8"/>
      <c r="D756" s="8"/>
      <c r="E756" s="8"/>
      <c r="F756" s="8"/>
      <c r="G756" s="8"/>
      <c r="H756" s="8"/>
      <c r="I756" s="8"/>
      <c r="J756" s="8"/>
      <c r="K756" s="8"/>
      <c r="L756" s="8"/>
      <c r="M756" s="8"/>
      <c r="N756" s="8"/>
      <c r="O756" s="8"/>
      <c r="P756" s="8"/>
      <c r="Q756" s="8"/>
      <c r="R756" s="8"/>
      <c r="S756" s="8"/>
      <c r="T756" s="8"/>
      <c r="U756" s="8"/>
      <c r="V756" s="8"/>
      <c r="W756" s="8"/>
    </row>
    <row r="757" spans="1:23" ht="12.75" x14ac:dyDescent="0.2">
      <c r="A757" s="8"/>
      <c r="B757" s="8"/>
      <c r="C757" s="8"/>
      <c r="D757" s="8"/>
      <c r="E757" s="8"/>
      <c r="F757" s="8"/>
      <c r="G757" s="8"/>
      <c r="H757" s="8"/>
      <c r="I757" s="8"/>
      <c r="J757" s="8"/>
      <c r="K757" s="8"/>
      <c r="L757" s="8"/>
      <c r="M757" s="8"/>
      <c r="N757" s="8"/>
      <c r="O757" s="8"/>
      <c r="P757" s="8"/>
      <c r="Q757" s="8"/>
      <c r="R757" s="8"/>
      <c r="S757" s="8"/>
      <c r="T757" s="8"/>
      <c r="U757" s="8"/>
      <c r="V757" s="8"/>
      <c r="W757" s="8"/>
    </row>
    <row r="758" spans="1:23" ht="12.75" x14ac:dyDescent="0.2">
      <c r="A758" s="8"/>
      <c r="B758" s="8"/>
      <c r="C758" s="8"/>
      <c r="D758" s="8"/>
      <c r="E758" s="8"/>
      <c r="F758" s="8"/>
      <c r="G758" s="8"/>
      <c r="H758" s="8"/>
      <c r="I758" s="8"/>
      <c r="J758" s="8"/>
      <c r="K758" s="8"/>
      <c r="L758" s="8"/>
      <c r="M758" s="8"/>
      <c r="N758" s="8"/>
      <c r="O758" s="8"/>
      <c r="P758" s="8"/>
      <c r="Q758" s="8"/>
      <c r="R758" s="8"/>
      <c r="S758" s="8"/>
      <c r="T758" s="8"/>
      <c r="U758" s="8"/>
      <c r="V758" s="8"/>
      <c r="W758" s="8"/>
    </row>
    <row r="759" spans="1:23" ht="12.75" x14ac:dyDescent="0.2">
      <c r="A759" s="8"/>
      <c r="B759" s="8"/>
      <c r="C759" s="8"/>
      <c r="D759" s="8"/>
      <c r="E759" s="8"/>
      <c r="F759" s="8"/>
      <c r="G759" s="8"/>
      <c r="H759" s="8"/>
      <c r="I759" s="8"/>
      <c r="J759" s="8"/>
      <c r="K759" s="8"/>
      <c r="L759" s="8"/>
      <c r="M759" s="8"/>
      <c r="N759" s="8"/>
      <c r="O759" s="8"/>
      <c r="P759" s="8"/>
      <c r="Q759" s="8"/>
      <c r="R759" s="8"/>
      <c r="S759" s="8"/>
      <c r="T759" s="8"/>
      <c r="U759" s="8"/>
      <c r="V759" s="8"/>
      <c r="W759" s="8"/>
    </row>
    <row r="760" spans="1:23" ht="12.75" x14ac:dyDescent="0.2">
      <c r="A760" s="8"/>
      <c r="B760" s="8"/>
      <c r="C760" s="8"/>
      <c r="D760" s="8"/>
      <c r="E760" s="8"/>
      <c r="F760" s="8"/>
      <c r="G760" s="8"/>
      <c r="H760" s="8"/>
      <c r="I760" s="8"/>
      <c r="J760" s="8"/>
      <c r="K760" s="8"/>
      <c r="L760" s="8"/>
      <c r="M760" s="8"/>
      <c r="N760" s="8"/>
      <c r="O760" s="8"/>
      <c r="P760" s="8"/>
      <c r="Q760" s="8"/>
      <c r="R760" s="8"/>
      <c r="S760" s="8"/>
      <c r="T760" s="8"/>
      <c r="U760" s="8"/>
      <c r="V760" s="8"/>
      <c r="W760" s="8"/>
    </row>
    <row r="761" spans="1:23" ht="12.75" x14ac:dyDescent="0.2">
      <c r="A761" s="8"/>
      <c r="B761" s="8"/>
      <c r="C761" s="8"/>
      <c r="D761" s="8"/>
      <c r="E761" s="8"/>
      <c r="F761" s="8"/>
      <c r="G761" s="8"/>
      <c r="H761" s="8"/>
      <c r="I761" s="8"/>
      <c r="J761" s="8"/>
      <c r="K761" s="8"/>
      <c r="L761" s="8"/>
      <c r="M761" s="8"/>
      <c r="N761" s="8"/>
      <c r="O761" s="8"/>
      <c r="P761" s="8"/>
      <c r="Q761" s="8"/>
      <c r="R761" s="8"/>
      <c r="S761" s="8"/>
      <c r="T761" s="8"/>
      <c r="U761" s="8"/>
      <c r="V761" s="8"/>
      <c r="W761" s="8"/>
    </row>
    <row r="762" spans="1:23" ht="12.75" x14ac:dyDescent="0.2">
      <c r="A762" s="8"/>
      <c r="B762" s="8"/>
      <c r="C762" s="8"/>
      <c r="D762" s="8"/>
      <c r="E762" s="8"/>
      <c r="F762" s="8"/>
      <c r="G762" s="8"/>
      <c r="H762" s="8"/>
      <c r="I762" s="8"/>
      <c r="J762" s="8"/>
      <c r="K762" s="8"/>
      <c r="L762" s="8"/>
      <c r="M762" s="8"/>
      <c r="N762" s="8"/>
      <c r="O762" s="8"/>
      <c r="P762" s="8"/>
      <c r="Q762" s="8"/>
      <c r="R762" s="8"/>
      <c r="S762" s="8"/>
      <c r="T762" s="8"/>
      <c r="U762" s="8"/>
      <c r="V762" s="8"/>
      <c r="W762" s="8"/>
    </row>
    <row r="763" spans="1:23" ht="12.75" x14ac:dyDescent="0.2">
      <c r="A763" s="8"/>
      <c r="B763" s="8"/>
      <c r="C763" s="8"/>
      <c r="D763" s="8"/>
      <c r="E763" s="8"/>
      <c r="F763" s="8"/>
      <c r="G763" s="8"/>
      <c r="H763" s="8"/>
      <c r="I763" s="8"/>
      <c r="J763" s="8"/>
      <c r="K763" s="8"/>
      <c r="L763" s="8"/>
      <c r="M763" s="8"/>
      <c r="N763" s="8"/>
      <c r="O763" s="8"/>
      <c r="P763" s="8"/>
      <c r="Q763" s="8"/>
      <c r="R763" s="8"/>
      <c r="S763" s="8"/>
      <c r="T763" s="8"/>
      <c r="U763" s="8"/>
      <c r="V763" s="8"/>
      <c r="W763" s="8"/>
    </row>
    <row r="764" spans="1:23" ht="12.75" x14ac:dyDescent="0.2">
      <c r="A764" s="8"/>
      <c r="B764" s="8"/>
      <c r="C764" s="8"/>
      <c r="D764" s="8"/>
      <c r="E764" s="8"/>
      <c r="F764" s="8"/>
      <c r="G764" s="8"/>
      <c r="H764" s="8"/>
      <c r="I764" s="8"/>
      <c r="J764" s="8"/>
      <c r="K764" s="8"/>
      <c r="L764" s="8"/>
      <c r="M764" s="8"/>
      <c r="N764" s="8"/>
      <c r="O764" s="8"/>
      <c r="P764" s="8"/>
      <c r="Q764" s="8"/>
      <c r="R764" s="8"/>
      <c r="S764" s="8"/>
      <c r="T764" s="8"/>
      <c r="U764" s="8"/>
      <c r="V764" s="8"/>
      <c r="W764" s="8"/>
    </row>
    <row r="765" spans="1:23" ht="12.75" x14ac:dyDescent="0.2">
      <c r="A765" s="8"/>
      <c r="B765" s="8"/>
      <c r="C765" s="8"/>
      <c r="D765" s="8"/>
      <c r="E765" s="8"/>
      <c r="F765" s="8"/>
      <c r="G765" s="8"/>
      <c r="H765" s="8"/>
      <c r="I765" s="8"/>
      <c r="J765" s="8"/>
      <c r="K765" s="8"/>
      <c r="L765" s="8"/>
      <c r="M765" s="8"/>
      <c r="N765" s="8"/>
      <c r="O765" s="8"/>
      <c r="P765" s="8"/>
      <c r="Q765" s="8"/>
      <c r="R765" s="8"/>
      <c r="S765" s="8"/>
      <c r="T765" s="8"/>
      <c r="U765" s="8"/>
      <c r="V765" s="8"/>
      <c r="W765" s="8"/>
    </row>
    <row r="766" spans="1:23" ht="12.75" x14ac:dyDescent="0.2">
      <c r="A766" s="8"/>
      <c r="B766" s="8"/>
      <c r="C766" s="8"/>
      <c r="D766" s="8"/>
      <c r="E766" s="8"/>
      <c r="F766" s="8"/>
      <c r="G766" s="8"/>
      <c r="H766" s="8"/>
      <c r="I766" s="8"/>
      <c r="J766" s="8"/>
      <c r="K766" s="8"/>
      <c r="L766" s="8"/>
      <c r="M766" s="8"/>
      <c r="N766" s="8"/>
      <c r="O766" s="8"/>
      <c r="P766" s="8"/>
      <c r="Q766" s="8"/>
      <c r="R766" s="8"/>
      <c r="S766" s="8"/>
      <c r="T766" s="8"/>
      <c r="U766" s="8"/>
      <c r="V766" s="8"/>
      <c r="W766" s="8"/>
    </row>
    <row r="767" spans="1:23" ht="12.75" x14ac:dyDescent="0.2">
      <c r="A767" s="8"/>
      <c r="B767" s="8"/>
      <c r="C767" s="8"/>
      <c r="D767" s="8"/>
      <c r="E767" s="8"/>
      <c r="F767" s="8"/>
      <c r="G767" s="8"/>
      <c r="H767" s="8"/>
      <c r="I767" s="8"/>
      <c r="J767" s="8"/>
      <c r="K767" s="8"/>
      <c r="L767" s="8"/>
      <c r="M767" s="8"/>
      <c r="N767" s="8"/>
      <c r="O767" s="8"/>
      <c r="P767" s="8"/>
      <c r="Q767" s="8"/>
      <c r="R767" s="8"/>
      <c r="S767" s="8"/>
      <c r="T767" s="8"/>
      <c r="U767" s="8"/>
      <c r="V767" s="8"/>
      <c r="W767" s="8"/>
    </row>
    <row r="768" spans="1:23" ht="12.75" x14ac:dyDescent="0.2">
      <c r="A768" s="8"/>
      <c r="B768" s="8"/>
      <c r="C768" s="8"/>
      <c r="D768" s="8"/>
      <c r="E768" s="8"/>
      <c r="F768" s="8"/>
      <c r="G768" s="8"/>
      <c r="H768" s="8"/>
      <c r="I768" s="8"/>
      <c r="J768" s="8"/>
      <c r="K768" s="8"/>
      <c r="L768" s="8"/>
      <c r="M768" s="8"/>
      <c r="N768" s="8"/>
      <c r="O768" s="8"/>
      <c r="P768" s="8"/>
      <c r="Q768" s="8"/>
      <c r="R768" s="8"/>
      <c r="S768" s="8"/>
      <c r="T768" s="8"/>
      <c r="U768" s="8"/>
      <c r="V768" s="8"/>
      <c r="W768" s="8"/>
    </row>
    <row r="769" spans="1:23" ht="12.75" x14ac:dyDescent="0.2">
      <c r="A769" s="8"/>
      <c r="B769" s="8"/>
      <c r="C769" s="8"/>
      <c r="D769" s="8"/>
      <c r="E769" s="8"/>
      <c r="F769" s="8"/>
      <c r="G769" s="8"/>
      <c r="H769" s="8"/>
      <c r="I769" s="8"/>
      <c r="J769" s="8"/>
      <c r="K769" s="8"/>
      <c r="L769" s="8"/>
      <c r="M769" s="8"/>
      <c r="N769" s="8"/>
      <c r="O769" s="8"/>
      <c r="P769" s="8"/>
      <c r="Q769" s="8"/>
      <c r="R769" s="8"/>
      <c r="S769" s="8"/>
      <c r="T769" s="8"/>
      <c r="U769" s="8"/>
      <c r="V769" s="8"/>
      <c r="W769" s="8"/>
    </row>
    <row r="770" spans="1:23" ht="12.75" x14ac:dyDescent="0.2">
      <c r="A770" s="8"/>
      <c r="B770" s="8"/>
      <c r="C770" s="8"/>
      <c r="D770" s="8"/>
      <c r="E770" s="8"/>
      <c r="F770" s="8"/>
      <c r="G770" s="8"/>
      <c r="H770" s="8"/>
      <c r="I770" s="8"/>
      <c r="J770" s="8"/>
      <c r="K770" s="8"/>
      <c r="L770" s="8"/>
      <c r="M770" s="8"/>
      <c r="N770" s="8"/>
      <c r="O770" s="8"/>
      <c r="P770" s="8"/>
      <c r="Q770" s="8"/>
      <c r="R770" s="8"/>
      <c r="S770" s="8"/>
      <c r="T770" s="8"/>
      <c r="U770" s="8"/>
      <c r="V770" s="8"/>
      <c r="W770" s="8"/>
    </row>
    <row r="771" spans="1:23" ht="12.75" x14ac:dyDescent="0.2">
      <c r="A771" s="8"/>
      <c r="B771" s="8"/>
      <c r="C771" s="8"/>
      <c r="D771" s="8"/>
      <c r="E771" s="8"/>
      <c r="F771" s="8"/>
      <c r="G771" s="8"/>
      <c r="H771" s="8"/>
      <c r="I771" s="8"/>
      <c r="J771" s="8"/>
      <c r="K771" s="8"/>
      <c r="L771" s="8"/>
      <c r="M771" s="8"/>
      <c r="N771" s="8"/>
      <c r="O771" s="8"/>
      <c r="P771" s="8"/>
      <c r="Q771" s="8"/>
      <c r="R771" s="8"/>
      <c r="S771" s="8"/>
      <c r="T771" s="8"/>
      <c r="U771" s="8"/>
      <c r="V771" s="8"/>
      <c r="W771" s="8"/>
    </row>
    <row r="772" spans="1:23" ht="12.75" x14ac:dyDescent="0.2">
      <c r="A772" s="8"/>
      <c r="B772" s="8"/>
      <c r="C772" s="8"/>
      <c r="D772" s="8"/>
      <c r="E772" s="8"/>
      <c r="F772" s="8"/>
      <c r="G772" s="8"/>
      <c r="H772" s="8"/>
      <c r="I772" s="8"/>
      <c r="J772" s="8"/>
      <c r="K772" s="8"/>
      <c r="L772" s="8"/>
      <c r="M772" s="8"/>
      <c r="N772" s="8"/>
      <c r="O772" s="8"/>
      <c r="P772" s="8"/>
      <c r="Q772" s="8"/>
      <c r="R772" s="8"/>
      <c r="S772" s="8"/>
      <c r="T772" s="8"/>
      <c r="U772" s="8"/>
      <c r="V772" s="8"/>
      <c r="W772" s="8"/>
    </row>
    <row r="773" spans="1:23" ht="12.75" x14ac:dyDescent="0.2">
      <c r="A773" s="8"/>
      <c r="B773" s="8"/>
      <c r="C773" s="8"/>
      <c r="D773" s="8"/>
      <c r="E773" s="8"/>
      <c r="F773" s="8"/>
      <c r="G773" s="8"/>
      <c r="H773" s="8"/>
      <c r="I773" s="8"/>
      <c r="J773" s="8"/>
      <c r="K773" s="8"/>
      <c r="L773" s="8"/>
      <c r="M773" s="8"/>
      <c r="N773" s="8"/>
      <c r="O773" s="8"/>
      <c r="P773" s="8"/>
      <c r="Q773" s="8"/>
      <c r="R773" s="8"/>
      <c r="S773" s="8"/>
      <c r="T773" s="8"/>
      <c r="U773" s="8"/>
      <c r="V773" s="8"/>
      <c r="W773" s="8"/>
    </row>
    <row r="774" spans="1:23" ht="12.75" x14ac:dyDescent="0.2">
      <c r="A774" s="8"/>
      <c r="B774" s="8"/>
      <c r="C774" s="8"/>
      <c r="D774" s="8"/>
      <c r="E774" s="8"/>
      <c r="F774" s="8"/>
      <c r="G774" s="8"/>
      <c r="H774" s="8"/>
      <c r="I774" s="8"/>
      <c r="J774" s="8"/>
      <c r="K774" s="8"/>
      <c r="L774" s="8"/>
      <c r="M774" s="8"/>
      <c r="N774" s="8"/>
      <c r="O774" s="8"/>
      <c r="P774" s="8"/>
      <c r="Q774" s="8"/>
      <c r="R774" s="8"/>
      <c r="S774" s="8"/>
      <c r="T774" s="8"/>
      <c r="U774" s="8"/>
      <c r="V774" s="8"/>
      <c r="W774" s="8"/>
    </row>
    <row r="775" spans="1:23" ht="12.75" x14ac:dyDescent="0.2">
      <c r="A775" s="8"/>
      <c r="B775" s="8"/>
      <c r="C775" s="8"/>
      <c r="D775" s="8"/>
      <c r="E775" s="8"/>
      <c r="F775" s="8"/>
      <c r="G775" s="8"/>
      <c r="H775" s="8"/>
      <c r="I775" s="8"/>
      <c r="J775" s="8"/>
      <c r="K775" s="8"/>
      <c r="L775" s="8"/>
      <c r="M775" s="8"/>
      <c r="N775" s="8"/>
      <c r="O775" s="8"/>
      <c r="P775" s="8"/>
      <c r="Q775" s="8"/>
      <c r="R775" s="8"/>
      <c r="S775" s="8"/>
      <c r="T775" s="8"/>
      <c r="U775" s="8"/>
      <c r="V775" s="8"/>
      <c r="W775" s="8"/>
    </row>
    <row r="776" spans="1:23" ht="12.75" x14ac:dyDescent="0.2">
      <c r="A776" s="8"/>
      <c r="B776" s="8"/>
      <c r="C776" s="8"/>
      <c r="D776" s="8"/>
      <c r="E776" s="8"/>
      <c r="F776" s="8"/>
      <c r="G776" s="8"/>
      <c r="H776" s="8"/>
      <c r="I776" s="8"/>
      <c r="J776" s="8"/>
      <c r="K776" s="8"/>
      <c r="L776" s="8"/>
      <c r="M776" s="8"/>
      <c r="N776" s="8"/>
      <c r="O776" s="8"/>
      <c r="P776" s="8"/>
      <c r="Q776" s="8"/>
      <c r="R776" s="8"/>
      <c r="S776" s="8"/>
      <c r="T776" s="8"/>
      <c r="U776" s="8"/>
      <c r="V776" s="8"/>
      <c r="W776" s="8"/>
    </row>
    <row r="777" spans="1:23" ht="12.75" x14ac:dyDescent="0.2">
      <c r="A777" s="8"/>
      <c r="B777" s="8"/>
      <c r="C777" s="8"/>
      <c r="D777" s="8"/>
      <c r="E777" s="8"/>
      <c r="F777" s="8"/>
      <c r="G777" s="8"/>
      <c r="H777" s="8"/>
      <c r="I777" s="8"/>
      <c r="J777" s="8"/>
      <c r="K777" s="8"/>
      <c r="L777" s="8"/>
      <c r="M777" s="8"/>
      <c r="N777" s="8"/>
      <c r="O777" s="8"/>
      <c r="P777" s="8"/>
      <c r="Q777" s="8"/>
      <c r="R777" s="8"/>
      <c r="S777" s="8"/>
      <c r="T777" s="8"/>
      <c r="U777" s="8"/>
      <c r="V777" s="8"/>
      <c r="W777" s="8"/>
    </row>
    <row r="778" spans="1:23" ht="12.75" x14ac:dyDescent="0.2">
      <c r="A778" s="8"/>
      <c r="B778" s="8"/>
      <c r="C778" s="8"/>
      <c r="D778" s="8"/>
      <c r="E778" s="8"/>
      <c r="F778" s="8"/>
      <c r="G778" s="8"/>
      <c r="H778" s="8"/>
      <c r="I778" s="8"/>
      <c r="J778" s="8"/>
      <c r="K778" s="8"/>
      <c r="L778" s="8"/>
      <c r="M778" s="8"/>
      <c r="N778" s="8"/>
      <c r="O778" s="8"/>
      <c r="P778" s="8"/>
      <c r="Q778" s="8"/>
      <c r="R778" s="8"/>
      <c r="S778" s="8"/>
      <c r="T778" s="8"/>
      <c r="U778" s="8"/>
      <c r="V778" s="8"/>
      <c r="W778" s="8"/>
    </row>
    <row r="779" spans="1:23" ht="12.75" x14ac:dyDescent="0.2">
      <c r="A779" s="8"/>
      <c r="B779" s="8"/>
      <c r="C779" s="8"/>
      <c r="D779" s="8"/>
      <c r="E779" s="8"/>
      <c r="F779" s="8"/>
      <c r="G779" s="8"/>
      <c r="H779" s="8"/>
      <c r="I779" s="8"/>
      <c r="J779" s="8"/>
      <c r="K779" s="8"/>
      <c r="L779" s="8"/>
      <c r="M779" s="8"/>
      <c r="N779" s="8"/>
      <c r="O779" s="8"/>
      <c r="P779" s="8"/>
      <c r="Q779" s="8"/>
      <c r="R779" s="8"/>
      <c r="S779" s="8"/>
      <c r="T779" s="8"/>
      <c r="U779" s="8"/>
      <c r="V779" s="8"/>
      <c r="W779" s="8"/>
    </row>
    <row r="780" spans="1:23" ht="12.75" x14ac:dyDescent="0.2">
      <c r="A780" s="8"/>
      <c r="B780" s="8"/>
      <c r="C780" s="8"/>
      <c r="D780" s="8"/>
      <c r="E780" s="8"/>
      <c r="F780" s="8"/>
      <c r="G780" s="8"/>
      <c r="H780" s="8"/>
      <c r="I780" s="8"/>
      <c r="J780" s="8"/>
      <c r="K780" s="8"/>
      <c r="L780" s="8"/>
      <c r="M780" s="8"/>
      <c r="N780" s="8"/>
      <c r="O780" s="8"/>
      <c r="P780" s="8"/>
      <c r="Q780" s="8"/>
      <c r="R780" s="8"/>
      <c r="S780" s="8"/>
      <c r="T780" s="8"/>
      <c r="U780" s="8"/>
      <c r="V780" s="8"/>
      <c r="W780" s="8"/>
    </row>
    <row r="781" spans="1:23" ht="12.75" x14ac:dyDescent="0.2">
      <c r="A781" s="8"/>
      <c r="B781" s="8"/>
      <c r="C781" s="8"/>
      <c r="D781" s="8"/>
      <c r="E781" s="8"/>
      <c r="F781" s="8"/>
      <c r="G781" s="8"/>
      <c r="H781" s="8"/>
      <c r="I781" s="8"/>
      <c r="J781" s="8"/>
      <c r="K781" s="8"/>
      <c r="L781" s="8"/>
      <c r="M781" s="8"/>
      <c r="N781" s="8"/>
      <c r="O781" s="8"/>
      <c r="P781" s="8"/>
      <c r="Q781" s="8"/>
      <c r="R781" s="8"/>
      <c r="S781" s="8"/>
      <c r="T781" s="8"/>
      <c r="U781" s="8"/>
      <c r="V781" s="8"/>
      <c r="W781" s="8"/>
    </row>
    <row r="782" spans="1:23" ht="12.75" x14ac:dyDescent="0.2">
      <c r="A782" s="8"/>
      <c r="B782" s="8"/>
      <c r="C782" s="8"/>
      <c r="D782" s="8"/>
      <c r="E782" s="8"/>
      <c r="F782" s="8"/>
      <c r="G782" s="8"/>
      <c r="H782" s="8"/>
      <c r="I782" s="8"/>
      <c r="J782" s="8"/>
      <c r="K782" s="8"/>
      <c r="L782" s="8"/>
      <c r="M782" s="8"/>
      <c r="N782" s="8"/>
      <c r="O782" s="8"/>
      <c r="P782" s="8"/>
      <c r="Q782" s="8"/>
      <c r="R782" s="8"/>
      <c r="S782" s="8"/>
      <c r="T782" s="8"/>
      <c r="U782" s="8"/>
      <c r="V782" s="8"/>
      <c r="W782" s="8"/>
    </row>
    <row r="783" spans="1:23" ht="12.75" x14ac:dyDescent="0.2">
      <c r="A783" s="8"/>
      <c r="B783" s="8"/>
      <c r="C783" s="8"/>
      <c r="D783" s="8"/>
      <c r="E783" s="8"/>
      <c r="F783" s="8"/>
      <c r="G783" s="8"/>
      <c r="H783" s="8"/>
      <c r="I783" s="8"/>
      <c r="J783" s="8"/>
      <c r="K783" s="8"/>
      <c r="L783" s="8"/>
      <c r="M783" s="8"/>
      <c r="N783" s="8"/>
      <c r="O783" s="8"/>
      <c r="P783" s="8"/>
      <c r="Q783" s="8"/>
      <c r="R783" s="8"/>
      <c r="S783" s="8"/>
      <c r="T783" s="8"/>
      <c r="U783" s="8"/>
      <c r="V783" s="8"/>
      <c r="W783" s="8"/>
    </row>
    <row r="784" spans="1:23" ht="12.75" x14ac:dyDescent="0.2">
      <c r="A784" s="8"/>
      <c r="B784" s="8"/>
      <c r="C784" s="8"/>
      <c r="D784" s="8"/>
      <c r="E784" s="8"/>
      <c r="F784" s="8"/>
      <c r="G784" s="8"/>
      <c r="H784" s="8"/>
      <c r="I784" s="8"/>
      <c r="J784" s="8"/>
      <c r="K784" s="8"/>
      <c r="L784" s="8"/>
      <c r="M784" s="8"/>
      <c r="N784" s="8"/>
      <c r="O784" s="8"/>
      <c r="P784" s="8"/>
      <c r="Q784" s="8"/>
      <c r="R784" s="8"/>
      <c r="S784" s="8"/>
      <c r="T784" s="8"/>
      <c r="U784" s="8"/>
      <c r="V784" s="8"/>
      <c r="W784" s="8"/>
    </row>
    <row r="785" spans="1:23" ht="12.75" x14ac:dyDescent="0.2">
      <c r="A785" s="8"/>
      <c r="B785" s="8"/>
      <c r="C785" s="8"/>
      <c r="D785" s="8"/>
      <c r="E785" s="8"/>
      <c r="F785" s="8"/>
      <c r="G785" s="8"/>
      <c r="H785" s="8"/>
      <c r="I785" s="8"/>
      <c r="J785" s="8"/>
      <c r="K785" s="8"/>
      <c r="L785" s="8"/>
      <c r="M785" s="8"/>
      <c r="N785" s="8"/>
      <c r="O785" s="8"/>
      <c r="P785" s="8"/>
      <c r="Q785" s="8"/>
      <c r="R785" s="8"/>
      <c r="S785" s="8"/>
      <c r="T785" s="8"/>
      <c r="U785" s="8"/>
      <c r="V785" s="8"/>
      <c r="W785" s="8"/>
    </row>
    <row r="786" spans="1:23" ht="12.75" x14ac:dyDescent="0.2">
      <c r="A786" s="8"/>
      <c r="B786" s="8"/>
      <c r="C786" s="8"/>
      <c r="D786" s="8"/>
      <c r="E786" s="8"/>
      <c r="F786" s="8"/>
      <c r="G786" s="8"/>
      <c r="H786" s="8"/>
      <c r="I786" s="8"/>
      <c r="J786" s="8"/>
      <c r="K786" s="8"/>
      <c r="L786" s="8"/>
      <c r="M786" s="8"/>
      <c r="N786" s="8"/>
      <c r="O786" s="8"/>
      <c r="P786" s="8"/>
      <c r="Q786" s="8"/>
      <c r="R786" s="8"/>
      <c r="S786" s="8"/>
      <c r="T786" s="8"/>
      <c r="U786" s="8"/>
      <c r="V786" s="8"/>
      <c r="W786" s="8"/>
    </row>
    <row r="787" spans="1:23" ht="12.75" x14ac:dyDescent="0.2">
      <c r="A787" s="8"/>
      <c r="B787" s="8"/>
      <c r="C787" s="8"/>
      <c r="D787" s="8"/>
      <c r="E787" s="8"/>
      <c r="F787" s="8"/>
      <c r="G787" s="8"/>
      <c r="H787" s="8"/>
      <c r="I787" s="8"/>
      <c r="J787" s="8"/>
      <c r="K787" s="8"/>
      <c r="L787" s="8"/>
      <c r="M787" s="8"/>
      <c r="N787" s="8"/>
      <c r="O787" s="8"/>
      <c r="P787" s="8"/>
      <c r="Q787" s="8"/>
      <c r="R787" s="8"/>
      <c r="S787" s="8"/>
      <c r="T787" s="8"/>
      <c r="U787" s="8"/>
      <c r="V787" s="8"/>
      <c r="W787" s="8"/>
    </row>
    <row r="788" spans="1:23" ht="12.75" x14ac:dyDescent="0.2">
      <c r="A788" s="8"/>
      <c r="B788" s="8"/>
      <c r="C788" s="8"/>
      <c r="D788" s="8"/>
      <c r="E788" s="8"/>
      <c r="F788" s="8"/>
      <c r="G788" s="8"/>
      <c r="H788" s="8"/>
      <c r="I788" s="8"/>
      <c r="J788" s="8"/>
      <c r="K788" s="8"/>
      <c r="L788" s="8"/>
      <c r="M788" s="8"/>
      <c r="N788" s="8"/>
      <c r="O788" s="8"/>
      <c r="P788" s="8"/>
      <c r="Q788" s="8"/>
      <c r="R788" s="8"/>
      <c r="S788" s="8"/>
      <c r="T788" s="8"/>
      <c r="U788" s="8"/>
      <c r="V788" s="8"/>
      <c r="W788" s="8"/>
    </row>
    <row r="789" spans="1:23" ht="12.75" x14ac:dyDescent="0.2">
      <c r="A789" s="8"/>
      <c r="B789" s="8"/>
      <c r="C789" s="8"/>
      <c r="D789" s="8"/>
      <c r="E789" s="8"/>
      <c r="F789" s="8"/>
      <c r="G789" s="8"/>
      <c r="H789" s="8"/>
      <c r="I789" s="8"/>
      <c r="J789" s="8"/>
      <c r="K789" s="8"/>
      <c r="L789" s="8"/>
      <c r="M789" s="8"/>
      <c r="N789" s="8"/>
      <c r="O789" s="8"/>
      <c r="P789" s="8"/>
      <c r="Q789" s="8"/>
      <c r="R789" s="8"/>
      <c r="S789" s="8"/>
      <c r="T789" s="8"/>
      <c r="U789" s="8"/>
      <c r="V789" s="8"/>
      <c r="W789" s="8"/>
    </row>
    <row r="790" spans="1:23" ht="12.75" x14ac:dyDescent="0.2">
      <c r="A790" s="8"/>
      <c r="B790" s="8"/>
      <c r="C790" s="8"/>
      <c r="D790" s="8"/>
      <c r="E790" s="8"/>
      <c r="F790" s="8"/>
      <c r="G790" s="8"/>
      <c r="H790" s="8"/>
      <c r="I790" s="8"/>
      <c r="J790" s="8"/>
      <c r="K790" s="8"/>
      <c r="L790" s="8"/>
      <c r="M790" s="8"/>
      <c r="N790" s="8"/>
      <c r="O790" s="8"/>
      <c r="P790" s="8"/>
      <c r="Q790" s="8"/>
      <c r="R790" s="8"/>
      <c r="S790" s="8"/>
      <c r="T790" s="8"/>
      <c r="U790" s="8"/>
      <c r="V790" s="8"/>
      <c r="W790" s="8"/>
    </row>
    <row r="791" spans="1:23" ht="12.75" x14ac:dyDescent="0.2">
      <c r="A791" s="8"/>
      <c r="B791" s="8"/>
      <c r="C791" s="8"/>
      <c r="D791" s="8"/>
      <c r="E791" s="8"/>
      <c r="F791" s="8"/>
      <c r="G791" s="8"/>
      <c r="H791" s="8"/>
      <c r="I791" s="8"/>
      <c r="J791" s="8"/>
      <c r="K791" s="8"/>
      <c r="L791" s="8"/>
      <c r="M791" s="8"/>
      <c r="N791" s="8"/>
      <c r="O791" s="8"/>
      <c r="P791" s="8"/>
      <c r="Q791" s="8"/>
      <c r="R791" s="8"/>
      <c r="S791" s="8"/>
      <c r="T791" s="8"/>
      <c r="U791" s="8"/>
      <c r="V791" s="8"/>
      <c r="W791" s="8"/>
    </row>
    <row r="792" spans="1:23" ht="12.75" x14ac:dyDescent="0.2">
      <c r="A792" s="8"/>
      <c r="B792" s="8"/>
      <c r="C792" s="8"/>
      <c r="D792" s="8"/>
      <c r="E792" s="8"/>
      <c r="F792" s="8"/>
      <c r="G792" s="8"/>
      <c r="H792" s="8"/>
      <c r="I792" s="8"/>
      <c r="J792" s="8"/>
      <c r="K792" s="8"/>
      <c r="L792" s="8"/>
      <c r="M792" s="8"/>
      <c r="N792" s="8"/>
      <c r="O792" s="8"/>
      <c r="P792" s="8"/>
      <c r="Q792" s="8"/>
      <c r="R792" s="8"/>
      <c r="S792" s="8"/>
      <c r="T792" s="8"/>
      <c r="U792" s="8"/>
      <c r="V792" s="8"/>
      <c r="W792" s="8"/>
    </row>
    <row r="793" spans="1:23" ht="12.75" x14ac:dyDescent="0.2">
      <c r="A793" s="8"/>
      <c r="B793" s="8"/>
      <c r="C793" s="8"/>
      <c r="D793" s="8"/>
      <c r="E793" s="8"/>
      <c r="F793" s="8"/>
      <c r="G793" s="8"/>
      <c r="H793" s="8"/>
      <c r="I793" s="8"/>
      <c r="J793" s="8"/>
      <c r="K793" s="8"/>
      <c r="L793" s="8"/>
      <c r="M793" s="8"/>
      <c r="N793" s="8"/>
      <c r="O793" s="8"/>
      <c r="P793" s="8"/>
      <c r="Q793" s="8"/>
      <c r="R793" s="8"/>
      <c r="S793" s="8"/>
      <c r="T793" s="8"/>
      <c r="U793" s="8"/>
      <c r="V793" s="8"/>
      <c r="W793" s="8"/>
    </row>
    <row r="794" spans="1:23" ht="12.75" x14ac:dyDescent="0.2">
      <c r="A794" s="8"/>
      <c r="B794" s="8"/>
      <c r="C794" s="8"/>
      <c r="D794" s="8"/>
      <c r="E794" s="8"/>
      <c r="F794" s="8"/>
      <c r="G794" s="8"/>
      <c r="H794" s="8"/>
      <c r="I794" s="8"/>
      <c r="J794" s="8"/>
      <c r="K794" s="8"/>
      <c r="L794" s="8"/>
      <c r="M794" s="8"/>
      <c r="N794" s="8"/>
      <c r="O794" s="8"/>
      <c r="P794" s="8"/>
      <c r="Q794" s="8"/>
      <c r="R794" s="8"/>
      <c r="S794" s="8"/>
      <c r="T794" s="8"/>
      <c r="U794" s="8"/>
      <c r="V794" s="8"/>
      <c r="W794" s="8"/>
    </row>
    <row r="795" spans="1:23" ht="12.75" x14ac:dyDescent="0.2">
      <c r="A795" s="8"/>
      <c r="B795" s="8"/>
      <c r="C795" s="8"/>
      <c r="D795" s="8"/>
      <c r="E795" s="8"/>
      <c r="F795" s="8"/>
      <c r="G795" s="8"/>
      <c r="H795" s="8"/>
      <c r="I795" s="8"/>
      <c r="J795" s="8"/>
      <c r="K795" s="8"/>
      <c r="L795" s="8"/>
      <c r="M795" s="8"/>
      <c r="N795" s="8"/>
      <c r="O795" s="8"/>
      <c r="P795" s="8"/>
      <c r="Q795" s="8"/>
      <c r="R795" s="8"/>
      <c r="S795" s="8"/>
      <c r="T795" s="8"/>
      <c r="U795" s="8"/>
      <c r="V795" s="8"/>
      <c r="W795" s="8"/>
    </row>
    <row r="796" spans="1:23" ht="12.75" x14ac:dyDescent="0.2">
      <c r="A796" s="8"/>
      <c r="B796" s="8"/>
      <c r="C796" s="8"/>
      <c r="D796" s="8"/>
      <c r="E796" s="8"/>
      <c r="F796" s="8"/>
      <c r="G796" s="8"/>
      <c r="H796" s="8"/>
      <c r="I796" s="8"/>
      <c r="J796" s="8"/>
      <c r="K796" s="8"/>
      <c r="L796" s="8"/>
      <c r="M796" s="8"/>
      <c r="N796" s="8"/>
      <c r="O796" s="8"/>
      <c r="P796" s="8"/>
      <c r="Q796" s="8"/>
      <c r="R796" s="8"/>
      <c r="S796" s="8"/>
      <c r="T796" s="8"/>
      <c r="U796" s="8"/>
      <c r="V796" s="8"/>
      <c r="W796" s="8"/>
    </row>
    <row r="797" spans="1:23" ht="12.75" x14ac:dyDescent="0.2">
      <c r="A797" s="8"/>
      <c r="B797" s="8"/>
      <c r="C797" s="8"/>
      <c r="D797" s="8"/>
      <c r="E797" s="8"/>
      <c r="F797" s="8"/>
      <c r="G797" s="8"/>
      <c r="H797" s="8"/>
      <c r="I797" s="8"/>
      <c r="J797" s="8"/>
      <c r="K797" s="8"/>
      <c r="L797" s="8"/>
      <c r="M797" s="8"/>
      <c r="N797" s="8"/>
      <c r="O797" s="8"/>
      <c r="P797" s="8"/>
      <c r="Q797" s="8"/>
      <c r="R797" s="8"/>
      <c r="S797" s="8"/>
      <c r="T797" s="8"/>
      <c r="U797" s="8"/>
      <c r="V797" s="8"/>
      <c r="W797" s="8"/>
    </row>
    <row r="798" spans="1:23" ht="12.75" x14ac:dyDescent="0.2">
      <c r="A798" s="8"/>
      <c r="B798" s="8"/>
      <c r="C798" s="8"/>
      <c r="D798" s="8"/>
      <c r="E798" s="8"/>
      <c r="F798" s="8"/>
      <c r="G798" s="8"/>
      <c r="H798" s="8"/>
      <c r="I798" s="8"/>
      <c r="J798" s="8"/>
      <c r="K798" s="8"/>
      <c r="L798" s="8"/>
      <c r="M798" s="8"/>
      <c r="N798" s="8"/>
      <c r="O798" s="8"/>
      <c r="P798" s="8"/>
      <c r="Q798" s="8"/>
      <c r="R798" s="8"/>
      <c r="S798" s="8"/>
      <c r="T798" s="8"/>
      <c r="U798" s="8"/>
      <c r="V798" s="8"/>
      <c r="W798" s="8"/>
    </row>
    <row r="799" spans="1:23" ht="12.75" x14ac:dyDescent="0.2">
      <c r="A799" s="8"/>
      <c r="B799" s="8"/>
      <c r="C799" s="8"/>
      <c r="D799" s="8"/>
      <c r="E799" s="8"/>
      <c r="F799" s="8"/>
      <c r="G799" s="8"/>
      <c r="H799" s="8"/>
      <c r="I799" s="8"/>
      <c r="J799" s="8"/>
      <c r="K799" s="8"/>
      <c r="L799" s="8"/>
      <c r="M799" s="8"/>
      <c r="N799" s="8"/>
      <c r="O799" s="8"/>
      <c r="P799" s="8"/>
      <c r="Q799" s="8"/>
      <c r="R799" s="8"/>
      <c r="S799" s="8"/>
      <c r="T799" s="8"/>
      <c r="U799" s="8"/>
      <c r="V799" s="8"/>
      <c r="W799" s="8"/>
    </row>
    <row r="800" spans="1:23" ht="12.75" x14ac:dyDescent="0.2">
      <c r="A800" s="8"/>
      <c r="B800" s="8"/>
      <c r="C800" s="8"/>
      <c r="D800" s="8"/>
      <c r="E800" s="8"/>
      <c r="F800" s="8"/>
      <c r="G800" s="8"/>
      <c r="H800" s="8"/>
      <c r="I800" s="8"/>
      <c r="J800" s="8"/>
      <c r="K800" s="8"/>
      <c r="L800" s="8"/>
      <c r="M800" s="8"/>
      <c r="N800" s="8"/>
      <c r="O800" s="8"/>
      <c r="P800" s="8"/>
      <c r="Q800" s="8"/>
      <c r="R800" s="8"/>
      <c r="S800" s="8"/>
      <c r="T800" s="8"/>
      <c r="U800" s="8"/>
      <c r="V800" s="8"/>
      <c r="W800" s="8"/>
    </row>
    <row r="801" spans="1:23" ht="12.75" x14ac:dyDescent="0.2">
      <c r="A801" s="8"/>
      <c r="B801" s="8"/>
      <c r="C801" s="8"/>
      <c r="D801" s="8"/>
      <c r="E801" s="8"/>
      <c r="F801" s="8"/>
      <c r="G801" s="8"/>
      <c r="H801" s="8"/>
      <c r="I801" s="8"/>
      <c r="J801" s="8"/>
      <c r="K801" s="8"/>
      <c r="L801" s="8"/>
      <c r="M801" s="8"/>
      <c r="N801" s="8"/>
      <c r="O801" s="8"/>
      <c r="P801" s="8"/>
      <c r="Q801" s="8"/>
      <c r="R801" s="8"/>
      <c r="S801" s="8"/>
      <c r="T801" s="8"/>
      <c r="U801" s="8"/>
      <c r="V801" s="8"/>
      <c r="W801" s="8"/>
    </row>
    <row r="802" spans="1:23" ht="12.75" x14ac:dyDescent="0.2">
      <c r="A802" s="8"/>
      <c r="B802" s="8"/>
      <c r="C802" s="8"/>
      <c r="D802" s="8"/>
      <c r="E802" s="8"/>
      <c r="F802" s="8"/>
      <c r="G802" s="8"/>
      <c r="H802" s="8"/>
      <c r="I802" s="8"/>
      <c r="J802" s="8"/>
      <c r="K802" s="8"/>
      <c r="L802" s="8"/>
      <c r="M802" s="8"/>
      <c r="N802" s="8"/>
      <c r="O802" s="8"/>
      <c r="P802" s="8"/>
      <c r="Q802" s="8"/>
      <c r="R802" s="8"/>
      <c r="S802" s="8"/>
      <c r="T802" s="8"/>
      <c r="U802" s="8"/>
      <c r="V802" s="8"/>
      <c r="W802" s="8"/>
    </row>
    <row r="803" spans="1:23" ht="12.75" x14ac:dyDescent="0.2">
      <c r="A803" s="8"/>
      <c r="B803" s="8"/>
      <c r="C803" s="8"/>
      <c r="D803" s="8"/>
      <c r="E803" s="8"/>
      <c r="F803" s="8"/>
      <c r="G803" s="8"/>
      <c r="H803" s="8"/>
      <c r="I803" s="8"/>
      <c r="J803" s="8"/>
      <c r="K803" s="8"/>
      <c r="L803" s="8"/>
      <c r="M803" s="8"/>
      <c r="N803" s="8"/>
      <c r="O803" s="8"/>
      <c r="P803" s="8"/>
      <c r="Q803" s="8"/>
      <c r="R803" s="8"/>
      <c r="S803" s="8"/>
      <c r="T803" s="8"/>
      <c r="U803" s="8"/>
      <c r="V803" s="8"/>
      <c r="W803" s="8"/>
    </row>
    <row r="804" spans="1:23" ht="12.75" x14ac:dyDescent="0.2">
      <c r="A804" s="8"/>
      <c r="B804" s="8"/>
      <c r="C804" s="8"/>
      <c r="D804" s="8"/>
      <c r="E804" s="8"/>
      <c r="F804" s="8"/>
      <c r="G804" s="8"/>
      <c r="H804" s="8"/>
      <c r="I804" s="8"/>
      <c r="J804" s="8"/>
      <c r="K804" s="8"/>
      <c r="L804" s="8"/>
      <c r="M804" s="8"/>
      <c r="N804" s="8"/>
      <c r="O804" s="8"/>
      <c r="P804" s="8"/>
      <c r="Q804" s="8"/>
      <c r="R804" s="8"/>
      <c r="S804" s="8"/>
      <c r="T804" s="8"/>
      <c r="U804" s="8"/>
      <c r="V804" s="8"/>
      <c r="W804" s="8"/>
    </row>
    <row r="805" spans="1:23" ht="12.75" x14ac:dyDescent="0.2">
      <c r="A805" s="8"/>
      <c r="B805" s="8"/>
      <c r="C805" s="8"/>
      <c r="D805" s="8"/>
      <c r="E805" s="8"/>
      <c r="F805" s="8"/>
      <c r="G805" s="8"/>
      <c r="H805" s="8"/>
      <c r="I805" s="8"/>
      <c r="J805" s="8"/>
      <c r="K805" s="8"/>
      <c r="L805" s="8"/>
      <c r="M805" s="8"/>
      <c r="N805" s="8"/>
      <c r="O805" s="8"/>
      <c r="P805" s="8"/>
      <c r="Q805" s="8"/>
      <c r="R805" s="8"/>
      <c r="S805" s="8"/>
      <c r="T805" s="8"/>
      <c r="U805" s="8"/>
      <c r="V805" s="8"/>
      <c r="W805" s="8"/>
    </row>
    <row r="806" spans="1:23" ht="12.75" x14ac:dyDescent="0.2">
      <c r="A806" s="8"/>
      <c r="B806" s="8"/>
      <c r="C806" s="8"/>
      <c r="D806" s="8"/>
      <c r="E806" s="8"/>
      <c r="F806" s="8"/>
      <c r="G806" s="8"/>
      <c r="H806" s="8"/>
      <c r="I806" s="8"/>
      <c r="J806" s="8"/>
      <c r="K806" s="8"/>
      <c r="L806" s="8"/>
      <c r="M806" s="8"/>
      <c r="N806" s="8"/>
      <c r="O806" s="8"/>
      <c r="P806" s="8"/>
      <c r="Q806" s="8"/>
      <c r="R806" s="8"/>
      <c r="S806" s="8"/>
      <c r="T806" s="8"/>
      <c r="U806" s="8"/>
      <c r="V806" s="8"/>
      <c r="W806" s="8"/>
    </row>
    <row r="807" spans="1:23" ht="12.75" x14ac:dyDescent="0.2">
      <c r="A807" s="8"/>
      <c r="B807" s="8"/>
      <c r="C807" s="8"/>
      <c r="D807" s="8"/>
      <c r="E807" s="8"/>
      <c r="F807" s="8"/>
      <c r="G807" s="8"/>
      <c r="H807" s="8"/>
      <c r="I807" s="8"/>
      <c r="J807" s="8"/>
      <c r="K807" s="8"/>
      <c r="L807" s="8"/>
      <c r="M807" s="8"/>
      <c r="N807" s="8"/>
      <c r="O807" s="8"/>
      <c r="P807" s="8"/>
      <c r="Q807" s="8"/>
      <c r="R807" s="8"/>
      <c r="S807" s="8"/>
      <c r="T807" s="8"/>
      <c r="U807" s="8"/>
      <c r="V807" s="8"/>
      <c r="W807" s="8"/>
    </row>
    <row r="808" spans="1:23" ht="12.75" x14ac:dyDescent="0.2">
      <c r="A808" s="8"/>
      <c r="B808" s="8"/>
      <c r="C808" s="8"/>
      <c r="D808" s="8"/>
      <c r="E808" s="8"/>
      <c r="F808" s="8"/>
      <c r="G808" s="8"/>
      <c r="H808" s="8"/>
      <c r="I808" s="8"/>
      <c r="J808" s="8"/>
      <c r="K808" s="8"/>
      <c r="L808" s="8"/>
      <c r="M808" s="8"/>
      <c r="N808" s="8"/>
      <c r="O808" s="8"/>
      <c r="P808" s="8"/>
      <c r="Q808" s="8"/>
      <c r="R808" s="8"/>
      <c r="S808" s="8"/>
      <c r="T808" s="8"/>
      <c r="U808" s="8"/>
      <c r="V808" s="8"/>
      <c r="W808" s="8"/>
    </row>
    <row r="809" spans="1:23" ht="12.75" x14ac:dyDescent="0.2">
      <c r="A809" s="8"/>
      <c r="B809" s="8"/>
      <c r="C809" s="8"/>
      <c r="D809" s="8"/>
      <c r="E809" s="8"/>
      <c r="F809" s="8"/>
      <c r="G809" s="8"/>
      <c r="H809" s="8"/>
      <c r="I809" s="8"/>
      <c r="J809" s="8"/>
      <c r="K809" s="8"/>
      <c r="L809" s="8"/>
      <c r="M809" s="8"/>
      <c r="N809" s="8"/>
      <c r="O809" s="8"/>
      <c r="P809" s="8"/>
      <c r="Q809" s="8"/>
      <c r="R809" s="8"/>
      <c r="S809" s="8"/>
      <c r="T809" s="8"/>
      <c r="U809" s="8"/>
      <c r="V809" s="8"/>
      <c r="W809" s="8"/>
    </row>
    <row r="810" spans="1:23" ht="12.75" x14ac:dyDescent="0.2">
      <c r="A810" s="8"/>
      <c r="B810" s="8"/>
      <c r="C810" s="8"/>
      <c r="D810" s="8"/>
      <c r="E810" s="8"/>
      <c r="F810" s="8"/>
      <c r="G810" s="8"/>
      <c r="H810" s="8"/>
      <c r="I810" s="8"/>
      <c r="J810" s="8"/>
      <c r="K810" s="8"/>
      <c r="L810" s="8"/>
      <c r="M810" s="8"/>
      <c r="N810" s="8"/>
      <c r="O810" s="8"/>
      <c r="P810" s="8"/>
      <c r="Q810" s="8"/>
      <c r="R810" s="8"/>
      <c r="S810" s="8"/>
      <c r="T810" s="8"/>
      <c r="U810" s="8"/>
      <c r="V810" s="8"/>
      <c r="W810" s="8"/>
    </row>
    <row r="811" spans="1:23" ht="12.75" x14ac:dyDescent="0.2">
      <c r="A811" s="8"/>
      <c r="B811" s="8"/>
      <c r="C811" s="8"/>
      <c r="D811" s="8"/>
      <c r="E811" s="8"/>
      <c r="F811" s="8"/>
      <c r="G811" s="8"/>
      <c r="H811" s="8"/>
      <c r="I811" s="8"/>
      <c r="J811" s="8"/>
      <c r="K811" s="8"/>
      <c r="L811" s="8"/>
      <c r="M811" s="8"/>
      <c r="N811" s="8"/>
      <c r="O811" s="8"/>
      <c r="P811" s="8"/>
      <c r="Q811" s="8"/>
      <c r="R811" s="8"/>
      <c r="S811" s="8"/>
      <c r="T811" s="8"/>
      <c r="U811" s="8"/>
      <c r="V811" s="8"/>
      <c r="W811" s="8"/>
    </row>
    <row r="812" spans="1:23" ht="12.75" x14ac:dyDescent="0.2">
      <c r="A812" s="8"/>
      <c r="B812" s="8"/>
      <c r="C812" s="8"/>
      <c r="D812" s="8"/>
      <c r="E812" s="8"/>
      <c r="F812" s="8"/>
      <c r="G812" s="8"/>
      <c r="H812" s="8"/>
      <c r="I812" s="8"/>
      <c r="J812" s="8"/>
      <c r="K812" s="8"/>
      <c r="L812" s="8"/>
      <c r="M812" s="8"/>
      <c r="N812" s="8"/>
      <c r="O812" s="8"/>
      <c r="P812" s="8"/>
      <c r="Q812" s="8"/>
      <c r="R812" s="8"/>
      <c r="S812" s="8"/>
      <c r="T812" s="8"/>
      <c r="U812" s="8"/>
      <c r="V812" s="8"/>
      <c r="W812" s="8"/>
    </row>
    <row r="813" spans="1:23" ht="12.75" x14ac:dyDescent="0.2">
      <c r="A813" s="8"/>
      <c r="B813" s="8"/>
      <c r="C813" s="8"/>
      <c r="D813" s="8"/>
      <c r="E813" s="8"/>
      <c r="F813" s="8"/>
      <c r="G813" s="8"/>
      <c r="H813" s="8"/>
      <c r="I813" s="8"/>
      <c r="J813" s="8"/>
      <c r="K813" s="8"/>
      <c r="L813" s="8"/>
      <c r="M813" s="8"/>
      <c r="N813" s="8"/>
      <c r="O813" s="8"/>
      <c r="P813" s="8"/>
      <c r="Q813" s="8"/>
      <c r="R813" s="8"/>
      <c r="S813" s="8"/>
      <c r="T813" s="8"/>
      <c r="U813" s="8"/>
      <c r="V813" s="8"/>
      <c r="W813" s="8"/>
    </row>
    <row r="814" spans="1:23" ht="12.75" x14ac:dyDescent="0.2">
      <c r="A814" s="8"/>
      <c r="B814" s="8"/>
      <c r="C814" s="8"/>
      <c r="D814" s="8"/>
      <c r="E814" s="8"/>
      <c r="F814" s="8"/>
      <c r="G814" s="8"/>
      <c r="H814" s="8"/>
      <c r="I814" s="8"/>
      <c r="J814" s="8"/>
      <c r="K814" s="8"/>
      <c r="L814" s="8"/>
      <c r="M814" s="8"/>
      <c r="N814" s="8"/>
      <c r="O814" s="8"/>
      <c r="P814" s="8"/>
      <c r="Q814" s="8"/>
      <c r="R814" s="8"/>
      <c r="S814" s="8"/>
      <c r="T814" s="8"/>
      <c r="U814" s="8"/>
      <c r="V814" s="8"/>
      <c r="W814" s="8"/>
    </row>
    <row r="815" spans="1:23" ht="12.75" x14ac:dyDescent="0.2">
      <c r="A815" s="8"/>
      <c r="B815" s="8"/>
      <c r="C815" s="8"/>
      <c r="D815" s="8"/>
      <c r="E815" s="8"/>
      <c r="F815" s="8"/>
      <c r="G815" s="8"/>
      <c r="H815" s="8"/>
      <c r="I815" s="8"/>
      <c r="J815" s="8"/>
      <c r="K815" s="8"/>
      <c r="L815" s="8"/>
      <c r="M815" s="8"/>
      <c r="N815" s="8"/>
      <c r="O815" s="8"/>
      <c r="P815" s="8"/>
      <c r="Q815" s="8"/>
      <c r="R815" s="8"/>
      <c r="S815" s="8"/>
      <c r="T815" s="8"/>
      <c r="U815" s="8"/>
      <c r="V815" s="8"/>
      <c r="W815" s="8"/>
    </row>
    <row r="816" spans="1:23" ht="12.75" x14ac:dyDescent="0.2">
      <c r="A816" s="8"/>
      <c r="B816" s="8"/>
      <c r="C816" s="8"/>
      <c r="D816" s="8"/>
      <c r="E816" s="8"/>
      <c r="F816" s="8"/>
      <c r="G816" s="8"/>
      <c r="H816" s="8"/>
      <c r="I816" s="8"/>
      <c r="J816" s="8"/>
      <c r="K816" s="8"/>
      <c r="L816" s="8"/>
      <c r="M816" s="8"/>
      <c r="N816" s="8"/>
      <c r="O816" s="8"/>
      <c r="P816" s="8"/>
      <c r="Q816" s="8"/>
      <c r="R816" s="8"/>
      <c r="S816" s="8"/>
      <c r="T816" s="8"/>
      <c r="U816" s="8"/>
      <c r="V816" s="8"/>
      <c r="W816" s="8"/>
    </row>
    <row r="817" spans="1:23" ht="12.75" x14ac:dyDescent="0.2">
      <c r="A817" s="8"/>
      <c r="B817" s="8"/>
      <c r="C817" s="8"/>
      <c r="D817" s="8"/>
      <c r="E817" s="8"/>
      <c r="F817" s="8"/>
      <c r="G817" s="8"/>
      <c r="H817" s="8"/>
      <c r="I817" s="8"/>
      <c r="J817" s="8"/>
      <c r="K817" s="8"/>
      <c r="L817" s="8"/>
      <c r="M817" s="8"/>
      <c r="N817" s="8"/>
      <c r="O817" s="8"/>
      <c r="P817" s="8"/>
      <c r="Q817" s="8"/>
      <c r="R817" s="8"/>
      <c r="S817" s="8"/>
      <c r="T817" s="8"/>
      <c r="U817" s="8"/>
      <c r="V817" s="8"/>
      <c r="W817" s="8"/>
    </row>
    <row r="818" spans="1:23" ht="12.75" x14ac:dyDescent="0.2">
      <c r="A818" s="8"/>
      <c r="B818" s="8"/>
      <c r="C818" s="8"/>
      <c r="D818" s="8"/>
      <c r="E818" s="8"/>
      <c r="F818" s="8"/>
      <c r="G818" s="8"/>
      <c r="H818" s="8"/>
      <c r="I818" s="8"/>
      <c r="J818" s="8"/>
      <c r="K818" s="8"/>
      <c r="L818" s="8"/>
      <c r="M818" s="8"/>
      <c r="N818" s="8"/>
      <c r="O818" s="8"/>
      <c r="P818" s="8"/>
      <c r="Q818" s="8"/>
      <c r="R818" s="8"/>
      <c r="S818" s="8"/>
      <c r="T818" s="8"/>
      <c r="U818" s="8"/>
      <c r="V818" s="8"/>
      <c r="W818" s="8"/>
    </row>
    <row r="819" spans="1:23" ht="12.75" x14ac:dyDescent="0.2">
      <c r="A819" s="8"/>
      <c r="B819" s="8"/>
      <c r="C819" s="8"/>
      <c r="D819" s="8"/>
      <c r="E819" s="8"/>
      <c r="F819" s="8"/>
      <c r="G819" s="8"/>
      <c r="H819" s="8"/>
      <c r="I819" s="8"/>
      <c r="J819" s="8"/>
      <c r="K819" s="8"/>
      <c r="L819" s="8"/>
      <c r="M819" s="8"/>
      <c r="N819" s="8"/>
      <c r="O819" s="8"/>
      <c r="P819" s="8"/>
      <c r="Q819" s="8"/>
      <c r="R819" s="8"/>
      <c r="S819" s="8"/>
      <c r="T819" s="8"/>
      <c r="U819" s="8"/>
      <c r="V819" s="8"/>
      <c r="W819" s="8"/>
    </row>
    <row r="820" spans="1:23" ht="12.75" x14ac:dyDescent="0.2">
      <c r="A820" s="8"/>
      <c r="B820" s="8"/>
      <c r="C820" s="8"/>
      <c r="D820" s="8"/>
      <c r="E820" s="8"/>
      <c r="F820" s="8"/>
      <c r="G820" s="8"/>
      <c r="H820" s="8"/>
      <c r="I820" s="8"/>
      <c r="J820" s="8"/>
      <c r="K820" s="8"/>
      <c r="L820" s="8"/>
      <c r="M820" s="8"/>
      <c r="N820" s="8"/>
      <c r="O820" s="8"/>
      <c r="P820" s="8"/>
      <c r="Q820" s="8"/>
      <c r="R820" s="8"/>
      <c r="S820" s="8"/>
      <c r="T820" s="8"/>
      <c r="U820" s="8"/>
      <c r="V820" s="8"/>
      <c r="W820" s="8"/>
    </row>
    <row r="821" spans="1:23" ht="12.75" x14ac:dyDescent="0.2">
      <c r="A821" s="8"/>
      <c r="B821" s="8"/>
      <c r="C821" s="8"/>
      <c r="D821" s="8"/>
      <c r="E821" s="8"/>
      <c r="F821" s="8"/>
      <c r="G821" s="8"/>
      <c r="H821" s="8"/>
      <c r="I821" s="8"/>
      <c r="J821" s="8"/>
      <c r="K821" s="8"/>
      <c r="L821" s="8"/>
      <c r="M821" s="8"/>
      <c r="N821" s="8"/>
      <c r="O821" s="8"/>
      <c r="P821" s="8"/>
      <c r="Q821" s="8"/>
      <c r="R821" s="8"/>
      <c r="S821" s="8"/>
      <c r="T821" s="8"/>
      <c r="U821" s="8"/>
      <c r="V821" s="8"/>
      <c r="W821" s="8"/>
    </row>
    <row r="822" spans="1:23" ht="12.75" x14ac:dyDescent="0.2">
      <c r="A822" s="8"/>
      <c r="B822" s="8"/>
      <c r="C822" s="8"/>
      <c r="D822" s="8"/>
      <c r="E822" s="8"/>
      <c r="F822" s="8"/>
      <c r="G822" s="8"/>
      <c r="H822" s="8"/>
      <c r="I822" s="8"/>
      <c r="J822" s="8"/>
      <c r="K822" s="8"/>
      <c r="L822" s="8"/>
      <c r="M822" s="8"/>
      <c r="N822" s="8"/>
      <c r="O822" s="8"/>
      <c r="P822" s="8"/>
      <c r="Q822" s="8"/>
      <c r="R822" s="8"/>
      <c r="S822" s="8"/>
      <c r="T822" s="8"/>
      <c r="U822" s="8"/>
      <c r="V822" s="8"/>
      <c r="W822" s="8"/>
    </row>
    <row r="823" spans="1:23" ht="12.75" x14ac:dyDescent="0.2">
      <c r="A823" s="8"/>
      <c r="B823" s="8"/>
      <c r="C823" s="8"/>
      <c r="D823" s="8"/>
      <c r="E823" s="8"/>
      <c r="F823" s="8"/>
      <c r="G823" s="8"/>
      <c r="H823" s="8"/>
      <c r="I823" s="8"/>
      <c r="J823" s="8"/>
      <c r="K823" s="8"/>
      <c r="L823" s="8"/>
      <c r="M823" s="8"/>
      <c r="N823" s="8"/>
      <c r="O823" s="8"/>
      <c r="P823" s="8"/>
      <c r="Q823" s="8"/>
      <c r="R823" s="8"/>
      <c r="S823" s="8"/>
      <c r="T823" s="8"/>
      <c r="U823" s="8"/>
      <c r="V823" s="8"/>
      <c r="W823" s="8"/>
    </row>
    <row r="824" spans="1:23" ht="12.75" x14ac:dyDescent="0.2">
      <c r="A824" s="8"/>
      <c r="B824" s="8"/>
      <c r="C824" s="8"/>
      <c r="D824" s="8"/>
      <c r="E824" s="8"/>
      <c r="F824" s="8"/>
      <c r="G824" s="8"/>
      <c r="H824" s="8"/>
      <c r="I824" s="8"/>
      <c r="J824" s="8"/>
      <c r="K824" s="8"/>
      <c r="L824" s="8"/>
      <c r="M824" s="8"/>
      <c r="N824" s="8"/>
      <c r="O824" s="8"/>
      <c r="P824" s="8"/>
      <c r="Q824" s="8"/>
      <c r="R824" s="8"/>
      <c r="S824" s="8"/>
      <c r="T824" s="8"/>
      <c r="U824" s="8"/>
      <c r="V824" s="8"/>
      <c r="W824" s="8"/>
    </row>
    <row r="825" spans="1:23" ht="12.75" x14ac:dyDescent="0.2">
      <c r="A825" s="8"/>
      <c r="B825" s="8"/>
      <c r="C825" s="8"/>
      <c r="D825" s="8"/>
      <c r="E825" s="8"/>
      <c r="F825" s="8"/>
      <c r="G825" s="8"/>
      <c r="H825" s="8"/>
      <c r="I825" s="8"/>
      <c r="J825" s="8"/>
      <c r="K825" s="8"/>
      <c r="L825" s="8"/>
      <c r="M825" s="8"/>
      <c r="N825" s="8"/>
      <c r="O825" s="8"/>
      <c r="P825" s="8"/>
      <c r="Q825" s="8"/>
      <c r="R825" s="8"/>
      <c r="S825" s="8"/>
      <c r="T825" s="8"/>
      <c r="U825" s="8"/>
      <c r="V825" s="8"/>
      <c r="W825" s="8"/>
    </row>
    <row r="826" spans="1:23" ht="12.75" x14ac:dyDescent="0.2">
      <c r="A826" s="8"/>
      <c r="B826" s="8"/>
      <c r="C826" s="8"/>
      <c r="D826" s="8"/>
      <c r="E826" s="8"/>
      <c r="F826" s="8"/>
      <c r="G826" s="8"/>
      <c r="H826" s="8"/>
      <c r="I826" s="8"/>
      <c r="J826" s="8"/>
      <c r="K826" s="8"/>
      <c r="L826" s="8"/>
      <c r="M826" s="8"/>
      <c r="N826" s="8"/>
      <c r="O826" s="8"/>
      <c r="P826" s="8"/>
      <c r="Q826" s="8"/>
      <c r="R826" s="8"/>
      <c r="S826" s="8"/>
      <c r="T826" s="8"/>
      <c r="U826" s="8"/>
      <c r="V826" s="8"/>
      <c r="W826" s="8"/>
    </row>
    <row r="827" spans="1:23" ht="12.75" x14ac:dyDescent="0.2">
      <c r="A827" s="8"/>
      <c r="B827" s="8"/>
      <c r="C827" s="8"/>
      <c r="D827" s="8"/>
      <c r="E827" s="8"/>
      <c r="F827" s="8"/>
      <c r="G827" s="8"/>
      <c r="H827" s="8"/>
      <c r="I827" s="8"/>
      <c r="J827" s="8"/>
      <c r="K827" s="8"/>
      <c r="L827" s="8"/>
      <c r="M827" s="8"/>
      <c r="N827" s="8"/>
      <c r="O827" s="8"/>
      <c r="P827" s="8"/>
      <c r="Q827" s="8"/>
      <c r="R827" s="8"/>
      <c r="S827" s="8"/>
      <c r="T827" s="8"/>
      <c r="U827" s="8"/>
      <c r="V827" s="8"/>
      <c r="W827" s="8"/>
    </row>
    <row r="828" spans="1:23" ht="12.75" x14ac:dyDescent="0.2">
      <c r="A828" s="8"/>
      <c r="B828" s="8"/>
      <c r="C828" s="8"/>
      <c r="D828" s="8"/>
      <c r="E828" s="8"/>
      <c r="F828" s="8"/>
      <c r="G828" s="8"/>
      <c r="H828" s="8"/>
      <c r="I828" s="8"/>
      <c r="J828" s="8"/>
      <c r="K828" s="8"/>
      <c r="L828" s="8"/>
      <c r="M828" s="8"/>
      <c r="N828" s="8"/>
      <c r="O828" s="8"/>
      <c r="P828" s="8"/>
      <c r="Q828" s="8"/>
      <c r="R828" s="8"/>
      <c r="S828" s="8"/>
      <c r="T828" s="8"/>
      <c r="U828" s="8"/>
      <c r="V828" s="8"/>
      <c r="W828" s="8"/>
    </row>
    <row r="829" spans="1:23" ht="12.75" x14ac:dyDescent="0.2">
      <c r="A829" s="8"/>
      <c r="B829" s="8"/>
      <c r="C829" s="8"/>
      <c r="D829" s="8"/>
      <c r="E829" s="8"/>
      <c r="F829" s="8"/>
      <c r="G829" s="8"/>
      <c r="H829" s="8"/>
      <c r="I829" s="8"/>
      <c r="J829" s="8"/>
      <c r="K829" s="8"/>
      <c r="L829" s="8"/>
      <c r="M829" s="8"/>
      <c r="N829" s="8"/>
      <c r="O829" s="8"/>
      <c r="P829" s="8"/>
      <c r="Q829" s="8"/>
      <c r="R829" s="8"/>
      <c r="S829" s="8"/>
      <c r="T829" s="8"/>
      <c r="U829" s="8"/>
      <c r="V829" s="8"/>
      <c r="W829" s="8"/>
    </row>
    <row r="830" spans="1:23" ht="12.75" x14ac:dyDescent="0.2">
      <c r="A830" s="8"/>
      <c r="B830" s="8"/>
      <c r="C830" s="8"/>
      <c r="D830" s="8"/>
      <c r="E830" s="8"/>
      <c r="F830" s="8"/>
      <c r="G830" s="8"/>
      <c r="H830" s="8"/>
      <c r="I830" s="8"/>
      <c r="J830" s="8"/>
      <c r="K830" s="8"/>
      <c r="L830" s="8"/>
      <c r="M830" s="8"/>
      <c r="N830" s="8"/>
      <c r="O830" s="8"/>
      <c r="P830" s="8"/>
      <c r="Q830" s="8"/>
      <c r="R830" s="8"/>
      <c r="S830" s="8"/>
      <c r="T830" s="8"/>
      <c r="U830" s="8"/>
      <c r="V830" s="8"/>
      <c r="W830" s="8"/>
    </row>
    <row r="831" spans="1:23" ht="12.75" x14ac:dyDescent="0.2">
      <c r="A831" s="8"/>
      <c r="B831" s="8"/>
      <c r="C831" s="8"/>
      <c r="D831" s="8"/>
      <c r="E831" s="8"/>
      <c r="F831" s="8"/>
      <c r="G831" s="8"/>
      <c r="H831" s="8"/>
      <c r="I831" s="8"/>
      <c r="J831" s="8"/>
      <c r="K831" s="8"/>
      <c r="L831" s="8"/>
      <c r="M831" s="8"/>
      <c r="N831" s="8"/>
      <c r="O831" s="8"/>
      <c r="P831" s="8"/>
      <c r="Q831" s="8"/>
      <c r="R831" s="8"/>
      <c r="S831" s="8"/>
      <c r="T831" s="8"/>
      <c r="U831" s="8"/>
      <c r="V831" s="8"/>
      <c r="W831" s="8"/>
    </row>
    <row r="832" spans="1:23" ht="12.75" x14ac:dyDescent="0.2">
      <c r="A832" s="8"/>
      <c r="B832" s="8"/>
      <c r="C832" s="8"/>
      <c r="D832" s="8"/>
      <c r="E832" s="8"/>
      <c r="F832" s="8"/>
      <c r="G832" s="8"/>
      <c r="H832" s="8"/>
      <c r="I832" s="8"/>
      <c r="J832" s="8"/>
      <c r="K832" s="8"/>
      <c r="L832" s="8"/>
      <c r="M832" s="8"/>
      <c r="N832" s="8"/>
      <c r="O832" s="8"/>
      <c r="P832" s="8"/>
      <c r="Q832" s="8"/>
      <c r="R832" s="8"/>
      <c r="S832" s="8"/>
      <c r="T832" s="8"/>
      <c r="U832" s="8"/>
      <c r="V832" s="8"/>
      <c r="W832" s="8"/>
    </row>
    <row r="833" spans="1:23" ht="12.75" x14ac:dyDescent="0.2">
      <c r="A833" s="8"/>
      <c r="B833" s="8"/>
      <c r="C833" s="8"/>
      <c r="D833" s="8"/>
      <c r="E833" s="8"/>
      <c r="F833" s="8"/>
      <c r="G833" s="8"/>
      <c r="H833" s="8"/>
      <c r="I833" s="8"/>
      <c r="J833" s="8"/>
      <c r="K833" s="8"/>
      <c r="L833" s="8"/>
      <c r="M833" s="8"/>
      <c r="N833" s="8"/>
      <c r="O833" s="8"/>
      <c r="P833" s="8"/>
      <c r="Q833" s="8"/>
      <c r="R833" s="8"/>
      <c r="S833" s="8"/>
      <c r="T833" s="8"/>
      <c r="U833" s="8"/>
      <c r="V833" s="8"/>
      <c r="W833" s="8"/>
    </row>
    <row r="834" spans="1:23" ht="12.75" x14ac:dyDescent="0.2">
      <c r="A834" s="8"/>
      <c r="B834" s="8"/>
      <c r="C834" s="8"/>
      <c r="D834" s="8"/>
      <c r="E834" s="8"/>
      <c r="F834" s="8"/>
      <c r="G834" s="8"/>
      <c r="H834" s="8"/>
      <c r="I834" s="8"/>
      <c r="J834" s="8"/>
      <c r="K834" s="8"/>
      <c r="L834" s="8"/>
      <c r="M834" s="8"/>
      <c r="N834" s="8"/>
      <c r="O834" s="8"/>
      <c r="P834" s="8"/>
      <c r="Q834" s="8"/>
      <c r="R834" s="8"/>
      <c r="S834" s="8"/>
      <c r="T834" s="8"/>
      <c r="U834" s="8"/>
      <c r="V834" s="8"/>
      <c r="W834" s="8"/>
    </row>
    <row r="835" spans="1:23" ht="12.75" x14ac:dyDescent="0.2">
      <c r="A835" s="8"/>
      <c r="B835" s="8"/>
      <c r="C835" s="8"/>
      <c r="D835" s="8"/>
      <c r="E835" s="8"/>
      <c r="F835" s="8"/>
      <c r="G835" s="8"/>
      <c r="H835" s="8"/>
      <c r="I835" s="8"/>
      <c r="J835" s="8"/>
      <c r="K835" s="8"/>
      <c r="L835" s="8"/>
      <c r="M835" s="8"/>
      <c r="N835" s="8"/>
      <c r="O835" s="8"/>
      <c r="P835" s="8"/>
      <c r="Q835" s="8"/>
      <c r="R835" s="8"/>
      <c r="S835" s="8"/>
      <c r="T835" s="8"/>
      <c r="U835" s="8"/>
      <c r="V835" s="8"/>
      <c r="W835" s="8"/>
    </row>
    <row r="836" spans="1:23" ht="12.75" x14ac:dyDescent="0.2">
      <c r="A836" s="8"/>
      <c r="B836" s="8"/>
      <c r="C836" s="8"/>
      <c r="D836" s="8"/>
      <c r="E836" s="8"/>
      <c r="F836" s="8"/>
      <c r="G836" s="8"/>
      <c r="H836" s="8"/>
      <c r="I836" s="8"/>
      <c r="J836" s="8"/>
      <c r="K836" s="8"/>
      <c r="L836" s="8"/>
      <c r="M836" s="8"/>
      <c r="N836" s="8"/>
      <c r="O836" s="8"/>
      <c r="P836" s="8"/>
      <c r="Q836" s="8"/>
      <c r="R836" s="8"/>
      <c r="S836" s="8"/>
      <c r="T836" s="8"/>
      <c r="U836" s="8"/>
      <c r="V836" s="8"/>
      <c r="W836" s="8"/>
    </row>
    <row r="837" spans="1:23" ht="12.75" x14ac:dyDescent="0.2">
      <c r="A837" s="8"/>
      <c r="B837" s="8"/>
      <c r="C837" s="8"/>
      <c r="D837" s="8"/>
      <c r="E837" s="8"/>
      <c r="F837" s="8"/>
      <c r="G837" s="8"/>
      <c r="H837" s="8"/>
      <c r="I837" s="8"/>
      <c r="J837" s="8"/>
      <c r="K837" s="8"/>
      <c r="L837" s="8"/>
      <c r="M837" s="8"/>
      <c r="N837" s="8"/>
      <c r="O837" s="8"/>
      <c r="P837" s="8"/>
      <c r="Q837" s="8"/>
      <c r="R837" s="8"/>
      <c r="S837" s="8"/>
      <c r="T837" s="8"/>
      <c r="U837" s="8"/>
      <c r="V837" s="8"/>
      <c r="W837" s="8"/>
    </row>
    <row r="838" spans="1:23" ht="12.75" x14ac:dyDescent="0.2">
      <c r="A838" s="8"/>
      <c r="B838" s="8"/>
      <c r="C838" s="8"/>
      <c r="D838" s="8"/>
      <c r="E838" s="8"/>
      <c r="F838" s="8"/>
      <c r="G838" s="8"/>
      <c r="H838" s="8"/>
      <c r="I838" s="8"/>
      <c r="J838" s="8"/>
      <c r="K838" s="8"/>
      <c r="L838" s="8"/>
      <c r="M838" s="8"/>
      <c r="N838" s="8"/>
      <c r="O838" s="8"/>
      <c r="P838" s="8"/>
      <c r="Q838" s="8"/>
      <c r="R838" s="8"/>
      <c r="S838" s="8"/>
      <c r="T838" s="8"/>
      <c r="U838" s="8"/>
      <c r="V838" s="8"/>
      <c r="W838" s="8"/>
    </row>
    <row r="839" spans="1:23" ht="12.75" x14ac:dyDescent="0.2">
      <c r="A839" s="8"/>
      <c r="B839" s="8"/>
      <c r="C839" s="8"/>
      <c r="D839" s="8"/>
      <c r="E839" s="8"/>
      <c r="F839" s="8"/>
      <c r="G839" s="8"/>
      <c r="H839" s="8"/>
      <c r="I839" s="8"/>
      <c r="J839" s="8"/>
      <c r="K839" s="8"/>
      <c r="L839" s="8"/>
      <c r="M839" s="8"/>
      <c r="N839" s="8"/>
      <c r="O839" s="8"/>
      <c r="P839" s="8"/>
      <c r="Q839" s="8"/>
      <c r="R839" s="8"/>
      <c r="S839" s="8"/>
      <c r="T839" s="8"/>
      <c r="U839" s="8"/>
      <c r="V839" s="8"/>
      <c r="W839" s="8"/>
    </row>
    <row r="840" spans="1:23" ht="12.75" x14ac:dyDescent="0.2">
      <c r="A840" s="8"/>
      <c r="B840" s="8"/>
      <c r="C840" s="8"/>
      <c r="D840" s="8"/>
      <c r="E840" s="8"/>
      <c r="F840" s="8"/>
      <c r="G840" s="8"/>
      <c r="H840" s="8"/>
      <c r="I840" s="8"/>
      <c r="J840" s="8"/>
      <c r="K840" s="8"/>
      <c r="L840" s="8"/>
      <c r="M840" s="8"/>
      <c r="N840" s="8"/>
      <c r="O840" s="8"/>
      <c r="P840" s="8"/>
      <c r="Q840" s="8"/>
      <c r="R840" s="8"/>
      <c r="S840" s="8"/>
      <c r="T840" s="8"/>
      <c r="U840" s="8"/>
      <c r="V840" s="8"/>
      <c r="W840" s="8"/>
    </row>
    <row r="841" spans="1:23" ht="12.75" x14ac:dyDescent="0.2">
      <c r="A841" s="8"/>
      <c r="B841" s="8"/>
      <c r="C841" s="8"/>
      <c r="D841" s="8"/>
      <c r="E841" s="8"/>
      <c r="F841" s="8"/>
      <c r="G841" s="8"/>
      <c r="H841" s="8"/>
      <c r="I841" s="8"/>
      <c r="J841" s="8"/>
      <c r="K841" s="8"/>
      <c r="L841" s="8"/>
      <c r="M841" s="8"/>
      <c r="N841" s="8"/>
      <c r="O841" s="8"/>
      <c r="P841" s="8"/>
      <c r="Q841" s="8"/>
      <c r="R841" s="8"/>
      <c r="S841" s="8"/>
      <c r="T841" s="8"/>
      <c r="U841" s="8"/>
      <c r="V841" s="8"/>
      <c r="W841" s="8"/>
    </row>
    <row r="842" spans="1:23" ht="12.75" x14ac:dyDescent="0.2">
      <c r="A842" s="8"/>
      <c r="B842" s="8"/>
      <c r="C842" s="8"/>
      <c r="D842" s="8"/>
      <c r="E842" s="8"/>
      <c r="F842" s="8"/>
      <c r="G842" s="8"/>
      <c r="H842" s="8"/>
      <c r="I842" s="8"/>
      <c r="J842" s="8"/>
      <c r="K842" s="8"/>
      <c r="L842" s="8"/>
      <c r="M842" s="8"/>
      <c r="N842" s="8"/>
      <c r="O842" s="8"/>
      <c r="P842" s="8"/>
      <c r="Q842" s="8"/>
      <c r="R842" s="8"/>
      <c r="S842" s="8"/>
      <c r="T842" s="8"/>
      <c r="U842" s="8"/>
      <c r="V842" s="8"/>
      <c r="W842" s="8"/>
    </row>
    <row r="843" spans="1:23" ht="12.75" x14ac:dyDescent="0.2">
      <c r="A843" s="8"/>
      <c r="B843" s="8"/>
      <c r="C843" s="8"/>
      <c r="D843" s="8"/>
      <c r="E843" s="8"/>
      <c r="F843" s="8"/>
      <c r="G843" s="8"/>
      <c r="H843" s="8"/>
      <c r="I843" s="8"/>
      <c r="J843" s="8"/>
      <c r="K843" s="8"/>
      <c r="L843" s="8"/>
      <c r="M843" s="8"/>
      <c r="N843" s="8"/>
      <c r="O843" s="8"/>
      <c r="P843" s="8"/>
      <c r="Q843" s="8"/>
      <c r="R843" s="8"/>
      <c r="S843" s="8"/>
      <c r="T843" s="8"/>
      <c r="U843" s="8"/>
      <c r="V843" s="8"/>
      <c r="W843" s="8"/>
    </row>
    <row r="844" spans="1:23" ht="12.75" x14ac:dyDescent="0.2">
      <c r="A844" s="8"/>
      <c r="B844" s="8"/>
      <c r="C844" s="8"/>
      <c r="D844" s="8"/>
      <c r="E844" s="8"/>
      <c r="F844" s="8"/>
      <c r="G844" s="8"/>
      <c r="H844" s="8"/>
      <c r="I844" s="8"/>
      <c r="J844" s="8"/>
      <c r="K844" s="8"/>
      <c r="L844" s="8"/>
      <c r="M844" s="8"/>
      <c r="N844" s="8"/>
      <c r="O844" s="8"/>
      <c r="P844" s="8"/>
      <c r="Q844" s="8"/>
      <c r="R844" s="8"/>
      <c r="S844" s="8"/>
      <c r="T844" s="8"/>
      <c r="U844" s="8"/>
      <c r="V844" s="8"/>
      <c r="W844" s="8"/>
    </row>
    <row r="845" spans="1:23" ht="12.75" x14ac:dyDescent="0.2">
      <c r="A845" s="8"/>
      <c r="B845" s="8"/>
      <c r="C845" s="8"/>
      <c r="D845" s="8"/>
      <c r="E845" s="8"/>
      <c r="F845" s="8"/>
      <c r="G845" s="8"/>
      <c r="H845" s="8"/>
      <c r="I845" s="8"/>
      <c r="J845" s="8"/>
      <c r="K845" s="8"/>
      <c r="L845" s="8"/>
      <c r="M845" s="8"/>
      <c r="N845" s="8"/>
      <c r="O845" s="8"/>
      <c r="P845" s="8"/>
      <c r="Q845" s="8"/>
      <c r="R845" s="8"/>
      <c r="S845" s="8"/>
      <c r="T845" s="8"/>
      <c r="U845" s="8"/>
      <c r="V845" s="8"/>
      <c r="W845" s="8"/>
    </row>
    <row r="846" spans="1:23" ht="12.75" x14ac:dyDescent="0.2">
      <c r="A846" s="8"/>
      <c r="B846" s="8"/>
      <c r="C846" s="8"/>
      <c r="D846" s="8"/>
      <c r="E846" s="8"/>
      <c r="F846" s="8"/>
      <c r="G846" s="8"/>
      <c r="H846" s="8"/>
      <c r="I846" s="8"/>
      <c r="J846" s="8"/>
      <c r="K846" s="8"/>
      <c r="L846" s="8"/>
      <c r="M846" s="8"/>
      <c r="N846" s="8"/>
      <c r="O846" s="8"/>
      <c r="P846" s="8"/>
      <c r="Q846" s="8"/>
      <c r="R846" s="8"/>
      <c r="S846" s="8"/>
      <c r="T846" s="8"/>
      <c r="U846" s="8"/>
      <c r="V846" s="8"/>
      <c r="W846" s="8"/>
    </row>
    <row r="847" spans="1:23" ht="12.75" x14ac:dyDescent="0.2">
      <c r="A847" s="8"/>
      <c r="B847" s="8"/>
      <c r="C847" s="8"/>
      <c r="D847" s="8"/>
      <c r="E847" s="8"/>
      <c r="F847" s="8"/>
      <c r="G847" s="8"/>
      <c r="H847" s="8"/>
      <c r="I847" s="8"/>
      <c r="J847" s="8"/>
      <c r="K847" s="8"/>
      <c r="L847" s="8"/>
      <c r="M847" s="8"/>
      <c r="N847" s="8"/>
      <c r="O847" s="8"/>
      <c r="P847" s="8"/>
      <c r="Q847" s="8"/>
      <c r="R847" s="8"/>
      <c r="S847" s="8"/>
      <c r="T847" s="8"/>
      <c r="U847" s="8"/>
      <c r="V847" s="8"/>
      <c r="W847" s="8"/>
    </row>
    <row r="848" spans="1:23" ht="12.75" x14ac:dyDescent="0.2">
      <c r="A848" s="8"/>
      <c r="B848" s="8"/>
      <c r="C848" s="8"/>
      <c r="D848" s="8"/>
      <c r="E848" s="8"/>
      <c r="F848" s="8"/>
      <c r="G848" s="8"/>
      <c r="H848" s="8"/>
      <c r="I848" s="8"/>
      <c r="J848" s="8"/>
      <c r="K848" s="8"/>
      <c r="L848" s="8"/>
      <c r="M848" s="8"/>
      <c r="N848" s="8"/>
      <c r="O848" s="8"/>
      <c r="P848" s="8"/>
      <c r="Q848" s="8"/>
      <c r="R848" s="8"/>
      <c r="S848" s="8"/>
      <c r="T848" s="8"/>
      <c r="U848" s="8"/>
      <c r="V848" s="8"/>
      <c r="W848" s="8"/>
    </row>
    <row r="849" spans="1:23" ht="12.75" x14ac:dyDescent="0.2">
      <c r="A849" s="8"/>
      <c r="B849" s="8"/>
      <c r="C849" s="8"/>
      <c r="D849" s="8"/>
      <c r="E849" s="8"/>
      <c r="F849" s="8"/>
      <c r="G849" s="8"/>
      <c r="H849" s="8"/>
      <c r="I849" s="8"/>
      <c r="J849" s="8"/>
      <c r="K849" s="8"/>
      <c r="L849" s="8"/>
      <c r="M849" s="8"/>
      <c r="N849" s="8"/>
      <c r="O849" s="8"/>
      <c r="P849" s="8"/>
      <c r="Q849" s="8"/>
      <c r="R849" s="8"/>
      <c r="S849" s="8"/>
      <c r="T849" s="8"/>
      <c r="U849" s="8"/>
      <c r="V849" s="8"/>
      <c r="W849" s="8"/>
    </row>
    <row r="850" spans="1:23" ht="12.75" x14ac:dyDescent="0.2">
      <c r="A850" s="8"/>
      <c r="B850" s="8"/>
      <c r="C850" s="8"/>
      <c r="D850" s="8"/>
      <c r="E850" s="8"/>
      <c r="F850" s="8"/>
      <c r="G850" s="8"/>
      <c r="H850" s="8"/>
      <c r="I850" s="8"/>
      <c r="J850" s="8"/>
      <c r="K850" s="8"/>
      <c r="L850" s="8"/>
      <c r="M850" s="8"/>
      <c r="N850" s="8"/>
      <c r="O850" s="8"/>
      <c r="P850" s="8"/>
      <c r="Q850" s="8"/>
      <c r="R850" s="8"/>
      <c r="S850" s="8"/>
      <c r="T850" s="8"/>
      <c r="U850" s="8"/>
      <c r="V850" s="8"/>
      <c r="W850" s="8"/>
    </row>
    <row r="851" spans="1:23" ht="12.75" x14ac:dyDescent="0.2">
      <c r="A851" s="8"/>
      <c r="B851" s="8"/>
      <c r="C851" s="8"/>
      <c r="D851" s="8"/>
      <c r="E851" s="8"/>
      <c r="F851" s="8"/>
      <c r="G851" s="8"/>
      <c r="H851" s="8"/>
      <c r="I851" s="8"/>
      <c r="J851" s="8"/>
      <c r="K851" s="8"/>
      <c r="L851" s="8"/>
      <c r="M851" s="8"/>
      <c r="N851" s="8"/>
      <c r="O851" s="8"/>
      <c r="P851" s="8"/>
      <c r="Q851" s="8"/>
      <c r="R851" s="8"/>
      <c r="S851" s="8"/>
      <c r="T851" s="8"/>
      <c r="U851" s="8"/>
      <c r="V851" s="8"/>
      <c r="W851" s="8"/>
    </row>
    <row r="852" spans="1:23" ht="12.75" x14ac:dyDescent="0.2">
      <c r="A852" s="8"/>
      <c r="B852" s="8"/>
      <c r="C852" s="8"/>
      <c r="D852" s="8"/>
      <c r="E852" s="8"/>
      <c r="F852" s="8"/>
      <c r="G852" s="8"/>
      <c r="H852" s="8"/>
      <c r="I852" s="8"/>
      <c r="J852" s="8"/>
      <c r="K852" s="8"/>
      <c r="L852" s="8"/>
      <c r="M852" s="8"/>
      <c r="N852" s="8"/>
      <c r="O852" s="8"/>
      <c r="P852" s="8"/>
      <c r="Q852" s="8"/>
      <c r="R852" s="8"/>
      <c r="S852" s="8"/>
      <c r="T852" s="8"/>
      <c r="U852" s="8"/>
      <c r="V852" s="8"/>
      <c r="W852" s="8"/>
    </row>
    <row r="853" spans="1:23" ht="12.75" x14ac:dyDescent="0.2">
      <c r="A853" s="8"/>
      <c r="B853" s="8"/>
      <c r="C853" s="8"/>
      <c r="D853" s="8"/>
      <c r="E853" s="8"/>
      <c r="F853" s="8"/>
      <c r="G853" s="8"/>
      <c r="H853" s="8"/>
      <c r="I853" s="8"/>
      <c r="J853" s="8"/>
      <c r="K853" s="8"/>
      <c r="L853" s="8"/>
      <c r="M853" s="8"/>
      <c r="N853" s="8"/>
      <c r="O853" s="8"/>
      <c r="P853" s="8"/>
      <c r="Q853" s="8"/>
      <c r="R853" s="8"/>
      <c r="S853" s="8"/>
      <c r="T853" s="8"/>
      <c r="U853" s="8"/>
      <c r="V853" s="8"/>
      <c r="W853" s="8"/>
    </row>
    <row r="854" spans="1:23" ht="12.75" x14ac:dyDescent="0.2">
      <c r="A854" s="8"/>
      <c r="B854" s="8"/>
      <c r="C854" s="8"/>
      <c r="D854" s="8"/>
      <c r="E854" s="8"/>
      <c r="F854" s="8"/>
      <c r="G854" s="8"/>
      <c r="H854" s="8"/>
      <c r="I854" s="8"/>
      <c r="J854" s="8"/>
      <c r="K854" s="8"/>
      <c r="L854" s="8"/>
      <c r="M854" s="8"/>
      <c r="N854" s="8"/>
      <c r="O854" s="8"/>
      <c r="P854" s="8"/>
      <c r="Q854" s="8"/>
      <c r="R854" s="8"/>
      <c r="S854" s="8"/>
      <c r="T854" s="8"/>
      <c r="U854" s="8"/>
      <c r="V854" s="8"/>
      <c r="W854" s="8"/>
    </row>
    <row r="855" spans="1:23" ht="12.75" x14ac:dyDescent="0.2">
      <c r="A855" s="8"/>
      <c r="B855" s="8"/>
      <c r="C855" s="8"/>
      <c r="D855" s="8"/>
      <c r="E855" s="8"/>
      <c r="F855" s="8"/>
      <c r="G855" s="8"/>
      <c r="H855" s="8"/>
      <c r="I855" s="8"/>
      <c r="J855" s="8"/>
      <c r="K855" s="8"/>
      <c r="L855" s="8"/>
      <c r="M855" s="8"/>
      <c r="N855" s="8"/>
      <c r="O855" s="8"/>
      <c r="P855" s="8"/>
      <c r="Q855" s="8"/>
      <c r="R855" s="8"/>
      <c r="S855" s="8"/>
      <c r="T855" s="8"/>
      <c r="U855" s="8"/>
      <c r="V855" s="8"/>
      <c r="W855" s="8"/>
    </row>
    <row r="856" spans="1:23" ht="12.75" x14ac:dyDescent="0.2">
      <c r="A856" s="8"/>
      <c r="B856" s="8"/>
      <c r="C856" s="8"/>
      <c r="D856" s="8"/>
      <c r="E856" s="8"/>
      <c r="F856" s="8"/>
      <c r="G856" s="8"/>
      <c r="H856" s="8"/>
      <c r="I856" s="8"/>
      <c r="J856" s="8"/>
      <c r="K856" s="8"/>
      <c r="L856" s="8"/>
      <c r="M856" s="8"/>
      <c r="N856" s="8"/>
      <c r="O856" s="8"/>
      <c r="P856" s="8"/>
      <c r="Q856" s="8"/>
      <c r="R856" s="8"/>
      <c r="S856" s="8"/>
      <c r="T856" s="8"/>
      <c r="U856" s="8"/>
      <c r="V856" s="8"/>
      <c r="W856" s="8"/>
    </row>
    <row r="857" spans="1:23" ht="12.75" x14ac:dyDescent="0.2">
      <c r="A857" s="8"/>
      <c r="B857" s="8"/>
      <c r="C857" s="8"/>
      <c r="D857" s="8"/>
      <c r="E857" s="8"/>
      <c r="F857" s="8"/>
      <c r="G857" s="8"/>
      <c r="H857" s="8"/>
      <c r="I857" s="8"/>
      <c r="J857" s="8"/>
      <c r="K857" s="8"/>
      <c r="L857" s="8"/>
      <c r="M857" s="8"/>
      <c r="N857" s="8"/>
      <c r="O857" s="8"/>
      <c r="P857" s="8"/>
      <c r="Q857" s="8"/>
      <c r="R857" s="8"/>
      <c r="S857" s="8"/>
      <c r="T857" s="8"/>
      <c r="U857" s="8"/>
      <c r="V857" s="8"/>
      <c r="W857" s="8"/>
    </row>
    <row r="858" spans="1:23" ht="12.75" x14ac:dyDescent="0.2">
      <c r="A858" s="8"/>
      <c r="B858" s="8"/>
      <c r="C858" s="8"/>
      <c r="D858" s="8"/>
      <c r="E858" s="8"/>
      <c r="F858" s="8"/>
      <c r="G858" s="8"/>
      <c r="H858" s="8"/>
      <c r="I858" s="8"/>
      <c r="J858" s="8"/>
      <c r="K858" s="8"/>
      <c r="L858" s="8"/>
      <c r="M858" s="8"/>
      <c r="N858" s="8"/>
      <c r="O858" s="8"/>
      <c r="P858" s="8"/>
      <c r="Q858" s="8"/>
      <c r="R858" s="8"/>
      <c r="S858" s="8"/>
      <c r="T858" s="8"/>
      <c r="U858" s="8"/>
      <c r="V858" s="8"/>
      <c r="W858" s="8"/>
    </row>
    <row r="859" spans="1:23" ht="12.75" x14ac:dyDescent="0.2">
      <c r="A859" s="8"/>
      <c r="B859" s="8"/>
      <c r="C859" s="8"/>
      <c r="D859" s="8"/>
      <c r="E859" s="8"/>
      <c r="F859" s="8"/>
      <c r="G859" s="8"/>
      <c r="H859" s="8"/>
      <c r="I859" s="8"/>
      <c r="J859" s="8"/>
      <c r="K859" s="8"/>
      <c r="L859" s="8"/>
      <c r="M859" s="8"/>
      <c r="N859" s="8"/>
      <c r="O859" s="8"/>
      <c r="P859" s="8"/>
      <c r="Q859" s="8"/>
      <c r="R859" s="8"/>
      <c r="S859" s="8"/>
      <c r="T859" s="8"/>
      <c r="U859" s="8"/>
      <c r="V859" s="8"/>
      <c r="W859" s="8"/>
    </row>
    <row r="860" spans="1:23" ht="12.75" x14ac:dyDescent="0.2">
      <c r="A860" s="8"/>
      <c r="B860" s="8"/>
      <c r="C860" s="8"/>
      <c r="D860" s="8"/>
      <c r="E860" s="8"/>
      <c r="F860" s="8"/>
      <c r="G860" s="8"/>
      <c r="H860" s="8"/>
      <c r="I860" s="8"/>
      <c r="J860" s="8"/>
      <c r="K860" s="8"/>
      <c r="L860" s="8"/>
      <c r="M860" s="8"/>
      <c r="N860" s="8"/>
      <c r="O860" s="8"/>
      <c r="P860" s="8"/>
      <c r="Q860" s="8"/>
      <c r="R860" s="8"/>
      <c r="S860" s="8"/>
      <c r="T860" s="8"/>
      <c r="U860" s="8"/>
      <c r="V860" s="8"/>
      <c r="W860" s="8"/>
    </row>
    <row r="861" spans="1:23" ht="12.75" x14ac:dyDescent="0.2">
      <c r="A861" s="8"/>
      <c r="B861" s="8"/>
      <c r="C861" s="8"/>
      <c r="D861" s="8"/>
      <c r="E861" s="8"/>
      <c r="F861" s="8"/>
      <c r="G861" s="8"/>
      <c r="H861" s="8"/>
      <c r="I861" s="8"/>
      <c r="J861" s="8"/>
      <c r="K861" s="8"/>
      <c r="L861" s="8"/>
      <c r="M861" s="8"/>
      <c r="N861" s="8"/>
      <c r="O861" s="8"/>
      <c r="P861" s="8"/>
      <c r="Q861" s="8"/>
      <c r="R861" s="8"/>
      <c r="S861" s="8"/>
      <c r="T861" s="8"/>
      <c r="U861" s="8"/>
      <c r="V861" s="8"/>
      <c r="W861" s="8"/>
    </row>
    <row r="862" spans="1:23" ht="12.75" x14ac:dyDescent="0.2">
      <c r="A862" s="8"/>
      <c r="B862" s="8"/>
      <c r="C862" s="8"/>
      <c r="D862" s="8"/>
      <c r="E862" s="8"/>
      <c r="F862" s="8"/>
      <c r="G862" s="8"/>
      <c r="H862" s="8"/>
      <c r="I862" s="8"/>
      <c r="J862" s="8"/>
      <c r="K862" s="8"/>
      <c r="L862" s="8"/>
      <c r="M862" s="8"/>
      <c r="N862" s="8"/>
      <c r="O862" s="8"/>
      <c r="P862" s="8"/>
      <c r="Q862" s="8"/>
      <c r="R862" s="8"/>
      <c r="S862" s="8"/>
      <c r="T862" s="8"/>
      <c r="U862" s="8"/>
      <c r="V862" s="8"/>
      <c r="W862" s="8"/>
    </row>
    <row r="863" spans="1:23" ht="12.75" x14ac:dyDescent="0.2">
      <c r="A863" s="8"/>
      <c r="B863" s="8"/>
      <c r="C863" s="8"/>
      <c r="D863" s="8"/>
      <c r="E863" s="8"/>
      <c r="F863" s="8"/>
      <c r="G863" s="8"/>
      <c r="H863" s="8"/>
      <c r="I863" s="8"/>
      <c r="J863" s="8"/>
      <c r="K863" s="8"/>
      <c r="L863" s="8"/>
      <c r="M863" s="8"/>
      <c r="N863" s="8"/>
      <c r="O863" s="8"/>
      <c r="P863" s="8"/>
      <c r="Q863" s="8"/>
      <c r="R863" s="8"/>
      <c r="S863" s="8"/>
      <c r="T863" s="8"/>
      <c r="U863" s="8"/>
      <c r="V863" s="8"/>
      <c r="W863" s="8"/>
    </row>
    <row r="864" spans="1:23" ht="12.75" x14ac:dyDescent="0.2">
      <c r="A864" s="8"/>
      <c r="B864" s="8"/>
      <c r="C864" s="8"/>
      <c r="D864" s="8"/>
      <c r="E864" s="8"/>
      <c r="F864" s="8"/>
      <c r="G864" s="8"/>
      <c r="H864" s="8"/>
      <c r="I864" s="8"/>
      <c r="J864" s="8"/>
      <c r="K864" s="8"/>
      <c r="L864" s="8"/>
      <c r="M864" s="8"/>
      <c r="N864" s="8"/>
      <c r="O864" s="8"/>
      <c r="P864" s="8"/>
      <c r="Q864" s="8"/>
      <c r="R864" s="8"/>
      <c r="S864" s="8"/>
      <c r="T864" s="8"/>
      <c r="U864" s="8"/>
      <c r="V864" s="8"/>
      <c r="W864" s="8"/>
    </row>
    <row r="865" spans="1:23" ht="12.75" x14ac:dyDescent="0.2">
      <c r="A865" s="8"/>
      <c r="B865" s="8"/>
      <c r="C865" s="8"/>
      <c r="D865" s="8"/>
      <c r="E865" s="8"/>
      <c r="F865" s="8"/>
      <c r="G865" s="8"/>
      <c r="H865" s="8"/>
      <c r="I865" s="8"/>
      <c r="J865" s="8"/>
      <c r="K865" s="8"/>
      <c r="L865" s="8"/>
      <c r="M865" s="8"/>
      <c r="N865" s="8"/>
      <c r="O865" s="8"/>
      <c r="P865" s="8"/>
      <c r="Q865" s="8"/>
      <c r="R865" s="8"/>
      <c r="S865" s="8"/>
      <c r="T865" s="8"/>
      <c r="U865" s="8"/>
      <c r="V865" s="8"/>
      <c r="W865" s="8"/>
    </row>
    <row r="866" spans="1:23" ht="12.75" x14ac:dyDescent="0.2">
      <c r="A866" s="8"/>
      <c r="B866" s="8"/>
      <c r="C866" s="8"/>
      <c r="D866" s="8"/>
      <c r="E866" s="8"/>
      <c r="F866" s="8"/>
      <c r="G866" s="8"/>
      <c r="H866" s="8"/>
      <c r="I866" s="8"/>
      <c r="J866" s="8"/>
      <c r="K866" s="8"/>
      <c r="L866" s="8"/>
      <c r="M866" s="8"/>
      <c r="N866" s="8"/>
      <c r="O866" s="8"/>
      <c r="P866" s="8"/>
      <c r="Q866" s="8"/>
      <c r="R866" s="8"/>
      <c r="S866" s="8"/>
      <c r="T866" s="8"/>
      <c r="U866" s="8"/>
      <c r="V866" s="8"/>
      <c r="W866" s="8"/>
    </row>
    <row r="867" spans="1:23" ht="12.75" x14ac:dyDescent="0.2">
      <c r="A867" s="8"/>
      <c r="B867" s="8"/>
      <c r="C867" s="8"/>
      <c r="D867" s="8"/>
      <c r="E867" s="8"/>
      <c r="F867" s="8"/>
      <c r="G867" s="8"/>
      <c r="H867" s="8"/>
      <c r="I867" s="8"/>
      <c r="J867" s="8"/>
      <c r="K867" s="8"/>
      <c r="L867" s="8"/>
      <c r="M867" s="8"/>
      <c r="N867" s="8"/>
      <c r="O867" s="8"/>
      <c r="P867" s="8"/>
      <c r="Q867" s="8"/>
      <c r="R867" s="8"/>
      <c r="S867" s="8"/>
      <c r="T867" s="8"/>
      <c r="U867" s="8"/>
      <c r="V867" s="8"/>
      <c r="W867" s="8"/>
    </row>
    <row r="868" spans="1:23" ht="12.75" x14ac:dyDescent="0.2">
      <c r="A868" s="8"/>
      <c r="B868" s="8"/>
      <c r="C868" s="8"/>
      <c r="D868" s="8"/>
      <c r="E868" s="8"/>
      <c r="F868" s="8"/>
      <c r="G868" s="8"/>
      <c r="H868" s="8"/>
      <c r="I868" s="8"/>
      <c r="J868" s="8"/>
      <c r="K868" s="8"/>
      <c r="L868" s="8"/>
      <c r="M868" s="8"/>
      <c r="N868" s="8"/>
      <c r="O868" s="8"/>
      <c r="P868" s="8"/>
      <c r="Q868" s="8"/>
      <c r="R868" s="8"/>
      <c r="S868" s="8"/>
      <c r="T868" s="8"/>
      <c r="U868" s="8"/>
      <c r="V868" s="8"/>
      <c r="W868" s="8"/>
    </row>
    <row r="869" spans="1:23" ht="12.75" x14ac:dyDescent="0.2">
      <c r="A869" s="8"/>
      <c r="B869" s="8"/>
      <c r="C869" s="8"/>
      <c r="D869" s="8"/>
      <c r="E869" s="8"/>
      <c r="F869" s="8"/>
      <c r="G869" s="8"/>
      <c r="H869" s="8"/>
      <c r="I869" s="8"/>
      <c r="J869" s="8"/>
      <c r="K869" s="8"/>
      <c r="L869" s="8"/>
      <c r="M869" s="8"/>
      <c r="N869" s="8"/>
      <c r="O869" s="8"/>
      <c r="P869" s="8"/>
      <c r="Q869" s="8"/>
      <c r="R869" s="8"/>
      <c r="S869" s="8"/>
      <c r="T869" s="8"/>
      <c r="U869" s="8"/>
      <c r="V869" s="8"/>
      <c r="W869" s="8"/>
    </row>
    <row r="870" spans="1:23" ht="12.75" x14ac:dyDescent="0.2">
      <c r="A870" s="8"/>
      <c r="B870" s="8"/>
      <c r="C870" s="8"/>
      <c r="D870" s="8"/>
      <c r="E870" s="8"/>
      <c r="F870" s="8"/>
      <c r="G870" s="8"/>
      <c r="H870" s="8"/>
      <c r="I870" s="8"/>
      <c r="J870" s="8"/>
      <c r="K870" s="8"/>
      <c r="L870" s="8"/>
      <c r="M870" s="8"/>
      <c r="N870" s="8"/>
      <c r="O870" s="8"/>
      <c r="P870" s="8"/>
      <c r="Q870" s="8"/>
      <c r="R870" s="8"/>
      <c r="S870" s="8"/>
      <c r="T870" s="8"/>
      <c r="U870" s="8"/>
      <c r="V870" s="8"/>
      <c r="W870" s="8"/>
    </row>
    <row r="871" spans="1:23" ht="12.75" x14ac:dyDescent="0.2">
      <c r="A871" s="8"/>
      <c r="B871" s="8"/>
      <c r="C871" s="8"/>
      <c r="D871" s="8"/>
      <c r="E871" s="8"/>
      <c r="F871" s="8"/>
      <c r="G871" s="8"/>
      <c r="H871" s="8"/>
      <c r="I871" s="8"/>
      <c r="J871" s="8"/>
      <c r="K871" s="8"/>
      <c r="L871" s="8"/>
      <c r="M871" s="8"/>
      <c r="N871" s="8"/>
      <c r="O871" s="8"/>
      <c r="P871" s="8"/>
      <c r="Q871" s="8"/>
      <c r="R871" s="8"/>
      <c r="S871" s="8"/>
      <c r="T871" s="8"/>
      <c r="U871" s="8"/>
      <c r="V871" s="8"/>
      <c r="W871" s="8"/>
    </row>
    <row r="872" spans="1:23" ht="12.75" x14ac:dyDescent="0.2">
      <c r="A872" s="8"/>
      <c r="B872" s="8"/>
      <c r="C872" s="8"/>
      <c r="D872" s="8"/>
      <c r="E872" s="8"/>
      <c r="F872" s="8"/>
      <c r="G872" s="8"/>
      <c r="H872" s="8"/>
      <c r="I872" s="8"/>
      <c r="J872" s="8"/>
      <c r="K872" s="8"/>
      <c r="L872" s="8"/>
      <c r="M872" s="8"/>
      <c r="N872" s="8"/>
      <c r="O872" s="8"/>
      <c r="P872" s="8"/>
      <c r="Q872" s="8"/>
      <c r="R872" s="8"/>
      <c r="S872" s="8"/>
      <c r="T872" s="8"/>
      <c r="U872" s="8"/>
      <c r="V872" s="8"/>
      <c r="W872" s="8"/>
    </row>
    <row r="873" spans="1:23" ht="12.75" x14ac:dyDescent="0.2">
      <c r="A873" s="8"/>
      <c r="B873" s="8"/>
      <c r="C873" s="8"/>
      <c r="D873" s="8"/>
      <c r="E873" s="8"/>
      <c r="F873" s="8"/>
      <c r="G873" s="8"/>
      <c r="H873" s="8"/>
      <c r="I873" s="8"/>
      <c r="J873" s="8"/>
      <c r="K873" s="8"/>
      <c r="L873" s="8"/>
      <c r="M873" s="8"/>
      <c r="N873" s="8"/>
      <c r="O873" s="8"/>
      <c r="P873" s="8"/>
      <c r="Q873" s="8"/>
      <c r="R873" s="8"/>
      <c r="S873" s="8"/>
      <c r="T873" s="8"/>
      <c r="U873" s="8"/>
      <c r="V873" s="8"/>
      <c r="W873" s="8"/>
    </row>
    <row r="874" spans="1:23" ht="12.75" x14ac:dyDescent="0.2">
      <c r="A874" s="8"/>
      <c r="B874" s="8"/>
      <c r="C874" s="8"/>
      <c r="D874" s="8"/>
      <c r="E874" s="8"/>
      <c r="F874" s="8"/>
      <c r="G874" s="8"/>
      <c r="H874" s="8"/>
      <c r="I874" s="8"/>
      <c r="J874" s="8"/>
      <c r="K874" s="8"/>
      <c r="L874" s="8"/>
      <c r="M874" s="8"/>
      <c r="N874" s="8"/>
      <c r="O874" s="8"/>
      <c r="P874" s="8"/>
      <c r="Q874" s="8"/>
      <c r="R874" s="8"/>
      <c r="S874" s="8"/>
      <c r="T874" s="8"/>
      <c r="U874" s="8"/>
      <c r="V874" s="8"/>
      <c r="W874" s="8"/>
    </row>
    <row r="875" spans="1:23" ht="12.75" x14ac:dyDescent="0.2">
      <c r="A875" s="8"/>
      <c r="B875" s="8"/>
      <c r="C875" s="8"/>
      <c r="D875" s="8"/>
      <c r="E875" s="8"/>
      <c r="F875" s="8"/>
      <c r="G875" s="8"/>
      <c r="H875" s="8"/>
      <c r="I875" s="8"/>
      <c r="J875" s="8"/>
      <c r="K875" s="8"/>
      <c r="L875" s="8"/>
      <c r="M875" s="8"/>
      <c r="N875" s="8"/>
      <c r="O875" s="8"/>
      <c r="P875" s="8"/>
      <c r="Q875" s="8"/>
      <c r="R875" s="8"/>
      <c r="S875" s="8"/>
      <c r="T875" s="8"/>
      <c r="U875" s="8"/>
      <c r="V875" s="8"/>
      <c r="W875" s="8"/>
    </row>
    <row r="876" spans="1:23" ht="12.75" x14ac:dyDescent="0.2">
      <c r="A876" s="8"/>
      <c r="B876" s="8"/>
      <c r="C876" s="8"/>
      <c r="D876" s="8"/>
      <c r="E876" s="8"/>
      <c r="F876" s="8"/>
      <c r="G876" s="8"/>
      <c r="H876" s="8"/>
      <c r="I876" s="8"/>
      <c r="J876" s="8"/>
      <c r="K876" s="8"/>
      <c r="L876" s="8"/>
      <c r="M876" s="8"/>
      <c r="N876" s="8"/>
      <c r="O876" s="8"/>
      <c r="P876" s="8"/>
      <c r="Q876" s="8"/>
      <c r="R876" s="8"/>
      <c r="S876" s="8"/>
      <c r="T876" s="8"/>
      <c r="U876" s="8"/>
      <c r="V876" s="8"/>
      <c r="W876" s="8"/>
    </row>
    <row r="877" spans="1:23" ht="12.75" x14ac:dyDescent="0.2">
      <c r="A877" s="8"/>
      <c r="B877" s="8"/>
      <c r="C877" s="8"/>
      <c r="D877" s="8"/>
      <c r="E877" s="8"/>
      <c r="F877" s="8"/>
      <c r="G877" s="8"/>
      <c r="H877" s="8"/>
      <c r="I877" s="8"/>
      <c r="J877" s="8"/>
      <c r="K877" s="8"/>
      <c r="L877" s="8"/>
      <c r="M877" s="8"/>
      <c r="N877" s="8"/>
      <c r="O877" s="8"/>
      <c r="P877" s="8"/>
      <c r="Q877" s="8"/>
      <c r="R877" s="8"/>
      <c r="S877" s="8"/>
      <c r="T877" s="8"/>
      <c r="U877" s="8"/>
      <c r="V877" s="8"/>
      <c r="W877" s="8"/>
    </row>
    <row r="878" spans="1:23" ht="12.75" x14ac:dyDescent="0.2">
      <c r="A878" s="8"/>
      <c r="B878" s="8"/>
      <c r="C878" s="8"/>
      <c r="D878" s="8"/>
      <c r="E878" s="8"/>
      <c r="F878" s="8"/>
      <c r="G878" s="8"/>
      <c r="H878" s="8"/>
      <c r="I878" s="8"/>
      <c r="J878" s="8"/>
      <c r="K878" s="8"/>
      <c r="L878" s="8"/>
      <c r="M878" s="8"/>
      <c r="N878" s="8"/>
      <c r="O878" s="8"/>
      <c r="P878" s="8"/>
      <c r="Q878" s="8"/>
      <c r="R878" s="8"/>
      <c r="S878" s="8"/>
      <c r="T878" s="8"/>
      <c r="U878" s="8"/>
      <c r="V878" s="8"/>
      <c r="W878" s="8"/>
    </row>
    <row r="879" spans="1:23" ht="12.75" x14ac:dyDescent="0.2">
      <c r="A879" s="8"/>
      <c r="B879" s="8"/>
      <c r="C879" s="8"/>
      <c r="D879" s="8"/>
      <c r="E879" s="8"/>
      <c r="F879" s="8"/>
      <c r="G879" s="8"/>
      <c r="H879" s="8"/>
      <c r="I879" s="8"/>
      <c r="J879" s="8"/>
      <c r="K879" s="8"/>
      <c r="L879" s="8"/>
      <c r="M879" s="8"/>
      <c r="N879" s="8"/>
      <c r="O879" s="8"/>
      <c r="P879" s="8"/>
      <c r="Q879" s="8"/>
      <c r="R879" s="8"/>
      <c r="S879" s="8"/>
      <c r="T879" s="8"/>
      <c r="U879" s="8"/>
      <c r="V879" s="8"/>
      <c r="W879" s="8"/>
    </row>
    <row r="880" spans="1:23" ht="12.75" x14ac:dyDescent="0.2">
      <c r="A880" s="8"/>
      <c r="B880" s="8"/>
      <c r="C880" s="8"/>
      <c r="D880" s="8"/>
      <c r="E880" s="8"/>
      <c r="F880" s="8"/>
      <c r="G880" s="8"/>
      <c r="H880" s="8"/>
      <c r="I880" s="8"/>
      <c r="J880" s="8"/>
      <c r="K880" s="8"/>
      <c r="L880" s="8"/>
      <c r="M880" s="8"/>
      <c r="N880" s="8"/>
      <c r="O880" s="8"/>
      <c r="P880" s="8"/>
      <c r="Q880" s="8"/>
      <c r="R880" s="8"/>
      <c r="S880" s="8"/>
      <c r="T880" s="8"/>
      <c r="U880" s="8"/>
      <c r="V880" s="8"/>
      <c r="W880" s="8"/>
    </row>
    <row r="881" spans="1:23" ht="12.75" x14ac:dyDescent="0.2">
      <c r="A881" s="8"/>
      <c r="B881" s="8"/>
      <c r="C881" s="8"/>
      <c r="D881" s="8"/>
      <c r="E881" s="8"/>
      <c r="F881" s="8"/>
      <c r="G881" s="8"/>
      <c r="H881" s="8"/>
      <c r="I881" s="8"/>
      <c r="J881" s="8"/>
      <c r="K881" s="8"/>
      <c r="L881" s="8"/>
      <c r="M881" s="8"/>
      <c r="N881" s="8"/>
      <c r="O881" s="8"/>
      <c r="P881" s="8"/>
      <c r="Q881" s="8"/>
      <c r="R881" s="8"/>
      <c r="S881" s="8"/>
      <c r="T881" s="8"/>
      <c r="U881" s="8"/>
      <c r="V881" s="8"/>
      <c r="W881" s="8"/>
    </row>
    <row r="882" spans="1:23" ht="12.75" x14ac:dyDescent="0.2">
      <c r="A882" s="8"/>
      <c r="B882" s="8"/>
      <c r="C882" s="8"/>
      <c r="D882" s="8"/>
      <c r="E882" s="8"/>
      <c r="F882" s="8"/>
      <c r="G882" s="8"/>
      <c r="H882" s="8"/>
      <c r="I882" s="8"/>
      <c r="J882" s="8"/>
      <c r="K882" s="8"/>
      <c r="L882" s="8"/>
      <c r="M882" s="8"/>
      <c r="N882" s="8"/>
      <c r="O882" s="8"/>
      <c r="P882" s="8"/>
      <c r="Q882" s="8"/>
      <c r="R882" s="8"/>
      <c r="S882" s="8"/>
      <c r="T882" s="8"/>
      <c r="U882" s="8"/>
      <c r="V882" s="8"/>
      <c r="W882" s="8"/>
    </row>
    <row r="883" spans="1:23" ht="12.75" x14ac:dyDescent="0.2">
      <c r="A883" s="8"/>
      <c r="B883" s="8"/>
      <c r="C883" s="8"/>
      <c r="D883" s="8"/>
      <c r="E883" s="8"/>
      <c r="F883" s="8"/>
      <c r="G883" s="8"/>
      <c r="H883" s="8"/>
      <c r="I883" s="8"/>
      <c r="J883" s="8"/>
      <c r="K883" s="8"/>
      <c r="L883" s="8"/>
      <c r="M883" s="8"/>
      <c r="N883" s="8"/>
      <c r="O883" s="8"/>
      <c r="P883" s="8"/>
      <c r="Q883" s="8"/>
      <c r="R883" s="8"/>
      <c r="S883" s="8"/>
      <c r="T883" s="8"/>
      <c r="U883" s="8"/>
      <c r="V883" s="8"/>
      <c r="W883" s="8"/>
    </row>
    <row r="884" spans="1:23" ht="12.75" x14ac:dyDescent="0.2">
      <c r="A884" s="8"/>
      <c r="B884" s="8"/>
      <c r="C884" s="8"/>
      <c r="D884" s="8"/>
      <c r="E884" s="8"/>
      <c r="F884" s="8"/>
      <c r="G884" s="8"/>
      <c r="H884" s="8"/>
      <c r="I884" s="8"/>
      <c r="J884" s="8"/>
      <c r="K884" s="8"/>
      <c r="L884" s="8"/>
      <c r="M884" s="8"/>
      <c r="N884" s="8"/>
      <c r="O884" s="8"/>
      <c r="P884" s="8"/>
      <c r="Q884" s="8"/>
      <c r="R884" s="8"/>
      <c r="S884" s="8"/>
      <c r="T884" s="8"/>
      <c r="U884" s="8"/>
      <c r="V884" s="8"/>
      <c r="W884" s="8"/>
    </row>
    <row r="885" spans="1:23" ht="12.75" x14ac:dyDescent="0.2">
      <c r="A885" s="8"/>
      <c r="B885" s="8"/>
      <c r="C885" s="8"/>
      <c r="D885" s="8"/>
      <c r="E885" s="8"/>
      <c r="F885" s="8"/>
      <c r="G885" s="8"/>
      <c r="H885" s="8"/>
      <c r="I885" s="8"/>
      <c r="J885" s="8"/>
      <c r="K885" s="8"/>
      <c r="L885" s="8"/>
      <c r="M885" s="8"/>
      <c r="N885" s="8"/>
      <c r="O885" s="8"/>
      <c r="P885" s="8"/>
      <c r="Q885" s="8"/>
      <c r="R885" s="8"/>
      <c r="S885" s="8"/>
      <c r="T885" s="8"/>
      <c r="U885" s="8"/>
      <c r="V885" s="8"/>
      <c r="W885" s="8"/>
    </row>
    <row r="886" spans="1:23" ht="12.75" x14ac:dyDescent="0.2">
      <c r="A886" s="8"/>
      <c r="B886" s="8"/>
      <c r="C886" s="8"/>
      <c r="D886" s="8"/>
      <c r="E886" s="8"/>
      <c r="F886" s="8"/>
      <c r="G886" s="8"/>
      <c r="H886" s="8"/>
      <c r="I886" s="8"/>
      <c r="J886" s="8"/>
      <c r="K886" s="8"/>
      <c r="L886" s="8"/>
      <c r="M886" s="8"/>
      <c r="N886" s="8"/>
      <c r="O886" s="8"/>
      <c r="P886" s="8"/>
      <c r="Q886" s="8"/>
      <c r="R886" s="8"/>
      <c r="S886" s="8"/>
      <c r="T886" s="8"/>
      <c r="U886" s="8"/>
      <c r="V886" s="8"/>
      <c r="W886" s="8"/>
    </row>
    <row r="887" spans="1:23" ht="12.75" x14ac:dyDescent="0.2">
      <c r="A887" s="8"/>
      <c r="B887" s="8"/>
      <c r="C887" s="8"/>
      <c r="D887" s="8"/>
      <c r="E887" s="8"/>
      <c r="F887" s="8"/>
      <c r="G887" s="8"/>
      <c r="H887" s="8"/>
      <c r="I887" s="8"/>
      <c r="J887" s="8"/>
      <c r="K887" s="8"/>
      <c r="L887" s="8"/>
      <c r="M887" s="8"/>
      <c r="N887" s="8"/>
      <c r="O887" s="8"/>
      <c r="P887" s="8"/>
      <c r="Q887" s="8"/>
      <c r="R887" s="8"/>
      <c r="S887" s="8"/>
      <c r="T887" s="8"/>
      <c r="U887" s="8"/>
      <c r="V887" s="8"/>
      <c r="W887" s="8"/>
    </row>
    <row r="888" spans="1:23" ht="12.75" x14ac:dyDescent="0.2">
      <c r="A888" s="8"/>
      <c r="B888" s="8"/>
      <c r="C888" s="8"/>
      <c r="D888" s="8"/>
      <c r="E888" s="8"/>
      <c r="F888" s="8"/>
      <c r="G888" s="8"/>
      <c r="H888" s="8"/>
      <c r="I888" s="8"/>
      <c r="J888" s="8"/>
      <c r="K888" s="8"/>
      <c r="L888" s="8"/>
      <c r="M888" s="8"/>
      <c r="N888" s="8"/>
      <c r="O888" s="8"/>
      <c r="P888" s="8"/>
      <c r="Q888" s="8"/>
      <c r="R888" s="8"/>
      <c r="S888" s="8"/>
      <c r="T888" s="8"/>
      <c r="U888" s="8"/>
      <c r="V888" s="8"/>
      <c r="W888" s="8"/>
    </row>
    <row r="889" spans="1:23" ht="12.75" x14ac:dyDescent="0.2">
      <c r="A889" s="8"/>
      <c r="B889" s="8"/>
      <c r="C889" s="8"/>
      <c r="D889" s="8"/>
      <c r="E889" s="8"/>
      <c r="F889" s="8"/>
      <c r="G889" s="8"/>
      <c r="H889" s="8"/>
      <c r="I889" s="8"/>
      <c r="J889" s="8"/>
      <c r="K889" s="8"/>
      <c r="L889" s="8"/>
      <c r="M889" s="8"/>
      <c r="N889" s="8"/>
      <c r="O889" s="8"/>
      <c r="P889" s="8"/>
      <c r="Q889" s="8"/>
      <c r="R889" s="8"/>
      <c r="S889" s="8"/>
      <c r="T889" s="8"/>
      <c r="U889" s="8"/>
      <c r="V889" s="8"/>
      <c r="W889" s="8"/>
    </row>
    <row r="890" spans="1:23" ht="12.75" x14ac:dyDescent="0.2">
      <c r="A890" s="8"/>
      <c r="B890" s="8"/>
      <c r="C890" s="8"/>
      <c r="D890" s="8"/>
      <c r="E890" s="8"/>
      <c r="F890" s="8"/>
      <c r="G890" s="8"/>
      <c r="H890" s="8"/>
      <c r="I890" s="8"/>
      <c r="J890" s="8"/>
      <c r="K890" s="8"/>
      <c r="L890" s="8"/>
      <c r="M890" s="8"/>
      <c r="N890" s="8"/>
      <c r="O890" s="8"/>
      <c r="P890" s="8"/>
      <c r="Q890" s="8"/>
      <c r="R890" s="8"/>
      <c r="S890" s="8"/>
      <c r="T890" s="8"/>
      <c r="U890" s="8"/>
      <c r="V890" s="8"/>
      <c r="W890" s="8"/>
    </row>
    <row r="891" spans="1:23" ht="12.75" x14ac:dyDescent="0.2">
      <c r="A891" s="8"/>
      <c r="B891" s="8"/>
      <c r="C891" s="8"/>
      <c r="D891" s="8"/>
      <c r="E891" s="8"/>
      <c r="F891" s="8"/>
      <c r="G891" s="8"/>
      <c r="H891" s="8"/>
      <c r="I891" s="8"/>
      <c r="J891" s="8"/>
      <c r="K891" s="8"/>
      <c r="L891" s="8"/>
      <c r="M891" s="8"/>
      <c r="N891" s="8"/>
      <c r="O891" s="8"/>
      <c r="P891" s="8"/>
      <c r="Q891" s="8"/>
      <c r="R891" s="8"/>
      <c r="S891" s="8"/>
      <c r="T891" s="8"/>
      <c r="U891" s="8"/>
      <c r="V891" s="8"/>
      <c r="W891" s="8"/>
    </row>
    <row r="892" spans="1:23" ht="12.75" x14ac:dyDescent="0.2">
      <c r="A892" s="8"/>
      <c r="B892" s="8"/>
      <c r="C892" s="8"/>
      <c r="D892" s="8"/>
      <c r="E892" s="8"/>
      <c r="F892" s="8"/>
      <c r="G892" s="8"/>
      <c r="H892" s="8"/>
      <c r="I892" s="8"/>
      <c r="J892" s="8"/>
      <c r="K892" s="8"/>
      <c r="L892" s="8"/>
      <c r="M892" s="8"/>
      <c r="N892" s="8"/>
      <c r="O892" s="8"/>
      <c r="P892" s="8"/>
      <c r="Q892" s="8"/>
      <c r="R892" s="8"/>
      <c r="S892" s="8"/>
      <c r="T892" s="8"/>
      <c r="U892" s="8"/>
      <c r="V892" s="8"/>
      <c r="W892" s="8"/>
    </row>
    <row r="893" spans="1:23" ht="12.75" x14ac:dyDescent="0.2">
      <c r="A893" s="8"/>
      <c r="B893" s="8"/>
      <c r="C893" s="8"/>
      <c r="D893" s="8"/>
      <c r="E893" s="8"/>
      <c r="F893" s="8"/>
      <c r="G893" s="8"/>
      <c r="H893" s="8"/>
      <c r="I893" s="8"/>
      <c r="J893" s="8"/>
      <c r="K893" s="8"/>
      <c r="L893" s="8"/>
      <c r="M893" s="8"/>
      <c r="N893" s="8"/>
      <c r="O893" s="8"/>
      <c r="P893" s="8"/>
      <c r="Q893" s="8"/>
      <c r="R893" s="8"/>
      <c r="S893" s="8"/>
      <c r="T893" s="8"/>
      <c r="U893" s="8"/>
      <c r="V893" s="8"/>
      <c r="W893" s="8"/>
    </row>
    <row r="894" spans="1:23" ht="12.75" x14ac:dyDescent="0.2">
      <c r="A894" s="8"/>
      <c r="B894" s="8"/>
      <c r="C894" s="8"/>
      <c r="D894" s="8"/>
      <c r="E894" s="8"/>
      <c r="F894" s="8"/>
      <c r="G894" s="8"/>
      <c r="H894" s="8"/>
      <c r="I894" s="8"/>
      <c r="J894" s="8"/>
      <c r="K894" s="8"/>
      <c r="L894" s="8"/>
      <c r="M894" s="8"/>
      <c r="N894" s="8"/>
      <c r="O894" s="8"/>
      <c r="P894" s="8"/>
      <c r="Q894" s="8"/>
      <c r="R894" s="8"/>
      <c r="S894" s="8"/>
      <c r="T894" s="8"/>
      <c r="U894" s="8"/>
      <c r="V894" s="8"/>
      <c r="W894" s="8"/>
    </row>
    <row r="895" spans="1:23" ht="12.75" x14ac:dyDescent="0.2">
      <c r="A895" s="8"/>
      <c r="B895" s="8"/>
      <c r="C895" s="8"/>
      <c r="D895" s="8"/>
      <c r="E895" s="8"/>
      <c r="F895" s="8"/>
      <c r="G895" s="8"/>
      <c r="H895" s="8"/>
      <c r="I895" s="8"/>
      <c r="J895" s="8"/>
      <c r="K895" s="8"/>
      <c r="L895" s="8"/>
      <c r="M895" s="8"/>
      <c r="N895" s="8"/>
      <c r="O895" s="8"/>
      <c r="P895" s="8"/>
      <c r="Q895" s="8"/>
      <c r="R895" s="8"/>
      <c r="S895" s="8"/>
      <c r="T895" s="8"/>
      <c r="U895" s="8"/>
      <c r="V895" s="8"/>
      <c r="W895" s="8"/>
    </row>
    <row r="896" spans="1:23" ht="12.75" x14ac:dyDescent="0.2">
      <c r="A896" s="8"/>
      <c r="B896" s="8"/>
      <c r="C896" s="8"/>
      <c r="D896" s="8"/>
      <c r="E896" s="8"/>
      <c r="F896" s="8"/>
      <c r="G896" s="8"/>
      <c r="H896" s="8"/>
      <c r="I896" s="8"/>
      <c r="J896" s="8"/>
      <c r="K896" s="8"/>
      <c r="L896" s="8"/>
      <c r="M896" s="8"/>
      <c r="N896" s="8"/>
      <c r="O896" s="8"/>
      <c r="P896" s="8"/>
      <c r="Q896" s="8"/>
      <c r="R896" s="8"/>
      <c r="S896" s="8"/>
      <c r="T896" s="8"/>
      <c r="U896" s="8"/>
      <c r="V896" s="8"/>
      <c r="W896" s="8"/>
    </row>
    <row r="897" spans="1:23" ht="12.75" x14ac:dyDescent="0.2">
      <c r="A897" s="8"/>
      <c r="B897" s="8"/>
      <c r="C897" s="8"/>
      <c r="D897" s="8"/>
      <c r="E897" s="8"/>
      <c r="F897" s="8"/>
      <c r="G897" s="8"/>
      <c r="H897" s="8"/>
      <c r="I897" s="8"/>
      <c r="J897" s="8"/>
      <c r="K897" s="8"/>
      <c r="L897" s="8"/>
      <c r="M897" s="8"/>
      <c r="N897" s="8"/>
      <c r="O897" s="8"/>
      <c r="P897" s="8"/>
      <c r="Q897" s="8"/>
      <c r="R897" s="8"/>
      <c r="S897" s="8"/>
      <c r="T897" s="8"/>
      <c r="U897" s="8"/>
      <c r="V897" s="8"/>
      <c r="W897" s="8"/>
    </row>
    <row r="898" spans="1:23" ht="12.75" x14ac:dyDescent="0.2">
      <c r="A898" s="8"/>
      <c r="B898" s="8"/>
      <c r="C898" s="8"/>
      <c r="D898" s="8"/>
      <c r="E898" s="8"/>
      <c r="F898" s="8"/>
      <c r="G898" s="8"/>
      <c r="H898" s="8"/>
      <c r="I898" s="8"/>
      <c r="J898" s="8"/>
      <c r="K898" s="8"/>
      <c r="L898" s="8"/>
      <c r="M898" s="8"/>
      <c r="N898" s="8"/>
      <c r="O898" s="8"/>
      <c r="P898" s="8"/>
      <c r="Q898" s="8"/>
      <c r="R898" s="8"/>
      <c r="S898" s="8"/>
      <c r="T898" s="8"/>
      <c r="U898" s="8"/>
      <c r="V898" s="8"/>
      <c r="W898" s="8"/>
    </row>
    <row r="899" spans="1:23" ht="12.75" x14ac:dyDescent="0.2">
      <c r="A899" s="8"/>
      <c r="B899" s="8"/>
      <c r="C899" s="8"/>
      <c r="D899" s="8"/>
      <c r="E899" s="8"/>
      <c r="F899" s="8"/>
      <c r="G899" s="8"/>
      <c r="H899" s="8"/>
      <c r="I899" s="8"/>
      <c r="J899" s="8"/>
      <c r="K899" s="8"/>
      <c r="L899" s="8"/>
      <c r="M899" s="8"/>
      <c r="N899" s="8"/>
      <c r="O899" s="8"/>
      <c r="P899" s="8"/>
      <c r="Q899" s="8"/>
      <c r="R899" s="8"/>
      <c r="S899" s="8"/>
      <c r="T899" s="8"/>
      <c r="U899" s="8"/>
      <c r="V899" s="8"/>
      <c r="W899" s="8"/>
    </row>
    <row r="900" spans="1:23" ht="12.75" x14ac:dyDescent="0.2">
      <c r="A900" s="8"/>
      <c r="B900" s="8"/>
      <c r="C900" s="8"/>
      <c r="D900" s="8"/>
      <c r="E900" s="8"/>
      <c r="F900" s="8"/>
      <c r="G900" s="8"/>
      <c r="H900" s="8"/>
      <c r="I900" s="8"/>
      <c r="J900" s="8"/>
      <c r="K900" s="8"/>
      <c r="L900" s="8"/>
      <c r="M900" s="8"/>
      <c r="N900" s="8"/>
      <c r="O900" s="8"/>
      <c r="P900" s="8"/>
      <c r="Q900" s="8"/>
      <c r="R900" s="8"/>
      <c r="S900" s="8"/>
      <c r="T900" s="8"/>
      <c r="U900" s="8"/>
      <c r="V900" s="8"/>
      <c r="W900" s="8"/>
    </row>
    <row r="901" spans="1:23" ht="12.75" x14ac:dyDescent="0.2">
      <c r="A901" s="8"/>
      <c r="B901" s="8"/>
      <c r="C901" s="8"/>
      <c r="D901" s="8"/>
      <c r="E901" s="8"/>
      <c r="F901" s="8"/>
      <c r="G901" s="8"/>
      <c r="H901" s="8"/>
      <c r="I901" s="8"/>
      <c r="J901" s="8"/>
      <c r="K901" s="8"/>
      <c r="L901" s="8"/>
      <c r="M901" s="8"/>
      <c r="N901" s="8"/>
      <c r="O901" s="8"/>
      <c r="P901" s="8"/>
      <c r="Q901" s="8"/>
      <c r="R901" s="8"/>
      <c r="S901" s="8"/>
      <c r="T901" s="8"/>
      <c r="U901" s="8"/>
      <c r="V901" s="8"/>
      <c r="W901" s="8"/>
    </row>
    <row r="902" spans="1:23" ht="12.75" x14ac:dyDescent="0.2">
      <c r="A902" s="8"/>
      <c r="B902" s="8"/>
      <c r="C902" s="8"/>
      <c r="D902" s="8"/>
      <c r="E902" s="8"/>
      <c r="F902" s="8"/>
      <c r="G902" s="8"/>
      <c r="H902" s="8"/>
      <c r="I902" s="8"/>
      <c r="J902" s="8"/>
      <c r="K902" s="8"/>
      <c r="L902" s="8"/>
      <c r="M902" s="8"/>
      <c r="N902" s="8"/>
      <c r="O902" s="8"/>
      <c r="P902" s="8"/>
      <c r="Q902" s="8"/>
      <c r="R902" s="8"/>
      <c r="S902" s="8"/>
      <c r="T902" s="8"/>
      <c r="U902" s="8"/>
      <c r="V902" s="8"/>
      <c r="W902" s="8"/>
    </row>
    <row r="903" spans="1:23" ht="12.75" x14ac:dyDescent="0.2">
      <c r="A903" s="8"/>
      <c r="B903" s="8"/>
      <c r="C903" s="8"/>
      <c r="D903" s="8"/>
      <c r="E903" s="8"/>
      <c r="F903" s="8"/>
      <c r="G903" s="8"/>
      <c r="H903" s="8"/>
      <c r="I903" s="8"/>
      <c r="J903" s="8"/>
      <c r="K903" s="8"/>
      <c r="L903" s="8"/>
      <c r="M903" s="8"/>
      <c r="N903" s="8"/>
      <c r="O903" s="8"/>
      <c r="P903" s="8"/>
      <c r="Q903" s="8"/>
      <c r="R903" s="8"/>
      <c r="S903" s="8"/>
      <c r="T903" s="8"/>
      <c r="U903" s="8"/>
      <c r="V903" s="8"/>
      <c r="W903" s="8"/>
    </row>
    <row r="904" spans="1:23" ht="12.75" x14ac:dyDescent="0.2">
      <c r="A904" s="8"/>
      <c r="B904" s="8"/>
      <c r="C904" s="8"/>
      <c r="D904" s="8"/>
      <c r="E904" s="8"/>
      <c r="F904" s="8"/>
      <c r="G904" s="8"/>
      <c r="H904" s="8"/>
      <c r="I904" s="8"/>
      <c r="J904" s="8"/>
      <c r="K904" s="8"/>
      <c r="L904" s="8"/>
      <c r="M904" s="8"/>
      <c r="N904" s="8"/>
      <c r="O904" s="8"/>
      <c r="P904" s="8"/>
      <c r="Q904" s="8"/>
      <c r="R904" s="8"/>
      <c r="S904" s="8"/>
      <c r="T904" s="8"/>
      <c r="U904" s="8"/>
      <c r="V904" s="8"/>
      <c r="W904" s="8"/>
    </row>
    <row r="905" spans="1:23" ht="12.75" x14ac:dyDescent="0.2">
      <c r="A905" s="8"/>
      <c r="B905" s="8"/>
      <c r="C905" s="8"/>
      <c r="D905" s="8"/>
      <c r="E905" s="8"/>
      <c r="F905" s="8"/>
      <c r="G905" s="8"/>
      <c r="H905" s="8"/>
      <c r="I905" s="8"/>
      <c r="J905" s="8"/>
      <c r="K905" s="8"/>
      <c r="L905" s="8"/>
      <c r="M905" s="8"/>
      <c r="N905" s="8"/>
      <c r="O905" s="8"/>
      <c r="P905" s="8"/>
      <c r="Q905" s="8"/>
      <c r="R905" s="8"/>
      <c r="S905" s="8"/>
      <c r="T905" s="8"/>
      <c r="U905" s="8"/>
      <c r="V905" s="8"/>
      <c r="W905" s="8"/>
    </row>
    <row r="906" spans="1:23" ht="12.75" x14ac:dyDescent="0.2">
      <c r="A906" s="8"/>
      <c r="B906" s="8"/>
      <c r="C906" s="8"/>
      <c r="D906" s="8"/>
      <c r="E906" s="8"/>
      <c r="F906" s="8"/>
      <c r="G906" s="8"/>
      <c r="H906" s="8"/>
      <c r="I906" s="8"/>
      <c r="J906" s="8"/>
      <c r="K906" s="8"/>
      <c r="L906" s="8"/>
      <c r="M906" s="8"/>
      <c r="N906" s="8"/>
      <c r="O906" s="8"/>
      <c r="P906" s="8"/>
      <c r="Q906" s="8"/>
      <c r="R906" s="8"/>
      <c r="S906" s="8"/>
      <c r="T906" s="8"/>
      <c r="U906" s="8"/>
      <c r="V906" s="8"/>
      <c r="W906" s="8"/>
    </row>
    <row r="907" spans="1:23" ht="12.75" x14ac:dyDescent="0.2">
      <c r="A907" s="8"/>
      <c r="B907" s="8"/>
      <c r="C907" s="8"/>
      <c r="D907" s="8"/>
      <c r="E907" s="8"/>
      <c r="F907" s="8"/>
      <c r="G907" s="8"/>
      <c r="H907" s="8"/>
      <c r="I907" s="8"/>
      <c r="J907" s="8"/>
      <c r="K907" s="8"/>
      <c r="L907" s="8"/>
      <c r="M907" s="8"/>
      <c r="N907" s="8"/>
      <c r="O907" s="8"/>
      <c r="P907" s="8"/>
      <c r="Q907" s="8"/>
      <c r="R907" s="8"/>
      <c r="S907" s="8"/>
      <c r="T907" s="8"/>
      <c r="U907" s="8"/>
      <c r="V907" s="8"/>
      <c r="W907" s="8"/>
    </row>
    <row r="908" spans="1:23" ht="12.75" x14ac:dyDescent="0.2">
      <c r="A908" s="8"/>
      <c r="B908" s="8"/>
      <c r="C908" s="8"/>
      <c r="D908" s="8"/>
      <c r="E908" s="8"/>
      <c r="F908" s="8"/>
      <c r="G908" s="8"/>
      <c r="H908" s="8"/>
      <c r="I908" s="8"/>
      <c r="J908" s="8"/>
      <c r="K908" s="8"/>
      <c r="L908" s="8"/>
      <c r="M908" s="8"/>
      <c r="N908" s="8"/>
      <c r="O908" s="8"/>
      <c r="P908" s="8"/>
      <c r="Q908" s="8"/>
      <c r="R908" s="8"/>
      <c r="S908" s="8"/>
      <c r="T908" s="8"/>
      <c r="U908" s="8"/>
      <c r="V908" s="8"/>
      <c r="W908" s="8"/>
    </row>
    <row r="909" spans="1:23" ht="12.75" x14ac:dyDescent="0.2">
      <c r="A909" s="8"/>
      <c r="B909" s="8"/>
      <c r="C909" s="8"/>
      <c r="D909" s="8"/>
      <c r="E909" s="8"/>
      <c r="F909" s="8"/>
      <c r="G909" s="8"/>
      <c r="H909" s="8"/>
      <c r="I909" s="8"/>
      <c r="J909" s="8"/>
      <c r="K909" s="8"/>
      <c r="L909" s="8"/>
      <c r="M909" s="8"/>
      <c r="N909" s="8"/>
      <c r="O909" s="8"/>
      <c r="P909" s="8"/>
      <c r="Q909" s="8"/>
      <c r="R909" s="8"/>
      <c r="S909" s="8"/>
      <c r="T909" s="8"/>
      <c r="U909" s="8"/>
      <c r="V909" s="8"/>
      <c r="W909" s="8"/>
    </row>
    <row r="910" spans="1:23" ht="12.75" x14ac:dyDescent="0.2">
      <c r="A910" s="8"/>
      <c r="B910" s="8"/>
      <c r="C910" s="8"/>
      <c r="D910" s="8"/>
      <c r="E910" s="8"/>
      <c r="F910" s="8"/>
      <c r="G910" s="8"/>
      <c r="H910" s="8"/>
      <c r="I910" s="8"/>
      <c r="J910" s="8"/>
      <c r="K910" s="8"/>
      <c r="L910" s="8"/>
      <c r="M910" s="8"/>
      <c r="N910" s="8"/>
      <c r="O910" s="8"/>
      <c r="P910" s="8"/>
      <c r="Q910" s="8"/>
      <c r="R910" s="8"/>
      <c r="S910" s="8"/>
      <c r="T910" s="8"/>
      <c r="U910" s="8"/>
      <c r="V910" s="8"/>
      <c r="W910" s="8"/>
    </row>
    <row r="911" spans="1:23" ht="12.75" x14ac:dyDescent="0.2">
      <c r="A911" s="8"/>
      <c r="B911" s="8"/>
      <c r="C911" s="8"/>
      <c r="D911" s="8"/>
      <c r="E911" s="8"/>
      <c r="F911" s="8"/>
      <c r="G911" s="8"/>
      <c r="H911" s="8"/>
      <c r="I911" s="8"/>
      <c r="J911" s="8"/>
      <c r="K911" s="8"/>
      <c r="L911" s="8"/>
      <c r="M911" s="8"/>
      <c r="N911" s="8"/>
      <c r="O911" s="8"/>
      <c r="P911" s="8"/>
      <c r="Q911" s="8"/>
      <c r="R911" s="8"/>
      <c r="S911" s="8"/>
      <c r="T911" s="8"/>
      <c r="U911" s="8"/>
      <c r="V911" s="8"/>
      <c r="W911" s="8"/>
    </row>
    <row r="912" spans="1:23" ht="12.75" x14ac:dyDescent="0.2">
      <c r="A912" s="8"/>
      <c r="B912" s="8"/>
      <c r="C912" s="8"/>
      <c r="D912" s="8"/>
      <c r="E912" s="8"/>
      <c r="F912" s="8"/>
      <c r="G912" s="8"/>
      <c r="H912" s="8"/>
      <c r="I912" s="8"/>
      <c r="J912" s="8"/>
      <c r="K912" s="8"/>
      <c r="L912" s="8"/>
      <c r="M912" s="8"/>
      <c r="N912" s="8"/>
      <c r="O912" s="8"/>
      <c r="P912" s="8"/>
      <c r="Q912" s="8"/>
      <c r="R912" s="8"/>
      <c r="S912" s="8"/>
      <c r="T912" s="8"/>
      <c r="U912" s="8"/>
      <c r="V912" s="8"/>
      <c r="W912" s="8"/>
    </row>
    <row r="913" spans="1:23" ht="12.75" x14ac:dyDescent="0.2">
      <c r="A913" s="8"/>
      <c r="B913" s="8"/>
      <c r="C913" s="8"/>
      <c r="D913" s="8"/>
      <c r="E913" s="8"/>
      <c r="F913" s="8"/>
      <c r="G913" s="8"/>
      <c r="H913" s="8"/>
      <c r="I913" s="8"/>
      <c r="J913" s="8"/>
      <c r="K913" s="8"/>
      <c r="L913" s="8"/>
      <c r="M913" s="8"/>
      <c r="N913" s="8"/>
      <c r="O913" s="8"/>
      <c r="P913" s="8"/>
      <c r="Q913" s="8"/>
      <c r="R913" s="8"/>
      <c r="S913" s="8"/>
      <c r="T913" s="8"/>
      <c r="U913" s="8"/>
      <c r="V913" s="8"/>
      <c r="W913" s="8"/>
    </row>
    <row r="914" spans="1:23" ht="12.75" x14ac:dyDescent="0.2">
      <c r="A914" s="8"/>
      <c r="B914" s="8"/>
      <c r="C914" s="8"/>
      <c r="D914" s="8"/>
      <c r="E914" s="8"/>
      <c r="F914" s="8"/>
      <c r="G914" s="8"/>
      <c r="H914" s="8"/>
      <c r="I914" s="8"/>
      <c r="J914" s="8"/>
      <c r="K914" s="8"/>
      <c r="L914" s="8"/>
      <c r="M914" s="8"/>
      <c r="N914" s="8"/>
      <c r="O914" s="8"/>
      <c r="P914" s="8"/>
      <c r="Q914" s="8"/>
      <c r="R914" s="8"/>
      <c r="S914" s="8"/>
      <c r="T914" s="8"/>
      <c r="U914" s="8"/>
      <c r="V914" s="8"/>
      <c r="W914" s="8"/>
    </row>
    <row r="915" spans="1:23" ht="12.75" x14ac:dyDescent="0.2">
      <c r="A915" s="8"/>
      <c r="B915" s="8"/>
      <c r="C915" s="8"/>
      <c r="D915" s="8"/>
      <c r="E915" s="8"/>
      <c r="F915" s="8"/>
      <c r="G915" s="8"/>
      <c r="H915" s="8"/>
      <c r="I915" s="8"/>
      <c r="J915" s="8"/>
      <c r="K915" s="8"/>
      <c r="L915" s="8"/>
      <c r="M915" s="8"/>
      <c r="N915" s="8"/>
      <c r="O915" s="8"/>
      <c r="P915" s="8"/>
      <c r="Q915" s="8"/>
      <c r="R915" s="8"/>
      <c r="S915" s="8"/>
      <c r="T915" s="8"/>
      <c r="U915" s="8"/>
      <c r="V915" s="8"/>
      <c r="W915" s="8"/>
    </row>
    <row r="916" spans="1:23" ht="12.75" x14ac:dyDescent="0.2">
      <c r="A916" s="8"/>
      <c r="B916" s="8"/>
      <c r="C916" s="8"/>
      <c r="D916" s="8"/>
      <c r="E916" s="8"/>
      <c r="F916" s="8"/>
      <c r="G916" s="8"/>
      <c r="H916" s="8"/>
      <c r="I916" s="8"/>
      <c r="J916" s="8"/>
      <c r="K916" s="8"/>
      <c r="L916" s="8"/>
      <c r="M916" s="8"/>
      <c r="N916" s="8"/>
      <c r="O916" s="8"/>
      <c r="P916" s="8"/>
      <c r="Q916" s="8"/>
      <c r="R916" s="8"/>
      <c r="S916" s="8"/>
      <c r="T916" s="8"/>
      <c r="U916" s="8"/>
      <c r="V916" s="8"/>
      <c r="W916" s="8"/>
    </row>
    <row r="917" spans="1:23" ht="12.75" x14ac:dyDescent="0.2">
      <c r="A917" s="8"/>
      <c r="B917" s="8"/>
      <c r="C917" s="8"/>
      <c r="D917" s="8"/>
      <c r="E917" s="8"/>
      <c r="F917" s="8"/>
      <c r="G917" s="8"/>
      <c r="H917" s="8"/>
      <c r="I917" s="8"/>
      <c r="J917" s="8"/>
      <c r="K917" s="8"/>
      <c r="L917" s="8"/>
      <c r="M917" s="8"/>
      <c r="N917" s="8"/>
      <c r="O917" s="8"/>
      <c r="P917" s="8"/>
      <c r="Q917" s="8"/>
      <c r="R917" s="8"/>
      <c r="S917" s="8"/>
      <c r="T917" s="8"/>
      <c r="U917" s="8"/>
      <c r="V917" s="8"/>
      <c r="W917" s="8"/>
    </row>
    <row r="918" spans="1:23" ht="12.75" x14ac:dyDescent="0.2">
      <c r="A918" s="8"/>
      <c r="B918" s="8"/>
      <c r="C918" s="8"/>
      <c r="D918" s="8"/>
      <c r="E918" s="8"/>
      <c r="F918" s="8"/>
      <c r="G918" s="8"/>
      <c r="H918" s="8"/>
      <c r="I918" s="8"/>
      <c r="J918" s="8"/>
      <c r="K918" s="8"/>
      <c r="L918" s="8"/>
      <c r="M918" s="8"/>
      <c r="N918" s="8"/>
      <c r="O918" s="8"/>
      <c r="P918" s="8"/>
      <c r="Q918" s="8"/>
      <c r="R918" s="8"/>
      <c r="S918" s="8"/>
      <c r="T918" s="8"/>
      <c r="U918" s="8"/>
      <c r="V918" s="8"/>
      <c r="W918" s="8"/>
    </row>
    <row r="919" spans="1:23" ht="12.75" x14ac:dyDescent="0.2">
      <c r="A919" s="8"/>
      <c r="B919" s="8"/>
      <c r="C919" s="8"/>
      <c r="D919" s="8"/>
      <c r="E919" s="8"/>
      <c r="F919" s="8"/>
      <c r="G919" s="8"/>
      <c r="H919" s="8"/>
      <c r="I919" s="8"/>
      <c r="J919" s="8"/>
      <c r="K919" s="8"/>
      <c r="L919" s="8"/>
      <c r="M919" s="8"/>
      <c r="N919" s="8"/>
      <c r="O919" s="8"/>
      <c r="P919" s="8"/>
      <c r="Q919" s="8"/>
      <c r="R919" s="8"/>
      <c r="S919" s="8"/>
      <c r="T919" s="8"/>
      <c r="U919" s="8"/>
      <c r="V919" s="8"/>
      <c r="W919" s="8"/>
    </row>
    <row r="920" spans="1:23" ht="12.75" x14ac:dyDescent="0.2">
      <c r="A920" s="8"/>
      <c r="B920" s="8"/>
      <c r="C920" s="8"/>
      <c r="D920" s="8"/>
      <c r="E920" s="8"/>
      <c r="F920" s="8"/>
      <c r="G920" s="8"/>
      <c r="H920" s="8"/>
      <c r="I920" s="8"/>
      <c r="J920" s="8"/>
      <c r="K920" s="8"/>
      <c r="L920" s="8"/>
      <c r="M920" s="8"/>
      <c r="N920" s="8"/>
      <c r="O920" s="8"/>
      <c r="P920" s="8"/>
      <c r="Q920" s="8"/>
      <c r="R920" s="8"/>
      <c r="S920" s="8"/>
      <c r="T920" s="8"/>
      <c r="U920" s="8"/>
      <c r="V920" s="8"/>
      <c r="W920" s="8"/>
    </row>
    <row r="921" spans="1:23" ht="12.75" x14ac:dyDescent="0.2">
      <c r="A921" s="8"/>
      <c r="B921" s="8"/>
      <c r="C921" s="8"/>
      <c r="D921" s="8"/>
      <c r="E921" s="8"/>
      <c r="F921" s="8"/>
      <c r="G921" s="8"/>
      <c r="H921" s="8"/>
      <c r="I921" s="8"/>
      <c r="J921" s="8"/>
      <c r="K921" s="8"/>
      <c r="L921" s="8"/>
      <c r="M921" s="8"/>
      <c r="N921" s="8"/>
      <c r="O921" s="8"/>
      <c r="P921" s="8"/>
      <c r="Q921" s="8"/>
      <c r="R921" s="8"/>
      <c r="S921" s="8"/>
      <c r="T921" s="8"/>
      <c r="U921" s="8"/>
      <c r="V921" s="8"/>
      <c r="W921" s="8"/>
    </row>
    <row r="922" spans="1:23" ht="12.75" x14ac:dyDescent="0.2">
      <c r="A922" s="8"/>
      <c r="B922" s="8"/>
      <c r="C922" s="8"/>
      <c r="D922" s="8"/>
      <c r="E922" s="8"/>
      <c r="F922" s="8"/>
      <c r="G922" s="8"/>
      <c r="H922" s="8"/>
      <c r="I922" s="8"/>
      <c r="J922" s="8"/>
      <c r="K922" s="8"/>
      <c r="L922" s="8"/>
      <c r="M922" s="8"/>
      <c r="N922" s="8"/>
      <c r="O922" s="8"/>
      <c r="P922" s="8"/>
      <c r="Q922" s="8"/>
      <c r="R922" s="8"/>
      <c r="S922" s="8"/>
      <c r="T922" s="8"/>
      <c r="U922" s="8"/>
      <c r="V922" s="8"/>
      <c r="W922" s="8"/>
    </row>
    <row r="923" spans="1:23" ht="12.75" x14ac:dyDescent="0.2">
      <c r="A923" s="8"/>
      <c r="B923" s="8"/>
      <c r="C923" s="8"/>
      <c r="D923" s="8"/>
      <c r="E923" s="8"/>
      <c r="F923" s="8"/>
      <c r="G923" s="8"/>
      <c r="H923" s="8"/>
      <c r="I923" s="8"/>
      <c r="J923" s="8"/>
      <c r="K923" s="8"/>
      <c r="L923" s="8"/>
      <c r="M923" s="8"/>
      <c r="N923" s="8"/>
      <c r="O923" s="8"/>
      <c r="P923" s="8"/>
      <c r="Q923" s="8"/>
      <c r="R923" s="8"/>
      <c r="S923" s="8"/>
      <c r="T923" s="8"/>
      <c r="U923" s="8"/>
      <c r="V923" s="8"/>
      <c r="W923" s="8"/>
    </row>
    <row r="924" spans="1:23" ht="12.75" x14ac:dyDescent="0.2">
      <c r="A924" s="8"/>
      <c r="B924" s="8"/>
      <c r="C924" s="8"/>
      <c r="D924" s="8"/>
      <c r="E924" s="8"/>
      <c r="F924" s="8"/>
      <c r="G924" s="8"/>
      <c r="H924" s="8"/>
      <c r="I924" s="8"/>
      <c r="J924" s="8"/>
      <c r="K924" s="8"/>
      <c r="L924" s="8"/>
      <c r="M924" s="8"/>
      <c r="N924" s="8"/>
      <c r="O924" s="8"/>
      <c r="P924" s="8"/>
      <c r="Q924" s="8"/>
      <c r="R924" s="8"/>
      <c r="S924" s="8"/>
      <c r="T924" s="8"/>
      <c r="U924" s="8"/>
      <c r="V924" s="8"/>
      <c r="W924" s="8"/>
    </row>
    <row r="925" spans="1:23" ht="12.75" x14ac:dyDescent="0.2">
      <c r="A925" s="8"/>
      <c r="B925" s="8"/>
      <c r="C925" s="8"/>
      <c r="D925" s="8"/>
      <c r="E925" s="8"/>
      <c r="F925" s="8"/>
      <c r="G925" s="8"/>
      <c r="H925" s="8"/>
      <c r="I925" s="8"/>
      <c r="J925" s="8"/>
      <c r="K925" s="8"/>
      <c r="L925" s="8"/>
      <c r="M925" s="8"/>
      <c r="N925" s="8"/>
      <c r="O925" s="8"/>
      <c r="P925" s="8"/>
      <c r="Q925" s="8"/>
      <c r="R925" s="8"/>
      <c r="S925" s="8"/>
      <c r="T925" s="8"/>
      <c r="U925" s="8"/>
      <c r="V925" s="8"/>
      <c r="W925" s="8"/>
    </row>
    <row r="926" spans="1:23" ht="12.75" x14ac:dyDescent="0.2">
      <c r="A926" s="8"/>
      <c r="B926" s="8"/>
      <c r="C926" s="8"/>
      <c r="D926" s="8"/>
      <c r="E926" s="8"/>
      <c r="F926" s="8"/>
      <c r="G926" s="8"/>
      <c r="H926" s="8"/>
      <c r="I926" s="8"/>
      <c r="J926" s="8"/>
      <c r="K926" s="8"/>
      <c r="L926" s="8"/>
      <c r="M926" s="8"/>
      <c r="N926" s="8"/>
      <c r="O926" s="8"/>
      <c r="P926" s="8"/>
      <c r="Q926" s="8"/>
      <c r="R926" s="8"/>
      <c r="S926" s="8"/>
      <c r="T926" s="8"/>
      <c r="U926" s="8"/>
      <c r="V926" s="8"/>
      <c r="W926" s="8"/>
    </row>
    <row r="927" spans="1:23" ht="12.75" x14ac:dyDescent="0.2">
      <c r="A927" s="8"/>
      <c r="B927" s="8"/>
      <c r="C927" s="8"/>
      <c r="D927" s="8"/>
      <c r="E927" s="8"/>
      <c r="F927" s="8"/>
      <c r="G927" s="8"/>
      <c r="H927" s="8"/>
      <c r="I927" s="8"/>
      <c r="J927" s="8"/>
      <c r="K927" s="8"/>
      <c r="L927" s="8"/>
      <c r="M927" s="8"/>
      <c r="N927" s="8"/>
      <c r="O927" s="8"/>
      <c r="P927" s="8"/>
      <c r="Q927" s="8"/>
      <c r="R927" s="8"/>
      <c r="S927" s="8"/>
      <c r="T927" s="8"/>
      <c r="U927" s="8"/>
      <c r="V927" s="8"/>
      <c r="W927" s="8"/>
    </row>
    <row r="928" spans="1:23" ht="12.75" x14ac:dyDescent="0.2">
      <c r="A928" s="8"/>
      <c r="B928" s="8"/>
      <c r="C928" s="8"/>
      <c r="D928" s="8"/>
      <c r="E928" s="8"/>
      <c r="F928" s="8"/>
      <c r="G928" s="8"/>
      <c r="H928" s="8"/>
      <c r="I928" s="8"/>
      <c r="J928" s="8"/>
      <c r="K928" s="8"/>
      <c r="L928" s="8"/>
      <c r="M928" s="8"/>
      <c r="N928" s="8"/>
      <c r="O928" s="8"/>
      <c r="P928" s="8"/>
      <c r="Q928" s="8"/>
      <c r="R928" s="8"/>
      <c r="S928" s="8"/>
      <c r="T928" s="8"/>
      <c r="U928" s="8"/>
      <c r="V928" s="8"/>
      <c r="W928" s="8"/>
    </row>
    <row r="929" spans="1:23" ht="12.75" x14ac:dyDescent="0.2">
      <c r="A929" s="8"/>
      <c r="B929" s="8"/>
      <c r="C929" s="8"/>
      <c r="D929" s="8"/>
      <c r="E929" s="8"/>
      <c r="F929" s="8"/>
      <c r="G929" s="8"/>
      <c r="H929" s="8"/>
      <c r="I929" s="8"/>
      <c r="J929" s="8"/>
      <c r="K929" s="8"/>
      <c r="L929" s="8"/>
      <c r="M929" s="8"/>
      <c r="N929" s="8"/>
      <c r="O929" s="8"/>
      <c r="P929" s="8"/>
      <c r="Q929" s="8"/>
      <c r="R929" s="8"/>
      <c r="S929" s="8"/>
      <c r="T929" s="8"/>
      <c r="U929" s="8"/>
      <c r="V929" s="8"/>
      <c r="W929" s="8"/>
    </row>
    <row r="930" spans="1:23" ht="12.75" x14ac:dyDescent="0.2">
      <c r="A930" s="8"/>
      <c r="B930" s="8"/>
      <c r="C930" s="8"/>
      <c r="D930" s="8"/>
      <c r="E930" s="8"/>
      <c r="F930" s="8"/>
      <c r="G930" s="8"/>
      <c r="H930" s="8"/>
      <c r="I930" s="8"/>
      <c r="J930" s="8"/>
      <c r="K930" s="8"/>
      <c r="L930" s="8"/>
      <c r="M930" s="8"/>
      <c r="N930" s="8"/>
      <c r="O930" s="8"/>
      <c r="P930" s="8"/>
      <c r="Q930" s="8"/>
      <c r="R930" s="8"/>
      <c r="S930" s="8"/>
      <c r="T930" s="8"/>
      <c r="U930" s="8"/>
      <c r="V930" s="8"/>
      <c r="W930" s="8"/>
    </row>
    <row r="931" spans="1:23" ht="12.75" x14ac:dyDescent="0.2">
      <c r="A931" s="8"/>
      <c r="B931" s="8"/>
      <c r="C931" s="8"/>
      <c r="D931" s="8"/>
      <c r="E931" s="8"/>
      <c r="F931" s="8"/>
      <c r="G931" s="8"/>
      <c r="H931" s="8"/>
      <c r="I931" s="8"/>
      <c r="J931" s="8"/>
      <c r="K931" s="8"/>
      <c r="L931" s="8"/>
      <c r="M931" s="8"/>
      <c r="N931" s="8"/>
      <c r="O931" s="8"/>
      <c r="P931" s="8"/>
      <c r="Q931" s="8"/>
      <c r="R931" s="8"/>
      <c r="S931" s="8"/>
      <c r="T931" s="8"/>
      <c r="U931" s="8"/>
      <c r="V931" s="8"/>
      <c r="W931" s="8"/>
    </row>
    <row r="932" spans="1:23" ht="12.75" x14ac:dyDescent="0.2">
      <c r="A932" s="8"/>
      <c r="B932" s="8"/>
      <c r="C932" s="8"/>
      <c r="D932" s="8"/>
      <c r="E932" s="8"/>
      <c r="F932" s="8"/>
      <c r="G932" s="8"/>
      <c r="H932" s="8"/>
      <c r="I932" s="8"/>
      <c r="J932" s="8"/>
      <c r="K932" s="8"/>
      <c r="L932" s="8"/>
      <c r="M932" s="8"/>
      <c r="N932" s="8"/>
      <c r="O932" s="8"/>
      <c r="P932" s="8"/>
      <c r="Q932" s="8"/>
      <c r="R932" s="8"/>
      <c r="S932" s="8"/>
      <c r="T932" s="8"/>
      <c r="U932" s="8"/>
      <c r="V932" s="8"/>
      <c r="W932" s="8"/>
    </row>
    <row r="933" spans="1:23" ht="12.75" x14ac:dyDescent="0.2">
      <c r="A933" s="8"/>
      <c r="B933" s="8"/>
      <c r="C933" s="8"/>
      <c r="D933" s="8"/>
      <c r="E933" s="8"/>
      <c r="F933" s="8"/>
      <c r="G933" s="8"/>
      <c r="H933" s="8"/>
      <c r="I933" s="8"/>
      <c r="J933" s="8"/>
      <c r="K933" s="8"/>
      <c r="L933" s="8"/>
      <c r="M933" s="8"/>
      <c r="N933" s="8"/>
      <c r="O933" s="8"/>
      <c r="P933" s="8"/>
      <c r="Q933" s="8"/>
      <c r="R933" s="8"/>
      <c r="S933" s="8"/>
      <c r="T933" s="8"/>
      <c r="U933" s="8"/>
      <c r="V933" s="8"/>
      <c r="W933" s="8"/>
    </row>
    <row r="934" spans="1:23" ht="12.75" x14ac:dyDescent="0.2">
      <c r="A934" s="8"/>
      <c r="B934" s="8"/>
      <c r="C934" s="8"/>
      <c r="D934" s="8"/>
      <c r="E934" s="8"/>
      <c r="F934" s="8"/>
      <c r="G934" s="8"/>
      <c r="H934" s="8"/>
      <c r="I934" s="8"/>
      <c r="J934" s="8"/>
      <c r="K934" s="8"/>
      <c r="L934" s="8"/>
      <c r="M934" s="8"/>
      <c r="N934" s="8"/>
      <c r="O934" s="8"/>
      <c r="P934" s="8"/>
      <c r="Q934" s="8"/>
      <c r="R934" s="8"/>
      <c r="S934" s="8"/>
      <c r="T934" s="8"/>
      <c r="U934" s="8"/>
      <c r="V934" s="8"/>
      <c r="W934" s="8"/>
    </row>
    <row r="935" spans="1:23" ht="12.75" x14ac:dyDescent="0.2">
      <c r="A935" s="8"/>
      <c r="B935" s="8"/>
      <c r="C935" s="8"/>
      <c r="D935" s="8"/>
      <c r="E935" s="8"/>
      <c r="F935" s="8"/>
      <c r="G935" s="8"/>
      <c r="H935" s="8"/>
      <c r="I935" s="8"/>
      <c r="J935" s="8"/>
      <c r="K935" s="8"/>
      <c r="L935" s="8"/>
      <c r="M935" s="8"/>
      <c r="N935" s="8"/>
      <c r="O935" s="8"/>
      <c r="P935" s="8"/>
      <c r="Q935" s="8"/>
      <c r="R935" s="8"/>
      <c r="S935" s="8"/>
      <c r="T935" s="8"/>
      <c r="U935" s="8"/>
      <c r="V935" s="8"/>
      <c r="W935" s="8"/>
    </row>
    <row r="936" spans="1:23" ht="12.75" x14ac:dyDescent="0.2">
      <c r="A936" s="8"/>
      <c r="B936" s="8"/>
      <c r="C936" s="8"/>
      <c r="D936" s="8"/>
      <c r="E936" s="8"/>
      <c r="F936" s="8"/>
      <c r="G936" s="8"/>
      <c r="H936" s="8"/>
      <c r="I936" s="8"/>
      <c r="J936" s="8"/>
      <c r="K936" s="8"/>
      <c r="L936" s="8"/>
      <c r="M936" s="8"/>
      <c r="N936" s="8"/>
      <c r="O936" s="8"/>
      <c r="P936" s="8"/>
      <c r="Q936" s="8"/>
      <c r="R936" s="8"/>
      <c r="S936" s="8"/>
      <c r="T936" s="8"/>
      <c r="U936" s="8"/>
      <c r="V936" s="8"/>
      <c r="W936" s="8"/>
    </row>
    <row r="937" spans="1:23" ht="12.75" x14ac:dyDescent="0.2">
      <c r="A937" s="8"/>
      <c r="B937" s="8"/>
      <c r="C937" s="8"/>
      <c r="D937" s="8"/>
      <c r="E937" s="8"/>
      <c r="F937" s="8"/>
      <c r="G937" s="8"/>
      <c r="H937" s="8"/>
      <c r="I937" s="8"/>
      <c r="J937" s="8"/>
      <c r="K937" s="8"/>
      <c r="L937" s="8"/>
      <c r="M937" s="8"/>
      <c r="N937" s="8"/>
      <c r="O937" s="8"/>
      <c r="P937" s="8"/>
      <c r="Q937" s="8"/>
      <c r="R937" s="8"/>
      <c r="S937" s="8"/>
      <c r="T937" s="8"/>
      <c r="U937" s="8"/>
      <c r="V937" s="8"/>
      <c r="W937" s="8"/>
    </row>
    <row r="938" spans="1:23" ht="12.75" x14ac:dyDescent="0.2">
      <c r="A938" s="8"/>
      <c r="B938" s="8"/>
      <c r="C938" s="8"/>
      <c r="D938" s="8"/>
      <c r="E938" s="8"/>
      <c r="F938" s="8"/>
      <c r="G938" s="8"/>
      <c r="H938" s="8"/>
      <c r="I938" s="8"/>
      <c r="J938" s="8"/>
      <c r="K938" s="8"/>
      <c r="L938" s="8"/>
      <c r="M938" s="8"/>
      <c r="N938" s="8"/>
      <c r="O938" s="8"/>
      <c r="P938" s="8"/>
      <c r="Q938" s="8"/>
      <c r="R938" s="8"/>
      <c r="S938" s="8"/>
      <c r="T938" s="8"/>
      <c r="U938" s="8"/>
      <c r="V938" s="8"/>
      <c r="W938" s="8"/>
    </row>
    <row r="939" spans="1:23" ht="12.75" x14ac:dyDescent="0.2">
      <c r="A939" s="8"/>
      <c r="B939" s="8"/>
      <c r="C939" s="8"/>
      <c r="D939" s="8"/>
      <c r="E939" s="8"/>
      <c r="F939" s="8"/>
      <c r="G939" s="8"/>
      <c r="H939" s="8"/>
      <c r="I939" s="8"/>
      <c r="J939" s="8"/>
      <c r="K939" s="8"/>
      <c r="L939" s="8"/>
      <c r="M939" s="8"/>
      <c r="N939" s="8"/>
      <c r="O939" s="8"/>
      <c r="P939" s="8"/>
      <c r="Q939" s="8"/>
      <c r="R939" s="8"/>
      <c r="S939" s="8"/>
      <c r="T939" s="8"/>
      <c r="U939" s="8"/>
      <c r="V939" s="8"/>
      <c r="W939" s="8"/>
    </row>
    <row r="940" spans="1:23" ht="12.75" x14ac:dyDescent="0.2">
      <c r="A940" s="8"/>
      <c r="B940" s="8"/>
      <c r="C940" s="8"/>
      <c r="D940" s="8"/>
      <c r="E940" s="8"/>
      <c r="F940" s="8"/>
      <c r="G940" s="8"/>
      <c r="H940" s="8"/>
      <c r="I940" s="8"/>
      <c r="J940" s="8"/>
      <c r="K940" s="8"/>
      <c r="L940" s="8"/>
      <c r="M940" s="8"/>
      <c r="N940" s="8"/>
      <c r="O940" s="8"/>
      <c r="P940" s="8"/>
      <c r="Q940" s="8"/>
      <c r="R940" s="8"/>
      <c r="S940" s="8"/>
      <c r="T940" s="8"/>
      <c r="U940" s="8"/>
      <c r="V940" s="8"/>
      <c r="W940" s="8"/>
    </row>
    <row r="941" spans="1:23" ht="12.75" x14ac:dyDescent="0.2">
      <c r="A941" s="8"/>
      <c r="B941" s="8"/>
      <c r="C941" s="8"/>
      <c r="D941" s="8"/>
      <c r="E941" s="8"/>
      <c r="F941" s="8"/>
      <c r="G941" s="8"/>
      <c r="H941" s="8"/>
      <c r="I941" s="8"/>
      <c r="J941" s="8"/>
      <c r="K941" s="8"/>
      <c r="L941" s="8"/>
      <c r="M941" s="8"/>
      <c r="N941" s="8"/>
      <c r="O941" s="8"/>
      <c r="P941" s="8"/>
      <c r="Q941" s="8"/>
      <c r="R941" s="8"/>
      <c r="S941" s="8"/>
      <c r="T941" s="8"/>
      <c r="U941" s="8"/>
      <c r="V941" s="8"/>
      <c r="W941" s="8"/>
    </row>
    <row r="942" spans="1:23" ht="12.75" x14ac:dyDescent="0.2">
      <c r="A942" s="8"/>
      <c r="B942" s="8"/>
      <c r="C942" s="8"/>
      <c r="D942" s="8"/>
      <c r="E942" s="8"/>
      <c r="F942" s="8"/>
      <c r="G942" s="8"/>
      <c r="H942" s="8"/>
      <c r="I942" s="8"/>
      <c r="J942" s="8"/>
      <c r="K942" s="8"/>
      <c r="L942" s="8"/>
      <c r="M942" s="8"/>
      <c r="N942" s="8"/>
      <c r="O942" s="8"/>
      <c r="P942" s="8"/>
      <c r="Q942" s="8"/>
      <c r="R942" s="8"/>
      <c r="S942" s="8"/>
      <c r="T942" s="8"/>
      <c r="U942" s="8"/>
      <c r="V942" s="8"/>
      <c r="W942" s="8"/>
    </row>
    <row r="943" spans="1:23" ht="12.75" x14ac:dyDescent="0.2">
      <c r="A943" s="8"/>
      <c r="B943" s="8"/>
      <c r="C943" s="8"/>
      <c r="D943" s="8"/>
      <c r="E943" s="8"/>
      <c r="F943" s="8"/>
      <c r="G943" s="8"/>
      <c r="H943" s="8"/>
      <c r="I943" s="8"/>
      <c r="J943" s="8"/>
      <c r="K943" s="8"/>
      <c r="L943" s="8"/>
      <c r="M943" s="8"/>
      <c r="N943" s="8"/>
      <c r="O943" s="8"/>
      <c r="P943" s="8"/>
      <c r="Q943" s="8"/>
      <c r="R943" s="8"/>
      <c r="S943" s="8"/>
      <c r="T943" s="8"/>
      <c r="U943" s="8"/>
      <c r="V943" s="8"/>
      <c r="W943" s="8"/>
    </row>
    <row r="944" spans="1:23" ht="12.75" x14ac:dyDescent="0.2">
      <c r="A944" s="8"/>
      <c r="B944" s="8"/>
      <c r="C944" s="8"/>
      <c r="D944" s="8"/>
      <c r="E944" s="8"/>
      <c r="F944" s="8"/>
      <c r="G944" s="8"/>
      <c r="H944" s="8"/>
      <c r="I944" s="8"/>
      <c r="J944" s="8"/>
      <c r="K944" s="8"/>
      <c r="L944" s="8"/>
      <c r="M944" s="8"/>
      <c r="N944" s="8"/>
      <c r="O944" s="8"/>
      <c r="P944" s="8"/>
      <c r="Q944" s="8"/>
      <c r="R944" s="8"/>
      <c r="S944" s="8"/>
      <c r="T944" s="8"/>
      <c r="U944" s="8"/>
      <c r="V944" s="8"/>
      <c r="W944" s="8"/>
    </row>
    <row r="945" spans="1:23" ht="12.75" x14ac:dyDescent="0.2">
      <c r="A945" s="8"/>
      <c r="B945" s="8"/>
      <c r="C945" s="8"/>
      <c r="D945" s="8"/>
      <c r="E945" s="8"/>
      <c r="F945" s="8"/>
      <c r="G945" s="8"/>
      <c r="H945" s="8"/>
      <c r="I945" s="8"/>
      <c r="J945" s="8"/>
      <c r="K945" s="8"/>
      <c r="L945" s="8"/>
      <c r="M945" s="8"/>
      <c r="N945" s="8"/>
      <c r="O945" s="8"/>
      <c r="P945" s="8"/>
      <c r="Q945" s="8"/>
      <c r="R945" s="8"/>
      <c r="S945" s="8"/>
      <c r="T945" s="8"/>
      <c r="U945" s="8"/>
      <c r="V945" s="8"/>
      <c r="W945" s="8"/>
    </row>
    <row r="946" spans="1:23" ht="12.75" x14ac:dyDescent="0.2">
      <c r="A946" s="8"/>
      <c r="B946" s="8"/>
      <c r="C946" s="8"/>
      <c r="D946" s="8"/>
      <c r="E946" s="8"/>
      <c r="F946" s="8"/>
      <c r="G946" s="8"/>
      <c r="H946" s="8"/>
      <c r="I946" s="8"/>
      <c r="J946" s="8"/>
      <c r="K946" s="8"/>
      <c r="L946" s="8"/>
      <c r="M946" s="8"/>
      <c r="N946" s="8"/>
      <c r="O946" s="8"/>
      <c r="P946" s="8"/>
      <c r="Q946" s="8"/>
      <c r="R946" s="8"/>
      <c r="S946" s="8"/>
      <c r="T946" s="8"/>
      <c r="U946" s="8"/>
      <c r="V946" s="8"/>
      <c r="W946" s="8"/>
    </row>
    <row r="947" spans="1:23" ht="12.75" x14ac:dyDescent="0.2">
      <c r="A947" s="8"/>
      <c r="B947" s="8"/>
      <c r="C947" s="8"/>
      <c r="D947" s="8"/>
      <c r="E947" s="8"/>
      <c r="F947" s="8"/>
      <c r="G947" s="8"/>
      <c r="H947" s="8"/>
      <c r="I947" s="8"/>
      <c r="J947" s="8"/>
      <c r="K947" s="8"/>
      <c r="L947" s="8"/>
      <c r="M947" s="8"/>
      <c r="N947" s="8"/>
      <c r="O947" s="8"/>
      <c r="P947" s="8"/>
      <c r="Q947" s="8"/>
      <c r="R947" s="8"/>
      <c r="S947" s="8"/>
      <c r="T947" s="8"/>
      <c r="U947" s="8"/>
      <c r="V947" s="8"/>
      <c r="W947" s="8"/>
    </row>
    <row r="948" spans="1:23" ht="12.75" x14ac:dyDescent="0.2">
      <c r="A948" s="8"/>
      <c r="B948" s="8"/>
      <c r="C948" s="8"/>
      <c r="D948" s="8"/>
      <c r="E948" s="8"/>
      <c r="F948" s="8"/>
      <c r="G948" s="8"/>
      <c r="H948" s="8"/>
      <c r="I948" s="8"/>
      <c r="J948" s="8"/>
      <c r="K948" s="8"/>
      <c r="L948" s="8"/>
      <c r="M948" s="8"/>
      <c r="N948" s="8"/>
      <c r="O948" s="8"/>
      <c r="P948" s="8"/>
      <c r="Q948" s="8"/>
      <c r="R948" s="8"/>
      <c r="S948" s="8"/>
      <c r="T948" s="8"/>
      <c r="U948" s="8"/>
      <c r="V948" s="8"/>
      <c r="W948" s="8"/>
    </row>
    <row r="949" spans="1:23" ht="12.75" x14ac:dyDescent="0.2">
      <c r="A949" s="8"/>
      <c r="B949" s="8"/>
      <c r="C949" s="8"/>
      <c r="D949" s="8"/>
      <c r="E949" s="8"/>
      <c r="F949" s="8"/>
      <c r="G949" s="8"/>
      <c r="H949" s="8"/>
      <c r="I949" s="8"/>
      <c r="J949" s="8"/>
      <c r="K949" s="8"/>
      <c r="L949" s="8"/>
      <c r="M949" s="8"/>
      <c r="N949" s="8"/>
      <c r="O949" s="8"/>
      <c r="P949" s="8"/>
      <c r="Q949" s="8"/>
      <c r="R949" s="8"/>
      <c r="S949" s="8"/>
      <c r="T949" s="8"/>
      <c r="U949" s="8"/>
      <c r="V949" s="8"/>
      <c r="W949" s="8"/>
    </row>
    <row r="950" spans="1:23" ht="12.75" x14ac:dyDescent="0.2">
      <c r="A950" s="8"/>
      <c r="B950" s="8"/>
      <c r="C950" s="8"/>
      <c r="D950" s="8"/>
      <c r="E950" s="8"/>
      <c r="F950" s="8"/>
      <c r="G950" s="8"/>
      <c r="H950" s="8"/>
      <c r="I950" s="8"/>
      <c r="J950" s="8"/>
      <c r="K950" s="8"/>
      <c r="L950" s="8"/>
      <c r="M950" s="8"/>
      <c r="N950" s="8"/>
      <c r="O950" s="8"/>
      <c r="P950" s="8"/>
      <c r="Q950" s="8"/>
      <c r="R950" s="8"/>
      <c r="S950" s="8"/>
      <c r="T950" s="8"/>
      <c r="U950" s="8"/>
      <c r="V950" s="8"/>
      <c r="W950" s="8"/>
    </row>
    <row r="951" spans="1:23" ht="12.75" x14ac:dyDescent="0.2">
      <c r="A951" s="8"/>
      <c r="B951" s="8"/>
      <c r="C951" s="8"/>
      <c r="D951" s="8"/>
      <c r="E951" s="8"/>
      <c r="F951" s="8"/>
      <c r="G951" s="8"/>
      <c r="H951" s="8"/>
      <c r="I951" s="8"/>
      <c r="J951" s="8"/>
      <c r="K951" s="8"/>
      <c r="L951" s="8"/>
      <c r="M951" s="8"/>
      <c r="N951" s="8"/>
      <c r="O951" s="8"/>
      <c r="P951" s="8"/>
      <c r="Q951" s="8"/>
      <c r="R951" s="8"/>
      <c r="S951" s="8"/>
      <c r="T951" s="8"/>
      <c r="U951" s="8"/>
      <c r="V951" s="8"/>
      <c r="W951" s="8"/>
    </row>
    <row r="952" spans="1:23" ht="12.75" x14ac:dyDescent="0.2">
      <c r="A952" s="8"/>
      <c r="B952" s="8"/>
      <c r="C952" s="8"/>
      <c r="D952" s="8"/>
      <c r="E952" s="8"/>
      <c r="F952" s="8"/>
      <c r="G952" s="8"/>
      <c r="H952" s="8"/>
      <c r="I952" s="8"/>
      <c r="J952" s="8"/>
      <c r="K952" s="8"/>
      <c r="L952" s="8"/>
      <c r="M952" s="8"/>
      <c r="N952" s="8"/>
      <c r="O952" s="8"/>
      <c r="P952" s="8"/>
      <c r="Q952" s="8"/>
      <c r="R952" s="8"/>
      <c r="S952" s="8"/>
      <c r="T952" s="8"/>
      <c r="U952" s="8"/>
      <c r="V952" s="8"/>
      <c r="W952" s="8"/>
    </row>
    <row r="953" spans="1:23" ht="12.75" x14ac:dyDescent="0.2">
      <c r="A953" s="8"/>
      <c r="B953" s="8"/>
      <c r="C953" s="8"/>
      <c r="D953" s="8"/>
      <c r="E953" s="8"/>
      <c r="F953" s="8"/>
      <c r="G953" s="8"/>
      <c r="H953" s="8"/>
      <c r="I953" s="8"/>
      <c r="J953" s="8"/>
      <c r="K953" s="8"/>
      <c r="L953" s="8"/>
      <c r="M953" s="8"/>
      <c r="N953" s="8"/>
      <c r="O953" s="8"/>
      <c r="P953" s="8"/>
      <c r="Q953" s="8"/>
      <c r="R953" s="8"/>
      <c r="S953" s="8"/>
      <c r="T953" s="8"/>
      <c r="U953" s="8"/>
      <c r="V953" s="8"/>
      <c r="W953" s="8"/>
    </row>
    <row r="954" spans="1:23" ht="12.75" x14ac:dyDescent="0.2">
      <c r="A954" s="8"/>
      <c r="B954" s="8"/>
      <c r="C954" s="8"/>
      <c r="D954" s="8"/>
      <c r="E954" s="8"/>
      <c r="F954" s="8"/>
      <c r="G954" s="8"/>
      <c r="H954" s="8"/>
      <c r="I954" s="8"/>
      <c r="J954" s="8"/>
      <c r="K954" s="8"/>
      <c r="L954" s="8"/>
      <c r="M954" s="8"/>
      <c r="N954" s="8"/>
      <c r="O954" s="8"/>
      <c r="P954" s="8"/>
      <c r="Q954" s="8"/>
      <c r="R954" s="8"/>
      <c r="S954" s="8"/>
      <c r="T954" s="8"/>
      <c r="U954" s="8"/>
      <c r="V954" s="8"/>
      <c r="W954" s="8"/>
    </row>
    <row r="955" spans="1:23" ht="12.75" x14ac:dyDescent="0.2">
      <c r="A955" s="8"/>
      <c r="B955" s="8"/>
      <c r="C955" s="8"/>
      <c r="D955" s="8"/>
      <c r="E955" s="8"/>
      <c r="F955" s="8"/>
      <c r="G955" s="8"/>
      <c r="H955" s="8"/>
      <c r="I955" s="8"/>
      <c r="J955" s="8"/>
      <c r="K955" s="8"/>
      <c r="L955" s="8"/>
      <c r="M955" s="8"/>
      <c r="N955" s="8"/>
      <c r="O955" s="8"/>
      <c r="P955" s="8"/>
      <c r="Q955" s="8"/>
      <c r="R955" s="8"/>
      <c r="S955" s="8"/>
      <c r="T955" s="8"/>
      <c r="U955" s="8"/>
      <c r="V955" s="8"/>
      <c r="W955" s="8"/>
    </row>
    <row r="956" spans="1:23" ht="12.75" x14ac:dyDescent="0.2">
      <c r="A956" s="8"/>
      <c r="B956" s="8"/>
      <c r="C956" s="8"/>
      <c r="D956" s="8"/>
      <c r="E956" s="8"/>
      <c r="F956" s="8"/>
      <c r="G956" s="8"/>
      <c r="H956" s="8"/>
      <c r="I956" s="8"/>
      <c r="J956" s="8"/>
      <c r="K956" s="8"/>
      <c r="L956" s="8"/>
      <c r="M956" s="8"/>
      <c r="N956" s="8"/>
      <c r="O956" s="8"/>
      <c r="P956" s="8"/>
      <c r="Q956" s="8"/>
      <c r="R956" s="8"/>
      <c r="S956" s="8"/>
      <c r="T956" s="8"/>
      <c r="U956" s="8"/>
      <c r="V956" s="8"/>
      <c r="W956" s="8"/>
    </row>
    <row r="957" spans="1:23" ht="12.75" x14ac:dyDescent="0.2">
      <c r="A957" s="8"/>
      <c r="B957" s="8"/>
      <c r="C957" s="8"/>
      <c r="D957" s="8"/>
      <c r="E957" s="8"/>
      <c r="F957" s="8"/>
      <c r="G957" s="8"/>
      <c r="H957" s="8"/>
      <c r="I957" s="8"/>
      <c r="J957" s="8"/>
      <c r="K957" s="8"/>
      <c r="L957" s="8"/>
      <c r="M957" s="8"/>
      <c r="N957" s="8"/>
      <c r="O957" s="8"/>
      <c r="P957" s="8"/>
      <c r="Q957" s="8"/>
      <c r="R957" s="8"/>
      <c r="S957" s="8"/>
      <c r="T957" s="8"/>
      <c r="U957" s="8"/>
      <c r="V957" s="8"/>
      <c r="W957" s="8"/>
    </row>
    <row r="958" spans="1:23" ht="12.75" x14ac:dyDescent="0.2">
      <c r="A958" s="8"/>
      <c r="B958" s="8"/>
      <c r="C958" s="8"/>
      <c r="D958" s="8"/>
      <c r="E958" s="8"/>
      <c r="F958" s="8"/>
      <c r="G958" s="8"/>
      <c r="H958" s="8"/>
      <c r="I958" s="8"/>
      <c r="J958" s="8"/>
      <c r="K958" s="8"/>
      <c r="L958" s="8"/>
      <c r="M958" s="8"/>
      <c r="N958" s="8"/>
      <c r="O958" s="8"/>
      <c r="P958" s="8"/>
      <c r="Q958" s="8"/>
      <c r="R958" s="8"/>
      <c r="S958" s="8"/>
      <c r="T958" s="8"/>
      <c r="U958" s="8"/>
      <c r="V958" s="8"/>
      <c r="W958" s="8"/>
    </row>
    <row r="959" spans="1:23" ht="12.75" x14ac:dyDescent="0.2">
      <c r="A959" s="8"/>
      <c r="B959" s="8"/>
      <c r="C959" s="8"/>
      <c r="D959" s="8"/>
      <c r="E959" s="8"/>
      <c r="F959" s="8"/>
      <c r="G959" s="8"/>
      <c r="H959" s="8"/>
      <c r="I959" s="8"/>
      <c r="J959" s="8"/>
      <c r="K959" s="8"/>
      <c r="L959" s="8"/>
      <c r="M959" s="8"/>
      <c r="N959" s="8"/>
      <c r="O959" s="8"/>
      <c r="P959" s="8"/>
      <c r="Q959" s="8"/>
      <c r="R959" s="8"/>
      <c r="S959" s="8"/>
      <c r="T959" s="8"/>
      <c r="U959" s="8"/>
      <c r="V959" s="8"/>
      <c r="W959" s="8"/>
    </row>
    <row r="960" spans="1:23" ht="12.75" x14ac:dyDescent="0.2">
      <c r="A960" s="8"/>
      <c r="B960" s="8"/>
      <c r="C960" s="8"/>
      <c r="D960" s="8"/>
      <c r="E960" s="8"/>
      <c r="F960" s="8"/>
      <c r="G960" s="8"/>
      <c r="H960" s="8"/>
      <c r="I960" s="8"/>
      <c r="J960" s="8"/>
      <c r="K960" s="8"/>
      <c r="L960" s="8"/>
      <c r="M960" s="8"/>
      <c r="N960" s="8"/>
      <c r="O960" s="8"/>
      <c r="P960" s="8"/>
      <c r="Q960" s="8"/>
      <c r="R960" s="8"/>
      <c r="S960" s="8"/>
      <c r="T960" s="8"/>
      <c r="U960" s="8"/>
      <c r="V960" s="8"/>
      <c r="W960" s="8"/>
    </row>
    <row r="961" spans="1:23" ht="12.75" x14ac:dyDescent="0.2">
      <c r="A961" s="8"/>
      <c r="B961" s="8"/>
      <c r="C961" s="8"/>
      <c r="D961" s="8"/>
      <c r="E961" s="8"/>
      <c r="F961" s="8"/>
      <c r="G961" s="8"/>
      <c r="H961" s="8"/>
      <c r="I961" s="8"/>
      <c r="J961" s="8"/>
      <c r="K961" s="8"/>
      <c r="L961" s="8"/>
      <c r="M961" s="8"/>
      <c r="N961" s="8"/>
      <c r="O961" s="8"/>
      <c r="P961" s="8"/>
      <c r="Q961" s="8"/>
      <c r="R961" s="8"/>
      <c r="S961" s="8"/>
      <c r="T961" s="8"/>
      <c r="U961" s="8"/>
      <c r="V961" s="8"/>
      <c r="W961" s="8"/>
    </row>
    <row r="962" spans="1:23" ht="12.75" x14ac:dyDescent="0.2">
      <c r="A962" s="8"/>
      <c r="B962" s="8"/>
      <c r="C962" s="8"/>
      <c r="D962" s="8"/>
      <c r="E962" s="8"/>
      <c r="F962" s="8"/>
      <c r="G962" s="8"/>
      <c r="H962" s="8"/>
      <c r="I962" s="8"/>
      <c r="J962" s="8"/>
      <c r="K962" s="8"/>
      <c r="L962" s="8"/>
      <c r="M962" s="8"/>
      <c r="N962" s="8"/>
      <c r="O962" s="8"/>
      <c r="P962" s="8"/>
      <c r="Q962" s="8"/>
      <c r="R962" s="8"/>
      <c r="S962" s="8"/>
      <c r="T962" s="8"/>
      <c r="U962" s="8"/>
      <c r="V962" s="8"/>
      <c r="W962" s="8"/>
    </row>
    <row r="963" spans="1:23" ht="12.75" x14ac:dyDescent="0.2">
      <c r="A963" s="8"/>
      <c r="B963" s="8"/>
      <c r="C963" s="8"/>
      <c r="D963" s="8"/>
      <c r="E963" s="8"/>
      <c r="F963" s="8"/>
      <c r="G963" s="8"/>
      <c r="H963" s="8"/>
      <c r="I963" s="8"/>
      <c r="J963" s="8"/>
      <c r="K963" s="8"/>
      <c r="L963" s="8"/>
      <c r="M963" s="8"/>
      <c r="N963" s="8"/>
      <c r="O963" s="8"/>
      <c r="P963" s="8"/>
      <c r="Q963" s="8"/>
      <c r="R963" s="8"/>
      <c r="S963" s="8"/>
      <c r="T963" s="8"/>
      <c r="U963" s="8"/>
      <c r="V963" s="8"/>
      <c r="W963" s="8"/>
    </row>
    <row r="964" spans="1:23" ht="12.75" x14ac:dyDescent="0.2">
      <c r="A964" s="8"/>
      <c r="B964" s="8"/>
      <c r="C964" s="8"/>
      <c r="D964" s="8"/>
      <c r="E964" s="8"/>
      <c r="F964" s="8"/>
      <c r="G964" s="8"/>
      <c r="H964" s="8"/>
      <c r="I964" s="8"/>
      <c r="J964" s="8"/>
      <c r="K964" s="8"/>
      <c r="L964" s="8"/>
      <c r="M964" s="8"/>
      <c r="N964" s="8"/>
      <c r="O964" s="8"/>
      <c r="P964" s="8"/>
      <c r="Q964" s="8"/>
      <c r="R964" s="8"/>
      <c r="S964" s="8"/>
      <c r="T964" s="8"/>
      <c r="U964" s="8"/>
      <c r="V964" s="8"/>
      <c r="W964" s="8"/>
    </row>
    <row r="965" spans="1:23" ht="12.75" x14ac:dyDescent="0.2">
      <c r="A965" s="8"/>
      <c r="B965" s="8"/>
      <c r="C965" s="8"/>
      <c r="D965" s="8"/>
      <c r="E965" s="8"/>
      <c r="F965" s="8"/>
      <c r="G965" s="8"/>
      <c r="H965" s="8"/>
      <c r="I965" s="8"/>
      <c r="J965" s="8"/>
      <c r="K965" s="8"/>
      <c r="L965" s="8"/>
      <c r="M965" s="8"/>
      <c r="N965" s="8"/>
      <c r="O965" s="8"/>
      <c r="P965" s="8"/>
      <c r="Q965" s="8"/>
      <c r="R965" s="8"/>
      <c r="S965" s="8"/>
      <c r="T965" s="8"/>
      <c r="U965" s="8"/>
      <c r="V965" s="8"/>
      <c r="W965" s="8"/>
    </row>
    <row r="966" spans="1:23" ht="12.75" x14ac:dyDescent="0.2">
      <c r="A966" s="8"/>
      <c r="B966" s="8"/>
      <c r="C966" s="8"/>
      <c r="D966" s="8"/>
      <c r="E966" s="8"/>
      <c r="F966" s="8"/>
      <c r="G966" s="8"/>
      <c r="H966" s="8"/>
      <c r="I966" s="8"/>
      <c r="J966" s="8"/>
      <c r="K966" s="8"/>
      <c r="L966" s="8"/>
      <c r="M966" s="8"/>
      <c r="N966" s="8"/>
      <c r="O966" s="8"/>
      <c r="P966" s="8"/>
      <c r="Q966" s="8"/>
      <c r="R966" s="8"/>
      <c r="S966" s="8"/>
      <c r="T966" s="8"/>
      <c r="U966" s="8"/>
      <c r="V966" s="8"/>
      <c r="W966" s="8"/>
    </row>
    <row r="967" spans="1:23" ht="12.75" x14ac:dyDescent="0.2">
      <c r="A967" s="8"/>
      <c r="B967" s="8"/>
      <c r="C967" s="8"/>
      <c r="D967" s="8"/>
      <c r="E967" s="8"/>
      <c r="F967" s="8"/>
      <c r="G967" s="8"/>
      <c r="H967" s="8"/>
      <c r="I967" s="8"/>
      <c r="J967" s="8"/>
      <c r="K967" s="8"/>
      <c r="L967" s="8"/>
      <c r="M967" s="8"/>
      <c r="N967" s="8"/>
      <c r="O967" s="8"/>
      <c r="P967" s="8"/>
      <c r="Q967" s="8"/>
      <c r="R967" s="8"/>
      <c r="S967" s="8"/>
      <c r="T967" s="8"/>
      <c r="U967" s="8"/>
      <c r="V967" s="8"/>
      <c r="W967" s="8"/>
    </row>
    <row r="968" spans="1:23" ht="12.75" x14ac:dyDescent="0.2">
      <c r="A968" s="8"/>
      <c r="B968" s="8"/>
      <c r="C968" s="8"/>
      <c r="D968" s="8"/>
      <c r="E968" s="8"/>
      <c r="F968" s="8"/>
      <c r="G968" s="8"/>
      <c r="H968" s="8"/>
      <c r="I968" s="8"/>
      <c r="J968" s="8"/>
      <c r="K968" s="8"/>
      <c r="L968" s="8"/>
      <c r="M968" s="8"/>
      <c r="N968" s="8"/>
      <c r="O968" s="8"/>
      <c r="P968" s="8"/>
      <c r="Q968" s="8"/>
      <c r="R968" s="8"/>
      <c r="S968" s="8"/>
      <c r="T968" s="8"/>
      <c r="U968" s="8"/>
      <c r="V968" s="8"/>
      <c r="W968" s="8"/>
    </row>
    <row r="969" spans="1:23" ht="12.75" x14ac:dyDescent="0.2">
      <c r="A969" s="8"/>
      <c r="B969" s="8"/>
      <c r="C969" s="8"/>
      <c r="D969" s="8"/>
      <c r="E969" s="8"/>
      <c r="F969" s="8"/>
      <c r="G969" s="8"/>
      <c r="H969" s="8"/>
      <c r="I969" s="8"/>
      <c r="J969" s="8"/>
      <c r="K969" s="8"/>
      <c r="L969" s="8"/>
      <c r="M969" s="8"/>
      <c r="N969" s="8"/>
      <c r="O969" s="8"/>
      <c r="P969" s="8"/>
      <c r="Q969" s="8"/>
      <c r="R969" s="8"/>
      <c r="S969" s="8"/>
      <c r="T969" s="8"/>
      <c r="U969" s="8"/>
      <c r="V969" s="8"/>
      <c r="W969" s="8"/>
    </row>
    <row r="970" spans="1:23" ht="12.75" x14ac:dyDescent="0.2">
      <c r="A970" s="8"/>
      <c r="B970" s="8"/>
      <c r="C970" s="8"/>
      <c r="D970" s="8"/>
      <c r="E970" s="8"/>
      <c r="F970" s="8"/>
      <c r="G970" s="8"/>
      <c r="H970" s="8"/>
      <c r="I970" s="8"/>
      <c r="J970" s="8"/>
      <c r="K970" s="8"/>
      <c r="L970" s="8"/>
      <c r="M970" s="8"/>
      <c r="N970" s="8"/>
      <c r="O970" s="8"/>
      <c r="P970" s="8"/>
      <c r="Q970" s="8"/>
      <c r="R970" s="8"/>
      <c r="S970" s="8"/>
      <c r="T970" s="8"/>
      <c r="U970" s="8"/>
      <c r="V970" s="8"/>
      <c r="W970" s="8"/>
    </row>
    <row r="971" spans="1:23" ht="12.75" x14ac:dyDescent="0.2">
      <c r="A971" s="8"/>
      <c r="B971" s="8"/>
      <c r="C971" s="8"/>
      <c r="D971" s="8"/>
      <c r="E971" s="8"/>
      <c r="F971" s="8"/>
      <c r="G971" s="8"/>
      <c r="H971" s="8"/>
      <c r="I971" s="8"/>
      <c r="J971" s="8"/>
      <c r="K971" s="8"/>
      <c r="L971" s="8"/>
      <c r="M971" s="8"/>
      <c r="N971" s="8"/>
      <c r="O971" s="8"/>
      <c r="P971" s="8"/>
      <c r="Q971" s="8"/>
      <c r="R971" s="8"/>
      <c r="S971" s="8"/>
      <c r="T971" s="8"/>
      <c r="U971" s="8"/>
      <c r="V971" s="8"/>
      <c r="W971" s="8"/>
    </row>
    <row r="972" spans="1:23" ht="12.75" x14ac:dyDescent="0.2">
      <c r="A972" s="8"/>
      <c r="B972" s="8"/>
      <c r="C972" s="8"/>
      <c r="D972" s="8"/>
      <c r="E972" s="8"/>
      <c r="F972" s="8"/>
      <c r="G972" s="8"/>
      <c r="H972" s="8"/>
      <c r="I972" s="8"/>
      <c r="J972" s="8"/>
      <c r="K972" s="8"/>
      <c r="L972" s="8"/>
      <c r="M972" s="8"/>
      <c r="N972" s="8"/>
      <c r="O972" s="8"/>
      <c r="P972" s="8"/>
      <c r="Q972" s="8"/>
      <c r="R972" s="8"/>
      <c r="S972" s="8"/>
      <c r="T972" s="8"/>
      <c r="U972" s="8"/>
      <c r="V972" s="8"/>
      <c r="W972" s="8"/>
    </row>
    <row r="973" spans="1:23" ht="12.75" x14ac:dyDescent="0.2">
      <c r="A973" s="8"/>
      <c r="B973" s="8"/>
      <c r="C973" s="8"/>
      <c r="D973" s="8"/>
      <c r="E973" s="8"/>
      <c r="F973" s="8"/>
      <c r="G973" s="8"/>
      <c r="H973" s="8"/>
      <c r="I973" s="8"/>
      <c r="J973" s="8"/>
      <c r="K973" s="8"/>
      <c r="L973" s="8"/>
      <c r="M973" s="8"/>
      <c r="N973" s="8"/>
      <c r="O973" s="8"/>
      <c r="P973" s="8"/>
      <c r="Q973" s="8"/>
      <c r="R973" s="8"/>
      <c r="S973" s="8"/>
      <c r="T973" s="8"/>
      <c r="U973" s="8"/>
      <c r="V973" s="8"/>
      <c r="W973" s="8"/>
    </row>
    <row r="974" spans="1:23" ht="12.75" x14ac:dyDescent="0.2">
      <c r="A974" s="8"/>
      <c r="B974" s="8"/>
      <c r="C974" s="8"/>
      <c r="D974" s="8"/>
      <c r="E974" s="8"/>
      <c r="F974" s="8"/>
      <c r="G974" s="8"/>
      <c r="H974" s="8"/>
      <c r="I974" s="8"/>
      <c r="J974" s="8"/>
      <c r="K974" s="8"/>
      <c r="L974" s="8"/>
      <c r="M974" s="8"/>
      <c r="N974" s="8"/>
      <c r="O974" s="8"/>
      <c r="P974" s="8"/>
      <c r="Q974" s="8"/>
      <c r="R974" s="8"/>
      <c r="S974" s="8"/>
      <c r="T974" s="8"/>
      <c r="U974" s="8"/>
      <c r="V974" s="8"/>
      <c r="W974" s="8"/>
    </row>
    <row r="975" spans="1:23" ht="12.75" x14ac:dyDescent="0.2">
      <c r="A975" s="8"/>
      <c r="B975" s="8"/>
      <c r="C975" s="8"/>
      <c r="D975" s="8"/>
      <c r="E975" s="8"/>
      <c r="F975" s="8"/>
      <c r="G975" s="8"/>
      <c r="H975" s="8"/>
      <c r="I975" s="8"/>
      <c r="J975" s="8"/>
      <c r="K975" s="8"/>
      <c r="L975" s="8"/>
      <c r="M975" s="8"/>
      <c r="N975" s="8"/>
      <c r="O975" s="8"/>
      <c r="P975" s="8"/>
      <c r="Q975" s="8"/>
      <c r="R975" s="8"/>
      <c r="S975" s="8"/>
      <c r="T975" s="8"/>
      <c r="U975" s="8"/>
      <c r="V975" s="8"/>
      <c r="W975" s="8"/>
    </row>
    <row r="976" spans="1:23" ht="12.75" x14ac:dyDescent="0.2">
      <c r="A976" s="8"/>
      <c r="B976" s="8"/>
      <c r="C976" s="8"/>
      <c r="D976" s="8"/>
      <c r="E976" s="8"/>
      <c r="F976" s="8"/>
      <c r="G976" s="8"/>
      <c r="H976" s="8"/>
      <c r="I976" s="8"/>
      <c r="J976" s="8"/>
      <c r="K976" s="8"/>
      <c r="L976" s="8"/>
      <c r="M976" s="8"/>
      <c r="N976" s="8"/>
      <c r="O976" s="8"/>
      <c r="P976" s="8"/>
      <c r="Q976" s="8"/>
      <c r="R976" s="8"/>
      <c r="S976" s="8"/>
      <c r="T976" s="8"/>
      <c r="U976" s="8"/>
      <c r="V976" s="8"/>
      <c r="W976" s="8"/>
    </row>
    <row r="977" spans="1:23" ht="12.75" x14ac:dyDescent="0.2">
      <c r="A977" s="8"/>
      <c r="B977" s="8"/>
      <c r="C977" s="8"/>
      <c r="D977" s="8"/>
      <c r="E977" s="8"/>
      <c r="F977" s="8"/>
      <c r="G977" s="8"/>
      <c r="H977" s="8"/>
      <c r="I977" s="8"/>
      <c r="J977" s="8"/>
      <c r="K977" s="8"/>
      <c r="L977" s="8"/>
      <c r="M977" s="8"/>
      <c r="N977" s="8"/>
      <c r="O977" s="8"/>
      <c r="P977" s="8"/>
      <c r="Q977" s="8"/>
      <c r="R977" s="8"/>
      <c r="S977" s="8"/>
      <c r="T977" s="8"/>
      <c r="U977" s="8"/>
      <c r="V977" s="8"/>
      <c r="W977" s="8"/>
    </row>
    <row r="978" spans="1:23" ht="12.75" x14ac:dyDescent="0.2">
      <c r="A978" s="8"/>
      <c r="B978" s="8"/>
      <c r="C978" s="8"/>
      <c r="D978" s="8"/>
      <c r="E978" s="8"/>
      <c r="F978" s="8"/>
      <c r="G978" s="8"/>
      <c r="H978" s="8"/>
      <c r="I978" s="8"/>
      <c r="J978" s="8"/>
      <c r="K978" s="8"/>
      <c r="L978" s="8"/>
      <c r="M978" s="8"/>
      <c r="N978" s="8"/>
      <c r="O978" s="8"/>
      <c r="P978" s="8"/>
      <c r="Q978" s="8"/>
      <c r="R978" s="8"/>
      <c r="S978" s="8"/>
      <c r="T978" s="8"/>
      <c r="U978" s="8"/>
      <c r="V978" s="8"/>
      <c r="W978" s="8"/>
    </row>
    <row r="979" spans="1:23" ht="12.75" x14ac:dyDescent="0.2">
      <c r="A979" s="8"/>
      <c r="B979" s="8"/>
      <c r="C979" s="8"/>
      <c r="D979" s="8"/>
      <c r="E979" s="8"/>
      <c r="F979" s="8"/>
      <c r="G979" s="8"/>
      <c r="H979" s="8"/>
      <c r="I979" s="8"/>
      <c r="J979" s="8"/>
      <c r="K979" s="8"/>
      <c r="L979" s="8"/>
      <c r="M979" s="8"/>
      <c r="N979" s="8"/>
      <c r="O979" s="8"/>
      <c r="P979" s="8"/>
      <c r="Q979" s="8"/>
      <c r="R979" s="8"/>
      <c r="S979" s="8"/>
      <c r="T979" s="8"/>
      <c r="U979" s="8"/>
      <c r="V979" s="8"/>
      <c r="W979" s="8"/>
    </row>
    <row r="980" spans="1:23" ht="12.75" x14ac:dyDescent="0.2">
      <c r="A980" s="8"/>
      <c r="B980" s="8"/>
      <c r="C980" s="8"/>
      <c r="D980" s="8"/>
      <c r="E980" s="8"/>
      <c r="F980" s="8"/>
      <c r="G980" s="8"/>
      <c r="H980" s="8"/>
      <c r="I980" s="8"/>
      <c r="J980" s="8"/>
      <c r="K980" s="8"/>
      <c r="L980" s="8"/>
      <c r="M980" s="8"/>
      <c r="N980" s="8"/>
      <c r="O980" s="8"/>
      <c r="P980" s="8"/>
      <c r="Q980" s="8"/>
      <c r="R980" s="8"/>
      <c r="S980" s="8"/>
      <c r="T980" s="8"/>
      <c r="U980" s="8"/>
      <c r="V980" s="8"/>
      <c r="W980" s="8"/>
    </row>
    <row r="981" spans="1:23" ht="12.75" x14ac:dyDescent="0.2">
      <c r="A981" s="8"/>
      <c r="B981" s="8"/>
      <c r="C981" s="8"/>
      <c r="D981" s="8"/>
      <c r="E981" s="8"/>
      <c r="F981" s="8"/>
      <c r="G981" s="8"/>
      <c r="H981" s="8"/>
      <c r="I981" s="8"/>
      <c r="J981" s="8"/>
      <c r="K981" s="8"/>
      <c r="L981" s="8"/>
      <c r="M981" s="8"/>
      <c r="N981" s="8"/>
      <c r="O981" s="8"/>
      <c r="P981" s="8"/>
      <c r="Q981" s="8"/>
      <c r="R981" s="8"/>
      <c r="S981" s="8"/>
      <c r="T981" s="8"/>
      <c r="U981" s="8"/>
      <c r="V981" s="8"/>
      <c r="W981" s="8"/>
    </row>
    <row r="982" spans="1:23" ht="12.75" x14ac:dyDescent="0.2">
      <c r="A982" s="8"/>
      <c r="B982" s="8"/>
      <c r="C982" s="8"/>
      <c r="D982" s="8"/>
      <c r="E982" s="8"/>
      <c r="F982" s="8"/>
      <c r="G982" s="8"/>
      <c r="H982" s="8"/>
      <c r="I982" s="8"/>
      <c r="J982" s="8"/>
      <c r="K982" s="8"/>
      <c r="L982" s="8"/>
      <c r="M982" s="8"/>
      <c r="N982" s="8"/>
      <c r="O982" s="8"/>
      <c r="P982" s="8"/>
      <c r="Q982" s="8"/>
      <c r="R982" s="8"/>
      <c r="S982" s="8"/>
      <c r="T982" s="8"/>
      <c r="U982" s="8"/>
      <c r="V982" s="8"/>
      <c r="W982" s="8"/>
    </row>
    <row r="983" spans="1:23" ht="12.75" x14ac:dyDescent="0.2">
      <c r="A983" s="8"/>
      <c r="B983" s="8"/>
      <c r="C983" s="8"/>
      <c r="D983" s="8"/>
      <c r="E983" s="8"/>
      <c r="F983" s="8"/>
      <c r="G983" s="8"/>
      <c r="H983" s="8"/>
      <c r="I983" s="8"/>
      <c r="J983" s="8"/>
      <c r="K983" s="8"/>
      <c r="L983" s="8"/>
      <c r="M983" s="8"/>
      <c r="N983" s="8"/>
      <c r="O983" s="8"/>
      <c r="P983" s="8"/>
      <c r="Q983" s="8"/>
      <c r="R983" s="8"/>
      <c r="S983" s="8"/>
      <c r="T983" s="8"/>
      <c r="U983" s="8"/>
      <c r="V983" s="8"/>
      <c r="W983" s="8"/>
    </row>
    <row r="984" spans="1:23" ht="12.75" x14ac:dyDescent="0.2">
      <c r="A984" s="8"/>
      <c r="B984" s="8"/>
      <c r="C984" s="8"/>
      <c r="D984" s="8"/>
      <c r="E984" s="8"/>
      <c r="F984" s="8"/>
      <c r="G984" s="8"/>
      <c r="H984" s="8"/>
      <c r="I984" s="8"/>
      <c r="J984" s="8"/>
      <c r="K984" s="8"/>
      <c r="L984" s="8"/>
      <c r="M984" s="8"/>
      <c r="N984" s="8"/>
      <c r="O984" s="8"/>
      <c r="P984" s="8"/>
      <c r="Q984" s="8"/>
      <c r="R984" s="8"/>
      <c r="S984" s="8"/>
      <c r="T984" s="8"/>
      <c r="U984" s="8"/>
      <c r="V984" s="8"/>
      <c r="W984" s="8"/>
    </row>
    <row r="985" spans="1:23" ht="12.75" x14ac:dyDescent="0.2">
      <c r="A985" s="8"/>
      <c r="B985" s="8"/>
      <c r="C985" s="8"/>
      <c r="D985" s="8"/>
      <c r="E985" s="8"/>
      <c r="F985" s="8"/>
      <c r="G985" s="8"/>
      <c r="H985" s="8"/>
      <c r="I985" s="8"/>
      <c r="J985" s="8"/>
      <c r="K985" s="8"/>
      <c r="L985" s="8"/>
      <c r="M985" s="8"/>
      <c r="N985" s="8"/>
      <c r="O985" s="8"/>
      <c r="P985" s="8"/>
      <c r="Q985" s="8"/>
      <c r="R985" s="8"/>
      <c r="S985" s="8"/>
      <c r="T985" s="8"/>
      <c r="U985" s="8"/>
      <c r="V985" s="8"/>
      <c r="W985" s="8"/>
    </row>
    <row r="986" spans="1:23" ht="12.75" x14ac:dyDescent="0.2">
      <c r="A986" s="8"/>
      <c r="B986" s="8"/>
      <c r="C986" s="8"/>
      <c r="D986" s="8"/>
      <c r="E986" s="8"/>
      <c r="F986" s="8"/>
      <c r="G986" s="8"/>
      <c r="H986" s="8"/>
      <c r="I986" s="8"/>
      <c r="J986" s="8"/>
      <c r="K986" s="8"/>
      <c r="L986" s="8"/>
      <c r="M986" s="8"/>
      <c r="N986" s="8"/>
      <c r="O986" s="8"/>
      <c r="P986" s="8"/>
      <c r="Q986" s="8"/>
      <c r="R986" s="8"/>
      <c r="S986" s="8"/>
      <c r="T986" s="8"/>
      <c r="U986" s="8"/>
      <c r="V986" s="8"/>
      <c r="W986" s="8"/>
    </row>
    <row r="987" spans="1:23" ht="12.75" x14ac:dyDescent="0.2">
      <c r="A987" s="8"/>
      <c r="B987" s="8"/>
      <c r="C987" s="8"/>
      <c r="D987" s="8"/>
      <c r="E987" s="8"/>
      <c r="F987" s="8"/>
      <c r="G987" s="8"/>
      <c r="H987" s="8"/>
      <c r="I987" s="8"/>
      <c r="J987" s="8"/>
      <c r="K987" s="8"/>
      <c r="L987" s="8"/>
      <c r="M987" s="8"/>
      <c r="N987" s="8"/>
      <c r="O987" s="8"/>
      <c r="P987" s="8"/>
      <c r="Q987" s="8"/>
      <c r="R987" s="8"/>
      <c r="S987" s="8"/>
      <c r="T987" s="8"/>
      <c r="U987" s="8"/>
      <c r="V987" s="8"/>
      <c r="W987" s="8"/>
    </row>
    <row r="988" spans="1:23" ht="12.75" x14ac:dyDescent="0.2">
      <c r="A988" s="8"/>
      <c r="B988" s="8"/>
      <c r="C988" s="8"/>
      <c r="D988" s="8"/>
      <c r="E988" s="8"/>
      <c r="F988" s="8"/>
      <c r="G988" s="8"/>
      <c r="H988" s="8"/>
      <c r="I988" s="8"/>
      <c r="J988" s="8"/>
      <c r="K988" s="8"/>
      <c r="L988" s="8"/>
      <c r="M988" s="8"/>
      <c r="N988" s="8"/>
      <c r="O988" s="8"/>
      <c r="P988" s="8"/>
      <c r="Q988" s="8"/>
      <c r="R988" s="8"/>
      <c r="S988" s="8"/>
      <c r="T988" s="8"/>
      <c r="U988" s="8"/>
      <c r="V988" s="8"/>
      <c r="W988" s="8"/>
    </row>
    <row r="989" spans="1:23" ht="12.75" x14ac:dyDescent="0.2">
      <c r="A989" s="8"/>
      <c r="B989" s="8"/>
      <c r="C989" s="8"/>
      <c r="D989" s="8"/>
      <c r="E989" s="8"/>
      <c r="F989" s="8"/>
      <c r="G989" s="8"/>
      <c r="H989" s="8"/>
      <c r="I989" s="8"/>
      <c r="J989" s="8"/>
      <c r="K989" s="8"/>
      <c r="L989" s="8"/>
      <c r="M989" s="8"/>
      <c r="N989" s="8"/>
      <c r="O989" s="8"/>
      <c r="P989" s="8"/>
      <c r="Q989" s="8"/>
      <c r="R989" s="8"/>
      <c r="S989" s="8"/>
      <c r="T989" s="8"/>
      <c r="U989" s="8"/>
      <c r="V989" s="8"/>
      <c r="W989" s="8"/>
    </row>
    <row r="990" spans="1:23" ht="12.75" x14ac:dyDescent="0.2">
      <c r="A990" s="8"/>
      <c r="B990" s="8"/>
      <c r="C990" s="8"/>
      <c r="D990" s="8"/>
      <c r="E990" s="8"/>
      <c r="F990" s="8"/>
      <c r="G990" s="8"/>
      <c r="H990" s="8"/>
      <c r="I990" s="8"/>
      <c r="J990" s="8"/>
      <c r="K990" s="8"/>
      <c r="L990" s="8"/>
      <c r="M990" s="8"/>
      <c r="N990" s="8"/>
      <c r="O990" s="8"/>
      <c r="P990" s="8"/>
      <c r="Q990" s="8"/>
      <c r="R990" s="8"/>
      <c r="S990" s="8"/>
      <c r="T990" s="8"/>
      <c r="U990" s="8"/>
      <c r="V990" s="8"/>
      <c r="W990" s="8"/>
    </row>
    <row r="991" spans="1:23" ht="12.75" x14ac:dyDescent="0.2">
      <c r="A991" s="8"/>
      <c r="B991" s="8"/>
      <c r="C991" s="8"/>
      <c r="D991" s="8"/>
      <c r="E991" s="8"/>
      <c r="F991" s="8"/>
      <c r="G991" s="8"/>
      <c r="H991" s="8"/>
      <c r="I991" s="8"/>
      <c r="J991" s="8"/>
      <c r="K991" s="8"/>
      <c r="L991" s="8"/>
      <c r="M991" s="8"/>
      <c r="N991" s="8"/>
      <c r="O991" s="8"/>
      <c r="P991" s="8"/>
      <c r="Q991" s="8"/>
      <c r="R991" s="8"/>
      <c r="S991" s="8"/>
      <c r="T991" s="8"/>
      <c r="U991" s="8"/>
      <c r="V991" s="8"/>
      <c r="W991" s="8"/>
    </row>
    <row r="992" spans="1:23" ht="12.75" x14ac:dyDescent="0.2">
      <c r="A992" s="8"/>
      <c r="B992" s="8"/>
      <c r="C992" s="8"/>
      <c r="D992" s="8"/>
      <c r="E992" s="8"/>
      <c r="F992" s="8"/>
      <c r="G992" s="8"/>
      <c r="H992" s="8"/>
      <c r="I992" s="8"/>
      <c r="J992" s="8"/>
      <c r="K992" s="8"/>
      <c r="L992" s="8"/>
      <c r="M992" s="8"/>
      <c r="N992" s="8"/>
      <c r="O992" s="8"/>
      <c r="P992" s="8"/>
      <c r="Q992" s="8"/>
      <c r="R992" s="8"/>
      <c r="S992" s="8"/>
      <c r="T992" s="8"/>
      <c r="U992" s="8"/>
      <c r="V992" s="8"/>
      <c r="W992" s="8"/>
    </row>
    <row r="993" spans="1:23" ht="12.75" x14ac:dyDescent="0.2">
      <c r="A993" s="8"/>
      <c r="B993" s="8"/>
      <c r="C993" s="8"/>
      <c r="D993" s="8"/>
      <c r="E993" s="8"/>
      <c r="F993" s="8"/>
      <c r="G993" s="8"/>
      <c r="H993" s="8"/>
      <c r="I993" s="8"/>
      <c r="J993" s="8"/>
      <c r="K993" s="8"/>
      <c r="L993" s="8"/>
      <c r="M993" s="8"/>
      <c r="N993" s="8"/>
      <c r="O993" s="8"/>
      <c r="P993" s="8"/>
      <c r="Q993" s="8"/>
      <c r="R993" s="8"/>
      <c r="S993" s="8"/>
      <c r="T993" s="8"/>
      <c r="U993" s="8"/>
      <c r="V993" s="8"/>
      <c r="W993" s="8"/>
    </row>
    <row r="994" spans="1:23" ht="12.75" x14ac:dyDescent="0.2">
      <c r="A994" s="8"/>
      <c r="B994" s="8"/>
      <c r="C994" s="8"/>
      <c r="D994" s="8"/>
      <c r="E994" s="8"/>
      <c r="F994" s="8"/>
      <c r="G994" s="8"/>
      <c r="H994" s="8"/>
      <c r="I994" s="8"/>
      <c r="J994" s="8"/>
      <c r="K994" s="8"/>
      <c r="L994" s="8"/>
      <c r="M994" s="8"/>
      <c r="N994" s="8"/>
      <c r="O994" s="8"/>
      <c r="P994" s="8"/>
      <c r="Q994" s="8"/>
      <c r="R994" s="8"/>
      <c r="S994" s="8"/>
      <c r="T994" s="8"/>
      <c r="U994" s="8"/>
      <c r="V994" s="8"/>
      <c r="W994" s="8"/>
    </row>
    <row r="995" spans="1:23" ht="12.75" x14ac:dyDescent="0.2">
      <c r="A995" s="8"/>
      <c r="B995" s="8"/>
      <c r="C995" s="8"/>
      <c r="D995" s="8"/>
      <c r="E995" s="8"/>
      <c r="F995" s="8"/>
      <c r="G995" s="8"/>
      <c r="H995" s="8"/>
      <c r="I995" s="8"/>
      <c r="J995" s="8"/>
      <c r="K995" s="8"/>
      <c r="L995" s="8"/>
      <c r="M995" s="8"/>
      <c r="N995" s="8"/>
      <c r="O995" s="8"/>
      <c r="P995" s="8"/>
      <c r="Q995" s="8"/>
      <c r="R995" s="8"/>
      <c r="S995" s="8"/>
      <c r="T995" s="8"/>
      <c r="U995" s="8"/>
      <c r="V995" s="8"/>
      <c r="W995" s="8"/>
    </row>
    <row r="996" spans="1:23" ht="12.75" x14ac:dyDescent="0.2">
      <c r="A996" s="8"/>
      <c r="B996" s="8"/>
      <c r="C996" s="8"/>
      <c r="D996" s="8"/>
      <c r="E996" s="8"/>
      <c r="F996" s="8"/>
      <c r="G996" s="8"/>
      <c r="H996" s="8"/>
      <c r="I996" s="8"/>
      <c r="J996" s="8"/>
      <c r="K996" s="8"/>
      <c r="L996" s="8"/>
      <c r="M996" s="8"/>
      <c r="N996" s="8"/>
      <c r="O996" s="8"/>
      <c r="P996" s="8"/>
      <c r="Q996" s="8"/>
      <c r="R996" s="8"/>
      <c r="S996" s="8"/>
      <c r="T996" s="8"/>
      <c r="U996" s="8"/>
      <c r="V996" s="8"/>
      <c r="W996" s="8"/>
    </row>
    <row r="997" spans="1:23" ht="12.75" x14ac:dyDescent="0.2">
      <c r="A997" s="8"/>
      <c r="B997" s="8"/>
      <c r="C997" s="8"/>
      <c r="D997" s="8"/>
      <c r="E997" s="8"/>
      <c r="F997" s="8"/>
      <c r="G997" s="8"/>
      <c r="H997" s="8"/>
      <c r="I997" s="8"/>
      <c r="J997" s="8"/>
      <c r="K997" s="8"/>
      <c r="L997" s="8"/>
      <c r="M997" s="8"/>
      <c r="N997" s="8"/>
      <c r="O997" s="8"/>
      <c r="P997" s="8"/>
      <c r="Q997" s="8"/>
      <c r="R997" s="8"/>
      <c r="S997" s="8"/>
      <c r="T997" s="8"/>
      <c r="U997" s="8"/>
      <c r="V997" s="8"/>
      <c r="W997" s="8"/>
    </row>
    <row r="998" spans="1:23" ht="12.75" x14ac:dyDescent="0.2">
      <c r="A998" s="8"/>
      <c r="B998" s="8"/>
      <c r="C998" s="8"/>
      <c r="D998" s="8"/>
      <c r="E998" s="8"/>
      <c r="F998" s="8"/>
      <c r="G998" s="8"/>
      <c r="H998" s="8"/>
      <c r="I998" s="8"/>
      <c r="J998" s="8"/>
      <c r="K998" s="8"/>
      <c r="L998" s="8"/>
      <c r="M998" s="8"/>
      <c r="N998" s="8"/>
      <c r="O998" s="8"/>
      <c r="P998" s="8"/>
      <c r="Q998" s="8"/>
      <c r="R998" s="8"/>
      <c r="S998" s="8"/>
      <c r="T998" s="8"/>
      <c r="U998" s="8"/>
      <c r="V998" s="8"/>
      <c r="W998" s="8"/>
    </row>
    <row r="999" spans="1:23" ht="12.75" x14ac:dyDescent="0.2">
      <c r="A999" s="8"/>
      <c r="B999" s="8"/>
      <c r="C999" s="8"/>
      <c r="D999" s="8"/>
      <c r="E999" s="8"/>
      <c r="F999" s="8"/>
      <c r="G999" s="8"/>
      <c r="H999" s="8"/>
      <c r="I999" s="8"/>
      <c r="J999" s="8"/>
      <c r="K999" s="8"/>
      <c r="L999" s="8"/>
      <c r="M999" s="8"/>
      <c r="N999" s="8"/>
      <c r="O999" s="8"/>
      <c r="P999" s="8"/>
      <c r="Q999" s="8"/>
      <c r="R999" s="8"/>
      <c r="S999" s="8"/>
      <c r="T999" s="8"/>
      <c r="U999" s="8"/>
      <c r="V999" s="8"/>
      <c r="W999" s="8"/>
    </row>
    <row r="1000" spans="1:23" ht="12.75" x14ac:dyDescent="0.2">
      <c r="A1000" s="8"/>
      <c r="B1000" s="8"/>
      <c r="C1000" s="8"/>
      <c r="D1000" s="8"/>
      <c r="E1000" s="8"/>
      <c r="F1000" s="8"/>
      <c r="G1000" s="8"/>
      <c r="H1000" s="8"/>
      <c r="I1000" s="8"/>
      <c r="J1000" s="8"/>
      <c r="K1000" s="8"/>
      <c r="L1000" s="8"/>
      <c r="M1000" s="8"/>
      <c r="N1000" s="8"/>
      <c r="O1000" s="8"/>
      <c r="P1000" s="8"/>
      <c r="Q1000" s="8"/>
      <c r="R1000" s="8"/>
      <c r="S1000" s="8"/>
      <c r="T1000" s="8"/>
      <c r="U1000" s="8"/>
      <c r="V1000" s="8"/>
      <c r="W1000" s="8"/>
    </row>
    <row r="1001" spans="1:23" ht="12.75" x14ac:dyDescent="0.2">
      <c r="A1001" s="8"/>
      <c r="B1001" s="8"/>
      <c r="C1001" s="8"/>
      <c r="D1001" s="8"/>
      <c r="E1001" s="8"/>
      <c r="F1001" s="8"/>
      <c r="G1001" s="8"/>
      <c r="H1001" s="8"/>
      <c r="I1001" s="8"/>
      <c r="J1001" s="8"/>
      <c r="K1001" s="8"/>
      <c r="L1001" s="8"/>
      <c r="M1001" s="8"/>
      <c r="N1001" s="8"/>
      <c r="O1001" s="8"/>
      <c r="P1001" s="8"/>
      <c r="Q1001" s="8"/>
      <c r="R1001" s="8"/>
      <c r="S1001" s="8"/>
      <c r="T1001" s="8"/>
      <c r="U1001" s="8"/>
      <c r="V1001" s="8"/>
      <c r="W1001" s="8"/>
    </row>
  </sheetData>
  <mergeCells count="1">
    <mergeCell ref="N6:O6"/>
  </mergeCells>
  <hyperlinks>
    <hyperlink ref="R16" r:id="rId1" xr:uid="{00000000-0004-0000-1100-000000000000}"/>
  </hyperlinks>
  <pageMargins left="0.7" right="0.7" top="0.75" bottom="0.75" header="0" footer="0"/>
  <pageSetup orientation="landscape"/>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C995"/>
  <sheetViews>
    <sheetView showGridLines="0" workbookViewId="0"/>
  </sheetViews>
  <sheetFormatPr defaultColWidth="16.83203125" defaultRowHeight="15" customHeight="1" x14ac:dyDescent="0.2"/>
  <cols>
    <col min="1" max="1" width="3.1640625" customWidth="1"/>
    <col min="2" max="2" width="19.83203125" customWidth="1"/>
    <col min="3" max="3" width="64.83203125" customWidth="1"/>
    <col min="4" max="4" width="14.33203125" customWidth="1"/>
    <col min="5" max="5" width="17.1640625" customWidth="1"/>
    <col min="6" max="7" width="15" customWidth="1"/>
    <col min="8" max="9" width="11.1640625" customWidth="1"/>
    <col min="10" max="10" width="19.5" customWidth="1"/>
    <col min="11" max="11" width="16.6640625" customWidth="1"/>
    <col min="12" max="12" width="12.5" customWidth="1"/>
    <col min="13" max="13" width="15.6640625" customWidth="1"/>
    <col min="14" max="14" width="12.1640625" customWidth="1"/>
    <col min="15" max="15" width="13" customWidth="1"/>
    <col min="16" max="16" width="17.33203125" customWidth="1"/>
    <col min="17" max="17" width="15.1640625" customWidth="1"/>
    <col min="18" max="18" width="13.1640625" customWidth="1"/>
    <col min="19" max="19" width="11.5" customWidth="1"/>
    <col min="20" max="20" width="15.5" customWidth="1"/>
    <col min="21" max="21" width="15.83203125" customWidth="1"/>
    <col min="22" max="22" width="12.1640625" customWidth="1"/>
    <col min="23" max="23" width="15" customWidth="1"/>
    <col min="24" max="24" width="14.6640625" customWidth="1"/>
    <col min="25" max="25" width="8.6640625" customWidth="1"/>
    <col min="26" max="26" width="9" customWidth="1"/>
    <col min="27" max="27" width="16.33203125" customWidth="1"/>
    <col min="28" max="29" width="8.6640625" customWidth="1"/>
  </cols>
  <sheetData>
    <row r="1" spans="1:29" ht="15.75" customHeight="1" x14ac:dyDescent="0.3">
      <c r="A1" s="460"/>
      <c r="B1" s="461"/>
      <c r="C1" s="460"/>
      <c r="D1" s="462"/>
      <c r="E1" s="460"/>
      <c r="F1" s="460"/>
      <c r="G1" s="460"/>
      <c r="H1" s="460"/>
      <c r="I1" s="460"/>
      <c r="J1" s="460"/>
      <c r="K1" s="460"/>
      <c r="L1" s="460"/>
      <c r="M1" s="460"/>
      <c r="N1" s="460"/>
      <c r="O1" s="460"/>
      <c r="P1" s="460"/>
      <c r="Q1" s="460"/>
      <c r="R1" s="460"/>
      <c r="S1" s="460"/>
      <c r="T1" s="460"/>
      <c r="U1" s="460"/>
      <c r="V1" s="460"/>
      <c r="W1" s="460"/>
      <c r="X1" s="460"/>
      <c r="Y1" s="460"/>
      <c r="Z1" s="460"/>
      <c r="AA1" s="460"/>
      <c r="AB1" s="460"/>
      <c r="AC1" s="460"/>
    </row>
    <row r="2" spans="1:29" ht="15.75" customHeight="1" x14ac:dyDescent="0.3">
      <c r="A2" s="460"/>
      <c r="B2" s="272" t="s">
        <v>1493</v>
      </c>
      <c r="C2" s="460"/>
      <c r="D2" s="462"/>
      <c r="E2" s="460"/>
      <c r="F2" s="460"/>
      <c r="G2" s="460"/>
      <c r="H2" s="460"/>
      <c r="I2" s="460"/>
      <c r="J2" s="460"/>
      <c r="K2" s="460"/>
      <c r="L2" s="460"/>
      <c r="M2" s="460"/>
      <c r="N2" s="460"/>
      <c r="O2" s="460"/>
      <c r="P2" s="460"/>
      <c r="Q2" s="460"/>
      <c r="R2" s="460"/>
      <c r="S2" s="460"/>
      <c r="T2" s="460"/>
      <c r="U2" s="460"/>
      <c r="V2" s="460"/>
      <c r="W2" s="460"/>
      <c r="X2" s="460"/>
      <c r="Y2" s="460"/>
      <c r="Z2" s="460"/>
      <c r="AA2" s="460"/>
      <c r="AB2" s="460"/>
      <c r="AC2" s="460"/>
    </row>
    <row r="3" spans="1:29" ht="105" customHeight="1" x14ac:dyDescent="0.2">
      <c r="A3" s="8"/>
      <c r="B3" s="423"/>
      <c r="C3" s="8"/>
      <c r="D3" s="233"/>
      <c r="E3" s="8"/>
      <c r="F3" s="8"/>
      <c r="G3" s="8"/>
      <c r="H3" s="8"/>
      <c r="I3" s="8"/>
      <c r="J3" s="8"/>
      <c r="K3" s="8"/>
      <c r="L3" s="8"/>
      <c r="M3" s="8"/>
      <c r="N3" s="8"/>
      <c r="O3" s="8"/>
      <c r="P3" s="8"/>
      <c r="Q3" s="8"/>
      <c r="R3" s="8"/>
      <c r="S3" s="8"/>
      <c r="T3" s="8"/>
      <c r="U3" s="8"/>
      <c r="V3" s="8"/>
      <c r="W3" s="8"/>
      <c r="X3" s="8"/>
      <c r="Y3" s="8"/>
      <c r="Z3" s="8"/>
      <c r="AA3" s="8"/>
      <c r="AB3" s="8"/>
      <c r="AC3" s="8"/>
    </row>
    <row r="4" spans="1:29" ht="15.75" customHeight="1" x14ac:dyDescent="0.2">
      <c r="A4" s="8"/>
      <c r="D4" s="155" t="s">
        <v>17</v>
      </c>
      <c r="E4" s="8"/>
      <c r="F4" s="8"/>
      <c r="J4" s="8"/>
      <c r="K4" s="8"/>
      <c r="L4" s="8"/>
      <c r="M4" s="8"/>
      <c r="N4" s="8"/>
      <c r="O4" s="8"/>
      <c r="P4" s="8"/>
      <c r="Q4" s="8"/>
      <c r="R4" s="8"/>
      <c r="S4" s="8"/>
      <c r="T4" s="8"/>
      <c r="U4" s="8"/>
      <c r="V4" s="8"/>
      <c r="W4" s="8"/>
      <c r="X4" s="8"/>
      <c r="Y4" s="8"/>
      <c r="Z4" s="8"/>
      <c r="AA4" s="8"/>
      <c r="AB4" s="8"/>
      <c r="AC4" s="8"/>
    </row>
    <row r="5" spans="1:29" ht="15.75" customHeight="1" x14ac:dyDescent="0.2">
      <c r="A5" s="8"/>
      <c r="D5" s="239"/>
      <c r="E5" s="8" t="s">
        <v>1495</v>
      </c>
      <c r="F5" s="8"/>
      <c r="G5" s="466"/>
      <c r="H5" s="8" t="s">
        <v>1496</v>
      </c>
      <c r="J5" s="8"/>
      <c r="K5" s="8"/>
      <c r="L5" s="8"/>
      <c r="M5" s="8"/>
      <c r="N5" s="8"/>
      <c r="O5" s="8"/>
      <c r="P5" s="8"/>
      <c r="Q5" s="8"/>
      <c r="R5" s="8"/>
      <c r="S5" s="8"/>
      <c r="T5" s="8"/>
      <c r="U5" s="8"/>
      <c r="V5" s="8"/>
      <c r="W5" s="8"/>
      <c r="X5" s="8"/>
      <c r="Y5" s="8"/>
      <c r="Z5" s="8"/>
      <c r="AA5" s="8"/>
      <c r="AB5" s="8"/>
      <c r="AC5" s="8"/>
    </row>
    <row r="6" spans="1:29" ht="15.75" customHeight="1" x14ac:dyDescent="0.2">
      <c r="A6" s="8"/>
      <c r="D6" s="468"/>
      <c r="E6" s="8" t="s">
        <v>1497</v>
      </c>
      <c r="F6" s="8"/>
      <c r="J6" s="8"/>
      <c r="K6" s="8"/>
      <c r="L6" s="8"/>
      <c r="M6" s="8"/>
      <c r="N6" s="8"/>
      <c r="O6" s="8"/>
      <c r="P6" s="8"/>
      <c r="Q6" s="8"/>
      <c r="R6" s="8"/>
      <c r="S6" s="8"/>
      <c r="T6" s="8"/>
      <c r="U6" s="8"/>
      <c r="V6" s="8"/>
      <c r="W6" s="8"/>
      <c r="X6" s="8"/>
      <c r="Y6" s="8"/>
      <c r="Z6" s="8"/>
      <c r="AA6" s="8"/>
      <c r="AB6" s="8"/>
      <c r="AC6" s="8"/>
    </row>
    <row r="7" spans="1:29" ht="15.75" customHeight="1" x14ac:dyDescent="0.2">
      <c r="A7" s="8"/>
      <c r="D7" s="470"/>
      <c r="E7" s="8" t="s">
        <v>1498</v>
      </c>
      <c r="F7" s="8"/>
      <c r="G7" s="471"/>
      <c r="H7" s="471"/>
      <c r="J7" s="230"/>
      <c r="K7" s="230"/>
      <c r="L7" s="23"/>
      <c r="M7" s="23"/>
      <c r="N7" s="23"/>
      <c r="O7" s="23"/>
      <c r="P7" s="23"/>
      <c r="Q7" s="230"/>
      <c r="R7" s="230"/>
      <c r="S7" s="230"/>
      <c r="T7" s="230"/>
      <c r="U7" s="230"/>
      <c r="V7" s="230"/>
      <c r="W7" s="8"/>
      <c r="X7" s="8"/>
      <c r="Y7" s="8"/>
      <c r="Z7" s="8"/>
      <c r="AA7" s="8"/>
      <c r="AB7" s="8"/>
      <c r="AC7" s="8"/>
    </row>
    <row r="8" spans="1:29" ht="15.75" customHeight="1" x14ac:dyDescent="0.2">
      <c r="A8" s="8"/>
      <c r="B8" s="8"/>
      <c r="C8" s="8"/>
      <c r="D8" s="8"/>
      <c r="E8" s="8"/>
      <c r="F8" s="8"/>
      <c r="G8" s="8"/>
      <c r="H8" s="8"/>
      <c r="I8" s="474"/>
      <c r="J8" s="230"/>
      <c r="K8" s="8"/>
      <c r="L8" s="471"/>
      <c r="M8" s="475"/>
      <c r="N8" s="230"/>
      <c r="O8" s="230"/>
      <c r="P8" s="8"/>
      <c r="Q8" s="8"/>
      <c r="R8" s="8"/>
      <c r="S8" s="8"/>
      <c r="T8" s="8"/>
      <c r="U8" s="8"/>
      <c r="V8" s="8"/>
      <c r="W8" s="8"/>
      <c r="X8" s="8"/>
      <c r="Y8" s="8"/>
      <c r="Z8" s="8"/>
      <c r="AA8" s="8"/>
      <c r="AB8" s="8"/>
      <c r="AC8" s="8"/>
    </row>
    <row r="9" spans="1:29" ht="52.5" x14ac:dyDescent="0.2">
      <c r="A9" s="8"/>
      <c r="B9" s="477" t="s">
        <v>603</v>
      </c>
      <c r="C9" s="479" t="s">
        <v>1499</v>
      </c>
      <c r="D9" s="480" t="s">
        <v>1500</v>
      </c>
      <c r="E9" s="482" t="s">
        <v>1501</v>
      </c>
      <c r="F9" s="484" t="s">
        <v>1502</v>
      </c>
      <c r="G9" s="484" t="s">
        <v>1503</v>
      </c>
      <c r="H9" s="484" t="s">
        <v>1504</v>
      </c>
      <c r="I9" s="486" t="s">
        <v>1505</v>
      </c>
      <c r="J9" s="487" t="s">
        <v>1506</v>
      </c>
      <c r="K9" s="488" t="s">
        <v>1507</v>
      </c>
      <c r="L9" s="484" t="s">
        <v>1508</v>
      </c>
      <c r="M9" s="488" t="s">
        <v>1509</v>
      </c>
      <c r="N9" s="484" t="s">
        <v>1510</v>
      </c>
      <c r="O9" s="484" t="s">
        <v>1511</v>
      </c>
      <c r="P9" s="488" t="s">
        <v>1512</v>
      </c>
      <c r="Q9" s="484" t="s">
        <v>1513</v>
      </c>
      <c r="R9" s="488" t="s">
        <v>1514</v>
      </c>
      <c r="S9" s="484" t="s">
        <v>1515</v>
      </c>
      <c r="T9" s="488" t="s">
        <v>1516</v>
      </c>
      <c r="U9" s="484" t="s">
        <v>1517</v>
      </c>
      <c r="V9" s="484" t="s">
        <v>1518</v>
      </c>
      <c r="W9" s="484" t="s">
        <v>1519</v>
      </c>
      <c r="X9" s="486" t="s">
        <v>1520</v>
      </c>
      <c r="Y9" s="8"/>
      <c r="Z9" s="8"/>
      <c r="AA9" s="8"/>
      <c r="AB9" s="8"/>
      <c r="AC9" s="8"/>
    </row>
    <row r="10" spans="1:29" ht="12.75" x14ac:dyDescent="0.2">
      <c r="A10" s="8"/>
      <c r="B10" s="492"/>
      <c r="C10" s="493"/>
      <c r="D10" s="495"/>
      <c r="E10" s="496"/>
      <c r="F10" s="497"/>
      <c r="G10" s="497"/>
      <c r="H10" s="498"/>
      <c r="I10" s="499"/>
      <c r="J10" s="500"/>
      <c r="K10" s="501"/>
      <c r="L10" s="497"/>
      <c r="M10" s="502"/>
      <c r="N10" s="497"/>
      <c r="O10" s="503"/>
      <c r="P10" s="502"/>
      <c r="Q10" s="503"/>
      <c r="R10" s="502"/>
      <c r="S10" s="497"/>
      <c r="T10" s="502"/>
      <c r="U10" s="503"/>
      <c r="V10" s="503"/>
      <c r="W10" s="503"/>
      <c r="X10" s="504"/>
      <c r="Y10" s="8"/>
      <c r="Z10" s="8"/>
      <c r="AA10" s="8"/>
      <c r="AB10" s="8"/>
      <c r="AC10" s="8"/>
    </row>
    <row r="11" spans="1:29" ht="12.75" x14ac:dyDescent="0.2">
      <c r="A11" s="8"/>
      <c r="B11" s="505" t="s">
        <v>617</v>
      </c>
      <c r="C11" s="506" t="s">
        <v>1521</v>
      </c>
      <c r="D11" s="507">
        <v>4.26</v>
      </c>
      <c r="E11" s="508">
        <f t="shared" ref="E11:E12" si="0">D11*1000000*0.9071847</f>
        <v>3864606.8219999997</v>
      </c>
      <c r="F11" s="509">
        <v>125000</v>
      </c>
      <c r="G11" s="509">
        <f t="shared" ref="G11:G12" si="1">F11*0.9071847</f>
        <v>113398.08749999999</v>
      </c>
      <c r="H11" s="511">
        <v>1992</v>
      </c>
      <c r="I11" s="512">
        <v>2015</v>
      </c>
      <c r="J11" s="513">
        <v>12110</v>
      </c>
      <c r="K11" s="514">
        <v>4412</v>
      </c>
      <c r="L11" s="515">
        <v>0.23350259067357509</v>
      </c>
      <c r="M11" s="516">
        <f>K11*L11</f>
        <v>1030.2134300518132</v>
      </c>
      <c r="N11" s="515">
        <v>0.98</v>
      </c>
      <c r="O11" s="516">
        <f>M11*N11</f>
        <v>1009.6091614507769</v>
      </c>
      <c r="P11" s="516">
        <f>O11*2.75</f>
        <v>2776.4251939896367</v>
      </c>
      <c r="Q11" s="516">
        <f>M11*(1-N11)</f>
        <v>20.604268601036285</v>
      </c>
      <c r="R11" s="516">
        <f>K11*(1-L11)</f>
        <v>3381.7865699481868</v>
      </c>
      <c r="S11" s="515">
        <v>0.1</v>
      </c>
      <c r="T11" s="516">
        <f t="shared" ref="T11:T12" si="2">R11*S11</f>
        <v>338.17865699481871</v>
      </c>
      <c r="U11" s="516">
        <f t="shared" ref="U11:U12" si="3">R11-T11</f>
        <v>3043.6079129533682</v>
      </c>
      <c r="V11" s="516">
        <f>U11+Q11</f>
        <v>3064.2121815544047</v>
      </c>
      <c r="W11" s="516">
        <f>V11*J84</f>
        <v>85491.519865367882</v>
      </c>
      <c r="X11" s="521">
        <f>J11+P11+W11</f>
        <v>100377.94505935752</v>
      </c>
      <c r="Y11" s="8"/>
      <c r="AB11" s="8"/>
      <c r="AC11" s="8"/>
    </row>
    <row r="12" spans="1:29" ht="12.75" x14ac:dyDescent="0.2">
      <c r="A12" s="8"/>
      <c r="B12" s="448"/>
      <c r="C12" s="280" t="s">
        <v>1526</v>
      </c>
      <c r="D12" s="525">
        <v>1.5</v>
      </c>
      <c r="E12" s="240">
        <f t="shared" si="0"/>
        <v>1360777.05</v>
      </c>
      <c r="F12" s="285">
        <v>75000</v>
      </c>
      <c r="G12" s="285">
        <f t="shared" si="1"/>
        <v>68038.852499999994</v>
      </c>
      <c r="H12" s="19">
        <v>1971</v>
      </c>
      <c r="I12" s="527">
        <v>1992</v>
      </c>
      <c r="J12" s="528">
        <v>2188</v>
      </c>
      <c r="K12" s="529">
        <v>797.5</v>
      </c>
      <c r="L12" s="530"/>
      <c r="M12" s="531"/>
      <c r="N12" s="530"/>
      <c r="O12" s="532"/>
      <c r="P12" s="531"/>
      <c r="Q12" s="532"/>
      <c r="R12" s="531">
        <f>K12</f>
        <v>797.5</v>
      </c>
      <c r="S12" s="530">
        <v>0.1</v>
      </c>
      <c r="T12" s="531">
        <f t="shared" si="2"/>
        <v>79.75</v>
      </c>
      <c r="U12" s="532">
        <f t="shared" si="3"/>
        <v>717.75</v>
      </c>
      <c r="V12" s="532">
        <f>U12</f>
        <v>717.75</v>
      </c>
      <c r="W12" s="532">
        <f>V12*J84</f>
        <v>20025.224999999999</v>
      </c>
      <c r="X12" s="534">
        <f>J12+W12</f>
        <v>22213.224999999999</v>
      </c>
      <c r="Y12" s="8"/>
      <c r="AB12" s="536"/>
      <c r="AC12" s="536"/>
    </row>
    <row r="13" spans="1:29" ht="12.75" x14ac:dyDescent="0.2">
      <c r="A13" s="8"/>
      <c r="B13" s="448"/>
      <c r="C13" s="280"/>
      <c r="D13" s="525"/>
      <c r="E13" s="240"/>
      <c r="F13" s="285"/>
      <c r="G13" s="285"/>
      <c r="H13" s="19"/>
      <c r="I13" s="527"/>
      <c r="J13" s="528"/>
      <c r="K13" s="529"/>
      <c r="L13" s="530"/>
      <c r="M13" s="531"/>
      <c r="N13" s="530"/>
      <c r="O13" s="532"/>
      <c r="P13" s="531"/>
      <c r="Q13" s="532"/>
      <c r="R13" s="531"/>
      <c r="S13" s="537"/>
      <c r="T13" s="531"/>
      <c r="U13" s="532"/>
      <c r="V13" s="532"/>
      <c r="W13" s="532"/>
      <c r="X13" s="534"/>
      <c r="Y13" s="8"/>
      <c r="AB13" s="539"/>
      <c r="AC13" s="539"/>
    </row>
    <row r="14" spans="1:29" ht="12.75" x14ac:dyDescent="0.2">
      <c r="A14" s="8"/>
      <c r="B14" s="505" t="s">
        <v>618</v>
      </c>
      <c r="C14" s="280" t="s">
        <v>1538</v>
      </c>
      <c r="D14" s="525">
        <v>0.85</v>
      </c>
      <c r="E14" s="240">
        <f t="shared" ref="E14:E17" si="4">D14*1000000*0.9071847</f>
        <v>771106.995</v>
      </c>
      <c r="F14" s="285">
        <v>23000</v>
      </c>
      <c r="G14" s="285">
        <f t="shared" ref="G14:G17" si="5">F14*0.9071847</f>
        <v>20865.248100000001</v>
      </c>
      <c r="H14" s="19">
        <v>1960</v>
      </c>
      <c r="I14" s="527">
        <v>1993</v>
      </c>
      <c r="J14" s="528">
        <v>1168</v>
      </c>
      <c r="K14" s="529">
        <v>425.7</v>
      </c>
      <c r="L14" s="530"/>
      <c r="M14" s="531"/>
      <c r="N14" s="530"/>
      <c r="O14" s="532"/>
      <c r="P14" s="531"/>
      <c r="Q14" s="532"/>
      <c r="R14" s="531">
        <f t="shared" ref="R14:R15" si="6">K14</f>
        <v>425.7</v>
      </c>
      <c r="S14" s="530">
        <v>0.1</v>
      </c>
      <c r="T14" s="531">
        <f t="shared" ref="T14:T19" si="7">R14*S14</f>
        <v>42.57</v>
      </c>
      <c r="U14" s="532">
        <f t="shared" ref="U14:U19" si="8">R14-T14</f>
        <v>383.13</v>
      </c>
      <c r="V14" s="532">
        <f t="shared" ref="V14:V15" si="9">U14</f>
        <v>383.13</v>
      </c>
      <c r="W14" s="532">
        <f>V14*J84</f>
        <v>10689.326999999999</v>
      </c>
      <c r="X14" s="534">
        <f t="shared" ref="X14:X15" si="10">J14+W14</f>
        <v>11857.326999999999</v>
      </c>
      <c r="Y14" s="8"/>
      <c r="AB14" s="543"/>
      <c r="AC14" s="543"/>
    </row>
    <row r="15" spans="1:29" ht="12.75" x14ac:dyDescent="0.2">
      <c r="A15" s="8"/>
      <c r="B15" s="448"/>
      <c r="C15" s="280" t="s">
        <v>1544</v>
      </c>
      <c r="D15" s="525">
        <v>0.67</v>
      </c>
      <c r="E15" s="240">
        <f t="shared" si="4"/>
        <v>607813.74899999995</v>
      </c>
      <c r="F15" s="285">
        <v>11000</v>
      </c>
      <c r="G15" s="285">
        <f t="shared" si="5"/>
        <v>9979.0316999999995</v>
      </c>
      <c r="H15" s="19">
        <v>1976</v>
      </c>
      <c r="I15" s="527">
        <v>1996</v>
      </c>
      <c r="J15" s="528">
        <v>1903</v>
      </c>
      <c r="K15" s="529">
        <v>693.6</v>
      </c>
      <c r="L15" s="530"/>
      <c r="M15" s="531"/>
      <c r="N15" s="530"/>
      <c r="O15" s="532"/>
      <c r="P15" s="531"/>
      <c r="Q15" s="532"/>
      <c r="R15" s="531">
        <f t="shared" si="6"/>
        <v>693.6</v>
      </c>
      <c r="S15" s="530">
        <v>0.1</v>
      </c>
      <c r="T15" s="531">
        <f t="shared" si="7"/>
        <v>69.36</v>
      </c>
      <c r="U15" s="532">
        <f t="shared" si="8"/>
        <v>624.24</v>
      </c>
      <c r="V15" s="532">
        <f t="shared" si="9"/>
        <v>624.24</v>
      </c>
      <c r="W15" s="532">
        <f>V15*J84</f>
        <v>17416.295999999998</v>
      </c>
      <c r="X15" s="534">
        <f t="shared" si="10"/>
        <v>19319.295999999998</v>
      </c>
      <c r="Y15" s="8"/>
      <c r="AB15" s="543"/>
      <c r="AC15" s="543"/>
    </row>
    <row r="16" spans="1:29" ht="12.75" x14ac:dyDescent="0.2">
      <c r="A16" s="8"/>
      <c r="B16" s="448"/>
      <c r="C16" s="545" t="s">
        <v>1546</v>
      </c>
      <c r="D16" s="547">
        <v>14.3</v>
      </c>
      <c r="E16" s="549">
        <f t="shared" si="4"/>
        <v>12972741.209999999</v>
      </c>
      <c r="F16" s="551">
        <v>358288</v>
      </c>
      <c r="G16" s="551">
        <f t="shared" si="5"/>
        <v>325033.39179359999</v>
      </c>
      <c r="H16" s="552">
        <v>1975</v>
      </c>
      <c r="I16" s="554">
        <v>2060</v>
      </c>
      <c r="J16" s="555">
        <v>24580</v>
      </c>
      <c r="K16" s="556">
        <v>8960</v>
      </c>
      <c r="L16" s="557">
        <v>0.60196168367346936</v>
      </c>
      <c r="M16" s="558">
        <f>K16*L16</f>
        <v>5393.5766857142853</v>
      </c>
      <c r="N16" s="559">
        <v>0.99909999999999999</v>
      </c>
      <c r="O16" s="558">
        <f>M16*N16</f>
        <v>5388.7224666971424</v>
      </c>
      <c r="P16" s="558">
        <f>O16*2.75</f>
        <v>14818.986783417142</v>
      </c>
      <c r="Q16" s="558">
        <f>M16*(1-N16)</f>
        <v>4.8542190171429214</v>
      </c>
      <c r="R16" s="558">
        <f>K16*(1-L16)</f>
        <v>3566.4233142857147</v>
      </c>
      <c r="S16" s="557">
        <v>0.1</v>
      </c>
      <c r="T16" s="558">
        <f t="shared" si="7"/>
        <v>356.64233142857148</v>
      </c>
      <c r="U16" s="558">
        <f t="shared" si="8"/>
        <v>3209.780982857143</v>
      </c>
      <c r="V16" s="558">
        <f>U16+Q16</f>
        <v>3214.6352018742859</v>
      </c>
      <c r="W16" s="558">
        <f>V16*J84</f>
        <v>89688.322132292567</v>
      </c>
      <c r="X16" s="573">
        <f>J16+P16+W16</f>
        <v>129087.30891570971</v>
      </c>
      <c r="Y16" s="8"/>
      <c r="AB16" s="543"/>
      <c r="AC16" s="543"/>
    </row>
    <row r="17" spans="1:29" ht="12.75" x14ac:dyDescent="0.2">
      <c r="A17" s="8"/>
      <c r="B17" s="448"/>
      <c r="C17" s="280" t="s">
        <v>1568</v>
      </c>
      <c r="D17" s="525">
        <v>0.7</v>
      </c>
      <c r="E17" s="240">
        <f t="shared" si="4"/>
        <v>635029.28999999992</v>
      </c>
      <c r="F17" s="285">
        <v>61000</v>
      </c>
      <c r="G17" s="285">
        <f t="shared" si="5"/>
        <v>55338.2667</v>
      </c>
      <c r="H17" s="19">
        <v>1982</v>
      </c>
      <c r="I17" s="527">
        <v>1993</v>
      </c>
      <c r="J17" s="528">
        <v>1517</v>
      </c>
      <c r="K17" s="529">
        <v>553</v>
      </c>
      <c r="L17" s="530"/>
      <c r="M17" s="531"/>
      <c r="N17" s="530"/>
      <c r="O17" s="532"/>
      <c r="P17" s="531"/>
      <c r="Q17" s="532"/>
      <c r="R17" s="531">
        <f>K17</f>
        <v>553</v>
      </c>
      <c r="S17" s="530">
        <v>0.1</v>
      </c>
      <c r="T17" s="531">
        <f t="shared" si="7"/>
        <v>55.300000000000004</v>
      </c>
      <c r="U17" s="532">
        <f t="shared" si="8"/>
        <v>497.7</v>
      </c>
      <c r="V17" s="532">
        <f>U17</f>
        <v>497.7</v>
      </c>
      <c r="W17" s="532">
        <f>V17*J84</f>
        <v>13885.829999999998</v>
      </c>
      <c r="X17" s="534">
        <f>J17+W17</f>
        <v>15402.829999999998</v>
      </c>
      <c r="Y17" s="8"/>
      <c r="AB17" s="585"/>
      <c r="AC17" s="585"/>
    </row>
    <row r="18" spans="1:29" ht="12.75" x14ac:dyDescent="0.2">
      <c r="A18" s="8"/>
      <c r="B18" s="448"/>
      <c r="C18" s="506" t="s">
        <v>1569</v>
      </c>
      <c r="D18" s="588"/>
      <c r="E18" s="508">
        <v>1122641.432</v>
      </c>
      <c r="F18" s="511"/>
      <c r="G18" s="509"/>
      <c r="H18" s="511">
        <v>1963</v>
      </c>
      <c r="I18" s="512">
        <v>1982</v>
      </c>
      <c r="J18" s="513">
        <v>1259</v>
      </c>
      <c r="K18" s="514">
        <v>458.9</v>
      </c>
      <c r="L18" s="515">
        <v>0.29322131807065221</v>
      </c>
      <c r="M18" s="516">
        <f>K18*L18</f>
        <v>134.55926286262229</v>
      </c>
      <c r="N18" s="515">
        <v>0.98</v>
      </c>
      <c r="O18" s="516">
        <f>M18*N18</f>
        <v>131.86807760536985</v>
      </c>
      <c r="P18" s="516">
        <f>O18*2.75</f>
        <v>362.63721341476707</v>
      </c>
      <c r="Q18" s="516">
        <f>M18*(1-N18)</f>
        <v>2.6911852572524482</v>
      </c>
      <c r="R18" s="516">
        <f>K18*(1-L18)</f>
        <v>324.34073713737769</v>
      </c>
      <c r="S18" s="515">
        <v>0.1</v>
      </c>
      <c r="T18" s="516">
        <f t="shared" si="7"/>
        <v>32.434073713737767</v>
      </c>
      <c r="U18" s="516">
        <f t="shared" si="8"/>
        <v>291.90666342363994</v>
      </c>
      <c r="V18" s="516">
        <f>U18+Q18</f>
        <v>294.59784868089241</v>
      </c>
      <c r="W18" s="516">
        <f>V18*J84</f>
        <v>8219.279978196897</v>
      </c>
      <c r="X18" s="521">
        <f>J18+P18+W18</f>
        <v>9840.9171916116647</v>
      </c>
      <c r="Y18" s="8"/>
      <c r="Z18" s="539"/>
      <c r="AA18" s="585"/>
      <c r="AB18" s="585"/>
      <c r="AC18" s="585"/>
    </row>
    <row r="19" spans="1:29" ht="12.75" x14ac:dyDescent="0.2">
      <c r="A19" s="8"/>
      <c r="B19" s="448"/>
      <c r="C19" s="280" t="s">
        <v>1571</v>
      </c>
      <c r="D19" s="601"/>
      <c r="E19" s="240">
        <v>3487273</v>
      </c>
      <c r="F19" s="260"/>
      <c r="G19" s="285"/>
      <c r="H19" s="19"/>
      <c r="I19" s="527"/>
      <c r="J19" s="528">
        <v>3567</v>
      </c>
      <c r="K19" s="529">
        <v>1300</v>
      </c>
      <c r="L19" s="530"/>
      <c r="M19" s="531"/>
      <c r="N19" s="530"/>
      <c r="O19" s="532"/>
      <c r="P19" s="531"/>
      <c r="Q19" s="532"/>
      <c r="R19" s="531">
        <f>K19</f>
        <v>1300</v>
      </c>
      <c r="S19" s="530">
        <v>0.1</v>
      </c>
      <c r="T19" s="531">
        <f t="shared" si="7"/>
        <v>130</v>
      </c>
      <c r="U19" s="532">
        <f t="shared" si="8"/>
        <v>1170</v>
      </c>
      <c r="V19" s="532">
        <f>U19</f>
        <v>1170</v>
      </c>
      <c r="W19" s="532">
        <f>V19*J84</f>
        <v>32643</v>
      </c>
      <c r="X19" s="534">
        <f>J19+W19</f>
        <v>36210</v>
      </c>
      <c r="Y19" s="8"/>
      <c r="Z19" s="8"/>
      <c r="AA19" s="8"/>
      <c r="AB19" s="8"/>
      <c r="AC19" s="8"/>
    </row>
    <row r="20" spans="1:29" ht="12.75" x14ac:dyDescent="0.2">
      <c r="A20" s="8"/>
      <c r="B20" s="448"/>
      <c r="C20" s="280"/>
      <c r="D20" s="601"/>
      <c r="E20" s="240"/>
      <c r="F20" s="260"/>
      <c r="G20" s="285"/>
      <c r="H20" s="19"/>
      <c r="I20" s="527"/>
      <c r="J20" s="528"/>
      <c r="K20" s="529"/>
      <c r="L20" s="530"/>
      <c r="M20" s="531"/>
      <c r="N20" s="530"/>
      <c r="O20" s="532"/>
      <c r="P20" s="531"/>
      <c r="Q20" s="532"/>
      <c r="R20" s="531"/>
      <c r="S20" s="537"/>
      <c r="T20" s="531"/>
      <c r="U20" s="532"/>
      <c r="V20" s="532"/>
      <c r="W20" s="532"/>
      <c r="X20" s="534"/>
      <c r="Y20" s="8"/>
      <c r="Z20" s="8"/>
      <c r="AA20" s="8"/>
      <c r="AB20" s="8"/>
      <c r="AC20" s="8"/>
    </row>
    <row r="21" spans="1:29" ht="12.75" x14ac:dyDescent="0.2">
      <c r="A21" s="8"/>
      <c r="B21" s="505" t="s">
        <v>641</v>
      </c>
      <c r="C21" s="545" t="s">
        <v>1572</v>
      </c>
      <c r="D21" s="547">
        <v>18.320622</v>
      </c>
      <c r="E21" s="549">
        <f>D21*1000000*0.9071847</f>
        <v>16620187.9728834</v>
      </c>
      <c r="F21" s="551">
        <v>523000</v>
      </c>
      <c r="G21" s="551">
        <f>F21*0.9071847</f>
        <v>474457.5981</v>
      </c>
      <c r="H21" s="552">
        <v>1985</v>
      </c>
      <c r="I21" s="554">
        <v>2019</v>
      </c>
      <c r="J21" s="555">
        <v>23790</v>
      </c>
      <c r="K21" s="556">
        <v>8671</v>
      </c>
      <c r="L21" s="557">
        <v>0.20054539789069992</v>
      </c>
      <c r="M21" s="558">
        <f>K21*L21</f>
        <v>1738.929145110259</v>
      </c>
      <c r="N21" s="559">
        <v>0.99909999999999999</v>
      </c>
      <c r="O21" s="558">
        <f>M21*N21</f>
        <v>1737.3641088796599</v>
      </c>
      <c r="P21" s="558">
        <f>O21*2.75</f>
        <v>4777.7512994190647</v>
      </c>
      <c r="Q21" s="558">
        <f>M21*(1-N21)</f>
        <v>1.5650362305992538</v>
      </c>
      <c r="R21" s="558">
        <f>K21*(1-L21)</f>
        <v>6932.070854889741</v>
      </c>
      <c r="S21" s="557">
        <v>0.1</v>
      </c>
      <c r="T21" s="558">
        <f>R21*S21</f>
        <v>693.20708548897414</v>
      </c>
      <c r="U21" s="558">
        <f>R21-T21</f>
        <v>6238.8637694007666</v>
      </c>
      <c r="V21" s="558">
        <f>U21+Q21</f>
        <v>6240.4288056313662</v>
      </c>
      <c r="W21" s="558">
        <f>V21*J84</f>
        <v>174107.9636771151</v>
      </c>
      <c r="X21" s="573">
        <f>J21+P21+W21</f>
        <v>202675.71497653416</v>
      </c>
      <c r="Y21" s="8"/>
      <c r="Z21" s="8"/>
      <c r="AA21" s="8"/>
      <c r="AB21" s="8"/>
      <c r="AC21" s="8"/>
    </row>
    <row r="22" spans="1:29" ht="12.75" x14ac:dyDescent="0.2">
      <c r="A22" s="8"/>
      <c r="B22" s="448"/>
      <c r="C22" s="280"/>
      <c r="D22" s="525"/>
      <c r="E22" s="240"/>
      <c r="F22" s="285"/>
      <c r="G22" s="285"/>
      <c r="H22" s="19"/>
      <c r="I22" s="527"/>
      <c r="J22" s="528"/>
      <c r="K22" s="529"/>
      <c r="L22" s="530"/>
      <c r="M22" s="531"/>
      <c r="N22" s="530"/>
      <c r="O22" s="532"/>
      <c r="P22" s="531"/>
      <c r="Q22" s="532"/>
      <c r="R22" s="531"/>
      <c r="S22" s="537"/>
      <c r="T22" s="531"/>
      <c r="U22" s="532"/>
      <c r="V22" s="532"/>
      <c r="W22" s="532"/>
      <c r="X22" s="534"/>
      <c r="Y22" s="8"/>
      <c r="Z22" s="8"/>
      <c r="AA22" s="8"/>
      <c r="AB22" s="8"/>
      <c r="AC22" s="8"/>
    </row>
    <row r="23" spans="1:29" ht="12.75" x14ac:dyDescent="0.2">
      <c r="A23" s="8"/>
      <c r="B23" s="505" t="s">
        <v>619</v>
      </c>
      <c r="C23" s="545" t="s">
        <v>1577</v>
      </c>
      <c r="D23" s="547">
        <v>22.812999999999999</v>
      </c>
      <c r="E23" s="549">
        <f>D23*1000000*0.9071847</f>
        <v>20695604.561099999</v>
      </c>
      <c r="F23" s="551">
        <v>250000</v>
      </c>
      <c r="G23" s="551">
        <f>F23*0.9071847</f>
        <v>226796.17499999999</v>
      </c>
      <c r="H23" s="552">
        <v>1982</v>
      </c>
      <c r="I23" s="554">
        <v>2033</v>
      </c>
      <c r="J23" s="555">
        <v>33520</v>
      </c>
      <c r="K23" s="556">
        <v>12220</v>
      </c>
      <c r="L23" s="557">
        <v>0.61648914441231495</v>
      </c>
      <c r="M23" s="558">
        <f t="shared" ref="M23:M24" si="11">K23*L23</f>
        <v>7533.4973447184884</v>
      </c>
      <c r="N23" s="557">
        <v>0.98</v>
      </c>
      <c r="O23" s="558">
        <f t="shared" ref="O23:O24" si="12">M23*N23</f>
        <v>7382.8273978241186</v>
      </c>
      <c r="P23" s="558">
        <f t="shared" ref="P23:P24" si="13">O23*2.75</f>
        <v>20302.775344016325</v>
      </c>
      <c r="Q23" s="558">
        <f t="shared" ref="Q23:Q24" si="14">M23*(1-N23)</f>
        <v>150.6699468943699</v>
      </c>
      <c r="R23" s="558">
        <f t="shared" ref="R23:R24" si="15">K23*(1-L23)</f>
        <v>4686.5026552815116</v>
      </c>
      <c r="S23" s="557">
        <v>0.1</v>
      </c>
      <c r="T23" s="558">
        <f t="shared" ref="T23:T24" si="16">R23*S23</f>
        <v>468.65026552815118</v>
      </c>
      <c r="U23" s="558">
        <f t="shared" ref="U23:U24" si="17">R23-T23</f>
        <v>4217.8523897533605</v>
      </c>
      <c r="V23" s="558">
        <f t="shared" ref="V23:V24" si="18">U23+Q23</f>
        <v>4368.5223366477303</v>
      </c>
      <c r="W23" s="558">
        <f>V23*J84</f>
        <v>121881.77319247166</v>
      </c>
      <c r="X23" s="573">
        <f t="shared" ref="X23:X24" si="19">J23+P23+W23</f>
        <v>175704.54853648797</v>
      </c>
      <c r="Y23" s="8"/>
      <c r="Z23" s="8"/>
      <c r="AA23" s="8"/>
      <c r="AB23" s="8"/>
      <c r="AC23" s="8"/>
    </row>
    <row r="24" spans="1:29" ht="12.75" x14ac:dyDescent="0.2">
      <c r="A24" s="8"/>
      <c r="B24" s="448"/>
      <c r="C24" s="506" t="s">
        <v>1578</v>
      </c>
      <c r="D24" s="507"/>
      <c r="E24" s="508">
        <v>7259745.9500000002</v>
      </c>
      <c r="F24" s="509"/>
      <c r="G24" s="509"/>
      <c r="H24" s="511"/>
      <c r="I24" s="512"/>
      <c r="J24" s="513">
        <v>9723</v>
      </c>
      <c r="K24" s="514">
        <v>3544</v>
      </c>
      <c r="L24" s="515">
        <v>0.32604898557184747</v>
      </c>
      <c r="M24" s="516">
        <f t="shared" si="11"/>
        <v>1155.5176048666274</v>
      </c>
      <c r="N24" s="515">
        <v>0.98</v>
      </c>
      <c r="O24" s="516">
        <f t="shared" si="12"/>
        <v>1132.4072527692947</v>
      </c>
      <c r="P24" s="516">
        <f t="shared" si="13"/>
        <v>3114.1199451155603</v>
      </c>
      <c r="Q24" s="516">
        <f t="shared" si="14"/>
        <v>23.110352097332569</v>
      </c>
      <c r="R24" s="516">
        <f t="shared" si="15"/>
        <v>2388.4823951333724</v>
      </c>
      <c r="S24" s="515">
        <v>0.1</v>
      </c>
      <c r="T24" s="516">
        <f t="shared" si="16"/>
        <v>238.84823951333726</v>
      </c>
      <c r="U24" s="516">
        <f t="shared" si="17"/>
        <v>2149.634155620035</v>
      </c>
      <c r="V24" s="516">
        <f t="shared" si="18"/>
        <v>2172.7445077173675</v>
      </c>
      <c r="W24" s="516">
        <f>V24*J84</f>
        <v>60619.571765314548</v>
      </c>
      <c r="X24" s="521">
        <f t="shared" si="19"/>
        <v>73456.69171043011</v>
      </c>
      <c r="Y24" s="8"/>
      <c r="Z24" s="8"/>
      <c r="AA24" s="8"/>
      <c r="AB24" s="8"/>
      <c r="AC24" s="8"/>
    </row>
    <row r="25" spans="1:29" ht="12.75" x14ac:dyDescent="0.2">
      <c r="A25" s="8"/>
      <c r="B25" s="448"/>
      <c r="C25" s="280"/>
      <c r="D25" s="525"/>
      <c r="E25" s="240"/>
      <c r="F25" s="285"/>
      <c r="G25" s="285"/>
      <c r="H25" s="19"/>
      <c r="I25" s="527"/>
      <c r="J25" s="528"/>
      <c r="K25" s="529"/>
      <c r="L25" s="530"/>
      <c r="M25" s="531"/>
      <c r="N25" s="530"/>
      <c r="O25" s="532"/>
      <c r="P25" s="531"/>
      <c r="Q25" s="532"/>
      <c r="R25" s="531"/>
      <c r="S25" s="537"/>
      <c r="T25" s="531"/>
      <c r="U25" s="532"/>
      <c r="V25" s="532"/>
      <c r="W25" s="532"/>
      <c r="X25" s="534"/>
      <c r="Y25" s="8"/>
      <c r="Z25" s="8"/>
      <c r="AA25" s="8"/>
      <c r="AB25" s="8"/>
      <c r="AC25" s="8"/>
    </row>
    <row r="26" spans="1:29" ht="12.75" x14ac:dyDescent="0.2">
      <c r="A26" s="8"/>
      <c r="B26" s="505" t="s">
        <v>621</v>
      </c>
      <c r="C26" s="280" t="s">
        <v>1581</v>
      </c>
      <c r="D26" s="525">
        <v>2.7992900000000001</v>
      </c>
      <c r="E26" s="240">
        <f t="shared" ref="E26:E27" si="20">D26*1000000*0.9071847</f>
        <v>2539473.058863</v>
      </c>
      <c r="F26" s="285">
        <v>20000</v>
      </c>
      <c r="G26" s="285">
        <f t="shared" ref="G26:G27" si="21">F26*0.9071847</f>
        <v>18143.694</v>
      </c>
      <c r="H26" s="19">
        <v>1992</v>
      </c>
      <c r="I26" s="527">
        <v>2037</v>
      </c>
      <c r="J26" s="528">
        <v>1349</v>
      </c>
      <c r="K26" s="529">
        <v>491.6</v>
      </c>
      <c r="L26" s="530"/>
      <c r="M26" s="531"/>
      <c r="N26" s="530"/>
      <c r="O26" s="532"/>
      <c r="P26" s="531"/>
      <c r="Q26" s="532"/>
      <c r="R26" s="531">
        <f t="shared" ref="R26:R27" si="22">K26</f>
        <v>491.6</v>
      </c>
      <c r="S26" s="530">
        <v>0.1</v>
      </c>
      <c r="T26" s="531">
        <f t="shared" ref="T26:T27" si="23">R26*S26</f>
        <v>49.160000000000004</v>
      </c>
      <c r="U26" s="532">
        <f t="shared" ref="U26:U27" si="24">R26-T26</f>
        <v>442.44</v>
      </c>
      <c r="V26" s="532">
        <f t="shared" ref="V26:V27" si="25">U26</f>
        <v>442.44</v>
      </c>
      <c r="W26" s="532">
        <f>V26*J84</f>
        <v>12344.075999999999</v>
      </c>
      <c r="X26" s="534">
        <f t="shared" ref="X26:X27" si="26">J26+W26</f>
        <v>13693.075999999999</v>
      </c>
      <c r="Y26" s="8"/>
      <c r="Z26" s="8"/>
      <c r="AA26" s="8"/>
      <c r="AB26" s="8"/>
      <c r="AC26" s="8"/>
    </row>
    <row r="27" spans="1:29" ht="12.75" x14ac:dyDescent="0.2">
      <c r="A27" s="8"/>
      <c r="B27" s="448"/>
      <c r="C27" s="280" t="s">
        <v>1582</v>
      </c>
      <c r="D27" s="525">
        <v>0.6</v>
      </c>
      <c r="E27" s="240">
        <f t="shared" si="20"/>
        <v>544310.81999999995</v>
      </c>
      <c r="F27" s="285">
        <v>28000</v>
      </c>
      <c r="G27" s="285">
        <f t="shared" si="21"/>
        <v>25401.171599999998</v>
      </c>
      <c r="H27" s="19">
        <v>1975</v>
      </c>
      <c r="I27" s="527">
        <v>1993</v>
      </c>
      <c r="J27" s="528">
        <v>999.9</v>
      </c>
      <c r="K27" s="529">
        <v>364.4</v>
      </c>
      <c r="L27" s="530"/>
      <c r="M27" s="531"/>
      <c r="N27" s="530"/>
      <c r="O27" s="532"/>
      <c r="P27" s="531"/>
      <c r="Q27" s="532"/>
      <c r="R27" s="531">
        <f t="shared" si="22"/>
        <v>364.4</v>
      </c>
      <c r="S27" s="530">
        <v>0.1</v>
      </c>
      <c r="T27" s="531">
        <f t="shared" si="23"/>
        <v>36.44</v>
      </c>
      <c r="U27" s="532">
        <f t="shared" si="24"/>
        <v>327.96</v>
      </c>
      <c r="V27" s="532">
        <f t="shared" si="25"/>
        <v>327.96</v>
      </c>
      <c r="W27" s="532">
        <f>V27*J84</f>
        <v>9150.0839999999989</v>
      </c>
      <c r="X27" s="534">
        <f t="shared" si="26"/>
        <v>10149.983999999999</v>
      </c>
      <c r="Y27" s="8"/>
      <c r="Z27" s="8"/>
      <c r="AA27" s="8"/>
      <c r="AB27" s="8"/>
      <c r="AC27" s="8"/>
    </row>
    <row r="28" spans="1:29" ht="12.75" x14ac:dyDescent="0.2">
      <c r="A28" s="8"/>
      <c r="B28" s="448"/>
      <c r="C28" s="280"/>
      <c r="D28" s="525"/>
      <c r="E28" s="240"/>
      <c r="F28" s="285"/>
      <c r="G28" s="285"/>
      <c r="H28" s="19"/>
      <c r="I28" s="527"/>
      <c r="J28" s="528"/>
      <c r="K28" s="529"/>
      <c r="L28" s="530"/>
      <c r="M28" s="531"/>
      <c r="N28" s="530"/>
      <c r="O28" s="532"/>
      <c r="P28" s="531"/>
      <c r="Q28" s="532"/>
      <c r="R28" s="531"/>
      <c r="S28" s="537"/>
      <c r="T28" s="531"/>
      <c r="U28" s="532"/>
      <c r="V28" s="532"/>
      <c r="W28" s="532"/>
      <c r="X28" s="534"/>
      <c r="Y28" s="8"/>
      <c r="Z28" s="8"/>
      <c r="AA28" s="8"/>
      <c r="AB28" s="8"/>
      <c r="AC28" s="8"/>
    </row>
    <row r="29" spans="1:29" ht="12.75" x14ac:dyDescent="0.2">
      <c r="A29" s="8"/>
      <c r="B29" s="505" t="s">
        <v>622</v>
      </c>
      <c r="C29" s="545" t="s">
        <v>1584</v>
      </c>
      <c r="D29" s="547">
        <f>3487273/1000000</f>
        <v>3.4872730000000001</v>
      </c>
      <c r="E29" s="549"/>
      <c r="F29" s="551"/>
      <c r="G29" s="551"/>
      <c r="H29" s="552">
        <v>1953</v>
      </c>
      <c r="I29" s="554">
        <v>2010</v>
      </c>
      <c r="J29" s="555">
        <v>7114</v>
      </c>
      <c r="K29" s="556">
        <v>2593</v>
      </c>
      <c r="L29" s="557">
        <v>0.35789530393476165</v>
      </c>
      <c r="M29" s="558">
        <f>K29*L29</f>
        <v>928.022523102837</v>
      </c>
      <c r="N29" s="557">
        <v>0.98</v>
      </c>
      <c r="O29" s="558">
        <f>M29*N29</f>
        <v>909.46207264078021</v>
      </c>
      <c r="P29" s="558">
        <f>O29*2.75</f>
        <v>2501.0206997621453</v>
      </c>
      <c r="Q29" s="558">
        <f>M29*(1-N29)</f>
        <v>18.560450462056757</v>
      </c>
      <c r="R29" s="558">
        <f>K29*(1-L29)</f>
        <v>1664.9774768971631</v>
      </c>
      <c r="S29" s="557">
        <v>0.1</v>
      </c>
      <c r="T29" s="558">
        <f>R29*S29</f>
        <v>166.49774768971633</v>
      </c>
      <c r="U29" s="558">
        <f>R29-T29</f>
        <v>1498.4797292074468</v>
      </c>
      <c r="V29" s="558">
        <f>U29+Q29</f>
        <v>1517.0401796695035</v>
      </c>
      <c r="W29" s="558">
        <f>V29*J84</f>
        <v>42325.421012779145</v>
      </c>
      <c r="X29" s="573">
        <f>J29+P29+W29</f>
        <v>51940.441712541287</v>
      </c>
      <c r="Y29" s="8"/>
      <c r="Z29" s="8"/>
      <c r="AA29" s="8"/>
      <c r="AB29" s="8"/>
      <c r="AC29" s="8"/>
    </row>
    <row r="30" spans="1:29" ht="12.75" x14ac:dyDescent="0.2">
      <c r="A30" s="8"/>
      <c r="B30" s="448"/>
      <c r="C30" s="280"/>
      <c r="D30" s="525"/>
      <c r="E30" s="240"/>
      <c r="F30" s="285"/>
      <c r="G30" s="285"/>
      <c r="H30" s="19"/>
      <c r="I30" s="527"/>
      <c r="J30" s="528"/>
      <c r="K30" s="529"/>
      <c r="L30" s="530"/>
      <c r="M30" s="531"/>
      <c r="N30" s="530"/>
      <c r="O30" s="532"/>
      <c r="P30" s="531"/>
      <c r="Q30" s="532"/>
      <c r="R30" s="531"/>
      <c r="S30" s="537"/>
      <c r="T30" s="531"/>
      <c r="U30" s="532"/>
      <c r="V30" s="532"/>
      <c r="W30" s="532"/>
      <c r="X30" s="534"/>
      <c r="Y30" s="8"/>
      <c r="Z30" s="8"/>
      <c r="AA30" s="8"/>
      <c r="AB30" s="8"/>
      <c r="AC30" s="8"/>
    </row>
    <row r="31" spans="1:29" ht="12.75" x14ac:dyDescent="0.2">
      <c r="A31" s="8"/>
      <c r="B31" s="505" t="s">
        <v>623</v>
      </c>
      <c r="C31" s="280" t="s">
        <v>1586</v>
      </c>
      <c r="D31" s="601">
        <v>0.5</v>
      </c>
      <c r="E31" s="240">
        <f t="shared" ref="E31:E32" si="27">D31*1000000*0.9071847</f>
        <v>453592.35</v>
      </c>
      <c r="F31" s="260">
        <v>35000</v>
      </c>
      <c r="G31" s="285">
        <f t="shared" ref="G31:G32" si="28">F31*0.9071847</f>
        <v>31751.464499999998</v>
      </c>
      <c r="H31" s="19">
        <v>1981</v>
      </c>
      <c r="I31" s="527">
        <v>1994</v>
      </c>
      <c r="J31" s="528">
        <v>895.1</v>
      </c>
      <c r="K31" s="529">
        <v>326.2</v>
      </c>
      <c r="L31" s="530"/>
      <c r="M31" s="531"/>
      <c r="N31" s="530"/>
      <c r="O31" s="532"/>
      <c r="P31" s="531"/>
      <c r="Q31" s="532"/>
      <c r="R31" s="531">
        <f>K31</f>
        <v>326.2</v>
      </c>
      <c r="S31" s="530">
        <v>0.1</v>
      </c>
      <c r="T31" s="531">
        <f t="shared" ref="T31:T32" si="29">R31*S31</f>
        <v>32.619999999999997</v>
      </c>
      <c r="U31" s="532">
        <f t="shared" ref="U31:U32" si="30">R31-T31</f>
        <v>293.58</v>
      </c>
      <c r="V31" s="532">
        <f t="shared" ref="V31:V32" si="31">U31</f>
        <v>293.58</v>
      </c>
      <c r="W31" s="532">
        <f>V31*J84</f>
        <v>8190.8819999999987</v>
      </c>
      <c r="X31" s="534">
        <f>J31+W31</f>
        <v>9085.9819999999982</v>
      </c>
      <c r="Y31" s="8"/>
      <c r="Z31" s="8"/>
      <c r="AA31" s="8"/>
      <c r="AB31" s="8"/>
      <c r="AC31" s="8"/>
    </row>
    <row r="32" spans="1:29" ht="12.75" x14ac:dyDescent="0.2">
      <c r="A32" s="8"/>
      <c r="B32" s="448"/>
      <c r="C32" s="506" t="s">
        <v>1587</v>
      </c>
      <c r="D32" s="507">
        <v>3.5041869999999999</v>
      </c>
      <c r="E32" s="508">
        <f t="shared" si="27"/>
        <v>3178944.8323388998</v>
      </c>
      <c r="F32" s="509">
        <v>80000</v>
      </c>
      <c r="G32" s="509">
        <f t="shared" si="28"/>
        <v>72574.775999999998</v>
      </c>
      <c r="H32" s="511">
        <v>1988</v>
      </c>
      <c r="I32" s="512">
        <v>2053</v>
      </c>
      <c r="J32" s="513">
        <v>7074</v>
      </c>
      <c r="K32" s="514">
        <v>2578</v>
      </c>
      <c r="L32" s="515">
        <v>0.18253784056508576</v>
      </c>
      <c r="M32" s="516">
        <f>K32*L32</f>
        <v>470.58255297679108</v>
      </c>
      <c r="N32" s="515">
        <v>0.98</v>
      </c>
      <c r="O32" s="516">
        <f>M32*N32</f>
        <v>461.17090191725526</v>
      </c>
      <c r="P32" s="516">
        <f>O32*2.75</f>
        <v>1268.2199802724519</v>
      </c>
      <c r="Q32" s="516">
        <f>M32*(1-N32)</f>
        <v>9.4116510595358296</v>
      </c>
      <c r="R32" s="516">
        <f>K32*(1-L32)</f>
        <v>2107.4174470232092</v>
      </c>
      <c r="S32" s="515">
        <v>0.1</v>
      </c>
      <c r="T32" s="516">
        <f t="shared" si="29"/>
        <v>210.74174470232094</v>
      </c>
      <c r="U32" s="516">
        <f t="shared" si="30"/>
        <v>1896.6757023208884</v>
      </c>
      <c r="V32" s="516">
        <f t="shared" si="31"/>
        <v>1896.6757023208884</v>
      </c>
      <c r="W32" s="516">
        <f>V32*J84</f>
        <v>52917.252094752781</v>
      </c>
      <c r="X32" s="521">
        <f>J32+P32+W32</f>
        <v>61259.472075025231</v>
      </c>
      <c r="Y32" s="8"/>
      <c r="Z32" s="8"/>
      <c r="AA32" s="8"/>
      <c r="AB32" s="8"/>
      <c r="AC32" s="8"/>
    </row>
    <row r="33" spans="1:29" ht="12.75" x14ac:dyDescent="0.2">
      <c r="A33" s="8"/>
      <c r="B33" s="448"/>
      <c r="C33" s="280"/>
      <c r="D33" s="601"/>
      <c r="E33" s="240"/>
      <c r="F33" s="276"/>
      <c r="G33" s="276"/>
      <c r="H33" s="239"/>
      <c r="I33" s="280"/>
      <c r="J33" s="528"/>
      <c r="K33" s="529"/>
      <c r="L33" s="608"/>
      <c r="M33" s="529"/>
      <c r="N33" s="608"/>
      <c r="O33" s="609"/>
      <c r="P33" s="529"/>
      <c r="Q33" s="609"/>
      <c r="R33" s="529"/>
      <c r="S33" s="608"/>
      <c r="T33" s="529"/>
      <c r="U33" s="609"/>
      <c r="V33" s="609"/>
      <c r="W33" s="609"/>
      <c r="X33" s="610"/>
      <c r="Y33" s="8"/>
      <c r="Z33" s="8"/>
      <c r="AA33" s="8"/>
      <c r="AB33" s="8"/>
      <c r="AC33" s="8"/>
    </row>
    <row r="34" spans="1:29" ht="12.75" x14ac:dyDescent="0.2">
      <c r="A34" s="8"/>
      <c r="B34" s="505" t="s">
        <v>624</v>
      </c>
      <c r="C34" s="506" t="s">
        <v>1591</v>
      </c>
      <c r="D34" s="507">
        <v>4.5049999999999999</v>
      </c>
      <c r="E34" s="508">
        <f>D34*1000000*0.9071847</f>
        <v>4086867.0734999999</v>
      </c>
      <c r="F34" s="509"/>
      <c r="G34" s="509">
        <v>60623.332999999999</v>
      </c>
      <c r="H34" s="511">
        <v>1978</v>
      </c>
      <c r="I34" s="512">
        <v>2046</v>
      </c>
      <c r="J34" s="513">
        <v>13870</v>
      </c>
      <c r="K34" s="514">
        <v>5054</v>
      </c>
      <c r="L34" s="515">
        <v>0.28443345394736846</v>
      </c>
      <c r="M34" s="516">
        <f>K34*L34</f>
        <v>1437.5266762500003</v>
      </c>
      <c r="N34" s="515">
        <v>0.98</v>
      </c>
      <c r="O34" s="516">
        <f>M34*N34</f>
        <v>1408.7761427250002</v>
      </c>
      <c r="P34" s="516">
        <f>O34*2.75</f>
        <v>3874.1343924937505</v>
      </c>
      <c r="Q34" s="516">
        <f>M34*(1-N34)</f>
        <v>28.75053352500003</v>
      </c>
      <c r="R34" s="516">
        <f>K34*(1-L34)</f>
        <v>3616.4733237499995</v>
      </c>
      <c r="S34" s="515">
        <v>0.1</v>
      </c>
      <c r="T34" s="516">
        <f>R34*S34</f>
        <v>361.64733237499996</v>
      </c>
      <c r="U34" s="516">
        <f>R34-T34</f>
        <v>3254.8259913749994</v>
      </c>
      <c r="V34" s="516">
        <f>U34+Q34</f>
        <v>3283.5765248999992</v>
      </c>
      <c r="W34" s="516">
        <f>V34*J84</f>
        <v>91611.785044709977</v>
      </c>
      <c r="X34" s="521">
        <f>J34+P34+W34</f>
        <v>109355.91943720373</v>
      </c>
      <c r="Y34" s="8"/>
      <c r="Z34" s="8"/>
      <c r="AA34" s="8"/>
      <c r="AB34" s="8"/>
      <c r="AC34" s="8"/>
    </row>
    <row r="35" spans="1:29" ht="12.75" x14ac:dyDescent="0.2">
      <c r="A35" s="8"/>
      <c r="B35" s="448"/>
      <c r="C35" s="280"/>
      <c r="D35" s="525"/>
      <c r="E35" s="240"/>
      <c r="F35" s="285"/>
      <c r="G35" s="285"/>
      <c r="H35" s="19"/>
      <c r="I35" s="527"/>
      <c r="J35" s="528"/>
      <c r="K35" s="529"/>
      <c r="L35" s="530"/>
      <c r="M35" s="531"/>
      <c r="N35" s="530"/>
      <c r="O35" s="532"/>
      <c r="P35" s="531"/>
      <c r="Q35" s="532"/>
      <c r="R35" s="531"/>
      <c r="S35" s="537"/>
      <c r="T35" s="531"/>
      <c r="U35" s="532"/>
      <c r="V35" s="532"/>
      <c r="W35" s="532"/>
      <c r="X35" s="534"/>
      <c r="Y35" s="8"/>
      <c r="Z35" s="8"/>
      <c r="AA35" s="8"/>
      <c r="AB35" s="8"/>
      <c r="AC35" s="8"/>
    </row>
    <row r="36" spans="1:29" ht="12.75" x14ac:dyDescent="0.2">
      <c r="A36" s="8"/>
      <c r="B36" s="505" t="s">
        <v>625</v>
      </c>
      <c r="C36" s="506" t="s">
        <v>1592</v>
      </c>
      <c r="D36" s="507">
        <v>4.3746999999999998</v>
      </c>
      <c r="E36" s="508">
        <f t="shared" ref="E36:E37" si="32">D36*1000000*0.9071847</f>
        <v>3968660.9070899999</v>
      </c>
      <c r="F36" s="509">
        <v>82000</v>
      </c>
      <c r="G36" s="509">
        <f t="shared" ref="G36:G37" si="33">F36*0.9071847</f>
        <v>74389.145399999994</v>
      </c>
      <c r="H36" s="511">
        <v>1994</v>
      </c>
      <c r="I36" s="512">
        <v>2040</v>
      </c>
      <c r="J36" s="513">
        <v>12663.938609437322</v>
      </c>
      <c r="K36" s="514">
        <v>7512.354445896297</v>
      </c>
      <c r="L36" s="515">
        <v>0.74299999999999999</v>
      </c>
      <c r="M36" s="516">
        <f>K36*L36</f>
        <v>5581.6793533009486</v>
      </c>
      <c r="N36" s="515">
        <v>0.98</v>
      </c>
      <c r="O36" s="516">
        <f>M36*N36</f>
        <v>5470.0457662349299</v>
      </c>
      <c r="P36" s="516">
        <f>O36*2.75</f>
        <v>15042.625857146057</v>
      </c>
      <c r="Q36" s="516">
        <f>M36*(1-N36)</f>
        <v>111.63358706601907</v>
      </c>
      <c r="R36" s="516">
        <f>K36*(1-L36)</f>
        <v>1930.6750925953484</v>
      </c>
      <c r="S36" s="515">
        <v>0.1</v>
      </c>
      <c r="T36" s="516">
        <f t="shared" ref="T36:T37" si="34">R36*S36</f>
        <v>193.06750925953486</v>
      </c>
      <c r="U36" s="516">
        <f t="shared" ref="U36:U37" si="35">R36-T36</f>
        <v>1737.6075833358136</v>
      </c>
      <c r="V36" s="516">
        <f t="shared" ref="V36:V37" si="36">U36</f>
        <v>1737.6075833358136</v>
      </c>
      <c r="W36" s="516">
        <f>V36*J84</f>
        <v>48479.251575069196</v>
      </c>
      <c r="X36" s="521">
        <f>J36+P36+W36</f>
        <v>76185.816041652579</v>
      </c>
      <c r="Y36" s="8"/>
      <c r="Z36" s="8"/>
      <c r="AA36" s="8"/>
      <c r="AB36" s="8"/>
      <c r="AC36" s="8"/>
    </row>
    <row r="37" spans="1:29" ht="12.75" x14ac:dyDescent="0.2">
      <c r="A37" s="8"/>
      <c r="B37" s="448"/>
      <c r="C37" s="280" t="s">
        <v>1594</v>
      </c>
      <c r="D37" s="525">
        <v>1.5</v>
      </c>
      <c r="E37" s="240">
        <f t="shared" si="32"/>
        <v>1360777.05</v>
      </c>
      <c r="F37" s="285">
        <v>75000</v>
      </c>
      <c r="G37" s="285">
        <f t="shared" si="33"/>
        <v>68038.852499999994</v>
      </c>
      <c r="H37" s="19">
        <v>1974</v>
      </c>
      <c r="I37" s="527">
        <v>1994</v>
      </c>
      <c r="J37" s="528">
        <v>2806</v>
      </c>
      <c r="K37" s="529">
        <v>1023</v>
      </c>
      <c r="L37" s="530"/>
      <c r="M37" s="531"/>
      <c r="N37" s="530"/>
      <c r="O37" s="532"/>
      <c r="P37" s="531"/>
      <c r="Q37" s="532"/>
      <c r="R37" s="531">
        <f>K37</f>
        <v>1023</v>
      </c>
      <c r="S37" s="530">
        <v>0.1</v>
      </c>
      <c r="T37" s="531">
        <f t="shared" si="34"/>
        <v>102.30000000000001</v>
      </c>
      <c r="U37" s="532">
        <f t="shared" si="35"/>
        <v>920.7</v>
      </c>
      <c r="V37" s="532">
        <f t="shared" si="36"/>
        <v>920.7</v>
      </c>
      <c r="W37" s="532">
        <f>V37*J84</f>
        <v>25687.53</v>
      </c>
      <c r="X37" s="534">
        <f>J37+W37</f>
        <v>28493.53</v>
      </c>
      <c r="Y37" s="8"/>
      <c r="Z37" s="8"/>
      <c r="AA37" s="8"/>
      <c r="AB37" s="8"/>
      <c r="AC37" s="8"/>
    </row>
    <row r="38" spans="1:29" ht="12.75" x14ac:dyDescent="0.2">
      <c r="A38" s="8"/>
      <c r="B38" s="448"/>
      <c r="C38" s="280"/>
      <c r="D38" s="525"/>
      <c r="E38" s="240"/>
      <c r="F38" s="285"/>
      <c r="G38" s="285"/>
      <c r="H38" s="19"/>
      <c r="I38" s="527"/>
      <c r="J38" s="528"/>
      <c r="K38" s="529"/>
      <c r="L38" s="530"/>
      <c r="M38" s="531"/>
      <c r="N38" s="530"/>
      <c r="O38" s="532"/>
      <c r="P38" s="531"/>
      <c r="Q38" s="532"/>
      <c r="R38" s="531"/>
      <c r="S38" s="537"/>
      <c r="T38" s="531"/>
      <c r="U38" s="532"/>
      <c r="V38" s="532"/>
      <c r="W38" s="532"/>
      <c r="X38" s="534"/>
      <c r="Y38" s="8"/>
      <c r="Z38" s="8"/>
      <c r="AA38" s="8"/>
      <c r="AB38" s="8"/>
      <c r="AC38" s="8"/>
    </row>
    <row r="39" spans="1:29" ht="12.75" x14ac:dyDescent="0.2">
      <c r="A39" s="8"/>
      <c r="B39" s="505" t="s">
        <v>1595</v>
      </c>
      <c r="C39" s="280" t="s">
        <v>1596</v>
      </c>
      <c r="D39" s="525">
        <v>0.8</v>
      </c>
      <c r="E39" s="240">
        <f t="shared" ref="E39:E40" si="37">D39*1000000*0.9071847</f>
        <v>725747.76</v>
      </c>
      <c r="F39" s="285">
        <v>35000</v>
      </c>
      <c r="G39" s="285">
        <f>F39*0.9071847</f>
        <v>31751.464499999998</v>
      </c>
      <c r="H39" s="19">
        <v>1973</v>
      </c>
      <c r="I39" s="527">
        <v>1995</v>
      </c>
      <c r="J39" s="528">
        <v>5194</v>
      </c>
      <c r="K39" s="529">
        <v>1893</v>
      </c>
      <c r="L39" s="530"/>
      <c r="M39" s="531"/>
      <c r="N39" s="530"/>
      <c r="O39" s="532"/>
      <c r="P39" s="531"/>
      <c r="Q39" s="532"/>
      <c r="R39" s="531">
        <f>K39</f>
        <v>1893</v>
      </c>
      <c r="S39" s="530">
        <v>0.1</v>
      </c>
      <c r="T39" s="531">
        <f t="shared" ref="T39:T40" si="38">R39*S39</f>
        <v>189.3</v>
      </c>
      <c r="U39" s="532">
        <f t="shared" ref="U39:U44" si="39">R39-T39</f>
        <v>1703.7</v>
      </c>
      <c r="V39" s="532">
        <f>U39</f>
        <v>1703.7</v>
      </c>
      <c r="W39" s="532">
        <f>V39*J84</f>
        <v>47533.229999999996</v>
      </c>
      <c r="X39" s="534">
        <f>J39+W39</f>
        <v>52727.229999999996</v>
      </c>
      <c r="Y39" s="8"/>
      <c r="Z39" s="8"/>
      <c r="AA39" s="8"/>
      <c r="AB39" s="8"/>
      <c r="AC39" s="8"/>
    </row>
    <row r="40" spans="1:29" ht="12.75" x14ac:dyDescent="0.2">
      <c r="A40" s="8"/>
      <c r="B40" s="448"/>
      <c r="C40" s="506" t="s">
        <v>1597</v>
      </c>
      <c r="D40" s="507">
        <v>4.0999999999999996</v>
      </c>
      <c r="E40" s="508">
        <f t="shared" si="37"/>
        <v>3719457.2699999996</v>
      </c>
      <c r="F40" s="509"/>
      <c r="G40" s="509"/>
      <c r="H40" s="511">
        <v>1996</v>
      </c>
      <c r="I40" s="512">
        <v>2010</v>
      </c>
      <c r="J40" s="513">
        <v>6914</v>
      </c>
      <c r="K40" s="514">
        <v>2520</v>
      </c>
      <c r="L40" s="617">
        <v>3.7573751030502891E-3</v>
      </c>
      <c r="M40" s="516">
        <f>K40*L40</f>
        <v>9.4685852596867282</v>
      </c>
      <c r="N40" s="515">
        <v>0.99</v>
      </c>
      <c r="O40" s="516">
        <f>M40*N40</f>
        <v>9.3738994070898602</v>
      </c>
      <c r="P40" s="516">
        <f>O40*2.75</f>
        <v>25.778223369497116</v>
      </c>
      <c r="Q40" s="516">
        <f>M40*(1-N40)</f>
        <v>9.4685852596867362E-2</v>
      </c>
      <c r="R40" s="516">
        <f>K40*(1-L40)</f>
        <v>2510.5314147403133</v>
      </c>
      <c r="S40" s="515">
        <v>0.1</v>
      </c>
      <c r="T40" s="516">
        <f t="shared" si="38"/>
        <v>251.05314147403135</v>
      </c>
      <c r="U40" s="516">
        <f t="shared" si="39"/>
        <v>2259.478273266282</v>
      </c>
      <c r="V40" s="516">
        <f>U40+Q40</f>
        <v>2259.5729591188788</v>
      </c>
      <c r="W40" s="516">
        <f>V40*J84</f>
        <v>63042.085559416715</v>
      </c>
      <c r="X40" s="521">
        <f>J40+P40+W40</f>
        <v>69981.863782786211</v>
      </c>
      <c r="Y40" s="8"/>
      <c r="Z40" s="8"/>
      <c r="AA40" s="8"/>
      <c r="AB40" s="8"/>
      <c r="AC40" s="8"/>
    </row>
    <row r="41" spans="1:29" ht="12.75" x14ac:dyDescent="0.2">
      <c r="A41" s="8"/>
      <c r="B41" s="448"/>
      <c r="C41" s="280"/>
      <c r="D41" s="525"/>
      <c r="E41" s="240"/>
      <c r="F41" s="285"/>
      <c r="G41" s="285"/>
      <c r="H41" s="19"/>
      <c r="I41" s="527"/>
      <c r="J41" s="528"/>
      <c r="K41" s="529"/>
      <c r="L41" s="530"/>
      <c r="M41" s="531"/>
      <c r="N41" s="530"/>
      <c r="O41" s="532"/>
      <c r="P41" s="531"/>
      <c r="Q41" s="532"/>
      <c r="R41" s="531"/>
      <c r="S41" s="537"/>
      <c r="T41" s="531"/>
      <c r="U41" s="532">
        <f t="shared" si="39"/>
        <v>0</v>
      </c>
      <c r="V41" s="532"/>
      <c r="W41" s="532"/>
      <c r="X41" s="534"/>
      <c r="Y41" s="8"/>
      <c r="Z41" s="8"/>
      <c r="AA41" s="8"/>
      <c r="AB41" s="8"/>
      <c r="AC41" s="8"/>
    </row>
    <row r="42" spans="1:29" ht="12.75" x14ac:dyDescent="0.2">
      <c r="A42" s="8"/>
      <c r="B42" s="505" t="s">
        <v>627</v>
      </c>
      <c r="C42" s="280" t="s">
        <v>1599</v>
      </c>
      <c r="D42" s="525">
        <v>1.0008999999999999</v>
      </c>
      <c r="E42" s="240">
        <f t="shared" ref="E42:E44" si="40">D42*1000000*0.9071847</f>
        <v>908001.16622999986</v>
      </c>
      <c r="F42" s="285"/>
      <c r="G42" s="285">
        <f t="shared" ref="G42:G44" si="41">F42*0.9071847</f>
        <v>0</v>
      </c>
      <c r="H42" s="19">
        <v>1991</v>
      </c>
      <c r="I42" s="527">
        <v>2504</v>
      </c>
      <c r="J42" s="528">
        <v>151.69999999999999</v>
      </c>
      <c r="K42" s="529">
        <v>55.27</v>
      </c>
      <c r="L42" s="530"/>
      <c r="M42" s="531"/>
      <c r="N42" s="530"/>
      <c r="O42" s="532"/>
      <c r="P42" s="531"/>
      <c r="Q42" s="532"/>
      <c r="R42" s="531">
        <f>K42</f>
        <v>55.27</v>
      </c>
      <c r="S42" s="530">
        <v>0.1</v>
      </c>
      <c r="T42" s="531">
        <f t="shared" ref="T42:T44" si="42">R42*S42</f>
        <v>5.527000000000001</v>
      </c>
      <c r="U42" s="532">
        <f t="shared" si="39"/>
        <v>49.743000000000002</v>
      </c>
      <c r="V42" s="532">
        <f>U42</f>
        <v>49.743000000000002</v>
      </c>
      <c r="W42" s="532">
        <f>V42*J84</f>
        <v>1387.8297</v>
      </c>
      <c r="X42" s="534">
        <f>J42+W42</f>
        <v>1539.5297</v>
      </c>
      <c r="Y42" s="8"/>
      <c r="Z42" s="8"/>
      <c r="AA42" s="8"/>
      <c r="AB42" s="8"/>
      <c r="AC42" s="8"/>
    </row>
    <row r="43" spans="1:29" ht="12.75" x14ac:dyDescent="0.2">
      <c r="A43" s="8"/>
      <c r="B43" s="448"/>
      <c r="C43" s="506" t="s">
        <v>1600</v>
      </c>
      <c r="D43" s="507">
        <v>2.1</v>
      </c>
      <c r="E43" s="508">
        <f t="shared" si="40"/>
        <v>1905087.8699999999</v>
      </c>
      <c r="F43" s="509">
        <v>69200</v>
      </c>
      <c r="G43" s="509">
        <f t="shared" si="41"/>
        <v>62777.181239999998</v>
      </c>
      <c r="H43" s="511">
        <v>1968</v>
      </c>
      <c r="I43" s="512">
        <v>1997</v>
      </c>
      <c r="J43" s="513">
        <v>7599</v>
      </c>
      <c r="K43" s="514">
        <v>2769</v>
      </c>
      <c r="L43" s="515">
        <v>0.89783270817704419</v>
      </c>
      <c r="M43" s="516">
        <f>K43*L43</f>
        <v>2486.0987689422354</v>
      </c>
      <c r="N43" s="515">
        <v>0.98</v>
      </c>
      <c r="O43" s="516">
        <f>M43*N43</f>
        <v>2436.3767935633905</v>
      </c>
      <c r="P43" s="516">
        <f>O43*2.75</f>
        <v>6700.0361822993236</v>
      </c>
      <c r="Q43" s="516">
        <f>M43*(1-N43)</f>
        <v>49.721975378844753</v>
      </c>
      <c r="R43" s="516">
        <f>K43*(1-L43)</f>
        <v>282.90123105776462</v>
      </c>
      <c r="S43" s="515">
        <v>0.1</v>
      </c>
      <c r="T43" s="516">
        <f t="shared" si="42"/>
        <v>28.290123105776463</v>
      </c>
      <c r="U43" s="516">
        <f t="shared" si="39"/>
        <v>254.61110795198815</v>
      </c>
      <c r="V43" s="516">
        <f>U43+Q43</f>
        <v>304.33308333083289</v>
      </c>
      <c r="W43" s="516">
        <f>V43*J84</f>
        <v>8490.8930249302375</v>
      </c>
      <c r="X43" s="521">
        <f>J43+P43+W43</f>
        <v>22789.929207229561</v>
      </c>
      <c r="Y43" s="8"/>
      <c r="Z43" s="8"/>
      <c r="AA43" s="8"/>
      <c r="AB43" s="8"/>
      <c r="AC43" s="8"/>
    </row>
    <row r="44" spans="1:29" ht="12.75" x14ac:dyDescent="0.2">
      <c r="A44" s="8"/>
      <c r="B44" s="448"/>
      <c r="C44" s="280" t="s">
        <v>1602</v>
      </c>
      <c r="D44" s="525">
        <v>4.2261879999999996</v>
      </c>
      <c r="E44" s="240">
        <f t="shared" si="40"/>
        <v>3833933.0929235998</v>
      </c>
      <c r="F44" s="285">
        <v>100000</v>
      </c>
      <c r="G44" s="285">
        <f t="shared" si="41"/>
        <v>90718.47</v>
      </c>
      <c r="H44" s="19">
        <v>1995</v>
      </c>
      <c r="I44" s="527">
        <v>2045</v>
      </c>
      <c r="J44" s="528">
        <v>1127</v>
      </c>
      <c r="K44" s="529">
        <v>410.8</v>
      </c>
      <c r="L44" s="530"/>
      <c r="M44" s="531"/>
      <c r="N44" s="530"/>
      <c r="O44" s="532"/>
      <c r="P44" s="531"/>
      <c r="Q44" s="532"/>
      <c r="R44" s="531">
        <f>K44</f>
        <v>410.8</v>
      </c>
      <c r="S44" s="530">
        <v>0.1</v>
      </c>
      <c r="T44" s="531">
        <f t="shared" si="42"/>
        <v>41.080000000000005</v>
      </c>
      <c r="U44" s="532">
        <f t="shared" si="39"/>
        <v>369.72</v>
      </c>
      <c r="V44" s="532">
        <f>U44</f>
        <v>369.72</v>
      </c>
      <c r="W44" s="532">
        <f>V44*J84</f>
        <v>10315.188</v>
      </c>
      <c r="X44" s="534">
        <f>J44+W44</f>
        <v>11442.188</v>
      </c>
      <c r="Y44" s="8"/>
      <c r="Z44" s="8"/>
      <c r="AA44" s="8"/>
      <c r="AB44" s="8"/>
      <c r="AC44" s="8"/>
    </row>
    <row r="45" spans="1:29" ht="12.75" x14ac:dyDescent="0.2">
      <c r="A45" s="8"/>
      <c r="B45" s="448"/>
      <c r="C45" s="280"/>
      <c r="D45" s="525"/>
      <c r="E45" s="240"/>
      <c r="F45" s="285"/>
      <c r="G45" s="285"/>
      <c r="H45" s="19"/>
      <c r="I45" s="527"/>
      <c r="J45" s="528"/>
      <c r="K45" s="529"/>
      <c r="L45" s="530"/>
      <c r="M45" s="531"/>
      <c r="N45" s="530"/>
      <c r="O45" s="532"/>
      <c r="P45" s="531"/>
      <c r="Q45" s="532"/>
      <c r="R45" s="531"/>
      <c r="S45" s="537"/>
      <c r="T45" s="531"/>
      <c r="U45" s="532"/>
      <c r="V45" s="532"/>
      <c r="W45" s="532"/>
      <c r="X45" s="534"/>
      <c r="Y45" s="8"/>
      <c r="Z45" s="8"/>
      <c r="AA45" s="8"/>
      <c r="AB45" s="8"/>
      <c r="AC45" s="8"/>
    </row>
    <row r="46" spans="1:29" ht="12.75" x14ac:dyDescent="0.2">
      <c r="A46" s="8"/>
      <c r="B46" s="505" t="s">
        <v>628</v>
      </c>
      <c r="C46" s="280" t="s">
        <v>1603</v>
      </c>
      <c r="D46" s="525">
        <v>1.537185</v>
      </c>
      <c r="E46" s="240">
        <f t="shared" ref="E46:E47" si="43">D46*1000000*0.9071847</f>
        <v>1394510.7130694999</v>
      </c>
      <c r="F46" s="285">
        <v>38000</v>
      </c>
      <c r="G46" s="285">
        <f t="shared" ref="G46:G47" si="44">F46*0.9071847</f>
        <v>34473.018599999996</v>
      </c>
      <c r="H46" s="19">
        <v>1994</v>
      </c>
      <c r="I46" s="527">
        <v>2028</v>
      </c>
      <c r="J46" s="528">
        <v>5242</v>
      </c>
      <c r="K46" s="529">
        <v>1910</v>
      </c>
      <c r="L46" s="530"/>
      <c r="M46" s="531"/>
      <c r="N46" s="530"/>
      <c r="O46" s="532"/>
      <c r="P46" s="531"/>
      <c r="Q46" s="532"/>
      <c r="R46" s="531">
        <f t="shared" ref="R46:R47" si="45">K46</f>
        <v>1910</v>
      </c>
      <c r="S46" s="530">
        <v>0.1</v>
      </c>
      <c r="T46" s="531">
        <f t="shared" ref="T46:T47" si="46">R46*S46</f>
        <v>191</v>
      </c>
      <c r="U46" s="532">
        <f t="shared" ref="U46:U47" si="47">R46-T46</f>
        <v>1719</v>
      </c>
      <c r="V46" s="532">
        <f t="shared" ref="V46:V47" si="48">U46</f>
        <v>1719</v>
      </c>
      <c r="W46" s="532">
        <f>V46*J84</f>
        <v>47960.1</v>
      </c>
      <c r="X46" s="534">
        <f t="shared" ref="X46:X47" si="49">J46+W46</f>
        <v>53202.1</v>
      </c>
      <c r="Y46" s="8"/>
      <c r="Z46" s="8"/>
      <c r="AA46" s="8"/>
      <c r="AB46" s="8"/>
      <c r="AC46" s="8"/>
    </row>
    <row r="47" spans="1:29" ht="12.75" x14ac:dyDescent="0.2">
      <c r="A47" s="8"/>
      <c r="B47" s="448"/>
      <c r="C47" s="280" t="s">
        <v>1604</v>
      </c>
      <c r="D47" s="525">
        <v>0.8</v>
      </c>
      <c r="E47" s="240">
        <f t="shared" si="43"/>
        <v>725747.76</v>
      </c>
      <c r="F47" s="285">
        <v>20000</v>
      </c>
      <c r="G47" s="285">
        <f t="shared" si="44"/>
        <v>18143.694</v>
      </c>
      <c r="H47" s="19">
        <v>1974</v>
      </c>
      <c r="I47" s="527">
        <v>1994</v>
      </c>
      <c r="J47" s="528">
        <v>1273</v>
      </c>
      <c r="K47" s="529">
        <v>464.1</v>
      </c>
      <c r="L47" s="530"/>
      <c r="M47" s="531"/>
      <c r="N47" s="530"/>
      <c r="O47" s="532"/>
      <c r="P47" s="531"/>
      <c r="Q47" s="532"/>
      <c r="R47" s="531">
        <f t="shared" si="45"/>
        <v>464.1</v>
      </c>
      <c r="S47" s="530">
        <v>0.1</v>
      </c>
      <c r="T47" s="531">
        <f t="shared" si="46"/>
        <v>46.410000000000004</v>
      </c>
      <c r="U47" s="532">
        <f t="shared" si="47"/>
        <v>417.69</v>
      </c>
      <c r="V47" s="532">
        <f t="shared" si="48"/>
        <v>417.69</v>
      </c>
      <c r="W47" s="532">
        <f>V47*J84</f>
        <v>11653.550999999999</v>
      </c>
      <c r="X47" s="534">
        <f t="shared" si="49"/>
        <v>12926.550999999999</v>
      </c>
      <c r="Y47" s="8"/>
      <c r="Z47" s="8"/>
      <c r="AA47" s="8"/>
      <c r="AB47" s="8"/>
      <c r="AC47" s="8"/>
    </row>
    <row r="48" spans="1:29" ht="12.75" x14ac:dyDescent="0.2">
      <c r="A48" s="8"/>
      <c r="B48" s="448"/>
      <c r="C48" s="280"/>
      <c r="D48" s="601"/>
      <c r="E48" s="240"/>
      <c r="F48" s="276"/>
      <c r="G48" s="276"/>
      <c r="H48" s="239"/>
      <c r="I48" s="280"/>
      <c r="J48" s="528"/>
      <c r="K48" s="529"/>
      <c r="L48" s="608"/>
      <c r="M48" s="529"/>
      <c r="N48" s="608"/>
      <c r="O48" s="609"/>
      <c r="P48" s="529"/>
      <c r="Q48" s="609"/>
      <c r="R48" s="529"/>
      <c r="S48" s="608"/>
      <c r="T48" s="529"/>
      <c r="U48" s="609"/>
      <c r="V48" s="609"/>
      <c r="W48" s="609"/>
      <c r="X48" s="610"/>
      <c r="Y48" s="8"/>
      <c r="Z48" s="8"/>
      <c r="AA48" s="8"/>
      <c r="AB48" s="8"/>
      <c r="AC48" s="8"/>
    </row>
    <row r="49" spans="1:29" ht="12.75" x14ac:dyDescent="0.2">
      <c r="A49" s="8"/>
      <c r="B49" s="505" t="s">
        <v>629</v>
      </c>
      <c r="C49" s="506" t="s">
        <v>1606</v>
      </c>
      <c r="D49" s="507">
        <v>2.98</v>
      </c>
      <c r="E49" s="508">
        <f>D49*1000000*0.9071847</f>
        <v>2703410.406</v>
      </c>
      <c r="F49" s="509">
        <v>74000</v>
      </c>
      <c r="G49" s="509">
        <f>F49*0.9071847</f>
        <v>67131.667799999996</v>
      </c>
      <c r="H49" s="511">
        <v>1986</v>
      </c>
      <c r="I49" s="512">
        <v>2008</v>
      </c>
      <c r="J49" s="513">
        <v>4710</v>
      </c>
      <c r="K49" s="514">
        <v>1717</v>
      </c>
      <c r="L49" s="515">
        <v>0.3293486096114272</v>
      </c>
      <c r="M49" s="516">
        <f>K49*L49</f>
        <v>565.49156270282049</v>
      </c>
      <c r="N49" s="515">
        <v>0.99</v>
      </c>
      <c r="O49" s="516">
        <f>M49*N49</f>
        <v>559.83664707579226</v>
      </c>
      <c r="P49" s="516">
        <f>O49*2.75</f>
        <v>1539.5507794584287</v>
      </c>
      <c r="Q49" s="516">
        <f>M49*(1-N49)</f>
        <v>5.6549156270282097</v>
      </c>
      <c r="R49" s="516">
        <f>K49*(1-L49)</f>
        <v>1151.5084372971794</v>
      </c>
      <c r="S49" s="515">
        <v>0.1</v>
      </c>
      <c r="T49" s="516">
        <f>R49*S49</f>
        <v>115.15084372971795</v>
      </c>
      <c r="U49" s="516">
        <f>R49-T49</f>
        <v>1036.3575935674614</v>
      </c>
      <c r="V49" s="516">
        <f>U49+Q49</f>
        <v>1042.0125091944897</v>
      </c>
      <c r="W49" s="516">
        <f>V49*J84</f>
        <v>29072.149006526259</v>
      </c>
      <c r="X49" s="521">
        <f>J49+P49+W49</f>
        <v>35321.699785984689</v>
      </c>
      <c r="Y49" s="8"/>
      <c r="Z49" s="8"/>
      <c r="AA49" s="8"/>
      <c r="AB49" s="8"/>
      <c r="AC49" s="8"/>
    </row>
    <row r="50" spans="1:29" ht="12.75" x14ac:dyDescent="0.2">
      <c r="A50" s="8"/>
      <c r="B50" s="448"/>
      <c r="C50" s="280"/>
      <c r="D50" s="525"/>
      <c r="E50" s="240"/>
      <c r="F50" s="285"/>
      <c r="G50" s="285"/>
      <c r="H50" s="19"/>
      <c r="I50" s="527"/>
      <c r="J50" s="528"/>
      <c r="K50" s="529"/>
      <c r="L50" s="530"/>
      <c r="M50" s="531"/>
      <c r="N50" s="530"/>
      <c r="O50" s="532"/>
      <c r="P50" s="531"/>
      <c r="Q50" s="532"/>
      <c r="R50" s="531"/>
      <c r="S50" s="537"/>
      <c r="T50" s="531"/>
      <c r="U50" s="532"/>
      <c r="V50" s="532"/>
      <c r="W50" s="532"/>
      <c r="X50" s="534"/>
      <c r="Y50" s="8"/>
      <c r="Z50" s="8"/>
      <c r="AA50" s="8"/>
      <c r="AB50" s="8"/>
      <c r="AC50" s="8"/>
    </row>
    <row r="51" spans="1:29" ht="12.75" x14ac:dyDescent="0.2">
      <c r="A51" s="8"/>
      <c r="B51" s="505" t="s">
        <v>632</v>
      </c>
      <c r="C51" s="506" t="s">
        <v>1601</v>
      </c>
      <c r="D51" s="507">
        <v>6.35</v>
      </c>
      <c r="E51" s="508">
        <v>6350293</v>
      </c>
      <c r="F51" s="509"/>
      <c r="G51" s="509"/>
      <c r="H51" s="511">
        <v>1982</v>
      </c>
      <c r="I51" s="512">
        <v>1995</v>
      </c>
      <c r="J51" s="513">
        <v>9777</v>
      </c>
      <c r="K51" s="514">
        <v>3563</v>
      </c>
      <c r="L51" s="515">
        <v>0.56168312956268229</v>
      </c>
      <c r="M51" s="516">
        <f t="shared" ref="M51:M52" si="50">K51*L51</f>
        <v>2001.276990631837</v>
      </c>
      <c r="N51" s="515">
        <v>0.97</v>
      </c>
      <c r="O51" s="516">
        <f t="shared" ref="O51:O52" si="51">M51*N51</f>
        <v>1941.2386809128818</v>
      </c>
      <c r="P51" s="516">
        <f t="shared" ref="P51:P52" si="52">O51*2.75</f>
        <v>5338.4063725104252</v>
      </c>
      <c r="Q51" s="516">
        <f t="shared" ref="Q51:Q52" si="53">M51*(1-N51)</f>
        <v>60.038309718955162</v>
      </c>
      <c r="R51" s="516">
        <f t="shared" ref="R51:R52" si="54">K51*(1-L51)</f>
        <v>1561.723009368163</v>
      </c>
      <c r="S51" s="515">
        <v>0.1</v>
      </c>
      <c r="T51" s="516">
        <f t="shared" ref="T51:T52" si="55">R51*S51</f>
        <v>156.17230093681633</v>
      </c>
      <c r="U51" s="516">
        <f t="shared" ref="U51:U52" si="56">R51-T51</f>
        <v>1405.5507084313467</v>
      </c>
      <c r="V51" s="516">
        <f t="shared" ref="V51:V52" si="57">U51+Q51</f>
        <v>1465.5890181503019</v>
      </c>
      <c r="W51" s="516">
        <f>V51*J84</f>
        <v>40889.933606393417</v>
      </c>
      <c r="X51" s="521">
        <f t="shared" ref="X51:X52" si="58">J51+P51+W51</f>
        <v>56005.339978903838</v>
      </c>
      <c r="Y51" s="8"/>
      <c r="Z51" s="8"/>
      <c r="AA51" s="8"/>
      <c r="AB51" s="8"/>
      <c r="AC51" s="8"/>
    </row>
    <row r="52" spans="1:29" ht="12.75" x14ac:dyDescent="0.2">
      <c r="A52" s="8"/>
      <c r="B52" s="448"/>
      <c r="C52" s="506" t="s">
        <v>1608</v>
      </c>
      <c r="D52" s="507">
        <v>4.3499999999999996</v>
      </c>
      <c r="E52" s="508">
        <v>4354487</v>
      </c>
      <c r="F52" s="509"/>
      <c r="G52" s="509"/>
      <c r="H52" s="511">
        <v>1966</v>
      </c>
      <c r="I52" s="512">
        <v>1982</v>
      </c>
      <c r="J52" s="513">
        <v>5068</v>
      </c>
      <c r="K52" s="514">
        <v>1847</v>
      </c>
      <c r="L52" s="515">
        <v>0.50880948955788052</v>
      </c>
      <c r="M52" s="516">
        <f t="shared" si="50"/>
        <v>939.77112721340529</v>
      </c>
      <c r="N52" s="515">
        <v>0.97</v>
      </c>
      <c r="O52" s="516">
        <f t="shared" si="51"/>
        <v>911.57799339700307</v>
      </c>
      <c r="P52" s="516">
        <f t="shared" si="52"/>
        <v>2506.8394818417582</v>
      </c>
      <c r="Q52" s="516">
        <f t="shared" si="53"/>
        <v>28.193133816402185</v>
      </c>
      <c r="R52" s="516">
        <f t="shared" si="54"/>
        <v>907.22887278659471</v>
      </c>
      <c r="S52" s="515">
        <v>0.1</v>
      </c>
      <c r="T52" s="516">
        <f t="shared" si="55"/>
        <v>90.722887278659471</v>
      </c>
      <c r="U52" s="516">
        <f t="shared" si="56"/>
        <v>816.50598550793529</v>
      </c>
      <c r="V52" s="516">
        <f t="shared" si="57"/>
        <v>844.69911932433752</v>
      </c>
      <c r="W52" s="516">
        <f>V52*J84</f>
        <v>23567.105429149015</v>
      </c>
      <c r="X52" s="521">
        <f t="shared" si="58"/>
        <v>31141.944910990773</v>
      </c>
      <c r="Y52" s="8"/>
      <c r="Z52" s="8"/>
      <c r="AA52" s="8"/>
      <c r="AB52" s="8"/>
      <c r="AC52" s="8"/>
    </row>
    <row r="53" spans="1:29" ht="12.75" x14ac:dyDescent="0.2">
      <c r="A53" s="8"/>
      <c r="B53" s="448"/>
      <c r="C53" s="280"/>
      <c r="D53" s="525"/>
      <c r="E53" s="240"/>
      <c r="F53" s="285"/>
      <c r="G53" s="285"/>
      <c r="H53" s="19"/>
      <c r="I53" s="527"/>
      <c r="J53" s="528"/>
      <c r="K53" s="529"/>
      <c r="L53" s="530"/>
      <c r="M53" s="531"/>
      <c r="N53" s="530"/>
      <c r="O53" s="532"/>
      <c r="P53" s="531"/>
      <c r="Q53" s="532"/>
      <c r="R53" s="531"/>
      <c r="S53" s="537"/>
      <c r="T53" s="531"/>
      <c r="U53" s="532"/>
      <c r="V53" s="532"/>
      <c r="W53" s="532"/>
      <c r="X53" s="534"/>
      <c r="Y53" s="8"/>
      <c r="Z53" s="8"/>
      <c r="AA53" s="8"/>
      <c r="AB53" s="8"/>
      <c r="AC53" s="8"/>
    </row>
    <row r="54" spans="1:29" ht="12.75" x14ac:dyDescent="0.2">
      <c r="A54" s="8"/>
      <c r="B54" s="505" t="s">
        <v>630</v>
      </c>
      <c r="C54" s="545" t="s">
        <v>1609</v>
      </c>
      <c r="D54" s="547">
        <v>9.9779999999999998</v>
      </c>
      <c r="E54" s="549">
        <f>D54*1000000*0.9071847</f>
        <v>9051888.9365999997</v>
      </c>
      <c r="F54" s="551">
        <v>225000</v>
      </c>
      <c r="G54" s="551">
        <f>F54*0.9071847</f>
        <v>204116.5575</v>
      </c>
      <c r="H54" s="552">
        <v>1980</v>
      </c>
      <c r="I54" s="554">
        <v>2122</v>
      </c>
      <c r="J54" s="555">
        <v>6132</v>
      </c>
      <c r="K54" s="556">
        <v>2235</v>
      </c>
      <c r="L54" s="557">
        <v>0.1655233441860465</v>
      </c>
      <c r="M54" s="558">
        <f>K54*L54</f>
        <v>369.94467425581394</v>
      </c>
      <c r="N54" s="557">
        <v>0.98</v>
      </c>
      <c r="O54" s="558">
        <f>M54*N54</f>
        <v>362.54578077069766</v>
      </c>
      <c r="P54" s="558">
        <f>O54*2.75</f>
        <v>997.0008971194186</v>
      </c>
      <c r="Q54" s="558">
        <f>M54*(1-N54)</f>
        <v>7.3988934851162851</v>
      </c>
      <c r="R54" s="558">
        <f>K54*(1-L54)</f>
        <v>1865.0553257441861</v>
      </c>
      <c r="S54" s="557">
        <v>0.1</v>
      </c>
      <c r="T54" s="558">
        <f>R54*S54</f>
        <v>186.50553257441862</v>
      </c>
      <c r="U54" s="558">
        <f>R54-T54</f>
        <v>1678.5497931697676</v>
      </c>
      <c r="V54" s="558">
        <f>U54+Q54</f>
        <v>1685.9486866548839</v>
      </c>
      <c r="W54" s="558">
        <f>V54*J84</f>
        <v>47037.968357671256</v>
      </c>
      <c r="X54" s="573">
        <f>J54+P54+W54</f>
        <v>54166.969254790674</v>
      </c>
      <c r="Y54" s="8"/>
      <c r="Z54" s="8"/>
      <c r="AA54" s="8"/>
      <c r="AB54" s="8"/>
      <c r="AC54" s="8"/>
    </row>
    <row r="55" spans="1:29" ht="12.75" x14ac:dyDescent="0.2">
      <c r="A55" s="8"/>
      <c r="B55" s="505"/>
      <c r="C55" s="280"/>
      <c r="D55" s="525"/>
      <c r="E55" s="240"/>
      <c r="F55" s="285"/>
      <c r="G55" s="285"/>
      <c r="H55" s="19"/>
      <c r="I55" s="527"/>
      <c r="J55" s="528"/>
      <c r="K55" s="529"/>
      <c r="L55" s="530"/>
      <c r="M55" s="531"/>
      <c r="N55" s="530"/>
      <c r="O55" s="532"/>
      <c r="P55" s="531"/>
      <c r="Q55" s="532"/>
      <c r="R55" s="531"/>
      <c r="S55" s="537"/>
      <c r="T55" s="531"/>
      <c r="U55" s="532"/>
      <c r="V55" s="532"/>
      <c r="W55" s="532"/>
      <c r="X55" s="534"/>
      <c r="Y55" s="8"/>
      <c r="Z55" s="8"/>
      <c r="AA55" s="8"/>
      <c r="AB55" s="8"/>
      <c r="AC55" s="8"/>
    </row>
    <row r="56" spans="1:29" ht="12.75" x14ac:dyDescent="0.2">
      <c r="A56" s="8"/>
      <c r="B56" s="505" t="s">
        <v>631</v>
      </c>
      <c r="C56" s="280" t="s">
        <v>1611</v>
      </c>
      <c r="D56" s="525">
        <v>0.6</v>
      </c>
      <c r="E56" s="240">
        <f>D56*1000000*0.9071847</f>
        <v>544310.81999999995</v>
      </c>
      <c r="F56" s="285">
        <v>20000</v>
      </c>
      <c r="G56" s="285">
        <f>F56*0.9071847</f>
        <v>18143.694</v>
      </c>
      <c r="H56" s="19">
        <v>1964</v>
      </c>
      <c r="I56" s="527">
        <v>1992</v>
      </c>
      <c r="J56" s="528">
        <v>797.9</v>
      </c>
      <c r="K56" s="529">
        <v>290.8</v>
      </c>
      <c r="L56" s="530"/>
      <c r="M56" s="531"/>
      <c r="N56" s="530"/>
      <c r="O56" s="532"/>
      <c r="P56" s="531"/>
      <c r="Q56" s="532"/>
      <c r="R56" s="531">
        <f>K56</f>
        <v>290.8</v>
      </c>
      <c r="S56" s="530">
        <v>0.1</v>
      </c>
      <c r="T56" s="531">
        <f>R56*S56</f>
        <v>29.080000000000002</v>
      </c>
      <c r="U56" s="532">
        <f>R56-T56</f>
        <v>261.72000000000003</v>
      </c>
      <c r="V56" s="532">
        <f>U56</f>
        <v>261.72000000000003</v>
      </c>
      <c r="W56" s="532">
        <f>V56*J84</f>
        <v>7301.9880000000003</v>
      </c>
      <c r="X56" s="534">
        <f>J56+W56</f>
        <v>8099.8879999999999</v>
      </c>
      <c r="Y56" s="8"/>
      <c r="Z56" s="8"/>
      <c r="AA56" s="8"/>
      <c r="AB56" s="8"/>
      <c r="AC56" s="8"/>
    </row>
    <row r="57" spans="1:29" ht="12.75" x14ac:dyDescent="0.2">
      <c r="A57" s="8"/>
      <c r="B57" s="448"/>
      <c r="C57" s="280"/>
      <c r="D57" s="525"/>
      <c r="E57" s="240"/>
      <c r="F57" s="285"/>
      <c r="G57" s="285"/>
      <c r="H57" s="19"/>
      <c r="I57" s="527"/>
      <c r="J57" s="528"/>
      <c r="K57" s="529"/>
      <c r="L57" s="530"/>
      <c r="M57" s="531"/>
      <c r="N57" s="530"/>
      <c r="O57" s="532"/>
      <c r="P57" s="531"/>
      <c r="Q57" s="532"/>
      <c r="R57" s="531"/>
      <c r="S57" s="537"/>
      <c r="T57" s="531"/>
      <c r="U57" s="532"/>
      <c r="V57" s="532"/>
      <c r="W57" s="532"/>
      <c r="X57" s="534"/>
      <c r="Y57" s="8"/>
      <c r="Z57" s="8"/>
      <c r="AA57" s="8"/>
      <c r="AB57" s="8"/>
      <c r="AC57" s="8"/>
    </row>
    <row r="58" spans="1:29" ht="12.75" x14ac:dyDescent="0.2">
      <c r="A58" s="8"/>
      <c r="B58" s="505" t="s">
        <v>633</v>
      </c>
      <c r="C58" s="545" t="s">
        <v>1612</v>
      </c>
      <c r="D58" s="547">
        <v>7.1</v>
      </c>
      <c r="E58" s="549">
        <f t="shared" ref="E58:E61" si="59">D58*1000000*0.9071847</f>
        <v>6441011.3700000001</v>
      </c>
      <c r="F58" s="551">
        <v>284000</v>
      </c>
      <c r="G58" s="551">
        <f t="shared" ref="G58:G61" si="60">F58*0.9071847</f>
        <v>257640.45479999998</v>
      </c>
      <c r="H58" s="552">
        <v>1968</v>
      </c>
      <c r="I58" s="554">
        <v>1993</v>
      </c>
      <c r="J58" s="555">
        <v>10280</v>
      </c>
      <c r="K58" s="556">
        <v>3745</v>
      </c>
      <c r="L58" s="557">
        <v>0.70335254147733284</v>
      </c>
      <c r="M58" s="558">
        <f t="shared" ref="M58:M60" si="61">K58*L58</f>
        <v>2634.0552678326117</v>
      </c>
      <c r="N58" s="620">
        <v>0.997</v>
      </c>
      <c r="O58" s="558">
        <f t="shared" ref="O58:O60" si="62">M58*N58</f>
        <v>2626.1531020291136</v>
      </c>
      <c r="P58" s="558">
        <f t="shared" ref="P58:P60" si="63">O58*2.75</f>
        <v>7221.9210305800625</v>
      </c>
      <c r="Q58" s="558">
        <f t="shared" ref="Q58:Q60" si="64">M58*(1-N58)</f>
        <v>7.9021658034978417</v>
      </c>
      <c r="R58" s="558">
        <f t="shared" ref="R58:R60" si="65">K58*(1-L58)</f>
        <v>1110.9447321673886</v>
      </c>
      <c r="S58" s="557">
        <v>0.1</v>
      </c>
      <c r="T58" s="558">
        <f t="shared" ref="T58:T61" si="66">R58*S58</f>
        <v>111.09447321673886</v>
      </c>
      <c r="U58" s="558">
        <f t="shared" ref="U58:U61" si="67">R58-T58</f>
        <v>999.85025895064973</v>
      </c>
      <c r="V58" s="558">
        <f t="shared" ref="V58:V60" si="68">U58+Q58</f>
        <v>1007.7524247541476</v>
      </c>
      <c r="W58" s="558">
        <f>V58*J84</f>
        <v>28116.292650640717</v>
      </c>
      <c r="X58" s="573">
        <f t="shared" ref="X58:X60" si="69">J58+P58+W58</f>
        <v>45618.213681220775</v>
      </c>
      <c r="Y58" s="8"/>
      <c r="Z58" s="8"/>
      <c r="AA58" s="8"/>
      <c r="AB58" s="8"/>
      <c r="AC58" s="8"/>
    </row>
    <row r="59" spans="1:29" ht="12.75" x14ac:dyDescent="0.2">
      <c r="A59" s="8"/>
      <c r="B59" s="448"/>
      <c r="C59" s="545" t="s">
        <v>1614</v>
      </c>
      <c r="D59" s="547">
        <v>16</v>
      </c>
      <c r="E59" s="549">
        <f t="shared" si="59"/>
        <v>14514955.199999999</v>
      </c>
      <c r="F59" s="551">
        <v>280000</v>
      </c>
      <c r="G59" s="551">
        <f t="shared" si="60"/>
        <v>254011.71599999999</v>
      </c>
      <c r="H59" s="552">
        <v>1992</v>
      </c>
      <c r="I59" s="554">
        <v>2016</v>
      </c>
      <c r="J59" s="555">
        <v>43680</v>
      </c>
      <c r="K59" s="556">
        <v>15920</v>
      </c>
      <c r="L59" s="557">
        <v>0.70335254147733284</v>
      </c>
      <c r="M59" s="558">
        <f t="shared" si="61"/>
        <v>11197.372460319139</v>
      </c>
      <c r="N59" s="557">
        <v>0.97</v>
      </c>
      <c r="O59" s="558">
        <f t="shared" si="62"/>
        <v>10861.451286509564</v>
      </c>
      <c r="P59" s="558">
        <f t="shared" si="63"/>
        <v>29868.991037901302</v>
      </c>
      <c r="Q59" s="558">
        <f t="shared" si="64"/>
        <v>335.92117380957444</v>
      </c>
      <c r="R59" s="558">
        <f t="shared" si="65"/>
        <v>4722.6275396808614</v>
      </c>
      <c r="S59" s="557">
        <v>0.1</v>
      </c>
      <c r="T59" s="558">
        <f t="shared" si="66"/>
        <v>472.26275396808614</v>
      </c>
      <c r="U59" s="558">
        <f t="shared" si="67"/>
        <v>4250.3647857127753</v>
      </c>
      <c r="V59" s="558">
        <f t="shared" si="68"/>
        <v>4586.2859595223499</v>
      </c>
      <c r="W59" s="558">
        <f>V59*J84</f>
        <v>127957.37827067355</v>
      </c>
      <c r="X59" s="573">
        <f t="shared" si="69"/>
        <v>201506.36930857485</v>
      </c>
      <c r="Y59" s="8"/>
      <c r="Z59" s="8"/>
      <c r="AA59" s="8"/>
      <c r="AB59" s="8"/>
      <c r="AC59" s="8"/>
    </row>
    <row r="60" spans="1:29" ht="12.75" x14ac:dyDescent="0.2">
      <c r="A60" s="8"/>
      <c r="B60" s="448"/>
      <c r="C60" s="506" t="s">
        <v>1615</v>
      </c>
      <c r="D60" s="507">
        <v>7.5</v>
      </c>
      <c r="E60" s="508">
        <f t="shared" si="59"/>
        <v>6803885.25</v>
      </c>
      <c r="F60" s="509">
        <v>280000</v>
      </c>
      <c r="G60" s="509">
        <f t="shared" si="60"/>
        <v>254011.71599999999</v>
      </c>
      <c r="H60" s="511">
        <v>1978</v>
      </c>
      <c r="I60" s="512">
        <v>2000</v>
      </c>
      <c r="J60" s="626">
        <v>12054.764509508022</v>
      </c>
      <c r="K60" s="627">
        <v>6075.2912631284316</v>
      </c>
      <c r="L60" s="515">
        <v>0.95</v>
      </c>
      <c r="M60" s="516">
        <f t="shared" si="61"/>
        <v>5771.5266999720097</v>
      </c>
      <c r="N60" s="515">
        <v>0.98</v>
      </c>
      <c r="O60" s="516">
        <f t="shared" si="62"/>
        <v>5656.096165972569</v>
      </c>
      <c r="P60" s="516">
        <f t="shared" si="63"/>
        <v>15554.264456424564</v>
      </c>
      <c r="Q60" s="516">
        <f t="shared" si="64"/>
        <v>115.4305339994403</v>
      </c>
      <c r="R60" s="516">
        <f t="shared" si="65"/>
        <v>303.76456315642184</v>
      </c>
      <c r="S60" s="515">
        <v>0.1</v>
      </c>
      <c r="T60" s="516">
        <f t="shared" si="66"/>
        <v>30.376456315642187</v>
      </c>
      <c r="U60" s="516">
        <f t="shared" si="67"/>
        <v>273.38810684077964</v>
      </c>
      <c r="V60" s="516">
        <f t="shared" si="68"/>
        <v>388.81864084021993</v>
      </c>
      <c r="W60" s="516">
        <f>V60*J84</f>
        <v>10848.040079442135</v>
      </c>
      <c r="X60" s="521">
        <f t="shared" si="69"/>
        <v>38457.069045374723</v>
      </c>
      <c r="Y60" s="8"/>
      <c r="Z60" s="8"/>
      <c r="AA60" s="8"/>
      <c r="AB60" s="8"/>
      <c r="AC60" s="8"/>
    </row>
    <row r="61" spans="1:29" ht="12.75" x14ac:dyDescent="0.2">
      <c r="A61" s="8"/>
      <c r="B61" s="448"/>
      <c r="C61" s="280" t="s">
        <v>1616</v>
      </c>
      <c r="D61" s="525">
        <v>1.6</v>
      </c>
      <c r="E61" s="240">
        <f t="shared" si="59"/>
        <v>1451495.52</v>
      </c>
      <c r="F61" s="285">
        <v>34000</v>
      </c>
      <c r="G61" s="285">
        <f t="shared" si="60"/>
        <v>30844.2798</v>
      </c>
      <c r="H61" s="19">
        <v>1960</v>
      </c>
      <c r="I61" s="527">
        <v>2004</v>
      </c>
      <c r="J61" s="528">
        <v>2605</v>
      </c>
      <c r="K61" s="529">
        <v>949.3</v>
      </c>
      <c r="L61" s="530"/>
      <c r="M61" s="531"/>
      <c r="N61" s="530"/>
      <c r="O61" s="532"/>
      <c r="P61" s="531"/>
      <c r="Q61" s="532"/>
      <c r="R61" s="531">
        <f>K61</f>
        <v>949.3</v>
      </c>
      <c r="S61" s="530">
        <v>0.1</v>
      </c>
      <c r="T61" s="531">
        <f t="shared" si="66"/>
        <v>94.93</v>
      </c>
      <c r="U61" s="532">
        <f t="shared" si="67"/>
        <v>854.36999999999989</v>
      </c>
      <c r="V61" s="532">
        <f>U61</f>
        <v>854.36999999999989</v>
      </c>
      <c r="W61" s="532">
        <f>V61*J84</f>
        <v>23836.922999999995</v>
      </c>
      <c r="X61" s="534">
        <f>J61+W61</f>
        <v>26441.922999999995</v>
      </c>
      <c r="Y61" s="8"/>
      <c r="Z61" s="8"/>
      <c r="AA61" s="8"/>
      <c r="AB61" s="8"/>
      <c r="AC61" s="8"/>
    </row>
    <row r="62" spans="1:29" ht="12.75" x14ac:dyDescent="0.2">
      <c r="A62" s="8"/>
      <c r="B62" s="448"/>
      <c r="C62" s="280"/>
      <c r="D62" s="525"/>
      <c r="E62" s="240"/>
      <c r="F62" s="285"/>
      <c r="G62" s="285"/>
      <c r="H62" s="19"/>
      <c r="I62" s="527"/>
      <c r="J62" s="528"/>
      <c r="K62" s="529"/>
      <c r="L62" s="530"/>
      <c r="M62" s="531"/>
      <c r="N62" s="530"/>
      <c r="O62" s="532"/>
      <c r="P62" s="531"/>
      <c r="Q62" s="532"/>
      <c r="R62" s="531"/>
      <c r="S62" s="537"/>
      <c r="T62" s="531"/>
      <c r="U62" s="532"/>
      <c r="V62" s="532"/>
      <c r="W62" s="532"/>
      <c r="X62" s="534"/>
      <c r="Y62" s="8"/>
      <c r="Z62" s="8"/>
      <c r="AA62" s="8"/>
      <c r="AB62" s="8"/>
      <c r="AC62" s="8"/>
    </row>
    <row r="63" spans="1:29" ht="12.75" x14ac:dyDescent="0.2">
      <c r="A63" s="8"/>
      <c r="B63" s="505" t="s">
        <v>636</v>
      </c>
      <c r="C63" s="280" t="s">
        <v>1618</v>
      </c>
      <c r="D63" s="525">
        <v>1.61</v>
      </c>
      <c r="E63" s="240">
        <v>393341</v>
      </c>
      <c r="F63" s="285"/>
      <c r="G63" s="285">
        <f t="shared" ref="G63:G64" si="70">F63*0.9071847</f>
        <v>0</v>
      </c>
      <c r="H63" s="629">
        <v>1998</v>
      </c>
      <c r="I63" s="527">
        <v>2023</v>
      </c>
      <c r="J63" s="528">
        <v>2407</v>
      </c>
      <c r="K63" s="529">
        <v>877.2</v>
      </c>
      <c r="L63" s="530"/>
      <c r="M63" s="531"/>
      <c r="N63" s="530"/>
      <c r="O63" s="532"/>
      <c r="P63" s="531"/>
      <c r="Q63" s="532"/>
      <c r="R63" s="531">
        <f t="shared" ref="R63:R64" si="71">K63</f>
        <v>877.2</v>
      </c>
      <c r="S63" s="530">
        <v>0.1</v>
      </c>
      <c r="T63" s="531">
        <f t="shared" ref="T63:T64" si="72">R63*S63</f>
        <v>87.720000000000013</v>
      </c>
      <c r="U63" s="532">
        <f t="shared" ref="U63:U64" si="73">R63-T63</f>
        <v>789.48</v>
      </c>
      <c r="V63" s="532">
        <f t="shared" ref="V63:V64" si="74">U63</f>
        <v>789.48</v>
      </c>
      <c r="W63" s="532">
        <f>V63*J84</f>
        <v>22026.491999999998</v>
      </c>
      <c r="X63" s="534">
        <f t="shared" ref="X63:X64" si="75">J63+W63</f>
        <v>24433.491999999998</v>
      </c>
      <c r="Y63" s="8"/>
      <c r="Z63" s="8"/>
      <c r="AA63" s="8"/>
      <c r="AB63" s="8"/>
      <c r="AC63" s="8"/>
    </row>
    <row r="64" spans="1:29" ht="12.75" x14ac:dyDescent="0.2">
      <c r="A64" s="8"/>
      <c r="B64" s="448"/>
      <c r="C64" s="280" t="s">
        <v>1620</v>
      </c>
      <c r="D64" s="525"/>
      <c r="E64" s="240">
        <v>368200</v>
      </c>
      <c r="F64" s="285"/>
      <c r="G64" s="285">
        <f t="shared" si="70"/>
        <v>0</v>
      </c>
      <c r="H64" s="19">
        <v>1977</v>
      </c>
      <c r="I64" s="527">
        <v>1998</v>
      </c>
      <c r="J64" s="528">
        <v>835.7</v>
      </c>
      <c r="K64" s="529">
        <v>304.60000000000002</v>
      </c>
      <c r="L64" s="530"/>
      <c r="M64" s="531"/>
      <c r="N64" s="530"/>
      <c r="O64" s="532"/>
      <c r="P64" s="531"/>
      <c r="Q64" s="532"/>
      <c r="R64" s="531">
        <f t="shared" si="71"/>
        <v>304.60000000000002</v>
      </c>
      <c r="S64" s="530">
        <v>0.1</v>
      </c>
      <c r="T64" s="531">
        <f t="shared" si="72"/>
        <v>30.460000000000004</v>
      </c>
      <c r="U64" s="532">
        <f t="shared" si="73"/>
        <v>274.14000000000004</v>
      </c>
      <c r="V64" s="532">
        <f t="shared" si="74"/>
        <v>274.14000000000004</v>
      </c>
      <c r="W64" s="532">
        <f>V64*J84</f>
        <v>7648.5060000000012</v>
      </c>
      <c r="X64" s="534">
        <f t="shared" si="75"/>
        <v>8484.2060000000019</v>
      </c>
      <c r="Y64" s="8"/>
      <c r="Z64" s="8"/>
      <c r="AA64" s="8"/>
      <c r="AB64" s="8"/>
      <c r="AC64" s="8"/>
    </row>
    <row r="65" spans="1:29" ht="12.75" x14ac:dyDescent="0.2">
      <c r="A65" s="8"/>
      <c r="B65" s="448"/>
      <c r="C65" s="280"/>
      <c r="D65" s="525"/>
      <c r="E65" s="240">
        <f t="shared" ref="E65:E66" si="76">D65*1000000*0.9071847</f>
        <v>0</v>
      </c>
      <c r="F65" s="285"/>
      <c r="G65" s="285"/>
      <c r="H65" s="19"/>
      <c r="I65" s="527"/>
      <c r="J65" s="528"/>
      <c r="K65" s="529"/>
      <c r="L65" s="530"/>
      <c r="M65" s="531"/>
      <c r="N65" s="530"/>
      <c r="O65" s="532"/>
      <c r="P65" s="531"/>
      <c r="Q65" s="532"/>
      <c r="R65" s="531"/>
      <c r="S65" s="537"/>
      <c r="T65" s="531"/>
      <c r="U65" s="532"/>
      <c r="V65" s="532"/>
      <c r="W65" s="532"/>
      <c r="X65" s="534"/>
      <c r="Y65" s="8"/>
      <c r="Z65" s="8"/>
      <c r="AA65" s="8"/>
      <c r="AB65" s="8"/>
      <c r="AC65" s="8"/>
    </row>
    <row r="66" spans="1:29" ht="12.75" x14ac:dyDescent="0.2">
      <c r="A66" s="8"/>
      <c r="B66" s="505" t="s">
        <v>637</v>
      </c>
      <c r="C66" s="280" t="s">
        <v>1621</v>
      </c>
      <c r="D66" s="525">
        <v>3.7512439999999998</v>
      </c>
      <c r="E66" s="240">
        <f t="shared" si="76"/>
        <v>3403071.1627667998</v>
      </c>
      <c r="F66" s="285">
        <v>81800</v>
      </c>
      <c r="G66" s="285">
        <f>F66*0.9071847</f>
        <v>74207.708459999994</v>
      </c>
      <c r="H66" s="19">
        <v>1991</v>
      </c>
      <c r="I66" s="527">
        <v>2010</v>
      </c>
      <c r="J66" s="528">
        <v>8859</v>
      </c>
      <c r="K66" s="529">
        <v>3229</v>
      </c>
      <c r="L66" s="530"/>
      <c r="M66" s="531"/>
      <c r="N66" s="530"/>
      <c r="O66" s="532"/>
      <c r="P66" s="531"/>
      <c r="Q66" s="532"/>
      <c r="R66" s="531">
        <f>K66</f>
        <v>3229</v>
      </c>
      <c r="S66" s="530">
        <v>0.1</v>
      </c>
      <c r="T66" s="531">
        <f>R66*S66</f>
        <v>322.90000000000003</v>
      </c>
      <c r="U66" s="532">
        <f>R66-T66</f>
        <v>2906.1</v>
      </c>
      <c r="V66" s="532">
        <f>U66</f>
        <v>2906.1</v>
      </c>
      <c r="W66" s="532">
        <f>V66*J84</f>
        <v>81080.189999999988</v>
      </c>
      <c r="X66" s="534">
        <f>J66+W66</f>
        <v>89939.189999999988</v>
      </c>
      <c r="Y66" s="8"/>
      <c r="Z66" s="8"/>
      <c r="AA66" s="8"/>
      <c r="AB66" s="8"/>
      <c r="AC66" s="8"/>
    </row>
    <row r="67" spans="1:29" ht="12.75" x14ac:dyDescent="0.2">
      <c r="A67" s="8"/>
      <c r="B67" s="448"/>
      <c r="C67" s="280"/>
      <c r="D67" s="525"/>
      <c r="E67" s="240"/>
      <c r="F67" s="285"/>
      <c r="G67" s="285"/>
      <c r="H67" s="19"/>
      <c r="I67" s="527"/>
      <c r="J67" s="528"/>
      <c r="K67" s="529"/>
      <c r="L67" s="530"/>
      <c r="M67" s="531"/>
      <c r="N67" s="530"/>
      <c r="O67" s="532"/>
      <c r="P67" s="531"/>
      <c r="Q67" s="532"/>
      <c r="R67" s="531"/>
      <c r="S67" s="537"/>
      <c r="T67" s="531"/>
      <c r="U67" s="532"/>
      <c r="V67" s="532"/>
      <c r="W67" s="532"/>
      <c r="X67" s="534"/>
      <c r="Y67" s="8"/>
      <c r="Z67" s="8"/>
      <c r="AA67" s="8"/>
      <c r="AB67" s="8"/>
      <c r="AC67" s="8"/>
    </row>
    <row r="68" spans="1:29" ht="12.75" x14ac:dyDescent="0.2">
      <c r="A68" s="8"/>
      <c r="B68" s="505" t="s">
        <v>638</v>
      </c>
      <c r="C68" s="280" t="s">
        <v>1622</v>
      </c>
      <c r="D68" s="601"/>
      <c r="E68" s="240">
        <v>89729.73</v>
      </c>
      <c r="F68" s="260"/>
      <c r="G68" s="285">
        <f t="shared" ref="G68:G70" si="77">F68*0.9071847</f>
        <v>0</v>
      </c>
      <c r="H68" s="19">
        <v>1981</v>
      </c>
      <c r="I68" s="527">
        <v>1993</v>
      </c>
      <c r="J68" s="528">
        <v>191.8</v>
      </c>
      <c r="K68" s="529">
        <v>69.89</v>
      </c>
      <c r="L68" s="530"/>
      <c r="M68" s="531"/>
      <c r="N68" s="530"/>
      <c r="O68" s="532"/>
      <c r="P68" s="531"/>
      <c r="Q68" s="532"/>
      <c r="R68" s="531">
        <f t="shared" ref="R68:R70" si="78">K68</f>
        <v>69.89</v>
      </c>
      <c r="S68" s="530">
        <v>0.1</v>
      </c>
      <c r="T68" s="531">
        <f t="shared" ref="T68:T70" si="79">R68*S68</f>
        <v>6.9890000000000008</v>
      </c>
      <c r="U68" s="532">
        <f t="shared" ref="U68:U70" si="80">R68-T68</f>
        <v>62.900999999999996</v>
      </c>
      <c r="V68" s="532">
        <f t="shared" ref="V68:V70" si="81">U68</f>
        <v>62.900999999999996</v>
      </c>
      <c r="W68" s="532">
        <f>V68*J84</f>
        <v>1754.9378999999999</v>
      </c>
      <c r="X68" s="534">
        <f t="shared" ref="X68:X70" si="82">J68+W68</f>
        <v>1946.7378999999999</v>
      </c>
      <c r="Y68" s="8"/>
      <c r="Z68" s="8"/>
      <c r="AA68" s="8"/>
      <c r="AB68" s="8"/>
      <c r="AC68" s="8"/>
    </row>
    <row r="69" spans="1:29" ht="12.75" x14ac:dyDescent="0.2">
      <c r="A69" s="8"/>
      <c r="B69" s="448"/>
      <c r="C69" s="280" t="s">
        <v>1623</v>
      </c>
      <c r="D69" s="525">
        <v>2.5499999999999998</v>
      </c>
      <c r="E69" s="240">
        <f t="shared" ref="E69:E70" si="83">D69*1000000*0.9071847</f>
        <v>2313320.9849999999</v>
      </c>
      <c r="F69" s="285">
        <v>150000</v>
      </c>
      <c r="G69" s="285">
        <f t="shared" si="77"/>
        <v>136077.70499999999</v>
      </c>
      <c r="H69" s="19">
        <v>1982</v>
      </c>
      <c r="I69" s="527">
        <v>2000</v>
      </c>
      <c r="J69" s="528">
        <v>2280</v>
      </c>
      <c r="K69" s="529">
        <v>830.9</v>
      </c>
      <c r="L69" s="530"/>
      <c r="M69" s="531"/>
      <c r="N69" s="530"/>
      <c r="O69" s="532"/>
      <c r="P69" s="531"/>
      <c r="Q69" s="532"/>
      <c r="R69" s="531">
        <f t="shared" si="78"/>
        <v>830.9</v>
      </c>
      <c r="S69" s="530">
        <v>0.1</v>
      </c>
      <c r="T69" s="531">
        <f t="shared" si="79"/>
        <v>83.09</v>
      </c>
      <c r="U69" s="532">
        <f t="shared" si="80"/>
        <v>747.81</v>
      </c>
      <c r="V69" s="532">
        <f t="shared" si="81"/>
        <v>747.81</v>
      </c>
      <c r="W69" s="532">
        <f>V69*J84</f>
        <v>20863.898999999998</v>
      </c>
      <c r="X69" s="534">
        <f t="shared" si="82"/>
        <v>23143.898999999998</v>
      </c>
      <c r="Y69" s="8"/>
      <c r="Z69" s="8"/>
      <c r="AA69" s="8"/>
      <c r="AB69" s="8"/>
      <c r="AC69" s="8"/>
    </row>
    <row r="70" spans="1:29" ht="12.75" x14ac:dyDescent="0.2">
      <c r="A70" s="8"/>
      <c r="B70" s="448"/>
      <c r="C70" s="280" t="s">
        <v>1625</v>
      </c>
      <c r="D70" s="525">
        <v>20.273</v>
      </c>
      <c r="E70" s="240">
        <f t="shared" si="83"/>
        <v>18391355.423099998</v>
      </c>
      <c r="F70" s="285"/>
      <c r="G70" s="285">
        <f t="shared" si="77"/>
        <v>0</v>
      </c>
      <c r="H70" s="19">
        <v>2000</v>
      </c>
      <c r="I70" s="527">
        <v>2047</v>
      </c>
      <c r="J70" s="528">
        <v>12500</v>
      </c>
      <c r="K70" s="529">
        <v>4556</v>
      </c>
      <c r="L70" s="530"/>
      <c r="M70" s="531"/>
      <c r="N70" s="530"/>
      <c r="O70" s="532"/>
      <c r="P70" s="531"/>
      <c r="Q70" s="532"/>
      <c r="R70" s="531">
        <f t="shared" si="78"/>
        <v>4556</v>
      </c>
      <c r="S70" s="530">
        <v>0.1</v>
      </c>
      <c r="T70" s="531">
        <f t="shared" si="79"/>
        <v>455.6</v>
      </c>
      <c r="U70" s="532">
        <f t="shared" si="80"/>
        <v>4100.3999999999996</v>
      </c>
      <c r="V70" s="532">
        <f t="shared" si="81"/>
        <v>4100.3999999999996</v>
      </c>
      <c r="W70" s="532">
        <f>V70*J84</f>
        <v>114401.15999999999</v>
      </c>
      <c r="X70" s="534">
        <f t="shared" si="82"/>
        <v>126901.15999999999</v>
      </c>
      <c r="Y70" s="8"/>
      <c r="Z70" s="8"/>
      <c r="AA70" s="8"/>
      <c r="AB70" s="8"/>
      <c r="AC70" s="8"/>
    </row>
    <row r="71" spans="1:29" ht="12.75" x14ac:dyDescent="0.2">
      <c r="A71" s="8"/>
      <c r="B71" s="448"/>
      <c r="C71" s="280"/>
      <c r="D71" s="525"/>
      <c r="E71" s="240"/>
      <c r="F71" s="285"/>
      <c r="G71" s="285"/>
      <c r="H71" s="19"/>
      <c r="I71" s="527"/>
      <c r="J71" s="528"/>
      <c r="K71" s="529"/>
      <c r="L71" s="530"/>
      <c r="M71" s="531"/>
      <c r="N71" s="530"/>
      <c r="O71" s="532"/>
      <c r="P71" s="531"/>
      <c r="Q71" s="532"/>
      <c r="R71" s="531"/>
      <c r="S71" s="537"/>
      <c r="T71" s="531"/>
      <c r="U71" s="532"/>
      <c r="V71" s="532"/>
      <c r="W71" s="532"/>
      <c r="X71" s="534"/>
      <c r="Y71" s="8"/>
      <c r="Z71" s="8"/>
      <c r="AA71" s="8"/>
      <c r="AB71" s="8"/>
      <c r="AC71" s="8"/>
    </row>
    <row r="72" spans="1:29" ht="12.75" x14ac:dyDescent="0.2">
      <c r="A72" s="8"/>
      <c r="B72" s="505" t="s">
        <v>639</v>
      </c>
      <c r="C72" s="545" t="s">
        <v>1626</v>
      </c>
      <c r="D72" s="547">
        <v>7.2</v>
      </c>
      <c r="E72" s="549">
        <f>D72*1000000*0.9071847</f>
        <v>6531729.8399999999</v>
      </c>
      <c r="F72" s="551">
        <v>82000</v>
      </c>
      <c r="G72" s="551">
        <f>F72*0.9071847</f>
        <v>74389.145399999994</v>
      </c>
      <c r="H72" s="552">
        <v>1955</v>
      </c>
      <c r="I72" s="554">
        <v>2031</v>
      </c>
      <c r="J72" s="555">
        <v>15770</v>
      </c>
      <c r="K72" s="556">
        <v>5746</v>
      </c>
      <c r="L72" s="557">
        <v>0.6017575551537071</v>
      </c>
      <c r="M72" s="558">
        <f>K72*L72</f>
        <v>3457.6989119132008</v>
      </c>
      <c r="N72" s="557">
        <v>0.98</v>
      </c>
      <c r="O72" s="558">
        <f>M72*N72</f>
        <v>3388.5449336749366</v>
      </c>
      <c r="P72" s="558">
        <f>O72*2.75</f>
        <v>9318.4985676060751</v>
      </c>
      <c r="Q72" s="558">
        <f>M72*(1-N72)</f>
        <v>69.153978238264074</v>
      </c>
      <c r="R72" s="558">
        <f>K72*(1-L72)</f>
        <v>2288.3010880867992</v>
      </c>
      <c r="S72" s="557">
        <v>0.1</v>
      </c>
      <c r="T72" s="558">
        <f>R72*S72</f>
        <v>228.83010880867994</v>
      </c>
      <c r="U72" s="558">
        <f>R72-T72</f>
        <v>2059.4709792781191</v>
      </c>
      <c r="V72" s="558">
        <f>U72</f>
        <v>2059.4709792781191</v>
      </c>
      <c r="W72" s="558">
        <f>V72*J84</f>
        <v>57459.240321859521</v>
      </c>
      <c r="X72" s="573">
        <f>J72+P72+W72</f>
        <v>82547.738889465603</v>
      </c>
      <c r="Y72" s="8"/>
      <c r="Z72" s="8"/>
      <c r="AA72" s="8"/>
      <c r="AB72" s="8"/>
      <c r="AC72" s="8"/>
    </row>
    <row r="73" spans="1:29" ht="12.75" x14ac:dyDescent="0.2">
      <c r="A73" s="8"/>
      <c r="B73" s="448"/>
      <c r="C73" s="280"/>
      <c r="D73" s="601"/>
      <c r="E73" s="240"/>
      <c r="F73" s="276"/>
      <c r="G73" s="276"/>
      <c r="H73" s="239"/>
      <c r="I73" s="280"/>
      <c r="J73" s="528"/>
      <c r="K73" s="529"/>
      <c r="L73" s="530"/>
      <c r="M73" s="531"/>
      <c r="N73" s="530"/>
      <c r="O73" s="532"/>
      <c r="P73" s="531"/>
      <c r="Q73" s="532"/>
      <c r="R73" s="531"/>
      <c r="S73" s="537"/>
      <c r="T73" s="531"/>
      <c r="U73" s="532"/>
      <c r="V73" s="532"/>
      <c r="W73" s="532"/>
      <c r="X73" s="534"/>
      <c r="Y73" s="8"/>
      <c r="Z73" s="8"/>
      <c r="AA73" s="8"/>
      <c r="AB73" s="8"/>
      <c r="AC73" s="8"/>
    </row>
    <row r="74" spans="1:29" ht="12.75" x14ac:dyDescent="0.2">
      <c r="A74" s="8"/>
      <c r="B74" s="505" t="s">
        <v>640</v>
      </c>
      <c r="C74" s="280" t="s">
        <v>1628</v>
      </c>
      <c r="D74" s="525">
        <v>4.8</v>
      </c>
      <c r="E74" s="240">
        <f>D74*1000000*0.9071847</f>
        <v>4354486.5599999996</v>
      </c>
      <c r="F74" s="285">
        <v>70000</v>
      </c>
      <c r="G74" s="285">
        <f>F74*0.9071847</f>
        <v>63502.928999999996</v>
      </c>
      <c r="H74" s="19">
        <v>1990</v>
      </c>
      <c r="I74" s="527">
        <v>2028</v>
      </c>
      <c r="J74" s="528">
        <v>4601</v>
      </c>
      <c r="K74" s="529">
        <v>1677</v>
      </c>
      <c r="L74" s="530"/>
      <c r="M74" s="531"/>
      <c r="N74" s="530"/>
      <c r="O74" s="532"/>
      <c r="P74" s="531"/>
      <c r="Q74" s="532"/>
      <c r="R74" s="531">
        <f t="shared" ref="R74:R75" si="84">K74</f>
        <v>1677</v>
      </c>
      <c r="S74" s="530">
        <v>0.1</v>
      </c>
      <c r="T74" s="531">
        <f t="shared" ref="T74:T75" si="85">R74*S74</f>
        <v>167.70000000000002</v>
      </c>
      <c r="U74" s="532">
        <f t="shared" ref="U74:U75" si="86">R74-T74</f>
        <v>1509.3</v>
      </c>
      <c r="V74" s="532">
        <f t="shared" ref="V74:V75" si="87">U74+Q74</f>
        <v>1509.3</v>
      </c>
      <c r="W74" s="532">
        <f t="shared" ref="W74:W75" si="88">V74*J84</f>
        <v>42109.469999999994</v>
      </c>
      <c r="X74" s="534">
        <f t="shared" ref="X74:X75" si="89">J74+P74+W74</f>
        <v>46710.469999999994</v>
      </c>
      <c r="Y74" s="8"/>
      <c r="Z74" s="8"/>
      <c r="AA74" s="8"/>
      <c r="AB74" s="8"/>
      <c r="AC74" s="8"/>
    </row>
    <row r="75" spans="1:29" ht="12.75" x14ac:dyDescent="0.2">
      <c r="A75" s="8"/>
      <c r="B75" s="448"/>
      <c r="C75" s="280" t="s">
        <v>1629</v>
      </c>
      <c r="D75" s="601"/>
      <c r="E75" s="240"/>
      <c r="F75" s="276"/>
      <c r="G75" s="276"/>
      <c r="H75" s="239"/>
      <c r="I75" s="280"/>
      <c r="J75" s="634">
        <v>0.56510000000000005</v>
      </c>
      <c r="K75" s="635">
        <v>0.2059</v>
      </c>
      <c r="L75" s="578"/>
      <c r="M75" s="531"/>
      <c r="N75" s="530"/>
      <c r="O75" s="532"/>
      <c r="P75" s="531"/>
      <c r="Q75" s="532"/>
      <c r="R75" s="636">
        <f t="shared" si="84"/>
        <v>0.2059</v>
      </c>
      <c r="S75" s="530">
        <v>0.1</v>
      </c>
      <c r="T75" s="637">
        <f t="shared" si="85"/>
        <v>2.0590000000000001E-2</v>
      </c>
      <c r="U75" s="532">
        <f t="shared" si="86"/>
        <v>0.18531</v>
      </c>
      <c r="V75" s="532">
        <f t="shared" si="87"/>
        <v>0.18531</v>
      </c>
      <c r="W75" s="532">
        <f t="shared" si="88"/>
        <v>50.58963</v>
      </c>
      <c r="X75" s="534">
        <f t="shared" si="89"/>
        <v>51.154730000000001</v>
      </c>
      <c r="Y75" s="8"/>
      <c r="Z75" s="8"/>
      <c r="AA75" s="8"/>
      <c r="AB75" s="8"/>
      <c r="AC75" s="8"/>
    </row>
    <row r="76" spans="1:29" ht="12.75" x14ac:dyDescent="0.2">
      <c r="A76" s="8"/>
      <c r="B76" s="638"/>
      <c r="C76" s="639"/>
      <c r="D76" s="640"/>
      <c r="E76" s="428"/>
      <c r="F76" s="641"/>
      <c r="G76" s="641"/>
      <c r="H76" s="642"/>
      <c r="I76" s="639"/>
      <c r="J76" s="643"/>
      <c r="K76" s="644"/>
      <c r="L76" s="645"/>
      <c r="M76" s="646"/>
      <c r="N76" s="645"/>
      <c r="O76" s="647"/>
      <c r="P76" s="646"/>
      <c r="Q76" s="647"/>
      <c r="R76" s="646"/>
      <c r="S76" s="645"/>
      <c r="T76" s="646"/>
      <c r="U76" s="647"/>
      <c r="V76" s="647"/>
      <c r="W76" s="647"/>
      <c r="X76" s="648"/>
      <c r="Y76" s="8"/>
      <c r="Z76" s="8"/>
      <c r="AA76" s="8"/>
      <c r="AB76" s="8"/>
      <c r="AC76" s="8"/>
    </row>
    <row r="77" spans="1:29" ht="12.75" x14ac:dyDescent="0.2">
      <c r="A77" s="8"/>
      <c r="B77" s="649" t="s">
        <v>575</v>
      </c>
      <c r="C77" s="650"/>
      <c r="D77" s="651"/>
      <c r="E77" s="652"/>
      <c r="F77" s="653"/>
      <c r="G77" s="653"/>
      <c r="H77" s="653"/>
      <c r="I77" s="650"/>
      <c r="J77" s="654">
        <f t="shared" ref="J77:K77" si="90">SUM(J11:J75)</f>
        <v>332147.36821894534</v>
      </c>
      <c r="K77" s="655">
        <f t="shared" si="90"/>
        <v>125633.61160902474</v>
      </c>
      <c r="L77" s="656"/>
      <c r="M77" s="657">
        <f>SUM(M11:M75)</f>
        <v>54836.809627997427</v>
      </c>
      <c r="N77" s="656"/>
      <c r="O77" s="657">
        <f t="shared" ref="O77:R77" si="91">SUM(O11:O75)</f>
        <v>53785.448632057371</v>
      </c>
      <c r="P77" s="657">
        <f t="shared" si="91"/>
        <v>147909.98373815778</v>
      </c>
      <c r="Q77" s="657">
        <f t="shared" si="91"/>
        <v>1051.3609959400653</v>
      </c>
      <c r="R77" s="657">
        <f t="shared" si="91"/>
        <v>70796.801981027296</v>
      </c>
      <c r="S77" s="656"/>
      <c r="T77" s="657">
        <f t="shared" ref="T77:X77" si="92">SUM(T11:T75)</f>
        <v>7079.6801981027302</v>
      </c>
      <c r="U77" s="657">
        <f t="shared" si="92"/>
        <v>63717.12178292458</v>
      </c>
      <c r="V77" s="657">
        <f t="shared" si="92"/>
        <v>64578.283562500808</v>
      </c>
      <c r="W77" s="657">
        <f t="shared" si="92"/>
        <v>1801779.5308747722</v>
      </c>
      <c r="X77" s="658">
        <f t="shared" si="92"/>
        <v>2281836.8828318757</v>
      </c>
      <c r="Y77" s="8"/>
      <c r="Z77" s="8"/>
      <c r="AA77" s="8"/>
      <c r="AB77" s="8"/>
      <c r="AC77" s="8"/>
    </row>
    <row r="78" spans="1:29" ht="15.75" customHeight="1" x14ac:dyDescent="0.2">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row>
    <row r="79" spans="1:29" ht="15.75" customHeight="1" x14ac:dyDescent="0.25">
      <c r="A79" s="8"/>
      <c r="B79" s="8"/>
      <c r="C79" s="408" t="s">
        <v>1631</v>
      </c>
      <c r="D79" s="235"/>
      <c r="E79" s="235"/>
      <c r="F79" s="235"/>
      <c r="G79" s="8"/>
      <c r="H79" s="8"/>
      <c r="I79" s="8"/>
      <c r="J79" s="8"/>
      <c r="K79" s="8"/>
      <c r="L79" s="8"/>
      <c r="M79" s="8"/>
      <c r="N79" s="8"/>
      <c r="O79" s="8"/>
      <c r="P79" s="8"/>
      <c r="Q79" s="8"/>
      <c r="R79" s="8"/>
      <c r="S79" s="8"/>
      <c r="T79" s="8"/>
      <c r="U79" s="8"/>
      <c r="V79" s="8"/>
      <c r="W79" s="8"/>
      <c r="X79" s="8"/>
      <c r="Y79" s="8"/>
      <c r="Z79" s="8"/>
      <c r="AA79" s="8"/>
      <c r="AB79" s="8"/>
      <c r="AC79" s="8"/>
    </row>
    <row r="80" spans="1:29" ht="12.75" x14ac:dyDescent="0.2">
      <c r="A80" s="8"/>
      <c r="B80" s="8"/>
      <c r="C80" s="8"/>
      <c r="D80" s="659"/>
      <c r="E80" s="659"/>
      <c r="F80" s="659"/>
      <c r="G80" s="8"/>
      <c r="H80" s="8"/>
      <c r="I80" s="8"/>
      <c r="J80" s="8"/>
      <c r="K80" s="8"/>
      <c r="L80" s="8"/>
      <c r="M80" s="8"/>
      <c r="N80" s="8"/>
      <c r="O80" s="8"/>
      <c r="P80" s="8"/>
      <c r="Q80" s="8"/>
      <c r="R80" s="8"/>
      <c r="S80" s="8"/>
      <c r="T80" s="8"/>
      <c r="U80" s="8"/>
      <c r="V80" s="8"/>
      <c r="W80" s="8"/>
      <c r="X80" s="8"/>
      <c r="Y80" s="8"/>
      <c r="Z80" s="8"/>
      <c r="AA80" s="8"/>
      <c r="AB80" s="8"/>
      <c r="AC80" s="8"/>
    </row>
    <row r="81" spans="1:29" ht="25.5" x14ac:dyDescent="0.2">
      <c r="A81" s="8"/>
      <c r="B81" s="8"/>
      <c r="C81" s="8"/>
      <c r="D81" s="660" t="s">
        <v>1632</v>
      </c>
      <c r="E81" s="661" t="s">
        <v>1633</v>
      </c>
      <c r="F81" s="662" t="s">
        <v>1634</v>
      </c>
      <c r="G81" s="8"/>
      <c r="H81" s="8"/>
      <c r="I81" s="2026" t="s">
        <v>1</v>
      </c>
      <c r="J81" s="2009"/>
      <c r="K81" s="8"/>
      <c r="L81" s="8"/>
      <c r="M81" s="8"/>
      <c r="N81" s="8"/>
      <c r="O81" s="8"/>
      <c r="P81" s="8"/>
      <c r="Q81" s="8"/>
      <c r="R81" s="8"/>
      <c r="S81" s="8"/>
      <c r="T81" s="8"/>
      <c r="U81" s="8"/>
      <c r="V81" s="8"/>
      <c r="W81" s="8"/>
      <c r="X81" s="8"/>
      <c r="Y81" s="8"/>
      <c r="Z81" s="8"/>
      <c r="AA81" s="8"/>
      <c r="AB81" s="8"/>
      <c r="AC81" s="8"/>
    </row>
    <row r="82" spans="1:29" ht="15.75" customHeight="1" x14ac:dyDescent="0.2">
      <c r="A82" s="8"/>
      <c r="B82" s="8"/>
      <c r="C82" s="663" t="s">
        <v>1636</v>
      </c>
      <c r="D82" s="664">
        <f>K77</f>
        <v>125633.61160902474</v>
      </c>
      <c r="E82" s="664">
        <f>D82*0.07</f>
        <v>8794.3528126317324</v>
      </c>
      <c r="F82" s="665"/>
      <c r="G82" s="8"/>
      <c r="H82" s="8"/>
      <c r="I82" s="276"/>
      <c r="J82" s="276" t="str">
        <f>Summary!E3</f>
        <v>AR6 100-yr GWP</v>
      </c>
      <c r="K82" s="666"/>
      <c r="L82" s="8"/>
      <c r="M82" s="666"/>
      <c r="N82" s="8"/>
      <c r="O82" s="8"/>
      <c r="P82" s="666"/>
      <c r="R82" s="8"/>
      <c r="S82" s="8"/>
      <c r="T82" s="8"/>
      <c r="U82" s="8"/>
      <c r="V82" s="666"/>
      <c r="W82" s="8"/>
      <c r="X82" s="8"/>
      <c r="Y82" s="8"/>
      <c r="Z82" s="8"/>
      <c r="AA82" s="8"/>
      <c r="AB82" s="8"/>
      <c r="AC82" s="8"/>
    </row>
    <row r="83" spans="1:29" ht="15.75" customHeight="1" x14ac:dyDescent="0.2">
      <c r="A83" s="8"/>
      <c r="B83" s="8"/>
      <c r="C83" s="1890" t="s">
        <v>1927</v>
      </c>
      <c r="D83" s="242">
        <f>LFGTE_II!M64+LFGTE_II!N64+LFGTE_II!O64</f>
        <v>54011.049423834062</v>
      </c>
      <c r="E83" s="668" t="s">
        <v>44</v>
      </c>
      <c r="F83" s="280"/>
      <c r="G83" s="8"/>
      <c r="H83" s="8"/>
      <c r="I83" s="276" t="str">
        <f>Summary!C4</f>
        <v>CO2</v>
      </c>
      <c r="J83" s="276">
        <f>Summary!E4</f>
        <v>1</v>
      </c>
      <c r="K83" s="241"/>
      <c r="L83" s="8"/>
      <c r="M83" s="666"/>
      <c r="N83" s="666"/>
      <c r="O83" s="666"/>
      <c r="P83" s="241"/>
      <c r="R83" s="8"/>
      <c r="S83" s="8"/>
      <c r="T83" s="8"/>
      <c r="U83" s="8"/>
      <c r="V83" s="241"/>
      <c r="W83" s="8"/>
      <c r="X83" s="8"/>
      <c r="Y83" s="8"/>
      <c r="Z83" s="8"/>
      <c r="AA83" s="8"/>
      <c r="AB83" s="8"/>
      <c r="AC83" s="8"/>
    </row>
    <row r="84" spans="1:29" ht="15.75" customHeight="1" x14ac:dyDescent="0.2">
      <c r="A84" s="8"/>
      <c r="B84" s="8"/>
      <c r="C84" s="1890" t="s">
        <v>1926</v>
      </c>
      <c r="D84" s="242">
        <f>T77</f>
        <v>7079.6801981027302</v>
      </c>
      <c r="E84" s="242">
        <f>E82*0.1</f>
        <v>879.43528126317324</v>
      </c>
      <c r="F84" s="280"/>
      <c r="I84" s="276" t="str">
        <f>Summary!C5</f>
        <v>CH4</v>
      </c>
      <c r="J84" s="276">
        <f>Summary!E5</f>
        <v>27.9</v>
      </c>
      <c r="L84" s="8"/>
      <c r="W84" s="8"/>
      <c r="X84" s="8"/>
      <c r="Y84" s="8"/>
      <c r="Z84" s="8"/>
      <c r="AA84" s="8"/>
      <c r="AB84" s="8"/>
      <c r="AC84" s="8"/>
    </row>
    <row r="85" spans="1:29" ht="15.75" customHeight="1" x14ac:dyDescent="0.2">
      <c r="A85" s="8"/>
      <c r="B85" s="8"/>
      <c r="C85" s="1889" t="s">
        <v>1925</v>
      </c>
      <c r="D85" s="287">
        <f>LFGTE_II!X64+LFGTE_II!Y64+LFGTE_II!Z64</f>
        <v>971.03487091150089</v>
      </c>
      <c r="E85" s="669" t="s">
        <v>44</v>
      </c>
      <c r="F85" s="420"/>
      <c r="G85" s="8"/>
      <c r="H85" s="8"/>
      <c r="I85" s="276" t="str">
        <f>Summary!C6</f>
        <v>N2O</v>
      </c>
      <c r="J85" s="276">
        <f>Summary!E6</f>
        <v>273</v>
      </c>
      <c r="K85" s="241"/>
      <c r="L85" s="8"/>
      <c r="M85" s="8"/>
      <c r="N85" s="8"/>
      <c r="O85" s="8"/>
      <c r="P85" s="666"/>
      <c r="Q85" s="8"/>
      <c r="R85" s="8"/>
      <c r="S85" s="8"/>
      <c r="T85" s="8"/>
      <c r="U85" s="8"/>
      <c r="V85" s="241"/>
      <c r="W85" s="8"/>
      <c r="X85" s="8"/>
      <c r="Y85" s="8"/>
      <c r="Z85" s="8"/>
      <c r="AA85" s="8"/>
      <c r="AB85" s="8"/>
      <c r="AC85" s="8"/>
    </row>
    <row r="86" spans="1:29" ht="15.75" customHeight="1" x14ac:dyDescent="0.2">
      <c r="A86" s="8"/>
      <c r="B86" s="8"/>
      <c r="C86" s="670" t="s">
        <v>1640</v>
      </c>
      <c r="D86" s="664">
        <f>D82-D83-D84+D85</f>
        <v>65513.916857999444</v>
      </c>
      <c r="E86" s="664">
        <f>E82-E84</f>
        <v>7914.9175313685591</v>
      </c>
      <c r="F86" s="672">
        <f>D86+E86</f>
        <v>73428.834389367999</v>
      </c>
      <c r="G86" s="8"/>
      <c r="H86" s="8"/>
      <c r="I86" s="276" t="str">
        <f>Summary!C7</f>
        <v>SF6</v>
      </c>
      <c r="J86" s="454">
        <f>Summary!E7</f>
        <v>24300</v>
      </c>
      <c r="K86" s="241"/>
      <c r="L86" s="8"/>
      <c r="M86" s="8"/>
      <c r="N86" s="8"/>
      <c r="O86" s="8"/>
      <c r="P86" s="241"/>
      <c r="Q86" s="8"/>
      <c r="R86" s="8"/>
      <c r="S86" s="8"/>
      <c r="T86" s="8"/>
      <c r="U86" s="8"/>
      <c r="V86" s="241"/>
      <c r="W86" s="8"/>
      <c r="X86" s="8"/>
      <c r="Y86" s="8"/>
      <c r="Z86" s="8"/>
      <c r="AA86" s="8"/>
      <c r="AB86" s="8"/>
      <c r="AC86" s="8"/>
    </row>
    <row r="87" spans="1:29" ht="15.75" customHeight="1" x14ac:dyDescent="0.2">
      <c r="A87" s="8"/>
      <c r="B87" s="8"/>
      <c r="C87" s="419" t="s">
        <v>1641</v>
      </c>
      <c r="D87" s="287"/>
      <c r="E87" s="287"/>
      <c r="F87" s="288">
        <f>F86*0.907185</f>
        <v>66613.537125518807</v>
      </c>
      <c r="G87" s="8"/>
      <c r="H87" s="8"/>
      <c r="I87" s="8"/>
      <c r="J87" s="8"/>
      <c r="K87" s="241"/>
      <c r="L87" s="8"/>
      <c r="M87" s="8"/>
      <c r="N87" s="8"/>
      <c r="O87" s="8"/>
      <c r="P87" s="8"/>
      <c r="Q87" s="8"/>
      <c r="R87" s="8"/>
      <c r="S87" s="8"/>
      <c r="T87" s="8"/>
      <c r="U87" s="8"/>
      <c r="V87" s="8"/>
      <c r="W87" s="8"/>
      <c r="X87" s="8"/>
      <c r="Y87" s="8"/>
      <c r="Z87" s="8"/>
      <c r="AA87" s="8"/>
      <c r="AB87" s="8"/>
      <c r="AC87" s="8"/>
    </row>
    <row r="88" spans="1:29" ht="15.75" customHeight="1" x14ac:dyDescent="0.2">
      <c r="A88" s="8"/>
      <c r="B88" s="8"/>
      <c r="C88" s="649" t="s">
        <v>691</v>
      </c>
      <c r="D88" s="673"/>
      <c r="E88" s="673"/>
      <c r="F88" s="674">
        <f>F87*$J$84/1000000</f>
        <v>1.8585176858019747</v>
      </c>
      <c r="L88" s="8"/>
      <c r="M88" s="666"/>
      <c r="N88" s="666"/>
      <c r="O88" s="666"/>
      <c r="P88" s="241"/>
      <c r="R88" s="8"/>
      <c r="S88" s="8"/>
      <c r="T88" s="8"/>
      <c r="U88" s="8"/>
      <c r="V88" s="241"/>
      <c r="W88" s="8"/>
      <c r="X88" s="8"/>
      <c r="Y88" s="8"/>
      <c r="Z88" s="8"/>
      <c r="AA88" s="8"/>
      <c r="AB88" s="8"/>
      <c r="AC88" s="8"/>
    </row>
    <row r="89" spans="1:29" ht="15.75" customHeight="1" x14ac:dyDescent="0.2">
      <c r="A89" s="8"/>
      <c r="B89" s="8"/>
      <c r="C89" s="8"/>
      <c r="D89" s="8"/>
      <c r="E89" s="8"/>
      <c r="F89" s="8"/>
      <c r="G89" s="8"/>
      <c r="H89" s="8"/>
      <c r="I89" s="8"/>
      <c r="J89" s="8"/>
      <c r="K89" s="8"/>
      <c r="L89" s="8"/>
      <c r="M89" s="8"/>
      <c r="N89" s="8"/>
      <c r="O89" s="8"/>
      <c r="P89" s="8"/>
      <c r="R89" s="8"/>
      <c r="S89" s="8"/>
      <c r="T89" s="8"/>
      <c r="U89" s="8"/>
      <c r="V89" s="677"/>
      <c r="W89" s="8"/>
      <c r="X89" s="8"/>
      <c r="Y89" s="8"/>
      <c r="Z89" s="8"/>
      <c r="AA89" s="8"/>
      <c r="AB89" s="8"/>
      <c r="AC89" s="8"/>
    </row>
    <row r="90" spans="1:29" ht="15.75" customHeight="1" x14ac:dyDescent="0.25">
      <c r="A90" s="8"/>
      <c r="B90" s="8"/>
      <c r="C90" s="408" t="s">
        <v>1642</v>
      </c>
      <c r="D90" s="235"/>
      <c r="E90" s="235"/>
      <c r="F90" s="235"/>
      <c r="G90" s="8"/>
      <c r="H90" s="8"/>
      <c r="I90" s="8"/>
      <c r="J90" s="8"/>
      <c r="K90" s="386"/>
      <c r="L90" s="8"/>
      <c r="M90" s="61"/>
      <c r="N90" s="666"/>
      <c r="O90" s="241"/>
      <c r="W90" s="8"/>
      <c r="X90" s="8"/>
      <c r="Y90" s="8"/>
      <c r="Z90" s="8"/>
      <c r="AA90" s="8"/>
      <c r="AB90" s="8"/>
      <c r="AC90" s="8"/>
    </row>
    <row r="91" spans="1:29" ht="15.75" customHeight="1" x14ac:dyDescent="0.2">
      <c r="A91" s="8"/>
      <c r="B91" s="8"/>
      <c r="C91" s="8"/>
      <c r="D91" s="8"/>
      <c r="E91" s="8"/>
      <c r="F91" s="8"/>
      <c r="G91" s="8"/>
      <c r="H91" s="8"/>
      <c r="I91" s="8"/>
      <c r="J91" s="8"/>
      <c r="K91" s="8"/>
      <c r="L91" s="8"/>
      <c r="M91" s="8"/>
      <c r="N91" s="8"/>
      <c r="O91" s="8"/>
      <c r="P91" s="8"/>
      <c r="Q91" s="8"/>
      <c r="W91" s="8"/>
      <c r="X91" s="8"/>
      <c r="Y91" s="8"/>
      <c r="Z91" s="8"/>
      <c r="AA91" s="8"/>
      <c r="AB91" s="8"/>
      <c r="AC91" s="8"/>
    </row>
    <row r="92" spans="1:29" ht="15" customHeight="1" x14ac:dyDescent="0.2">
      <c r="A92" s="8"/>
      <c r="B92" s="8"/>
      <c r="C92" s="8"/>
      <c r="D92" s="680" t="s">
        <v>1632</v>
      </c>
      <c r="E92" s="8"/>
      <c r="F92" s="8"/>
      <c r="G92" s="8"/>
      <c r="H92" s="8"/>
      <c r="I92" s="8"/>
      <c r="J92" s="8"/>
      <c r="K92" s="8"/>
      <c r="L92" s="8"/>
      <c r="M92" s="8"/>
      <c r="N92" s="8"/>
      <c r="O92" s="8"/>
      <c r="P92" s="8"/>
      <c r="Q92" s="8"/>
      <c r="R92" s="8"/>
      <c r="S92" s="8"/>
      <c r="T92" s="8"/>
      <c r="U92" s="8"/>
      <c r="V92" s="241"/>
      <c r="W92" s="8"/>
      <c r="X92" s="8"/>
      <c r="Y92" s="8"/>
      <c r="Z92" s="8"/>
      <c r="AA92" s="8"/>
      <c r="AB92" s="8"/>
      <c r="AC92" s="8"/>
    </row>
    <row r="93" spans="1:29" ht="15.75" customHeight="1" x14ac:dyDescent="0.2">
      <c r="A93" s="8"/>
      <c r="B93" s="8"/>
      <c r="C93" s="663" t="s">
        <v>1643</v>
      </c>
      <c r="D93" s="672">
        <f>J77</f>
        <v>332147.36821894534</v>
      </c>
      <c r="E93" s="8"/>
      <c r="F93" s="8"/>
      <c r="G93" s="8"/>
      <c r="H93" s="8"/>
      <c r="I93" s="8"/>
      <c r="J93" s="8"/>
      <c r="K93" s="8"/>
      <c r="L93" s="8"/>
      <c r="M93" s="8"/>
      <c r="N93" s="8"/>
      <c r="O93" s="8"/>
      <c r="P93" s="8"/>
      <c r="Q93" s="8"/>
      <c r="R93" s="8"/>
      <c r="S93" s="8"/>
      <c r="T93" s="8"/>
      <c r="U93" s="8"/>
      <c r="V93" s="677"/>
      <c r="W93" s="8"/>
      <c r="X93" s="8"/>
      <c r="Y93" s="8"/>
      <c r="Z93" s="8"/>
      <c r="AA93" s="8"/>
      <c r="AB93" s="8"/>
      <c r="AC93" s="8"/>
    </row>
    <row r="94" spans="1:29" ht="15.75" customHeight="1" x14ac:dyDescent="0.2">
      <c r="A94" s="8"/>
      <c r="B94" s="8"/>
      <c r="C94" s="667" t="s">
        <v>1644</v>
      </c>
      <c r="D94" s="282">
        <f>LFGTE_II!T64+LFGTE_II!U64+LFGTE_II!V64</f>
        <v>148530.38591554368</v>
      </c>
      <c r="E94" s="8"/>
      <c r="F94" s="8"/>
      <c r="G94" s="8"/>
      <c r="H94" s="8"/>
      <c r="I94" s="8"/>
      <c r="J94" s="8"/>
      <c r="K94" s="8"/>
      <c r="L94" s="8"/>
      <c r="M94" s="8"/>
      <c r="N94" s="8"/>
      <c r="O94" s="8"/>
      <c r="P94" s="8"/>
      <c r="R94" s="8"/>
      <c r="S94" s="8"/>
      <c r="T94" s="8"/>
      <c r="U94" s="8"/>
      <c r="V94" s="681"/>
      <c r="W94" s="8"/>
      <c r="X94" s="8"/>
      <c r="Y94" s="8"/>
      <c r="Z94" s="8"/>
      <c r="AA94" s="8"/>
      <c r="AB94" s="8"/>
      <c r="AC94" s="8"/>
    </row>
    <row r="95" spans="1:29" ht="15.75" customHeight="1" x14ac:dyDescent="0.2">
      <c r="A95" s="8"/>
      <c r="B95" s="8"/>
      <c r="C95" s="670" t="s">
        <v>1645</v>
      </c>
      <c r="D95" s="672">
        <f>D93+D94</f>
        <v>480677.75413448899</v>
      </c>
      <c r="E95" s="8"/>
      <c r="F95" s="8"/>
      <c r="G95" s="8"/>
      <c r="L95" s="8"/>
      <c r="M95" s="8"/>
      <c r="N95" s="8"/>
      <c r="O95" s="8"/>
      <c r="P95" s="8"/>
      <c r="Q95" s="8"/>
      <c r="R95" s="8"/>
      <c r="S95" s="8"/>
      <c r="T95" s="8"/>
      <c r="U95" s="8"/>
      <c r="V95" s="8"/>
      <c r="W95" s="8"/>
      <c r="X95" s="8"/>
      <c r="Y95" s="8"/>
      <c r="Z95" s="8"/>
      <c r="AA95" s="8"/>
      <c r="AB95" s="8"/>
      <c r="AC95" s="8"/>
    </row>
    <row r="96" spans="1:29" ht="15.75" customHeight="1" x14ac:dyDescent="0.2">
      <c r="A96" s="8"/>
      <c r="B96" s="8"/>
      <c r="C96" s="419" t="s">
        <v>1646</v>
      </c>
      <c r="D96" s="288">
        <f>D95*0.907185</f>
        <v>436063.6483844964</v>
      </c>
      <c r="G96" s="8"/>
      <c r="L96" s="8"/>
      <c r="M96" s="8"/>
      <c r="N96" s="8"/>
      <c r="O96" s="8"/>
      <c r="P96" s="8"/>
      <c r="Q96" s="23"/>
      <c r="W96" s="8"/>
      <c r="X96" s="8"/>
      <c r="Y96" s="8"/>
      <c r="Z96" s="8"/>
      <c r="AA96" s="8"/>
      <c r="AB96" s="8"/>
      <c r="AC96" s="8"/>
    </row>
    <row r="97" spans="1:29" ht="15.75" customHeight="1" x14ac:dyDescent="0.2">
      <c r="A97" s="8"/>
      <c r="B97" s="8"/>
      <c r="C97" s="649" t="s">
        <v>1647</v>
      </c>
      <c r="D97" s="674">
        <f>D96/1000000</f>
        <v>0.43606364838449641</v>
      </c>
      <c r="E97" s="8"/>
      <c r="F97" s="8"/>
      <c r="G97" s="8"/>
      <c r="L97" s="8"/>
      <c r="M97" s="8"/>
      <c r="N97" s="8"/>
      <c r="O97" s="8"/>
      <c r="P97" s="8"/>
      <c r="Q97" s="8"/>
      <c r="W97" s="8"/>
      <c r="X97" s="8"/>
      <c r="Y97" s="8"/>
      <c r="Z97" s="8"/>
      <c r="AA97" s="8"/>
      <c r="AB97" s="8"/>
      <c r="AC97" s="8"/>
    </row>
    <row r="98" spans="1:29" ht="15.75" customHeight="1" x14ac:dyDescent="0.2">
      <c r="A98" s="8"/>
      <c r="B98" s="8"/>
      <c r="C98" s="8"/>
      <c r="D98" s="8"/>
      <c r="E98" s="8"/>
      <c r="F98" s="8"/>
      <c r="G98" s="8"/>
      <c r="L98" s="8"/>
      <c r="M98" s="8"/>
      <c r="N98" s="8"/>
      <c r="O98" s="8"/>
      <c r="P98" s="8"/>
      <c r="W98" s="8"/>
      <c r="X98" s="8"/>
      <c r="Y98" s="8"/>
      <c r="Z98" s="8"/>
      <c r="AA98" s="8"/>
      <c r="AB98" s="8"/>
      <c r="AC98" s="8"/>
    </row>
    <row r="99" spans="1:29" ht="15.75" customHeight="1" x14ac:dyDescent="0.25">
      <c r="A99" s="8"/>
      <c r="B99" s="8"/>
      <c r="C99" s="408" t="s">
        <v>847</v>
      </c>
      <c r="D99" s="235"/>
      <c r="E99" s="235"/>
      <c r="F99" s="235"/>
      <c r="G99" s="8"/>
      <c r="L99" s="8"/>
      <c r="M99" s="8"/>
      <c r="N99" s="8"/>
      <c r="O99" s="8"/>
      <c r="P99" s="8"/>
      <c r="W99" s="8"/>
      <c r="X99" s="8"/>
      <c r="Y99" s="8"/>
      <c r="Z99" s="8"/>
      <c r="AA99" s="8"/>
      <c r="AB99" s="8"/>
      <c r="AC99" s="8"/>
    </row>
    <row r="100" spans="1:29" ht="15.75" customHeight="1" x14ac:dyDescent="0.2">
      <c r="A100" s="8"/>
      <c r="B100" s="8"/>
      <c r="G100" s="8"/>
      <c r="L100" s="8"/>
      <c r="M100" s="8"/>
      <c r="N100" s="8"/>
      <c r="O100" s="8"/>
      <c r="P100" s="8"/>
      <c r="W100" s="8"/>
      <c r="X100" s="8"/>
      <c r="Y100" s="8"/>
      <c r="Z100" s="8"/>
      <c r="AA100" s="8"/>
      <c r="AB100" s="8"/>
      <c r="AC100" s="8"/>
    </row>
    <row r="101" spans="1:29" ht="15.75" customHeight="1" x14ac:dyDescent="0.2">
      <c r="A101" s="8"/>
      <c r="B101" s="8"/>
      <c r="C101" s="649" t="s">
        <v>1648</v>
      </c>
      <c r="D101" s="674">
        <f>F88+D97</f>
        <v>2.2945813341864714</v>
      </c>
      <c r="E101" s="8"/>
      <c r="F101" s="8"/>
      <c r="G101" s="8"/>
      <c r="L101" s="8"/>
      <c r="M101" s="8"/>
      <c r="N101" s="8"/>
      <c r="O101" s="8"/>
      <c r="P101" s="8"/>
      <c r="W101" s="8"/>
      <c r="X101" s="8"/>
      <c r="Y101" s="8"/>
      <c r="Z101" s="8"/>
      <c r="AA101" s="8"/>
      <c r="AB101" s="8"/>
      <c r="AC101" s="8"/>
    </row>
    <row r="102" spans="1:29" ht="15.75" customHeight="1" x14ac:dyDescent="0.2">
      <c r="A102" s="8"/>
      <c r="B102" s="8"/>
      <c r="C102" s="8"/>
      <c r="D102" s="8"/>
      <c r="E102" s="8"/>
      <c r="F102" s="8"/>
      <c r="G102" s="8"/>
      <c r="L102" s="8"/>
      <c r="M102" s="8"/>
      <c r="N102" s="8"/>
      <c r="O102" s="8"/>
      <c r="P102" s="8"/>
      <c r="W102" s="8"/>
      <c r="X102" s="8"/>
      <c r="Y102" s="8"/>
      <c r="Z102" s="8"/>
      <c r="AA102" s="8"/>
      <c r="AB102" s="8"/>
      <c r="AC102" s="8"/>
    </row>
    <row r="103" spans="1:29" ht="15.75" customHeight="1" x14ac:dyDescent="0.2">
      <c r="A103" s="8"/>
      <c r="B103" s="8"/>
      <c r="C103" s="8"/>
      <c r="D103" s="8"/>
      <c r="E103" s="8"/>
      <c r="F103" s="8"/>
      <c r="G103" s="8"/>
      <c r="L103" s="8"/>
      <c r="M103" s="8"/>
      <c r="N103" s="8"/>
      <c r="O103" s="8"/>
      <c r="P103" s="8"/>
      <c r="W103" s="8"/>
      <c r="X103" s="8"/>
      <c r="Y103" s="8"/>
      <c r="Z103" s="8"/>
      <c r="AA103" s="8"/>
      <c r="AB103" s="8"/>
      <c r="AC103" s="8"/>
    </row>
    <row r="104" spans="1:29" ht="15.75" customHeight="1" x14ac:dyDescent="0.2">
      <c r="A104" s="8"/>
      <c r="B104" s="8"/>
      <c r="C104" s="8"/>
      <c r="D104" s="8"/>
      <c r="E104" s="8"/>
      <c r="F104" s="8"/>
      <c r="G104" s="8"/>
      <c r="H104" s="8"/>
      <c r="I104" s="8"/>
      <c r="J104" s="8"/>
      <c r="K104" s="8"/>
      <c r="L104" s="8"/>
      <c r="M104" s="8"/>
      <c r="N104" s="8"/>
      <c r="O104" s="8"/>
      <c r="P104" s="8"/>
      <c r="W104" s="8"/>
      <c r="X104" s="8"/>
      <c r="Y104" s="8"/>
      <c r="Z104" s="8"/>
      <c r="AA104" s="8"/>
      <c r="AB104" s="8"/>
      <c r="AC104" s="8"/>
    </row>
    <row r="105" spans="1:29" ht="15.75" customHeight="1" x14ac:dyDescent="0.2">
      <c r="A105" s="8"/>
      <c r="B105" s="8"/>
      <c r="C105" s="8"/>
      <c r="D105" s="8"/>
      <c r="E105" s="8"/>
      <c r="F105" s="8"/>
      <c r="G105" s="8"/>
      <c r="H105" s="8"/>
      <c r="I105" s="8"/>
      <c r="J105" s="8"/>
      <c r="K105" s="8"/>
      <c r="L105" s="8"/>
      <c r="M105" s="8"/>
      <c r="N105" s="8"/>
      <c r="O105" s="8"/>
      <c r="P105" s="8"/>
      <c r="W105" s="8"/>
      <c r="X105" s="8"/>
      <c r="Y105" s="8"/>
      <c r="Z105" s="8"/>
      <c r="AA105" s="8"/>
      <c r="AB105" s="8"/>
      <c r="AC105" s="8"/>
    </row>
    <row r="106" spans="1:29" ht="15.75" customHeight="1" x14ac:dyDescent="0.2">
      <c r="A106" s="8"/>
      <c r="B106" s="8"/>
      <c r="C106" s="8"/>
      <c r="D106" s="8"/>
      <c r="E106" s="8"/>
      <c r="F106" s="8"/>
      <c r="G106" s="8"/>
      <c r="H106" s="8"/>
      <c r="I106" s="8"/>
      <c r="J106" s="8"/>
      <c r="K106" s="8"/>
      <c r="L106" s="8"/>
      <c r="M106" s="8"/>
      <c r="N106" s="8"/>
      <c r="O106" s="8"/>
      <c r="P106" s="8"/>
      <c r="W106" s="8"/>
      <c r="X106" s="8"/>
      <c r="Y106" s="8"/>
      <c r="Z106" s="8"/>
      <c r="AA106" s="8"/>
      <c r="AB106" s="8"/>
      <c r="AC106" s="8"/>
    </row>
    <row r="107" spans="1:29" ht="15.75" customHeight="1" x14ac:dyDescent="0.2">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row>
    <row r="108" spans="1:29" ht="15.75" customHeight="1" x14ac:dyDescent="0.2">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row>
    <row r="109" spans="1:29" ht="15.75" customHeight="1" x14ac:dyDescent="0.2">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row>
    <row r="110" spans="1:29" ht="15.75" customHeight="1" x14ac:dyDescent="0.2">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row>
    <row r="111" spans="1:29" ht="15.75" customHeight="1" x14ac:dyDescent="0.2">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row>
    <row r="112" spans="1:29" ht="15.75" customHeight="1" x14ac:dyDescent="0.2">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row>
    <row r="113" spans="1:29" ht="15.75" customHeight="1" x14ac:dyDescent="0.2">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row>
    <row r="114" spans="1:29" ht="15.75" customHeight="1" x14ac:dyDescent="0.2">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row>
    <row r="115" spans="1:29" ht="15.75" customHeight="1" x14ac:dyDescent="0.2">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row>
    <row r="116" spans="1:29" ht="15.75" customHeight="1" x14ac:dyDescent="0.2">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row>
    <row r="117" spans="1:29" ht="15.75" customHeight="1" x14ac:dyDescent="0.2">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row>
    <row r="118" spans="1:29" ht="15.75" customHeight="1" x14ac:dyDescent="0.2">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row>
    <row r="119" spans="1:29" ht="15.75" customHeight="1" x14ac:dyDescent="0.2">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row>
    <row r="120" spans="1:29" ht="15.75" customHeight="1" x14ac:dyDescent="0.2">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row>
    <row r="121" spans="1:29" ht="15.75" customHeight="1" x14ac:dyDescent="0.2">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row>
    <row r="122" spans="1:29" ht="15.75" customHeight="1" x14ac:dyDescent="0.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row>
    <row r="123" spans="1:29" ht="15.75" customHeight="1" x14ac:dyDescent="0.3">
      <c r="A123" s="460"/>
      <c r="B123" s="460"/>
      <c r="C123" s="460"/>
      <c r="D123" s="460"/>
      <c r="E123" s="460"/>
      <c r="F123" s="460"/>
      <c r="G123" s="460"/>
      <c r="H123" s="460"/>
      <c r="I123" s="460"/>
      <c r="J123" s="460"/>
      <c r="K123" s="460"/>
      <c r="L123" s="460"/>
      <c r="M123" s="460"/>
      <c r="N123" s="460"/>
      <c r="O123" s="460"/>
      <c r="P123" s="460"/>
      <c r="Q123" s="460"/>
      <c r="R123" s="460"/>
      <c r="S123" s="460"/>
      <c r="T123" s="460"/>
      <c r="U123" s="460"/>
      <c r="V123" s="460"/>
      <c r="W123" s="460"/>
      <c r="X123" s="460"/>
      <c r="Y123" s="460"/>
      <c r="Z123" s="460"/>
      <c r="AA123" s="460"/>
      <c r="AB123" s="460"/>
      <c r="AC123" s="460"/>
    </row>
    <row r="124" spans="1:29" ht="15.75" customHeight="1" x14ac:dyDescent="0.3">
      <c r="A124" s="460"/>
      <c r="B124" s="460"/>
      <c r="C124" s="460"/>
      <c r="D124" s="460"/>
      <c r="E124" s="460"/>
      <c r="F124" s="460"/>
      <c r="G124" s="460"/>
      <c r="H124" s="460"/>
      <c r="I124" s="460"/>
      <c r="J124" s="460"/>
      <c r="K124" s="460"/>
      <c r="L124" s="460"/>
      <c r="M124" s="460"/>
      <c r="N124" s="460"/>
      <c r="O124" s="460"/>
      <c r="P124" s="460"/>
      <c r="Q124" s="460"/>
      <c r="R124" s="460"/>
      <c r="S124" s="460"/>
      <c r="T124" s="460"/>
      <c r="U124" s="460"/>
      <c r="V124" s="460"/>
      <c r="W124" s="460"/>
      <c r="X124" s="460"/>
      <c r="Y124" s="460"/>
      <c r="Z124" s="460"/>
      <c r="AA124" s="460"/>
      <c r="AB124" s="460"/>
      <c r="AC124" s="460"/>
    </row>
    <row r="125" spans="1:29" ht="15.75" customHeight="1" x14ac:dyDescent="0.3">
      <c r="A125" s="460"/>
      <c r="B125" s="460"/>
      <c r="C125" s="460"/>
      <c r="D125" s="460"/>
      <c r="E125" s="460"/>
      <c r="F125" s="460"/>
      <c r="G125" s="460"/>
      <c r="H125" s="460"/>
      <c r="I125" s="460"/>
      <c r="J125" s="460"/>
      <c r="K125" s="460"/>
      <c r="L125" s="460"/>
      <c r="M125" s="460"/>
      <c r="N125" s="460"/>
      <c r="O125" s="460"/>
      <c r="P125" s="460"/>
      <c r="Q125" s="460"/>
      <c r="R125" s="460"/>
      <c r="S125" s="460"/>
      <c r="T125" s="460"/>
      <c r="U125" s="460"/>
      <c r="V125" s="460"/>
      <c r="W125" s="460"/>
      <c r="X125" s="460"/>
      <c r="Y125" s="460"/>
      <c r="Z125" s="460"/>
      <c r="AA125" s="460"/>
      <c r="AB125" s="460"/>
      <c r="AC125" s="460"/>
    </row>
    <row r="126" spans="1:29" ht="15.75" customHeight="1" x14ac:dyDescent="0.3">
      <c r="A126" s="460"/>
      <c r="B126" s="460"/>
      <c r="C126" s="460"/>
      <c r="D126" s="460"/>
      <c r="E126" s="460"/>
      <c r="F126" s="460"/>
      <c r="G126" s="460"/>
      <c r="H126" s="460"/>
      <c r="I126" s="460"/>
      <c r="J126" s="460"/>
      <c r="K126" s="460"/>
      <c r="L126" s="460"/>
      <c r="M126" s="460"/>
      <c r="N126" s="460"/>
      <c r="O126" s="460"/>
      <c r="P126" s="460"/>
      <c r="Q126" s="460"/>
      <c r="R126" s="460"/>
      <c r="S126" s="460"/>
      <c r="T126" s="460"/>
      <c r="U126" s="460"/>
      <c r="V126" s="460"/>
      <c r="W126" s="460"/>
      <c r="X126" s="460"/>
      <c r="Y126" s="460"/>
      <c r="Z126" s="460"/>
      <c r="AA126" s="460"/>
      <c r="AB126" s="460"/>
      <c r="AC126" s="460"/>
    </row>
    <row r="127" spans="1:29" ht="15.75" customHeight="1" x14ac:dyDescent="0.3">
      <c r="A127" s="460"/>
      <c r="B127" s="460"/>
      <c r="C127" s="460"/>
      <c r="D127" s="460"/>
      <c r="E127" s="460"/>
      <c r="F127" s="460"/>
      <c r="G127" s="460"/>
      <c r="H127" s="460"/>
      <c r="I127" s="460"/>
      <c r="J127" s="460"/>
      <c r="K127" s="460"/>
      <c r="L127" s="460"/>
      <c r="M127" s="460"/>
      <c r="N127" s="460"/>
      <c r="O127" s="460"/>
      <c r="P127" s="460"/>
      <c r="Q127" s="460"/>
      <c r="R127" s="460"/>
      <c r="S127" s="460"/>
      <c r="T127" s="460"/>
      <c r="U127" s="460"/>
      <c r="V127" s="460"/>
      <c r="W127" s="460"/>
      <c r="X127" s="460"/>
      <c r="Y127" s="460"/>
      <c r="Z127" s="460"/>
      <c r="AA127" s="460"/>
      <c r="AB127" s="460"/>
      <c r="AC127" s="460"/>
    </row>
    <row r="128" spans="1:29" ht="15.75" customHeight="1" x14ac:dyDescent="0.3">
      <c r="A128" s="460"/>
      <c r="B128" s="460"/>
      <c r="C128" s="460"/>
      <c r="D128" s="460"/>
      <c r="E128" s="460"/>
      <c r="F128" s="460"/>
      <c r="G128" s="460"/>
      <c r="H128" s="460"/>
      <c r="I128" s="460"/>
      <c r="J128" s="460"/>
      <c r="K128" s="460"/>
      <c r="L128" s="460"/>
      <c r="M128" s="460"/>
      <c r="N128" s="460"/>
      <c r="O128" s="460"/>
      <c r="P128" s="460"/>
      <c r="Q128" s="460"/>
      <c r="R128" s="460"/>
      <c r="S128" s="460"/>
      <c r="T128" s="460"/>
      <c r="U128" s="460"/>
      <c r="V128" s="460"/>
      <c r="W128" s="460"/>
      <c r="X128" s="460"/>
      <c r="Y128" s="460"/>
      <c r="Z128" s="460"/>
      <c r="AA128" s="460"/>
      <c r="AB128" s="460"/>
      <c r="AC128" s="460"/>
    </row>
    <row r="129" spans="1:29" ht="15.75" customHeight="1" x14ac:dyDescent="0.3">
      <c r="A129" s="460"/>
      <c r="B129" s="460"/>
      <c r="C129" s="460"/>
      <c r="D129" s="460"/>
      <c r="E129" s="460"/>
      <c r="F129" s="460"/>
      <c r="G129" s="460"/>
      <c r="H129" s="460"/>
      <c r="I129" s="460"/>
      <c r="J129" s="460"/>
      <c r="K129" s="460"/>
      <c r="L129" s="460"/>
      <c r="M129" s="460"/>
      <c r="N129" s="460"/>
      <c r="O129" s="460"/>
      <c r="P129" s="460"/>
      <c r="Q129" s="460"/>
      <c r="R129" s="460"/>
      <c r="S129" s="460"/>
      <c r="T129" s="460"/>
      <c r="U129" s="460"/>
      <c r="V129" s="460"/>
      <c r="W129" s="460"/>
      <c r="X129" s="460"/>
      <c r="Y129" s="460"/>
      <c r="Z129" s="460"/>
      <c r="AA129" s="460"/>
      <c r="AB129" s="460"/>
      <c r="AC129" s="460"/>
    </row>
    <row r="130" spans="1:29" ht="15.75" customHeight="1" x14ac:dyDescent="0.3">
      <c r="A130" s="460"/>
      <c r="B130" s="460"/>
      <c r="C130" s="460"/>
      <c r="D130" s="460"/>
      <c r="E130" s="460"/>
      <c r="F130" s="460"/>
      <c r="G130" s="460"/>
      <c r="H130" s="460"/>
      <c r="I130" s="460"/>
      <c r="J130" s="460"/>
      <c r="K130" s="460"/>
      <c r="L130" s="460"/>
      <c r="M130" s="460"/>
      <c r="N130" s="460"/>
      <c r="O130" s="460"/>
      <c r="P130" s="460"/>
      <c r="Q130" s="460"/>
      <c r="R130" s="460"/>
      <c r="S130" s="460"/>
      <c r="T130" s="460"/>
      <c r="U130" s="460"/>
      <c r="V130" s="460"/>
      <c r="W130" s="460"/>
      <c r="X130" s="460"/>
      <c r="Y130" s="460"/>
      <c r="Z130" s="460"/>
      <c r="AA130" s="460"/>
      <c r="AB130" s="460"/>
      <c r="AC130" s="460"/>
    </row>
    <row r="131" spans="1:29" ht="15.75" customHeight="1" x14ac:dyDescent="0.3">
      <c r="A131" s="460"/>
      <c r="B131" s="460"/>
      <c r="C131" s="460"/>
      <c r="D131" s="460"/>
      <c r="E131" s="460"/>
      <c r="F131" s="460"/>
      <c r="G131" s="460"/>
      <c r="H131" s="460"/>
      <c r="I131" s="460"/>
      <c r="J131" s="460"/>
      <c r="K131" s="460"/>
      <c r="L131" s="460"/>
      <c r="M131" s="460"/>
      <c r="N131" s="460"/>
      <c r="O131" s="460"/>
      <c r="P131" s="460"/>
      <c r="Q131" s="460"/>
      <c r="R131" s="460"/>
      <c r="S131" s="460"/>
      <c r="T131" s="460"/>
      <c r="U131" s="460"/>
      <c r="V131" s="460"/>
      <c r="W131" s="460"/>
      <c r="X131" s="460"/>
      <c r="Y131" s="460"/>
      <c r="Z131" s="460"/>
      <c r="AA131" s="460"/>
      <c r="AB131" s="460"/>
      <c r="AC131" s="460"/>
    </row>
    <row r="132" spans="1:29" ht="15.75" customHeight="1" x14ac:dyDescent="0.3">
      <c r="A132" s="460"/>
      <c r="B132" s="460"/>
      <c r="C132" s="460"/>
      <c r="D132" s="460"/>
      <c r="E132" s="460"/>
      <c r="F132" s="460"/>
      <c r="G132" s="460"/>
      <c r="H132" s="460"/>
      <c r="I132" s="460"/>
      <c r="J132" s="460"/>
      <c r="K132" s="460"/>
      <c r="L132" s="460"/>
      <c r="M132" s="460"/>
      <c r="N132" s="460"/>
      <c r="O132" s="460"/>
      <c r="P132" s="460"/>
      <c r="Q132" s="460"/>
      <c r="R132" s="460"/>
      <c r="S132" s="460"/>
      <c r="T132" s="460"/>
      <c r="U132" s="460"/>
      <c r="V132" s="460"/>
      <c r="W132" s="460"/>
      <c r="X132" s="460"/>
      <c r="Y132" s="460"/>
      <c r="Z132" s="460"/>
      <c r="AA132" s="460"/>
      <c r="AB132" s="460"/>
      <c r="AC132" s="460"/>
    </row>
    <row r="133" spans="1:29" ht="15.75" customHeight="1" x14ac:dyDescent="0.3">
      <c r="A133" s="460"/>
      <c r="B133" s="460"/>
      <c r="C133" s="460"/>
      <c r="D133" s="460"/>
      <c r="E133" s="460"/>
      <c r="F133" s="460"/>
      <c r="G133" s="460"/>
      <c r="H133" s="460"/>
      <c r="I133" s="460"/>
      <c r="J133" s="460"/>
      <c r="K133" s="460"/>
      <c r="L133" s="460"/>
      <c r="M133" s="460"/>
      <c r="N133" s="460"/>
      <c r="O133" s="460"/>
      <c r="P133" s="460"/>
      <c r="Q133" s="460"/>
      <c r="R133" s="460"/>
      <c r="S133" s="460"/>
      <c r="T133" s="460"/>
      <c r="U133" s="460"/>
      <c r="V133" s="460"/>
      <c r="W133" s="460"/>
      <c r="X133" s="460"/>
      <c r="Y133" s="460"/>
      <c r="Z133" s="460"/>
      <c r="AA133" s="460"/>
      <c r="AB133" s="460"/>
      <c r="AC133" s="460"/>
    </row>
    <row r="134" spans="1:29" ht="15.75" customHeight="1" x14ac:dyDescent="0.3">
      <c r="A134" s="460"/>
      <c r="B134" s="460"/>
      <c r="C134" s="460"/>
      <c r="D134" s="460"/>
      <c r="E134" s="460"/>
      <c r="F134" s="460"/>
      <c r="G134" s="460"/>
      <c r="H134" s="460"/>
      <c r="I134" s="460"/>
      <c r="J134" s="460"/>
      <c r="K134" s="460"/>
      <c r="L134" s="460"/>
      <c r="M134" s="460"/>
      <c r="N134" s="460"/>
      <c r="O134" s="460"/>
      <c r="P134" s="460"/>
      <c r="Q134" s="460"/>
      <c r="R134" s="460"/>
      <c r="S134" s="460"/>
      <c r="T134" s="460"/>
      <c r="U134" s="460"/>
      <c r="V134" s="460"/>
      <c r="W134" s="460"/>
      <c r="X134" s="460"/>
      <c r="Y134" s="460"/>
      <c r="Z134" s="460"/>
      <c r="AA134" s="460"/>
      <c r="AB134" s="460"/>
      <c r="AC134" s="460"/>
    </row>
    <row r="135" spans="1:29" ht="15.75" customHeight="1" x14ac:dyDescent="0.3">
      <c r="A135" s="460"/>
      <c r="B135" s="460"/>
      <c r="C135" s="460"/>
      <c r="D135" s="460"/>
      <c r="E135" s="460"/>
      <c r="F135" s="460"/>
      <c r="G135" s="460"/>
      <c r="H135" s="460"/>
      <c r="I135" s="460"/>
      <c r="J135" s="460"/>
      <c r="K135" s="460"/>
      <c r="L135" s="460"/>
      <c r="M135" s="460"/>
      <c r="N135" s="460"/>
      <c r="O135" s="460"/>
      <c r="P135" s="460"/>
      <c r="Q135" s="460"/>
      <c r="R135" s="460"/>
      <c r="S135" s="460"/>
      <c r="T135" s="460"/>
      <c r="U135" s="460"/>
      <c r="V135" s="460"/>
      <c r="W135" s="460"/>
      <c r="X135" s="460"/>
      <c r="Y135" s="460"/>
      <c r="Z135" s="460"/>
      <c r="AA135" s="460"/>
      <c r="AB135" s="460"/>
      <c r="AC135" s="460"/>
    </row>
    <row r="136" spans="1:29" ht="15.75" customHeight="1" x14ac:dyDescent="0.3">
      <c r="A136" s="460"/>
      <c r="B136" s="460"/>
      <c r="C136" s="460"/>
      <c r="D136" s="460"/>
      <c r="E136" s="460"/>
      <c r="F136" s="460"/>
      <c r="G136" s="460"/>
      <c r="H136" s="460"/>
      <c r="I136" s="460"/>
      <c r="J136" s="460"/>
      <c r="K136" s="460"/>
      <c r="L136" s="460"/>
      <c r="M136" s="460"/>
      <c r="N136" s="460"/>
      <c r="O136" s="460"/>
      <c r="P136" s="460"/>
      <c r="Q136" s="460"/>
      <c r="R136" s="460"/>
      <c r="S136" s="460"/>
      <c r="T136" s="460"/>
      <c r="U136" s="460"/>
      <c r="V136" s="460"/>
      <c r="W136" s="460"/>
      <c r="X136" s="460"/>
      <c r="Y136" s="460"/>
      <c r="Z136" s="460"/>
      <c r="AA136" s="460"/>
      <c r="AB136" s="460"/>
      <c r="AC136" s="460"/>
    </row>
    <row r="137" spans="1:29" ht="15.75" customHeight="1" x14ac:dyDescent="0.3">
      <c r="A137" s="460"/>
      <c r="B137" s="460"/>
      <c r="C137" s="460"/>
      <c r="D137" s="460"/>
      <c r="E137" s="460"/>
      <c r="F137" s="460"/>
      <c r="G137" s="460"/>
      <c r="H137" s="460"/>
      <c r="I137" s="460"/>
      <c r="J137" s="460"/>
      <c r="K137" s="460"/>
      <c r="L137" s="460"/>
      <c r="M137" s="460"/>
      <c r="N137" s="460"/>
      <c r="O137" s="460"/>
      <c r="P137" s="460"/>
      <c r="Q137" s="460"/>
      <c r="R137" s="460"/>
      <c r="S137" s="460"/>
      <c r="T137" s="460"/>
      <c r="U137" s="460"/>
      <c r="V137" s="460"/>
      <c r="W137" s="460"/>
      <c r="X137" s="460"/>
      <c r="Y137" s="460"/>
      <c r="Z137" s="460"/>
      <c r="AA137" s="460"/>
      <c r="AB137" s="460"/>
      <c r="AC137" s="460"/>
    </row>
    <row r="138" spans="1:29" ht="15.75" customHeight="1" x14ac:dyDescent="0.3">
      <c r="A138" s="460"/>
      <c r="B138" s="460"/>
      <c r="C138" s="460"/>
      <c r="D138" s="460"/>
      <c r="E138" s="460"/>
      <c r="F138" s="460"/>
      <c r="G138" s="460"/>
      <c r="H138" s="460"/>
      <c r="I138" s="460"/>
      <c r="J138" s="460"/>
      <c r="K138" s="460"/>
      <c r="L138" s="460"/>
      <c r="M138" s="460"/>
      <c r="N138" s="460"/>
      <c r="O138" s="460"/>
      <c r="P138" s="460"/>
      <c r="Q138" s="460"/>
      <c r="R138" s="460"/>
      <c r="S138" s="460"/>
      <c r="T138" s="460"/>
      <c r="U138" s="460"/>
      <c r="V138" s="460"/>
      <c r="W138" s="460"/>
      <c r="X138" s="460"/>
      <c r="Y138" s="460"/>
      <c r="Z138" s="460"/>
      <c r="AA138" s="460"/>
      <c r="AB138" s="460"/>
      <c r="AC138" s="460"/>
    </row>
    <row r="139" spans="1:29" ht="15.75" customHeight="1" x14ac:dyDescent="0.3">
      <c r="A139" s="460"/>
      <c r="B139" s="460"/>
      <c r="C139" s="460"/>
      <c r="D139" s="460"/>
      <c r="E139" s="460"/>
      <c r="F139" s="460"/>
      <c r="G139" s="460"/>
      <c r="H139" s="460"/>
      <c r="I139" s="460"/>
      <c r="J139" s="460"/>
      <c r="K139" s="460"/>
      <c r="L139" s="460"/>
      <c r="M139" s="460"/>
      <c r="N139" s="460"/>
      <c r="O139" s="460"/>
      <c r="P139" s="460"/>
      <c r="Q139" s="460"/>
      <c r="R139" s="460"/>
      <c r="S139" s="460"/>
      <c r="T139" s="460"/>
      <c r="U139" s="460"/>
      <c r="V139" s="460"/>
      <c r="W139" s="460"/>
      <c r="X139" s="460"/>
      <c r="Y139" s="460"/>
      <c r="Z139" s="460"/>
      <c r="AA139" s="460"/>
      <c r="AB139" s="460"/>
      <c r="AC139" s="460"/>
    </row>
    <row r="140" spans="1:29" ht="15.75" customHeight="1" x14ac:dyDescent="0.3">
      <c r="A140" s="460"/>
      <c r="B140" s="460"/>
      <c r="C140" s="460"/>
      <c r="D140" s="460"/>
      <c r="E140" s="460"/>
      <c r="F140" s="460"/>
      <c r="G140" s="460"/>
      <c r="H140" s="460"/>
      <c r="I140" s="460"/>
      <c r="J140" s="460"/>
      <c r="K140" s="460"/>
      <c r="L140" s="460"/>
      <c r="M140" s="460"/>
      <c r="N140" s="460"/>
      <c r="O140" s="460"/>
      <c r="P140" s="460"/>
      <c r="Q140" s="460"/>
      <c r="R140" s="460"/>
      <c r="S140" s="460"/>
      <c r="T140" s="460"/>
      <c r="U140" s="460"/>
      <c r="V140" s="460"/>
      <c r="W140" s="460"/>
      <c r="X140" s="460"/>
      <c r="Y140" s="460"/>
      <c r="Z140" s="460"/>
      <c r="AA140" s="460"/>
      <c r="AB140" s="460"/>
      <c r="AC140" s="460"/>
    </row>
    <row r="141" spans="1:29" ht="15.75" customHeight="1" x14ac:dyDescent="0.3">
      <c r="A141" s="460"/>
      <c r="B141" s="460"/>
      <c r="C141" s="460"/>
      <c r="D141" s="460"/>
      <c r="E141" s="460"/>
      <c r="F141" s="460"/>
      <c r="G141" s="460"/>
      <c r="H141" s="460"/>
      <c r="I141" s="460"/>
      <c r="J141" s="460"/>
      <c r="K141" s="460"/>
      <c r="L141" s="460"/>
      <c r="M141" s="460"/>
      <c r="N141" s="460"/>
      <c r="O141" s="460"/>
      <c r="P141" s="460"/>
      <c r="Q141" s="460"/>
      <c r="R141" s="460"/>
      <c r="S141" s="460"/>
      <c r="T141" s="460"/>
      <c r="U141" s="460"/>
      <c r="V141" s="460"/>
      <c r="W141" s="460"/>
      <c r="X141" s="460"/>
      <c r="Y141" s="460"/>
      <c r="Z141" s="460"/>
      <c r="AA141" s="460"/>
      <c r="AB141" s="460"/>
      <c r="AC141" s="460"/>
    </row>
    <row r="142" spans="1:29" ht="15.75" customHeight="1" x14ac:dyDescent="0.3">
      <c r="A142" s="460"/>
      <c r="B142" s="460"/>
      <c r="C142" s="460"/>
      <c r="D142" s="460"/>
      <c r="E142" s="460"/>
      <c r="F142" s="460"/>
      <c r="G142" s="460"/>
      <c r="H142" s="460"/>
      <c r="I142" s="460"/>
      <c r="J142" s="460"/>
      <c r="K142" s="460"/>
      <c r="L142" s="460"/>
      <c r="M142" s="460"/>
      <c r="N142" s="460"/>
      <c r="O142" s="460"/>
      <c r="P142" s="460"/>
      <c r="Q142" s="460"/>
      <c r="R142" s="460"/>
      <c r="S142" s="460"/>
      <c r="T142" s="460"/>
      <c r="U142" s="460"/>
      <c r="V142" s="460"/>
      <c r="W142" s="460"/>
      <c r="X142" s="460"/>
      <c r="Y142" s="460"/>
      <c r="Z142" s="460"/>
      <c r="AA142" s="460"/>
      <c r="AB142" s="460"/>
      <c r="AC142" s="460"/>
    </row>
    <row r="143" spans="1:29" ht="15.75" customHeight="1" x14ac:dyDescent="0.3">
      <c r="A143" s="460"/>
      <c r="B143" s="460"/>
      <c r="C143" s="460"/>
      <c r="D143" s="460"/>
      <c r="E143" s="460"/>
      <c r="F143" s="460"/>
      <c r="G143" s="460"/>
      <c r="H143" s="460"/>
      <c r="I143" s="460"/>
      <c r="J143" s="460"/>
      <c r="K143" s="460"/>
      <c r="L143" s="460"/>
      <c r="M143" s="460"/>
      <c r="N143" s="460"/>
      <c r="O143" s="460"/>
      <c r="P143" s="460"/>
      <c r="Q143" s="460"/>
      <c r="R143" s="460"/>
      <c r="S143" s="460"/>
      <c r="T143" s="460"/>
      <c r="U143" s="460"/>
      <c r="V143" s="460"/>
      <c r="W143" s="460"/>
      <c r="X143" s="460"/>
      <c r="Y143" s="460"/>
      <c r="Z143" s="460"/>
      <c r="AA143" s="460"/>
      <c r="AB143" s="460"/>
      <c r="AC143" s="460"/>
    </row>
    <row r="144" spans="1:29" ht="15.75" customHeight="1" x14ac:dyDescent="0.3">
      <c r="A144" s="460"/>
      <c r="B144" s="460"/>
      <c r="C144" s="460"/>
      <c r="D144" s="460"/>
      <c r="E144" s="460"/>
      <c r="F144" s="460"/>
      <c r="G144" s="460"/>
      <c r="H144" s="460"/>
      <c r="I144" s="460"/>
      <c r="J144" s="460"/>
      <c r="K144" s="460"/>
      <c r="L144" s="460"/>
      <c r="M144" s="460"/>
      <c r="N144" s="460"/>
      <c r="O144" s="460"/>
      <c r="P144" s="460"/>
      <c r="Q144" s="460"/>
      <c r="R144" s="460"/>
      <c r="S144" s="460"/>
      <c r="T144" s="460"/>
      <c r="U144" s="460"/>
      <c r="V144" s="460"/>
      <c r="W144" s="460"/>
      <c r="X144" s="460"/>
      <c r="Y144" s="460"/>
      <c r="Z144" s="460"/>
      <c r="AA144" s="460"/>
      <c r="AB144" s="460"/>
      <c r="AC144" s="460"/>
    </row>
    <row r="145" spans="1:29" ht="15.75" customHeight="1" x14ac:dyDescent="0.3">
      <c r="A145" s="460"/>
      <c r="B145" s="460"/>
      <c r="C145" s="460"/>
      <c r="D145" s="460"/>
      <c r="E145" s="460"/>
      <c r="F145" s="460"/>
      <c r="G145" s="460"/>
      <c r="H145" s="460"/>
      <c r="I145" s="460"/>
      <c r="J145" s="460"/>
      <c r="K145" s="460"/>
      <c r="L145" s="460"/>
      <c r="M145" s="460"/>
      <c r="N145" s="460"/>
      <c r="O145" s="460"/>
      <c r="P145" s="460"/>
      <c r="Q145" s="460"/>
      <c r="R145" s="460"/>
      <c r="S145" s="460"/>
      <c r="T145" s="460"/>
      <c r="U145" s="460"/>
      <c r="V145" s="460"/>
      <c r="W145" s="460"/>
      <c r="X145" s="460"/>
      <c r="Y145" s="460"/>
      <c r="Z145" s="460"/>
      <c r="AA145" s="460"/>
      <c r="AB145" s="460"/>
      <c r="AC145" s="460"/>
    </row>
    <row r="146" spans="1:29" ht="15.75" customHeight="1" x14ac:dyDescent="0.3">
      <c r="A146" s="460"/>
      <c r="B146" s="460"/>
      <c r="C146" s="460"/>
      <c r="D146" s="460"/>
      <c r="E146" s="460"/>
      <c r="F146" s="460"/>
      <c r="G146" s="460"/>
      <c r="H146" s="460"/>
      <c r="I146" s="460"/>
      <c r="J146" s="460"/>
      <c r="K146" s="460"/>
      <c r="L146" s="460"/>
      <c r="M146" s="460"/>
      <c r="N146" s="460"/>
      <c r="O146" s="460"/>
      <c r="P146" s="460"/>
      <c r="Q146" s="460"/>
      <c r="R146" s="460"/>
      <c r="S146" s="460"/>
      <c r="T146" s="460"/>
      <c r="U146" s="460"/>
      <c r="V146" s="460"/>
      <c r="W146" s="460"/>
      <c r="X146" s="460"/>
      <c r="Y146" s="460"/>
      <c r="Z146" s="460"/>
      <c r="AA146" s="460"/>
      <c r="AB146" s="460"/>
      <c r="AC146" s="460"/>
    </row>
    <row r="147" spans="1:29" ht="15.75" customHeight="1" x14ac:dyDescent="0.3">
      <c r="A147" s="460"/>
      <c r="B147" s="460"/>
      <c r="C147" s="460"/>
      <c r="D147" s="460"/>
      <c r="E147" s="460"/>
      <c r="F147" s="460"/>
      <c r="G147" s="460"/>
      <c r="H147" s="460"/>
      <c r="I147" s="460"/>
      <c r="J147" s="460"/>
      <c r="K147" s="460"/>
      <c r="L147" s="460"/>
      <c r="M147" s="460"/>
      <c r="N147" s="460"/>
      <c r="O147" s="460"/>
      <c r="P147" s="460"/>
      <c r="Q147" s="460"/>
      <c r="R147" s="460"/>
      <c r="S147" s="460"/>
      <c r="T147" s="460"/>
      <c r="U147" s="460"/>
      <c r="V147" s="460"/>
      <c r="W147" s="460"/>
      <c r="X147" s="460"/>
      <c r="Y147" s="460"/>
      <c r="Z147" s="460"/>
      <c r="AA147" s="460"/>
      <c r="AB147" s="460"/>
      <c r="AC147" s="460"/>
    </row>
    <row r="148" spans="1:29" ht="15.75" customHeight="1" x14ac:dyDescent="0.3">
      <c r="A148" s="460"/>
      <c r="B148" s="460"/>
      <c r="C148" s="460"/>
      <c r="D148" s="460"/>
      <c r="E148" s="460"/>
      <c r="F148" s="460"/>
      <c r="G148" s="460"/>
      <c r="H148" s="460"/>
      <c r="I148" s="460"/>
      <c r="J148" s="460"/>
      <c r="K148" s="460"/>
      <c r="L148" s="460"/>
      <c r="M148" s="460"/>
      <c r="N148" s="460"/>
      <c r="O148" s="460"/>
      <c r="P148" s="460"/>
      <c r="Q148" s="460"/>
      <c r="R148" s="460"/>
      <c r="S148" s="460"/>
      <c r="T148" s="460"/>
      <c r="U148" s="460"/>
      <c r="V148" s="460"/>
      <c r="W148" s="460"/>
      <c r="X148" s="460"/>
      <c r="Y148" s="460"/>
      <c r="Z148" s="460"/>
      <c r="AA148" s="460"/>
      <c r="AB148" s="460"/>
      <c r="AC148" s="460"/>
    </row>
    <row r="149" spans="1:29" ht="15.75" customHeight="1" x14ac:dyDescent="0.3">
      <c r="A149" s="460"/>
      <c r="B149" s="460"/>
      <c r="C149" s="460"/>
      <c r="D149" s="460"/>
      <c r="E149" s="460"/>
      <c r="F149" s="460"/>
      <c r="G149" s="460"/>
      <c r="H149" s="460"/>
      <c r="I149" s="460"/>
      <c r="J149" s="460"/>
      <c r="K149" s="460"/>
      <c r="L149" s="460"/>
      <c r="M149" s="460"/>
      <c r="N149" s="460"/>
      <c r="O149" s="460"/>
      <c r="P149" s="460"/>
      <c r="Q149" s="460"/>
      <c r="R149" s="460"/>
      <c r="S149" s="460"/>
      <c r="T149" s="460"/>
      <c r="U149" s="460"/>
      <c r="V149" s="460"/>
      <c r="W149" s="460"/>
      <c r="X149" s="460"/>
      <c r="Y149" s="460"/>
      <c r="Z149" s="460"/>
      <c r="AA149" s="460"/>
      <c r="AB149" s="460"/>
      <c r="AC149" s="460"/>
    </row>
    <row r="150" spans="1:29" ht="15.75" customHeight="1" x14ac:dyDescent="0.3">
      <c r="A150" s="460"/>
      <c r="B150" s="460"/>
      <c r="C150" s="460"/>
      <c r="D150" s="460"/>
      <c r="E150" s="460"/>
      <c r="F150" s="460"/>
      <c r="G150" s="460"/>
      <c r="H150" s="460"/>
      <c r="I150" s="460"/>
      <c r="J150" s="460"/>
      <c r="K150" s="460"/>
      <c r="L150" s="460"/>
      <c r="M150" s="460"/>
      <c r="N150" s="460"/>
      <c r="O150" s="460"/>
      <c r="P150" s="460"/>
      <c r="Q150" s="460"/>
      <c r="R150" s="460"/>
      <c r="S150" s="460"/>
      <c r="T150" s="460"/>
      <c r="U150" s="460"/>
      <c r="V150" s="460"/>
      <c r="W150" s="460"/>
      <c r="X150" s="460"/>
      <c r="Y150" s="460"/>
      <c r="Z150" s="460"/>
      <c r="AA150" s="460"/>
      <c r="AB150" s="460"/>
      <c r="AC150" s="460"/>
    </row>
    <row r="151" spans="1:29" ht="15.75" customHeight="1" x14ac:dyDescent="0.3">
      <c r="A151" s="460"/>
      <c r="B151" s="460"/>
      <c r="C151" s="460"/>
      <c r="D151" s="460"/>
      <c r="E151" s="460"/>
      <c r="F151" s="460"/>
      <c r="G151" s="460"/>
      <c r="H151" s="460"/>
      <c r="I151" s="460"/>
      <c r="J151" s="460"/>
      <c r="K151" s="460"/>
      <c r="L151" s="460"/>
      <c r="M151" s="460"/>
      <c r="N151" s="460"/>
      <c r="O151" s="460"/>
      <c r="P151" s="460"/>
      <c r="Q151" s="460"/>
      <c r="R151" s="460"/>
      <c r="S151" s="460"/>
      <c r="T151" s="460"/>
      <c r="U151" s="460"/>
      <c r="V151" s="460"/>
      <c r="W151" s="460"/>
      <c r="X151" s="460"/>
      <c r="Y151" s="460"/>
      <c r="Z151" s="460"/>
      <c r="AA151" s="460"/>
      <c r="AB151" s="460"/>
      <c r="AC151" s="460"/>
    </row>
    <row r="152" spans="1:29" ht="15.75" customHeight="1" x14ac:dyDescent="0.3">
      <c r="A152" s="460"/>
      <c r="B152" s="460"/>
      <c r="C152" s="460"/>
      <c r="D152" s="460"/>
      <c r="E152" s="460"/>
      <c r="F152" s="460"/>
      <c r="G152" s="460"/>
      <c r="H152" s="460"/>
      <c r="I152" s="460"/>
      <c r="J152" s="460"/>
      <c r="K152" s="460"/>
      <c r="L152" s="460"/>
      <c r="M152" s="460"/>
      <c r="N152" s="460"/>
      <c r="O152" s="460"/>
      <c r="P152" s="460"/>
      <c r="Q152" s="460"/>
      <c r="R152" s="460"/>
      <c r="S152" s="460"/>
      <c r="T152" s="460"/>
      <c r="U152" s="460"/>
      <c r="V152" s="460"/>
      <c r="W152" s="460"/>
      <c r="X152" s="460"/>
      <c r="Y152" s="460"/>
      <c r="Z152" s="460"/>
      <c r="AA152" s="460"/>
      <c r="AB152" s="460"/>
      <c r="AC152" s="460"/>
    </row>
    <row r="153" spans="1:29" ht="15.75" customHeight="1" x14ac:dyDescent="0.3">
      <c r="A153" s="460"/>
      <c r="B153" s="460"/>
      <c r="C153" s="460"/>
      <c r="D153" s="460"/>
      <c r="E153" s="460"/>
      <c r="F153" s="460"/>
      <c r="G153" s="460"/>
      <c r="H153" s="460"/>
      <c r="I153" s="460"/>
      <c r="J153" s="460"/>
      <c r="K153" s="460"/>
      <c r="L153" s="460"/>
      <c r="M153" s="460"/>
      <c r="N153" s="460"/>
      <c r="O153" s="460"/>
      <c r="P153" s="460"/>
      <c r="Q153" s="460"/>
      <c r="R153" s="460"/>
      <c r="S153" s="460"/>
      <c r="T153" s="460"/>
      <c r="U153" s="460"/>
      <c r="V153" s="460"/>
      <c r="W153" s="460"/>
      <c r="X153" s="460"/>
      <c r="Y153" s="460"/>
      <c r="Z153" s="460"/>
      <c r="AA153" s="460"/>
      <c r="AB153" s="460"/>
      <c r="AC153" s="460"/>
    </row>
    <row r="154" spans="1:29" ht="15.75" customHeight="1" x14ac:dyDescent="0.3">
      <c r="A154" s="460"/>
      <c r="B154" s="460"/>
      <c r="C154" s="460"/>
      <c r="D154" s="460"/>
      <c r="E154" s="460"/>
      <c r="F154" s="460"/>
      <c r="G154" s="460"/>
      <c r="H154" s="460"/>
      <c r="I154" s="460"/>
      <c r="J154" s="460"/>
      <c r="K154" s="460"/>
      <c r="L154" s="460"/>
      <c r="M154" s="460"/>
      <c r="N154" s="460"/>
      <c r="O154" s="460"/>
      <c r="P154" s="460"/>
      <c r="Q154" s="460"/>
      <c r="R154" s="460"/>
      <c r="S154" s="460"/>
      <c r="T154" s="460"/>
      <c r="U154" s="460"/>
      <c r="V154" s="460"/>
      <c r="W154" s="460"/>
      <c r="X154" s="460"/>
      <c r="Y154" s="460"/>
      <c r="Z154" s="460"/>
      <c r="AA154" s="460"/>
      <c r="AB154" s="460"/>
      <c r="AC154" s="460"/>
    </row>
    <row r="155" spans="1:29" ht="15.75" customHeight="1" x14ac:dyDescent="0.3">
      <c r="A155" s="460"/>
      <c r="B155" s="460"/>
      <c r="C155" s="460"/>
      <c r="D155" s="460"/>
      <c r="E155" s="460"/>
      <c r="F155" s="460"/>
      <c r="G155" s="460"/>
      <c r="H155" s="460"/>
      <c r="I155" s="460"/>
      <c r="J155" s="460"/>
      <c r="K155" s="460"/>
      <c r="L155" s="460"/>
      <c r="M155" s="460"/>
      <c r="N155" s="460"/>
      <c r="O155" s="460"/>
      <c r="P155" s="460"/>
      <c r="Q155" s="460"/>
      <c r="R155" s="460"/>
      <c r="S155" s="460"/>
      <c r="T155" s="460"/>
      <c r="U155" s="460"/>
      <c r="V155" s="460"/>
      <c r="W155" s="460"/>
      <c r="X155" s="460"/>
      <c r="Y155" s="460"/>
      <c r="Z155" s="460"/>
      <c r="AA155" s="460"/>
      <c r="AB155" s="460"/>
      <c r="AC155" s="460"/>
    </row>
    <row r="156" spans="1:29" ht="15.75" customHeight="1" x14ac:dyDescent="0.3">
      <c r="A156" s="460"/>
      <c r="B156" s="460"/>
      <c r="C156" s="460"/>
      <c r="D156" s="460"/>
      <c r="E156" s="460"/>
      <c r="F156" s="460"/>
      <c r="G156" s="460"/>
      <c r="H156" s="460"/>
      <c r="I156" s="460"/>
      <c r="J156" s="460"/>
      <c r="K156" s="460"/>
      <c r="L156" s="460"/>
      <c r="M156" s="460"/>
      <c r="N156" s="460"/>
      <c r="O156" s="460"/>
      <c r="P156" s="460"/>
      <c r="Q156" s="460"/>
      <c r="R156" s="460"/>
      <c r="S156" s="460"/>
      <c r="T156" s="460"/>
      <c r="U156" s="460"/>
      <c r="V156" s="460"/>
      <c r="W156" s="460"/>
      <c r="X156" s="460"/>
      <c r="Y156" s="460"/>
      <c r="Z156" s="460"/>
      <c r="AA156" s="460"/>
      <c r="AB156" s="460"/>
      <c r="AC156" s="460"/>
    </row>
    <row r="157" spans="1:29" ht="15.75" customHeight="1" x14ac:dyDescent="0.3">
      <c r="A157" s="460"/>
      <c r="B157" s="460"/>
      <c r="C157" s="460"/>
      <c r="D157" s="460"/>
      <c r="E157" s="460"/>
      <c r="F157" s="460"/>
      <c r="G157" s="460"/>
      <c r="H157" s="460"/>
      <c r="I157" s="460"/>
      <c r="J157" s="460"/>
      <c r="K157" s="460"/>
      <c r="L157" s="460"/>
      <c r="M157" s="460"/>
      <c r="N157" s="460"/>
      <c r="O157" s="460"/>
      <c r="P157" s="460"/>
      <c r="Q157" s="460"/>
      <c r="R157" s="460"/>
      <c r="S157" s="460"/>
      <c r="T157" s="460"/>
      <c r="U157" s="460"/>
      <c r="V157" s="460"/>
      <c r="W157" s="460"/>
      <c r="X157" s="460"/>
      <c r="Y157" s="460"/>
      <c r="Z157" s="460"/>
      <c r="AA157" s="460"/>
      <c r="AB157" s="460"/>
      <c r="AC157" s="460"/>
    </row>
    <row r="158" spans="1:29" ht="15.75" customHeight="1" x14ac:dyDescent="0.3">
      <c r="A158" s="460"/>
      <c r="B158" s="460"/>
      <c r="C158" s="460"/>
      <c r="D158" s="460"/>
      <c r="E158" s="460"/>
      <c r="F158" s="460"/>
      <c r="G158" s="460"/>
      <c r="H158" s="460"/>
      <c r="I158" s="460"/>
      <c r="J158" s="460"/>
      <c r="K158" s="460"/>
      <c r="L158" s="460"/>
      <c r="M158" s="460"/>
      <c r="N158" s="460"/>
      <c r="O158" s="460"/>
      <c r="P158" s="460"/>
      <c r="Q158" s="460"/>
      <c r="R158" s="460"/>
      <c r="S158" s="460"/>
      <c r="T158" s="460"/>
      <c r="U158" s="460"/>
      <c r="V158" s="460"/>
      <c r="W158" s="460"/>
      <c r="X158" s="460"/>
      <c r="Y158" s="460"/>
      <c r="Z158" s="460"/>
      <c r="AA158" s="460"/>
      <c r="AB158" s="460"/>
      <c r="AC158" s="460"/>
    </row>
    <row r="159" spans="1:29" ht="15.75" customHeight="1" x14ac:dyDescent="0.3">
      <c r="A159" s="460"/>
      <c r="B159" s="460"/>
      <c r="C159" s="460"/>
      <c r="D159" s="460"/>
      <c r="E159" s="460"/>
      <c r="F159" s="460"/>
      <c r="G159" s="460"/>
      <c r="H159" s="460"/>
      <c r="I159" s="460"/>
      <c r="J159" s="460"/>
      <c r="K159" s="460"/>
      <c r="L159" s="460"/>
      <c r="M159" s="460"/>
      <c r="N159" s="460"/>
      <c r="O159" s="460"/>
      <c r="P159" s="460"/>
      <c r="Q159" s="460"/>
      <c r="R159" s="460"/>
      <c r="S159" s="460"/>
      <c r="T159" s="460"/>
      <c r="U159" s="460"/>
      <c r="V159" s="460"/>
      <c r="W159" s="460"/>
      <c r="X159" s="460"/>
      <c r="Y159" s="460"/>
      <c r="Z159" s="460"/>
      <c r="AA159" s="460"/>
      <c r="AB159" s="460"/>
      <c r="AC159" s="460"/>
    </row>
    <row r="160" spans="1:29" ht="15.75" customHeight="1" x14ac:dyDescent="0.3">
      <c r="A160" s="460"/>
      <c r="B160" s="460"/>
      <c r="C160" s="460"/>
      <c r="D160" s="460"/>
      <c r="E160" s="460"/>
      <c r="F160" s="460"/>
      <c r="G160" s="460"/>
      <c r="H160" s="460"/>
      <c r="I160" s="460"/>
      <c r="J160" s="460"/>
      <c r="K160" s="460"/>
      <c r="L160" s="460"/>
      <c r="M160" s="460"/>
      <c r="N160" s="460"/>
      <c r="O160" s="460"/>
      <c r="P160" s="460"/>
      <c r="Q160" s="460"/>
      <c r="R160" s="460"/>
      <c r="S160" s="460"/>
      <c r="T160" s="460"/>
      <c r="U160" s="460"/>
      <c r="V160" s="460"/>
      <c r="W160" s="460"/>
      <c r="X160" s="460"/>
      <c r="Y160" s="460"/>
      <c r="Z160" s="460"/>
      <c r="AA160" s="460"/>
      <c r="AB160" s="460"/>
      <c r="AC160" s="460"/>
    </row>
    <row r="161" spans="1:29" ht="15.75" customHeight="1" x14ac:dyDescent="0.3">
      <c r="A161" s="460"/>
      <c r="B161" s="460"/>
      <c r="C161" s="460"/>
      <c r="D161" s="460"/>
      <c r="E161" s="460"/>
      <c r="F161" s="460"/>
      <c r="G161" s="460"/>
      <c r="H161" s="460"/>
      <c r="I161" s="460"/>
      <c r="J161" s="460"/>
      <c r="K161" s="460"/>
      <c r="L161" s="460"/>
      <c r="M161" s="460"/>
      <c r="N161" s="460"/>
      <c r="O161" s="460"/>
      <c r="P161" s="460"/>
      <c r="Q161" s="460"/>
      <c r="R161" s="460"/>
      <c r="S161" s="460"/>
      <c r="T161" s="460"/>
      <c r="U161" s="460"/>
      <c r="V161" s="460"/>
      <c r="W161" s="460"/>
      <c r="X161" s="460"/>
      <c r="Y161" s="460"/>
      <c r="Z161" s="460"/>
      <c r="AA161" s="460"/>
      <c r="AB161" s="460"/>
      <c r="AC161" s="460"/>
    </row>
    <row r="162" spans="1:29" ht="15.75" customHeight="1" x14ac:dyDescent="0.3">
      <c r="A162" s="460"/>
      <c r="B162" s="460"/>
      <c r="C162" s="460"/>
      <c r="D162" s="460"/>
      <c r="E162" s="460"/>
      <c r="F162" s="460"/>
      <c r="G162" s="460"/>
      <c r="H162" s="460"/>
      <c r="I162" s="460"/>
      <c r="J162" s="460"/>
      <c r="K162" s="460"/>
      <c r="L162" s="460"/>
      <c r="M162" s="460"/>
      <c r="N162" s="460"/>
      <c r="O162" s="460"/>
      <c r="P162" s="460"/>
      <c r="Q162" s="460"/>
      <c r="R162" s="460"/>
      <c r="S162" s="460"/>
      <c r="T162" s="460"/>
      <c r="U162" s="460"/>
      <c r="V162" s="460"/>
      <c r="W162" s="460"/>
      <c r="X162" s="460"/>
      <c r="Y162" s="460"/>
      <c r="Z162" s="460"/>
      <c r="AA162" s="460"/>
      <c r="AB162" s="460"/>
      <c r="AC162" s="460"/>
    </row>
    <row r="163" spans="1:29" ht="15.75" customHeight="1" x14ac:dyDescent="0.3">
      <c r="A163" s="460"/>
      <c r="B163" s="460"/>
      <c r="C163" s="460"/>
      <c r="D163" s="460"/>
      <c r="E163" s="460"/>
      <c r="F163" s="460"/>
      <c r="G163" s="460"/>
      <c r="H163" s="460"/>
      <c r="I163" s="460"/>
      <c r="J163" s="460"/>
      <c r="K163" s="460"/>
      <c r="L163" s="460"/>
      <c r="M163" s="460"/>
      <c r="N163" s="460"/>
      <c r="O163" s="460"/>
      <c r="P163" s="460"/>
      <c r="Q163" s="460"/>
      <c r="R163" s="460"/>
      <c r="S163" s="460"/>
      <c r="T163" s="460"/>
      <c r="U163" s="460"/>
      <c r="V163" s="460"/>
      <c r="W163" s="460"/>
      <c r="X163" s="460"/>
      <c r="Y163" s="460"/>
      <c r="Z163" s="460"/>
      <c r="AA163" s="460"/>
      <c r="AB163" s="460"/>
      <c r="AC163" s="460"/>
    </row>
    <row r="164" spans="1:29" ht="15.75" customHeight="1" x14ac:dyDescent="0.3">
      <c r="A164" s="460"/>
      <c r="B164" s="460"/>
      <c r="C164" s="460"/>
      <c r="D164" s="460"/>
      <c r="E164" s="460"/>
      <c r="F164" s="460"/>
      <c r="G164" s="460"/>
      <c r="H164" s="460"/>
      <c r="I164" s="460"/>
      <c r="J164" s="460"/>
      <c r="K164" s="460"/>
      <c r="L164" s="460"/>
      <c r="M164" s="460"/>
      <c r="N164" s="460"/>
      <c r="O164" s="460"/>
      <c r="P164" s="460"/>
      <c r="Q164" s="460"/>
      <c r="R164" s="460"/>
      <c r="S164" s="460"/>
      <c r="T164" s="460"/>
      <c r="U164" s="460"/>
      <c r="V164" s="460"/>
      <c r="W164" s="460"/>
      <c r="X164" s="460"/>
      <c r="Y164" s="460"/>
      <c r="Z164" s="460"/>
      <c r="AA164" s="460"/>
      <c r="AB164" s="460"/>
      <c r="AC164" s="460"/>
    </row>
    <row r="165" spans="1:29" ht="15.75" customHeight="1" x14ac:dyDescent="0.3">
      <c r="A165" s="460"/>
      <c r="B165" s="460"/>
      <c r="C165" s="460"/>
      <c r="D165" s="460"/>
      <c r="E165" s="460"/>
      <c r="F165" s="460"/>
      <c r="G165" s="460"/>
      <c r="H165" s="460"/>
      <c r="I165" s="460"/>
      <c r="J165" s="460"/>
      <c r="K165" s="460"/>
      <c r="L165" s="460"/>
      <c r="M165" s="460"/>
      <c r="N165" s="460"/>
      <c r="O165" s="460"/>
      <c r="P165" s="460"/>
      <c r="Q165" s="460"/>
      <c r="R165" s="460"/>
      <c r="S165" s="460"/>
      <c r="T165" s="460"/>
      <c r="U165" s="460"/>
      <c r="V165" s="460"/>
      <c r="W165" s="460"/>
      <c r="X165" s="460"/>
      <c r="Y165" s="460"/>
      <c r="Z165" s="460"/>
      <c r="AA165" s="460"/>
      <c r="AB165" s="460"/>
      <c r="AC165" s="460"/>
    </row>
    <row r="166" spans="1:29" ht="15.75" customHeight="1" x14ac:dyDescent="0.3">
      <c r="A166" s="460"/>
      <c r="B166" s="460"/>
      <c r="C166" s="460"/>
      <c r="D166" s="460"/>
      <c r="E166" s="460"/>
      <c r="F166" s="460"/>
      <c r="G166" s="460"/>
      <c r="H166" s="460"/>
      <c r="I166" s="460"/>
      <c r="J166" s="460"/>
      <c r="K166" s="460"/>
      <c r="L166" s="460"/>
      <c r="M166" s="460"/>
      <c r="N166" s="460"/>
      <c r="O166" s="460"/>
      <c r="P166" s="460"/>
      <c r="Q166" s="460"/>
      <c r="R166" s="460"/>
      <c r="S166" s="460"/>
      <c r="T166" s="460"/>
      <c r="U166" s="460"/>
      <c r="V166" s="460"/>
      <c r="W166" s="460"/>
      <c r="X166" s="460"/>
      <c r="Y166" s="460"/>
      <c r="Z166" s="460"/>
      <c r="AA166" s="460"/>
      <c r="AB166" s="460"/>
      <c r="AC166" s="460"/>
    </row>
    <row r="167" spans="1:29" ht="15.75" customHeight="1" x14ac:dyDescent="0.3">
      <c r="A167" s="460"/>
      <c r="B167" s="460"/>
      <c r="C167" s="460"/>
      <c r="D167" s="460"/>
      <c r="E167" s="460"/>
      <c r="F167" s="460"/>
      <c r="G167" s="460"/>
      <c r="H167" s="460"/>
      <c r="I167" s="460"/>
      <c r="J167" s="460"/>
      <c r="K167" s="460"/>
      <c r="L167" s="460"/>
      <c r="M167" s="460"/>
      <c r="N167" s="460"/>
      <c r="O167" s="460"/>
      <c r="P167" s="460"/>
      <c r="Q167" s="460"/>
      <c r="R167" s="460"/>
      <c r="S167" s="460"/>
      <c r="T167" s="460"/>
      <c r="U167" s="460"/>
      <c r="V167" s="460"/>
      <c r="W167" s="460"/>
      <c r="X167" s="460"/>
      <c r="Y167" s="460"/>
      <c r="Z167" s="460"/>
      <c r="AA167" s="460"/>
      <c r="AB167" s="460"/>
      <c r="AC167" s="460"/>
    </row>
    <row r="168" spans="1:29" ht="15.75" customHeight="1" x14ac:dyDescent="0.3">
      <c r="A168" s="460"/>
      <c r="B168" s="460"/>
      <c r="C168" s="460"/>
      <c r="D168" s="460"/>
      <c r="E168" s="460"/>
      <c r="F168" s="460"/>
      <c r="G168" s="460"/>
      <c r="H168" s="460"/>
      <c r="I168" s="460"/>
      <c r="J168" s="460"/>
      <c r="K168" s="460"/>
      <c r="L168" s="460"/>
      <c r="M168" s="460"/>
      <c r="N168" s="460"/>
      <c r="O168" s="460"/>
      <c r="P168" s="460"/>
      <c r="Q168" s="460"/>
      <c r="R168" s="460"/>
      <c r="S168" s="460"/>
      <c r="T168" s="460"/>
      <c r="U168" s="460"/>
      <c r="V168" s="460"/>
      <c r="W168" s="460"/>
      <c r="X168" s="460"/>
      <c r="Y168" s="460"/>
      <c r="Z168" s="460"/>
      <c r="AA168" s="460"/>
      <c r="AB168" s="460"/>
      <c r="AC168" s="460"/>
    </row>
    <row r="169" spans="1:29" ht="15.75" customHeight="1" x14ac:dyDescent="0.3">
      <c r="A169" s="460"/>
      <c r="B169" s="460"/>
      <c r="C169" s="460"/>
      <c r="D169" s="460"/>
      <c r="E169" s="460"/>
      <c r="F169" s="460"/>
      <c r="G169" s="460"/>
      <c r="H169" s="460"/>
      <c r="I169" s="460"/>
      <c r="J169" s="460"/>
      <c r="K169" s="460"/>
      <c r="L169" s="460"/>
      <c r="M169" s="460"/>
      <c r="N169" s="460"/>
      <c r="O169" s="460"/>
      <c r="P169" s="460"/>
      <c r="Q169" s="460"/>
      <c r="R169" s="460"/>
      <c r="S169" s="460"/>
      <c r="T169" s="460"/>
      <c r="U169" s="460"/>
      <c r="V169" s="460"/>
      <c r="W169" s="460"/>
      <c r="X169" s="460"/>
      <c r="Y169" s="460"/>
      <c r="Z169" s="460"/>
      <c r="AA169" s="460"/>
      <c r="AB169" s="460"/>
      <c r="AC169" s="460"/>
    </row>
    <row r="170" spans="1:29" ht="15.75" customHeight="1" x14ac:dyDescent="0.3">
      <c r="A170" s="460"/>
      <c r="B170" s="460"/>
      <c r="C170" s="460"/>
      <c r="D170" s="460"/>
      <c r="E170" s="460"/>
      <c r="F170" s="460"/>
      <c r="G170" s="460"/>
      <c r="H170" s="460"/>
      <c r="I170" s="460"/>
      <c r="J170" s="460"/>
      <c r="K170" s="460"/>
      <c r="L170" s="460"/>
      <c r="M170" s="460"/>
      <c r="N170" s="460"/>
      <c r="O170" s="460"/>
      <c r="P170" s="460"/>
      <c r="Q170" s="460"/>
      <c r="R170" s="460"/>
      <c r="S170" s="460"/>
      <c r="T170" s="460"/>
      <c r="U170" s="460"/>
      <c r="V170" s="460"/>
      <c r="W170" s="460"/>
      <c r="X170" s="460"/>
      <c r="Y170" s="460"/>
      <c r="Z170" s="460"/>
      <c r="AA170" s="460"/>
      <c r="AB170" s="460"/>
      <c r="AC170" s="460"/>
    </row>
    <row r="171" spans="1:29" ht="15.75" customHeight="1" x14ac:dyDescent="0.3">
      <c r="A171" s="460"/>
      <c r="B171" s="460"/>
      <c r="C171" s="460"/>
      <c r="D171" s="460"/>
      <c r="E171" s="460"/>
      <c r="F171" s="460"/>
      <c r="G171" s="460"/>
      <c r="H171" s="460"/>
      <c r="I171" s="460"/>
      <c r="J171" s="460"/>
      <c r="K171" s="460"/>
      <c r="L171" s="460"/>
      <c r="M171" s="460"/>
      <c r="N171" s="460"/>
      <c r="O171" s="460"/>
      <c r="P171" s="460"/>
      <c r="Q171" s="460"/>
      <c r="R171" s="460"/>
      <c r="S171" s="460"/>
      <c r="T171" s="460"/>
      <c r="U171" s="460"/>
      <c r="V171" s="460"/>
      <c r="W171" s="460"/>
      <c r="X171" s="460"/>
      <c r="Y171" s="460"/>
      <c r="Z171" s="460"/>
      <c r="AA171" s="460"/>
      <c r="AB171" s="460"/>
      <c r="AC171" s="460"/>
    </row>
    <row r="172" spans="1:29" ht="15.75" customHeight="1" x14ac:dyDescent="0.3">
      <c r="A172" s="460"/>
      <c r="B172" s="460"/>
      <c r="C172" s="460"/>
      <c r="D172" s="460"/>
      <c r="E172" s="460"/>
      <c r="F172" s="460"/>
      <c r="G172" s="460"/>
      <c r="H172" s="460"/>
      <c r="I172" s="460"/>
      <c r="J172" s="460"/>
      <c r="K172" s="460"/>
      <c r="L172" s="460"/>
      <c r="M172" s="460"/>
      <c r="N172" s="460"/>
      <c r="O172" s="460"/>
      <c r="P172" s="460"/>
      <c r="Q172" s="460"/>
      <c r="R172" s="460"/>
      <c r="S172" s="460"/>
      <c r="T172" s="460"/>
      <c r="U172" s="460"/>
      <c r="V172" s="460"/>
      <c r="W172" s="460"/>
      <c r="X172" s="460"/>
      <c r="Y172" s="460"/>
      <c r="Z172" s="460"/>
      <c r="AA172" s="460"/>
      <c r="AB172" s="460"/>
      <c r="AC172" s="460"/>
    </row>
    <row r="173" spans="1:29" ht="15.75" customHeight="1" x14ac:dyDescent="0.3">
      <c r="A173" s="460"/>
      <c r="B173" s="460"/>
      <c r="C173" s="460"/>
      <c r="D173" s="460"/>
      <c r="E173" s="460"/>
      <c r="F173" s="460"/>
      <c r="G173" s="460"/>
      <c r="H173" s="460"/>
      <c r="I173" s="460"/>
      <c r="J173" s="460"/>
      <c r="K173" s="460"/>
      <c r="L173" s="460"/>
      <c r="M173" s="460"/>
      <c r="N173" s="460"/>
      <c r="O173" s="460"/>
      <c r="P173" s="460"/>
      <c r="Q173" s="460"/>
      <c r="R173" s="460"/>
      <c r="S173" s="460"/>
      <c r="T173" s="460"/>
      <c r="U173" s="460"/>
      <c r="V173" s="460"/>
      <c r="W173" s="460"/>
      <c r="X173" s="460"/>
      <c r="Y173" s="460"/>
      <c r="Z173" s="460"/>
      <c r="AA173" s="460"/>
      <c r="AB173" s="460"/>
      <c r="AC173" s="460"/>
    </row>
    <row r="174" spans="1:29" ht="15.75" customHeight="1" x14ac:dyDescent="0.3">
      <c r="A174" s="460"/>
      <c r="B174" s="460"/>
      <c r="C174" s="460"/>
      <c r="D174" s="460"/>
      <c r="E174" s="460"/>
      <c r="F174" s="460"/>
      <c r="G174" s="460"/>
      <c r="H174" s="460"/>
      <c r="I174" s="460"/>
      <c r="J174" s="460"/>
      <c r="K174" s="460"/>
      <c r="L174" s="460"/>
      <c r="M174" s="460"/>
      <c r="N174" s="460"/>
      <c r="O174" s="460"/>
      <c r="P174" s="460"/>
      <c r="Q174" s="460"/>
      <c r="R174" s="460"/>
      <c r="S174" s="460"/>
      <c r="T174" s="460"/>
      <c r="U174" s="460"/>
      <c r="V174" s="460"/>
      <c r="W174" s="460"/>
      <c r="X174" s="460"/>
      <c r="Y174" s="460"/>
      <c r="Z174" s="460"/>
      <c r="AA174" s="460"/>
      <c r="AB174" s="460"/>
      <c r="AC174" s="460"/>
    </row>
    <row r="175" spans="1:29" ht="15.75" customHeight="1" x14ac:dyDescent="0.3">
      <c r="A175" s="460"/>
      <c r="B175" s="460"/>
      <c r="C175" s="460"/>
      <c r="D175" s="460"/>
      <c r="E175" s="460"/>
      <c r="F175" s="460"/>
      <c r="G175" s="460"/>
      <c r="H175" s="460"/>
      <c r="I175" s="460"/>
      <c r="J175" s="460"/>
      <c r="K175" s="460"/>
      <c r="L175" s="460"/>
      <c r="M175" s="460"/>
      <c r="N175" s="460"/>
      <c r="O175" s="460"/>
      <c r="P175" s="460"/>
      <c r="Q175" s="460"/>
      <c r="R175" s="460"/>
      <c r="S175" s="460"/>
      <c r="T175" s="460"/>
      <c r="U175" s="460"/>
      <c r="V175" s="460"/>
      <c r="W175" s="460"/>
      <c r="X175" s="460"/>
      <c r="Y175" s="460"/>
      <c r="Z175" s="460"/>
      <c r="AA175" s="460"/>
      <c r="AB175" s="460"/>
      <c r="AC175" s="460"/>
    </row>
    <row r="176" spans="1:29" ht="15.75" customHeight="1" x14ac:dyDescent="0.3">
      <c r="A176" s="460"/>
      <c r="B176" s="460"/>
      <c r="C176" s="460"/>
      <c r="D176" s="460"/>
      <c r="E176" s="460"/>
      <c r="F176" s="460"/>
      <c r="G176" s="460"/>
      <c r="H176" s="460"/>
      <c r="I176" s="460"/>
      <c r="J176" s="460"/>
      <c r="K176" s="460"/>
      <c r="L176" s="460"/>
      <c r="M176" s="460"/>
      <c r="N176" s="460"/>
      <c r="O176" s="460"/>
      <c r="P176" s="460"/>
      <c r="Q176" s="460"/>
      <c r="R176" s="460"/>
      <c r="S176" s="460"/>
      <c r="T176" s="460"/>
      <c r="U176" s="460"/>
      <c r="V176" s="460"/>
      <c r="W176" s="460"/>
      <c r="X176" s="460"/>
      <c r="Y176" s="460"/>
      <c r="Z176" s="460"/>
      <c r="AA176" s="460"/>
      <c r="AB176" s="460"/>
      <c r="AC176" s="460"/>
    </row>
    <row r="177" spans="1:29" ht="15.75" customHeight="1" x14ac:dyDescent="0.3">
      <c r="A177" s="460"/>
      <c r="B177" s="460"/>
      <c r="C177" s="460"/>
      <c r="D177" s="460"/>
      <c r="E177" s="460"/>
      <c r="F177" s="460"/>
      <c r="G177" s="460"/>
      <c r="H177" s="460"/>
      <c r="I177" s="460"/>
      <c r="J177" s="460"/>
      <c r="K177" s="460"/>
      <c r="L177" s="460"/>
      <c r="M177" s="460"/>
      <c r="N177" s="460"/>
      <c r="O177" s="460"/>
      <c r="P177" s="460"/>
      <c r="Q177" s="460"/>
      <c r="R177" s="460"/>
      <c r="S177" s="460"/>
      <c r="T177" s="460"/>
      <c r="U177" s="460"/>
      <c r="V177" s="460"/>
      <c r="W177" s="460"/>
      <c r="X177" s="460"/>
      <c r="Y177" s="460"/>
      <c r="Z177" s="460"/>
      <c r="AA177" s="460"/>
      <c r="AB177" s="460"/>
      <c r="AC177" s="460"/>
    </row>
    <row r="178" spans="1:29" ht="15.75" customHeight="1" x14ac:dyDescent="0.3">
      <c r="A178" s="460"/>
      <c r="B178" s="460"/>
      <c r="C178" s="460"/>
      <c r="D178" s="460"/>
      <c r="E178" s="460"/>
      <c r="F178" s="460"/>
      <c r="G178" s="460"/>
      <c r="H178" s="460"/>
      <c r="I178" s="460"/>
      <c r="J178" s="460"/>
      <c r="K178" s="460"/>
      <c r="L178" s="460"/>
      <c r="M178" s="460"/>
      <c r="N178" s="460"/>
      <c r="O178" s="460"/>
      <c r="P178" s="460"/>
      <c r="Q178" s="460"/>
      <c r="R178" s="460"/>
      <c r="S178" s="460"/>
      <c r="T178" s="460"/>
      <c r="U178" s="460"/>
      <c r="V178" s="460"/>
      <c r="W178" s="460"/>
      <c r="X178" s="460"/>
      <c r="Y178" s="460"/>
      <c r="Z178" s="460"/>
      <c r="AA178" s="460"/>
      <c r="AB178" s="460"/>
      <c r="AC178" s="460"/>
    </row>
    <row r="179" spans="1:29" ht="15.75" customHeight="1" x14ac:dyDescent="0.3">
      <c r="A179" s="460"/>
      <c r="B179" s="460"/>
      <c r="C179" s="460"/>
      <c r="D179" s="460"/>
      <c r="E179" s="460"/>
      <c r="F179" s="460"/>
      <c r="G179" s="460"/>
      <c r="H179" s="460"/>
      <c r="I179" s="460"/>
      <c r="J179" s="460"/>
      <c r="K179" s="460"/>
      <c r="L179" s="460"/>
      <c r="M179" s="460"/>
      <c r="N179" s="460"/>
      <c r="O179" s="460"/>
      <c r="P179" s="460"/>
      <c r="Q179" s="460"/>
      <c r="R179" s="460"/>
      <c r="S179" s="460"/>
      <c r="T179" s="460"/>
      <c r="U179" s="460"/>
      <c r="V179" s="460"/>
      <c r="W179" s="460"/>
      <c r="X179" s="460"/>
      <c r="Y179" s="460"/>
      <c r="Z179" s="460"/>
      <c r="AA179" s="460"/>
      <c r="AB179" s="460"/>
      <c r="AC179" s="460"/>
    </row>
    <row r="180" spans="1:29" ht="15.75" customHeight="1" x14ac:dyDescent="0.3">
      <c r="A180" s="460"/>
      <c r="B180" s="460"/>
      <c r="C180" s="460"/>
      <c r="D180" s="460"/>
      <c r="E180" s="460"/>
      <c r="F180" s="460"/>
      <c r="G180" s="460"/>
      <c r="H180" s="460"/>
      <c r="I180" s="460"/>
      <c r="J180" s="460"/>
      <c r="K180" s="460"/>
      <c r="L180" s="460"/>
      <c r="M180" s="460"/>
      <c r="N180" s="460"/>
      <c r="O180" s="460"/>
      <c r="P180" s="460"/>
      <c r="Q180" s="460"/>
      <c r="R180" s="460"/>
      <c r="S180" s="460"/>
      <c r="T180" s="460"/>
      <c r="U180" s="460"/>
      <c r="V180" s="460"/>
      <c r="W180" s="460"/>
      <c r="X180" s="460"/>
      <c r="Y180" s="460"/>
      <c r="Z180" s="460"/>
      <c r="AA180" s="460"/>
      <c r="AB180" s="460"/>
      <c r="AC180" s="460"/>
    </row>
    <row r="181" spans="1:29" ht="15.75" customHeight="1" x14ac:dyDescent="0.3">
      <c r="A181" s="460"/>
      <c r="B181" s="460"/>
      <c r="C181" s="460"/>
      <c r="D181" s="460"/>
      <c r="E181" s="460"/>
      <c r="F181" s="460"/>
      <c r="G181" s="460"/>
      <c r="H181" s="460"/>
      <c r="I181" s="460"/>
      <c r="J181" s="460"/>
      <c r="K181" s="460"/>
      <c r="L181" s="460"/>
      <c r="M181" s="460"/>
      <c r="N181" s="460"/>
      <c r="O181" s="460"/>
      <c r="P181" s="460"/>
      <c r="Q181" s="460"/>
      <c r="R181" s="460"/>
      <c r="S181" s="460"/>
      <c r="T181" s="460"/>
      <c r="U181" s="460"/>
      <c r="V181" s="460"/>
      <c r="W181" s="460"/>
      <c r="X181" s="460"/>
      <c r="Y181" s="460"/>
      <c r="Z181" s="460"/>
      <c r="AA181" s="460"/>
      <c r="AB181" s="460"/>
      <c r="AC181" s="460"/>
    </row>
    <row r="182" spans="1:29" ht="15.75" customHeight="1" x14ac:dyDescent="0.3">
      <c r="A182" s="460"/>
      <c r="B182" s="460"/>
      <c r="C182" s="460"/>
      <c r="D182" s="460"/>
      <c r="E182" s="460"/>
      <c r="F182" s="460"/>
      <c r="G182" s="460"/>
      <c r="H182" s="460"/>
      <c r="I182" s="460"/>
      <c r="J182" s="460"/>
      <c r="K182" s="460"/>
      <c r="L182" s="460"/>
      <c r="M182" s="460"/>
      <c r="N182" s="460"/>
      <c r="O182" s="460"/>
      <c r="P182" s="460"/>
      <c r="Q182" s="460"/>
      <c r="R182" s="460"/>
      <c r="S182" s="460"/>
      <c r="T182" s="460"/>
      <c r="U182" s="460"/>
      <c r="V182" s="460"/>
      <c r="W182" s="460"/>
      <c r="X182" s="460"/>
      <c r="Y182" s="460"/>
      <c r="Z182" s="460"/>
      <c r="AA182" s="460"/>
      <c r="AB182" s="460"/>
      <c r="AC182" s="460"/>
    </row>
    <row r="183" spans="1:29" ht="15.75" customHeight="1" x14ac:dyDescent="0.3">
      <c r="A183" s="460"/>
      <c r="B183" s="460"/>
      <c r="C183" s="460"/>
      <c r="D183" s="460"/>
      <c r="E183" s="460"/>
      <c r="F183" s="460"/>
      <c r="G183" s="460"/>
      <c r="H183" s="460"/>
      <c r="I183" s="460"/>
      <c r="J183" s="460"/>
      <c r="K183" s="460"/>
      <c r="L183" s="460"/>
      <c r="M183" s="460"/>
      <c r="N183" s="460"/>
      <c r="O183" s="460"/>
      <c r="P183" s="460"/>
      <c r="Q183" s="460"/>
      <c r="R183" s="460"/>
      <c r="S183" s="460"/>
      <c r="T183" s="460"/>
      <c r="U183" s="460"/>
      <c r="V183" s="460"/>
      <c r="W183" s="460"/>
      <c r="X183" s="460"/>
      <c r="Y183" s="460"/>
      <c r="Z183" s="460"/>
      <c r="AA183" s="460"/>
      <c r="AB183" s="460"/>
      <c r="AC183" s="460"/>
    </row>
    <row r="184" spans="1:29" ht="15.75" customHeight="1" x14ac:dyDescent="0.3">
      <c r="A184" s="460"/>
      <c r="B184" s="460"/>
      <c r="C184" s="460"/>
      <c r="D184" s="460"/>
      <c r="E184" s="460"/>
      <c r="F184" s="460"/>
      <c r="G184" s="460"/>
      <c r="H184" s="460"/>
      <c r="I184" s="460"/>
      <c r="J184" s="460"/>
      <c r="K184" s="460"/>
      <c r="L184" s="460"/>
      <c r="M184" s="460"/>
      <c r="N184" s="460"/>
      <c r="O184" s="460"/>
      <c r="P184" s="460"/>
      <c r="Q184" s="460"/>
      <c r="R184" s="460"/>
      <c r="S184" s="460"/>
      <c r="T184" s="460"/>
      <c r="U184" s="460"/>
      <c r="V184" s="460"/>
      <c r="W184" s="460"/>
      <c r="X184" s="460"/>
      <c r="Y184" s="460"/>
      <c r="Z184" s="460"/>
      <c r="AA184" s="460"/>
      <c r="AB184" s="460"/>
      <c r="AC184" s="460"/>
    </row>
    <row r="185" spans="1:29" ht="15.75" customHeight="1" x14ac:dyDescent="0.3">
      <c r="A185" s="460"/>
      <c r="B185" s="460"/>
      <c r="C185" s="460"/>
      <c r="D185" s="460"/>
      <c r="E185" s="460"/>
      <c r="F185" s="460"/>
      <c r="G185" s="460"/>
      <c r="H185" s="460"/>
      <c r="I185" s="460"/>
      <c r="J185" s="460"/>
      <c r="K185" s="460"/>
      <c r="L185" s="460"/>
      <c r="M185" s="460"/>
      <c r="N185" s="460"/>
      <c r="O185" s="460"/>
      <c r="P185" s="460"/>
      <c r="Q185" s="460"/>
      <c r="R185" s="460"/>
      <c r="S185" s="460"/>
      <c r="T185" s="460"/>
      <c r="U185" s="460"/>
      <c r="V185" s="460"/>
      <c r="W185" s="460"/>
      <c r="X185" s="460"/>
      <c r="Y185" s="460"/>
      <c r="Z185" s="460"/>
      <c r="AA185" s="460"/>
      <c r="AB185" s="460"/>
      <c r="AC185" s="460"/>
    </row>
    <row r="186" spans="1:29" ht="15.75" customHeight="1" x14ac:dyDescent="0.3">
      <c r="A186" s="460"/>
      <c r="B186" s="460"/>
      <c r="C186" s="460"/>
      <c r="D186" s="460"/>
      <c r="E186" s="460"/>
      <c r="F186" s="460"/>
      <c r="G186" s="460"/>
      <c r="H186" s="460"/>
      <c r="I186" s="460"/>
      <c r="J186" s="460"/>
      <c r="K186" s="460"/>
      <c r="L186" s="460"/>
      <c r="M186" s="460"/>
      <c r="N186" s="460"/>
      <c r="O186" s="460"/>
      <c r="P186" s="460"/>
      <c r="Q186" s="460"/>
      <c r="R186" s="460"/>
      <c r="S186" s="460"/>
      <c r="T186" s="460"/>
      <c r="U186" s="460"/>
      <c r="V186" s="460"/>
      <c r="W186" s="460"/>
      <c r="X186" s="460"/>
      <c r="Y186" s="460"/>
      <c r="Z186" s="460"/>
      <c r="AA186" s="460"/>
      <c r="AB186" s="460"/>
      <c r="AC186" s="460"/>
    </row>
    <row r="187" spans="1:29" ht="15.75" customHeight="1" x14ac:dyDescent="0.3">
      <c r="A187" s="460"/>
      <c r="B187" s="460"/>
      <c r="C187" s="460"/>
      <c r="D187" s="460"/>
      <c r="E187" s="460"/>
      <c r="F187" s="460"/>
      <c r="G187" s="460"/>
      <c r="H187" s="460"/>
      <c r="I187" s="460"/>
      <c r="J187" s="460"/>
      <c r="K187" s="460"/>
      <c r="L187" s="460"/>
      <c r="M187" s="460"/>
      <c r="N187" s="460"/>
      <c r="O187" s="460"/>
      <c r="P187" s="460"/>
      <c r="Q187" s="460"/>
      <c r="R187" s="460"/>
      <c r="S187" s="460"/>
      <c r="T187" s="460"/>
      <c r="U187" s="460"/>
      <c r="V187" s="460"/>
      <c r="W187" s="460"/>
      <c r="X187" s="460"/>
      <c r="Y187" s="460"/>
      <c r="Z187" s="460"/>
      <c r="AA187" s="460"/>
      <c r="AB187" s="460"/>
      <c r="AC187" s="460"/>
    </row>
    <row r="188" spans="1:29" ht="15.75" customHeight="1" x14ac:dyDescent="0.3">
      <c r="A188" s="460"/>
      <c r="B188" s="460"/>
      <c r="C188" s="460"/>
      <c r="D188" s="460"/>
      <c r="E188" s="460"/>
      <c r="F188" s="460"/>
      <c r="G188" s="460"/>
      <c r="H188" s="460"/>
      <c r="I188" s="460"/>
      <c r="J188" s="460"/>
      <c r="K188" s="460"/>
      <c r="L188" s="460"/>
      <c r="M188" s="460"/>
      <c r="N188" s="460"/>
      <c r="O188" s="460"/>
      <c r="P188" s="460"/>
      <c r="Q188" s="460"/>
      <c r="R188" s="460"/>
      <c r="S188" s="460"/>
      <c r="T188" s="460"/>
      <c r="U188" s="460"/>
      <c r="V188" s="460"/>
      <c r="W188" s="460"/>
      <c r="X188" s="460"/>
      <c r="Y188" s="460"/>
      <c r="Z188" s="460"/>
      <c r="AA188" s="460"/>
      <c r="AB188" s="460"/>
      <c r="AC188" s="460"/>
    </row>
    <row r="189" spans="1:29" ht="15.75" customHeight="1" x14ac:dyDescent="0.3">
      <c r="A189" s="460"/>
      <c r="B189" s="460"/>
      <c r="C189" s="460"/>
      <c r="D189" s="460"/>
      <c r="E189" s="460"/>
      <c r="F189" s="460"/>
      <c r="G189" s="460"/>
      <c r="H189" s="460"/>
      <c r="I189" s="460"/>
      <c r="J189" s="460"/>
      <c r="K189" s="460"/>
      <c r="L189" s="460"/>
      <c r="M189" s="460"/>
      <c r="N189" s="460"/>
      <c r="O189" s="460"/>
      <c r="P189" s="460"/>
      <c r="Q189" s="460"/>
      <c r="R189" s="460"/>
      <c r="S189" s="460"/>
      <c r="T189" s="460"/>
      <c r="U189" s="460"/>
      <c r="V189" s="460"/>
      <c r="W189" s="460"/>
      <c r="X189" s="460"/>
      <c r="Y189" s="460"/>
      <c r="Z189" s="460"/>
      <c r="AA189" s="460"/>
      <c r="AB189" s="460"/>
      <c r="AC189" s="460"/>
    </row>
    <row r="190" spans="1:29" ht="15.75" customHeight="1" x14ac:dyDescent="0.3">
      <c r="A190" s="460"/>
      <c r="B190" s="460"/>
      <c r="C190" s="460"/>
      <c r="D190" s="460"/>
      <c r="E190" s="460"/>
      <c r="F190" s="460"/>
      <c r="G190" s="460"/>
      <c r="H190" s="460"/>
      <c r="I190" s="460"/>
      <c r="J190" s="460"/>
      <c r="K190" s="460"/>
      <c r="L190" s="460"/>
      <c r="M190" s="460"/>
      <c r="N190" s="460"/>
      <c r="O190" s="460"/>
      <c r="P190" s="460"/>
      <c r="Q190" s="460"/>
      <c r="R190" s="460"/>
      <c r="S190" s="460"/>
      <c r="T190" s="460"/>
      <c r="U190" s="460"/>
      <c r="V190" s="460"/>
      <c r="W190" s="460"/>
      <c r="X190" s="460"/>
      <c r="Y190" s="460"/>
      <c r="Z190" s="460"/>
      <c r="AA190" s="460"/>
      <c r="AB190" s="460"/>
      <c r="AC190" s="460"/>
    </row>
    <row r="191" spans="1:29" ht="15.75" customHeight="1" x14ac:dyDescent="0.3">
      <c r="A191" s="460"/>
      <c r="B191" s="460"/>
      <c r="C191" s="460"/>
      <c r="D191" s="460"/>
      <c r="E191" s="460"/>
      <c r="F191" s="460"/>
      <c r="G191" s="460"/>
      <c r="H191" s="460"/>
      <c r="I191" s="460"/>
      <c r="J191" s="460"/>
      <c r="K191" s="460"/>
      <c r="L191" s="460"/>
      <c r="M191" s="460"/>
      <c r="N191" s="460"/>
      <c r="O191" s="460"/>
      <c r="P191" s="460"/>
      <c r="Q191" s="460"/>
      <c r="R191" s="460"/>
      <c r="S191" s="460"/>
      <c r="T191" s="460"/>
      <c r="U191" s="460"/>
      <c r="V191" s="460"/>
      <c r="W191" s="460"/>
      <c r="X191" s="460"/>
      <c r="Y191" s="460"/>
      <c r="Z191" s="460"/>
      <c r="AA191" s="460"/>
      <c r="AB191" s="460"/>
      <c r="AC191" s="460"/>
    </row>
    <row r="192" spans="1:29" ht="15.75" customHeight="1" x14ac:dyDescent="0.3">
      <c r="A192" s="460"/>
      <c r="B192" s="460"/>
      <c r="C192" s="460"/>
      <c r="D192" s="460"/>
      <c r="E192" s="460"/>
      <c r="F192" s="460"/>
      <c r="G192" s="460"/>
      <c r="H192" s="460"/>
      <c r="I192" s="460"/>
      <c r="J192" s="460"/>
      <c r="K192" s="460"/>
      <c r="L192" s="460"/>
      <c r="M192" s="460"/>
      <c r="N192" s="460"/>
      <c r="O192" s="460"/>
      <c r="P192" s="460"/>
      <c r="Q192" s="460"/>
      <c r="R192" s="460"/>
      <c r="S192" s="460"/>
      <c r="T192" s="460"/>
      <c r="U192" s="460"/>
      <c r="V192" s="460"/>
      <c r="W192" s="460"/>
      <c r="X192" s="460"/>
      <c r="Y192" s="460"/>
      <c r="Z192" s="460"/>
      <c r="AA192" s="460"/>
      <c r="AB192" s="460"/>
      <c r="AC192" s="460"/>
    </row>
    <row r="193" spans="1:29" ht="15.75" customHeight="1" x14ac:dyDescent="0.3">
      <c r="A193" s="460"/>
      <c r="B193" s="460"/>
      <c r="C193" s="460"/>
      <c r="D193" s="460"/>
      <c r="E193" s="460"/>
      <c r="F193" s="460"/>
      <c r="G193" s="460"/>
      <c r="H193" s="460"/>
      <c r="I193" s="460"/>
      <c r="J193" s="460"/>
      <c r="K193" s="460"/>
      <c r="L193" s="460"/>
      <c r="M193" s="460"/>
      <c r="N193" s="460"/>
      <c r="O193" s="460"/>
      <c r="P193" s="460"/>
      <c r="Q193" s="460"/>
      <c r="R193" s="460"/>
      <c r="S193" s="460"/>
      <c r="T193" s="460"/>
      <c r="U193" s="460"/>
      <c r="V193" s="460"/>
      <c r="W193" s="460"/>
      <c r="X193" s="460"/>
      <c r="Y193" s="460"/>
      <c r="Z193" s="460"/>
      <c r="AA193" s="460"/>
      <c r="AB193" s="460"/>
      <c r="AC193" s="460"/>
    </row>
    <row r="194" spans="1:29" ht="15.75" customHeight="1" x14ac:dyDescent="0.3">
      <c r="A194" s="460"/>
      <c r="B194" s="460"/>
      <c r="C194" s="460"/>
      <c r="D194" s="460"/>
      <c r="E194" s="460"/>
      <c r="F194" s="460"/>
      <c r="G194" s="460"/>
      <c r="H194" s="460"/>
      <c r="I194" s="460"/>
      <c r="J194" s="460"/>
      <c r="K194" s="460"/>
      <c r="L194" s="460"/>
      <c r="M194" s="460"/>
      <c r="N194" s="460"/>
      <c r="O194" s="460"/>
      <c r="P194" s="460"/>
      <c r="Q194" s="460"/>
      <c r="R194" s="460"/>
      <c r="S194" s="460"/>
      <c r="T194" s="460"/>
      <c r="U194" s="460"/>
      <c r="V194" s="460"/>
      <c r="W194" s="460"/>
      <c r="X194" s="460"/>
      <c r="Y194" s="460"/>
      <c r="Z194" s="460"/>
      <c r="AA194" s="460"/>
      <c r="AB194" s="460"/>
      <c r="AC194" s="460"/>
    </row>
    <row r="195" spans="1:29" ht="15.75" customHeight="1" x14ac:dyDescent="0.3">
      <c r="A195" s="460"/>
      <c r="B195" s="460"/>
      <c r="C195" s="460"/>
      <c r="D195" s="460"/>
      <c r="E195" s="460"/>
      <c r="F195" s="460"/>
      <c r="G195" s="460"/>
      <c r="H195" s="460"/>
      <c r="I195" s="460"/>
      <c r="J195" s="460"/>
      <c r="K195" s="460"/>
      <c r="L195" s="460"/>
      <c r="M195" s="460"/>
      <c r="N195" s="460"/>
      <c r="O195" s="460"/>
      <c r="P195" s="460"/>
      <c r="Q195" s="460"/>
      <c r="R195" s="460"/>
      <c r="S195" s="460"/>
      <c r="T195" s="460"/>
      <c r="U195" s="460"/>
      <c r="V195" s="460"/>
      <c r="W195" s="460"/>
      <c r="X195" s="460"/>
      <c r="Y195" s="460"/>
      <c r="Z195" s="460"/>
      <c r="AA195" s="460"/>
      <c r="AB195" s="460"/>
      <c r="AC195" s="460"/>
    </row>
    <row r="196" spans="1:29" ht="15.75" customHeight="1" x14ac:dyDescent="0.3">
      <c r="A196" s="460"/>
      <c r="B196" s="460"/>
      <c r="C196" s="460"/>
      <c r="D196" s="460"/>
      <c r="E196" s="460"/>
      <c r="F196" s="460"/>
      <c r="G196" s="460"/>
      <c r="H196" s="460"/>
      <c r="I196" s="460"/>
      <c r="J196" s="460"/>
      <c r="K196" s="460"/>
      <c r="L196" s="460"/>
      <c r="M196" s="460"/>
      <c r="N196" s="460"/>
      <c r="O196" s="460"/>
      <c r="P196" s="460"/>
      <c r="Q196" s="460"/>
      <c r="R196" s="460"/>
      <c r="S196" s="460"/>
      <c r="T196" s="460"/>
      <c r="U196" s="460"/>
      <c r="V196" s="460"/>
      <c r="W196" s="460"/>
      <c r="X196" s="460"/>
      <c r="Y196" s="460"/>
      <c r="Z196" s="460"/>
      <c r="AA196" s="460"/>
      <c r="AB196" s="460"/>
      <c r="AC196" s="460"/>
    </row>
    <row r="197" spans="1:29" ht="15.75" customHeight="1" x14ac:dyDescent="0.3">
      <c r="A197" s="460"/>
      <c r="B197" s="460"/>
      <c r="C197" s="460"/>
      <c r="D197" s="460"/>
      <c r="E197" s="460"/>
      <c r="F197" s="460"/>
      <c r="G197" s="460"/>
      <c r="H197" s="460"/>
      <c r="I197" s="460"/>
      <c r="J197" s="460"/>
      <c r="K197" s="460"/>
      <c r="L197" s="460"/>
      <c r="M197" s="460"/>
      <c r="N197" s="460"/>
      <c r="O197" s="460"/>
      <c r="P197" s="460"/>
      <c r="Q197" s="460"/>
      <c r="R197" s="460"/>
      <c r="S197" s="460"/>
      <c r="T197" s="460"/>
      <c r="U197" s="460"/>
      <c r="V197" s="460"/>
      <c r="W197" s="460"/>
      <c r="X197" s="460"/>
      <c r="Y197" s="460"/>
      <c r="Z197" s="460"/>
      <c r="AA197" s="460"/>
      <c r="AB197" s="460"/>
      <c r="AC197" s="460"/>
    </row>
    <row r="198" spans="1:29" ht="15.75" customHeight="1" x14ac:dyDescent="0.3">
      <c r="A198" s="460"/>
      <c r="B198" s="460"/>
      <c r="C198" s="460"/>
      <c r="D198" s="460"/>
      <c r="E198" s="460"/>
      <c r="F198" s="460"/>
      <c r="G198" s="460"/>
      <c r="H198" s="460"/>
      <c r="I198" s="460"/>
      <c r="J198" s="460"/>
      <c r="K198" s="460"/>
      <c r="L198" s="460"/>
      <c r="M198" s="460"/>
      <c r="N198" s="460"/>
      <c r="O198" s="460"/>
      <c r="P198" s="460"/>
      <c r="Q198" s="460"/>
      <c r="R198" s="460"/>
      <c r="S198" s="460"/>
      <c r="T198" s="460"/>
      <c r="U198" s="460"/>
      <c r="V198" s="460"/>
      <c r="W198" s="460"/>
      <c r="X198" s="460"/>
      <c r="Y198" s="460"/>
      <c r="Z198" s="460"/>
      <c r="AA198" s="460"/>
      <c r="AB198" s="460"/>
      <c r="AC198" s="460"/>
    </row>
    <row r="199" spans="1:29" ht="15.75" customHeight="1" x14ac:dyDescent="0.3">
      <c r="A199" s="460"/>
      <c r="B199" s="460"/>
      <c r="C199" s="460"/>
      <c r="D199" s="460"/>
      <c r="E199" s="460"/>
      <c r="F199" s="460"/>
      <c r="G199" s="460"/>
      <c r="H199" s="460"/>
      <c r="I199" s="460"/>
      <c r="J199" s="460"/>
      <c r="K199" s="460"/>
      <c r="L199" s="460"/>
      <c r="M199" s="460"/>
      <c r="N199" s="460"/>
      <c r="O199" s="460"/>
      <c r="P199" s="460"/>
      <c r="Q199" s="460"/>
      <c r="R199" s="460"/>
      <c r="S199" s="460"/>
      <c r="T199" s="460"/>
      <c r="U199" s="460"/>
      <c r="V199" s="460"/>
      <c r="W199" s="460"/>
      <c r="X199" s="460"/>
      <c r="Y199" s="460"/>
      <c r="Z199" s="460"/>
      <c r="AA199" s="460"/>
      <c r="AB199" s="460"/>
      <c r="AC199" s="460"/>
    </row>
    <row r="200" spans="1:29" ht="15.75" customHeight="1" x14ac:dyDescent="0.3">
      <c r="A200" s="460"/>
      <c r="B200" s="460"/>
      <c r="C200" s="460"/>
      <c r="D200" s="460"/>
      <c r="E200" s="460"/>
      <c r="F200" s="460"/>
      <c r="G200" s="460"/>
      <c r="H200" s="460"/>
      <c r="I200" s="460"/>
      <c r="J200" s="460"/>
      <c r="K200" s="460"/>
      <c r="L200" s="460"/>
      <c r="M200" s="460"/>
      <c r="N200" s="460"/>
      <c r="O200" s="460"/>
      <c r="P200" s="460"/>
      <c r="Q200" s="460"/>
      <c r="R200" s="460"/>
      <c r="S200" s="460"/>
      <c r="T200" s="460"/>
      <c r="U200" s="460"/>
      <c r="V200" s="460"/>
      <c r="W200" s="460"/>
      <c r="X200" s="460"/>
      <c r="Y200" s="460"/>
      <c r="Z200" s="460"/>
      <c r="AA200" s="460"/>
      <c r="AB200" s="460"/>
      <c r="AC200" s="460"/>
    </row>
    <row r="201" spans="1:29" ht="15.75" customHeight="1" x14ac:dyDescent="0.3">
      <c r="A201" s="460"/>
      <c r="B201" s="460"/>
      <c r="C201" s="460"/>
      <c r="D201" s="460"/>
      <c r="E201" s="460"/>
      <c r="F201" s="460"/>
      <c r="G201" s="460"/>
      <c r="H201" s="460"/>
      <c r="I201" s="460"/>
      <c r="J201" s="460"/>
      <c r="K201" s="460"/>
      <c r="L201" s="460"/>
      <c r="M201" s="460"/>
      <c r="N201" s="460"/>
      <c r="O201" s="460"/>
      <c r="P201" s="460"/>
      <c r="Q201" s="460"/>
      <c r="R201" s="460"/>
      <c r="S201" s="460"/>
      <c r="T201" s="460"/>
      <c r="U201" s="460"/>
      <c r="V201" s="460"/>
      <c r="W201" s="460"/>
      <c r="X201" s="460"/>
      <c r="Y201" s="460"/>
      <c r="Z201" s="460"/>
      <c r="AA201" s="460"/>
      <c r="AB201" s="460"/>
      <c r="AC201" s="460"/>
    </row>
    <row r="202" spans="1:29" ht="15.75" customHeight="1" x14ac:dyDescent="0.3">
      <c r="A202" s="460"/>
      <c r="B202" s="460"/>
      <c r="C202" s="460"/>
      <c r="D202" s="460"/>
      <c r="E202" s="460"/>
      <c r="F202" s="460"/>
      <c r="G202" s="460"/>
      <c r="H202" s="460"/>
      <c r="I202" s="460"/>
      <c r="J202" s="460"/>
      <c r="K202" s="460"/>
      <c r="L202" s="460"/>
      <c r="M202" s="460"/>
      <c r="N202" s="460"/>
      <c r="O202" s="460"/>
      <c r="P202" s="460"/>
      <c r="Q202" s="460"/>
      <c r="R202" s="460"/>
      <c r="S202" s="460"/>
      <c r="T202" s="460"/>
      <c r="U202" s="460"/>
      <c r="V202" s="460"/>
      <c r="W202" s="460"/>
      <c r="X202" s="460"/>
      <c r="Y202" s="460"/>
      <c r="Z202" s="460"/>
      <c r="AA202" s="460"/>
      <c r="AB202" s="460"/>
      <c r="AC202" s="460"/>
    </row>
    <row r="203" spans="1:29" ht="15.75" customHeight="1" x14ac:dyDescent="0.3">
      <c r="A203" s="460"/>
      <c r="B203" s="460"/>
      <c r="C203" s="460"/>
      <c r="D203" s="460"/>
      <c r="E203" s="460"/>
      <c r="F203" s="460"/>
      <c r="G203" s="460"/>
      <c r="H203" s="460"/>
      <c r="I203" s="460"/>
      <c r="J203" s="460"/>
      <c r="K203" s="460"/>
      <c r="L203" s="460"/>
      <c r="M203" s="460"/>
      <c r="N203" s="460"/>
      <c r="O203" s="460"/>
      <c r="P203" s="460"/>
      <c r="Q203" s="460"/>
      <c r="R203" s="460"/>
      <c r="S203" s="460"/>
      <c r="T203" s="460"/>
      <c r="U203" s="460"/>
      <c r="V203" s="460"/>
      <c r="W203" s="460"/>
      <c r="X203" s="460"/>
      <c r="Y203" s="460"/>
      <c r="Z203" s="460"/>
      <c r="AA203" s="460"/>
      <c r="AB203" s="460"/>
      <c r="AC203" s="460"/>
    </row>
    <row r="204" spans="1:29" ht="15.75" customHeight="1" x14ac:dyDescent="0.3">
      <c r="A204" s="460"/>
      <c r="B204" s="460"/>
      <c r="C204" s="460"/>
      <c r="D204" s="460"/>
      <c r="E204" s="460"/>
      <c r="F204" s="460"/>
      <c r="G204" s="460"/>
      <c r="H204" s="460"/>
      <c r="I204" s="460"/>
      <c r="J204" s="460"/>
      <c r="K204" s="460"/>
      <c r="L204" s="460"/>
      <c r="M204" s="460"/>
      <c r="N204" s="460"/>
      <c r="O204" s="460"/>
      <c r="P204" s="460"/>
      <c r="Q204" s="460"/>
      <c r="R204" s="460"/>
      <c r="S204" s="460"/>
      <c r="T204" s="460"/>
      <c r="U204" s="460"/>
      <c r="V204" s="460"/>
      <c r="W204" s="460"/>
      <c r="X204" s="460"/>
      <c r="Y204" s="460"/>
      <c r="Z204" s="460"/>
      <c r="AA204" s="460"/>
      <c r="AB204" s="460"/>
      <c r="AC204" s="460"/>
    </row>
    <row r="205" spans="1:29" ht="15.75" customHeight="1" x14ac:dyDescent="0.3">
      <c r="A205" s="460"/>
      <c r="B205" s="460"/>
      <c r="C205" s="460"/>
      <c r="D205" s="460"/>
      <c r="E205" s="460"/>
      <c r="F205" s="460"/>
      <c r="G205" s="460"/>
      <c r="H205" s="460"/>
      <c r="I205" s="460"/>
      <c r="J205" s="460"/>
      <c r="K205" s="460"/>
      <c r="L205" s="460"/>
      <c r="M205" s="460"/>
      <c r="N205" s="460"/>
      <c r="O205" s="460"/>
      <c r="P205" s="460"/>
      <c r="Q205" s="460"/>
      <c r="R205" s="460"/>
      <c r="S205" s="460"/>
      <c r="T205" s="460"/>
      <c r="U205" s="460"/>
      <c r="V205" s="460"/>
      <c r="W205" s="460"/>
      <c r="X205" s="460"/>
      <c r="Y205" s="460"/>
      <c r="Z205" s="460"/>
      <c r="AA205" s="460"/>
      <c r="AB205" s="460"/>
      <c r="AC205" s="460"/>
    </row>
    <row r="206" spans="1:29" ht="15.75" customHeight="1" x14ac:dyDescent="0.3">
      <c r="A206" s="460"/>
      <c r="B206" s="460"/>
      <c r="C206" s="460"/>
      <c r="D206" s="460"/>
      <c r="E206" s="460"/>
      <c r="F206" s="460"/>
      <c r="G206" s="460"/>
      <c r="H206" s="460"/>
      <c r="I206" s="460"/>
      <c r="J206" s="460"/>
      <c r="K206" s="460"/>
      <c r="L206" s="460"/>
      <c r="M206" s="460"/>
      <c r="N206" s="460"/>
      <c r="O206" s="460"/>
      <c r="P206" s="460"/>
      <c r="Q206" s="460"/>
      <c r="R206" s="460"/>
      <c r="S206" s="460"/>
      <c r="T206" s="460"/>
      <c r="U206" s="460"/>
      <c r="V206" s="460"/>
      <c r="W206" s="460"/>
      <c r="X206" s="460"/>
      <c r="Y206" s="460"/>
      <c r="Z206" s="460"/>
      <c r="AA206" s="460"/>
      <c r="AB206" s="460"/>
      <c r="AC206" s="460"/>
    </row>
    <row r="207" spans="1:29" ht="15.75" customHeight="1" x14ac:dyDescent="0.3">
      <c r="A207" s="460"/>
      <c r="B207" s="460"/>
      <c r="C207" s="460"/>
      <c r="D207" s="460"/>
      <c r="E207" s="460"/>
      <c r="F207" s="460"/>
      <c r="G207" s="460"/>
      <c r="H207" s="460"/>
      <c r="I207" s="460"/>
      <c r="J207" s="460"/>
      <c r="K207" s="460"/>
      <c r="L207" s="460"/>
      <c r="M207" s="460"/>
      <c r="N207" s="460"/>
      <c r="O207" s="460"/>
      <c r="P207" s="460"/>
      <c r="Q207" s="460"/>
      <c r="R207" s="460"/>
      <c r="S207" s="460"/>
      <c r="T207" s="460"/>
      <c r="U207" s="460"/>
      <c r="V207" s="460"/>
      <c r="W207" s="460"/>
      <c r="X207" s="460"/>
      <c r="Y207" s="460"/>
      <c r="Z207" s="460"/>
      <c r="AA207" s="460"/>
      <c r="AB207" s="460"/>
      <c r="AC207" s="460"/>
    </row>
    <row r="208" spans="1:29" ht="15.75" customHeight="1" x14ac:dyDescent="0.3">
      <c r="A208" s="460"/>
      <c r="B208" s="460"/>
      <c r="C208" s="460"/>
      <c r="D208" s="460"/>
      <c r="E208" s="460"/>
      <c r="F208" s="460"/>
      <c r="G208" s="460"/>
      <c r="H208" s="460"/>
      <c r="I208" s="460"/>
      <c r="J208" s="460"/>
      <c r="K208" s="460"/>
      <c r="L208" s="460"/>
      <c r="M208" s="460"/>
      <c r="N208" s="460"/>
      <c r="O208" s="460"/>
      <c r="P208" s="460"/>
      <c r="Q208" s="460"/>
      <c r="R208" s="460"/>
      <c r="S208" s="460"/>
      <c r="T208" s="460"/>
      <c r="U208" s="460"/>
      <c r="V208" s="460"/>
      <c r="W208" s="460"/>
      <c r="X208" s="460"/>
      <c r="Y208" s="460"/>
      <c r="Z208" s="460"/>
      <c r="AA208" s="460"/>
      <c r="AB208" s="460"/>
      <c r="AC208" s="460"/>
    </row>
    <row r="209" spans="1:29" ht="15.75" customHeight="1" x14ac:dyDescent="0.3">
      <c r="A209" s="460"/>
      <c r="B209" s="460"/>
      <c r="C209" s="460"/>
      <c r="D209" s="460"/>
      <c r="E209" s="460"/>
      <c r="F209" s="460"/>
      <c r="G209" s="460"/>
      <c r="H209" s="460"/>
      <c r="I209" s="460"/>
      <c r="J209" s="460"/>
      <c r="K209" s="460"/>
      <c r="L209" s="460"/>
      <c r="M209" s="460"/>
      <c r="N209" s="460"/>
      <c r="O209" s="460"/>
      <c r="P209" s="460"/>
      <c r="Q209" s="460"/>
      <c r="R209" s="460"/>
      <c r="S209" s="460"/>
      <c r="T209" s="460"/>
      <c r="U209" s="460"/>
      <c r="V209" s="460"/>
      <c r="W209" s="460"/>
      <c r="X209" s="460"/>
      <c r="Y209" s="460"/>
      <c r="Z209" s="460"/>
      <c r="AA209" s="460"/>
      <c r="AB209" s="460"/>
      <c r="AC209" s="460"/>
    </row>
    <row r="210" spans="1:29" ht="15.75" customHeight="1" x14ac:dyDescent="0.3">
      <c r="A210" s="460"/>
      <c r="B210" s="460"/>
      <c r="C210" s="460"/>
      <c r="D210" s="460"/>
      <c r="E210" s="460"/>
      <c r="F210" s="460"/>
      <c r="G210" s="460"/>
      <c r="H210" s="460"/>
      <c r="I210" s="460"/>
      <c r="J210" s="460"/>
      <c r="K210" s="460"/>
      <c r="L210" s="460"/>
      <c r="M210" s="460"/>
      <c r="N210" s="460"/>
      <c r="O210" s="460"/>
      <c r="P210" s="460"/>
      <c r="Q210" s="460"/>
      <c r="R210" s="460"/>
      <c r="S210" s="460"/>
      <c r="T210" s="460"/>
      <c r="U210" s="460"/>
      <c r="V210" s="460"/>
      <c r="W210" s="460"/>
      <c r="X210" s="460"/>
      <c r="Y210" s="460"/>
      <c r="Z210" s="460"/>
      <c r="AA210" s="460"/>
      <c r="AB210" s="460"/>
      <c r="AC210" s="460"/>
    </row>
    <row r="211" spans="1:29" ht="15.75" customHeight="1" x14ac:dyDescent="0.3">
      <c r="A211" s="460"/>
      <c r="B211" s="460"/>
      <c r="C211" s="460"/>
      <c r="D211" s="460"/>
      <c r="E211" s="460"/>
      <c r="F211" s="460"/>
      <c r="G211" s="460"/>
      <c r="H211" s="460"/>
      <c r="I211" s="460"/>
      <c r="J211" s="460"/>
      <c r="K211" s="460"/>
      <c r="L211" s="460"/>
      <c r="M211" s="460"/>
      <c r="N211" s="460"/>
      <c r="O211" s="460"/>
      <c r="P211" s="460"/>
      <c r="Q211" s="460"/>
      <c r="R211" s="460"/>
      <c r="S211" s="460"/>
      <c r="T211" s="460"/>
      <c r="U211" s="460"/>
      <c r="V211" s="460"/>
      <c r="W211" s="460"/>
      <c r="X211" s="460"/>
      <c r="Y211" s="460"/>
      <c r="Z211" s="460"/>
      <c r="AA211" s="460"/>
      <c r="AB211" s="460"/>
      <c r="AC211" s="460"/>
    </row>
    <row r="212" spans="1:29" ht="15.75" customHeight="1" x14ac:dyDescent="0.3">
      <c r="A212" s="460"/>
      <c r="B212" s="460"/>
      <c r="C212" s="460"/>
      <c r="D212" s="460"/>
      <c r="E212" s="460"/>
      <c r="F212" s="460"/>
      <c r="G212" s="460"/>
      <c r="H212" s="460"/>
      <c r="I212" s="460"/>
      <c r="J212" s="460"/>
      <c r="K212" s="460"/>
      <c r="L212" s="460"/>
      <c r="M212" s="460"/>
      <c r="N212" s="460"/>
      <c r="O212" s="460"/>
      <c r="P212" s="460"/>
      <c r="Q212" s="460"/>
      <c r="R212" s="460"/>
      <c r="S212" s="460"/>
      <c r="T212" s="460"/>
      <c r="U212" s="460"/>
      <c r="V212" s="460"/>
      <c r="W212" s="460"/>
      <c r="X212" s="460"/>
      <c r="Y212" s="460"/>
      <c r="Z212" s="460"/>
      <c r="AA212" s="460"/>
      <c r="AB212" s="460"/>
      <c r="AC212" s="460"/>
    </row>
    <row r="213" spans="1:29" ht="15.75" customHeight="1" x14ac:dyDescent="0.3">
      <c r="A213" s="460"/>
      <c r="B213" s="460"/>
      <c r="C213" s="460"/>
      <c r="D213" s="460"/>
      <c r="E213" s="460"/>
      <c r="F213" s="460"/>
      <c r="G213" s="460"/>
      <c r="H213" s="460"/>
      <c r="I213" s="460"/>
      <c r="J213" s="460"/>
      <c r="K213" s="460"/>
      <c r="L213" s="460"/>
      <c r="M213" s="460"/>
      <c r="N213" s="460"/>
      <c r="O213" s="460"/>
      <c r="P213" s="460"/>
      <c r="Q213" s="460"/>
      <c r="R213" s="460"/>
      <c r="S213" s="460"/>
      <c r="T213" s="460"/>
      <c r="U213" s="460"/>
      <c r="V213" s="460"/>
      <c r="W213" s="460"/>
      <c r="X213" s="460"/>
      <c r="Y213" s="460"/>
      <c r="Z213" s="460"/>
      <c r="AA213" s="460"/>
      <c r="AB213" s="460"/>
      <c r="AC213" s="460"/>
    </row>
    <row r="214" spans="1:29" ht="15.75" customHeight="1" x14ac:dyDescent="0.3">
      <c r="A214" s="460"/>
      <c r="B214" s="460"/>
      <c r="C214" s="460"/>
      <c r="D214" s="460"/>
      <c r="E214" s="460"/>
      <c r="F214" s="460"/>
      <c r="G214" s="460"/>
      <c r="H214" s="460"/>
      <c r="I214" s="460"/>
      <c r="J214" s="460"/>
      <c r="K214" s="460"/>
      <c r="L214" s="460"/>
      <c r="M214" s="460"/>
      <c r="N214" s="460"/>
      <c r="O214" s="460"/>
      <c r="P214" s="460"/>
      <c r="Q214" s="460"/>
      <c r="R214" s="460"/>
      <c r="S214" s="460"/>
      <c r="T214" s="460"/>
      <c r="U214" s="460"/>
      <c r="V214" s="460"/>
      <c r="W214" s="460"/>
      <c r="X214" s="460"/>
      <c r="Y214" s="460"/>
      <c r="Z214" s="460"/>
      <c r="AA214" s="460"/>
      <c r="AB214" s="460"/>
      <c r="AC214" s="460"/>
    </row>
    <row r="215" spans="1:29" ht="15.75" customHeight="1" x14ac:dyDescent="0.3">
      <c r="A215" s="460"/>
      <c r="B215" s="460"/>
      <c r="C215" s="460"/>
      <c r="D215" s="460"/>
      <c r="E215" s="460"/>
      <c r="F215" s="460"/>
      <c r="G215" s="460"/>
      <c r="H215" s="460"/>
      <c r="I215" s="460"/>
      <c r="J215" s="460"/>
      <c r="K215" s="460"/>
      <c r="L215" s="460"/>
      <c r="M215" s="460"/>
      <c r="N215" s="460"/>
      <c r="O215" s="460"/>
      <c r="P215" s="460"/>
      <c r="Q215" s="460"/>
      <c r="R215" s="460"/>
      <c r="S215" s="460"/>
      <c r="T215" s="460"/>
      <c r="U215" s="460"/>
      <c r="V215" s="460"/>
      <c r="W215" s="460"/>
      <c r="X215" s="460"/>
      <c r="Y215" s="460"/>
      <c r="Z215" s="460"/>
      <c r="AA215" s="460"/>
      <c r="AB215" s="460"/>
      <c r="AC215" s="460"/>
    </row>
    <row r="216" spans="1:29" ht="15.75" customHeight="1" x14ac:dyDescent="0.3">
      <c r="A216" s="460"/>
      <c r="B216" s="460"/>
      <c r="C216" s="460"/>
      <c r="D216" s="460"/>
      <c r="E216" s="460"/>
      <c r="F216" s="460"/>
      <c r="G216" s="460"/>
      <c r="H216" s="460"/>
      <c r="I216" s="460"/>
      <c r="J216" s="460"/>
      <c r="K216" s="460"/>
      <c r="L216" s="460"/>
      <c r="M216" s="460"/>
      <c r="N216" s="460"/>
      <c r="O216" s="460"/>
      <c r="P216" s="460"/>
      <c r="Q216" s="460"/>
      <c r="R216" s="460"/>
      <c r="S216" s="460"/>
      <c r="T216" s="460"/>
      <c r="U216" s="460"/>
      <c r="V216" s="460"/>
      <c r="W216" s="460"/>
      <c r="X216" s="460"/>
      <c r="Y216" s="460"/>
      <c r="Z216" s="460"/>
      <c r="AA216" s="460"/>
      <c r="AB216" s="460"/>
      <c r="AC216" s="460"/>
    </row>
    <row r="217" spans="1:29" ht="15.75" customHeight="1" x14ac:dyDescent="0.3">
      <c r="A217" s="460"/>
      <c r="B217" s="460"/>
      <c r="C217" s="460"/>
      <c r="D217" s="460"/>
      <c r="E217" s="460"/>
      <c r="F217" s="460"/>
      <c r="G217" s="460"/>
      <c r="H217" s="460"/>
      <c r="I217" s="460"/>
      <c r="J217" s="460"/>
      <c r="K217" s="460"/>
      <c r="L217" s="460"/>
      <c r="M217" s="460"/>
      <c r="N217" s="460"/>
      <c r="O217" s="460"/>
      <c r="P217" s="460"/>
      <c r="Q217" s="460"/>
      <c r="R217" s="460"/>
      <c r="S217" s="460"/>
      <c r="T217" s="460"/>
      <c r="U217" s="460"/>
      <c r="V217" s="460"/>
      <c r="W217" s="460"/>
      <c r="X217" s="460"/>
      <c r="Y217" s="460"/>
      <c r="Z217" s="460"/>
      <c r="AA217" s="460"/>
      <c r="AB217" s="460"/>
      <c r="AC217" s="460"/>
    </row>
    <row r="218" spans="1:29" ht="15.75" customHeight="1" x14ac:dyDescent="0.3">
      <c r="A218" s="460"/>
      <c r="B218" s="460"/>
      <c r="C218" s="460"/>
      <c r="D218" s="460"/>
      <c r="E218" s="460"/>
      <c r="F218" s="460"/>
      <c r="G218" s="460"/>
      <c r="H218" s="460"/>
      <c r="I218" s="460"/>
      <c r="J218" s="460"/>
      <c r="K218" s="460"/>
      <c r="L218" s="460"/>
      <c r="M218" s="460"/>
      <c r="N218" s="460"/>
      <c r="O218" s="460"/>
      <c r="P218" s="460"/>
      <c r="Q218" s="460"/>
      <c r="R218" s="460"/>
      <c r="S218" s="460"/>
      <c r="T218" s="460"/>
      <c r="U218" s="460"/>
      <c r="V218" s="460"/>
      <c r="W218" s="460"/>
      <c r="X218" s="460"/>
      <c r="Y218" s="460"/>
      <c r="Z218" s="460"/>
      <c r="AA218" s="460"/>
      <c r="AB218" s="460"/>
      <c r="AC218" s="460"/>
    </row>
    <row r="219" spans="1:29" ht="15.75" customHeight="1" x14ac:dyDescent="0.3">
      <c r="A219" s="460"/>
      <c r="B219" s="460"/>
      <c r="C219" s="460"/>
      <c r="D219" s="460"/>
      <c r="E219" s="460"/>
      <c r="F219" s="460"/>
      <c r="G219" s="460"/>
      <c r="H219" s="460"/>
      <c r="I219" s="460"/>
      <c r="J219" s="460"/>
      <c r="K219" s="460"/>
      <c r="L219" s="460"/>
      <c r="M219" s="460"/>
      <c r="N219" s="460"/>
      <c r="O219" s="460"/>
      <c r="P219" s="460"/>
      <c r="Q219" s="460"/>
      <c r="R219" s="460"/>
      <c r="S219" s="460"/>
      <c r="T219" s="460"/>
      <c r="U219" s="460"/>
      <c r="V219" s="460"/>
      <c r="W219" s="460"/>
      <c r="X219" s="460"/>
      <c r="Y219" s="460"/>
      <c r="Z219" s="460"/>
      <c r="AA219" s="460"/>
      <c r="AB219" s="460"/>
      <c r="AC219" s="460"/>
    </row>
    <row r="220" spans="1:29" ht="15.75" customHeight="1" x14ac:dyDescent="0.3">
      <c r="A220" s="460"/>
      <c r="B220" s="460"/>
      <c r="C220" s="460"/>
      <c r="D220" s="460"/>
      <c r="E220" s="460"/>
      <c r="F220" s="460"/>
      <c r="G220" s="460"/>
      <c r="H220" s="460"/>
      <c r="I220" s="460"/>
      <c r="J220" s="460"/>
      <c r="K220" s="460"/>
      <c r="L220" s="460"/>
      <c r="M220" s="460"/>
      <c r="N220" s="460"/>
      <c r="O220" s="460"/>
      <c r="P220" s="460"/>
      <c r="Q220" s="460"/>
      <c r="R220" s="460"/>
      <c r="S220" s="460"/>
      <c r="T220" s="460"/>
      <c r="U220" s="460"/>
      <c r="V220" s="460"/>
      <c r="W220" s="460"/>
      <c r="X220" s="460"/>
      <c r="Y220" s="460"/>
      <c r="Z220" s="460"/>
      <c r="AA220" s="460"/>
      <c r="AB220" s="460"/>
      <c r="AC220" s="460"/>
    </row>
    <row r="221" spans="1:29" ht="15.75" customHeight="1" x14ac:dyDescent="0.3">
      <c r="A221" s="460"/>
      <c r="B221" s="460"/>
      <c r="C221" s="460"/>
      <c r="D221" s="460"/>
      <c r="E221" s="460"/>
      <c r="F221" s="460"/>
      <c r="G221" s="460"/>
      <c r="H221" s="460"/>
      <c r="I221" s="460"/>
      <c r="J221" s="460"/>
      <c r="K221" s="460"/>
      <c r="L221" s="460"/>
      <c r="M221" s="460"/>
      <c r="N221" s="460"/>
      <c r="O221" s="460"/>
      <c r="P221" s="460"/>
      <c r="Q221" s="460"/>
      <c r="R221" s="460"/>
      <c r="S221" s="460"/>
      <c r="T221" s="460"/>
      <c r="U221" s="460"/>
      <c r="V221" s="460"/>
      <c r="W221" s="460"/>
      <c r="X221" s="460"/>
      <c r="Y221" s="460"/>
      <c r="Z221" s="460"/>
      <c r="AA221" s="460"/>
      <c r="AB221" s="460"/>
      <c r="AC221" s="460"/>
    </row>
    <row r="222" spans="1:29" ht="15.75" customHeight="1" x14ac:dyDescent="0.3">
      <c r="A222" s="460"/>
      <c r="B222" s="460"/>
      <c r="C222" s="460"/>
      <c r="D222" s="460"/>
      <c r="E222" s="460"/>
      <c r="F222" s="460"/>
      <c r="G222" s="460"/>
      <c r="H222" s="460"/>
      <c r="I222" s="460"/>
      <c r="J222" s="460"/>
      <c r="K222" s="460"/>
      <c r="L222" s="460"/>
      <c r="M222" s="460"/>
      <c r="N222" s="460"/>
      <c r="O222" s="460"/>
      <c r="P222" s="460"/>
      <c r="Q222" s="460"/>
      <c r="R222" s="460"/>
      <c r="S222" s="460"/>
      <c r="T222" s="460"/>
      <c r="U222" s="460"/>
      <c r="V222" s="460"/>
      <c r="W222" s="460"/>
      <c r="X222" s="460"/>
      <c r="Y222" s="460"/>
      <c r="Z222" s="460"/>
      <c r="AA222" s="460"/>
      <c r="AB222" s="460"/>
      <c r="AC222" s="460"/>
    </row>
    <row r="223" spans="1:29" ht="15.75" customHeight="1" x14ac:dyDescent="0.3">
      <c r="A223" s="460"/>
      <c r="B223" s="460"/>
      <c r="C223" s="460"/>
      <c r="D223" s="460"/>
      <c r="E223" s="460"/>
      <c r="F223" s="460"/>
      <c r="G223" s="460"/>
      <c r="H223" s="460"/>
      <c r="I223" s="460"/>
      <c r="J223" s="460"/>
      <c r="K223" s="460"/>
      <c r="L223" s="460"/>
      <c r="M223" s="460"/>
      <c r="N223" s="460"/>
      <c r="O223" s="460"/>
      <c r="P223" s="460"/>
      <c r="Q223" s="460"/>
      <c r="R223" s="460"/>
      <c r="S223" s="460"/>
      <c r="T223" s="460"/>
      <c r="U223" s="460"/>
      <c r="V223" s="460"/>
      <c r="W223" s="460"/>
      <c r="X223" s="460"/>
      <c r="Y223" s="460"/>
      <c r="Z223" s="460"/>
      <c r="AA223" s="460"/>
      <c r="AB223" s="460"/>
      <c r="AC223" s="460"/>
    </row>
    <row r="224" spans="1:29" ht="15.75" customHeight="1" x14ac:dyDescent="0.3">
      <c r="A224" s="460"/>
      <c r="B224" s="460"/>
      <c r="C224" s="460"/>
      <c r="D224" s="460"/>
      <c r="E224" s="460"/>
      <c r="F224" s="460"/>
      <c r="G224" s="460"/>
      <c r="H224" s="460"/>
      <c r="I224" s="460"/>
      <c r="J224" s="460"/>
      <c r="K224" s="460"/>
      <c r="L224" s="460"/>
      <c r="M224" s="460"/>
      <c r="N224" s="460"/>
      <c r="O224" s="460"/>
      <c r="P224" s="460"/>
      <c r="Q224" s="460"/>
      <c r="R224" s="460"/>
      <c r="S224" s="460"/>
      <c r="T224" s="460"/>
      <c r="U224" s="460"/>
      <c r="V224" s="460"/>
      <c r="W224" s="460"/>
      <c r="X224" s="460"/>
      <c r="Y224" s="460"/>
      <c r="Z224" s="460"/>
      <c r="AA224" s="460"/>
      <c r="AB224" s="460"/>
      <c r="AC224" s="460"/>
    </row>
    <row r="225" spans="1:29" ht="15.75" customHeight="1" x14ac:dyDescent="0.3">
      <c r="A225" s="460"/>
      <c r="B225" s="460"/>
      <c r="C225" s="460"/>
      <c r="D225" s="460"/>
      <c r="E225" s="460"/>
      <c r="F225" s="460"/>
      <c r="G225" s="460"/>
      <c r="H225" s="460"/>
      <c r="I225" s="460"/>
      <c r="J225" s="460"/>
      <c r="K225" s="460"/>
      <c r="L225" s="460"/>
      <c r="M225" s="460"/>
      <c r="N225" s="460"/>
      <c r="O225" s="460"/>
      <c r="P225" s="460"/>
      <c r="Q225" s="460"/>
      <c r="R225" s="460"/>
      <c r="S225" s="460"/>
      <c r="T225" s="460"/>
      <c r="U225" s="460"/>
      <c r="V225" s="460"/>
      <c r="W225" s="460"/>
      <c r="X225" s="460"/>
      <c r="Y225" s="460"/>
      <c r="Z225" s="460"/>
      <c r="AA225" s="460"/>
      <c r="AB225" s="460"/>
      <c r="AC225" s="460"/>
    </row>
    <row r="226" spans="1:29" ht="15.75" customHeight="1" x14ac:dyDescent="0.3">
      <c r="A226" s="460"/>
      <c r="B226" s="460"/>
      <c r="C226" s="460"/>
      <c r="D226" s="460"/>
      <c r="E226" s="460"/>
      <c r="F226" s="460"/>
      <c r="G226" s="460"/>
      <c r="H226" s="460"/>
      <c r="I226" s="460"/>
      <c r="J226" s="460"/>
      <c r="K226" s="460"/>
      <c r="L226" s="460"/>
      <c r="M226" s="460"/>
      <c r="N226" s="460"/>
      <c r="O226" s="460"/>
      <c r="P226" s="460"/>
      <c r="Q226" s="460"/>
      <c r="R226" s="460"/>
      <c r="S226" s="460"/>
      <c r="T226" s="460"/>
      <c r="U226" s="460"/>
      <c r="V226" s="460"/>
      <c r="W226" s="460"/>
      <c r="X226" s="460"/>
      <c r="Y226" s="460"/>
      <c r="Z226" s="460"/>
      <c r="AA226" s="460"/>
      <c r="AB226" s="460"/>
      <c r="AC226" s="460"/>
    </row>
    <row r="227" spans="1:29" ht="15.75" customHeight="1" x14ac:dyDescent="0.3">
      <c r="A227" s="460"/>
      <c r="B227" s="460"/>
      <c r="C227" s="460"/>
      <c r="D227" s="460"/>
      <c r="E227" s="460"/>
      <c r="F227" s="460"/>
      <c r="G227" s="460"/>
      <c r="H227" s="460"/>
      <c r="I227" s="460"/>
      <c r="J227" s="460"/>
      <c r="K227" s="460"/>
      <c r="L227" s="460"/>
      <c r="M227" s="460"/>
      <c r="N227" s="460"/>
      <c r="O227" s="460"/>
      <c r="P227" s="460"/>
      <c r="Q227" s="460"/>
      <c r="R227" s="460"/>
      <c r="S227" s="460"/>
      <c r="T227" s="460"/>
      <c r="U227" s="460"/>
      <c r="V227" s="460"/>
      <c r="W227" s="460"/>
      <c r="X227" s="460"/>
      <c r="Y227" s="460"/>
      <c r="Z227" s="460"/>
      <c r="AA227" s="460"/>
      <c r="AB227" s="460"/>
      <c r="AC227" s="460"/>
    </row>
    <row r="228" spans="1:29" ht="15.75" customHeight="1" x14ac:dyDescent="0.3">
      <c r="A228" s="460"/>
      <c r="B228" s="460"/>
      <c r="C228" s="460"/>
      <c r="D228" s="460"/>
      <c r="E228" s="460"/>
      <c r="F228" s="460"/>
      <c r="G228" s="460"/>
      <c r="H228" s="460"/>
      <c r="I228" s="460"/>
      <c r="J228" s="460"/>
      <c r="K228" s="460"/>
      <c r="L228" s="460"/>
      <c r="M228" s="460"/>
      <c r="N228" s="460"/>
      <c r="O228" s="460"/>
      <c r="P228" s="460"/>
      <c r="Q228" s="460"/>
      <c r="R228" s="460"/>
      <c r="S228" s="460"/>
      <c r="T228" s="460"/>
      <c r="U228" s="460"/>
      <c r="V228" s="460"/>
      <c r="W228" s="460"/>
      <c r="X228" s="460"/>
      <c r="Y228" s="460"/>
      <c r="Z228" s="460"/>
      <c r="AA228" s="460"/>
      <c r="AB228" s="460"/>
      <c r="AC228" s="460"/>
    </row>
    <row r="229" spans="1:29" ht="15.75" customHeight="1" x14ac:dyDescent="0.3">
      <c r="A229" s="460"/>
      <c r="B229" s="460"/>
      <c r="C229" s="460"/>
      <c r="D229" s="460"/>
      <c r="E229" s="460"/>
      <c r="F229" s="460"/>
      <c r="G229" s="460"/>
      <c r="H229" s="460"/>
      <c r="I229" s="460"/>
      <c r="J229" s="460"/>
      <c r="K229" s="460"/>
      <c r="L229" s="460"/>
      <c r="M229" s="460"/>
      <c r="N229" s="460"/>
      <c r="O229" s="460"/>
      <c r="P229" s="460"/>
      <c r="Q229" s="460"/>
      <c r="R229" s="460"/>
      <c r="S229" s="460"/>
      <c r="T229" s="460"/>
      <c r="U229" s="460"/>
      <c r="V229" s="460"/>
      <c r="W229" s="460"/>
      <c r="X229" s="460"/>
      <c r="Y229" s="460"/>
      <c r="Z229" s="460"/>
      <c r="AA229" s="460"/>
      <c r="AB229" s="460"/>
      <c r="AC229" s="460"/>
    </row>
    <row r="230" spans="1:29" ht="15.75" customHeight="1" x14ac:dyDescent="0.3">
      <c r="A230" s="460"/>
      <c r="B230" s="460"/>
      <c r="C230" s="460"/>
      <c r="D230" s="460"/>
      <c r="E230" s="460"/>
      <c r="F230" s="460"/>
      <c r="G230" s="460"/>
      <c r="H230" s="460"/>
      <c r="I230" s="460"/>
      <c r="J230" s="460"/>
      <c r="K230" s="460"/>
      <c r="L230" s="460"/>
      <c r="M230" s="460"/>
      <c r="N230" s="460"/>
      <c r="O230" s="460"/>
      <c r="P230" s="460"/>
      <c r="Q230" s="460"/>
      <c r="R230" s="460"/>
      <c r="S230" s="460"/>
      <c r="T230" s="460"/>
      <c r="U230" s="460"/>
      <c r="V230" s="460"/>
      <c r="W230" s="460"/>
      <c r="X230" s="460"/>
      <c r="Y230" s="460"/>
      <c r="Z230" s="460"/>
      <c r="AA230" s="460"/>
      <c r="AB230" s="460"/>
      <c r="AC230" s="460"/>
    </row>
    <row r="231" spans="1:29" ht="15.75" customHeight="1" x14ac:dyDescent="0.3">
      <c r="A231" s="460"/>
      <c r="B231" s="460"/>
      <c r="C231" s="460"/>
      <c r="D231" s="460"/>
      <c r="E231" s="460"/>
      <c r="F231" s="460"/>
      <c r="G231" s="460"/>
      <c r="H231" s="460"/>
      <c r="I231" s="460"/>
      <c r="J231" s="460"/>
      <c r="K231" s="460"/>
      <c r="L231" s="460"/>
      <c r="M231" s="460"/>
      <c r="N231" s="460"/>
      <c r="O231" s="460"/>
      <c r="P231" s="460"/>
      <c r="Q231" s="460"/>
      <c r="R231" s="460"/>
      <c r="S231" s="460"/>
      <c r="T231" s="460"/>
      <c r="U231" s="460"/>
      <c r="V231" s="460"/>
      <c r="W231" s="460"/>
      <c r="X231" s="460"/>
      <c r="Y231" s="460"/>
      <c r="Z231" s="460"/>
      <c r="AA231" s="460"/>
      <c r="AB231" s="460"/>
      <c r="AC231" s="460"/>
    </row>
    <row r="232" spans="1:29" ht="15.75" customHeight="1" x14ac:dyDescent="0.3">
      <c r="A232" s="460"/>
      <c r="B232" s="460"/>
      <c r="C232" s="460"/>
      <c r="D232" s="460"/>
      <c r="E232" s="460"/>
      <c r="F232" s="460"/>
      <c r="G232" s="460"/>
      <c r="H232" s="460"/>
      <c r="I232" s="460"/>
      <c r="J232" s="460"/>
      <c r="K232" s="460"/>
      <c r="L232" s="460"/>
      <c r="M232" s="460"/>
      <c r="N232" s="460"/>
      <c r="O232" s="460"/>
      <c r="P232" s="460"/>
      <c r="Q232" s="460"/>
      <c r="R232" s="460"/>
      <c r="S232" s="460"/>
      <c r="T232" s="460"/>
      <c r="U232" s="460"/>
      <c r="V232" s="460"/>
      <c r="W232" s="460"/>
      <c r="X232" s="460"/>
      <c r="Y232" s="460"/>
      <c r="Z232" s="460"/>
      <c r="AA232" s="460"/>
      <c r="AB232" s="460"/>
      <c r="AC232" s="460"/>
    </row>
    <row r="233" spans="1:29" ht="15.75" customHeight="1" x14ac:dyDescent="0.3">
      <c r="A233" s="460"/>
      <c r="B233" s="460"/>
      <c r="C233" s="460"/>
      <c r="D233" s="460"/>
      <c r="E233" s="460"/>
      <c r="F233" s="460"/>
      <c r="G233" s="460"/>
      <c r="H233" s="460"/>
      <c r="I233" s="460"/>
      <c r="J233" s="460"/>
      <c r="K233" s="460"/>
      <c r="L233" s="460"/>
      <c r="M233" s="460"/>
      <c r="N233" s="460"/>
      <c r="O233" s="460"/>
      <c r="P233" s="460"/>
      <c r="Q233" s="460"/>
      <c r="R233" s="460"/>
      <c r="S233" s="460"/>
      <c r="T233" s="460"/>
      <c r="U233" s="460"/>
      <c r="V233" s="460"/>
      <c r="W233" s="460"/>
      <c r="X233" s="460"/>
      <c r="Y233" s="460"/>
      <c r="Z233" s="460"/>
      <c r="AA233" s="460"/>
      <c r="AB233" s="460"/>
      <c r="AC233" s="460"/>
    </row>
    <row r="234" spans="1:29" ht="15.75" customHeight="1" x14ac:dyDescent="0.3">
      <c r="A234" s="460"/>
      <c r="B234" s="460"/>
      <c r="C234" s="460"/>
      <c r="D234" s="460"/>
      <c r="E234" s="460"/>
      <c r="F234" s="460"/>
      <c r="G234" s="460"/>
      <c r="H234" s="460"/>
      <c r="I234" s="460"/>
      <c r="J234" s="460"/>
      <c r="K234" s="460"/>
      <c r="L234" s="460"/>
      <c r="M234" s="460"/>
      <c r="N234" s="460"/>
      <c r="O234" s="460"/>
      <c r="P234" s="460"/>
      <c r="Q234" s="460"/>
      <c r="R234" s="460"/>
      <c r="S234" s="460"/>
      <c r="T234" s="460"/>
      <c r="U234" s="460"/>
      <c r="V234" s="460"/>
      <c r="W234" s="460"/>
      <c r="X234" s="460"/>
      <c r="Y234" s="460"/>
      <c r="Z234" s="460"/>
      <c r="AA234" s="460"/>
      <c r="AB234" s="460"/>
      <c r="AC234" s="460"/>
    </row>
    <row r="235" spans="1:29" ht="15.75" customHeight="1" x14ac:dyDescent="0.3">
      <c r="A235" s="460"/>
      <c r="B235" s="460"/>
      <c r="C235" s="460"/>
      <c r="D235" s="460"/>
      <c r="E235" s="460"/>
      <c r="F235" s="460"/>
      <c r="G235" s="460"/>
      <c r="H235" s="460"/>
      <c r="I235" s="460"/>
      <c r="J235" s="460"/>
      <c r="K235" s="460"/>
      <c r="L235" s="460"/>
      <c r="M235" s="460"/>
      <c r="N235" s="460"/>
      <c r="O235" s="460"/>
      <c r="P235" s="460"/>
      <c r="Q235" s="460"/>
      <c r="R235" s="460"/>
      <c r="S235" s="460"/>
      <c r="T235" s="460"/>
      <c r="U235" s="460"/>
      <c r="V235" s="460"/>
      <c r="W235" s="460"/>
      <c r="X235" s="460"/>
      <c r="Y235" s="460"/>
      <c r="Z235" s="460"/>
      <c r="AA235" s="460"/>
      <c r="AB235" s="460"/>
      <c r="AC235" s="460"/>
    </row>
    <row r="236" spans="1:29" ht="15.75" customHeight="1" x14ac:dyDescent="0.3">
      <c r="A236" s="460"/>
      <c r="B236" s="460"/>
      <c r="C236" s="460"/>
      <c r="D236" s="460"/>
      <c r="E236" s="460"/>
      <c r="F236" s="460"/>
      <c r="G236" s="460"/>
      <c r="H236" s="460"/>
      <c r="I236" s="460"/>
      <c r="J236" s="460"/>
      <c r="K236" s="460"/>
      <c r="L236" s="460"/>
      <c r="M236" s="460"/>
      <c r="N236" s="460"/>
      <c r="O236" s="460"/>
      <c r="P236" s="460"/>
      <c r="Q236" s="460"/>
      <c r="R236" s="460"/>
      <c r="S236" s="460"/>
      <c r="T236" s="460"/>
      <c r="U236" s="460"/>
      <c r="V236" s="460"/>
      <c r="W236" s="460"/>
      <c r="X236" s="460"/>
      <c r="Y236" s="460"/>
      <c r="Z236" s="460"/>
      <c r="AA236" s="460"/>
      <c r="AB236" s="460"/>
      <c r="AC236" s="460"/>
    </row>
    <row r="237" spans="1:29" ht="15.75" customHeight="1" x14ac:dyDescent="0.3">
      <c r="A237" s="460"/>
      <c r="B237" s="460"/>
      <c r="C237" s="460"/>
      <c r="D237" s="460"/>
      <c r="E237" s="460"/>
      <c r="F237" s="460"/>
      <c r="G237" s="460"/>
      <c r="H237" s="460"/>
      <c r="I237" s="460"/>
      <c r="J237" s="460"/>
      <c r="K237" s="460"/>
      <c r="L237" s="460"/>
      <c r="M237" s="460"/>
      <c r="N237" s="460"/>
      <c r="O237" s="460"/>
      <c r="P237" s="460"/>
      <c r="Q237" s="460"/>
      <c r="R237" s="460"/>
      <c r="S237" s="460"/>
      <c r="T237" s="460"/>
      <c r="U237" s="460"/>
      <c r="V237" s="460"/>
      <c r="W237" s="460"/>
      <c r="X237" s="460"/>
      <c r="Y237" s="460"/>
      <c r="Z237" s="460"/>
      <c r="AA237" s="460"/>
      <c r="AB237" s="460"/>
      <c r="AC237" s="460"/>
    </row>
    <row r="238" spans="1:29" ht="15.75" customHeight="1" x14ac:dyDescent="0.3">
      <c r="A238" s="460"/>
      <c r="B238" s="460"/>
      <c r="C238" s="460"/>
      <c r="D238" s="460"/>
      <c r="E238" s="460"/>
      <c r="F238" s="460"/>
      <c r="G238" s="460"/>
      <c r="H238" s="460"/>
      <c r="I238" s="460"/>
      <c r="J238" s="460"/>
      <c r="K238" s="460"/>
      <c r="L238" s="460"/>
      <c r="M238" s="460"/>
      <c r="N238" s="460"/>
      <c r="O238" s="460"/>
      <c r="P238" s="460"/>
      <c r="Q238" s="460"/>
      <c r="R238" s="460"/>
      <c r="S238" s="460"/>
      <c r="T238" s="460"/>
      <c r="U238" s="460"/>
      <c r="V238" s="460"/>
      <c r="W238" s="460"/>
      <c r="X238" s="460"/>
      <c r="Y238" s="460"/>
      <c r="Z238" s="460"/>
      <c r="AA238" s="460"/>
      <c r="AB238" s="460"/>
      <c r="AC238" s="460"/>
    </row>
    <row r="239" spans="1:29" ht="15.75" customHeight="1" x14ac:dyDescent="0.3">
      <c r="A239" s="460"/>
      <c r="B239" s="460"/>
      <c r="C239" s="460"/>
      <c r="D239" s="460"/>
      <c r="E239" s="460"/>
      <c r="F239" s="460"/>
      <c r="G239" s="460"/>
      <c r="H239" s="460"/>
      <c r="I239" s="460"/>
      <c r="J239" s="460"/>
      <c r="K239" s="460"/>
      <c r="L239" s="460"/>
      <c r="M239" s="460"/>
      <c r="N239" s="460"/>
      <c r="O239" s="460"/>
      <c r="P239" s="460"/>
      <c r="Q239" s="460"/>
      <c r="R239" s="460"/>
      <c r="S239" s="460"/>
      <c r="T239" s="460"/>
      <c r="U239" s="460"/>
      <c r="V239" s="460"/>
      <c r="W239" s="460"/>
      <c r="X239" s="460"/>
      <c r="Y239" s="460"/>
      <c r="Z239" s="460"/>
      <c r="AA239" s="460"/>
      <c r="AB239" s="460"/>
      <c r="AC239" s="460"/>
    </row>
    <row r="240" spans="1:29" ht="15.75" customHeight="1" x14ac:dyDescent="0.3">
      <c r="A240" s="460"/>
      <c r="B240" s="460"/>
      <c r="C240" s="460"/>
      <c r="D240" s="460"/>
      <c r="E240" s="460"/>
      <c r="F240" s="460"/>
      <c r="G240" s="460"/>
      <c r="H240" s="460"/>
      <c r="I240" s="460"/>
      <c r="J240" s="460"/>
      <c r="K240" s="460"/>
      <c r="L240" s="460"/>
      <c r="M240" s="460"/>
      <c r="N240" s="460"/>
      <c r="O240" s="460"/>
      <c r="P240" s="460"/>
      <c r="Q240" s="460"/>
      <c r="R240" s="460"/>
      <c r="S240" s="460"/>
      <c r="T240" s="460"/>
      <c r="U240" s="460"/>
      <c r="V240" s="460"/>
      <c r="W240" s="460"/>
      <c r="X240" s="460"/>
      <c r="Y240" s="460"/>
      <c r="Z240" s="460"/>
      <c r="AA240" s="460"/>
      <c r="AB240" s="460"/>
      <c r="AC240" s="460"/>
    </row>
    <row r="241" spans="1:29" ht="15.75" customHeight="1" x14ac:dyDescent="0.3">
      <c r="A241" s="460"/>
      <c r="B241" s="460"/>
      <c r="C241" s="460"/>
      <c r="D241" s="460"/>
      <c r="E241" s="460"/>
      <c r="F241" s="460"/>
      <c r="G241" s="460"/>
      <c r="H241" s="460"/>
      <c r="I241" s="460"/>
      <c r="J241" s="460"/>
      <c r="K241" s="460"/>
      <c r="L241" s="460"/>
      <c r="M241" s="460"/>
      <c r="N241" s="460"/>
      <c r="O241" s="460"/>
      <c r="P241" s="460"/>
      <c r="Q241" s="460"/>
      <c r="R241" s="460"/>
      <c r="S241" s="460"/>
      <c r="T241" s="460"/>
      <c r="U241" s="460"/>
      <c r="V241" s="460"/>
      <c r="W241" s="460"/>
      <c r="X241" s="460"/>
      <c r="Y241" s="460"/>
      <c r="Z241" s="460"/>
      <c r="AA241" s="460"/>
      <c r="AB241" s="460"/>
      <c r="AC241" s="460"/>
    </row>
    <row r="242" spans="1:29" ht="15.75" customHeight="1" x14ac:dyDescent="0.3">
      <c r="A242" s="460"/>
      <c r="B242" s="460"/>
      <c r="C242" s="460"/>
      <c r="D242" s="460"/>
      <c r="E242" s="460"/>
      <c r="F242" s="460"/>
      <c r="G242" s="460"/>
      <c r="H242" s="460"/>
      <c r="I242" s="460"/>
      <c r="J242" s="460"/>
      <c r="K242" s="460"/>
      <c r="L242" s="460"/>
      <c r="M242" s="460"/>
      <c r="N242" s="460"/>
      <c r="O242" s="460"/>
      <c r="P242" s="460"/>
      <c r="Q242" s="460"/>
      <c r="R242" s="460"/>
      <c r="S242" s="460"/>
      <c r="T242" s="460"/>
      <c r="U242" s="460"/>
      <c r="V242" s="460"/>
      <c r="W242" s="460"/>
      <c r="X242" s="460"/>
      <c r="Y242" s="460"/>
      <c r="Z242" s="460"/>
      <c r="AA242" s="460"/>
      <c r="AB242" s="460"/>
      <c r="AC242" s="460"/>
    </row>
    <row r="243" spans="1:29" ht="15.75" customHeight="1" x14ac:dyDescent="0.3">
      <c r="A243" s="460"/>
      <c r="B243" s="460"/>
      <c r="C243" s="460"/>
      <c r="D243" s="460"/>
      <c r="E243" s="460"/>
      <c r="F243" s="460"/>
      <c r="G243" s="460"/>
      <c r="H243" s="460"/>
      <c r="I243" s="460"/>
      <c r="J243" s="460"/>
      <c r="K243" s="460"/>
      <c r="L243" s="460"/>
      <c r="M243" s="460"/>
      <c r="N243" s="460"/>
      <c r="O243" s="460"/>
      <c r="P243" s="460"/>
      <c r="Q243" s="460"/>
      <c r="R243" s="460"/>
      <c r="S243" s="460"/>
      <c r="T243" s="460"/>
      <c r="U243" s="460"/>
      <c r="V243" s="460"/>
      <c r="W243" s="460"/>
      <c r="X243" s="460"/>
      <c r="Y243" s="460"/>
      <c r="Z243" s="460"/>
      <c r="AA243" s="460"/>
      <c r="AB243" s="460"/>
      <c r="AC243" s="460"/>
    </row>
    <row r="244" spans="1:29" ht="15.75" customHeight="1" x14ac:dyDescent="0.3">
      <c r="A244" s="460"/>
      <c r="B244" s="460"/>
      <c r="C244" s="460"/>
      <c r="D244" s="460"/>
      <c r="E244" s="460"/>
      <c r="F244" s="460"/>
      <c r="G244" s="460"/>
      <c r="H244" s="460"/>
      <c r="I244" s="460"/>
      <c r="J244" s="460"/>
      <c r="K244" s="460"/>
      <c r="L244" s="460"/>
      <c r="M244" s="460"/>
      <c r="N244" s="460"/>
      <c r="O244" s="460"/>
      <c r="P244" s="460"/>
      <c r="Q244" s="460"/>
      <c r="R244" s="460"/>
      <c r="S244" s="460"/>
      <c r="T244" s="460"/>
      <c r="U244" s="460"/>
      <c r="V244" s="460"/>
      <c r="W244" s="460"/>
      <c r="X244" s="460"/>
      <c r="Y244" s="460"/>
      <c r="Z244" s="460"/>
      <c r="AA244" s="460"/>
      <c r="AB244" s="460"/>
      <c r="AC244" s="460"/>
    </row>
    <row r="245" spans="1:29" ht="15.75" customHeight="1" x14ac:dyDescent="0.3">
      <c r="A245" s="460"/>
      <c r="B245" s="460"/>
      <c r="C245" s="460"/>
      <c r="D245" s="460"/>
      <c r="E245" s="460"/>
      <c r="F245" s="460"/>
      <c r="G245" s="460"/>
      <c r="H245" s="460"/>
      <c r="I245" s="460"/>
      <c r="J245" s="460"/>
      <c r="K245" s="460"/>
      <c r="L245" s="460"/>
      <c r="M245" s="460"/>
      <c r="N245" s="460"/>
      <c r="O245" s="460"/>
      <c r="P245" s="460"/>
      <c r="Q245" s="460"/>
      <c r="R245" s="460"/>
      <c r="S245" s="460"/>
      <c r="T245" s="460"/>
      <c r="U245" s="460"/>
      <c r="V245" s="460"/>
      <c r="W245" s="460"/>
      <c r="X245" s="460"/>
      <c r="Y245" s="460"/>
      <c r="Z245" s="460"/>
      <c r="AA245" s="460"/>
      <c r="AB245" s="460"/>
      <c r="AC245" s="460"/>
    </row>
    <row r="246" spans="1:29" ht="15.75" customHeight="1" x14ac:dyDescent="0.3">
      <c r="A246" s="460"/>
      <c r="B246" s="460"/>
      <c r="C246" s="460"/>
      <c r="D246" s="460"/>
      <c r="E246" s="460"/>
      <c r="F246" s="460"/>
      <c r="G246" s="460"/>
      <c r="H246" s="460"/>
      <c r="I246" s="460"/>
      <c r="J246" s="460"/>
      <c r="K246" s="460"/>
      <c r="L246" s="460"/>
      <c r="M246" s="460"/>
      <c r="N246" s="460"/>
      <c r="O246" s="460"/>
      <c r="P246" s="460"/>
      <c r="Q246" s="460"/>
      <c r="R246" s="460"/>
      <c r="S246" s="460"/>
      <c r="T246" s="460"/>
      <c r="U246" s="460"/>
      <c r="V246" s="460"/>
      <c r="W246" s="460"/>
      <c r="X246" s="460"/>
      <c r="Y246" s="460"/>
      <c r="Z246" s="460"/>
      <c r="AA246" s="460"/>
      <c r="AB246" s="460"/>
      <c r="AC246" s="460"/>
    </row>
    <row r="247" spans="1:29" ht="15.75" customHeight="1" x14ac:dyDescent="0.3">
      <c r="A247" s="460"/>
      <c r="B247" s="460"/>
      <c r="C247" s="460"/>
      <c r="D247" s="460"/>
      <c r="E247" s="460"/>
      <c r="F247" s="460"/>
      <c r="G247" s="460"/>
      <c r="H247" s="460"/>
      <c r="I247" s="460"/>
      <c r="J247" s="460"/>
      <c r="K247" s="460"/>
      <c r="L247" s="460"/>
      <c r="M247" s="460"/>
      <c r="N247" s="460"/>
      <c r="O247" s="460"/>
      <c r="P247" s="460"/>
      <c r="Q247" s="460"/>
      <c r="R247" s="460"/>
      <c r="S247" s="460"/>
      <c r="T247" s="460"/>
      <c r="U247" s="460"/>
      <c r="V247" s="460"/>
      <c r="W247" s="460"/>
      <c r="X247" s="460"/>
      <c r="Y247" s="460"/>
      <c r="Z247" s="460"/>
      <c r="AA247" s="460"/>
      <c r="AB247" s="460"/>
      <c r="AC247" s="460"/>
    </row>
    <row r="248" spans="1:29" ht="15.75" customHeight="1" x14ac:dyDescent="0.3">
      <c r="A248" s="460"/>
      <c r="B248" s="460"/>
      <c r="C248" s="460"/>
      <c r="D248" s="460"/>
      <c r="E248" s="460"/>
      <c r="F248" s="460"/>
      <c r="G248" s="460"/>
      <c r="H248" s="460"/>
      <c r="I248" s="460"/>
      <c r="J248" s="460"/>
      <c r="K248" s="460"/>
      <c r="L248" s="460"/>
      <c r="M248" s="460"/>
      <c r="N248" s="460"/>
      <c r="O248" s="460"/>
      <c r="P248" s="460"/>
      <c r="Q248" s="460"/>
      <c r="R248" s="460"/>
      <c r="S248" s="460"/>
      <c r="T248" s="460"/>
      <c r="U248" s="460"/>
      <c r="V248" s="460"/>
      <c r="W248" s="460"/>
      <c r="X248" s="460"/>
      <c r="Y248" s="460"/>
      <c r="Z248" s="460"/>
      <c r="AA248" s="460"/>
      <c r="AB248" s="460"/>
      <c r="AC248" s="460"/>
    </row>
    <row r="249" spans="1:29" ht="15.75" customHeight="1" x14ac:dyDescent="0.3">
      <c r="A249" s="460"/>
      <c r="B249" s="460"/>
      <c r="C249" s="460"/>
      <c r="D249" s="460"/>
      <c r="E249" s="460"/>
      <c r="F249" s="460"/>
      <c r="G249" s="460"/>
      <c r="H249" s="460"/>
      <c r="I249" s="460"/>
      <c r="J249" s="460"/>
      <c r="K249" s="460"/>
      <c r="L249" s="460"/>
      <c r="M249" s="460"/>
      <c r="N249" s="460"/>
      <c r="O249" s="460"/>
      <c r="P249" s="460"/>
      <c r="Q249" s="460"/>
      <c r="R249" s="460"/>
      <c r="S249" s="460"/>
      <c r="T249" s="460"/>
      <c r="U249" s="460"/>
      <c r="V249" s="460"/>
      <c r="W249" s="460"/>
      <c r="X249" s="460"/>
      <c r="Y249" s="460"/>
      <c r="Z249" s="460"/>
      <c r="AA249" s="460"/>
      <c r="AB249" s="460"/>
      <c r="AC249" s="460"/>
    </row>
    <row r="250" spans="1:29" ht="15.75" customHeight="1" x14ac:dyDescent="0.3">
      <c r="A250" s="460"/>
      <c r="B250" s="460"/>
      <c r="C250" s="460"/>
      <c r="D250" s="460"/>
      <c r="E250" s="460"/>
      <c r="F250" s="460"/>
      <c r="G250" s="460"/>
      <c r="H250" s="460"/>
      <c r="I250" s="460"/>
      <c r="J250" s="460"/>
      <c r="K250" s="460"/>
      <c r="L250" s="460"/>
      <c r="M250" s="460"/>
      <c r="N250" s="460"/>
      <c r="O250" s="460"/>
      <c r="P250" s="460"/>
      <c r="Q250" s="460"/>
      <c r="R250" s="460"/>
      <c r="S250" s="460"/>
      <c r="T250" s="460"/>
      <c r="U250" s="460"/>
      <c r="V250" s="460"/>
      <c r="W250" s="460"/>
      <c r="X250" s="460"/>
      <c r="Y250" s="460"/>
      <c r="Z250" s="460"/>
      <c r="AA250" s="460"/>
      <c r="AB250" s="460"/>
      <c r="AC250" s="460"/>
    </row>
    <row r="251" spans="1:29" ht="15.75" customHeight="1" x14ac:dyDescent="0.3">
      <c r="A251" s="460"/>
      <c r="B251" s="460"/>
      <c r="C251" s="460"/>
      <c r="D251" s="460"/>
      <c r="E251" s="460"/>
      <c r="F251" s="460"/>
      <c r="G251" s="460"/>
      <c r="H251" s="460"/>
      <c r="I251" s="460"/>
      <c r="J251" s="460"/>
      <c r="K251" s="460"/>
      <c r="L251" s="460"/>
      <c r="M251" s="460"/>
      <c r="N251" s="460"/>
      <c r="O251" s="460"/>
      <c r="P251" s="460"/>
      <c r="Q251" s="460"/>
      <c r="R251" s="460"/>
      <c r="S251" s="460"/>
      <c r="T251" s="460"/>
      <c r="U251" s="460"/>
      <c r="V251" s="460"/>
      <c r="W251" s="460"/>
      <c r="X251" s="460"/>
      <c r="Y251" s="460"/>
      <c r="Z251" s="460"/>
      <c r="AA251" s="460"/>
      <c r="AB251" s="460"/>
      <c r="AC251" s="460"/>
    </row>
    <row r="252" spans="1:29" ht="15.75" customHeight="1" x14ac:dyDescent="0.3">
      <c r="A252" s="460"/>
      <c r="B252" s="460"/>
      <c r="C252" s="460"/>
      <c r="D252" s="460"/>
      <c r="E252" s="460"/>
      <c r="F252" s="460"/>
      <c r="G252" s="460"/>
      <c r="H252" s="460"/>
      <c r="I252" s="460"/>
      <c r="J252" s="460"/>
      <c r="K252" s="460"/>
      <c r="L252" s="460"/>
      <c r="M252" s="460"/>
      <c r="N252" s="460"/>
      <c r="O252" s="460"/>
      <c r="P252" s="460"/>
      <c r="Q252" s="460"/>
      <c r="R252" s="460"/>
      <c r="S252" s="460"/>
      <c r="T252" s="460"/>
      <c r="U252" s="460"/>
      <c r="V252" s="460"/>
      <c r="W252" s="460"/>
      <c r="X252" s="460"/>
      <c r="Y252" s="460"/>
      <c r="Z252" s="460"/>
      <c r="AA252" s="460"/>
      <c r="AB252" s="460"/>
      <c r="AC252" s="460"/>
    </row>
    <row r="253" spans="1:29" ht="15.75" customHeight="1" x14ac:dyDescent="0.3">
      <c r="A253" s="460"/>
      <c r="B253" s="460"/>
      <c r="C253" s="460"/>
      <c r="D253" s="460"/>
      <c r="E253" s="460"/>
      <c r="F253" s="460"/>
      <c r="G253" s="460"/>
      <c r="H253" s="460"/>
      <c r="I253" s="460"/>
      <c r="J253" s="460"/>
      <c r="K253" s="460"/>
      <c r="L253" s="460"/>
      <c r="M253" s="460"/>
      <c r="N253" s="460"/>
      <c r="O253" s="460"/>
      <c r="P253" s="460"/>
      <c r="Q253" s="460"/>
      <c r="R253" s="460"/>
      <c r="S253" s="460"/>
      <c r="T253" s="460"/>
      <c r="U253" s="460"/>
      <c r="V253" s="460"/>
      <c r="W253" s="460"/>
      <c r="X253" s="460"/>
      <c r="Y253" s="460"/>
      <c r="Z253" s="460"/>
      <c r="AA253" s="460"/>
      <c r="AB253" s="460"/>
      <c r="AC253" s="460"/>
    </row>
    <row r="254" spans="1:29" ht="15.75" customHeight="1" x14ac:dyDescent="0.3">
      <c r="A254" s="460"/>
      <c r="B254" s="460"/>
      <c r="C254" s="460"/>
      <c r="D254" s="460"/>
      <c r="E254" s="460"/>
      <c r="F254" s="460"/>
      <c r="G254" s="460"/>
      <c r="H254" s="460"/>
      <c r="I254" s="460"/>
      <c r="J254" s="460"/>
      <c r="K254" s="460"/>
      <c r="L254" s="460"/>
      <c r="M254" s="460"/>
      <c r="N254" s="460"/>
      <c r="O254" s="460"/>
      <c r="P254" s="460"/>
      <c r="Q254" s="460"/>
      <c r="R254" s="460"/>
      <c r="S254" s="460"/>
      <c r="T254" s="460"/>
      <c r="U254" s="460"/>
      <c r="V254" s="460"/>
      <c r="W254" s="460"/>
      <c r="X254" s="460"/>
      <c r="Y254" s="460"/>
      <c r="Z254" s="460"/>
      <c r="AA254" s="460"/>
      <c r="AB254" s="460"/>
      <c r="AC254" s="460"/>
    </row>
    <row r="255" spans="1:29" ht="15.75" customHeight="1" x14ac:dyDescent="0.3">
      <c r="A255" s="460"/>
      <c r="B255" s="460"/>
      <c r="C255" s="460"/>
      <c r="D255" s="460"/>
      <c r="E255" s="460"/>
      <c r="F255" s="460"/>
      <c r="G255" s="460"/>
      <c r="H255" s="460"/>
      <c r="I255" s="460"/>
      <c r="J255" s="460"/>
      <c r="K255" s="460"/>
      <c r="L255" s="460"/>
      <c r="M255" s="460"/>
      <c r="N255" s="460"/>
      <c r="O255" s="460"/>
      <c r="P255" s="460"/>
      <c r="Q255" s="460"/>
      <c r="R255" s="460"/>
      <c r="S255" s="460"/>
      <c r="T255" s="460"/>
      <c r="U255" s="460"/>
      <c r="V255" s="460"/>
      <c r="W255" s="460"/>
      <c r="X255" s="460"/>
      <c r="Y255" s="460"/>
      <c r="Z255" s="460"/>
      <c r="AA255" s="460"/>
      <c r="AB255" s="460"/>
      <c r="AC255" s="460"/>
    </row>
    <row r="256" spans="1:29" ht="15.75" customHeight="1" x14ac:dyDescent="0.3">
      <c r="A256" s="460"/>
      <c r="B256" s="460"/>
      <c r="C256" s="460"/>
      <c r="D256" s="460"/>
      <c r="E256" s="460"/>
      <c r="F256" s="460"/>
      <c r="G256" s="460"/>
      <c r="H256" s="460"/>
      <c r="I256" s="460"/>
      <c r="J256" s="460"/>
      <c r="K256" s="460"/>
      <c r="L256" s="460"/>
      <c r="M256" s="460"/>
      <c r="N256" s="460"/>
      <c r="O256" s="460"/>
      <c r="P256" s="460"/>
      <c r="Q256" s="460"/>
      <c r="R256" s="460"/>
      <c r="S256" s="460"/>
      <c r="T256" s="460"/>
      <c r="U256" s="460"/>
      <c r="V256" s="460"/>
      <c r="W256" s="460"/>
      <c r="X256" s="460"/>
      <c r="Y256" s="460"/>
      <c r="Z256" s="460"/>
      <c r="AA256" s="460"/>
      <c r="AB256" s="460"/>
      <c r="AC256" s="460"/>
    </row>
    <row r="257" spans="1:29" ht="15.75" customHeight="1" x14ac:dyDescent="0.3">
      <c r="A257" s="460"/>
      <c r="B257" s="460"/>
      <c r="C257" s="460"/>
      <c r="D257" s="460"/>
      <c r="E257" s="460"/>
      <c r="F257" s="460"/>
      <c r="G257" s="460"/>
      <c r="H257" s="460"/>
      <c r="I257" s="460"/>
      <c r="J257" s="460"/>
      <c r="K257" s="460"/>
      <c r="L257" s="460"/>
      <c r="M257" s="460"/>
      <c r="N257" s="460"/>
      <c r="O257" s="460"/>
      <c r="P257" s="460"/>
      <c r="Q257" s="460"/>
      <c r="R257" s="460"/>
      <c r="S257" s="460"/>
      <c r="T257" s="460"/>
      <c r="U257" s="460"/>
      <c r="V257" s="460"/>
      <c r="W257" s="460"/>
      <c r="X257" s="460"/>
      <c r="Y257" s="460"/>
      <c r="Z257" s="460"/>
      <c r="AA257" s="460"/>
      <c r="AB257" s="460"/>
      <c r="AC257" s="460"/>
    </row>
    <row r="258" spans="1:29" ht="15.75" customHeight="1" x14ac:dyDescent="0.3">
      <c r="A258" s="460"/>
      <c r="B258" s="460"/>
      <c r="C258" s="460"/>
      <c r="D258" s="460"/>
      <c r="E258" s="460"/>
      <c r="F258" s="460"/>
      <c r="G258" s="460"/>
      <c r="H258" s="460"/>
      <c r="I258" s="460"/>
      <c r="J258" s="460"/>
      <c r="K258" s="460"/>
      <c r="L258" s="460"/>
      <c r="M258" s="460"/>
      <c r="N258" s="460"/>
      <c r="O258" s="460"/>
      <c r="P258" s="460"/>
      <c r="Q258" s="460"/>
      <c r="R258" s="460"/>
      <c r="S258" s="460"/>
      <c r="T258" s="460"/>
      <c r="U258" s="460"/>
      <c r="V258" s="460"/>
      <c r="W258" s="460"/>
      <c r="X258" s="460"/>
      <c r="Y258" s="460"/>
      <c r="Z258" s="460"/>
      <c r="AA258" s="460"/>
      <c r="AB258" s="460"/>
      <c r="AC258" s="460"/>
    </row>
    <row r="259" spans="1:29" ht="15.75" customHeight="1" x14ac:dyDescent="0.3">
      <c r="A259" s="460"/>
      <c r="B259" s="460"/>
      <c r="C259" s="460"/>
      <c r="D259" s="460"/>
      <c r="E259" s="460"/>
      <c r="F259" s="460"/>
      <c r="G259" s="460"/>
      <c r="H259" s="460"/>
      <c r="I259" s="460"/>
      <c r="J259" s="460"/>
      <c r="K259" s="460"/>
      <c r="L259" s="460"/>
      <c r="M259" s="460"/>
      <c r="N259" s="460"/>
      <c r="O259" s="460"/>
      <c r="P259" s="460"/>
      <c r="Q259" s="460"/>
      <c r="R259" s="460"/>
      <c r="S259" s="460"/>
      <c r="T259" s="460"/>
      <c r="U259" s="460"/>
      <c r="V259" s="460"/>
      <c r="W259" s="460"/>
      <c r="X259" s="460"/>
      <c r="Y259" s="460"/>
      <c r="Z259" s="460"/>
      <c r="AA259" s="460"/>
      <c r="AB259" s="460"/>
      <c r="AC259" s="460"/>
    </row>
    <row r="260" spans="1:29" ht="15.75" customHeight="1" x14ac:dyDescent="0.3">
      <c r="A260" s="460"/>
      <c r="B260" s="460"/>
      <c r="C260" s="460"/>
      <c r="D260" s="460"/>
      <c r="E260" s="460"/>
      <c r="F260" s="460"/>
      <c r="G260" s="460"/>
      <c r="H260" s="460"/>
      <c r="I260" s="460"/>
      <c r="J260" s="460"/>
      <c r="K260" s="460"/>
      <c r="L260" s="460"/>
      <c r="M260" s="460"/>
      <c r="N260" s="460"/>
      <c r="O260" s="460"/>
      <c r="P260" s="460"/>
      <c r="Q260" s="460"/>
      <c r="R260" s="460"/>
      <c r="S260" s="460"/>
      <c r="T260" s="460"/>
      <c r="U260" s="460"/>
      <c r="V260" s="460"/>
      <c r="W260" s="460"/>
      <c r="X260" s="460"/>
      <c r="Y260" s="460"/>
      <c r="Z260" s="460"/>
      <c r="AA260" s="460"/>
      <c r="AB260" s="460"/>
      <c r="AC260" s="460"/>
    </row>
    <row r="261" spans="1:29" ht="15.75" customHeight="1" x14ac:dyDescent="0.3">
      <c r="A261" s="460"/>
      <c r="B261" s="460"/>
      <c r="C261" s="460"/>
      <c r="D261" s="460"/>
      <c r="E261" s="460"/>
      <c r="F261" s="460"/>
      <c r="G261" s="460"/>
      <c r="H261" s="460"/>
      <c r="I261" s="460"/>
      <c r="J261" s="460"/>
      <c r="K261" s="460"/>
      <c r="L261" s="460"/>
      <c r="M261" s="460"/>
      <c r="N261" s="460"/>
      <c r="O261" s="460"/>
      <c r="P261" s="460"/>
      <c r="Q261" s="460"/>
      <c r="R261" s="460"/>
      <c r="S261" s="460"/>
      <c r="T261" s="460"/>
      <c r="U261" s="460"/>
      <c r="V261" s="460"/>
      <c r="W261" s="460"/>
      <c r="X261" s="460"/>
      <c r="Y261" s="460"/>
      <c r="Z261" s="460"/>
      <c r="AA261" s="460"/>
      <c r="AB261" s="460"/>
      <c r="AC261" s="460"/>
    </row>
    <row r="262" spans="1:29" ht="15.75" customHeight="1" x14ac:dyDescent="0.3">
      <c r="A262" s="460"/>
      <c r="B262" s="460"/>
      <c r="C262" s="460"/>
      <c r="D262" s="460"/>
      <c r="E262" s="460"/>
      <c r="F262" s="460"/>
      <c r="G262" s="460"/>
      <c r="H262" s="460"/>
      <c r="I262" s="460"/>
      <c r="J262" s="460"/>
      <c r="K262" s="460"/>
      <c r="L262" s="460"/>
      <c r="M262" s="460"/>
      <c r="N262" s="460"/>
      <c r="O262" s="460"/>
      <c r="P262" s="460"/>
      <c r="Q262" s="460"/>
      <c r="R262" s="460"/>
      <c r="S262" s="460"/>
      <c r="T262" s="460"/>
      <c r="U262" s="460"/>
      <c r="V262" s="460"/>
      <c r="W262" s="460"/>
      <c r="X262" s="460"/>
      <c r="Y262" s="460"/>
      <c r="Z262" s="460"/>
      <c r="AA262" s="460"/>
      <c r="AB262" s="460"/>
      <c r="AC262" s="460"/>
    </row>
    <row r="263" spans="1:29" ht="15.75" customHeight="1" x14ac:dyDescent="0.3">
      <c r="A263" s="460"/>
      <c r="B263" s="460"/>
      <c r="C263" s="460"/>
      <c r="D263" s="460"/>
      <c r="E263" s="460"/>
      <c r="F263" s="460"/>
      <c r="G263" s="460"/>
      <c r="H263" s="460"/>
      <c r="I263" s="460"/>
      <c r="J263" s="460"/>
      <c r="K263" s="460"/>
      <c r="L263" s="460"/>
      <c r="M263" s="460"/>
      <c r="N263" s="460"/>
      <c r="O263" s="460"/>
      <c r="P263" s="460"/>
      <c r="Q263" s="460"/>
      <c r="R263" s="460"/>
      <c r="S263" s="460"/>
      <c r="T263" s="460"/>
      <c r="U263" s="460"/>
      <c r="V263" s="460"/>
      <c r="W263" s="460"/>
      <c r="X263" s="460"/>
      <c r="Y263" s="460"/>
      <c r="Z263" s="460"/>
      <c r="AA263" s="460"/>
      <c r="AB263" s="460"/>
      <c r="AC263" s="460"/>
    </row>
    <row r="264" spans="1:29" ht="15.75" customHeight="1" x14ac:dyDescent="0.3">
      <c r="A264" s="460"/>
      <c r="B264" s="460"/>
      <c r="C264" s="460"/>
      <c r="D264" s="460"/>
      <c r="E264" s="460"/>
      <c r="F264" s="460"/>
      <c r="G264" s="460"/>
      <c r="H264" s="460"/>
      <c r="I264" s="460"/>
      <c r="J264" s="460"/>
      <c r="K264" s="460"/>
      <c r="L264" s="460"/>
      <c r="M264" s="460"/>
      <c r="N264" s="460"/>
      <c r="O264" s="460"/>
      <c r="P264" s="460"/>
      <c r="Q264" s="460"/>
      <c r="R264" s="460"/>
      <c r="S264" s="460"/>
      <c r="T264" s="460"/>
      <c r="U264" s="460"/>
      <c r="V264" s="460"/>
      <c r="W264" s="460"/>
      <c r="X264" s="460"/>
      <c r="Y264" s="460"/>
      <c r="Z264" s="460"/>
      <c r="AA264" s="460"/>
      <c r="AB264" s="460"/>
      <c r="AC264" s="460"/>
    </row>
    <row r="265" spans="1:29" ht="15.75" customHeight="1" x14ac:dyDescent="0.3">
      <c r="A265" s="460"/>
      <c r="B265" s="460"/>
      <c r="C265" s="460"/>
      <c r="D265" s="460"/>
      <c r="E265" s="460"/>
      <c r="F265" s="460"/>
      <c r="G265" s="460"/>
      <c r="H265" s="460"/>
      <c r="I265" s="460"/>
      <c r="J265" s="460"/>
      <c r="K265" s="460"/>
      <c r="L265" s="460"/>
      <c r="M265" s="460"/>
      <c r="N265" s="460"/>
      <c r="O265" s="460"/>
      <c r="P265" s="460"/>
      <c r="Q265" s="460"/>
      <c r="R265" s="460"/>
      <c r="S265" s="460"/>
      <c r="T265" s="460"/>
      <c r="U265" s="460"/>
      <c r="V265" s="460"/>
      <c r="W265" s="460"/>
      <c r="X265" s="460"/>
      <c r="Y265" s="460"/>
      <c r="Z265" s="460"/>
      <c r="AA265" s="460"/>
      <c r="AB265" s="460"/>
      <c r="AC265" s="460"/>
    </row>
    <row r="266" spans="1:29" ht="15.75" customHeight="1" x14ac:dyDescent="0.3">
      <c r="A266" s="460"/>
      <c r="B266" s="460"/>
      <c r="C266" s="460"/>
      <c r="D266" s="460"/>
      <c r="E266" s="460"/>
      <c r="F266" s="460"/>
      <c r="G266" s="460"/>
      <c r="H266" s="460"/>
      <c r="I266" s="460"/>
      <c r="J266" s="460"/>
      <c r="K266" s="460"/>
      <c r="L266" s="460"/>
      <c r="M266" s="460"/>
      <c r="N266" s="460"/>
      <c r="O266" s="460"/>
      <c r="P266" s="460"/>
      <c r="Q266" s="460"/>
      <c r="R266" s="460"/>
      <c r="S266" s="460"/>
      <c r="T266" s="460"/>
      <c r="U266" s="460"/>
      <c r="V266" s="460"/>
      <c r="W266" s="460"/>
      <c r="X266" s="460"/>
      <c r="Y266" s="460"/>
      <c r="Z266" s="460"/>
      <c r="AA266" s="460"/>
      <c r="AB266" s="460"/>
      <c r="AC266" s="460"/>
    </row>
    <row r="267" spans="1:29" ht="15.75" customHeight="1" x14ac:dyDescent="0.3">
      <c r="A267" s="460"/>
      <c r="B267" s="460"/>
      <c r="C267" s="460"/>
      <c r="D267" s="460"/>
      <c r="E267" s="460"/>
      <c r="F267" s="460"/>
      <c r="G267" s="460"/>
      <c r="H267" s="460"/>
      <c r="I267" s="460"/>
      <c r="J267" s="460"/>
      <c r="K267" s="460"/>
      <c r="L267" s="460"/>
      <c r="M267" s="460"/>
      <c r="N267" s="460"/>
      <c r="O267" s="460"/>
      <c r="P267" s="460"/>
      <c r="Q267" s="460"/>
      <c r="R267" s="460"/>
      <c r="S267" s="460"/>
      <c r="T267" s="460"/>
      <c r="U267" s="460"/>
      <c r="V267" s="460"/>
      <c r="W267" s="460"/>
      <c r="X267" s="460"/>
      <c r="Y267" s="460"/>
      <c r="Z267" s="460"/>
      <c r="AA267" s="460"/>
      <c r="AB267" s="460"/>
      <c r="AC267" s="460"/>
    </row>
    <row r="268" spans="1:29" ht="15.75" customHeight="1" x14ac:dyDescent="0.3">
      <c r="A268" s="460"/>
      <c r="B268" s="460"/>
      <c r="C268" s="460"/>
      <c r="D268" s="460"/>
      <c r="E268" s="460"/>
      <c r="F268" s="460"/>
      <c r="G268" s="460"/>
      <c r="H268" s="460"/>
      <c r="I268" s="460"/>
      <c r="J268" s="460"/>
      <c r="K268" s="460"/>
      <c r="L268" s="460"/>
      <c r="M268" s="460"/>
      <c r="N268" s="460"/>
      <c r="O268" s="460"/>
      <c r="P268" s="460"/>
      <c r="Q268" s="460"/>
      <c r="R268" s="460"/>
      <c r="S268" s="460"/>
      <c r="T268" s="460"/>
      <c r="U268" s="460"/>
      <c r="V268" s="460"/>
      <c r="W268" s="460"/>
      <c r="X268" s="460"/>
      <c r="Y268" s="460"/>
      <c r="Z268" s="460"/>
      <c r="AA268" s="460"/>
      <c r="AB268" s="460"/>
      <c r="AC268" s="460"/>
    </row>
    <row r="269" spans="1:29" ht="15.75" customHeight="1" x14ac:dyDescent="0.3">
      <c r="A269" s="460"/>
      <c r="B269" s="460"/>
      <c r="C269" s="460"/>
      <c r="D269" s="460"/>
      <c r="E269" s="460"/>
      <c r="F269" s="460"/>
      <c r="G269" s="460"/>
      <c r="H269" s="460"/>
      <c r="I269" s="460"/>
      <c r="J269" s="460"/>
      <c r="K269" s="460"/>
      <c r="L269" s="460"/>
      <c r="M269" s="460"/>
      <c r="N269" s="460"/>
      <c r="O269" s="460"/>
      <c r="P269" s="460"/>
      <c r="Q269" s="460"/>
      <c r="R269" s="460"/>
      <c r="S269" s="460"/>
      <c r="T269" s="460"/>
      <c r="U269" s="460"/>
      <c r="V269" s="460"/>
      <c r="W269" s="460"/>
      <c r="X269" s="460"/>
      <c r="Y269" s="460"/>
      <c r="Z269" s="460"/>
      <c r="AA269" s="460"/>
      <c r="AB269" s="460"/>
      <c r="AC269" s="460"/>
    </row>
    <row r="270" spans="1:29" ht="15.75" customHeight="1" x14ac:dyDescent="0.3">
      <c r="A270" s="460"/>
      <c r="B270" s="460"/>
      <c r="C270" s="460"/>
      <c r="D270" s="460"/>
      <c r="E270" s="460"/>
      <c r="F270" s="460"/>
      <c r="G270" s="460"/>
      <c r="H270" s="460"/>
      <c r="I270" s="460"/>
      <c r="J270" s="460"/>
      <c r="K270" s="460"/>
      <c r="L270" s="460"/>
      <c r="M270" s="460"/>
      <c r="N270" s="460"/>
      <c r="O270" s="460"/>
      <c r="P270" s="460"/>
      <c r="Q270" s="460"/>
      <c r="R270" s="460"/>
      <c r="S270" s="460"/>
      <c r="T270" s="460"/>
      <c r="U270" s="460"/>
      <c r="V270" s="460"/>
      <c r="W270" s="460"/>
      <c r="X270" s="460"/>
      <c r="Y270" s="460"/>
      <c r="Z270" s="460"/>
      <c r="AA270" s="460"/>
      <c r="AB270" s="460"/>
      <c r="AC270" s="460"/>
    </row>
    <row r="271" spans="1:29" ht="15.75" customHeight="1" x14ac:dyDescent="0.3">
      <c r="A271" s="460"/>
      <c r="B271" s="460"/>
      <c r="C271" s="460"/>
      <c r="D271" s="460"/>
      <c r="E271" s="460"/>
      <c r="F271" s="460"/>
      <c r="G271" s="460"/>
      <c r="H271" s="460"/>
      <c r="I271" s="460"/>
      <c r="J271" s="460"/>
      <c r="K271" s="460"/>
      <c r="L271" s="460"/>
      <c r="M271" s="460"/>
      <c r="N271" s="460"/>
      <c r="O271" s="460"/>
      <c r="P271" s="460"/>
      <c r="Q271" s="460"/>
      <c r="R271" s="460"/>
      <c r="S271" s="460"/>
      <c r="T271" s="460"/>
      <c r="U271" s="460"/>
      <c r="V271" s="460"/>
      <c r="W271" s="460"/>
      <c r="X271" s="460"/>
      <c r="Y271" s="460"/>
      <c r="Z271" s="460"/>
      <c r="AA271" s="460"/>
      <c r="AB271" s="460"/>
      <c r="AC271" s="460"/>
    </row>
    <row r="272" spans="1:29" ht="15.75" customHeight="1" x14ac:dyDescent="0.3">
      <c r="A272" s="460"/>
      <c r="B272" s="460"/>
      <c r="C272" s="460"/>
      <c r="D272" s="460"/>
      <c r="E272" s="460"/>
      <c r="F272" s="460"/>
      <c r="G272" s="460"/>
      <c r="H272" s="460"/>
      <c r="I272" s="460"/>
      <c r="J272" s="460"/>
      <c r="K272" s="460"/>
      <c r="L272" s="460"/>
      <c r="M272" s="460"/>
      <c r="N272" s="460"/>
      <c r="O272" s="460"/>
      <c r="P272" s="460"/>
      <c r="Q272" s="460"/>
      <c r="R272" s="460"/>
      <c r="S272" s="460"/>
      <c r="T272" s="460"/>
      <c r="U272" s="460"/>
      <c r="V272" s="460"/>
      <c r="W272" s="460"/>
      <c r="X272" s="460"/>
      <c r="Y272" s="460"/>
      <c r="Z272" s="460"/>
      <c r="AA272" s="460"/>
      <c r="AB272" s="460"/>
      <c r="AC272" s="460"/>
    </row>
    <row r="273" spans="1:29" ht="15.75" customHeight="1" x14ac:dyDescent="0.3">
      <c r="A273" s="460"/>
      <c r="B273" s="460"/>
      <c r="C273" s="460"/>
      <c r="D273" s="460"/>
      <c r="E273" s="460"/>
      <c r="F273" s="460"/>
      <c r="G273" s="460"/>
      <c r="H273" s="460"/>
      <c r="I273" s="460"/>
      <c r="J273" s="460"/>
      <c r="K273" s="460"/>
      <c r="L273" s="460"/>
      <c r="M273" s="460"/>
      <c r="N273" s="460"/>
      <c r="O273" s="460"/>
      <c r="P273" s="460"/>
      <c r="Q273" s="460"/>
      <c r="R273" s="460"/>
      <c r="S273" s="460"/>
      <c r="T273" s="460"/>
      <c r="U273" s="460"/>
      <c r="V273" s="460"/>
      <c r="W273" s="460"/>
      <c r="X273" s="460"/>
      <c r="Y273" s="460"/>
      <c r="Z273" s="460"/>
      <c r="AA273" s="460"/>
      <c r="AB273" s="460"/>
      <c r="AC273" s="460"/>
    </row>
    <row r="274" spans="1:29" ht="15.75" customHeight="1" x14ac:dyDescent="0.3">
      <c r="A274" s="460"/>
      <c r="B274" s="460"/>
      <c r="C274" s="460"/>
      <c r="D274" s="460"/>
      <c r="E274" s="460"/>
      <c r="F274" s="460"/>
      <c r="G274" s="460"/>
      <c r="H274" s="460"/>
      <c r="I274" s="460"/>
      <c r="J274" s="460"/>
      <c r="K274" s="460"/>
      <c r="L274" s="460"/>
      <c r="M274" s="460"/>
      <c r="N274" s="460"/>
      <c r="O274" s="460"/>
      <c r="P274" s="460"/>
      <c r="Q274" s="460"/>
      <c r="R274" s="460"/>
      <c r="S274" s="460"/>
      <c r="T274" s="460"/>
      <c r="U274" s="460"/>
      <c r="V274" s="460"/>
      <c r="W274" s="460"/>
      <c r="X274" s="460"/>
      <c r="Y274" s="460"/>
      <c r="Z274" s="460"/>
      <c r="AA274" s="460"/>
      <c r="AB274" s="460"/>
      <c r="AC274" s="460"/>
    </row>
    <row r="275" spans="1:29" ht="15.75" customHeight="1" x14ac:dyDescent="0.3">
      <c r="A275" s="460"/>
      <c r="B275" s="460"/>
      <c r="C275" s="460"/>
      <c r="D275" s="460"/>
      <c r="E275" s="460"/>
      <c r="F275" s="460"/>
      <c r="G275" s="460"/>
      <c r="H275" s="460"/>
      <c r="I275" s="460"/>
      <c r="J275" s="460"/>
      <c r="K275" s="460"/>
      <c r="L275" s="460"/>
      <c r="M275" s="460"/>
      <c r="N275" s="460"/>
      <c r="O275" s="460"/>
      <c r="P275" s="460"/>
      <c r="Q275" s="460"/>
      <c r="R275" s="460"/>
      <c r="S275" s="460"/>
      <c r="T275" s="460"/>
      <c r="U275" s="460"/>
      <c r="V275" s="460"/>
      <c r="W275" s="460"/>
      <c r="X275" s="460"/>
      <c r="Y275" s="460"/>
      <c r="Z275" s="460"/>
      <c r="AA275" s="460"/>
      <c r="AB275" s="460"/>
      <c r="AC275" s="460"/>
    </row>
    <row r="276" spans="1:29" ht="15.75" customHeight="1" x14ac:dyDescent="0.3">
      <c r="A276" s="460"/>
      <c r="B276" s="460"/>
      <c r="C276" s="460"/>
      <c r="D276" s="460"/>
      <c r="E276" s="460"/>
      <c r="F276" s="460"/>
      <c r="G276" s="460"/>
      <c r="H276" s="460"/>
      <c r="I276" s="460"/>
      <c r="J276" s="460"/>
      <c r="K276" s="460"/>
      <c r="L276" s="460"/>
      <c r="M276" s="460"/>
      <c r="N276" s="460"/>
      <c r="O276" s="460"/>
      <c r="P276" s="460"/>
      <c r="Q276" s="460"/>
      <c r="R276" s="460"/>
      <c r="S276" s="460"/>
      <c r="T276" s="460"/>
      <c r="U276" s="460"/>
      <c r="V276" s="460"/>
      <c r="W276" s="460"/>
      <c r="X276" s="460"/>
      <c r="Y276" s="460"/>
      <c r="Z276" s="460"/>
      <c r="AA276" s="460"/>
      <c r="AB276" s="460"/>
      <c r="AC276" s="460"/>
    </row>
    <row r="277" spans="1:29" ht="15.75" customHeight="1" x14ac:dyDescent="0.3">
      <c r="A277" s="460"/>
      <c r="B277" s="460"/>
      <c r="C277" s="460"/>
      <c r="D277" s="460"/>
      <c r="E277" s="460"/>
      <c r="F277" s="460"/>
      <c r="G277" s="460"/>
      <c r="H277" s="460"/>
      <c r="I277" s="460"/>
      <c r="J277" s="460"/>
      <c r="K277" s="460"/>
      <c r="L277" s="460"/>
      <c r="M277" s="460"/>
      <c r="N277" s="460"/>
      <c r="O277" s="460"/>
      <c r="P277" s="460"/>
      <c r="Q277" s="460"/>
      <c r="R277" s="460"/>
      <c r="S277" s="460"/>
      <c r="T277" s="460"/>
      <c r="U277" s="460"/>
      <c r="V277" s="460"/>
      <c r="W277" s="460"/>
      <c r="X277" s="460"/>
      <c r="Y277" s="460"/>
      <c r="Z277" s="460"/>
      <c r="AA277" s="460"/>
      <c r="AB277" s="460"/>
      <c r="AC277" s="460"/>
    </row>
    <row r="278" spans="1:29" ht="15.75" customHeight="1" x14ac:dyDescent="0.3">
      <c r="A278" s="460"/>
      <c r="B278" s="460"/>
      <c r="C278" s="460"/>
      <c r="D278" s="460"/>
      <c r="E278" s="460"/>
      <c r="F278" s="460"/>
      <c r="G278" s="460"/>
      <c r="H278" s="460"/>
      <c r="I278" s="460"/>
      <c r="J278" s="460"/>
      <c r="K278" s="460"/>
      <c r="L278" s="460"/>
      <c r="M278" s="460"/>
      <c r="N278" s="460"/>
      <c r="O278" s="460"/>
      <c r="P278" s="460"/>
      <c r="Q278" s="460"/>
      <c r="R278" s="460"/>
      <c r="S278" s="460"/>
      <c r="T278" s="460"/>
      <c r="U278" s="460"/>
      <c r="V278" s="460"/>
      <c r="W278" s="460"/>
      <c r="X278" s="460"/>
      <c r="Y278" s="460"/>
      <c r="Z278" s="460"/>
      <c r="AA278" s="460"/>
      <c r="AB278" s="460"/>
      <c r="AC278" s="460"/>
    </row>
    <row r="279" spans="1:29" ht="15.75" customHeight="1" x14ac:dyDescent="0.3">
      <c r="A279" s="460"/>
      <c r="B279" s="460"/>
      <c r="C279" s="460"/>
      <c r="D279" s="460"/>
      <c r="E279" s="460"/>
      <c r="F279" s="460"/>
      <c r="G279" s="460"/>
      <c r="H279" s="460"/>
      <c r="I279" s="460"/>
      <c r="J279" s="460"/>
      <c r="K279" s="460"/>
      <c r="L279" s="460"/>
      <c r="M279" s="460"/>
      <c r="N279" s="460"/>
      <c r="O279" s="460"/>
      <c r="P279" s="460"/>
      <c r="Q279" s="460"/>
      <c r="R279" s="460"/>
      <c r="S279" s="460"/>
      <c r="T279" s="460"/>
      <c r="U279" s="460"/>
      <c r="V279" s="460"/>
      <c r="W279" s="460"/>
      <c r="X279" s="460"/>
      <c r="Y279" s="460"/>
      <c r="Z279" s="460"/>
      <c r="AA279" s="460"/>
      <c r="AB279" s="460"/>
      <c r="AC279" s="460"/>
    </row>
    <row r="280" spans="1:29" ht="15.75" customHeight="1" x14ac:dyDescent="0.3">
      <c r="A280" s="460"/>
      <c r="B280" s="460"/>
      <c r="C280" s="460"/>
      <c r="D280" s="460"/>
      <c r="E280" s="460"/>
      <c r="F280" s="460"/>
      <c r="G280" s="460"/>
      <c r="H280" s="460"/>
      <c r="I280" s="460"/>
      <c r="J280" s="460"/>
      <c r="K280" s="460"/>
      <c r="L280" s="460"/>
      <c r="M280" s="460"/>
      <c r="N280" s="460"/>
      <c r="O280" s="460"/>
      <c r="P280" s="460"/>
      <c r="Q280" s="460"/>
      <c r="R280" s="460"/>
      <c r="S280" s="460"/>
      <c r="T280" s="460"/>
      <c r="U280" s="460"/>
      <c r="V280" s="460"/>
      <c r="W280" s="460"/>
      <c r="X280" s="460"/>
      <c r="Y280" s="460"/>
      <c r="Z280" s="460"/>
      <c r="AA280" s="460"/>
      <c r="AB280" s="460"/>
      <c r="AC280" s="460"/>
    </row>
    <row r="281" spans="1:29" ht="15.75" customHeight="1" x14ac:dyDescent="0.3">
      <c r="A281" s="460"/>
      <c r="B281" s="460"/>
      <c r="C281" s="460"/>
      <c r="D281" s="460"/>
      <c r="E281" s="460"/>
      <c r="F281" s="460"/>
      <c r="G281" s="460"/>
      <c r="H281" s="460"/>
      <c r="I281" s="460"/>
      <c r="J281" s="460"/>
      <c r="K281" s="460"/>
      <c r="L281" s="460"/>
      <c r="M281" s="460"/>
      <c r="N281" s="460"/>
      <c r="O281" s="460"/>
      <c r="P281" s="460"/>
      <c r="Q281" s="460"/>
      <c r="R281" s="460"/>
      <c r="S281" s="460"/>
      <c r="T281" s="460"/>
      <c r="U281" s="460"/>
      <c r="V281" s="460"/>
      <c r="W281" s="460"/>
      <c r="X281" s="460"/>
      <c r="Y281" s="460"/>
      <c r="Z281" s="460"/>
      <c r="AA281" s="460"/>
      <c r="AB281" s="460"/>
      <c r="AC281" s="460"/>
    </row>
    <row r="282" spans="1:29" ht="15.75" customHeight="1" x14ac:dyDescent="0.3">
      <c r="A282" s="460"/>
      <c r="B282" s="460"/>
      <c r="C282" s="460"/>
      <c r="D282" s="460"/>
      <c r="E282" s="460"/>
      <c r="F282" s="460"/>
      <c r="G282" s="460"/>
      <c r="H282" s="460"/>
      <c r="I282" s="460"/>
      <c r="J282" s="460"/>
      <c r="K282" s="460"/>
      <c r="L282" s="460"/>
      <c r="M282" s="460"/>
      <c r="N282" s="460"/>
      <c r="O282" s="460"/>
      <c r="P282" s="460"/>
      <c r="Q282" s="460"/>
      <c r="R282" s="460"/>
      <c r="S282" s="460"/>
      <c r="T282" s="460"/>
      <c r="U282" s="460"/>
      <c r="V282" s="460"/>
      <c r="W282" s="460"/>
      <c r="X282" s="460"/>
      <c r="Y282" s="460"/>
      <c r="Z282" s="460"/>
      <c r="AA282" s="460"/>
      <c r="AB282" s="460"/>
      <c r="AC282" s="460"/>
    </row>
    <row r="283" spans="1:29" ht="15.75" customHeight="1" x14ac:dyDescent="0.3">
      <c r="A283" s="460"/>
      <c r="B283" s="460"/>
      <c r="C283" s="460"/>
      <c r="D283" s="460"/>
      <c r="E283" s="460"/>
      <c r="F283" s="460"/>
      <c r="G283" s="460"/>
      <c r="H283" s="460"/>
      <c r="I283" s="460"/>
      <c r="J283" s="460"/>
      <c r="K283" s="460"/>
      <c r="L283" s="460"/>
      <c r="M283" s="460"/>
      <c r="N283" s="460"/>
      <c r="O283" s="460"/>
      <c r="P283" s="460"/>
      <c r="Q283" s="460"/>
      <c r="R283" s="460"/>
      <c r="S283" s="460"/>
      <c r="T283" s="460"/>
      <c r="U283" s="460"/>
      <c r="V283" s="460"/>
      <c r="W283" s="460"/>
      <c r="X283" s="460"/>
      <c r="Y283" s="460"/>
      <c r="Z283" s="460"/>
      <c r="AA283" s="460"/>
      <c r="AB283" s="460"/>
      <c r="AC283" s="460"/>
    </row>
    <row r="284" spans="1:29" ht="15.75" customHeight="1" x14ac:dyDescent="0.3">
      <c r="A284" s="460"/>
      <c r="B284" s="460"/>
      <c r="C284" s="460"/>
      <c r="D284" s="460"/>
      <c r="E284" s="460"/>
      <c r="F284" s="460"/>
      <c r="G284" s="460"/>
      <c r="H284" s="460"/>
      <c r="I284" s="460"/>
      <c r="J284" s="460"/>
      <c r="K284" s="460"/>
      <c r="L284" s="460"/>
      <c r="M284" s="460"/>
      <c r="N284" s="460"/>
      <c r="O284" s="460"/>
      <c r="P284" s="460"/>
      <c r="Q284" s="460"/>
      <c r="R284" s="460"/>
      <c r="S284" s="460"/>
      <c r="T284" s="460"/>
      <c r="U284" s="460"/>
      <c r="V284" s="460"/>
      <c r="W284" s="460"/>
      <c r="X284" s="460"/>
      <c r="Y284" s="460"/>
      <c r="Z284" s="460"/>
      <c r="AA284" s="460"/>
      <c r="AB284" s="460"/>
      <c r="AC284" s="460"/>
    </row>
    <row r="285" spans="1:29" ht="15.75" customHeight="1" x14ac:dyDescent="0.3">
      <c r="A285" s="460"/>
      <c r="B285" s="460"/>
      <c r="C285" s="460"/>
      <c r="D285" s="460"/>
      <c r="E285" s="460"/>
      <c r="F285" s="460"/>
      <c r="G285" s="460"/>
      <c r="H285" s="460"/>
      <c r="I285" s="460"/>
      <c r="J285" s="460"/>
      <c r="K285" s="460"/>
      <c r="L285" s="460"/>
      <c r="M285" s="460"/>
      <c r="N285" s="460"/>
      <c r="O285" s="460"/>
      <c r="P285" s="460"/>
      <c r="Q285" s="460"/>
      <c r="R285" s="460"/>
      <c r="S285" s="460"/>
      <c r="T285" s="460"/>
      <c r="U285" s="460"/>
      <c r="V285" s="460"/>
      <c r="W285" s="460"/>
      <c r="X285" s="460"/>
      <c r="Y285" s="460"/>
      <c r="Z285" s="460"/>
      <c r="AA285" s="460"/>
      <c r="AB285" s="460"/>
      <c r="AC285" s="460"/>
    </row>
    <row r="286" spans="1:29" ht="15.75" customHeight="1" x14ac:dyDescent="0.3">
      <c r="A286" s="460"/>
      <c r="B286" s="460"/>
      <c r="C286" s="460"/>
      <c r="D286" s="460"/>
      <c r="E286" s="460"/>
      <c r="F286" s="460"/>
      <c r="G286" s="460"/>
      <c r="H286" s="460"/>
      <c r="I286" s="460"/>
      <c r="J286" s="460"/>
      <c r="K286" s="460"/>
      <c r="L286" s="460"/>
      <c r="M286" s="460"/>
      <c r="N286" s="460"/>
      <c r="O286" s="460"/>
      <c r="P286" s="460"/>
      <c r="Q286" s="460"/>
      <c r="R286" s="460"/>
      <c r="S286" s="460"/>
      <c r="T286" s="460"/>
      <c r="U286" s="460"/>
      <c r="V286" s="460"/>
      <c r="W286" s="460"/>
      <c r="X286" s="460"/>
      <c r="Y286" s="460"/>
      <c r="Z286" s="460"/>
      <c r="AA286" s="460"/>
      <c r="AB286" s="460"/>
      <c r="AC286" s="460"/>
    </row>
    <row r="287" spans="1:29" ht="15.75" customHeight="1" x14ac:dyDescent="0.3">
      <c r="A287" s="460"/>
      <c r="B287" s="460"/>
      <c r="C287" s="460"/>
      <c r="D287" s="460"/>
      <c r="E287" s="460"/>
      <c r="F287" s="460"/>
      <c r="G287" s="460"/>
      <c r="H287" s="460"/>
      <c r="I287" s="460"/>
      <c r="J287" s="460"/>
      <c r="K287" s="460"/>
      <c r="L287" s="460"/>
      <c r="M287" s="460"/>
      <c r="N287" s="460"/>
      <c r="O287" s="460"/>
      <c r="P287" s="460"/>
      <c r="Q287" s="460"/>
      <c r="R287" s="460"/>
      <c r="S287" s="460"/>
      <c r="T287" s="460"/>
      <c r="U287" s="460"/>
      <c r="V287" s="460"/>
      <c r="W287" s="460"/>
      <c r="X287" s="460"/>
      <c r="Y287" s="460"/>
      <c r="Z287" s="460"/>
      <c r="AA287" s="460"/>
      <c r="AB287" s="460"/>
      <c r="AC287" s="460"/>
    </row>
    <row r="288" spans="1:29" ht="15.75" customHeight="1" x14ac:dyDescent="0.3">
      <c r="A288" s="460"/>
      <c r="B288" s="460"/>
      <c r="C288" s="460"/>
      <c r="D288" s="460"/>
      <c r="E288" s="460"/>
      <c r="F288" s="460"/>
      <c r="G288" s="460"/>
      <c r="H288" s="460"/>
      <c r="I288" s="460"/>
      <c r="J288" s="460"/>
      <c r="K288" s="460"/>
      <c r="L288" s="460"/>
      <c r="M288" s="460"/>
      <c r="N288" s="460"/>
      <c r="O288" s="460"/>
      <c r="P288" s="460"/>
      <c r="Q288" s="460"/>
      <c r="R288" s="460"/>
      <c r="S288" s="460"/>
      <c r="T288" s="460"/>
      <c r="U288" s="460"/>
      <c r="V288" s="460"/>
      <c r="W288" s="460"/>
      <c r="X288" s="460"/>
      <c r="Y288" s="460"/>
      <c r="Z288" s="460"/>
      <c r="AA288" s="460"/>
      <c r="AB288" s="460"/>
      <c r="AC288" s="460"/>
    </row>
    <row r="289" spans="1:29" ht="15.75" customHeight="1" x14ac:dyDescent="0.3">
      <c r="A289" s="460"/>
      <c r="B289" s="460"/>
      <c r="C289" s="460"/>
      <c r="D289" s="460"/>
      <c r="E289" s="460"/>
      <c r="F289" s="460"/>
      <c r="G289" s="460"/>
      <c r="H289" s="460"/>
      <c r="I289" s="460"/>
      <c r="J289" s="460"/>
      <c r="K289" s="460"/>
      <c r="L289" s="460"/>
      <c r="M289" s="460"/>
      <c r="N289" s="460"/>
      <c r="O289" s="460"/>
      <c r="P289" s="460"/>
      <c r="Q289" s="460"/>
      <c r="R289" s="460"/>
      <c r="S289" s="460"/>
      <c r="T289" s="460"/>
      <c r="U289" s="460"/>
      <c r="V289" s="460"/>
      <c r="W289" s="460"/>
      <c r="X289" s="460"/>
      <c r="Y289" s="460"/>
      <c r="Z289" s="460"/>
      <c r="AA289" s="460"/>
      <c r="AB289" s="460"/>
      <c r="AC289" s="460"/>
    </row>
    <row r="290" spans="1:29" ht="15.75" customHeight="1" x14ac:dyDescent="0.3">
      <c r="A290" s="460"/>
      <c r="B290" s="460"/>
      <c r="C290" s="460"/>
      <c r="D290" s="460"/>
      <c r="E290" s="460"/>
      <c r="F290" s="460"/>
      <c r="G290" s="460"/>
      <c r="H290" s="460"/>
      <c r="I290" s="460"/>
      <c r="J290" s="460"/>
      <c r="K290" s="460"/>
      <c r="L290" s="460"/>
      <c r="M290" s="460"/>
      <c r="N290" s="460"/>
      <c r="O290" s="460"/>
      <c r="P290" s="460"/>
      <c r="Q290" s="460"/>
      <c r="R290" s="460"/>
      <c r="S290" s="460"/>
      <c r="T290" s="460"/>
      <c r="U290" s="460"/>
      <c r="V290" s="460"/>
      <c r="W290" s="460"/>
      <c r="X290" s="460"/>
      <c r="Y290" s="460"/>
      <c r="Z290" s="460"/>
      <c r="AA290" s="460"/>
      <c r="AB290" s="460"/>
      <c r="AC290" s="460"/>
    </row>
    <row r="291" spans="1:29" ht="15.75" customHeight="1" x14ac:dyDescent="0.3">
      <c r="A291" s="460"/>
      <c r="B291" s="460"/>
      <c r="C291" s="460"/>
      <c r="D291" s="460"/>
      <c r="E291" s="460"/>
      <c r="F291" s="460"/>
      <c r="G291" s="460"/>
      <c r="H291" s="460"/>
      <c r="I291" s="460"/>
      <c r="J291" s="460"/>
      <c r="K291" s="460"/>
      <c r="L291" s="460"/>
      <c r="M291" s="460"/>
      <c r="N291" s="460"/>
      <c r="O291" s="460"/>
      <c r="P291" s="460"/>
      <c r="Q291" s="460"/>
      <c r="R291" s="460"/>
      <c r="S291" s="460"/>
      <c r="T291" s="460"/>
      <c r="U291" s="460"/>
      <c r="V291" s="460"/>
      <c r="W291" s="460"/>
      <c r="X291" s="460"/>
      <c r="Y291" s="460"/>
      <c r="Z291" s="460"/>
      <c r="AA291" s="460"/>
      <c r="AB291" s="460"/>
      <c r="AC291" s="460"/>
    </row>
    <row r="292" spans="1:29" ht="15.75" customHeight="1" x14ac:dyDescent="0.3">
      <c r="A292" s="460"/>
      <c r="B292" s="460"/>
      <c r="C292" s="460"/>
      <c r="D292" s="460"/>
      <c r="E292" s="460"/>
      <c r="F292" s="460"/>
      <c r="G292" s="460"/>
      <c r="H292" s="460"/>
      <c r="I292" s="460"/>
      <c r="J292" s="460"/>
      <c r="K292" s="460"/>
      <c r="L292" s="460"/>
      <c r="M292" s="460"/>
      <c r="N292" s="460"/>
      <c r="O292" s="460"/>
      <c r="P292" s="460"/>
      <c r="Q292" s="460"/>
      <c r="R292" s="460"/>
      <c r="S292" s="460"/>
      <c r="T292" s="460"/>
      <c r="U292" s="460"/>
      <c r="V292" s="460"/>
      <c r="W292" s="460"/>
      <c r="X292" s="460"/>
      <c r="Y292" s="460"/>
      <c r="Z292" s="460"/>
      <c r="AA292" s="460"/>
      <c r="AB292" s="460"/>
      <c r="AC292" s="460"/>
    </row>
    <row r="293" spans="1:29" ht="15.75" customHeight="1" x14ac:dyDescent="0.3">
      <c r="A293" s="460"/>
      <c r="B293" s="460"/>
      <c r="C293" s="460"/>
      <c r="D293" s="460"/>
      <c r="E293" s="460"/>
      <c r="F293" s="460"/>
      <c r="G293" s="460"/>
      <c r="H293" s="460"/>
      <c r="I293" s="460"/>
      <c r="J293" s="460"/>
      <c r="K293" s="460"/>
      <c r="L293" s="460"/>
      <c r="M293" s="460"/>
      <c r="N293" s="460"/>
      <c r="O293" s="460"/>
      <c r="P293" s="460"/>
      <c r="Q293" s="460"/>
      <c r="R293" s="460"/>
      <c r="S293" s="460"/>
      <c r="T293" s="460"/>
      <c r="U293" s="460"/>
      <c r="V293" s="460"/>
      <c r="W293" s="460"/>
      <c r="X293" s="460"/>
      <c r="Y293" s="460"/>
      <c r="Z293" s="460"/>
      <c r="AA293" s="460"/>
      <c r="AB293" s="460"/>
      <c r="AC293" s="460"/>
    </row>
    <row r="294" spans="1:29" ht="15.75" customHeight="1" x14ac:dyDescent="0.3">
      <c r="A294" s="460"/>
      <c r="B294" s="460"/>
      <c r="C294" s="460"/>
      <c r="D294" s="460"/>
      <c r="E294" s="460"/>
      <c r="F294" s="460"/>
      <c r="G294" s="460"/>
      <c r="H294" s="460"/>
      <c r="I294" s="460"/>
      <c r="J294" s="460"/>
      <c r="K294" s="460"/>
      <c r="L294" s="460"/>
      <c r="M294" s="460"/>
      <c r="N294" s="460"/>
      <c r="O294" s="460"/>
      <c r="P294" s="460"/>
      <c r="Q294" s="460"/>
      <c r="R294" s="460"/>
      <c r="S294" s="460"/>
      <c r="T294" s="460"/>
      <c r="U294" s="460"/>
      <c r="V294" s="460"/>
      <c r="W294" s="460"/>
      <c r="X294" s="460"/>
      <c r="Y294" s="460"/>
      <c r="Z294" s="460"/>
      <c r="AA294" s="460"/>
      <c r="AB294" s="460"/>
      <c r="AC294" s="460"/>
    </row>
    <row r="295" spans="1:29" ht="15.75" customHeight="1" x14ac:dyDescent="0.3">
      <c r="A295" s="460"/>
      <c r="B295" s="460"/>
      <c r="C295" s="460"/>
      <c r="D295" s="460"/>
      <c r="E295" s="460"/>
      <c r="F295" s="460"/>
      <c r="G295" s="460"/>
      <c r="H295" s="460"/>
      <c r="I295" s="460"/>
      <c r="J295" s="460"/>
      <c r="K295" s="460"/>
      <c r="L295" s="460"/>
      <c r="M295" s="460"/>
      <c r="N295" s="460"/>
      <c r="O295" s="460"/>
      <c r="P295" s="460"/>
      <c r="Q295" s="460"/>
      <c r="R295" s="460"/>
      <c r="S295" s="460"/>
      <c r="T295" s="460"/>
      <c r="U295" s="460"/>
      <c r="V295" s="460"/>
      <c r="W295" s="460"/>
      <c r="X295" s="460"/>
      <c r="Y295" s="460"/>
      <c r="Z295" s="460"/>
      <c r="AA295" s="460"/>
      <c r="AB295" s="460"/>
      <c r="AC295" s="460"/>
    </row>
    <row r="296" spans="1:29" ht="15.75" customHeight="1" x14ac:dyDescent="0.3">
      <c r="A296" s="460"/>
      <c r="B296" s="460"/>
      <c r="C296" s="460"/>
      <c r="D296" s="460"/>
      <c r="E296" s="460"/>
      <c r="F296" s="460"/>
      <c r="G296" s="460"/>
      <c r="H296" s="460"/>
      <c r="I296" s="460"/>
      <c r="J296" s="460"/>
      <c r="K296" s="460"/>
      <c r="L296" s="460"/>
      <c r="M296" s="460"/>
      <c r="N296" s="460"/>
      <c r="O296" s="460"/>
      <c r="P296" s="460"/>
      <c r="Q296" s="460"/>
      <c r="R296" s="460"/>
      <c r="S296" s="460"/>
      <c r="T296" s="460"/>
      <c r="U296" s="460"/>
      <c r="V296" s="460"/>
      <c r="W296" s="460"/>
      <c r="X296" s="460"/>
      <c r="Y296" s="460"/>
      <c r="Z296" s="460"/>
      <c r="AA296" s="460"/>
      <c r="AB296" s="460"/>
      <c r="AC296" s="460"/>
    </row>
    <row r="297" spans="1:29" ht="15.75" customHeight="1" x14ac:dyDescent="0.3">
      <c r="A297" s="460"/>
      <c r="B297" s="460"/>
      <c r="C297" s="460"/>
      <c r="D297" s="460"/>
      <c r="E297" s="460"/>
      <c r="F297" s="460"/>
      <c r="G297" s="460"/>
      <c r="H297" s="460"/>
      <c r="I297" s="460"/>
      <c r="J297" s="460"/>
      <c r="K297" s="460"/>
      <c r="L297" s="460"/>
      <c r="M297" s="460"/>
      <c r="N297" s="460"/>
      <c r="O297" s="460"/>
      <c r="P297" s="460"/>
      <c r="Q297" s="460"/>
      <c r="R297" s="460"/>
      <c r="S297" s="460"/>
      <c r="T297" s="460"/>
      <c r="U297" s="460"/>
      <c r="V297" s="460"/>
      <c r="W297" s="460"/>
      <c r="X297" s="460"/>
      <c r="Y297" s="460"/>
      <c r="Z297" s="460"/>
      <c r="AA297" s="460"/>
      <c r="AB297" s="460"/>
      <c r="AC297" s="460"/>
    </row>
    <row r="298" spans="1:29" ht="15.75" customHeight="1" x14ac:dyDescent="0.3">
      <c r="A298" s="460"/>
      <c r="B298" s="460"/>
      <c r="C298" s="460"/>
      <c r="D298" s="460"/>
      <c r="E298" s="460"/>
      <c r="F298" s="460"/>
      <c r="G298" s="460"/>
      <c r="H298" s="460"/>
      <c r="I298" s="460"/>
      <c r="J298" s="460"/>
      <c r="K298" s="460"/>
      <c r="L298" s="460"/>
      <c r="M298" s="460"/>
      <c r="N298" s="460"/>
      <c r="O298" s="460"/>
      <c r="P298" s="460"/>
      <c r="Q298" s="460"/>
      <c r="R298" s="460"/>
      <c r="S298" s="460"/>
      <c r="T298" s="460"/>
      <c r="U298" s="460"/>
      <c r="V298" s="460"/>
      <c r="W298" s="460"/>
      <c r="X298" s="460"/>
      <c r="Y298" s="460"/>
      <c r="Z298" s="460"/>
      <c r="AA298" s="460"/>
      <c r="AB298" s="460"/>
      <c r="AC298" s="460"/>
    </row>
    <row r="299" spans="1:29" ht="15.75" customHeight="1" x14ac:dyDescent="0.3">
      <c r="A299" s="460"/>
      <c r="B299" s="460"/>
      <c r="C299" s="460"/>
      <c r="D299" s="460"/>
      <c r="E299" s="460"/>
      <c r="F299" s="460"/>
      <c r="G299" s="460"/>
      <c r="H299" s="460"/>
      <c r="I299" s="460"/>
      <c r="J299" s="460"/>
      <c r="K299" s="460"/>
      <c r="L299" s="460"/>
      <c r="M299" s="460"/>
      <c r="N299" s="460"/>
      <c r="O299" s="460"/>
      <c r="P299" s="460"/>
      <c r="Q299" s="460"/>
      <c r="R299" s="460"/>
      <c r="S299" s="460"/>
      <c r="T299" s="460"/>
      <c r="U299" s="460"/>
      <c r="V299" s="460"/>
      <c r="W299" s="460"/>
      <c r="X299" s="460"/>
      <c r="Y299" s="460"/>
      <c r="Z299" s="460"/>
      <c r="AA299" s="460"/>
      <c r="AB299" s="460"/>
      <c r="AC299" s="460"/>
    </row>
    <row r="300" spans="1:29" ht="15.75" customHeight="1" x14ac:dyDescent="0.3">
      <c r="A300" s="460"/>
      <c r="B300" s="460"/>
      <c r="C300" s="460"/>
      <c r="D300" s="460"/>
      <c r="E300" s="460"/>
      <c r="F300" s="460"/>
      <c r="G300" s="460"/>
      <c r="H300" s="460"/>
      <c r="I300" s="460"/>
      <c r="J300" s="460"/>
      <c r="K300" s="460"/>
      <c r="L300" s="460"/>
      <c r="M300" s="460"/>
      <c r="N300" s="460"/>
      <c r="O300" s="460"/>
      <c r="P300" s="460"/>
      <c r="Q300" s="460"/>
      <c r="R300" s="460"/>
      <c r="S300" s="460"/>
      <c r="T300" s="460"/>
      <c r="U300" s="460"/>
      <c r="V300" s="460"/>
      <c r="W300" s="460"/>
      <c r="X300" s="460"/>
      <c r="Y300" s="460"/>
      <c r="Z300" s="460"/>
      <c r="AA300" s="460"/>
      <c r="AB300" s="460"/>
      <c r="AC300" s="460"/>
    </row>
    <row r="301" spans="1:29" ht="15.75" customHeight="1" x14ac:dyDescent="0.3">
      <c r="A301" s="460"/>
      <c r="B301" s="460"/>
      <c r="C301" s="460"/>
      <c r="D301" s="460"/>
      <c r="E301" s="460"/>
      <c r="F301" s="460"/>
      <c r="G301" s="460"/>
      <c r="H301" s="460"/>
      <c r="I301" s="460"/>
      <c r="J301" s="460"/>
      <c r="K301" s="460"/>
      <c r="L301" s="460"/>
      <c r="M301" s="460"/>
      <c r="N301" s="460"/>
      <c r="O301" s="460"/>
      <c r="P301" s="460"/>
      <c r="Q301" s="460"/>
      <c r="R301" s="460"/>
      <c r="S301" s="460"/>
      <c r="T301" s="460"/>
      <c r="U301" s="460"/>
      <c r="V301" s="460"/>
      <c r="W301" s="460"/>
      <c r="X301" s="460"/>
      <c r="Y301" s="460"/>
      <c r="Z301" s="460"/>
      <c r="AA301" s="460"/>
      <c r="AB301" s="460"/>
      <c r="AC301" s="460"/>
    </row>
    <row r="302" spans="1:29" ht="15.75" customHeight="1" x14ac:dyDescent="0.3">
      <c r="A302" s="460"/>
      <c r="B302" s="460"/>
      <c r="C302" s="460"/>
      <c r="D302" s="460"/>
      <c r="E302" s="460"/>
      <c r="F302" s="460"/>
      <c r="G302" s="460"/>
      <c r="H302" s="460"/>
      <c r="I302" s="460"/>
      <c r="J302" s="460"/>
      <c r="K302" s="460"/>
      <c r="L302" s="460"/>
      <c r="M302" s="460"/>
      <c r="N302" s="460"/>
      <c r="O302" s="460"/>
      <c r="P302" s="460"/>
      <c r="Q302" s="460"/>
      <c r="R302" s="460"/>
      <c r="S302" s="460"/>
      <c r="T302" s="460"/>
      <c r="U302" s="460"/>
      <c r="V302" s="460"/>
      <c r="W302" s="460"/>
      <c r="X302" s="460"/>
      <c r="Y302" s="460"/>
      <c r="Z302" s="460"/>
      <c r="AA302" s="460"/>
      <c r="AB302" s="460"/>
      <c r="AC302" s="460"/>
    </row>
    <row r="303" spans="1:29" ht="15.75" customHeight="1" x14ac:dyDescent="0.3">
      <c r="A303" s="460"/>
      <c r="B303" s="460"/>
      <c r="C303" s="460"/>
      <c r="D303" s="460"/>
      <c r="E303" s="460"/>
      <c r="F303" s="460"/>
      <c r="G303" s="460"/>
      <c r="H303" s="460"/>
      <c r="I303" s="460"/>
      <c r="J303" s="460"/>
      <c r="K303" s="460"/>
      <c r="L303" s="460"/>
      <c r="M303" s="460"/>
      <c r="N303" s="460"/>
      <c r="O303" s="460"/>
      <c r="P303" s="460"/>
      <c r="Q303" s="460"/>
      <c r="R303" s="460"/>
      <c r="S303" s="460"/>
      <c r="T303" s="460"/>
      <c r="U303" s="460"/>
      <c r="V303" s="460"/>
      <c r="W303" s="460"/>
      <c r="X303" s="460"/>
      <c r="Y303" s="460"/>
      <c r="Z303" s="460"/>
      <c r="AA303" s="460"/>
      <c r="AB303" s="460"/>
      <c r="AC303" s="460"/>
    </row>
    <row r="304" spans="1:29" ht="15.75" customHeight="1" x14ac:dyDescent="0.3">
      <c r="A304" s="460"/>
      <c r="B304" s="460"/>
      <c r="C304" s="460"/>
      <c r="D304" s="460"/>
      <c r="E304" s="460"/>
      <c r="F304" s="460"/>
      <c r="G304" s="460"/>
      <c r="H304" s="460"/>
      <c r="I304" s="460"/>
      <c r="J304" s="460"/>
      <c r="K304" s="460"/>
      <c r="L304" s="460"/>
      <c r="M304" s="460"/>
      <c r="N304" s="460"/>
      <c r="O304" s="460"/>
      <c r="P304" s="460"/>
      <c r="Q304" s="460"/>
      <c r="R304" s="460"/>
      <c r="S304" s="460"/>
      <c r="T304" s="460"/>
      <c r="U304" s="460"/>
      <c r="V304" s="460"/>
      <c r="W304" s="460"/>
      <c r="X304" s="460"/>
      <c r="Y304" s="460"/>
      <c r="Z304" s="460"/>
      <c r="AA304" s="460"/>
      <c r="AB304" s="460"/>
      <c r="AC304" s="460"/>
    </row>
    <row r="305" spans="1:29" ht="15.75" customHeight="1" x14ac:dyDescent="0.3">
      <c r="A305" s="460"/>
      <c r="B305" s="460"/>
      <c r="C305" s="460"/>
      <c r="D305" s="460"/>
      <c r="E305" s="460"/>
      <c r="F305" s="460"/>
      <c r="G305" s="460"/>
      <c r="H305" s="460"/>
      <c r="I305" s="460"/>
      <c r="J305" s="460"/>
      <c r="K305" s="460"/>
      <c r="L305" s="460"/>
      <c r="M305" s="460"/>
      <c r="N305" s="460"/>
      <c r="O305" s="460"/>
      <c r="P305" s="460"/>
      <c r="Q305" s="460"/>
      <c r="R305" s="460"/>
      <c r="S305" s="460"/>
      <c r="T305" s="460"/>
      <c r="U305" s="460"/>
      <c r="V305" s="460"/>
      <c r="W305" s="460"/>
      <c r="X305" s="460"/>
      <c r="Y305" s="460"/>
      <c r="Z305" s="460"/>
      <c r="AA305" s="460"/>
      <c r="AB305" s="460"/>
      <c r="AC305" s="460"/>
    </row>
    <row r="306" spans="1:29" ht="15.75" customHeight="1" x14ac:dyDescent="0.3">
      <c r="A306" s="460"/>
      <c r="B306" s="460"/>
      <c r="C306" s="460"/>
      <c r="D306" s="460"/>
      <c r="E306" s="460"/>
      <c r="F306" s="460"/>
      <c r="G306" s="460"/>
      <c r="H306" s="460"/>
      <c r="I306" s="460"/>
      <c r="J306" s="460"/>
      <c r="K306" s="460"/>
      <c r="L306" s="460"/>
      <c r="M306" s="460"/>
      <c r="N306" s="460"/>
      <c r="O306" s="460"/>
      <c r="P306" s="460"/>
      <c r="Q306" s="460"/>
      <c r="R306" s="460"/>
      <c r="S306" s="460"/>
      <c r="T306" s="460"/>
      <c r="U306" s="460"/>
      <c r="V306" s="460"/>
      <c r="W306" s="460"/>
      <c r="X306" s="460"/>
      <c r="Y306" s="460"/>
      <c r="Z306" s="460"/>
      <c r="AA306" s="460"/>
      <c r="AB306" s="460"/>
      <c r="AC306" s="460"/>
    </row>
    <row r="307" spans="1:29" ht="15.75" customHeight="1" x14ac:dyDescent="0.2"/>
    <row r="308" spans="1:29" ht="15.75" customHeight="1" x14ac:dyDescent="0.2"/>
    <row r="309" spans="1:29" ht="15.75" customHeight="1" x14ac:dyDescent="0.2"/>
    <row r="310" spans="1:29" ht="15.75" customHeight="1" x14ac:dyDescent="0.2"/>
    <row r="311" spans="1:29" ht="15.75" customHeight="1" x14ac:dyDescent="0.2"/>
    <row r="312" spans="1:29" ht="15.75" customHeight="1" x14ac:dyDescent="0.2"/>
    <row r="313" spans="1:29" ht="15.75" customHeight="1" x14ac:dyDescent="0.2"/>
    <row r="314" spans="1:29" ht="15.75" customHeight="1" x14ac:dyDescent="0.2"/>
    <row r="315" spans="1:29" ht="15.75" customHeight="1" x14ac:dyDescent="0.2"/>
    <row r="316" spans="1:29" ht="15.75" customHeight="1" x14ac:dyDescent="0.2"/>
    <row r="317" spans="1:29" ht="15.75" customHeight="1" x14ac:dyDescent="0.2"/>
    <row r="318" spans="1:29" ht="15.75" customHeight="1" x14ac:dyDescent="0.2"/>
    <row r="319" spans="1:29" ht="15.75" customHeight="1" x14ac:dyDescent="0.2"/>
    <row r="320" spans="1:29"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sheetData>
  <mergeCells count="1">
    <mergeCell ref="I81:J81"/>
  </mergeCells>
  <pageMargins left="0.7" right="0.7" top="0.75" bottom="0.75" header="0" footer="0"/>
  <pageSetup orientation="landscape"/>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C1000"/>
  <sheetViews>
    <sheetView showGridLines="0" workbookViewId="0"/>
  </sheetViews>
  <sheetFormatPr defaultColWidth="16.83203125" defaultRowHeight="15" customHeight="1" x14ac:dyDescent="0.2"/>
  <cols>
    <col min="1" max="1" width="3.1640625" customWidth="1"/>
    <col min="2" max="2" width="36.6640625" customWidth="1"/>
    <col min="3" max="5" width="12.83203125" customWidth="1"/>
    <col min="6" max="6" width="13.83203125" customWidth="1"/>
    <col min="7" max="8" width="12.5" customWidth="1"/>
    <col min="9" max="11" width="12" customWidth="1"/>
    <col min="12" max="13" width="12.5" customWidth="1"/>
    <col min="14" max="14" width="11.1640625" customWidth="1"/>
    <col min="15" max="15" width="13.6640625" customWidth="1"/>
    <col min="16" max="16" width="15.83203125" customWidth="1"/>
    <col min="17" max="17" width="12.6640625" customWidth="1"/>
    <col min="18" max="20" width="15.33203125" customWidth="1"/>
    <col min="21" max="21" width="17.83203125" customWidth="1"/>
    <col min="22" max="22" width="15.33203125" customWidth="1"/>
    <col min="23" max="23" width="13" customWidth="1"/>
    <col min="24" max="24" width="15.33203125" customWidth="1"/>
    <col min="25" max="25" width="18" customWidth="1"/>
    <col min="26" max="26" width="17.5" customWidth="1"/>
    <col min="27" max="29" width="12.1640625" customWidth="1"/>
  </cols>
  <sheetData>
    <row r="1" spans="1:29" ht="12.75" x14ac:dyDescent="0.2">
      <c r="A1" s="517" t="s">
        <v>1522</v>
      </c>
      <c r="B1" s="518"/>
      <c r="C1" s="517"/>
      <c r="D1" s="517"/>
      <c r="E1" s="517"/>
      <c r="F1" s="517"/>
      <c r="G1" s="517"/>
      <c r="H1" s="517"/>
      <c r="I1" s="517"/>
      <c r="J1" s="517"/>
      <c r="K1" s="517"/>
      <c r="L1" s="517"/>
      <c r="M1" s="517"/>
      <c r="N1" s="517"/>
      <c r="O1" s="517"/>
      <c r="P1" s="517"/>
      <c r="Q1" s="517"/>
      <c r="R1" s="517"/>
      <c r="S1" s="517"/>
      <c r="T1" s="517"/>
      <c r="U1" s="517"/>
      <c r="V1" s="517"/>
      <c r="W1" s="517"/>
      <c r="X1" s="517"/>
      <c r="Y1" s="517"/>
      <c r="Z1" s="517"/>
      <c r="AA1" s="517"/>
      <c r="AB1" s="517"/>
      <c r="AC1" s="517"/>
    </row>
    <row r="2" spans="1:29" ht="15.75" x14ac:dyDescent="0.25">
      <c r="A2" s="517"/>
      <c r="B2" s="1891" t="s">
        <v>1928</v>
      </c>
      <c r="C2" s="517"/>
      <c r="D2" s="517"/>
      <c r="E2" s="517"/>
      <c r="F2" s="517"/>
      <c r="G2" s="517"/>
      <c r="H2" s="517"/>
      <c r="I2" s="517"/>
      <c r="J2" s="517"/>
      <c r="K2" s="517"/>
      <c r="L2" s="517"/>
      <c r="M2" s="517"/>
      <c r="N2" s="517"/>
      <c r="O2" s="517"/>
      <c r="P2" s="517"/>
      <c r="Q2" s="517"/>
      <c r="R2" s="517"/>
      <c r="S2" s="517"/>
      <c r="T2" s="517"/>
      <c r="U2" s="517"/>
      <c r="V2" s="517"/>
      <c r="W2" s="517"/>
      <c r="X2" s="517"/>
      <c r="Y2" s="517"/>
      <c r="Z2" s="517"/>
      <c r="AA2" s="517"/>
      <c r="AB2" s="517"/>
      <c r="AC2" s="517"/>
    </row>
    <row r="3" spans="1:29" ht="12.75" x14ac:dyDescent="0.2">
      <c r="A3" s="517"/>
      <c r="B3" s="517"/>
      <c r="C3" s="517"/>
      <c r="D3" s="517"/>
      <c r="E3" s="517"/>
      <c r="F3" s="517"/>
      <c r="G3" s="517"/>
      <c r="H3" s="517"/>
      <c r="I3" s="517"/>
      <c r="J3" s="517"/>
      <c r="K3" s="517"/>
      <c r="L3" s="517"/>
      <c r="M3" s="517"/>
      <c r="N3" s="517"/>
      <c r="O3" s="517"/>
      <c r="P3" s="517"/>
      <c r="Q3" s="517"/>
      <c r="R3" s="517"/>
      <c r="S3" s="517"/>
      <c r="T3" s="517"/>
      <c r="U3" s="517"/>
      <c r="V3" s="517"/>
      <c r="W3" s="517"/>
      <c r="X3" s="517"/>
      <c r="Y3" s="517"/>
      <c r="Z3" s="517"/>
      <c r="AA3" s="517"/>
      <c r="AB3" s="517"/>
      <c r="AC3" s="517"/>
    </row>
    <row r="4" spans="1:29" ht="12.75" x14ac:dyDescent="0.2">
      <c r="A4" s="517"/>
      <c r="B4" s="2049"/>
      <c r="C4" s="2050"/>
      <c r="D4" s="517"/>
      <c r="E4" s="517"/>
      <c r="F4" s="517"/>
      <c r="G4" s="517"/>
      <c r="H4" s="517"/>
      <c r="I4" s="517"/>
      <c r="J4" s="517"/>
      <c r="K4" s="517"/>
      <c r="L4" s="517"/>
      <c r="M4" s="517"/>
      <c r="N4" s="517"/>
      <c r="O4" s="517"/>
      <c r="P4" s="517"/>
      <c r="Q4" s="517"/>
      <c r="R4" s="517"/>
      <c r="S4" s="517"/>
      <c r="T4" s="517"/>
      <c r="U4" s="517"/>
      <c r="V4" s="517"/>
      <c r="W4" s="517"/>
      <c r="X4" s="517"/>
      <c r="Y4" s="517"/>
      <c r="Z4" s="517"/>
      <c r="AA4" s="517"/>
      <c r="AB4" s="517"/>
      <c r="AC4" s="517"/>
    </row>
    <row r="5" spans="1:29" ht="14.25" x14ac:dyDescent="0.25">
      <c r="A5" s="517"/>
      <c r="B5" s="519" t="s">
        <v>1523</v>
      </c>
      <c r="C5" s="520"/>
      <c r="D5" s="520">
        <v>44.01</v>
      </c>
      <c r="E5" s="520" t="s">
        <v>1524</v>
      </c>
      <c r="F5" s="520"/>
      <c r="G5" s="522"/>
      <c r="I5" s="517"/>
      <c r="J5" s="517"/>
      <c r="K5" s="517"/>
      <c r="L5" s="517"/>
      <c r="M5" s="517"/>
      <c r="N5" s="517"/>
      <c r="O5" s="517"/>
      <c r="P5" s="517"/>
      <c r="Q5" s="517"/>
      <c r="R5" s="517"/>
      <c r="S5" s="517"/>
      <c r="T5" s="517"/>
      <c r="U5" s="517"/>
      <c r="V5" s="517"/>
      <c r="W5" s="517"/>
      <c r="X5" s="517"/>
      <c r="Y5" s="517"/>
      <c r="Z5" s="517"/>
      <c r="AA5" s="517"/>
      <c r="AB5" s="517"/>
      <c r="AC5" s="517"/>
    </row>
    <row r="6" spans="1:29" ht="14.25" x14ac:dyDescent="0.25">
      <c r="A6" s="517"/>
      <c r="B6" s="523" t="s">
        <v>1525</v>
      </c>
      <c r="C6" s="517"/>
      <c r="D6" s="524">
        <v>16.044</v>
      </c>
      <c r="E6" s="517" t="s">
        <v>1524</v>
      </c>
      <c r="F6" s="517"/>
      <c r="G6" s="526"/>
      <c r="I6" s="517"/>
      <c r="J6" s="517"/>
      <c r="K6" s="517"/>
      <c r="L6" s="517"/>
      <c r="M6" s="517"/>
      <c r="N6" s="517"/>
      <c r="O6" s="517"/>
      <c r="P6" s="517"/>
      <c r="Q6" s="517"/>
      <c r="R6" s="517"/>
      <c r="S6" s="517"/>
      <c r="T6" s="517"/>
      <c r="U6" s="517"/>
      <c r="V6" s="517"/>
      <c r="W6" s="517"/>
      <c r="X6" s="517"/>
      <c r="Y6" s="517"/>
      <c r="Z6" s="517"/>
      <c r="AA6" s="517"/>
      <c r="AB6" s="517"/>
      <c r="AC6" s="517"/>
    </row>
    <row r="7" spans="1:29" x14ac:dyDescent="0.2">
      <c r="A7" s="517"/>
      <c r="B7" s="523" t="s">
        <v>1527</v>
      </c>
      <c r="C7" s="517"/>
      <c r="D7" s="517">
        <v>8.2050000000000002E-5</v>
      </c>
      <c r="E7" s="517" t="s">
        <v>1528</v>
      </c>
      <c r="F7" s="517"/>
      <c r="G7" s="526"/>
      <c r="I7" s="517"/>
      <c r="J7" s="517"/>
      <c r="K7" s="517"/>
      <c r="L7" s="517"/>
      <c r="M7" s="517"/>
      <c r="N7" s="517"/>
      <c r="O7" s="517"/>
      <c r="P7" s="517"/>
      <c r="Q7" s="517"/>
      <c r="R7" s="517"/>
      <c r="S7" s="517"/>
      <c r="T7" s="517"/>
      <c r="U7" s="517"/>
      <c r="V7" s="517"/>
      <c r="W7" s="517"/>
      <c r="X7" s="517"/>
      <c r="Y7" s="517"/>
      <c r="Z7" s="517"/>
      <c r="AA7" s="517"/>
      <c r="AB7" s="517"/>
      <c r="AC7" s="517"/>
    </row>
    <row r="8" spans="1:29" ht="12.75" x14ac:dyDescent="0.2">
      <c r="A8" s="517"/>
      <c r="B8" s="523" t="s">
        <v>1529</v>
      </c>
      <c r="C8" s="517"/>
      <c r="D8" s="517">
        <v>25</v>
      </c>
      <c r="E8" s="517" t="s">
        <v>1530</v>
      </c>
      <c r="F8" s="517">
        <f>D8+273</f>
        <v>298</v>
      </c>
      <c r="G8" s="526" t="s">
        <v>1531</v>
      </c>
      <c r="I8" s="517"/>
      <c r="J8" s="517"/>
      <c r="K8" s="517"/>
      <c r="L8" s="517"/>
      <c r="M8" s="517"/>
      <c r="N8" s="517"/>
      <c r="O8" s="517"/>
      <c r="P8" s="517"/>
      <c r="Q8" s="517"/>
      <c r="R8" s="517"/>
      <c r="S8" s="517"/>
      <c r="T8" s="517"/>
      <c r="U8" s="517"/>
      <c r="V8" s="517"/>
      <c r="W8" s="517"/>
      <c r="X8" s="517"/>
      <c r="Y8" s="517"/>
      <c r="Z8" s="517"/>
      <c r="AA8" s="517"/>
      <c r="AB8" s="517"/>
      <c r="AC8" s="517"/>
    </row>
    <row r="9" spans="1:29" x14ac:dyDescent="0.2">
      <c r="A9" s="517"/>
      <c r="B9" s="523" t="s">
        <v>1532</v>
      </c>
      <c r="C9" s="533"/>
      <c r="D9" s="533"/>
      <c r="E9" s="517"/>
      <c r="F9" s="517"/>
      <c r="G9" s="526"/>
      <c r="I9" s="517"/>
      <c r="J9" s="517"/>
      <c r="K9" s="517"/>
      <c r="L9" s="517"/>
      <c r="M9" s="517"/>
      <c r="N9" s="517"/>
      <c r="O9" s="517"/>
      <c r="P9" s="517"/>
      <c r="Q9" s="517"/>
      <c r="R9" s="517"/>
      <c r="S9" s="517"/>
      <c r="T9" s="517"/>
      <c r="U9" s="517"/>
      <c r="V9" s="517"/>
      <c r="W9" s="517"/>
      <c r="X9" s="517"/>
      <c r="Y9" s="517"/>
      <c r="Z9" s="517"/>
      <c r="AA9" s="517"/>
      <c r="AB9" s="517"/>
      <c r="AC9" s="517"/>
    </row>
    <row r="10" spans="1:29" ht="12.75" x14ac:dyDescent="0.2">
      <c r="A10" s="517"/>
      <c r="B10" s="523" t="s">
        <v>1533</v>
      </c>
      <c r="C10" s="517"/>
      <c r="D10" s="517"/>
      <c r="E10" s="517"/>
      <c r="F10" s="517"/>
      <c r="G10" s="526"/>
      <c r="I10" s="517"/>
      <c r="J10" s="517"/>
      <c r="K10" s="517"/>
      <c r="L10" s="517"/>
      <c r="M10" s="517"/>
      <c r="N10" s="517"/>
      <c r="O10" s="517"/>
      <c r="P10" s="517"/>
      <c r="Q10" s="517"/>
      <c r="R10" s="517"/>
      <c r="S10" s="517"/>
      <c r="T10" s="517"/>
      <c r="U10" s="517"/>
      <c r="V10" s="517"/>
      <c r="W10" s="517"/>
      <c r="X10" s="517"/>
      <c r="Y10" s="517"/>
      <c r="Z10" s="517"/>
      <c r="AA10" s="517"/>
      <c r="AB10" s="517"/>
      <c r="AC10" s="517"/>
    </row>
    <row r="11" spans="1:29" ht="12.75" x14ac:dyDescent="0.2">
      <c r="A11" s="517"/>
      <c r="B11" s="523" t="s">
        <v>1534</v>
      </c>
      <c r="C11" s="517"/>
      <c r="D11" s="517"/>
      <c r="E11" s="517"/>
      <c r="F11" s="517"/>
      <c r="G11" s="526"/>
      <c r="I11" s="517"/>
      <c r="J11" s="517"/>
      <c r="K11" s="517"/>
      <c r="L11" s="517"/>
      <c r="M11" s="517"/>
      <c r="N11" s="517"/>
      <c r="O11" s="517"/>
      <c r="P11" s="517"/>
      <c r="Q11" s="517"/>
      <c r="R11" s="517"/>
      <c r="S11" s="517"/>
      <c r="T11" s="517"/>
      <c r="U11" s="517"/>
      <c r="V11" s="517"/>
      <c r="W11" s="517"/>
      <c r="X11" s="517"/>
      <c r="Y11" s="517"/>
      <c r="Z11" s="517"/>
      <c r="AA11" s="517"/>
      <c r="AB11" s="517"/>
      <c r="AC11" s="517"/>
    </row>
    <row r="12" spans="1:29" ht="12.75" x14ac:dyDescent="0.2">
      <c r="A12" s="517"/>
      <c r="B12" s="523" t="s">
        <v>1535</v>
      </c>
      <c r="C12" s="517"/>
      <c r="D12" s="517">
        <v>1</v>
      </c>
      <c r="E12" s="517" t="s">
        <v>1536</v>
      </c>
      <c r="F12" s="517"/>
      <c r="G12" s="526"/>
      <c r="I12" s="517"/>
      <c r="J12" s="517"/>
      <c r="K12" s="517"/>
      <c r="L12" s="517"/>
      <c r="M12" s="517"/>
      <c r="N12" s="517"/>
      <c r="O12" s="517"/>
      <c r="P12" s="517"/>
      <c r="Q12" s="517"/>
      <c r="R12" s="517"/>
      <c r="S12" s="517"/>
      <c r="T12" s="517"/>
      <c r="U12" s="517"/>
      <c r="V12" s="517"/>
      <c r="W12" s="517"/>
      <c r="X12" s="517"/>
      <c r="Y12" s="517"/>
      <c r="Z12" s="517"/>
      <c r="AA12" s="517"/>
      <c r="AB12" s="517"/>
      <c r="AC12" s="517"/>
    </row>
    <row r="13" spans="1:29" ht="12.75" x14ac:dyDescent="0.2">
      <c r="A13" s="517"/>
      <c r="B13" s="535"/>
      <c r="C13" s="533"/>
      <c r="D13" s="517"/>
      <c r="E13" s="517"/>
      <c r="F13" s="517"/>
      <c r="G13" s="526"/>
      <c r="I13" s="517"/>
      <c r="J13" s="517"/>
      <c r="K13" s="517"/>
      <c r="L13" s="517"/>
      <c r="M13" s="517"/>
      <c r="N13" s="517"/>
      <c r="O13" s="517"/>
      <c r="P13" s="517"/>
      <c r="Q13" s="517"/>
      <c r="R13" s="517"/>
      <c r="S13" s="517"/>
      <c r="T13" s="517"/>
      <c r="U13" s="517"/>
      <c r="V13" s="517"/>
      <c r="W13" s="517"/>
      <c r="X13" s="517"/>
      <c r="Y13" s="517"/>
      <c r="Z13" s="517"/>
      <c r="AA13" s="517"/>
      <c r="AB13" s="517"/>
      <c r="AC13" s="517"/>
    </row>
    <row r="14" spans="1:29" ht="14.25" x14ac:dyDescent="0.25">
      <c r="A14" s="517"/>
      <c r="B14" s="523" t="s">
        <v>1537</v>
      </c>
      <c r="C14" s="517"/>
      <c r="D14" s="517">
        <v>1000</v>
      </c>
      <c r="E14" s="517" t="s">
        <v>100</v>
      </c>
      <c r="F14" s="517"/>
      <c r="G14" s="526"/>
      <c r="I14" s="517"/>
      <c r="J14" s="517"/>
      <c r="K14" s="517"/>
      <c r="L14" s="517"/>
      <c r="M14" s="517"/>
      <c r="N14" s="517"/>
      <c r="O14" s="517"/>
      <c r="P14" s="517"/>
      <c r="Q14" s="517"/>
      <c r="R14" s="517"/>
      <c r="S14" s="517"/>
      <c r="T14" s="517"/>
      <c r="U14" s="517"/>
      <c r="V14" s="517"/>
      <c r="W14" s="517"/>
      <c r="X14" s="517"/>
      <c r="Y14" s="517"/>
      <c r="Z14" s="517"/>
      <c r="AA14" s="517"/>
      <c r="AB14" s="517"/>
      <c r="AC14" s="517"/>
    </row>
    <row r="15" spans="1:29" ht="12.75" x14ac:dyDescent="0.2">
      <c r="A15" s="517"/>
      <c r="B15" s="535"/>
      <c r="C15" s="533"/>
      <c r="D15" s="538"/>
      <c r="E15" s="517"/>
      <c r="F15" s="517"/>
      <c r="G15" s="526"/>
      <c r="I15" s="517"/>
      <c r="J15" s="517"/>
      <c r="K15" s="517"/>
      <c r="L15" s="517"/>
      <c r="M15" s="517"/>
      <c r="N15" s="517"/>
      <c r="O15" s="517"/>
      <c r="P15" s="517"/>
      <c r="Q15" s="517"/>
      <c r="R15" s="517"/>
      <c r="S15" s="517"/>
      <c r="T15" s="517"/>
      <c r="U15" s="517"/>
      <c r="V15" s="517"/>
      <c r="W15" s="517"/>
      <c r="X15" s="517"/>
      <c r="Y15" s="517"/>
      <c r="Z15" s="517"/>
      <c r="AA15" s="517"/>
      <c r="AB15" s="517"/>
      <c r="AC15" s="517"/>
    </row>
    <row r="16" spans="1:29" ht="14.25" x14ac:dyDescent="0.25">
      <c r="A16" s="517"/>
      <c r="B16" s="523" t="s">
        <v>1540</v>
      </c>
      <c r="C16" s="517"/>
      <c r="D16" s="538">
        <v>0.98</v>
      </c>
      <c r="E16" s="517"/>
      <c r="F16" s="517"/>
      <c r="G16" s="526"/>
      <c r="I16" s="517"/>
      <c r="J16" s="517"/>
      <c r="K16" s="517"/>
      <c r="L16" s="517"/>
      <c r="M16" s="517"/>
      <c r="N16" s="517"/>
      <c r="O16" s="517"/>
      <c r="P16" s="517"/>
      <c r="Q16" s="517"/>
      <c r="R16" s="517"/>
      <c r="S16" s="517"/>
      <c r="T16" s="517"/>
      <c r="U16" s="517"/>
      <c r="V16" s="517"/>
      <c r="W16" s="517"/>
      <c r="X16" s="517"/>
      <c r="Y16" s="517"/>
      <c r="Z16" s="517"/>
      <c r="AA16" s="517"/>
      <c r="AB16" s="517"/>
      <c r="AC16" s="517"/>
    </row>
    <row r="17" spans="1:29" ht="12.75" x14ac:dyDescent="0.2">
      <c r="A17" s="517"/>
      <c r="B17" s="523" t="s">
        <v>1541</v>
      </c>
      <c r="C17" s="517"/>
      <c r="D17" s="538">
        <v>0.998</v>
      </c>
      <c r="E17" s="517"/>
      <c r="F17" s="517"/>
      <c r="G17" s="526"/>
      <c r="I17" s="517"/>
      <c r="J17" s="517"/>
      <c r="K17" s="517"/>
      <c r="L17" s="517"/>
      <c r="M17" s="517"/>
      <c r="N17" s="517"/>
      <c r="O17" s="517"/>
      <c r="P17" s="517"/>
      <c r="Q17" s="517"/>
      <c r="R17" s="517"/>
      <c r="S17" s="517"/>
      <c r="T17" s="517"/>
      <c r="U17" s="517"/>
      <c r="V17" s="517"/>
      <c r="W17" s="517"/>
      <c r="X17" s="517"/>
      <c r="Y17" s="517"/>
      <c r="Z17" s="517"/>
      <c r="AA17" s="517"/>
      <c r="AB17" s="517"/>
      <c r="AC17" s="517"/>
    </row>
    <row r="18" spans="1:29" ht="12.75" x14ac:dyDescent="0.2">
      <c r="A18" s="517"/>
      <c r="B18" s="523" t="s">
        <v>1542</v>
      </c>
      <c r="C18" s="517"/>
      <c r="D18" s="538">
        <v>0.98199999999999998</v>
      </c>
      <c r="E18" s="517"/>
      <c r="F18" s="517"/>
      <c r="G18" s="526"/>
      <c r="I18" s="517"/>
      <c r="J18" s="517"/>
      <c r="K18" s="517"/>
      <c r="L18" s="517"/>
      <c r="M18" s="517"/>
      <c r="N18" s="517"/>
      <c r="O18" s="517"/>
      <c r="P18" s="517"/>
      <c r="Q18" s="517"/>
      <c r="R18" s="517"/>
      <c r="S18" s="517"/>
      <c r="T18" s="517"/>
      <c r="U18" s="517"/>
      <c r="V18" s="517"/>
      <c r="W18" s="517"/>
      <c r="X18" s="517"/>
      <c r="Y18" s="517"/>
      <c r="Z18" s="517"/>
      <c r="AA18" s="517"/>
      <c r="AB18" s="517"/>
      <c r="AC18" s="517"/>
    </row>
    <row r="19" spans="1:29" ht="12.75" x14ac:dyDescent="0.2">
      <c r="A19" s="517"/>
      <c r="B19" s="535"/>
      <c r="C19" s="533"/>
      <c r="D19" s="517"/>
      <c r="E19" s="517"/>
      <c r="F19" s="517"/>
      <c r="G19" s="526"/>
      <c r="I19" s="517"/>
      <c r="J19" s="517"/>
      <c r="K19" s="517"/>
      <c r="L19" s="517"/>
      <c r="M19" s="517"/>
      <c r="N19" s="517"/>
      <c r="O19" s="517"/>
      <c r="P19" s="517"/>
      <c r="Q19" s="517"/>
      <c r="R19" s="517"/>
      <c r="S19" s="517"/>
      <c r="T19" s="517"/>
      <c r="U19" s="517"/>
      <c r="V19" s="517"/>
      <c r="W19" s="517"/>
      <c r="X19" s="517"/>
      <c r="Y19" s="517"/>
      <c r="Z19" s="517"/>
      <c r="AA19" s="517"/>
      <c r="AB19" s="517"/>
      <c r="AC19" s="517"/>
    </row>
    <row r="20" spans="1:29" ht="14.25" x14ac:dyDescent="0.25">
      <c r="A20" s="517"/>
      <c r="B20" s="540" t="s">
        <v>1543</v>
      </c>
      <c r="C20" s="541"/>
      <c r="D20" s="541">
        <v>1.25</v>
      </c>
      <c r="E20" s="541" t="s">
        <v>8</v>
      </c>
      <c r="F20" s="541"/>
      <c r="G20" s="542"/>
      <c r="I20" s="517"/>
      <c r="J20" s="517"/>
      <c r="K20" s="517"/>
      <c r="L20" s="517"/>
      <c r="M20" s="517"/>
      <c r="N20" s="517"/>
      <c r="O20" s="517"/>
      <c r="P20" s="517"/>
      <c r="Q20" s="517"/>
      <c r="R20" s="517"/>
      <c r="S20" s="517"/>
      <c r="T20" s="517"/>
      <c r="U20" s="517"/>
      <c r="V20" s="517"/>
      <c r="W20" s="517"/>
      <c r="X20" s="517"/>
      <c r="Y20" s="517"/>
      <c r="Z20" s="517"/>
      <c r="AA20" s="517"/>
      <c r="AB20" s="517"/>
      <c r="AC20" s="517"/>
    </row>
    <row r="21" spans="1:29" ht="12.75" x14ac:dyDescent="0.2">
      <c r="A21" s="517"/>
      <c r="B21" s="517"/>
      <c r="C21" s="517"/>
      <c r="D21" s="517"/>
      <c r="E21" s="517"/>
      <c r="F21" s="517"/>
      <c r="G21" s="517"/>
      <c r="H21" s="517"/>
      <c r="I21" s="517"/>
      <c r="J21" s="517"/>
      <c r="K21" s="517"/>
      <c r="L21" s="517"/>
      <c r="M21" s="517"/>
      <c r="N21" s="517"/>
      <c r="O21" s="517"/>
      <c r="P21" s="517"/>
      <c r="Q21" s="517"/>
      <c r="R21" s="517"/>
      <c r="S21" s="517"/>
      <c r="T21" s="517"/>
      <c r="U21" s="517"/>
      <c r="V21" s="517"/>
      <c r="W21" s="517"/>
      <c r="X21" s="517"/>
      <c r="Y21" s="517"/>
      <c r="Z21" s="517"/>
      <c r="AA21" s="517"/>
      <c r="AB21" s="517"/>
      <c r="AC21" s="517"/>
    </row>
    <row r="22" spans="1:29" ht="12.75" x14ac:dyDescent="0.2">
      <c r="A22" s="517"/>
      <c r="B22" s="517"/>
      <c r="C22" s="517"/>
      <c r="D22" s="517"/>
      <c r="E22" s="517"/>
      <c r="F22" s="517"/>
      <c r="G22" s="517"/>
      <c r="H22" s="517"/>
      <c r="I22" s="517"/>
      <c r="J22" s="517"/>
      <c r="K22" s="517"/>
      <c r="L22" s="517"/>
      <c r="M22" s="517"/>
      <c r="N22" s="517"/>
      <c r="O22" s="517"/>
      <c r="P22" s="517"/>
      <c r="Q22" s="517"/>
      <c r="R22" s="517"/>
      <c r="S22" s="517"/>
      <c r="T22" s="517"/>
      <c r="U22" s="517"/>
      <c r="V22" s="517"/>
      <c r="W22" s="517"/>
      <c r="X22" s="517"/>
      <c r="Y22" s="517"/>
      <c r="Z22" s="517"/>
      <c r="AA22" s="517"/>
      <c r="AB22" s="517"/>
      <c r="AC22" s="517"/>
    </row>
    <row r="23" spans="1:29" ht="51" x14ac:dyDescent="0.2">
      <c r="A23" s="517"/>
      <c r="B23" s="544" t="s">
        <v>1499</v>
      </c>
      <c r="C23" s="2051" t="s">
        <v>1545</v>
      </c>
      <c r="D23" s="2033"/>
      <c r="E23" s="2015"/>
      <c r="F23" s="546" t="s">
        <v>1547</v>
      </c>
      <c r="G23" s="548" t="s">
        <v>1548</v>
      </c>
      <c r="H23" s="550" t="s">
        <v>1549</v>
      </c>
      <c r="I23" s="2051" t="s">
        <v>1550</v>
      </c>
      <c r="J23" s="2033"/>
      <c r="K23" s="2015"/>
      <c r="L23" s="553" t="s">
        <v>1551</v>
      </c>
      <c r="M23" s="2051" t="s">
        <v>1552</v>
      </c>
      <c r="N23" s="2033"/>
      <c r="O23" s="2015"/>
      <c r="P23" s="546" t="s">
        <v>1553</v>
      </c>
      <c r="Q23" s="548" t="s">
        <v>1554</v>
      </c>
      <c r="R23" s="548" t="s">
        <v>1555</v>
      </c>
      <c r="S23" s="550" t="s">
        <v>1556</v>
      </c>
      <c r="T23" s="560" t="s">
        <v>1557</v>
      </c>
      <c r="U23" s="548" t="s">
        <v>1558</v>
      </c>
      <c r="V23" s="561" t="s">
        <v>1559</v>
      </c>
      <c r="W23" s="553" t="s">
        <v>1560</v>
      </c>
      <c r="X23" s="560" t="s">
        <v>1561</v>
      </c>
      <c r="Y23" s="548" t="s">
        <v>1562</v>
      </c>
      <c r="Z23" s="561" t="s">
        <v>1563</v>
      </c>
      <c r="AA23" s="562"/>
      <c r="AB23" s="562"/>
      <c r="AC23" s="562"/>
    </row>
    <row r="24" spans="1:29" ht="12.75" x14ac:dyDescent="0.2">
      <c r="A24" s="8"/>
      <c r="B24" s="563"/>
      <c r="C24" s="564" t="s">
        <v>1565</v>
      </c>
      <c r="D24" s="565" t="s">
        <v>1566</v>
      </c>
      <c r="E24" s="566" t="s">
        <v>1567</v>
      </c>
      <c r="F24" s="567"/>
      <c r="G24" s="568"/>
      <c r="H24" s="569"/>
      <c r="I24" s="564" t="s">
        <v>1565</v>
      </c>
      <c r="J24" s="565" t="s">
        <v>1566</v>
      </c>
      <c r="K24" s="566" t="s">
        <v>1567</v>
      </c>
      <c r="L24" s="570"/>
      <c r="M24" s="564" t="s">
        <v>1565</v>
      </c>
      <c r="N24" s="565" t="s">
        <v>1566</v>
      </c>
      <c r="O24" s="566" t="s">
        <v>1567</v>
      </c>
      <c r="P24" s="567"/>
      <c r="Q24" s="568"/>
      <c r="R24" s="568"/>
      <c r="S24" s="569"/>
      <c r="T24" s="571"/>
      <c r="U24" s="568"/>
      <c r="V24" s="572"/>
      <c r="W24" s="570"/>
      <c r="X24" s="571"/>
      <c r="Y24" s="568"/>
      <c r="Z24" s="572"/>
      <c r="AA24" s="8"/>
      <c r="AB24" s="8"/>
      <c r="AC24" s="8"/>
    </row>
    <row r="25" spans="1:29" ht="12.75" x14ac:dyDescent="0.2">
      <c r="A25" s="517"/>
      <c r="B25" s="574"/>
      <c r="C25" s="575"/>
      <c r="D25" s="537"/>
      <c r="E25" s="576"/>
      <c r="F25" s="577"/>
      <c r="G25" s="578"/>
      <c r="H25" s="579"/>
      <c r="I25" s="580"/>
      <c r="J25" s="581"/>
      <c r="K25" s="582"/>
      <c r="L25" s="583"/>
      <c r="M25" s="584"/>
      <c r="N25" s="586"/>
      <c r="O25" s="587"/>
      <c r="P25" s="589"/>
      <c r="Q25" s="590"/>
      <c r="R25" s="591"/>
      <c r="S25" s="592"/>
      <c r="T25" s="593"/>
      <c r="U25" s="594"/>
      <c r="V25" s="595"/>
      <c r="W25" s="596"/>
      <c r="X25" s="597"/>
      <c r="Y25" s="598"/>
      <c r="Z25" s="599"/>
      <c r="AA25" s="600"/>
      <c r="AB25" s="600"/>
      <c r="AC25" s="600"/>
    </row>
    <row r="26" spans="1:29" ht="12.75" x14ac:dyDescent="0.2">
      <c r="A26" s="517"/>
      <c r="B26" s="574" t="s">
        <v>1570</v>
      </c>
      <c r="C26" s="584">
        <v>10.8057</v>
      </c>
      <c r="D26" s="537">
        <v>0</v>
      </c>
      <c r="E26" s="576">
        <v>42.31</v>
      </c>
      <c r="F26" s="577">
        <f>SUM(C26:E26)</f>
        <v>53.115700000000004</v>
      </c>
      <c r="G26" s="578">
        <v>0.33500000000000002</v>
      </c>
      <c r="H26" s="579">
        <v>0.23799999999999999</v>
      </c>
      <c r="I26" s="580">
        <f>C26*G26</f>
        <v>3.6199095000000003</v>
      </c>
      <c r="J26" s="581">
        <f>D26*G26</f>
        <v>0</v>
      </c>
      <c r="K26" s="582">
        <f>E26*G26</f>
        <v>14.173850000000002</v>
      </c>
      <c r="L26" s="583">
        <f>SUM(I26:K26)</f>
        <v>17.7937595</v>
      </c>
      <c r="M26" s="584">
        <f t="shared" ref="M26:O26" si="0">((I26*1000000)/35.31)*($D$6/($D$7*$F$8))*0.0000011023</f>
        <v>74.151101492983926</v>
      </c>
      <c r="N26" s="586">
        <f t="shared" si="0"/>
        <v>0</v>
      </c>
      <c r="O26" s="587">
        <f t="shared" si="0"/>
        <v>290.34057064032407</v>
      </c>
      <c r="P26" s="602">
        <v>107.5</v>
      </c>
      <c r="Q26" s="603">
        <f>L26/P26</f>
        <v>0.1655233441860465</v>
      </c>
      <c r="R26" s="532">
        <f>((F26*H26*((1-Q26)/Q26)*1000000))/35.31</f>
        <v>1804916.3899280149</v>
      </c>
      <c r="S26" s="604">
        <f>((R26*$D$5)/($D$7*$F$8))*0.00000110231</f>
        <v>3581.1074744997536</v>
      </c>
      <c r="T26" s="605">
        <f t="shared" ref="T26:V26" si="1">2.75*M26</f>
        <v>203.91552910570579</v>
      </c>
      <c r="U26" s="532">
        <f t="shared" si="1"/>
        <v>0</v>
      </c>
      <c r="V26" s="534">
        <f t="shared" si="1"/>
        <v>798.43656926089125</v>
      </c>
      <c r="W26" s="606">
        <f>(((F26*G26)*((1-Q26)/Q26))*1000000/35.31)*($D$6/($D$7*$F$8))*0.0000011023</f>
        <v>1837.5643213924343</v>
      </c>
      <c r="X26" s="584">
        <f>(((C26*G26)*(1-$D$16))*1000000/35.31)*($D$6/($D$7*$F$8))*0.0000011023</f>
        <v>1.4830220298596795</v>
      </c>
      <c r="Y26" s="586">
        <f>(((D26*G26)*(1-$D$17))*1000000/35.31)*($D$6/($D$7*$F$8))*0.0000011023</f>
        <v>0</v>
      </c>
      <c r="Z26" s="587">
        <f>(((E26*G26)*(1-0.972))*1000000/35.31)*($D$6/($D$7*$F$8))*0.0000011023</f>
        <v>8.1295359779290806</v>
      </c>
      <c r="AA26" s="607"/>
      <c r="AB26" s="607"/>
      <c r="AC26" s="607"/>
    </row>
    <row r="27" spans="1:29" ht="12.75" x14ac:dyDescent="0.2">
      <c r="A27" s="517"/>
      <c r="B27" s="574"/>
      <c r="C27" s="575"/>
      <c r="D27" s="537"/>
      <c r="E27" s="576"/>
      <c r="F27" s="577"/>
      <c r="G27" s="578"/>
      <c r="H27" s="579"/>
      <c r="I27" s="580"/>
      <c r="J27" s="581"/>
      <c r="K27" s="582"/>
      <c r="L27" s="583"/>
      <c r="M27" s="584"/>
      <c r="N27" s="586"/>
      <c r="O27" s="587"/>
      <c r="P27" s="602"/>
      <c r="Q27" s="603"/>
      <c r="R27" s="532"/>
      <c r="S27" s="604"/>
      <c r="T27" s="605"/>
      <c r="U27" s="532"/>
      <c r="V27" s="534"/>
      <c r="W27" s="606"/>
      <c r="X27" s="584"/>
      <c r="Y27" s="586"/>
      <c r="Z27" s="587"/>
      <c r="AA27" s="607"/>
      <c r="AB27" s="607"/>
      <c r="AC27" s="607"/>
    </row>
    <row r="28" spans="1:29" ht="12.75" x14ac:dyDescent="0.2">
      <c r="A28" s="517"/>
      <c r="B28" s="574" t="s">
        <v>1579</v>
      </c>
      <c r="C28" s="584">
        <v>1256.441</v>
      </c>
      <c r="D28" s="537">
        <v>0</v>
      </c>
      <c r="E28" s="576">
        <v>1.7490000000000001</v>
      </c>
      <c r="F28" s="577">
        <f>SUM(C28:E28)</f>
        <v>1258.19</v>
      </c>
      <c r="G28" s="578">
        <v>0.52900000000000003</v>
      </c>
      <c r="H28" s="579">
        <v>0.38500000000000001</v>
      </c>
      <c r="I28" s="580">
        <f>C28*G28</f>
        <v>664.65728900000011</v>
      </c>
      <c r="J28" s="581">
        <f>D28*G28</f>
        <v>0</v>
      </c>
      <c r="K28" s="582">
        <f>E28*G28</f>
        <v>0.92522100000000007</v>
      </c>
      <c r="L28" s="583">
        <f>SUM(I28:K28)</f>
        <v>665.58251000000007</v>
      </c>
      <c r="M28" s="584">
        <f t="shared" ref="M28:O28" si="2">((I28*1000000)/35.31)*($D$6/($D$7*$F$8))*0.0000011023</f>
        <v>13615.000622167638</v>
      </c>
      <c r="N28" s="586">
        <f t="shared" si="2"/>
        <v>0</v>
      </c>
      <c r="O28" s="587">
        <f t="shared" si="2"/>
        <v>18.95245068265935</v>
      </c>
      <c r="P28" s="602">
        <v>946.3</v>
      </c>
      <c r="Q28" s="603">
        <f>L28/P28</f>
        <v>0.70335254147733284</v>
      </c>
      <c r="R28" s="532">
        <f>((F28*H28*((1-Q28)/Q28)*1000000))/35.31</f>
        <v>5785978.4522610679</v>
      </c>
      <c r="S28" s="604">
        <f>((R28*$D$5)/($D$7*$F$8))*0.00000110231</f>
        <v>11479.87286187423</v>
      </c>
      <c r="T28" s="605">
        <f t="shared" ref="T28:V28" si="3">2.75*M28</f>
        <v>37441.251710961005</v>
      </c>
      <c r="U28" s="532">
        <f t="shared" si="3"/>
        <v>0</v>
      </c>
      <c r="V28" s="534">
        <f t="shared" si="3"/>
        <v>52.119239377313214</v>
      </c>
      <c r="W28" s="606">
        <f>(((F28*G28)*((1-Q28)/Q28))*1000000/35.31)*($D$6/($D$7*$F$8))*0.0000011023</f>
        <v>5750.2849427163001</v>
      </c>
      <c r="X28" s="584">
        <f>(((C28*G28)*(1-$D$16))*1000000/35.31)*($D$6/($D$7*$F$8))*0.0000011023</f>
        <v>272.30001244335301</v>
      </c>
      <c r="Y28" s="586">
        <f>(((D28*G28)*(1-$D$17))*1000000/35.31)*($D$6/($D$7*$F$8))*0.0000011023</f>
        <v>0</v>
      </c>
      <c r="Z28" s="587">
        <f>(((E28*G28)*(1-0.972))*1000000/35.31)*($D$6/($D$7*$F$8))*0.0000011023</f>
        <v>0.53066861911446228</v>
      </c>
      <c r="AA28" s="607"/>
      <c r="AB28" s="607"/>
      <c r="AC28" s="607"/>
    </row>
    <row r="29" spans="1:29" ht="12.75" x14ac:dyDescent="0.2">
      <c r="A29" s="517"/>
      <c r="B29" s="574"/>
      <c r="C29" s="575"/>
      <c r="D29" s="537"/>
      <c r="E29" s="576"/>
      <c r="F29" s="577"/>
      <c r="G29" s="578"/>
      <c r="H29" s="579"/>
      <c r="I29" s="580"/>
      <c r="J29" s="581"/>
      <c r="K29" s="582"/>
      <c r="L29" s="583"/>
      <c r="M29" s="584"/>
      <c r="N29" s="586"/>
      <c r="O29" s="587"/>
      <c r="P29" s="602"/>
      <c r="Q29" s="603"/>
      <c r="R29" s="532"/>
      <c r="S29" s="604"/>
      <c r="T29" s="605"/>
      <c r="U29" s="532"/>
      <c r="V29" s="534"/>
      <c r="W29" s="606"/>
      <c r="X29" s="584"/>
      <c r="Y29" s="586"/>
      <c r="Z29" s="587"/>
      <c r="AA29" s="607"/>
      <c r="AB29" s="607"/>
      <c r="AC29" s="607"/>
    </row>
    <row r="30" spans="1:29" ht="12.75" x14ac:dyDescent="0.2">
      <c r="A30" s="517"/>
      <c r="B30" s="574" t="s">
        <v>1585</v>
      </c>
      <c r="C30" s="580">
        <v>53.962000000000003</v>
      </c>
      <c r="D30" s="581">
        <v>0</v>
      </c>
      <c r="E30" s="582">
        <v>564.52599999999995</v>
      </c>
      <c r="F30" s="577">
        <f>SUM(C30:E30)</f>
        <v>618.48799999999994</v>
      </c>
      <c r="G30" s="578">
        <v>0.58599999999999997</v>
      </c>
      <c r="H30" s="579">
        <v>0.38300000000000001</v>
      </c>
      <c r="I30" s="580">
        <f>C30*G30</f>
        <v>31.621732000000002</v>
      </c>
      <c r="J30" s="581">
        <f>D30*G30</f>
        <v>0</v>
      </c>
      <c r="K30" s="582">
        <f>E30*G30</f>
        <v>330.81223599999993</v>
      </c>
      <c r="L30" s="583">
        <f>SUM(I30:K30)</f>
        <v>362.43396799999994</v>
      </c>
      <c r="M30" s="584">
        <f t="shared" ref="M30:O30" si="4">((I30*1000000)/35.31)*($D$6/($D$7*$F$8))*0.0000011023</f>
        <v>647.74720443036961</v>
      </c>
      <c r="N30" s="586">
        <f t="shared" si="4"/>
        <v>0</v>
      </c>
      <c r="O30" s="587">
        <f t="shared" si="4"/>
        <v>6776.4378327018785</v>
      </c>
      <c r="P30" s="602">
        <v>587.9</v>
      </c>
      <c r="Q30" s="603">
        <f>L30/P30</f>
        <v>0.61648914441231495</v>
      </c>
      <c r="R30" s="532">
        <f>((F30*H30*((1-Q30)/Q30)*1000000))/35.31</f>
        <v>4173347.6316544935</v>
      </c>
      <c r="S30" s="604">
        <f>((R30*$D$5)/($D$7*$F$8))*0.00000110231</f>
        <v>8280.2762946818875</v>
      </c>
      <c r="T30" s="605">
        <f t="shared" ref="T30:V30" si="5">2.75*M30</f>
        <v>1781.3048121835163</v>
      </c>
      <c r="U30" s="532">
        <f t="shared" si="5"/>
        <v>0</v>
      </c>
      <c r="V30" s="534">
        <f t="shared" si="5"/>
        <v>18635.204039930166</v>
      </c>
      <c r="W30" s="606">
        <f>(((F30*G30)*((1-Q30)/Q30))*1000000/35.31)*($D$6/($D$7*$F$8))*0.0000011023</f>
        <v>4618.5007172285268</v>
      </c>
      <c r="X30" s="584">
        <f>(((C30*G30)*(1-$D$16))*1000000/35.31)*($D$6/($D$7*$F$8))*0.0000011023</f>
        <v>12.954944088607405</v>
      </c>
      <c r="Y30" s="586">
        <f>(((D30*G30)*(1-$D$17))*1000000/35.31)*($D$6/($D$7*$F$8))*0.0000011023</f>
        <v>0</v>
      </c>
      <c r="Z30" s="587">
        <f>(((E30*G30)*(1-0.982))*1000000/35.31)*($D$6/($D$7*$F$8))*0.0000011023</f>
        <v>121.97588098863392</v>
      </c>
      <c r="AA30" s="607"/>
      <c r="AB30" s="607"/>
      <c r="AC30" s="607"/>
    </row>
    <row r="31" spans="1:29" ht="12.75" x14ac:dyDescent="0.2">
      <c r="A31" s="517"/>
      <c r="B31" s="574"/>
      <c r="C31" s="575"/>
      <c r="D31" s="537"/>
      <c r="E31" s="576"/>
      <c r="F31" s="577"/>
      <c r="G31" s="578"/>
      <c r="H31" s="579"/>
      <c r="I31" s="580"/>
      <c r="J31" s="581"/>
      <c r="K31" s="582"/>
      <c r="L31" s="583"/>
      <c r="M31" s="584"/>
      <c r="N31" s="586"/>
      <c r="O31" s="587"/>
      <c r="P31" s="602"/>
      <c r="Q31" s="603"/>
      <c r="R31" s="532"/>
      <c r="S31" s="604"/>
      <c r="T31" s="605"/>
      <c r="U31" s="532"/>
      <c r="V31" s="534"/>
      <c r="W31" s="606"/>
      <c r="X31" s="584"/>
      <c r="Y31" s="586"/>
      <c r="Z31" s="587"/>
      <c r="AA31" s="607"/>
      <c r="AB31" s="607"/>
      <c r="AC31" s="607"/>
    </row>
    <row r="32" spans="1:29" ht="12.75" x14ac:dyDescent="0.2">
      <c r="A32" s="517"/>
      <c r="B32" s="574" t="s">
        <v>1590</v>
      </c>
      <c r="C32" s="580">
        <v>141.20535599999999</v>
      </c>
      <c r="D32" s="537">
        <v>0</v>
      </c>
      <c r="E32" s="576">
        <v>0</v>
      </c>
      <c r="F32" s="577">
        <f>SUM(C32:E32)</f>
        <v>141.20535599999999</v>
      </c>
      <c r="G32" s="578">
        <v>0.32029999999999997</v>
      </c>
      <c r="H32" s="579">
        <v>0.21540000000000001</v>
      </c>
      <c r="I32" s="580">
        <f>C32*G32</f>
        <v>45.228075526799998</v>
      </c>
      <c r="J32" s="581">
        <f>D32*G32</f>
        <v>0</v>
      </c>
      <c r="K32" s="582">
        <f>E32*G32</f>
        <v>0</v>
      </c>
      <c r="L32" s="583">
        <f>SUM(I32:K32)</f>
        <v>45.228075526799998</v>
      </c>
      <c r="M32" s="584">
        <f t="shared" ref="M32:O32" si="6">((I32*1000000)/35.31)*($D$6/($D$7*$F$8))*0.0000011023</f>
        <v>926.46283525046363</v>
      </c>
      <c r="N32" s="586">
        <f t="shared" si="6"/>
        <v>0</v>
      </c>
      <c r="O32" s="587">
        <f t="shared" si="6"/>
        <v>0</v>
      </c>
      <c r="P32" s="602">
        <v>88.89</v>
      </c>
      <c r="Q32" s="603">
        <f>L32/P32</f>
        <v>0.50880948955788052</v>
      </c>
      <c r="R32" s="532">
        <f>((F32*H32*((1-Q32)/Q32)*1000000))/35.31</f>
        <v>831560.62463099719</v>
      </c>
      <c r="S32" s="604">
        <f>((R32*$D$5)/($D$7*$F$8))*0.00000110231</f>
        <v>1649.8869338122165</v>
      </c>
      <c r="T32" s="605">
        <f t="shared" ref="T32:V32" si="7">2.75*M32</f>
        <v>2547.7727969387752</v>
      </c>
      <c r="U32" s="532">
        <f t="shared" si="7"/>
        <v>0</v>
      </c>
      <c r="V32" s="534">
        <f t="shared" si="7"/>
        <v>0</v>
      </c>
      <c r="W32" s="606">
        <f>(((F32*G32)*((1-Q32)/Q32))*1000000/35.31)*($D$6/($D$7*$F$8))*0.0000011023</f>
        <v>894.38141837282149</v>
      </c>
      <c r="X32" s="584">
        <f>(((C32*G32)*(1-$D$16))*1000000/35.31)*($D$6/($D$7*$F$8))*0.0000011023</f>
        <v>18.529256705009288</v>
      </c>
      <c r="Y32" s="586">
        <f>(((D32*G32)*(1-$D$17))*1000000/35.31)*($D$6/($D$7*$F$8))*0.0000011023</f>
        <v>0</v>
      </c>
      <c r="Z32" s="587">
        <f>(((E32*G32)*(1-0.972))*1000000/35.31)*($D$6/($D$7*$F$8))*0.0000011023</f>
        <v>0</v>
      </c>
      <c r="AA32" s="607"/>
      <c r="AB32" s="607"/>
      <c r="AC32" s="607"/>
    </row>
    <row r="33" spans="1:29" ht="12.75" x14ac:dyDescent="0.2">
      <c r="A33" s="517"/>
      <c r="B33" s="611"/>
      <c r="C33" s="612"/>
      <c r="D33" s="608"/>
      <c r="E33" s="613"/>
      <c r="F33" s="614"/>
      <c r="G33" s="608"/>
      <c r="H33" s="615"/>
      <c r="I33" s="612"/>
      <c r="J33" s="608"/>
      <c r="K33" s="613"/>
      <c r="L33" s="616"/>
      <c r="M33" s="612"/>
      <c r="N33" s="608"/>
      <c r="O33" s="613"/>
      <c r="P33" s="614"/>
      <c r="Q33" s="276"/>
      <c r="R33" s="608"/>
      <c r="S33" s="615"/>
      <c r="T33" s="612"/>
      <c r="U33" s="608"/>
      <c r="V33" s="613"/>
      <c r="W33" s="616"/>
      <c r="X33" s="612"/>
      <c r="Y33" s="608"/>
      <c r="Z33" s="613"/>
      <c r="AA33" s="517"/>
      <c r="AB33" s="517"/>
      <c r="AC33" s="517"/>
    </row>
    <row r="34" spans="1:29" ht="12.75" x14ac:dyDescent="0.2">
      <c r="A34" s="517"/>
      <c r="B34" s="574" t="s">
        <v>1593</v>
      </c>
      <c r="C34" s="584">
        <v>99.003063200000042</v>
      </c>
      <c r="D34" s="537">
        <v>0</v>
      </c>
      <c r="E34" s="582">
        <v>2.185047480000001</v>
      </c>
      <c r="F34" s="577">
        <f>SUM(C34:E34)</f>
        <v>101.18811068000004</v>
      </c>
      <c r="G34" s="578">
        <v>0.44140891287425149</v>
      </c>
      <c r="H34" s="579">
        <v>0.5</v>
      </c>
      <c r="I34" s="580">
        <f>C34*G34</f>
        <v>43.700834498332831</v>
      </c>
      <c r="J34" s="581">
        <f>D34*G34</f>
        <v>0</v>
      </c>
      <c r="K34" s="582">
        <f>E34*G34</f>
        <v>0.96449943272542327</v>
      </c>
      <c r="L34" s="583">
        <f>SUM(I34:K34)</f>
        <v>44.665333931058257</v>
      </c>
      <c r="M34" s="584">
        <f t="shared" ref="M34:O34" si="8">((I34*1000000)/35.31)*($D$6/($D$7*$F$8))*0.0000011023</f>
        <v>895.17846073609576</v>
      </c>
      <c r="N34" s="586">
        <f t="shared" si="8"/>
        <v>0</v>
      </c>
      <c r="O34" s="587">
        <f t="shared" si="8"/>
        <v>19.757039596141357</v>
      </c>
      <c r="P34" s="602">
        <v>124.8</v>
      </c>
      <c r="Q34" s="603">
        <f>L34/P34</f>
        <v>0.35789530393476165</v>
      </c>
      <c r="R34" s="532">
        <f>((F34*H34*((1-Q34)/Q34)*1000000))/35.31</f>
        <v>2570701.3176087243</v>
      </c>
      <c r="S34" s="604">
        <f>((R34*$D$5)/($D$7*$F$8))*0.00000110231</f>
        <v>5100.4898368517379</v>
      </c>
      <c r="T34" s="605">
        <f t="shared" ref="T34:V34" si="9">2.75*M34</f>
        <v>2461.7407670242633</v>
      </c>
      <c r="U34" s="532">
        <f t="shared" si="9"/>
        <v>0</v>
      </c>
      <c r="V34" s="534">
        <f t="shared" si="9"/>
        <v>54.331858889388734</v>
      </c>
      <c r="W34" s="606">
        <f>(((F34*G34)*((1-Q34)/Q34))*1000000/35.31)*($D$6/($D$7*$F$8))*0.0000011023</f>
        <v>1641.4978763376469</v>
      </c>
      <c r="X34" s="584">
        <f>(((C34*G34)*(1-$D$16))*1000000/35.31)*($D$6/($D$7*$F$8))*0.0000011023</f>
        <v>17.903569214721937</v>
      </c>
      <c r="Y34" s="586">
        <f>(((D34*G34)*(1-$D$17))*1000000/35.31)*($D$6/($D$7*$F$8))*0.0000011023</f>
        <v>0</v>
      </c>
      <c r="Z34" s="587">
        <f>(((E34*G34)*(1-0.98))*1000000/35.31)*($D$6/($D$7*$F$8))*0.0000011023</f>
        <v>0.39514079192282753</v>
      </c>
      <c r="AA34" s="607"/>
      <c r="AB34" s="607"/>
      <c r="AC34" s="607"/>
    </row>
    <row r="35" spans="1:29" ht="12.75" x14ac:dyDescent="0.2">
      <c r="A35" s="517"/>
      <c r="B35" s="574"/>
      <c r="C35" s="575"/>
      <c r="D35" s="537"/>
      <c r="E35" s="576"/>
      <c r="F35" s="577"/>
      <c r="G35" s="578"/>
      <c r="H35" s="579"/>
      <c r="I35" s="580"/>
      <c r="J35" s="581"/>
      <c r="K35" s="582"/>
      <c r="L35" s="583"/>
      <c r="M35" s="584"/>
      <c r="N35" s="586"/>
      <c r="O35" s="587"/>
      <c r="P35" s="602"/>
      <c r="Q35" s="603"/>
      <c r="R35" s="532"/>
      <c r="S35" s="604"/>
      <c r="T35" s="605"/>
      <c r="U35" s="532"/>
      <c r="V35" s="534"/>
      <c r="W35" s="606"/>
      <c r="X35" s="584"/>
      <c r="Y35" s="586"/>
      <c r="Z35" s="587"/>
      <c r="AA35" s="607"/>
      <c r="AB35" s="607"/>
      <c r="AC35" s="607"/>
    </row>
    <row r="36" spans="1:29" ht="12.75" x14ac:dyDescent="0.2">
      <c r="A36" s="517"/>
      <c r="B36" s="574" t="s">
        <v>1598</v>
      </c>
      <c r="C36" s="575">
        <v>12.803000000000001</v>
      </c>
      <c r="D36" s="537">
        <v>0</v>
      </c>
      <c r="E36" s="582">
        <v>608.16800000000001</v>
      </c>
      <c r="F36" s="577">
        <f>SUM(C36:E36)</f>
        <v>620.971</v>
      </c>
      <c r="G36" s="578">
        <v>0.41799999999999998</v>
      </c>
      <c r="H36" s="579">
        <v>0.33600000000000002</v>
      </c>
      <c r="I36" s="580">
        <f>C36*G36</f>
        <v>5.3516539999999999</v>
      </c>
      <c r="J36" s="581">
        <f>D36*G36</f>
        <v>0</v>
      </c>
      <c r="K36" s="582">
        <f>E36*G36</f>
        <v>254.214224</v>
      </c>
      <c r="L36" s="583">
        <f>SUM(I36:K36)</f>
        <v>259.565878</v>
      </c>
      <c r="M36" s="584">
        <f t="shared" ref="M36:O36" si="10">((I36*1000000)/35.31)*($D$6/($D$7*$F$8))*0.0000011023</f>
        <v>109.62457456721869</v>
      </c>
      <c r="N36" s="586">
        <f t="shared" si="10"/>
        <v>0</v>
      </c>
      <c r="O36" s="587">
        <f t="shared" si="10"/>
        <v>5207.3856334762368</v>
      </c>
      <c r="P36" s="602">
        <v>431.2</v>
      </c>
      <c r="Q36" s="603">
        <f>L36/P36</f>
        <v>0.60196168367346936</v>
      </c>
      <c r="R36" s="532">
        <f>((F36*H36*((1-Q36)/Q36)*1000000))/35.31</f>
        <v>3907229.4057147969</v>
      </c>
      <c r="S36" s="604">
        <f>((R36*$D$5)/($D$7*$F$8))*0.00000110231</f>
        <v>7752.2751233637673</v>
      </c>
      <c r="T36" s="605">
        <f t="shared" ref="T36:V36" si="11">2.75*M36</f>
        <v>301.4675800598514</v>
      </c>
      <c r="U36" s="532">
        <f t="shared" si="11"/>
        <v>0</v>
      </c>
      <c r="V36" s="534">
        <f t="shared" si="11"/>
        <v>14320.310492059651</v>
      </c>
      <c r="W36" s="606">
        <f>(((F36*G36)*((1-Q36)/Q36))*1000000/35.31)*($D$6/($D$7*$F$8))*0.0000011023</f>
        <v>3515.7948562197994</v>
      </c>
      <c r="X36" s="584">
        <f>(((C36*G36)*(1-$D$16))*1000000/35.31)*($D$6/($D$7*$F$8))*0.0000011023</f>
        <v>2.1924914913443758</v>
      </c>
      <c r="Y36" s="586">
        <f>(((D36*G36)*(1-$D$17))*1000000/35.31)*($D$6/($D$7*$F$8))*0.0000011023</f>
        <v>0</v>
      </c>
      <c r="Z36" s="587">
        <f>(((E36*G36)*(1-0.982))*1000000/35.31)*($D$6/($D$7*$F$8))*0.0000011023</f>
        <v>93.732941402572351</v>
      </c>
      <c r="AA36" s="607"/>
      <c r="AB36" s="607"/>
      <c r="AC36" s="607"/>
    </row>
    <row r="37" spans="1:29" ht="12.75" x14ac:dyDescent="0.2">
      <c r="A37" s="517"/>
      <c r="B37" s="574"/>
      <c r="C37" s="575"/>
      <c r="D37" s="537"/>
      <c r="E37" s="576"/>
      <c r="F37" s="577"/>
      <c r="G37" s="578"/>
      <c r="H37" s="579"/>
      <c r="I37" s="580"/>
      <c r="J37" s="581"/>
      <c r="K37" s="582"/>
      <c r="L37" s="583"/>
      <c r="M37" s="584"/>
      <c r="N37" s="586"/>
      <c r="O37" s="587"/>
      <c r="P37" s="602"/>
      <c r="Q37" s="603"/>
      <c r="R37" s="532"/>
      <c r="S37" s="604"/>
      <c r="T37" s="605"/>
      <c r="U37" s="532"/>
      <c r="V37" s="534"/>
      <c r="W37" s="606"/>
      <c r="X37" s="584"/>
      <c r="Y37" s="586"/>
      <c r="Z37" s="587"/>
      <c r="AA37" s="607"/>
      <c r="AB37" s="607"/>
      <c r="AC37" s="607"/>
    </row>
    <row r="38" spans="1:29" ht="12.75" x14ac:dyDescent="0.2">
      <c r="A38" s="517"/>
      <c r="B38" s="574" t="s">
        <v>1601</v>
      </c>
      <c r="C38" s="584">
        <v>379.24668000000003</v>
      </c>
      <c r="D38" s="537">
        <v>0</v>
      </c>
      <c r="E38" s="576">
        <v>0</v>
      </c>
      <c r="F38" s="577">
        <f>SUM(C38:E38)</f>
        <v>379.24668000000003</v>
      </c>
      <c r="G38" s="578">
        <v>0.254</v>
      </c>
      <c r="H38" s="579">
        <v>0.214</v>
      </c>
      <c r="I38" s="580">
        <f>C38*G38</f>
        <v>96.328656720000012</v>
      </c>
      <c r="J38" s="581">
        <f>D38*G38</f>
        <v>0</v>
      </c>
      <c r="K38" s="582">
        <f>E38*G38</f>
        <v>0</v>
      </c>
      <c r="L38" s="583">
        <f>SUM(I38:K38)</f>
        <v>96.328656720000012</v>
      </c>
      <c r="M38" s="584">
        <f t="shared" ref="M38:O38" si="12">((I38*1000000)/35.31)*($D$6/($D$7*$F$8))*0.0000011023</f>
        <v>1973.2194965447416</v>
      </c>
      <c r="N38" s="586">
        <f t="shared" si="12"/>
        <v>0</v>
      </c>
      <c r="O38" s="587">
        <f t="shared" si="12"/>
        <v>0</v>
      </c>
      <c r="P38" s="618">
        <v>171.5</v>
      </c>
      <c r="Q38" s="603">
        <f>L38/P38</f>
        <v>0.56168312956268229</v>
      </c>
      <c r="R38" s="532">
        <f>((F38*H38*((1-Q38)/Q38)*1000000))/35.31</f>
        <v>1793637.3963254588</v>
      </c>
      <c r="S38" s="604">
        <f>((R38*$D$5)/($D$7*$F$8))*0.00000110231</f>
        <v>3558.7289928590831</v>
      </c>
      <c r="T38" s="605">
        <f t="shared" ref="T38:V38" si="13">2.75*M38</f>
        <v>5426.3536154980393</v>
      </c>
      <c r="U38" s="532">
        <f t="shared" si="13"/>
        <v>0</v>
      </c>
      <c r="V38" s="534">
        <f t="shared" si="13"/>
        <v>0</v>
      </c>
      <c r="W38" s="606">
        <f>(((F38*G38)*((1-Q38)/Q38))*1000000/35.31)*($D$6/($D$7*$F$8))*0.0000011023</f>
        <v>1539.8279721963249</v>
      </c>
      <c r="X38" s="584">
        <f>(((C38*G38)*(1-$D$16))*1000000/35.31)*($D$6/($D$7*$F$8))*0.0000011023</f>
        <v>39.464389930894868</v>
      </c>
      <c r="Y38" s="586">
        <f>(((D38*G38)*(1-$D$17))*1000000/35.31)*($D$6/($D$7*$F$8))*0.0000011023</f>
        <v>0</v>
      </c>
      <c r="Z38" s="587">
        <f>(((E38*G38)*(1-0.972))*1000000/35.31)*($D$6/($D$7*$F$8))*0.0000011023</f>
        <v>0</v>
      </c>
      <c r="AA38" s="607"/>
      <c r="AB38" s="607"/>
      <c r="AC38" s="607"/>
    </row>
    <row r="39" spans="1:29" ht="12.75" x14ac:dyDescent="0.2">
      <c r="A39" s="517"/>
      <c r="B39" s="574"/>
      <c r="C39" s="575"/>
      <c r="D39" s="537"/>
      <c r="E39" s="576"/>
      <c r="F39" s="577"/>
      <c r="G39" s="578"/>
      <c r="H39" s="579"/>
      <c r="I39" s="580"/>
      <c r="J39" s="581"/>
      <c r="K39" s="582"/>
      <c r="L39" s="583"/>
      <c r="M39" s="584"/>
      <c r="N39" s="586"/>
      <c r="O39" s="587"/>
      <c r="P39" s="602"/>
      <c r="Q39" s="603"/>
      <c r="R39" s="532"/>
      <c r="S39" s="604"/>
      <c r="T39" s="605"/>
      <c r="U39" s="532"/>
      <c r="V39" s="534"/>
      <c r="W39" s="606"/>
      <c r="X39" s="584"/>
      <c r="Y39" s="586"/>
      <c r="Z39" s="587"/>
      <c r="AA39" s="607"/>
      <c r="AB39" s="607"/>
      <c r="AC39" s="607"/>
    </row>
    <row r="40" spans="1:29" ht="12.75" x14ac:dyDescent="0.2">
      <c r="A40" s="517"/>
      <c r="B40" s="574" t="s">
        <v>1605</v>
      </c>
      <c r="C40" s="575">
        <v>12.071</v>
      </c>
      <c r="D40" s="537">
        <v>0</v>
      </c>
      <c r="E40" s="582">
        <v>320.70092799999998</v>
      </c>
      <c r="F40" s="577">
        <f>SUM(C40:E40)</f>
        <v>332.771928</v>
      </c>
      <c r="G40" s="578">
        <v>0.5</v>
      </c>
      <c r="H40" s="579">
        <v>0.5</v>
      </c>
      <c r="I40" s="580">
        <f>C40*G40</f>
        <v>6.0354999999999999</v>
      </c>
      <c r="J40" s="581">
        <f>D40*G40</f>
        <v>0</v>
      </c>
      <c r="K40" s="582">
        <f>E40*G40</f>
        <v>160.35046399999999</v>
      </c>
      <c r="L40" s="583">
        <f>SUM(I40:K40)</f>
        <v>166.385964</v>
      </c>
      <c r="M40" s="584">
        <f t="shared" ref="M40:O40" si="14">((I40*1000000)/35.31)*($D$6/($D$7*$F$8))*0.0000011023</f>
        <v>123.63264138534522</v>
      </c>
      <c r="N40" s="586">
        <f t="shared" si="14"/>
        <v>0</v>
      </c>
      <c r="O40" s="587">
        <f t="shared" si="14"/>
        <v>3284.6576773565921</v>
      </c>
      <c r="P40" s="618">
        <v>276.5</v>
      </c>
      <c r="Q40" s="603">
        <f>L40/P40</f>
        <v>0.6017575551537071</v>
      </c>
      <c r="R40" s="532">
        <f>((F40*H40*((1-Q40)/Q40)*1000000))/35.31</f>
        <v>3118494.3642027746</v>
      </c>
      <c r="S40" s="604">
        <f>((R40*$D$5)/($D$7*$F$8))*0.00000110231</f>
        <v>6187.357785186553</v>
      </c>
      <c r="T40" s="605">
        <f t="shared" ref="T40:V40" si="15">2.75*M40</f>
        <v>339.98976380969935</v>
      </c>
      <c r="U40" s="532">
        <f t="shared" si="15"/>
        <v>0</v>
      </c>
      <c r="V40" s="534">
        <f t="shared" si="15"/>
        <v>9032.8086127306287</v>
      </c>
      <c r="W40" s="606">
        <f>(((F40*G40)*((1-Q40)/Q40))*1000000/35.31)*($D$6/($D$7*$F$8))*0.0000011023</f>
        <v>2255.6025390242721</v>
      </c>
      <c r="X40" s="584">
        <f>(((C40*G40)*(1-$D$16))*1000000/35.31)*($D$6/($D$7*$F$8))*0.0000011023</f>
        <v>2.4726528277069066</v>
      </c>
      <c r="Y40" s="586">
        <f>(((D40*G40)*(1-$D$17))*1000000/35.31)*($D$6/($D$7*$F$8))*0.0000011023</f>
        <v>0</v>
      </c>
      <c r="Z40" s="587">
        <f>(((E40*G40)*(1-0.982))*1000000/35.31)*($D$6/($D$7*$F$8))*0.0000011023</f>
        <v>59.123838192418702</v>
      </c>
      <c r="AA40" s="607"/>
      <c r="AB40" s="607"/>
      <c r="AC40" s="607"/>
    </row>
    <row r="41" spans="1:29" ht="12.75" x14ac:dyDescent="0.2">
      <c r="A41" s="517"/>
      <c r="B41" s="574"/>
      <c r="C41" s="575"/>
      <c r="D41" s="537"/>
      <c r="E41" s="576"/>
      <c r="F41" s="577"/>
      <c r="G41" s="578"/>
      <c r="H41" s="579"/>
      <c r="I41" s="580"/>
      <c r="J41" s="581"/>
      <c r="K41" s="582"/>
      <c r="L41" s="583"/>
      <c r="M41" s="584"/>
      <c r="N41" s="586"/>
      <c r="O41" s="587"/>
      <c r="P41" s="602"/>
      <c r="Q41" s="603"/>
      <c r="R41" s="532"/>
      <c r="S41" s="604"/>
      <c r="T41" s="605"/>
      <c r="U41" s="532"/>
      <c r="V41" s="534"/>
      <c r="W41" s="606"/>
      <c r="X41" s="584"/>
      <c r="Y41" s="586"/>
      <c r="Z41" s="587"/>
      <c r="AA41" s="607"/>
      <c r="AB41" s="607"/>
      <c r="AC41" s="607"/>
    </row>
    <row r="42" spans="1:29" ht="12.75" x14ac:dyDescent="0.2">
      <c r="A42" s="517"/>
      <c r="B42" s="574" t="s">
        <v>1607</v>
      </c>
      <c r="C42" s="575">
        <v>34.520000000000003</v>
      </c>
      <c r="D42" s="537">
        <v>0</v>
      </c>
      <c r="E42" s="576">
        <v>114.62</v>
      </c>
      <c r="F42" s="577">
        <f>SUM(C42:E42)</f>
        <v>149.14000000000001</v>
      </c>
      <c r="G42" s="578">
        <v>0.56100000000000005</v>
      </c>
      <c r="H42" s="579">
        <v>8.3000000000000004E-2</v>
      </c>
      <c r="I42" s="580">
        <f>C42*G42</f>
        <v>19.365720000000003</v>
      </c>
      <c r="J42" s="581">
        <f>D42*G42</f>
        <v>0</v>
      </c>
      <c r="K42" s="582">
        <f>E42*G42</f>
        <v>64.301820000000006</v>
      </c>
      <c r="L42" s="583">
        <f>SUM(I42:K42)</f>
        <v>83.667540000000002</v>
      </c>
      <c r="M42" s="584">
        <f t="shared" ref="M42:O42" si="16">((I42*1000000)/35.31)*($D$6/($D$7*$F$8))*0.0000011023</f>
        <v>396.69209111573326</v>
      </c>
      <c r="N42" s="586">
        <f t="shared" si="16"/>
        <v>0</v>
      </c>
      <c r="O42" s="587">
        <f t="shared" si="16"/>
        <v>1317.1740290754735</v>
      </c>
      <c r="P42" s="618">
        <v>417.2</v>
      </c>
      <c r="Q42" s="603">
        <f>L42/P42</f>
        <v>0.20054539789069992</v>
      </c>
      <c r="R42" s="532">
        <f>((F42*H42*((1-Q42)/Q42)*1000000))/35.31</f>
        <v>1397512.2396941578</v>
      </c>
      <c r="S42" s="604">
        <f>((R42*$D$5)/($D$7*$F$8))*0.00000110231</f>
        <v>2772.7830248542637</v>
      </c>
      <c r="T42" s="605">
        <f t="shared" ref="T42:V42" si="17">2.75*M42</f>
        <v>1090.9032505682665</v>
      </c>
      <c r="U42" s="532">
        <f t="shared" si="17"/>
        <v>0</v>
      </c>
      <c r="V42" s="534">
        <f t="shared" si="17"/>
        <v>3622.228579957552</v>
      </c>
      <c r="W42" s="606">
        <f>(((F42*G42)*((1-Q42)/Q42))*1000000/35.31)*($D$6/($D$7*$F$8))*0.0000011023</f>
        <v>6832.1595588686941</v>
      </c>
      <c r="X42" s="584">
        <f>(((C42*G42)*(1-$D$16))*1000000/35.31)*($D$6/($D$7*$F$8))*0.0000011023</f>
        <v>7.9338418223146716</v>
      </c>
      <c r="Y42" s="586">
        <f>(((D42*G42)*(1-$D$17))*1000000/35.31)*($D$6/($D$7*$F$8))*0.0000011023</f>
        <v>0</v>
      </c>
      <c r="Z42" s="587">
        <f>(((E42*G42)*(1-0.982))*1000000/35.31)*($D$6/($D$7*$F$8))*0.0000011023</f>
        <v>23.709132523358548</v>
      </c>
      <c r="AA42" s="607"/>
      <c r="AB42" s="607"/>
      <c r="AC42" s="607"/>
    </row>
    <row r="43" spans="1:29" ht="12.75" x14ac:dyDescent="0.2">
      <c r="A43" s="517"/>
      <c r="B43" s="619"/>
      <c r="C43" s="580"/>
      <c r="D43" s="581"/>
      <c r="E43" s="582"/>
      <c r="F43" s="577"/>
      <c r="G43" s="578"/>
      <c r="H43" s="579"/>
      <c r="I43" s="580"/>
      <c r="J43" s="581"/>
      <c r="K43" s="582"/>
      <c r="L43" s="583"/>
      <c r="M43" s="584"/>
      <c r="N43" s="586"/>
      <c r="O43" s="587"/>
      <c r="P43" s="602"/>
      <c r="Q43" s="603"/>
      <c r="R43" s="532"/>
      <c r="S43" s="604"/>
      <c r="T43" s="605"/>
      <c r="U43" s="532"/>
      <c r="V43" s="534"/>
      <c r="W43" s="606"/>
      <c r="X43" s="584"/>
      <c r="Y43" s="586"/>
      <c r="Z43" s="587"/>
      <c r="AA43" s="607"/>
      <c r="AB43" s="607"/>
      <c r="AC43" s="607"/>
    </row>
    <row r="44" spans="1:29" ht="12.75" x14ac:dyDescent="0.2">
      <c r="A44" s="517"/>
      <c r="B44" s="574" t="s">
        <v>1610</v>
      </c>
      <c r="C44" s="580">
        <v>239.3622</v>
      </c>
      <c r="D44" s="537">
        <v>0</v>
      </c>
      <c r="E44" s="582">
        <v>0</v>
      </c>
      <c r="F44" s="577">
        <f>SUM(C44:E44)</f>
        <v>239.3622</v>
      </c>
      <c r="G44" s="578">
        <v>0.5</v>
      </c>
      <c r="H44" s="579">
        <v>0.5</v>
      </c>
      <c r="I44" s="580">
        <f>C44*G44</f>
        <v>119.6811</v>
      </c>
      <c r="J44" s="581">
        <f>D44*G44</f>
        <v>0</v>
      </c>
      <c r="K44" s="582">
        <f>E44*G44</f>
        <v>0</v>
      </c>
      <c r="L44" s="583">
        <f>SUM(I44:K44)</f>
        <v>119.6811</v>
      </c>
      <c r="M44" s="584">
        <f t="shared" ref="M44:O44" si="18">((I44*1000000)/35.31)*($D$6/($D$7*$F$8))*0.0000011023</f>
        <v>2451.5765913186387</v>
      </c>
      <c r="N44" s="586">
        <f t="shared" si="18"/>
        <v>0</v>
      </c>
      <c r="O44" s="587">
        <f t="shared" si="18"/>
        <v>0</v>
      </c>
      <c r="P44" s="618">
        <v>133.30000000000001</v>
      </c>
      <c r="Q44" s="603">
        <f>L44/P44</f>
        <v>0.89783270817704419</v>
      </c>
      <c r="R44" s="532">
        <f>((F44*H44*((1-Q44)/Q44)*1000000))/35.31</f>
        <v>385695.27046162589</v>
      </c>
      <c r="S44" s="604">
        <f>((R44*$D$5)/($D$7*$F$8))*0.00000110231</f>
        <v>765.252187656415</v>
      </c>
      <c r="T44" s="605">
        <f t="shared" ref="T44:V44" si="19">2.75*M44</f>
        <v>6741.8356261262561</v>
      </c>
      <c r="U44" s="532">
        <f t="shared" si="19"/>
        <v>0</v>
      </c>
      <c r="V44" s="534">
        <f t="shared" si="19"/>
        <v>0</v>
      </c>
      <c r="W44" s="606">
        <f>(((F44*G44)*((1-Q44)/Q44))*1000000/35.31)*($D$6/($D$7*$F$8))*0.0000011023</f>
        <v>278.97284065328137</v>
      </c>
      <c r="X44" s="584">
        <f>(((C44*G44)*(1-$D$16))*1000000/35.31)*($D$6/($D$7*$F$8))*0.0000011023</f>
        <v>49.031531826372806</v>
      </c>
      <c r="Y44" s="586">
        <f>(((D44*G44)*(1-$D$17))*1000000/35.31)*($D$6/($D$7*$F$8))*0.0000011023</f>
        <v>0</v>
      </c>
      <c r="Z44" s="587">
        <f>(((E44*G44)*(1-0.982))*1000000/35.31)*($D$6/($D$7*$F$8))*0.0000011023</f>
        <v>0</v>
      </c>
      <c r="AA44" s="607"/>
      <c r="AB44" s="607"/>
      <c r="AC44" s="607"/>
    </row>
    <row r="45" spans="1:29" ht="12.75" x14ac:dyDescent="0.2">
      <c r="A45" s="517"/>
      <c r="B45" s="574"/>
      <c r="C45" s="575"/>
      <c r="D45" s="537"/>
      <c r="E45" s="576"/>
      <c r="F45" s="577"/>
      <c r="G45" s="578"/>
      <c r="H45" s="579"/>
      <c r="I45" s="580"/>
      <c r="J45" s="581"/>
      <c r="K45" s="582"/>
      <c r="L45" s="583"/>
      <c r="M45" s="584"/>
      <c r="N45" s="586"/>
      <c r="O45" s="587"/>
      <c r="P45" s="602"/>
      <c r="Q45" s="603"/>
      <c r="R45" s="532"/>
      <c r="S45" s="604"/>
      <c r="T45" s="605"/>
      <c r="U45" s="532"/>
      <c r="V45" s="534"/>
      <c r="W45" s="606"/>
      <c r="X45" s="584"/>
      <c r="Y45" s="586"/>
      <c r="Z45" s="587"/>
      <c r="AA45" s="607"/>
      <c r="AB45" s="607"/>
      <c r="AC45" s="607"/>
    </row>
    <row r="46" spans="1:29" ht="12.75" x14ac:dyDescent="0.2">
      <c r="A46" s="517"/>
      <c r="B46" s="574" t="s">
        <v>1613</v>
      </c>
      <c r="C46" s="621">
        <v>137.98699999999999</v>
      </c>
      <c r="D46" s="260">
        <v>426.42500000000001</v>
      </c>
      <c r="E46" s="622">
        <v>0</v>
      </c>
      <c r="F46" s="623">
        <f>SUM(C46:E46)</f>
        <v>564.41200000000003</v>
      </c>
      <c r="G46" s="603">
        <v>0.49919999999999998</v>
      </c>
      <c r="H46" s="624">
        <v>0.36109999999999998</v>
      </c>
      <c r="I46" s="580">
        <f>C46*G46</f>
        <v>68.883110399999993</v>
      </c>
      <c r="J46" s="581">
        <f>D46*G46</f>
        <v>212.87136000000001</v>
      </c>
      <c r="K46" s="582">
        <f>E46*G46</f>
        <v>0</v>
      </c>
      <c r="L46" s="583">
        <f>SUM(I46:K46)</f>
        <v>281.7544704</v>
      </c>
      <c r="M46" s="584">
        <f t="shared" ref="M46:O46" si="20">((I46*1000000)/35.31)*($D$6/($D$7*$F$8))*0.0000011023</f>
        <v>1411.0182893861891</v>
      </c>
      <c r="N46" s="586">
        <f t="shared" si="20"/>
        <v>4360.5084105858214</v>
      </c>
      <c r="O46" s="587">
        <f t="shared" si="20"/>
        <v>0</v>
      </c>
      <c r="P46" s="625">
        <v>296.58365305263158</v>
      </c>
      <c r="Q46" s="603">
        <v>0.95</v>
      </c>
      <c r="R46" s="532">
        <f>((F46*H46*((1-Q46)/Q46)*1000000))/35.31</f>
        <v>303789.25487039634</v>
      </c>
      <c r="S46" s="604">
        <f>((R46*$D$5)/($D$7*$F$8))*0.00000110231</f>
        <v>602.74369348071332</v>
      </c>
      <c r="T46" s="605">
        <f t="shared" ref="T46:V46" si="21">2.75*M46</f>
        <v>3880.3002958120201</v>
      </c>
      <c r="U46" s="532">
        <f t="shared" si="21"/>
        <v>11991.398129111009</v>
      </c>
      <c r="V46" s="534">
        <f t="shared" si="21"/>
        <v>0</v>
      </c>
      <c r="W46" s="606">
        <f>(((F46*G46)*((1-Q46)/Q46))*1000000/35.31)*($D$6/($D$7*$F$8))*0.0000011023</f>
        <v>303.76456315642196</v>
      </c>
      <c r="X46" s="584">
        <f>(((C46*G46)*(1-$D$16))*1000000/35.31)*($D$6/($D$7*$F$8))*0.0000011023</f>
        <v>28.220365787723811</v>
      </c>
      <c r="Y46" s="586">
        <f>(((D46*G46)*(1-$D$17))*1000000/35.31)*($D$6/($D$7*$F$8))*0.0000011023</f>
        <v>8.7210168211716503</v>
      </c>
      <c r="Z46" s="587">
        <f>(((E46*G46)*(1-0.98))*1000000/35.31)*($D$6/($D$7*$F$8))*0.0000011023</f>
        <v>0</v>
      </c>
      <c r="AA46" s="607"/>
      <c r="AB46" s="607"/>
      <c r="AC46" s="607"/>
    </row>
    <row r="47" spans="1:29" ht="12.75" x14ac:dyDescent="0.2">
      <c r="A47" s="517"/>
      <c r="B47" s="611"/>
      <c r="C47" s="612"/>
      <c r="D47" s="608"/>
      <c r="E47" s="613"/>
      <c r="F47" s="628"/>
      <c r="G47" s="608"/>
      <c r="H47" s="615"/>
      <c r="I47" s="612"/>
      <c r="J47" s="608"/>
      <c r="K47" s="613"/>
      <c r="L47" s="616"/>
      <c r="M47" s="612"/>
      <c r="N47" s="608"/>
      <c r="O47" s="613"/>
      <c r="P47" s="614"/>
      <c r="Q47" s="276"/>
      <c r="R47" s="608"/>
      <c r="S47" s="615"/>
      <c r="T47" s="612"/>
      <c r="U47" s="608"/>
      <c r="V47" s="613"/>
      <c r="W47" s="616"/>
      <c r="X47" s="612"/>
      <c r="Y47" s="608"/>
      <c r="Z47" s="613"/>
      <c r="AA47" s="517"/>
      <c r="AB47" s="517"/>
      <c r="AC47" s="517"/>
    </row>
    <row r="48" spans="1:29" ht="12.75" x14ac:dyDescent="0.2">
      <c r="A48" s="517"/>
      <c r="B48" s="574" t="s">
        <v>1619</v>
      </c>
      <c r="C48" s="630">
        <v>5.4912000000000001</v>
      </c>
      <c r="D48" s="537">
        <v>0</v>
      </c>
      <c r="E48" s="576">
        <v>0</v>
      </c>
      <c r="F48" s="631">
        <f>SUM(C48:E48)</f>
        <v>5.4912000000000001</v>
      </c>
      <c r="G48" s="578">
        <v>8.3000000000000004E-2</v>
      </c>
      <c r="H48" s="579">
        <v>0.5</v>
      </c>
      <c r="I48" s="580">
        <f>C48*G48</f>
        <v>0.45576960000000005</v>
      </c>
      <c r="J48" s="586">
        <f>D48*G48</f>
        <v>0</v>
      </c>
      <c r="K48" s="587">
        <f>E48*G48</f>
        <v>0</v>
      </c>
      <c r="L48" s="583">
        <f>SUM(I48:K48)</f>
        <v>0.45576960000000005</v>
      </c>
      <c r="M48" s="584">
        <f t="shared" ref="M48:O48" si="22">((I48*1000000)/35.31)*($D$6/($D$7*$F$8))*0.0000011023</f>
        <v>9.3360946915984169</v>
      </c>
      <c r="N48" s="586">
        <f t="shared" si="22"/>
        <v>0</v>
      </c>
      <c r="O48" s="587">
        <f t="shared" si="22"/>
        <v>0</v>
      </c>
      <c r="P48" s="618">
        <v>121.3</v>
      </c>
      <c r="Q48" s="603">
        <f>L48/P48</f>
        <v>3.7573751030502891E-3</v>
      </c>
      <c r="R48" s="532">
        <f>((F48*H48*((1-Q48)/Q48)*1000000))/35.31</f>
        <v>20616745.725467712</v>
      </c>
      <c r="S48" s="604">
        <f>((R48*$D$5)/($D$7*$F$8))*0.00000110231</f>
        <v>40905.375245818366</v>
      </c>
      <c r="T48" s="605">
        <f t="shared" ref="T48:V48" si="23">2.75*M48</f>
        <v>25.674260401895648</v>
      </c>
      <c r="U48" s="532">
        <f t="shared" si="23"/>
        <v>0</v>
      </c>
      <c r="V48" s="534">
        <f t="shared" si="23"/>
        <v>0</v>
      </c>
      <c r="W48" s="606">
        <f>(((F48*G48)*((1-Q48)/Q48))*1000000/35.31)*($D$6/($D$7*$F$8))*0.0000011023</f>
        <v>2475.4024356774476</v>
      </c>
      <c r="X48" s="584">
        <f>(((C48*G48)*(1-$D$16))*1000000/35.31)*($D$6/($D$7*$F$8))*0.0000011023</f>
        <v>0.18672189383196855</v>
      </c>
      <c r="Y48" s="586">
        <f>(((D48*G48)*(1-$D$17))*1000000/35.31)*($D$6/($D$7*$F$8))*0.0000011023</f>
        <v>0</v>
      </c>
      <c r="Z48" s="587">
        <f>(((E48*G48)*(1-$D$18))*1000000/35.31)*($D$6/($D$7*$F$8))*0.0000011023</f>
        <v>0</v>
      </c>
      <c r="AA48" s="607"/>
      <c r="AB48" s="607"/>
      <c r="AC48" s="607"/>
    </row>
    <row r="49" spans="1:29" ht="12.75" x14ac:dyDescent="0.2">
      <c r="A49" s="517"/>
      <c r="B49" s="574"/>
      <c r="C49" s="575"/>
      <c r="D49" s="537"/>
      <c r="E49" s="576"/>
      <c r="F49" s="632"/>
      <c r="G49" s="578"/>
      <c r="H49" s="579"/>
      <c r="I49" s="580"/>
      <c r="J49" s="586"/>
      <c r="K49" s="587"/>
      <c r="L49" s="583"/>
      <c r="M49" s="584"/>
      <c r="N49" s="586"/>
      <c r="O49" s="587"/>
      <c r="P49" s="602"/>
      <c r="Q49" s="603"/>
      <c r="R49" s="532"/>
      <c r="S49" s="604"/>
      <c r="T49" s="605"/>
      <c r="U49" s="532"/>
      <c r="V49" s="534"/>
      <c r="W49" s="606"/>
      <c r="X49" s="584"/>
      <c r="Y49" s="586"/>
      <c r="Z49" s="587"/>
      <c r="AA49" s="607"/>
      <c r="AB49" s="607"/>
      <c r="AC49" s="607"/>
    </row>
    <row r="50" spans="1:29" ht="12.75" x14ac:dyDescent="0.2">
      <c r="A50" s="517"/>
      <c r="B50" s="574" t="s">
        <v>1624</v>
      </c>
      <c r="C50" s="575">
        <v>160.94999999999999</v>
      </c>
      <c r="D50" s="537">
        <v>0</v>
      </c>
      <c r="E50" s="576">
        <v>0</v>
      </c>
      <c r="F50" s="628">
        <f>SUM(C50:E50)</f>
        <v>160.94999999999999</v>
      </c>
      <c r="G50" s="578">
        <v>0.308</v>
      </c>
      <c r="H50" s="579">
        <v>0.23100000000000001</v>
      </c>
      <c r="I50" s="580">
        <f>C50*G50</f>
        <v>49.572599999999994</v>
      </c>
      <c r="J50" s="586">
        <f>D50*G50</f>
        <v>0</v>
      </c>
      <c r="K50" s="587">
        <f>E50*G50</f>
        <v>0</v>
      </c>
      <c r="L50" s="583">
        <f>SUM(I50:K50)</f>
        <v>49.572599999999994</v>
      </c>
      <c r="M50" s="584">
        <f t="shared" ref="M50:O50" si="24">((I50*1000000)/35.31)*($D$6/($D$7*$F$8))*0.0000011023</f>
        <v>1015.4571250665504</v>
      </c>
      <c r="N50" s="586">
        <f t="shared" si="24"/>
        <v>0</v>
      </c>
      <c r="O50" s="587">
        <f t="shared" si="24"/>
        <v>0</v>
      </c>
      <c r="P50" s="618">
        <v>212.3</v>
      </c>
      <c r="Q50" s="603">
        <f>L50/P50</f>
        <v>0.23350259067357509</v>
      </c>
      <c r="R50" s="532">
        <f>((F50*H50*((1-Q50)/Q50)*1000000))/35.31</f>
        <v>3456401.8691588789</v>
      </c>
      <c r="S50" s="604">
        <f>((R50*$D$5)/($D$7*$F$8))*0.00000110231</f>
        <v>6857.7949857352878</v>
      </c>
      <c r="T50" s="605">
        <f t="shared" ref="T50:V50" si="25">2.75*M50</f>
        <v>2792.5070939330135</v>
      </c>
      <c r="U50" s="532">
        <f t="shared" si="25"/>
        <v>0</v>
      </c>
      <c r="V50" s="534">
        <f t="shared" si="25"/>
        <v>0</v>
      </c>
      <c r="W50" s="606">
        <f>(((F50*G50)*((1-Q50)/Q50))*1000000/35.31)*($D$6/($D$7*$F$8))*0.0000011023</f>
        <v>3333.347409124287</v>
      </c>
      <c r="X50" s="584">
        <f>(((C50*G50)*(1-$D$16))*1000000/35.31)*($D$6/($D$7*$F$8))*0.0000011023</f>
        <v>20.309142501331024</v>
      </c>
      <c r="Y50" s="586">
        <f>(((D50*G50)*(1-$D$17))*1000000/35.31)*($D$6/($D$7*$F$8))*0.0000011023</f>
        <v>0</v>
      </c>
      <c r="Z50" s="587">
        <f>(((E50*G50)*(1-$D$18))*1000000/35.31)*($D$6/($D$7*$F$8))*0.0000011023</f>
        <v>0</v>
      </c>
      <c r="AA50" s="607"/>
      <c r="AB50" s="607"/>
      <c r="AC50" s="607"/>
    </row>
    <row r="51" spans="1:29" ht="12.75" x14ac:dyDescent="0.2">
      <c r="A51" s="517"/>
      <c r="B51" s="574"/>
      <c r="C51" s="575"/>
      <c r="D51" s="537"/>
      <c r="E51" s="576"/>
      <c r="F51" s="632"/>
      <c r="G51" s="578"/>
      <c r="H51" s="579"/>
      <c r="I51" s="580"/>
      <c r="J51" s="586"/>
      <c r="K51" s="587"/>
      <c r="L51" s="583"/>
      <c r="M51" s="584"/>
      <c r="N51" s="586"/>
      <c r="O51" s="587"/>
      <c r="P51" s="602"/>
      <c r="Q51" s="603"/>
      <c r="R51" s="532"/>
      <c r="S51" s="604"/>
      <c r="T51" s="605"/>
      <c r="U51" s="532"/>
      <c r="V51" s="534"/>
      <c r="W51" s="606"/>
      <c r="X51" s="584"/>
      <c r="Y51" s="586"/>
      <c r="Z51" s="587"/>
      <c r="AA51" s="607"/>
      <c r="AB51" s="607"/>
      <c r="AC51" s="607"/>
    </row>
    <row r="52" spans="1:29" ht="12.75" x14ac:dyDescent="0.2">
      <c r="A52" s="517"/>
      <c r="B52" s="574" t="s">
        <v>1627</v>
      </c>
      <c r="C52" s="584">
        <v>54.414977280000002</v>
      </c>
      <c r="D52" s="537">
        <v>0</v>
      </c>
      <c r="E52" s="576">
        <v>0</v>
      </c>
      <c r="F52" s="633">
        <f>SUM(C52:E52)</f>
        <v>54.414977280000002</v>
      </c>
      <c r="G52" s="578">
        <v>0.5</v>
      </c>
      <c r="H52" s="579">
        <v>0.5</v>
      </c>
      <c r="I52" s="580">
        <f>C52*G52</f>
        <v>27.207488640000001</v>
      </c>
      <c r="J52" s="586">
        <f>D52*G52</f>
        <v>0</v>
      </c>
      <c r="K52" s="587">
        <f>E52*G52</f>
        <v>0</v>
      </c>
      <c r="L52" s="583">
        <f>SUM(I52:K52)</f>
        <v>27.207488640000001</v>
      </c>
      <c r="M52" s="584">
        <f t="shared" ref="M52:O52" si="26">((I52*1000000)/35.31)*($D$6/($D$7*$F$8))*0.0000011023</f>
        <v>557.3247760790282</v>
      </c>
      <c r="N52" s="586">
        <f t="shared" si="26"/>
        <v>0</v>
      </c>
      <c r="O52" s="587">
        <f t="shared" si="26"/>
        <v>0</v>
      </c>
      <c r="P52" s="618">
        <v>82.61</v>
      </c>
      <c r="Q52" s="603">
        <f>L52/P52</f>
        <v>0.3293486096114272</v>
      </c>
      <c r="R52" s="532">
        <f>((F52*H52*((1-Q52)/Q52)*1000000))/35.31</f>
        <v>1569031.7575757576</v>
      </c>
      <c r="S52" s="604">
        <f>((R52*$D$5)/($D$7*$F$8))*0.00000110231</f>
        <v>3113.0923216925999</v>
      </c>
      <c r="T52" s="605">
        <f t="shared" ref="T52:V52" si="27">2.75*M52</f>
        <v>1532.6431342173275</v>
      </c>
      <c r="U52" s="532">
        <f t="shared" si="27"/>
        <v>0</v>
      </c>
      <c r="V52" s="534">
        <f t="shared" si="27"/>
        <v>0</v>
      </c>
      <c r="W52" s="606">
        <f>(((F52*G52)*((1-Q52)/Q52))*1000000/35.31)*($D$6/($D$7*$F$8))*0.0000011023</f>
        <v>1134.8784390387534</v>
      </c>
      <c r="X52" s="584">
        <f>(((C52*G52)*(1-$D$16))*1000000/35.31)*($D$6/($D$7*$F$8))*0.0000011023</f>
        <v>11.146495521580572</v>
      </c>
      <c r="Y52" s="586">
        <f>(((D52*G52)*(1-$D$17))*1000000/35.31)*($D$6/($D$7*$F$8))*0.0000011023</f>
        <v>0</v>
      </c>
      <c r="Z52" s="587">
        <f>(((E52*G52)*(1-$D$18))*1000000/35.31)*($D$6/($D$7*$F$8))*0.0000011023</f>
        <v>0</v>
      </c>
      <c r="AA52" s="607"/>
      <c r="AB52" s="607"/>
      <c r="AC52" s="607"/>
    </row>
    <row r="53" spans="1:29" ht="12.75" x14ac:dyDescent="0.2">
      <c r="A53" s="517"/>
      <c r="B53" s="574"/>
      <c r="C53" s="575"/>
      <c r="D53" s="537"/>
      <c r="E53" s="576"/>
      <c r="F53" s="632"/>
      <c r="G53" s="578"/>
      <c r="H53" s="579"/>
      <c r="I53" s="580"/>
      <c r="J53" s="586"/>
      <c r="K53" s="587"/>
      <c r="L53" s="583"/>
      <c r="M53" s="584"/>
      <c r="N53" s="586"/>
      <c r="O53" s="587"/>
      <c r="P53" s="602"/>
      <c r="Q53" s="603"/>
      <c r="R53" s="532"/>
      <c r="S53" s="604"/>
      <c r="T53" s="605"/>
      <c r="U53" s="532"/>
      <c r="V53" s="534"/>
      <c r="W53" s="606"/>
      <c r="X53" s="584"/>
      <c r="Y53" s="586"/>
      <c r="Z53" s="587"/>
      <c r="AA53" s="607"/>
      <c r="AB53" s="607"/>
      <c r="AC53" s="607"/>
    </row>
    <row r="54" spans="1:29" ht="12.75" x14ac:dyDescent="0.2">
      <c r="A54" s="517"/>
      <c r="B54" s="574" t="s">
        <v>1630</v>
      </c>
      <c r="C54" s="580">
        <v>168.7176</v>
      </c>
      <c r="D54" s="537">
        <v>0</v>
      </c>
      <c r="E54" s="576">
        <v>0</v>
      </c>
      <c r="F54" s="631">
        <f>SUM(C54:E54)</f>
        <v>168.7176</v>
      </c>
      <c r="G54" s="578">
        <v>0.41</v>
      </c>
      <c r="H54" s="579">
        <v>0.5</v>
      </c>
      <c r="I54" s="580">
        <f>C54*G54</f>
        <v>69.174216000000001</v>
      </c>
      <c r="J54" s="586">
        <f>D54*G54</f>
        <v>0</v>
      </c>
      <c r="K54" s="587">
        <f>E54*G54</f>
        <v>0</v>
      </c>
      <c r="L54" s="583">
        <f>SUM(I54:K54)</f>
        <v>69.174216000000001</v>
      </c>
      <c r="M54" s="584">
        <f t="shared" ref="M54:O54" si="28">((I54*1000000)/35.31)*($D$6/($D$7*$F$8))*0.0000011023</f>
        <v>1416.9813668859929</v>
      </c>
      <c r="N54" s="586">
        <f t="shared" si="28"/>
        <v>0</v>
      </c>
      <c r="O54" s="587">
        <f t="shared" si="28"/>
        <v>0</v>
      </c>
      <c r="P54" s="618">
        <v>243.2</v>
      </c>
      <c r="Q54" s="603">
        <f>L54/P54</f>
        <v>0.28443345394736846</v>
      </c>
      <c r="R54" s="532">
        <f>((F54*H54*((1-Q54)/Q54)*1000000))/35.31</f>
        <v>6010381.3609079141</v>
      </c>
      <c r="S54" s="604">
        <f>((R54*$D$5)/($D$7*$F$8))*0.00000110231</f>
        <v>11925.107299291441</v>
      </c>
      <c r="T54" s="605">
        <f t="shared" ref="T54:V54" si="29">2.75*M54</f>
        <v>3896.6987589364803</v>
      </c>
      <c r="U54" s="532">
        <f t="shared" si="29"/>
        <v>0</v>
      </c>
      <c r="V54" s="534">
        <f t="shared" si="29"/>
        <v>0</v>
      </c>
      <c r="W54" s="606">
        <f>(((F54*G54)*((1-Q54)/Q54))*1000000/35.31)*($D$6/($D$7*$F$8))*0.0000011023</f>
        <v>3564.7862389322418</v>
      </c>
      <c r="X54" s="584">
        <f>(((C54*G54)*(1-$D$16))*1000000/35.31)*($D$6/($D$7*$F$8))*0.0000011023</f>
        <v>28.339627337719886</v>
      </c>
      <c r="Y54" s="586">
        <f>(((D54*G54)*(1-$D$17))*1000000/35.31)*($D$6/($D$7*$F$8))*0.0000011023</f>
        <v>0</v>
      </c>
      <c r="Z54" s="587">
        <f>(((E54*G54)*(1-$D$18))*1000000/35.31)*($D$6/($D$7*$F$8))*0.0000011023</f>
        <v>0</v>
      </c>
      <c r="AA54" s="607"/>
      <c r="AB54" s="607"/>
      <c r="AC54" s="607"/>
    </row>
    <row r="55" spans="1:29" ht="12.75" x14ac:dyDescent="0.2">
      <c r="A55" s="517"/>
      <c r="B55" s="574"/>
      <c r="C55" s="575"/>
      <c r="D55" s="537"/>
      <c r="E55" s="576"/>
      <c r="F55" s="632"/>
      <c r="G55" s="578"/>
      <c r="H55" s="579"/>
      <c r="I55" s="580"/>
      <c r="J55" s="586"/>
      <c r="K55" s="587"/>
      <c r="L55" s="583"/>
      <c r="M55" s="584"/>
      <c r="N55" s="586"/>
      <c r="O55" s="587"/>
      <c r="P55" s="602"/>
      <c r="Q55" s="603"/>
      <c r="R55" s="532"/>
      <c r="S55" s="604"/>
      <c r="T55" s="605"/>
      <c r="U55" s="532"/>
      <c r="V55" s="534"/>
      <c r="W55" s="606"/>
      <c r="X55" s="584"/>
      <c r="Y55" s="586"/>
      <c r="Z55" s="587"/>
      <c r="AA55" s="607"/>
      <c r="AB55" s="607"/>
      <c r="AC55" s="607"/>
    </row>
    <row r="56" spans="1:29" ht="12.75" x14ac:dyDescent="0.2">
      <c r="A56" s="517"/>
      <c r="B56" s="574" t="s">
        <v>1635</v>
      </c>
      <c r="C56" s="575">
        <v>27.83</v>
      </c>
      <c r="D56" s="537">
        <v>0</v>
      </c>
      <c r="E56" s="576">
        <v>0</v>
      </c>
      <c r="F56" s="628">
        <f>SUM(C56:E56)</f>
        <v>27.83</v>
      </c>
      <c r="G56" s="578">
        <v>0.45500000000000002</v>
      </c>
      <c r="H56" s="579">
        <v>0.29099999999999998</v>
      </c>
      <c r="I56" s="580">
        <f>C56*G56</f>
        <v>12.662649999999999</v>
      </c>
      <c r="J56" s="586">
        <f>D56*G56</f>
        <v>0</v>
      </c>
      <c r="K56" s="587">
        <f>E56*G56</f>
        <v>0</v>
      </c>
      <c r="L56" s="583">
        <f>SUM(I56:K56)</f>
        <v>12.662649999999999</v>
      </c>
      <c r="M56" s="584">
        <f t="shared" ref="M56:O56" si="30">((I56*1000000)/35.31)*($D$6/($D$7*$F$8))*0.0000011023</f>
        <v>259.38478443180213</v>
      </c>
      <c r="N56" s="586">
        <f t="shared" si="30"/>
        <v>0</v>
      </c>
      <c r="O56" s="587">
        <f t="shared" si="30"/>
        <v>0</v>
      </c>
      <c r="P56" s="618">
        <v>69.37</v>
      </c>
      <c r="Q56" s="603">
        <f>L56/P56</f>
        <v>0.18253784056508576</v>
      </c>
      <c r="R56" s="532">
        <f>((F56*H56*((1-Q56)/Q56)*1000000))/35.31</f>
        <v>1027124.8284425855</v>
      </c>
      <c r="S56" s="604">
        <f>((R56*$D$5)/($D$7*$F$8))*0.00000110231</f>
        <v>2037.9029305211852</v>
      </c>
      <c r="T56" s="605">
        <f t="shared" ref="T56:V56" si="31">2.75*M56</f>
        <v>713.30815718745589</v>
      </c>
      <c r="U56" s="532">
        <f t="shared" si="31"/>
        <v>0</v>
      </c>
      <c r="V56" s="534">
        <f t="shared" si="31"/>
        <v>0</v>
      </c>
      <c r="W56" s="606">
        <f>(((F56*G56)*((1-Q56)/Q56))*1000000/35.31)*($D$6/($D$7*$F$8))*0.0000011023</f>
        <v>1161.607069250809</v>
      </c>
      <c r="X56" s="584">
        <f>(((C56*G56)*(1-$D$16))*1000000/35.31)*($D$6/($D$7*$F$8))*0.0000011023</f>
        <v>5.1876956886360484</v>
      </c>
      <c r="Y56" s="586">
        <f>(((D56*G56)*(1-$D$17))*1000000/35.31)*($D$6/($D$7*$F$8))*0.0000011023</f>
        <v>0</v>
      </c>
      <c r="Z56" s="587">
        <f>(((E56*G56)*(1-$D$18))*1000000/35.31)*($D$6/($D$7*$F$8))*0.0000011023</f>
        <v>0</v>
      </c>
      <c r="AA56" s="607"/>
      <c r="AB56" s="607"/>
      <c r="AC56" s="607"/>
    </row>
    <row r="57" spans="1:29" ht="12.75" x14ac:dyDescent="0.2">
      <c r="A57" s="517"/>
      <c r="B57" s="574"/>
      <c r="C57" s="575"/>
      <c r="D57" s="537"/>
      <c r="E57" s="576"/>
      <c r="F57" s="632"/>
      <c r="G57" s="578"/>
      <c r="H57" s="579"/>
      <c r="I57" s="580"/>
      <c r="J57" s="586"/>
      <c r="K57" s="587"/>
      <c r="L57" s="583"/>
      <c r="M57" s="584"/>
      <c r="N57" s="586"/>
      <c r="O57" s="587"/>
      <c r="P57" s="602"/>
      <c r="Q57" s="603"/>
      <c r="R57" s="532"/>
      <c r="S57" s="604"/>
      <c r="T57" s="605"/>
      <c r="U57" s="532"/>
      <c r="V57" s="534"/>
      <c r="W57" s="606"/>
      <c r="X57" s="584"/>
      <c r="Y57" s="586"/>
      <c r="Z57" s="587"/>
      <c r="AA57" s="607"/>
      <c r="AB57" s="607"/>
      <c r="AC57" s="607"/>
    </row>
    <row r="58" spans="1:29" ht="12.75" x14ac:dyDescent="0.2">
      <c r="A58" s="517"/>
      <c r="B58" s="574" t="s">
        <v>1639</v>
      </c>
      <c r="C58" s="575">
        <v>495.43</v>
      </c>
      <c r="D58" s="537">
        <v>0</v>
      </c>
      <c r="E58" s="576">
        <v>0</v>
      </c>
      <c r="F58" s="628">
        <f>SUM(C58:E58)</f>
        <v>495.43</v>
      </c>
      <c r="G58" s="578">
        <v>0.55000000000000004</v>
      </c>
      <c r="H58" s="579">
        <v>0.33800000000000002</v>
      </c>
      <c r="I58" s="580">
        <f>C58*G58</f>
        <v>272.48650000000004</v>
      </c>
      <c r="J58" s="586">
        <f>D58*G58</f>
        <v>0</v>
      </c>
      <c r="K58" s="587">
        <f>E58*G58</f>
        <v>0</v>
      </c>
      <c r="L58" s="583">
        <f>SUM(I58:K58)</f>
        <v>272.48650000000004</v>
      </c>
      <c r="M58" s="584">
        <f t="shared" ref="M58:O58" si="32">((I58*1000000)/35.31)*($D$6/($D$7*$F$8))*0.0000011023</f>
        <v>5581.6793533009504</v>
      </c>
      <c r="N58" s="586">
        <f t="shared" si="32"/>
        <v>0</v>
      </c>
      <c r="O58" s="587">
        <f t="shared" si="32"/>
        <v>0</v>
      </c>
      <c r="P58" s="625">
        <v>366.73822341857334</v>
      </c>
      <c r="Q58" s="671">
        <v>0.74299999999999999</v>
      </c>
      <c r="R58" s="532">
        <f>((F58*H58*((1-Q58)/Q58)*1000000))/35.31</f>
        <v>1640384.2596986583</v>
      </c>
      <c r="S58" s="604">
        <f>((R58*$D$5)/($D$7*$F$8))*0.00000110231</f>
        <v>3254.6617484552276</v>
      </c>
      <c r="T58" s="605">
        <f t="shared" ref="T58:V58" si="33">2.75*M58</f>
        <v>15349.618221577613</v>
      </c>
      <c r="U58" s="532">
        <f t="shared" si="33"/>
        <v>0</v>
      </c>
      <c r="V58" s="534">
        <f t="shared" si="33"/>
        <v>0</v>
      </c>
      <c r="W58" s="606">
        <f>(((F58*G58)*((1-Q58)/Q58))*1000000/35.31)*($D$6/($D$7*$F$8))*0.0000011023</f>
        <v>1930.6750925953488</v>
      </c>
      <c r="X58" s="584">
        <f>(((C58*G58)*(1-$D$16))*1000000/35.31)*($D$6/($D$7*$F$8))*0.0000011023</f>
        <v>111.63358706601909</v>
      </c>
      <c r="Y58" s="586">
        <f>(((D58*G58)*(1-$D$17))*1000000/35.31)*($D$6/($D$7*$F$8))*0.0000011023</f>
        <v>0</v>
      </c>
      <c r="Z58" s="587">
        <f>(((E58*G58)*(1-$D$18))*1000000/35.31)*($D$6/($D$7*$F$8))*0.0000011023</f>
        <v>0</v>
      </c>
      <c r="AA58" s="607"/>
      <c r="AB58" s="607"/>
      <c r="AC58" s="607"/>
    </row>
    <row r="59" spans="1:29" ht="12.75" x14ac:dyDescent="0.2">
      <c r="A59" s="517"/>
      <c r="B59" s="574"/>
      <c r="C59" s="575"/>
      <c r="D59" s="537"/>
      <c r="E59" s="576"/>
      <c r="F59" s="628"/>
      <c r="G59" s="578"/>
      <c r="H59" s="579"/>
      <c r="I59" s="575"/>
      <c r="J59" s="537"/>
      <c r="K59" s="576"/>
      <c r="L59" s="675"/>
      <c r="M59" s="584"/>
      <c r="N59" s="586"/>
      <c r="O59" s="587"/>
      <c r="P59" s="676"/>
      <c r="Q59" s="260"/>
      <c r="R59" s="586"/>
      <c r="S59" s="678"/>
      <c r="T59" s="605"/>
      <c r="U59" s="532"/>
      <c r="V59" s="587"/>
      <c r="W59" s="679"/>
      <c r="X59" s="584"/>
      <c r="Y59" s="586"/>
      <c r="Z59" s="587"/>
      <c r="AA59" s="607"/>
      <c r="AB59" s="607"/>
      <c r="AC59" s="607"/>
    </row>
    <row r="60" spans="1:29" ht="12.75" x14ac:dyDescent="0.2">
      <c r="A60" s="517"/>
      <c r="B60" s="574" t="s">
        <v>1569</v>
      </c>
      <c r="C60" s="580">
        <v>26.211849000000001</v>
      </c>
      <c r="D60" s="537">
        <v>0</v>
      </c>
      <c r="E60" s="576">
        <v>0</v>
      </c>
      <c r="F60" s="631">
        <f>SUM(C60:E60)</f>
        <v>26.211849000000001</v>
      </c>
      <c r="G60" s="578">
        <v>0.247</v>
      </c>
      <c r="H60" s="579">
        <v>0.153</v>
      </c>
      <c r="I60" s="580">
        <f>C60*G60</f>
        <v>6.474326703</v>
      </c>
      <c r="J60" s="586">
        <f>D60*G60</f>
        <v>0</v>
      </c>
      <c r="K60" s="587">
        <f>E60*G60</f>
        <v>0</v>
      </c>
      <c r="L60" s="583">
        <f>SUM(I60:K60)</f>
        <v>6.474326703</v>
      </c>
      <c r="M60" s="584">
        <f t="shared" ref="M60:O60" si="34">((I60*1000000)/35.31)*($D$6/($D$7*$F$8))*0.0000011023</f>
        <v>132.6216736779991</v>
      </c>
      <c r="N60" s="586">
        <f t="shared" si="34"/>
        <v>0</v>
      </c>
      <c r="O60" s="587">
        <f t="shared" si="34"/>
        <v>0</v>
      </c>
      <c r="P60" s="618">
        <v>22.08</v>
      </c>
      <c r="Q60" s="603">
        <f>L60/P60</f>
        <v>0.29322131807065221</v>
      </c>
      <c r="R60" s="532">
        <f>((F60*H60*((1-Q60)/Q60)*1000000))/35.31</f>
        <v>273765.84885989554</v>
      </c>
      <c r="S60" s="604">
        <f>((R60*$D$5)/($D$7*$F$8))*0.00000110231</f>
        <v>543.17470498123305</v>
      </c>
      <c r="T60" s="605">
        <f t="shared" ref="T60:V60" si="35">2.75*M60</f>
        <v>364.7096026144975</v>
      </c>
      <c r="U60" s="532">
        <f t="shared" si="35"/>
        <v>0</v>
      </c>
      <c r="V60" s="534">
        <f t="shared" si="35"/>
        <v>0</v>
      </c>
      <c r="W60" s="606">
        <f>(((F60*G60)*((1-Q60)/Q60))*1000000/35.31)*($D$6/($D$7*$F$8))*0.0000011023</f>
        <v>319.67038527128801</v>
      </c>
      <c r="X60" s="584">
        <f>(((C60*G60)*(1-$D$16))*1000000/35.31)*($D$6/($D$7*$F$8))*0.0000011023</f>
        <v>2.6524334735599839</v>
      </c>
      <c r="Y60" s="586">
        <f>(((D60*G60)*(1-$D$17))*1000000/35.31)*($D$6/($D$7*$F$8))*0.0000011023</f>
        <v>0</v>
      </c>
      <c r="Z60" s="587">
        <f>(((E60*G60)*(1-$D$18))*1000000/35.31)*($D$6/($D$7*$F$8))*0.0000011023</f>
        <v>0</v>
      </c>
      <c r="AA60" s="607"/>
      <c r="AB60" s="607"/>
      <c r="AC60" s="607"/>
    </row>
    <row r="61" spans="1:29" ht="12.75" x14ac:dyDescent="0.2">
      <c r="A61" s="517"/>
      <c r="B61" s="611"/>
      <c r="C61" s="612"/>
      <c r="D61" s="608"/>
      <c r="E61" s="613"/>
      <c r="F61" s="628"/>
      <c r="G61" s="608"/>
      <c r="H61" s="615"/>
      <c r="I61" s="612"/>
      <c r="J61" s="608"/>
      <c r="K61" s="613"/>
      <c r="L61" s="616"/>
      <c r="M61" s="612"/>
      <c r="N61" s="608"/>
      <c r="O61" s="613"/>
      <c r="P61" s="614"/>
      <c r="Q61" s="276"/>
      <c r="R61" s="608"/>
      <c r="S61" s="615"/>
      <c r="T61" s="612"/>
      <c r="U61" s="608"/>
      <c r="V61" s="613"/>
      <c r="W61" s="616"/>
      <c r="X61" s="612"/>
      <c r="Y61" s="608"/>
      <c r="Z61" s="613"/>
      <c r="AA61" s="2"/>
      <c r="AB61" s="2"/>
      <c r="AC61" s="2"/>
    </row>
    <row r="62" spans="1:29" ht="12.75" x14ac:dyDescent="0.2">
      <c r="A62" s="517"/>
      <c r="B62" s="574" t="s">
        <v>1578</v>
      </c>
      <c r="C62" s="580">
        <v>142.90835999999999</v>
      </c>
      <c r="D62" s="537">
        <v>0</v>
      </c>
      <c r="E62" s="576">
        <v>0</v>
      </c>
      <c r="F62" s="631">
        <f>SUM(C62:E62)</f>
        <v>142.90835999999999</v>
      </c>
      <c r="G62" s="578">
        <v>0.38900000000000001</v>
      </c>
      <c r="H62" s="579">
        <v>0.29299999999999998</v>
      </c>
      <c r="I62" s="580">
        <f>C62*G62</f>
        <v>55.591352039999997</v>
      </c>
      <c r="J62" s="586">
        <f>D62*G62</f>
        <v>0</v>
      </c>
      <c r="K62" s="587">
        <f>E62*G62</f>
        <v>0</v>
      </c>
      <c r="L62" s="583">
        <f>SUM(I62:K62)</f>
        <v>55.591352039999997</v>
      </c>
      <c r="M62" s="584">
        <f t="shared" ref="M62:O62" si="36">((I62*1000000)/35.31)*($D$6/($D$7*$F$8))*0.0000011023</f>
        <v>1138.7466971895949</v>
      </c>
      <c r="N62" s="586">
        <f t="shared" si="36"/>
        <v>0</v>
      </c>
      <c r="O62" s="587">
        <f t="shared" si="36"/>
        <v>0</v>
      </c>
      <c r="P62" s="618">
        <v>170.5</v>
      </c>
      <c r="Q62" s="603">
        <f>L62/P62</f>
        <v>0.32604898557184747</v>
      </c>
      <c r="R62" s="532">
        <f>((F62*H62*((1-Q62)/Q62)*1000000))/35.31</f>
        <v>2451167.6493168478</v>
      </c>
      <c r="S62" s="604">
        <f>((R62*$D$5)/($D$7*$F$8))*0.00000110231</f>
        <v>4863.3248826393783</v>
      </c>
      <c r="T62" s="605">
        <f t="shared" ref="T62:V62" si="37">2.75*M62</f>
        <v>3131.553417271386</v>
      </c>
      <c r="U62" s="532">
        <f t="shared" si="37"/>
        <v>0</v>
      </c>
      <c r="V62" s="534">
        <f t="shared" si="37"/>
        <v>0</v>
      </c>
      <c r="W62" s="606">
        <f>(((F62*G62)*((1-Q62)/Q62))*1000000/35.31)*($D$6/($D$7*$F$8))*0.0000011023</f>
        <v>2353.8165297512328</v>
      </c>
      <c r="X62" s="584">
        <f>(((C62*G62)*(1-$D$16))*1000000/35.31)*($D$6/($D$7*$F$8))*0.0000011023</f>
        <v>22.774933943791918</v>
      </c>
      <c r="Y62" s="586">
        <f>(((D62*G62)*(1-$D$17))*1000000/35.31)*($D$6/($D$7*$F$8))*0.0000011023</f>
        <v>0</v>
      </c>
      <c r="Z62" s="587">
        <f>(((E62*G62)*(1-$D$18))*1000000/35.31)*($D$6/($D$7*$F$8))*0.0000011023</f>
        <v>0</v>
      </c>
      <c r="AA62" s="426"/>
      <c r="AB62" s="426"/>
      <c r="AC62" s="426"/>
    </row>
    <row r="63" spans="1:29" ht="12.75" x14ac:dyDescent="0.2">
      <c r="A63" s="517"/>
      <c r="B63" s="682"/>
      <c r="C63" s="683"/>
      <c r="D63" s="645"/>
      <c r="E63" s="684"/>
      <c r="F63" s="685"/>
      <c r="G63" s="686"/>
      <c r="H63" s="687"/>
      <c r="I63" s="683"/>
      <c r="J63" s="645"/>
      <c r="K63" s="684"/>
      <c r="L63" s="688"/>
      <c r="M63" s="689"/>
      <c r="N63" s="690"/>
      <c r="O63" s="691"/>
      <c r="P63" s="692"/>
      <c r="Q63" s="693"/>
      <c r="R63" s="694"/>
      <c r="S63" s="695"/>
      <c r="T63" s="689"/>
      <c r="U63" s="690"/>
      <c r="V63" s="691"/>
      <c r="W63" s="696"/>
      <c r="X63" s="697"/>
      <c r="Y63" s="694"/>
      <c r="Z63" s="698"/>
      <c r="AA63" s="426"/>
      <c r="AB63" s="426"/>
      <c r="AC63" s="426"/>
    </row>
    <row r="64" spans="1:29" ht="12.75" x14ac:dyDescent="0.2">
      <c r="A64" s="517"/>
      <c r="B64" s="699" t="s">
        <v>102</v>
      </c>
      <c r="C64" s="700"/>
      <c r="D64" s="701"/>
      <c r="E64" s="702"/>
      <c r="F64" s="703"/>
      <c r="G64" s="701"/>
      <c r="H64" s="704"/>
      <c r="I64" s="700"/>
      <c r="J64" s="701"/>
      <c r="K64" s="702"/>
      <c r="L64" s="705"/>
      <c r="M64" s="706">
        <f>SUM(M26:M63)</f>
        <v>32735.835779718938</v>
      </c>
      <c r="N64" s="657">
        <f t="shared" ref="N64:O64" si="38">SUM(N26:N58)</f>
        <v>4360.5084105858214</v>
      </c>
      <c r="O64" s="658">
        <f t="shared" si="38"/>
        <v>16914.705233529305</v>
      </c>
      <c r="P64" s="707"/>
      <c r="Q64" s="657"/>
      <c r="R64" s="708"/>
      <c r="S64" s="709"/>
      <c r="T64" s="706">
        <f t="shared" ref="T64:Z64" si="39">SUM(T26:T63)</f>
        <v>90023.548394227066</v>
      </c>
      <c r="U64" s="657">
        <f t="shared" si="39"/>
        <v>11991.398129111009</v>
      </c>
      <c r="V64" s="658">
        <f t="shared" si="39"/>
        <v>46515.439392205597</v>
      </c>
      <c r="W64" s="710">
        <f t="shared" si="39"/>
        <v>45742.535205807922</v>
      </c>
      <c r="X64" s="706">
        <f t="shared" si="39"/>
        <v>654.71671559437925</v>
      </c>
      <c r="Y64" s="657">
        <f t="shared" si="39"/>
        <v>8.7210168211716503</v>
      </c>
      <c r="Z64" s="658">
        <f t="shared" si="39"/>
        <v>307.59713849594993</v>
      </c>
      <c r="AA64" s="425"/>
      <c r="AB64" s="425"/>
      <c r="AC64" s="425"/>
    </row>
    <row r="65" spans="1:29" ht="12.75" x14ac:dyDescent="0.2">
      <c r="A65" s="517"/>
      <c r="B65" s="517"/>
      <c r="C65" s="517"/>
      <c r="D65" s="517"/>
      <c r="E65" s="517"/>
      <c r="F65" s="517"/>
      <c r="G65" s="517"/>
      <c r="H65" s="517"/>
      <c r="I65" s="517"/>
      <c r="J65" s="517"/>
      <c r="K65" s="517"/>
      <c r="L65" s="517"/>
      <c r="M65" s="517"/>
      <c r="N65" s="517"/>
      <c r="O65" s="517"/>
      <c r="P65" s="517"/>
      <c r="Q65" s="517"/>
      <c r="R65" s="517"/>
      <c r="S65" s="517"/>
      <c r="T65" s="517"/>
      <c r="U65" s="517"/>
      <c r="V65" s="517"/>
      <c r="W65" s="517"/>
      <c r="X65" s="517"/>
      <c r="Y65" s="517"/>
      <c r="Z65" s="517"/>
      <c r="AA65" s="2"/>
      <c r="AB65" s="2"/>
      <c r="AC65" s="2"/>
    </row>
    <row r="66" spans="1:29" ht="12.75" x14ac:dyDescent="0.2">
      <c r="A66" s="517"/>
      <c r="B66" s="517"/>
      <c r="C66" s="517"/>
      <c r="D66" s="517"/>
      <c r="E66" s="517"/>
      <c r="F66" s="517"/>
      <c r="G66" s="517"/>
      <c r="H66" s="517"/>
      <c r="I66" s="517"/>
      <c r="J66" s="517"/>
      <c r="K66" s="517"/>
      <c r="L66" s="517"/>
      <c r="M66" s="517"/>
      <c r="N66" s="517" t="s">
        <v>1649</v>
      </c>
      <c r="O66" s="517"/>
      <c r="P66" s="517"/>
      <c r="Q66" s="517"/>
      <c r="R66" s="711">
        <f>(1/$Q$58)*$F$58*$G$58</f>
        <v>366.73822341857334</v>
      </c>
      <c r="S66" s="517" t="s">
        <v>1650</v>
      </c>
      <c r="T66" s="712">
        <f>((R66*1000000)/35.31)*($D$6/($D$7*$F$8))*0.0000011023</f>
        <v>7512.354445896297</v>
      </c>
      <c r="U66" s="517" t="s">
        <v>949</v>
      </c>
      <c r="V66" s="517"/>
      <c r="W66" s="517"/>
      <c r="X66" s="517"/>
      <c r="Y66" s="517"/>
      <c r="Z66" s="517"/>
      <c r="AA66" s="2"/>
      <c r="AB66" s="2"/>
      <c r="AC66" s="2"/>
    </row>
    <row r="67" spans="1:29" ht="12.75" x14ac:dyDescent="0.2">
      <c r="A67" s="517"/>
      <c r="B67" s="517"/>
      <c r="C67" s="517"/>
      <c r="D67" s="517"/>
      <c r="E67" s="517"/>
      <c r="F67" s="517"/>
      <c r="G67" s="517"/>
      <c r="H67" s="517"/>
      <c r="I67" s="517"/>
      <c r="J67" s="517"/>
      <c r="K67" s="517"/>
      <c r="L67" s="517"/>
      <c r="M67" s="517"/>
      <c r="N67" s="517" t="s">
        <v>1651</v>
      </c>
      <c r="O67" s="517"/>
      <c r="P67" s="517"/>
      <c r="Q67" s="517"/>
      <c r="R67" s="711">
        <f>(1/$Q$58)*$F$58*$H$58</f>
        <v>225.37730820995961</v>
      </c>
      <c r="S67" s="517" t="s">
        <v>1650</v>
      </c>
      <c r="T67" s="712">
        <f>((R67*1000000)/35.31)*($D$5/($D$7*$F$8))*0.0000011023</f>
        <v>12663.938609437322</v>
      </c>
      <c r="U67" s="517" t="s">
        <v>949</v>
      </c>
      <c r="V67" s="538"/>
      <c r="W67" s="517"/>
      <c r="X67" s="517"/>
      <c r="Y67" s="517"/>
      <c r="Z67" s="517"/>
      <c r="AA67" s="517"/>
      <c r="AB67" s="517"/>
      <c r="AC67" s="517"/>
    </row>
    <row r="68" spans="1:29" ht="12.75" x14ac:dyDescent="0.2">
      <c r="A68" s="517"/>
      <c r="B68" s="517"/>
      <c r="C68" s="517"/>
      <c r="D68" s="517"/>
      <c r="E68" s="517"/>
      <c r="F68" s="517"/>
      <c r="G68" s="517"/>
      <c r="H68" s="517"/>
      <c r="I68" s="517"/>
      <c r="J68" s="517"/>
      <c r="K68" s="517"/>
      <c r="L68" s="517"/>
      <c r="M68" s="517"/>
      <c r="N68" s="517"/>
      <c r="O68" s="517"/>
      <c r="P68" s="517"/>
      <c r="Q68" s="517"/>
      <c r="R68" s="713"/>
      <c r="S68" s="517"/>
      <c r="T68" s="714"/>
      <c r="U68" s="517"/>
      <c r="V68" s="517"/>
      <c r="W68" s="517"/>
      <c r="X68" s="517"/>
      <c r="Y68" s="517"/>
      <c r="Z68" s="517"/>
      <c r="AA68" s="517"/>
      <c r="AB68" s="517"/>
      <c r="AC68" s="517"/>
    </row>
    <row r="69" spans="1:29" ht="12.75" x14ac:dyDescent="0.2">
      <c r="A69" s="517"/>
      <c r="B69" s="517"/>
      <c r="C69" s="517"/>
      <c r="D69" s="517"/>
      <c r="E69" s="517"/>
      <c r="F69" s="517"/>
      <c r="G69" s="517"/>
      <c r="H69" s="517"/>
      <c r="I69" s="517"/>
      <c r="J69" s="517"/>
      <c r="K69" s="517"/>
      <c r="L69" s="517"/>
      <c r="M69" s="517"/>
      <c r="N69" s="517" t="s">
        <v>1652</v>
      </c>
      <c r="O69" s="517"/>
      <c r="P69" s="517"/>
      <c r="Q69" s="517"/>
      <c r="R69" s="711">
        <f>(1/$Q$46)*$F$46*$G$46</f>
        <v>296.58365305263158</v>
      </c>
      <c r="S69" s="517" t="s">
        <v>1650</v>
      </c>
      <c r="T69" s="712">
        <f>((R69*1000000)/35.31)*($D$6/($D$7*$F$8))*0.0000011023</f>
        <v>6075.2912631284316</v>
      </c>
      <c r="U69" s="517" t="s">
        <v>949</v>
      </c>
      <c r="V69" s="517"/>
      <c r="W69" s="517"/>
      <c r="X69" s="517"/>
      <c r="Y69" s="517"/>
      <c r="Z69" s="517"/>
      <c r="AA69" s="517"/>
      <c r="AB69" s="517"/>
      <c r="AC69" s="517"/>
    </row>
    <row r="70" spans="1:29" ht="12.75" x14ac:dyDescent="0.2">
      <c r="A70" s="517"/>
      <c r="B70" s="517"/>
      <c r="C70" s="517"/>
      <c r="D70" s="517"/>
      <c r="E70" s="517"/>
      <c r="F70" s="517"/>
      <c r="G70" s="517"/>
      <c r="H70" s="517"/>
      <c r="I70" s="517"/>
      <c r="J70" s="517"/>
      <c r="K70" s="517"/>
      <c r="L70" s="517"/>
      <c r="M70" s="517"/>
      <c r="N70" s="517" t="s">
        <v>1653</v>
      </c>
      <c r="O70" s="517"/>
      <c r="P70" s="517"/>
      <c r="Q70" s="517"/>
      <c r="R70" s="711">
        <f>(1/$Q$46)*$F$46*$H$46</f>
        <v>214.53597178947368</v>
      </c>
      <c r="S70" s="517" t="s">
        <v>1650</v>
      </c>
      <c r="T70" s="712">
        <f>((R70*1000000)/35.31)*($D$5/($D$7*$F$8))*0.0000011023</f>
        <v>12054.764509508022</v>
      </c>
      <c r="U70" s="517" t="s">
        <v>949</v>
      </c>
      <c r="V70" s="517"/>
      <c r="W70" s="517"/>
      <c r="X70" s="517"/>
      <c r="Y70" s="517"/>
      <c r="Z70" s="517"/>
      <c r="AA70" s="517"/>
      <c r="AB70" s="517"/>
      <c r="AC70" s="517"/>
    </row>
    <row r="71" spans="1:29" ht="12.75" x14ac:dyDescent="0.2">
      <c r="A71" s="517"/>
      <c r="B71" s="517"/>
      <c r="C71" s="517"/>
      <c r="D71" s="517"/>
      <c r="E71" s="517"/>
      <c r="F71" s="517"/>
      <c r="G71" s="517"/>
      <c r="H71" s="517"/>
      <c r="I71" s="517"/>
      <c r="J71" s="517"/>
      <c r="K71" s="517"/>
      <c r="L71" s="517"/>
      <c r="M71" s="517"/>
      <c r="N71" s="517"/>
      <c r="O71" s="517"/>
      <c r="P71" s="517"/>
      <c r="Q71" s="517"/>
      <c r="R71" s="517"/>
      <c r="S71" s="517"/>
      <c r="T71" s="517"/>
      <c r="U71" s="517"/>
      <c r="V71" s="517"/>
      <c r="W71" s="517"/>
      <c r="X71" s="517"/>
      <c r="Y71" s="517"/>
      <c r="Z71" s="517"/>
      <c r="AA71" s="517"/>
      <c r="AB71" s="517"/>
      <c r="AC71" s="517"/>
    </row>
    <row r="72" spans="1:29" ht="11.25" customHeight="1" x14ac:dyDescent="0.2">
      <c r="A72" s="517"/>
      <c r="B72" s="517"/>
      <c r="C72" s="517"/>
      <c r="D72" s="517"/>
      <c r="E72" s="517"/>
      <c r="F72" s="517"/>
      <c r="G72" s="517"/>
      <c r="H72" s="517"/>
      <c r="I72" s="517"/>
      <c r="J72" s="517"/>
      <c r="K72" s="517"/>
      <c r="L72" s="517"/>
      <c r="M72" s="517"/>
      <c r="N72" s="517"/>
      <c r="O72" s="517"/>
      <c r="P72" s="517"/>
      <c r="Q72" s="517"/>
      <c r="R72" s="517"/>
      <c r="S72" s="517"/>
      <c r="T72" s="517"/>
      <c r="U72" s="517"/>
      <c r="V72" s="517"/>
      <c r="W72" s="517"/>
      <c r="X72" s="517"/>
      <c r="Y72" s="517"/>
      <c r="Z72" s="517"/>
      <c r="AA72" s="517"/>
      <c r="AB72" s="517"/>
      <c r="AC72" s="517"/>
    </row>
    <row r="73" spans="1:29" ht="11.25" customHeight="1" x14ac:dyDescent="0.2">
      <c r="A73" s="517"/>
      <c r="B73" s="517"/>
      <c r="C73" s="517"/>
      <c r="D73" s="517"/>
      <c r="E73" s="517"/>
      <c r="F73" s="517"/>
      <c r="G73" s="517"/>
      <c r="H73" s="517"/>
      <c r="I73" s="517"/>
      <c r="J73" s="517"/>
      <c r="K73" s="517"/>
      <c r="L73" s="517"/>
      <c r="M73" s="517"/>
      <c r="N73" s="517"/>
      <c r="O73" s="517"/>
      <c r="P73" s="517"/>
      <c r="Q73" s="517"/>
      <c r="R73" s="517"/>
      <c r="S73" s="517"/>
      <c r="T73" s="517"/>
      <c r="U73" s="517"/>
      <c r="V73" s="517"/>
      <c r="W73" s="517"/>
      <c r="X73" s="517"/>
      <c r="Y73" s="517"/>
      <c r="Z73" s="517"/>
      <c r="AA73" s="517"/>
      <c r="AB73" s="517"/>
      <c r="AC73" s="517"/>
    </row>
    <row r="74" spans="1:29" ht="11.25" customHeight="1" x14ac:dyDescent="0.2">
      <c r="A74" s="517"/>
      <c r="B74" s="517"/>
      <c r="C74" s="517"/>
      <c r="D74" s="517"/>
      <c r="E74" s="517"/>
      <c r="F74" s="517"/>
      <c r="G74" s="517"/>
      <c r="H74" s="517"/>
      <c r="I74" s="517"/>
      <c r="J74" s="517"/>
      <c r="K74" s="517"/>
      <c r="L74" s="517"/>
      <c r="M74" s="517"/>
      <c r="N74" s="517"/>
      <c r="O74" s="517"/>
      <c r="P74" s="517"/>
      <c r="Q74" s="517"/>
      <c r="R74" s="517"/>
      <c r="S74" s="517"/>
      <c r="T74" s="517"/>
      <c r="U74" s="517"/>
      <c r="V74" s="517"/>
      <c r="W74" s="517"/>
      <c r="X74" s="517"/>
      <c r="Y74" s="517"/>
      <c r="Z74" s="517"/>
      <c r="AA74" s="517"/>
      <c r="AB74" s="517"/>
      <c r="AC74" s="517"/>
    </row>
    <row r="75" spans="1:29" ht="11.25" customHeight="1" x14ac:dyDescent="0.2">
      <c r="A75" s="517"/>
      <c r="B75" s="517"/>
      <c r="C75" s="517"/>
      <c r="D75" s="517"/>
      <c r="E75" s="517"/>
      <c r="F75" s="517"/>
      <c r="G75" s="517"/>
      <c r="H75" s="517"/>
      <c r="I75" s="517"/>
      <c r="J75" s="517"/>
      <c r="K75" s="517"/>
      <c r="L75" s="517"/>
      <c r="M75" s="517"/>
      <c r="N75" s="517"/>
      <c r="O75" s="517"/>
      <c r="P75" s="517"/>
      <c r="Q75" s="517"/>
      <c r="R75" s="517"/>
      <c r="S75" s="517"/>
      <c r="T75" s="517"/>
      <c r="U75" s="517"/>
      <c r="V75" s="517"/>
      <c r="W75" s="517"/>
      <c r="X75" s="517"/>
      <c r="Y75" s="517"/>
      <c r="Z75" s="517"/>
      <c r="AA75" s="517"/>
      <c r="AB75" s="517"/>
      <c r="AC75" s="517"/>
    </row>
    <row r="76" spans="1:29" ht="11.25" customHeight="1" x14ac:dyDescent="0.2">
      <c r="A76" s="517"/>
      <c r="B76" s="517"/>
      <c r="C76" s="517"/>
      <c r="D76" s="517"/>
      <c r="E76" s="517"/>
      <c r="F76" s="517"/>
      <c r="G76" s="517"/>
      <c r="H76" s="517"/>
      <c r="I76" s="517"/>
      <c r="J76" s="517"/>
      <c r="K76" s="517"/>
      <c r="L76" s="517"/>
      <c r="M76" s="517"/>
      <c r="N76" s="517"/>
      <c r="O76" s="517"/>
      <c r="P76" s="517"/>
      <c r="Q76" s="517"/>
      <c r="R76" s="517"/>
      <c r="S76" s="517"/>
      <c r="T76" s="517"/>
      <c r="U76" s="517"/>
      <c r="V76" s="517"/>
      <c r="W76" s="517"/>
      <c r="X76" s="517"/>
      <c r="Y76" s="517"/>
      <c r="Z76" s="517"/>
      <c r="AA76" s="517"/>
      <c r="AB76" s="517"/>
      <c r="AC76" s="517"/>
    </row>
    <row r="77" spans="1:29" ht="11.25" customHeight="1" x14ac:dyDescent="0.2">
      <c r="A77" s="517"/>
      <c r="B77" s="517"/>
      <c r="C77" s="517"/>
      <c r="D77" s="517"/>
      <c r="E77" s="517"/>
      <c r="F77" s="517"/>
      <c r="G77" s="517"/>
      <c r="H77" s="517"/>
      <c r="I77" s="517"/>
      <c r="J77" s="517"/>
      <c r="K77" s="517"/>
      <c r="L77" s="517"/>
      <c r="M77" s="517"/>
      <c r="N77" s="517"/>
      <c r="O77" s="517"/>
      <c r="P77" s="517"/>
      <c r="Q77" s="517"/>
      <c r="R77" s="517"/>
      <c r="S77" s="517"/>
      <c r="T77" s="517"/>
      <c r="U77" s="517"/>
      <c r="V77" s="517"/>
      <c r="W77" s="517"/>
      <c r="X77" s="517"/>
      <c r="Y77" s="517"/>
      <c r="Z77" s="517"/>
      <c r="AA77" s="517"/>
      <c r="AB77" s="517"/>
      <c r="AC77" s="517"/>
    </row>
    <row r="78" spans="1:29" ht="11.25" customHeight="1" x14ac:dyDescent="0.2">
      <c r="A78" s="517"/>
      <c r="B78" s="517"/>
      <c r="C78" s="517"/>
      <c r="D78" s="517"/>
      <c r="E78" s="517"/>
      <c r="F78" s="517"/>
      <c r="G78" s="517"/>
      <c r="H78" s="517"/>
      <c r="I78" s="517"/>
      <c r="J78" s="517"/>
      <c r="K78" s="517"/>
      <c r="L78" s="517"/>
      <c r="M78" s="517"/>
      <c r="N78" s="517"/>
      <c r="O78" s="517"/>
      <c r="P78" s="517"/>
      <c r="Q78" s="517"/>
      <c r="R78" s="517"/>
      <c r="S78" s="517"/>
      <c r="T78" s="517"/>
      <c r="U78" s="517"/>
      <c r="V78" s="517"/>
      <c r="W78" s="517"/>
      <c r="X78" s="517"/>
      <c r="Y78" s="517"/>
      <c r="Z78" s="517"/>
      <c r="AA78" s="517"/>
      <c r="AB78" s="517"/>
      <c r="AC78" s="517"/>
    </row>
    <row r="79" spans="1:29" ht="11.25" customHeight="1" x14ac:dyDescent="0.2">
      <c r="A79" s="517"/>
      <c r="B79" s="517"/>
      <c r="C79" s="517"/>
      <c r="D79" s="517"/>
      <c r="E79" s="517"/>
      <c r="F79" s="517"/>
      <c r="G79" s="517"/>
      <c r="H79" s="517"/>
      <c r="I79" s="517"/>
      <c r="J79" s="517"/>
      <c r="K79" s="517"/>
      <c r="L79" s="517"/>
      <c r="M79" s="517"/>
      <c r="N79" s="517"/>
      <c r="O79" s="517"/>
      <c r="P79" s="517"/>
      <c r="Q79" s="517"/>
      <c r="R79" s="517"/>
      <c r="S79" s="517"/>
      <c r="T79" s="517"/>
      <c r="U79" s="517"/>
      <c r="V79" s="517"/>
      <c r="W79" s="517"/>
      <c r="X79" s="517"/>
      <c r="Y79" s="517"/>
      <c r="Z79" s="517"/>
      <c r="AA79" s="517"/>
      <c r="AB79" s="517"/>
      <c r="AC79" s="517"/>
    </row>
    <row r="80" spans="1:29" ht="11.25" customHeight="1" x14ac:dyDescent="0.2">
      <c r="A80" s="517"/>
      <c r="B80" s="517"/>
      <c r="C80" s="517"/>
      <c r="D80" s="517"/>
      <c r="E80" s="517"/>
      <c r="F80" s="517"/>
      <c r="G80" s="517"/>
      <c r="H80" s="517"/>
      <c r="I80" s="517"/>
      <c r="J80" s="517"/>
      <c r="K80" s="517"/>
      <c r="L80" s="517"/>
      <c r="M80" s="517"/>
      <c r="N80" s="517"/>
      <c r="O80" s="517"/>
      <c r="P80" s="517"/>
      <c r="Q80" s="517"/>
      <c r="R80" s="517"/>
      <c r="S80" s="517"/>
      <c r="T80" s="517"/>
      <c r="U80" s="517"/>
      <c r="V80" s="517"/>
      <c r="W80" s="517"/>
      <c r="X80" s="517"/>
      <c r="Y80" s="517"/>
      <c r="Z80" s="517"/>
      <c r="AA80" s="517"/>
      <c r="AB80" s="517"/>
      <c r="AC80" s="517"/>
    </row>
    <row r="81" spans="1:29" ht="11.25" customHeight="1" x14ac:dyDescent="0.2">
      <c r="A81" s="517"/>
      <c r="B81" s="517"/>
      <c r="C81" s="517"/>
      <c r="D81" s="517"/>
      <c r="E81" s="517"/>
      <c r="F81" s="517"/>
      <c r="G81" s="517"/>
      <c r="H81" s="517"/>
      <c r="I81" s="517"/>
      <c r="J81" s="517"/>
      <c r="K81" s="517"/>
      <c r="L81" s="517"/>
      <c r="M81" s="517"/>
      <c r="N81" s="517"/>
      <c r="O81" s="517"/>
      <c r="P81" s="517"/>
      <c r="Q81" s="517"/>
      <c r="R81" s="517"/>
      <c r="S81" s="517"/>
      <c r="T81" s="517"/>
      <c r="U81" s="517"/>
      <c r="V81" s="517"/>
      <c r="W81" s="517"/>
      <c r="X81" s="517"/>
      <c r="Y81" s="517"/>
      <c r="Z81" s="517"/>
      <c r="AA81" s="517"/>
      <c r="AB81" s="517"/>
      <c r="AC81" s="517"/>
    </row>
    <row r="82" spans="1:29" ht="11.25" customHeight="1" x14ac:dyDescent="0.2">
      <c r="A82" s="517"/>
      <c r="B82" s="517"/>
      <c r="C82" s="517"/>
      <c r="D82" s="517"/>
      <c r="E82" s="517"/>
      <c r="F82" s="517"/>
      <c r="G82" s="517"/>
      <c r="H82" s="517"/>
      <c r="I82" s="517"/>
      <c r="J82" s="517"/>
      <c r="K82" s="517"/>
      <c r="L82" s="517"/>
      <c r="M82" s="517"/>
      <c r="N82" s="517"/>
      <c r="O82" s="517"/>
      <c r="P82" s="517"/>
      <c r="Q82" s="517"/>
      <c r="R82" s="517"/>
      <c r="S82" s="517"/>
      <c r="T82" s="517"/>
      <c r="U82" s="517"/>
      <c r="V82" s="517"/>
      <c r="W82" s="517"/>
      <c r="X82" s="517"/>
      <c r="Y82" s="517"/>
      <c r="Z82" s="517"/>
      <c r="AA82" s="517"/>
      <c r="AB82" s="517"/>
      <c r="AC82" s="517"/>
    </row>
    <row r="83" spans="1:29" ht="11.25" customHeight="1" x14ac:dyDescent="0.2">
      <c r="A83" s="517"/>
      <c r="B83" s="517"/>
      <c r="C83" s="517"/>
      <c r="D83" s="517"/>
      <c r="E83" s="517"/>
      <c r="F83" s="517"/>
      <c r="G83" s="517"/>
      <c r="H83" s="517"/>
      <c r="I83" s="517"/>
      <c r="J83" s="517"/>
      <c r="K83" s="517"/>
      <c r="L83" s="517"/>
      <c r="M83" s="517"/>
      <c r="N83" s="517"/>
      <c r="O83" s="517"/>
      <c r="P83" s="517"/>
      <c r="Q83" s="517"/>
      <c r="R83" s="517"/>
      <c r="S83" s="517"/>
      <c r="T83" s="517"/>
      <c r="U83" s="517"/>
      <c r="V83" s="517"/>
      <c r="W83" s="517"/>
      <c r="X83" s="517"/>
      <c r="Y83" s="517"/>
      <c r="Z83" s="517"/>
      <c r="AA83" s="517"/>
      <c r="AB83" s="517"/>
      <c r="AC83" s="517"/>
    </row>
    <row r="84" spans="1:29" ht="11.25" customHeight="1" x14ac:dyDescent="0.2">
      <c r="A84" s="517"/>
      <c r="B84" s="517"/>
      <c r="C84" s="517"/>
      <c r="D84" s="517"/>
      <c r="E84" s="517"/>
      <c r="F84" s="517"/>
      <c r="G84" s="517"/>
      <c r="H84" s="517"/>
      <c r="I84" s="517"/>
      <c r="J84" s="517"/>
      <c r="K84" s="517"/>
      <c r="L84" s="517"/>
      <c r="M84" s="517"/>
      <c r="N84" s="517"/>
      <c r="O84" s="517"/>
      <c r="P84" s="517"/>
      <c r="Q84" s="517"/>
      <c r="R84" s="517"/>
      <c r="S84" s="517"/>
      <c r="T84" s="517"/>
      <c r="U84" s="517"/>
      <c r="V84" s="517"/>
      <c r="W84" s="517"/>
      <c r="X84" s="517"/>
      <c r="Y84" s="517"/>
      <c r="Z84" s="517"/>
      <c r="AA84" s="517"/>
      <c r="AB84" s="517"/>
      <c r="AC84" s="517"/>
    </row>
    <row r="85" spans="1:29" ht="11.25" customHeight="1" x14ac:dyDescent="0.2">
      <c r="A85" s="517"/>
      <c r="B85" s="517"/>
      <c r="C85" s="517"/>
      <c r="D85" s="517"/>
      <c r="E85" s="517"/>
      <c r="F85" s="517"/>
      <c r="G85" s="517"/>
      <c r="H85" s="517"/>
      <c r="I85" s="517"/>
      <c r="J85" s="517"/>
      <c r="K85" s="517"/>
      <c r="L85" s="517"/>
      <c r="M85" s="517"/>
      <c r="N85" s="517"/>
      <c r="O85" s="517"/>
      <c r="P85" s="517"/>
      <c r="Q85" s="517"/>
      <c r="R85" s="517"/>
      <c r="S85" s="517"/>
      <c r="T85" s="517"/>
      <c r="U85" s="517"/>
      <c r="V85" s="517"/>
      <c r="W85" s="517"/>
      <c r="X85" s="517"/>
      <c r="Y85" s="517"/>
      <c r="Z85" s="517"/>
      <c r="AA85" s="517"/>
      <c r="AB85" s="517"/>
      <c r="AC85" s="517"/>
    </row>
    <row r="86" spans="1:29" ht="11.25" customHeight="1" x14ac:dyDescent="0.2">
      <c r="A86" s="517"/>
      <c r="B86" s="517"/>
      <c r="C86" s="517"/>
      <c r="D86" s="517"/>
      <c r="E86" s="517"/>
      <c r="F86" s="517"/>
      <c r="G86" s="517"/>
      <c r="H86" s="517"/>
      <c r="I86" s="517"/>
      <c r="J86" s="517"/>
      <c r="K86" s="517"/>
      <c r="L86" s="517"/>
      <c r="M86" s="517"/>
      <c r="N86" s="517"/>
      <c r="O86" s="517"/>
      <c r="P86" s="517"/>
      <c r="Q86" s="517"/>
      <c r="R86" s="517"/>
      <c r="S86" s="517"/>
      <c r="T86" s="517"/>
      <c r="U86" s="517"/>
      <c r="V86" s="517"/>
      <c r="W86" s="517"/>
      <c r="X86" s="517"/>
      <c r="Y86" s="517"/>
      <c r="Z86" s="517"/>
      <c r="AA86" s="517"/>
      <c r="AB86" s="517"/>
      <c r="AC86" s="517"/>
    </row>
    <row r="87" spans="1:29" ht="11.25" customHeight="1" x14ac:dyDescent="0.2">
      <c r="A87" s="517"/>
      <c r="B87" s="517"/>
      <c r="C87" s="517"/>
      <c r="D87" s="517"/>
      <c r="E87" s="517"/>
      <c r="F87" s="517"/>
      <c r="G87" s="517"/>
      <c r="H87" s="517"/>
      <c r="I87" s="517"/>
      <c r="J87" s="517"/>
      <c r="K87" s="517"/>
      <c r="L87" s="517"/>
      <c r="M87" s="517"/>
      <c r="N87" s="517"/>
      <c r="O87" s="517"/>
      <c r="P87" s="517"/>
      <c r="Q87" s="517"/>
      <c r="R87" s="517"/>
      <c r="S87" s="517"/>
      <c r="T87" s="517"/>
      <c r="U87" s="517"/>
      <c r="V87" s="517"/>
      <c r="W87" s="517"/>
      <c r="X87" s="517"/>
      <c r="Y87" s="517"/>
      <c r="Z87" s="517"/>
      <c r="AA87" s="517"/>
      <c r="AB87" s="517"/>
      <c r="AC87" s="517"/>
    </row>
    <row r="88" spans="1:29" ht="11.25" customHeight="1" x14ac:dyDescent="0.2">
      <c r="A88" s="517"/>
      <c r="B88" s="517"/>
      <c r="C88" s="517"/>
      <c r="D88" s="517"/>
      <c r="E88" s="517"/>
      <c r="F88" s="517"/>
      <c r="G88" s="517"/>
      <c r="H88" s="517"/>
      <c r="I88" s="517"/>
      <c r="J88" s="517"/>
      <c r="K88" s="517"/>
      <c r="L88" s="517"/>
      <c r="M88" s="517"/>
      <c r="N88" s="517"/>
      <c r="O88" s="517"/>
      <c r="P88" s="517"/>
      <c r="Q88" s="517"/>
      <c r="R88" s="517"/>
      <c r="S88" s="517"/>
      <c r="T88" s="517"/>
      <c r="U88" s="517"/>
      <c r="V88" s="517"/>
      <c r="W88" s="517"/>
      <c r="X88" s="517"/>
      <c r="Y88" s="517"/>
      <c r="Z88" s="517"/>
      <c r="AA88" s="517"/>
      <c r="AB88" s="517"/>
      <c r="AC88" s="517"/>
    </row>
    <row r="89" spans="1:29" ht="11.25" customHeight="1" x14ac:dyDescent="0.2">
      <c r="A89" s="517"/>
      <c r="B89" s="517"/>
      <c r="C89" s="517"/>
      <c r="D89" s="517"/>
      <c r="E89" s="517"/>
      <c r="F89" s="517"/>
      <c r="G89" s="517"/>
      <c r="H89" s="517"/>
      <c r="I89" s="517"/>
      <c r="J89" s="517"/>
      <c r="K89" s="517"/>
      <c r="L89" s="517"/>
      <c r="M89" s="517"/>
      <c r="N89" s="517"/>
      <c r="O89" s="517"/>
      <c r="P89" s="517"/>
      <c r="Q89" s="517"/>
      <c r="R89" s="517"/>
      <c r="S89" s="517"/>
      <c r="T89" s="517"/>
      <c r="U89" s="517"/>
      <c r="V89" s="517"/>
      <c r="W89" s="517"/>
      <c r="X89" s="517"/>
      <c r="Y89" s="517"/>
      <c r="Z89" s="517"/>
      <c r="AA89" s="517"/>
      <c r="AB89" s="517"/>
      <c r="AC89" s="517"/>
    </row>
    <row r="90" spans="1:29" ht="11.25" customHeight="1" x14ac:dyDescent="0.2">
      <c r="A90" s="517"/>
      <c r="B90" s="517"/>
      <c r="C90" s="517"/>
      <c r="D90" s="517"/>
      <c r="E90" s="517"/>
      <c r="F90" s="517"/>
      <c r="G90" s="517"/>
      <c r="H90" s="517"/>
      <c r="I90" s="517"/>
      <c r="J90" s="517"/>
      <c r="K90" s="517"/>
      <c r="L90" s="517"/>
      <c r="M90" s="517"/>
      <c r="N90" s="517"/>
      <c r="O90" s="517"/>
      <c r="P90" s="517"/>
      <c r="Q90" s="517"/>
      <c r="R90" s="517"/>
      <c r="S90" s="517"/>
      <c r="T90" s="517"/>
      <c r="U90" s="517"/>
      <c r="V90" s="517"/>
      <c r="W90" s="517"/>
      <c r="X90" s="517"/>
      <c r="Y90" s="517"/>
      <c r="Z90" s="517"/>
      <c r="AA90" s="517"/>
      <c r="AB90" s="517"/>
      <c r="AC90" s="517"/>
    </row>
    <row r="91" spans="1:29" ht="11.25" customHeight="1" x14ac:dyDescent="0.2">
      <c r="A91" s="517"/>
      <c r="B91" s="517"/>
      <c r="C91" s="517"/>
      <c r="D91" s="517"/>
      <c r="E91" s="517"/>
      <c r="F91" s="517"/>
      <c r="G91" s="517"/>
      <c r="H91" s="517"/>
      <c r="I91" s="517"/>
      <c r="J91" s="517"/>
      <c r="K91" s="517"/>
      <c r="L91" s="517"/>
      <c r="M91" s="517"/>
      <c r="N91" s="517"/>
      <c r="O91" s="517"/>
      <c r="P91" s="517"/>
      <c r="Q91" s="517"/>
      <c r="R91" s="517"/>
      <c r="S91" s="517"/>
      <c r="T91" s="517"/>
      <c r="U91" s="517"/>
      <c r="V91" s="517"/>
      <c r="W91" s="517"/>
      <c r="X91" s="517"/>
      <c r="Y91" s="517"/>
      <c r="Z91" s="517"/>
      <c r="AA91" s="517"/>
      <c r="AB91" s="517"/>
      <c r="AC91" s="517"/>
    </row>
    <row r="92" spans="1:29" ht="11.25" customHeight="1" x14ac:dyDescent="0.2">
      <c r="A92" s="517"/>
      <c r="B92" s="517"/>
      <c r="C92" s="517"/>
      <c r="D92" s="517"/>
      <c r="E92" s="517"/>
      <c r="F92" s="517"/>
      <c r="G92" s="517"/>
      <c r="H92" s="517"/>
      <c r="I92" s="517"/>
      <c r="J92" s="517"/>
      <c r="K92" s="517"/>
      <c r="L92" s="517"/>
      <c r="M92" s="517"/>
      <c r="N92" s="517"/>
      <c r="O92" s="517"/>
      <c r="P92" s="517"/>
      <c r="Q92" s="517"/>
      <c r="R92" s="517"/>
      <c r="S92" s="517"/>
      <c r="T92" s="517"/>
      <c r="U92" s="517"/>
      <c r="V92" s="517"/>
      <c r="W92" s="517"/>
      <c r="X92" s="517"/>
      <c r="Y92" s="517"/>
      <c r="Z92" s="517"/>
      <c r="AA92" s="517"/>
      <c r="AB92" s="517"/>
      <c r="AC92" s="517"/>
    </row>
    <row r="93" spans="1:29" ht="11.25" customHeight="1" x14ac:dyDescent="0.2">
      <c r="A93" s="517"/>
      <c r="B93" s="517"/>
      <c r="C93" s="517"/>
      <c r="D93" s="517"/>
      <c r="E93" s="517"/>
      <c r="F93" s="517"/>
      <c r="G93" s="517"/>
      <c r="H93" s="517"/>
      <c r="I93" s="517"/>
      <c r="J93" s="517"/>
      <c r="K93" s="517"/>
      <c r="L93" s="517"/>
      <c r="M93" s="517"/>
      <c r="N93" s="517"/>
      <c r="O93" s="517"/>
      <c r="P93" s="517"/>
      <c r="Q93" s="517"/>
      <c r="R93" s="517"/>
      <c r="S93" s="517"/>
      <c r="T93" s="517"/>
      <c r="U93" s="517"/>
      <c r="V93" s="517"/>
      <c r="W93" s="517"/>
      <c r="X93" s="517"/>
      <c r="Y93" s="517"/>
      <c r="Z93" s="517"/>
      <c r="AA93" s="517"/>
      <c r="AB93" s="517"/>
      <c r="AC93" s="517"/>
    </row>
    <row r="94" spans="1:29" ht="11.25" customHeight="1" x14ac:dyDescent="0.2">
      <c r="A94" s="517"/>
      <c r="B94" s="517"/>
      <c r="C94" s="517"/>
      <c r="D94" s="517"/>
      <c r="E94" s="517"/>
      <c r="F94" s="517"/>
      <c r="G94" s="517"/>
      <c r="H94" s="517"/>
      <c r="I94" s="517"/>
      <c r="J94" s="517"/>
      <c r="K94" s="517"/>
      <c r="L94" s="517"/>
      <c r="M94" s="517"/>
      <c r="N94" s="517"/>
      <c r="O94" s="517"/>
      <c r="P94" s="517"/>
      <c r="Q94" s="517"/>
      <c r="R94" s="517"/>
      <c r="S94" s="517"/>
      <c r="T94" s="517"/>
      <c r="U94" s="517"/>
      <c r="V94" s="517"/>
      <c r="W94" s="517"/>
      <c r="X94" s="517"/>
      <c r="Y94" s="517"/>
      <c r="Z94" s="517"/>
      <c r="AA94" s="517"/>
      <c r="AB94" s="517"/>
      <c r="AC94" s="517"/>
    </row>
    <row r="95" spans="1:29" ht="11.25" customHeight="1" x14ac:dyDescent="0.2">
      <c r="A95" s="517"/>
      <c r="B95" s="517"/>
      <c r="C95" s="517"/>
      <c r="D95" s="517"/>
      <c r="E95" s="517"/>
      <c r="F95" s="517"/>
      <c r="G95" s="517"/>
      <c r="H95" s="517"/>
      <c r="I95" s="517"/>
      <c r="J95" s="517"/>
      <c r="K95" s="517"/>
      <c r="L95" s="517"/>
      <c r="M95" s="517"/>
      <c r="N95" s="517"/>
      <c r="O95" s="517"/>
      <c r="P95" s="517"/>
      <c r="Q95" s="517"/>
      <c r="R95" s="517"/>
      <c r="S95" s="517"/>
      <c r="T95" s="517"/>
      <c r="U95" s="517"/>
      <c r="V95" s="517"/>
      <c r="W95" s="517"/>
      <c r="X95" s="517"/>
      <c r="Y95" s="517"/>
      <c r="Z95" s="517"/>
      <c r="AA95" s="517"/>
      <c r="AB95" s="517"/>
      <c r="AC95" s="517"/>
    </row>
    <row r="96" spans="1:29" ht="11.25" customHeight="1" x14ac:dyDescent="0.2">
      <c r="A96" s="517"/>
      <c r="B96" s="517"/>
      <c r="C96" s="517"/>
      <c r="D96" s="517"/>
      <c r="E96" s="517"/>
      <c r="F96" s="517"/>
      <c r="G96" s="517"/>
      <c r="H96" s="517"/>
      <c r="I96" s="517"/>
      <c r="J96" s="517"/>
      <c r="K96" s="517"/>
      <c r="L96" s="517"/>
      <c r="M96" s="517"/>
      <c r="N96" s="517"/>
      <c r="O96" s="517"/>
      <c r="P96" s="517"/>
      <c r="Q96" s="517"/>
      <c r="R96" s="517"/>
      <c r="S96" s="517"/>
      <c r="T96" s="517"/>
      <c r="U96" s="517"/>
      <c r="V96" s="517"/>
      <c r="W96" s="517"/>
      <c r="X96" s="517"/>
      <c r="Y96" s="517"/>
      <c r="Z96" s="517"/>
      <c r="AA96" s="517"/>
      <c r="AB96" s="517"/>
      <c r="AC96" s="517"/>
    </row>
    <row r="97" spans="1:29" ht="11.25" customHeight="1" x14ac:dyDescent="0.2">
      <c r="A97" s="517"/>
      <c r="B97" s="517"/>
      <c r="C97" s="517"/>
      <c r="D97" s="517"/>
      <c r="E97" s="517"/>
      <c r="F97" s="517"/>
      <c r="G97" s="517"/>
      <c r="H97" s="517"/>
      <c r="I97" s="517"/>
      <c r="J97" s="517"/>
      <c r="K97" s="517"/>
      <c r="L97" s="517"/>
      <c r="M97" s="517"/>
      <c r="N97" s="517"/>
      <c r="O97" s="517"/>
      <c r="P97" s="517"/>
      <c r="Q97" s="517"/>
      <c r="R97" s="517"/>
      <c r="S97" s="517"/>
      <c r="T97" s="517"/>
      <c r="U97" s="517"/>
      <c r="V97" s="517"/>
      <c r="W97" s="517"/>
      <c r="X97" s="517"/>
      <c r="Y97" s="517"/>
      <c r="Z97" s="517"/>
      <c r="AA97" s="517"/>
      <c r="AB97" s="517"/>
      <c r="AC97" s="517"/>
    </row>
    <row r="98" spans="1:29" ht="11.25" customHeight="1" x14ac:dyDescent="0.2">
      <c r="A98" s="517"/>
      <c r="B98" s="517"/>
      <c r="C98" s="517"/>
      <c r="D98" s="517"/>
      <c r="E98" s="517"/>
      <c r="F98" s="517"/>
      <c r="G98" s="517"/>
      <c r="H98" s="517"/>
      <c r="I98" s="517"/>
      <c r="J98" s="517"/>
      <c r="K98" s="517"/>
      <c r="L98" s="517"/>
      <c r="M98" s="517"/>
      <c r="N98" s="517"/>
      <c r="O98" s="517"/>
      <c r="P98" s="517"/>
      <c r="Q98" s="517"/>
      <c r="R98" s="517"/>
      <c r="S98" s="517"/>
      <c r="T98" s="517"/>
      <c r="U98" s="517"/>
      <c r="V98" s="517"/>
      <c r="W98" s="517"/>
      <c r="X98" s="517"/>
      <c r="Y98" s="517"/>
      <c r="Z98" s="517"/>
      <c r="AA98" s="517"/>
      <c r="AB98" s="517"/>
      <c r="AC98" s="517"/>
    </row>
    <row r="99" spans="1:29" ht="11.25" customHeight="1" x14ac:dyDescent="0.2">
      <c r="A99" s="517"/>
      <c r="B99" s="517"/>
      <c r="C99" s="517"/>
      <c r="D99" s="517"/>
      <c r="E99" s="517"/>
      <c r="F99" s="517"/>
      <c r="G99" s="517"/>
      <c r="H99" s="517"/>
      <c r="I99" s="517"/>
      <c r="J99" s="517"/>
      <c r="K99" s="517"/>
      <c r="L99" s="517"/>
      <c r="M99" s="517"/>
      <c r="N99" s="517"/>
      <c r="O99" s="517"/>
      <c r="P99" s="517"/>
      <c r="Q99" s="517"/>
      <c r="R99" s="517"/>
      <c r="S99" s="517"/>
      <c r="T99" s="517"/>
      <c r="U99" s="517"/>
      <c r="V99" s="517"/>
      <c r="W99" s="517"/>
      <c r="X99" s="517"/>
      <c r="Y99" s="517"/>
      <c r="Z99" s="517"/>
      <c r="AA99" s="517"/>
      <c r="AB99" s="517"/>
      <c r="AC99" s="517"/>
    </row>
    <row r="100" spans="1:29" ht="11.25" customHeight="1" x14ac:dyDescent="0.2">
      <c r="A100" s="517"/>
      <c r="B100" s="517"/>
      <c r="C100" s="517"/>
      <c r="D100" s="517"/>
      <c r="E100" s="517"/>
      <c r="F100" s="517"/>
      <c r="G100" s="517"/>
      <c r="H100" s="517"/>
      <c r="I100" s="517"/>
      <c r="J100" s="517"/>
      <c r="K100" s="517"/>
      <c r="L100" s="517"/>
      <c r="M100" s="517"/>
      <c r="N100" s="517"/>
      <c r="O100" s="517"/>
      <c r="P100" s="517"/>
      <c r="Q100" s="517"/>
      <c r="R100" s="517"/>
      <c r="S100" s="517"/>
      <c r="T100" s="517"/>
      <c r="U100" s="517"/>
      <c r="V100" s="517"/>
      <c r="W100" s="517"/>
      <c r="X100" s="517"/>
      <c r="Y100" s="517"/>
      <c r="Z100" s="517"/>
      <c r="AA100" s="517"/>
      <c r="AB100" s="517"/>
      <c r="AC100" s="517"/>
    </row>
    <row r="101" spans="1:29" ht="11.25" customHeight="1" x14ac:dyDescent="0.2">
      <c r="A101" s="517"/>
      <c r="B101" s="517"/>
      <c r="C101" s="517"/>
      <c r="D101" s="517"/>
      <c r="E101" s="517"/>
      <c r="F101" s="517"/>
      <c r="G101" s="517"/>
      <c r="H101" s="517"/>
      <c r="I101" s="517"/>
      <c r="J101" s="517"/>
      <c r="K101" s="517"/>
      <c r="L101" s="517"/>
      <c r="M101" s="517"/>
      <c r="N101" s="517"/>
      <c r="O101" s="517"/>
      <c r="P101" s="517"/>
      <c r="Q101" s="517"/>
      <c r="R101" s="517"/>
      <c r="S101" s="517"/>
      <c r="T101" s="517"/>
      <c r="U101" s="517"/>
      <c r="V101" s="517"/>
      <c r="W101" s="517"/>
      <c r="X101" s="517"/>
      <c r="Y101" s="517"/>
      <c r="Z101" s="517"/>
      <c r="AA101" s="517"/>
      <c r="AB101" s="517"/>
      <c r="AC101" s="517"/>
    </row>
    <row r="102" spans="1:29" ht="11.25" customHeight="1" x14ac:dyDescent="0.2">
      <c r="A102" s="517"/>
      <c r="B102" s="517"/>
      <c r="C102" s="517"/>
      <c r="D102" s="517"/>
      <c r="E102" s="517"/>
      <c r="F102" s="517"/>
      <c r="G102" s="517"/>
      <c r="H102" s="517"/>
      <c r="I102" s="517"/>
      <c r="J102" s="517"/>
      <c r="K102" s="517"/>
      <c r="L102" s="517"/>
      <c r="M102" s="517"/>
      <c r="N102" s="517"/>
      <c r="O102" s="517"/>
      <c r="P102" s="517"/>
      <c r="Q102" s="517"/>
      <c r="R102" s="517"/>
      <c r="S102" s="517"/>
      <c r="T102" s="517"/>
      <c r="U102" s="517"/>
      <c r="V102" s="517"/>
      <c r="W102" s="517"/>
      <c r="X102" s="517"/>
      <c r="Y102" s="517"/>
      <c r="Z102" s="517"/>
      <c r="AA102" s="517"/>
      <c r="AB102" s="517"/>
      <c r="AC102" s="517"/>
    </row>
    <row r="103" spans="1:29" ht="11.25" customHeight="1" x14ac:dyDescent="0.2">
      <c r="A103" s="517"/>
      <c r="B103" s="517"/>
      <c r="C103" s="517"/>
      <c r="D103" s="517"/>
      <c r="E103" s="517"/>
      <c r="F103" s="517"/>
      <c r="G103" s="517"/>
      <c r="H103" s="517"/>
      <c r="I103" s="517"/>
      <c r="J103" s="517"/>
      <c r="K103" s="517"/>
      <c r="L103" s="517"/>
      <c r="M103" s="517"/>
      <c r="N103" s="517"/>
      <c r="O103" s="517"/>
      <c r="P103" s="517"/>
      <c r="Q103" s="517"/>
      <c r="R103" s="517"/>
      <c r="S103" s="517"/>
      <c r="T103" s="517"/>
      <c r="U103" s="517"/>
      <c r="V103" s="517"/>
      <c r="W103" s="517"/>
      <c r="X103" s="517"/>
      <c r="Y103" s="517"/>
      <c r="Z103" s="517"/>
      <c r="AA103" s="517"/>
      <c r="AB103" s="517"/>
      <c r="AC103" s="517"/>
    </row>
    <row r="104" spans="1:29" ht="11.25" customHeight="1" x14ac:dyDescent="0.2">
      <c r="A104" s="517"/>
      <c r="B104" s="517"/>
      <c r="C104" s="517"/>
      <c r="D104" s="517"/>
      <c r="E104" s="517"/>
      <c r="F104" s="517"/>
      <c r="G104" s="517"/>
      <c r="H104" s="517"/>
      <c r="I104" s="517"/>
      <c r="J104" s="517"/>
      <c r="K104" s="517"/>
      <c r="L104" s="517"/>
      <c r="M104" s="517"/>
      <c r="N104" s="517"/>
      <c r="O104" s="517"/>
      <c r="P104" s="517"/>
      <c r="Q104" s="517"/>
      <c r="R104" s="517"/>
      <c r="S104" s="517"/>
      <c r="T104" s="517"/>
      <c r="U104" s="517"/>
      <c r="V104" s="517"/>
      <c r="W104" s="517"/>
      <c r="X104" s="517"/>
      <c r="Y104" s="517"/>
      <c r="Z104" s="517"/>
      <c r="AA104" s="517"/>
      <c r="AB104" s="517"/>
      <c r="AC104" s="517"/>
    </row>
    <row r="105" spans="1:29" ht="11.25" customHeight="1" x14ac:dyDescent="0.2">
      <c r="A105" s="517"/>
      <c r="B105" s="517"/>
      <c r="C105" s="517"/>
      <c r="D105" s="517"/>
      <c r="E105" s="517"/>
      <c r="F105" s="517"/>
      <c r="G105" s="517"/>
      <c r="H105" s="517"/>
      <c r="I105" s="517"/>
      <c r="J105" s="517"/>
      <c r="K105" s="517"/>
      <c r="L105" s="517"/>
      <c r="M105" s="517"/>
      <c r="N105" s="517"/>
      <c r="O105" s="517"/>
      <c r="P105" s="517"/>
      <c r="Q105" s="517"/>
      <c r="R105" s="517"/>
      <c r="S105" s="517"/>
      <c r="T105" s="517"/>
      <c r="U105" s="517"/>
      <c r="V105" s="517"/>
      <c r="W105" s="517"/>
      <c r="X105" s="517"/>
      <c r="Y105" s="517"/>
      <c r="Z105" s="517"/>
      <c r="AA105" s="517"/>
      <c r="AB105" s="517"/>
      <c r="AC105" s="517"/>
    </row>
    <row r="106" spans="1:29" ht="11.25" customHeight="1" x14ac:dyDescent="0.2">
      <c r="A106" s="517"/>
      <c r="B106" s="517"/>
      <c r="C106" s="517"/>
      <c r="D106" s="517"/>
      <c r="E106" s="517"/>
      <c r="F106" s="517"/>
      <c r="G106" s="517"/>
      <c r="H106" s="517"/>
      <c r="I106" s="517"/>
      <c r="J106" s="517"/>
      <c r="K106" s="517"/>
      <c r="L106" s="517"/>
      <c r="M106" s="517"/>
      <c r="N106" s="517"/>
      <c r="O106" s="517"/>
      <c r="P106" s="517"/>
      <c r="Q106" s="517"/>
      <c r="R106" s="517"/>
      <c r="S106" s="517"/>
      <c r="T106" s="517"/>
      <c r="U106" s="517"/>
      <c r="V106" s="517"/>
      <c r="W106" s="517"/>
      <c r="X106" s="517"/>
      <c r="Y106" s="517"/>
      <c r="Z106" s="517"/>
      <c r="AA106" s="517"/>
      <c r="AB106" s="517"/>
      <c r="AC106" s="517"/>
    </row>
    <row r="107" spans="1:29" ht="11.25" customHeight="1" x14ac:dyDescent="0.2">
      <c r="A107" s="517"/>
      <c r="B107" s="517"/>
      <c r="C107" s="517"/>
      <c r="D107" s="517"/>
      <c r="E107" s="517"/>
      <c r="F107" s="517"/>
      <c r="G107" s="517"/>
      <c r="H107" s="517"/>
      <c r="I107" s="517"/>
      <c r="J107" s="517"/>
      <c r="K107" s="517"/>
      <c r="L107" s="517"/>
      <c r="M107" s="517"/>
      <c r="N107" s="517"/>
      <c r="O107" s="517"/>
      <c r="P107" s="517"/>
      <c r="Q107" s="517"/>
      <c r="R107" s="517"/>
      <c r="S107" s="517"/>
      <c r="T107" s="517"/>
      <c r="U107" s="517"/>
      <c r="V107" s="517"/>
      <c r="W107" s="517"/>
      <c r="X107" s="517"/>
      <c r="Y107" s="517"/>
      <c r="Z107" s="517"/>
      <c r="AA107" s="517"/>
      <c r="AB107" s="517"/>
      <c r="AC107" s="517"/>
    </row>
    <row r="108" spans="1:29" ht="11.25" customHeight="1" x14ac:dyDescent="0.2">
      <c r="A108" s="517"/>
      <c r="B108" s="517"/>
      <c r="C108" s="517"/>
      <c r="D108" s="517"/>
      <c r="E108" s="517"/>
      <c r="F108" s="517"/>
      <c r="G108" s="517"/>
      <c r="H108" s="517"/>
      <c r="I108" s="517"/>
      <c r="J108" s="517"/>
      <c r="K108" s="517"/>
      <c r="L108" s="517"/>
      <c r="M108" s="517"/>
      <c r="N108" s="517"/>
      <c r="O108" s="517"/>
      <c r="P108" s="517"/>
      <c r="Q108" s="517"/>
      <c r="R108" s="517"/>
      <c r="S108" s="517"/>
      <c r="T108" s="517"/>
      <c r="U108" s="517"/>
      <c r="V108" s="517"/>
      <c r="W108" s="517"/>
      <c r="X108" s="517"/>
      <c r="Y108" s="517"/>
      <c r="Z108" s="517"/>
      <c r="AA108" s="517"/>
      <c r="AB108" s="517"/>
      <c r="AC108" s="517"/>
    </row>
    <row r="109" spans="1:29" ht="11.25" customHeight="1" x14ac:dyDescent="0.2">
      <c r="A109" s="517"/>
      <c r="B109" s="517"/>
      <c r="C109" s="517"/>
      <c r="D109" s="517"/>
      <c r="E109" s="517"/>
      <c r="F109" s="517"/>
      <c r="G109" s="517"/>
      <c r="H109" s="517"/>
      <c r="I109" s="517"/>
      <c r="J109" s="517"/>
      <c r="K109" s="517"/>
      <c r="L109" s="517"/>
      <c r="M109" s="517"/>
      <c r="N109" s="517"/>
      <c r="O109" s="517"/>
      <c r="P109" s="517"/>
      <c r="Q109" s="517"/>
      <c r="R109" s="517"/>
      <c r="S109" s="517"/>
      <c r="T109" s="517"/>
      <c r="U109" s="517"/>
      <c r="V109" s="517"/>
      <c r="W109" s="517"/>
      <c r="X109" s="517"/>
      <c r="Y109" s="517"/>
      <c r="Z109" s="517"/>
      <c r="AA109" s="517"/>
      <c r="AB109" s="517"/>
      <c r="AC109" s="517"/>
    </row>
    <row r="110" spans="1:29" ht="11.25" customHeight="1" x14ac:dyDescent="0.2">
      <c r="A110" s="517"/>
      <c r="B110" s="517"/>
      <c r="C110" s="517"/>
      <c r="D110" s="517"/>
      <c r="E110" s="517"/>
      <c r="F110" s="517"/>
      <c r="G110" s="517"/>
      <c r="H110" s="517"/>
      <c r="I110" s="517"/>
      <c r="J110" s="517"/>
      <c r="K110" s="517"/>
      <c r="L110" s="517"/>
      <c r="M110" s="517"/>
      <c r="N110" s="517"/>
      <c r="O110" s="517"/>
      <c r="P110" s="517"/>
      <c r="Q110" s="517"/>
      <c r="R110" s="517"/>
      <c r="S110" s="517"/>
      <c r="T110" s="517"/>
      <c r="U110" s="517"/>
      <c r="V110" s="517"/>
      <c r="W110" s="517"/>
      <c r="X110" s="517"/>
      <c r="Y110" s="517"/>
      <c r="Z110" s="517"/>
      <c r="AA110" s="517"/>
      <c r="AB110" s="517"/>
      <c r="AC110" s="517"/>
    </row>
    <row r="111" spans="1:29" ht="11.25" customHeight="1" x14ac:dyDescent="0.2">
      <c r="A111" s="517"/>
      <c r="B111" s="517"/>
      <c r="C111" s="517"/>
      <c r="D111" s="517"/>
      <c r="E111" s="517"/>
      <c r="F111" s="517"/>
      <c r="G111" s="517"/>
      <c r="H111" s="517"/>
      <c r="I111" s="517"/>
      <c r="J111" s="517"/>
      <c r="K111" s="517"/>
      <c r="L111" s="517"/>
      <c r="M111" s="517"/>
      <c r="N111" s="517"/>
      <c r="O111" s="517"/>
      <c r="P111" s="517"/>
      <c r="Q111" s="517"/>
      <c r="R111" s="517"/>
      <c r="S111" s="517"/>
      <c r="T111" s="517"/>
      <c r="U111" s="517"/>
      <c r="V111" s="517"/>
      <c r="W111" s="517"/>
      <c r="X111" s="517"/>
      <c r="Y111" s="517"/>
      <c r="Z111" s="517"/>
      <c r="AA111" s="517"/>
      <c r="AB111" s="517"/>
      <c r="AC111" s="517"/>
    </row>
    <row r="112" spans="1:29" ht="11.25" customHeight="1" x14ac:dyDescent="0.2">
      <c r="A112" s="517"/>
      <c r="B112" s="517"/>
      <c r="C112" s="517"/>
      <c r="D112" s="517"/>
      <c r="E112" s="517"/>
      <c r="F112" s="517"/>
      <c r="G112" s="517"/>
      <c r="H112" s="517"/>
      <c r="I112" s="517"/>
      <c r="J112" s="517"/>
      <c r="K112" s="517"/>
      <c r="L112" s="517"/>
      <c r="M112" s="517"/>
      <c r="N112" s="517"/>
      <c r="O112" s="517"/>
      <c r="P112" s="517"/>
      <c r="Q112" s="517"/>
      <c r="R112" s="517"/>
      <c r="S112" s="517"/>
      <c r="T112" s="517"/>
      <c r="U112" s="517"/>
      <c r="V112" s="517"/>
      <c r="W112" s="517"/>
      <c r="X112" s="517"/>
      <c r="Y112" s="517"/>
      <c r="Z112" s="517"/>
      <c r="AA112" s="517"/>
      <c r="AB112" s="517"/>
      <c r="AC112" s="517"/>
    </row>
    <row r="113" spans="1:29" ht="11.25" customHeight="1" x14ac:dyDescent="0.2">
      <c r="A113" s="517"/>
      <c r="B113" s="517"/>
      <c r="C113" s="517"/>
      <c r="D113" s="517"/>
      <c r="E113" s="517"/>
      <c r="F113" s="517"/>
      <c r="G113" s="517"/>
      <c r="H113" s="517"/>
      <c r="I113" s="517"/>
      <c r="J113" s="517"/>
      <c r="K113" s="517"/>
      <c r="L113" s="517"/>
      <c r="M113" s="517"/>
      <c r="N113" s="517"/>
      <c r="O113" s="517"/>
      <c r="P113" s="517"/>
      <c r="Q113" s="517"/>
      <c r="R113" s="517"/>
      <c r="S113" s="517"/>
      <c r="T113" s="517"/>
      <c r="U113" s="517"/>
      <c r="V113" s="517"/>
      <c r="W113" s="517"/>
      <c r="X113" s="517"/>
      <c r="Y113" s="517"/>
      <c r="Z113" s="517"/>
      <c r="AA113" s="517"/>
      <c r="AB113" s="517"/>
      <c r="AC113" s="517"/>
    </row>
    <row r="114" spans="1:29" ht="11.25" customHeight="1" x14ac:dyDescent="0.2">
      <c r="A114" s="517"/>
      <c r="B114" s="517"/>
      <c r="C114" s="517"/>
      <c r="D114" s="517"/>
      <c r="E114" s="517"/>
      <c r="F114" s="517"/>
      <c r="G114" s="517"/>
      <c r="H114" s="517"/>
      <c r="I114" s="517"/>
      <c r="J114" s="517"/>
      <c r="K114" s="517"/>
      <c r="L114" s="517"/>
      <c r="M114" s="517"/>
      <c r="N114" s="517"/>
      <c r="O114" s="517"/>
      <c r="P114" s="517"/>
      <c r="Q114" s="517"/>
      <c r="R114" s="517"/>
      <c r="S114" s="517"/>
      <c r="T114" s="517"/>
      <c r="U114" s="517"/>
      <c r="V114" s="517"/>
      <c r="W114" s="517"/>
      <c r="X114" s="517"/>
      <c r="Y114" s="517"/>
      <c r="Z114" s="517"/>
      <c r="AA114" s="517"/>
      <c r="AB114" s="517"/>
      <c r="AC114" s="517"/>
    </row>
    <row r="115" spans="1:29" ht="11.25" customHeight="1" x14ac:dyDescent="0.2">
      <c r="A115" s="517"/>
      <c r="B115" s="517"/>
      <c r="C115" s="517"/>
      <c r="D115" s="517"/>
      <c r="E115" s="517"/>
      <c r="F115" s="517"/>
      <c r="G115" s="517"/>
      <c r="H115" s="517"/>
      <c r="I115" s="517"/>
      <c r="J115" s="517"/>
      <c r="K115" s="517"/>
      <c r="L115" s="517"/>
      <c r="M115" s="517"/>
      <c r="N115" s="517"/>
      <c r="O115" s="517"/>
      <c r="P115" s="517"/>
      <c r="Q115" s="517"/>
      <c r="R115" s="517"/>
      <c r="S115" s="517"/>
      <c r="T115" s="517"/>
      <c r="U115" s="517"/>
      <c r="V115" s="517"/>
      <c r="W115" s="517"/>
      <c r="X115" s="517"/>
      <c r="Y115" s="517"/>
      <c r="Z115" s="517"/>
      <c r="AA115" s="517"/>
      <c r="AB115" s="517"/>
      <c r="AC115" s="517"/>
    </row>
    <row r="116" spans="1:29" ht="11.25" customHeight="1" x14ac:dyDescent="0.2">
      <c r="A116" s="517"/>
      <c r="B116" s="517"/>
      <c r="C116" s="517"/>
      <c r="D116" s="517"/>
      <c r="E116" s="517"/>
      <c r="F116" s="517"/>
      <c r="G116" s="517"/>
      <c r="H116" s="517"/>
      <c r="I116" s="517"/>
      <c r="J116" s="517"/>
      <c r="K116" s="517"/>
      <c r="L116" s="517"/>
      <c r="M116" s="517"/>
      <c r="N116" s="517"/>
      <c r="O116" s="517"/>
      <c r="P116" s="517"/>
      <c r="Q116" s="517"/>
      <c r="R116" s="517"/>
      <c r="S116" s="517"/>
      <c r="T116" s="517"/>
      <c r="U116" s="517"/>
      <c r="V116" s="517"/>
      <c r="W116" s="517"/>
      <c r="X116" s="517"/>
      <c r="Y116" s="517"/>
      <c r="Z116" s="517"/>
      <c r="AA116" s="517"/>
      <c r="AB116" s="517"/>
      <c r="AC116" s="517"/>
    </row>
    <row r="117" spans="1:29" ht="11.25" customHeight="1" x14ac:dyDescent="0.2">
      <c r="A117" s="517"/>
      <c r="B117" s="517"/>
      <c r="C117" s="517"/>
      <c r="D117" s="517"/>
      <c r="E117" s="517"/>
      <c r="F117" s="517"/>
      <c r="G117" s="517"/>
      <c r="H117" s="517"/>
      <c r="I117" s="517"/>
      <c r="J117" s="517"/>
      <c r="K117" s="517"/>
      <c r="L117" s="517"/>
      <c r="M117" s="517"/>
      <c r="N117" s="517"/>
      <c r="O117" s="517"/>
      <c r="P117" s="517"/>
      <c r="Q117" s="517"/>
      <c r="R117" s="517"/>
      <c r="S117" s="517"/>
      <c r="T117" s="517"/>
      <c r="U117" s="517"/>
      <c r="V117" s="517"/>
      <c r="W117" s="517"/>
      <c r="X117" s="517"/>
      <c r="Y117" s="517"/>
      <c r="Z117" s="517"/>
      <c r="AA117" s="517"/>
      <c r="AB117" s="517"/>
      <c r="AC117" s="517"/>
    </row>
    <row r="118" spans="1:29" ht="11.25" customHeight="1" x14ac:dyDescent="0.2">
      <c r="A118" s="517"/>
      <c r="B118" s="517"/>
      <c r="C118" s="517"/>
      <c r="D118" s="517"/>
      <c r="E118" s="517"/>
      <c r="F118" s="517"/>
      <c r="G118" s="517"/>
      <c r="H118" s="517"/>
      <c r="I118" s="517"/>
      <c r="J118" s="517"/>
      <c r="K118" s="517"/>
      <c r="L118" s="517"/>
      <c r="M118" s="517"/>
      <c r="N118" s="517"/>
      <c r="O118" s="517"/>
      <c r="P118" s="517"/>
      <c r="Q118" s="517"/>
      <c r="R118" s="517"/>
      <c r="S118" s="517"/>
      <c r="T118" s="517"/>
      <c r="U118" s="517"/>
      <c r="V118" s="517"/>
      <c r="W118" s="517"/>
      <c r="X118" s="517"/>
      <c r="Y118" s="517"/>
      <c r="Z118" s="517"/>
      <c r="AA118" s="517"/>
      <c r="AB118" s="517"/>
      <c r="AC118" s="517"/>
    </row>
    <row r="119" spans="1:29" ht="11.25" customHeight="1" x14ac:dyDescent="0.2">
      <c r="A119" s="517"/>
      <c r="B119" s="517"/>
      <c r="C119" s="517"/>
      <c r="D119" s="517"/>
      <c r="E119" s="517"/>
      <c r="F119" s="517"/>
      <c r="G119" s="517"/>
      <c r="H119" s="517"/>
      <c r="I119" s="517"/>
      <c r="J119" s="517"/>
      <c r="K119" s="517"/>
      <c r="L119" s="517"/>
      <c r="M119" s="517"/>
      <c r="N119" s="517"/>
      <c r="O119" s="517"/>
      <c r="P119" s="517"/>
      <c r="Q119" s="517"/>
      <c r="R119" s="517"/>
      <c r="S119" s="517"/>
      <c r="T119" s="517"/>
      <c r="U119" s="517"/>
      <c r="V119" s="517"/>
      <c r="W119" s="517"/>
      <c r="X119" s="517"/>
      <c r="Y119" s="517"/>
      <c r="Z119" s="517"/>
      <c r="AA119" s="517"/>
      <c r="AB119" s="517"/>
      <c r="AC119" s="517"/>
    </row>
    <row r="120" spans="1:29" ht="11.25" customHeight="1" x14ac:dyDescent="0.2">
      <c r="A120" s="517"/>
      <c r="B120" s="517"/>
      <c r="C120" s="517"/>
      <c r="D120" s="517"/>
      <c r="E120" s="517"/>
      <c r="F120" s="517"/>
      <c r="G120" s="517"/>
      <c r="H120" s="517"/>
      <c r="I120" s="517"/>
      <c r="J120" s="517"/>
      <c r="K120" s="517"/>
      <c r="L120" s="517"/>
      <c r="M120" s="517"/>
      <c r="N120" s="517"/>
      <c r="O120" s="517"/>
      <c r="P120" s="517"/>
      <c r="Q120" s="517"/>
      <c r="R120" s="517"/>
      <c r="S120" s="517"/>
      <c r="T120" s="517"/>
      <c r="U120" s="517"/>
      <c r="V120" s="517"/>
      <c r="W120" s="517"/>
      <c r="X120" s="517"/>
      <c r="Y120" s="517"/>
      <c r="Z120" s="517"/>
      <c r="AA120" s="517"/>
      <c r="AB120" s="517"/>
      <c r="AC120" s="517"/>
    </row>
    <row r="121" spans="1:29" ht="11.25" customHeight="1" x14ac:dyDescent="0.2">
      <c r="A121" s="517"/>
      <c r="B121" s="517"/>
      <c r="C121" s="517"/>
      <c r="D121" s="517"/>
      <c r="E121" s="517"/>
      <c r="F121" s="517"/>
      <c r="G121" s="517"/>
      <c r="H121" s="517"/>
      <c r="I121" s="517"/>
      <c r="J121" s="517"/>
      <c r="K121" s="517"/>
      <c r="L121" s="517"/>
      <c r="M121" s="517"/>
      <c r="N121" s="517"/>
      <c r="O121" s="517"/>
      <c r="P121" s="517"/>
      <c r="Q121" s="517"/>
      <c r="R121" s="517"/>
      <c r="S121" s="517"/>
      <c r="T121" s="517"/>
      <c r="U121" s="517"/>
      <c r="V121" s="517"/>
      <c r="W121" s="517"/>
      <c r="X121" s="517"/>
      <c r="Y121" s="517"/>
      <c r="Z121" s="517"/>
      <c r="AA121" s="517"/>
      <c r="AB121" s="517"/>
      <c r="AC121" s="517"/>
    </row>
    <row r="122" spans="1:29" ht="11.25" customHeight="1" x14ac:dyDescent="0.2">
      <c r="A122" s="517"/>
      <c r="B122" s="517"/>
      <c r="C122" s="517"/>
      <c r="D122" s="517"/>
      <c r="E122" s="517"/>
      <c r="F122" s="517"/>
      <c r="G122" s="517"/>
      <c r="H122" s="517"/>
      <c r="I122" s="517"/>
      <c r="J122" s="517"/>
      <c r="K122" s="517"/>
      <c r="L122" s="517"/>
      <c r="M122" s="517"/>
      <c r="N122" s="517"/>
      <c r="O122" s="517"/>
      <c r="P122" s="517"/>
      <c r="Q122" s="517"/>
      <c r="R122" s="517"/>
      <c r="S122" s="517"/>
      <c r="T122" s="517"/>
      <c r="U122" s="517"/>
      <c r="V122" s="517"/>
      <c r="W122" s="517"/>
      <c r="X122" s="517"/>
      <c r="Y122" s="517"/>
      <c r="Z122" s="517"/>
      <c r="AA122" s="517"/>
      <c r="AB122" s="517"/>
      <c r="AC122" s="517"/>
    </row>
    <row r="123" spans="1:29" ht="11.25" customHeight="1" x14ac:dyDescent="0.2">
      <c r="A123" s="517"/>
      <c r="B123" s="517"/>
      <c r="C123" s="517"/>
      <c r="D123" s="517"/>
      <c r="E123" s="517"/>
      <c r="F123" s="517"/>
      <c r="G123" s="517"/>
      <c r="H123" s="517"/>
      <c r="I123" s="517"/>
      <c r="J123" s="517"/>
      <c r="K123" s="517"/>
      <c r="L123" s="517"/>
      <c r="M123" s="517"/>
      <c r="N123" s="517"/>
      <c r="O123" s="517"/>
      <c r="P123" s="517"/>
      <c r="Q123" s="517"/>
      <c r="R123" s="517"/>
      <c r="S123" s="517"/>
      <c r="T123" s="517"/>
      <c r="U123" s="517"/>
      <c r="V123" s="517"/>
      <c r="W123" s="517"/>
      <c r="X123" s="517"/>
      <c r="Y123" s="517"/>
      <c r="Z123" s="517"/>
      <c r="AA123" s="517"/>
      <c r="AB123" s="517"/>
      <c r="AC123" s="517"/>
    </row>
    <row r="124" spans="1:29" ht="11.25" customHeight="1" x14ac:dyDescent="0.2">
      <c r="A124" s="517"/>
      <c r="B124" s="517"/>
      <c r="C124" s="517"/>
      <c r="D124" s="517"/>
      <c r="E124" s="517"/>
      <c r="F124" s="517"/>
      <c r="G124" s="517"/>
      <c r="H124" s="517"/>
      <c r="I124" s="517"/>
      <c r="J124" s="517"/>
      <c r="K124" s="517"/>
      <c r="L124" s="517"/>
      <c r="M124" s="517"/>
      <c r="N124" s="517"/>
      <c r="O124" s="517"/>
      <c r="P124" s="517"/>
      <c r="Q124" s="517"/>
      <c r="R124" s="517"/>
      <c r="S124" s="517"/>
      <c r="T124" s="517"/>
      <c r="U124" s="517"/>
      <c r="V124" s="517"/>
      <c r="W124" s="517"/>
      <c r="X124" s="517"/>
      <c r="Y124" s="517"/>
      <c r="Z124" s="517"/>
      <c r="AA124" s="517"/>
      <c r="AB124" s="517"/>
      <c r="AC124" s="517"/>
    </row>
    <row r="125" spans="1:29" ht="11.25" customHeight="1" x14ac:dyDescent="0.2">
      <c r="A125" s="517"/>
      <c r="B125" s="517"/>
      <c r="C125" s="517"/>
      <c r="D125" s="517"/>
      <c r="E125" s="517"/>
      <c r="F125" s="517"/>
      <c r="G125" s="517"/>
      <c r="H125" s="517"/>
      <c r="I125" s="517"/>
      <c r="J125" s="517"/>
      <c r="K125" s="517"/>
      <c r="L125" s="517"/>
      <c r="M125" s="517"/>
      <c r="N125" s="517"/>
      <c r="O125" s="517"/>
      <c r="P125" s="517"/>
      <c r="Q125" s="517"/>
      <c r="R125" s="517"/>
      <c r="S125" s="517"/>
      <c r="T125" s="517"/>
      <c r="U125" s="517"/>
      <c r="V125" s="517"/>
      <c r="W125" s="517"/>
      <c r="X125" s="517"/>
      <c r="Y125" s="517"/>
      <c r="Z125" s="517"/>
      <c r="AA125" s="517"/>
      <c r="AB125" s="517"/>
      <c r="AC125" s="517"/>
    </row>
    <row r="126" spans="1:29" ht="11.25" customHeight="1" x14ac:dyDescent="0.2">
      <c r="A126" s="517"/>
      <c r="B126" s="517"/>
      <c r="C126" s="517"/>
      <c r="D126" s="517"/>
      <c r="E126" s="517"/>
      <c r="F126" s="517"/>
      <c r="G126" s="517"/>
      <c r="H126" s="517"/>
      <c r="I126" s="517"/>
      <c r="J126" s="517"/>
      <c r="K126" s="517"/>
      <c r="L126" s="517"/>
      <c r="M126" s="517"/>
      <c r="N126" s="517"/>
      <c r="O126" s="517"/>
      <c r="P126" s="517"/>
      <c r="Q126" s="517"/>
      <c r="R126" s="517"/>
      <c r="S126" s="517"/>
      <c r="T126" s="517"/>
      <c r="U126" s="517"/>
      <c r="V126" s="517"/>
      <c r="W126" s="517"/>
      <c r="X126" s="517"/>
      <c r="Y126" s="517"/>
      <c r="Z126" s="517"/>
      <c r="AA126" s="517"/>
      <c r="AB126" s="517"/>
      <c r="AC126" s="517"/>
    </row>
    <row r="127" spans="1:29" ht="11.25" customHeight="1" x14ac:dyDescent="0.2">
      <c r="A127" s="517"/>
      <c r="B127" s="517"/>
      <c r="C127" s="517"/>
      <c r="D127" s="517"/>
      <c r="E127" s="517"/>
      <c r="F127" s="517"/>
      <c r="G127" s="517"/>
      <c r="H127" s="517"/>
      <c r="I127" s="517"/>
      <c r="J127" s="517"/>
      <c r="K127" s="517"/>
      <c r="L127" s="517"/>
      <c r="M127" s="517"/>
      <c r="N127" s="517"/>
      <c r="O127" s="517"/>
      <c r="P127" s="517"/>
      <c r="Q127" s="517"/>
      <c r="R127" s="517"/>
      <c r="S127" s="517"/>
      <c r="T127" s="517"/>
      <c r="U127" s="517"/>
      <c r="V127" s="517"/>
      <c r="W127" s="517"/>
      <c r="X127" s="517"/>
      <c r="Y127" s="517"/>
      <c r="Z127" s="517"/>
      <c r="AA127" s="517"/>
      <c r="AB127" s="517"/>
      <c r="AC127" s="517"/>
    </row>
    <row r="128" spans="1:29" ht="11.25" customHeight="1" x14ac:dyDescent="0.2">
      <c r="A128" s="517"/>
      <c r="B128" s="517"/>
      <c r="C128" s="517"/>
      <c r="D128" s="517"/>
      <c r="E128" s="517"/>
      <c r="F128" s="517"/>
      <c r="G128" s="517"/>
      <c r="H128" s="517"/>
      <c r="I128" s="517"/>
      <c r="J128" s="517"/>
      <c r="K128" s="517"/>
      <c r="L128" s="517"/>
      <c r="M128" s="517"/>
      <c r="N128" s="517"/>
      <c r="O128" s="517"/>
      <c r="P128" s="517"/>
      <c r="Q128" s="517"/>
      <c r="R128" s="517"/>
      <c r="S128" s="517"/>
      <c r="T128" s="517"/>
      <c r="U128" s="517"/>
      <c r="V128" s="517"/>
      <c r="W128" s="517"/>
      <c r="X128" s="517"/>
      <c r="Y128" s="517"/>
      <c r="Z128" s="517"/>
      <c r="AA128" s="517"/>
      <c r="AB128" s="517"/>
      <c r="AC128" s="517"/>
    </row>
    <row r="129" spans="1:29" ht="11.25" customHeight="1" x14ac:dyDescent="0.2">
      <c r="A129" s="517"/>
      <c r="B129" s="517"/>
      <c r="C129" s="517"/>
      <c r="D129" s="517"/>
      <c r="E129" s="517"/>
      <c r="F129" s="517"/>
      <c r="G129" s="517"/>
      <c r="H129" s="517"/>
      <c r="I129" s="517"/>
      <c r="J129" s="517"/>
      <c r="K129" s="517"/>
      <c r="L129" s="517"/>
      <c r="M129" s="517"/>
      <c r="N129" s="517"/>
      <c r="O129" s="517"/>
      <c r="P129" s="517"/>
      <c r="Q129" s="517"/>
      <c r="R129" s="517"/>
      <c r="S129" s="517"/>
      <c r="T129" s="517"/>
      <c r="U129" s="517"/>
      <c r="V129" s="517"/>
      <c r="W129" s="517"/>
      <c r="X129" s="517"/>
      <c r="Y129" s="517"/>
      <c r="Z129" s="517"/>
      <c r="AA129" s="517"/>
      <c r="AB129" s="517"/>
      <c r="AC129" s="517"/>
    </row>
    <row r="130" spans="1:29" ht="11.25" customHeight="1" x14ac:dyDescent="0.2">
      <c r="A130" s="517"/>
      <c r="B130" s="517"/>
      <c r="C130" s="517"/>
      <c r="D130" s="517"/>
      <c r="E130" s="517"/>
      <c r="F130" s="517"/>
      <c r="G130" s="517"/>
      <c r="H130" s="517"/>
      <c r="I130" s="517"/>
      <c r="J130" s="517"/>
      <c r="K130" s="517"/>
      <c r="L130" s="517"/>
      <c r="M130" s="517"/>
      <c r="N130" s="517"/>
      <c r="O130" s="517"/>
      <c r="P130" s="517"/>
      <c r="Q130" s="517"/>
      <c r="R130" s="517"/>
      <c r="S130" s="517"/>
      <c r="T130" s="517"/>
      <c r="U130" s="517"/>
      <c r="V130" s="517"/>
      <c r="W130" s="517"/>
      <c r="X130" s="517"/>
      <c r="Y130" s="517"/>
      <c r="Z130" s="517"/>
      <c r="AA130" s="517"/>
      <c r="AB130" s="517"/>
      <c r="AC130" s="517"/>
    </row>
    <row r="131" spans="1:29" ht="11.25" customHeight="1" x14ac:dyDescent="0.2">
      <c r="A131" s="517"/>
      <c r="B131" s="517"/>
      <c r="C131" s="517"/>
      <c r="D131" s="517"/>
      <c r="E131" s="517"/>
      <c r="F131" s="517"/>
      <c r="G131" s="517"/>
      <c r="H131" s="517"/>
      <c r="I131" s="517"/>
      <c r="J131" s="517"/>
      <c r="K131" s="517"/>
      <c r="L131" s="517"/>
      <c r="M131" s="517"/>
      <c r="N131" s="517"/>
      <c r="O131" s="517"/>
      <c r="P131" s="517"/>
      <c r="Q131" s="517"/>
      <c r="R131" s="517"/>
      <c r="S131" s="517"/>
      <c r="T131" s="517"/>
      <c r="U131" s="517"/>
      <c r="V131" s="517"/>
      <c r="W131" s="517"/>
      <c r="X131" s="517"/>
      <c r="Y131" s="517"/>
      <c r="Z131" s="517"/>
      <c r="AA131" s="517"/>
      <c r="AB131" s="517"/>
      <c r="AC131" s="517"/>
    </row>
    <row r="132" spans="1:29" ht="11.25" customHeight="1" x14ac:dyDescent="0.2">
      <c r="A132" s="517"/>
      <c r="B132" s="517"/>
      <c r="C132" s="517"/>
      <c r="D132" s="517"/>
      <c r="E132" s="517"/>
      <c r="F132" s="517"/>
      <c r="G132" s="517"/>
      <c r="H132" s="517"/>
      <c r="I132" s="517"/>
      <c r="J132" s="517"/>
      <c r="K132" s="517"/>
      <c r="L132" s="517"/>
      <c r="M132" s="517"/>
      <c r="N132" s="517"/>
      <c r="O132" s="517"/>
      <c r="P132" s="517"/>
      <c r="Q132" s="517"/>
      <c r="R132" s="517"/>
      <c r="S132" s="517"/>
      <c r="T132" s="517"/>
      <c r="U132" s="517"/>
      <c r="V132" s="517"/>
      <c r="W132" s="517"/>
      <c r="X132" s="517"/>
      <c r="Y132" s="517"/>
      <c r="Z132" s="517"/>
      <c r="AA132" s="517"/>
      <c r="AB132" s="517"/>
      <c r="AC132" s="517"/>
    </row>
    <row r="133" spans="1:29" ht="11.25" customHeight="1" x14ac:dyDescent="0.2">
      <c r="A133" s="517"/>
      <c r="B133" s="517"/>
      <c r="C133" s="517"/>
      <c r="D133" s="517"/>
      <c r="E133" s="517"/>
      <c r="F133" s="517"/>
      <c r="G133" s="517"/>
      <c r="H133" s="517"/>
      <c r="I133" s="517"/>
      <c r="J133" s="517"/>
      <c r="K133" s="517"/>
      <c r="L133" s="517"/>
      <c r="M133" s="517"/>
      <c r="N133" s="517"/>
      <c r="O133" s="517"/>
      <c r="P133" s="517"/>
      <c r="Q133" s="517"/>
      <c r="R133" s="517"/>
      <c r="S133" s="517"/>
      <c r="T133" s="517"/>
      <c r="U133" s="517"/>
      <c r="V133" s="517"/>
      <c r="W133" s="517"/>
      <c r="X133" s="517"/>
      <c r="Y133" s="517"/>
      <c r="Z133" s="517"/>
      <c r="AA133" s="517"/>
      <c r="AB133" s="517"/>
      <c r="AC133" s="517"/>
    </row>
    <row r="134" spans="1:29" ht="11.25" customHeight="1" x14ac:dyDescent="0.2">
      <c r="A134" s="517"/>
      <c r="B134" s="517"/>
      <c r="C134" s="517"/>
      <c r="D134" s="517"/>
      <c r="E134" s="517"/>
      <c r="F134" s="517"/>
      <c r="G134" s="517"/>
      <c r="H134" s="517"/>
      <c r="I134" s="517"/>
      <c r="J134" s="517"/>
      <c r="K134" s="517"/>
      <c r="L134" s="517"/>
      <c r="M134" s="517"/>
      <c r="N134" s="517"/>
      <c r="O134" s="517"/>
      <c r="P134" s="517"/>
      <c r="Q134" s="517"/>
      <c r="R134" s="517"/>
      <c r="S134" s="517"/>
      <c r="T134" s="517"/>
      <c r="U134" s="517"/>
      <c r="V134" s="517"/>
      <c r="W134" s="517"/>
      <c r="X134" s="517"/>
      <c r="Y134" s="517"/>
      <c r="Z134" s="517"/>
      <c r="AA134" s="517"/>
      <c r="AB134" s="517"/>
      <c r="AC134" s="517"/>
    </row>
    <row r="135" spans="1:29" ht="11.25" customHeight="1" x14ac:dyDescent="0.2">
      <c r="A135" s="517"/>
      <c r="B135" s="517"/>
      <c r="C135" s="517"/>
      <c r="D135" s="517"/>
      <c r="E135" s="517"/>
      <c r="F135" s="517"/>
      <c r="G135" s="517"/>
      <c r="H135" s="517"/>
      <c r="I135" s="517"/>
      <c r="J135" s="517"/>
      <c r="K135" s="517"/>
      <c r="L135" s="517"/>
      <c r="M135" s="517"/>
      <c r="N135" s="517"/>
      <c r="O135" s="517"/>
      <c r="P135" s="517"/>
      <c r="Q135" s="517"/>
      <c r="R135" s="517"/>
      <c r="S135" s="517"/>
      <c r="T135" s="517"/>
      <c r="U135" s="517"/>
      <c r="V135" s="517"/>
      <c r="W135" s="517"/>
      <c r="X135" s="517"/>
      <c r="Y135" s="517"/>
      <c r="Z135" s="517"/>
      <c r="AA135" s="517"/>
      <c r="AB135" s="517"/>
      <c r="AC135" s="517"/>
    </row>
    <row r="136" spans="1:29" ht="11.25" customHeight="1" x14ac:dyDescent="0.2">
      <c r="A136" s="517"/>
      <c r="B136" s="517"/>
      <c r="C136" s="517"/>
      <c r="D136" s="517"/>
      <c r="E136" s="517"/>
      <c r="F136" s="517"/>
      <c r="G136" s="517"/>
      <c r="H136" s="517"/>
      <c r="I136" s="517"/>
      <c r="J136" s="517"/>
      <c r="K136" s="517"/>
      <c r="L136" s="517"/>
      <c r="M136" s="517"/>
      <c r="N136" s="517"/>
      <c r="O136" s="517"/>
      <c r="P136" s="517"/>
      <c r="Q136" s="517"/>
      <c r="R136" s="517"/>
      <c r="S136" s="517"/>
      <c r="T136" s="517"/>
      <c r="U136" s="517"/>
      <c r="V136" s="517"/>
      <c r="W136" s="517"/>
      <c r="X136" s="517"/>
      <c r="Y136" s="517"/>
      <c r="Z136" s="517"/>
      <c r="AA136" s="517"/>
      <c r="AB136" s="517"/>
      <c r="AC136" s="517"/>
    </row>
    <row r="137" spans="1:29" ht="11.25" customHeight="1" x14ac:dyDescent="0.2">
      <c r="A137" s="517"/>
      <c r="B137" s="517"/>
      <c r="C137" s="517"/>
      <c r="D137" s="517"/>
      <c r="E137" s="517"/>
      <c r="F137" s="517"/>
      <c r="G137" s="517"/>
      <c r="H137" s="517"/>
      <c r="I137" s="517"/>
      <c r="J137" s="517"/>
      <c r="K137" s="517"/>
      <c r="L137" s="517"/>
      <c r="M137" s="517"/>
      <c r="N137" s="517"/>
      <c r="O137" s="517"/>
      <c r="P137" s="517"/>
      <c r="Q137" s="517"/>
      <c r="R137" s="517"/>
      <c r="S137" s="517"/>
      <c r="T137" s="517"/>
      <c r="U137" s="517"/>
      <c r="V137" s="517"/>
      <c r="W137" s="517"/>
      <c r="X137" s="517"/>
      <c r="Y137" s="517"/>
      <c r="Z137" s="517"/>
      <c r="AA137" s="517"/>
      <c r="AB137" s="517"/>
      <c r="AC137" s="517"/>
    </row>
    <row r="138" spans="1:29" ht="11.25" customHeight="1" x14ac:dyDescent="0.2">
      <c r="A138" s="517"/>
      <c r="B138" s="517"/>
      <c r="C138" s="517"/>
      <c r="D138" s="517"/>
      <c r="E138" s="517"/>
      <c r="F138" s="517"/>
      <c r="G138" s="517"/>
      <c r="H138" s="517"/>
      <c r="I138" s="517"/>
      <c r="J138" s="517"/>
      <c r="K138" s="517"/>
      <c r="L138" s="517"/>
      <c r="M138" s="517"/>
      <c r="N138" s="517"/>
      <c r="O138" s="517"/>
      <c r="P138" s="517"/>
      <c r="Q138" s="517"/>
      <c r="R138" s="517"/>
      <c r="S138" s="517"/>
      <c r="T138" s="517"/>
      <c r="U138" s="517"/>
      <c r="V138" s="517"/>
      <c r="W138" s="517"/>
      <c r="X138" s="517"/>
      <c r="Y138" s="517"/>
      <c r="Z138" s="517"/>
      <c r="AA138" s="517"/>
      <c r="AB138" s="517"/>
      <c r="AC138" s="517"/>
    </row>
    <row r="139" spans="1:29" ht="11.25" customHeight="1" x14ac:dyDescent="0.2">
      <c r="A139" s="517"/>
      <c r="B139" s="517"/>
      <c r="C139" s="517"/>
      <c r="D139" s="517"/>
      <c r="E139" s="517"/>
      <c r="F139" s="517"/>
      <c r="G139" s="517"/>
      <c r="H139" s="517"/>
      <c r="I139" s="517"/>
      <c r="J139" s="517"/>
      <c r="K139" s="517"/>
      <c r="L139" s="517"/>
      <c r="M139" s="517"/>
      <c r="N139" s="517"/>
      <c r="O139" s="517"/>
      <c r="P139" s="517"/>
      <c r="Q139" s="517"/>
      <c r="R139" s="517"/>
      <c r="S139" s="517"/>
      <c r="T139" s="517"/>
      <c r="U139" s="517"/>
      <c r="V139" s="517"/>
      <c r="W139" s="517"/>
      <c r="X139" s="517"/>
      <c r="Y139" s="517"/>
      <c r="Z139" s="517"/>
      <c r="AA139" s="517"/>
      <c r="AB139" s="517"/>
      <c r="AC139" s="517"/>
    </row>
    <row r="140" spans="1:29" ht="11.25" customHeight="1" x14ac:dyDescent="0.2">
      <c r="A140" s="517"/>
      <c r="B140" s="517"/>
      <c r="C140" s="517"/>
      <c r="D140" s="517"/>
      <c r="E140" s="517"/>
      <c r="F140" s="517"/>
      <c r="G140" s="517"/>
      <c r="H140" s="517"/>
      <c r="I140" s="517"/>
      <c r="J140" s="517"/>
      <c r="K140" s="517"/>
      <c r="L140" s="517"/>
      <c r="M140" s="517"/>
      <c r="N140" s="517"/>
      <c r="O140" s="517"/>
      <c r="P140" s="517"/>
      <c r="Q140" s="517"/>
      <c r="R140" s="517"/>
      <c r="S140" s="517"/>
      <c r="T140" s="517"/>
      <c r="U140" s="517"/>
      <c r="V140" s="517"/>
      <c r="W140" s="517"/>
      <c r="X140" s="517"/>
      <c r="Y140" s="517"/>
      <c r="Z140" s="517"/>
      <c r="AA140" s="517"/>
      <c r="AB140" s="517"/>
      <c r="AC140" s="517"/>
    </row>
    <row r="141" spans="1:29" ht="11.25" customHeight="1" x14ac:dyDescent="0.2">
      <c r="A141" s="517"/>
      <c r="B141" s="517"/>
      <c r="C141" s="517"/>
      <c r="D141" s="517"/>
      <c r="E141" s="517"/>
      <c r="F141" s="517"/>
      <c r="G141" s="517"/>
      <c r="H141" s="517"/>
      <c r="I141" s="517"/>
      <c r="J141" s="517"/>
      <c r="K141" s="517"/>
      <c r="L141" s="517"/>
      <c r="M141" s="517"/>
      <c r="N141" s="517"/>
      <c r="O141" s="517"/>
      <c r="P141" s="517"/>
      <c r="Q141" s="517"/>
      <c r="R141" s="517"/>
      <c r="S141" s="517"/>
      <c r="T141" s="517"/>
      <c r="U141" s="517"/>
      <c r="V141" s="517"/>
      <c r="W141" s="517"/>
      <c r="X141" s="517"/>
      <c r="Y141" s="517"/>
      <c r="Z141" s="517"/>
      <c r="AA141" s="517"/>
      <c r="AB141" s="517"/>
      <c r="AC141" s="517"/>
    </row>
    <row r="142" spans="1:29" ht="11.25" customHeight="1" x14ac:dyDescent="0.2">
      <c r="A142" s="517"/>
      <c r="B142" s="517"/>
      <c r="C142" s="517"/>
      <c r="D142" s="517"/>
      <c r="E142" s="517"/>
      <c r="F142" s="517"/>
      <c r="G142" s="517"/>
      <c r="H142" s="517"/>
      <c r="I142" s="517"/>
      <c r="J142" s="517"/>
      <c r="K142" s="517"/>
      <c r="L142" s="517"/>
      <c r="M142" s="517"/>
      <c r="N142" s="517"/>
      <c r="O142" s="517"/>
      <c r="P142" s="517"/>
      <c r="Q142" s="517"/>
      <c r="R142" s="517"/>
      <c r="S142" s="517"/>
      <c r="T142" s="517"/>
      <c r="U142" s="517"/>
      <c r="V142" s="517"/>
      <c r="W142" s="517"/>
      <c r="X142" s="517"/>
      <c r="Y142" s="517"/>
      <c r="Z142" s="517"/>
      <c r="AA142" s="517"/>
      <c r="AB142" s="517"/>
      <c r="AC142" s="517"/>
    </row>
    <row r="143" spans="1:29" ht="11.25" customHeight="1" x14ac:dyDescent="0.2">
      <c r="A143" s="517"/>
      <c r="B143" s="517"/>
      <c r="C143" s="517"/>
      <c r="D143" s="517"/>
      <c r="E143" s="517"/>
      <c r="F143" s="517"/>
      <c r="G143" s="517"/>
      <c r="H143" s="517"/>
      <c r="I143" s="517"/>
      <c r="J143" s="517"/>
      <c r="K143" s="517"/>
      <c r="L143" s="517"/>
      <c r="M143" s="517"/>
      <c r="N143" s="517"/>
      <c r="O143" s="517"/>
      <c r="P143" s="517"/>
      <c r="Q143" s="517"/>
      <c r="R143" s="517"/>
      <c r="S143" s="517"/>
      <c r="T143" s="517"/>
      <c r="U143" s="517"/>
      <c r="V143" s="517"/>
      <c r="W143" s="517"/>
      <c r="X143" s="517"/>
      <c r="Y143" s="517"/>
      <c r="Z143" s="517"/>
      <c r="AA143" s="517"/>
      <c r="AB143" s="517"/>
      <c r="AC143" s="517"/>
    </row>
    <row r="144" spans="1:29" ht="11.25" customHeight="1" x14ac:dyDescent="0.2">
      <c r="A144" s="517"/>
      <c r="B144" s="517"/>
      <c r="C144" s="517"/>
      <c r="D144" s="517"/>
      <c r="E144" s="517"/>
      <c r="F144" s="517"/>
      <c r="G144" s="517"/>
      <c r="H144" s="517"/>
      <c r="I144" s="517"/>
      <c r="J144" s="517"/>
      <c r="K144" s="517"/>
      <c r="L144" s="517"/>
      <c r="M144" s="517"/>
      <c r="N144" s="517"/>
      <c r="O144" s="517"/>
      <c r="P144" s="517"/>
      <c r="Q144" s="517"/>
      <c r="R144" s="517"/>
      <c r="S144" s="517"/>
      <c r="T144" s="517"/>
      <c r="U144" s="517"/>
      <c r="V144" s="517"/>
      <c r="W144" s="517"/>
      <c r="X144" s="517"/>
      <c r="Y144" s="517"/>
      <c r="Z144" s="517"/>
      <c r="AA144" s="517"/>
      <c r="AB144" s="517"/>
      <c r="AC144" s="517"/>
    </row>
    <row r="145" spans="1:29" ht="11.25" customHeight="1" x14ac:dyDescent="0.2">
      <c r="A145" s="517"/>
      <c r="B145" s="517"/>
      <c r="C145" s="517"/>
      <c r="D145" s="517"/>
      <c r="E145" s="517"/>
      <c r="F145" s="517"/>
      <c r="G145" s="517"/>
      <c r="H145" s="517"/>
      <c r="I145" s="517"/>
      <c r="J145" s="517"/>
      <c r="K145" s="517"/>
      <c r="L145" s="517"/>
      <c r="M145" s="517"/>
      <c r="N145" s="517"/>
      <c r="O145" s="517"/>
      <c r="P145" s="517"/>
      <c r="Q145" s="517"/>
      <c r="R145" s="517"/>
      <c r="S145" s="517"/>
      <c r="T145" s="517"/>
      <c r="U145" s="517"/>
      <c r="V145" s="517"/>
      <c r="W145" s="517"/>
      <c r="X145" s="517"/>
      <c r="Y145" s="517"/>
      <c r="Z145" s="517"/>
      <c r="AA145" s="517"/>
      <c r="AB145" s="517"/>
      <c r="AC145" s="517"/>
    </row>
    <row r="146" spans="1:29" ht="11.25" customHeight="1" x14ac:dyDescent="0.2">
      <c r="A146" s="517"/>
      <c r="B146" s="517"/>
      <c r="C146" s="517"/>
      <c r="D146" s="517"/>
      <c r="E146" s="517"/>
      <c r="F146" s="517"/>
      <c r="G146" s="517"/>
      <c r="H146" s="517"/>
      <c r="I146" s="517"/>
      <c r="J146" s="517"/>
      <c r="K146" s="517"/>
      <c r="L146" s="517"/>
      <c r="M146" s="517"/>
      <c r="N146" s="517"/>
      <c r="O146" s="517"/>
      <c r="P146" s="517"/>
      <c r="Q146" s="517"/>
      <c r="R146" s="517"/>
      <c r="S146" s="517"/>
      <c r="T146" s="517"/>
      <c r="U146" s="517"/>
      <c r="V146" s="517"/>
      <c r="W146" s="517"/>
      <c r="X146" s="517"/>
      <c r="Y146" s="517"/>
      <c r="Z146" s="517"/>
      <c r="AA146" s="517"/>
      <c r="AB146" s="517"/>
      <c r="AC146" s="517"/>
    </row>
    <row r="147" spans="1:29" ht="11.25" customHeight="1" x14ac:dyDescent="0.2">
      <c r="A147" s="517"/>
      <c r="B147" s="517"/>
      <c r="C147" s="517"/>
      <c r="D147" s="517"/>
      <c r="E147" s="517"/>
      <c r="F147" s="517"/>
      <c r="G147" s="517"/>
      <c r="H147" s="517"/>
      <c r="I147" s="517"/>
      <c r="J147" s="517"/>
      <c r="K147" s="517"/>
      <c r="L147" s="517"/>
      <c r="M147" s="517"/>
      <c r="N147" s="517"/>
      <c r="O147" s="517"/>
      <c r="P147" s="517"/>
      <c r="Q147" s="517"/>
      <c r="R147" s="517"/>
      <c r="S147" s="517"/>
      <c r="T147" s="517"/>
      <c r="U147" s="517"/>
      <c r="V147" s="517"/>
      <c r="W147" s="517"/>
      <c r="X147" s="517"/>
      <c r="Y147" s="517"/>
      <c r="Z147" s="517"/>
      <c r="AA147" s="517"/>
      <c r="AB147" s="517"/>
      <c r="AC147" s="517"/>
    </row>
    <row r="148" spans="1:29" ht="11.25" customHeight="1" x14ac:dyDescent="0.2">
      <c r="A148" s="517"/>
      <c r="B148" s="517"/>
      <c r="C148" s="517"/>
      <c r="D148" s="517"/>
      <c r="E148" s="517"/>
      <c r="F148" s="517"/>
      <c r="G148" s="517"/>
      <c r="H148" s="517"/>
      <c r="I148" s="517"/>
      <c r="J148" s="517"/>
      <c r="K148" s="517"/>
      <c r="L148" s="517"/>
      <c r="M148" s="517"/>
      <c r="N148" s="517"/>
      <c r="O148" s="517"/>
      <c r="P148" s="517"/>
      <c r="Q148" s="517"/>
      <c r="R148" s="517"/>
      <c r="S148" s="517"/>
      <c r="T148" s="517"/>
      <c r="U148" s="517"/>
      <c r="V148" s="517"/>
      <c r="W148" s="517"/>
      <c r="X148" s="517"/>
      <c r="Y148" s="517"/>
      <c r="Z148" s="517"/>
      <c r="AA148" s="517"/>
      <c r="AB148" s="517"/>
      <c r="AC148" s="517"/>
    </row>
    <row r="149" spans="1:29" ht="11.25" customHeight="1" x14ac:dyDescent="0.2">
      <c r="A149" s="517"/>
      <c r="B149" s="517"/>
      <c r="C149" s="517"/>
      <c r="D149" s="517"/>
      <c r="E149" s="517"/>
      <c r="F149" s="517"/>
      <c r="G149" s="517"/>
      <c r="H149" s="517"/>
      <c r="I149" s="517"/>
      <c r="J149" s="517"/>
      <c r="K149" s="517"/>
      <c r="L149" s="517"/>
      <c r="M149" s="517"/>
      <c r="N149" s="517"/>
      <c r="O149" s="517"/>
      <c r="P149" s="517"/>
      <c r="Q149" s="517"/>
      <c r="R149" s="517"/>
      <c r="S149" s="517"/>
      <c r="T149" s="517"/>
      <c r="U149" s="517"/>
      <c r="V149" s="517"/>
      <c r="W149" s="517"/>
      <c r="X149" s="517"/>
      <c r="Y149" s="517"/>
      <c r="Z149" s="517"/>
      <c r="AA149" s="517"/>
      <c r="AB149" s="517"/>
      <c r="AC149" s="517"/>
    </row>
    <row r="150" spans="1:29" ht="11.25" customHeight="1" x14ac:dyDescent="0.2">
      <c r="A150" s="517"/>
      <c r="B150" s="517"/>
      <c r="C150" s="517"/>
      <c r="D150" s="517"/>
      <c r="E150" s="517"/>
      <c r="F150" s="517"/>
      <c r="G150" s="517"/>
      <c r="H150" s="517"/>
      <c r="I150" s="517"/>
      <c r="J150" s="517"/>
      <c r="K150" s="517"/>
      <c r="L150" s="517"/>
      <c r="M150" s="517"/>
      <c r="N150" s="517"/>
      <c r="O150" s="517"/>
      <c r="P150" s="517"/>
      <c r="Q150" s="517"/>
      <c r="R150" s="517"/>
      <c r="S150" s="517"/>
      <c r="T150" s="517"/>
      <c r="U150" s="517"/>
      <c r="V150" s="517"/>
      <c r="W150" s="517"/>
      <c r="X150" s="517"/>
      <c r="Y150" s="517"/>
      <c r="Z150" s="517"/>
      <c r="AA150" s="517"/>
      <c r="AB150" s="517"/>
      <c r="AC150" s="517"/>
    </row>
    <row r="151" spans="1:29" ht="11.25" customHeight="1" x14ac:dyDescent="0.2">
      <c r="A151" s="517"/>
      <c r="B151" s="517"/>
      <c r="C151" s="517"/>
      <c r="D151" s="517"/>
      <c r="E151" s="517"/>
      <c r="F151" s="517"/>
      <c r="G151" s="517"/>
      <c r="H151" s="517"/>
      <c r="I151" s="517"/>
      <c r="J151" s="517"/>
      <c r="K151" s="517"/>
      <c r="L151" s="517"/>
      <c r="M151" s="517"/>
      <c r="N151" s="517"/>
      <c r="O151" s="517"/>
      <c r="P151" s="517"/>
      <c r="Q151" s="517"/>
      <c r="R151" s="517"/>
      <c r="S151" s="517"/>
      <c r="T151" s="517"/>
      <c r="U151" s="517"/>
      <c r="V151" s="517"/>
      <c r="W151" s="517"/>
      <c r="X151" s="517"/>
      <c r="Y151" s="517"/>
      <c r="Z151" s="517"/>
      <c r="AA151" s="517"/>
      <c r="AB151" s="517"/>
      <c r="AC151" s="517"/>
    </row>
    <row r="152" spans="1:29" ht="11.25" customHeight="1" x14ac:dyDescent="0.2">
      <c r="A152" s="517"/>
      <c r="B152" s="517"/>
      <c r="C152" s="517"/>
      <c r="D152" s="517"/>
      <c r="E152" s="517"/>
      <c r="F152" s="517"/>
      <c r="G152" s="517"/>
      <c r="H152" s="517"/>
      <c r="I152" s="517"/>
      <c r="J152" s="517"/>
      <c r="K152" s="517"/>
      <c r="L152" s="517"/>
      <c r="M152" s="517"/>
      <c r="N152" s="517"/>
      <c r="O152" s="517"/>
      <c r="P152" s="517"/>
      <c r="Q152" s="517"/>
      <c r="R152" s="517"/>
      <c r="S152" s="517"/>
      <c r="T152" s="517"/>
      <c r="U152" s="517"/>
      <c r="V152" s="517"/>
      <c r="W152" s="517"/>
      <c r="X152" s="517"/>
      <c r="Y152" s="517"/>
      <c r="Z152" s="517"/>
      <c r="AA152" s="517"/>
      <c r="AB152" s="517"/>
      <c r="AC152" s="517"/>
    </row>
    <row r="153" spans="1:29" ht="11.25" customHeight="1" x14ac:dyDescent="0.2">
      <c r="A153" s="517"/>
      <c r="B153" s="517"/>
      <c r="C153" s="517"/>
      <c r="D153" s="517"/>
      <c r="E153" s="517"/>
      <c r="F153" s="517"/>
      <c r="G153" s="517"/>
      <c r="H153" s="517"/>
      <c r="I153" s="517"/>
      <c r="J153" s="517"/>
      <c r="K153" s="517"/>
      <c r="L153" s="517"/>
      <c r="M153" s="517"/>
      <c r="N153" s="517"/>
      <c r="O153" s="517"/>
      <c r="P153" s="517"/>
      <c r="Q153" s="517"/>
      <c r="R153" s="517"/>
      <c r="S153" s="517"/>
      <c r="T153" s="517"/>
      <c r="U153" s="517"/>
      <c r="V153" s="517"/>
      <c r="W153" s="517"/>
      <c r="X153" s="517"/>
      <c r="Y153" s="517"/>
      <c r="Z153" s="517"/>
      <c r="AA153" s="517"/>
      <c r="AB153" s="517"/>
      <c r="AC153" s="517"/>
    </row>
    <row r="154" spans="1:29" ht="11.25" customHeight="1" x14ac:dyDescent="0.2">
      <c r="A154" s="517"/>
      <c r="B154" s="517"/>
      <c r="C154" s="517"/>
      <c r="D154" s="517"/>
      <c r="E154" s="517"/>
      <c r="F154" s="517"/>
      <c r="G154" s="517"/>
      <c r="H154" s="517"/>
      <c r="I154" s="517"/>
      <c r="J154" s="517"/>
      <c r="K154" s="517"/>
      <c r="L154" s="517"/>
      <c r="M154" s="517"/>
      <c r="N154" s="517"/>
      <c r="O154" s="517"/>
      <c r="P154" s="517"/>
      <c r="Q154" s="517"/>
      <c r="R154" s="517"/>
      <c r="S154" s="517"/>
      <c r="T154" s="517"/>
      <c r="U154" s="517"/>
      <c r="V154" s="517"/>
      <c r="W154" s="517"/>
      <c r="X154" s="517"/>
      <c r="Y154" s="517"/>
      <c r="Z154" s="517"/>
      <c r="AA154" s="517"/>
      <c r="AB154" s="517"/>
      <c r="AC154" s="517"/>
    </row>
    <row r="155" spans="1:29" ht="11.25" customHeight="1" x14ac:dyDescent="0.2">
      <c r="A155" s="517"/>
      <c r="B155" s="517"/>
      <c r="C155" s="517"/>
      <c r="D155" s="517"/>
      <c r="E155" s="517"/>
      <c r="F155" s="517"/>
      <c r="G155" s="517"/>
      <c r="H155" s="517"/>
      <c r="I155" s="517"/>
      <c r="J155" s="517"/>
      <c r="K155" s="517"/>
      <c r="L155" s="517"/>
      <c r="M155" s="517"/>
      <c r="N155" s="517"/>
      <c r="O155" s="517"/>
      <c r="P155" s="517"/>
      <c r="Q155" s="517"/>
      <c r="R155" s="517"/>
      <c r="S155" s="517"/>
      <c r="T155" s="517"/>
      <c r="U155" s="517"/>
      <c r="V155" s="517"/>
      <c r="W155" s="517"/>
      <c r="X155" s="517"/>
      <c r="Y155" s="517"/>
      <c r="Z155" s="517"/>
      <c r="AA155" s="517"/>
      <c r="AB155" s="517"/>
      <c r="AC155" s="517"/>
    </row>
    <row r="156" spans="1:29" ht="11.25" customHeight="1" x14ac:dyDescent="0.2">
      <c r="A156" s="517"/>
      <c r="B156" s="517"/>
      <c r="C156" s="517"/>
      <c r="D156" s="517"/>
      <c r="E156" s="517"/>
      <c r="F156" s="517"/>
      <c r="G156" s="517"/>
      <c r="H156" s="517"/>
      <c r="I156" s="517"/>
      <c r="J156" s="517"/>
      <c r="K156" s="517"/>
      <c r="L156" s="517"/>
      <c r="M156" s="517"/>
      <c r="N156" s="517"/>
      <c r="O156" s="517"/>
      <c r="P156" s="517"/>
      <c r="Q156" s="517"/>
      <c r="R156" s="517"/>
      <c r="S156" s="517"/>
      <c r="T156" s="517"/>
      <c r="U156" s="517"/>
      <c r="V156" s="517"/>
      <c r="W156" s="517"/>
      <c r="X156" s="517"/>
      <c r="Y156" s="517"/>
      <c r="Z156" s="517"/>
      <c r="AA156" s="517"/>
      <c r="AB156" s="517"/>
      <c r="AC156" s="517"/>
    </row>
    <row r="157" spans="1:29" ht="11.25" customHeight="1" x14ac:dyDescent="0.2">
      <c r="A157" s="517"/>
      <c r="B157" s="517"/>
      <c r="C157" s="517"/>
      <c r="D157" s="517"/>
      <c r="E157" s="517"/>
      <c r="F157" s="517"/>
      <c r="G157" s="517"/>
      <c r="H157" s="517"/>
      <c r="I157" s="517"/>
      <c r="J157" s="517"/>
      <c r="K157" s="517"/>
      <c r="L157" s="517"/>
      <c r="M157" s="517"/>
      <c r="N157" s="517"/>
      <c r="O157" s="517"/>
      <c r="P157" s="517"/>
      <c r="Q157" s="517"/>
      <c r="R157" s="517"/>
      <c r="S157" s="517"/>
      <c r="T157" s="517"/>
      <c r="U157" s="517"/>
      <c r="V157" s="517"/>
      <c r="W157" s="517"/>
      <c r="X157" s="517"/>
      <c r="Y157" s="517"/>
      <c r="Z157" s="517"/>
      <c r="AA157" s="517"/>
      <c r="AB157" s="517"/>
      <c r="AC157" s="517"/>
    </row>
    <row r="158" spans="1:29" ht="11.25" customHeight="1" x14ac:dyDescent="0.2">
      <c r="A158" s="517"/>
      <c r="B158" s="517"/>
      <c r="C158" s="517"/>
      <c r="D158" s="517"/>
      <c r="E158" s="517"/>
      <c r="F158" s="517"/>
      <c r="G158" s="517"/>
      <c r="H158" s="517"/>
      <c r="I158" s="517"/>
      <c r="J158" s="517"/>
      <c r="K158" s="517"/>
      <c r="L158" s="517"/>
      <c r="M158" s="517"/>
      <c r="N158" s="517"/>
      <c r="O158" s="517"/>
      <c r="P158" s="517"/>
      <c r="Q158" s="517"/>
      <c r="R158" s="517"/>
      <c r="S158" s="517"/>
      <c r="T158" s="517"/>
      <c r="U158" s="517"/>
      <c r="V158" s="517"/>
      <c r="W158" s="517"/>
      <c r="X158" s="517"/>
      <c r="Y158" s="517"/>
      <c r="Z158" s="517"/>
      <c r="AA158" s="517"/>
      <c r="AB158" s="517"/>
      <c r="AC158" s="517"/>
    </row>
    <row r="159" spans="1:29" ht="11.25" customHeight="1" x14ac:dyDescent="0.2">
      <c r="A159" s="517"/>
      <c r="B159" s="517"/>
      <c r="C159" s="517"/>
      <c r="D159" s="517"/>
      <c r="E159" s="517"/>
      <c r="F159" s="517"/>
      <c r="G159" s="517"/>
      <c r="H159" s="517"/>
      <c r="I159" s="517"/>
      <c r="J159" s="517"/>
      <c r="K159" s="517"/>
      <c r="L159" s="517"/>
      <c r="M159" s="517"/>
      <c r="N159" s="517"/>
      <c r="O159" s="517"/>
      <c r="P159" s="517"/>
      <c r="Q159" s="517"/>
      <c r="R159" s="517"/>
      <c r="S159" s="517"/>
      <c r="T159" s="517"/>
      <c r="U159" s="517"/>
      <c r="V159" s="517"/>
      <c r="W159" s="517"/>
      <c r="X159" s="517"/>
      <c r="Y159" s="517"/>
      <c r="Z159" s="517"/>
      <c r="AA159" s="517"/>
      <c r="AB159" s="517"/>
      <c r="AC159" s="517"/>
    </row>
    <row r="160" spans="1:29" ht="11.25" customHeight="1" x14ac:dyDescent="0.2">
      <c r="A160" s="517"/>
      <c r="B160" s="517"/>
      <c r="C160" s="517"/>
      <c r="D160" s="517"/>
      <c r="E160" s="517"/>
      <c r="F160" s="517"/>
      <c r="G160" s="517"/>
      <c r="H160" s="517"/>
      <c r="I160" s="517"/>
      <c r="J160" s="517"/>
      <c r="K160" s="517"/>
      <c r="L160" s="517"/>
      <c r="M160" s="517"/>
      <c r="N160" s="517"/>
      <c r="O160" s="517"/>
      <c r="P160" s="517"/>
      <c r="Q160" s="517"/>
      <c r="R160" s="517"/>
      <c r="S160" s="517"/>
      <c r="T160" s="517"/>
      <c r="U160" s="517"/>
      <c r="V160" s="517"/>
      <c r="W160" s="517"/>
      <c r="X160" s="517"/>
      <c r="Y160" s="517"/>
      <c r="Z160" s="517"/>
      <c r="AA160" s="517"/>
      <c r="AB160" s="517"/>
      <c r="AC160" s="517"/>
    </row>
    <row r="161" spans="1:29" ht="11.25" customHeight="1" x14ac:dyDescent="0.2">
      <c r="A161" s="517"/>
      <c r="B161" s="517"/>
      <c r="C161" s="517"/>
      <c r="D161" s="517"/>
      <c r="E161" s="517"/>
      <c r="F161" s="517"/>
      <c r="G161" s="517"/>
      <c r="H161" s="517"/>
      <c r="I161" s="517"/>
      <c r="J161" s="517"/>
      <c r="K161" s="517"/>
      <c r="L161" s="517"/>
      <c r="M161" s="517"/>
      <c r="N161" s="517"/>
      <c r="O161" s="517"/>
      <c r="P161" s="517"/>
      <c r="Q161" s="517"/>
      <c r="R161" s="517"/>
      <c r="S161" s="517"/>
      <c r="T161" s="517"/>
      <c r="U161" s="517"/>
      <c r="V161" s="517"/>
      <c r="W161" s="517"/>
      <c r="X161" s="517"/>
      <c r="Y161" s="517"/>
      <c r="Z161" s="517"/>
      <c r="AA161" s="517"/>
      <c r="AB161" s="517"/>
      <c r="AC161" s="517"/>
    </row>
    <row r="162" spans="1:29" ht="11.25" customHeight="1" x14ac:dyDescent="0.2">
      <c r="A162" s="517"/>
      <c r="B162" s="517"/>
      <c r="C162" s="517"/>
      <c r="D162" s="517"/>
      <c r="E162" s="517"/>
      <c r="F162" s="517"/>
      <c r="G162" s="517"/>
      <c r="H162" s="517"/>
      <c r="I162" s="517"/>
      <c r="J162" s="517"/>
      <c r="K162" s="517"/>
      <c r="L162" s="517"/>
      <c r="M162" s="517"/>
      <c r="N162" s="517"/>
      <c r="O162" s="517"/>
      <c r="P162" s="517"/>
      <c r="Q162" s="517"/>
      <c r="R162" s="517"/>
      <c r="S162" s="517"/>
      <c r="T162" s="517"/>
      <c r="U162" s="517"/>
      <c r="V162" s="517"/>
      <c r="W162" s="517"/>
      <c r="X162" s="517"/>
      <c r="Y162" s="517"/>
      <c r="Z162" s="517"/>
      <c r="AA162" s="517"/>
      <c r="AB162" s="517"/>
      <c r="AC162" s="517"/>
    </row>
    <row r="163" spans="1:29" ht="11.25" customHeight="1" x14ac:dyDescent="0.2">
      <c r="A163" s="517"/>
      <c r="B163" s="517"/>
      <c r="C163" s="517"/>
      <c r="D163" s="517"/>
      <c r="E163" s="517"/>
      <c r="F163" s="517"/>
      <c r="G163" s="517"/>
      <c r="H163" s="517"/>
      <c r="I163" s="517"/>
      <c r="J163" s="517"/>
      <c r="K163" s="517"/>
      <c r="L163" s="517"/>
      <c r="M163" s="517"/>
      <c r="N163" s="517"/>
      <c r="O163" s="517"/>
      <c r="P163" s="517"/>
      <c r="Q163" s="517"/>
      <c r="R163" s="517"/>
      <c r="S163" s="517"/>
      <c r="T163" s="517"/>
      <c r="U163" s="517"/>
      <c r="V163" s="517"/>
      <c r="W163" s="517"/>
      <c r="X163" s="517"/>
      <c r="Y163" s="517"/>
      <c r="Z163" s="517"/>
      <c r="AA163" s="517"/>
      <c r="AB163" s="517"/>
      <c r="AC163" s="517"/>
    </row>
    <row r="164" spans="1:29" ht="11.25" customHeight="1" x14ac:dyDescent="0.2">
      <c r="A164" s="517"/>
      <c r="B164" s="517"/>
      <c r="C164" s="517"/>
      <c r="D164" s="517"/>
      <c r="E164" s="517"/>
      <c r="F164" s="517"/>
      <c r="G164" s="517"/>
      <c r="H164" s="517"/>
      <c r="I164" s="517"/>
      <c r="J164" s="517"/>
      <c r="K164" s="517"/>
      <c r="L164" s="517"/>
      <c r="M164" s="517"/>
      <c r="N164" s="517"/>
      <c r="O164" s="517"/>
      <c r="P164" s="517"/>
      <c r="Q164" s="517"/>
      <c r="R164" s="517"/>
      <c r="S164" s="517"/>
      <c r="T164" s="517"/>
      <c r="U164" s="517"/>
      <c r="V164" s="517"/>
      <c r="W164" s="517"/>
      <c r="X164" s="517"/>
      <c r="Y164" s="517"/>
      <c r="Z164" s="517"/>
      <c r="AA164" s="517"/>
      <c r="AB164" s="517"/>
      <c r="AC164" s="517"/>
    </row>
    <row r="165" spans="1:29" ht="11.25" customHeight="1" x14ac:dyDescent="0.2">
      <c r="A165" s="517"/>
      <c r="B165" s="517"/>
      <c r="C165" s="517"/>
      <c r="D165" s="517"/>
      <c r="E165" s="517"/>
      <c r="F165" s="517"/>
      <c r="G165" s="517"/>
      <c r="H165" s="517"/>
      <c r="I165" s="517"/>
      <c r="J165" s="517"/>
      <c r="K165" s="517"/>
      <c r="L165" s="517"/>
      <c r="M165" s="517"/>
      <c r="N165" s="517"/>
      <c r="O165" s="517"/>
      <c r="P165" s="517"/>
      <c r="Q165" s="517"/>
      <c r="R165" s="517"/>
      <c r="S165" s="517"/>
      <c r="T165" s="517"/>
      <c r="U165" s="517"/>
      <c r="V165" s="517"/>
      <c r="W165" s="517"/>
      <c r="X165" s="517"/>
      <c r="Y165" s="517"/>
      <c r="Z165" s="517"/>
      <c r="AA165" s="517"/>
      <c r="AB165" s="517"/>
      <c r="AC165" s="517"/>
    </row>
    <row r="166" spans="1:29" ht="11.25" customHeight="1" x14ac:dyDescent="0.2">
      <c r="A166" s="517"/>
      <c r="B166" s="517"/>
      <c r="C166" s="517"/>
      <c r="D166" s="517"/>
      <c r="E166" s="517"/>
      <c r="F166" s="517"/>
      <c r="G166" s="517"/>
      <c r="H166" s="517"/>
      <c r="I166" s="517"/>
      <c r="J166" s="517"/>
      <c r="K166" s="517"/>
      <c r="L166" s="517"/>
      <c r="M166" s="517"/>
      <c r="N166" s="517"/>
      <c r="O166" s="517"/>
      <c r="P166" s="517"/>
      <c r="Q166" s="517"/>
      <c r="R166" s="517"/>
      <c r="S166" s="517"/>
      <c r="T166" s="517"/>
      <c r="U166" s="517"/>
      <c r="V166" s="517"/>
      <c r="W166" s="517"/>
      <c r="X166" s="517"/>
      <c r="Y166" s="517"/>
      <c r="Z166" s="517"/>
      <c r="AA166" s="517"/>
      <c r="AB166" s="517"/>
      <c r="AC166" s="517"/>
    </row>
    <row r="167" spans="1:29" ht="11.25" customHeight="1" x14ac:dyDescent="0.2">
      <c r="A167" s="517"/>
      <c r="B167" s="517"/>
      <c r="C167" s="517"/>
      <c r="D167" s="517"/>
      <c r="E167" s="517"/>
      <c r="F167" s="517"/>
      <c r="G167" s="517"/>
      <c r="H167" s="517"/>
      <c r="I167" s="517"/>
      <c r="J167" s="517"/>
      <c r="K167" s="517"/>
      <c r="L167" s="517"/>
      <c r="M167" s="517"/>
      <c r="N167" s="517"/>
      <c r="O167" s="517"/>
      <c r="P167" s="517"/>
      <c r="Q167" s="517"/>
      <c r="R167" s="517"/>
      <c r="S167" s="517"/>
      <c r="T167" s="517"/>
      <c r="U167" s="517"/>
      <c r="V167" s="517"/>
      <c r="W167" s="517"/>
      <c r="X167" s="517"/>
      <c r="Y167" s="517"/>
      <c r="Z167" s="517"/>
      <c r="AA167" s="517"/>
      <c r="AB167" s="517"/>
      <c r="AC167" s="517"/>
    </row>
    <row r="168" spans="1:29" ht="11.25" customHeight="1" x14ac:dyDescent="0.2">
      <c r="A168" s="517"/>
      <c r="B168" s="517"/>
      <c r="C168" s="517"/>
      <c r="D168" s="517"/>
      <c r="E168" s="517"/>
      <c r="F168" s="517"/>
      <c r="G168" s="517"/>
      <c r="H168" s="517"/>
      <c r="I168" s="517"/>
      <c r="J168" s="517"/>
      <c r="K168" s="517"/>
      <c r="L168" s="517"/>
      <c r="M168" s="517"/>
      <c r="N168" s="517"/>
      <c r="O168" s="517"/>
      <c r="P168" s="517"/>
      <c r="Q168" s="517"/>
      <c r="R168" s="517"/>
      <c r="S168" s="517"/>
      <c r="T168" s="517"/>
      <c r="U168" s="517"/>
      <c r="V168" s="517"/>
      <c r="W168" s="517"/>
      <c r="X168" s="517"/>
      <c r="Y168" s="517"/>
      <c r="Z168" s="517"/>
      <c r="AA168" s="517"/>
      <c r="AB168" s="517"/>
      <c r="AC168" s="517"/>
    </row>
    <row r="169" spans="1:29" ht="11.25" customHeight="1" x14ac:dyDescent="0.2">
      <c r="A169" s="517"/>
      <c r="B169" s="517"/>
      <c r="C169" s="517"/>
      <c r="D169" s="517"/>
      <c r="E169" s="517"/>
      <c r="F169" s="517"/>
      <c r="G169" s="517"/>
      <c r="H169" s="517"/>
      <c r="I169" s="517"/>
      <c r="J169" s="517"/>
      <c r="K169" s="517"/>
      <c r="L169" s="517"/>
      <c r="M169" s="517"/>
      <c r="N169" s="517"/>
      <c r="O169" s="517"/>
      <c r="P169" s="517"/>
      <c r="Q169" s="517"/>
      <c r="R169" s="517"/>
      <c r="S169" s="517"/>
      <c r="T169" s="517"/>
      <c r="U169" s="517"/>
      <c r="V169" s="517"/>
      <c r="W169" s="517"/>
      <c r="X169" s="517"/>
      <c r="Y169" s="517"/>
      <c r="Z169" s="517"/>
      <c r="AA169" s="517"/>
      <c r="AB169" s="517"/>
      <c r="AC169" s="517"/>
    </row>
    <row r="170" spans="1:29" ht="11.25" customHeight="1" x14ac:dyDescent="0.2">
      <c r="A170" s="517"/>
      <c r="B170" s="517"/>
      <c r="C170" s="517"/>
      <c r="D170" s="517"/>
      <c r="E170" s="517"/>
      <c r="F170" s="517"/>
      <c r="G170" s="517"/>
      <c r="H170" s="517"/>
      <c r="I170" s="517"/>
      <c r="J170" s="517"/>
      <c r="K170" s="517"/>
      <c r="L170" s="517"/>
      <c r="M170" s="517"/>
      <c r="N170" s="517"/>
      <c r="O170" s="517"/>
      <c r="P170" s="517"/>
      <c r="Q170" s="517"/>
      <c r="R170" s="517"/>
      <c r="S170" s="517"/>
      <c r="T170" s="517"/>
      <c r="U170" s="517"/>
      <c r="V170" s="517"/>
      <c r="W170" s="517"/>
      <c r="X170" s="517"/>
      <c r="Y170" s="517"/>
      <c r="Z170" s="517"/>
      <c r="AA170" s="517"/>
      <c r="AB170" s="517"/>
      <c r="AC170" s="517"/>
    </row>
    <row r="171" spans="1:29" ht="11.25" customHeight="1" x14ac:dyDescent="0.2">
      <c r="A171" s="517"/>
      <c r="B171" s="517"/>
      <c r="C171" s="517"/>
      <c r="D171" s="517"/>
      <c r="E171" s="517"/>
      <c r="F171" s="517"/>
      <c r="G171" s="517"/>
      <c r="H171" s="517"/>
      <c r="I171" s="517"/>
      <c r="J171" s="517"/>
      <c r="K171" s="517"/>
      <c r="L171" s="517"/>
      <c r="M171" s="517"/>
      <c r="N171" s="517"/>
      <c r="O171" s="517"/>
      <c r="P171" s="517"/>
      <c r="Q171" s="517"/>
      <c r="R171" s="517"/>
      <c r="S171" s="517"/>
      <c r="T171" s="517"/>
      <c r="U171" s="517"/>
      <c r="V171" s="517"/>
      <c r="W171" s="517"/>
      <c r="X171" s="517"/>
      <c r="Y171" s="517"/>
      <c r="Z171" s="517"/>
      <c r="AA171" s="517"/>
      <c r="AB171" s="517"/>
      <c r="AC171" s="517"/>
    </row>
    <row r="172" spans="1:29" ht="11.25" customHeight="1" x14ac:dyDescent="0.2">
      <c r="A172" s="517"/>
      <c r="B172" s="517"/>
      <c r="C172" s="517"/>
      <c r="D172" s="517"/>
      <c r="E172" s="517"/>
      <c r="F172" s="517"/>
      <c r="G172" s="517"/>
      <c r="H172" s="517"/>
      <c r="I172" s="517"/>
      <c r="J172" s="517"/>
      <c r="K172" s="517"/>
      <c r="L172" s="517"/>
      <c r="M172" s="517"/>
      <c r="N172" s="517"/>
      <c r="O172" s="517"/>
      <c r="P172" s="517"/>
      <c r="Q172" s="517"/>
      <c r="R172" s="517"/>
      <c r="S172" s="517"/>
      <c r="T172" s="517"/>
      <c r="U172" s="517"/>
      <c r="V172" s="517"/>
      <c r="W172" s="517"/>
      <c r="X172" s="517"/>
      <c r="Y172" s="517"/>
      <c r="Z172" s="517"/>
      <c r="AA172" s="517"/>
      <c r="AB172" s="517"/>
      <c r="AC172" s="517"/>
    </row>
    <row r="173" spans="1:29" ht="11.25" customHeight="1" x14ac:dyDescent="0.2">
      <c r="A173" s="517"/>
      <c r="B173" s="517"/>
      <c r="C173" s="517"/>
      <c r="D173" s="517"/>
      <c r="E173" s="517"/>
      <c r="F173" s="517"/>
      <c r="G173" s="517"/>
      <c r="H173" s="517"/>
      <c r="I173" s="517"/>
      <c r="J173" s="517"/>
      <c r="K173" s="517"/>
      <c r="L173" s="517"/>
      <c r="M173" s="517"/>
      <c r="N173" s="517"/>
      <c r="O173" s="517"/>
      <c r="P173" s="517"/>
      <c r="Q173" s="517"/>
      <c r="R173" s="517"/>
      <c r="S173" s="517"/>
      <c r="T173" s="517"/>
      <c r="U173" s="517"/>
      <c r="V173" s="517"/>
      <c r="W173" s="517"/>
      <c r="X173" s="517"/>
      <c r="Y173" s="517"/>
      <c r="Z173" s="517"/>
      <c r="AA173" s="517"/>
      <c r="AB173" s="517"/>
      <c r="AC173" s="517"/>
    </row>
    <row r="174" spans="1:29" ht="11.25" customHeight="1" x14ac:dyDescent="0.2">
      <c r="A174" s="517"/>
      <c r="B174" s="517"/>
      <c r="C174" s="517"/>
      <c r="D174" s="517"/>
      <c r="E174" s="517"/>
      <c r="F174" s="517"/>
      <c r="G174" s="517"/>
      <c r="H174" s="517"/>
      <c r="I174" s="517"/>
      <c r="J174" s="517"/>
      <c r="K174" s="517"/>
      <c r="L174" s="517"/>
      <c r="M174" s="517"/>
      <c r="N174" s="517"/>
      <c r="O174" s="517"/>
      <c r="P174" s="517"/>
      <c r="Q174" s="517"/>
      <c r="R174" s="517"/>
      <c r="S174" s="517"/>
      <c r="T174" s="517"/>
      <c r="U174" s="517"/>
      <c r="V174" s="517"/>
      <c r="W174" s="517"/>
      <c r="X174" s="517"/>
      <c r="Y174" s="517"/>
      <c r="Z174" s="517"/>
      <c r="AA174" s="517"/>
      <c r="AB174" s="517"/>
      <c r="AC174" s="517"/>
    </row>
    <row r="175" spans="1:29" ht="11.25" customHeight="1" x14ac:dyDescent="0.2">
      <c r="A175" s="517"/>
      <c r="B175" s="517"/>
      <c r="C175" s="517"/>
      <c r="D175" s="517"/>
      <c r="E175" s="517"/>
      <c r="F175" s="517"/>
      <c r="G175" s="517"/>
      <c r="H175" s="517"/>
      <c r="I175" s="517"/>
      <c r="J175" s="517"/>
      <c r="K175" s="517"/>
      <c r="L175" s="517"/>
      <c r="M175" s="517"/>
      <c r="N175" s="517"/>
      <c r="O175" s="517"/>
      <c r="P175" s="517"/>
      <c r="Q175" s="517"/>
      <c r="R175" s="517"/>
      <c r="S175" s="517"/>
      <c r="T175" s="517"/>
      <c r="U175" s="517"/>
      <c r="V175" s="517"/>
      <c r="W175" s="517"/>
      <c r="X175" s="517"/>
      <c r="Y175" s="517"/>
      <c r="Z175" s="517"/>
      <c r="AA175" s="517"/>
      <c r="AB175" s="517"/>
      <c r="AC175" s="517"/>
    </row>
    <row r="176" spans="1:29" ht="11.25" customHeight="1" x14ac:dyDescent="0.2">
      <c r="A176" s="517"/>
      <c r="B176" s="517"/>
      <c r="C176" s="517"/>
      <c r="D176" s="517"/>
      <c r="E176" s="517"/>
      <c r="F176" s="517"/>
      <c r="G176" s="517"/>
      <c r="H176" s="517"/>
      <c r="I176" s="517"/>
      <c r="J176" s="517"/>
      <c r="K176" s="517"/>
      <c r="L176" s="517"/>
      <c r="M176" s="517"/>
      <c r="N176" s="517"/>
      <c r="O176" s="517"/>
      <c r="P176" s="517"/>
      <c r="Q176" s="517"/>
      <c r="R176" s="517"/>
      <c r="S176" s="517"/>
      <c r="T176" s="517"/>
      <c r="U176" s="517"/>
      <c r="V176" s="517"/>
      <c r="W176" s="517"/>
      <c r="X176" s="517"/>
      <c r="Y176" s="517"/>
      <c r="Z176" s="517"/>
      <c r="AA176" s="517"/>
      <c r="AB176" s="517"/>
      <c r="AC176" s="517"/>
    </row>
    <row r="177" spans="1:29" ht="11.25" customHeight="1" x14ac:dyDescent="0.2">
      <c r="A177" s="517"/>
      <c r="B177" s="517"/>
      <c r="C177" s="517"/>
      <c r="D177" s="517"/>
      <c r="E177" s="517"/>
      <c r="F177" s="517"/>
      <c r="G177" s="517"/>
      <c r="H177" s="517"/>
      <c r="I177" s="517"/>
      <c r="J177" s="517"/>
      <c r="K177" s="517"/>
      <c r="L177" s="517"/>
      <c r="M177" s="517"/>
      <c r="N177" s="517"/>
      <c r="O177" s="517"/>
      <c r="P177" s="517"/>
      <c r="Q177" s="517"/>
      <c r="R177" s="517"/>
      <c r="S177" s="517"/>
      <c r="T177" s="517"/>
      <c r="U177" s="517"/>
      <c r="V177" s="517"/>
      <c r="W177" s="517"/>
      <c r="X177" s="517"/>
      <c r="Y177" s="517"/>
      <c r="Z177" s="517"/>
      <c r="AA177" s="517"/>
      <c r="AB177" s="517"/>
      <c r="AC177" s="517"/>
    </row>
    <row r="178" spans="1:29" ht="11.25" customHeight="1" x14ac:dyDescent="0.2">
      <c r="A178" s="517"/>
      <c r="B178" s="517"/>
      <c r="C178" s="517"/>
      <c r="D178" s="517"/>
      <c r="E178" s="517"/>
      <c r="F178" s="517"/>
      <c r="G178" s="517"/>
      <c r="H178" s="517"/>
      <c r="I178" s="517"/>
      <c r="J178" s="517"/>
      <c r="K178" s="517"/>
      <c r="L178" s="517"/>
      <c r="M178" s="517"/>
      <c r="N178" s="517"/>
      <c r="O178" s="517"/>
      <c r="P178" s="517"/>
      <c r="Q178" s="517"/>
      <c r="R178" s="517"/>
      <c r="S178" s="517"/>
      <c r="T178" s="517"/>
      <c r="U178" s="517"/>
      <c r="V178" s="517"/>
      <c r="W178" s="517"/>
      <c r="X178" s="517"/>
      <c r="Y178" s="517"/>
      <c r="Z178" s="517"/>
      <c r="AA178" s="517"/>
      <c r="AB178" s="517"/>
      <c r="AC178" s="517"/>
    </row>
    <row r="179" spans="1:29" ht="11.25" customHeight="1" x14ac:dyDescent="0.2">
      <c r="A179" s="517"/>
      <c r="B179" s="517"/>
      <c r="C179" s="517"/>
      <c r="D179" s="517"/>
      <c r="E179" s="517"/>
      <c r="F179" s="517"/>
      <c r="G179" s="517"/>
      <c r="H179" s="517"/>
      <c r="I179" s="517"/>
      <c r="J179" s="517"/>
      <c r="K179" s="517"/>
      <c r="L179" s="517"/>
      <c r="M179" s="517"/>
      <c r="N179" s="517"/>
      <c r="O179" s="517"/>
      <c r="P179" s="517"/>
      <c r="Q179" s="517"/>
      <c r="R179" s="517"/>
      <c r="S179" s="517"/>
      <c r="T179" s="517"/>
      <c r="U179" s="517"/>
      <c r="V179" s="517"/>
      <c r="W179" s="517"/>
      <c r="X179" s="517"/>
      <c r="Y179" s="517"/>
      <c r="Z179" s="517"/>
      <c r="AA179" s="517"/>
      <c r="AB179" s="517"/>
      <c r="AC179" s="517"/>
    </row>
    <row r="180" spans="1:29" ht="11.25" customHeight="1" x14ac:dyDescent="0.2">
      <c r="A180" s="517"/>
      <c r="B180" s="517"/>
      <c r="C180" s="517"/>
      <c r="D180" s="517"/>
      <c r="E180" s="517"/>
      <c r="F180" s="517"/>
      <c r="G180" s="517"/>
      <c r="H180" s="517"/>
      <c r="I180" s="517"/>
      <c r="J180" s="517"/>
      <c r="K180" s="517"/>
      <c r="L180" s="517"/>
      <c r="M180" s="517"/>
      <c r="N180" s="517"/>
      <c r="O180" s="517"/>
      <c r="P180" s="517"/>
      <c r="Q180" s="517"/>
      <c r="R180" s="517"/>
      <c r="S180" s="517"/>
      <c r="T180" s="517"/>
      <c r="U180" s="517"/>
      <c r="V180" s="517"/>
      <c r="W180" s="517"/>
      <c r="X180" s="517"/>
      <c r="Y180" s="517"/>
      <c r="Z180" s="517"/>
      <c r="AA180" s="517"/>
      <c r="AB180" s="517"/>
      <c r="AC180" s="517"/>
    </row>
    <row r="181" spans="1:29" ht="11.25" customHeight="1" x14ac:dyDescent="0.2">
      <c r="A181" s="517"/>
      <c r="B181" s="517"/>
      <c r="C181" s="517"/>
      <c r="D181" s="517"/>
      <c r="E181" s="517"/>
      <c r="F181" s="517"/>
      <c r="G181" s="517"/>
      <c r="H181" s="517"/>
      <c r="I181" s="517"/>
      <c r="J181" s="517"/>
      <c r="K181" s="517"/>
      <c r="L181" s="517"/>
      <c r="M181" s="517"/>
      <c r="N181" s="517"/>
      <c r="O181" s="517"/>
      <c r="P181" s="517"/>
      <c r="Q181" s="517"/>
      <c r="R181" s="517"/>
      <c r="S181" s="517"/>
      <c r="T181" s="517"/>
      <c r="U181" s="517"/>
      <c r="V181" s="517"/>
      <c r="W181" s="517"/>
      <c r="X181" s="517"/>
      <c r="Y181" s="517"/>
      <c r="Z181" s="517"/>
      <c r="AA181" s="517"/>
      <c r="AB181" s="517"/>
      <c r="AC181" s="517"/>
    </row>
    <row r="182" spans="1:29" ht="11.25" customHeight="1" x14ac:dyDescent="0.2">
      <c r="A182" s="517"/>
      <c r="B182" s="517"/>
      <c r="C182" s="517"/>
      <c r="D182" s="517"/>
      <c r="E182" s="517"/>
      <c r="F182" s="517"/>
      <c r="G182" s="517"/>
      <c r="H182" s="517"/>
      <c r="I182" s="517"/>
      <c r="J182" s="517"/>
      <c r="K182" s="517"/>
      <c r="L182" s="517"/>
      <c r="M182" s="517"/>
      <c r="N182" s="517"/>
      <c r="O182" s="517"/>
      <c r="P182" s="517"/>
      <c r="Q182" s="517"/>
      <c r="R182" s="517"/>
      <c r="S182" s="517"/>
      <c r="T182" s="517"/>
      <c r="U182" s="517"/>
      <c r="V182" s="517"/>
      <c r="W182" s="517"/>
      <c r="X182" s="517"/>
      <c r="Y182" s="517"/>
      <c r="Z182" s="517"/>
      <c r="AA182" s="517"/>
      <c r="AB182" s="517"/>
      <c r="AC182" s="517"/>
    </row>
    <row r="183" spans="1:29" ht="11.25" customHeight="1" x14ac:dyDescent="0.2">
      <c r="A183" s="517"/>
      <c r="B183" s="517"/>
      <c r="C183" s="517"/>
      <c r="D183" s="517"/>
      <c r="E183" s="517"/>
      <c r="F183" s="517"/>
      <c r="G183" s="517"/>
      <c r="H183" s="517"/>
      <c r="I183" s="517"/>
      <c r="J183" s="517"/>
      <c r="K183" s="517"/>
      <c r="L183" s="517"/>
      <c r="M183" s="517"/>
      <c r="N183" s="517"/>
      <c r="O183" s="517"/>
      <c r="P183" s="517"/>
      <c r="Q183" s="517"/>
      <c r="R183" s="517"/>
      <c r="S183" s="517"/>
      <c r="T183" s="517"/>
      <c r="U183" s="517"/>
      <c r="V183" s="517"/>
      <c r="W183" s="517"/>
      <c r="X183" s="517"/>
      <c r="Y183" s="517"/>
      <c r="Z183" s="517"/>
      <c r="AA183" s="517"/>
      <c r="AB183" s="517"/>
      <c r="AC183" s="517"/>
    </row>
    <row r="184" spans="1:29" ht="11.25" customHeight="1" x14ac:dyDescent="0.2">
      <c r="A184" s="517"/>
      <c r="B184" s="517"/>
      <c r="C184" s="517"/>
      <c r="D184" s="517"/>
      <c r="E184" s="517"/>
      <c r="F184" s="517"/>
      <c r="G184" s="517"/>
      <c r="H184" s="517"/>
      <c r="I184" s="517"/>
      <c r="J184" s="517"/>
      <c r="K184" s="517"/>
      <c r="L184" s="517"/>
      <c r="M184" s="517"/>
      <c r="N184" s="517"/>
      <c r="O184" s="517"/>
      <c r="P184" s="517"/>
      <c r="Q184" s="517"/>
      <c r="R184" s="517"/>
      <c r="S184" s="517"/>
      <c r="T184" s="517"/>
      <c r="U184" s="517"/>
      <c r="V184" s="517"/>
      <c r="W184" s="517"/>
      <c r="X184" s="517"/>
      <c r="Y184" s="517"/>
      <c r="Z184" s="517"/>
      <c r="AA184" s="517"/>
      <c r="AB184" s="517"/>
      <c r="AC184" s="517"/>
    </row>
    <row r="185" spans="1:29" ht="11.25" customHeight="1" x14ac:dyDescent="0.2">
      <c r="A185" s="517"/>
      <c r="B185" s="517"/>
      <c r="C185" s="517"/>
      <c r="D185" s="517"/>
      <c r="E185" s="517"/>
      <c r="F185" s="517"/>
      <c r="G185" s="517"/>
      <c r="H185" s="517"/>
      <c r="I185" s="517"/>
      <c r="J185" s="517"/>
      <c r="K185" s="517"/>
      <c r="L185" s="517"/>
      <c r="M185" s="517"/>
      <c r="N185" s="517"/>
      <c r="O185" s="517"/>
      <c r="P185" s="517"/>
      <c r="Q185" s="517"/>
      <c r="R185" s="517"/>
      <c r="S185" s="517"/>
      <c r="T185" s="517"/>
      <c r="U185" s="517"/>
      <c r="V185" s="517"/>
      <c r="W185" s="517"/>
      <c r="X185" s="517"/>
      <c r="Y185" s="517"/>
      <c r="Z185" s="517"/>
      <c r="AA185" s="517"/>
      <c r="AB185" s="517"/>
      <c r="AC185" s="517"/>
    </row>
    <row r="186" spans="1:29" ht="11.25" customHeight="1" x14ac:dyDescent="0.2">
      <c r="A186" s="517"/>
      <c r="B186" s="517"/>
      <c r="C186" s="517"/>
      <c r="D186" s="517"/>
      <c r="E186" s="517"/>
      <c r="F186" s="517"/>
      <c r="G186" s="517"/>
      <c r="H186" s="517"/>
      <c r="I186" s="517"/>
      <c r="J186" s="517"/>
      <c r="K186" s="517"/>
      <c r="L186" s="517"/>
      <c r="M186" s="517"/>
      <c r="N186" s="517"/>
      <c r="O186" s="517"/>
      <c r="P186" s="517"/>
      <c r="Q186" s="517"/>
      <c r="R186" s="517"/>
      <c r="S186" s="517"/>
      <c r="T186" s="517"/>
      <c r="U186" s="517"/>
      <c r="V186" s="517"/>
      <c r="W186" s="517"/>
      <c r="X186" s="517"/>
      <c r="Y186" s="517"/>
      <c r="Z186" s="517"/>
      <c r="AA186" s="517"/>
      <c r="AB186" s="517"/>
      <c r="AC186" s="517"/>
    </row>
    <row r="187" spans="1:29" ht="11.25" customHeight="1" x14ac:dyDescent="0.2">
      <c r="A187" s="517"/>
      <c r="B187" s="517"/>
      <c r="C187" s="517"/>
      <c r="D187" s="517"/>
      <c r="E187" s="517"/>
      <c r="F187" s="517"/>
      <c r="G187" s="517"/>
      <c r="H187" s="517"/>
      <c r="I187" s="517"/>
      <c r="J187" s="517"/>
      <c r="K187" s="517"/>
      <c r="L187" s="517"/>
      <c r="M187" s="517"/>
      <c r="N187" s="517"/>
      <c r="O187" s="517"/>
      <c r="P187" s="517"/>
      <c r="Q187" s="517"/>
      <c r="R187" s="517"/>
      <c r="S187" s="517"/>
      <c r="T187" s="517"/>
      <c r="U187" s="517"/>
      <c r="V187" s="517"/>
      <c r="W187" s="517"/>
      <c r="X187" s="517"/>
      <c r="Y187" s="517"/>
      <c r="Z187" s="517"/>
      <c r="AA187" s="517"/>
      <c r="AB187" s="517"/>
      <c r="AC187" s="517"/>
    </row>
    <row r="188" spans="1:29" ht="11.25" customHeight="1" x14ac:dyDescent="0.2">
      <c r="A188" s="517"/>
      <c r="B188" s="517"/>
      <c r="C188" s="517"/>
      <c r="D188" s="517"/>
      <c r="E188" s="517"/>
      <c r="F188" s="517"/>
      <c r="G188" s="517"/>
      <c r="H188" s="517"/>
      <c r="I188" s="517"/>
      <c r="J188" s="517"/>
      <c r="K188" s="517"/>
      <c r="L188" s="517"/>
      <c r="M188" s="517"/>
      <c r="N188" s="517"/>
      <c r="O188" s="517"/>
      <c r="P188" s="517"/>
      <c r="Q188" s="517"/>
      <c r="R188" s="517"/>
      <c r="S188" s="517"/>
      <c r="T188" s="517"/>
      <c r="U188" s="517"/>
      <c r="V188" s="517"/>
      <c r="W188" s="517"/>
      <c r="X188" s="517"/>
      <c r="Y188" s="517"/>
      <c r="Z188" s="517"/>
      <c r="AA188" s="517"/>
      <c r="AB188" s="517"/>
      <c r="AC188" s="517"/>
    </row>
    <row r="189" spans="1:29" ht="11.25" customHeight="1" x14ac:dyDescent="0.2">
      <c r="A189" s="517"/>
      <c r="B189" s="517"/>
      <c r="C189" s="517"/>
      <c r="D189" s="517"/>
      <c r="E189" s="517"/>
      <c r="F189" s="517"/>
      <c r="G189" s="517"/>
      <c r="H189" s="517"/>
      <c r="I189" s="517"/>
      <c r="J189" s="517"/>
      <c r="K189" s="517"/>
      <c r="L189" s="517"/>
      <c r="M189" s="517"/>
      <c r="N189" s="517"/>
      <c r="O189" s="517"/>
      <c r="P189" s="517"/>
      <c r="Q189" s="517"/>
      <c r="R189" s="517"/>
      <c r="S189" s="517"/>
      <c r="T189" s="517"/>
      <c r="U189" s="517"/>
      <c r="V189" s="517"/>
      <c r="W189" s="517"/>
      <c r="X189" s="517"/>
      <c r="Y189" s="517"/>
      <c r="Z189" s="517"/>
      <c r="AA189" s="517"/>
      <c r="AB189" s="517"/>
      <c r="AC189" s="517"/>
    </row>
    <row r="190" spans="1:29" ht="11.25" customHeight="1" x14ac:dyDescent="0.2">
      <c r="A190" s="517"/>
      <c r="B190" s="517"/>
      <c r="C190" s="517"/>
      <c r="D190" s="517"/>
      <c r="E190" s="517"/>
      <c r="F190" s="517"/>
      <c r="G190" s="517"/>
      <c r="H190" s="517"/>
      <c r="I190" s="517"/>
      <c r="J190" s="517"/>
      <c r="K190" s="517"/>
      <c r="L190" s="517"/>
      <c r="M190" s="517"/>
      <c r="N190" s="517"/>
      <c r="O190" s="517"/>
      <c r="P190" s="517"/>
      <c r="Q190" s="517"/>
      <c r="R190" s="517"/>
      <c r="S190" s="517"/>
      <c r="T190" s="517"/>
      <c r="U190" s="517"/>
      <c r="V190" s="517"/>
      <c r="W190" s="517"/>
      <c r="X190" s="517"/>
      <c r="Y190" s="517"/>
      <c r="Z190" s="517"/>
      <c r="AA190" s="517"/>
      <c r="AB190" s="517"/>
      <c r="AC190" s="517"/>
    </row>
    <row r="191" spans="1:29" ht="11.25" customHeight="1" x14ac:dyDescent="0.2">
      <c r="A191" s="517"/>
      <c r="B191" s="517"/>
      <c r="C191" s="517"/>
      <c r="D191" s="517"/>
      <c r="E191" s="517"/>
      <c r="F191" s="517"/>
      <c r="G191" s="517"/>
      <c r="H191" s="517"/>
      <c r="I191" s="517"/>
      <c r="J191" s="517"/>
      <c r="K191" s="517"/>
      <c r="L191" s="517"/>
      <c r="M191" s="517"/>
      <c r="N191" s="517"/>
      <c r="O191" s="517"/>
      <c r="P191" s="517"/>
      <c r="Q191" s="517"/>
      <c r="R191" s="517"/>
      <c r="S191" s="517"/>
      <c r="T191" s="517"/>
      <c r="U191" s="517"/>
      <c r="V191" s="517"/>
      <c r="W191" s="517"/>
      <c r="X191" s="517"/>
      <c r="Y191" s="517"/>
      <c r="Z191" s="517"/>
      <c r="AA191" s="517"/>
      <c r="AB191" s="517"/>
      <c r="AC191" s="517"/>
    </row>
    <row r="192" spans="1:29" ht="11.25" customHeight="1" x14ac:dyDescent="0.2">
      <c r="A192" s="517"/>
      <c r="B192" s="517"/>
      <c r="C192" s="517"/>
      <c r="D192" s="517"/>
      <c r="E192" s="517"/>
      <c r="F192" s="517"/>
      <c r="G192" s="517"/>
      <c r="H192" s="517"/>
      <c r="I192" s="517"/>
      <c r="J192" s="517"/>
      <c r="K192" s="517"/>
      <c r="L192" s="517"/>
      <c r="M192" s="517"/>
      <c r="N192" s="517"/>
      <c r="O192" s="517"/>
      <c r="P192" s="517"/>
      <c r="Q192" s="517"/>
      <c r="R192" s="517"/>
      <c r="S192" s="517"/>
      <c r="T192" s="517"/>
      <c r="U192" s="517"/>
      <c r="V192" s="517"/>
      <c r="W192" s="517"/>
      <c r="X192" s="517"/>
      <c r="Y192" s="517"/>
      <c r="Z192" s="517"/>
      <c r="AA192" s="517"/>
      <c r="AB192" s="517"/>
      <c r="AC192" s="517"/>
    </row>
    <row r="193" spans="1:29" ht="11.25" customHeight="1" x14ac:dyDescent="0.2">
      <c r="A193" s="517"/>
      <c r="B193" s="517"/>
      <c r="C193" s="517"/>
      <c r="D193" s="517"/>
      <c r="E193" s="517"/>
      <c r="F193" s="517"/>
      <c r="G193" s="517"/>
      <c r="H193" s="517"/>
      <c r="I193" s="517"/>
      <c r="J193" s="517"/>
      <c r="K193" s="517"/>
      <c r="L193" s="517"/>
      <c r="M193" s="517"/>
      <c r="N193" s="517"/>
      <c r="O193" s="517"/>
      <c r="P193" s="517"/>
      <c r="Q193" s="517"/>
      <c r="R193" s="517"/>
      <c r="S193" s="517"/>
      <c r="T193" s="517"/>
      <c r="U193" s="517"/>
      <c r="V193" s="517"/>
      <c r="W193" s="517"/>
      <c r="X193" s="517"/>
      <c r="Y193" s="517"/>
      <c r="Z193" s="517"/>
      <c r="AA193" s="517"/>
      <c r="AB193" s="517"/>
      <c r="AC193" s="517"/>
    </row>
    <row r="194" spans="1:29" ht="11.25" customHeight="1" x14ac:dyDescent="0.2">
      <c r="A194" s="517"/>
      <c r="B194" s="517"/>
      <c r="C194" s="517"/>
      <c r="D194" s="517"/>
      <c r="E194" s="517"/>
      <c r="F194" s="517"/>
      <c r="G194" s="517"/>
      <c r="H194" s="517"/>
      <c r="I194" s="517"/>
      <c r="J194" s="517"/>
      <c r="K194" s="517"/>
      <c r="L194" s="517"/>
      <c r="M194" s="517"/>
      <c r="N194" s="517"/>
      <c r="O194" s="517"/>
      <c r="P194" s="517"/>
      <c r="Q194" s="517"/>
      <c r="R194" s="517"/>
      <c r="S194" s="517"/>
      <c r="T194" s="517"/>
      <c r="U194" s="517"/>
      <c r="V194" s="517"/>
      <c r="W194" s="517"/>
      <c r="X194" s="517"/>
      <c r="Y194" s="517"/>
      <c r="Z194" s="517"/>
      <c r="AA194" s="517"/>
      <c r="AB194" s="517"/>
      <c r="AC194" s="517"/>
    </row>
    <row r="195" spans="1:29" ht="11.25" customHeight="1" x14ac:dyDescent="0.2">
      <c r="A195" s="517"/>
      <c r="B195" s="517"/>
      <c r="C195" s="517"/>
      <c r="D195" s="517"/>
      <c r="E195" s="517"/>
      <c r="F195" s="517"/>
      <c r="G195" s="517"/>
      <c r="H195" s="517"/>
      <c r="I195" s="517"/>
      <c r="J195" s="517"/>
      <c r="K195" s="517"/>
      <c r="L195" s="517"/>
      <c r="M195" s="517"/>
      <c r="N195" s="517"/>
      <c r="O195" s="517"/>
      <c r="P195" s="517"/>
      <c r="Q195" s="517"/>
      <c r="R195" s="517"/>
      <c r="S195" s="517"/>
      <c r="T195" s="517"/>
      <c r="U195" s="517"/>
      <c r="V195" s="517"/>
      <c r="W195" s="517"/>
      <c r="X195" s="517"/>
      <c r="Y195" s="517"/>
      <c r="Z195" s="517"/>
      <c r="AA195" s="517"/>
      <c r="AB195" s="517"/>
      <c r="AC195" s="517"/>
    </row>
    <row r="196" spans="1:29" ht="11.25" customHeight="1" x14ac:dyDescent="0.2">
      <c r="A196" s="517"/>
      <c r="B196" s="517"/>
      <c r="C196" s="517"/>
      <c r="D196" s="517"/>
      <c r="E196" s="517"/>
      <c r="F196" s="517"/>
      <c r="G196" s="517"/>
      <c r="H196" s="517"/>
      <c r="I196" s="517"/>
      <c r="J196" s="517"/>
      <c r="K196" s="517"/>
      <c r="L196" s="517"/>
      <c r="M196" s="517"/>
      <c r="N196" s="517"/>
      <c r="O196" s="517"/>
      <c r="P196" s="517"/>
      <c r="Q196" s="517"/>
      <c r="R196" s="517"/>
      <c r="S196" s="517"/>
      <c r="T196" s="517"/>
      <c r="U196" s="517"/>
      <c r="V196" s="517"/>
      <c r="W196" s="517"/>
      <c r="X196" s="517"/>
      <c r="Y196" s="517"/>
      <c r="Z196" s="517"/>
      <c r="AA196" s="517"/>
      <c r="AB196" s="517"/>
      <c r="AC196" s="517"/>
    </row>
    <row r="197" spans="1:29" ht="11.25" customHeight="1" x14ac:dyDescent="0.2">
      <c r="A197" s="517"/>
      <c r="B197" s="517"/>
      <c r="C197" s="517"/>
      <c r="D197" s="517"/>
      <c r="E197" s="517"/>
      <c r="F197" s="517"/>
      <c r="G197" s="517"/>
      <c r="H197" s="517"/>
      <c r="I197" s="517"/>
      <c r="J197" s="517"/>
      <c r="K197" s="517"/>
      <c r="L197" s="517"/>
      <c r="M197" s="517"/>
      <c r="N197" s="517"/>
      <c r="O197" s="517"/>
      <c r="P197" s="517"/>
      <c r="Q197" s="517"/>
      <c r="R197" s="517"/>
      <c r="S197" s="517"/>
      <c r="T197" s="517"/>
      <c r="U197" s="517"/>
      <c r="V197" s="517"/>
      <c r="W197" s="517"/>
      <c r="X197" s="517"/>
      <c r="Y197" s="517"/>
      <c r="Z197" s="517"/>
      <c r="AA197" s="517"/>
      <c r="AB197" s="517"/>
      <c r="AC197" s="517"/>
    </row>
    <row r="198" spans="1:29" ht="11.25" customHeight="1" x14ac:dyDescent="0.2">
      <c r="A198" s="517"/>
      <c r="B198" s="517"/>
      <c r="C198" s="517"/>
      <c r="D198" s="517"/>
      <c r="E198" s="517"/>
      <c r="F198" s="517"/>
      <c r="G198" s="517"/>
      <c r="H198" s="517"/>
      <c r="I198" s="517"/>
      <c r="J198" s="517"/>
      <c r="K198" s="517"/>
      <c r="L198" s="517"/>
      <c r="M198" s="517"/>
      <c r="N198" s="517"/>
      <c r="O198" s="517"/>
      <c r="P198" s="517"/>
      <c r="Q198" s="517"/>
      <c r="R198" s="517"/>
      <c r="S198" s="517"/>
      <c r="T198" s="517"/>
      <c r="U198" s="517"/>
      <c r="V198" s="517"/>
      <c r="W198" s="517"/>
      <c r="X198" s="517"/>
      <c r="Y198" s="517"/>
      <c r="Z198" s="517"/>
      <c r="AA198" s="517"/>
      <c r="AB198" s="517"/>
      <c r="AC198" s="517"/>
    </row>
    <row r="199" spans="1:29" ht="11.25" customHeight="1" x14ac:dyDescent="0.2">
      <c r="A199" s="517"/>
      <c r="B199" s="517"/>
      <c r="C199" s="517"/>
      <c r="D199" s="517"/>
      <c r="E199" s="517"/>
      <c r="F199" s="517"/>
      <c r="G199" s="517"/>
      <c r="H199" s="517"/>
      <c r="I199" s="517"/>
      <c r="J199" s="517"/>
      <c r="K199" s="517"/>
      <c r="L199" s="517"/>
      <c r="M199" s="517"/>
      <c r="N199" s="517"/>
      <c r="O199" s="517"/>
      <c r="P199" s="517"/>
      <c r="Q199" s="517"/>
      <c r="R199" s="517"/>
      <c r="S199" s="517"/>
      <c r="T199" s="517"/>
      <c r="U199" s="517"/>
      <c r="V199" s="517"/>
      <c r="W199" s="517"/>
      <c r="X199" s="517"/>
      <c r="Y199" s="517"/>
      <c r="Z199" s="517"/>
      <c r="AA199" s="517"/>
      <c r="AB199" s="517"/>
      <c r="AC199" s="517"/>
    </row>
    <row r="200" spans="1:29" ht="11.25" customHeight="1" x14ac:dyDescent="0.2">
      <c r="A200" s="517"/>
      <c r="B200" s="517"/>
      <c r="C200" s="517"/>
      <c r="D200" s="517"/>
      <c r="E200" s="517"/>
      <c r="F200" s="517"/>
      <c r="G200" s="517"/>
      <c r="H200" s="517"/>
      <c r="I200" s="517"/>
      <c r="J200" s="517"/>
      <c r="K200" s="517"/>
      <c r="L200" s="517"/>
      <c r="M200" s="517"/>
      <c r="N200" s="517"/>
      <c r="O200" s="517"/>
      <c r="P200" s="517"/>
      <c r="Q200" s="517"/>
      <c r="R200" s="517"/>
      <c r="S200" s="517"/>
      <c r="T200" s="517"/>
      <c r="U200" s="517"/>
      <c r="V200" s="517"/>
      <c r="W200" s="517"/>
      <c r="X200" s="517"/>
      <c r="Y200" s="517"/>
      <c r="Z200" s="517"/>
      <c r="AA200" s="517"/>
      <c r="AB200" s="517"/>
      <c r="AC200" s="517"/>
    </row>
    <row r="201" spans="1:29" ht="11.25" customHeight="1" x14ac:dyDescent="0.2">
      <c r="A201" s="517"/>
      <c r="B201" s="517"/>
      <c r="C201" s="517"/>
      <c r="D201" s="517"/>
      <c r="E201" s="517"/>
      <c r="F201" s="517"/>
      <c r="G201" s="517"/>
      <c r="H201" s="517"/>
      <c r="I201" s="517"/>
      <c r="J201" s="517"/>
      <c r="K201" s="517"/>
      <c r="L201" s="517"/>
      <c r="M201" s="517"/>
      <c r="N201" s="517"/>
      <c r="O201" s="517"/>
      <c r="P201" s="517"/>
      <c r="Q201" s="517"/>
      <c r="R201" s="517"/>
      <c r="S201" s="517"/>
      <c r="T201" s="517"/>
      <c r="U201" s="517"/>
      <c r="V201" s="517"/>
      <c r="W201" s="517"/>
      <c r="X201" s="517"/>
      <c r="Y201" s="517"/>
      <c r="Z201" s="517"/>
      <c r="AA201" s="517"/>
      <c r="AB201" s="517"/>
      <c r="AC201" s="517"/>
    </row>
    <row r="202" spans="1:29" ht="11.25" customHeight="1" x14ac:dyDescent="0.2">
      <c r="A202" s="517"/>
      <c r="B202" s="517"/>
      <c r="C202" s="517"/>
      <c r="D202" s="517"/>
      <c r="E202" s="517"/>
      <c r="F202" s="517"/>
      <c r="G202" s="517"/>
      <c r="H202" s="517"/>
      <c r="I202" s="517"/>
      <c r="J202" s="517"/>
      <c r="K202" s="517"/>
      <c r="L202" s="517"/>
      <c r="M202" s="517"/>
      <c r="N202" s="517"/>
      <c r="O202" s="517"/>
      <c r="P202" s="517"/>
      <c r="Q202" s="517"/>
      <c r="R202" s="517"/>
      <c r="S202" s="517"/>
      <c r="T202" s="517"/>
      <c r="U202" s="517"/>
      <c r="V202" s="517"/>
      <c r="W202" s="517"/>
      <c r="X202" s="517"/>
      <c r="Y202" s="517"/>
      <c r="Z202" s="517"/>
      <c r="AA202" s="517"/>
      <c r="AB202" s="517"/>
      <c r="AC202" s="517"/>
    </row>
    <row r="203" spans="1:29" ht="11.25" customHeight="1" x14ac:dyDescent="0.2">
      <c r="A203" s="517"/>
      <c r="B203" s="517"/>
      <c r="C203" s="517"/>
      <c r="D203" s="517"/>
      <c r="E203" s="517"/>
      <c r="F203" s="517"/>
      <c r="G203" s="517"/>
      <c r="H203" s="517"/>
      <c r="I203" s="517"/>
      <c r="J203" s="517"/>
      <c r="K203" s="517"/>
      <c r="L203" s="517"/>
      <c r="M203" s="517"/>
      <c r="N203" s="517"/>
      <c r="O203" s="517"/>
      <c r="P203" s="517"/>
      <c r="Q203" s="517"/>
      <c r="R203" s="517"/>
      <c r="S203" s="517"/>
      <c r="T203" s="517"/>
      <c r="U203" s="517"/>
      <c r="V203" s="517"/>
      <c r="W203" s="517"/>
      <c r="X203" s="517"/>
      <c r="Y203" s="517"/>
      <c r="Z203" s="517"/>
      <c r="AA203" s="517"/>
      <c r="AB203" s="517"/>
      <c r="AC203" s="517"/>
    </row>
    <row r="204" spans="1:29" ht="11.25" customHeight="1" x14ac:dyDescent="0.2">
      <c r="A204" s="517"/>
      <c r="B204" s="517"/>
      <c r="C204" s="517"/>
      <c r="D204" s="517"/>
      <c r="E204" s="517"/>
      <c r="F204" s="517"/>
      <c r="G204" s="517"/>
      <c r="H204" s="517"/>
      <c r="I204" s="517"/>
      <c r="J204" s="517"/>
      <c r="K204" s="517"/>
      <c r="L204" s="517"/>
      <c r="M204" s="517"/>
      <c r="N204" s="517"/>
      <c r="O204" s="517"/>
      <c r="P204" s="517"/>
      <c r="Q204" s="517"/>
      <c r="R204" s="517"/>
      <c r="S204" s="517"/>
      <c r="T204" s="517"/>
      <c r="U204" s="517"/>
      <c r="V204" s="517"/>
      <c r="W204" s="517"/>
      <c r="X204" s="517"/>
      <c r="Y204" s="517"/>
      <c r="Z204" s="517"/>
      <c r="AA204" s="517"/>
      <c r="AB204" s="517"/>
      <c r="AC204" s="517"/>
    </row>
    <row r="205" spans="1:29" ht="11.25" customHeight="1" x14ac:dyDescent="0.2">
      <c r="A205" s="517"/>
      <c r="B205" s="517"/>
      <c r="C205" s="517"/>
      <c r="D205" s="517"/>
      <c r="E205" s="517"/>
      <c r="F205" s="517"/>
      <c r="G205" s="517"/>
      <c r="H205" s="517"/>
      <c r="I205" s="517"/>
      <c r="J205" s="517"/>
      <c r="K205" s="517"/>
      <c r="L205" s="517"/>
      <c r="M205" s="517"/>
      <c r="N205" s="517"/>
      <c r="O205" s="517"/>
      <c r="P205" s="517"/>
      <c r="Q205" s="517"/>
      <c r="R205" s="517"/>
      <c r="S205" s="517"/>
      <c r="T205" s="517"/>
      <c r="U205" s="517"/>
      <c r="V205" s="517"/>
      <c r="W205" s="517"/>
      <c r="X205" s="517"/>
      <c r="Y205" s="517"/>
      <c r="Z205" s="517"/>
      <c r="AA205" s="517"/>
      <c r="AB205" s="517"/>
      <c r="AC205" s="517"/>
    </row>
    <row r="206" spans="1:29" ht="11.25" customHeight="1" x14ac:dyDescent="0.2">
      <c r="A206" s="517"/>
      <c r="B206" s="517"/>
      <c r="C206" s="517"/>
      <c r="D206" s="517"/>
      <c r="E206" s="517"/>
      <c r="F206" s="517"/>
      <c r="G206" s="517"/>
      <c r="H206" s="517"/>
      <c r="I206" s="517"/>
      <c r="J206" s="517"/>
      <c r="K206" s="517"/>
      <c r="L206" s="517"/>
      <c r="M206" s="517"/>
      <c r="N206" s="517"/>
      <c r="O206" s="517"/>
      <c r="P206" s="517"/>
      <c r="Q206" s="517"/>
      <c r="R206" s="517"/>
      <c r="S206" s="517"/>
      <c r="T206" s="517"/>
      <c r="U206" s="517"/>
      <c r="V206" s="517"/>
      <c r="W206" s="517"/>
      <c r="X206" s="517"/>
      <c r="Y206" s="517"/>
      <c r="Z206" s="517"/>
      <c r="AA206" s="517"/>
      <c r="AB206" s="517"/>
      <c r="AC206" s="517"/>
    </row>
    <row r="207" spans="1:29" ht="11.25" customHeight="1" x14ac:dyDescent="0.2">
      <c r="A207" s="517"/>
      <c r="B207" s="517"/>
      <c r="C207" s="517"/>
      <c r="D207" s="517"/>
      <c r="E207" s="517"/>
      <c r="F207" s="517"/>
      <c r="G207" s="517"/>
      <c r="H207" s="517"/>
      <c r="I207" s="517"/>
      <c r="J207" s="517"/>
      <c r="K207" s="517"/>
      <c r="L207" s="517"/>
      <c r="M207" s="517"/>
      <c r="N207" s="517"/>
      <c r="O207" s="517"/>
      <c r="P207" s="517"/>
      <c r="Q207" s="517"/>
      <c r="R207" s="517"/>
      <c r="S207" s="517"/>
      <c r="T207" s="517"/>
      <c r="U207" s="517"/>
      <c r="V207" s="517"/>
      <c r="W207" s="517"/>
      <c r="X207" s="517"/>
      <c r="Y207" s="517"/>
      <c r="Z207" s="517"/>
      <c r="AA207" s="517"/>
      <c r="AB207" s="517"/>
      <c r="AC207" s="517"/>
    </row>
    <row r="208" spans="1:29" ht="11.25" customHeight="1" x14ac:dyDescent="0.2">
      <c r="A208" s="517"/>
      <c r="B208" s="517"/>
      <c r="C208" s="517"/>
      <c r="D208" s="517"/>
      <c r="E208" s="517"/>
      <c r="F208" s="517"/>
      <c r="G208" s="517"/>
      <c r="H208" s="517"/>
      <c r="I208" s="517"/>
      <c r="J208" s="517"/>
      <c r="K208" s="517"/>
      <c r="L208" s="517"/>
      <c r="M208" s="517"/>
      <c r="N208" s="517"/>
      <c r="O208" s="517"/>
      <c r="P208" s="517"/>
      <c r="Q208" s="517"/>
      <c r="R208" s="517"/>
      <c r="S208" s="517"/>
      <c r="T208" s="517"/>
      <c r="U208" s="517"/>
      <c r="V208" s="517"/>
      <c r="W208" s="517"/>
      <c r="X208" s="517"/>
      <c r="Y208" s="517"/>
      <c r="Z208" s="517"/>
      <c r="AA208" s="517"/>
      <c r="AB208" s="517"/>
      <c r="AC208" s="517"/>
    </row>
    <row r="209" spans="1:29" ht="11.25" customHeight="1" x14ac:dyDescent="0.2">
      <c r="A209" s="517"/>
      <c r="B209" s="517"/>
      <c r="C209" s="517"/>
      <c r="D209" s="517"/>
      <c r="E209" s="517"/>
      <c r="F209" s="517"/>
      <c r="G209" s="517"/>
      <c r="H209" s="517"/>
      <c r="I209" s="517"/>
      <c r="J209" s="517"/>
      <c r="K209" s="517"/>
      <c r="L209" s="517"/>
      <c r="M209" s="517"/>
      <c r="N209" s="517"/>
      <c r="O209" s="517"/>
      <c r="P209" s="517"/>
      <c r="Q209" s="517"/>
      <c r="R209" s="517"/>
      <c r="S209" s="517"/>
      <c r="T209" s="517"/>
      <c r="U209" s="517"/>
      <c r="V209" s="517"/>
      <c r="W209" s="517"/>
      <c r="X209" s="517"/>
      <c r="Y209" s="517"/>
      <c r="Z209" s="517"/>
      <c r="AA209" s="517"/>
      <c r="AB209" s="517"/>
      <c r="AC209" s="517"/>
    </row>
    <row r="210" spans="1:29" ht="11.25" customHeight="1" x14ac:dyDescent="0.2">
      <c r="A210" s="517"/>
      <c r="B210" s="517"/>
      <c r="C210" s="517"/>
      <c r="D210" s="517"/>
      <c r="E210" s="517"/>
      <c r="F210" s="517"/>
      <c r="G210" s="517"/>
      <c r="H210" s="517"/>
      <c r="I210" s="517"/>
      <c r="J210" s="517"/>
      <c r="K210" s="517"/>
      <c r="L210" s="517"/>
      <c r="M210" s="517"/>
      <c r="N210" s="517"/>
      <c r="O210" s="517"/>
      <c r="P210" s="517"/>
      <c r="Q210" s="517"/>
      <c r="R210" s="517"/>
      <c r="S210" s="517"/>
      <c r="T210" s="517"/>
      <c r="U210" s="517"/>
      <c r="V210" s="517"/>
      <c r="W210" s="517"/>
      <c r="X210" s="517"/>
      <c r="Y210" s="517"/>
      <c r="Z210" s="517"/>
      <c r="AA210" s="517"/>
      <c r="AB210" s="517"/>
      <c r="AC210" s="517"/>
    </row>
    <row r="211" spans="1:29" ht="11.25" customHeight="1" x14ac:dyDescent="0.2">
      <c r="A211" s="517"/>
      <c r="B211" s="517"/>
      <c r="C211" s="517"/>
      <c r="D211" s="517"/>
      <c r="E211" s="517"/>
      <c r="F211" s="517"/>
      <c r="G211" s="517"/>
      <c r="H211" s="517"/>
      <c r="I211" s="517"/>
      <c r="J211" s="517"/>
      <c r="K211" s="517"/>
      <c r="L211" s="517"/>
      <c r="M211" s="517"/>
      <c r="N211" s="517"/>
      <c r="O211" s="517"/>
      <c r="P211" s="517"/>
      <c r="Q211" s="517"/>
      <c r="R211" s="517"/>
      <c r="S211" s="517"/>
      <c r="T211" s="517"/>
      <c r="U211" s="517"/>
      <c r="V211" s="517"/>
      <c r="W211" s="517"/>
      <c r="X211" s="517"/>
      <c r="Y211" s="517"/>
      <c r="Z211" s="517"/>
      <c r="AA211" s="517"/>
      <c r="AB211" s="517"/>
      <c r="AC211" s="517"/>
    </row>
    <row r="212" spans="1:29" ht="11.25" customHeight="1" x14ac:dyDescent="0.2">
      <c r="A212" s="517"/>
      <c r="B212" s="517"/>
      <c r="C212" s="517"/>
      <c r="D212" s="517"/>
      <c r="E212" s="517"/>
      <c r="F212" s="517"/>
      <c r="G212" s="517"/>
      <c r="H212" s="517"/>
      <c r="I212" s="517"/>
      <c r="J212" s="517"/>
      <c r="K212" s="517"/>
      <c r="L212" s="517"/>
      <c r="M212" s="517"/>
      <c r="N212" s="517"/>
      <c r="O212" s="517"/>
      <c r="P212" s="517"/>
      <c r="Q212" s="517"/>
      <c r="R212" s="517"/>
      <c r="S212" s="517"/>
      <c r="T212" s="517"/>
      <c r="U212" s="517"/>
      <c r="V212" s="517"/>
      <c r="W212" s="517"/>
      <c r="X212" s="517"/>
      <c r="Y212" s="517"/>
      <c r="Z212" s="517"/>
      <c r="AA212" s="517"/>
      <c r="AB212" s="517"/>
      <c r="AC212" s="517"/>
    </row>
    <row r="213" spans="1:29" ht="11.25" customHeight="1" x14ac:dyDescent="0.2">
      <c r="A213" s="517"/>
      <c r="B213" s="517"/>
      <c r="C213" s="517"/>
      <c r="D213" s="517"/>
      <c r="E213" s="517"/>
      <c r="F213" s="517"/>
      <c r="G213" s="517"/>
      <c r="H213" s="517"/>
      <c r="I213" s="517"/>
      <c r="J213" s="517"/>
      <c r="K213" s="517"/>
      <c r="L213" s="517"/>
      <c r="M213" s="517"/>
      <c r="N213" s="517"/>
      <c r="O213" s="517"/>
      <c r="P213" s="517"/>
      <c r="Q213" s="517"/>
      <c r="R213" s="517"/>
      <c r="S213" s="517"/>
      <c r="T213" s="517"/>
      <c r="U213" s="517"/>
      <c r="V213" s="517"/>
      <c r="W213" s="517"/>
      <c r="X213" s="517"/>
      <c r="Y213" s="517"/>
      <c r="Z213" s="517"/>
      <c r="AA213" s="517"/>
      <c r="AB213" s="517"/>
      <c r="AC213" s="517"/>
    </row>
    <row r="214" spans="1:29" ht="11.25" customHeight="1" x14ac:dyDescent="0.2">
      <c r="A214" s="517"/>
      <c r="B214" s="517"/>
      <c r="C214" s="517"/>
      <c r="D214" s="517"/>
      <c r="E214" s="517"/>
      <c r="F214" s="517"/>
      <c r="G214" s="517"/>
      <c r="H214" s="517"/>
      <c r="I214" s="517"/>
      <c r="J214" s="517"/>
      <c r="K214" s="517"/>
      <c r="L214" s="517"/>
      <c r="M214" s="517"/>
      <c r="N214" s="517"/>
      <c r="O214" s="517"/>
      <c r="P214" s="517"/>
      <c r="Q214" s="517"/>
      <c r="R214" s="517"/>
      <c r="S214" s="517"/>
      <c r="T214" s="517"/>
      <c r="U214" s="517"/>
      <c r="V214" s="517"/>
      <c r="W214" s="517"/>
      <c r="X214" s="517"/>
      <c r="Y214" s="517"/>
      <c r="Z214" s="517"/>
      <c r="AA214" s="517"/>
      <c r="AB214" s="517"/>
      <c r="AC214" s="517"/>
    </row>
    <row r="215" spans="1:29" ht="11.25" customHeight="1" x14ac:dyDescent="0.2">
      <c r="A215" s="517"/>
      <c r="B215" s="517"/>
      <c r="C215" s="517"/>
      <c r="D215" s="517"/>
      <c r="E215" s="517"/>
      <c r="F215" s="517"/>
      <c r="G215" s="517"/>
      <c r="H215" s="517"/>
      <c r="I215" s="517"/>
      <c r="J215" s="517"/>
      <c r="K215" s="517"/>
      <c r="L215" s="517"/>
      <c r="M215" s="517"/>
      <c r="N215" s="517"/>
      <c r="O215" s="517"/>
      <c r="P215" s="517"/>
      <c r="Q215" s="517"/>
      <c r="R215" s="517"/>
      <c r="S215" s="517"/>
      <c r="T215" s="517"/>
      <c r="U215" s="517"/>
      <c r="V215" s="517"/>
      <c r="W215" s="517"/>
      <c r="X215" s="517"/>
      <c r="Y215" s="517"/>
      <c r="Z215" s="517"/>
      <c r="AA215" s="517"/>
      <c r="AB215" s="517"/>
      <c r="AC215" s="517"/>
    </row>
    <row r="216" spans="1:29" ht="11.25" customHeight="1" x14ac:dyDescent="0.2">
      <c r="A216" s="517"/>
      <c r="B216" s="517"/>
      <c r="C216" s="517"/>
      <c r="D216" s="517"/>
      <c r="E216" s="517"/>
      <c r="F216" s="517"/>
      <c r="G216" s="517"/>
      <c r="H216" s="517"/>
      <c r="I216" s="517"/>
      <c r="J216" s="517"/>
      <c r="K216" s="517"/>
      <c r="L216" s="517"/>
      <c r="M216" s="517"/>
      <c r="N216" s="517"/>
      <c r="O216" s="517"/>
      <c r="P216" s="517"/>
      <c r="Q216" s="517"/>
      <c r="R216" s="517"/>
      <c r="S216" s="517"/>
      <c r="T216" s="517"/>
      <c r="U216" s="517"/>
      <c r="V216" s="517"/>
      <c r="W216" s="517"/>
      <c r="X216" s="517"/>
      <c r="Y216" s="517"/>
      <c r="Z216" s="517"/>
      <c r="AA216" s="517"/>
      <c r="AB216" s="517"/>
      <c r="AC216" s="517"/>
    </row>
    <row r="217" spans="1:29" ht="11.25" customHeight="1" x14ac:dyDescent="0.2">
      <c r="A217" s="517"/>
      <c r="B217" s="517"/>
      <c r="C217" s="517"/>
      <c r="D217" s="517"/>
      <c r="E217" s="517"/>
      <c r="F217" s="517"/>
      <c r="G217" s="517"/>
      <c r="H217" s="517"/>
      <c r="I217" s="517"/>
      <c r="J217" s="517"/>
      <c r="K217" s="517"/>
      <c r="L217" s="517"/>
      <c r="M217" s="517"/>
      <c r="N217" s="517"/>
      <c r="O217" s="517"/>
      <c r="P217" s="517"/>
      <c r="Q217" s="517"/>
      <c r="R217" s="517"/>
      <c r="S217" s="517"/>
      <c r="T217" s="517"/>
      <c r="U217" s="517"/>
      <c r="V217" s="517"/>
      <c r="W217" s="517"/>
      <c r="X217" s="517"/>
      <c r="Y217" s="517"/>
      <c r="Z217" s="517"/>
      <c r="AA217" s="517"/>
      <c r="AB217" s="517"/>
      <c r="AC217" s="517"/>
    </row>
    <row r="218" spans="1:29" ht="11.25" customHeight="1" x14ac:dyDescent="0.2">
      <c r="A218" s="517"/>
      <c r="B218" s="517"/>
      <c r="C218" s="517"/>
      <c r="D218" s="517"/>
      <c r="E218" s="517"/>
      <c r="F218" s="517"/>
      <c r="G218" s="517"/>
      <c r="H218" s="517"/>
      <c r="I218" s="517"/>
      <c r="J218" s="517"/>
      <c r="K218" s="517"/>
      <c r="L218" s="517"/>
      <c r="M218" s="517"/>
      <c r="N218" s="517"/>
      <c r="O218" s="517"/>
      <c r="P218" s="517"/>
      <c r="Q218" s="517"/>
      <c r="R218" s="517"/>
      <c r="S218" s="517"/>
      <c r="T218" s="517"/>
      <c r="U218" s="517"/>
      <c r="V218" s="517"/>
      <c r="W218" s="517"/>
      <c r="X218" s="517"/>
      <c r="Y218" s="517"/>
      <c r="Z218" s="517"/>
      <c r="AA218" s="517"/>
      <c r="AB218" s="517"/>
      <c r="AC218" s="517"/>
    </row>
    <row r="219" spans="1:29" ht="11.25" customHeight="1" x14ac:dyDescent="0.2">
      <c r="A219" s="517"/>
      <c r="B219" s="517"/>
      <c r="C219" s="517"/>
      <c r="D219" s="517"/>
      <c r="E219" s="517"/>
      <c r="F219" s="517"/>
      <c r="G219" s="517"/>
      <c r="H219" s="517"/>
      <c r="I219" s="517"/>
      <c r="J219" s="517"/>
      <c r="K219" s="517"/>
      <c r="L219" s="517"/>
      <c r="M219" s="517"/>
      <c r="N219" s="517"/>
      <c r="O219" s="517"/>
      <c r="P219" s="517"/>
      <c r="Q219" s="517"/>
      <c r="R219" s="517"/>
      <c r="S219" s="517"/>
      <c r="T219" s="517"/>
      <c r="U219" s="517"/>
      <c r="V219" s="517"/>
      <c r="W219" s="517"/>
      <c r="X219" s="517"/>
      <c r="Y219" s="517"/>
      <c r="Z219" s="517"/>
      <c r="AA219" s="517"/>
      <c r="AB219" s="517"/>
      <c r="AC219" s="517"/>
    </row>
    <row r="220" spans="1:29" ht="11.25" customHeight="1" x14ac:dyDescent="0.2">
      <c r="A220" s="517"/>
      <c r="B220" s="517"/>
      <c r="C220" s="517"/>
      <c r="D220" s="517"/>
      <c r="E220" s="517"/>
      <c r="F220" s="517"/>
      <c r="G220" s="517"/>
      <c r="H220" s="517"/>
      <c r="I220" s="517"/>
      <c r="J220" s="517"/>
      <c r="K220" s="517"/>
      <c r="L220" s="517"/>
      <c r="M220" s="517"/>
      <c r="N220" s="517"/>
      <c r="O220" s="517"/>
      <c r="P220" s="517"/>
      <c r="Q220" s="517"/>
      <c r="R220" s="517"/>
      <c r="S220" s="517"/>
      <c r="T220" s="517"/>
      <c r="U220" s="517"/>
      <c r="V220" s="517"/>
      <c r="W220" s="517"/>
      <c r="X220" s="517"/>
      <c r="Y220" s="517"/>
      <c r="Z220" s="517"/>
      <c r="AA220" s="517"/>
      <c r="AB220" s="517"/>
      <c r="AC220" s="517"/>
    </row>
    <row r="221" spans="1:29" ht="11.25" customHeight="1" x14ac:dyDescent="0.2">
      <c r="A221" s="517"/>
      <c r="B221" s="517"/>
      <c r="C221" s="517"/>
      <c r="D221" s="517"/>
      <c r="E221" s="517"/>
      <c r="F221" s="517"/>
      <c r="G221" s="517"/>
      <c r="H221" s="517"/>
      <c r="I221" s="517"/>
      <c r="J221" s="517"/>
      <c r="K221" s="517"/>
      <c r="L221" s="517"/>
      <c r="M221" s="517"/>
      <c r="N221" s="517"/>
      <c r="O221" s="517"/>
      <c r="P221" s="517"/>
      <c r="Q221" s="517"/>
      <c r="R221" s="517"/>
      <c r="S221" s="517"/>
      <c r="T221" s="517"/>
      <c r="U221" s="517"/>
      <c r="V221" s="517"/>
      <c r="W221" s="517"/>
      <c r="X221" s="517"/>
      <c r="Y221" s="517"/>
      <c r="Z221" s="517"/>
      <c r="AA221" s="517"/>
      <c r="AB221" s="517"/>
      <c r="AC221" s="517"/>
    </row>
    <row r="222" spans="1:29" ht="11.25" customHeight="1" x14ac:dyDescent="0.2">
      <c r="A222" s="517"/>
      <c r="B222" s="517"/>
      <c r="C222" s="517"/>
      <c r="D222" s="517"/>
      <c r="E222" s="517"/>
      <c r="F222" s="517"/>
      <c r="G222" s="517"/>
      <c r="H222" s="517"/>
      <c r="I222" s="517"/>
      <c r="J222" s="517"/>
      <c r="K222" s="517"/>
      <c r="L222" s="517"/>
      <c r="M222" s="517"/>
      <c r="N222" s="517"/>
      <c r="O222" s="517"/>
      <c r="P222" s="517"/>
      <c r="Q222" s="517"/>
      <c r="R222" s="517"/>
      <c r="S222" s="517"/>
      <c r="T222" s="517"/>
      <c r="U222" s="517"/>
      <c r="V222" s="517"/>
      <c r="W222" s="517"/>
      <c r="X222" s="517"/>
      <c r="Y222" s="517"/>
      <c r="Z222" s="517"/>
      <c r="AA222" s="517"/>
      <c r="AB222" s="517"/>
      <c r="AC222" s="517"/>
    </row>
    <row r="223" spans="1:29" ht="11.25" customHeight="1" x14ac:dyDescent="0.2">
      <c r="A223" s="517"/>
      <c r="B223" s="517"/>
      <c r="C223" s="517"/>
      <c r="D223" s="517"/>
      <c r="E223" s="517"/>
      <c r="F223" s="517"/>
      <c r="G223" s="517"/>
      <c r="H223" s="517"/>
      <c r="I223" s="517"/>
      <c r="J223" s="517"/>
      <c r="K223" s="517"/>
      <c r="L223" s="517"/>
      <c r="M223" s="517"/>
      <c r="N223" s="517"/>
      <c r="O223" s="517"/>
      <c r="P223" s="517"/>
      <c r="Q223" s="517"/>
      <c r="R223" s="517"/>
      <c r="S223" s="517"/>
      <c r="T223" s="517"/>
      <c r="U223" s="517"/>
      <c r="V223" s="517"/>
      <c r="W223" s="517"/>
      <c r="X223" s="517"/>
      <c r="Y223" s="517"/>
      <c r="Z223" s="517"/>
      <c r="AA223" s="517"/>
      <c r="AB223" s="517"/>
      <c r="AC223" s="517"/>
    </row>
    <row r="224" spans="1:29" ht="11.25" customHeight="1" x14ac:dyDescent="0.2">
      <c r="A224" s="517"/>
      <c r="B224" s="517"/>
      <c r="C224" s="517"/>
      <c r="D224" s="517"/>
      <c r="E224" s="517"/>
      <c r="F224" s="517"/>
      <c r="G224" s="517"/>
      <c r="H224" s="517"/>
      <c r="I224" s="517"/>
      <c r="J224" s="517"/>
      <c r="K224" s="517"/>
      <c r="L224" s="517"/>
      <c r="M224" s="517"/>
      <c r="N224" s="517"/>
      <c r="O224" s="517"/>
      <c r="P224" s="517"/>
      <c r="Q224" s="517"/>
      <c r="R224" s="517"/>
      <c r="S224" s="517"/>
      <c r="T224" s="517"/>
      <c r="U224" s="517"/>
      <c r="V224" s="517"/>
      <c r="W224" s="517"/>
      <c r="X224" s="517"/>
      <c r="Y224" s="517"/>
      <c r="Z224" s="517"/>
      <c r="AA224" s="517"/>
      <c r="AB224" s="517"/>
      <c r="AC224" s="517"/>
    </row>
    <row r="225" spans="1:29" ht="11.25" customHeight="1" x14ac:dyDescent="0.2">
      <c r="A225" s="517"/>
      <c r="B225" s="517"/>
      <c r="C225" s="517"/>
      <c r="D225" s="517"/>
      <c r="E225" s="517"/>
      <c r="F225" s="517"/>
      <c r="G225" s="517"/>
      <c r="H225" s="517"/>
      <c r="I225" s="517"/>
      <c r="J225" s="517"/>
      <c r="K225" s="517"/>
      <c r="L225" s="517"/>
      <c r="M225" s="517"/>
      <c r="N225" s="517"/>
      <c r="O225" s="517"/>
      <c r="P225" s="517"/>
      <c r="Q225" s="517"/>
      <c r="R225" s="517"/>
      <c r="S225" s="517"/>
      <c r="T225" s="517"/>
      <c r="U225" s="517"/>
      <c r="V225" s="517"/>
      <c r="W225" s="517"/>
      <c r="X225" s="517"/>
      <c r="Y225" s="517"/>
      <c r="Z225" s="517"/>
      <c r="AA225" s="517"/>
      <c r="AB225" s="517"/>
      <c r="AC225" s="517"/>
    </row>
    <row r="226" spans="1:29" ht="11.25" customHeight="1" x14ac:dyDescent="0.2">
      <c r="A226" s="517"/>
      <c r="B226" s="517"/>
      <c r="C226" s="517"/>
      <c r="D226" s="517"/>
      <c r="E226" s="517"/>
      <c r="F226" s="517"/>
      <c r="G226" s="517"/>
      <c r="H226" s="517"/>
      <c r="I226" s="517"/>
      <c r="J226" s="517"/>
      <c r="K226" s="517"/>
      <c r="L226" s="517"/>
      <c r="M226" s="517"/>
      <c r="N226" s="517"/>
      <c r="O226" s="517"/>
      <c r="P226" s="517"/>
      <c r="Q226" s="517"/>
      <c r="R226" s="517"/>
      <c r="S226" s="517"/>
      <c r="T226" s="517"/>
      <c r="U226" s="517"/>
      <c r="V226" s="517"/>
      <c r="W226" s="517"/>
      <c r="X226" s="517"/>
      <c r="Y226" s="517"/>
      <c r="Z226" s="517"/>
      <c r="AA226" s="517"/>
      <c r="AB226" s="517"/>
      <c r="AC226" s="517"/>
    </row>
    <row r="227" spans="1:29" ht="11.25" customHeight="1" x14ac:dyDescent="0.2">
      <c r="A227" s="517"/>
      <c r="B227" s="517"/>
      <c r="C227" s="517"/>
      <c r="D227" s="517"/>
      <c r="E227" s="517"/>
      <c r="F227" s="517"/>
      <c r="G227" s="517"/>
      <c r="H227" s="517"/>
      <c r="I227" s="517"/>
      <c r="J227" s="517"/>
      <c r="K227" s="517"/>
      <c r="L227" s="517"/>
      <c r="M227" s="517"/>
      <c r="N227" s="517"/>
      <c r="O227" s="517"/>
      <c r="P227" s="517"/>
      <c r="Q227" s="517"/>
      <c r="R227" s="517"/>
      <c r="S227" s="517"/>
      <c r="T227" s="517"/>
      <c r="U227" s="517"/>
      <c r="V227" s="517"/>
      <c r="W227" s="517"/>
      <c r="X227" s="517"/>
      <c r="Y227" s="517"/>
      <c r="Z227" s="517"/>
      <c r="AA227" s="517"/>
      <c r="AB227" s="517"/>
      <c r="AC227" s="517"/>
    </row>
    <row r="228" spans="1:29" ht="11.25" customHeight="1" x14ac:dyDescent="0.2">
      <c r="A228" s="517"/>
      <c r="B228" s="517"/>
      <c r="C228" s="517"/>
      <c r="D228" s="517"/>
      <c r="E228" s="517"/>
      <c r="F228" s="517"/>
      <c r="G228" s="517"/>
      <c r="H228" s="517"/>
      <c r="I228" s="517"/>
      <c r="J228" s="517"/>
      <c r="K228" s="517"/>
      <c r="L228" s="517"/>
      <c r="M228" s="517"/>
      <c r="N228" s="517"/>
      <c r="O228" s="517"/>
      <c r="P228" s="517"/>
      <c r="Q228" s="517"/>
      <c r="R228" s="517"/>
      <c r="S228" s="517"/>
      <c r="T228" s="517"/>
      <c r="U228" s="517"/>
      <c r="V228" s="517"/>
      <c r="W228" s="517"/>
      <c r="X228" s="517"/>
      <c r="Y228" s="517"/>
      <c r="Z228" s="517"/>
      <c r="AA228" s="517"/>
      <c r="AB228" s="517"/>
      <c r="AC228" s="517"/>
    </row>
    <row r="229" spans="1:29" ht="11.25" customHeight="1" x14ac:dyDescent="0.2">
      <c r="A229" s="517"/>
      <c r="B229" s="517"/>
      <c r="C229" s="517"/>
      <c r="D229" s="517"/>
      <c r="E229" s="517"/>
      <c r="F229" s="517"/>
      <c r="G229" s="517"/>
      <c r="H229" s="517"/>
      <c r="I229" s="517"/>
      <c r="J229" s="517"/>
      <c r="K229" s="517"/>
      <c r="L229" s="517"/>
      <c r="M229" s="517"/>
      <c r="N229" s="517"/>
      <c r="O229" s="517"/>
      <c r="P229" s="517"/>
      <c r="Q229" s="517"/>
      <c r="R229" s="517"/>
      <c r="S229" s="517"/>
      <c r="T229" s="517"/>
      <c r="U229" s="517"/>
      <c r="V229" s="517"/>
      <c r="W229" s="517"/>
      <c r="X229" s="517"/>
      <c r="Y229" s="517"/>
      <c r="Z229" s="517"/>
      <c r="AA229" s="517"/>
      <c r="AB229" s="517"/>
      <c r="AC229" s="517"/>
    </row>
    <row r="230" spans="1:29" ht="11.25" customHeight="1" x14ac:dyDescent="0.2">
      <c r="A230" s="517"/>
      <c r="B230" s="517"/>
      <c r="C230" s="517"/>
      <c r="D230" s="517"/>
      <c r="E230" s="517"/>
      <c r="F230" s="517"/>
      <c r="G230" s="517"/>
      <c r="H230" s="517"/>
      <c r="I230" s="517"/>
      <c r="J230" s="517"/>
      <c r="K230" s="517"/>
      <c r="L230" s="517"/>
      <c r="M230" s="517"/>
      <c r="N230" s="517"/>
      <c r="O230" s="517"/>
      <c r="P230" s="517"/>
      <c r="Q230" s="517"/>
      <c r="R230" s="517"/>
      <c r="S230" s="517"/>
      <c r="T230" s="517"/>
      <c r="U230" s="517"/>
      <c r="V230" s="517"/>
      <c r="W230" s="517"/>
      <c r="X230" s="517"/>
      <c r="Y230" s="517"/>
      <c r="Z230" s="517"/>
      <c r="AA230" s="517"/>
      <c r="AB230" s="517"/>
      <c r="AC230" s="517"/>
    </row>
    <row r="231" spans="1:29" ht="11.25" customHeight="1" x14ac:dyDescent="0.2">
      <c r="A231" s="517"/>
      <c r="B231" s="517"/>
      <c r="C231" s="517"/>
      <c r="D231" s="517"/>
      <c r="E231" s="517"/>
      <c r="F231" s="517"/>
      <c r="G231" s="517"/>
      <c r="H231" s="517"/>
      <c r="I231" s="517"/>
      <c r="J231" s="517"/>
      <c r="K231" s="517"/>
      <c r="L231" s="517"/>
      <c r="M231" s="517"/>
      <c r="N231" s="517"/>
      <c r="O231" s="517"/>
      <c r="P231" s="517"/>
      <c r="Q231" s="517"/>
      <c r="R231" s="517"/>
      <c r="S231" s="517"/>
      <c r="T231" s="517"/>
      <c r="U231" s="517"/>
      <c r="V231" s="517"/>
      <c r="W231" s="517"/>
      <c r="X231" s="517"/>
      <c r="Y231" s="517"/>
      <c r="Z231" s="517"/>
      <c r="AA231" s="517"/>
      <c r="AB231" s="517"/>
      <c r="AC231" s="517"/>
    </row>
    <row r="232" spans="1:29" ht="11.25" customHeight="1" x14ac:dyDescent="0.2">
      <c r="A232" s="517"/>
      <c r="B232" s="517"/>
      <c r="C232" s="517"/>
      <c r="D232" s="517"/>
      <c r="E232" s="517"/>
      <c r="F232" s="517"/>
      <c r="G232" s="517"/>
      <c r="H232" s="517"/>
      <c r="I232" s="517"/>
      <c r="J232" s="517"/>
      <c r="K232" s="517"/>
      <c r="L232" s="517"/>
      <c r="M232" s="517"/>
      <c r="N232" s="517"/>
      <c r="O232" s="517"/>
      <c r="P232" s="517"/>
      <c r="Q232" s="517"/>
      <c r="R232" s="517"/>
      <c r="S232" s="517"/>
      <c r="T232" s="517"/>
      <c r="U232" s="517"/>
      <c r="V232" s="517"/>
      <c r="W232" s="517"/>
      <c r="X232" s="517"/>
      <c r="Y232" s="517"/>
      <c r="Z232" s="517"/>
      <c r="AA232" s="517"/>
      <c r="AB232" s="517"/>
      <c r="AC232" s="517"/>
    </row>
    <row r="233" spans="1:29" ht="11.25" customHeight="1" x14ac:dyDescent="0.2">
      <c r="A233" s="517"/>
      <c r="B233" s="517"/>
      <c r="C233" s="517"/>
      <c r="D233" s="517"/>
      <c r="E233" s="517"/>
      <c r="F233" s="517"/>
      <c r="G233" s="517"/>
      <c r="H233" s="517"/>
      <c r="I233" s="517"/>
      <c r="J233" s="517"/>
      <c r="K233" s="517"/>
      <c r="L233" s="517"/>
      <c r="M233" s="517"/>
      <c r="N233" s="517"/>
      <c r="O233" s="517"/>
      <c r="P233" s="517"/>
      <c r="Q233" s="517"/>
      <c r="R233" s="517"/>
      <c r="S233" s="517"/>
      <c r="T233" s="517"/>
      <c r="U233" s="517"/>
      <c r="V233" s="517"/>
      <c r="W233" s="517"/>
      <c r="X233" s="517"/>
      <c r="Y233" s="517"/>
      <c r="Z233" s="517"/>
      <c r="AA233" s="517"/>
      <c r="AB233" s="517"/>
      <c r="AC233" s="517"/>
    </row>
    <row r="234" spans="1:29" ht="11.25" customHeight="1" x14ac:dyDescent="0.2">
      <c r="A234" s="517"/>
      <c r="B234" s="517"/>
      <c r="C234" s="517"/>
      <c r="D234" s="517"/>
      <c r="E234" s="517"/>
      <c r="F234" s="517"/>
      <c r="G234" s="517"/>
      <c r="H234" s="517"/>
      <c r="I234" s="517"/>
      <c r="J234" s="517"/>
      <c r="K234" s="517"/>
      <c r="L234" s="517"/>
      <c r="M234" s="517"/>
      <c r="N234" s="517"/>
      <c r="O234" s="517"/>
      <c r="P234" s="517"/>
      <c r="Q234" s="517"/>
      <c r="R234" s="517"/>
      <c r="S234" s="517"/>
      <c r="T234" s="517"/>
      <c r="U234" s="517"/>
      <c r="V234" s="517"/>
      <c r="W234" s="517"/>
      <c r="X234" s="517"/>
      <c r="Y234" s="517"/>
      <c r="Z234" s="517"/>
      <c r="AA234" s="517"/>
      <c r="AB234" s="517"/>
      <c r="AC234" s="517"/>
    </row>
    <row r="235" spans="1:29" ht="11.25" customHeight="1" x14ac:dyDescent="0.2">
      <c r="A235" s="517"/>
      <c r="B235" s="517"/>
      <c r="C235" s="517"/>
      <c r="D235" s="517"/>
      <c r="E235" s="517"/>
      <c r="F235" s="517"/>
      <c r="G235" s="517"/>
      <c r="H235" s="517"/>
      <c r="I235" s="517"/>
      <c r="J235" s="517"/>
      <c r="K235" s="517"/>
      <c r="L235" s="517"/>
      <c r="M235" s="517"/>
      <c r="N235" s="517"/>
      <c r="O235" s="517"/>
      <c r="P235" s="517"/>
      <c r="Q235" s="517"/>
      <c r="R235" s="517"/>
      <c r="S235" s="517"/>
      <c r="T235" s="517"/>
      <c r="U235" s="517"/>
      <c r="V235" s="517"/>
      <c r="W235" s="517"/>
      <c r="X235" s="517"/>
      <c r="Y235" s="517"/>
      <c r="Z235" s="517"/>
      <c r="AA235" s="517"/>
      <c r="AB235" s="517"/>
      <c r="AC235" s="517"/>
    </row>
    <row r="236" spans="1:29" ht="11.25" customHeight="1" x14ac:dyDescent="0.2">
      <c r="A236" s="517"/>
      <c r="B236" s="517"/>
      <c r="C236" s="517"/>
      <c r="D236" s="517"/>
      <c r="E236" s="517"/>
      <c r="F236" s="517"/>
      <c r="G236" s="517"/>
      <c r="H236" s="517"/>
      <c r="I236" s="517"/>
      <c r="J236" s="517"/>
      <c r="K236" s="517"/>
      <c r="L236" s="517"/>
      <c r="M236" s="517"/>
      <c r="N236" s="517"/>
      <c r="O236" s="517"/>
      <c r="P236" s="517"/>
      <c r="Q236" s="517"/>
      <c r="R236" s="517"/>
      <c r="S236" s="517"/>
      <c r="T236" s="517"/>
      <c r="U236" s="517"/>
      <c r="V236" s="517"/>
      <c r="W236" s="517"/>
      <c r="X236" s="517"/>
      <c r="Y236" s="517"/>
      <c r="Z236" s="517"/>
      <c r="AA236" s="517"/>
      <c r="AB236" s="517"/>
      <c r="AC236" s="517"/>
    </row>
    <row r="237" spans="1:29" ht="11.25" customHeight="1" x14ac:dyDescent="0.2">
      <c r="A237" s="517"/>
      <c r="B237" s="517"/>
      <c r="C237" s="517"/>
      <c r="D237" s="517"/>
      <c r="E237" s="517"/>
      <c r="F237" s="517"/>
      <c r="G237" s="517"/>
      <c r="H237" s="517"/>
      <c r="I237" s="517"/>
      <c r="J237" s="517"/>
      <c r="K237" s="517"/>
      <c r="L237" s="517"/>
      <c r="M237" s="517"/>
      <c r="N237" s="517"/>
      <c r="O237" s="517"/>
      <c r="P237" s="517"/>
      <c r="Q237" s="517"/>
      <c r="R237" s="517"/>
      <c r="S237" s="517"/>
      <c r="T237" s="517"/>
      <c r="U237" s="517"/>
      <c r="V237" s="517"/>
      <c r="W237" s="517"/>
      <c r="X237" s="517"/>
      <c r="Y237" s="517"/>
      <c r="Z237" s="517"/>
      <c r="AA237" s="517"/>
      <c r="AB237" s="517"/>
      <c r="AC237" s="517"/>
    </row>
    <row r="238" spans="1:29" ht="11.25" customHeight="1" x14ac:dyDescent="0.2">
      <c r="A238" s="517"/>
      <c r="B238" s="517"/>
      <c r="C238" s="517"/>
      <c r="D238" s="517"/>
      <c r="E238" s="517"/>
      <c r="F238" s="517"/>
      <c r="G238" s="517"/>
      <c r="H238" s="517"/>
      <c r="I238" s="517"/>
      <c r="J238" s="517"/>
      <c r="K238" s="517"/>
      <c r="L238" s="517"/>
      <c r="M238" s="517"/>
      <c r="N238" s="517"/>
      <c r="O238" s="517"/>
      <c r="P238" s="517"/>
      <c r="Q238" s="517"/>
      <c r="R238" s="517"/>
      <c r="S238" s="517"/>
      <c r="T238" s="517"/>
      <c r="U238" s="517"/>
      <c r="V238" s="517"/>
      <c r="W238" s="517"/>
      <c r="X238" s="517"/>
      <c r="Y238" s="517"/>
      <c r="Z238" s="517"/>
      <c r="AA238" s="517"/>
      <c r="AB238" s="517"/>
      <c r="AC238" s="517"/>
    </row>
    <row r="239" spans="1:29" ht="11.25" customHeight="1" x14ac:dyDescent="0.2">
      <c r="A239" s="517"/>
      <c r="B239" s="517"/>
      <c r="C239" s="517"/>
      <c r="D239" s="517"/>
      <c r="E239" s="517"/>
      <c r="F239" s="517"/>
      <c r="G239" s="517"/>
      <c r="H239" s="517"/>
      <c r="I239" s="517"/>
      <c r="J239" s="517"/>
      <c r="K239" s="517"/>
      <c r="L239" s="517"/>
      <c r="M239" s="517"/>
      <c r="N239" s="517"/>
      <c r="O239" s="517"/>
      <c r="P239" s="517"/>
      <c r="Q239" s="517"/>
      <c r="R239" s="517"/>
      <c r="S239" s="517"/>
      <c r="T239" s="517"/>
      <c r="U239" s="517"/>
      <c r="V239" s="517"/>
      <c r="W239" s="517"/>
      <c r="X239" s="517"/>
      <c r="Y239" s="517"/>
      <c r="Z239" s="517"/>
      <c r="AA239" s="517"/>
      <c r="AB239" s="517"/>
      <c r="AC239" s="517"/>
    </row>
    <row r="240" spans="1:29" ht="11.25" customHeight="1" x14ac:dyDescent="0.2">
      <c r="A240" s="517"/>
      <c r="B240" s="517"/>
      <c r="C240" s="517"/>
      <c r="D240" s="517"/>
      <c r="E240" s="517"/>
      <c r="F240" s="517"/>
      <c r="G240" s="517"/>
      <c r="H240" s="517"/>
      <c r="I240" s="517"/>
      <c r="J240" s="517"/>
      <c r="K240" s="517"/>
      <c r="L240" s="517"/>
      <c r="M240" s="517"/>
      <c r="N240" s="517"/>
      <c r="O240" s="517"/>
      <c r="P240" s="517"/>
      <c r="Q240" s="517"/>
      <c r="R240" s="517"/>
      <c r="S240" s="517"/>
      <c r="T240" s="517"/>
      <c r="U240" s="517"/>
      <c r="V240" s="517"/>
      <c r="W240" s="517"/>
      <c r="X240" s="517"/>
      <c r="Y240" s="517"/>
      <c r="Z240" s="517"/>
      <c r="AA240" s="517"/>
      <c r="AB240" s="517"/>
      <c r="AC240" s="517"/>
    </row>
    <row r="241" spans="1:29" ht="11.25" customHeight="1" x14ac:dyDescent="0.2">
      <c r="A241" s="517"/>
      <c r="B241" s="517"/>
      <c r="C241" s="517"/>
      <c r="D241" s="517"/>
      <c r="E241" s="517"/>
      <c r="F241" s="517"/>
      <c r="G241" s="517"/>
      <c r="H241" s="517"/>
      <c r="I241" s="517"/>
      <c r="J241" s="517"/>
      <c r="K241" s="517"/>
      <c r="L241" s="517"/>
      <c r="M241" s="517"/>
      <c r="N241" s="517"/>
      <c r="O241" s="517"/>
      <c r="P241" s="517"/>
      <c r="Q241" s="517"/>
      <c r="R241" s="517"/>
      <c r="S241" s="517"/>
      <c r="T241" s="517"/>
      <c r="U241" s="517"/>
      <c r="V241" s="517"/>
      <c r="W241" s="517"/>
      <c r="X241" s="517"/>
      <c r="Y241" s="517"/>
      <c r="Z241" s="517"/>
      <c r="AA241" s="517"/>
      <c r="AB241" s="517"/>
      <c r="AC241" s="517"/>
    </row>
    <row r="242" spans="1:29" ht="11.25" customHeight="1" x14ac:dyDescent="0.2">
      <c r="A242" s="517"/>
      <c r="B242" s="517"/>
      <c r="C242" s="517"/>
      <c r="D242" s="517"/>
      <c r="E242" s="517"/>
      <c r="F242" s="517"/>
      <c r="G242" s="517"/>
      <c r="H242" s="517"/>
      <c r="I242" s="517"/>
      <c r="J242" s="517"/>
      <c r="K242" s="517"/>
      <c r="L242" s="517"/>
      <c r="M242" s="517"/>
      <c r="N242" s="517"/>
      <c r="O242" s="517"/>
      <c r="P242" s="517"/>
      <c r="Q242" s="517"/>
      <c r="R242" s="517"/>
      <c r="S242" s="517"/>
      <c r="T242" s="517"/>
      <c r="U242" s="517"/>
      <c r="V242" s="517"/>
      <c r="W242" s="517"/>
      <c r="X242" s="517"/>
      <c r="Y242" s="517"/>
      <c r="Z242" s="517"/>
      <c r="AA242" s="517"/>
      <c r="AB242" s="517"/>
      <c r="AC242" s="517"/>
    </row>
    <row r="243" spans="1:29" ht="11.25" customHeight="1" x14ac:dyDescent="0.2">
      <c r="A243" s="517"/>
      <c r="B243" s="517"/>
      <c r="C243" s="517"/>
      <c r="D243" s="517"/>
      <c r="E243" s="517"/>
      <c r="F243" s="517"/>
      <c r="G243" s="517"/>
      <c r="H243" s="517"/>
      <c r="I243" s="517"/>
      <c r="J243" s="517"/>
      <c r="K243" s="517"/>
      <c r="L243" s="517"/>
      <c r="M243" s="517"/>
      <c r="N243" s="517"/>
      <c r="O243" s="517"/>
      <c r="P243" s="517"/>
      <c r="Q243" s="517"/>
      <c r="R243" s="517"/>
      <c r="S243" s="517"/>
      <c r="T243" s="517"/>
      <c r="U243" s="517"/>
      <c r="V243" s="517"/>
      <c r="W243" s="517"/>
      <c r="X243" s="517"/>
      <c r="Y243" s="517"/>
      <c r="Z243" s="517"/>
      <c r="AA243" s="517"/>
      <c r="AB243" s="517"/>
      <c r="AC243" s="517"/>
    </row>
    <row r="244" spans="1:29" ht="11.25" customHeight="1" x14ac:dyDescent="0.2">
      <c r="A244" s="517"/>
      <c r="B244" s="517"/>
      <c r="C244" s="517"/>
      <c r="D244" s="517"/>
      <c r="E244" s="517"/>
      <c r="F244" s="517"/>
      <c r="G244" s="517"/>
      <c r="H244" s="517"/>
      <c r="I244" s="517"/>
      <c r="J244" s="517"/>
      <c r="K244" s="517"/>
      <c r="L244" s="517"/>
      <c r="M244" s="517"/>
      <c r="N244" s="517"/>
      <c r="O244" s="517"/>
      <c r="P244" s="517"/>
      <c r="Q244" s="517"/>
      <c r="R244" s="517"/>
      <c r="S244" s="517"/>
      <c r="T244" s="517"/>
      <c r="U244" s="517"/>
      <c r="V244" s="517"/>
      <c r="W244" s="517"/>
      <c r="X244" s="517"/>
      <c r="Y244" s="517"/>
      <c r="Z244" s="517"/>
      <c r="AA244" s="517"/>
      <c r="AB244" s="517"/>
      <c r="AC244" s="517"/>
    </row>
    <row r="245" spans="1:29" ht="11.25" customHeight="1" x14ac:dyDescent="0.2">
      <c r="A245" s="517"/>
      <c r="B245" s="517"/>
      <c r="C245" s="517"/>
      <c r="D245" s="517"/>
      <c r="E245" s="517"/>
      <c r="F245" s="517"/>
      <c r="G245" s="517"/>
      <c r="H245" s="517"/>
      <c r="I245" s="517"/>
      <c r="J245" s="517"/>
      <c r="K245" s="517"/>
      <c r="L245" s="517"/>
      <c r="M245" s="517"/>
      <c r="N245" s="517"/>
      <c r="O245" s="517"/>
      <c r="P245" s="517"/>
      <c r="Q245" s="517"/>
      <c r="R245" s="517"/>
      <c r="S245" s="517"/>
      <c r="T245" s="517"/>
      <c r="U245" s="517"/>
      <c r="V245" s="517"/>
      <c r="W245" s="517"/>
      <c r="X245" s="517"/>
      <c r="Y245" s="517"/>
      <c r="Z245" s="517"/>
      <c r="AA245" s="517"/>
      <c r="AB245" s="517"/>
      <c r="AC245" s="517"/>
    </row>
    <row r="246" spans="1:29" ht="11.25" customHeight="1" x14ac:dyDescent="0.2">
      <c r="A246" s="517"/>
      <c r="B246" s="517"/>
      <c r="C246" s="517"/>
      <c r="D246" s="517"/>
      <c r="E246" s="517"/>
      <c r="F246" s="517"/>
      <c r="G246" s="517"/>
      <c r="H246" s="517"/>
      <c r="I246" s="517"/>
      <c r="J246" s="517"/>
      <c r="K246" s="517"/>
      <c r="L246" s="517"/>
      <c r="M246" s="517"/>
      <c r="N246" s="517"/>
      <c r="O246" s="517"/>
      <c r="P246" s="517"/>
      <c r="Q246" s="517"/>
      <c r="R246" s="517"/>
      <c r="S246" s="517"/>
      <c r="T246" s="517"/>
      <c r="U246" s="517"/>
      <c r="V246" s="517"/>
      <c r="W246" s="517"/>
      <c r="X246" s="517"/>
      <c r="Y246" s="517"/>
      <c r="Z246" s="517"/>
      <c r="AA246" s="517"/>
      <c r="AB246" s="517"/>
      <c r="AC246" s="517"/>
    </row>
    <row r="247" spans="1:29" ht="11.25" customHeight="1" x14ac:dyDescent="0.2">
      <c r="A247" s="517"/>
      <c r="B247" s="517"/>
      <c r="C247" s="517"/>
      <c r="D247" s="517"/>
      <c r="E247" s="517"/>
      <c r="F247" s="517"/>
      <c r="G247" s="517"/>
      <c r="H247" s="517"/>
      <c r="I247" s="517"/>
      <c r="J247" s="517"/>
      <c r="K247" s="517"/>
      <c r="L247" s="517"/>
      <c r="M247" s="517"/>
      <c r="N247" s="517"/>
      <c r="O247" s="517"/>
      <c r="P247" s="517"/>
      <c r="Q247" s="517"/>
      <c r="R247" s="517"/>
      <c r="S247" s="517"/>
      <c r="T247" s="517"/>
      <c r="U247" s="517"/>
      <c r="V247" s="517"/>
      <c r="W247" s="517"/>
      <c r="X247" s="517"/>
      <c r="Y247" s="517"/>
      <c r="Z247" s="517"/>
      <c r="AA247" s="517"/>
      <c r="AB247" s="517"/>
      <c r="AC247" s="517"/>
    </row>
    <row r="248" spans="1:29" ht="11.25" customHeight="1" x14ac:dyDescent="0.2">
      <c r="A248" s="517"/>
      <c r="B248" s="517"/>
      <c r="C248" s="517"/>
      <c r="D248" s="517"/>
      <c r="E248" s="517"/>
      <c r="F248" s="517"/>
      <c r="G248" s="517"/>
      <c r="H248" s="517"/>
      <c r="I248" s="517"/>
      <c r="J248" s="517"/>
      <c r="K248" s="517"/>
      <c r="L248" s="517"/>
      <c r="M248" s="517"/>
      <c r="N248" s="517"/>
      <c r="O248" s="517"/>
      <c r="P248" s="517"/>
      <c r="Q248" s="517"/>
      <c r="R248" s="517"/>
      <c r="S248" s="517"/>
      <c r="T248" s="517"/>
      <c r="U248" s="517"/>
      <c r="V248" s="517"/>
      <c r="W248" s="517"/>
      <c r="X248" s="517"/>
      <c r="Y248" s="517"/>
      <c r="Z248" s="517"/>
      <c r="AA248" s="517"/>
      <c r="AB248" s="517"/>
      <c r="AC248" s="517"/>
    </row>
    <row r="249" spans="1:29" ht="11.25" customHeight="1" x14ac:dyDescent="0.2">
      <c r="A249" s="517"/>
      <c r="B249" s="517"/>
      <c r="C249" s="517"/>
      <c r="D249" s="517"/>
      <c r="E249" s="517"/>
      <c r="F249" s="517"/>
      <c r="G249" s="517"/>
      <c r="H249" s="517"/>
      <c r="I249" s="517"/>
      <c r="J249" s="517"/>
      <c r="K249" s="517"/>
      <c r="L249" s="517"/>
      <c r="M249" s="517"/>
      <c r="N249" s="517"/>
      <c r="O249" s="517"/>
      <c r="P249" s="517"/>
      <c r="Q249" s="517"/>
      <c r="R249" s="517"/>
      <c r="S249" s="517"/>
      <c r="T249" s="517"/>
      <c r="U249" s="517"/>
      <c r="V249" s="517"/>
      <c r="W249" s="517"/>
      <c r="X249" s="517"/>
      <c r="Y249" s="517"/>
      <c r="Z249" s="517"/>
      <c r="AA249" s="517"/>
      <c r="AB249" s="517"/>
      <c r="AC249" s="517"/>
    </row>
    <row r="250" spans="1:29" ht="11.25" customHeight="1" x14ac:dyDescent="0.2">
      <c r="A250" s="517"/>
      <c r="B250" s="517"/>
      <c r="C250" s="517"/>
      <c r="D250" s="517"/>
      <c r="E250" s="517"/>
      <c r="F250" s="517"/>
      <c r="G250" s="517"/>
      <c r="H250" s="517"/>
      <c r="I250" s="517"/>
      <c r="J250" s="517"/>
      <c r="K250" s="517"/>
      <c r="L250" s="517"/>
      <c r="M250" s="517"/>
      <c r="N250" s="517"/>
      <c r="O250" s="517"/>
      <c r="P250" s="517"/>
      <c r="Q250" s="517"/>
      <c r="R250" s="517"/>
      <c r="S250" s="517"/>
      <c r="T250" s="517"/>
      <c r="U250" s="517"/>
      <c r="V250" s="517"/>
      <c r="W250" s="517"/>
      <c r="X250" s="517"/>
      <c r="Y250" s="517"/>
      <c r="Z250" s="517"/>
      <c r="AA250" s="517"/>
      <c r="AB250" s="517"/>
      <c r="AC250" s="517"/>
    </row>
    <row r="251" spans="1:29" ht="11.25" customHeight="1" x14ac:dyDescent="0.2">
      <c r="A251" s="517"/>
      <c r="B251" s="517"/>
      <c r="C251" s="517"/>
      <c r="D251" s="517"/>
      <c r="E251" s="517"/>
      <c r="F251" s="517"/>
      <c r="G251" s="517"/>
      <c r="H251" s="517"/>
      <c r="I251" s="517"/>
      <c r="J251" s="517"/>
      <c r="K251" s="517"/>
      <c r="L251" s="517"/>
      <c r="M251" s="517"/>
      <c r="N251" s="517"/>
      <c r="O251" s="517"/>
      <c r="P251" s="517"/>
      <c r="Q251" s="517"/>
      <c r="R251" s="517"/>
      <c r="S251" s="517"/>
      <c r="T251" s="517"/>
      <c r="U251" s="517"/>
      <c r="V251" s="517"/>
      <c r="W251" s="517"/>
      <c r="X251" s="517"/>
      <c r="Y251" s="517"/>
      <c r="Z251" s="517"/>
      <c r="AA251" s="517"/>
      <c r="AB251" s="517"/>
      <c r="AC251" s="517"/>
    </row>
    <row r="252" spans="1:29" ht="11.25" customHeight="1" x14ac:dyDescent="0.2">
      <c r="A252" s="517"/>
      <c r="B252" s="517"/>
      <c r="C252" s="517"/>
      <c r="D252" s="517"/>
      <c r="E252" s="517"/>
      <c r="F252" s="517"/>
      <c r="G252" s="517"/>
      <c r="H252" s="517"/>
      <c r="I252" s="517"/>
      <c r="J252" s="517"/>
      <c r="K252" s="517"/>
      <c r="L252" s="517"/>
      <c r="M252" s="517"/>
      <c r="N252" s="517"/>
      <c r="O252" s="517"/>
      <c r="P252" s="517"/>
      <c r="Q252" s="517"/>
      <c r="R252" s="517"/>
      <c r="S252" s="517"/>
      <c r="T252" s="517"/>
      <c r="U252" s="517"/>
      <c r="V252" s="517"/>
      <c r="W252" s="517"/>
      <c r="X252" s="517"/>
      <c r="Y252" s="517"/>
      <c r="Z252" s="517"/>
      <c r="AA252" s="517"/>
      <c r="AB252" s="517"/>
      <c r="AC252" s="517"/>
    </row>
    <row r="253" spans="1:29" ht="11.25" customHeight="1" x14ac:dyDescent="0.2">
      <c r="A253" s="517"/>
      <c r="B253" s="517"/>
      <c r="C253" s="517"/>
      <c r="D253" s="517"/>
      <c r="E253" s="517"/>
      <c r="F253" s="517"/>
      <c r="G253" s="517"/>
      <c r="H253" s="517"/>
      <c r="I253" s="517"/>
      <c r="J253" s="517"/>
      <c r="K253" s="517"/>
      <c r="L253" s="517"/>
      <c r="M253" s="517"/>
      <c r="N253" s="517"/>
      <c r="O253" s="517"/>
      <c r="P253" s="517"/>
      <c r="Q253" s="517"/>
      <c r="R253" s="517"/>
      <c r="S253" s="517"/>
      <c r="T253" s="517"/>
      <c r="U253" s="517"/>
      <c r="V253" s="517"/>
      <c r="W253" s="517"/>
      <c r="X253" s="517"/>
      <c r="Y253" s="517"/>
      <c r="Z253" s="517"/>
      <c r="AA253" s="517"/>
      <c r="AB253" s="517"/>
      <c r="AC253" s="517"/>
    </row>
    <row r="254" spans="1:29" ht="11.25" customHeight="1" x14ac:dyDescent="0.2">
      <c r="A254" s="517"/>
      <c r="B254" s="517"/>
      <c r="C254" s="517"/>
      <c r="D254" s="517"/>
      <c r="E254" s="517"/>
      <c r="F254" s="517"/>
      <c r="G254" s="517"/>
      <c r="H254" s="517"/>
      <c r="I254" s="517"/>
      <c r="J254" s="517"/>
      <c r="K254" s="517"/>
      <c r="L254" s="517"/>
      <c r="M254" s="517"/>
      <c r="N254" s="517"/>
      <c r="O254" s="517"/>
      <c r="P254" s="517"/>
      <c r="Q254" s="517"/>
      <c r="R254" s="517"/>
      <c r="S254" s="517"/>
      <c r="T254" s="517"/>
      <c r="U254" s="517"/>
      <c r="V254" s="517"/>
      <c r="W254" s="517"/>
      <c r="X254" s="517"/>
      <c r="Y254" s="517"/>
      <c r="Z254" s="517"/>
      <c r="AA254" s="517"/>
      <c r="AB254" s="517"/>
      <c r="AC254" s="517"/>
    </row>
    <row r="255" spans="1:29" ht="11.25" customHeight="1" x14ac:dyDescent="0.2">
      <c r="A255" s="517"/>
      <c r="B255" s="517"/>
      <c r="C255" s="517"/>
      <c r="D255" s="517"/>
      <c r="E255" s="517"/>
      <c r="F255" s="517"/>
      <c r="G255" s="517"/>
      <c r="H255" s="517"/>
      <c r="I255" s="517"/>
      <c r="J255" s="517"/>
      <c r="K255" s="517"/>
      <c r="L255" s="517"/>
      <c r="M255" s="517"/>
      <c r="N255" s="517"/>
      <c r="O255" s="517"/>
      <c r="P255" s="517"/>
      <c r="Q255" s="517"/>
      <c r="R255" s="517"/>
      <c r="S255" s="517"/>
      <c r="T255" s="517"/>
      <c r="U255" s="517"/>
      <c r="V255" s="517"/>
      <c r="W255" s="517"/>
      <c r="X255" s="517"/>
      <c r="Y255" s="517"/>
      <c r="Z255" s="517"/>
      <c r="AA255" s="517"/>
      <c r="AB255" s="517"/>
      <c r="AC255" s="517"/>
    </row>
    <row r="256" spans="1:29" ht="11.25" customHeight="1" x14ac:dyDescent="0.2">
      <c r="A256" s="517"/>
      <c r="B256" s="517"/>
      <c r="C256" s="517"/>
      <c r="D256" s="517"/>
      <c r="E256" s="517"/>
      <c r="F256" s="517"/>
      <c r="G256" s="517"/>
      <c r="H256" s="517"/>
      <c r="I256" s="517"/>
      <c r="J256" s="517"/>
      <c r="K256" s="517"/>
      <c r="L256" s="517"/>
      <c r="M256" s="517"/>
      <c r="N256" s="517"/>
      <c r="O256" s="517"/>
      <c r="P256" s="517"/>
      <c r="Q256" s="517"/>
      <c r="R256" s="517"/>
      <c r="S256" s="517"/>
      <c r="T256" s="517"/>
      <c r="U256" s="517"/>
      <c r="V256" s="517"/>
      <c r="W256" s="517"/>
      <c r="X256" s="517"/>
      <c r="Y256" s="517"/>
      <c r="Z256" s="517"/>
      <c r="AA256" s="517"/>
      <c r="AB256" s="517"/>
      <c r="AC256" s="517"/>
    </row>
    <row r="257" spans="1:29" ht="11.25" customHeight="1" x14ac:dyDescent="0.2">
      <c r="A257" s="517"/>
      <c r="B257" s="517"/>
      <c r="C257" s="517"/>
      <c r="D257" s="517"/>
      <c r="E257" s="517"/>
      <c r="F257" s="517"/>
      <c r="G257" s="517"/>
      <c r="H257" s="517"/>
      <c r="I257" s="517"/>
      <c r="J257" s="517"/>
      <c r="K257" s="517"/>
      <c r="L257" s="517"/>
      <c r="M257" s="517"/>
      <c r="N257" s="517"/>
      <c r="O257" s="517"/>
      <c r="P257" s="517"/>
      <c r="Q257" s="517"/>
      <c r="R257" s="517"/>
      <c r="S257" s="517"/>
      <c r="T257" s="517"/>
      <c r="U257" s="517"/>
      <c r="V257" s="517"/>
      <c r="W257" s="517"/>
      <c r="X257" s="517"/>
      <c r="Y257" s="517"/>
      <c r="Z257" s="517"/>
      <c r="AA257" s="517"/>
      <c r="AB257" s="517"/>
      <c r="AC257" s="517"/>
    </row>
    <row r="258" spans="1:29" ht="11.25" customHeight="1" x14ac:dyDescent="0.2">
      <c r="A258" s="517"/>
      <c r="B258" s="517"/>
      <c r="C258" s="517"/>
      <c r="D258" s="517"/>
      <c r="E258" s="517"/>
      <c r="F258" s="517"/>
      <c r="G258" s="517"/>
      <c r="H258" s="517"/>
      <c r="I258" s="517"/>
      <c r="J258" s="517"/>
      <c r="K258" s="517"/>
      <c r="L258" s="517"/>
      <c r="M258" s="517"/>
      <c r="N258" s="517"/>
      <c r="O258" s="517"/>
      <c r="P258" s="517"/>
      <c r="Q258" s="517"/>
      <c r="R258" s="517"/>
      <c r="S258" s="517"/>
      <c r="T258" s="517"/>
      <c r="U258" s="517"/>
      <c r="V258" s="517"/>
      <c r="W258" s="517"/>
      <c r="X258" s="517"/>
      <c r="Y258" s="517"/>
      <c r="Z258" s="517"/>
      <c r="AA258" s="517"/>
      <c r="AB258" s="517"/>
      <c r="AC258" s="517"/>
    </row>
    <row r="259" spans="1:29" ht="11.25" customHeight="1" x14ac:dyDescent="0.2">
      <c r="A259" s="517"/>
      <c r="B259" s="517"/>
      <c r="C259" s="517"/>
      <c r="D259" s="517"/>
      <c r="E259" s="517"/>
      <c r="F259" s="517"/>
      <c r="G259" s="517"/>
      <c r="H259" s="517"/>
      <c r="I259" s="517"/>
      <c r="J259" s="517"/>
      <c r="K259" s="517"/>
      <c r="L259" s="517"/>
      <c r="M259" s="517"/>
      <c r="N259" s="517"/>
      <c r="O259" s="517"/>
      <c r="P259" s="517"/>
      <c r="Q259" s="517"/>
      <c r="R259" s="517"/>
      <c r="S259" s="517"/>
      <c r="T259" s="517"/>
      <c r="U259" s="517"/>
      <c r="V259" s="517"/>
      <c r="W259" s="517"/>
      <c r="X259" s="517"/>
      <c r="Y259" s="517"/>
      <c r="Z259" s="517"/>
      <c r="AA259" s="517"/>
      <c r="AB259" s="517"/>
      <c r="AC259" s="517"/>
    </row>
    <row r="260" spans="1:29" ht="11.25" customHeight="1" x14ac:dyDescent="0.2">
      <c r="A260" s="517"/>
      <c r="B260" s="517"/>
      <c r="C260" s="517"/>
      <c r="D260" s="517"/>
      <c r="E260" s="517"/>
      <c r="F260" s="517"/>
      <c r="G260" s="517"/>
      <c r="H260" s="517"/>
      <c r="I260" s="517"/>
      <c r="J260" s="517"/>
      <c r="K260" s="517"/>
      <c r="L260" s="517"/>
      <c r="M260" s="517"/>
      <c r="N260" s="517"/>
      <c r="O260" s="517"/>
      <c r="P260" s="517"/>
      <c r="Q260" s="517"/>
      <c r="R260" s="517"/>
      <c r="S260" s="517"/>
      <c r="T260" s="517"/>
      <c r="U260" s="517"/>
      <c r="V260" s="517"/>
      <c r="W260" s="517"/>
      <c r="X260" s="517"/>
      <c r="Y260" s="517"/>
      <c r="Z260" s="517"/>
      <c r="AA260" s="517"/>
      <c r="AB260" s="517"/>
      <c r="AC260" s="517"/>
    </row>
    <row r="261" spans="1:29" ht="11.25" customHeight="1" x14ac:dyDescent="0.2">
      <c r="A261" s="517"/>
      <c r="B261" s="517"/>
      <c r="C261" s="517"/>
      <c r="D261" s="517"/>
      <c r="E261" s="517"/>
      <c r="F261" s="517"/>
      <c r="G261" s="517"/>
      <c r="H261" s="517"/>
      <c r="I261" s="517"/>
      <c r="J261" s="517"/>
      <c r="K261" s="517"/>
      <c r="L261" s="517"/>
      <c r="M261" s="517"/>
      <c r="N261" s="517"/>
      <c r="O261" s="517"/>
      <c r="P261" s="517"/>
      <c r="Q261" s="517"/>
      <c r="R261" s="517"/>
      <c r="S261" s="517"/>
      <c r="T261" s="517"/>
      <c r="U261" s="517"/>
      <c r="V261" s="517"/>
      <c r="W261" s="517"/>
      <c r="X261" s="517"/>
      <c r="Y261" s="517"/>
      <c r="Z261" s="517"/>
      <c r="AA261" s="517"/>
      <c r="AB261" s="517"/>
      <c r="AC261" s="517"/>
    </row>
    <row r="262" spans="1:29" ht="11.25" customHeight="1" x14ac:dyDescent="0.2">
      <c r="A262" s="517"/>
      <c r="B262" s="517"/>
      <c r="C262" s="517"/>
      <c r="D262" s="517"/>
      <c r="E262" s="517"/>
      <c r="F262" s="517"/>
      <c r="G262" s="517"/>
      <c r="H262" s="517"/>
      <c r="I262" s="517"/>
      <c r="J262" s="517"/>
      <c r="K262" s="517"/>
      <c r="L262" s="517"/>
      <c r="M262" s="517"/>
      <c r="N262" s="517"/>
      <c r="O262" s="517"/>
      <c r="P262" s="517"/>
      <c r="Q262" s="517"/>
      <c r="R262" s="517"/>
      <c r="S262" s="517"/>
      <c r="T262" s="517"/>
      <c r="U262" s="517"/>
      <c r="V262" s="517"/>
      <c r="W262" s="517"/>
      <c r="X262" s="517"/>
      <c r="Y262" s="517"/>
      <c r="Z262" s="517"/>
      <c r="AA262" s="517"/>
      <c r="AB262" s="517"/>
      <c r="AC262" s="517"/>
    </row>
    <row r="263" spans="1:29" ht="11.25" customHeight="1" x14ac:dyDescent="0.2">
      <c r="A263" s="517"/>
      <c r="B263" s="517"/>
      <c r="C263" s="517"/>
      <c r="D263" s="517"/>
      <c r="E263" s="517"/>
      <c r="F263" s="517"/>
      <c r="G263" s="517"/>
      <c r="H263" s="517"/>
      <c r="I263" s="517"/>
      <c r="J263" s="517"/>
      <c r="K263" s="517"/>
      <c r="L263" s="517"/>
      <c r="M263" s="517"/>
      <c r="N263" s="517"/>
      <c r="O263" s="517"/>
      <c r="P263" s="517"/>
      <c r="Q263" s="517"/>
      <c r="R263" s="517"/>
      <c r="S263" s="517"/>
      <c r="T263" s="517"/>
      <c r="U263" s="517"/>
      <c r="V263" s="517"/>
      <c r="W263" s="517"/>
      <c r="X263" s="517"/>
      <c r="Y263" s="517"/>
      <c r="Z263" s="517"/>
      <c r="AA263" s="517"/>
      <c r="AB263" s="517"/>
      <c r="AC263" s="517"/>
    </row>
    <row r="264" spans="1:29" ht="11.25" customHeight="1" x14ac:dyDescent="0.2">
      <c r="A264" s="517"/>
      <c r="B264" s="517"/>
      <c r="C264" s="517"/>
      <c r="D264" s="517"/>
      <c r="E264" s="517"/>
      <c r="F264" s="517"/>
      <c r="G264" s="517"/>
      <c r="H264" s="517"/>
      <c r="I264" s="517"/>
      <c r="J264" s="517"/>
      <c r="K264" s="517"/>
      <c r="L264" s="517"/>
      <c r="M264" s="517"/>
      <c r="N264" s="517"/>
      <c r="O264" s="517"/>
      <c r="P264" s="517"/>
      <c r="Q264" s="517"/>
      <c r="R264" s="517"/>
      <c r="S264" s="517"/>
      <c r="T264" s="517"/>
      <c r="U264" s="517"/>
      <c r="V264" s="517"/>
      <c r="W264" s="517"/>
      <c r="X264" s="517"/>
      <c r="Y264" s="517"/>
      <c r="Z264" s="517"/>
      <c r="AA264" s="517"/>
      <c r="AB264" s="517"/>
      <c r="AC264" s="517"/>
    </row>
    <row r="265" spans="1:29" ht="11.25" customHeight="1" x14ac:dyDescent="0.2">
      <c r="A265" s="517"/>
      <c r="B265" s="517"/>
      <c r="C265" s="517"/>
      <c r="D265" s="517"/>
      <c r="E265" s="517"/>
      <c r="F265" s="517"/>
      <c r="G265" s="517"/>
      <c r="H265" s="517"/>
      <c r="I265" s="517"/>
      <c r="J265" s="517"/>
      <c r="K265" s="517"/>
      <c r="L265" s="517"/>
      <c r="M265" s="517"/>
      <c r="N265" s="517"/>
      <c r="O265" s="517"/>
      <c r="P265" s="517"/>
      <c r="Q265" s="517"/>
      <c r="R265" s="517"/>
      <c r="S265" s="517"/>
      <c r="T265" s="517"/>
      <c r="U265" s="517"/>
      <c r="V265" s="517"/>
      <c r="W265" s="517"/>
      <c r="X265" s="517"/>
      <c r="Y265" s="517"/>
      <c r="Z265" s="517"/>
      <c r="AA265" s="517"/>
      <c r="AB265" s="517"/>
      <c r="AC265" s="517"/>
    </row>
    <row r="266" spans="1:29" ht="11.25" customHeight="1" x14ac:dyDescent="0.2">
      <c r="A266" s="517"/>
      <c r="B266" s="517"/>
      <c r="C266" s="517"/>
      <c r="D266" s="517"/>
      <c r="E266" s="517"/>
      <c r="F266" s="517"/>
      <c r="G266" s="517"/>
      <c r="H266" s="517"/>
      <c r="I266" s="517"/>
      <c r="J266" s="517"/>
      <c r="K266" s="517"/>
      <c r="L266" s="517"/>
      <c r="M266" s="517"/>
      <c r="N266" s="517"/>
      <c r="O266" s="517"/>
      <c r="P266" s="517"/>
      <c r="Q266" s="517"/>
      <c r="R266" s="517"/>
      <c r="S266" s="517"/>
      <c r="T266" s="517"/>
      <c r="U266" s="517"/>
      <c r="V266" s="517"/>
      <c r="W266" s="517"/>
      <c r="X266" s="517"/>
      <c r="Y266" s="517"/>
      <c r="Z266" s="517"/>
      <c r="AA266" s="517"/>
      <c r="AB266" s="517"/>
      <c r="AC266" s="517"/>
    </row>
    <row r="267" spans="1:29" ht="11.25" customHeight="1" x14ac:dyDescent="0.2">
      <c r="A267" s="517"/>
      <c r="B267" s="517"/>
      <c r="C267" s="517"/>
      <c r="D267" s="517"/>
      <c r="E267" s="517"/>
      <c r="F267" s="517"/>
      <c r="G267" s="517"/>
      <c r="H267" s="517"/>
      <c r="I267" s="517"/>
      <c r="J267" s="517"/>
      <c r="K267" s="517"/>
      <c r="L267" s="517"/>
      <c r="M267" s="517"/>
      <c r="N267" s="517"/>
      <c r="O267" s="517"/>
      <c r="P267" s="517"/>
      <c r="Q267" s="517"/>
      <c r="R267" s="517"/>
      <c r="S267" s="517"/>
      <c r="T267" s="517"/>
      <c r="U267" s="517"/>
      <c r="V267" s="517"/>
      <c r="W267" s="517"/>
      <c r="X267" s="517"/>
      <c r="Y267" s="517"/>
      <c r="Z267" s="517"/>
      <c r="AA267" s="517"/>
      <c r="AB267" s="517"/>
      <c r="AC267" s="517"/>
    </row>
    <row r="268" spans="1:29" ht="11.25" customHeight="1" x14ac:dyDescent="0.2">
      <c r="A268" s="517"/>
      <c r="B268" s="517"/>
      <c r="C268" s="517"/>
      <c r="D268" s="517"/>
      <c r="E268" s="517"/>
      <c r="F268" s="517"/>
      <c r="G268" s="517"/>
      <c r="H268" s="517"/>
      <c r="I268" s="517"/>
      <c r="J268" s="517"/>
      <c r="K268" s="517"/>
      <c r="L268" s="517"/>
      <c r="M268" s="517"/>
      <c r="N268" s="517"/>
      <c r="O268" s="517"/>
      <c r="P268" s="517"/>
      <c r="Q268" s="517"/>
      <c r="R268" s="517"/>
      <c r="S268" s="517"/>
      <c r="T268" s="517"/>
      <c r="U268" s="517"/>
      <c r="V268" s="517"/>
      <c r="W268" s="517"/>
      <c r="X268" s="517"/>
      <c r="Y268" s="517"/>
      <c r="Z268" s="517"/>
      <c r="AA268" s="517"/>
      <c r="AB268" s="517"/>
      <c r="AC268" s="517"/>
    </row>
    <row r="269" spans="1:29" ht="11.25" customHeight="1" x14ac:dyDescent="0.2">
      <c r="A269" s="517"/>
      <c r="B269" s="517"/>
      <c r="C269" s="517"/>
      <c r="D269" s="517"/>
      <c r="E269" s="517"/>
      <c r="F269" s="517"/>
      <c r="G269" s="517"/>
      <c r="H269" s="517"/>
      <c r="I269" s="517"/>
      <c r="J269" s="517"/>
      <c r="K269" s="517"/>
      <c r="L269" s="517"/>
      <c r="M269" s="517"/>
      <c r="N269" s="517"/>
      <c r="O269" s="517"/>
      <c r="P269" s="517"/>
      <c r="Q269" s="517"/>
      <c r="R269" s="517"/>
      <c r="S269" s="517"/>
      <c r="T269" s="517"/>
      <c r="U269" s="517"/>
      <c r="V269" s="517"/>
      <c r="W269" s="517"/>
      <c r="X269" s="517"/>
      <c r="Y269" s="517"/>
      <c r="Z269" s="517"/>
      <c r="AA269" s="517"/>
      <c r="AB269" s="517"/>
      <c r="AC269" s="517"/>
    </row>
    <row r="270" spans="1:29" ht="11.25" customHeight="1" x14ac:dyDescent="0.2">
      <c r="A270" s="517"/>
      <c r="B270" s="517"/>
      <c r="C270" s="517"/>
      <c r="D270" s="517"/>
      <c r="E270" s="517"/>
      <c r="F270" s="517"/>
      <c r="G270" s="517"/>
      <c r="H270" s="517"/>
      <c r="I270" s="517"/>
      <c r="J270" s="517"/>
      <c r="K270" s="517"/>
      <c r="L270" s="517"/>
      <c r="M270" s="517"/>
      <c r="N270" s="517"/>
      <c r="O270" s="517"/>
      <c r="P270" s="517"/>
      <c r="Q270" s="517"/>
      <c r="R270" s="517"/>
      <c r="S270" s="517"/>
      <c r="T270" s="517"/>
      <c r="U270" s="517"/>
      <c r="V270" s="517"/>
      <c r="W270" s="517"/>
      <c r="X270" s="517"/>
      <c r="Y270" s="517"/>
      <c r="Z270" s="517"/>
      <c r="AA270" s="517"/>
      <c r="AB270" s="517"/>
      <c r="AC270" s="517"/>
    </row>
    <row r="271" spans="1:29" ht="11.25" customHeight="1" x14ac:dyDescent="0.2">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row>
    <row r="272" spans="1:29" ht="11.25" customHeight="1" x14ac:dyDescent="0.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row>
    <row r="273" spans="1:29" ht="11.25" customHeight="1" x14ac:dyDescent="0.2">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row>
    <row r="274" spans="1:29" ht="11.25" customHeight="1" x14ac:dyDescent="0.2">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row>
    <row r="275" spans="1:29" ht="11.25" customHeight="1" x14ac:dyDescent="0.2">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row>
    <row r="276" spans="1:29" ht="11.25" customHeight="1" x14ac:dyDescent="0.2">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row>
    <row r="277" spans="1:29" ht="11.25" customHeight="1" x14ac:dyDescent="0.2">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row>
    <row r="278" spans="1:29" ht="11.25" customHeight="1" x14ac:dyDescent="0.2">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row>
    <row r="279" spans="1:29" ht="11.25" customHeight="1" x14ac:dyDescent="0.2">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row>
    <row r="280" spans="1:29" ht="11.25" customHeight="1" x14ac:dyDescent="0.2">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row>
    <row r="281" spans="1:29" ht="11.25" customHeight="1" x14ac:dyDescent="0.2">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row>
    <row r="282" spans="1:29" ht="11.25" customHeight="1" x14ac:dyDescent="0.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row>
    <row r="283" spans="1:29" ht="11.25" customHeight="1" x14ac:dyDescent="0.2">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row>
    <row r="284" spans="1:29" ht="11.25" customHeight="1" x14ac:dyDescent="0.2">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row>
    <row r="285" spans="1:29" ht="11.25" customHeight="1" x14ac:dyDescent="0.2">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row>
    <row r="286" spans="1:29" ht="11.25" customHeight="1" x14ac:dyDescent="0.2">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row>
    <row r="287" spans="1:29" ht="11.25" customHeight="1" x14ac:dyDescent="0.2">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row>
    <row r="288" spans="1:29" ht="11.25" customHeight="1" x14ac:dyDescent="0.2">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row>
    <row r="289" spans="1:29" ht="11.25" customHeight="1" x14ac:dyDescent="0.2">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row>
    <row r="290" spans="1:29" ht="11.25" customHeight="1" x14ac:dyDescent="0.2">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row>
    <row r="291" spans="1:29" ht="11.25" customHeight="1" x14ac:dyDescent="0.2">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row>
    <row r="292" spans="1:29" ht="11.25" customHeight="1" x14ac:dyDescent="0.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row>
    <row r="293" spans="1:29" ht="11.25" customHeight="1" x14ac:dyDescent="0.2">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row>
    <row r="294" spans="1:29" ht="11.25" customHeight="1" x14ac:dyDescent="0.2">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row>
    <row r="295" spans="1:29" ht="11.25" customHeight="1" x14ac:dyDescent="0.2">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row>
    <row r="296" spans="1:29" ht="11.25" customHeight="1" x14ac:dyDescent="0.2">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row>
    <row r="297" spans="1:29" ht="11.25" customHeight="1" x14ac:dyDescent="0.2">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row>
    <row r="298" spans="1:29" ht="11.25" customHeight="1" x14ac:dyDescent="0.2">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row>
    <row r="299" spans="1:29" ht="11.25" customHeight="1" x14ac:dyDescent="0.2">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row>
    <row r="300" spans="1:29" ht="11.25" customHeight="1" x14ac:dyDescent="0.2">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row>
    <row r="301" spans="1:29" ht="11.25" customHeight="1" x14ac:dyDescent="0.2">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row>
    <row r="302" spans="1:29" ht="11.25" customHeight="1" x14ac:dyDescent="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row>
    <row r="303" spans="1:29" ht="11.25" customHeight="1" x14ac:dyDescent="0.2">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row>
    <row r="304" spans="1:29" ht="11.25" customHeight="1" x14ac:dyDescent="0.2">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row>
    <row r="305" spans="1:29" ht="11.25" customHeight="1" x14ac:dyDescent="0.2">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row>
    <row r="306" spans="1:29" ht="11.25" customHeight="1" x14ac:dyDescent="0.2">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row>
    <row r="307" spans="1:29" ht="11.25" customHeight="1" x14ac:dyDescent="0.2">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row>
    <row r="308" spans="1:29" ht="11.25" customHeight="1" x14ac:dyDescent="0.2">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row>
    <row r="309" spans="1:29" ht="11.25" customHeight="1" x14ac:dyDescent="0.2">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row>
    <row r="310" spans="1:29" ht="11.25" customHeight="1" x14ac:dyDescent="0.2">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row>
    <row r="311" spans="1:29" ht="11.25" customHeight="1" x14ac:dyDescent="0.2">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row>
    <row r="312" spans="1:29" ht="11.25" customHeight="1" x14ac:dyDescent="0.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row>
    <row r="313" spans="1:29" ht="11.25" customHeight="1" x14ac:dyDescent="0.2">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row>
    <row r="314" spans="1:29" ht="11.25" customHeight="1" x14ac:dyDescent="0.2">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row>
    <row r="315" spans="1:29" ht="11.25" customHeight="1" x14ac:dyDescent="0.2">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row>
    <row r="316" spans="1:29" ht="11.25" customHeight="1" x14ac:dyDescent="0.2">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row>
    <row r="317" spans="1:29" ht="11.25" customHeight="1" x14ac:dyDescent="0.2">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row>
    <row r="318" spans="1:29" ht="11.25" customHeight="1" x14ac:dyDescent="0.2">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row>
    <row r="319" spans="1:29" ht="11.25" customHeight="1" x14ac:dyDescent="0.2">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row>
    <row r="320" spans="1:29" ht="11.25" customHeight="1" x14ac:dyDescent="0.2">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row>
    <row r="321" spans="1:29" ht="11.25" customHeight="1" x14ac:dyDescent="0.2">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row>
    <row r="322" spans="1:29" ht="11.25" customHeight="1" x14ac:dyDescent="0.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row>
    <row r="323" spans="1:29" ht="11.25" customHeight="1" x14ac:dyDescent="0.2">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row>
    <row r="324" spans="1:29" ht="11.25" customHeight="1" x14ac:dyDescent="0.2">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row>
    <row r="325" spans="1:29" ht="11.25" customHeight="1" x14ac:dyDescent="0.2">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row>
    <row r="326" spans="1:29" ht="11.25" customHeight="1" x14ac:dyDescent="0.2">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row>
    <row r="327" spans="1:29" ht="11.25" customHeight="1" x14ac:dyDescent="0.2">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row>
    <row r="328" spans="1:29" ht="11.25" customHeight="1" x14ac:dyDescent="0.2">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row>
    <row r="329" spans="1:29" ht="11.25" customHeight="1" x14ac:dyDescent="0.2">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row>
    <row r="330" spans="1:29" ht="11.25" customHeight="1" x14ac:dyDescent="0.2">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row>
    <row r="331" spans="1:29" ht="11.25" customHeight="1" x14ac:dyDescent="0.2">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row>
    <row r="332" spans="1:29" ht="11.25" customHeight="1" x14ac:dyDescent="0.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row>
    <row r="333" spans="1:29" ht="11.25" customHeight="1" x14ac:dyDescent="0.2">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row>
    <row r="334" spans="1:29" ht="11.25" customHeight="1" x14ac:dyDescent="0.2">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row>
    <row r="335" spans="1:29" ht="11.25" customHeight="1" x14ac:dyDescent="0.2">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row>
    <row r="336" spans="1:29" ht="11.25" customHeight="1" x14ac:dyDescent="0.2">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row>
    <row r="337" spans="1:29" ht="11.25" customHeight="1" x14ac:dyDescent="0.2">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row>
    <row r="338" spans="1:29" ht="11.25" customHeight="1" x14ac:dyDescent="0.2">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row>
    <row r="339" spans="1:29" ht="11.25" customHeight="1" x14ac:dyDescent="0.2">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row>
    <row r="340" spans="1:29" ht="11.25" customHeight="1" x14ac:dyDescent="0.2">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row>
    <row r="341" spans="1:29" ht="11.25" customHeight="1" x14ac:dyDescent="0.2">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row>
    <row r="342" spans="1:29" ht="11.25" customHeight="1" x14ac:dyDescent="0.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row>
    <row r="343" spans="1:29" ht="11.25" customHeight="1" x14ac:dyDescent="0.2">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row>
    <row r="344" spans="1:29" ht="11.25" customHeight="1" x14ac:dyDescent="0.2">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row>
    <row r="345" spans="1:29" ht="11.25" customHeight="1" x14ac:dyDescent="0.2">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row>
    <row r="346" spans="1:29" ht="11.25" customHeight="1" x14ac:dyDescent="0.2">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row>
    <row r="347" spans="1:29" ht="11.25" customHeight="1" x14ac:dyDescent="0.2">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row>
    <row r="348" spans="1:29" ht="11.25" customHeight="1" x14ac:dyDescent="0.2">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row>
    <row r="349" spans="1:29" ht="11.25" customHeight="1" x14ac:dyDescent="0.2">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row>
    <row r="350" spans="1:29" ht="11.25" customHeight="1" x14ac:dyDescent="0.2">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row>
    <row r="351" spans="1:29" ht="11.25" customHeight="1" x14ac:dyDescent="0.2">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row>
    <row r="352" spans="1:29" ht="11.25" customHeight="1" x14ac:dyDescent="0.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row>
    <row r="353" spans="1:29" ht="11.25" customHeight="1" x14ac:dyDescent="0.2">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row>
    <row r="354" spans="1:29" ht="11.25" customHeight="1" x14ac:dyDescent="0.2">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row>
    <row r="355" spans="1:29" ht="11.25" customHeight="1" x14ac:dyDescent="0.2">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row>
    <row r="356" spans="1:29" ht="11.25" customHeight="1" x14ac:dyDescent="0.2">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row>
    <row r="357" spans="1:29" ht="11.25" customHeight="1" x14ac:dyDescent="0.2">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row>
    <row r="358" spans="1:29" ht="11.25" customHeight="1" x14ac:dyDescent="0.2">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row>
    <row r="359" spans="1:29" ht="11.25" customHeight="1" x14ac:dyDescent="0.2">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row>
    <row r="360" spans="1:29" ht="11.25" customHeight="1" x14ac:dyDescent="0.2">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row>
    <row r="361" spans="1:29" ht="11.25" customHeight="1" x14ac:dyDescent="0.2">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row>
    <row r="362" spans="1:29" ht="11.25" customHeight="1" x14ac:dyDescent="0.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row>
    <row r="363" spans="1:29" ht="11.25" customHeight="1" x14ac:dyDescent="0.2">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row>
    <row r="364" spans="1:29" ht="11.25" customHeight="1" x14ac:dyDescent="0.2">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row>
    <row r="365" spans="1:29" ht="11.25" customHeight="1" x14ac:dyDescent="0.2">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row>
    <row r="366" spans="1:29" ht="11.25" customHeight="1" x14ac:dyDescent="0.2">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row>
    <row r="367" spans="1:29" ht="11.25" customHeight="1" x14ac:dyDescent="0.2">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row>
    <row r="368" spans="1:29" ht="11.25" customHeight="1" x14ac:dyDescent="0.2">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row>
    <row r="369" spans="1:29" ht="11.25" customHeight="1" x14ac:dyDescent="0.2">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row>
    <row r="370" spans="1:29" ht="11.25" customHeight="1" x14ac:dyDescent="0.2">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row>
    <row r="371" spans="1:29" ht="11.25" customHeight="1" x14ac:dyDescent="0.2">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row>
    <row r="372" spans="1:29" ht="11.25" customHeight="1" x14ac:dyDescent="0.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row>
    <row r="373" spans="1:29" ht="11.25" customHeight="1" x14ac:dyDescent="0.2">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row>
    <row r="374" spans="1:29" ht="11.25" customHeight="1" x14ac:dyDescent="0.2">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row>
    <row r="375" spans="1:29" ht="11.25" customHeight="1" x14ac:dyDescent="0.2">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row>
    <row r="376" spans="1:29" ht="11.25" customHeight="1" x14ac:dyDescent="0.2">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row>
    <row r="377" spans="1:29" ht="11.25" customHeight="1" x14ac:dyDescent="0.2">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row>
    <row r="378" spans="1:29" ht="11.25" customHeight="1" x14ac:dyDescent="0.2">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row>
    <row r="379" spans="1:29" ht="11.25" customHeight="1" x14ac:dyDescent="0.2">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row>
    <row r="380" spans="1:29" ht="11.25" customHeight="1" x14ac:dyDescent="0.2">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row>
    <row r="381" spans="1:29" ht="11.25" customHeight="1" x14ac:dyDescent="0.2">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row>
    <row r="382" spans="1:29" ht="11.25" customHeight="1" x14ac:dyDescent="0.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row>
    <row r="383" spans="1:29" ht="11.25" customHeight="1" x14ac:dyDescent="0.2">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row>
    <row r="384" spans="1:29" ht="11.25" customHeight="1" x14ac:dyDescent="0.2">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row>
    <row r="385" spans="1:29" ht="11.25" customHeight="1" x14ac:dyDescent="0.2">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row>
    <row r="386" spans="1:29" ht="11.25" customHeight="1" x14ac:dyDescent="0.2">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row>
    <row r="387" spans="1:29" ht="11.25" customHeight="1" x14ac:dyDescent="0.2">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row>
    <row r="388" spans="1:29" ht="11.25" customHeight="1" x14ac:dyDescent="0.2">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row>
    <row r="389" spans="1:29" ht="11.25" customHeight="1" x14ac:dyDescent="0.2">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row>
    <row r="390" spans="1:29" ht="11.25" customHeight="1" x14ac:dyDescent="0.2">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row>
    <row r="391" spans="1:29" ht="11.25" customHeight="1" x14ac:dyDescent="0.2">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row>
    <row r="392" spans="1:29" ht="11.25" customHeight="1" x14ac:dyDescent="0.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row>
    <row r="393" spans="1:29" ht="11.25" customHeight="1" x14ac:dyDescent="0.2">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row>
    <row r="394" spans="1:29" ht="11.25" customHeight="1" x14ac:dyDescent="0.2">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row>
    <row r="395" spans="1:29" ht="11.25" customHeight="1" x14ac:dyDescent="0.2">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row>
    <row r="396" spans="1:29" ht="11.25" customHeight="1" x14ac:dyDescent="0.2">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row>
    <row r="397" spans="1:29" ht="11.25" customHeight="1" x14ac:dyDescent="0.2">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row>
    <row r="398" spans="1:29" ht="11.25" customHeight="1" x14ac:dyDescent="0.2">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row>
    <row r="399" spans="1:29" ht="11.25" customHeight="1" x14ac:dyDescent="0.2">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row>
    <row r="400" spans="1:29" ht="11.25" customHeight="1" x14ac:dyDescent="0.2">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row>
    <row r="401" spans="1:29" ht="11.25" customHeight="1" x14ac:dyDescent="0.2">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row>
    <row r="402" spans="1:29" ht="11.25" customHeight="1" x14ac:dyDescent="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row>
    <row r="403" spans="1:29" ht="11.25" customHeight="1" x14ac:dyDescent="0.2">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row>
    <row r="404" spans="1:29" ht="11.25" customHeight="1" x14ac:dyDescent="0.2">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row>
    <row r="405" spans="1:29" ht="11.25" customHeight="1" x14ac:dyDescent="0.2">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row>
    <row r="406" spans="1:29" ht="11.25" customHeight="1" x14ac:dyDescent="0.2">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row>
    <row r="407" spans="1:29" ht="11.25" customHeight="1" x14ac:dyDescent="0.2">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row>
    <row r="408" spans="1:29" ht="11.25" customHeight="1" x14ac:dyDescent="0.2">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row>
    <row r="409" spans="1:29" ht="11.25" customHeight="1" x14ac:dyDescent="0.2">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row>
    <row r="410" spans="1:29" ht="11.25" customHeight="1" x14ac:dyDescent="0.2">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row>
    <row r="411" spans="1:29" ht="11.25" customHeight="1" x14ac:dyDescent="0.2">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row>
    <row r="412" spans="1:29" ht="11.25" customHeight="1" x14ac:dyDescent="0.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row>
    <row r="413" spans="1:29" ht="11.25" customHeight="1" x14ac:dyDescent="0.2">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row>
    <row r="414" spans="1:29" ht="11.25" customHeight="1" x14ac:dyDescent="0.2">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row>
    <row r="415" spans="1:29" ht="11.25" customHeight="1" x14ac:dyDescent="0.2">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row>
    <row r="416" spans="1:29" ht="11.25" customHeight="1" x14ac:dyDescent="0.2">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row>
    <row r="417" spans="1:29" ht="11.25" customHeight="1" x14ac:dyDescent="0.2">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row>
    <row r="418" spans="1:29" ht="11.25" customHeight="1" x14ac:dyDescent="0.2">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row>
    <row r="419" spans="1:29" ht="11.25" customHeight="1" x14ac:dyDescent="0.2">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row>
    <row r="420" spans="1:29" ht="11.25" customHeight="1" x14ac:dyDescent="0.2">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row>
    <row r="421" spans="1:29" ht="11.25" customHeight="1" x14ac:dyDescent="0.2">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row>
    <row r="422" spans="1:29" ht="11.25" customHeight="1" x14ac:dyDescent="0.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row>
    <row r="423" spans="1:29" ht="11.25" customHeight="1" x14ac:dyDescent="0.2">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row>
    <row r="424" spans="1:29" ht="11.25" customHeight="1" x14ac:dyDescent="0.2">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row>
    <row r="425" spans="1:29" ht="11.25" customHeight="1" x14ac:dyDescent="0.2">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row>
    <row r="426" spans="1:29" ht="11.25" customHeight="1" x14ac:dyDescent="0.2">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row>
    <row r="427" spans="1:29" ht="11.25" customHeight="1" x14ac:dyDescent="0.2">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row>
    <row r="428" spans="1:29" ht="11.25" customHeight="1" x14ac:dyDescent="0.2">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row>
    <row r="429" spans="1:29" ht="11.25" customHeight="1" x14ac:dyDescent="0.2">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row>
    <row r="430" spans="1:29" ht="11.25" customHeight="1" x14ac:dyDescent="0.2">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row>
    <row r="431" spans="1:29" ht="11.25" customHeight="1" x14ac:dyDescent="0.2">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row>
    <row r="432" spans="1:29" ht="11.25" customHeight="1" x14ac:dyDescent="0.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row>
    <row r="433" spans="1:29" ht="11.25" customHeight="1" x14ac:dyDescent="0.2">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row>
    <row r="434" spans="1:29" ht="11.25" customHeight="1" x14ac:dyDescent="0.2">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row>
    <row r="435" spans="1:29" ht="11.25" customHeight="1" x14ac:dyDescent="0.2">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row>
    <row r="436" spans="1:29" ht="11.25" customHeight="1" x14ac:dyDescent="0.2">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row>
    <row r="437" spans="1:29" ht="11.25" customHeight="1" x14ac:dyDescent="0.2">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row>
    <row r="438" spans="1:29" ht="11.25" customHeight="1" x14ac:dyDescent="0.2">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row>
    <row r="439" spans="1:29" ht="11.25" customHeight="1" x14ac:dyDescent="0.2">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row>
    <row r="440" spans="1:29" ht="11.25" customHeight="1" x14ac:dyDescent="0.2">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row>
    <row r="441" spans="1:29" ht="11.25" customHeight="1" x14ac:dyDescent="0.2">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row>
    <row r="442" spans="1:29" ht="11.25" customHeight="1" x14ac:dyDescent="0.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row>
    <row r="443" spans="1:29" ht="11.25" customHeight="1" x14ac:dyDescent="0.2">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row>
    <row r="444" spans="1:29" ht="11.25" customHeight="1" x14ac:dyDescent="0.2">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row>
    <row r="445" spans="1:29" ht="11.25" customHeight="1" x14ac:dyDescent="0.2">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row>
    <row r="446" spans="1:29" ht="11.25" customHeight="1" x14ac:dyDescent="0.2">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row>
    <row r="447" spans="1:29" ht="11.25" customHeight="1" x14ac:dyDescent="0.2">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row>
    <row r="448" spans="1:29" ht="11.25" customHeight="1" x14ac:dyDescent="0.2">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row>
    <row r="449" spans="1:29" ht="11.25" customHeight="1" x14ac:dyDescent="0.2">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row>
    <row r="450" spans="1:29" ht="11.25" customHeight="1" x14ac:dyDescent="0.2">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row>
    <row r="451" spans="1:29" ht="11.25" customHeight="1" x14ac:dyDescent="0.2">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row>
    <row r="452" spans="1:29" ht="11.25" customHeight="1" x14ac:dyDescent="0.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row>
    <row r="453" spans="1:29" ht="11.25" customHeight="1" x14ac:dyDescent="0.2">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row>
    <row r="454" spans="1:29" ht="11.25" customHeight="1" x14ac:dyDescent="0.2">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row>
    <row r="455" spans="1:29" ht="11.25" customHeight="1" x14ac:dyDescent="0.2">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row>
    <row r="456" spans="1:29" ht="11.25" customHeight="1" x14ac:dyDescent="0.2">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row>
    <row r="457" spans="1:29" ht="11.25" customHeight="1" x14ac:dyDescent="0.2">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row>
    <row r="458" spans="1:29" ht="11.25" customHeight="1" x14ac:dyDescent="0.2">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row>
    <row r="459" spans="1:29" ht="11.25" customHeight="1" x14ac:dyDescent="0.2">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row>
    <row r="460" spans="1:29" ht="11.25" customHeight="1" x14ac:dyDescent="0.2">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row>
    <row r="461" spans="1:29" ht="11.25" customHeight="1" x14ac:dyDescent="0.2">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row>
    <row r="462" spans="1:29" ht="11.25" customHeight="1" x14ac:dyDescent="0.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row>
    <row r="463" spans="1:29" ht="11.25" customHeight="1" x14ac:dyDescent="0.2">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row>
    <row r="464" spans="1:29" ht="11.25" customHeight="1" x14ac:dyDescent="0.2">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row>
    <row r="465" spans="1:29" ht="11.25" customHeight="1" x14ac:dyDescent="0.2">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row>
    <row r="466" spans="1:29" ht="11.25" customHeight="1" x14ac:dyDescent="0.2">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row>
    <row r="467" spans="1:29" ht="11.25" customHeight="1" x14ac:dyDescent="0.2">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row>
    <row r="468" spans="1:29" ht="11.25" customHeight="1" x14ac:dyDescent="0.2">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row>
    <row r="469" spans="1:29" ht="11.25" customHeight="1" x14ac:dyDescent="0.2">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row>
    <row r="470" spans="1:29" ht="11.25" customHeight="1" x14ac:dyDescent="0.2">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row>
    <row r="471" spans="1:29" ht="11.25" customHeight="1" x14ac:dyDescent="0.2">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row>
    <row r="472" spans="1:29" ht="11.25" customHeight="1" x14ac:dyDescent="0.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row>
    <row r="473" spans="1:29" ht="11.25" customHeight="1" x14ac:dyDescent="0.2">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row>
    <row r="474" spans="1:29" ht="11.25" customHeight="1" x14ac:dyDescent="0.2">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row>
    <row r="475" spans="1:29" ht="11.25" customHeight="1" x14ac:dyDescent="0.2">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row>
    <row r="476" spans="1:29" ht="11.25" customHeight="1" x14ac:dyDescent="0.2">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row>
    <row r="477" spans="1:29" ht="11.25" customHeight="1" x14ac:dyDescent="0.2">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row>
    <row r="478" spans="1:29" ht="11.25" customHeight="1" x14ac:dyDescent="0.2">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row>
    <row r="479" spans="1:29" ht="11.25" customHeight="1" x14ac:dyDescent="0.2">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row>
    <row r="480" spans="1:29" ht="11.25" customHeight="1" x14ac:dyDescent="0.2">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row>
    <row r="481" spans="1:29" ht="11.25" customHeight="1" x14ac:dyDescent="0.2">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row>
    <row r="482" spans="1:29" ht="11.25" customHeight="1" x14ac:dyDescent="0.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row>
    <row r="483" spans="1:29" ht="11.25" customHeight="1" x14ac:dyDescent="0.2">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row>
    <row r="484" spans="1:29" ht="11.25" customHeight="1" x14ac:dyDescent="0.2">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row>
    <row r="485" spans="1:29" ht="11.25" customHeight="1" x14ac:dyDescent="0.2">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row>
    <row r="486" spans="1:29" ht="11.25" customHeight="1" x14ac:dyDescent="0.2">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row>
    <row r="487" spans="1:29" ht="11.25" customHeight="1" x14ac:dyDescent="0.2">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row>
    <row r="488" spans="1:29" ht="11.25" customHeight="1" x14ac:dyDescent="0.2">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row>
    <row r="489" spans="1:29" ht="11.25" customHeight="1" x14ac:dyDescent="0.2">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row>
    <row r="490" spans="1:29" ht="11.25" customHeight="1" x14ac:dyDescent="0.2">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row>
    <row r="491" spans="1:29" ht="11.25" customHeight="1" x14ac:dyDescent="0.2">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row>
    <row r="492" spans="1:29" ht="11.25" customHeight="1" x14ac:dyDescent="0.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row>
    <row r="493" spans="1:29" ht="11.25" customHeight="1" x14ac:dyDescent="0.2">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row>
    <row r="494" spans="1:29" ht="11.25" customHeight="1" x14ac:dyDescent="0.2">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row>
    <row r="495" spans="1:29" ht="11.25" customHeight="1" x14ac:dyDescent="0.2">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row>
    <row r="496" spans="1:29" ht="11.25" customHeight="1" x14ac:dyDescent="0.2">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row>
    <row r="497" spans="1:29" ht="11.25" customHeight="1" x14ac:dyDescent="0.2">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row>
    <row r="498" spans="1:29" ht="11.25" customHeight="1" x14ac:dyDescent="0.2">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row>
    <row r="499" spans="1:29" ht="11.25" customHeight="1" x14ac:dyDescent="0.2">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row>
    <row r="500" spans="1:29" ht="11.25" customHeight="1" x14ac:dyDescent="0.2">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row>
    <row r="501" spans="1:29" ht="11.25" customHeight="1" x14ac:dyDescent="0.2">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row>
    <row r="502" spans="1:29" ht="11.25" customHeight="1" x14ac:dyDescent="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row>
    <row r="503" spans="1:29" ht="11.25" customHeight="1" x14ac:dyDescent="0.2">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row>
    <row r="504" spans="1:29" ht="11.25" customHeight="1" x14ac:dyDescent="0.2">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row>
    <row r="505" spans="1:29" ht="11.25" customHeight="1" x14ac:dyDescent="0.2">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row>
    <row r="506" spans="1:29" ht="11.25" customHeight="1" x14ac:dyDescent="0.2">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row>
    <row r="507" spans="1:29" ht="11.25" customHeight="1" x14ac:dyDescent="0.2">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row>
    <row r="508" spans="1:29" ht="11.25" customHeight="1" x14ac:dyDescent="0.2">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row>
    <row r="509" spans="1:29" ht="11.25" customHeight="1" x14ac:dyDescent="0.2">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row>
    <row r="510" spans="1:29" ht="11.25" customHeight="1" x14ac:dyDescent="0.2">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row>
    <row r="511" spans="1:29" ht="11.25" customHeight="1" x14ac:dyDescent="0.2">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row>
    <row r="512" spans="1:29" ht="11.25" customHeight="1" x14ac:dyDescent="0.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row>
    <row r="513" spans="1:29" ht="11.25" customHeight="1" x14ac:dyDescent="0.2">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row>
    <row r="514" spans="1:29" ht="11.25" customHeight="1" x14ac:dyDescent="0.2">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row>
    <row r="515" spans="1:29" ht="11.25" customHeight="1" x14ac:dyDescent="0.2">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row>
    <row r="516" spans="1:29" ht="11.25" customHeight="1" x14ac:dyDescent="0.2">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row>
    <row r="517" spans="1:29" ht="11.25" customHeight="1" x14ac:dyDescent="0.2">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row>
    <row r="518" spans="1:29" ht="11.25" customHeight="1" x14ac:dyDescent="0.2">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row>
    <row r="519" spans="1:29" ht="11.25" customHeight="1" x14ac:dyDescent="0.2">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row>
    <row r="520" spans="1:29" ht="11.25" customHeight="1" x14ac:dyDescent="0.2">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row>
    <row r="521" spans="1:29" ht="11.25" customHeight="1" x14ac:dyDescent="0.2">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row>
    <row r="522" spans="1:29" ht="11.25" customHeight="1" x14ac:dyDescent="0.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row>
    <row r="523" spans="1:29" ht="11.25" customHeight="1" x14ac:dyDescent="0.2">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row>
    <row r="524" spans="1:29" ht="11.25" customHeight="1" x14ac:dyDescent="0.2">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row>
    <row r="525" spans="1:29" ht="11.25" customHeight="1" x14ac:dyDescent="0.2">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row>
    <row r="526" spans="1:29" ht="11.25" customHeight="1" x14ac:dyDescent="0.2">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row>
    <row r="527" spans="1:29" ht="11.25" customHeight="1" x14ac:dyDescent="0.2">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row>
    <row r="528" spans="1:29" ht="11.25" customHeight="1" x14ac:dyDescent="0.2">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row>
    <row r="529" spans="1:29" ht="11.25" customHeight="1" x14ac:dyDescent="0.2">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row>
    <row r="530" spans="1:29" ht="11.25" customHeight="1" x14ac:dyDescent="0.2">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row>
    <row r="531" spans="1:29" ht="11.25" customHeight="1" x14ac:dyDescent="0.2">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row>
    <row r="532" spans="1:29" ht="11.25" customHeight="1" x14ac:dyDescent="0.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row>
    <row r="533" spans="1:29" ht="11.25" customHeight="1" x14ac:dyDescent="0.2">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row>
    <row r="534" spans="1:29" ht="11.25" customHeight="1" x14ac:dyDescent="0.2">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row>
    <row r="535" spans="1:29" ht="11.25" customHeight="1" x14ac:dyDescent="0.2">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row>
    <row r="536" spans="1:29" ht="11.25" customHeight="1" x14ac:dyDescent="0.2">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row>
    <row r="537" spans="1:29" ht="11.25" customHeight="1" x14ac:dyDescent="0.2">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row>
    <row r="538" spans="1:29" ht="11.25" customHeight="1" x14ac:dyDescent="0.2">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row>
    <row r="539" spans="1:29" ht="11.25" customHeight="1" x14ac:dyDescent="0.2">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row>
    <row r="540" spans="1:29" ht="11.25" customHeight="1" x14ac:dyDescent="0.2">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row>
    <row r="541" spans="1:29" ht="11.25" customHeight="1" x14ac:dyDescent="0.2">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row>
    <row r="542" spans="1:29" ht="11.25" customHeight="1" x14ac:dyDescent="0.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row>
    <row r="543" spans="1:29" ht="11.25" customHeight="1" x14ac:dyDescent="0.2">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row>
    <row r="544" spans="1:29" ht="11.25" customHeight="1" x14ac:dyDescent="0.2">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row>
    <row r="545" spans="1:29" ht="11.25" customHeight="1" x14ac:dyDescent="0.2">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row>
    <row r="546" spans="1:29" ht="11.25" customHeight="1" x14ac:dyDescent="0.2">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row>
    <row r="547" spans="1:29" ht="11.25" customHeight="1" x14ac:dyDescent="0.2">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row>
    <row r="548" spans="1:29" ht="11.25" customHeight="1" x14ac:dyDescent="0.2">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row>
    <row r="549" spans="1:29" ht="11.25" customHeight="1" x14ac:dyDescent="0.2">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row>
    <row r="550" spans="1:29" ht="11.25" customHeight="1" x14ac:dyDescent="0.2">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row>
    <row r="551" spans="1:29" ht="11.25" customHeight="1" x14ac:dyDescent="0.2">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row>
    <row r="552" spans="1:29" ht="11.25" customHeight="1" x14ac:dyDescent="0.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row>
    <row r="553" spans="1:29" ht="11.25" customHeight="1" x14ac:dyDescent="0.2">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row>
    <row r="554" spans="1:29" ht="11.25" customHeight="1" x14ac:dyDescent="0.2">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row>
    <row r="555" spans="1:29" ht="11.25" customHeight="1" x14ac:dyDescent="0.2">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row>
    <row r="556" spans="1:29" ht="11.25" customHeight="1" x14ac:dyDescent="0.2">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row>
    <row r="557" spans="1:29" ht="11.25" customHeight="1" x14ac:dyDescent="0.2">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row>
    <row r="558" spans="1:29" ht="11.25" customHeight="1" x14ac:dyDescent="0.2">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row>
    <row r="559" spans="1:29" ht="11.25" customHeight="1" x14ac:dyDescent="0.2">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row>
    <row r="560" spans="1:29" ht="11.25" customHeight="1" x14ac:dyDescent="0.2">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row>
    <row r="561" spans="1:29" ht="11.25" customHeight="1" x14ac:dyDescent="0.2">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row>
    <row r="562" spans="1:29" ht="11.25" customHeight="1" x14ac:dyDescent="0.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row>
    <row r="563" spans="1:29" ht="11.25" customHeight="1" x14ac:dyDescent="0.2">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row>
    <row r="564" spans="1:29" ht="11.25" customHeight="1" x14ac:dyDescent="0.2">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row>
    <row r="565" spans="1:29" ht="11.25" customHeight="1" x14ac:dyDescent="0.2">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row>
    <row r="566" spans="1:29" ht="11.25" customHeight="1" x14ac:dyDescent="0.2">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row>
    <row r="567" spans="1:29" ht="11.25" customHeight="1" x14ac:dyDescent="0.2">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row>
    <row r="568" spans="1:29" ht="11.25" customHeight="1" x14ac:dyDescent="0.2">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row>
    <row r="569" spans="1:29" ht="11.25" customHeight="1" x14ac:dyDescent="0.2">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row>
    <row r="570" spans="1:29" ht="11.25" customHeight="1" x14ac:dyDescent="0.2">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row>
    <row r="571" spans="1:29" ht="11.25" customHeight="1" x14ac:dyDescent="0.2">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row>
    <row r="572" spans="1:29" ht="11.25" customHeight="1" x14ac:dyDescent="0.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row>
    <row r="573" spans="1:29" ht="11.25" customHeight="1" x14ac:dyDescent="0.2">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row>
    <row r="574" spans="1:29" ht="11.25" customHeight="1" x14ac:dyDescent="0.2">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row>
    <row r="575" spans="1:29" ht="11.25" customHeight="1" x14ac:dyDescent="0.2">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row>
    <row r="576" spans="1:29" ht="11.25" customHeight="1" x14ac:dyDescent="0.2">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row>
    <row r="577" spans="1:29" ht="11.25" customHeight="1" x14ac:dyDescent="0.2">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row>
    <row r="578" spans="1:29" ht="11.25" customHeight="1" x14ac:dyDescent="0.2">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row>
    <row r="579" spans="1:29" ht="11.25" customHeight="1" x14ac:dyDescent="0.2">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row>
    <row r="580" spans="1:29" ht="11.25" customHeight="1" x14ac:dyDescent="0.2">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row>
    <row r="581" spans="1:29" ht="11.25" customHeight="1" x14ac:dyDescent="0.2">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row>
    <row r="582" spans="1:29" ht="11.25" customHeight="1" x14ac:dyDescent="0.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row>
    <row r="583" spans="1:29" ht="11.25" customHeight="1" x14ac:dyDescent="0.2">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row>
    <row r="584" spans="1:29" ht="11.25" customHeight="1" x14ac:dyDescent="0.2">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row>
    <row r="585" spans="1:29" ht="11.25" customHeight="1" x14ac:dyDescent="0.2">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row>
    <row r="586" spans="1:29" ht="11.25" customHeight="1" x14ac:dyDescent="0.2">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row>
    <row r="587" spans="1:29" ht="11.25" customHeight="1" x14ac:dyDescent="0.2">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row>
    <row r="588" spans="1:29" ht="11.25" customHeight="1" x14ac:dyDescent="0.2">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row>
    <row r="589" spans="1:29" ht="11.25" customHeight="1" x14ac:dyDescent="0.2">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row>
    <row r="590" spans="1:29" ht="11.25" customHeight="1" x14ac:dyDescent="0.2">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row>
    <row r="591" spans="1:29" ht="11.25" customHeight="1" x14ac:dyDescent="0.2">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row>
    <row r="592" spans="1:29" ht="11.25" customHeight="1" x14ac:dyDescent="0.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row>
    <row r="593" spans="1:29" ht="11.25" customHeight="1" x14ac:dyDescent="0.2">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row>
    <row r="594" spans="1:29" ht="11.25" customHeight="1" x14ac:dyDescent="0.2">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row>
    <row r="595" spans="1:29" ht="11.25" customHeight="1" x14ac:dyDescent="0.2">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row>
    <row r="596" spans="1:29" ht="11.25" customHeight="1" x14ac:dyDescent="0.2">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row>
    <row r="597" spans="1:29" ht="11.25" customHeight="1" x14ac:dyDescent="0.2">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row>
    <row r="598" spans="1:29" ht="11.25" customHeight="1" x14ac:dyDescent="0.2">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row>
    <row r="599" spans="1:29" ht="11.25" customHeight="1" x14ac:dyDescent="0.2">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row>
    <row r="600" spans="1:29" ht="11.25" customHeight="1" x14ac:dyDescent="0.2">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row>
    <row r="601" spans="1:29" ht="11.25" customHeight="1" x14ac:dyDescent="0.2">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row>
    <row r="602" spans="1:29" ht="11.25" customHeight="1" x14ac:dyDescent="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row>
    <row r="603" spans="1:29" ht="11.25" customHeight="1" x14ac:dyDescent="0.2">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row>
    <row r="604" spans="1:29" ht="11.25" customHeight="1" x14ac:dyDescent="0.2">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row>
    <row r="605" spans="1:29" ht="11.25" customHeight="1" x14ac:dyDescent="0.2">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row>
    <row r="606" spans="1:29" ht="11.25" customHeight="1" x14ac:dyDescent="0.2">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row>
    <row r="607" spans="1:29" ht="11.25" customHeight="1" x14ac:dyDescent="0.2">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row>
    <row r="608" spans="1:29" ht="11.25" customHeight="1" x14ac:dyDescent="0.2">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row>
    <row r="609" spans="1:29" ht="11.25" customHeight="1" x14ac:dyDescent="0.2">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row>
    <row r="610" spans="1:29" ht="11.25" customHeight="1" x14ac:dyDescent="0.2">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row>
    <row r="611" spans="1:29" ht="11.25" customHeight="1" x14ac:dyDescent="0.2">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row>
    <row r="612" spans="1:29" ht="11.25" customHeight="1" x14ac:dyDescent="0.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row>
    <row r="613" spans="1:29" ht="11.25" customHeight="1" x14ac:dyDescent="0.2">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row>
    <row r="614" spans="1:29" ht="11.25" customHeight="1" x14ac:dyDescent="0.2">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row>
    <row r="615" spans="1:29" ht="11.25" customHeight="1" x14ac:dyDescent="0.2">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row>
    <row r="616" spans="1:29" ht="11.25" customHeight="1" x14ac:dyDescent="0.2">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row>
    <row r="617" spans="1:29" ht="11.25" customHeight="1" x14ac:dyDescent="0.2">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row>
    <row r="618" spans="1:29" ht="11.25" customHeight="1" x14ac:dyDescent="0.2">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row>
    <row r="619" spans="1:29" ht="11.25" customHeight="1" x14ac:dyDescent="0.2">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row>
    <row r="620" spans="1:29" ht="11.25" customHeight="1" x14ac:dyDescent="0.2">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row>
    <row r="621" spans="1:29" ht="11.25" customHeight="1" x14ac:dyDescent="0.2">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row>
    <row r="622" spans="1:29" ht="11.25" customHeight="1" x14ac:dyDescent="0.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row>
    <row r="623" spans="1:29" ht="11.25" customHeight="1" x14ac:dyDescent="0.2">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row>
    <row r="624" spans="1:29" ht="11.25" customHeight="1" x14ac:dyDescent="0.2">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row>
    <row r="625" spans="1:29" ht="11.25" customHeight="1" x14ac:dyDescent="0.2">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row>
    <row r="626" spans="1:29" ht="11.25" customHeight="1" x14ac:dyDescent="0.2">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row>
    <row r="627" spans="1:29" ht="11.25" customHeight="1" x14ac:dyDescent="0.2">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row>
    <row r="628" spans="1:29" ht="11.25" customHeight="1" x14ac:dyDescent="0.2">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row>
    <row r="629" spans="1:29" ht="11.25" customHeight="1" x14ac:dyDescent="0.2">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row>
    <row r="630" spans="1:29" ht="11.25" customHeight="1" x14ac:dyDescent="0.2">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row>
    <row r="631" spans="1:29" ht="11.25" customHeight="1" x14ac:dyDescent="0.2">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row>
    <row r="632" spans="1:29" ht="11.25" customHeight="1" x14ac:dyDescent="0.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row>
    <row r="633" spans="1:29" ht="11.25" customHeight="1" x14ac:dyDescent="0.2">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row>
    <row r="634" spans="1:29" ht="11.25" customHeight="1" x14ac:dyDescent="0.2">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row>
    <row r="635" spans="1:29" ht="11.25" customHeight="1" x14ac:dyDescent="0.2">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row>
    <row r="636" spans="1:29" ht="11.25" customHeight="1" x14ac:dyDescent="0.2">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row>
    <row r="637" spans="1:29" ht="11.25" customHeight="1" x14ac:dyDescent="0.2">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row>
    <row r="638" spans="1:29" ht="11.25" customHeight="1" x14ac:dyDescent="0.2">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row>
    <row r="639" spans="1:29" ht="11.25" customHeight="1" x14ac:dyDescent="0.2">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row>
    <row r="640" spans="1:29" ht="11.25" customHeight="1" x14ac:dyDescent="0.2">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row>
    <row r="641" spans="1:29" ht="11.25" customHeight="1" x14ac:dyDescent="0.2">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row>
    <row r="642" spans="1:29" ht="11.25" customHeight="1" x14ac:dyDescent="0.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row>
    <row r="643" spans="1:29" ht="11.25" customHeight="1" x14ac:dyDescent="0.2">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row>
    <row r="644" spans="1:29" ht="11.25" customHeight="1" x14ac:dyDescent="0.2">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row>
    <row r="645" spans="1:29" ht="11.25" customHeight="1" x14ac:dyDescent="0.2">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row>
    <row r="646" spans="1:29" ht="11.25" customHeight="1" x14ac:dyDescent="0.2">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row>
    <row r="647" spans="1:29" ht="11.25" customHeight="1" x14ac:dyDescent="0.2">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row>
    <row r="648" spans="1:29" ht="11.25" customHeight="1" x14ac:dyDescent="0.2">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row>
    <row r="649" spans="1:29" ht="11.25" customHeight="1" x14ac:dyDescent="0.2">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row>
    <row r="650" spans="1:29" ht="11.25" customHeight="1" x14ac:dyDescent="0.2">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row>
    <row r="651" spans="1:29" ht="11.25" customHeight="1" x14ac:dyDescent="0.2">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row>
    <row r="652" spans="1:29" ht="11.25" customHeight="1" x14ac:dyDescent="0.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row>
    <row r="653" spans="1:29" ht="11.25" customHeight="1" x14ac:dyDescent="0.2">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row>
    <row r="654" spans="1:29" ht="11.25" customHeight="1" x14ac:dyDescent="0.2">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row>
    <row r="655" spans="1:29" ht="11.25" customHeight="1" x14ac:dyDescent="0.2">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row>
    <row r="656" spans="1:29" ht="11.25" customHeight="1" x14ac:dyDescent="0.2">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row>
    <row r="657" spans="1:29" ht="11.25" customHeight="1" x14ac:dyDescent="0.2">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row>
    <row r="658" spans="1:29" ht="11.25" customHeight="1" x14ac:dyDescent="0.2">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row>
    <row r="659" spans="1:29" ht="11.25" customHeight="1" x14ac:dyDescent="0.2">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row>
    <row r="660" spans="1:29" ht="11.25" customHeight="1" x14ac:dyDescent="0.2">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row>
    <row r="661" spans="1:29" ht="11.25" customHeight="1" x14ac:dyDescent="0.2">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row>
    <row r="662" spans="1:29" ht="11.25" customHeight="1" x14ac:dyDescent="0.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row>
    <row r="663" spans="1:29" ht="11.25" customHeight="1" x14ac:dyDescent="0.2">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row>
    <row r="664" spans="1:29" ht="11.25" customHeight="1" x14ac:dyDescent="0.2">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row>
    <row r="665" spans="1:29" ht="11.25" customHeight="1" x14ac:dyDescent="0.2">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row>
    <row r="666" spans="1:29" ht="11.25" customHeight="1" x14ac:dyDescent="0.2">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row>
    <row r="667" spans="1:29" ht="11.25" customHeight="1" x14ac:dyDescent="0.2">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row>
    <row r="668" spans="1:29" ht="11.25" customHeight="1" x14ac:dyDescent="0.2">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row>
    <row r="669" spans="1:29" ht="11.25" customHeight="1" x14ac:dyDescent="0.2">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row>
    <row r="670" spans="1:29" ht="11.25" customHeight="1" x14ac:dyDescent="0.2">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row>
    <row r="671" spans="1:29" ht="11.25" customHeight="1" x14ac:dyDescent="0.2">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row>
    <row r="672" spans="1:29" ht="11.25" customHeight="1" x14ac:dyDescent="0.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row>
    <row r="673" spans="1:29" ht="11.25" customHeight="1" x14ac:dyDescent="0.2">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row>
    <row r="674" spans="1:29" ht="11.25" customHeight="1" x14ac:dyDescent="0.2">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row>
    <row r="675" spans="1:29" ht="11.25" customHeight="1" x14ac:dyDescent="0.2">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row>
    <row r="676" spans="1:29" ht="11.25" customHeight="1" x14ac:dyDescent="0.2">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row>
    <row r="677" spans="1:29" ht="11.25" customHeight="1" x14ac:dyDescent="0.2">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row>
    <row r="678" spans="1:29" ht="11.25" customHeight="1" x14ac:dyDescent="0.2">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row>
    <row r="679" spans="1:29" ht="11.25" customHeight="1" x14ac:dyDescent="0.2">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row>
    <row r="680" spans="1:29" ht="11.25" customHeight="1" x14ac:dyDescent="0.2">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row>
    <row r="681" spans="1:29" ht="11.25" customHeight="1" x14ac:dyDescent="0.2">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row>
    <row r="682" spans="1:29" ht="11.25" customHeight="1" x14ac:dyDescent="0.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row>
    <row r="683" spans="1:29" ht="11.25" customHeight="1" x14ac:dyDescent="0.2">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row>
    <row r="684" spans="1:29" ht="11.25" customHeight="1" x14ac:dyDescent="0.2">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row>
    <row r="685" spans="1:29" ht="11.25" customHeight="1" x14ac:dyDescent="0.2">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row>
    <row r="686" spans="1:29" ht="11.25" customHeight="1" x14ac:dyDescent="0.2">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row>
    <row r="687" spans="1:29" ht="11.25" customHeight="1" x14ac:dyDescent="0.2">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row>
    <row r="688" spans="1:29" ht="11.25" customHeight="1" x14ac:dyDescent="0.2">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row>
    <row r="689" spans="1:29" ht="11.25" customHeight="1" x14ac:dyDescent="0.2">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row>
    <row r="690" spans="1:29" ht="11.25" customHeight="1" x14ac:dyDescent="0.2">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row>
    <row r="691" spans="1:29" ht="11.25" customHeight="1" x14ac:dyDescent="0.2">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row>
    <row r="692" spans="1:29" ht="11.25" customHeight="1" x14ac:dyDescent="0.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row>
    <row r="693" spans="1:29" ht="11.25" customHeight="1" x14ac:dyDescent="0.2">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row>
    <row r="694" spans="1:29" ht="11.25" customHeight="1" x14ac:dyDescent="0.2">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row>
    <row r="695" spans="1:29" ht="11.25" customHeight="1" x14ac:dyDescent="0.2">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row>
    <row r="696" spans="1:29" ht="11.25" customHeight="1" x14ac:dyDescent="0.2">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row>
    <row r="697" spans="1:29" ht="11.25" customHeight="1" x14ac:dyDescent="0.2">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row>
    <row r="698" spans="1:29" ht="11.25" customHeight="1" x14ac:dyDescent="0.2">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row>
    <row r="699" spans="1:29" ht="11.25" customHeight="1" x14ac:dyDescent="0.2">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row>
    <row r="700" spans="1:29" ht="11.25" customHeight="1" x14ac:dyDescent="0.2">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row>
    <row r="701" spans="1:29" ht="11.25" customHeight="1" x14ac:dyDescent="0.2">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row>
    <row r="702" spans="1:29" ht="11.25" customHeight="1" x14ac:dyDescent="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row>
    <row r="703" spans="1:29" ht="11.25" customHeight="1" x14ac:dyDescent="0.2">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row>
    <row r="704" spans="1:29" ht="11.25" customHeight="1" x14ac:dyDescent="0.2">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row>
    <row r="705" spans="1:29" ht="11.25" customHeight="1" x14ac:dyDescent="0.2">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row>
    <row r="706" spans="1:29" ht="11.25" customHeight="1" x14ac:dyDescent="0.2">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row>
    <row r="707" spans="1:29" ht="11.25" customHeight="1" x14ac:dyDescent="0.2">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row>
    <row r="708" spans="1:29" ht="11.25" customHeight="1" x14ac:dyDescent="0.2">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row>
    <row r="709" spans="1:29" ht="11.25" customHeight="1" x14ac:dyDescent="0.2">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row>
    <row r="710" spans="1:29" ht="11.25" customHeight="1" x14ac:dyDescent="0.2">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row>
    <row r="711" spans="1:29" ht="11.25" customHeight="1" x14ac:dyDescent="0.2">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row>
    <row r="712" spans="1:29" ht="11.25" customHeight="1" x14ac:dyDescent="0.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row>
    <row r="713" spans="1:29" ht="11.25" customHeight="1" x14ac:dyDescent="0.2">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row>
    <row r="714" spans="1:29" ht="11.25" customHeight="1" x14ac:dyDescent="0.2">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row>
    <row r="715" spans="1:29" ht="11.25" customHeight="1" x14ac:dyDescent="0.2">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row>
    <row r="716" spans="1:29" ht="11.25" customHeight="1" x14ac:dyDescent="0.2">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row>
    <row r="717" spans="1:29" ht="11.25" customHeight="1" x14ac:dyDescent="0.2">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row>
    <row r="718" spans="1:29" ht="11.25" customHeight="1" x14ac:dyDescent="0.2">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row>
    <row r="719" spans="1:29" ht="11.25" customHeight="1" x14ac:dyDescent="0.2">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row>
    <row r="720" spans="1:29" ht="11.25" customHeight="1" x14ac:dyDescent="0.2">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row>
    <row r="721" spans="1:29" ht="11.25" customHeight="1" x14ac:dyDescent="0.2">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row>
    <row r="722" spans="1:29" ht="11.25" customHeight="1" x14ac:dyDescent="0.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row>
    <row r="723" spans="1:29" ht="11.25" customHeight="1" x14ac:dyDescent="0.2">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row>
    <row r="724" spans="1:29" ht="11.25" customHeight="1" x14ac:dyDescent="0.2">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row>
    <row r="725" spans="1:29" ht="11.25" customHeight="1" x14ac:dyDescent="0.2">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row>
    <row r="726" spans="1:29" ht="11.25" customHeight="1" x14ac:dyDescent="0.2">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row>
    <row r="727" spans="1:29" ht="11.25" customHeight="1" x14ac:dyDescent="0.2">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row>
    <row r="728" spans="1:29" ht="11.25" customHeight="1" x14ac:dyDescent="0.2">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row>
    <row r="729" spans="1:29" ht="11.25" customHeight="1" x14ac:dyDescent="0.2">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row>
    <row r="730" spans="1:29" ht="11.25" customHeight="1" x14ac:dyDescent="0.2">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row>
    <row r="731" spans="1:29" ht="11.25" customHeight="1" x14ac:dyDescent="0.2">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row>
    <row r="732" spans="1:29" ht="11.25" customHeight="1" x14ac:dyDescent="0.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row>
    <row r="733" spans="1:29" ht="11.25" customHeight="1" x14ac:dyDescent="0.2">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row>
    <row r="734" spans="1:29" ht="11.25" customHeight="1" x14ac:dyDescent="0.2">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row>
    <row r="735" spans="1:29" ht="11.25" customHeight="1" x14ac:dyDescent="0.2">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row>
    <row r="736" spans="1:29" ht="11.25" customHeight="1" x14ac:dyDescent="0.2">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row>
    <row r="737" spans="1:29" ht="11.25" customHeight="1" x14ac:dyDescent="0.2">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row>
    <row r="738" spans="1:29" ht="11.25" customHeight="1" x14ac:dyDescent="0.2">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row>
    <row r="739" spans="1:29" ht="11.25" customHeight="1" x14ac:dyDescent="0.2">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row>
    <row r="740" spans="1:29" ht="11.25" customHeight="1" x14ac:dyDescent="0.2">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row>
    <row r="741" spans="1:29" ht="11.25" customHeight="1" x14ac:dyDescent="0.2">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row>
    <row r="742" spans="1:29" ht="11.25" customHeight="1" x14ac:dyDescent="0.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row>
    <row r="743" spans="1:29" ht="11.25" customHeight="1" x14ac:dyDescent="0.2">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row>
    <row r="744" spans="1:29" ht="11.25" customHeight="1" x14ac:dyDescent="0.2">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row>
    <row r="745" spans="1:29" ht="11.25" customHeight="1" x14ac:dyDescent="0.2">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row>
    <row r="746" spans="1:29" ht="11.25" customHeight="1" x14ac:dyDescent="0.2">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row>
    <row r="747" spans="1:29" ht="11.25" customHeight="1" x14ac:dyDescent="0.2">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row>
    <row r="748" spans="1:29" ht="11.25" customHeight="1" x14ac:dyDescent="0.2">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row>
    <row r="749" spans="1:29" ht="11.25" customHeight="1" x14ac:dyDescent="0.2">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row>
    <row r="750" spans="1:29" ht="11.25" customHeight="1" x14ac:dyDescent="0.2">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row>
    <row r="751" spans="1:29" ht="11.25" customHeight="1" x14ac:dyDescent="0.2">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row>
    <row r="752" spans="1:29" ht="11.25" customHeight="1" x14ac:dyDescent="0.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row>
    <row r="753" spans="1:29" ht="11.25" customHeight="1" x14ac:dyDescent="0.2">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row>
    <row r="754" spans="1:29" ht="11.25" customHeight="1" x14ac:dyDescent="0.2">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row>
    <row r="755" spans="1:29" ht="11.25" customHeight="1" x14ac:dyDescent="0.2">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row>
    <row r="756" spans="1:29" ht="11.25" customHeight="1" x14ac:dyDescent="0.2">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row>
    <row r="757" spans="1:29" ht="11.25" customHeight="1" x14ac:dyDescent="0.2">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row>
    <row r="758" spans="1:29" ht="11.25" customHeight="1" x14ac:dyDescent="0.2">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row>
    <row r="759" spans="1:29" ht="11.25" customHeight="1" x14ac:dyDescent="0.2">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row>
    <row r="760" spans="1:29" ht="11.25" customHeight="1" x14ac:dyDescent="0.2">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row>
    <row r="761" spans="1:29" ht="11.25" customHeight="1" x14ac:dyDescent="0.2">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row>
    <row r="762" spans="1:29" ht="11.25" customHeight="1" x14ac:dyDescent="0.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row>
    <row r="763" spans="1:29" ht="11.25" customHeight="1" x14ac:dyDescent="0.2">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row>
    <row r="764" spans="1:29" ht="11.25" customHeight="1" x14ac:dyDescent="0.2">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row>
    <row r="765" spans="1:29" ht="11.25" customHeight="1" x14ac:dyDescent="0.2">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row>
    <row r="766" spans="1:29" ht="11.25" customHeight="1" x14ac:dyDescent="0.2">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row>
    <row r="767" spans="1:29" ht="11.25" customHeight="1" x14ac:dyDescent="0.2">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row>
    <row r="768" spans="1:29" ht="11.25" customHeight="1" x14ac:dyDescent="0.2">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row>
    <row r="769" spans="1:29" ht="11.25" customHeight="1" x14ac:dyDescent="0.2">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row>
    <row r="770" spans="1:29" ht="11.25" customHeight="1" x14ac:dyDescent="0.2">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row>
    <row r="771" spans="1:29" ht="11.25" customHeight="1" x14ac:dyDescent="0.2">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row>
    <row r="772" spans="1:29" ht="11.25" customHeight="1" x14ac:dyDescent="0.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row>
    <row r="773" spans="1:29" ht="11.25" customHeight="1" x14ac:dyDescent="0.2">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row>
    <row r="774" spans="1:29" ht="11.25" customHeight="1" x14ac:dyDescent="0.2">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row>
    <row r="775" spans="1:29" ht="11.25" customHeight="1" x14ac:dyDescent="0.2">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row>
    <row r="776" spans="1:29" ht="11.25" customHeight="1" x14ac:dyDescent="0.2">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row>
    <row r="777" spans="1:29" ht="11.25" customHeight="1" x14ac:dyDescent="0.2">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row>
    <row r="778" spans="1:29" ht="11.25" customHeight="1" x14ac:dyDescent="0.2">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row>
    <row r="779" spans="1:29" ht="11.25" customHeight="1" x14ac:dyDescent="0.2">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row>
    <row r="780" spans="1:29" ht="11.25" customHeight="1" x14ac:dyDescent="0.2">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row>
    <row r="781" spans="1:29" ht="11.25" customHeight="1" x14ac:dyDescent="0.2">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row>
    <row r="782" spans="1:29" ht="11.25" customHeight="1" x14ac:dyDescent="0.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row>
    <row r="783" spans="1:29" ht="11.25" customHeight="1" x14ac:dyDescent="0.2">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row>
    <row r="784" spans="1:29" ht="11.25" customHeight="1" x14ac:dyDescent="0.2">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row>
    <row r="785" spans="1:29" ht="11.25" customHeight="1" x14ac:dyDescent="0.2">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row>
    <row r="786" spans="1:29" ht="11.25" customHeight="1" x14ac:dyDescent="0.2">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row>
    <row r="787" spans="1:29" ht="11.25" customHeight="1" x14ac:dyDescent="0.2">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row>
    <row r="788" spans="1:29" ht="11.25" customHeight="1" x14ac:dyDescent="0.2">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row>
    <row r="789" spans="1:29" ht="11.25" customHeight="1" x14ac:dyDescent="0.2">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row>
    <row r="790" spans="1:29" ht="11.25" customHeight="1" x14ac:dyDescent="0.2">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row>
    <row r="791" spans="1:29" ht="11.25" customHeight="1" x14ac:dyDescent="0.2">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row>
    <row r="792" spans="1:29" ht="11.25" customHeight="1" x14ac:dyDescent="0.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row>
    <row r="793" spans="1:29" ht="11.25" customHeight="1" x14ac:dyDescent="0.2">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row>
    <row r="794" spans="1:29" ht="11.25" customHeight="1" x14ac:dyDescent="0.2">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row>
    <row r="795" spans="1:29" ht="11.25" customHeight="1" x14ac:dyDescent="0.2">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row>
    <row r="796" spans="1:29" ht="11.25" customHeight="1" x14ac:dyDescent="0.2">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row>
    <row r="797" spans="1:29" ht="11.25" customHeight="1" x14ac:dyDescent="0.2">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row>
    <row r="798" spans="1:29" ht="11.25" customHeight="1" x14ac:dyDescent="0.2">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row>
    <row r="799" spans="1:29" ht="11.25" customHeight="1" x14ac:dyDescent="0.2">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row>
    <row r="800" spans="1:29" ht="11.25" customHeight="1" x14ac:dyDescent="0.2">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row>
    <row r="801" spans="1:29" ht="11.25" customHeight="1" x14ac:dyDescent="0.2">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row>
    <row r="802" spans="1:29" ht="11.25" customHeight="1" x14ac:dyDescent="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row>
    <row r="803" spans="1:29" ht="11.25" customHeight="1" x14ac:dyDescent="0.2">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row>
    <row r="804" spans="1:29" ht="11.25" customHeight="1" x14ac:dyDescent="0.2">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row>
    <row r="805" spans="1:29" ht="11.25" customHeight="1" x14ac:dyDescent="0.2">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row>
    <row r="806" spans="1:29" ht="11.25" customHeight="1" x14ac:dyDescent="0.2">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row>
    <row r="807" spans="1:29" ht="11.25" customHeight="1" x14ac:dyDescent="0.2">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row>
    <row r="808" spans="1:29" ht="11.25" customHeight="1" x14ac:dyDescent="0.2">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row>
    <row r="809" spans="1:29" ht="11.25" customHeight="1" x14ac:dyDescent="0.2">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row>
    <row r="810" spans="1:29" ht="11.25" customHeight="1" x14ac:dyDescent="0.2">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row>
    <row r="811" spans="1:29" ht="11.25" customHeight="1" x14ac:dyDescent="0.2">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row>
    <row r="812" spans="1:29" ht="11.25" customHeight="1" x14ac:dyDescent="0.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row>
    <row r="813" spans="1:29" ht="11.25" customHeight="1" x14ac:dyDescent="0.2">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row>
    <row r="814" spans="1:29" ht="11.25" customHeight="1" x14ac:dyDescent="0.2">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row>
    <row r="815" spans="1:29" ht="11.25" customHeight="1" x14ac:dyDescent="0.2">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row>
    <row r="816" spans="1:29" ht="11.25" customHeight="1" x14ac:dyDescent="0.2">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row>
    <row r="817" spans="1:29" ht="11.25" customHeight="1" x14ac:dyDescent="0.2">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row>
    <row r="818" spans="1:29" ht="11.25" customHeight="1" x14ac:dyDescent="0.2">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row>
    <row r="819" spans="1:29" ht="11.25" customHeight="1" x14ac:dyDescent="0.2">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row>
    <row r="820" spans="1:29" ht="11.25" customHeight="1" x14ac:dyDescent="0.2">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row>
    <row r="821" spans="1:29" ht="11.25" customHeight="1" x14ac:dyDescent="0.2">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row>
    <row r="822" spans="1:29" ht="11.25" customHeight="1" x14ac:dyDescent="0.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row>
    <row r="823" spans="1:29" ht="11.25" customHeight="1" x14ac:dyDescent="0.2">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row>
    <row r="824" spans="1:29" ht="11.25" customHeight="1" x14ac:dyDescent="0.2">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row>
    <row r="825" spans="1:29" ht="11.25" customHeight="1" x14ac:dyDescent="0.2">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row>
    <row r="826" spans="1:29" ht="11.25" customHeight="1" x14ac:dyDescent="0.2">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row>
    <row r="827" spans="1:29" ht="11.25" customHeight="1" x14ac:dyDescent="0.2">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row>
    <row r="828" spans="1:29" ht="11.25" customHeight="1" x14ac:dyDescent="0.2">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row>
    <row r="829" spans="1:29" ht="11.25" customHeight="1" x14ac:dyDescent="0.2">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row>
    <row r="830" spans="1:29" ht="11.25" customHeight="1" x14ac:dyDescent="0.2">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row>
    <row r="831" spans="1:29" ht="11.25" customHeight="1" x14ac:dyDescent="0.2">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row>
    <row r="832" spans="1:29" ht="11.25" customHeight="1" x14ac:dyDescent="0.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row>
    <row r="833" spans="1:29" ht="11.25" customHeight="1" x14ac:dyDescent="0.2">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row>
    <row r="834" spans="1:29" ht="11.25" customHeight="1" x14ac:dyDescent="0.2">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row>
    <row r="835" spans="1:29" ht="11.25" customHeight="1" x14ac:dyDescent="0.2">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row>
    <row r="836" spans="1:29" ht="11.25" customHeight="1" x14ac:dyDescent="0.2">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row>
    <row r="837" spans="1:29" ht="11.25" customHeight="1" x14ac:dyDescent="0.2">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row>
    <row r="838" spans="1:29" ht="11.25" customHeight="1" x14ac:dyDescent="0.2">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row>
    <row r="839" spans="1:29" ht="11.25" customHeight="1" x14ac:dyDescent="0.2">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row>
    <row r="840" spans="1:29" ht="11.25" customHeight="1" x14ac:dyDescent="0.2">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row>
    <row r="841" spans="1:29" ht="11.25" customHeight="1" x14ac:dyDescent="0.2">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row>
    <row r="842" spans="1:29" ht="11.25" customHeight="1" x14ac:dyDescent="0.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row>
    <row r="843" spans="1:29" ht="11.25" customHeight="1" x14ac:dyDescent="0.2">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row>
    <row r="844" spans="1:29" ht="11.25" customHeight="1" x14ac:dyDescent="0.2">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row>
    <row r="845" spans="1:29" ht="11.25" customHeight="1" x14ac:dyDescent="0.2">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row>
    <row r="846" spans="1:29" ht="11.25" customHeight="1" x14ac:dyDescent="0.2">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row>
    <row r="847" spans="1:29" ht="11.25" customHeight="1" x14ac:dyDescent="0.2">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row>
    <row r="848" spans="1:29" ht="11.25" customHeight="1" x14ac:dyDescent="0.2">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row>
    <row r="849" spans="1:29" ht="11.25" customHeight="1" x14ac:dyDescent="0.2">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row>
    <row r="850" spans="1:29" ht="11.25" customHeight="1" x14ac:dyDescent="0.2">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row>
    <row r="851" spans="1:29" ht="11.25" customHeight="1" x14ac:dyDescent="0.2">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row>
    <row r="852" spans="1:29" ht="11.25" customHeight="1" x14ac:dyDescent="0.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row>
    <row r="853" spans="1:29" ht="11.25" customHeight="1" x14ac:dyDescent="0.2">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row>
    <row r="854" spans="1:29" ht="11.25" customHeight="1" x14ac:dyDescent="0.2">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row>
    <row r="855" spans="1:29" ht="11.25" customHeight="1" x14ac:dyDescent="0.2">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row>
    <row r="856" spans="1:29" ht="11.25" customHeight="1" x14ac:dyDescent="0.2">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row>
    <row r="857" spans="1:29" ht="11.25" customHeight="1" x14ac:dyDescent="0.2">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row>
    <row r="858" spans="1:29" ht="11.25" customHeight="1" x14ac:dyDescent="0.2">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row>
    <row r="859" spans="1:29" ht="11.25" customHeight="1" x14ac:dyDescent="0.2">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row>
    <row r="860" spans="1:29" ht="11.25" customHeight="1" x14ac:dyDescent="0.2">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row>
    <row r="861" spans="1:29" ht="11.25" customHeight="1" x14ac:dyDescent="0.2">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row>
    <row r="862" spans="1:29" ht="11.25" customHeight="1" x14ac:dyDescent="0.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row>
    <row r="863" spans="1:29" ht="11.25" customHeight="1" x14ac:dyDescent="0.2">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row>
    <row r="864" spans="1:29" ht="11.25" customHeight="1" x14ac:dyDescent="0.2">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row>
    <row r="865" spans="1:29" ht="11.25" customHeight="1" x14ac:dyDescent="0.2">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row>
    <row r="866" spans="1:29" ht="11.25" customHeight="1" x14ac:dyDescent="0.2">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row>
    <row r="867" spans="1:29" ht="11.25" customHeight="1" x14ac:dyDescent="0.2">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row>
    <row r="868" spans="1:29" ht="11.25" customHeight="1" x14ac:dyDescent="0.2">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row>
    <row r="869" spans="1:29" ht="11.25" customHeight="1" x14ac:dyDescent="0.2">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row>
    <row r="870" spans="1:29" ht="11.25" customHeight="1" x14ac:dyDescent="0.2">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row>
    <row r="871" spans="1:29" ht="11.25" customHeight="1" x14ac:dyDescent="0.2">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row>
    <row r="872" spans="1:29" ht="11.25" customHeight="1" x14ac:dyDescent="0.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row>
    <row r="873" spans="1:29" ht="11.25" customHeight="1" x14ac:dyDescent="0.2">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row>
    <row r="874" spans="1:29" ht="11.25" customHeight="1" x14ac:dyDescent="0.2">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row>
    <row r="875" spans="1:29" ht="11.25" customHeight="1" x14ac:dyDescent="0.2">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row>
    <row r="876" spans="1:29" ht="11.25" customHeight="1" x14ac:dyDescent="0.2">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row>
    <row r="877" spans="1:29" ht="11.25" customHeight="1" x14ac:dyDescent="0.2">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row>
    <row r="878" spans="1:29" ht="11.25" customHeight="1" x14ac:dyDescent="0.2">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row>
    <row r="879" spans="1:29" ht="11.25" customHeight="1" x14ac:dyDescent="0.2">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row>
    <row r="880" spans="1:29" ht="11.25" customHeight="1" x14ac:dyDescent="0.2">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row>
    <row r="881" spans="1:29" ht="11.25" customHeight="1" x14ac:dyDescent="0.2">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row>
    <row r="882" spans="1:29" ht="11.25" customHeight="1" x14ac:dyDescent="0.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row>
    <row r="883" spans="1:29" ht="11.25" customHeight="1" x14ac:dyDescent="0.2">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row>
    <row r="884" spans="1:29" ht="11.25" customHeight="1" x14ac:dyDescent="0.2">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row>
    <row r="885" spans="1:29" ht="11.25" customHeight="1" x14ac:dyDescent="0.2">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row>
    <row r="886" spans="1:29" ht="11.25" customHeight="1" x14ac:dyDescent="0.2">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row>
    <row r="887" spans="1:29" ht="11.25" customHeight="1" x14ac:dyDescent="0.2">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row>
    <row r="888" spans="1:29" ht="11.25" customHeight="1" x14ac:dyDescent="0.2">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row>
    <row r="889" spans="1:29" ht="11.25" customHeight="1" x14ac:dyDescent="0.2">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row>
    <row r="890" spans="1:29" ht="11.25" customHeight="1" x14ac:dyDescent="0.2">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row>
    <row r="891" spans="1:29" ht="11.25" customHeight="1" x14ac:dyDescent="0.2">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row>
    <row r="892" spans="1:29" ht="11.25" customHeight="1" x14ac:dyDescent="0.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row>
    <row r="893" spans="1:29" ht="11.25" customHeight="1" x14ac:dyDescent="0.2">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row>
    <row r="894" spans="1:29" ht="11.25" customHeight="1" x14ac:dyDescent="0.2">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row>
    <row r="895" spans="1:29" ht="11.25" customHeight="1" x14ac:dyDescent="0.2">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row>
    <row r="896" spans="1:29" ht="11.25" customHeight="1" x14ac:dyDescent="0.2">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row>
    <row r="897" spans="1:29" ht="11.25" customHeight="1" x14ac:dyDescent="0.2">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row>
    <row r="898" spans="1:29" ht="11.25" customHeight="1" x14ac:dyDescent="0.2">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row>
    <row r="899" spans="1:29" ht="11.25" customHeight="1" x14ac:dyDescent="0.2">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row>
    <row r="900" spans="1:29" ht="11.25" customHeight="1" x14ac:dyDescent="0.2">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row>
    <row r="901" spans="1:29" ht="11.25" customHeight="1" x14ac:dyDescent="0.2">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row>
    <row r="902" spans="1:29" ht="11.25" customHeight="1" x14ac:dyDescent="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row>
    <row r="903" spans="1:29" ht="11.25" customHeight="1" x14ac:dyDescent="0.2">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row>
    <row r="904" spans="1:29" ht="11.25" customHeight="1" x14ac:dyDescent="0.2">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row>
    <row r="905" spans="1:29" ht="11.25" customHeight="1" x14ac:dyDescent="0.2">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row>
    <row r="906" spans="1:29" ht="11.25" customHeight="1" x14ac:dyDescent="0.2">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row>
    <row r="907" spans="1:29" ht="11.25" customHeight="1" x14ac:dyDescent="0.2">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row>
    <row r="908" spans="1:29" ht="11.25" customHeight="1" x14ac:dyDescent="0.2">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row>
    <row r="909" spans="1:29" ht="11.25" customHeight="1" x14ac:dyDescent="0.2">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row>
    <row r="910" spans="1:29" ht="11.25" customHeight="1" x14ac:dyDescent="0.2">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row>
    <row r="911" spans="1:29" ht="11.25" customHeight="1" x14ac:dyDescent="0.2">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row>
    <row r="912" spans="1:29" ht="11.25" customHeight="1" x14ac:dyDescent="0.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row>
    <row r="913" spans="1:29" ht="11.25" customHeight="1" x14ac:dyDescent="0.2">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row>
    <row r="914" spans="1:29" ht="11.25" customHeight="1" x14ac:dyDescent="0.2">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row>
    <row r="915" spans="1:29" ht="11.25" customHeight="1" x14ac:dyDescent="0.2">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row>
    <row r="916" spans="1:29" ht="11.25" customHeight="1" x14ac:dyDescent="0.2">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row>
    <row r="917" spans="1:29" ht="11.25" customHeight="1" x14ac:dyDescent="0.2">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row>
    <row r="918" spans="1:29" ht="11.25" customHeight="1" x14ac:dyDescent="0.2">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row>
    <row r="919" spans="1:29" ht="11.25" customHeight="1" x14ac:dyDescent="0.2">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row>
    <row r="920" spans="1:29" ht="11.25" customHeight="1" x14ac:dyDescent="0.2">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row>
    <row r="921" spans="1:29" ht="11.25" customHeight="1" x14ac:dyDescent="0.2">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row>
    <row r="922" spans="1:29" ht="11.25" customHeight="1" x14ac:dyDescent="0.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row>
    <row r="923" spans="1:29" ht="11.25" customHeight="1" x14ac:dyDescent="0.2">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row>
    <row r="924" spans="1:29" ht="11.25" customHeight="1" x14ac:dyDescent="0.2">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row>
    <row r="925" spans="1:29" ht="11.25" customHeight="1" x14ac:dyDescent="0.2">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row>
    <row r="926" spans="1:29" ht="11.25" customHeight="1" x14ac:dyDescent="0.2">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row>
    <row r="927" spans="1:29" ht="11.25" customHeight="1" x14ac:dyDescent="0.2">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row>
    <row r="928" spans="1:29" ht="11.25" customHeight="1" x14ac:dyDescent="0.2">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row>
    <row r="929" spans="1:29" ht="11.25" customHeight="1" x14ac:dyDescent="0.2">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row>
    <row r="930" spans="1:29" ht="11.25" customHeight="1" x14ac:dyDescent="0.2">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row>
    <row r="931" spans="1:29" ht="11.25" customHeight="1" x14ac:dyDescent="0.2">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row>
    <row r="932" spans="1:29" ht="11.25" customHeight="1" x14ac:dyDescent="0.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row>
    <row r="933" spans="1:29" ht="11.25" customHeight="1" x14ac:dyDescent="0.2">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row>
    <row r="934" spans="1:29" ht="11.25" customHeight="1" x14ac:dyDescent="0.2">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row>
    <row r="935" spans="1:29" ht="11.25" customHeight="1" x14ac:dyDescent="0.2">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row>
    <row r="936" spans="1:29" ht="11.25" customHeight="1" x14ac:dyDescent="0.2">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row>
    <row r="937" spans="1:29" ht="11.25" customHeight="1" x14ac:dyDescent="0.2">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row>
    <row r="938" spans="1:29" ht="11.25" customHeight="1" x14ac:dyDescent="0.2">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row>
    <row r="939" spans="1:29" ht="11.25" customHeight="1" x14ac:dyDescent="0.2">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row>
    <row r="940" spans="1:29" ht="11.25" customHeight="1" x14ac:dyDescent="0.2">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row>
    <row r="941" spans="1:29" ht="11.25" customHeight="1" x14ac:dyDescent="0.2">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row>
    <row r="942" spans="1:29" ht="11.25" customHeight="1" x14ac:dyDescent="0.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row>
    <row r="943" spans="1:29" ht="11.25" customHeight="1" x14ac:dyDescent="0.2">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row>
    <row r="944" spans="1:29" ht="11.25" customHeight="1" x14ac:dyDescent="0.2">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row>
    <row r="945" spans="1:29" ht="11.25" customHeight="1" x14ac:dyDescent="0.2">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row>
    <row r="946" spans="1:29" ht="11.25" customHeight="1" x14ac:dyDescent="0.2">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row>
    <row r="947" spans="1:29" ht="11.25" customHeight="1" x14ac:dyDescent="0.2">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row>
    <row r="948" spans="1:29" ht="11.25" customHeight="1" x14ac:dyDescent="0.2">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row>
    <row r="949" spans="1:29" ht="11.25" customHeight="1" x14ac:dyDescent="0.2">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row>
    <row r="950" spans="1:29" ht="11.25" customHeight="1" x14ac:dyDescent="0.2">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row>
    <row r="951" spans="1:29" ht="11.25" customHeight="1" x14ac:dyDescent="0.2">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row>
    <row r="952" spans="1:29" ht="11.25" customHeight="1" x14ac:dyDescent="0.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row>
    <row r="953" spans="1:29" ht="11.25" customHeight="1" x14ac:dyDescent="0.2">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row>
    <row r="954" spans="1:29" ht="11.25" customHeight="1" x14ac:dyDescent="0.2">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row>
    <row r="955" spans="1:29" ht="11.25" customHeight="1" x14ac:dyDescent="0.2">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row>
    <row r="956" spans="1:29" ht="11.25" customHeight="1" x14ac:dyDescent="0.2">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row>
    <row r="957" spans="1:29" ht="11.25" customHeight="1" x14ac:dyDescent="0.2">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row>
    <row r="958" spans="1:29" ht="11.25" customHeight="1" x14ac:dyDescent="0.2">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row>
    <row r="959" spans="1:29" ht="11.25" customHeight="1" x14ac:dyDescent="0.2">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row>
    <row r="960" spans="1:29" ht="11.25" customHeight="1" x14ac:dyDescent="0.2">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row>
    <row r="961" spans="1:29" ht="11.25" customHeight="1" x14ac:dyDescent="0.2">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row>
    <row r="962" spans="1:29" ht="11.25" customHeight="1" x14ac:dyDescent="0.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row>
    <row r="963" spans="1:29" ht="11.25" customHeight="1" x14ac:dyDescent="0.2">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row>
    <row r="964" spans="1:29" ht="11.25" customHeight="1" x14ac:dyDescent="0.2">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row>
    <row r="965" spans="1:29" ht="11.25" customHeight="1" x14ac:dyDescent="0.2">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row>
    <row r="966" spans="1:29" ht="11.25" customHeight="1" x14ac:dyDescent="0.2">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row>
    <row r="967" spans="1:29" ht="11.25" customHeight="1" x14ac:dyDescent="0.2">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row>
    <row r="968" spans="1:29" ht="11.25" customHeight="1" x14ac:dyDescent="0.2">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row>
    <row r="969" spans="1:29" ht="11.25" customHeight="1" x14ac:dyDescent="0.2">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row>
    <row r="970" spans="1:29" ht="11.25" customHeight="1" x14ac:dyDescent="0.2">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row>
    <row r="971" spans="1:29" ht="11.25" customHeight="1" x14ac:dyDescent="0.2">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row>
    <row r="972" spans="1:29" ht="11.25" customHeight="1" x14ac:dyDescent="0.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row>
    <row r="973" spans="1:29" ht="11.25" customHeight="1" x14ac:dyDescent="0.2">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row>
    <row r="974" spans="1:29" ht="11.25" customHeight="1" x14ac:dyDescent="0.2">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row>
    <row r="975" spans="1:29" ht="11.25" customHeight="1" x14ac:dyDescent="0.2">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row>
    <row r="976" spans="1:29" ht="11.25" customHeight="1" x14ac:dyDescent="0.2">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row>
    <row r="977" spans="1:29" ht="11.25" customHeight="1" x14ac:dyDescent="0.2">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row>
    <row r="978" spans="1:29" ht="11.25" customHeight="1" x14ac:dyDescent="0.2">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row>
    <row r="979" spans="1:29" ht="11.25" customHeight="1" x14ac:dyDescent="0.2">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row>
    <row r="980" spans="1:29" ht="11.25" customHeight="1" x14ac:dyDescent="0.2">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row>
    <row r="981" spans="1:29" ht="11.25" customHeight="1" x14ac:dyDescent="0.2">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row>
    <row r="982" spans="1:29" ht="11.25" customHeight="1" x14ac:dyDescent="0.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row>
    <row r="983" spans="1:29" ht="11.25" customHeight="1" x14ac:dyDescent="0.2">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row>
    <row r="984" spans="1:29" ht="11.25" customHeight="1" x14ac:dyDescent="0.2">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row>
    <row r="985" spans="1:29" ht="11.25" customHeight="1" x14ac:dyDescent="0.2">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row>
    <row r="986" spans="1:29" ht="11.25" customHeight="1" x14ac:dyDescent="0.2">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row>
    <row r="987" spans="1:29" ht="11.25" customHeight="1" x14ac:dyDescent="0.2">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row>
    <row r="988" spans="1:29" ht="11.25" customHeight="1" x14ac:dyDescent="0.2">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row>
    <row r="989" spans="1:29" ht="11.25" customHeight="1" x14ac:dyDescent="0.2">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row>
    <row r="990" spans="1:29" ht="11.25" customHeight="1" x14ac:dyDescent="0.2">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row>
    <row r="991" spans="1:29" ht="11.25" customHeight="1" x14ac:dyDescent="0.2">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row>
    <row r="992" spans="1:29" ht="11.25" customHeight="1" x14ac:dyDescent="0.2">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row>
    <row r="993" spans="1:29" ht="11.25" customHeight="1" x14ac:dyDescent="0.2">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row>
    <row r="994" spans="1:29" ht="11.25" customHeight="1" x14ac:dyDescent="0.2">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row>
    <row r="995" spans="1:29" ht="11.25" customHeight="1" x14ac:dyDescent="0.2">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row>
    <row r="996" spans="1:29" ht="11.25" customHeight="1" x14ac:dyDescent="0.2">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row>
    <row r="997" spans="1:29" ht="11.25" customHeight="1" x14ac:dyDescent="0.2">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row>
    <row r="998" spans="1:29" ht="11.25" customHeight="1" x14ac:dyDescent="0.2">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row>
    <row r="999" spans="1:29" ht="11.25" customHeight="1" x14ac:dyDescent="0.2">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row>
    <row r="1000" spans="1:29" ht="11.25" customHeight="1" x14ac:dyDescent="0.2">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row>
  </sheetData>
  <mergeCells count="4">
    <mergeCell ref="B4:C4"/>
    <mergeCell ref="C23:E23"/>
    <mergeCell ref="I23:K23"/>
    <mergeCell ref="M23:O23"/>
  </mergeCells>
  <pageMargins left="0.7" right="0.7" top="0.75" bottom="0.75" header="0" footer="0"/>
  <pageSetup orientation="landscape"/>
  <legacy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H1001"/>
  <sheetViews>
    <sheetView showGridLines="0" workbookViewId="0"/>
  </sheetViews>
  <sheetFormatPr defaultColWidth="16.83203125" defaultRowHeight="15" customHeight="1" x14ac:dyDescent="0.2"/>
  <cols>
    <col min="1" max="1" width="3.83203125" style="869" customWidth="1"/>
    <col min="2" max="2" width="33.6640625" style="869" customWidth="1"/>
    <col min="3" max="3" width="2.33203125" style="869" customWidth="1"/>
    <col min="4" max="4" width="20.83203125" style="869" customWidth="1"/>
    <col min="5" max="5" width="2.33203125" style="869" customWidth="1"/>
    <col min="6" max="6" width="17.83203125" style="869" customWidth="1"/>
    <col min="7" max="7" width="2.33203125" style="869" customWidth="1"/>
    <col min="8" max="8" width="21" style="869" customWidth="1"/>
    <col min="9" max="9" width="2.33203125" style="869" customWidth="1"/>
    <col min="10" max="10" width="21.83203125" style="869" customWidth="1"/>
    <col min="11" max="11" width="2.5" style="869" customWidth="1"/>
    <col min="12" max="12" width="17.83203125" style="869" customWidth="1"/>
    <col min="13" max="13" width="2.5" style="869" customWidth="1"/>
    <col min="14" max="14" width="18.6640625" style="869" customWidth="1"/>
    <col min="15" max="15" width="3" style="869" customWidth="1"/>
    <col min="16" max="16" width="18.33203125" style="869" customWidth="1"/>
    <col min="17" max="17" width="2.5" style="869" customWidth="1"/>
    <col min="18" max="18" width="17.33203125" style="869" customWidth="1"/>
    <col min="19" max="19" width="6.83203125" style="869" customWidth="1"/>
    <col min="20" max="20" width="16.33203125" style="869" customWidth="1"/>
    <col min="21" max="21" width="3.5" style="869" customWidth="1"/>
    <col min="22" max="22" width="20.83203125" style="869" customWidth="1"/>
    <col min="23" max="23" width="3.5" style="869" customWidth="1"/>
    <col min="24" max="24" width="18.6640625" style="869" customWidth="1"/>
    <col min="25" max="25" width="2.33203125" style="869" customWidth="1"/>
    <col min="26" max="26" width="15" style="869" customWidth="1"/>
    <col min="27" max="27" width="2.6640625" style="869" customWidth="1"/>
    <col min="28" max="28" width="15.1640625" style="869" customWidth="1"/>
    <col min="29" max="29" width="2.5" style="869" customWidth="1"/>
    <col min="30" max="30" width="11.5" style="869" customWidth="1"/>
    <col min="31" max="31" width="16.33203125" style="869" customWidth="1"/>
    <col min="32" max="16384" width="16.83203125" style="869"/>
  </cols>
  <sheetData>
    <row r="1" spans="1:34" ht="12.75" x14ac:dyDescent="0.2">
      <c r="A1" s="885"/>
      <c r="B1" s="885"/>
      <c r="C1" s="885"/>
      <c r="D1" s="885"/>
      <c r="E1" s="885"/>
      <c r="F1" s="885"/>
      <c r="G1" s="885"/>
      <c r="H1" s="885"/>
      <c r="I1" s="885"/>
      <c r="J1" s="885"/>
      <c r="K1" s="885"/>
      <c r="L1" s="885"/>
      <c r="M1" s="885"/>
      <c r="N1" s="885"/>
      <c r="O1" s="885"/>
      <c r="P1" s="885"/>
      <c r="Q1" s="885"/>
      <c r="R1" s="885"/>
      <c r="S1" s="885"/>
      <c r="T1" s="885"/>
      <c r="U1" s="885"/>
      <c r="V1" s="885"/>
      <c r="W1" s="885"/>
      <c r="X1" s="885"/>
      <c r="Y1" s="885"/>
      <c r="Z1" s="885"/>
      <c r="AA1" s="885"/>
      <c r="AB1" s="885"/>
      <c r="AC1" s="885"/>
    </row>
    <row r="2" spans="1:34" ht="15.75" x14ac:dyDescent="0.25">
      <c r="A2" s="885"/>
      <c r="B2" s="1022" t="s">
        <v>1658</v>
      </c>
      <c r="C2" s="1892"/>
      <c r="D2" s="1892"/>
      <c r="E2" s="1892"/>
      <c r="F2" s="1892"/>
      <c r="G2" s="873"/>
      <c r="H2" s="873"/>
      <c r="I2" s="885"/>
      <c r="J2" s="885"/>
      <c r="K2" s="885"/>
      <c r="L2" s="885"/>
      <c r="M2" s="885"/>
      <c r="N2" s="885"/>
      <c r="O2" s="885"/>
      <c r="P2" s="885"/>
      <c r="Q2" s="885"/>
      <c r="R2" s="886"/>
      <c r="S2" s="885"/>
      <c r="T2" s="885"/>
      <c r="U2" s="885"/>
      <c r="V2" s="885"/>
      <c r="W2" s="885"/>
      <c r="X2" s="885"/>
      <c r="Y2" s="885"/>
      <c r="Z2" s="885"/>
      <c r="AA2" s="885"/>
      <c r="AB2" s="885"/>
      <c r="AC2" s="885"/>
    </row>
    <row r="3" spans="1:34" ht="104.25" customHeight="1" x14ac:dyDescent="0.2">
      <c r="A3" s="885"/>
      <c r="B3" s="885"/>
      <c r="C3" s="885"/>
      <c r="D3" s="885"/>
      <c r="E3" s="885"/>
      <c r="F3" s="885"/>
      <c r="G3" s="885"/>
      <c r="H3" s="885"/>
      <c r="I3" s="885"/>
      <c r="J3" s="885"/>
      <c r="K3" s="885"/>
      <c r="L3" s="885"/>
      <c r="M3" s="885"/>
      <c r="N3" s="885"/>
      <c r="O3" s="885"/>
      <c r="P3" s="885"/>
      <c r="Q3" s="885"/>
      <c r="R3" s="885"/>
      <c r="S3" s="885"/>
      <c r="T3" s="885"/>
      <c r="U3" s="885"/>
      <c r="V3" s="885"/>
      <c r="W3" s="885"/>
      <c r="X3" s="885"/>
      <c r="Y3" s="885"/>
      <c r="Z3" s="885"/>
      <c r="AA3" s="885"/>
      <c r="AB3" s="885"/>
      <c r="AC3" s="885"/>
    </row>
    <row r="4" spans="1:34" ht="12.75" x14ac:dyDescent="0.2">
      <c r="A4" s="885"/>
      <c r="B4" s="1893"/>
      <c r="C4" s="1894"/>
      <c r="D4" s="1894"/>
      <c r="E4" s="1318"/>
      <c r="F4" s="1895" t="s">
        <v>17</v>
      </c>
      <c r="G4" s="1318"/>
      <c r="H4" s="1896" t="s">
        <v>1659</v>
      </c>
      <c r="I4" s="1897"/>
      <c r="J4" s="1898" t="s">
        <v>1660</v>
      </c>
      <c r="K4" s="1893"/>
      <c r="L4" s="1893"/>
      <c r="M4" s="873"/>
      <c r="N4" s="873"/>
      <c r="O4" s="873"/>
      <c r="P4" s="873"/>
      <c r="Q4" s="873"/>
      <c r="R4" s="873"/>
      <c r="S4" s="873"/>
      <c r="T4" s="873"/>
      <c r="U4" s="873"/>
      <c r="V4" s="873"/>
      <c r="W4" s="873"/>
      <c r="X4" s="873"/>
      <c r="Y4" s="873"/>
      <c r="Z4" s="873"/>
      <c r="AA4" s="873"/>
      <c r="AB4" s="873"/>
      <c r="AC4" s="885"/>
    </row>
    <row r="5" spans="1:34" ht="15.75" x14ac:dyDescent="0.2">
      <c r="A5" s="885"/>
      <c r="B5" s="1899" t="s">
        <v>1661</v>
      </c>
      <c r="K5" s="1893"/>
      <c r="L5" s="1893"/>
      <c r="M5" s="873"/>
      <c r="N5" s="873"/>
      <c r="O5" s="873"/>
      <c r="P5" s="873"/>
      <c r="Q5" s="873"/>
      <c r="R5" s="873"/>
      <c r="S5" s="873"/>
      <c r="T5" s="873"/>
      <c r="U5" s="873"/>
      <c r="V5" s="873"/>
      <c r="W5" s="873"/>
      <c r="X5" s="873"/>
      <c r="Y5" s="873"/>
      <c r="Z5" s="873"/>
      <c r="AA5" s="873"/>
      <c r="AB5" s="873"/>
      <c r="AC5" s="885"/>
    </row>
    <row r="6" spans="1:34" ht="12.75" x14ac:dyDescent="0.2">
      <c r="A6" s="885"/>
      <c r="B6" s="1893"/>
      <c r="C6" s="1893"/>
      <c r="D6" s="1893"/>
      <c r="E6" s="1893"/>
      <c r="F6" s="1893"/>
      <c r="G6" s="1893"/>
      <c r="H6" s="1893"/>
      <c r="I6" s="1893"/>
      <c r="J6" s="1893"/>
      <c r="K6" s="1893"/>
      <c r="L6" s="1893"/>
      <c r="M6" s="873"/>
      <c r="N6" s="873"/>
      <c r="O6" s="873"/>
      <c r="P6" s="873"/>
      <c r="Q6" s="873"/>
      <c r="R6" s="873"/>
      <c r="S6" s="873"/>
      <c r="T6" s="873"/>
      <c r="U6" s="873"/>
      <c r="V6" s="873"/>
      <c r="W6" s="873"/>
      <c r="X6" s="873"/>
      <c r="Y6" s="873"/>
      <c r="Z6" s="873"/>
      <c r="AA6" s="873"/>
      <c r="AB6" s="873"/>
      <c r="AC6" s="885"/>
    </row>
    <row r="7" spans="1:34" ht="12.75" x14ac:dyDescent="0.2">
      <c r="A7" s="885"/>
      <c r="B7" s="1900" t="s">
        <v>1662</v>
      </c>
      <c r="C7" s="1901"/>
      <c r="D7" s="1901"/>
      <c r="E7" s="1901"/>
      <c r="F7" s="1901"/>
      <c r="G7" s="1901"/>
      <c r="H7" s="1901"/>
      <c r="I7" s="1901"/>
      <c r="J7" s="1901"/>
      <c r="K7" s="1901"/>
      <c r="L7" s="1902"/>
      <c r="M7" s="1433"/>
      <c r="N7" s="1433"/>
      <c r="O7" s="1433"/>
      <c r="P7" s="1433"/>
      <c r="Q7" s="1433"/>
      <c r="R7" s="1433"/>
      <c r="S7" s="1433"/>
      <c r="T7" s="1434"/>
      <c r="Y7" s="873"/>
      <c r="Z7" s="873"/>
      <c r="AA7" s="873"/>
      <c r="AB7" s="873"/>
      <c r="AC7" s="885"/>
      <c r="AD7" s="2022" t="s">
        <v>1</v>
      </c>
      <c r="AE7" s="2043"/>
      <c r="AF7" s="1903"/>
      <c r="AG7" s="1903"/>
      <c r="AH7" s="1903"/>
    </row>
    <row r="8" spans="1:34" ht="51" x14ac:dyDescent="0.2">
      <c r="A8" s="873"/>
      <c r="B8" s="1904" t="s">
        <v>1664</v>
      </c>
      <c r="C8" s="1905"/>
      <c r="D8" s="1905" t="s">
        <v>1665</v>
      </c>
      <c r="E8" s="1905"/>
      <c r="F8" s="1906" t="s">
        <v>1666</v>
      </c>
      <c r="G8" s="1907"/>
      <c r="H8" s="1906" t="s">
        <v>1929</v>
      </c>
      <c r="I8" s="1908"/>
      <c r="J8" s="1906" t="s">
        <v>1667</v>
      </c>
      <c r="K8" s="1908"/>
      <c r="L8" s="1906" t="s">
        <v>1930</v>
      </c>
      <c r="M8" s="1908"/>
      <c r="N8" s="1906" t="s">
        <v>1931</v>
      </c>
      <c r="O8" s="1908"/>
      <c r="P8" s="1907" t="s">
        <v>1668</v>
      </c>
      <c r="Q8" s="1908"/>
      <c r="R8" s="1906" t="s">
        <v>1932</v>
      </c>
      <c r="S8" s="1907"/>
      <c r="T8" s="1909" t="s">
        <v>1933</v>
      </c>
      <c r="Y8" s="873"/>
      <c r="Z8" s="873"/>
      <c r="AA8" s="873"/>
      <c r="AB8" s="873"/>
      <c r="AC8" s="873"/>
      <c r="AD8" s="894"/>
      <c r="AE8" s="902" t="str">
        <f>Summary!E3</f>
        <v>AR6 100-yr GWP</v>
      </c>
      <c r="AF8" s="1910"/>
      <c r="AG8" s="1910"/>
      <c r="AH8" s="1910"/>
    </row>
    <row r="9" spans="1:34" ht="15" customHeight="1" x14ac:dyDescent="0.2">
      <c r="A9" s="958"/>
      <c r="B9" s="1314" t="s">
        <v>1669</v>
      </c>
      <c r="C9" s="1190"/>
      <c r="D9" s="1911">
        <v>0.200097059939262</v>
      </c>
      <c r="E9" s="1912" t="s">
        <v>1044</v>
      </c>
      <c r="F9" s="1913">
        <v>6180253</v>
      </c>
      <c r="G9" s="1912" t="s">
        <v>1044</v>
      </c>
      <c r="H9" s="906">
        <v>0.09</v>
      </c>
      <c r="I9" s="1912" t="s">
        <v>1044</v>
      </c>
      <c r="J9" s="1185">
        <v>365</v>
      </c>
      <c r="K9" s="1912" t="s">
        <v>1044</v>
      </c>
      <c r="L9" s="1876">
        <v>1E-3</v>
      </c>
      <c r="M9" s="1912" t="s">
        <v>1044</v>
      </c>
      <c r="N9" s="1452">
        <v>0.6</v>
      </c>
      <c r="O9" s="1912" t="s">
        <v>1044</v>
      </c>
      <c r="P9" s="1914">
        <v>0.5</v>
      </c>
      <c r="Q9" s="1915" t="s">
        <v>1045</v>
      </c>
      <c r="R9" s="905">
        <f t="shared" ref="R9:R10" si="0">D9*F9*H9*J9*L9*N9*P9</f>
        <v>12187.19023383582</v>
      </c>
      <c r="S9" s="1916" t="s">
        <v>1045</v>
      </c>
      <c r="T9" s="1917">
        <f t="shared" ref="T9:T10" si="1">R9*$AE$10/1000000</f>
        <v>0.34002260752401936</v>
      </c>
      <c r="Y9" s="873"/>
      <c r="Z9" s="873"/>
      <c r="AA9" s="873"/>
      <c r="AB9" s="873"/>
      <c r="AC9" s="958"/>
      <c r="AD9" s="894" t="str">
        <f>Summary!C4</f>
        <v>CO2</v>
      </c>
      <c r="AE9" s="902">
        <f>Summary!E4</f>
        <v>1</v>
      </c>
      <c r="AF9" s="1910"/>
      <c r="AG9" s="1910"/>
      <c r="AH9" s="1910"/>
    </row>
    <row r="10" spans="1:34" ht="15" customHeight="1" x14ac:dyDescent="0.2">
      <c r="A10" s="958"/>
      <c r="B10" s="1304" t="s">
        <v>1670</v>
      </c>
      <c r="C10" s="1918"/>
      <c r="D10" s="1919">
        <f>1-D9</f>
        <v>0.79990294006073803</v>
      </c>
      <c r="E10" s="1920" t="s">
        <v>1044</v>
      </c>
      <c r="F10" s="1921">
        <v>6180253</v>
      </c>
      <c r="G10" s="1920" t="s">
        <v>1044</v>
      </c>
      <c r="H10" s="1922">
        <v>0.09</v>
      </c>
      <c r="I10" s="1920" t="s">
        <v>1044</v>
      </c>
      <c r="J10" s="1923">
        <v>365</v>
      </c>
      <c r="K10" s="1920" t="s">
        <v>1044</v>
      </c>
      <c r="L10" s="1924">
        <v>1E-3</v>
      </c>
      <c r="M10" s="1920" t="s">
        <v>1044</v>
      </c>
      <c r="N10" s="1925">
        <v>0.6</v>
      </c>
      <c r="O10" s="1920" t="s">
        <v>1044</v>
      </c>
      <c r="P10" s="1926">
        <v>0.05</v>
      </c>
      <c r="Q10" s="1927" t="s">
        <v>1045</v>
      </c>
      <c r="R10" s="911">
        <f t="shared" si="0"/>
        <v>4871.9203081164178</v>
      </c>
      <c r="S10" s="1928" t="s">
        <v>1045</v>
      </c>
      <c r="T10" s="1929">
        <f t="shared" si="1"/>
        <v>0.13592657659644805</v>
      </c>
      <c r="Y10" s="873"/>
      <c r="Z10" s="873"/>
      <c r="AA10" s="873"/>
      <c r="AB10" s="873"/>
      <c r="AC10" s="958"/>
      <c r="AD10" s="894" t="str">
        <f>Summary!C5</f>
        <v>CH4</v>
      </c>
      <c r="AE10" s="902">
        <f>Summary!E5</f>
        <v>27.9</v>
      </c>
      <c r="AF10" s="1910"/>
      <c r="AG10" s="1910"/>
      <c r="AH10" s="1910"/>
    </row>
    <row r="11" spans="1:34" ht="12.75" x14ac:dyDescent="0.2">
      <c r="A11" s="885"/>
      <c r="B11" s="873"/>
      <c r="C11" s="873"/>
      <c r="D11" s="873"/>
      <c r="E11" s="873"/>
      <c r="F11" s="962"/>
      <c r="G11" s="873"/>
      <c r="H11" s="873"/>
      <c r="I11" s="873"/>
      <c r="J11" s="873"/>
      <c r="K11" s="873"/>
      <c r="L11" s="873"/>
      <c r="M11" s="873"/>
      <c r="N11" s="873"/>
      <c r="O11" s="873"/>
      <c r="P11" s="873"/>
      <c r="Q11" s="873"/>
      <c r="R11" s="873"/>
      <c r="S11" s="873"/>
      <c r="T11" s="873"/>
      <c r="U11" s="873"/>
      <c r="V11" s="873"/>
      <c r="W11" s="873"/>
      <c r="X11" s="873"/>
      <c r="Y11" s="873"/>
      <c r="Z11" s="927"/>
      <c r="AA11" s="873"/>
      <c r="AB11" s="873"/>
      <c r="AC11" s="885"/>
      <c r="AD11" s="894" t="str">
        <f>Summary!C6</f>
        <v>N2O</v>
      </c>
      <c r="AE11" s="902">
        <f>Summary!E6</f>
        <v>273</v>
      </c>
      <c r="AF11" s="1910"/>
      <c r="AG11" s="1910"/>
      <c r="AH11" s="1910"/>
    </row>
    <row r="12" spans="1:34" ht="12.75" x14ac:dyDescent="0.2">
      <c r="A12" s="885"/>
      <c r="B12" s="1930" t="s">
        <v>1671</v>
      </c>
      <c r="C12" s="1931"/>
      <c r="D12" s="1433"/>
      <c r="E12" s="1433"/>
      <c r="F12" s="1433"/>
      <c r="G12" s="1433"/>
      <c r="H12" s="1433"/>
      <c r="I12" s="1433"/>
      <c r="J12" s="1433"/>
      <c r="K12" s="1433"/>
      <c r="L12" s="1433"/>
      <c r="M12" s="1433"/>
      <c r="N12" s="1434"/>
      <c r="S12" s="873"/>
      <c r="T12" s="873"/>
      <c r="Y12" s="1932"/>
      <c r="Z12" s="1932"/>
      <c r="AA12" s="1932"/>
      <c r="AB12" s="1932"/>
      <c r="AC12" s="885"/>
    </row>
    <row r="13" spans="1:34" ht="51" x14ac:dyDescent="0.2">
      <c r="A13" s="885"/>
      <c r="B13" s="1904" t="s">
        <v>1664</v>
      </c>
      <c r="C13" s="1905"/>
      <c r="D13" s="1906" t="s">
        <v>1666</v>
      </c>
      <c r="E13" s="1933"/>
      <c r="F13" s="1906" t="s">
        <v>1672</v>
      </c>
      <c r="G13" s="1908"/>
      <c r="H13" s="1906" t="s">
        <v>1934</v>
      </c>
      <c r="I13" s="1908"/>
      <c r="J13" s="1906" t="s">
        <v>1935</v>
      </c>
      <c r="K13" s="1907"/>
      <c r="L13" s="1906" t="s">
        <v>1936</v>
      </c>
      <c r="M13" s="1933"/>
      <c r="N13" s="1909" t="s">
        <v>1937</v>
      </c>
      <c r="S13" s="873"/>
      <c r="T13" s="873"/>
      <c r="Y13" s="1932"/>
      <c r="Z13" s="1932"/>
      <c r="AA13" s="1932"/>
      <c r="AB13" s="1932"/>
      <c r="AC13" s="873"/>
    </row>
    <row r="14" spans="1:34" ht="15" customHeight="1" x14ac:dyDescent="0.2">
      <c r="A14" s="958"/>
      <c r="B14" s="1304" t="s">
        <v>1670</v>
      </c>
      <c r="C14" s="1918"/>
      <c r="D14" s="1934">
        <v>6180253</v>
      </c>
      <c r="E14" s="1920" t="s">
        <v>1044</v>
      </c>
      <c r="F14" s="1935">
        <f>D10</f>
        <v>0.79990294006073803</v>
      </c>
      <c r="G14" s="1920" t="s">
        <v>1044</v>
      </c>
      <c r="H14" s="1936">
        <v>4</v>
      </c>
      <c r="I14" s="1920" t="s">
        <v>1044</v>
      </c>
      <c r="J14" s="1937">
        <v>9.9999999999999995E-7</v>
      </c>
      <c r="K14" s="1927" t="s">
        <v>1045</v>
      </c>
      <c r="L14" s="1938">
        <f>D14*F14*H14*J14</f>
        <v>19.774410180076785</v>
      </c>
      <c r="M14" s="1939" t="s">
        <v>1045</v>
      </c>
      <c r="N14" s="1929">
        <f>L14*$AE$11/1000000</f>
        <v>5.3984139791609627E-3</v>
      </c>
      <c r="S14" s="873"/>
      <c r="T14" s="873"/>
      <c r="Y14" s="1940"/>
      <c r="Z14" s="1940"/>
      <c r="AA14" s="1940"/>
      <c r="AB14" s="1940"/>
      <c r="AC14" s="958"/>
    </row>
    <row r="15" spans="1:34" ht="12.75" x14ac:dyDescent="0.2">
      <c r="A15" s="885"/>
      <c r="B15" s="873"/>
      <c r="C15" s="873"/>
      <c r="D15" s="873"/>
      <c r="E15" s="873"/>
      <c r="F15" s="873"/>
      <c r="G15" s="873"/>
      <c r="H15" s="873"/>
      <c r="I15" s="873"/>
      <c r="J15" s="873"/>
      <c r="K15" s="873"/>
      <c r="L15" s="873"/>
      <c r="M15" s="873"/>
      <c r="N15" s="873"/>
      <c r="O15" s="873"/>
      <c r="P15" s="873"/>
      <c r="Q15" s="873"/>
      <c r="R15" s="873"/>
      <c r="S15" s="873"/>
      <c r="T15" s="873"/>
      <c r="U15" s="873"/>
      <c r="V15" s="873"/>
      <c r="W15" s="873"/>
      <c r="X15" s="873"/>
      <c r="Y15" s="873"/>
      <c r="Z15" s="873"/>
      <c r="AA15" s="873"/>
      <c r="AB15" s="873"/>
      <c r="AC15" s="873"/>
    </row>
    <row r="16" spans="1:34" ht="12.75" x14ac:dyDescent="0.2">
      <c r="A16" s="885"/>
      <c r="B16" s="1930" t="s">
        <v>1673</v>
      </c>
      <c r="C16" s="1931"/>
      <c r="D16" s="1433"/>
      <c r="E16" s="1433"/>
      <c r="F16" s="1433"/>
      <c r="G16" s="1433"/>
      <c r="H16" s="1433"/>
      <c r="I16" s="1433"/>
      <c r="J16" s="1433"/>
      <c r="K16" s="1433"/>
      <c r="L16" s="1433"/>
      <c r="M16" s="1433"/>
      <c r="N16" s="1433"/>
      <c r="O16" s="1433"/>
      <c r="P16" s="1433"/>
      <c r="Q16" s="1433"/>
      <c r="R16" s="1433"/>
      <c r="S16" s="1433"/>
      <c r="T16" s="1433"/>
      <c r="U16" s="1433"/>
      <c r="V16" s="1433"/>
      <c r="W16" s="1433"/>
      <c r="X16" s="1433"/>
      <c r="Y16" s="1433"/>
      <c r="Z16" s="1433"/>
      <c r="AA16" s="1433"/>
      <c r="AB16" s="1434"/>
    </row>
    <row r="17" spans="1:29" ht="51" x14ac:dyDescent="0.2">
      <c r="A17" s="885"/>
      <c r="B17" s="1904" t="s">
        <v>1664</v>
      </c>
      <c r="C17" s="1905"/>
      <c r="D17" s="1906" t="s">
        <v>1666</v>
      </c>
      <c r="E17" s="1933"/>
      <c r="F17" s="1906" t="s">
        <v>1938</v>
      </c>
      <c r="G17" s="1906"/>
      <c r="H17" s="1906" t="s">
        <v>1939</v>
      </c>
      <c r="I17" s="1906"/>
      <c r="J17" s="1906" t="s">
        <v>1674</v>
      </c>
      <c r="K17" s="1906"/>
      <c r="L17" s="1906" t="s">
        <v>1930</v>
      </c>
      <c r="M17" s="1906"/>
      <c r="N17" s="1906" t="s">
        <v>1940</v>
      </c>
      <c r="O17" s="1906"/>
      <c r="P17" s="1906" t="s">
        <v>1941</v>
      </c>
      <c r="Q17" s="1906"/>
      <c r="R17" s="1906" t="s">
        <v>1942</v>
      </c>
      <c r="S17" s="1906"/>
      <c r="T17" s="1906" t="s">
        <v>1675</v>
      </c>
      <c r="U17" s="1906"/>
      <c r="V17" s="1906" t="s">
        <v>1943</v>
      </c>
      <c r="W17" s="1906"/>
      <c r="X17" s="1906" t="s">
        <v>1676</v>
      </c>
      <c r="Y17" s="1906"/>
      <c r="Z17" s="1906" t="s">
        <v>1944</v>
      </c>
      <c r="AA17" s="1906"/>
      <c r="AB17" s="1909" t="s">
        <v>1945</v>
      </c>
    </row>
    <row r="18" spans="1:29" ht="15" customHeight="1" x14ac:dyDescent="0.2">
      <c r="A18" s="958"/>
      <c r="B18" s="1304" t="s">
        <v>1677</v>
      </c>
      <c r="C18" s="1918"/>
      <c r="D18" s="1934">
        <v>6180253</v>
      </c>
      <c r="E18" s="1920" t="s">
        <v>1044</v>
      </c>
      <c r="F18" s="1941">
        <v>35.718865028555399</v>
      </c>
      <c r="G18" s="1920" t="s">
        <v>1044</v>
      </c>
      <c r="H18" s="1926">
        <v>0.16</v>
      </c>
      <c r="I18" s="1920" t="s">
        <v>1044</v>
      </c>
      <c r="J18" s="1922">
        <v>1.75</v>
      </c>
      <c r="K18" s="1920" t="s">
        <v>1044</v>
      </c>
      <c r="L18" s="1924">
        <v>1E-3</v>
      </c>
      <c r="M18" s="1927" t="s">
        <v>1045</v>
      </c>
      <c r="N18" s="911">
        <f>D18*F18*H18*J18*L18</f>
        <v>61810.454369810897</v>
      </c>
      <c r="O18" s="1942" t="s">
        <v>44</v>
      </c>
      <c r="P18" s="1925">
        <f>L14*28/44</f>
        <v>12.583715569139772</v>
      </c>
      <c r="Q18" s="1927" t="s">
        <v>1045</v>
      </c>
      <c r="R18" s="911">
        <f>N18-P18</f>
        <v>61797.870654241757</v>
      </c>
      <c r="S18" s="911" t="s">
        <v>1678</v>
      </c>
      <c r="T18" s="1943">
        <f>58563.19/577051.76</f>
        <v>0.10148689261427779</v>
      </c>
      <c r="U18" s="1920" t="s">
        <v>1680</v>
      </c>
      <c r="V18" s="1944">
        <v>5.0000000000000001E-3</v>
      </c>
      <c r="W18" s="1920" t="s">
        <v>1044</v>
      </c>
      <c r="X18" s="1944">
        <f>44/28</f>
        <v>1.5714285714285714</v>
      </c>
      <c r="Y18" s="1927" t="s">
        <v>1045</v>
      </c>
      <c r="Z18" s="1925">
        <f>R18*(1-T18)*V18*X18</f>
        <v>436.27726050357194</v>
      </c>
      <c r="AA18" s="1945" t="s">
        <v>1045</v>
      </c>
      <c r="AB18" s="1929">
        <f>Z18*$AE$11/1000000</f>
        <v>0.11910369211747514</v>
      </c>
    </row>
    <row r="19" spans="1:29" ht="12.75" x14ac:dyDescent="0.2">
      <c r="A19" s="958"/>
      <c r="B19" s="1238"/>
      <c r="C19" s="1238"/>
      <c r="D19" s="1238"/>
      <c r="E19" s="1238"/>
      <c r="F19" s="1238"/>
      <c r="G19" s="890"/>
      <c r="H19" s="1946"/>
      <c r="I19" s="890"/>
      <c r="J19" s="1947"/>
      <c r="K19" s="890"/>
      <c r="L19" s="966"/>
      <c r="M19" s="890"/>
      <c r="N19" s="1948"/>
      <c r="O19" s="890"/>
      <c r="P19" s="1238"/>
      <c r="Q19" s="1260"/>
      <c r="R19" s="1238"/>
      <c r="S19" s="890"/>
      <c r="T19" s="1238"/>
      <c r="U19" s="1238"/>
      <c r="V19" s="1947"/>
      <c r="W19" s="890"/>
      <c r="X19" s="966"/>
      <c r="Y19" s="890"/>
      <c r="Z19" s="935"/>
      <c r="AA19" s="890"/>
      <c r="AB19" s="1946"/>
      <c r="AC19" s="890"/>
    </row>
    <row r="20" spans="1:29" ht="12.75" x14ac:dyDescent="0.2">
      <c r="A20" s="885"/>
      <c r="B20" s="873"/>
      <c r="C20" s="873"/>
      <c r="D20" s="873"/>
      <c r="E20" s="873"/>
      <c r="F20" s="873"/>
      <c r="G20" s="873"/>
      <c r="H20" s="873"/>
      <c r="I20" s="873"/>
      <c r="J20" s="873"/>
      <c r="K20" s="873"/>
      <c r="L20" s="873"/>
      <c r="M20" s="873"/>
      <c r="O20" s="873"/>
      <c r="Q20" s="873"/>
      <c r="R20" s="873"/>
      <c r="S20" s="873"/>
      <c r="T20" s="873"/>
      <c r="U20" s="873"/>
      <c r="V20" s="873"/>
      <c r="W20" s="873"/>
      <c r="X20" s="873"/>
      <c r="Y20" s="873"/>
      <c r="Z20" s="873"/>
      <c r="AA20" s="873"/>
      <c r="AB20" s="873"/>
      <c r="AC20" s="873"/>
    </row>
    <row r="21" spans="1:29" ht="15.75" x14ac:dyDescent="0.2">
      <c r="A21" s="885"/>
      <c r="B21" s="1899" t="s">
        <v>1681</v>
      </c>
      <c r="C21" s="873"/>
      <c r="D21" s="873"/>
      <c r="E21" s="873"/>
      <c r="F21" s="873"/>
      <c r="G21" s="873"/>
      <c r="H21" s="873"/>
      <c r="I21" s="873"/>
      <c r="J21" s="873"/>
      <c r="K21" s="873"/>
      <c r="L21" s="873"/>
      <c r="M21" s="873"/>
      <c r="N21" s="873"/>
      <c r="O21" s="873"/>
      <c r="P21" s="873"/>
      <c r="Q21" s="873"/>
      <c r="R21" s="873"/>
      <c r="S21" s="873"/>
      <c r="T21" s="873"/>
      <c r="U21" s="873"/>
      <c r="V21" s="873"/>
      <c r="W21" s="873"/>
      <c r="X21" s="873"/>
      <c r="Y21" s="873"/>
      <c r="Z21" s="873"/>
      <c r="AA21" s="873"/>
      <c r="AB21" s="873"/>
      <c r="AC21" s="873"/>
    </row>
    <row r="22" spans="1:29" ht="12.75" x14ac:dyDescent="0.2">
      <c r="A22" s="885"/>
      <c r="B22" s="873"/>
      <c r="C22" s="873"/>
      <c r="D22" s="873"/>
      <c r="E22" s="873"/>
      <c r="F22" s="873"/>
      <c r="G22" s="873"/>
      <c r="H22" s="873"/>
      <c r="I22" s="873"/>
      <c r="J22" s="873"/>
      <c r="K22" s="873"/>
      <c r="L22" s="873"/>
      <c r="M22" s="873"/>
      <c r="N22" s="873"/>
      <c r="O22" s="873"/>
      <c r="P22" s="873"/>
      <c r="Q22" s="873"/>
      <c r="R22" s="873"/>
      <c r="S22" s="873"/>
      <c r="T22" s="873"/>
      <c r="U22" s="873"/>
      <c r="V22" s="873"/>
      <c r="W22" s="873"/>
      <c r="X22" s="873"/>
      <c r="Y22" s="873"/>
      <c r="Z22" s="873"/>
      <c r="AA22" s="873"/>
      <c r="AB22" s="873"/>
      <c r="AC22" s="873"/>
    </row>
    <row r="23" spans="1:29" ht="12.75" x14ac:dyDescent="0.2">
      <c r="A23" s="885"/>
      <c r="B23" s="1930" t="s">
        <v>1682</v>
      </c>
      <c r="C23" s="1433"/>
      <c r="D23" s="1433"/>
      <c r="E23" s="1433"/>
      <c r="F23" s="1433"/>
      <c r="G23" s="1433"/>
      <c r="H23" s="1433"/>
      <c r="I23" s="1433"/>
      <c r="J23" s="1433"/>
      <c r="K23" s="1433"/>
      <c r="L23" s="1433"/>
      <c r="M23" s="1433"/>
      <c r="N23" s="1433"/>
      <c r="O23" s="1433"/>
      <c r="P23" s="1433"/>
      <c r="Q23" s="1433"/>
      <c r="R23" s="1434"/>
      <c r="Y23" s="873"/>
      <c r="Z23" s="873"/>
      <c r="AA23" s="873"/>
      <c r="AB23" s="873"/>
    </row>
    <row r="24" spans="1:29" ht="38.25" x14ac:dyDescent="0.2">
      <c r="A24" s="885"/>
      <c r="B24" s="1904" t="s">
        <v>1946</v>
      </c>
      <c r="C24" s="1906"/>
      <c r="D24" s="1906" t="s">
        <v>1947</v>
      </c>
      <c r="E24" s="1949"/>
      <c r="F24" s="1906" t="s">
        <v>1948</v>
      </c>
      <c r="G24" s="1949"/>
      <c r="H24" s="1906" t="s">
        <v>1949</v>
      </c>
      <c r="I24" s="1949"/>
      <c r="J24" s="1906" t="s">
        <v>1950</v>
      </c>
      <c r="K24" s="1949"/>
      <c r="L24" s="1906" t="s">
        <v>1683</v>
      </c>
      <c r="M24" s="1949"/>
      <c r="N24" s="1906" t="s">
        <v>1935</v>
      </c>
      <c r="O24" s="1949"/>
      <c r="P24" s="1906" t="s">
        <v>1932</v>
      </c>
      <c r="Q24" s="1906"/>
      <c r="R24" s="1909" t="s">
        <v>1933</v>
      </c>
      <c r="Y24" s="1283"/>
      <c r="Z24" s="1283"/>
      <c r="AA24" s="1371"/>
      <c r="AB24" s="1283"/>
    </row>
    <row r="25" spans="1:29" ht="15" customHeight="1" x14ac:dyDescent="0.2">
      <c r="A25" s="958"/>
      <c r="B25" s="1950">
        <f>32500000/2000*0.907185</f>
        <v>14741.75625</v>
      </c>
      <c r="C25" s="1920" t="s">
        <v>1044</v>
      </c>
      <c r="D25" s="1951">
        <v>5.3</v>
      </c>
      <c r="E25" s="1920" t="s">
        <v>1044</v>
      </c>
      <c r="F25" s="1952">
        <v>1000</v>
      </c>
      <c r="G25" s="1920" t="s">
        <v>1044</v>
      </c>
      <c r="H25" s="1951">
        <v>4.0999999999999996</v>
      </c>
      <c r="I25" s="1920" t="s">
        <v>1044</v>
      </c>
      <c r="J25" s="1953">
        <v>0.25</v>
      </c>
      <c r="K25" s="1920" t="s">
        <v>1044</v>
      </c>
      <c r="L25" s="1954">
        <v>0.33</v>
      </c>
      <c r="M25" s="1920" t="s">
        <v>1044</v>
      </c>
      <c r="N25" s="1937">
        <v>9.9999999999999995E-7</v>
      </c>
      <c r="O25" s="1927" t="s">
        <v>1045</v>
      </c>
      <c r="P25" s="1952">
        <f>B25*$D$25*$H$25*$L$25*$J$25*$F$25*N25</f>
        <v>26.427914973281244</v>
      </c>
      <c r="Q25" s="1927" t="s">
        <v>1045</v>
      </c>
      <c r="R25" s="1929">
        <f>P25*$AE$10/1000000</f>
        <v>7.3733882775454658E-4</v>
      </c>
      <c r="Y25" s="901"/>
      <c r="Z25" s="1955"/>
      <c r="AA25" s="901"/>
      <c r="AB25" s="1956"/>
    </row>
    <row r="26" spans="1:29" ht="12.75" x14ac:dyDescent="0.2">
      <c r="A26" s="885"/>
      <c r="B26" s="873"/>
      <c r="C26" s="873"/>
      <c r="D26" s="873"/>
      <c r="E26" s="873"/>
      <c r="F26" s="873"/>
      <c r="G26" s="873"/>
      <c r="H26" s="873"/>
      <c r="I26" s="873"/>
      <c r="J26" s="873"/>
      <c r="K26" s="873"/>
      <c r="L26" s="873"/>
      <c r="M26" s="873"/>
      <c r="N26" s="873"/>
      <c r="O26" s="873"/>
      <c r="P26" s="873"/>
      <c r="Q26" s="873"/>
      <c r="R26" s="873"/>
      <c r="S26" s="873"/>
      <c r="T26" s="873"/>
      <c r="U26" s="873"/>
      <c r="V26" s="873"/>
      <c r="W26" s="873"/>
      <c r="X26" s="873"/>
      <c r="Y26" s="873"/>
      <c r="Z26" s="873"/>
      <c r="AA26" s="873"/>
      <c r="AB26" s="873"/>
      <c r="AC26" s="873"/>
    </row>
    <row r="27" spans="1:29" ht="12.75" x14ac:dyDescent="0.2">
      <c r="A27" s="885"/>
      <c r="B27" s="1930" t="s">
        <v>1684</v>
      </c>
      <c r="C27" s="1433"/>
      <c r="D27" s="1433"/>
      <c r="E27" s="1433"/>
      <c r="F27" s="1433"/>
      <c r="G27" s="1433"/>
      <c r="H27" s="1433"/>
      <c r="I27" s="1433"/>
      <c r="J27" s="1433"/>
      <c r="K27" s="1433"/>
      <c r="L27" s="1433"/>
      <c r="M27" s="1433"/>
      <c r="N27" s="1433"/>
      <c r="O27" s="1433"/>
      <c r="P27" s="1433"/>
      <c r="Q27" s="1433"/>
      <c r="R27" s="1434"/>
      <c r="T27" s="873"/>
      <c r="U27" s="873"/>
      <c r="V27" s="873"/>
    </row>
    <row r="28" spans="1:29" ht="38.25" x14ac:dyDescent="0.2">
      <c r="A28" s="885"/>
      <c r="B28" s="1957" t="s">
        <v>1946</v>
      </c>
      <c r="C28" s="1906"/>
      <c r="D28" s="1906" t="s">
        <v>1947</v>
      </c>
      <c r="E28" s="1906"/>
      <c r="F28" s="1906" t="s">
        <v>1948</v>
      </c>
      <c r="G28" s="1906"/>
      <c r="H28" s="1906" t="s">
        <v>1949</v>
      </c>
      <c r="I28" s="1906"/>
      <c r="J28" s="1906" t="s">
        <v>1950</v>
      </c>
      <c r="K28" s="1906"/>
      <c r="L28" s="1906" t="s">
        <v>1683</v>
      </c>
      <c r="M28" s="1906"/>
      <c r="N28" s="1906" t="s">
        <v>1935</v>
      </c>
      <c r="O28" s="1958"/>
      <c r="P28" s="1906" t="s">
        <v>1932</v>
      </c>
      <c r="Q28" s="1959"/>
      <c r="R28" s="1909" t="s">
        <v>1933</v>
      </c>
      <c r="T28" s="1283"/>
      <c r="U28" s="1371"/>
      <c r="V28" s="1283"/>
    </row>
    <row r="29" spans="1:29" ht="15" customHeight="1" x14ac:dyDescent="0.2">
      <c r="A29" s="885"/>
      <c r="B29" s="1950">
        <f>904325000/61375736000*69264409000/2000*0.907185</f>
        <v>462917.73758117319</v>
      </c>
      <c r="C29" s="1920" t="s">
        <v>1044</v>
      </c>
      <c r="D29" s="1951">
        <v>12.5</v>
      </c>
      <c r="E29" s="1920" t="s">
        <v>1044</v>
      </c>
      <c r="F29" s="1952">
        <v>1000</v>
      </c>
      <c r="G29" s="1920" t="s">
        <v>1044</v>
      </c>
      <c r="H29" s="1951">
        <v>4.0999999999999996</v>
      </c>
      <c r="I29" s="1920" t="s">
        <v>1044</v>
      </c>
      <c r="J29" s="1953">
        <v>0.25</v>
      </c>
      <c r="K29" s="1920" t="s">
        <v>1044</v>
      </c>
      <c r="L29" s="1954">
        <v>0.25</v>
      </c>
      <c r="M29" s="1920" t="s">
        <v>1044</v>
      </c>
      <c r="N29" s="1937">
        <v>9.9999999999999995E-7</v>
      </c>
      <c r="O29" s="1927" t="s">
        <v>1045</v>
      </c>
      <c r="P29" s="1952">
        <f>B29*$D$29*$H$29*$L$29*$J$29*$F$29*N29</f>
        <v>1482.7833781896952</v>
      </c>
      <c r="Q29" s="1927" t="s">
        <v>1045</v>
      </c>
      <c r="R29" s="1929">
        <f>P29*$AE$10/1000000</f>
        <v>4.1369656251492498E-2</v>
      </c>
      <c r="S29" s="901"/>
      <c r="T29" s="1955"/>
      <c r="U29" s="901"/>
      <c r="V29" s="1960"/>
      <c r="AB29" s="1961"/>
    </row>
    <row r="30" spans="1:29" ht="12.75" x14ac:dyDescent="0.2">
      <c r="A30" s="885"/>
      <c r="B30" s="873"/>
      <c r="C30" s="873"/>
      <c r="D30" s="873"/>
      <c r="E30" s="873"/>
      <c r="F30" s="873"/>
      <c r="G30" s="873"/>
      <c r="H30" s="873"/>
      <c r="I30" s="873"/>
      <c r="J30" s="873"/>
      <c r="K30" s="873"/>
      <c r="L30" s="873"/>
      <c r="M30" s="873"/>
      <c r="N30" s="873"/>
      <c r="O30" s="873"/>
      <c r="P30" s="873"/>
      <c r="Q30" s="873"/>
      <c r="R30" s="873"/>
      <c r="S30" s="873"/>
      <c r="T30" s="873"/>
      <c r="U30" s="873"/>
      <c r="V30" s="873"/>
      <c r="W30" s="873"/>
      <c r="X30" s="873"/>
      <c r="Y30" s="873"/>
      <c r="Z30" s="873"/>
      <c r="AA30" s="873"/>
      <c r="AB30" s="873"/>
      <c r="AC30" s="873"/>
    </row>
    <row r="31" spans="1:29" ht="12.75" x14ac:dyDescent="0.2">
      <c r="A31" s="885"/>
      <c r="B31" s="1930" t="s">
        <v>1686</v>
      </c>
      <c r="C31" s="1433"/>
      <c r="D31" s="1433"/>
      <c r="E31" s="1433"/>
      <c r="F31" s="1433"/>
      <c r="G31" s="1433"/>
      <c r="H31" s="1433"/>
      <c r="I31" s="1433"/>
      <c r="J31" s="1433"/>
      <c r="K31" s="1433"/>
      <c r="L31" s="1433"/>
      <c r="M31" s="1433"/>
      <c r="N31" s="1433"/>
      <c r="O31" s="1433"/>
      <c r="P31" s="1433"/>
      <c r="Q31" s="1433"/>
      <c r="R31" s="1434"/>
      <c r="S31" s="873"/>
      <c r="T31" s="873"/>
      <c r="U31" s="873"/>
      <c r="V31" s="873"/>
    </row>
    <row r="32" spans="1:29" ht="38.25" x14ac:dyDescent="0.2">
      <c r="A32" s="885"/>
      <c r="B32" s="1957" t="s">
        <v>1946</v>
      </c>
      <c r="C32" s="1907"/>
      <c r="D32" s="1906" t="s">
        <v>1947</v>
      </c>
      <c r="E32" s="1908"/>
      <c r="F32" s="1906" t="s">
        <v>1948</v>
      </c>
      <c r="G32" s="1908"/>
      <c r="H32" s="1906" t="s">
        <v>1949</v>
      </c>
      <c r="I32" s="1908"/>
      <c r="J32" s="1906" t="s">
        <v>1950</v>
      </c>
      <c r="K32" s="1908"/>
      <c r="L32" s="1906" t="s">
        <v>1683</v>
      </c>
      <c r="M32" s="1908"/>
      <c r="N32" s="1906" t="s">
        <v>1935</v>
      </c>
      <c r="O32" s="1908"/>
      <c r="P32" s="1906" t="s">
        <v>1932</v>
      </c>
      <c r="Q32" s="1933"/>
      <c r="R32" s="1909" t="s">
        <v>1933</v>
      </c>
      <c r="S32" s="1283"/>
      <c r="T32" s="1283"/>
      <c r="U32" s="1371"/>
      <c r="V32" s="1283"/>
    </row>
    <row r="33" spans="1:29" ht="15" customHeight="1" x14ac:dyDescent="0.2">
      <c r="A33" s="885"/>
      <c r="B33" s="1950">
        <v>0</v>
      </c>
      <c r="C33" s="1920" t="s">
        <v>1044</v>
      </c>
      <c r="D33" s="1951">
        <v>9.11</v>
      </c>
      <c r="E33" s="1920" t="s">
        <v>1044</v>
      </c>
      <c r="F33" s="1952">
        <v>1000</v>
      </c>
      <c r="G33" s="1920" t="s">
        <v>1044</v>
      </c>
      <c r="H33" s="1951">
        <v>5</v>
      </c>
      <c r="I33" s="1920" t="s">
        <v>1044</v>
      </c>
      <c r="J33" s="1953">
        <v>0.25</v>
      </c>
      <c r="K33" s="1920" t="s">
        <v>1044</v>
      </c>
      <c r="L33" s="1954">
        <v>0.05</v>
      </c>
      <c r="M33" s="1920" t="s">
        <v>1044</v>
      </c>
      <c r="N33" s="1937">
        <v>9.9999999999999995E-7</v>
      </c>
      <c r="O33" s="1927" t="s">
        <v>1045</v>
      </c>
      <c r="P33" s="1953">
        <f>B33*$D$33*$H$33*$L$33*$J$33*$F$33*N33</f>
        <v>0</v>
      </c>
      <c r="Q33" s="1927" t="s">
        <v>1045</v>
      </c>
      <c r="R33" s="1929">
        <f>P33*$AE$10/1000000</f>
        <v>0</v>
      </c>
      <c r="S33" s="901"/>
      <c r="T33" s="1955"/>
      <c r="U33" s="901"/>
      <c r="V33" s="1960"/>
    </row>
    <row r="34" spans="1:29" ht="12.75" x14ac:dyDescent="0.2">
      <c r="A34" s="885"/>
      <c r="B34" s="1962"/>
      <c r="C34" s="1963"/>
      <c r="D34" s="1963"/>
      <c r="E34" s="1963"/>
    </row>
    <row r="35" spans="1:29" ht="12.75" x14ac:dyDescent="0.2">
      <c r="A35" s="885"/>
      <c r="B35" s="1900" t="s">
        <v>1687</v>
      </c>
      <c r="C35" s="1901"/>
      <c r="D35" s="1901"/>
      <c r="E35" s="1901"/>
      <c r="F35" s="1901"/>
      <c r="G35" s="1901"/>
      <c r="H35" s="1901"/>
      <c r="I35" s="1901"/>
      <c r="J35" s="1901"/>
      <c r="K35" s="1901"/>
      <c r="L35" s="1901"/>
      <c r="M35" s="1901"/>
      <c r="N35" s="1901"/>
      <c r="O35" s="1901"/>
      <c r="P35" s="1901"/>
      <c r="Q35" s="1901"/>
      <c r="R35" s="1901"/>
      <c r="S35" s="1901"/>
      <c r="T35" s="1964"/>
      <c r="U35" s="1893"/>
      <c r="V35" s="1893"/>
      <c r="W35" s="1893"/>
      <c r="X35" s="1893"/>
    </row>
    <row r="36" spans="1:29" ht="51" x14ac:dyDescent="0.2">
      <c r="A36" s="885"/>
      <c r="B36" s="1904" t="s">
        <v>1688</v>
      </c>
      <c r="C36" s="1906"/>
      <c r="D36" s="1906" t="s">
        <v>1946</v>
      </c>
      <c r="E36" s="1906"/>
      <c r="F36" s="1906" t="s">
        <v>1947</v>
      </c>
      <c r="G36" s="1949"/>
      <c r="H36" s="1906" t="s">
        <v>1948</v>
      </c>
      <c r="I36" s="1949"/>
      <c r="J36" s="1906" t="s">
        <v>1951</v>
      </c>
      <c r="K36" s="1949"/>
      <c r="L36" s="1906" t="s">
        <v>1952</v>
      </c>
      <c r="M36" s="1949"/>
      <c r="N36" s="1906" t="s">
        <v>1690</v>
      </c>
      <c r="O36" s="1949"/>
      <c r="P36" s="1906" t="s">
        <v>1935</v>
      </c>
      <c r="Q36" s="1949"/>
      <c r="R36" s="1906" t="s">
        <v>1932</v>
      </c>
      <c r="S36" s="1965"/>
      <c r="T36" s="1909" t="s">
        <v>1933</v>
      </c>
      <c r="U36" s="1283"/>
      <c r="V36" s="1283"/>
      <c r="W36" s="1371"/>
      <c r="X36" s="1283"/>
    </row>
    <row r="37" spans="1:29" ht="15" customHeight="1" x14ac:dyDescent="0.2">
      <c r="A37" s="885"/>
      <c r="B37" s="1966" t="s">
        <v>1691</v>
      </c>
      <c r="C37" s="1190"/>
      <c r="D37" s="1967">
        <v>0</v>
      </c>
      <c r="E37" s="1912" t="s">
        <v>1044</v>
      </c>
      <c r="F37" s="1968">
        <v>39</v>
      </c>
      <c r="G37" s="1912" t="s">
        <v>1044</v>
      </c>
      <c r="H37" s="1969">
        <v>1000</v>
      </c>
      <c r="I37" s="1912" t="s">
        <v>1044</v>
      </c>
      <c r="J37" s="1970">
        <v>0.3</v>
      </c>
      <c r="K37" s="1912" t="s">
        <v>1044</v>
      </c>
      <c r="L37" s="1971">
        <v>0.6</v>
      </c>
      <c r="M37" s="1912" t="s">
        <v>1044</v>
      </c>
      <c r="N37" s="1972">
        <v>5.1999999999999998E-2</v>
      </c>
      <c r="O37" s="1912" t="s">
        <v>1044</v>
      </c>
      <c r="P37" s="1973">
        <v>9.9999999999999995E-7</v>
      </c>
      <c r="Q37" s="1915" t="s">
        <v>1045</v>
      </c>
      <c r="R37" s="1974">
        <f t="shared" ref="R37:R38" si="2">D37*F37*H37*J37*L37*N37*P37</f>
        <v>0</v>
      </c>
      <c r="S37" s="1915" t="s">
        <v>1045</v>
      </c>
      <c r="T37" s="1917">
        <f t="shared" ref="T37:T38" si="3">R37*$AE$10/1000000</f>
        <v>0</v>
      </c>
      <c r="U37" s="901"/>
      <c r="V37" s="901"/>
      <c r="W37" s="901"/>
      <c r="X37" s="901"/>
    </row>
    <row r="38" spans="1:29" ht="15" customHeight="1" x14ac:dyDescent="0.2">
      <c r="A38" s="885"/>
      <c r="B38" s="1975" t="s">
        <v>1693</v>
      </c>
      <c r="C38" s="1918"/>
      <c r="D38" s="1976">
        <v>0</v>
      </c>
      <c r="E38" s="1920" t="s">
        <v>1044</v>
      </c>
      <c r="F38" s="1977">
        <v>39</v>
      </c>
      <c r="G38" s="1920" t="s">
        <v>1044</v>
      </c>
      <c r="H38" s="1952">
        <v>1000</v>
      </c>
      <c r="I38" s="1920" t="s">
        <v>1044</v>
      </c>
      <c r="J38" s="1951">
        <v>0.3</v>
      </c>
      <c r="K38" s="1920" t="s">
        <v>1044</v>
      </c>
      <c r="L38" s="1953">
        <v>0.6</v>
      </c>
      <c r="M38" s="1920" t="s">
        <v>1044</v>
      </c>
      <c r="N38" s="1978">
        <v>5.1999999999999998E-2</v>
      </c>
      <c r="O38" s="1920" t="s">
        <v>1044</v>
      </c>
      <c r="P38" s="1937">
        <v>9.9999999999999995E-7</v>
      </c>
      <c r="Q38" s="1927" t="s">
        <v>1045</v>
      </c>
      <c r="R38" s="1979">
        <f t="shared" si="2"/>
        <v>0</v>
      </c>
      <c r="S38" s="1927" t="s">
        <v>1045</v>
      </c>
      <c r="T38" s="1929">
        <f t="shared" si="3"/>
        <v>0</v>
      </c>
      <c r="U38" s="901"/>
      <c r="V38" s="1955"/>
      <c r="W38" s="901"/>
      <c r="X38" s="1960"/>
    </row>
    <row r="39" spans="1:29" ht="12.75" x14ac:dyDescent="0.2">
      <c r="A39" s="885"/>
      <c r="B39" s="873"/>
      <c r="C39" s="873"/>
      <c r="D39" s="873"/>
      <c r="E39" s="873"/>
    </row>
    <row r="40" spans="1:29" ht="12.75" x14ac:dyDescent="0.2">
      <c r="A40" s="885"/>
      <c r="B40" s="873"/>
      <c r="C40" s="873"/>
      <c r="D40" s="873"/>
      <c r="E40" s="873"/>
    </row>
    <row r="41" spans="1:29" ht="15.75" x14ac:dyDescent="0.25">
      <c r="A41" s="885"/>
      <c r="B41" s="1221" t="s">
        <v>847</v>
      </c>
      <c r="C41" s="947"/>
      <c r="D41" s="947"/>
      <c r="E41" s="947"/>
      <c r="F41" s="947"/>
      <c r="G41" s="947"/>
      <c r="H41" s="947"/>
    </row>
    <row r="42" spans="1:29" ht="12.75" x14ac:dyDescent="0.2">
      <c r="A42" s="885"/>
      <c r="B42" s="873"/>
      <c r="C42" s="873"/>
      <c r="D42" s="873"/>
      <c r="E42" s="873"/>
      <c r="F42" s="873"/>
      <c r="G42" s="873"/>
      <c r="H42" s="873"/>
      <c r="I42" s="873"/>
      <c r="J42" s="873"/>
      <c r="K42" s="873"/>
      <c r="L42" s="873"/>
      <c r="M42" s="873"/>
      <c r="N42" s="873"/>
      <c r="O42" s="873"/>
      <c r="P42" s="873"/>
      <c r="Q42" s="873"/>
      <c r="R42" s="873"/>
      <c r="S42" s="873"/>
      <c r="T42" s="873"/>
      <c r="U42" s="873"/>
      <c r="V42" s="873"/>
      <c r="W42" s="873"/>
      <c r="X42" s="873"/>
      <c r="Y42" s="873"/>
      <c r="Z42" s="873"/>
      <c r="AA42" s="873"/>
      <c r="AB42" s="873"/>
      <c r="AC42" s="873"/>
    </row>
    <row r="43" spans="1:29" ht="25.5" x14ac:dyDescent="0.2">
      <c r="A43" s="885"/>
      <c r="B43" s="1980" t="s">
        <v>1694</v>
      </c>
      <c r="C43" s="1981"/>
      <c r="D43" s="1982" t="s">
        <v>662</v>
      </c>
      <c r="E43" s="1982"/>
      <c r="F43" s="1982" t="s">
        <v>663</v>
      </c>
      <c r="G43" s="1982"/>
      <c r="H43" s="1982" t="s">
        <v>664</v>
      </c>
      <c r="K43" s="885"/>
      <c r="L43" s="885"/>
      <c r="M43" s="885"/>
      <c r="N43" s="885"/>
      <c r="O43" s="885"/>
      <c r="P43" s="885"/>
      <c r="Q43" s="885"/>
      <c r="R43" s="885"/>
      <c r="S43" s="885"/>
      <c r="T43" s="885"/>
      <c r="U43" s="885"/>
      <c r="V43" s="885"/>
      <c r="W43" s="885"/>
      <c r="X43" s="885"/>
      <c r="Y43" s="885"/>
      <c r="Z43" s="885"/>
      <c r="AA43" s="885"/>
      <c r="AB43" s="885"/>
      <c r="AC43" s="885"/>
    </row>
    <row r="44" spans="1:29" ht="15" customHeight="1" x14ac:dyDescent="0.2">
      <c r="A44" s="885"/>
      <c r="B44" s="1983" t="s">
        <v>1695</v>
      </c>
      <c r="C44" s="1984"/>
      <c r="D44" s="1984"/>
      <c r="E44" s="1984"/>
      <c r="F44" s="1984"/>
      <c r="G44" s="1984"/>
      <c r="H44" s="1985"/>
      <c r="K44" s="885"/>
      <c r="L44" s="885"/>
      <c r="M44" s="885"/>
      <c r="N44" s="885"/>
      <c r="O44" s="885"/>
      <c r="P44" s="885"/>
      <c r="Q44" s="885"/>
      <c r="R44" s="885"/>
      <c r="S44" s="885"/>
      <c r="T44" s="885"/>
      <c r="U44" s="885"/>
      <c r="V44" s="885"/>
      <c r="W44" s="885"/>
      <c r="X44" s="885"/>
      <c r="Y44" s="885"/>
      <c r="Z44" s="885"/>
      <c r="AA44" s="885"/>
      <c r="AB44" s="885"/>
      <c r="AC44" s="885"/>
    </row>
    <row r="45" spans="1:29" ht="15" customHeight="1" x14ac:dyDescent="0.2">
      <c r="A45" s="885"/>
      <c r="B45" s="1959" t="s">
        <v>1669</v>
      </c>
      <c r="C45" s="1959"/>
      <c r="D45" s="1986">
        <f t="shared" ref="D45:D46" si="4">T9</f>
        <v>0.34002260752401936</v>
      </c>
      <c r="E45" s="1959"/>
      <c r="F45" s="1987" t="s">
        <v>1346</v>
      </c>
      <c r="G45" s="1959"/>
      <c r="H45" s="1988">
        <f t="shared" ref="H45:H47" si="5">SUM(D45:F45)</f>
        <v>0.34002260752401936</v>
      </c>
      <c r="K45" s="885"/>
      <c r="L45" s="885"/>
      <c r="M45" s="885"/>
      <c r="N45" s="885"/>
      <c r="O45" s="885"/>
      <c r="P45" s="885"/>
      <c r="Q45" s="885"/>
      <c r="R45" s="885"/>
      <c r="S45" s="885"/>
      <c r="T45" s="885"/>
      <c r="U45" s="885"/>
      <c r="V45" s="885"/>
      <c r="W45" s="885"/>
      <c r="X45" s="885"/>
      <c r="Y45" s="885"/>
      <c r="Z45" s="885"/>
      <c r="AA45" s="885"/>
      <c r="AB45" s="885"/>
      <c r="AC45" s="885"/>
    </row>
    <row r="46" spans="1:29" ht="15" customHeight="1" x14ac:dyDescent="0.2">
      <c r="A46" s="885"/>
      <c r="B46" s="1190" t="s">
        <v>1670</v>
      </c>
      <c r="C46" s="1190"/>
      <c r="D46" s="1873">
        <f t="shared" si="4"/>
        <v>0.13592657659644805</v>
      </c>
      <c r="E46" s="1190"/>
      <c r="F46" s="1873">
        <f>N14</f>
        <v>5.3984139791609627E-3</v>
      </c>
      <c r="G46" s="1190"/>
      <c r="H46" s="1988">
        <f t="shared" si="5"/>
        <v>0.14132499057560902</v>
      </c>
      <c r="K46" s="885"/>
      <c r="L46" s="885"/>
      <c r="M46" s="885"/>
      <c r="N46" s="885"/>
      <c r="O46" s="885"/>
      <c r="P46" s="885"/>
      <c r="Q46" s="885"/>
      <c r="R46" s="885"/>
      <c r="S46" s="885"/>
      <c r="T46" s="885"/>
      <c r="U46" s="885"/>
      <c r="V46" s="885"/>
      <c r="W46" s="885"/>
      <c r="X46" s="885"/>
      <c r="Y46" s="885"/>
      <c r="Z46" s="885"/>
      <c r="AA46" s="885"/>
      <c r="AB46" s="885"/>
      <c r="AC46" s="885"/>
    </row>
    <row r="47" spans="1:29" ht="15" customHeight="1" x14ac:dyDescent="0.2">
      <c r="A47" s="885"/>
      <c r="B47" s="1190" t="s">
        <v>1696</v>
      </c>
      <c r="C47" s="1190"/>
      <c r="D47" s="1912" t="s">
        <v>1346</v>
      </c>
      <c r="E47" s="1190"/>
      <c r="F47" s="1873">
        <f>AB18</f>
        <v>0.11910369211747514</v>
      </c>
      <c r="G47" s="1190"/>
      <c r="H47" s="1988">
        <f t="shared" si="5"/>
        <v>0.11910369211747514</v>
      </c>
      <c r="K47" s="885"/>
      <c r="L47" s="885"/>
      <c r="M47" s="885"/>
      <c r="N47" s="885"/>
      <c r="O47" s="885"/>
      <c r="P47" s="885"/>
      <c r="Q47" s="885"/>
      <c r="R47" s="885"/>
      <c r="S47" s="885"/>
      <c r="T47" s="885"/>
      <c r="U47" s="885"/>
      <c r="V47" s="885"/>
      <c r="W47" s="885"/>
      <c r="X47" s="885"/>
      <c r="Y47" s="885"/>
      <c r="Z47" s="885"/>
      <c r="AA47" s="885"/>
      <c r="AB47" s="885"/>
      <c r="AC47" s="885"/>
    </row>
    <row r="48" spans="1:29" ht="15" customHeight="1" x14ac:dyDescent="0.2">
      <c r="A48" s="885"/>
      <c r="B48" s="1983" t="s">
        <v>1697</v>
      </c>
      <c r="C48" s="1984"/>
      <c r="D48" s="1989"/>
      <c r="E48" s="1984"/>
      <c r="F48" s="1989"/>
      <c r="G48" s="1984"/>
      <c r="H48" s="1985"/>
      <c r="K48" s="885"/>
      <c r="L48" s="885"/>
      <c r="M48" s="885"/>
      <c r="N48" s="885"/>
      <c r="O48" s="885"/>
      <c r="P48" s="885"/>
      <c r="Q48" s="885"/>
      <c r="R48" s="885"/>
      <c r="S48" s="885"/>
      <c r="T48" s="885"/>
      <c r="U48" s="885"/>
      <c r="V48" s="885"/>
      <c r="W48" s="885"/>
      <c r="X48" s="885"/>
      <c r="Y48" s="885"/>
      <c r="Z48" s="885"/>
      <c r="AA48" s="885"/>
      <c r="AB48" s="885"/>
      <c r="AC48" s="885"/>
    </row>
    <row r="49" spans="1:29" ht="15" customHeight="1" x14ac:dyDescent="0.2">
      <c r="A49" s="885"/>
      <c r="B49" s="1190" t="s">
        <v>1698</v>
      </c>
      <c r="C49" s="1878"/>
      <c r="D49" s="1873">
        <f>R25</f>
        <v>7.3733882775454658E-4</v>
      </c>
      <c r="E49" s="1878"/>
      <c r="F49" s="1912" t="s">
        <v>1346</v>
      </c>
      <c r="G49" s="1878"/>
      <c r="H49" s="1990">
        <f t="shared" ref="H49:H52" si="6">SUM(D49:F49)</f>
        <v>7.3733882775454658E-4</v>
      </c>
      <c r="K49" s="885"/>
      <c r="L49" s="885"/>
      <c r="M49" s="885"/>
      <c r="N49" s="885"/>
      <c r="O49" s="885"/>
      <c r="P49" s="885"/>
      <c r="Q49" s="885"/>
      <c r="R49" s="885"/>
      <c r="S49" s="885"/>
      <c r="T49" s="885"/>
      <c r="U49" s="885"/>
      <c r="V49" s="885"/>
      <c r="W49" s="885"/>
      <c r="X49" s="885"/>
      <c r="Y49" s="885"/>
      <c r="Z49" s="885"/>
      <c r="AA49" s="885"/>
      <c r="AB49" s="885"/>
      <c r="AC49" s="885"/>
    </row>
    <row r="50" spans="1:29" ht="15" customHeight="1" x14ac:dyDescent="0.2">
      <c r="A50" s="885"/>
      <c r="B50" s="1190" t="s">
        <v>1271</v>
      </c>
      <c r="C50" s="1878"/>
      <c r="D50" s="1873">
        <f>R29</f>
        <v>4.1369656251492498E-2</v>
      </c>
      <c r="E50" s="1878"/>
      <c r="F50" s="1912" t="s">
        <v>1346</v>
      </c>
      <c r="G50" s="1878"/>
      <c r="H50" s="1990">
        <f t="shared" si="6"/>
        <v>4.1369656251492498E-2</v>
      </c>
      <c r="K50" s="885"/>
      <c r="L50" s="885"/>
      <c r="M50" s="885"/>
      <c r="N50" s="885"/>
      <c r="O50" s="885"/>
      <c r="P50" s="885"/>
      <c r="Q50" s="885"/>
      <c r="R50" s="885"/>
      <c r="S50" s="885"/>
      <c r="T50" s="885"/>
      <c r="U50" s="885"/>
      <c r="V50" s="885"/>
      <c r="W50" s="885"/>
      <c r="X50" s="885"/>
      <c r="Y50" s="885"/>
      <c r="Z50" s="885"/>
      <c r="AA50" s="885"/>
      <c r="AB50" s="885"/>
      <c r="AC50" s="885"/>
    </row>
    <row r="51" spans="1:29" ht="15" customHeight="1" x14ac:dyDescent="0.2">
      <c r="A51" s="885"/>
      <c r="B51" s="1190" t="s">
        <v>1699</v>
      </c>
      <c r="C51" s="1878"/>
      <c r="D51" s="1873">
        <f>R33</f>
        <v>0</v>
      </c>
      <c r="E51" s="1878"/>
      <c r="F51" s="1912" t="s">
        <v>1346</v>
      </c>
      <c r="G51" s="1878"/>
      <c r="H51" s="1990">
        <f t="shared" si="6"/>
        <v>0</v>
      </c>
      <c r="K51" s="885"/>
      <c r="L51" s="885"/>
      <c r="M51" s="885"/>
      <c r="N51" s="885"/>
      <c r="O51" s="885"/>
      <c r="P51" s="885"/>
      <c r="Q51" s="885"/>
      <c r="R51" s="885"/>
      <c r="S51" s="885"/>
      <c r="T51" s="885"/>
      <c r="U51" s="885"/>
      <c r="V51" s="885"/>
      <c r="W51" s="885"/>
      <c r="X51" s="885"/>
      <c r="Y51" s="885"/>
      <c r="Z51" s="885"/>
      <c r="AA51" s="885"/>
      <c r="AB51" s="885"/>
      <c r="AC51" s="885"/>
    </row>
    <row r="52" spans="1:29" ht="15" customHeight="1" x14ac:dyDescent="0.2">
      <c r="A52" s="885"/>
      <c r="B52" s="1190" t="s">
        <v>1700</v>
      </c>
      <c r="C52" s="1878"/>
      <c r="D52" s="1873">
        <f>T37+T38</f>
        <v>0</v>
      </c>
      <c r="E52" s="1878"/>
      <c r="F52" s="1912" t="s">
        <v>1346</v>
      </c>
      <c r="G52" s="1878"/>
      <c r="H52" s="1990">
        <f t="shared" si="6"/>
        <v>0</v>
      </c>
      <c r="K52" s="885"/>
      <c r="L52" s="885"/>
      <c r="M52" s="885"/>
      <c r="N52" s="885"/>
      <c r="O52" s="885"/>
      <c r="P52" s="885"/>
      <c r="Q52" s="885"/>
      <c r="R52" s="885"/>
      <c r="S52" s="885"/>
      <c r="T52" s="885"/>
      <c r="U52" s="885"/>
      <c r="V52" s="885"/>
      <c r="W52" s="885"/>
      <c r="X52" s="885"/>
      <c r="Y52" s="885"/>
      <c r="Z52" s="885"/>
      <c r="AA52" s="885"/>
      <c r="AB52" s="885"/>
      <c r="AC52" s="885"/>
    </row>
    <row r="53" spans="1:29" ht="15" customHeight="1" x14ac:dyDescent="0.2">
      <c r="A53" s="885"/>
      <c r="B53" s="1870" t="s">
        <v>102</v>
      </c>
      <c r="C53" s="1879"/>
      <c r="D53" s="1879">
        <f>SUM(D45:D52)</f>
        <v>0.51805617919971447</v>
      </c>
      <c r="E53" s="1879"/>
      <c r="F53" s="1879">
        <f>SUM(F45:F52)</f>
        <v>0.1245021060966361</v>
      </c>
      <c r="G53" s="1879"/>
      <c r="H53" s="1879">
        <f>SUM(H45:H52)</f>
        <v>0.64255828529635051</v>
      </c>
      <c r="K53" s="885"/>
      <c r="L53" s="885"/>
      <c r="M53" s="885"/>
      <c r="N53" s="885"/>
      <c r="O53" s="885"/>
      <c r="P53" s="885"/>
      <c r="Q53" s="885"/>
      <c r="R53" s="885"/>
      <c r="S53" s="885"/>
      <c r="T53" s="885"/>
      <c r="U53" s="885"/>
      <c r="V53" s="885"/>
      <c r="W53" s="885"/>
      <c r="X53" s="885"/>
      <c r="Y53" s="885"/>
      <c r="Z53" s="885"/>
      <c r="AA53" s="885"/>
      <c r="AB53" s="885"/>
      <c r="AC53" s="885"/>
    </row>
    <row r="54" spans="1:29" ht="11.25" customHeight="1" x14ac:dyDescent="0.2">
      <c r="A54" s="885"/>
      <c r="B54" s="885"/>
      <c r="C54" s="885"/>
      <c r="D54" s="885"/>
      <c r="E54" s="885"/>
      <c r="F54" s="885"/>
      <c r="G54" s="885"/>
      <c r="H54" s="885"/>
      <c r="I54" s="885"/>
      <c r="J54" s="885"/>
      <c r="K54" s="885"/>
      <c r="L54" s="885"/>
      <c r="M54" s="885"/>
      <c r="N54" s="885"/>
      <c r="O54" s="885"/>
      <c r="P54" s="885"/>
      <c r="Q54" s="885"/>
      <c r="R54" s="885"/>
      <c r="S54" s="885"/>
      <c r="T54" s="885"/>
      <c r="U54" s="885"/>
      <c r="V54" s="885"/>
      <c r="W54" s="885"/>
      <c r="X54" s="885"/>
      <c r="Y54" s="885"/>
      <c r="Z54" s="885"/>
      <c r="AA54" s="885"/>
      <c r="AB54" s="885"/>
      <c r="AC54" s="885"/>
    </row>
    <row r="55" spans="1:29" ht="11.25" customHeight="1" x14ac:dyDescent="0.2">
      <c r="A55" s="885"/>
      <c r="B55" s="885"/>
      <c r="C55" s="885"/>
      <c r="D55" s="885"/>
      <c r="E55" s="885"/>
      <c r="F55" s="885"/>
      <c r="G55" s="885"/>
      <c r="H55" s="885"/>
      <c r="I55" s="885"/>
      <c r="J55" s="885"/>
      <c r="K55" s="885"/>
      <c r="L55" s="885"/>
      <c r="M55" s="885"/>
      <c r="N55" s="885"/>
      <c r="O55" s="885"/>
      <c r="P55" s="885"/>
      <c r="Q55" s="885"/>
      <c r="R55" s="885"/>
      <c r="S55" s="885"/>
      <c r="T55" s="885"/>
      <c r="U55" s="885"/>
      <c r="V55" s="885"/>
      <c r="W55" s="885"/>
      <c r="X55" s="885"/>
      <c r="Y55" s="885"/>
      <c r="Z55" s="885"/>
      <c r="AA55" s="885"/>
      <c r="AB55" s="885"/>
      <c r="AC55" s="885"/>
    </row>
    <row r="56" spans="1:29" ht="11.25" customHeight="1" x14ac:dyDescent="0.2">
      <c r="A56" s="885"/>
      <c r="B56" s="885"/>
      <c r="C56" s="885"/>
      <c r="D56" s="885"/>
      <c r="E56" s="885"/>
      <c r="F56" s="885"/>
      <c r="G56" s="885"/>
      <c r="H56" s="885"/>
      <c r="I56" s="885"/>
      <c r="J56" s="885"/>
      <c r="K56" s="885"/>
      <c r="L56" s="885"/>
      <c r="M56" s="885"/>
      <c r="N56" s="885"/>
      <c r="O56" s="885"/>
      <c r="P56" s="885"/>
      <c r="Q56" s="885"/>
      <c r="R56" s="885"/>
      <c r="S56" s="885"/>
      <c r="T56" s="885"/>
      <c r="U56" s="885"/>
      <c r="V56" s="885"/>
      <c r="W56" s="885"/>
      <c r="X56" s="885"/>
      <c r="Y56" s="885"/>
      <c r="Z56" s="885"/>
      <c r="AA56" s="885"/>
      <c r="AB56" s="885"/>
      <c r="AC56" s="885"/>
    </row>
    <row r="57" spans="1:29" ht="11.25" customHeight="1" x14ac:dyDescent="0.2">
      <c r="A57" s="885"/>
      <c r="B57" s="885"/>
      <c r="C57" s="885"/>
      <c r="D57" s="885"/>
      <c r="E57" s="885"/>
      <c r="F57" s="885"/>
      <c r="G57" s="885"/>
      <c r="H57" s="885"/>
      <c r="I57" s="885"/>
      <c r="J57" s="885"/>
      <c r="K57" s="885"/>
      <c r="L57" s="885"/>
      <c r="M57" s="885"/>
      <c r="N57" s="885"/>
      <c r="O57" s="885"/>
      <c r="P57" s="885"/>
      <c r="Q57" s="885"/>
      <c r="R57" s="885"/>
      <c r="S57" s="885"/>
      <c r="T57" s="885"/>
      <c r="U57" s="885"/>
      <c r="V57" s="885"/>
      <c r="W57" s="885"/>
      <c r="X57" s="885"/>
      <c r="Y57" s="885"/>
      <c r="Z57" s="885"/>
      <c r="AA57" s="885"/>
      <c r="AB57" s="885"/>
      <c r="AC57" s="885"/>
    </row>
    <row r="58" spans="1:29" ht="11.25" customHeight="1" x14ac:dyDescent="0.2">
      <c r="A58" s="885"/>
      <c r="B58" s="885"/>
      <c r="C58" s="885"/>
      <c r="D58" s="885"/>
      <c r="E58" s="885"/>
      <c r="F58" s="885"/>
      <c r="G58" s="885"/>
      <c r="H58" s="885"/>
      <c r="I58" s="885"/>
      <c r="J58" s="885"/>
      <c r="K58" s="885"/>
      <c r="L58" s="885"/>
      <c r="M58" s="885"/>
      <c r="N58" s="885"/>
      <c r="O58" s="885"/>
      <c r="P58" s="885"/>
      <c r="Q58" s="885"/>
      <c r="R58" s="885"/>
      <c r="S58" s="885"/>
      <c r="T58" s="885"/>
      <c r="U58" s="885"/>
      <c r="V58" s="885"/>
      <c r="W58" s="885"/>
      <c r="X58" s="885"/>
      <c r="Y58" s="885"/>
      <c r="Z58" s="885"/>
      <c r="AA58" s="885"/>
      <c r="AB58" s="885"/>
      <c r="AC58" s="885"/>
    </row>
    <row r="59" spans="1:29" ht="11.25" customHeight="1" x14ac:dyDescent="0.2">
      <c r="A59" s="885"/>
      <c r="B59" s="885"/>
      <c r="C59" s="885"/>
      <c r="D59" s="885"/>
      <c r="E59" s="885"/>
      <c r="F59" s="885"/>
      <c r="G59" s="885"/>
      <c r="H59" s="885"/>
      <c r="I59" s="885"/>
      <c r="J59" s="885"/>
      <c r="K59" s="885"/>
      <c r="L59" s="885"/>
      <c r="M59" s="885"/>
      <c r="N59" s="885"/>
      <c r="O59" s="885"/>
      <c r="P59" s="885"/>
      <c r="Q59" s="885"/>
      <c r="R59" s="885"/>
      <c r="S59" s="885"/>
      <c r="T59" s="885"/>
      <c r="U59" s="885"/>
      <c r="V59" s="885"/>
      <c r="W59" s="885"/>
      <c r="X59" s="885"/>
      <c r="Y59" s="885"/>
      <c r="Z59" s="885"/>
      <c r="AA59" s="885"/>
      <c r="AB59" s="885"/>
      <c r="AC59" s="885"/>
    </row>
    <row r="60" spans="1:29" ht="11.25" customHeight="1" x14ac:dyDescent="0.2">
      <c r="A60" s="885"/>
      <c r="B60" s="885"/>
      <c r="C60" s="885"/>
      <c r="D60" s="885"/>
      <c r="E60" s="885"/>
      <c r="F60" s="885"/>
      <c r="G60" s="885"/>
      <c r="H60" s="885"/>
      <c r="I60" s="885"/>
      <c r="J60" s="885"/>
      <c r="K60" s="885"/>
      <c r="L60" s="885"/>
      <c r="M60" s="885"/>
      <c r="N60" s="885"/>
      <c r="O60" s="885"/>
      <c r="P60" s="885"/>
      <c r="Q60" s="885"/>
      <c r="R60" s="885"/>
      <c r="S60" s="885"/>
      <c r="T60" s="885"/>
      <c r="U60" s="885"/>
      <c r="V60" s="885"/>
      <c r="W60" s="885"/>
      <c r="X60" s="885"/>
      <c r="Y60" s="885"/>
      <c r="Z60" s="885"/>
      <c r="AA60" s="885"/>
      <c r="AB60" s="885"/>
      <c r="AC60" s="885"/>
    </row>
    <row r="61" spans="1:29" ht="11.25" customHeight="1" x14ac:dyDescent="0.2">
      <c r="A61" s="885"/>
      <c r="B61" s="885"/>
      <c r="C61" s="885"/>
      <c r="D61" s="885"/>
      <c r="E61" s="885"/>
      <c r="F61" s="885"/>
      <c r="G61" s="885"/>
      <c r="H61" s="885"/>
      <c r="I61" s="885"/>
      <c r="J61" s="885"/>
      <c r="K61" s="885"/>
      <c r="L61" s="885"/>
      <c r="M61" s="885"/>
      <c r="N61" s="885"/>
      <c r="O61" s="885"/>
      <c r="P61" s="885"/>
      <c r="Q61" s="885"/>
      <c r="R61" s="885"/>
      <c r="S61" s="885"/>
      <c r="T61" s="885"/>
      <c r="U61" s="885"/>
      <c r="V61" s="885"/>
      <c r="W61" s="885"/>
      <c r="X61" s="885"/>
      <c r="Y61" s="885"/>
      <c r="Z61" s="885"/>
      <c r="AA61" s="885"/>
      <c r="AB61" s="885"/>
      <c r="AC61" s="885"/>
    </row>
    <row r="62" spans="1:29" ht="11.25" customHeight="1" x14ac:dyDescent="0.2">
      <c r="A62" s="885"/>
      <c r="B62" s="885"/>
      <c r="C62" s="885"/>
      <c r="D62" s="885"/>
      <c r="E62" s="885"/>
      <c r="F62" s="885"/>
      <c r="G62" s="885"/>
      <c r="H62" s="885"/>
      <c r="I62" s="885"/>
      <c r="J62" s="885"/>
      <c r="K62" s="885"/>
      <c r="L62" s="885"/>
      <c r="M62" s="885"/>
      <c r="N62" s="885"/>
      <c r="O62" s="885"/>
      <c r="P62" s="885"/>
      <c r="Q62" s="885"/>
      <c r="R62" s="885"/>
      <c r="S62" s="885"/>
      <c r="T62" s="885"/>
      <c r="U62" s="885"/>
      <c r="V62" s="885"/>
      <c r="W62" s="885"/>
      <c r="X62" s="885"/>
      <c r="Y62" s="885"/>
      <c r="Z62" s="885"/>
      <c r="AA62" s="885"/>
      <c r="AB62" s="885"/>
      <c r="AC62" s="885"/>
    </row>
    <row r="63" spans="1:29" ht="11.25" customHeight="1" x14ac:dyDescent="0.2">
      <c r="A63" s="885"/>
      <c r="B63" s="885"/>
      <c r="C63" s="885"/>
      <c r="D63" s="885"/>
      <c r="E63" s="885"/>
      <c r="F63" s="885"/>
      <c r="G63" s="885"/>
      <c r="H63" s="885"/>
      <c r="I63" s="885"/>
      <c r="J63" s="885"/>
      <c r="K63" s="885"/>
      <c r="L63" s="885"/>
      <c r="M63" s="885"/>
      <c r="N63" s="885"/>
      <c r="O63" s="885"/>
      <c r="P63" s="885"/>
      <c r="Q63" s="885"/>
      <c r="R63" s="885"/>
      <c r="S63" s="885"/>
      <c r="T63" s="885"/>
      <c r="U63" s="885"/>
      <c r="V63" s="885"/>
      <c r="W63" s="885"/>
      <c r="X63" s="885"/>
      <c r="Y63" s="885"/>
      <c r="Z63" s="885"/>
      <c r="AA63" s="885"/>
      <c r="AB63" s="885"/>
      <c r="AC63" s="885"/>
    </row>
    <row r="64" spans="1:29" ht="11.25" customHeight="1" x14ac:dyDescent="0.2">
      <c r="A64" s="885"/>
      <c r="B64" s="885"/>
      <c r="C64" s="885"/>
      <c r="D64" s="885"/>
      <c r="E64" s="885"/>
      <c r="F64" s="885"/>
      <c r="G64" s="885"/>
      <c r="H64" s="885"/>
      <c r="I64" s="885"/>
      <c r="J64" s="885"/>
      <c r="K64" s="885"/>
      <c r="L64" s="885"/>
      <c r="M64" s="885"/>
      <c r="N64" s="885"/>
      <c r="O64" s="885"/>
      <c r="P64" s="885"/>
      <c r="Q64" s="885"/>
      <c r="R64" s="885"/>
      <c r="S64" s="885"/>
      <c r="T64" s="885"/>
      <c r="U64" s="885"/>
      <c r="V64" s="885"/>
      <c r="W64" s="885"/>
      <c r="X64" s="885"/>
      <c r="Y64" s="885"/>
      <c r="Z64" s="885"/>
      <c r="AA64" s="885"/>
      <c r="AB64" s="885"/>
      <c r="AC64" s="885"/>
    </row>
    <row r="65" spans="1:29" ht="11.25" customHeight="1" x14ac:dyDescent="0.2">
      <c r="A65" s="885"/>
      <c r="B65" s="885"/>
      <c r="C65" s="885"/>
      <c r="D65" s="885"/>
      <c r="E65" s="885"/>
      <c r="F65" s="885"/>
      <c r="G65" s="885"/>
      <c r="H65" s="885"/>
      <c r="I65" s="885"/>
      <c r="J65" s="885"/>
      <c r="K65" s="885"/>
      <c r="L65" s="885"/>
      <c r="M65" s="885"/>
      <c r="N65" s="885"/>
      <c r="O65" s="885"/>
      <c r="P65" s="885"/>
      <c r="Q65" s="885"/>
      <c r="R65" s="885"/>
      <c r="S65" s="885"/>
      <c r="T65" s="885"/>
      <c r="U65" s="885"/>
      <c r="V65" s="885"/>
      <c r="W65" s="885"/>
      <c r="X65" s="885"/>
      <c r="Y65" s="885"/>
      <c r="Z65" s="885"/>
      <c r="AA65" s="885"/>
      <c r="AB65" s="885"/>
      <c r="AC65" s="885"/>
    </row>
    <row r="66" spans="1:29" ht="11.25" customHeight="1" x14ac:dyDescent="0.2">
      <c r="A66" s="885"/>
      <c r="B66" s="885"/>
      <c r="C66" s="885"/>
      <c r="D66" s="885"/>
      <c r="E66" s="885"/>
      <c r="F66" s="885"/>
      <c r="G66" s="885"/>
      <c r="H66" s="885"/>
      <c r="I66" s="885"/>
      <c r="J66" s="885"/>
      <c r="K66" s="885"/>
      <c r="L66" s="885"/>
      <c r="M66" s="885"/>
      <c r="N66" s="885"/>
      <c r="O66" s="885"/>
      <c r="P66" s="885"/>
      <c r="Q66" s="885"/>
      <c r="R66" s="885"/>
      <c r="S66" s="885"/>
      <c r="T66" s="885"/>
      <c r="U66" s="885"/>
      <c r="V66" s="885"/>
      <c r="W66" s="885"/>
      <c r="X66" s="885"/>
      <c r="Y66" s="885"/>
      <c r="Z66" s="885"/>
      <c r="AA66" s="885"/>
      <c r="AB66" s="885"/>
      <c r="AC66" s="885"/>
    </row>
    <row r="67" spans="1:29" ht="11.25" customHeight="1" x14ac:dyDescent="0.2">
      <c r="A67" s="885"/>
      <c r="B67" s="885"/>
      <c r="C67" s="885"/>
      <c r="D67" s="885"/>
      <c r="E67" s="885"/>
      <c r="F67" s="885"/>
      <c r="G67" s="885"/>
      <c r="H67" s="885"/>
      <c r="I67" s="885"/>
      <c r="J67" s="885"/>
      <c r="K67" s="885"/>
      <c r="L67" s="885"/>
      <c r="M67" s="885"/>
      <c r="N67" s="885"/>
      <c r="O67" s="885"/>
      <c r="P67" s="885"/>
      <c r="Q67" s="885"/>
      <c r="R67" s="885"/>
      <c r="S67" s="885"/>
      <c r="T67" s="885"/>
      <c r="U67" s="885"/>
      <c r="V67" s="885"/>
      <c r="W67" s="885"/>
      <c r="X67" s="885"/>
      <c r="Y67" s="885"/>
      <c r="Z67" s="885"/>
      <c r="AA67" s="885"/>
      <c r="AB67" s="885"/>
      <c r="AC67" s="885"/>
    </row>
    <row r="68" spans="1:29" ht="11.25" customHeight="1" x14ac:dyDescent="0.2">
      <c r="A68" s="885"/>
      <c r="B68" s="885"/>
      <c r="C68" s="885"/>
      <c r="D68" s="885"/>
      <c r="E68" s="885"/>
      <c r="F68" s="885"/>
      <c r="G68" s="885"/>
      <c r="H68" s="885"/>
      <c r="I68" s="885"/>
      <c r="J68" s="885"/>
      <c r="K68" s="885"/>
      <c r="L68" s="885"/>
      <c r="M68" s="885"/>
      <c r="N68" s="885"/>
      <c r="O68" s="885"/>
      <c r="P68" s="885"/>
      <c r="Q68" s="885"/>
      <c r="R68" s="885"/>
      <c r="S68" s="885"/>
      <c r="T68" s="885"/>
      <c r="U68" s="885"/>
      <c r="V68" s="885"/>
      <c r="W68" s="885"/>
      <c r="X68" s="885"/>
      <c r="Y68" s="885"/>
      <c r="Z68" s="885"/>
      <c r="AA68" s="885"/>
      <c r="AB68" s="885"/>
      <c r="AC68" s="885"/>
    </row>
    <row r="69" spans="1:29" ht="11.25" customHeight="1" x14ac:dyDescent="0.2">
      <c r="A69" s="885"/>
      <c r="B69" s="885"/>
      <c r="C69" s="885"/>
      <c r="D69" s="885"/>
      <c r="E69" s="885"/>
      <c r="F69" s="885"/>
      <c r="G69" s="885"/>
      <c r="H69" s="885"/>
      <c r="I69" s="885"/>
      <c r="J69" s="885"/>
      <c r="K69" s="885"/>
      <c r="L69" s="885"/>
      <c r="M69" s="885"/>
      <c r="N69" s="885"/>
      <c r="O69" s="885"/>
      <c r="P69" s="885"/>
      <c r="Q69" s="885"/>
      <c r="R69" s="885"/>
      <c r="S69" s="885"/>
      <c r="T69" s="885"/>
      <c r="U69" s="885"/>
      <c r="V69" s="885"/>
      <c r="W69" s="885"/>
      <c r="X69" s="885"/>
      <c r="Y69" s="885"/>
      <c r="Z69" s="885"/>
      <c r="AA69" s="885"/>
      <c r="AB69" s="885"/>
      <c r="AC69" s="885"/>
    </row>
    <row r="70" spans="1:29" ht="11.25" customHeight="1" x14ac:dyDescent="0.2">
      <c r="A70" s="885"/>
      <c r="B70" s="885"/>
      <c r="C70" s="885"/>
      <c r="D70" s="885"/>
      <c r="E70" s="885"/>
      <c r="F70" s="885"/>
      <c r="G70" s="885"/>
      <c r="H70" s="885"/>
      <c r="I70" s="885"/>
      <c r="J70" s="885"/>
      <c r="K70" s="885"/>
      <c r="L70" s="885"/>
      <c r="M70" s="885"/>
      <c r="N70" s="885"/>
      <c r="O70" s="885"/>
      <c r="P70" s="885"/>
      <c r="Q70" s="885"/>
      <c r="R70" s="885"/>
      <c r="S70" s="885"/>
      <c r="T70" s="885"/>
      <c r="U70" s="885"/>
      <c r="V70" s="885"/>
      <c r="W70" s="885"/>
      <c r="X70" s="885"/>
      <c r="Y70" s="885"/>
      <c r="Z70" s="885"/>
      <c r="AA70" s="885"/>
      <c r="AB70" s="885"/>
      <c r="AC70" s="885"/>
    </row>
    <row r="71" spans="1:29" ht="11.25" customHeight="1" x14ac:dyDescent="0.2">
      <c r="A71" s="885"/>
      <c r="B71" s="885"/>
      <c r="C71" s="885"/>
      <c r="D71" s="885"/>
      <c r="E71" s="885"/>
      <c r="F71" s="885"/>
      <c r="G71" s="885"/>
      <c r="H71" s="885"/>
      <c r="I71" s="885"/>
      <c r="J71" s="885"/>
      <c r="K71" s="885"/>
      <c r="L71" s="885"/>
      <c r="M71" s="885"/>
      <c r="N71" s="885"/>
      <c r="O71" s="885"/>
      <c r="P71" s="885"/>
      <c r="Q71" s="885"/>
      <c r="R71" s="885"/>
      <c r="S71" s="885"/>
      <c r="T71" s="885"/>
      <c r="U71" s="885"/>
      <c r="V71" s="885"/>
      <c r="W71" s="885"/>
      <c r="X71" s="885"/>
      <c r="Y71" s="885"/>
      <c r="Z71" s="885"/>
      <c r="AA71" s="885"/>
      <c r="AB71" s="885"/>
      <c r="AC71" s="885"/>
    </row>
    <row r="72" spans="1:29" ht="11.25" customHeight="1" x14ac:dyDescent="0.2">
      <c r="A72" s="885"/>
      <c r="B72" s="885"/>
      <c r="C72" s="885"/>
      <c r="D72" s="885"/>
      <c r="E72" s="885"/>
      <c r="F72" s="885"/>
      <c r="G72" s="885"/>
      <c r="H72" s="885"/>
      <c r="I72" s="885"/>
      <c r="J72" s="885"/>
      <c r="K72" s="885"/>
      <c r="L72" s="885"/>
      <c r="M72" s="885"/>
      <c r="N72" s="885"/>
      <c r="O72" s="885"/>
      <c r="P72" s="885"/>
      <c r="Q72" s="885"/>
      <c r="R72" s="885"/>
      <c r="S72" s="885"/>
      <c r="T72" s="885"/>
      <c r="U72" s="885"/>
      <c r="V72" s="885"/>
      <c r="W72" s="885"/>
      <c r="X72" s="885"/>
      <c r="Y72" s="885"/>
      <c r="Z72" s="885"/>
      <c r="AA72" s="885"/>
      <c r="AB72" s="885"/>
      <c r="AC72" s="885"/>
    </row>
    <row r="73" spans="1:29" ht="11.25" customHeight="1" x14ac:dyDescent="0.2">
      <c r="A73" s="885"/>
      <c r="B73" s="885"/>
      <c r="C73" s="885"/>
      <c r="D73" s="885"/>
      <c r="E73" s="885"/>
      <c r="F73" s="885"/>
      <c r="G73" s="885"/>
      <c r="H73" s="885"/>
      <c r="I73" s="885"/>
      <c r="J73" s="885"/>
      <c r="K73" s="885"/>
      <c r="L73" s="885"/>
      <c r="M73" s="885"/>
      <c r="N73" s="885"/>
      <c r="O73" s="885"/>
      <c r="P73" s="885"/>
      <c r="Q73" s="885"/>
      <c r="R73" s="885"/>
      <c r="S73" s="885"/>
      <c r="T73" s="885"/>
      <c r="U73" s="885"/>
      <c r="V73" s="885"/>
      <c r="W73" s="885"/>
      <c r="X73" s="885"/>
      <c r="Y73" s="885"/>
      <c r="Z73" s="885"/>
      <c r="AA73" s="885"/>
      <c r="AB73" s="885"/>
      <c r="AC73" s="885"/>
    </row>
    <row r="74" spans="1:29" ht="11.25" customHeight="1" x14ac:dyDescent="0.2">
      <c r="A74" s="885"/>
      <c r="B74" s="885"/>
      <c r="C74" s="885"/>
      <c r="D74" s="885"/>
      <c r="E74" s="885"/>
      <c r="F74" s="885"/>
      <c r="G74" s="885"/>
      <c r="H74" s="885"/>
      <c r="I74" s="885"/>
      <c r="J74" s="885"/>
      <c r="K74" s="885"/>
      <c r="L74" s="885"/>
      <c r="M74" s="885"/>
      <c r="N74" s="885"/>
      <c r="O74" s="885"/>
      <c r="P74" s="885"/>
      <c r="Q74" s="885"/>
      <c r="R74" s="885"/>
      <c r="S74" s="885"/>
      <c r="T74" s="885"/>
      <c r="U74" s="885"/>
      <c r="V74" s="885"/>
      <c r="W74" s="885"/>
      <c r="X74" s="885"/>
      <c r="Y74" s="885"/>
      <c r="Z74" s="885"/>
      <c r="AA74" s="885"/>
      <c r="AB74" s="885"/>
      <c r="AC74" s="885"/>
    </row>
    <row r="75" spans="1:29" ht="11.25" customHeight="1" x14ac:dyDescent="0.2">
      <c r="A75" s="885"/>
      <c r="B75" s="885"/>
      <c r="C75" s="885"/>
      <c r="D75" s="885"/>
      <c r="E75" s="885"/>
      <c r="F75" s="885"/>
      <c r="G75" s="885"/>
      <c r="H75" s="885"/>
      <c r="I75" s="885"/>
      <c r="J75" s="885"/>
      <c r="K75" s="885"/>
      <c r="L75" s="885"/>
      <c r="M75" s="885"/>
      <c r="N75" s="885"/>
      <c r="O75" s="885"/>
      <c r="P75" s="885"/>
      <c r="Q75" s="885"/>
      <c r="R75" s="885"/>
      <c r="S75" s="885"/>
      <c r="T75" s="885"/>
      <c r="U75" s="885"/>
      <c r="V75" s="885"/>
      <c r="W75" s="885"/>
      <c r="X75" s="885"/>
      <c r="Y75" s="885"/>
      <c r="Z75" s="885"/>
      <c r="AA75" s="885"/>
      <c r="AB75" s="885"/>
      <c r="AC75" s="885"/>
    </row>
    <row r="76" spans="1:29" ht="11.25" customHeight="1" x14ac:dyDescent="0.2">
      <c r="A76" s="885"/>
      <c r="B76" s="885"/>
      <c r="C76" s="885"/>
      <c r="D76" s="885"/>
      <c r="E76" s="885"/>
      <c r="F76" s="885"/>
      <c r="G76" s="885"/>
      <c r="H76" s="885"/>
      <c r="I76" s="885"/>
      <c r="J76" s="885"/>
      <c r="K76" s="885"/>
      <c r="L76" s="885"/>
      <c r="M76" s="885"/>
      <c r="N76" s="885"/>
      <c r="O76" s="885"/>
      <c r="P76" s="885"/>
      <c r="Q76" s="885"/>
      <c r="R76" s="885"/>
      <c r="S76" s="885"/>
      <c r="T76" s="885"/>
      <c r="U76" s="885"/>
      <c r="V76" s="885"/>
      <c r="W76" s="885"/>
      <c r="X76" s="885"/>
      <c r="Y76" s="885"/>
      <c r="Z76" s="885"/>
      <c r="AA76" s="885"/>
      <c r="AB76" s="885"/>
      <c r="AC76" s="885"/>
    </row>
    <row r="77" spans="1:29" ht="11.25" customHeight="1" x14ac:dyDescent="0.2">
      <c r="A77" s="885"/>
      <c r="B77" s="885"/>
      <c r="C77" s="885"/>
      <c r="D77" s="885"/>
      <c r="E77" s="885"/>
      <c r="F77" s="885"/>
      <c r="G77" s="885"/>
      <c r="H77" s="885"/>
      <c r="I77" s="885"/>
      <c r="J77" s="885"/>
      <c r="K77" s="885"/>
      <c r="L77" s="885"/>
      <c r="M77" s="885"/>
      <c r="N77" s="885"/>
      <c r="O77" s="885"/>
      <c r="P77" s="885"/>
      <c r="Q77" s="885"/>
      <c r="R77" s="885"/>
      <c r="S77" s="885"/>
      <c r="T77" s="885"/>
      <c r="U77" s="885"/>
      <c r="V77" s="885"/>
      <c r="W77" s="885"/>
      <c r="X77" s="885"/>
      <c r="Y77" s="885"/>
      <c r="Z77" s="885"/>
      <c r="AA77" s="885"/>
      <c r="AB77" s="885"/>
      <c r="AC77" s="885"/>
    </row>
    <row r="78" spans="1:29" ht="11.25" customHeight="1" x14ac:dyDescent="0.2">
      <c r="A78" s="885"/>
      <c r="B78" s="885"/>
      <c r="C78" s="885"/>
      <c r="D78" s="885"/>
      <c r="E78" s="885"/>
      <c r="F78" s="885"/>
      <c r="G78" s="885"/>
      <c r="H78" s="885"/>
      <c r="I78" s="885"/>
      <c r="J78" s="885"/>
      <c r="K78" s="885"/>
      <c r="L78" s="885"/>
      <c r="M78" s="885"/>
      <c r="N78" s="885"/>
      <c r="O78" s="885"/>
      <c r="P78" s="885"/>
      <c r="Q78" s="885"/>
      <c r="R78" s="885"/>
      <c r="S78" s="885"/>
      <c r="T78" s="885"/>
      <c r="U78" s="885"/>
      <c r="V78" s="885"/>
      <c r="W78" s="885"/>
      <c r="X78" s="885"/>
      <c r="Y78" s="885"/>
      <c r="Z78" s="885"/>
      <c r="AA78" s="885"/>
      <c r="AB78" s="885"/>
      <c r="AC78" s="885"/>
    </row>
    <row r="79" spans="1:29" ht="11.25" customHeight="1" x14ac:dyDescent="0.2">
      <c r="A79" s="885"/>
      <c r="B79" s="885"/>
      <c r="C79" s="885"/>
      <c r="D79" s="885"/>
      <c r="E79" s="885"/>
      <c r="F79" s="885"/>
      <c r="G79" s="885"/>
      <c r="H79" s="885"/>
      <c r="I79" s="885"/>
      <c r="J79" s="885"/>
      <c r="K79" s="885"/>
      <c r="L79" s="885"/>
      <c r="M79" s="885"/>
      <c r="N79" s="885"/>
      <c r="O79" s="885"/>
      <c r="P79" s="885"/>
      <c r="Q79" s="885"/>
      <c r="R79" s="885"/>
      <c r="S79" s="885"/>
      <c r="T79" s="885"/>
      <c r="U79" s="885"/>
      <c r="V79" s="885"/>
      <c r="W79" s="885"/>
      <c r="X79" s="885"/>
      <c r="Y79" s="885"/>
      <c r="Z79" s="885"/>
      <c r="AA79" s="885"/>
      <c r="AB79" s="885"/>
      <c r="AC79" s="885"/>
    </row>
    <row r="80" spans="1:29" ht="11.25" customHeight="1" x14ac:dyDescent="0.2">
      <c r="A80" s="885"/>
      <c r="B80" s="885"/>
      <c r="C80" s="885"/>
      <c r="D80" s="885"/>
      <c r="E80" s="885"/>
      <c r="F80" s="885"/>
      <c r="G80" s="885"/>
      <c r="H80" s="885"/>
      <c r="I80" s="885"/>
      <c r="J80" s="885"/>
      <c r="K80" s="885"/>
      <c r="L80" s="885"/>
      <c r="M80" s="885"/>
      <c r="N80" s="885"/>
      <c r="O80" s="885"/>
      <c r="P80" s="885"/>
      <c r="Q80" s="885"/>
      <c r="R80" s="885"/>
      <c r="S80" s="885"/>
      <c r="T80" s="885"/>
      <c r="U80" s="885"/>
      <c r="V80" s="885"/>
      <c r="W80" s="885"/>
      <c r="X80" s="885"/>
      <c r="Y80" s="885"/>
      <c r="Z80" s="885"/>
      <c r="AA80" s="885"/>
      <c r="AB80" s="885"/>
      <c r="AC80" s="885"/>
    </row>
    <row r="81" spans="1:29" ht="11.25" customHeight="1" x14ac:dyDescent="0.2">
      <c r="A81" s="885"/>
      <c r="B81" s="885"/>
      <c r="C81" s="885"/>
      <c r="D81" s="885"/>
      <c r="E81" s="885"/>
      <c r="F81" s="885"/>
      <c r="G81" s="885"/>
      <c r="H81" s="885"/>
      <c r="I81" s="885"/>
      <c r="J81" s="885"/>
      <c r="K81" s="885"/>
      <c r="L81" s="885"/>
      <c r="M81" s="885"/>
      <c r="N81" s="885"/>
      <c r="O81" s="885"/>
      <c r="P81" s="885"/>
      <c r="Q81" s="885"/>
      <c r="R81" s="885"/>
      <c r="S81" s="885"/>
      <c r="T81" s="885"/>
      <c r="U81" s="885"/>
      <c r="V81" s="885"/>
      <c r="W81" s="885"/>
      <c r="X81" s="885"/>
      <c r="Y81" s="885"/>
      <c r="Z81" s="885"/>
      <c r="AA81" s="885"/>
      <c r="AB81" s="885"/>
      <c r="AC81" s="885"/>
    </row>
    <row r="82" spans="1:29" ht="11.25" customHeight="1" x14ac:dyDescent="0.2">
      <c r="A82" s="885"/>
      <c r="B82" s="885"/>
      <c r="C82" s="885"/>
      <c r="D82" s="885"/>
      <c r="E82" s="885"/>
      <c r="F82" s="885"/>
      <c r="G82" s="885"/>
      <c r="H82" s="885"/>
      <c r="I82" s="885"/>
      <c r="J82" s="885"/>
      <c r="K82" s="885"/>
      <c r="L82" s="885"/>
      <c r="M82" s="885"/>
      <c r="N82" s="885"/>
      <c r="O82" s="885"/>
      <c r="P82" s="885"/>
      <c r="Q82" s="885"/>
      <c r="R82" s="885"/>
      <c r="S82" s="885"/>
      <c r="T82" s="885"/>
      <c r="U82" s="885"/>
      <c r="V82" s="885"/>
      <c r="W82" s="885"/>
      <c r="X82" s="885"/>
      <c r="Y82" s="885"/>
      <c r="Z82" s="885"/>
      <c r="AA82" s="885"/>
      <c r="AB82" s="885"/>
      <c r="AC82" s="885"/>
    </row>
    <row r="83" spans="1:29" ht="11.25" customHeight="1" x14ac:dyDescent="0.2">
      <c r="A83" s="885"/>
      <c r="B83" s="885"/>
      <c r="C83" s="885"/>
      <c r="D83" s="885"/>
      <c r="E83" s="885"/>
      <c r="F83" s="885"/>
      <c r="G83" s="885"/>
      <c r="H83" s="885"/>
      <c r="I83" s="885"/>
      <c r="J83" s="885"/>
      <c r="K83" s="885"/>
      <c r="L83" s="885"/>
      <c r="M83" s="885"/>
      <c r="N83" s="885"/>
      <c r="O83" s="885"/>
      <c r="P83" s="885"/>
      <c r="Q83" s="885"/>
      <c r="R83" s="885"/>
      <c r="S83" s="885"/>
      <c r="T83" s="885"/>
      <c r="U83" s="885"/>
      <c r="V83" s="885"/>
      <c r="W83" s="885"/>
      <c r="X83" s="885"/>
      <c r="Y83" s="885"/>
      <c r="Z83" s="885"/>
      <c r="AA83" s="885"/>
      <c r="AB83" s="885"/>
      <c r="AC83" s="885"/>
    </row>
    <row r="84" spans="1:29" ht="11.25" customHeight="1" x14ac:dyDescent="0.2">
      <c r="A84" s="885"/>
      <c r="B84" s="885"/>
      <c r="C84" s="885"/>
      <c r="D84" s="885"/>
      <c r="E84" s="885"/>
      <c r="F84" s="885"/>
      <c r="G84" s="885"/>
      <c r="H84" s="885"/>
      <c r="I84" s="885"/>
      <c r="J84" s="885"/>
      <c r="K84" s="885"/>
      <c r="L84" s="885"/>
      <c r="M84" s="885"/>
      <c r="N84" s="885"/>
      <c r="O84" s="885"/>
      <c r="P84" s="885"/>
      <c r="Q84" s="885"/>
      <c r="R84" s="885"/>
      <c r="S84" s="885"/>
      <c r="T84" s="885"/>
      <c r="U84" s="885"/>
      <c r="V84" s="885"/>
      <c r="W84" s="885"/>
      <c r="X84" s="885"/>
      <c r="Y84" s="885"/>
      <c r="Z84" s="885"/>
      <c r="AA84" s="885"/>
      <c r="AB84" s="885"/>
      <c r="AC84" s="885"/>
    </row>
    <row r="85" spans="1:29" ht="11.25" customHeight="1" x14ac:dyDescent="0.2">
      <c r="A85" s="885"/>
      <c r="B85" s="885"/>
      <c r="C85" s="885"/>
      <c r="D85" s="885"/>
      <c r="E85" s="885"/>
      <c r="F85" s="885"/>
      <c r="G85" s="885"/>
      <c r="H85" s="885"/>
      <c r="I85" s="885"/>
      <c r="J85" s="885"/>
      <c r="K85" s="885"/>
      <c r="L85" s="885"/>
      <c r="M85" s="885"/>
      <c r="N85" s="885"/>
      <c r="O85" s="885"/>
      <c r="P85" s="885"/>
      <c r="Q85" s="885"/>
      <c r="R85" s="885"/>
      <c r="S85" s="885"/>
      <c r="T85" s="885"/>
      <c r="U85" s="885"/>
      <c r="V85" s="885"/>
      <c r="W85" s="885"/>
      <c r="X85" s="885"/>
      <c r="Y85" s="885"/>
      <c r="Z85" s="885"/>
      <c r="AA85" s="885"/>
      <c r="AB85" s="885"/>
      <c r="AC85" s="885"/>
    </row>
    <row r="86" spans="1:29" ht="11.25" customHeight="1" x14ac:dyDescent="0.2">
      <c r="A86" s="885"/>
      <c r="B86" s="885"/>
      <c r="C86" s="885"/>
      <c r="D86" s="885"/>
      <c r="E86" s="885"/>
      <c r="F86" s="885"/>
      <c r="G86" s="885"/>
      <c r="H86" s="885"/>
      <c r="I86" s="885"/>
      <c r="J86" s="885"/>
      <c r="K86" s="885"/>
      <c r="L86" s="885"/>
      <c r="M86" s="885"/>
      <c r="N86" s="885"/>
      <c r="O86" s="885"/>
      <c r="P86" s="885"/>
      <c r="Q86" s="885"/>
      <c r="R86" s="885"/>
      <c r="S86" s="885"/>
      <c r="T86" s="885"/>
      <c r="U86" s="885"/>
      <c r="V86" s="885"/>
      <c r="W86" s="885"/>
      <c r="X86" s="885"/>
      <c r="Y86" s="885"/>
      <c r="Z86" s="885"/>
      <c r="AA86" s="885"/>
      <c r="AB86" s="885"/>
      <c r="AC86" s="885"/>
    </row>
    <row r="87" spans="1:29" ht="11.25" customHeight="1" x14ac:dyDescent="0.2">
      <c r="A87" s="885"/>
      <c r="B87" s="885"/>
      <c r="C87" s="885"/>
      <c r="D87" s="885"/>
      <c r="E87" s="885"/>
      <c r="F87" s="885"/>
      <c r="G87" s="885"/>
      <c r="H87" s="885"/>
      <c r="I87" s="885"/>
      <c r="J87" s="885"/>
      <c r="K87" s="885"/>
      <c r="L87" s="885"/>
      <c r="M87" s="885"/>
      <c r="N87" s="885"/>
      <c r="O87" s="885"/>
      <c r="P87" s="885"/>
      <c r="Q87" s="885"/>
      <c r="R87" s="885"/>
      <c r="S87" s="885"/>
      <c r="T87" s="885"/>
      <c r="U87" s="885"/>
      <c r="V87" s="885"/>
      <c r="W87" s="885"/>
      <c r="X87" s="885"/>
      <c r="Y87" s="885"/>
      <c r="Z87" s="885"/>
      <c r="AA87" s="885"/>
      <c r="AB87" s="885"/>
      <c r="AC87" s="885"/>
    </row>
    <row r="88" spans="1:29" ht="11.25" customHeight="1" x14ac:dyDescent="0.2">
      <c r="A88" s="885"/>
      <c r="B88" s="885"/>
      <c r="C88" s="885"/>
      <c r="D88" s="885"/>
      <c r="E88" s="885"/>
      <c r="F88" s="885"/>
      <c r="G88" s="885"/>
      <c r="H88" s="885"/>
      <c r="I88" s="885"/>
      <c r="J88" s="885"/>
      <c r="K88" s="885"/>
      <c r="L88" s="885"/>
      <c r="M88" s="885"/>
      <c r="N88" s="885"/>
      <c r="O88" s="885"/>
      <c r="P88" s="885"/>
      <c r="Q88" s="885"/>
      <c r="R88" s="885"/>
      <c r="S88" s="885"/>
      <c r="T88" s="885"/>
      <c r="U88" s="885"/>
      <c r="V88" s="885"/>
      <c r="W88" s="885"/>
      <c r="X88" s="885"/>
      <c r="Y88" s="885"/>
      <c r="Z88" s="885"/>
      <c r="AA88" s="885"/>
      <c r="AB88" s="885"/>
      <c r="AC88" s="885"/>
    </row>
    <row r="89" spans="1:29" ht="11.25" customHeight="1" x14ac:dyDescent="0.2">
      <c r="A89" s="885"/>
      <c r="B89" s="885"/>
      <c r="C89" s="885"/>
      <c r="D89" s="885"/>
      <c r="E89" s="885"/>
      <c r="F89" s="885"/>
      <c r="G89" s="885"/>
      <c r="H89" s="885"/>
      <c r="I89" s="885"/>
      <c r="J89" s="885"/>
      <c r="K89" s="885"/>
      <c r="L89" s="885"/>
      <c r="M89" s="885"/>
      <c r="N89" s="885"/>
      <c r="O89" s="885"/>
      <c r="P89" s="885"/>
      <c r="Q89" s="885"/>
      <c r="R89" s="885"/>
      <c r="S89" s="885"/>
      <c r="T89" s="885"/>
      <c r="U89" s="885"/>
      <c r="V89" s="885"/>
      <c r="W89" s="885"/>
      <c r="X89" s="885"/>
      <c r="Y89" s="885"/>
      <c r="Z89" s="885"/>
      <c r="AA89" s="885"/>
      <c r="AB89" s="885"/>
      <c r="AC89" s="885"/>
    </row>
    <row r="90" spans="1:29" ht="11.25" customHeight="1" x14ac:dyDescent="0.2">
      <c r="A90" s="885"/>
      <c r="B90" s="885"/>
      <c r="C90" s="885"/>
      <c r="D90" s="885"/>
      <c r="E90" s="885"/>
      <c r="F90" s="885"/>
      <c r="G90" s="885"/>
      <c r="H90" s="885"/>
      <c r="I90" s="885"/>
      <c r="J90" s="885"/>
      <c r="K90" s="885"/>
      <c r="L90" s="885"/>
      <c r="M90" s="885"/>
      <c r="N90" s="885"/>
      <c r="O90" s="885"/>
      <c r="P90" s="885"/>
      <c r="Q90" s="885"/>
      <c r="R90" s="885"/>
      <c r="S90" s="885"/>
      <c r="T90" s="885"/>
      <c r="U90" s="885"/>
      <c r="V90" s="885"/>
      <c r="W90" s="885"/>
      <c r="X90" s="885"/>
      <c r="Y90" s="885"/>
      <c r="Z90" s="885"/>
      <c r="AA90" s="885"/>
      <c r="AB90" s="885"/>
      <c r="AC90" s="885"/>
    </row>
    <row r="91" spans="1:29" ht="11.25" customHeight="1" x14ac:dyDescent="0.2">
      <c r="A91" s="885"/>
      <c r="B91" s="885"/>
      <c r="C91" s="885"/>
      <c r="D91" s="885"/>
      <c r="E91" s="885"/>
      <c r="F91" s="885"/>
      <c r="G91" s="885"/>
      <c r="H91" s="885"/>
      <c r="I91" s="885"/>
      <c r="J91" s="885"/>
      <c r="K91" s="885"/>
      <c r="L91" s="885"/>
      <c r="M91" s="885"/>
      <c r="N91" s="885"/>
      <c r="O91" s="885"/>
      <c r="P91" s="885"/>
      <c r="Q91" s="885"/>
      <c r="R91" s="885"/>
      <c r="S91" s="885"/>
      <c r="T91" s="885"/>
      <c r="U91" s="885"/>
      <c r="V91" s="885"/>
      <c r="W91" s="885"/>
      <c r="X91" s="885"/>
      <c r="Y91" s="885"/>
      <c r="Z91" s="885"/>
      <c r="AA91" s="885"/>
      <c r="AB91" s="885"/>
      <c r="AC91" s="885"/>
    </row>
    <row r="92" spans="1:29" ht="11.25" customHeight="1" x14ac:dyDescent="0.2">
      <c r="A92" s="885"/>
      <c r="B92" s="885"/>
      <c r="C92" s="885"/>
      <c r="D92" s="885"/>
      <c r="E92" s="885"/>
      <c r="F92" s="885"/>
      <c r="G92" s="885"/>
      <c r="H92" s="885"/>
      <c r="I92" s="885"/>
      <c r="J92" s="885"/>
      <c r="K92" s="885"/>
      <c r="L92" s="885"/>
      <c r="M92" s="885"/>
      <c r="N92" s="885"/>
      <c r="O92" s="885"/>
      <c r="P92" s="885"/>
      <c r="Q92" s="885"/>
      <c r="R92" s="885"/>
      <c r="S92" s="885"/>
      <c r="T92" s="885"/>
      <c r="U92" s="885"/>
      <c r="V92" s="885"/>
      <c r="W92" s="885"/>
      <c r="X92" s="885"/>
      <c r="Y92" s="885"/>
      <c r="Z92" s="885"/>
      <c r="AA92" s="885"/>
      <c r="AB92" s="885"/>
      <c r="AC92" s="885"/>
    </row>
    <row r="93" spans="1:29" ht="11.25" customHeight="1" x14ac:dyDescent="0.2">
      <c r="A93" s="885"/>
      <c r="B93" s="885"/>
      <c r="C93" s="885"/>
      <c r="D93" s="885"/>
      <c r="E93" s="885"/>
      <c r="F93" s="885"/>
      <c r="G93" s="885"/>
      <c r="H93" s="885"/>
      <c r="I93" s="885"/>
      <c r="J93" s="885"/>
      <c r="K93" s="885"/>
      <c r="L93" s="885"/>
      <c r="M93" s="885"/>
      <c r="N93" s="885"/>
      <c r="O93" s="885"/>
      <c r="P93" s="885"/>
      <c r="Q93" s="885"/>
      <c r="R93" s="885"/>
      <c r="S93" s="885"/>
      <c r="T93" s="885"/>
      <c r="U93" s="885"/>
      <c r="V93" s="885"/>
      <c r="W93" s="885"/>
      <c r="X93" s="885"/>
      <c r="Y93" s="885"/>
      <c r="Z93" s="885"/>
      <c r="AA93" s="885"/>
      <c r="AB93" s="885"/>
      <c r="AC93" s="885"/>
    </row>
    <row r="94" spans="1:29" ht="11.25" customHeight="1" x14ac:dyDescent="0.2">
      <c r="A94" s="885"/>
      <c r="B94" s="885"/>
      <c r="C94" s="885"/>
      <c r="D94" s="885"/>
      <c r="E94" s="885"/>
      <c r="F94" s="885"/>
      <c r="G94" s="885"/>
      <c r="H94" s="885"/>
      <c r="I94" s="885"/>
      <c r="J94" s="885"/>
      <c r="K94" s="885"/>
      <c r="L94" s="885"/>
      <c r="M94" s="885"/>
      <c r="N94" s="885"/>
      <c r="O94" s="885"/>
      <c r="P94" s="885"/>
      <c r="Q94" s="885"/>
      <c r="R94" s="885"/>
      <c r="S94" s="885"/>
      <c r="T94" s="885"/>
      <c r="U94" s="885"/>
      <c r="V94" s="885"/>
      <c r="W94" s="885"/>
      <c r="X94" s="885"/>
      <c r="Y94" s="885"/>
      <c r="Z94" s="885"/>
      <c r="AA94" s="885"/>
      <c r="AB94" s="885"/>
      <c r="AC94" s="885"/>
    </row>
    <row r="95" spans="1:29" ht="11.25" customHeight="1" x14ac:dyDescent="0.2">
      <c r="A95" s="885"/>
      <c r="B95" s="885"/>
      <c r="C95" s="885"/>
      <c r="D95" s="885"/>
      <c r="E95" s="885"/>
      <c r="F95" s="885"/>
      <c r="G95" s="885"/>
      <c r="H95" s="885"/>
      <c r="I95" s="885"/>
      <c r="J95" s="885"/>
      <c r="K95" s="885"/>
      <c r="L95" s="885"/>
      <c r="M95" s="885"/>
      <c r="N95" s="885"/>
      <c r="O95" s="885"/>
      <c r="P95" s="885"/>
      <c r="Q95" s="885"/>
      <c r="R95" s="885"/>
      <c r="S95" s="885"/>
      <c r="T95" s="885"/>
      <c r="U95" s="885"/>
      <c r="V95" s="885"/>
      <c r="W95" s="885"/>
      <c r="X95" s="885"/>
      <c r="Y95" s="885"/>
      <c r="Z95" s="885"/>
      <c r="AA95" s="885"/>
      <c r="AB95" s="885"/>
      <c r="AC95" s="885"/>
    </row>
    <row r="96" spans="1:29" ht="11.25" customHeight="1" x14ac:dyDescent="0.2">
      <c r="A96" s="885"/>
      <c r="B96" s="885"/>
      <c r="C96" s="885"/>
      <c r="D96" s="885"/>
      <c r="E96" s="885"/>
      <c r="F96" s="885"/>
      <c r="G96" s="885"/>
      <c r="H96" s="885"/>
      <c r="I96" s="885"/>
      <c r="J96" s="885"/>
      <c r="K96" s="885"/>
      <c r="L96" s="885"/>
      <c r="M96" s="885"/>
      <c r="N96" s="885"/>
      <c r="O96" s="885"/>
      <c r="P96" s="885"/>
      <c r="Q96" s="885"/>
      <c r="R96" s="885"/>
      <c r="S96" s="885"/>
      <c r="T96" s="885"/>
      <c r="U96" s="885"/>
      <c r="V96" s="885"/>
      <c r="W96" s="885"/>
      <c r="X96" s="885"/>
      <c r="Y96" s="885"/>
      <c r="Z96" s="885"/>
      <c r="AA96" s="885"/>
      <c r="AB96" s="885"/>
      <c r="AC96" s="885"/>
    </row>
    <row r="97" spans="1:29" ht="11.25" customHeight="1" x14ac:dyDescent="0.2">
      <c r="A97" s="885"/>
      <c r="B97" s="885"/>
      <c r="C97" s="885"/>
      <c r="D97" s="885"/>
      <c r="E97" s="885"/>
      <c r="F97" s="885"/>
      <c r="G97" s="885"/>
      <c r="H97" s="885"/>
      <c r="I97" s="885"/>
      <c r="J97" s="885"/>
      <c r="K97" s="885"/>
      <c r="L97" s="885"/>
      <c r="M97" s="885"/>
      <c r="N97" s="885"/>
      <c r="O97" s="885"/>
      <c r="P97" s="885"/>
      <c r="Q97" s="885"/>
      <c r="R97" s="885"/>
      <c r="S97" s="885"/>
      <c r="T97" s="885"/>
      <c r="U97" s="885"/>
      <c r="V97" s="885"/>
      <c r="W97" s="885"/>
      <c r="X97" s="885"/>
      <c r="Y97" s="885"/>
      <c r="Z97" s="885"/>
      <c r="AA97" s="885"/>
      <c r="AB97" s="885"/>
      <c r="AC97" s="885"/>
    </row>
    <row r="98" spans="1:29" ht="11.25" customHeight="1" x14ac:dyDescent="0.2">
      <c r="A98" s="885"/>
      <c r="B98" s="885"/>
      <c r="C98" s="885"/>
      <c r="D98" s="885"/>
      <c r="E98" s="885"/>
      <c r="F98" s="885"/>
      <c r="G98" s="885"/>
      <c r="H98" s="885"/>
      <c r="I98" s="885"/>
      <c r="J98" s="885"/>
      <c r="K98" s="885"/>
      <c r="L98" s="885"/>
      <c r="M98" s="885"/>
      <c r="N98" s="885"/>
      <c r="O98" s="885"/>
      <c r="P98" s="885"/>
      <c r="Q98" s="885"/>
      <c r="R98" s="885"/>
      <c r="S98" s="885"/>
      <c r="T98" s="885"/>
      <c r="U98" s="885"/>
      <c r="V98" s="885"/>
      <c r="W98" s="885"/>
      <c r="X98" s="885"/>
      <c r="Y98" s="885"/>
      <c r="Z98" s="885"/>
      <c r="AA98" s="885"/>
      <c r="AB98" s="885"/>
      <c r="AC98" s="885"/>
    </row>
    <row r="99" spans="1:29" ht="11.25" customHeight="1" x14ac:dyDescent="0.2">
      <c r="A99" s="885"/>
      <c r="B99" s="885"/>
      <c r="C99" s="885"/>
      <c r="D99" s="885"/>
      <c r="E99" s="885"/>
      <c r="F99" s="885"/>
      <c r="G99" s="885"/>
      <c r="H99" s="885"/>
      <c r="I99" s="885"/>
      <c r="J99" s="885"/>
      <c r="K99" s="885"/>
      <c r="L99" s="885"/>
      <c r="M99" s="885"/>
      <c r="N99" s="885"/>
      <c r="O99" s="885"/>
      <c r="P99" s="885"/>
      <c r="Q99" s="885"/>
      <c r="R99" s="885"/>
      <c r="S99" s="885"/>
      <c r="T99" s="885"/>
      <c r="U99" s="885"/>
      <c r="V99" s="885"/>
      <c r="W99" s="885"/>
      <c r="X99" s="885"/>
      <c r="Y99" s="885"/>
      <c r="Z99" s="885"/>
      <c r="AA99" s="885"/>
      <c r="AB99" s="885"/>
      <c r="AC99" s="885"/>
    </row>
    <row r="100" spans="1:29" ht="11.25" customHeight="1" x14ac:dyDescent="0.2">
      <c r="A100" s="885"/>
      <c r="B100" s="885"/>
      <c r="C100" s="885"/>
      <c r="D100" s="885"/>
      <c r="E100" s="885"/>
      <c r="F100" s="885"/>
      <c r="G100" s="885"/>
      <c r="H100" s="885"/>
      <c r="I100" s="885"/>
      <c r="J100" s="885"/>
      <c r="K100" s="885"/>
      <c r="L100" s="885"/>
      <c r="M100" s="885"/>
      <c r="N100" s="885"/>
      <c r="O100" s="885"/>
      <c r="P100" s="885"/>
      <c r="Q100" s="885"/>
      <c r="R100" s="885"/>
      <c r="S100" s="885"/>
      <c r="T100" s="885"/>
      <c r="U100" s="885"/>
      <c r="V100" s="885"/>
      <c r="W100" s="885"/>
      <c r="X100" s="885"/>
      <c r="Y100" s="885"/>
      <c r="Z100" s="885"/>
      <c r="AA100" s="885"/>
      <c r="AB100" s="885"/>
      <c r="AC100" s="885"/>
    </row>
    <row r="101" spans="1:29" ht="11.25" customHeight="1" x14ac:dyDescent="0.2">
      <c r="A101" s="885"/>
      <c r="B101" s="885"/>
      <c r="C101" s="885"/>
      <c r="D101" s="885"/>
      <c r="E101" s="885"/>
      <c r="F101" s="885"/>
      <c r="G101" s="885"/>
      <c r="H101" s="885"/>
      <c r="I101" s="885"/>
      <c r="J101" s="885"/>
      <c r="K101" s="885"/>
      <c r="L101" s="885"/>
      <c r="M101" s="885"/>
      <c r="N101" s="885"/>
      <c r="O101" s="885"/>
      <c r="P101" s="885"/>
      <c r="Q101" s="885"/>
      <c r="R101" s="885"/>
      <c r="S101" s="885"/>
      <c r="T101" s="885"/>
      <c r="U101" s="885"/>
      <c r="V101" s="885"/>
      <c r="W101" s="885"/>
      <c r="X101" s="885"/>
      <c r="Y101" s="885"/>
      <c r="Z101" s="885"/>
      <c r="AA101" s="885"/>
      <c r="AB101" s="885"/>
      <c r="AC101" s="885"/>
    </row>
    <row r="102" spans="1:29" ht="11.25" customHeight="1" x14ac:dyDescent="0.2">
      <c r="A102" s="885"/>
      <c r="B102" s="885"/>
      <c r="C102" s="885"/>
      <c r="D102" s="885"/>
      <c r="E102" s="885"/>
      <c r="F102" s="885"/>
      <c r="G102" s="885"/>
      <c r="H102" s="885"/>
      <c r="I102" s="885"/>
      <c r="J102" s="885"/>
      <c r="K102" s="885"/>
      <c r="L102" s="885"/>
      <c r="M102" s="885"/>
      <c r="N102" s="885"/>
      <c r="O102" s="885"/>
      <c r="P102" s="885"/>
      <c r="Q102" s="885"/>
      <c r="R102" s="885"/>
      <c r="S102" s="885"/>
      <c r="T102" s="885"/>
      <c r="U102" s="885"/>
      <c r="V102" s="885"/>
      <c r="W102" s="885"/>
      <c r="X102" s="885"/>
      <c r="Y102" s="885"/>
      <c r="Z102" s="885"/>
      <c r="AA102" s="885"/>
      <c r="AB102" s="885"/>
      <c r="AC102" s="885"/>
    </row>
    <row r="103" spans="1:29" ht="11.25" customHeight="1" x14ac:dyDescent="0.2">
      <c r="A103" s="885"/>
      <c r="B103" s="885"/>
      <c r="C103" s="885"/>
      <c r="D103" s="885"/>
      <c r="E103" s="885"/>
      <c r="F103" s="885"/>
      <c r="G103" s="885"/>
      <c r="H103" s="885"/>
      <c r="I103" s="885"/>
      <c r="J103" s="885"/>
      <c r="K103" s="885"/>
      <c r="L103" s="885"/>
      <c r="M103" s="885"/>
      <c r="N103" s="885"/>
      <c r="O103" s="885"/>
      <c r="P103" s="885"/>
      <c r="Q103" s="885"/>
      <c r="R103" s="885"/>
      <c r="S103" s="885"/>
      <c r="T103" s="885"/>
      <c r="U103" s="885"/>
      <c r="V103" s="885"/>
      <c r="W103" s="885"/>
      <c r="X103" s="885"/>
      <c r="Y103" s="885"/>
      <c r="Z103" s="885"/>
      <c r="AA103" s="885"/>
      <c r="AB103" s="885"/>
      <c r="AC103" s="885"/>
    </row>
    <row r="104" spans="1:29" ht="11.25" customHeight="1" x14ac:dyDescent="0.2">
      <c r="A104" s="885"/>
      <c r="B104" s="885"/>
      <c r="C104" s="885"/>
      <c r="D104" s="885"/>
      <c r="E104" s="885"/>
      <c r="F104" s="885"/>
      <c r="G104" s="885"/>
      <c r="H104" s="885"/>
      <c r="I104" s="885"/>
      <c r="J104" s="885"/>
      <c r="K104" s="885"/>
      <c r="L104" s="885"/>
      <c r="M104" s="885"/>
      <c r="N104" s="885"/>
      <c r="O104" s="885"/>
      <c r="P104" s="885"/>
      <c r="Q104" s="885"/>
      <c r="R104" s="885"/>
      <c r="S104" s="885"/>
      <c r="T104" s="885"/>
      <c r="U104" s="885"/>
      <c r="V104" s="885"/>
      <c r="W104" s="885"/>
      <c r="X104" s="885"/>
      <c r="Y104" s="885"/>
      <c r="Z104" s="885"/>
      <c r="AA104" s="885"/>
      <c r="AB104" s="885"/>
      <c r="AC104" s="885"/>
    </row>
    <row r="105" spans="1:29" ht="11.25" customHeight="1" x14ac:dyDescent="0.2">
      <c r="A105" s="885"/>
      <c r="B105" s="885"/>
      <c r="C105" s="885"/>
      <c r="D105" s="885"/>
      <c r="E105" s="885"/>
      <c r="F105" s="885"/>
      <c r="G105" s="885"/>
      <c r="H105" s="885"/>
      <c r="I105" s="885"/>
      <c r="J105" s="885"/>
      <c r="K105" s="885"/>
      <c r="L105" s="885"/>
      <c r="M105" s="885"/>
      <c r="N105" s="885"/>
      <c r="O105" s="885"/>
      <c r="P105" s="885"/>
      <c r="Q105" s="885"/>
      <c r="R105" s="885"/>
      <c r="S105" s="885"/>
      <c r="T105" s="885"/>
      <c r="U105" s="885"/>
      <c r="V105" s="885"/>
      <c r="W105" s="885"/>
      <c r="X105" s="885"/>
      <c r="Y105" s="885"/>
      <c r="Z105" s="885"/>
      <c r="AA105" s="885"/>
      <c r="AB105" s="885"/>
      <c r="AC105" s="885"/>
    </row>
    <row r="106" spans="1:29" ht="11.25" customHeight="1" x14ac:dyDescent="0.2">
      <c r="A106" s="885"/>
      <c r="B106" s="885"/>
      <c r="C106" s="885"/>
      <c r="D106" s="885"/>
      <c r="E106" s="885"/>
      <c r="F106" s="885"/>
      <c r="G106" s="885"/>
      <c r="H106" s="885"/>
      <c r="I106" s="885"/>
      <c r="J106" s="885"/>
      <c r="K106" s="885"/>
      <c r="L106" s="885"/>
      <c r="M106" s="885"/>
      <c r="N106" s="885"/>
      <c r="O106" s="885"/>
      <c r="P106" s="885"/>
      <c r="Q106" s="885"/>
      <c r="R106" s="885"/>
      <c r="S106" s="885"/>
      <c r="T106" s="885"/>
      <c r="U106" s="885"/>
      <c r="V106" s="885"/>
      <c r="W106" s="885"/>
      <c r="X106" s="885"/>
      <c r="Y106" s="885"/>
      <c r="Z106" s="885"/>
      <c r="AA106" s="885"/>
      <c r="AB106" s="885"/>
      <c r="AC106" s="885"/>
    </row>
    <row r="107" spans="1:29" ht="11.25" customHeight="1" x14ac:dyDescent="0.2">
      <c r="A107" s="885"/>
      <c r="B107" s="885"/>
      <c r="C107" s="885"/>
      <c r="D107" s="885"/>
      <c r="E107" s="885"/>
      <c r="F107" s="885"/>
      <c r="G107" s="885"/>
      <c r="H107" s="885"/>
      <c r="I107" s="885"/>
      <c r="J107" s="885"/>
      <c r="K107" s="885"/>
      <c r="L107" s="885"/>
      <c r="M107" s="885"/>
      <c r="N107" s="885"/>
      <c r="O107" s="885"/>
      <c r="P107" s="885"/>
      <c r="Q107" s="885"/>
      <c r="R107" s="885"/>
      <c r="S107" s="885"/>
      <c r="T107" s="885"/>
      <c r="U107" s="885"/>
      <c r="V107" s="885"/>
      <c r="W107" s="885"/>
      <c r="X107" s="885"/>
      <c r="Y107" s="885"/>
      <c r="Z107" s="885"/>
      <c r="AA107" s="885"/>
      <c r="AB107" s="885"/>
      <c r="AC107" s="885"/>
    </row>
    <row r="108" spans="1:29" ht="11.25" customHeight="1" x14ac:dyDescent="0.2">
      <c r="A108" s="885"/>
      <c r="B108" s="885"/>
      <c r="C108" s="885"/>
      <c r="D108" s="885"/>
      <c r="E108" s="885"/>
      <c r="F108" s="885"/>
      <c r="G108" s="885"/>
      <c r="H108" s="885"/>
      <c r="I108" s="885"/>
      <c r="J108" s="885"/>
      <c r="K108" s="885"/>
      <c r="L108" s="885"/>
      <c r="M108" s="885"/>
      <c r="N108" s="885"/>
      <c r="O108" s="885"/>
      <c r="P108" s="885"/>
      <c r="Q108" s="885"/>
      <c r="R108" s="885"/>
      <c r="S108" s="885"/>
      <c r="T108" s="885"/>
      <c r="U108" s="885"/>
      <c r="V108" s="885"/>
      <c r="W108" s="885"/>
      <c r="X108" s="885"/>
      <c r="Y108" s="885"/>
      <c r="Z108" s="885"/>
      <c r="AA108" s="885"/>
      <c r="AB108" s="885"/>
      <c r="AC108" s="885"/>
    </row>
    <row r="109" spans="1:29" ht="11.25" customHeight="1" x14ac:dyDescent="0.2">
      <c r="A109" s="885"/>
      <c r="B109" s="885"/>
      <c r="C109" s="885"/>
      <c r="D109" s="885"/>
      <c r="E109" s="885"/>
      <c r="F109" s="885"/>
      <c r="G109" s="885"/>
      <c r="H109" s="885"/>
      <c r="I109" s="885"/>
      <c r="J109" s="885"/>
      <c r="K109" s="885"/>
      <c r="L109" s="885"/>
      <c r="M109" s="885"/>
      <c r="N109" s="885"/>
      <c r="O109" s="885"/>
      <c r="P109" s="885"/>
      <c r="Q109" s="885"/>
      <c r="R109" s="885"/>
      <c r="S109" s="885"/>
      <c r="T109" s="885"/>
      <c r="U109" s="885"/>
      <c r="V109" s="885"/>
      <c r="W109" s="885"/>
      <c r="X109" s="885"/>
      <c r="Y109" s="885"/>
      <c r="Z109" s="885"/>
      <c r="AA109" s="885"/>
      <c r="AB109" s="885"/>
      <c r="AC109" s="885"/>
    </row>
    <row r="110" spans="1:29" ht="11.25" customHeight="1" x14ac:dyDescent="0.2">
      <c r="A110" s="885"/>
      <c r="B110" s="885"/>
      <c r="C110" s="885"/>
      <c r="D110" s="885"/>
      <c r="E110" s="885"/>
      <c r="F110" s="885"/>
      <c r="G110" s="885"/>
      <c r="H110" s="885"/>
      <c r="I110" s="885"/>
      <c r="J110" s="885"/>
      <c r="K110" s="885"/>
      <c r="L110" s="885"/>
      <c r="M110" s="885"/>
      <c r="N110" s="885"/>
      <c r="O110" s="885"/>
      <c r="P110" s="885"/>
      <c r="Q110" s="885"/>
      <c r="R110" s="885"/>
      <c r="S110" s="885"/>
      <c r="T110" s="885"/>
      <c r="U110" s="885"/>
      <c r="V110" s="885"/>
      <c r="W110" s="885"/>
      <c r="X110" s="885"/>
      <c r="Y110" s="885"/>
      <c r="Z110" s="885"/>
      <c r="AA110" s="885"/>
      <c r="AB110" s="885"/>
      <c r="AC110" s="885"/>
    </row>
    <row r="111" spans="1:29" ht="11.25" customHeight="1" x14ac:dyDescent="0.2">
      <c r="A111" s="885"/>
      <c r="B111" s="885"/>
      <c r="C111" s="885"/>
      <c r="D111" s="885"/>
      <c r="E111" s="885"/>
      <c r="F111" s="885"/>
      <c r="G111" s="885"/>
      <c r="H111" s="885"/>
      <c r="I111" s="885"/>
      <c r="J111" s="885"/>
      <c r="K111" s="885"/>
      <c r="L111" s="885"/>
      <c r="M111" s="885"/>
      <c r="N111" s="885"/>
      <c r="O111" s="885"/>
      <c r="P111" s="885"/>
      <c r="Q111" s="885"/>
      <c r="R111" s="885"/>
      <c r="S111" s="885"/>
      <c r="T111" s="885"/>
      <c r="U111" s="885"/>
      <c r="V111" s="885"/>
      <c r="W111" s="885"/>
      <c r="X111" s="885"/>
      <c r="Y111" s="885"/>
      <c r="Z111" s="885"/>
      <c r="AA111" s="885"/>
      <c r="AB111" s="885"/>
      <c r="AC111" s="885"/>
    </row>
    <row r="112" spans="1:29" ht="11.25" customHeight="1" x14ac:dyDescent="0.2">
      <c r="A112" s="885"/>
      <c r="B112" s="885"/>
      <c r="C112" s="885"/>
      <c r="D112" s="885"/>
      <c r="E112" s="885"/>
      <c r="F112" s="885"/>
      <c r="G112" s="885"/>
      <c r="H112" s="885"/>
      <c r="I112" s="885"/>
      <c r="J112" s="885"/>
      <c r="K112" s="885"/>
      <c r="L112" s="885"/>
      <c r="M112" s="885"/>
      <c r="N112" s="885"/>
      <c r="O112" s="885"/>
      <c r="P112" s="885"/>
      <c r="Q112" s="885"/>
      <c r="R112" s="885"/>
      <c r="S112" s="885"/>
      <c r="T112" s="885"/>
      <c r="U112" s="885"/>
      <c r="V112" s="885"/>
      <c r="W112" s="885"/>
      <c r="X112" s="885"/>
      <c r="Y112" s="885"/>
      <c r="Z112" s="885"/>
      <c r="AA112" s="885"/>
      <c r="AB112" s="885"/>
      <c r="AC112" s="885"/>
    </row>
    <row r="113" spans="1:29" ht="11.25" customHeight="1" x14ac:dyDescent="0.2">
      <c r="A113" s="885"/>
      <c r="B113" s="885"/>
      <c r="C113" s="885"/>
      <c r="D113" s="885"/>
      <c r="E113" s="885"/>
      <c r="F113" s="885"/>
      <c r="G113" s="885"/>
      <c r="H113" s="885"/>
      <c r="I113" s="885"/>
      <c r="J113" s="885"/>
      <c r="K113" s="885"/>
      <c r="L113" s="885"/>
      <c r="M113" s="885"/>
      <c r="N113" s="885"/>
      <c r="O113" s="885"/>
      <c r="P113" s="885"/>
      <c r="Q113" s="885"/>
      <c r="R113" s="885"/>
      <c r="S113" s="885"/>
      <c r="T113" s="885"/>
      <c r="U113" s="885"/>
      <c r="V113" s="885"/>
      <c r="W113" s="885"/>
      <c r="X113" s="885"/>
      <c r="Y113" s="885"/>
      <c r="Z113" s="885"/>
      <c r="AA113" s="885"/>
      <c r="AB113" s="885"/>
      <c r="AC113" s="885"/>
    </row>
    <row r="114" spans="1:29" ht="11.25" customHeight="1" x14ac:dyDescent="0.2">
      <c r="A114" s="885"/>
      <c r="B114" s="885"/>
      <c r="C114" s="885"/>
      <c r="D114" s="885"/>
      <c r="E114" s="885"/>
      <c r="F114" s="885"/>
      <c r="G114" s="885"/>
      <c r="H114" s="885"/>
      <c r="I114" s="885"/>
      <c r="J114" s="885"/>
      <c r="K114" s="885"/>
      <c r="L114" s="885"/>
      <c r="M114" s="885"/>
      <c r="N114" s="885"/>
      <c r="O114" s="885"/>
      <c r="P114" s="885"/>
      <c r="Q114" s="885"/>
      <c r="R114" s="885"/>
      <c r="S114" s="885"/>
      <c r="T114" s="885"/>
      <c r="U114" s="885"/>
      <c r="V114" s="885"/>
      <c r="W114" s="885"/>
      <c r="X114" s="885"/>
      <c r="Y114" s="885"/>
      <c r="Z114" s="885"/>
      <c r="AA114" s="885"/>
      <c r="AB114" s="885"/>
      <c r="AC114" s="885"/>
    </row>
    <row r="115" spans="1:29" ht="11.25" customHeight="1" x14ac:dyDescent="0.2">
      <c r="A115" s="885"/>
      <c r="B115" s="885"/>
      <c r="C115" s="885"/>
      <c r="D115" s="885"/>
      <c r="E115" s="885"/>
      <c r="F115" s="885"/>
      <c r="G115" s="885"/>
      <c r="H115" s="885"/>
      <c r="I115" s="885"/>
      <c r="J115" s="885"/>
      <c r="K115" s="885"/>
      <c r="L115" s="885"/>
      <c r="M115" s="885"/>
      <c r="N115" s="885"/>
      <c r="O115" s="885"/>
      <c r="P115" s="885"/>
      <c r="Q115" s="885"/>
      <c r="R115" s="885"/>
      <c r="S115" s="885"/>
      <c r="T115" s="885"/>
      <c r="U115" s="885"/>
      <c r="V115" s="885"/>
      <c r="W115" s="885"/>
      <c r="X115" s="885"/>
      <c r="Y115" s="885"/>
      <c r="Z115" s="885"/>
      <c r="AA115" s="885"/>
      <c r="AB115" s="885"/>
      <c r="AC115" s="885"/>
    </row>
    <row r="116" spans="1:29" ht="11.25" customHeight="1" x14ac:dyDescent="0.2">
      <c r="A116" s="885"/>
      <c r="B116" s="885"/>
      <c r="C116" s="885"/>
      <c r="D116" s="885"/>
      <c r="E116" s="885"/>
      <c r="F116" s="885"/>
      <c r="G116" s="885"/>
      <c r="H116" s="885"/>
      <c r="I116" s="885"/>
      <c r="J116" s="885"/>
      <c r="K116" s="885"/>
      <c r="L116" s="885"/>
      <c r="M116" s="885"/>
      <c r="N116" s="885"/>
      <c r="O116" s="885"/>
      <c r="P116" s="885"/>
      <c r="Q116" s="885"/>
      <c r="R116" s="885"/>
      <c r="S116" s="885"/>
      <c r="T116" s="885"/>
      <c r="U116" s="885"/>
      <c r="V116" s="885"/>
      <c r="W116" s="885"/>
      <c r="X116" s="885"/>
      <c r="Y116" s="885"/>
      <c r="Z116" s="885"/>
      <c r="AA116" s="885"/>
      <c r="AB116" s="885"/>
      <c r="AC116" s="885"/>
    </row>
    <row r="117" spans="1:29" ht="11.25" customHeight="1" x14ac:dyDescent="0.2">
      <c r="A117" s="885"/>
      <c r="B117" s="885"/>
      <c r="C117" s="885"/>
      <c r="D117" s="885"/>
      <c r="E117" s="885"/>
      <c r="F117" s="885"/>
      <c r="G117" s="885"/>
      <c r="H117" s="885"/>
      <c r="I117" s="885"/>
      <c r="J117" s="885"/>
      <c r="K117" s="885"/>
      <c r="L117" s="885"/>
      <c r="M117" s="885"/>
      <c r="N117" s="885"/>
      <c r="O117" s="885"/>
      <c r="P117" s="885"/>
      <c r="Q117" s="885"/>
      <c r="R117" s="885"/>
      <c r="S117" s="885"/>
      <c r="T117" s="885"/>
      <c r="U117" s="885"/>
      <c r="V117" s="885"/>
      <c r="W117" s="885"/>
      <c r="X117" s="885"/>
      <c r="Y117" s="885"/>
      <c r="Z117" s="885"/>
      <c r="AA117" s="885"/>
      <c r="AB117" s="885"/>
      <c r="AC117" s="885"/>
    </row>
    <row r="118" spans="1:29" ht="11.25" customHeight="1" x14ac:dyDescent="0.2">
      <c r="A118" s="885"/>
      <c r="B118" s="885"/>
      <c r="C118" s="885"/>
      <c r="D118" s="885"/>
      <c r="E118" s="885"/>
      <c r="F118" s="885"/>
      <c r="G118" s="885"/>
      <c r="H118" s="885"/>
      <c r="I118" s="885"/>
      <c r="J118" s="885"/>
      <c r="K118" s="885"/>
      <c r="L118" s="885"/>
      <c r="M118" s="885"/>
      <c r="N118" s="885"/>
      <c r="O118" s="885"/>
      <c r="P118" s="885"/>
      <c r="Q118" s="885"/>
      <c r="R118" s="885"/>
      <c r="S118" s="885"/>
      <c r="T118" s="885"/>
      <c r="U118" s="885"/>
      <c r="V118" s="885"/>
      <c r="W118" s="885"/>
      <c r="X118" s="885"/>
      <c r="Y118" s="885"/>
      <c r="Z118" s="885"/>
      <c r="AA118" s="885"/>
      <c r="AB118" s="885"/>
      <c r="AC118" s="885"/>
    </row>
    <row r="119" spans="1:29" ht="11.25" customHeight="1" x14ac:dyDescent="0.2">
      <c r="A119" s="885"/>
      <c r="B119" s="885"/>
      <c r="C119" s="885"/>
      <c r="D119" s="885"/>
      <c r="E119" s="885"/>
      <c r="F119" s="885"/>
      <c r="G119" s="885"/>
      <c r="H119" s="885"/>
      <c r="I119" s="885"/>
      <c r="J119" s="885"/>
      <c r="K119" s="885"/>
      <c r="L119" s="885"/>
      <c r="M119" s="885"/>
      <c r="N119" s="885"/>
      <c r="O119" s="885"/>
      <c r="P119" s="885"/>
      <c r="Q119" s="885"/>
      <c r="R119" s="885"/>
      <c r="S119" s="885"/>
      <c r="T119" s="885"/>
      <c r="U119" s="885"/>
      <c r="V119" s="885"/>
      <c r="W119" s="885"/>
      <c r="X119" s="885"/>
      <c r="Y119" s="885"/>
      <c r="Z119" s="885"/>
      <c r="AA119" s="885"/>
      <c r="AB119" s="885"/>
      <c r="AC119" s="885"/>
    </row>
    <row r="120" spans="1:29" ht="11.25" customHeight="1" x14ac:dyDescent="0.2">
      <c r="A120" s="885"/>
      <c r="B120" s="885"/>
      <c r="C120" s="885"/>
      <c r="D120" s="885"/>
      <c r="E120" s="885"/>
      <c r="F120" s="885"/>
      <c r="G120" s="885"/>
      <c r="H120" s="885"/>
      <c r="I120" s="885"/>
      <c r="J120" s="885"/>
      <c r="K120" s="885"/>
      <c r="L120" s="885"/>
      <c r="M120" s="885"/>
      <c r="N120" s="885"/>
      <c r="O120" s="885"/>
      <c r="P120" s="885"/>
      <c r="Q120" s="885"/>
      <c r="R120" s="885"/>
      <c r="S120" s="885"/>
      <c r="T120" s="885"/>
      <c r="U120" s="885"/>
      <c r="V120" s="885"/>
      <c r="W120" s="885"/>
      <c r="X120" s="885"/>
      <c r="Y120" s="885"/>
      <c r="Z120" s="885"/>
      <c r="AA120" s="885"/>
      <c r="AB120" s="885"/>
      <c r="AC120" s="885"/>
    </row>
    <row r="121" spans="1:29" ht="11.25" customHeight="1" x14ac:dyDescent="0.2">
      <c r="A121" s="885"/>
      <c r="B121" s="885"/>
      <c r="C121" s="885"/>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5"/>
      <c r="AA121" s="885"/>
      <c r="AB121" s="885"/>
      <c r="AC121" s="885"/>
    </row>
    <row r="122" spans="1:29" ht="11.25" customHeight="1" x14ac:dyDescent="0.2">
      <c r="A122" s="885"/>
      <c r="B122" s="885"/>
      <c r="C122" s="885"/>
      <c r="D122" s="885"/>
      <c r="E122" s="885"/>
      <c r="F122" s="885"/>
      <c r="G122" s="885"/>
      <c r="H122" s="885"/>
      <c r="I122" s="885"/>
      <c r="J122" s="885"/>
      <c r="K122" s="885"/>
      <c r="L122" s="885"/>
      <c r="M122" s="885"/>
      <c r="N122" s="885"/>
      <c r="O122" s="885"/>
      <c r="P122" s="885"/>
      <c r="Q122" s="885"/>
      <c r="R122" s="885"/>
      <c r="S122" s="885"/>
      <c r="T122" s="885"/>
      <c r="U122" s="885"/>
      <c r="V122" s="885"/>
      <c r="W122" s="885"/>
      <c r="X122" s="885"/>
      <c r="Y122" s="885"/>
      <c r="Z122" s="885"/>
      <c r="AA122" s="885"/>
      <c r="AB122" s="885"/>
      <c r="AC122" s="885"/>
    </row>
    <row r="123" spans="1:29" ht="11.25" customHeight="1" x14ac:dyDescent="0.2">
      <c r="A123" s="885"/>
      <c r="B123" s="885"/>
      <c r="C123" s="885"/>
      <c r="D123" s="885"/>
      <c r="E123" s="885"/>
      <c r="F123" s="885"/>
      <c r="G123" s="885"/>
      <c r="H123" s="885"/>
      <c r="I123" s="885"/>
      <c r="J123" s="885"/>
      <c r="K123" s="885"/>
      <c r="L123" s="885"/>
      <c r="M123" s="885"/>
      <c r="N123" s="885"/>
      <c r="O123" s="885"/>
      <c r="P123" s="885"/>
      <c r="Q123" s="885"/>
      <c r="R123" s="885"/>
      <c r="S123" s="885"/>
      <c r="T123" s="885"/>
      <c r="U123" s="885"/>
      <c r="V123" s="885"/>
      <c r="W123" s="885"/>
      <c r="X123" s="885"/>
      <c r="Y123" s="885"/>
      <c r="Z123" s="885"/>
      <c r="AA123" s="885"/>
      <c r="AB123" s="885"/>
      <c r="AC123" s="885"/>
    </row>
    <row r="124" spans="1:29" ht="11.25" customHeight="1" x14ac:dyDescent="0.2">
      <c r="A124" s="885"/>
      <c r="B124" s="885"/>
      <c r="C124" s="885"/>
      <c r="D124" s="885"/>
      <c r="E124" s="885"/>
      <c r="F124" s="885"/>
      <c r="G124" s="885"/>
      <c r="H124" s="885"/>
      <c r="I124" s="885"/>
      <c r="J124" s="885"/>
      <c r="K124" s="885"/>
      <c r="L124" s="885"/>
      <c r="M124" s="885"/>
      <c r="N124" s="885"/>
      <c r="O124" s="885"/>
      <c r="P124" s="885"/>
      <c r="Q124" s="885"/>
      <c r="R124" s="885"/>
      <c r="S124" s="885"/>
      <c r="T124" s="885"/>
      <c r="U124" s="885"/>
      <c r="V124" s="885"/>
      <c r="W124" s="885"/>
      <c r="X124" s="885"/>
      <c r="Y124" s="885"/>
      <c r="Z124" s="885"/>
      <c r="AA124" s="885"/>
      <c r="AB124" s="885"/>
      <c r="AC124" s="885"/>
    </row>
    <row r="125" spans="1:29" ht="11.25" customHeight="1" x14ac:dyDescent="0.2">
      <c r="A125" s="885"/>
      <c r="B125" s="885"/>
      <c r="C125" s="885"/>
      <c r="D125" s="885"/>
      <c r="E125" s="885"/>
      <c r="F125" s="885"/>
      <c r="G125" s="885"/>
      <c r="H125" s="885"/>
      <c r="I125" s="885"/>
      <c r="J125" s="885"/>
      <c r="K125" s="885"/>
      <c r="L125" s="885"/>
      <c r="M125" s="885"/>
      <c r="N125" s="885"/>
      <c r="O125" s="885"/>
      <c r="P125" s="885"/>
      <c r="Q125" s="885"/>
      <c r="R125" s="885"/>
      <c r="S125" s="885"/>
      <c r="T125" s="885"/>
      <c r="U125" s="885"/>
      <c r="V125" s="885"/>
      <c r="W125" s="885"/>
      <c r="X125" s="885"/>
      <c r="Y125" s="885"/>
      <c r="Z125" s="885"/>
      <c r="AA125" s="885"/>
      <c r="AB125" s="885"/>
      <c r="AC125" s="885"/>
    </row>
    <row r="126" spans="1:29" ht="11.25" customHeight="1" x14ac:dyDescent="0.2">
      <c r="A126" s="885"/>
      <c r="B126" s="885"/>
      <c r="C126" s="885"/>
      <c r="D126" s="885"/>
      <c r="E126" s="885"/>
      <c r="F126" s="885"/>
      <c r="G126" s="885"/>
      <c r="H126" s="885"/>
      <c r="I126" s="885"/>
      <c r="J126" s="885"/>
      <c r="K126" s="885"/>
      <c r="L126" s="885"/>
      <c r="M126" s="885"/>
      <c r="N126" s="885"/>
      <c r="O126" s="885"/>
      <c r="P126" s="885"/>
      <c r="Q126" s="885"/>
      <c r="R126" s="885"/>
      <c r="S126" s="885"/>
      <c r="T126" s="885"/>
      <c r="U126" s="885"/>
      <c r="V126" s="885"/>
      <c r="W126" s="885"/>
      <c r="X126" s="885"/>
      <c r="Y126" s="885"/>
      <c r="Z126" s="885"/>
      <c r="AA126" s="885"/>
      <c r="AB126" s="885"/>
      <c r="AC126" s="885"/>
    </row>
    <row r="127" spans="1:29" ht="11.25" customHeight="1" x14ac:dyDescent="0.2">
      <c r="A127" s="885"/>
      <c r="B127" s="885"/>
      <c r="C127" s="885"/>
      <c r="D127" s="885"/>
      <c r="E127" s="885"/>
      <c r="F127" s="885"/>
      <c r="G127" s="885"/>
      <c r="H127" s="885"/>
      <c r="I127" s="885"/>
      <c r="J127" s="885"/>
      <c r="K127" s="885"/>
      <c r="L127" s="885"/>
      <c r="M127" s="885"/>
      <c r="N127" s="885"/>
      <c r="O127" s="885"/>
      <c r="P127" s="885"/>
      <c r="Q127" s="885"/>
      <c r="R127" s="885"/>
      <c r="S127" s="885"/>
      <c r="T127" s="885"/>
      <c r="U127" s="885"/>
      <c r="V127" s="885"/>
      <c r="W127" s="885"/>
      <c r="X127" s="885"/>
      <c r="Y127" s="885"/>
      <c r="Z127" s="885"/>
      <c r="AA127" s="885"/>
      <c r="AB127" s="885"/>
      <c r="AC127" s="885"/>
    </row>
    <row r="128" spans="1:29" ht="11.25" customHeight="1" x14ac:dyDescent="0.2">
      <c r="A128" s="885"/>
      <c r="B128" s="885"/>
      <c r="C128" s="885"/>
      <c r="D128" s="885"/>
      <c r="E128" s="885"/>
      <c r="F128" s="885"/>
      <c r="G128" s="885"/>
      <c r="H128" s="885"/>
      <c r="I128" s="885"/>
      <c r="J128" s="885"/>
      <c r="K128" s="885"/>
      <c r="L128" s="885"/>
      <c r="M128" s="885"/>
      <c r="N128" s="885"/>
      <c r="O128" s="885"/>
      <c r="P128" s="885"/>
      <c r="Q128" s="885"/>
      <c r="R128" s="885"/>
      <c r="S128" s="885"/>
      <c r="T128" s="885"/>
      <c r="U128" s="885"/>
      <c r="V128" s="885"/>
      <c r="W128" s="885"/>
      <c r="X128" s="885"/>
      <c r="Y128" s="885"/>
      <c r="Z128" s="885"/>
      <c r="AA128" s="885"/>
      <c r="AB128" s="885"/>
      <c r="AC128" s="885"/>
    </row>
    <row r="129" spans="1:29" ht="11.25" customHeight="1" x14ac:dyDescent="0.2">
      <c r="A129" s="885"/>
      <c r="B129" s="885"/>
      <c r="C129" s="885"/>
      <c r="D129" s="885"/>
      <c r="E129" s="885"/>
      <c r="F129" s="885"/>
      <c r="G129" s="885"/>
      <c r="H129" s="885"/>
      <c r="I129" s="885"/>
      <c r="J129" s="885"/>
      <c r="K129" s="885"/>
      <c r="L129" s="885"/>
      <c r="M129" s="885"/>
      <c r="N129" s="885"/>
      <c r="O129" s="885"/>
      <c r="P129" s="885"/>
      <c r="Q129" s="885"/>
      <c r="R129" s="885"/>
      <c r="S129" s="885"/>
      <c r="T129" s="885"/>
      <c r="U129" s="885"/>
      <c r="V129" s="885"/>
      <c r="W129" s="885"/>
      <c r="X129" s="885"/>
      <c r="Y129" s="885"/>
      <c r="Z129" s="885"/>
      <c r="AA129" s="885"/>
      <c r="AB129" s="885"/>
      <c r="AC129" s="885"/>
    </row>
    <row r="130" spans="1:29" ht="11.25" customHeight="1" x14ac:dyDescent="0.2">
      <c r="A130" s="885"/>
      <c r="B130" s="885"/>
      <c r="C130" s="885"/>
      <c r="D130" s="885"/>
      <c r="E130" s="885"/>
      <c r="F130" s="885"/>
      <c r="G130" s="885"/>
      <c r="H130" s="885"/>
      <c r="I130" s="885"/>
      <c r="J130" s="885"/>
      <c r="K130" s="885"/>
      <c r="L130" s="885"/>
      <c r="M130" s="885"/>
      <c r="N130" s="885"/>
      <c r="O130" s="885"/>
      <c r="P130" s="885"/>
      <c r="Q130" s="885"/>
      <c r="R130" s="885"/>
      <c r="S130" s="885"/>
      <c r="T130" s="885"/>
      <c r="U130" s="885"/>
      <c r="V130" s="885"/>
      <c r="W130" s="885"/>
      <c r="X130" s="885"/>
      <c r="Y130" s="885"/>
      <c r="Z130" s="885"/>
      <c r="AA130" s="885"/>
      <c r="AB130" s="885"/>
      <c r="AC130" s="885"/>
    </row>
    <row r="131" spans="1:29" ht="11.25" customHeight="1" x14ac:dyDescent="0.2">
      <c r="A131" s="885"/>
      <c r="B131" s="885"/>
      <c r="C131" s="885"/>
      <c r="D131" s="885"/>
      <c r="E131" s="885"/>
      <c r="F131" s="885"/>
      <c r="G131" s="885"/>
      <c r="H131" s="885"/>
      <c r="I131" s="885"/>
      <c r="J131" s="885"/>
      <c r="K131" s="885"/>
      <c r="L131" s="885"/>
      <c r="M131" s="885"/>
      <c r="N131" s="885"/>
      <c r="O131" s="885"/>
      <c r="P131" s="885"/>
      <c r="Q131" s="885"/>
      <c r="R131" s="885"/>
      <c r="S131" s="885"/>
      <c r="T131" s="885"/>
      <c r="U131" s="885"/>
      <c r="V131" s="885"/>
      <c r="W131" s="885"/>
      <c r="X131" s="885"/>
      <c r="Y131" s="885"/>
      <c r="Z131" s="885"/>
      <c r="AA131" s="885"/>
      <c r="AB131" s="885"/>
      <c r="AC131" s="885"/>
    </row>
    <row r="132" spans="1:29" ht="11.25" customHeight="1" x14ac:dyDescent="0.2">
      <c r="A132" s="885"/>
      <c r="B132" s="885"/>
      <c r="C132" s="885"/>
      <c r="D132" s="885"/>
      <c r="E132" s="885"/>
      <c r="F132" s="885"/>
      <c r="G132" s="885"/>
      <c r="H132" s="885"/>
      <c r="I132" s="885"/>
      <c r="J132" s="885"/>
      <c r="K132" s="885"/>
      <c r="L132" s="885"/>
      <c r="M132" s="885"/>
      <c r="N132" s="885"/>
      <c r="O132" s="885"/>
      <c r="P132" s="885"/>
      <c r="Q132" s="885"/>
      <c r="R132" s="885"/>
      <c r="S132" s="885"/>
      <c r="T132" s="885"/>
      <c r="U132" s="885"/>
      <c r="V132" s="885"/>
      <c r="W132" s="885"/>
      <c r="X132" s="885"/>
      <c r="Y132" s="885"/>
      <c r="Z132" s="885"/>
      <c r="AA132" s="885"/>
      <c r="AB132" s="885"/>
      <c r="AC132" s="885"/>
    </row>
    <row r="133" spans="1:29" ht="11.25" customHeight="1" x14ac:dyDescent="0.2">
      <c r="A133" s="885"/>
      <c r="B133" s="885"/>
      <c r="C133" s="885"/>
      <c r="D133" s="885"/>
      <c r="E133" s="885"/>
      <c r="F133" s="885"/>
      <c r="G133" s="885"/>
      <c r="H133" s="885"/>
      <c r="I133" s="885"/>
      <c r="J133" s="885"/>
      <c r="K133" s="885"/>
      <c r="L133" s="885"/>
      <c r="M133" s="885"/>
      <c r="N133" s="885"/>
      <c r="O133" s="885"/>
      <c r="P133" s="885"/>
      <c r="Q133" s="885"/>
      <c r="R133" s="885"/>
      <c r="S133" s="885"/>
      <c r="T133" s="885"/>
      <c r="U133" s="885"/>
      <c r="V133" s="885"/>
      <c r="W133" s="885"/>
      <c r="X133" s="885"/>
      <c r="Y133" s="885"/>
      <c r="Z133" s="885"/>
      <c r="AA133" s="885"/>
      <c r="AB133" s="885"/>
      <c r="AC133" s="885"/>
    </row>
    <row r="134" spans="1:29" ht="11.25" customHeight="1" x14ac:dyDescent="0.2">
      <c r="A134" s="885"/>
      <c r="B134" s="885"/>
      <c r="C134" s="885"/>
      <c r="D134" s="885"/>
      <c r="E134" s="885"/>
      <c r="F134" s="885"/>
      <c r="G134" s="885"/>
      <c r="H134" s="885"/>
      <c r="I134" s="885"/>
      <c r="J134" s="885"/>
      <c r="K134" s="885"/>
      <c r="L134" s="885"/>
      <c r="M134" s="885"/>
      <c r="N134" s="885"/>
      <c r="O134" s="885"/>
      <c r="P134" s="885"/>
      <c r="Q134" s="885"/>
      <c r="R134" s="885"/>
      <c r="S134" s="885"/>
      <c r="T134" s="885"/>
      <c r="U134" s="885"/>
      <c r="V134" s="885"/>
      <c r="W134" s="885"/>
      <c r="X134" s="885"/>
      <c r="Y134" s="885"/>
      <c r="Z134" s="885"/>
      <c r="AA134" s="885"/>
      <c r="AB134" s="885"/>
      <c r="AC134" s="885"/>
    </row>
    <row r="135" spans="1:29" ht="11.25" customHeight="1" x14ac:dyDescent="0.2">
      <c r="A135" s="885"/>
      <c r="B135" s="885"/>
      <c r="C135" s="885"/>
      <c r="D135" s="885"/>
      <c r="E135" s="885"/>
      <c r="F135" s="885"/>
      <c r="G135" s="885"/>
      <c r="H135" s="885"/>
      <c r="I135" s="885"/>
      <c r="J135" s="885"/>
      <c r="K135" s="885"/>
      <c r="L135" s="885"/>
      <c r="M135" s="885"/>
      <c r="N135" s="885"/>
      <c r="O135" s="885"/>
      <c r="P135" s="885"/>
      <c r="Q135" s="885"/>
      <c r="R135" s="885"/>
      <c r="S135" s="885"/>
      <c r="T135" s="885"/>
      <c r="U135" s="885"/>
      <c r="V135" s="885"/>
      <c r="W135" s="885"/>
      <c r="X135" s="885"/>
      <c r="Y135" s="885"/>
      <c r="Z135" s="885"/>
      <c r="AA135" s="885"/>
      <c r="AB135" s="885"/>
      <c r="AC135" s="885"/>
    </row>
    <row r="136" spans="1:29" ht="11.25" customHeight="1" x14ac:dyDescent="0.2">
      <c r="A136" s="885"/>
      <c r="B136" s="885"/>
      <c r="C136" s="885"/>
      <c r="D136" s="885"/>
      <c r="E136" s="885"/>
      <c r="F136" s="885"/>
      <c r="G136" s="885"/>
      <c r="H136" s="885"/>
      <c r="I136" s="885"/>
      <c r="J136" s="885"/>
      <c r="K136" s="885"/>
      <c r="L136" s="885"/>
      <c r="M136" s="885"/>
      <c r="N136" s="885"/>
      <c r="O136" s="885"/>
      <c r="P136" s="885"/>
      <c r="Q136" s="885"/>
      <c r="R136" s="885"/>
      <c r="S136" s="885"/>
      <c r="T136" s="885"/>
      <c r="U136" s="885"/>
      <c r="V136" s="885"/>
      <c r="W136" s="885"/>
      <c r="X136" s="885"/>
      <c r="Y136" s="885"/>
      <c r="Z136" s="885"/>
      <c r="AA136" s="885"/>
      <c r="AB136" s="885"/>
      <c r="AC136" s="885"/>
    </row>
    <row r="137" spans="1:29" ht="11.25" customHeight="1" x14ac:dyDescent="0.2">
      <c r="A137" s="885"/>
      <c r="B137" s="885"/>
      <c r="C137" s="885"/>
      <c r="D137" s="885"/>
      <c r="E137" s="885"/>
      <c r="F137" s="885"/>
      <c r="G137" s="885"/>
      <c r="H137" s="885"/>
      <c r="I137" s="885"/>
      <c r="J137" s="885"/>
      <c r="K137" s="885"/>
      <c r="L137" s="885"/>
      <c r="M137" s="885"/>
      <c r="N137" s="885"/>
      <c r="O137" s="885"/>
      <c r="P137" s="885"/>
      <c r="Q137" s="885"/>
      <c r="R137" s="885"/>
      <c r="S137" s="885"/>
      <c r="T137" s="885"/>
      <c r="U137" s="885"/>
      <c r="V137" s="885"/>
      <c r="W137" s="885"/>
      <c r="X137" s="885"/>
      <c r="Y137" s="885"/>
      <c r="Z137" s="885"/>
      <c r="AA137" s="885"/>
      <c r="AB137" s="885"/>
      <c r="AC137" s="885"/>
    </row>
    <row r="138" spans="1:29" ht="11.25" customHeight="1" x14ac:dyDescent="0.2">
      <c r="A138" s="885"/>
      <c r="B138" s="885"/>
      <c r="C138" s="885"/>
      <c r="D138" s="885"/>
      <c r="E138" s="885"/>
      <c r="F138" s="885"/>
      <c r="G138" s="885"/>
      <c r="H138" s="885"/>
      <c r="I138" s="885"/>
      <c r="J138" s="885"/>
      <c r="K138" s="885"/>
      <c r="L138" s="885"/>
      <c r="M138" s="885"/>
      <c r="N138" s="885"/>
      <c r="O138" s="885"/>
      <c r="P138" s="885"/>
      <c r="Q138" s="885"/>
      <c r="R138" s="885"/>
      <c r="S138" s="885"/>
      <c r="T138" s="885"/>
      <c r="U138" s="885"/>
      <c r="V138" s="885"/>
      <c r="W138" s="885"/>
      <c r="X138" s="885"/>
      <c r="Y138" s="885"/>
      <c r="Z138" s="885"/>
      <c r="AA138" s="885"/>
      <c r="AB138" s="885"/>
      <c r="AC138" s="885"/>
    </row>
    <row r="139" spans="1:29" ht="11.25" customHeight="1" x14ac:dyDescent="0.2">
      <c r="A139" s="885"/>
      <c r="B139" s="885"/>
      <c r="C139" s="885"/>
      <c r="D139" s="885"/>
      <c r="E139" s="885"/>
      <c r="F139" s="885"/>
      <c r="G139" s="885"/>
      <c r="H139" s="885"/>
      <c r="I139" s="885"/>
      <c r="J139" s="885"/>
      <c r="K139" s="885"/>
      <c r="L139" s="885"/>
      <c r="M139" s="885"/>
      <c r="N139" s="885"/>
      <c r="O139" s="885"/>
      <c r="P139" s="885"/>
      <c r="Q139" s="885"/>
      <c r="R139" s="885"/>
      <c r="S139" s="885"/>
      <c r="T139" s="885"/>
      <c r="U139" s="885"/>
      <c r="V139" s="885"/>
      <c r="W139" s="885"/>
      <c r="X139" s="885"/>
      <c r="Y139" s="885"/>
      <c r="Z139" s="885"/>
      <c r="AA139" s="885"/>
      <c r="AB139" s="885"/>
      <c r="AC139" s="885"/>
    </row>
    <row r="140" spans="1:29" ht="11.25" customHeight="1" x14ac:dyDescent="0.2">
      <c r="A140" s="885"/>
      <c r="B140" s="885"/>
      <c r="C140" s="885"/>
      <c r="D140" s="885"/>
      <c r="E140" s="885"/>
      <c r="F140" s="885"/>
      <c r="G140" s="885"/>
      <c r="H140" s="885"/>
      <c r="I140" s="885"/>
      <c r="J140" s="885"/>
      <c r="K140" s="885"/>
      <c r="L140" s="885"/>
      <c r="M140" s="885"/>
      <c r="N140" s="885"/>
      <c r="O140" s="885"/>
      <c r="P140" s="885"/>
      <c r="Q140" s="885"/>
      <c r="R140" s="885"/>
      <c r="S140" s="885"/>
      <c r="T140" s="885"/>
      <c r="U140" s="885"/>
      <c r="V140" s="885"/>
      <c r="W140" s="885"/>
      <c r="X140" s="885"/>
      <c r="Y140" s="885"/>
      <c r="Z140" s="885"/>
      <c r="AA140" s="885"/>
      <c r="AB140" s="885"/>
      <c r="AC140" s="885"/>
    </row>
    <row r="141" spans="1:29" ht="11.25" customHeight="1" x14ac:dyDescent="0.2">
      <c r="A141" s="885"/>
      <c r="B141" s="885"/>
      <c r="C141" s="885"/>
      <c r="D141" s="885"/>
      <c r="E141" s="885"/>
      <c r="F141" s="885"/>
      <c r="G141" s="885"/>
      <c r="H141" s="885"/>
      <c r="I141" s="885"/>
      <c r="J141" s="885"/>
      <c r="K141" s="885"/>
      <c r="L141" s="885"/>
      <c r="M141" s="885"/>
      <c r="N141" s="885"/>
      <c r="O141" s="885"/>
      <c r="P141" s="885"/>
      <c r="Q141" s="885"/>
      <c r="R141" s="885"/>
      <c r="S141" s="885"/>
      <c r="T141" s="885"/>
      <c r="U141" s="885"/>
      <c r="V141" s="885"/>
      <c r="W141" s="885"/>
      <c r="X141" s="885"/>
      <c r="Y141" s="885"/>
      <c r="Z141" s="885"/>
      <c r="AA141" s="885"/>
      <c r="AB141" s="885"/>
      <c r="AC141" s="885"/>
    </row>
    <row r="142" spans="1:29" ht="11.25" customHeight="1" x14ac:dyDescent="0.2">
      <c r="A142" s="885"/>
      <c r="B142" s="885"/>
      <c r="C142" s="885"/>
      <c r="D142" s="885"/>
      <c r="E142" s="885"/>
      <c r="F142" s="885"/>
      <c r="G142" s="885"/>
      <c r="H142" s="885"/>
      <c r="I142" s="885"/>
      <c r="J142" s="885"/>
      <c r="K142" s="885"/>
      <c r="L142" s="885"/>
      <c r="M142" s="885"/>
      <c r="N142" s="885"/>
      <c r="O142" s="885"/>
      <c r="P142" s="885"/>
      <c r="Q142" s="885"/>
      <c r="R142" s="885"/>
      <c r="S142" s="885"/>
      <c r="T142" s="885"/>
      <c r="U142" s="885"/>
      <c r="V142" s="885"/>
      <c r="W142" s="885"/>
      <c r="X142" s="885"/>
      <c r="Y142" s="885"/>
      <c r="Z142" s="885"/>
      <c r="AA142" s="885"/>
      <c r="AB142" s="885"/>
      <c r="AC142" s="885"/>
    </row>
    <row r="143" spans="1:29" ht="11.25" customHeight="1" x14ac:dyDescent="0.2">
      <c r="A143" s="885"/>
      <c r="B143" s="885"/>
      <c r="C143" s="885"/>
      <c r="D143" s="885"/>
      <c r="E143" s="885"/>
      <c r="F143" s="885"/>
      <c r="G143" s="885"/>
      <c r="H143" s="885"/>
      <c r="I143" s="885"/>
      <c r="J143" s="885"/>
      <c r="K143" s="885"/>
      <c r="L143" s="885"/>
      <c r="M143" s="885"/>
      <c r="N143" s="885"/>
      <c r="O143" s="885"/>
      <c r="P143" s="885"/>
      <c r="Q143" s="885"/>
      <c r="R143" s="885"/>
      <c r="S143" s="885"/>
      <c r="T143" s="885"/>
      <c r="U143" s="885"/>
      <c r="V143" s="885"/>
      <c r="W143" s="885"/>
      <c r="X143" s="885"/>
      <c r="Y143" s="885"/>
      <c r="Z143" s="885"/>
      <c r="AA143" s="885"/>
      <c r="AB143" s="885"/>
      <c r="AC143" s="885"/>
    </row>
    <row r="144" spans="1:29" ht="11.25" customHeight="1" x14ac:dyDescent="0.2">
      <c r="A144" s="885"/>
      <c r="B144" s="885"/>
      <c r="C144" s="885"/>
      <c r="D144" s="885"/>
      <c r="E144" s="885"/>
      <c r="F144" s="885"/>
      <c r="G144" s="885"/>
      <c r="H144" s="885"/>
      <c r="I144" s="885"/>
      <c r="J144" s="885"/>
      <c r="K144" s="885"/>
      <c r="L144" s="885"/>
      <c r="M144" s="885"/>
      <c r="N144" s="885"/>
      <c r="O144" s="885"/>
      <c r="P144" s="885"/>
      <c r="Q144" s="885"/>
      <c r="R144" s="885"/>
      <c r="S144" s="885"/>
      <c r="T144" s="885"/>
      <c r="U144" s="885"/>
      <c r="V144" s="885"/>
      <c r="W144" s="885"/>
      <c r="X144" s="885"/>
      <c r="Y144" s="885"/>
      <c r="Z144" s="885"/>
      <c r="AA144" s="885"/>
      <c r="AB144" s="885"/>
      <c r="AC144" s="885"/>
    </row>
    <row r="145" spans="1:29" ht="11.25" customHeight="1" x14ac:dyDescent="0.2">
      <c r="A145" s="885"/>
      <c r="B145" s="885"/>
      <c r="C145" s="885"/>
      <c r="D145" s="885"/>
      <c r="E145" s="885"/>
      <c r="F145" s="885"/>
      <c r="G145" s="885"/>
      <c r="H145" s="885"/>
      <c r="I145" s="885"/>
      <c r="J145" s="885"/>
      <c r="K145" s="885"/>
      <c r="L145" s="885"/>
      <c r="M145" s="885"/>
      <c r="N145" s="885"/>
      <c r="O145" s="885"/>
      <c r="P145" s="885"/>
      <c r="Q145" s="885"/>
      <c r="R145" s="885"/>
      <c r="S145" s="885"/>
      <c r="T145" s="885"/>
      <c r="U145" s="885"/>
      <c r="V145" s="885"/>
      <c r="W145" s="885"/>
      <c r="X145" s="885"/>
      <c r="Y145" s="885"/>
      <c r="Z145" s="885"/>
      <c r="AA145" s="885"/>
      <c r="AB145" s="885"/>
      <c r="AC145" s="885"/>
    </row>
    <row r="146" spans="1:29" ht="11.25" customHeight="1" x14ac:dyDescent="0.2">
      <c r="A146" s="885"/>
      <c r="B146" s="885"/>
      <c r="C146" s="885"/>
      <c r="D146" s="885"/>
      <c r="E146" s="885"/>
      <c r="F146" s="885"/>
      <c r="G146" s="885"/>
      <c r="H146" s="885"/>
      <c r="I146" s="885"/>
      <c r="J146" s="885"/>
      <c r="K146" s="885"/>
      <c r="L146" s="885"/>
      <c r="M146" s="885"/>
      <c r="N146" s="885"/>
      <c r="O146" s="885"/>
      <c r="P146" s="885"/>
      <c r="Q146" s="885"/>
      <c r="R146" s="885"/>
      <c r="S146" s="885"/>
      <c r="T146" s="885"/>
      <c r="U146" s="885"/>
      <c r="V146" s="885"/>
      <c r="W146" s="885"/>
      <c r="X146" s="885"/>
      <c r="Y146" s="885"/>
      <c r="Z146" s="885"/>
      <c r="AA146" s="885"/>
      <c r="AB146" s="885"/>
      <c r="AC146" s="885"/>
    </row>
    <row r="147" spans="1:29" ht="11.25" customHeight="1" x14ac:dyDescent="0.2">
      <c r="A147" s="885"/>
      <c r="B147" s="885"/>
      <c r="C147" s="885"/>
      <c r="D147" s="885"/>
      <c r="E147" s="885"/>
      <c r="F147" s="885"/>
      <c r="G147" s="885"/>
      <c r="H147" s="885"/>
      <c r="I147" s="885"/>
      <c r="J147" s="885"/>
      <c r="K147" s="885"/>
      <c r="L147" s="885"/>
      <c r="M147" s="885"/>
      <c r="N147" s="885"/>
      <c r="O147" s="885"/>
      <c r="P147" s="885"/>
      <c r="Q147" s="885"/>
      <c r="R147" s="885"/>
      <c r="S147" s="885"/>
      <c r="T147" s="885"/>
      <c r="U147" s="885"/>
      <c r="V147" s="885"/>
      <c r="W147" s="885"/>
      <c r="X147" s="885"/>
      <c r="Y147" s="885"/>
      <c r="Z147" s="885"/>
      <c r="AA147" s="885"/>
      <c r="AB147" s="885"/>
      <c r="AC147" s="885"/>
    </row>
    <row r="148" spans="1:29" ht="11.25" customHeight="1" x14ac:dyDescent="0.2">
      <c r="A148" s="885"/>
      <c r="B148" s="885"/>
      <c r="C148" s="885"/>
      <c r="D148" s="885"/>
      <c r="E148" s="885"/>
      <c r="F148" s="885"/>
      <c r="G148" s="885"/>
      <c r="H148" s="885"/>
      <c r="I148" s="885"/>
      <c r="J148" s="885"/>
      <c r="K148" s="885"/>
      <c r="L148" s="885"/>
      <c r="M148" s="885"/>
      <c r="N148" s="885"/>
      <c r="O148" s="885"/>
      <c r="P148" s="885"/>
      <c r="Q148" s="885"/>
      <c r="R148" s="885"/>
      <c r="S148" s="885"/>
      <c r="T148" s="885"/>
      <c r="U148" s="885"/>
      <c r="V148" s="885"/>
      <c r="W148" s="885"/>
      <c r="X148" s="885"/>
      <c r="Y148" s="885"/>
      <c r="Z148" s="885"/>
      <c r="AA148" s="885"/>
      <c r="AB148" s="885"/>
      <c r="AC148" s="885"/>
    </row>
    <row r="149" spans="1:29" ht="11.25" customHeight="1" x14ac:dyDescent="0.2">
      <c r="A149" s="885"/>
      <c r="B149" s="885"/>
      <c r="C149" s="885"/>
      <c r="D149" s="885"/>
      <c r="E149" s="885"/>
      <c r="F149" s="885"/>
      <c r="G149" s="885"/>
      <c r="H149" s="885"/>
      <c r="I149" s="885"/>
      <c r="J149" s="885"/>
      <c r="K149" s="885"/>
      <c r="L149" s="885"/>
      <c r="M149" s="885"/>
      <c r="N149" s="885"/>
      <c r="O149" s="885"/>
      <c r="P149" s="885"/>
      <c r="Q149" s="885"/>
      <c r="R149" s="885"/>
      <c r="S149" s="885"/>
      <c r="T149" s="885"/>
      <c r="U149" s="885"/>
      <c r="V149" s="885"/>
      <c r="W149" s="885"/>
      <c r="X149" s="885"/>
      <c r="Y149" s="885"/>
      <c r="Z149" s="885"/>
      <c r="AA149" s="885"/>
      <c r="AB149" s="885"/>
      <c r="AC149" s="885"/>
    </row>
    <row r="150" spans="1:29" ht="11.25" customHeight="1" x14ac:dyDescent="0.2">
      <c r="A150" s="885"/>
      <c r="B150" s="885"/>
      <c r="C150" s="885"/>
      <c r="D150" s="885"/>
      <c r="E150" s="885"/>
      <c r="F150" s="885"/>
      <c r="G150" s="885"/>
      <c r="H150" s="885"/>
      <c r="I150" s="885"/>
      <c r="J150" s="885"/>
      <c r="K150" s="885"/>
      <c r="L150" s="885"/>
      <c r="M150" s="885"/>
      <c r="N150" s="885"/>
      <c r="O150" s="885"/>
      <c r="P150" s="885"/>
      <c r="Q150" s="885"/>
      <c r="R150" s="885"/>
      <c r="S150" s="885"/>
      <c r="T150" s="885"/>
      <c r="U150" s="885"/>
      <c r="V150" s="885"/>
      <c r="W150" s="885"/>
      <c r="X150" s="885"/>
      <c r="Y150" s="885"/>
      <c r="Z150" s="885"/>
      <c r="AA150" s="885"/>
      <c r="AB150" s="885"/>
      <c r="AC150" s="885"/>
    </row>
    <row r="151" spans="1:29" ht="11.25" customHeight="1" x14ac:dyDescent="0.2">
      <c r="A151" s="885"/>
      <c r="B151" s="885"/>
      <c r="C151" s="885"/>
      <c r="D151" s="885"/>
      <c r="E151" s="885"/>
      <c r="F151" s="885"/>
      <c r="G151" s="885"/>
      <c r="H151" s="885"/>
      <c r="I151" s="885"/>
      <c r="J151" s="885"/>
      <c r="K151" s="885"/>
      <c r="L151" s="885"/>
      <c r="M151" s="885"/>
      <c r="N151" s="885"/>
      <c r="O151" s="885"/>
      <c r="P151" s="885"/>
      <c r="Q151" s="885"/>
      <c r="R151" s="885"/>
      <c r="S151" s="885"/>
      <c r="T151" s="885"/>
      <c r="U151" s="885"/>
      <c r="V151" s="885"/>
      <c r="W151" s="885"/>
      <c r="X151" s="885"/>
      <c r="Y151" s="885"/>
      <c r="Z151" s="885"/>
      <c r="AA151" s="885"/>
      <c r="AB151" s="885"/>
      <c r="AC151" s="885"/>
    </row>
    <row r="152" spans="1:29" ht="11.25" customHeight="1" x14ac:dyDescent="0.2">
      <c r="A152" s="885"/>
      <c r="B152" s="885"/>
      <c r="C152" s="885"/>
      <c r="D152" s="885"/>
      <c r="E152" s="885"/>
      <c r="F152" s="885"/>
      <c r="G152" s="885"/>
      <c r="H152" s="885"/>
      <c r="I152" s="885"/>
      <c r="J152" s="885"/>
      <c r="K152" s="885"/>
      <c r="L152" s="885"/>
      <c r="M152" s="885"/>
      <c r="N152" s="885"/>
      <c r="O152" s="885"/>
      <c r="P152" s="885"/>
      <c r="Q152" s="885"/>
      <c r="R152" s="885"/>
      <c r="S152" s="885"/>
      <c r="T152" s="885"/>
      <c r="U152" s="885"/>
      <c r="V152" s="885"/>
      <c r="W152" s="885"/>
      <c r="X152" s="885"/>
      <c r="Y152" s="885"/>
      <c r="Z152" s="885"/>
      <c r="AA152" s="885"/>
      <c r="AB152" s="885"/>
      <c r="AC152" s="885"/>
    </row>
    <row r="153" spans="1:29" ht="11.25" customHeight="1" x14ac:dyDescent="0.2">
      <c r="A153" s="885"/>
      <c r="B153" s="885"/>
      <c r="C153" s="885"/>
      <c r="D153" s="885"/>
      <c r="E153" s="885"/>
      <c r="F153" s="885"/>
      <c r="G153" s="885"/>
      <c r="H153" s="885"/>
      <c r="I153" s="885"/>
      <c r="J153" s="885"/>
      <c r="K153" s="885"/>
      <c r="L153" s="885"/>
      <c r="M153" s="885"/>
      <c r="N153" s="885"/>
      <c r="O153" s="885"/>
      <c r="P153" s="885"/>
      <c r="Q153" s="885"/>
      <c r="R153" s="885"/>
      <c r="S153" s="885"/>
      <c r="T153" s="885"/>
      <c r="U153" s="885"/>
      <c r="V153" s="885"/>
      <c r="W153" s="885"/>
      <c r="X153" s="885"/>
      <c r="Y153" s="885"/>
      <c r="Z153" s="885"/>
      <c r="AA153" s="885"/>
      <c r="AB153" s="885"/>
      <c r="AC153" s="885"/>
    </row>
    <row r="154" spans="1:29" ht="11.25" customHeight="1" x14ac:dyDescent="0.2">
      <c r="A154" s="885"/>
      <c r="B154" s="885"/>
      <c r="C154" s="885"/>
      <c r="D154" s="885"/>
      <c r="E154" s="885"/>
      <c r="F154" s="885"/>
      <c r="G154" s="885"/>
      <c r="H154" s="885"/>
      <c r="I154" s="885"/>
      <c r="J154" s="885"/>
      <c r="K154" s="885"/>
      <c r="L154" s="885"/>
      <c r="M154" s="885"/>
      <c r="N154" s="885"/>
      <c r="O154" s="885"/>
      <c r="P154" s="885"/>
      <c r="Q154" s="885"/>
      <c r="R154" s="885"/>
      <c r="S154" s="885"/>
      <c r="T154" s="885"/>
      <c r="U154" s="885"/>
      <c r="V154" s="885"/>
      <c r="W154" s="885"/>
      <c r="X154" s="885"/>
      <c r="Y154" s="885"/>
      <c r="Z154" s="885"/>
      <c r="AA154" s="885"/>
      <c r="AB154" s="885"/>
      <c r="AC154" s="885"/>
    </row>
    <row r="155" spans="1:29" ht="11.25" customHeight="1" x14ac:dyDescent="0.2">
      <c r="A155" s="885"/>
      <c r="B155" s="885"/>
      <c r="C155" s="885"/>
      <c r="D155" s="885"/>
      <c r="E155" s="885"/>
      <c r="F155" s="885"/>
      <c r="G155" s="885"/>
      <c r="H155" s="885"/>
      <c r="I155" s="885"/>
      <c r="J155" s="885"/>
      <c r="K155" s="885"/>
      <c r="L155" s="885"/>
      <c r="M155" s="885"/>
      <c r="N155" s="885"/>
      <c r="O155" s="885"/>
      <c r="P155" s="885"/>
      <c r="Q155" s="885"/>
      <c r="R155" s="885"/>
      <c r="S155" s="885"/>
      <c r="T155" s="885"/>
      <c r="U155" s="885"/>
      <c r="V155" s="885"/>
      <c r="W155" s="885"/>
      <c r="X155" s="885"/>
      <c r="Y155" s="885"/>
      <c r="Z155" s="885"/>
      <c r="AA155" s="885"/>
      <c r="AB155" s="885"/>
      <c r="AC155" s="885"/>
    </row>
    <row r="156" spans="1:29" ht="11.25" customHeight="1" x14ac:dyDescent="0.2">
      <c r="A156" s="885"/>
      <c r="B156" s="885"/>
      <c r="C156" s="885"/>
      <c r="D156" s="885"/>
      <c r="E156" s="885"/>
      <c r="F156" s="885"/>
      <c r="G156" s="885"/>
      <c r="H156" s="885"/>
      <c r="I156" s="885"/>
      <c r="J156" s="885"/>
      <c r="K156" s="885"/>
      <c r="L156" s="885"/>
      <c r="M156" s="885"/>
      <c r="N156" s="885"/>
      <c r="O156" s="885"/>
      <c r="P156" s="885"/>
      <c r="Q156" s="885"/>
      <c r="R156" s="885"/>
      <c r="S156" s="885"/>
      <c r="T156" s="885"/>
      <c r="U156" s="885"/>
      <c r="V156" s="885"/>
      <c r="W156" s="885"/>
      <c r="X156" s="885"/>
      <c r="Y156" s="885"/>
      <c r="Z156" s="885"/>
      <c r="AA156" s="885"/>
      <c r="AB156" s="885"/>
      <c r="AC156" s="885"/>
    </row>
    <row r="157" spans="1:29" ht="11.25" customHeight="1" x14ac:dyDescent="0.2">
      <c r="A157" s="885"/>
      <c r="B157" s="885"/>
      <c r="C157" s="885"/>
      <c r="D157" s="885"/>
      <c r="E157" s="885"/>
      <c r="F157" s="885"/>
      <c r="G157" s="885"/>
      <c r="H157" s="885"/>
      <c r="I157" s="885"/>
      <c r="J157" s="885"/>
      <c r="K157" s="885"/>
      <c r="L157" s="885"/>
      <c r="M157" s="885"/>
      <c r="N157" s="885"/>
      <c r="O157" s="885"/>
      <c r="P157" s="885"/>
      <c r="Q157" s="885"/>
      <c r="R157" s="885"/>
      <c r="S157" s="885"/>
      <c r="T157" s="885"/>
      <c r="U157" s="885"/>
      <c r="V157" s="885"/>
      <c r="W157" s="885"/>
      <c r="X157" s="885"/>
      <c r="Y157" s="885"/>
      <c r="Z157" s="885"/>
      <c r="AA157" s="885"/>
      <c r="AB157" s="885"/>
      <c r="AC157" s="885"/>
    </row>
    <row r="158" spans="1:29" ht="11.25" customHeight="1" x14ac:dyDescent="0.2">
      <c r="A158" s="885"/>
      <c r="B158" s="885"/>
      <c r="C158" s="885"/>
      <c r="D158" s="885"/>
      <c r="E158" s="885"/>
      <c r="F158" s="885"/>
      <c r="G158" s="885"/>
      <c r="H158" s="885"/>
      <c r="I158" s="885"/>
      <c r="J158" s="885"/>
      <c r="K158" s="885"/>
      <c r="L158" s="885"/>
      <c r="M158" s="885"/>
      <c r="N158" s="885"/>
      <c r="O158" s="885"/>
      <c r="P158" s="885"/>
      <c r="Q158" s="885"/>
      <c r="R158" s="885"/>
      <c r="S158" s="885"/>
      <c r="T158" s="885"/>
      <c r="U158" s="885"/>
      <c r="V158" s="885"/>
      <c r="W158" s="885"/>
      <c r="X158" s="885"/>
      <c r="Y158" s="885"/>
      <c r="Z158" s="885"/>
      <c r="AA158" s="885"/>
      <c r="AB158" s="885"/>
      <c r="AC158" s="885"/>
    </row>
    <row r="159" spans="1:29" ht="11.25" customHeight="1" x14ac:dyDescent="0.2">
      <c r="A159" s="885"/>
      <c r="B159" s="885"/>
      <c r="C159" s="885"/>
      <c r="D159" s="885"/>
      <c r="E159" s="885"/>
      <c r="F159" s="885"/>
      <c r="G159" s="885"/>
      <c r="H159" s="885"/>
      <c r="I159" s="885"/>
      <c r="J159" s="885"/>
      <c r="K159" s="885"/>
      <c r="L159" s="885"/>
      <c r="M159" s="885"/>
      <c r="N159" s="885"/>
      <c r="O159" s="885"/>
      <c r="P159" s="885"/>
      <c r="Q159" s="885"/>
      <c r="R159" s="885"/>
      <c r="S159" s="885"/>
      <c r="T159" s="885"/>
      <c r="U159" s="885"/>
      <c r="V159" s="885"/>
      <c r="W159" s="885"/>
      <c r="X159" s="885"/>
      <c r="Y159" s="885"/>
      <c r="Z159" s="885"/>
      <c r="AA159" s="885"/>
      <c r="AB159" s="885"/>
      <c r="AC159" s="885"/>
    </row>
    <row r="160" spans="1:29" ht="11.25" customHeight="1" x14ac:dyDescent="0.2">
      <c r="A160" s="885"/>
      <c r="B160" s="885"/>
      <c r="C160" s="885"/>
      <c r="D160" s="885"/>
      <c r="E160" s="885"/>
      <c r="F160" s="885"/>
      <c r="G160" s="885"/>
      <c r="H160" s="885"/>
      <c r="I160" s="885"/>
      <c r="J160" s="885"/>
      <c r="K160" s="885"/>
      <c r="L160" s="885"/>
      <c r="M160" s="885"/>
      <c r="N160" s="885"/>
      <c r="O160" s="885"/>
      <c r="P160" s="885"/>
      <c r="Q160" s="885"/>
      <c r="R160" s="885"/>
      <c r="S160" s="885"/>
      <c r="T160" s="885"/>
      <c r="U160" s="885"/>
      <c r="V160" s="885"/>
      <c r="W160" s="885"/>
      <c r="X160" s="885"/>
      <c r="Y160" s="885"/>
      <c r="Z160" s="885"/>
      <c r="AA160" s="885"/>
      <c r="AB160" s="885"/>
      <c r="AC160" s="885"/>
    </row>
    <row r="161" spans="1:29" ht="11.25" customHeight="1" x14ac:dyDescent="0.2">
      <c r="A161" s="885"/>
      <c r="B161" s="885"/>
      <c r="C161" s="885"/>
      <c r="D161" s="885"/>
      <c r="E161" s="885"/>
      <c r="F161" s="885"/>
      <c r="G161" s="885"/>
      <c r="H161" s="885"/>
      <c r="I161" s="885"/>
      <c r="J161" s="885"/>
      <c r="K161" s="885"/>
      <c r="L161" s="885"/>
      <c r="M161" s="885"/>
      <c r="N161" s="885"/>
      <c r="O161" s="885"/>
      <c r="P161" s="885"/>
      <c r="Q161" s="885"/>
      <c r="R161" s="885"/>
      <c r="S161" s="885"/>
      <c r="T161" s="885"/>
      <c r="U161" s="885"/>
      <c r="V161" s="885"/>
      <c r="W161" s="885"/>
      <c r="X161" s="885"/>
      <c r="Y161" s="885"/>
      <c r="Z161" s="885"/>
      <c r="AA161" s="885"/>
      <c r="AB161" s="885"/>
      <c r="AC161" s="885"/>
    </row>
    <row r="162" spans="1:29" ht="11.25" customHeight="1" x14ac:dyDescent="0.2">
      <c r="A162" s="885"/>
      <c r="B162" s="885"/>
      <c r="C162" s="885"/>
      <c r="D162" s="885"/>
      <c r="E162" s="885"/>
      <c r="F162" s="885"/>
      <c r="G162" s="885"/>
      <c r="H162" s="885"/>
      <c r="I162" s="885"/>
      <c r="J162" s="885"/>
      <c r="K162" s="885"/>
      <c r="L162" s="885"/>
      <c r="M162" s="885"/>
      <c r="N162" s="885"/>
      <c r="O162" s="885"/>
      <c r="P162" s="885"/>
      <c r="Q162" s="885"/>
      <c r="R162" s="885"/>
      <c r="S162" s="885"/>
      <c r="T162" s="885"/>
      <c r="U162" s="885"/>
      <c r="V162" s="885"/>
      <c r="W162" s="885"/>
      <c r="X162" s="885"/>
      <c r="Y162" s="885"/>
      <c r="Z162" s="885"/>
      <c r="AA162" s="885"/>
      <c r="AB162" s="885"/>
      <c r="AC162" s="885"/>
    </row>
    <row r="163" spans="1:29" ht="11.25" customHeight="1" x14ac:dyDescent="0.2">
      <c r="A163" s="885"/>
      <c r="B163" s="885"/>
      <c r="C163" s="885"/>
      <c r="D163" s="885"/>
      <c r="E163" s="885"/>
      <c r="F163" s="885"/>
      <c r="G163" s="885"/>
      <c r="H163" s="885"/>
      <c r="I163" s="885"/>
      <c r="J163" s="885"/>
      <c r="K163" s="885"/>
      <c r="L163" s="885"/>
      <c r="M163" s="885"/>
      <c r="N163" s="885"/>
      <c r="O163" s="885"/>
      <c r="P163" s="885"/>
      <c r="Q163" s="885"/>
      <c r="R163" s="885"/>
      <c r="S163" s="885"/>
      <c r="T163" s="885"/>
      <c r="U163" s="885"/>
      <c r="V163" s="885"/>
      <c r="W163" s="885"/>
      <c r="X163" s="885"/>
      <c r="Y163" s="885"/>
      <c r="Z163" s="885"/>
      <c r="AA163" s="885"/>
      <c r="AB163" s="885"/>
      <c r="AC163" s="885"/>
    </row>
    <row r="164" spans="1:29" ht="11.25" customHeight="1" x14ac:dyDescent="0.2">
      <c r="A164" s="885"/>
      <c r="B164" s="885"/>
      <c r="C164" s="885"/>
      <c r="D164" s="885"/>
      <c r="E164" s="885"/>
      <c r="F164" s="885"/>
      <c r="G164" s="885"/>
      <c r="H164" s="885"/>
      <c r="I164" s="885"/>
      <c r="J164" s="885"/>
      <c r="K164" s="885"/>
      <c r="L164" s="885"/>
      <c r="M164" s="885"/>
      <c r="N164" s="885"/>
      <c r="O164" s="885"/>
      <c r="P164" s="885"/>
      <c r="Q164" s="885"/>
      <c r="R164" s="885"/>
      <c r="S164" s="885"/>
      <c r="T164" s="885"/>
      <c r="U164" s="885"/>
      <c r="V164" s="885"/>
      <c r="W164" s="885"/>
      <c r="X164" s="885"/>
      <c r="Y164" s="885"/>
      <c r="Z164" s="885"/>
      <c r="AA164" s="885"/>
      <c r="AB164" s="885"/>
      <c r="AC164" s="885"/>
    </row>
    <row r="165" spans="1:29" ht="11.25" customHeight="1" x14ac:dyDescent="0.2">
      <c r="A165" s="885"/>
      <c r="B165" s="885"/>
      <c r="C165" s="885"/>
      <c r="D165" s="885"/>
      <c r="E165" s="885"/>
      <c r="F165" s="885"/>
      <c r="G165" s="885"/>
      <c r="H165" s="885"/>
      <c r="I165" s="885"/>
      <c r="J165" s="885"/>
      <c r="K165" s="885"/>
      <c r="L165" s="885"/>
      <c r="M165" s="885"/>
      <c r="N165" s="885"/>
      <c r="O165" s="885"/>
      <c r="P165" s="885"/>
      <c r="Q165" s="885"/>
      <c r="R165" s="885"/>
      <c r="S165" s="885"/>
      <c r="T165" s="885"/>
      <c r="U165" s="885"/>
      <c r="V165" s="885"/>
      <c r="W165" s="885"/>
      <c r="X165" s="885"/>
      <c r="Y165" s="885"/>
      <c r="Z165" s="885"/>
      <c r="AA165" s="885"/>
      <c r="AB165" s="885"/>
      <c r="AC165" s="885"/>
    </row>
    <row r="166" spans="1:29" ht="11.25" customHeight="1" x14ac:dyDescent="0.2">
      <c r="A166" s="885"/>
      <c r="B166" s="885"/>
      <c r="C166" s="885"/>
      <c r="D166" s="885"/>
      <c r="E166" s="885"/>
      <c r="F166" s="885"/>
      <c r="G166" s="885"/>
      <c r="H166" s="885"/>
      <c r="I166" s="885"/>
      <c r="J166" s="885"/>
      <c r="K166" s="885"/>
      <c r="L166" s="885"/>
      <c r="M166" s="885"/>
      <c r="N166" s="885"/>
      <c r="O166" s="885"/>
      <c r="P166" s="885"/>
      <c r="Q166" s="885"/>
      <c r="R166" s="885"/>
      <c r="S166" s="885"/>
      <c r="T166" s="885"/>
      <c r="U166" s="885"/>
      <c r="V166" s="885"/>
      <c r="W166" s="885"/>
      <c r="X166" s="885"/>
      <c r="Y166" s="885"/>
      <c r="Z166" s="885"/>
      <c r="AA166" s="885"/>
      <c r="AB166" s="885"/>
      <c r="AC166" s="885"/>
    </row>
    <row r="167" spans="1:29" ht="11.25" customHeight="1" x14ac:dyDescent="0.2">
      <c r="A167" s="885"/>
      <c r="B167" s="885"/>
      <c r="C167" s="885"/>
      <c r="D167" s="885"/>
      <c r="E167" s="885"/>
      <c r="F167" s="885"/>
      <c r="G167" s="885"/>
      <c r="H167" s="885"/>
      <c r="I167" s="885"/>
      <c r="J167" s="885"/>
      <c r="K167" s="885"/>
      <c r="L167" s="885"/>
      <c r="M167" s="885"/>
      <c r="N167" s="885"/>
      <c r="O167" s="885"/>
      <c r="P167" s="885"/>
      <c r="Q167" s="885"/>
      <c r="R167" s="885"/>
      <c r="S167" s="885"/>
      <c r="T167" s="885"/>
      <c r="U167" s="885"/>
      <c r="V167" s="885"/>
      <c r="W167" s="885"/>
      <c r="X167" s="885"/>
      <c r="Y167" s="885"/>
      <c r="Z167" s="885"/>
      <c r="AA167" s="885"/>
      <c r="AB167" s="885"/>
      <c r="AC167" s="885"/>
    </row>
    <row r="168" spans="1:29" ht="11.25" customHeight="1" x14ac:dyDescent="0.2">
      <c r="A168" s="885"/>
      <c r="B168" s="885"/>
      <c r="C168" s="885"/>
      <c r="D168" s="885"/>
      <c r="E168" s="885"/>
      <c r="F168" s="885"/>
      <c r="G168" s="885"/>
      <c r="H168" s="885"/>
      <c r="I168" s="885"/>
      <c r="J168" s="885"/>
      <c r="K168" s="885"/>
      <c r="L168" s="885"/>
      <c r="M168" s="885"/>
      <c r="N168" s="885"/>
      <c r="O168" s="885"/>
      <c r="P168" s="885"/>
      <c r="Q168" s="885"/>
      <c r="R168" s="885"/>
      <c r="S168" s="885"/>
      <c r="T168" s="885"/>
      <c r="U168" s="885"/>
      <c r="V168" s="885"/>
      <c r="W168" s="885"/>
      <c r="X168" s="885"/>
      <c r="Y168" s="885"/>
      <c r="Z168" s="885"/>
      <c r="AA168" s="885"/>
      <c r="AB168" s="885"/>
      <c r="AC168" s="885"/>
    </row>
    <row r="169" spans="1:29" ht="11.25" customHeight="1" x14ac:dyDescent="0.2">
      <c r="A169" s="885"/>
      <c r="B169" s="885"/>
      <c r="C169" s="885"/>
      <c r="D169" s="885"/>
      <c r="E169" s="885"/>
      <c r="F169" s="885"/>
      <c r="G169" s="885"/>
      <c r="H169" s="885"/>
      <c r="I169" s="885"/>
      <c r="J169" s="885"/>
      <c r="K169" s="885"/>
      <c r="L169" s="885"/>
      <c r="M169" s="885"/>
      <c r="N169" s="885"/>
      <c r="O169" s="885"/>
      <c r="P169" s="885"/>
      <c r="Q169" s="885"/>
      <c r="R169" s="885"/>
      <c r="S169" s="885"/>
      <c r="T169" s="885"/>
      <c r="U169" s="885"/>
      <c r="V169" s="885"/>
      <c r="W169" s="885"/>
      <c r="X169" s="885"/>
      <c r="Y169" s="885"/>
      <c r="Z169" s="885"/>
      <c r="AA169" s="885"/>
      <c r="AB169" s="885"/>
      <c r="AC169" s="885"/>
    </row>
    <row r="170" spans="1:29" ht="11.25" customHeight="1" x14ac:dyDescent="0.2">
      <c r="A170" s="885"/>
      <c r="B170" s="885"/>
      <c r="C170" s="885"/>
      <c r="D170" s="885"/>
      <c r="E170" s="885"/>
      <c r="F170" s="885"/>
      <c r="G170" s="885"/>
      <c r="H170" s="885"/>
      <c r="I170" s="885"/>
      <c r="J170" s="885"/>
      <c r="K170" s="885"/>
      <c r="L170" s="885"/>
      <c r="M170" s="885"/>
      <c r="N170" s="885"/>
      <c r="O170" s="885"/>
      <c r="P170" s="885"/>
      <c r="Q170" s="885"/>
      <c r="R170" s="885"/>
      <c r="S170" s="885"/>
      <c r="T170" s="885"/>
      <c r="U170" s="885"/>
      <c r="V170" s="885"/>
      <c r="W170" s="885"/>
      <c r="X170" s="885"/>
      <c r="Y170" s="885"/>
      <c r="Z170" s="885"/>
      <c r="AA170" s="885"/>
      <c r="AB170" s="885"/>
      <c r="AC170" s="885"/>
    </row>
    <row r="171" spans="1:29" ht="11.25" customHeight="1" x14ac:dyDescent="0.2">
      <c r="A171" s="885"/>
      <c r="B171" s="885"/>
      <c r="C171" s="885"/>
      <c r="D171" s="885"/>
      <c r="E171" s="885"/>
      <c r="F171" s="885"/>
      <c r="G171" s="885"/>
      <c r="H171" s="885"/>
      <c r="I171" s="885"/>
      <c r="J171" s="885"/>
      <c r="K171" s="885"/>
      <c r="L171" s="885"/>
      <c r="M171" s="885"/>
      <c r="N171" s="885"/>
      <c r="O171" s="885"/>
      <c r="P171" s="885"/>
      <c r="Q171" s="885"/>
      <c r="R171" s="885"/>
      <c r="S171" s="885"/>
      <c r="T171" s="885"/>
      <c r="U171" s="885"/>
      <c r="V171" s="885"/>
      <c r="W171" s="885"/>
      <c r="X171" s="885"/>
      <c r="Y171" s="885"/>
      <c r="Z171" s="885"/>
      <c r="AA171" s="885"/>
      <c r="AB171" s="885"/>
      <c r="AC171" s="885"/>
    </row>
    <row r="172" spans="1:29" ht="11.25" customHeight="1" x14ac:dyDescent="0.2">
      <c r="A172" s="885"/>
      <c r="B172" s="885"/>
      <c r="C172" s="885"/>
      <c r="D172" s="885"/>
      <c r="E172" s="885"/>
      <c r="F172" s="885"/>
      <c r="G172" s="885"/>
      <c r="H172" s="885"/>
      <c r="I172" s="885"/>
      <c r="J172" s="885"/>
      <c r="K172" s="885"/>
      <c r="L172" s="885"/>
      <c r="M172" s="885"/>
      <c r="N172" s="885"/>
      <c r="O172" s="885"/>
      <c r="P172" s="885"/>
      <c r="Q172" s="885"/>
      <c r="R172" s="885"/>
      <c r="S172" s="885"/>
      <c r="T172" s="885"/>
      <c r="U172" s="885"/>
      <c r="V172" s="885"/>
      <c r="W172" s="885"/>
      <c r="X172" s="885"/>
      <c r="Y172" s="885"/>
      <c r="Z172" s="885"/>
      <c r="AA172" s="885"/>
      <c r="AB172" s="885"/>
      <c r="AC172" s="885"/>
    </row>
    <row r="173" spans="1:29" ht="11.25" customHeight="1" x14ac:dyDescent="0.2">
      <c r="A173" s="885"/>
      <c r="B173" s="885"/>
      <c r="C173" s="885"/>
      <c r="D173" s="885"/>
      <c r="E173" s="885"/>
      <c r="F173" s="885"/>
      <c r="G173" s="885"/>
      <c r="H173" s="885"/>
      <c r="I173" s="885"/>
      <c r="J173" s="885"/>
      <c r="K173" s="885"/>
      <c r="L173" s="885"/>
      <c r="M173" s="885"/>
      <c r="N173" s="885"/>
      <c r="O173" s="885"/>
      <c r="P173" s="885"/>
      <c r="Q173" s="885"/>
      <c r="R173" s="885"/>
      <c r="S173" s="885"/>
      <c r="T173" s="885"/>
      <c r="U173" s="885"/>
      <c r="V173" s="885"/>
      <c r="W173" s="885"/>
      <c r="X173" s="885"/>
      <c r="Y173" s="885"/>
      <c r="Z173" s="885"/>
      <c r="AA173" s="885"/>
      <c r="AB173" s="885"/>
      <c r="AC173" s="885"/>
    </row>
    <row r="174" spans="1:29" ht="11.25" customHeight="1" x14ac:dyDescent="0.2">
      <c r="A174" s="885"/>
      <c r="B174" s="885"/>
      <c r="C174" s="885"/>
      <c r="D174" s="885"/>
      <c r="E174" s="885"/>
      <c r="F174" s="885"/>
      <c r="G174" s="885"/>
      <c r="H174" s="885"/>
      <c r="I174" s="885"/>
      <c r="J174" s="885"/>
      <c r="K174" s="885"/>
      <c r="L174" s="885"/>
      <c r="M174" s="885"/>
      <c r="N174" s="885"/>
      <c r="O174" s="885"/>
      <c r="P174" s="885"/>
      <c r="Q174" s="885"/>
      <c r="R174" s="885"/>
      <c r="S174" s="885"/>
      <c r="T174" s="885"/>
      <c r="U174" s="885"/>
      <c r="V174" s="885"/>
      <c r="W174" s="885"/>
      <c r="X174" s="885"/>
      <c r="Y174" s="885"/>
      <c r="Z174" s="885"/>
      <c r="AA174" s="885"/>
      <c r="AB174" s="885"/>
      <c r="AC174" s="885"/>
    </row>
    <row r="175" spans="1:29" ht="11.25" customHeight="1" x14ac:dyDescent="0.2">
      <c r="A175" s="885"/>
      <c r="B175" s="885"/>
      <c r="C175" s="885"/>
      <c r="D175" s="885"/>
      <c r="E175" s="885"/>
      <c r="F175" s="885"/>
      <c r="G175" s="885"/>
      <c r="H175" s="885"/>
      <c r="I175" s="885"/>
      <c r="J175" s="885"/>
      <c r="K175" s="885"/>
      <c r="L175" s="885"/>
      <c r="M175" s="885"/>
      <c r="N175" s="885"/>
      <c r="O175" s="885"/>
      <c r="P175" s="885"/>
      <c r="Q175" s="885"/>
      <c r="R175" s="885"/>
      <c r="S175" s="885"/>
      <c r="T175" s="885"/>
      <c r="U175" s="885"/>
      <c r="V175" s="885"/>
      <c r="W175" s="885"/>
      <c r="X175" s="885"/>
      <c r="Y175" s="885"/>
      <c r="Z175" s="885"/>
      <c r="AA175" s="885"/>
      <c r="AB175" s="885"/>
      <c r="AC175" s="885"/>
    </row>
    <row r="176" spans="1:29" ht="11.25" customHeight="1" x14ac:dyDescent="0.2">
      <c r="A176" s="885"/>
      <c r="B176" s="885"/>
      <c r="C176" s="885"/>
      <c r="D176" s="885"/>
      <c r="E176" s="885"/>
      <c r="F176" s="885"/>
      <c r="G176" s="885"/>
      <c r="H176" s="885"/>
      <c r="I176" s="885"/>
      <c r="J176" s="885"/>
      <c r="K176" s="885"/>
      <c r="L176" s="885"/>
      <c r="M176" s="885"/>
      <c r="N176" s="885"/>
      <c r="O176" s="885"/>
      <c r="P176" s="885"/>
      <c r="Q176" s="885"/>
      <c r="R176" s="885"/>
      <c r="S176" s="885"/>
      <c r="T176" s="885"/>
      <c r="U176" s="885"/>
      <c r="V176" s="885"/>
      <c r="W176" s="885"/>
      <c r="X176" s="885"/>
      <c r="Y176" s="885"/>
      <c r="Z176" s="885"/>
      <c r="AA176" s="885"/>
      <c r="AB176" s="885"/>
      <c r="AC176" s="885"/>
    </row>
    <row r="177" spans="1:29" ht="11.25" customHeight="1" x14ac:dyDescent="0.2">
      <c r="A177" s="885"/>
      <c r="B177" s="885"/>
      <c r="C177" s="885"/>
      <c r="D177" s="885"/>
      <c r="E177" s="885"/>
      <c r="F177" s="885"/>
      <c r="G177" s="885"/>
      <c r="H177" s="885"/>
      <c r="I177" s="885"/>
      <c r="J177" s="885"/>
      <c r="K177" s="885"/>
      <c r="L177" s="885"/>
      <c r="M177" s="885"/>
      <c r="N177" s="885"/>
      <c r="O177" s="885"/>
      <c r="P177" s="885"/>
      <c r="Q177" s="885"/>
      <c r="R177" s="885"/>
      <c r="S177" s="885"/>
      <c r="T177" s="885"/>
      <c r="U177" s="885"/>
      <c r="V177" s="885"/>
      <c r="W177" s="885"/>
      <c r="X177" s="885"/>
      <c r="Y177" s="885"/>
      <c r="Z177" s="885"/>
      <c r="AA177" s="885"/>
      <c r="AB177" s="885"/>
      <c r="AC177" s="885"/>
    </row>
    <row r="178" spans="1:29" ht="11.25" customHeight="1" x14ac:dyDescent="0.2">
      <c r="A178" s="885"/>
      <c r="B178" s="885"/>
      <c r="C178" s="885"/>
      <c r="D178" s="885"/>
      <c r="E178" s="885"/>
      <c r="F178" s="885"/>
      <c r="G178" s="885"/>
      <c r="H178" s="885"/>
      <c r="I178" s="885"/>
      <c r="J178" s="885"/>
      <c r="K178" s="885"/>
      <c r="L178" s="885"/>
      <c r="M178" s="885"/>
      <c r="N178" s="885"/>
      <c r="O178" s="885"/>
      <c r="P178" s="885"/>
      <c r="Q178" s="885"/>
      <c r="R178" s="885"/>
      <c r="S178" s="885"/>
      <c r="T178" s="885"/>
      <c r="U178" s="885"/>
      <c r="V178" s="885"/>
      <c r="W178" s="885"/>
      <c r="X178" s="885"/>
      <c r="Y178" s="885"/>
      <c r="Z178" s="885"/>
      <c r="AA178" s="885"/>
      <c r="AB178" s="885"/>
      <c r="AC178" s="885"/>
    </row>
    <row r="179" spans="1:29" ht="11.25" customHeight="1" x14ac:dyDescent="0.2">
      <c r="A179" s="885"/>
      <c r="B179" s="885"/>
      <c r="C179" s="885"/>
      <c r="D179" s="885"/>
      <c r="E179" s="885"/>
      <c r="F179" s="885"/>
      <c r="G179" s="885"/>
      <c r="H179" s="885"/>
      <c r="I179" s="885"/>
      <c r="J179" s="885"/>
      <c r="K179" s="885"/>
      <c r="L179" s="885"/>
      <c r="M179" s="885"/>
      <c r="N179" s="885"/>
      <c r="O179" s="885"/>
      <c r="P179" s="885"/>
      <c r="Q179" s="885"/>
      <c r="R179" s="885"/>
      <c r="S179" s="885"/>
      <c r="T179" s="885"/>
      <c r="U179" s="885"/>
      <c r="V179" s="885"/>
      <c r="W179" s="885"/>
      <c r="X179" s="885"/>
      <c r="Y179" s="885"/>
      <c r="Z179" s="885"/>
      <c r="AA179" s="885"/>
      <c r="AB179" s="885"/>
      <c r="AC179" s="885"/>
    </row>
    <row r="180" spans="1:29" ht="11.25" customHeight="1" x14ac:dyDescent="0.2">
      <c r="A180" s="885"/>
      <c r="B180" s="885"/>
      <c r="C180" s="885"/>
      <c r="D180" s="885"/>
      <c r="E180" s="885"/>
      <c r="F180" s="885"/>
      <c r="G180" s="885"/>
      <c r="H180" s="885"/>
      <c r="I180" s="885"/>
      <c r="J180" s="885"/>
      <c r="K180" s="885"/>
      <c r="L180" s="885"/>
      <c r="M180" s="885"/>
      <c r="N180" s="885"/>
      <c r="O180" s="885"/>
      <c r="P180" s="885"/>
      <c r="Q180" s="885"/>
      <c r="R180" s="885"/>
      <c r="S180" s="885"/>
      <c r="T180" s="885"/>
      <c r="U180" s="885"/>
      <c r="V180" s="885"/>
      <c r="W180" s="885"/>
      <c r="X180" s="885"/>
      <c r="Y180" s="885"/>
      <c r="Z180" s="885"/>
      <c r="AA180" s="885"/>
      <c r="AB180" s="885"/>
      <c r="AC180" s="885"/>
    </row>
    <row r="181" spans="1:29" ht="11.25" customHeight="1" x14ac:dyDescent="0.2">
      <c r="A181" s="885"/>
      <c r="B181" s="885"/>
      <c r="C181" s="885"/>
      <c r="D181" s="885"/>
      <c r="E181" s="885"/>
      <c r="F181" s="885"/>
      <c r="G181" s="885"/>
      <c r="H181" s="885"/>
      <c r="I181" s="885"/>
      <c r="J181" s="885"/>
      <c r="K181" s="885"/>
      <c r="L181" s="885"/>
      <c r="M181" s="885"/>
      <c r="N181" s="885"/>
      <c r="O181" s="885"/>
      <c r="P181" s="885"/>
      <c r="Q181" s="885"/>
      <c r="R181" s="885"/>
      <c r="S181" s="885"/>
      <c r="T181" s="885"/>
      <c r="U181" s="885"/>
      <c r="V181" s="885"/>
      <c r="W181" s="885"/>
      <c r="X181" s="885"/>
      <c r="Y181" s="885"/>
      <c r="Z181" s="885"/>
      <c r="AA181" s="885"/>
      <c r="AB181" s="885"/>
      <c r="AC181" s="885"/>
    </row>
    <row r="182" spans="1:29" ht="11.25" customHeight="1" x14ac:dyDescent="0.2">
      <c r="A182" s="885"/>
      <c r="B182" s="885"/>
      <c r="C182" s="885"/>
      <c r="D182" s="885"/>
      <c r="E182" s="885"/>
      <c r="F182" s="885"/>
      <c r="G182" s="885"/>
      <c r="H182" s="885"/>
      <c r="I182" s="885"/>
      <c r="J182" s="885"/>
      <c r="K182" s="885"/>
      <c r="L182" s="885"/>
      <c r="M182" s="885"/>
      <c r="N182" s="885"/>
      <c r="O182" s="885"/>
      <c r="P182" s="885"/>
      <c r="Q182" s="885"/>
      <c r="R182" s="885"/>
      <c r="S182" s="885"/>
      <c r="T182" s="885"/>
      <c r="U182" s="885"/>
      <c r="V182" s="885"/>
      <c r="W182" s="885"/>
      <c r="X182" s="885"/>
      <c r="Y182" s="885"/>
      <c r="Z182" s="885"/>
      <c r="AA182" s="885"/>
      <c r="AB182" s="885"/>
      <c r="AC182" s="885"/>
    </row>
    <row r="183" spans="1:29" ht="11.25" customHeight="1" x14ac:dyDescent="0.2">
      <c r="A183" s="885"/>
      <c r="B183" s="885"/>
      <c r="C183" s="885"/>
      <c r="D183" s="885"/>
      <c r="E183" s="885"/>
      <c r="F183" s="885"/>
      <c r="G183" s="885"/>
      <c r="H183" s="885"/>
      <c r="I183" s="885"/>
      <c r="J183" s="885"/>
      <c r="K183" s="885"/>
      <c r="L183" s="885"/>
      <c r="M183" s="885"/>
      <c r="N183" s="885"/>
      <c r="O183" s="885"/>
      <c r="P183" s="885"/>
      <c r="Q183" s="885"/>
      <c r="R183" s="885"/>
      <c r="S183" s="885"/>
      <c r="T183" s="885"/>
      <c r="U183" s="885"/>
      <c r="V183" s="885"/>
      <c r="W183" s="885"/>
      <c r="X183" s="885"/>
      <c r="Y183" s="885"/>
      <c r="Z183" s="885"/>
      <c r="AA183" s="885"/>
      <c r="AB183" s="885"/>
      <c r="AC183" s="885"/>
    </row>
    <row r="184" spans="1:29" ht="11.25" customHeight="1" x14ac:dyDescent="0.2">
      <c r="A184" s="885"/>
      <c r="B184" s="885"/>
      <c r="C184" s="885"/>
      <c r="D184" s="885"/>
      <c r="E184" s="885"/>
      <c r="F184" s="885"/>
      <c r="G184" s="885"/>
      <c r="H184" s="885"/>
      <c r="I184" s="885"/>
      <c r="J184" s="885"/>
      <c r="K184" s="885"/>
      <c r="L184" s="885"/>
      <c r="M184" s="885"/>
      <c r="N184" s="885"/>
      <c r="O184" s="885"/>
      <c r="P184" s="885"/>
      <c r="Q184" s="885"/>
      <c r="R184" s="885"/>
      <c r="S184" s="885"/>
      <c r="T184" s="885"/>
      <c r="U184" s="885"/>
      <c r="V184" s="885"/>
      <c r="W184" s="885"/>
      <c r="X184" s="885"/>
      <c r="Y184" s="885"/>
      <c r="Z184" s="885"/>
      <c r="AA184" s="885"/>
      <c r="AB184" s="885"/>
      <c r="AC184" s="885"/>
    </row>
    <row r="185" spans="1:29" ht="11.25" customHeight="1" x14ac:dyDescent="0.2">
      <c r="A185" s="885"/>
      <c r="B185" s="885"/>
      <c r="C185" s="885"/>
      <c r="D185" s="885"/>
      <c r="E185" s="885"/>
      <c r="F185" s="885"/>
      <c r="G185" s="885"/>
      <c r="H185" s="885"/>
      <c r="I185" s="885"/>
      <c r="J185" s="885"/>
      <c r="K185" s="885"/>
      <c r="L185" s="885"/>
      <c r="M185" s="885"/>
      <c r="N185" s="885"/>
      <c r="O185" s="885"/>
      <c r="P185" s="885"/>
      <c r="Q185" s="885"/>
      <c r="R185" s="885"/>
      <c r="S185" s="885"/>
      <c r="T185" s="885"/>
      <c r="U185" s="885"/>
      <c r="V185" s="885"/>
      <c r="W185" s="885"/>
      <c r="X185" s="885"/>
      <c r="Y185" s="885"/>
      <c r="Z185" s="885"/>
      <c r="AA185" s="885"/>
      <c r="AB185" s="885"/>
      <c r="AC185" s="885"/>
    </row>
    <row r="186" spans="1:29" ht="11.25" customHeight="1" x14ac:dyDescent="0.2">
      <c r="A186" s="885"/>
      <c r="B186" s="885"/>
      <c r="C186" s="885"/>
      <c r="D186" s="885"/>
      <c r="E186" s="885"/>
      <c r="F186" s="885"/>
      <c r="G186" s="885"/>
      <c r="H186" s="885"/>
      <c r="I186" s="885"/>
      <c r="J186" s="885"/>
      <c r="K186" s="885"/>
      <c r="L186" s="885"/>
      <c r="M186" s="885"/>
      <c r="N186" s="885"/>
      <c r="O186" s="885"/>
      <c r="P186" s="885"/>
      <c r="Q186" s="885"/>
      <c r="R186" s="885"/>
      <c r="S186" s="885"/>
      <c r="T186" s="885"/>
      <c r="U186" s="885"/>
      <c r="V186" s="885"/>
      <c r="W186" s="885"/>
      <c r="X186" s="885"/>
      <c r="Y186" s="885"/>
      <c r="Z186" s="885"/>
      <c r="AA186" s="885"/>
      <c r="AB186" s="885"/>
      <c r="AC186" s="885"/>
    </row>
    <row r="187" spans="1:29" ht="11.25" customHeight="1" x14ac:dyDescent="0.2">
      <c r="A187" s="885"/>
      <c r="B187" s="885"/>
      <c r="C187" s="885"/>
      <c r="D187" s="885"/>
      <c r="E187" s="885"/>
      <c r="F187" s="885"/>
      <c r="G187" s="885"/>
      <c r="H187" s="885"/>
      <c r="I187" s="885"/>
      <c r="J187" s="885"/>
      <c r="K187" s="885"/>
      <c r="L187" s="885"/>
      <c r="M187" s="885"/>
      <c r="N187" s="885"/>
      <c r="O187" s="885"/>
      <c r="P187" s="885"/>
      <c r="Q187" s="885"/>
      <c r="R187" s="885"/>
      <c r="S187" s="885"/>
      <c r="T187" s="885"/>
      <c r="U187" s="885"/>
      <c r="V187" s="885"/>
      <c r="W187" s="885"/>
      <c r="X187" s="885"/>
      <c r="Y187" s="885"/>
      <c r="Z187" s="885"/>
      <c r="AA187" s="885"/>
      <c r="AB187" s="885"/>
      <c r="AC187" s="885"/>
    </row>
    <row r="188" spans="1:29" ht="11.25" customHeight="1" x14ac:dyDescent="0.2">
      <c r="A188" s="885"/>
      <c r="B188" s="885"/>
      <c r="C188" s="885"/>
      <c r="D188" s="885"/>
      <c r="E188" s="885"/>
      <c r="F188" s="885"/>
      <c r="G188" s="885"/>
      <c r="H188" s="885"/>
      <c r="I188" s="885"/>
      <c r="J188" s="885"/>
      <c r="K188" s="885"/>
      <c r="L188" s="885"/>
      <c r="M188" s="885"/>
      <c r="N188" s="885"/>
      <c r="O188" s="885"/>
      <c r="P188" s="885"/>
      <c r="Q188" s="885"/>
      <c r="R188" s="885"/>
      <c r="S188" s="885"/>
      <c r="T188" s="885"/>
      <c r="U188" s="885"/>
      <c r="V188" s="885"/>
      <c r="W188" s="885"/>
      <c r="X188" s="885"/>
      <c r="Y188" s="885"/>
      <c r="Z188" s="885"/>
      <c r="AA188" s="885"/>
      <c r="AB188" s="885"/>
      <c r="AC188" s="885"/>
    </row>
    <row r="189" spans="1:29" ht="11.25" customHeight="1" x14ac:dyDescent="0.2">
      <c r="A189" s="885"/>
      <c r="B189" s="885"/>
      <c r="C189" s="885"/>
      <c r="D189" s="885"/>
      <c r="E189" s="885"/>
      <c r="F189" s="885"/>
      <c r="G189" s="885"/>
      <c r="H189" s="885"/>
      <c r="I189" s="885"/>
      <c r="J189" s="885"/>
      <c r="K189" s="885"/>
      <c r="L189" s="885"/>
      <c r="M189" s="885"/>
      <c r="N189" s="885"/>
      <c r="O189" s="885"/>
      <c r="P189" s="885"/>
      <c r="Q189" s="885"/>
      <c r="R189" s="885"/>
      <c r="S189" s="885"/>
      <c r="T189" s="885"/>
      <c r="U189" s="885"/>
      <c r="V189" s="885"/>
      <c r="W189" s="885"/>
      <c r="X189" s="885"/>
      <c r="Y189" s="885"/>
      <c r="Z189" s="885"/>
      <c r="AA189" s="885"/>
      <c r="AB189" s="885"/>
      <c r="AC189" s="885"/>
    </row>
    <row r="190" spans="1:29" ht="11.25" customHeight="1" x14ac:dyDescent="0.2">
      <c r="A190" s="885"/>
      <c r="B190" s="885"/>
      <c r="C190" s="885"/>
      <c r="D190" s="885"/>
      <c r="E190" s="885"/>
      <c r="F190" s="885"/>
      <c r="G190" s="885"/>
      <c r="H190" s="885"/>
      <c r="I190" s="885"/>
      <c r="J190" s="885"/>
      <c r="K190" s="885"/>
      <c r="L190" s="885"/>
      <c r="M190" s="885"/>
      <c r="N190" s="885"/>
      <c r="O190" s="885"/>
      <c r="P190" s="885"/>
      <c r="Q190" s="885"/>
      <c r="R190" s="885"/>
      <c r="S190" s="885"/>
      <c r="T190" s="885"/>
      <c r="U190" s="885"/>
      <c r="V190" s="885"/>
      <c r="W190" s="885"/>
      <c r="X190" s="885"/>
      <c r="Y190" s="885"/>
      <c r="Z190" s="885"/>
      <c r="AA190" s="885"/>
      <c r="AB190" s="885"/>
      <c r="AC190" s="885"/>
    </row>
    <row r="191" spans="1:29" ht="11.25" customHeight="1" x14ac:dyDescent="0.2">
      <c r="A191" s="885"/>
      <c r="B191" s="885"/>
      <c r="C191" s="885"/>
      <c r="D191" s="885"/>
      <c r="E191" s="885"/>
      <c r="F191" s="885"/>
      <c r="G191" s="885"/>
      <c r="H191" s="885"/>
      <c r="I191" s="885"/>
      <c r="J191" s="885"/>
      <c r="K191" s="885"/>
      <c r="L191" s="885"/>
      <c r="M191" s="885"/>
      <c r="N191" s="885"/>
      <c r="O191" s="885"/>
      <c r="P191" s="885"/>
      <c r="Q191" s="885"/>
      <c r="R191" s="885"/>
      <c r="S191" s="885"/>
      <c r="T191" s="885"/>
      <c r="U191" s="885"/>
      <c r="V191" s="885"/>
      <c r="W191" s="885"/>
      <c r="X191" s="885"/>
      <c r="Y191" s="885"/>
      <c r="Z191" s="885"/>
      <c r="AA191" s="885"/>
      <c r="AB191" s="885"/>
      <c r="AC191" s="885"/>
    </row>
    <row r="192" spans="1:29" ht="11.25" customHeight="1" x14ac:dyDescent="0.2">
      <c r="A192" s="885"/>
      <c r="B192" s="885"/>
      <c r="C192" s="885"/>
      <c r="D192" s="885"/>
      <c r="E192" s="885"/>
      <c r="F192" s="885"/>
      <c r="G192" s="885"/>
      <c r="H192" s="885"/>
      <c r="I192" s="885"/>
      <c r="J192" s="885"/>
      <c r="K192" s="885"/>
      <c r="L192" s="885"/>
      <c r="M192" s="885"/>
      <c r="N192" s="885"/>
      <c r="O192" s="885"/>
      <c r="P192" s="885"/>
      <c r="Q192" s="885"/>
      <c r="R192" s="885"/>
      <c r="S192" s="885"/>
      <c r="T192" s="885"/>
      <c r="U192" s="885"/>
      <c r="V192" s="885"/>
      <c r="W192" s="885"/>
      <c r="X192" s="885"/>
      <c r="Y192" s="885"/>
      <c r="Z192" s="885"/>
      <c r="AA192" s="885"/>
      <c r="AB192" s="885"/>
      <c r="AC192" s="885"/>
    </row>
    <row r="193" spans="1:29" ht="11.25" customHeight="1" x14ac:dyDescent="0.2">
      <c r="A193" s="885"/>
      <c r="B193" s="885"/>
      <c r="C193" s="885"/>
      <c r="D193" s="885"/>
      <c r="E193" s="885"/>
      <c r="F193" s="885"/>
      <c r="G193" s="885"/>
      <c r="H193" s="885"/>
      <c r="I193" s="885"/>
      <c r="J193" s="885"/>
      <c r="K193" s="885"/>
      <c r="L193" s="885"/>
      <c r="M193" s="885"/>
      <c r="N193" s="885"/>
      <c r="O193" s="885"/>
      <c r="P193" s="885"/>
      <c r="Q193" s="885"/>
      <c r="R193" s="885"/>
      <c r="S193" s="885"/>
      <c r="T193" s="885"/>
      <c r="U193" s="885"/>
      <c r="V193" s="885"/>
      <c r="W193" s="885"/>
      <c r="X193" s="885"/>
      <c r="Y193" s="885"/>
      <c r="Z193" s="885"/>
      <c r="AA193" s="885"/>
      <c r="AB193" s="885"/>
      <c r="AC193" s="885"/>
    </row>
    <row r="194" spans="1:29" ht="11.25" customHeight="1" x14ac:dyDescent="0.2">
      <c r="A194" s="885"/>
      <c r="B194" s="885"/>
      <c r="C194" s="885"/>
      <c r="D194" s="885"/>
      <c r="E194" s="885"/>
      <c r="F194" s="885"/>
      <c r="G194" s="885"/>
      <c r="H194" s="885"/>
      <c r="I194" s="885"/>
      <c r="J194" s="885"/>
      <c r="K194" s="885"/>
      <c r="L194" s="885"/>
      <c r="M194" s="885"/>
      <c r="N194" s="885"/>
      <c r="O194" s="885"/>
      <c r="P194" s="885"/>
      <c r="Q194" s="885"/>
      <c r="R194" s="885"/>
      <c r="S194" s="885"/>
      <c r="T194" s="885"/>
      <c r="U194" s="885"/>
      <c r="V194" s="885"/>
      <c r="W194" s="885"/>
      <c r="X194" s="885"/>
      <c r="Y194" s="885"/>
      <c r="Z194" s="885"/>
      <c r="AA194" s="885"/>
      <c r="AB194" s="885"/>
      <c r="AC194" s="885"/>
    </row>
    <row r="195" spans="1:29" ht="11.25" customHeight="1" x14ac:dyDescent="0.2">
      <c r="A195" s="885"/>
      <c r="B195" s="885"/>
      <c r="C195" s="885"/>
      <c r="D195" s="885"/>
      <c r="E195" s="885"/>
      <c r="F195" s="885"/>
      <c r="G195" s="885"/>
      <c r="H195" s="885"/>
      <c r="I195" s="885"/>
      <c r="J195" s="885"/>
      <c r="K195" s="885"/>
      <c r="L195" s="885"/>
      <c r="M195" s="885"/>
      <c r="N195" s="885"/>
      <c r="O195" s="885"/>
      <c r="P195" s="885"/>
      <c r="Q195" s="885"/>
      <c r="R195" s="885"/>
      <c r="S195" s="885"/>
      <c r="T195" s="885"/>
      <c r="U195" s="885"/>
      <c r="V195" s="885"/>
      <c r="W195" s="885"/>
      <c r="X195" s="885"/>
      <c r="Y195" s="885"/>
      <c r="Z195" s="885"/>
      <c r="AA195" s="885"/>
      <c r="AB195" s="885"/>
      <c r="AC195" s="885"/>
    </row>
    <row r="196" spans="1:29" ht="11.25" customHeight="1" x14ac:dyDescent="0.2">
      <c r="A196" s="885"/>
      <c r="B196" s="885"/>
      <c r="C196" s="885"/>
      <c r="D196" s="885"/>
      <c r="E196" s="885"/>
      <c r="F196" s="885"/>
      <c r="G196" s="885"/>
      <c r="H196" s="885"/>
      <c r="I196" s="885"/>
      <c r="J196" s="885"/>
      <c r="K196" s="885"/>
      <c r="L196" s="885"/>
      <c r="M196" s="885"/>
      <c r="N196" s="885"/>
      <c r="O196" s="885"/>
      <c r="P196" s="885"/>
      <c r="Q196" s="885"/>
      <c r="R196" s="885"/>
      <c r="S196" s="885"/>
      <c r="T196" s="885"/>
      <c r="U196" s="885"/>
      <c r="V196" s="885"/>
      <c r="W196" s="885"/>
      <c r="X196" s="885"/>
      <c r="Y196" s="885"/>
      <c r="Z196" s="885"/>
      <c r="AA196" s="885"/>
      <c r="AB196" s="885"/>
      <c r="AC196" s="885"/>
    </row>
    <row r="197" spans="1:29" ht="11.25" customHeight="1" x14ac:dyDescent="0.2">
      <c r="A197" s="885"/>
      <c r="B197" s="885"/>
      <c r="C197" s="885"/>
      <c r="D197" s="885"/>
      <c r="E197" s="885"/>
      <c r="F197" s="885"/>
      <c r="G197" s="885"/>
      <c r="H197" s="885"/>
      <c r="I197" s="885"/>
      <c r="J197" s="885"/>
      <c r="K197" s="885"/>
      <c r="L197" s="885"/>
      <c r="M197" s="885"/>
      <c r="N197" s="885"/>
      <c r="O197" s="885"/>
      <c r="P197" s="885"/>
      <c r="Q197" s="885"/>
      <c r="R197" s="885"/>
      <c r="S197" s="885"/>
      <c r="T197" s="885"/>
      <c r="U197" s="885"/>
      <c r="V197" s="885"/>
      <c r="W197" s="885"/>
      <c r="X197" s="885"/>
      <c r="Y197" s="885"/>
      <c r="Z197" s="885"/>
      <c r="AA197" s="885"/>
      <c r="AB197" s="885"/>
      <c r="AC197" s="885"/>
    </row>
    <row r="198" spans="1:29" ht="11.25" customHeight="1" x14ac:dyDescent="0.2">
      <c r="A198" s="885"/>
      <c r="B198" s="885"/>
      <c r="C198" s="885"/>
      <c r="D198" s="885"/>
      <c r="E198" s="885"/>
      <c r="F198" s="885"/>
      <c r="G198" s="885"/>
      <c r="H198" s="885"/>
      <c r="I198" s="885"/>
      <c r="J198" s="885"/>
      <c r="K198" s="885"/>
      <c r="L198" s="885"/>
      <c r="M198" s="885"/>
      <c r="N198" s="885"/>
      <c r="O198" s="885"/>
      <c r="P198" s="885"/>
      <c r="Q198" s="885"/>
      <c r="R198" s="885"/>
      <c r="S198" s="885"/>
      <c r="T198" s="885"/>
      <c r="U198" s="885"/>
      <c r="V198" s="885"/>
      <c r="W198" s="885"/>
      <c r="X198" s="885"/>
      <c r="Y198" s="885"/>
      <c r="Z198" s="885"/>
      <c r="AA198" s="885"/>
      <c r="AB198" s="885"/>
      <c r="AC198" s="885"/>
    </row>
    <row r="199" spans="1:29" ht="11.25" customHeight="1" x14ac:dyDescent="0.2">
      <c r="A199" s="885"/>
      <c r="B199" s="885"/>
      <c r="C199" s="885"/>
      <c r="D199" s="885"/>
      <c r="E199" s="885"/>
      <c r="F199" s="885"/>
      <c r="G199" s="885"/>
      <c r="H199" s="885"/>
      <c r="I199" s="885"/>
      <c r="J199" s="885"/>
      <c r="K199" s="885"/>
      <c r="L199" s="885"/>
      <c r="M199" s="885"/>
      <c r="N199" s="885"/>
      <c r="O199" s="885"/>
      <c r="P199" s="885"/>
      <c r="Q199" s="885"/>
      <c r="R199" s="885"/>
      <c r="S199" s="885"/>
      <c r="T199" s="885"/>
      <c r="U199" s="885"/>
      <c r="V199" s="885"/>
      <c r="W199" s="885"/>
      <c r="X199" s="885"/>
      <c r="Y199" s="885"/>
      <c r="Z199" s="885"/>
      <c r="AA199" s="885"/>
      <c r="AB199" s="885"/>
      <c r="AC199" s="885"/>
    </row>
    <row r="200" spans="1:29" ht="11.25" customHeight="1" x14ac:dyDescent="0.2">
      <c r="A200" s="885"/>
      <c r="B200" s="885"/>
      <c r="C200" s="885"/>
      <c r="D200" s="885"/>
      <c r="E200" s="885"/>
      <c r="F200" s="885"/>
      <c r="G200" s="885"/>
      <c r="H200" s="885"/>
      <c r="I200" s="885"/>
      <c r="J200" s="885"/>
      <c r="K200" s="885"/>
      <c r="L200" s="885"/>
      <c r="M200" s="885"/>
      <c r="N200" s="885"/>
      <c r="O200" s="885"/>
      <c r="P200" s="885"/>
      <c r="Q200" s="885"/>
      <c r="R200" s="885"/>
      <c r="S200" s="885"/>
      <c r="T200" s="885"/>
      <c r="U200" s="885"/>
      <c r="V200" s="885"/>
      <c r="W200" s="885"/>
      <c r="X200" s="885"/>
      <c r="Y200" s="885"/>
      <c r="Z200" s="885"/>
      <c r="AA200" s="885"/>
      <c r="AB200" s="885"/>
      <c r="AC200" s="885"/>
    </row>
    <row r="201" spans="1:29" ht="11.25" customHeight="1" x14ac:dyDescent="0.2">
      <c r="A201" s="885"/>
      <c r="B201" s="885"/>
      <c r="C201" s="885"/>
      <c r="D201" s="885"/>
      <c r="E201" s="885"/>
      <c r="F201" s="885"/>
      <c r="G201" s="885"/>
      <c r="H201" s="885"/>
      <c r="I201" s="885"/>
      <c r="J201" s="885"/>
      <c r="K201" s="885"/>
      <c r="L201" s="885"/>
      <c r="M201" s="885"/>
      <c r="N201" s="885"/>
      <c r="O201" s="885"/>
      <c r="P201" s="885"/>
      <c r="Q201" s="885"/>
      <c r="R201" s="885"/>
      <c r="S201" s="885"/>
      <c r="T201" s="885"/>
      <c r="U201" s="885"/>
      <c r="V201" s="885"/>
      <c r="W201" s="885"/>
      <c r="X201" s="885"/>
      <c r="Y201" s="885"/>
      <c r="Z201" s="885"/>
      <c r="AA201" s="885"/>
      <c r="AB201" s="885"/>
      <c r="AC201" s="885"/>
    </row>
    <row r="202" spans="1:29" ht="11.25" customHeight="1" x14ac:dyDescent="0.2">
      <c r="A202" s="885"/>
      <c r="B202" s="885"/>
      <c r="C202" s="885"/>
      <c r="D202" s="885"/>
      <c r="E202" s="885"/>
      <c r="F202" s="885"/>
      <c r="G202" s="885"/>
      <c r="H202" s="885"/>
      <c r="I202" s="885"/>
      <c r="J202" s="885"/>
      <c r="K202" s="885"/>
      <c r="L202" s="885"/>
      <c r="M202" s="885"/>
      <c r="N202" s="885"/>
      <c r="O202" s="885"/>
      <c r="P202" s="885"/>
      <c r="Q202" s="885"/>
      <c r="R202" s="885"/>
      <c r="S202" s="885"/>
      <c r="T202" s="885"/>
      <c r="U202" s="885"/>
      <c r="V202" s="885"/>
      <c r="W202" s="885"/>
      <c r="X202" s="885"/>
      <c r="Y202" s="885"/>
      <c r="Z202" s="885"/>
      <c r="AA202" s="885"/>
      <c r="AB202" s="885"/>
      <c r="AC202" s="885"/>
    </row>
    <row r="203" spans="1:29" ht="11.25" customHeight="1" x14ac:dyDescent="0.2">
      <c r="A203" s="885"/>
      <c r="B203" s="885"/>
      <c r="C203" s="885"/>
      <c r="D203" s="885"/>
      <c r="E203" s="885"/>
      <c r="F203" s="885"/>
      <c r="G203" s="885"/>
      <c r="H203" s="885"/>
      <c r="I203" s="885"/>
      <c r="J203" s="885"/>
      <c r="K203" s="885"/>
      <c r="L203" s="885"/>
      <c r="M203" s="885"/>
      <c r="N203" s="885"/>
      <c r="O203" s="885"/>
      <c r="P203" s="885"/>
      <c r="Q203" s="885"/>
      <c r="R203" s="885"/>
      <c r="S203" s="885"/>
      <c r="T203" s="885"/>
      <c r="U203" s="885"/>
      <c r="V203" s="885"/>
      <c r="W203" s="885"/>
      <c r="X203" s="885"/>
      <c r="Y203" s="885"/>
      <c r="Z203" s="885"/>
      <c r="AA203" s="885"/>
      <c r="AB203" s="885"/>
      <c r="AC203" s="885"/>
    </row>
    <row r="204" spans="1:29" ht="11.25" customHeight="1" x14ac:dyDescent="0.2">
      <c r="A204" s="885"/>
      <c r="B204" s="885"/>
      <c r="C204" s="885"/>
      <c r="D204" s="885"/>
      <c r="E204" s="885"/>
      <c r="F204" s="885"/>
      <c r="G204" s="885"/>
      <c r="H204" s="885"/>
      <c r="I204" s="885"/>
      <c r="J204" s="885"/>
      <c r="K204" s="885"/>
      <c r="L204" s="885"/>
      <c r="M204" s="885"/>
      <c r="N204" s="885"/>
      <c r="O204" s="885"/>
      <c r="P204" s="885"/>
      <c r="Q204" s="885"/>
      <c r="R204" s="885"/>
      <c r="S204" s="885"/>
      <c r="T204" s="885"/>
      <c r="U204" s="885"/>
      <c r="V204" s="885"/>
      <c r="W204" s="885"/>
      <c r="X204" s="885"/>
      <c r="Y204" s="885"/>
      <c r="Z204" s="885"/>
      <c r="AA204" s="885"/>
      <c r="AB204" s="885"/>
      <c r="AC204" s="885"/>
    </row>
    <row r="205" spans="1:29" ht="11.25" customHeight="1" x14ac:dyDescent="0.2">
      <c r="A205" s="885"/>
      <c r="B205" s="885"/>
      <c r="C205" s="885"/>
      <c r="D205" s="885"/>
      <c r="E205" s="885"/>
      <c r="F205" s="885"/>
      <c r="G205" s="885"/>
      <c r="H205" s="885"/>
      <c r="I205" s="885"/>
      <c r="J205" s="885"/>
      <c r="K205" s="885"/>
      <c r="L205" s="885"/>
      <c r="M205" s="885"/>
      <c r="N205" s="885"/>
      <c r="O205" s="885"/>
      <c r="P205" s="885"/>
      <c r="Q205" s="885"/>
      <c r="R205" s="885"/>
      <c r="S205" s="885"/>
      <c r="T205" s="885"/>
      <c r="U205" s="885"/>
      <c r="V205" s="885"/>
      <c r="W205" s="885"/>
      <c r="X205" s="885"/>
      <c r="Y205" s="885"/>
      <c r="Z205" s="885"/>
      <c r="AA205" s="885"/>
      <c r="AB205" s="885"/>
      <c r="AC205" s="885"/>
    </row>
    <row r="206" spans="1:29" ht="11.25" customHeight="1" x14ac:dyDescent="0.2">
      <c r="A206" s="885"/>
      <c r="B206" s="885"/>
      <c r="C206" s="885"/>
      <c r="D206" s="885"/>
      <c r="E206" s="885"/>
      <c r="F206" s="885"/>
      <c r="G206" s="885"/>
      <c r="H206" s="885"/>
      <c r="I206" s="885"/>
      <c r="J206" s="885"/>
      <c r="K206" s="885"/>
      <c r="L206" s="885"/>
      <c r="M206" s="885"/>
      <c r="N206" s="885"/>
      <c r="O206" s="885"/>
      <c r="P206" s="885"/>
      <c r="Q206" s="885"/>
      <c r="R206" s="885"/>
      <c r="S206" s="885"/>
      <c r="T206" s="885"/>
      <c r="U206" s="885"/>
      <c r="V206" s="885"/>
      <c r="W206" s="885"/>
      <c r="X206" s="885"/>
      <c r="Y206" s="885"/>
      <c r="Z206" s="885"/>
      <c r="AA206" s="885"/>
      <c r="AB206" s="885"/>
      <c r="AC206" s="885"/>
    </row>
    <row r="207" spans="1:29" ht="11.25" customHeight="1" x14ac:dyDescent="0.2">
      <c r="A207" s="885"/>
      <c r="B207" s="885"/>
      <c r="C207" s="885"/>
      <c r="D207" s="885"/>
      <c r="E207" s="885"/>
      <c r="F207" s="885"/>
      <c r="G207" s="885"/>
      <c r="H207" s="885"/>
      <c r="I207" s="885"/>
      <c r="J207" s="885"/>
      <c r="K207" s="885"/>
      <c r="L207" s="885"/>
      <c r="M207" s="885"/>
      <c r="N207" s="885"/>
      <c r="O207" s="885"/>
      <c r="P207" s="885"/>
      <c r="Q207" s="885"/>
      <c r="R207" s="885"/>
      <c r="S207" s="885"/>
      <c r="T207" s="885"/>
      <c r="U207" s="885"/>
      <c r="V207" s="885"/>
      <c r="W207" s="885"/>
      <c r="X207" s="885"/>
      <c r="Y207" s="885"/>
      <c r="Z207" s="885"/>
      <c r="AA207" s="885"/>
      <c r="AB207" s="885"/>
      <c r="AC207" s="885"/>
    </row>
    <row r="208" spans="1:29" ht="11.25" customHeight="1" x14ac:dyDescent="0.2">
      <c r="A208" s="885"/>
      <c r="B208" s="885"/>
      <c r="C208" s="885"/>
      <c r="D208" s="885"/>
      <c r="E208" s="885"/>
      <c r="F208" s="885"/>
      <c r="G208" s="885"/>
      <c r="H208" s="885"/>
      <c r="I208" s="885"/>
      <c r="J208" s="885"/>
      <c r="K208" s="885"/>
      <c r="L208" s="885"/>
      <c r="M208" s="885"/>
      <c r="N208" s="885"/>
      <c r="O208" s="885"/>
      <c r="P208" s="885"/>
      <c r="Q208" s="885"/>
      <c r="R208" s="885"/>
      <c r="S208" s="885"/>
      <c r="T208" s="885"/>
      <c r="U208" s="885"/>
      <c r="V208" s="885"/>
      <c r="W208" s="885"/>
      <c r="X208" s="885"/>
      <c r="Y208" s="885"/>
      <c r="Z208" s="885"/>
      <c r="AA208" s="885"/>
      <c r="AB208" s="885"/>
      <c r="AC208" s="885"/>
    </row>
    <row r="209" spans="1:29" ht="11.25" customHeight="1" x14ac:dyDescent="0.2">
      <c r="A209" s="885"/>
      <c r="B209" s="885"/>
      <c r="C209" s="885"/>
      <c r="D209" s="885"/>
      <c r="E209" s="885"/>
      <c r="F209" s="885"/>
      <c r="G209" s="885"/>
      <c r="H209" s="885"/>
      <c r="I209" s="885"/>
      <c r="J209" s="885"/>
      <c r="K209" s="885"/>
      <c r="L209" s="885"/>
      <c r="M209" s="885"/>
      <c r="N209" s="885"/>
      <c r="O209" s="885"/>
      <c r="P209" s="885"/>
      <c r="Q209" s="885"/>
      <c r="R209" s="885"/>
      <c r="S209" s="885"/>
      <c r="T209" s="885"/>
      <c r="U209" s="885"/>
      <c r="V209" s="885"/>
      <c r="W209" s="885"/>
      <c r="X209" s="885"/>
      <c r="Y209" s="885"/>
      <c r="Z209" s="885"/>
      <c r="AA209" s="885"/>
      <c r="AB209" s="885"/>
      <c r="AC209" s="885"/>
    </row>
    <row r="210" spans="1:29" ht="11.25" customHeight="1" x14ac:dyDescent="0.2">
      <c r="A210" s="885"/>
      <c r="B210" s="885"/>
      <c r="C210" s="885"/>
      <c r="D210" s="885"/>
      <c r="E210" s="885"/>
      <c r="F210" s="885"/>
      <c r="G210" s="885"/>
      <c r="H210" s="885"/>
      <c r="I210" s="885"/>
      <c r="J210" s="885"/>
      <c r="K210" s="885"/>
      <c r="L210" s="885"/>
      <c r="M210" s="885"/>
      <c r="N210" s="885"/>
      <c r="O210" s="885"/>
      <c r="P210" s="885"/>
      <c r="Q210" s="885"/>
      <c r="R210" s="885"/>
      <c r="S210" s="885"/>
      <c r="T210" s="885"/>
      <c r="U210" s="885"/>
      <c r="V210" s="885"/>
      <c r="W210" s="885"/>
      <c r="X210" s="885"/>
      <c r="Y210" s="885"/>
      <c r="Z210" s="885"/>
      <c r="AA210" s="885"/>
      <c r="AB210" s="885"/>
      <c r="AC210" s="885"/>
    </row>
    <row r="211" spans="1:29" ht="11.25" customHeight="1" x14ac:dyDescent="0.2">
      <c r="A211" s="885"/>
      <c r="B211" s="885"/>
      <c r="C211" s="885"/>
      <c r="D211" s="885"/>
      <c r="E211" s="885"/>
      <c r="F211" s="885"/>
      <c r="G211" s="885"/>
      <c r="H211" s="885"/>
      <c r="I211" s="885"/>
      <c r="J211" s="885"/>
      <c r="K211" s="885"/>
      <c r="L211" s="885"/>
      <c r="M211" s="885"/>
      <c r="N211" s="885"/>
      <c r="O211" s="885"/>
      <c r="P211" s="885"/>
      <c r="Q211" s="885"/>
      <c r="R211" s="885"/>
      <c r="S211" s="885"/>
      <c r="T211" s="885"/>
      <c r="U211" s="885"/>
      <c r="V211" s="885"/>
      <c r="W211" s="885"/>
      <c r="X211" s="885"/>
      <c r="Y211" s="885"/>
      <c r="Z211" s="885"/>
      <c r="AA211" s="885"/>
      <c r="AB211" s="885"/>
      <c r="AC211" s="885"/>
    </row>
    <row r="212" spans="1:29" ht="11.25" customHeight="1" x14ac:dyDescent="0.2">
      <c r="A212" s="885"/>
      <c r="B212" s="885"/>
      <c r="C212" s="885"/>
      <c r="D212" s="885"/>
      <c r="E212" s="885"/>
      <c r="F212" s="885"/>
      <c r="G212" s="885"/>
      <c r="H212" s="885"/>
      <c r="I212" s="885"/>
      <c r="J212" s="885"/>
      <c r="K212" s="885"/>
      <c r="L212" s="885"/>
      <c r="M212" s="885"/>
      <c r="N212" s="885"/>
      <c r="O212" s="885"/>
      <c r="P212" s="885"/>
      <c r="Q212" s="885"/>
      <c r="R212" s="885"/>
      <c r="S212" s="885"/>
      <c r="T212" s="885"/>
      <c r="U212" s="885"/>
      <c r="V212" s="885"/>
      <c r="W212" s="885"/>
      <c r="X212" s="885"/>
      <c r="Y212" s="885"/>
      <c r="Z212" s="885"/>
      <c r="AA212" s="885"/>
      <c r="AB212" s="885"/>
      <c r="AC212" s="885"/>
    </row>
    <row r="213" spans="1:29" ht="11.25" customHeight="1" x14ac:dyDescent="0.2">
      <c r="A213" s="885"/>
      <c r="B213" s="885"/>
      <c r="C213" s="885"/>
      <c r="D213" s="885"/>
      <c r="E213" s="885"/>
      <c r="F213" s="885"/>
      <c r="G213" s="885"/>
      <c r="H213" s="885"/>
      <c r="I213" s="885"/>
      <c r="J213" s="885"/>
      <c r="K213" s="885"/>
      <c r="L213" s="885"/>
      <c r="M213" s="885"/>
      <c r="N213" s="885"/>
      <c r="O213" s="885"/>
      <c r="P213" s="885"/>
      <c r="Q213" s="885"/>
      <c r="R213" s="885"/>
      <c r="S213" s="885"/>
      <c r="T213" s="885"/>
      <c r="U213" s="885"/>
      <c r="V213" s="885"/>
      <c r="W213" s="885"/>
      <c r="X213" s="885"/>
      <c r="Y213" s="885"/>
      <c r="Z213" s="885"/>
      <c r="AA213" s="885"/>
      <c r="AB213" s="885"/>
      <c r="AC213" s="885"/>
    </row>
    <row r="214" spans="1:29" ht="11.25" customHeight="1" x14ac:dyDescent="0.2">
      <c r="A214" s="885"/>
      <c r="B214" s="885"/>
      <c r="C214" s="885"/>
      <c r="D214" s="885"/>
      <c r="E214" s="885"/>
      <c r="F214" s="885"/>
      <c r="G214" s="885"/>
      <c r="H214" s="885"/>
      <c r="I214" s="885"/>
      <c r="J214" s="885"/>
      <c r="K214" s="885"/>
      <c r="L214" s="885"/>
      <c r="M214" s="885"/>
      <c r="N214" s="885"/>
      <c r="O214" s="885"/>
      <c r="P214" s="885"/>
      <c r="Q214" s="885"/>
      <c r="R214" s="885"/>
      <c r="S214" s="885"/>
      <c r="T214" s="885"/>
      <c r="U214" s="885"/>
      <c r="V214" s="885"/>
      <c r="W214" s="885"/>
      <c r="X214" s="885"/>
      <c r="Y214" s="885"/>
      <c r="Z214" s="885"/>
      <c r="AA214" s="885"/>
      <c r="AB214" s="885"/>
      <c r="AC214" s="885"/>
    </row>
    <row r="215" spans="1:29" ht="11.25" customHeight="1" x14ac:dyDescent="0.2">
      <c r="A215" s="885"/>
      <c r="B215" s="885"/>
      <c r="C215" s="885"/>
      <c r="D215" s="885"/>
      <c r="E215" s="885"/>
      <c r="F215" s="885"/>
      <c r="G215" s="885"/>
      <c r="H215" s="885"/>
      <c r="I215" s="885"/>
      <c r="J215" s="885"/>
      <c r="K215" s="885"/>
      <c r="L215" s="885"/>
      <c r="M215" s="885"/>
      <c r="N215" s="885"/>
      <c r="O215" s="885"/>
      <c r="P215" s="885"/>
      <c r="Q215" s="885"/>
      <c r="R215" s="885"/>
      <c r="S215" s="885"/>
      <c r="T215" s="885"/>
      <c r="U215" s="885"/>
      <c r="V215" s="885"/>
      <c r="W215" s="885"/>
      <c r="X215" s="885"/>
      <c r="Y215" s="885"/>
      <c r="Z215" s="885"/>
      <c r="AA215" s="885"/>
      <c r="AB215" s="885"/>
      <c r="AC215" s="885"/>
    </row>
    <row r="216" spans="1:29" ht="11.25" customHeight="1" x14ac:dyDescent="0.2">
      <c r="A216" s="885"/>
      <c r="B216" s="885"/>
      <c r="C216" s="885"/>
      <c r="D216" s="885"/>
      <c r="E216" s="885"/>
      <c r="F216" s="885"/>
      <c r="G216" s="885"/>
      <c r="H216" s="885"/>
      <c r="I216" s="885"/>
      <c r="J216" s="885"/>
      <c r="K216" s="885"/>
      <c r="L216" s="885"/>
      <c r="M216" s="885"/>
      <c r="N216" s="885"/>
      <c r="O216" s="885"/>
      <c r="P216" s="885"/>
      <c r="Q216" s="885"/>
      <c r="R216" s="885"/>
      <c r="S216" s="885"/>
      <c r="T216" s="885"/>
      <c r="U216" s="885"/>
      <c r="V216" s="885"/>
      <c r="W216" s="885"/>
      <c r="X216" s="885"/>
      <c r="Y216" s="885"/>
      <c r="Z216" s="885"/>
      <c r="AA216" s="885"/>
      <c r="AB216" s="885"/>
      <c r="AC216" s="885"/>
    </row>
    <row r="217" spans="1:29" ht="11.25" customHeight="1" x14ac:dyDescent="0.2">
      <c r="A217" s="885"/>
      <c r="B217" s="885"/>
      <c r="C217" s="885"/>
      <c r="D217" s="885"/>
      <c r="E217" s="885"/>
      <c r="F217" s="885"/>
      <c r="G217" s="885"/>
      <c r="H217" s="885"/>
      <c r="I217" s="885"/>
      <c r="J217" s="885"/>
      <c r="K217" s="885"/>
      <c r="L217" s="885"/>
      <c r="M217" s="885"/>
      <c r="N217" s="885"/>
      <c r="O217" s="885"/>
      <c r="P217" s="885"/>
      <c r="Q217" s="885"/>
      <c r="R217" s="885"/>
      <c r="S217" s="885"/>
      <c r="T217" s="885"/>
      <c r="U217" s="885"/>
      <c r="V217" s="885"/>
      <c r="W217" s="885"/>
      <c r="X217" s="885"/>
      <c r="Y217" s="885"/>
      <c r="Z217" s="885"/>
      <c r="AA217" s="885"/>
      <c r="AB217" s="885"/>
      <c r="AC217" s="885"/>
    </row>
    <row r="218" spans="1:29" ht="11.25" customHeight="1" x14ac:dyDescent="0.2">
      <c r="A218" s="885"/>
      <c r="B218" s="885"/>
      <c r="C218" s="885"/>
      <c r="D218" s="885"/>
      <c r="E218" s="885"/>
      <c r="F218" s="885"/>
      <c r="G218" s="885"/>
      <c r="H218" s="885"/>
      <c r="I218" s="885"/>
      <c r="J218" s="885"/>
      <c r="K218" s="885"/>
      <c r="L218" s="885"/>
      <c r="M218" s="885"/>
      <c r="N218" s="885"/>
      <c r="O218" s="885"/>
      <c r="P218" s="885"/>
      <c r="Q218" s="885"/>
      <c r="R218" s="885"/>
      <c r="S218" s="885"/>
      <c r="T218" s="885"/>
      <c r="U218" s="885"/>
      <c r="V218" s="885"/>
      <c r="W218" s="885"/>
      <c r="X218" s="885"/>
      <c r="Y218" s="885"/>
      <c r="Z218" s="885"/>
      <c r="AA218" s="885"/>
      <c r="AB218" s="885"/>
      <c r="AC218" s="885"/>
    </row>
    <row r="219" spans="1:29" ht="11.25" customHeight="1" x14ac:dyDescent="0.2">
      <c r="A219" s="885"/>
      <c r="B219" s="885"/>
      <c r="C219" s="885"/>
      <c r="D219" s="885"/>
      <c r="E219" s="885"/>
      <c r="F219" s="885"/>
      <c r="G219" s="885"/>
      <c r="H219" s="885"/>
      <c r="I219" s="885"/>
      <c r="J219" s="885"/>
      <c r="K219" s="885"/>
      <c r="L219" s="885"/>
      <c r="M219" s="885"/>
      <c r="N219" s="885"/>
      <c r="O219" s="885"/>
      <c r="P219" s="885"/>
      <c r="Q219" s="885"/>
      <c r="R219" s="885"/>
      <c r="S219" s="885"/>
      <c r="T219" s="885"/>
      <c r="U219" s="885"/>
      <c r="V219" s="885"/>
      <c r="W219" s="885"/>
      <c r="X219" s="885"/>
      <c r="Y219" s="885"/>
      <c r="Z219" s="885"/>
      <c r="AA219" s="885"/>
      <c r="AB219" s="885"/>
      <c r="AC219" s="885"/>
    </row>
    <row r="220" spans="1:29" ht="11.25" customHeight="1" x14ac:dyDescent="0.2">
      <c r="A220" s="885"/>
      <c r="B220" s="885"/>
      <c r="C220" s="885"/>
      <c r="D220" s="885"/>
      <c r="E220" s="885"/>
      <c r="F220" s="885"/>
      <c r="G220" s="885"/>
      <c r="H220" s="885"/>
      <c r="I220" s="885"/>
      <c r="J220" s="885"/>
      <c r="K220" s="885"/>
      <c r="L220" s="885"/>
      <c r="M220" s="885"/>
      <c r="N220" s="885"/>
      <c r="O220" s="885"/>
      <c r="P220" s="885"/>
      <c r="Q220" s="885"/>
      <c r="R220" s="885"/>
      <c r="S220" s="885"/>
      <c r="T220" s="885"/>
      <c r="U220" s="885"/>
      <c r="V220" s="885"/>
      <c r="W220" s="885"/>
      <c r="X220" s="885"/>
      <c r="Y220" s="885"/>
      <c r="Z220" s="885"/>
      <c r="AA220" s="885"/>
      <c r="AB220" s="885"/>
      <c r="AC220" s="885"/>
    </row>
    <row r="221" spans="1:29" ht="11.25" customHeight="1" x14ac:dyDescent="0.2">
      <c r="A221" s="885"/>
      <c r="B221" s="885"/>
      <c r="C221" s="885"/>
      <c r="D221" s="885"/>
      <c r="E221" s="885"/>
      <c r="F221" s="885"/>
      <c r="G221" s="885"/>
      <c r="H221" s="885"/>
      <c r="I221" s="885"/>
      <c r="J221" s="885"/>
      <c r="K221" s="885"/>
      <c r="L221" s="885"/>
      <c r="M221" s="885"/>
      <c r="N221" s="885"/>
      <c r="O221" s="885"/>
      <c r="P221" s="885"/>
      <c r="Q221" s="885"/>
      <c r="R221" s="885"/>
      <c r="S221" s="885"/>
      <c r="T221" s="885"/>
      <c r="U221" s="885"/>
      <c r="V221" s="885"/>
      <c r="W221" s="885"/>
      <c r="X221" s="885"/>
      <c r="Y221" s="885"/>
      <c r="Z221" s="885"/>
      <c r="AA221" s="885"/>
      <c r="AB221" s="885"/>
      <c r="AC221" s="885"/>
    </row>
    <row r="222" spans="1:29" ht="11.25" customHeight="1" x14ac:dyDescent="0.2">
      <c r="A222" s="885"/>
      <c r="B222" s="885"/>
      <c r="C222" s="885"/>
      <c r="D222" s="885"/>
      <c r="E222" s="885"/>
      <c r="F222" s="885"/>
      <c r="G222" s="885"/>
      <c r="H222" s="885"/>
      <c r="I222" s="885"/>
      <c r="J222" s="885"/>
      <c r="K222" s="885"/>
      <c r="L222" s="885"/>
      <c r="M222" s="885"/>
      <c r="N222" s="885"/>
      <c r="O222" s="885"/>
      <c r="P222" s="885"/>
      <c r="Q222" s="885"/>
      <c r="R222" s="885"/>
      <c r="S222" s="885"/>
      <c r="T222" s="885"/>
      <c r="U222" s="885"/>
      <c r="V222" s="885"/>
      <c r="W222" s="885"/>
      <c r="X222" s="885"/>
      <c r="Y222" s="885"/>
      <c r="Z222" s="885"/>
      <c r="AA222" s="885"/>
      <c r="AB222" s="885"/>
      <c r="AC222" s="885"/>
    </row>
    <row r="223" spans="1:29" ht="11.25" customHeight="1" x14ac:dyDescent="0.2">
      <c r="A223" s="885"/>
      <c r="B223" s="885"/>
      <c r="C223" s="885"/>
      <c r="D223" s="885"/>
      <c r="E223" s="885"/>
      <c r="F223" s="885"/>
      <c r="G223" s="885"/>
      <c r="H223" s="885"/>
      <c r="I223" s="885"/>
      <c r="J223" s="885"/>
      <c r="K223" s="885"/>
      <c r="L223" s="885"/>
      <c r="M223" s="885"/>
      <c r="N223" s="885"/>
      <c r="O223" s="885"/>
      <c r="P223" s="885"/>
      <c r="Q223" s="885"/>
      <c r="R223" s="885"/>
      <c r="S223" s="885"/>
      <c r="T223" s="885"/>
      <c r="U223" s="885"/>
      <c r="V223" s="885"/>
      <c r="W223" s="885"/>
      <c r="X223" s="885"/>
      <c r="Y223" s="885"/>
      <c r="Z223" s="885"/>
      <c r="AA223" s="885"/>
      <c r="AB223" s="885"/>
      <c r="AC223" s="885"/>
    </row>
    <row r="224" spans="1:29" ht="11.25" customHeight="1" x14ac:dyDescent="0.2">
      <c r="A224" s="885"/>
      <c r="B224" s="885"/>
      <c r="C224" s="885"/>
      <c r="D224" s="885"/>
      <c r="E224" s="885"/>
      <c r="F224" s="885"/>
      <c r="G224" s="885"/>
      <c r="H224" s="885"/>
      <c r="I224" s="885"/>
      <c r="J224" s="885"/>
      <c r="K224" s="885"/>
      <c r="L224" s="885"/>
      <c r="M224" s="885"/>
      <c r="N224" s="885"/>
      <c r="O224" s="885"/>
      <c r="P224" s="885"/>
      <c r="Q224" s="885"/>
      <c r="R224" s="885"/>
      <c r="S224" s="885"/>
      <c r="T224" s="885"/>
      <c r="U224" s="885"/>
      <c r="V224" s="885"/>
      <c r="W224" s="885"/>
      <c r="X224" s="885"/>
      <c r="Y224" s="885"/>
      <c r="Z224" s="885"/>
      <c r="AA224" s="885"/>
      <c r="AB224" s="885"/>
      <c r="AC224" s="885"/>
    </row>
    <row r="225" spans="1:29" ht="11.25" customHeight="1" x14ac:dyDescent="0.2">
      <c r="A225" s="885"/>
      <c r="B225" s="885"/>
      <c r="C225" s="885"/>
      <c r="D225" s="885"/>
      <c r="E225" s="885"/>
      <c r="F225" s="885"/>
      <c r="G225" s="885"/>
      <c r="H225" s="885"/>
      <c r="I225" s="885"/>
      <c r="J225" s="885"/>
      <c r="K225" s="885"/>
      <c r="L225" s="885"/>
      <c r="M225" s="885"/>
      <c r="N225" s="885"/>
      <c r="O225" s="885"/>
      <c r="P225" s="885"/>
      <c r="Q225" s="885"/>
      <c r="R225" s="885"/>
      <c r="S225" s="885"/>
      <c r="T225" s="885"/>
      <c r="U225" s="885"/>
      <c r="V225" s="885"/>
      <c r="W225" s="885"/>
      <c r="X225" s="885"/>
      <c r="Y225" s="885"/>
      <c r="Z225" s="885"/>
      <c r="AA225" s="885"/>
      <c r="AB225" s="885"/>
      <c r="AC225" s="885"/>
    </row>
    <row r="226" spans="1:29" ht="11.25" customHeight="1" x14ac:dyDescent="0.2">
      <c r="A226" s="885"/>
      <c r="B226" s="885"/>
      <c r="C226" s="885"/>
      <c r="D226" s="885"/>
      <c r="E226" s="885"/>
      <c r="F226" s="885"/>
      <c r="G226" s="885"/>
      <c r="H226" s="885"/>
      <c r="I226" s="885"/>
      <c r="J226" s="885"/>
      <c r="K226" s="885"/>
      <c r="L226" s="885"/>
      <c r="M226" s="885"/>
      <c r="N226" s="885"/>
      <c r="O226" s="885"/>
      <c r="P226" s="885"/>
      <c r="Q226" s="885"/>
      <c r="R226" s="885"/>
      <c r="S226" s="885"/>
      <c r="T226" s="885"/>
      <c r="U226" s="885"/>
      <c r="V226" s="885"/>
      <c r="W226" s="885"/>
      <c r="X226" s="885"/>
      <c r="Y226" s="885"/>
      <c r="Z226" s="885"/>
      <c r="AA226" s="885"/>
      <c r="AB226" s="885"/>
      <c r="AC226" s="885"/>
    </row>
    <row r="227" spans="1:29" ht="11.25" customHeight="1" x14ac:dyDescent="0.2">
      <c r="A227" s="885"/>
      <c r="B227" s="885"/>
      <c r="C227" s="885"/>
      <c r="D227" s="885"/>
      <c r="E227" s="885"/>
      <c r="F227" s="885"/>
      <c r="G227" s="885"/>
      <c r="H227" s="885"/>
      <c r="I227" s="885"/>
      <c r="J227" s="885"/>
      <c r="K227" s="885"/>
      <c r="L227" s="885"/>
      <c r="M227" s="885"/>
      <c r="N227" s="885"/>
      <c r="O227" s="885"/>
      <c r="P227" s="885"/>
      <c r="Q227" s="885"/>
      <c r="R227" s="885"/>
      <c r="S227" s="885"/>
      <c r="T227" s="885"/>
      <c r="U227" s="885"/>
      <c r="V227" s="885"/>
      <c r="W227" s="885"/>
      <c r="X227" s="885"/>
      <c r="Y227" s="885"/>
      <c r="Z227" s="885"/>
      <c r="AA227" s="885"/>
      <c r="AB227" s="885"/>
      <c r="AC227" s="885"/>
    </row>
    <row r="228" spans="1:29" ht="11.25" customHeight="1" x14ac:dyDescent="0.2">
      <c r="A228" s="885"/>
      <c r="B228" s="885"/>
      <c r="C228" s="885"/>
      <c r="D228" s="885"/>
      <c r="E228" s="885"/>
      <c r="F228" s="885"/>
      <c r="G228" s="885"/>
      <c r="H228" s="885"/>
      <c r="I228" s="885"/>
      <c r="J228" s="885"/>
      <c r="K228" s="885"/>
      <c r="L228" s="885"/>
      <c r="M228" s="885"/>
      <c r="N228" s="885"/>
      <c r="O228" s="885"/>
      <c r="P228" s="885"/>
      <c r="Q228" s="885"/>
      <c r="R228" s="885"/>
      <c r="S228" s="885"/>
      <c r="T228" s="885"/>
      <c r="U228" s="885"/>
      <c r="V228" s="885"/>
      <c r="W228" s="885"/>
      <c r="X228" s="885"/>
      <c r="Y228" s="885"/>
      <c r="Z228" s="885"/>
      <c r="AA228" s="885"/>
      <c r="AB228" s="885"/>
      <c r="AC228" s="885"/>
    </row>
    <row r="229" spans="1:29" ht="11.25" customHeight="1" x14ac:dyDescent="0.2">
      <c r="A229" s="885"/>
      <c r="B229" s="885"/>
      <c r="C229" s="885"/>
      <c r="D229" s="885"/>
      <c r="E229" s="885"/>
      <c r="F229" s="885"/>
      <c r="G229" s="885"/>
      <c r="H229" s="885"/>
      <c r="I229" s="885"/>
      <c r="J229" s="885"/>
      <c r="K229" s="885"/>
      <c r="L229" s="885"/>
      <c r="M229" s="885"/>
      <c r="N229" s="885"/>
      <c r="O229" s="885"/>
      <c r="P229" s="885"/>
      <c r="Q229" s="885"/>
      <c r="R229" s="885"/>
      <c r="S229" s="885"/>
      <c r="T229" s="885"/>
      <c r="U229" s="885"/>
      <c r="V229" s="885"/>
      <c r="W229" s="885"/>
      <c r="X229" s="885"/>
      <c r="Y229" s="885"/>
      <c r="Z229" s="885"/>
      <c r="AA229" s="885"/>
      <c r="AB229" s="885"/>
      <c r="AC229" s="885"/>
    </row>
    <row r="230" spans="1:29" ht="11.25" customHeight="1" x14ac:dyDescent="0.2">
      <c r="A230" s="885"/>
      <c r="B230" s="885"/>
      <c r="C230" s="885"/>
      <c r="D230" s="885"/>
      <c r="E230" s="885"/>
      <c r="F230" s="885"/>
      <c r="G230" s="885"/>
      <c r="H230" s="885"/>
      <c r="I230" s="885"/>
      <c r="J230" s="885"/>
      <c r="K230" s="885"/>
      <c r="L230" s="885"/>
      <c r="M230" s="885"/>
      <c r="N230" s="885"/>
      <c r="O230" s="885"/>
      <c r="P230" s="885"/>
      <c r="Q230" s="885"/>
      <c r="R230" s="885"/>
      <c r="S230" s="885"/>
      <c r="T230" s="885"/>
      <c r="U230" s="885"/>
      <c r="V230" s="885"/>
      <c r="W230" s="885"/>
      <c r="X230" s="885"/>
      <c r="Y230" s="885"/>
      <c r="Z230" s="885"/>
      <c r="AA230" s="885"/>
      <c r="AB230" s="885"/>
      <c r="AC230" s="885"/>
    </row>
    <row r="231" spans="1:29" ht="11.25" customHeight="1" x14ac:dyDescent="0.2">
      <c r="A231" s="885"/>
      <c r="B231" s="885"/>
      <c r="C231" s="885"/>
      <c r="D231" s="885"/>
      <c r="E231" s="885"/>
      <c r="F231" s="885"/>
      <c r="G231" s="885"/>
      <c r="H231" s="885"/>
      <c r="I231" s="885"/>
      <c r="J231" s="885"/>
      <c r="K231" s="885"/>
      <c r="L231" s="885"/>
      <c r="M231" s="885"/>
      <c r="N231" s="885"/>
      <c r="O231" s="885"/>
      <c r="P231" s="885"/>
      <c r="Q231" s="885"/>
      <c r="R231" s="885"/>
      <c r="S231" s="885"/>
      <c r="T231" s="885"/>
      <c r="U231" s="885"/>
      <c r="V231" s="885"/>
      <c r="W231" s="885"/>
      <c r="X231" s="885"/>
      <c r="Y231" s="885"/>
      <c r="Z231" s="885"/>
      <c r="AA231" s="885"/>
      <c r="AB231" s="885"/>
      <c r="AC231" s="885"/>
    </row>
    <row r="232" spans="1:29" ht="11.25" customHeight="1" x14ac:dyDescent="0.2">
      <c r="A232" s="885"/>
      <c r="B232" s="885"/>
      <c r="C232" s="885"/>
      <c r="D232" s="885"/>
      <c r="E232" s="885"/>
      <c r="F232" s="885"/>
      <c r="G232" s="885"/>
      <c r="H232" s="885"/>
      <c r="I232" s="885"/>
      <c r="J232" s="885"/>
      <c r="K232" s="885"/>
      <c r="L232" s="885"/>
      <c r="M232" s="885"/>
      <c r="N232" s="885"/>
      <c r="O232" s="885"/>
      <c r="P232" s="885"/>
      <c r="Q232" s="885"/>
      <c r="R232" s="885"/>
      <c r="S232" s="885"/>
      <c r="T232" s="885"/>
      <c r="U232" s="885"/>
      <c r="V232" s="885"/>
      <c r="W232" s="885"/>
      <c r="X232" s="885"/>
      <c r="Y232" s="885"/>
      <c r="Z232" s="885"/>
      <c r="AA232" s="885"/>
      <c r="AB232" s="885"/>
      <c r="AC232" s="885"/>
    </row>
    <row r="233" spans="1:29" ht="11.25" customHeight="1" x14ac:dyDescent="0.2">
      <c r="A233" s="885"/>
      <c r="B233" s="885"/>
      <c r="C233" s="885"/>
      <c r="D233" s="885"/>
      <c r="E233" s="885"/>
      <c r="F233" s="885"/>
      <c r="G233" s="885"/>
      <c r="H233" s="885"/>
      <c r="I233" s="885"/>
      <c r="J233" s="885"/>
      <c r="K233" s="885"/>
      <c r="L233" s="885"/>
      <c r="M233" s="885"/>
      <c r="N233" s="885"/>
      <c r="O233" s="885"/>
      <c r="P233" s="885"/>
      <c r="Q233" s="885"/>
      <c r="R233" s="885"/>
      <c r="S233" s="885"/>
      <c r="T233" s="885"/>
      <c r="U233" s="885"/>
      <c r="V233" s="885"/>
      <c r="W233" s="885"/>
      <c r="X233" s="885"/>
      <c r="Y233" s="885"/>
      <c r="Z233" s="885"/>
      <c r="AA233" s="885"/>
      <c r="AB233" s="885"/>
      <c r="AC233" s="885"/>
    </row>
    <row r="234" spans="1:29" ht="11.25" customHeight="1" x14ac:dyDescent="0.2">
      <c r="A234" s="885"/>
      <c r="B234" s="885"/>
      <c r="C234" s="885"/>
      <c r="D234" s="885"/>
      <c r="E234" s="885"/>
      <c r="F234" s="885"/>
      <c r="G234" s="885"/>
      <c r="H234" s="885"/>
      <c r="I234" s="885"/>
      <c r="J234" s="885"/>
      <c r="K234" s="885"/>
      <c r="L234" s="885"/>
      <c r="M234" s="885"/>
      <c r="N234" s="885"/>
      <c r="O234" s="885"/>
      <c r="P234" s="885"/>
      <c r="Q234" s="885"/>
      <c r="R234" s="885"/>
      <c r="S234" s="885"/>
      <c r="T234" s="885"/>
      <c r="U234" s="885"/>
      <c r="V234" s="885"/>
      <c r="W234" s="885"/>
      <c r="X234" s="885"/>
      <c r="Y234" s="885"/>
      <c r="Z234" s="885"/>
      <c r="AA234" s="885"/>
      <c r="AB234" s="885"/>
      <c r="AC234" s="885"/>
    </row>
    <row r="235" spans="1:29" ht="11.25" customHeight="1" x14ac:dyDescent="0.2">
      <c r="A235" s="885"/>
      <c r="B235" s="885"/>
      <c r="C235" s="885"/>
      <c r="D235" s="885"/>
      <c r="E235" s="885"/>
      <c r="F235" s="885"/>
      <c r="G235" s="885"/>
      <c r="H235" s="885"/>
      <c r="I235" s="885"/>
      <c r="J235" s="885"/>
      <c r="K235" s="885"/>
      <c r="L235" s="885"/>
      <c r="M235" s="885"/>
      <c r="N235" s="885"/>
      <c r="O235" s="885"/>
      <c r="P235" s="885"/>
      <c r="Q235" s="885"/>
      <c r="R235" s="885"/>
      <c r="S235" s="885"/>
      <c r="T235" s="885"/>
      <c r="U235" s="885"/>
      <c r="V235" s="885"/>
      <c r="W235" s="885"/>
      <c r="X235" s="885"/>
      <c r="Y235" s="885"/>
      <c r="Z235" s="885"/>
      <c r="AA235" s="885"/>
      <c r="AB235" s="885"/>
      <c r="AC235" s="885"/>
    </row>
    <row r="236" spans="1:29" ht="11.25" customHeight="1" x14ac:dyDescent="0.2">
      <c r="A236" s="885"/>
      <c r="B236" s="885"/>
      <c r="C236" s="885"/>
      <c r="D236" s="885"/>
      <c r="E236" s="885"/>
      <c r="F236" s="885"/>
      <c r="G236" s="885"/>
      <c r="H236" s="885"/>
      <c r="I236" s="885"/>
      <c r="J236" s="885"/>
      <c r="K236" s="885"/>
      <c r="L236" s="885"/>
      <c r="M236" s="885"/>
      <c r="N236" s="885"/>
      <c r="O236" s="885"/>
      <c r="P236" s="885"/>
      <c r="Q236" s="885"/>
      <c r="R236" s="885"/>
      <c r="S236" s="885"/>
      <c r="T236" s="885"/>
      <c r="U236" s="885"/>
      <c r="V236" s="885"/>
      <c r="W236" s="885"/>
      <c r="X236" s="885"/>
      <c r="Y236" s="885"/>
      <c r="Z236" s="885"/>
      <c r="AA236" s="885"/>
      <c r="AB236" s="885"/>
      <c r="AC236" s="885"/>
    </row>
    <row r="237" spans="1:29" ht="11.25" customHeight="1" x14ac:dyDescent="0.2">
      <c r="A237" s="885"/>
      <c r="B237" s="885"/>
      <c r="C237" s="885"/>
      <c r="D237" s="885"/>
      <c r="E237" s="885"/>
      <c r="F237" s="885"/>
      <c r="G237" s="885"/>
      <c r="H237" s="885"/>
      <c r="I237" s="885"/>
      <c r="J237" s="885"/>
      <c r="K237" s="885"/>
      <c r="L237" s="885"/>
      <c r="M237" s="885"/>
      <c r="N237" s="885"/>
      <c r="O237" s="885"/>
      <c r="P237" s="885"/>
      <c r="Q237" s="885"/>
      <c r="R237" s="885"/>
      <c r="S237" s="885"/>
      <c r="T237" s="885"/>
      <c r="U237" s="885"/>
      <c r="V237" s="885"/>
      <c r="W237" s="885"/>
      <c r="X237" s="885"/>
      <c r="Y237" s="885"/>
      <c r="Z237" s="885"/>
      <c r="AA237" s="885"/>
      <c r="AB237" s="885"/>
      <c r="AC237" s="885"/>
    </row>
    <row r="238" spans="1:29" ht="11.25" customHeight="1" x14ac:dyDescent="0.2">
      <c r="A238" s="885"/>
      <c r="B238" s="885"/>
      <c r="C238" s="885"/>
      <c r="D238" s="885"/>
      <c r="E238" s="885"/>
      <c r="F238" s="885"/>
      <c r="G238" s="885"/>
      <c r="H238" s="885"/>
      <c r="I238" s="885"/>
      <c r="J238" s="885"/>
      <c r="K238" s="885"/>
      <c r="L238" s="885"/>
      <c r="M238" s="885"/>
      <c r="N238" s="885"/>
      <c r="O238" s="885"/>
      <c r="P238" s="885"/>
      <c r="Q238" s="885"/>
      <c r="R238" s="885"/>
      <c r="S238" s="885"/>
      <c r="T238" s="885"/>
      <c r="U238" s="885"/>
      <c r="V238" s="885"/>
      <c r="W238" s="885"/>
      <c r="X238" s="885"/>
      <c r="Y238" s="885"/>
      <c r="Z238" s="885"/>
      <c r="AA238" s="885"/>
      <c r="AB238" s="885"/>
      <c r="AC238" s="885"/>
    </row>
    <row r="239" spans="1:29" ht="11.25" customHeight="1" x14ac:dyDescent="0.2">
      <c r="A239" s="885"/>
      <c r="B239" s="885"/>
      <c r="C239" s="885"/>
      <c r="D239" s="885"/>
      <c r="E239" s="885"/>
      <c r="F239" s="885"/>
      <c r="G239" s="885"/>
      <c r="H239" s="885"/>
      <c r="I239" s="885"/>
      <c r="J239" s="885"/>
      <c r="K239" s="885"/>
      <c r="L239" s="885"/>
      <c r="M239" s="885"/>
      <c r="N239" s="885"/>
      <c r="O239" s="885"/>
      <c r="P239" s="885"/>
      <c r="Q239" s="885"/>
      <c r="R239" s="885"/>
      <c r="S239" s="885"/>
      <c r="T239" s="885"/>
      <c r="U239" s="885"/>
      <c r="V239" s="885"/>
      <c r="W239" s="885"/>
      <c r="X239" s="885"/>
      <c r="Y239" s="885"/>
      <c r="Z239" s="885"/>
      <c r="AA239" s="885"/>
      <c r="AB239" s="885"/>
      <c r="AC239" s="885"/>
    </row>
    <row r="240" spans="1:29" ht="11.25" customHeight="1" x14ac:dyDescent="0.2">
      <c r="A240" s="885"/>
      <c r="B240" s="885"/>
      <c r="C240" s="885"/>
      <c r="D240" s="885"/>
      <c r="E240" s="885"/>
      <c r="F240" s="885"/>
      <c r="G240" s="885"/>
      <c r="H240" s="885"/>
      <c r="I240" s="885"/>
      <c r="J240" s="885"/>
      <c r="K240" s="885"/>
      <c r="L240" s="885"/>
      <c r="M240" s="885"/>
      <c r="N240" s="885"/>
      <c r="O240" s="885"/>
      <c r="P240" s="885"/>
      <c r="Q240" s="885"/>
      <c r="R240" s="885"/>
      <c r="S240" s="885"/>
      <c r="T240" s="885"/>
      <c r="U240" s="885"/>
      <c r="V240" s="885"/>
      <c r="W240" s="885"/>
      <c r="X240" s="885"/>
      <c r="Y240" s="885"/>
      <c r="Z240" s="885"/>
      <c r="AA240" s="885"/>
      <c r="AB240" s="885"/>
      <c r="AC240" s="885"/>
    </row>
    <row r="241" spans="1:29" ht="11.25" customHeight="1" x14ac:dyDescent="0.2">
      <c r="A241" s="885"/>
      <c r="B241" s="885"/>
      <c r="C241" s="885"/>
      <c r="D241" s="885"/>
      <c r="E241" s="885"/>
      <c r="F241" s="885"/>
      <c r="G241" s="885"/>
      <c r="H241" s="885"/>
      <c r="I241" s="885"/>
      <c r="J241" s="885"/>
      <c r="K241" s="885"/>
      <c r="L241" s="885"/>
      <c r="M241" s="885"/>
      <c r="N241" s="885"/>
      <c r="O241" s="885"/>
      <c r="P241" s="885"/>
      <c r="Q241" s="885"/>
      <c r="R241" s="885"/>
      <c r="S241" s="885"/>
      <c r="T241" s="885"/>
      <c r="U241" s="885"/>
      <c r="V241" s="885"/>
      <c r="W241" s="885"/>
      <c r="X241" s="885"/>
      <c r="Y241" s="885"/>
      <c r="Z241" s="885"/>
      <c r="AA241" s="885"/>
      <c r="AB241" s="885"/>
      <c r="AC241" s="885"/>
    </row>
    <row r="242" spans="1:29" ht="11.25" customHeight="1" x14ac:dyDescent="0.2">
      <c r="A242" s="885"/>
      <c r="B242" s="885"/>
      <c r="C242" s="885"/>
      <c r="D242" s="885"/>
      <c r="E242" s="885"/>
      <c r="F242" s="885"/>
      <c r="G242" s="885"/>
      <c r="H242" s="885"/>
      <c r="I242" s="885"/>
      <c r="J242" s="885"/>
      <c r="K242" s="885"/>
      <c r="L242" s="885"/>
      <c r="M242" s="885"/>
      <c r="N242" s="885"/>
      <c r="O242" s="885"/>
      <c r="P242" s="885"/>
      <c r="Q242" s="885"/>
      <c r="R242" s="885"/>
      <c r="S242" s="885"/>
      <c r="T242" s="885"/>
      <c r="U242" s="885"/>
      <c r="V242" s="885"/>
      <c r="W242" s="885"/>
      <c r="X242" s="885"/>
      <c r="Y242" s="885"/>
      <c r="Z242" s="885"/>
      <c r="AA242" s="885"/>
      <c r="AB242" s="885"/>
      <c r="AC242" s="885"/>
    </row>
    <row r="243" spans="1:29" ht="11.25" customHeight="1" x14ac:dyDescent="0.2">
      <c r="A243" s="885"/>
      <c r="B243" s="885"/>
      <c r="C243" s="885"/>
      <c r="D243" s="885"/>
      <c r="E243" s="885"/>
      <c r="F243" s="885"/>
      <c r="G243" s="885"/>
      <c r="H243" s="885"/>
      <c r="I243" s="885"/>
      <c r="J243" s="885"/>
      <c r="K243" s="885"/>
      <c r="L243" s="885"/>
      <c r="M243" s="885"/>
      <c r="N243" s="885"/>
      <c r="O243" s="885"/>
      <c r="P243" s="885"/>
      <c r="Q243" s="885"/>
      <c r="R243" s="885"/>
      <c r="S243" s="885"/>
      <c r="T243" s="885"/>
      <c r="U243" s="885"/>
      <c r="V243" s="885"/>
      <c r="W243" s="885"/>
      <c r="X243" s="885"/>
      <c r="Y243" s="885"/>
      <c r="Z243" s="885"/>
      <c r="AA243" s="885"/>
      <c r="AB243" s="885"/>
      <c r="AC243" s="885"/>
    </row>
    <row r="244" spans="1:29" ht="11.25" customHeight="1" x14ac:dyDescent="0.2">
      <c r="A244" s="885"/>
      <c r="B244" s="885"/>
      <c r="C244" s="885"/>
      <c r="D244" s="885"/>
      <c r="E244" s="885"/>
      <c r="F244" s="885"/>
      <c r="G244" s="885"/>
      <c r="H244" s="885"/>
      <c r="I244" s="885"/>
      <c r="J244" s="885"/>
      <c r="K244" s="885"/>
      <c r="L244" s="885"/>
      <c r="M244" s="885"/>
      <c r="N244" s="885"/>
      <c r="O244" s="885"/>
      <c r="P244" s="885"/>
      <c r="Q244" s="885"/>
      <c r="R244" s="885"/>
      <c r="S244" s="885"/>
      <c r="T244" s="885"/>
      <c r="U244" s="885"/>
      <c r="V244" s="885"/>
      <c r="W244" s="885"/>
      <c r="X244" s="885"/>
      <c r="Y244" s="885"/>
      <c r="Z244" s="885"/>
      <c r="AA244" s="885"/>
      <c r="AB244" s="885"/>
      <c r="AC244" s="885"/>
    </row>
    <row r="245" spans="1:29" ht="15.75" customHeight="1" x14ac:dyDescent="0.2">
      <c r="A245" s="885"/>
      <c r="B245" s="885"/>
      <c r="C245" s="885"/>
      <c r="D245" s="885"/>
      <c r="E245" s="885"/>
      <c r="F245" s="885"/>
      <c r="G245" s="885"/>
      <c r="H245" s="885"/>
      <c r="I245" s="885"/>
      <c r="J245" s="885"/>
      <c r="K245" s="885"/>
      <c r="L245" s="885"/>
      <c r="M245" s="885"/>
      <c r="N245" s="885"/>
      <c r="O245" s="885"/>
      <c r="P245" s="885"/>
      <c r="Q245" s="885"/>
      <c r="R245" s="885"/>
      <c r="S245" s="885"/>
      <c r="T245" s="885"/>
      <c r="U245" s="885"/>
      <c r="V245" s="885"/>
      <c r="W245" s="885"/>
      <c r="X245" s="885"/>
      <c r="Y245" s="885"/>
      <c r="Z245" s="885"/>
      <c r="AA245" s="885"/>
      <c r="AB245" s="885"/>
      <c r="AC245" s="885"/>
    </row>
    <row r="246" spans="1:29" ht="15.75" customHeight="1" x14ac:dyDescent="0.2">
      <c r="A246" s="885"/>
      <c r="B246" s="885"/>
      <c r="C246" s="885"/>
      <c r="D246" s="885"/>
      <c r="E246" s="885"/>
      <c r="F246" s="885"/>
      <c r="G246" s="885"/>
      <c r="H246" s="885"/>
      <c r="I246" s="885"/>
      <c r="J246" s="885"/>
      <c r="K246" s="885"/>
      <c r="L246" s="885"/>
      <c r="M246" s="885"/>
      <c r="N246" s="885"/>
      <c r="O246" s="885"/>
      <c r="P246" s="885"/>
      <c r="Q246" s="885"/>
      <c r="R246" s="885"/>
      <c r="S246" s="885"/>
      <c r="T246" s="885"/>
      <c r="U246" s="885"/>
      <c r="V246" s="885"/>
      <c r="W246" s="885"/>
      <c r="X246" s="885"/>
      <c r="Y246" s="885"/>
      <c r="Z246" s="885"/>
      <c r="AA246" s="885"/>
      <c r="AB246" s="885"/>
      <c r="AC246" s="885"/>
    </row>
    <row r="247" spans="1:29" ht="15.75" customHeight="1" x14ac:dyDescent="0.2">
      <c r="A247" s="885"/>
      <c r="B247" s="885"/>
      <c r="C247" s="885"/>
      <c r="D247" s="885"/>
      <c r="E247" s="885"/>
      <c r="F247" s="885"/>
      <c r="G247" s="885"/>
      <c r="H247" s="885"/>
      <c r="I247" s="885"/>
      <c r="J247" s="885"/>
      <c r="K247" s="885"/>
      <c r="L247" s="885"/>
      <c r="M247" s="885"/>
      <c r="N247" s="885"/>
      <c r="O247" s="885"/>
      <c r="P247" s="885"/>
      <c r="Q247" s="885"/>
      <c r="R247" s="885"/>
      <c r="S247" s="885"/>
      <c r="T247" s="885"/>
      <c r="U247" s="885"/>
      <c r="V247" s="885"/>
      <c r="W247" s="885"/>
      <c r="X247" s="885"/>
      <c r="Y247" s="885"/>
      <c r="Z247" s="885"/>
      <c r="AA247" s="885"/>
      <c r="AB247" s="885"/>
      <c r="AC247" s="885"/>
    </row>
    <row r="248" spans="1:29" ht="15.75" customHeight="1" x14ac:dyDescent="0.2">
      <c r="A248" s="885"/>
      <c r="B248" s="885"/>
      <c r="C248" s="885"/>
      <c r="D248" s="885"/>
      <c r="E248" s="885"/>
      <c r="F248" s="885"/>
      <c r="G248" s="885"/>
      <c r="H248" s="885"/>
      <c r="I248" s="885"/>
      <c r="J248" s="885"/>
      <c r="K248" s="885"/>
      <c r="L248" s="885"/>
      <c r="M248" s="885"/>
      <c r="N248" s="885"/>
      <c r="O248" s="885"/>
      <c r="P248" s="885"/>
      <c r="Q248" s="885"/>
      <c r="R248" s="885"/>
      <c r="S248" s="885"/>
      <c r="T248" s="885"/>
      <c r="U248" s="885"/>
      <c r="V248" s="885"/>
      <c r="W248" s="885"/>
      <c r="X248" s="885"/>
      <c r="Y248" s="885"/>
      <c r="Z248" s="885"/>
      <c r="AA248" s="885"/>
      <c r="AB248" s="885"/>
      <c r="AC248" s="885"/>
    </row>
    <row r="249" spans="1:29" ht="15.75" customHeight="1" x14ac:dyDescent="0.2">
      <c r="A249" s="885"/>
      <c r="B249" s="885"/>
      <c r="C249" s="885"/>
      <c r="D249" s="885"/>
      <c r="E249" s="885"/>
      <c r="F249" s="885"/>
      <c r="G249" s="885"/>
      <c r="H249" s="885"/>
      <c r="I249" s="885"/>
      <c r="J249" s="885"/>
      <c r="K249" s="885"/>
      <c r="L249" s="885"/>
      <c r="M249" s="885"/>
      <c r="N249" s="885"/>
      <c r="O249" s="885"/>
      <c r="P249" s="885"/>
      <c r="Q249" s="885"/>
      <c r="R249" s="885"/>
      <c r="S249" s="885"/>
      <c r="T249" s="885"/>
      <c r="U249" s="885"/>
      <c r="V249" s="885"/>
      <c r="W249" s="885"/>
      <c r="X249" s="885"/>
      <c r="Y249" s="885"/>
      <c r="Z249" s="885"/>
      <c r="AA249" s="885"/>
      <c r="AB249" s="885"/>
      <c r="AC249" s="885"/>
    </row>
    <row r="250" spans="1:29" ht="15.75" customHeight="1" x14ac:dyDescent="0.2">
      <c r="A250" s="885"/>
      <c r="B250" s="885"/>
      <c r="C250" s="885"/>
      <c r="D250" s="885"/>
      <c r="E250" s="885"/>
      <c r="F250" s="885"/>
      <c r="G250" s="885"/>
      <c r="H250" s="885"/>
      <c r="I250" s="885"/>
      <c r="J250" s="885"/>
      <c r="K250" s="885"/>
      <c r="L250" s="885"/>
      <c r="M250" s="885"/>
      <c r="N250" s="885"/>
      <c r="O250" s="885"/>
      <c r="P250" s="885"/>
      <c r="Q250" s="885"/>
      <c r="R250" s="885"/>
      <c r="S250" s="885"/>
      <c r="T250" s="885"/>
      <c r="U250" s="885"/>
      <c r="V250" s="885"/>
      <c r="W250" s="885"/>
      <c r="X250" s="885"/>
      <c r="Y250" s="885"/>
      <c r="Z250" s="885"/>
      <c r="AA250" s="885"/>
      <c r="AB250" s="885"/>
      <c r="AC250" s="885"/>
    </row>
    <row r="251" spans="1:29" ht="15.75" customHeight="1" x14ac:dyDescent="0.2">
      <c r="A251" s="885"/>
      <c r="B251" s="885"/>
      <c r="C251" s="885"/>
      <c r="D251" s="885"/>
      <c r="E251" s="885"/>
      <c r="F251" s="885"/>
      <c r="G251" s="885"/>
      <c r="H251" s="885"/>
      <c r="I251" s="885"/>
      <c r="J251" s="885"/>
      <c r="K251" s="885"/>
      <c r="L251" s="885"/>
      <c r="M251" s="885"/>
      <c r="N251" s="885"/>
      <c r="O251" s="885"/>
      <c r="P251" s="885"/>
      <c r="Q251" s="885"/>
      <c r="R251" s="885"/>
      <c r="S251" s="885"/>
      <c r="T251" s="885"/>
      <c r="U251" s="885"/>
      <c r="V251" s="885"/>
      <c r="W251" s="885"/>
      <c r="X251" s="885"/>
      <c r="Y251" s="885"/>
      <c r="Z251" s="885"/>
      <c r="AA251" s="885"/>
      <c r="AB251" s="885"/>
      <c r="AC251" s="885"/>
    </row>
    <row r="252" spans="1:29" ht="15.75" customHeight="1" x14ac:dyDescent="0.2">
      <c r="A252" s="885"/>
      <c r="B252" s="885"/>
      <c r="C252" s="885"/>
      <c r="D252" s="885"/>
      <c r="E252" s="885"/>
      <c r="F252" s="885"/>
      <c r="G252" s="885"/>
      <c r="H252" s="885"/>
      <c r="I252" s="885"/>
      <c r="J252" s="885"/>
      <c r="K252" s="885"/>
      <c r="L252" s="885"/>
      <c r="M252" s="885"/>
      <c r="N252" s="885"/>
      <c r="O252" s="885"/>
      <c r="P252" s="885"/>
      <c r="Q252" s="885"/>
      <c r="R252" s="885"/>
      <c r="S252" s="885"/>
      <c r="T252" s="885"/>
      <c r="U252" s="885"/>
      <c r="V252" s="885"/>
      <c r="W252" s="885"/>
      <c r="X252" s="885"/>
      <c r="Y252" s="885"/>
      <c r="Z252" s="885"/>
      <c r="AA252" s="885"/>
      <c r="AB252" s="885"/>
      <c r="AC252" s="885"/>
    </row>
    <row r="253" spans="1:29" ht="15.75" customHeight="1" x14ac:dyDescent="0.2">
      <c r="A253" s="885"/>
      <c r="B253" s="885"/>
      <c r="C253" s="885"/>
      <c r="D253" s="885"/>
      <c r="E253" s="885"/>
      <c r="F253" s="885"/>
      <c r="G253" s="885"/>
      <c r="H253" s="885"/>
      <c r="I253" s="885"/>
      <c r="J253" s="885"/>
      <c r="K253" s="885"/>
      <c r="L253" s="885"/>
      <c r="M253" s="885"/>
      <c r="N253" s="885"/>
      <c r="O253" s="885"/>
      <c r="P253" s="885"/>
      <c r="Q253" s="885"/>
      <c r="R253" s="885"/>
      <c r="S253" s="885"/>
      <c r="T253" s="885"/>
      <c r="U253" s="885"/>
      <c r="V253" s="885"/>
      <c r="W253" s="885"/>
      <c r="X253" s="885"/>
      <c r="Y253" s="885"/>
      <c r="Z253" s="885"/>
      <c r="AA253" s="885"/>
      <c r="AB253" s="885"/>
      <c r="AC253" s="885"/>
    </row>
    <row r="254" spans="1:29" ht="15.75" customHeight="1" x14ac:dyDescent="0.2">
      <c r="A254" s="885"/>
      <c r="B254" s="885"/>
      <c r="C254" s="885"/>
      <c r="D254" s="885"/>
      <c r="E254" s="885"/>
      <c r="F254" s="885"/>
      <c r="G254" s="885"/>
      <c r="H254" s="885"/>
      <c r="I254" s="885"/>
      <c r="J254" s="885"/>
      <c r="K254" s="885"/>
      <c r="L254" s="885"/>
      <c r="M254" s="885"/>
      <c r="N254" s="885"/>
      <c r="O254" s="885"/>
      <c r="P254" s="885"/>
      <c r="Q254" s="885"/>
      <c r="R254" s="885"/>
      <c r="S254" s="885"/>
      <c r="T254" s="885"/>
      <c r="U254" s="885"/>
      <c r="V254" s="885"/>
      <c r="W254" s="885"/>
      <c r="X254" s="885"/>
      <c r="Y254" s="885"/>
      <c r="Z254" s="885"/>
      <c r="AA254" s="885"/>
      <c r="AB254" s="885"/>
      <c r="AC254" s="885"/>
    </row>
    <row r="255" spans="1:29" ht="15.75" customHeight="1" x14ac:dyDescent="0.2">
      <c r="A255" s="885"/>
      <c r="B255" s="885"/>
      <c r="C255" s="885"/>
      <c r="D255" s="885"/>
      <c r="E255" s="885"/>
      <c r="F255" s="885"/>
      <c r="G255" s="885"/>
      <c r="H255" s="885"/>
      <c r="I255" s="885"/>
      <c r="J255" s="885"/>
      <c r="K255" s="885"/>
      <c r="L255" s="885"/>
      <c r="M255" s="885"/>
      <c r="N255" s="885"/>
      <c r="O255" s="885"/>
      <c r="P255" s="885"/>
      <c r="Q255" s="885"/>
      <c r="R255" s="885"/>
      <c r="S255" s="885"/>
      <c r="T255" s="885"/>
      <c r="U255" s="885"/>
      <c r="V255" s="885"/>
      <c r="W255" s="885"/>
      <c r="X255" s="885"/>
      <c r="Y255" s="885"/>
      <c r="Z255" s="885"/>
      <c r="AA255" s="885"/>
      <c r="AB255" s="885"/>
      <c r="AC255" s="885"/>
    </row>
    <row r="256" spans="1:29" ht="15.75" customHeight="1" x14ac:dyDescent="0.2">
      <c r="A256" s="885"/>
      <c r="B256" s="885"/>
      <c r="C256" s="885"/>
      <c r="D256" s="885"/>
      <c r="E256" s="885"/>
      <c r="F256" s="885"/>
      <c r="G256" s="885"/>
      <c r="H256" s="885"/>
      <c r="I256" s="885"/>
      <c r="J256" s="885"/>
      <c r="K256" s="885"/>
      <c r="L256" s="885"/>
      <c r="M256" s="885"/>
      <c r="N256" s="885"/>
      <c r="O256" s="885"/>
      <c r="P256" s="885"/>
      <c r="Q256" s="885"/>
      <c r="R256" s="885"/>
      <c r="S256" s="885"/>
      <c r="T256" s="885"/>
      <c r="U256" s="885"/>
      <c r="V256" s="885"/>
      <c r="W256" s="885"/>
      <c r="X256" s="885"/>
      <c r="Y256" s="885"/>
      <c r="Z256" s="885"/>
      <c r="AA256" s="885"/>
      <c r="AB256" s="885"/>
      <c r="AC256" s="885"/>
    </row>
    <row r="257" spans="1:29" ht="15.75" customHeight="1" x14ac:dyDescent="0.2">
      <c r="A257" s="885"/>
      <c r="B257" s="885"/>
      <c r="C257" s="885"/>
      <c r="D257" s="885"/>
      <c r="E257" s="885"/>
      <c r="F257" s="885"/>
      <c r="G257" s="885"/>
      <c r="H257" s="885"/>
      <c r="I257" s="885"/>
      <c r="J257" s="885"/>
      <c r="K257" s="885"/>
      <c r="L257" s="885"/>
      <c r="M257" s="885"/>
      <c r="N257" s="885"/>
      <c r="O257" s="885"/>
      <c r="P257" s="885"/>
      <c r="Q257" s="885"/>
      <c r="R257" s="885"/>
      <c r="S257" s="885"/>
      <c r="T257" s="885"/>
      <c r="U257" s="885"/>
      <c r="V257" s="885"/>
      <c r="W257" s="885"/>
      <c r="X257" s="885"/>
      <c r="Y257" s="885"/>
      <c r="Z257" s="885"/>
      <c r="AA257" s="885"/>
      <c r="AB257" s="885"/>
      <c r="AC257" s="885"/>
    </row>
    <row r="258" spans="1:29" ht="15.75" customHeight="1" x14ac:dyDescent="0.2">
      <c r="A258" s="885"/>
      <c r="B258" s="885"/>
      <c r="C258" s="885"/>
      <c r="D258" s="885"/>
      <c r="E258" s="885"/>
      <c r="F258" s="885"/>
      <c r="G258" s="885"/>
      <c r="H258" s="885"/>
      <c r="I258" s="885"/>
      <c r="J258" s="885"/>
      <c r="K258" s="885"/>
      <c r="L258" s="885"/>
      <c r="M258" s="885"/>
      <c r="N258" s="885"/>
      <c r="O258" s="885"/>
      <c r="P258" s="885"/>
      <c r="Q258" s="885"/>
      <c r="R258" s="885"/>
      <c r="S258" s="885"/>
      <c r="T258" s="885"/>
      <c r="U258" s="885"/>
      <c r="V258" s="885"/>
      <c r="W258" s="885"/>
      <c r="X258" s="885"/>
      <c r="Y258" s="885"/>
      <c r="Z258" s="885"/>
      <c r="AA258" s="885"/>
      <c r="AB258" s="885"/>
      <c r="AC258" s="885"/>
    </row>
    <row r="259" spans="1:29" ht="15.75" customHeight="1" x14ac:dyDescent="0.2">
      <c r="A259" s="885"/>
      <c r="B259" s="885"/>
      <c r="C259" s="885"/>
      <c r="D259" s="885"/>
      <c r="E259" s="885"/>
      <c r="F259" s="885"/>
      <c r="G259" s="885"/>
      <c r="H259" s="885"/>
      <c r="I259" s="885"/>
      <c r="J259" s="885"/>
      <c r="K259" s="885"/>
      <c r="L259" s="885"/>
      <c r="M259" s="885"/>
      <c r="N259" s="885"/>
      <c r="O259" s="885"/>
      <c r="P259" s="885"/>
      <c r="Q259" s="885"/>
      <c r="R259" s="885"/>
      <c r="S259" s="885"/>
      <c r="T259" s="885"/>
      <c r="U259" s="885"/>
      <c r="V259" s="885"/>
      <c r="W259" s="885"/>
      <c r="X259" s="885"/>
      <c r="Y259" s="885"/>
      <c r="Z259" s="885"/>
      <c r="AA259" s="885"/>
      <c r="AB259" s="885"/>
      <c r="AC259" s="885"/>
    </row>
    <row r="260" spans="1:29" ht="15.75" customHeight="1" x14ac:dyDescent="0.2">
      <c r="A260" s="885"/>
      <c r="B260" s="885"/>
      <c r="C260" s="885"/>
      <c r="D260" s="885"/>
      <c r="E260" s="885"/>
      <c r="F260" s="885"/>
      <c r="G260" s="885"/>
      <c r="H260" s="885"/>
      <c r="I260" s="885"/>
      <c r="J260" s="885"/>
      <c r="K260" s="885"/>
      <c r="L260" s="885"/>
      <c r="M260" s="885"/>
      <c r="N260" s="885"/>
      <c r="O260" s="885"/>
      <c r="P260" s="885"/>
      <c r="Q260" s="885"/>
      <c r="R260" s="885"/>
      <c r="S260" s="885"/>
      <c r="T260" s="885"/>
      <c r="U260" s="885"/>
      <c r="V260" s="885"/>
      <c r="W260" s="885"/>
      <c r="X260" s="885"/>
      <c r="Y260" s="885"/>
      <c r="Z260" s="885"/>
      <c r="AA260" s="885"/>
      <c r="AB260" s="885"/>
      <c r="AC260" s="885"/>
    </row>
    <row r="261" spans="1:29" ht="15.75" customHeight="1" x14ac:dyDescent="0.2">
      <c r="A261" s="885"/>
      <c r="B261" s="885"/>
      <c r="C261" s="885"/>
      <c r="D261" s="885"/>
      <c r="E261" s="885"/>
      <c r="F261" s="885"/>
      <c r="G261" s="885"/>
      <c r="H261" s="885"/>
      <c r="I261" s="885"/>
      <c r="J261" s="885"/>
      <c r="K261" s="885"/>
      <c r="L261" s="885"/>
      <c r="M261" s="885"/>
      <c r="N261" s="885"/>
      <c r="O261" s="885"/>
      <c r="P261" s="885"/>
      <c r="Q261" s="885"/>
      <c r="R261" s="885"/>
      <c r="S261" s="885"/>
      <c r="T261" s="885"/>
      <c r="U261" s="885"/>
      <c r="V261" s="885"/>
      <c r="W261" s="885"/>
      <c r="X261" s="885"/>
      <c r="Y261" s="885"/>
      <c r="Z261" s="885"/>
      <c r="AA261" s="885"/>
      <c r="AB261" s="885"/>
      <c r="AC261" s="885"/>
    </row>
    <row r="262" spans="1:29" ht="15.75" customHeight="1" x14ac:dyDescent="0.2">
      <c r="A262" s="885"/>
      <c r="B262" s="885"/>
      <c r="C262" s="885"/>
      <c r="D262" s="885"/>
      <c r="E262" s="885"/>
      <c r="F262" s="885"/>
      <c r="G262" s="885"/>
      <c r="H262" s="885"/>
      <c r="I262" s="885"/>
      <c r="J262" s="885"/>
      <c r="K262" s="885"/>
      <c r="L262" s="885"/>
      <c r="M262" s="885"/>
      <c r="N262" s="885"/>
      <c r="O262" s="885"/>
      <c r="P262" s="885"/>
      <c r="Q262" s="885"/>
      <c r="R262" s="885"/>
      <c r="S262" s="885"/>
      <c r="T262" s="885"/>
      <c r="U262" s="885"/>
      <c r="V262" s="885"/>
      <c r="W262" s="885"/>
      <c r="X262" s="885"/>
      <c r="Y262" s="885"/>
      <c r="Z262" s="885"/>
      <c r="AA262" s="885"/>
      <c r="AB262" s="885"/>
      <c r="AC262" s="885"/>
    </row>
    <row r="263" spans="1:29" ht="15.75" customHeight="1" x14ac:dyDescent="0.2">
      <c r="A263" s="885"/>
      <c r="B263" s="885"/>
      <c r="C263" s="885"/>
      <c r="D263" s="885"/>
      <c r="E263" s="885"/>
      <c r="F263" s="885"/>
      <c r="G263" s="885"/>
      <c r="H263" s="885"/>
      <c r="I263" s="885"/>
      <c r="J263" s="885"/>
      <c r="K263" s="885"/>
      <c r="L263" s="885"/>
      <c r="M263" s="885"/>
      <c r="N263" s="885"/>
      <c r="O263" s="885"/>
      <c r="P263" s="885"/>
      <c r="Q263" s="885"/>
      <c r="R263" s="885"/>
      <c r="S263" s="885"/>
      <c r="T263" s="885"/>
      <c r="U263" s="885"/>
      <c r="V263" s="885"/>
      <c r="W263" s="885"/>
      <c r="X263" s="885"/>
      <c r="Y263" s="885"/>
      <c r="Z263" s="885"/>
      <c r="AA263" s="885"/>
      <c r="AB263" s="885"/>
      <c r="AC263" s="885"/>
    </row>
    <row r="264" spans="1:29" ht="15.75" customHeight="1" x14ac:dyDescent="0.2">
      <c r="A264" s="885"/>
      <c r="B264" s="885"/>
      <c r="C264" s="885"/>
      <c r="D264" s="885"/>
      <c r="E264" s="885"/>
      <c r="F264" s="885"/>
      <c r="G264" s="885"/>
      <c r="H264" s="885"/>
      <c r="I264" s="885"/>
      <c r="J264" s="885"/>
      <c r="K264" s="885"/>
      <c r="L264" s="885"/>
      <c r="M264" s="885"/>
      <c r="N264" s="885"/>
      <c r="O264" s="885"/>
      <c r="P264" s="885"/>
      <c r="Q264" s="885"/>
      <c r="R264" s="885"/>
      <c r="S264" s="885"/>
      <c r="T264" s="885"/>
      <c r="U264" s="885"/>
      <c r="V264" s="885"/>
      <c r="W264" s="885"/>
      <c r="X264" s="885"/>
      <c r="Y264" s="885"/>
      <c r="Z264" s="885"/>
      <c r="AA264" s="885"/>
      <c r="AB264" s="885"/>
      <c r="AC264" s="885"/>
    </row>
    <row r="265" spans="1:29" ht="15.75" customHeight="1" x14ac:dyDescent="0.2">
      <c r="A265" s="885"/>
      <c r="B265" s="885"/>
      <c r="C265" s="885"/>
      <c r="D265" s="885"/>
      <c r="E265" s="885"/>
      <c r="F265" s="885"/>
      <c r="G265" s="885"/>
      <c r="H265" s="885"/>
      <c r="I265" s="885"/>
      <c r="J265" s="885"/>
      <c r="K265" s="885"/>
      <c r="L265" s="885"/>
      <c r="M265" s="885"/>
      <c r="N265" s="885"/>
      <c r="O265" s="885"/>
      <c r="P265" s="885"/>
      <c r="Q265" s="885"/>
      <c r="R265" s="885"/>
      <c r="S265" s="885"/>
      <c r="T265" s="885"/>
      <c r="U265" s="885"/>
      <c r="V265" s="885"/>
      <c r="W265" s="885"/>
      <c r="X265" s="885"/>
      <c r="Y265" s="885"/>
      <c r="Z265" s="885"/>
      <c r="AA265" s="885"/>
      <c r="AB265" s="885"/>
      <c r="AC265" s="885"/>
    </row>
    <row r="266" spans="1:29" ht="15.75" customHeight="1" x14ac:dyDescent="0.2">
      <c r="A266" s="885"/>
      <c r="B266" s="885"/>
      <c r="C266" s="885"/>
      <c r="D266" s="885"/>
      <c r="E266" s="885"/>
      <c r="F266" s="885"/>
      <c r="G266" s="885"/>
      <c r="H266" s="885"/>
      <c r="I266" s="885"/>
      <c r="J266" s="885"/>
      <c r="K266" s="885"/>
      <c r="L266" s="885"/>
      <c r="M266" s="885"/>
      <c r="N266" s="885"/>
      <c r="O266" s="885"/>
      <c r="P266" s="885"/>
      <c r="Q266" s="885"/>
      <c r="R266" s="885"/>
      <c r="S266" s="885"/>
      <c r="T266" s="885"/>
      <c r="U266" s="885"/>
      <c r="V266" s="885"/>
      <c r="W266" s="885"/>
      <c r="X266" s="885"/>
      <c r="Y266" s="885"/>
      <c r="Z266" s="885"/>
      <c r="AA266" s="885"/>
      <c r="AB266" s="885"/>
      <c r="AC266" s="885"/>
    </row>
    <row r="267" spans="1:29" ht="15.75" customHeight="1" x14ac:dyDescent="0.2">
      <c r="A267" s="885"/>
      <c r="B267" s="885"/>
      <c r="C267" s="885"/>
      <c r="D267" s="885"/>
      <c r="E267" s="885"/>
      <c r="F267" s="885"/>
      <c r="G267" s="885"/>
      <c r="H267" s="885"/>
      <c r="I267" s="885"/>
      <c r="J267" s="885"/>
      <c r="K267" s="885"/>
      <c r="L267" s="885"/>
      <c r="M267" s="885"/>
      <c r="N267" s="885"/>
      <c r="O267" s="885"/>
      <c r="P267" s="885"/>
      <c r="Q267" s="885"/>
      <c r="R267" s="885"/>
      <c r="S267" s="885"/>
      <c r="T267" s="885"/>
      <c r="U267" s="885"/>
      <c r="V267" s="885"/>
      <c r="W267" s="885"/>
      <c r="X267" s="885"/>
      <c r="Y267" s="885"/>
      <c r="Z267" s="885"/>
      <c r="AA267" s="885"/>
      <c r="AB267" s="885"/>
      <c r="AC267" s="885"/>
    </row>
    <row r="268" spans="1:29" ht="15.75" customHeight="1" x14ac:dyDescent="0.2">
      <c r="A268" s="885"/>
      <c r="B268" s="885"/>
      <c r="C268" s="885"/>
      <c r="D268" s="885"/>
      <c r="E268" s="885"/>
      <c r="F268" s="885"/>
      <c r="G268" s="885"/>
      <c r="H268" s="885"/>
      <c r="I268" s="885"/>
      <c r="J268" s="885"/>
      <c r="K268" s="885"/>
      <c r="L268" s="885"/>
      <c r="M268" s="885"/>
      <c r="N268" s="885"/>
      <c r="O268" s="885"/>
      <c r="P268" s="885"/>
      <c r="Q268" s="885"/>
      <c r="R268" s="885"/>
      <c r="S268" s="885"/>
      <c r="T268" s="885"/>
      <c r="U268" s="885"/>
      <c r="V268" s="885"/>
      <c r="W268" s="885"/>
      <c r="X268" s="885"/>
      <c r="Y268" s="885"/>
      <c r="Z268" s="885"/>
      <c r="AA268" s="885"/>
      <c r="AB268" s="885"/>
      <c r="AC268" s="885"/>
    </row>
    <row r="269" spans="1:29" ht="15.75" customHeight="1" x14ac:dyDescent="0.2">
      <c r="A269" s="885"/>
      <c r="B269" s="885"/>
      <c r="C269" s="885"/>
      <c r="D269" s="885"/>
      <c r="E269" s="885"/>
      <c r="F269" s="885"/>
      <c r="G269" s="885"/>
      <c r="H269" s="885"/>
      <c r="I269" s="885"/>
      <c r="J269" s="885"/>
      <c r="K269" s="885"/>
      <c r="L269" s="885"/>
      <c r="M269" s="885"/>
      <c r="N269" s="885"/>
      <c r="O269" s="885"/>
      <c r="P269" s="885"/>
      <c r="Q269" s="885"/>
      <c r="R269" s="885"/>
      <c r="S269" s="885"/>
      <c r="T269" s="885"/>
      <c r="U269" s="885"/>
      <c r="V269" s="885"/>
      <c r="W269" s="885"/>
      <c r="X269" s="885"/>
      <c r="Y269" s="885"/>
      <c r="Z269" s="885"/>
      <c r="AA269" s="885"/>
      <c r="AB269" s="885"/>
      <c r="AC269" s="885"/>
    </row>
    <row r="270" spans="1:29" ht="15.75" customHeight="1" x14ac:dyDescent="0.2">
      <c r="A270" s="885"/>
      <c r="B270" s="885"/>
      <c r="C270" s="885"/>
      <c r="D270" s="885"/>
      <c r="E270" s="885"/>
      <c r="F270" s="885"/>
      <c r="G270" s="885"/>
      <c r="H270" s="885"/>
      <c r="I270" s="885"/>
      <c r="J270" s="885"/>
      <c r="K270" s="885"/>
      <c r="L270" s="885"/>
      <c r="M270" s="885"/>
      <c r="N270" s="885"/>
      <c r="O270" s="885"/>
      <c r="P270" s="885"/>
      <c r="Q270" s="885"/>
      <c r="R270" s="885"/>
      <c r="S270" s="885"/>
      <c r="T270" s="885"/>
      <c r="U270" s="885"/>
      <c r="V270" s="885"/>
      <c r="W270" s="885"/>
      <c r="X270" s="885"/>
      <c r="Y270" s="885"/>
      <c r="Z270" s="885"/>
      <c r="AA270" s="885"/>
      <c r="AB270" s="885"/>
      <c r="AC270" s="885"/>
    </row>
    <row r="271" spans="1:29" ht="15.75" customHeight="1" x14ac:dyDescent="0.2">
      <c r="A271" s="885"/>
      <c r="B271" s="885"/>
      <c r="C271" s="885"/>
      <c r="D271" s="885"/>
      <c r="E271" s="885"/>
      <c r="F271" s="885"/>
      <c r="G271" s="885"/>
      <c r="H271" s="885"/>
      <c r="I271" s="885"/>
      <c r="J271" s="885"/>
      <c r="K271" s="885"/>
      <c r="L271" s="885"/>
      <c r="M271" s="885"/>
      <c r="N271" s="885"/>
      <c r="O271" s="885"/>
      <c r="P271" s="885"/>
      <c r="Q271" s="885"/>
      <c r="R271" s="885"/>
      <c r="S271" s="885"/>
      <c r="T271" s="885"/>
      <c r="U271" s="885"/>
      <c r="V271" s="885"/>
      <c r="W271" s="885"/>
      <c r="X271" s="885"/>
      <c r="Y271" s="885"/>
      <c r="Z271" s="885"/>
      <c r="AA271" s="885"/>
      <c r="AB271" s="885"/>
      <c r="AC271" s="885"/>
    </row>
    <row r="272" spans="1:29" ht="15.75" customHeight="1" x14ac:dyDescent="0.2">
      <c r="A272" s="885"/>
      <c r="B272" s="885"/>
      <c r="C272" s="885"/>
      <c r="D272" s="885"/>
      <c r="E272" s="885"/>
      <c r="F272" s="885"/>
      <c r="G272" s="885"/>
      <c r="H272" s="885"/>
      <c r="I272" s="885"/>
      <c r="J272" s="885"/>
      <c r="K272" s="885"/>
      <c r="L272" s="885"/>
      <c r="M272" s="885"/>
      <c r="N272" s="885"/>
      <c r="O272" s="885"/>
      <c r="P272" s="885"/>
      <c r="Q272" s="885"/>
      <c r="R272" s="885"/>
      <c r="S272" s="885"/>
      <c r="T272" s="885"/>
      <c r="U272" s="885"/>
      <c r="V272" s="885"/>
      <c r="W272" s="885"/>
      <c r="X272" s="885"/>
      <c r="Y272" s="885"/>
      <c r="Z272" s="885"/>
      <c r="AA272" s="885"/>
      <c r="AB272" s="885"/>
      <c r="AC272" s="885"/>
    </row>
    <row r="273" spans="1:29" ht="15.75" customHeight="1" x14ac:dyDescent="0.2">
      <c r="A273" s="885"/>
      <c r="B273" s="885"/>
      <c r="C273" s="885"/>
      <c r="D273" s="885"/>
      <c r="E273" s="885"/>
      <c r="F273" s="885"/>
      <c r="G273" s="885"/>
      <c r="H273" s="885"/>
      <c r="I273" s="885"/>
      <c r="J273" s="885"/>
      <c r="K273" s="885"/>
      <c r="L273" s="885"/>
      <c r="M273" s="885"/>
      <c r="N273" s="885"/>
      <c r="O273" s="885"/>
      <c r="P273" s="885"/>
      <c r="Q273" s="885"/>
      <c r="R273" s="885"/>
      <c r="S273" s="885"/>
      <c r="T273" s="885"/>
      <c r="U273" s="885"/>
      <c r="V273" s="885"/>
      <c r="W273" s="885"/>
      <c r="X273" s="885"/>
      <c r="Y273" s="885"/>
      <c r="Z273" s="885"/>
      <c r="AA273" s="885"/>
      <c r="AB273" s="885"/>
      <c r="AC273" s="885"/>
    </row>
    <row r="274" spans="1:29" ht="15.75" customHeight="1" x14ac:dyDescent="0.2">
      <c r="A274" s="885"/>
      <c r="B274" s="885"/>
      <c r="C274" s="885"/>
      <c r="D274" s="885"/>
      <c r="E274" s="885"/>
      <c r="F274" s="885"/>
      <c r="G274" s="885"/>
      <c r="H274" s="885"/>
      <c r="I274" s="885"/>
      <c r="J274" s="885"/>
      <c r="K274" s="885"/>
      <c r="L274" s="885"/>
      <c r="M274" s="885"/>
      <c r="N274" s="885"/>
      <c r="O274" s="885"/>
      <c r="P274" s="885"/>
      <c r="Q274" s="885"/>
      <c r="R274" s="885"/>
      <c r="S274" s="885"/>
      <c r="T274" s="885"/>
      <c r="U274" s="885"/>
      <c r="V274" s="885"/>
      <c r="W274" s="885"/>
      <c r="X274" s="885"/>
      <c r="Y274" s="885"/>
      <c r="Z274" s="885"/>
      <c r="AA274" s="885"/>
      <c r="AB274" s="885"/>
      <c r="AC274" s="885"/>
    </row>
    <row r="275" spans="1:29" ht="15.75" customHeight="1" x14ac:dyDescent="0.2">
      <c r="A275" s="885"/>
      <c r="B275" s="885"/>
      <c r="C275" s="885"/>
      <c r="D275" s="885"/>
      <c r="E275" s="885"/>
      <c r="F275" s="885"/>
      <c r="G275" s="885"/>
      <c r="H275" s="885"/>
      <c r="I275" s="885"/>
      <c r="J275" s="885"/>
      <c r="K275" s="885"/>
      <c r="L275" s="885"/>
      <c r="M275" s="885"/>
      <c r="N275" s="885"/>
      <c r="O275" s="885"/>
      <c r="P275" s="885"/>
      <c r="Q275" s="885"/>
      <c r="R275" s="885"/>
      <c r="S275" s="885"/>
      <c r="T275" s="885"/>
      <c r="U275" s="885"/>
      <c r="V275" s="885"/>
      <c r="W275" s="885"/>
      <c r="X275" s="885"/>
      <c r="Y275" s="885"/>
      <c r="Z275" s="885"/>
      <c r="AA275" s="885"/>
      <c r="AB275" s="885"/>
      <c r="AC275" s="885"/>
    </row>
    <row r="276" spans="1:29" ht="15.75" customHeight="1" x14ac:dyDescent="0.2">
      <c r="A276" s="885"/>
      <c r="B276" s="885"/>
      <c r="C276" s="885"/>
      <c r="D276" s="885"/>
      <c r="E276" s="885"/>
      <c r="F276" s="885"/>
      <c r="G276" s="885"/>
      <c r="H276" s="885"/>
      <c r="I276" s="885"/>
      <c r="J276" s="885"/>
      <c r="K276" s="885"/>
      <c r="L276" s="885"/>
      <c r="M276" s="885"/>
      <c r="N276" s="885"/>
      <c r="O276" s="885"/>
      <c r="P276" s="885"/>
      <c r="Q276" s="885"/>
      <c r="R276" s="885"/>
      <c r="S276" s="885"/>
      <c r="T276" s="885"/>
      <c r="U276" s="885"/>
      <c r="V276" s="885"/>
      <c r="W276" s="885"/>
      <c r="X276" s="885"/>
      <c r="Y276" s="885"/>
      <c r="Z276" s="885"/>
      <c r="AA276" s="885"/>
      <c r="AB276" s="885"/>
      <c r="AC276" s="885"/>
    </row>
    <row r="277" spans="1:29" ht="15.75" customHeight="1" x14ac:dyDescent="0.2">
      <c r="A277" s="885"/>
      <c r="B277" s="885"/>
      <c r="C277" s="885"/>
      <c r="D277" s="885"/>
      <c r="E277" s="885"/>
      <c r="F277" s="885"/>
      <c r="G277" s="885"/>
      <c r="H277" s="885"/>
      <c r="I277" s="885"/>
      <c r="J277" s="885"/>
      <c r="K277" s="885"/>
      <c r="L277" s="885"/>
      <c r="M277" s="885"/>
      <c r="N277" s="885"/>
      <c r="O277" s="885"/>
      <c r="P277" s="885"/>
      <c r="Q277" s="885"/>
      <c r="R277" s="885"/>
      <c r="S277" s="885"/>
      <c r="T277" s="885"/>
      <c r="U277" s="885"/>
      <c r="V277" s="885"/>
      <c r="W277" s="885"/>
      <c r="X277" s="885"/>
      <c r="Y277" s="885"/>
      <c r="Z277" s="885"/>
      <c r="AA277" s="885"/>
      <c r="AB277" s="885"/>
      <c r="AC277" s="885"/>
    </row>
    <row r="278" spans="1:29" ht="15.75" customHeight="1" x14ac:dyDescent="0.2">
      <c r="A278" s="885"/>
      <c r="B278" s="885"/>
      <c r="C278" s="885"/>
      <c r="D278" s="885"/>
      <c r="E278" s="885"/>
      <c r="F278" s="885"/>
      <c r="G278" s="885"/>
      <c r="H278" s="885"/>
      <c r="I278" s="885"/>
      <c r="J278" s="885"/>
      <c r="K278" s="885"/>
      <c r="L278" s="885"/>
      <c r="M278" s="885"/>
      <c r="N278" s="885"/>
      <c r="O278" s="885"/>
      <c r="P278" s="885"/>
      <c r="Q278" s="885"/>
      <c r="R278" s="885"/>
      <c r="S278" s="885"/>
      <c r="T278" s="885"/>
      <c r="U278" s="885"/>
      <c r="V278" s="885"/>
      <c r="W278" s="885"/>
      <c r="X278" s="885"/>
      <c r="Y278" s="885"/>
      <c r="Z278" s="885"/>
      <c r="AA278" s="885"/>
      <c r="AB278" s="885"/>
      <c r="AC278" s="885"/>
    </row>
    <row r="279" spans="1:29" ht="15.75" customHeight="1" x14ac:dyDescent="0.2">
      <c r="A279" s="885"/>
      <c r="B279" s="885"/>
      <c r="C279" s="885"/>
      <c r="D279" s="885"/>
      <c r="E279" s="885"/>
      <c r="F279" s="885"/>
      <c r="G279" s="885"/>
      <c r="H279" s="885"/>
      <c r="I279" s="885"/>
      <c r="J279" s="885"/>
      <c r="K279" s="885"/>
      <c r="L279" s="885"/>
      <c r="M279" s="885"/>
      <c r="N279" s="885"/>
      <c r="O279" s="885"/>
      <c r="P279" s="885"/>
      <c r="Q279" s="885"/>
      <c r="R279" s="885"/>
      <c r="S279" s="885"/>
      <c r="T279" s="885"/>
      <c r="U279" s="885"/>
      <c r="V279" s="885"/>
      <c r="W279" s="885"/>
      <c r="X279" s="885"/>
      <c r="Y279" s="885"/>
      <c r="Z279" s="885"/>
      <c r="AA279" s="885"/>
      <c r="AB279" s="885"/>
      <c r="AC279" s="885"/>
    </row>
    <row r="280" spans="1:29" ht="15.75" customHeight="1" x14ac:dyDescent="0.2">
      <c r="A280" s="885"/>
      <c r="B280" s="885"/>
      <c r="C280" s="885"/>
      <c r="D280" s="885"/>
      <c r="E280" s="885"/>
      <c r="F280" s="885"/>
      <c r="G280" s="885"/>
      <c r="H280" s="885"/>
      <c r="I280" s="885"/>
      <c r="J280" s="885"/>
      <c r="K280" s="885"/>
      <c r="L280" s="885"/>
      <c r="M280" s="885"/>
      <c r="N280" s="885"/>
      <c r="O280" s="885"/>
      <c r="P280" s="885"/>
      <c r="Q280" s="885"/>
      <c r="R280" s="885"/>
      <c r="S280" s="885"/>
      <c r="T280" s="885"/>
      <c r="U280" s="885"/>
      <c r="V280" s="885"/>
      <c r="W280" s="885"/>
      <c r="X280" s="885"/>
      <c r="Y280" s="885"/>
      <c r="Z280" s="885"/>
      <c r="AA280" s="885"/>
      <c r="AB280" s="885"/>
      <c r="AC280" s="885"/>
    </row>
    <row r="281" spans="1:29" ht="15.75" customHeight="1" x14ac:dyDescent="0.2">
      <c r="A281" s="885"/>
      <c r="B281" s="885"/>
      <c r="C281" s="885"/>
      <c r="D281" s="885"/>
      <c r="E281" s="885"/>
      <c r="F281" s="885"/>
      <c r="G281" s="885"/>
      <c r="H281" s="885"/>
      <c r="I281" s="885"/>
      <c r="J281" s="885"/>
      <c r="K281" s="885"/>
      <c r="L281" s="885"/>
      <c r="M281" s="885"/>
      <c r="N281" s="885"/>
      <c r="O281" s="885"/>
      <c r="P281" s="885"/>
      <c r="Q281" s="885"/>
      <c r="R281" s="885"/>
      <c r="S281" s="885"/>
      <c r="T281" s="885"/>
      <c r="U281" s="885"/>
      <c r="V281" s="885"/>
      <c r="W281" s="885"/>
      <c r="X281" s="885"/>
      <c r="Y281" s="885"/>
      <c r="Z281" s="885"/>
      <c r="AA281" s="885"/>
      <c r="AB281" s="885"/>
      <c r="AC281" s="885"/>
    </row>
    <row r="282" spans="1:29" ht="15.75" customHeight="1" x14ac:dyDescent="0.2">
      <c r="A282" s="885"/>
      <c r="B282" s="885"/>
      <c r="C282" s="885"/>
      <c r="D282" s="885"/>
      <c r="E282" s="885"/>
      <c r="F282" s="885"/>
      <c r="G282" s="885"/>
      <c r="H282" s="885"/>
      <c r="I282" s="885"/>
      <c r="J282" s="885"/>
      <c r="K282" s="885"/>
      <c r="L282" s="885"/>
      <c r="M282" s="885"/>
      <c r="N282" s="885"/>
      <c r="O282" s="885"/>
      <c r="P282" s="885"/>
      <c r="Q282" s="885"/>
      <c r="R282" s="885"/>
      <c r="S282" s="885"/>
      <c r="T282" s="885"/>
      <c r="U282" s="885"/>
      <c r="V282" s="885"/>
      <c r="W282" s="885"/>
      <c r="X282" s="885"/>
      <c r="Y282" s="885"/>
      <c r="Z282" s="885"/>
      <c r="AA282" s="885"/>
      <c r="AB282" s="885"/>
      <c r="AC282" s="885"/>
    </row>
    <row r="283" spans="1:29" ht="15.75" customHeight="1" x14ac:dyDescent="0.2">
      <c r="A283" s="885"/>
      <c r="B283" s="885"/>
      <c r="C283" s="885"/>
      <c r="D283" s="885"/>
      <c r="E283" s="885"/>
      <c r="F283" s="885"/>
      <c r="G283" s="885"/>
      <c r="H283" s="885"/>
      <c r="I283" s="885"/>
      <c r="J283" s="885"/>
      <c r="K283" s="885"/>
      <c r="L283" s="885"/>
      <c r="M283" s="885"/>
      <c r="N283" s="885"/>
      <c r="O283" s="885"/>
      <c r="P283" s="885"/>
      <c r="Q283" s="885"/>
      <c r="R283" s="885"/>
      <c r="S283" s="885"/>
      <c r="T283" s="885"/>
      <c r="U283" s="885"/>
      <c r="V283" s="885"/>
      <c r="W283" s="885"/>
      <c r="X283" s="885"/>
      <c r="Y283" s="885"/>
      <c r="Z283" s="885"/>
      <c r="AA283" s="885"/>
      <c r="AB283" s="885"/>
      <c r="AC283" s="885"/>
    </row>
    <row r="284" spans="1:29" ht="15.75" customHeight="1" x14ac:dyDescent="0.2">
      <c r="A284" s="885"/>
      <c r="B284" s="885"/>
      <c r="C284" s="885"/>
      <c r="D284" s="885"/>
      <c r="E284" s="885"/>
      <c r="F284" s="885"/>
      <c r="G284" s="885"/>
      <c r="H284" s="885"/>
      <c r="I284" s="885"/>
      <c r="J284" s="885"/>
      <c r="K284" s="885"/>
      <c r="L284" s="885"/>
      <c r="M284" s="885"/>
      <c r="N284" s="885"/>
      <c r="O284" s="885"/>
      <c r="P284" s="885"/>
      <c r="Q284" s="885"/>
      <c r="R284" s="885"/>
      <c r="S284" s="885"/>
      <c r="T284" s="885"/>
      <c r="U284" s="885"/>
      <c r="V284" s="885"/>
      <c r="W284" s="885"/>
      <c r="X284" s="885"/>
      <c r="Y284" s="885"/>
      <c r="Z284" s="885"/>
      <c r="AA284" s="885"/>
      <c r="AB284" s="885"/>
      <c r="AC284" s="885"/>
    </row>
    <row r="285" spans="1:29" ht="15.75" customHeight="1" x14ac:dyDescent="0.2">
      <c r="A285" s="885"/>
      <c r="B285" s="885"/>
      <c r="C285" s="885"/>
      <c r="D285" s="885"/>
      <c r="E285" s="885"/>
      <c r="F285" s="885"/>
      <c r="G285" s="885"/>
      <c r="H285" s="885"/>
      <c r="I285" s="885"/>
      <c r="J285" s="885"/>
      <c r="K285" s="885"/>
      <c r="L285" s="885"/>
      <c r="M285" s="885"/>
      <c r="N285" s="885"/>
      <c r="O285" s="885"/>
      <c r="P285" s="885"/>
      <c r="Q285" s="885"/>
      <c r="R285" s="885"/>
      <c r="S285" s="885"/>
      <c r="T285" s="885"/>
      <c r="U285" s="885"/>
      <c r="V285" s="885"/>
      <c r="W285" s="885"/>
      <c r="X285" s="885"/>
      <c r="Y285" s="885"/>
      <c r="Z285" s="885"/>
      <c r="AA285" s="885"/>
      <c r="AB285" s="885"/>
      <c r="AC285" s="885"/>
    </row>
    <row r="286" spans="1:29" ht="15.75" customHeight="1" x14ac:dyDescent="0.2">
      <c r="A286" s="885"/>
      <c r="B286" s="885"/>
      <c r="C286" s="885"/>
      <c r="D286" s="885"/>
      <c r="E286" s="885"/>
      <c r="F286" s="885"/>
      <c r="G286" s="885"/>
      <c r="H286" s="885"/>
      <c r="I286" s="885"/>
      <c r="J286" s="885"/>
      <c r="K286" s="885"/>
      <c r="L286" s="885"/>
      <c r="M286" s="885"/>
      <c r="N286" s="885"/>
      <c r="O286" s="885"/>
      <c r="P286" s="885"/>
      <c r="Q286" s="885"/>
      <c r="R286" s="885"/>
      <c r="S286" s="885"/>
      <c r="T286" s="885"/>
      <c r="U286" s="885"/>
      <c r="V286" s="885"/>
      <c r="W286" s="885"/>
      <c r="X286" s="885"/>
      <c r="Y286" s="885"/>
      <c r="Z286" s="885"/>
      <c r="AA286" s="885"/>
      <c r="AB286" s="885"/>
      <c r="AC286" s="885"/>
    </row>
    <row r="287" spans="1:29" ht="15.75" customHeight="1" x14ac:dyDescent="0.2">
      <c r="A287" s="885"/>
      <c r="B287" s="885"/>
      <c r="C287" s="885"/>
      <c r="D287" s="885"/>
      <c r="E287" s="885"/>
      <c r="F287" s="885"/>
      <c r="G287" s="885"/>
      <c r="H287" s="885"/>
      <c r="I287" s="885"/>
      <c r="J287" s="885"/>
      <c r="K287" s="885"/>
      <c r="L287" s="885"/>
      <c r="M287" s="885"/>
      <c r="N287" s="885"/>
      <c r="O287" s="885"/>
      <c r="P287" s="885"/>
      <c r="Q287" s="885"/>
      <c r="R287" s="885"/>
      <c r="S287" s="885"/>
      <c r="T287" s="885"/>
      <c r="U287" s="885"/>
      <c r="V287" s="885"/>
      <c r="W287" s="885"/>
      <c r="X287" s="885"/>
      <c r="Y287" s="885"/>
      <c r="Z287" s="885"/>
      <c r="AA287" s="885"/>
      <c r="AB287" s="885"/>
      <c r="AC287" s="885"/>
    </row>
    <row r="288" spans="1:29" ht="15.75" customHeight="1" x14ac:dyDescent="0.2">
      <c r="A288" s="885"/>
      <c r="B288" s="885"/>
      <c r="C288" s="885"/>
      <c r="D288" s="885"/>
      <c r="E288" s="885"/>
      <c r="F288" s="885"/>
      <c r="G288" s="885"/>
      <c r="H288" s="885"/>
      <c r="I288" s="885"/>
      <c r="J288" s="885"/>
      <c r="K288" s="885"/>
      <c r="L288" s="885"/>
      <c r="M288" s="885"/>
      <c r="N288" s="885"/>
      <c r="O288" s="885"/>
      <c r="P288" s="885"/>
      <c r="Q288" s="885"/>
      <c r="R288" s="885"/>
      <c r="S288" s="885"/>
      <c r="T288" s="885"/>
      <c r="U288" s="885"/>
      <c r="V288" s="885"/>
      <c r="W288" s="885"/>
      <c r="X288" s="885"/>
      <c r="Y288" s="885"/>
      <c r="Z288" s="885"/>
      <c r="AA288" s="885"/>
      <c r="AB288" s="885"/>
      <c r="AC288" s="885"/>
    </row>
    <row r="289" spans="1:29" ht="15.75" customHeight="1" x14ac:dyDescent="0.2">
      <c r="A289" s="885"/>
      <c r="B289" s="885"/>
      <c r="C289" s="885"/>
      <c r="D289" s="885"/>
      <c r="E289" s="885"/>
      <c r="F289" s="885"/>
      <c r="G289" s="885"/>
      <c r="H289" s="885"/>
      <c r="I289" s="885"/>
      <c r="J289" s="885"/>
      <c r="K289" s="885"/>
      <c r="L289" s="885"/>
      <c r="M289" s="885"/>
      <c r="N289" s="885"/>
      <c r="O289" s="885"/>
      <c r="P289" s="885"/>
      <c r="Q289" s="885"/>
      <c r="R289" s="885"/>
      <c r="S289" s="885"/>
      <c r="T289" s="885"/>
      <c r="U289" s="885"/>
      <c r="V289" s="885"/>
      <c r="W289" s="885"/>
      <c r="X289" s="885"/>
      <c r="Y289" s="885"/>
      <c r="Z289" s="885"/>
      <c r="AA289" s="885"/>
      <c r="AB289" s="885"/>
      <c r="AC289" s="885"/>
    </row>
    <row r="290" spans="1:29" ht="15.75" customHeight="1" x14ac:dyDescent="0.2">
      <c r="A290" s="885"/>
      <c r="B290" s="885"/>
      <c r="C290" s="885"/>
      <c r="D290" s="885"/>
      <c r="E290" s="885"/>
      <c r="F290" s="885"/>
      <c r="G290" s="885"/>
      <c r="H290" s="885"/>
      <c r="I290" s="885"/>
      <c r="J290" s="885"/>
      <c r="K290" s="885"/>
      <c r="L290" s="885"/>
      <c r="M290" s="885"/>
      <c r="N290" s="885"/>
      <c r="O290" s="885"/>
      <c r="P290" s="885"/>
      <c r="Q290" s="885"/>
      <c r="R290" s="885"/>
      <c r="S290" s="885"/>
      <c r="T290" s="885"/>
      <c r="U290" s="885"/>
      <c r="V290" s="885"/>
      <c r="W290" s="885"/>
      <c r="X290" s="885"/>
      <c r="Y290" s="885"/>
      <c r="Z290" s="885"/>
      <c r="AA290" s="885"/>
      <c r="AB290" s="885"/>
      <c r="AC290" s="885"/>
    </row>
    <row r="291" spans="1:29" ht="15.75" customHeight="1" x14ac:dyDescent="0.2">
      <c r="A291" s="885"/>
      <c r="B291" s="885"/>
      <c r="C291" s="885"/>
      <c r="D291" s="885"/>
      <c r="E291" s="885"/>
      <c r="F291" s="885"/>
      <c r="G291" s="885"/>
      <c r="H291" s="885"/>
      <c r="I291" s="885"/>
      <c r="J291" s="885"/>
      <c r="K291" s="885"/>
      <c r="L291" s="885"/>
      <c r="M291" s="885"/>
      <c r="N291" s="885"/>
      <c r="O291" s="885"/>
      <c r="P291" s="885"/>
      <c r="Q291" s="885"/>
      <c r="R291" s="885"/>
      <c r="S291" s="885"/>
      <c r="T291" s="885"/>
      <c r="U291" s="885"/>
      <c r="V291" s="885"/>
      <c r="W291" s="885"/>
      <c r="X291" s="885"/>
      <c r="Y291" s="885"/>
      <c r="Z291" s="885"/>
      <c r="AA291" s="885"/>
      <c r="AB291" s="885"/>
      <c r="AC291" s="885"/>
    </row>
    <row r="292" spans="1:29" ht="15.75" customHeight="1" x14ac:dyDescent="0.2">
      <c r="A292" s="885"/>
      <c r="B292" s="885"/>
      <c r="C292" s="885"/>
      <c r="D292" s="885"/>
      <c r="E292" s="885"/>
      <c r="F292" s="885"/>
      <c r="G292" s="885"/>
      <c r="H292" s="885"/>
      <c r="I292" s="885"/>
      <c r="J292" s="885"/>
      <c r="K292" s="885"/>
      <c r="L292" s="885"/>
      <c r="M292" s="885"/>
      <c r="N292" s="885"/>
      <c r="O292" s="885"/>
      <c r="P292" s="885"/>
      <c r="Q292" s="885"/>
      <c r="R292" s="885"/>
      <c r="S292" s="885"/>
      <c r="T292" s="885"/>
      <c r="U292" s="885"/>
      <c r="V292" s="885"/>
      <c r="W292" s="885"/>
      <c r="X292" s="885"/>
      <c r="Y292" s="885"/>
      <c r="Z292" s="885"/>
      <c r="AA292" s="885"/>
      <c r="AB292" s="885"/>
      <c r="AC292" s="885"/>
    </row>
    <row r="293" spans="1:29" ht="15.75" customHeight="1" x14ac:dyDescent="0.2">
      <c r="A293" s="885"/>
      <c r="B293" s="885"/>
      <c r="C293" s="885"/>
      <c r="D293" s="885"/>
      <c r="E293" s="885"/>
      <c r="F293" s="885"/>
      <c r="G293" s="885"/>
      <c r="H293" s="885"/>
      <c r="I293" s="885"/>
      <c r="J293" s="885"/>
      <c r="K293" s="885"/>
      <c r="L293" s="885"/>
      <c r="M293" s="885"/>
      <c r="N293" s="885"/>
      <c r="O293" s="885"/>
      <c r="P293" s="885"/>
      <c r="Q293" s="885"/>
      <c r="R293" s="885"/>
      <c r="S293" s="885"/>
      <c r="T293" s="885"/>
      <c r="U293" s="885"/>
      <c r="V293" s="885"/>
      <c r="W293" s="885"/>
      <c r="X293" s="885"/>
      <c r="Y293" s="885"/>
      <c r="Z293" s="885"/>
      <c r="AA293" s="885"/>
      <c r="AB293" s="885"/>
      <c r="AC293" s="885"/>
    </row>
    <row r="294" spans="1:29" ht="15.75" customHeight="1" x14ac:dyDescent="0.2">
      <c r="A294" s="885"/>
      <c r="B294" s="885"/>
      <c r="C294" s="885"/>
      <c r="D294" s="885"/>
      <c r="E294" s="885"/>
      <c r="F294" s="885"/>
      <c r="G294" s="885"/>
      <c r="H294" s="885"/>
      <c r="I294" s="885"/>
      <c r="J294" s="885"/>
      <c r="K294" s="885"/>
      <c r="L294" s="885"/>
      <c r="M294" s="885"/>
      <c r="N294" s="885"/>
      <c r="O294" s="885"/>
      <c r="P294" s="885"/>
      <c r="Q294" s="885"/>
      <c r="R294" s="885"/>
      <c r="S294" s="885"/>
      <c r="T294" s="885"/>
      <c r="U294" s="885"/>
      <c r="V294" s="885"/>
      <c r="W294" s="885"/>
      <c r="X294" s="885"/>
      <c r="Y294" s="885"/>
      <c r="Z294" s="885"/>
      <c r="AA294" s="885"/>
      <c r="AB294" s="885"/>
      <c r="AC294" s="885"/>
    </row>
    <row r="295" spans="1:29" ht="15.75" customHeight="1" x14ac:dyDescent="0.2">
      <c r="A295" s="885"/>
      <c r="B295" s="885"/>
      <c r="C295" s="885"/>
      <c r="D295" s="885"/>
      <c r="E295" s="885"/>
      <c r="F295" s="885"/>
      <c r="G295" s="885"/>
      <c r="H295" s="885"/>
      <c r="I295" s="885"/>
      <c r="J295" s="885"/>
      <c r="K295" s="885"/>
      <c r="L295" s="885"/>
      <c r="M295" s="885"/>
      <c r="N295" s="885"/>
      <c r="O295" s="885"/>
      <c r="P295" s="885"/>
      <c r="Q295" s="885"/>
      <c r="R295" s="885"/>
      <c r="S295" s="885"/>
      <c r="T295" s="885"/>
      <c r="U295" s="885"/>
      <c r="V295" s="885"/>
      <c r="W295" s="885"/>
      <c r="X295" s="885"/>
      <c r="Y295" s="885"/>
      <c r="Z295" s="885"/>
      <c r="AA295" s="885"/>
      <c r="AB295" s="885"/>
      <c r="AC295" s="885"/>
    </row>
    <row r="296" spans="1:29" ht="15.75" customHeight="1" x14ac:dyDescent="0.2">
      <c r="A296" s="885"/>
      <c r="B296" s="885"/>
      <c r="C296" s="885"/>
      <c r="D296" s="885"/>
      <c r="E296" s="885"/>
      <c r="F296" s="885"/>
      <c r="G296" s="885"/>
      <c r="H296" s="885"/>
      <c r="I296" s="885"/>
      <c r="J296" s="885"/>
      <c r="K296" s="885"/>
      <c r="L296" s="885"/>
      <c r="M296" s="885"/>
      <c r="N296" s="885"/>
      <c r="O296" s="885"/>
      <c r="P296" s="885"/>
      <c r="Q296" s="885"/>
      <c r="R296" s="885"/>
      <c r="S296" s="885"/>
      <c r="T296" s="885"/>
      <c r="U296" s="885"/>
      <c r="V296" s="885"/>
      <c r="W296" s="885"/>
      <c r="X296" s="885"/>
      <c r="Y296" s="885"/>
      <c r="Z296" s="885"/>
      <c r="AA296" s="885"/>
      <c r="AB296" s="885"/>
      <c r="AC296" s="885"/>
    </row>
    <row r="297" spans="1:29" ht="15.75" customHeight="1" x14ac:dyDescent="0.2">
      <c r="A297" s="885"/>
      <c r="B297" s="885"/>
      <c r="C297" s="885"/>
      <c r="D297" s="885"/>
      <c r="E297" s="885"/>
      <c r="F297" s="885"/>
      <c r="G297" s="885"/>
      <c r="H297" s="885"/>
      <c r="I297" s="885"/>
      <c r="J297" s="885"/>
      <c r="K297" s="885"/>
      <c r="L297" s="885"/>
      <c r="M297" s="885"/>
      <c r="N297" s="885"/>
      <c r="O297" s="885"/>
      <c r="P297" s="885"/>
      <c r="Q297" s="885"/>
      <c r="R297" s="885"/>
      <c r="S297" s="885"/>
      <c r="T297" s="885"/>
      <c r="U297" s="885"/>
      <c r="V297" s="885"/>
      <c r="W297" s="885"/>
      <c r="X297" s="885"/>
      <c r="Y297" s="885"/>
      <c r="Z297" s="885"/>
      <c r="AA297" s="885"/>
      <c r="AB297" s="885"/>
      <c r="AC297" s="885"/>
    </row>
    <row r="298" spans="1:29" ht="15.75" customHeight="1" x14ac:dyDescent="0.2">
      <c r="A298" s="885"/>
      <c r="B298" s="885"/>
      <c r="C298" s="885"/>
      <c r="D298" s="885"/>
      <c r="E298" s="885"/>
      <c r="F298" s="885"/>
      <c r="G298" s="885"/>
      <c r="H298" s="885"/>
      <c r="I298" s="885"/>
      <c r="J298" s="885"/>
      <c r="K298" s="885"/>
      <c r="L298" s="885"/>
      <c r="M298" s="885"/>
      <c r="N298" s="885"/>
      <c r="O298" s="885"/>
      <c r="P298" s="885"/>
      <c r="Q298" s="885"/>
      <c r="R298" s="885"/>
      <c r="S298" s="885"/>
      <c r="T298" s="885"/>
      <c r="U298" s="885"/>
      <c r="V298" s="885"/>
      <c r="W298" s="885"/>
      <c r="X298" s="885"/>
      <c r="Y298" s="885"/>
      <c r="Z298" s="885"/>
      <c r="AA298" s="885"/>
      <c r="AB298" s="885"/>
      <c r="AC298" s="885"/>
    </row>
    <row r="299" spans="1:29" ht="15.75" customHeight="1" x14ac:dyDescent="0.2">
      <c r="A299" s="885"/>
      <c r="B299" s="885"/>
      <c r="C299" s="885"/>
      <c r="D299" s="885"/>
      <c r="E299" s="885"/>
      <c r="F299" s="885"/>
      <c r="G299" s="885"/>
      <c r="H299" s="885"/>
      <c r="I299" s="885"/>
      <c r="J299" s="885"/>
      <c r="K299" s="885"/>
      <c r="L299" s="885"/>
      <c r="M299" s="885"/>
      <c r="N299" s="885"/>
      <c r="O299" s="885"/>
      <c r="P299" s="885"/>
      <c r="Q299" s="885"/>
      <c r="R299" s="885"/>
      <c r="S299" s="885"/>
      <c r="T299" s="885"/>
      <c r="U299" s="885"/>
      <c r="V299" s="885"/>
      <c r="W299" s="885"/>
      <c r="X299" s="885"/>
      <c r="Y299" s="885"/>
      <c r="Z299" s="885"/>
      <c r="AA299" s="885"/>
      <c r="AB299" s="885"/>
      <c r="AC299" s="885"/>
    </row>
    <row r="300" spans="1:29" ht="15.75" customHeight="1" x14ac:dyDescent="0.2">
      <c r="A300" s="885"/>
      <c r="B300" s="885"/>
      <c r="C300" s="885"/>
      <c r="D300" s="885"/>
      <c r="E300" s="885"/>
      <c r="F300" s="885"/>
      <c r="G300" s="885"/>
      <c r="H300" s="885"/>
      <c r="I300" s="885"/>
      <c r="J300" s="885"/>
      <c r="K300" s="885"/>
      <c r="L300" s="885"/>
      <c r="M300" s="885"/>
      <c r="N300" s="885"/>
      <c r="O300" s="885"/>
      <c r="P300" s="885"/>
      <c r="Q300" s="885"/>
      <c r="R300" s="885"/>
      <c r="S300" s="885"/>
      <c r="T300" s="885"/>
      <c r="U300" s="885"/>
      <c r="V300" s="885"/>
      <c r="W300" s="885"/>
      <c r="X300" s="885"/>
      <c r="Y300" s="885"/>
      <c r="Z300" s="885"/>
      <c r="AA300" s="885"/>
      <c r="AB300" s="885"/>
      <c r="AC300" s="885"/>
    </row>
    <row r="301" spans="1:29" ht="15.75" customHeight="1" x14ac:dyDescent="0.2">
      <c r="A301" s="885"/>
      <c r="B301" s="885"/>
      <c r="C301" s="885"/>
      <c r="D301" s="885"/>
      <c r="E301" s="885"/>
      <c r="F301" s="885"/>
      <c r="G301" s="885"/>
      <c r="H301" s="885"/>
      <c r="I301" s="885"/>
      <c r="J301" s="885"/>
      <c r="K301" s="885"/>
      <c r="L301" s="885"/>
      <c r="M301" s="885"/>
      <c r="N301" s="885"/>
      <c r="O301" s="885"/>
      <c r="P301" s="885"/>
      <c r="Q301" s="885"/>
      <c r="R301" s="885"/>
      <c r="S301" s="885"/>
      <c r="T301" s="885"/>
      <c r="U301" s="885"/>
      <c r="V301" s="885"/>
      <c r="W301" s="885"/>
      <c r="X301" s="885"/>
      <c r="Y301" s="885"/>
      <c r="Z301" s="885"/>
      <c r="AA301" s="885"/>
      <c r="AB301" s="885"/>
      <c r="AC301" s="885"/>
    </row>
    <row r="302" spans="1:29" ht="15.75" customHeight="1" x14ac:dyDescent="0.2">
      <c r="A302" s="885"/>
      <c r="B302" s="885"/>
      <c r="C302" s="885"/>
      <c r="D302" s="885"/>
      <c r="E302" s="885"/>
      <c r="F302" s="885"/>
      <c r="G302" s="885"/>
      <c r="H302" s="885"/>
      <c r="I302" s="885"/>
      <c r="J302" s="885"/>
      <c r="K302" s="885"/>
      <c r="L302" s="885"/>
      <c r="M302" s="885"/>
      <c r="N302" s="885"/>
      <c r="O302" s="885"/>
      <c r="P302" s="885"/>
      <c r="Q302" s="885"/>
      <c r="R302" s="885"/>
      <c r="S302" s="885"/>
      <c r="T302" s="885"/>
      <c r="U302" s="885"/>
      <c r="V302" s="885"/>
      <c r="W302" s="885"/>
      <c r="X302" s="885"/>
      <c r="Y302" s="885"/>
      <c r="Z302" s="885"/>
      <c r="AA302" s="885"/>
      <c r="AB302" s="885"/>
      <c r="AC302" s="885"/>
    </row>
    <row r="303" spans="1:29" ht="15.75" customHeight="1" x14ac:dyDescent="0.2">
      <c r="A303" s="885"/>
      <c r="B303" s="885"/>
      <c r="C303" s="885"/>
      <c r="D303" s="885"/>
      <c r="E303" s="885"/>
      <c r="F303" s="885"/>
      <c r="G303" s="885"/>
      <c r="H303" s="885"/>
      <c r="I303" s="885"/>
      <c r="J303" s="885"/>
      <c r="K303" s="885"/>
      <c r="L303" s="885"/>
      <c r="M303" s="885"/>
      <c r="N303" s="885"/>
      <c r="O303" s="885"/>
      <c r="P303" s="885"/>
      <c r="Q303" s="885"/>
      <c r="R303" s="885"/>
      <c r="S303" s="885"/>
      <c r="T303" s="885"/>
      <c r="U303" s="885"/>
      <c r="V303" s="885"/>
      <c r="W303" s="885"/>
      <c r="X303" s="885"/>
      <c r="Y303" s="885"/>
      <c r="Z303" s="885"/>
      <c r="AA303" s="885"/>
      <c r="AB303" s="885"/>
      <c r="AC303" s="885"/>
    </row>
    <row r="304" spans="1:29" ht="15.75" customHeight="1" x14ac:dyDescent="0.2">
      <c r="A304" s="885"/>
      <c r="B304" s="885"/>
      <c r="C304" s="885"/>
      <c r="D304" s="885"/>
      <c r="E304" s="885"/>
      <c r="F304" s="885"/>
      <c r="G304" s="885"/>
      <c r="H304" s="885"/>
      <c r="I304" s="885"/>
      <c r="J304" s="885"/>
      <c r="K304" s="885"/>
      <c r="L304" s="885"/>
      <c r="M304" s="885"/>
      <c r="N304" s="885"/>
      <c r="O304" s="885"/>
      <c r="P304" s="885"/>
      <c r="Q304" s="885"/>
      <c r="R304" s="885"/>
      <c r="S304" s="885"/>
      <c r="T304" s="885"/>
      <c r="U304" s="885"/>
      <c r="V304" s="885"/>
      <c r="W304" s="885"/>
      <c r="X304" s="885"/>
      <c r="Y304" s="885"/>
      <c r="Z304" s="885"/>
      <c r="AA304" s="885"/>
      <c r="AB304" s="885"/>
      <c r="AC304" s="885"/>
    </row>
    <row r="305" spans="1:29" ht="15.75" customHeight="1" x14ac:dyDescent="0.2">
      <c r="A305" s="885"/>
      <c r="B305" s="885"/>
      <c r="C305" s="885"/>
      <c r="D305" s="885"/>
      <c r="E305" s="885"/>
      <c r="F305" s="885"/>
      <c r="G305" s="885"/>
      <c r="H305" s="885"/>
      <c r="I305" s="885"/>
      <c r="J305" s="885"/>
      <c r="K305" s="885"/>
      <c r="L305" s="885"/>
      <c r="M305" s="885"/>
      <c r="N305" s="885"/>
      <c r="O305" s="885"/>
      <c r="P305" s="885"/>
      <c r="Q305" s="885"/>
      <c r="R305" s="885"/>
      <c r="S305" s="885"/>
      <c r="T305" s="885"/>
      <c r="U305" s="885"/>
      <c r="V305" s="885"/>
      <c r="W305" s="885"/>
      <c r="X305" s="885"/>
      <c r="Y305" s="885"/>
      <c r="Z305" s="885"/>
      <c r="AA305" s="885"/>
      <c r="AB305" s="885"/>
      <c r="AC305" s="885"/>
    </row>
    <row r="306" spans="1:29" ht="15.75" customHeight="1" x14ac:dyDescent="0.2">
      <c r="A306" s="885"/>
      <c r="B306" s="885"/>
      <c r="C306" s="885"/>
      <c r="D306" s="885"/>
      <c r="E306" s="885"/>
      <c r="F306" s="885"/>
      <c r="G306" s="885"/>
      <c r="H306" s="885"/>
      <c r="I306" s="885"/>
      <c r="J306" s="885"/>
      <c r="K306" s="885"/>
      <c r="L306" s="885"/>
      <c r="M306" s="885"/>
      <c r="N306" s="885"/>
      <c r="O306" s="885"/>
      <c r="P306" s="885"/>
      <c r="Q306" s="885"/>
      <c r="R306" s="885"/>
      <c r="S306" s="885"/>
      <c r="T306" s="885"/>
      <c r="U306" s="885"/>
      <c r="V306" s="885"/>
      <c r="W306" s="885"/>
      <c r="X306" s="885"/>
      <c r="Y306" s="885"/>
      <c r="Z306" s="885"/>
      <c r="AA306" s="885"/>
      <c r="AB306" s="885"/>
      <c r="AC306" s="885"/>
    </row>
    <row r="307" spans="1:29" ht="15.75" customHeight="1" x14ac:dyDescent="0.2">
      <c r="A307" s="885"/>
      <c r="B307" s="885"/>
      <c r="C307" s="885"/>
      <c r="D307" s="885"/>
      <c r="E307" s="885"/>
      <c r="F307" s="885"/>
      <c r="G307" s="885"/>
      <c r="H307" s="885"/>
      <c r="I307" s="885"/>
      <c r="J307" s="885"/>
      <c r="K307" s="885"/>
      <c r="L307" s="885"/>
      <c r="M307" s="885"/>
      <c r="N307" s="885"/>
      <c r="O307" s="885"/>
      <c r="P307" s="885"/>
      <c r="Q307" s="885"/>
      <c r="R307" s="885"/>
      <c r="S307" s="885"/>
      <c r="T307" s="885"/>
      <c r="U307" s="885"/>
      <c r="V307" s="885"/>
      <c r="W307" s="885"/>
      <c r="X307" s="885"/>
      <c r="Y307" s="885"/>
      <c r="Z307" s="885"/>
      <c r="AA307" s="885"/>
      <c r="AB307" s="885"/>
      <c r="AC307" s="885"/>
    </row>
    <row r="308" spans="1:29" ht="15.75" customHeight="1" x14ac:dyDescent="0.2">
      <c r="A308" s="885"/>
      <c r="B308" s="885"/>
      <c r="C308" s="885"/>
      <c r="D308" s="885"/>
      <c r="E308" s="885"/>
      <c r="F308" s="885"/>
      <c r="G308" s="885"/>
      <c r="H308" s="885"/>
      <c r="I308" s="885"/>
      <c r="J308" s="885"/>
      <c r="K308" s="885"/>
      <c r="L308" s="885"/>
      <c r="M308" s="885"/>
      <c r="N308" s="885"/>
      <c r="O308" s="885"/>
      <c r="P308" s="885"/>
      <c r="Q308" s="885"/>
      <c r="R308" s="885"/>
      <c r="S308" s="885"/>
      <c r="T308" s="885"/>
      <c r="U308" s="885"/>
      <c r="V308" s="885"/>
      <c r="W308" s="885"/>
      <c r="X308" s="885"/>
      <c r="Y308" s="885"/>
      <c r="Z308" s="885"/>
      <c r="AA308" s="885"/>
      <c r="AB308" s="885"/>
      <c r="AC308" s="885"/>
    </row>
    <row r="309" spans="1:29" ht="15.75" customHeight="1" x14ac:dyDescent="0.2">
      <c r="A309" s="885"/>
      <c r="B309" s="885"/>
      <c r="C309" s="885"/>
      <c r="D309" s="885"/>
      <c r="E309" s="885"/>
      <c r="F309" s="885"/>
      <c r="G309" s="885"/>
      <c r="H309" s="885"/>
      <c r="I309" s="885"/>
      <c r="J309" s="885"/>
      <c r="K309" s="885"/>
      <c r="L309" s="885"/>
      <c r="M309" s="885"/>
      <c r="N309" s="885"/>
      <c r="O309" s="885"/>
      <c r="P309" s="885"/>
      <c r="Q309" s="885"/>
      <c r="R309" s="885"/>
      <c r="S309" s="885"/>
      <c r="T309" s="885"/>
      <c r="U309" s="885"/>
      <c r="V309" s="885"/>
      <c r="W309" s="885"/>
      <c r="X309" s="885"/>
      <c r="Y309" s="885"/>
      <c r="Z309" s="885"/>
      <c r="AA309" s="885"/>
      <c r="AB309" s="885"/>
      <c r="AC309" s="885"/>
    </row>
    <row r="310" spans="1:29" ht="15.75" customHeight="1" x14ac:dyDescent="0.2">
      <c r="A310" s="885"/>
      <c r="B310" s="885"/>
      <c r="C310" s="885"/>
      <c r="D310" s="885"/>
      <c r="E310" s="885"/>
      <c r="F310" s="885"/>
      <c r="G310" s="885"/>
      <c r="H310" s="885"/>
      <c r="I310" s="885"/>
      <c r="J310" s="885"/>
      <c r="K310" s="885"/>
      <c r="L310" s="885"/>
      <c r="M310" s="885"/>
      <c r="N310" s="885"/>
      <c r="O310" s="885"/>
      <c r="P310" s="885"/>
      <c r="Q310" s="885"/>
      <c r="R310" s="885"/>
      <c r="S310" s="885"/>
      <c r="T310" s="885"/>
      <c r="U310" s="885"/>
      <c r="V310" s="885"/>
      <c r="W310" s="885"/>
      <c r="X310" s="885"/>
      <c r="Y310" s="885"/>
      <c r="Z310" s="885"/>
      <c r="AA310" s="885"/>
      <c r="AB310" s="885"/>
      <c r="AC310" s="885"/>
    </row>
    <row r="311" spans="1:29" ht="15.75" customHeight="1" x14ac:dyDescent="0.2">
      <c r="A311" s="885"/>
      <c r="B311" s="885"/>
      <c r="C311" s="885"/>
      <c r="D311" s="885"/>
      <c r="E311" s="885"/>
      <c r="F311" s="885"/>
      <c r="G311" s="885"/>
      <c r="H311" s="885"/>
      <c r="I311" s="885"/>
      <c r="J311" s="885"/>
      <c r="K311" s="885"/>
      <c r="L311" s="885"/>
      <c r="M311" s="885"/>
      <c r="N311" s="885"/>
      <c r="O311" s="885"/>
      <c r="P311" s="885"/>
      <c r="Q311" s="885"/>
      <c r="R311" s="885"/>
      <c r="S311" s="885"/>
      <c r="T311" s="885"/>
      <c r="U311" s="885"/>
      <c r="V311" s="885"/>
      <c r="W311" s="885"/>
      <c r="X311" s="885"/>
      <c r="Y311" s="885"/>
      <c r="Z311" s="885"/>
      <c r="AA311" s="885"/>
      <c r="AB311" s="885"/>
      <c r="AC311" s="885"/>
    </row>
    <row r="312" spans="1:29" ht="15.75" customHeight="1" x14ac:dyDescent="0.2">
      <c r="A312" s="885"/>
      <c r="B312" s="885"/>
      <c r="C312" s="885"/>
      <c r="D312" s="885"/>
      <c r="E312" s="885"/>
      <c r="F312" s="885"/>
      <c r="G312" s="885"/>
      <c r="H312" s="885"/>
      <c r="I312" s="885"/>
      <c r="J312" s="885"/>
      <c r="K312" s="885"/>
      <c r="L312" s="885"/>
      <c r="M312" s="885"/>
      <c r="N312" s="885"/>
      <c r="O312" s="885"/>
      <c r="P312" s="885"/>
      <c r="Q312" s="885"/>
      <c r="R312" s="885"/>
      <c r="S312" s="885"/>
      <c r="T312" s="885"/>
      <c r="U312" s="885"/>
      <c r="V312" s="885"/>
      <c r="W312" s="885"/>
      <c r="X312" s="885"/>
      <c r="Y312" s="885"/>
      <c r="Z312" s="885"/>
      <c r="AA312" s="885"/>
      <c r="AB312" s="885"/>
      <c r="AC312" s="885"/>
    </row>
    <row r="313" spans="1:29" ht="15.75" customHeight="1" x14ac:dyDescent="0.2">
      <c r="A313" s="885"/>
      <c r="B313" s="885"/>
      <c r="C313" s="885"/>
      <c r="D313" s="885"/>
      <c r="E313" s="885"/>
      <c r="F313" s="885"/>
      <c r="G313" s="885"/>
      <c r="H313" s="885"/>
      <c r="I313" s="885"/>
      <c r="J313" s="885"/>
      <c r="K313" s="885"/>
      <c r="L313" s="885"/>
      <c r="M313" s="885"/>
      <c r="N313" s="885"/>
      <c r="O313" s="885"/>
      <c r="P313" s="885"/>
      <c r="Q313" s="885"/>
      <c r="R313" s="885"/>
      <c r="S313" s="885"/>
      <c r="T313" s="885"/>
      <c r="U313" s="885"/>
      <c r="V313" s="885"/>
      <c r="W313" s="885"/>
      <c r="X313" s="885"/>
      <c r="Y313" s="885"/>
      <c r="Z313" s="885"/>
      <c r="AA313" s="885"/>
      <c r="AB313" s="885"/>
      <c r="AC313" s="885"/>
    </row>
    <row r="314" spans="1:29" ht="15.75" customHeight="1" x14ac:dyDescent="0.2">
      <c r="A314" s="885"/>
      <c r="B314" s="885"/>
      <c r="C314" s="885"/>
      <c r="D314" s="885"/>
      <c r="E314" s="885"/>
      <c r="F314" s="885"/>
      <c r="G314" s="885"/>
      <c r="H314" s="885"/>
      <c r="I314" s="885"/>
      <c r="J314" s="885"/>
      <c r="K314" s="885"/>
      <c r="L314" s="885"/>
      <c r="M314" s="885"/>
      <c r="N314" s="885"/>
      <c r="O314" s="885"/>
      <c r="P314" s="885"/>
      <c r="Q314" s="885"/>
      <c r="R314" s="885"/>
      <c r="S314" s="885"/>
      <c r="T314" s="885"/>
      <c r="U314" s="885"/>
      <c r="V314" s="885"/>
      <c r="W314" s="885"/>
      <c r="X314" s="885"/>
      <c r="Y314" s="885"/>
      <c r="Z314" s="885"/>
      <c r="AA314" s="885"/>
      <c r="AB314" s="885"/>
      <c r="AC314" s="885"/>
    </row>
    <row r="315" spans="1:29" ht="15.75" customHeight="1" x14ac:dyDescent="0.2">
      <c r="A315" s="885"/>
      <c r="B315" s="885"/>
      <c r="C315" s="885"/>
      <c r="D315" s="885"/>
      <c r="E315" s="885"/>
      <c r="F315" s="885"/>
      <c r="G315" s="885"/>
      <c r="H315" s="885"/>
      <c r="I315" s="885"/>
      <c r="J315" s="885"/>
      <c r="K315" s="885"/>
      <c r="L315" s="885"/>
      <c r="M315" s="885"/>
      <c r="N315" s="885"/>
      <c r="O315" s="885"/>
      <c r="P315" s="885"/>
      <c r="Q315" s="885"/>
      <c r="R315" s="885"/>
      <c r="S315" s="885"/>
      <c r="T315" s="885"/>
      <c r="U315" s="885"/>
      <c r="V315" s="885"/>
      <c r="W315" s="885"/>
      <c r="X315" s="885"/>
      <c r="Y315" s="885"/>
      <c r="Z315" s="885"/>
      <c r="AA315" s="885"/>
      <c r="AB315" s="885"/>
      <c r="AC315" s="885"/>
    </row>
    <row r="316" spans="1:29" ht="15.75" customHeight="1" x14ac:dyDescent="0.2">
      <c r="A316" s="885"/>
      <c r="B316" s="885"/>
      <c r="C316" s="885"/>
      <c r="D316" s="885"/>
      <c r="E316" s="885"/>
      <c r="F316" s="885"/>
      <c r="G316" s="885"/>
      <c r="H316" s="885"/>
      <c r="I316" s="885"/>
      <c r="J316" s="885"/>
      <c r="K316" s="885"/>
      <c r="L316" s="885"/>
      <c r="M316" s="885"/>
      <c r="N316" s="885"/>
      <c r="O316" s="885"/>
      <c r="P316" s="885"/>
      <c r="Q316" s="885"/>
      <c r="R316" s="885"/>
      <c r="S316" s="885"/>
      <c r="T316" s="885"/>
      <c r="U316" s="885"/>
      <c r="V316" s="885"/>
      <c r="W316" s="885"/>
      <c r="X316" s="885"/>
      <c r="Y316" s="885"/>
      <c r="Z316" s="885"/>
      <c r="AA316" s="885"/>
      <c r="AB316" s="885"/>
      <c r="AC316" s="885"/>
    </row>
    <row r="317" spans="1:29" ht="15.75" customHeight="1" x14ac:dyDescent="0.2">
      <c r="A317" s="885"/>
      <c r="B317" s="885"/>
      <c r="C317" s="885"/>
      <c r="D317" s="885"/>
      <c r="E317" s="885"/>
      <c r="F317" s="885"/>
      <c r="G317" s="885"/>
      <c r="H317" s="885"/>
      <c r="I317" s="885"/>
      <c r="J317" s="885"/>
      <c r="K317" s="885"/>
      <c r="L317" s="885"/>
      <c r="M317" s="885"/>
      <c r="N317" s="885"/>
      <c r="O317" s="885"/>
      <c r="P317" s="885"/>
      <c r="Q317" s="885"/>
      <c r="R317" s="885"/>
      <c r="S317" s="885"/>
      <c r="T317" s="885"/>
      <c r="U317" s="885"/>
      <c r="V317" s="885"/>
      <c r="W317" s="885"/>
      <c r="X317" s="885"/>
      <c r="Y317" s="885"/>
      <c r="Z317" s="885"/>
      <c r="AA317" s="885"/>
      <c r="AB317" s="885"/>
      <c r="AC317" s="885"/>
    </row>
    <row r="318" spans="1:29" ht="15.75" customHeight="1" x14ac:dyDescent="0.2">
      <c r="A318" s="885"/>
      <c r="B318" s="885"/>
      <c r="C318" s="885"/>
      <c r="D318" s="885"/>
      <c r="E318" s="885"/>
      <c r="F318" s="885"/>
      <c r="G318" s="885"/>
      <c r="H318" s="885"/>
      <c r="I318" s="885"/>
      <c r="J318" s="885"/>
      <c r="K318" s="885"/>
      <c r="L318" s="885"/>
      <c r="M318" s="885"/>
      <c r="N318" s="885"/>
      <c r="O318" s="885"/>
      <c r="P318" s="885"/>
      <c r="Q318" s="885"/>
      <c r="R318" s="885"/>
      <c r="S318" s="885"/>
      <c r="T318" s="885"/>
      <c r="U318" s="885"/>
      <c r="V318" s="885"/>
      <c r="W318" s="885"/>
      <c r="X318" s="885"/>
      <c r="Y318" s="885"/>
      <c r="Z318" s="885"/>
      <c r="AA318" s="885"/>
      <c r="AB318" s="885"/>
      <c r="AC318" s="885"/>
    </row>
    <row r="319" spans="1:29" ht="15.75" customHeight="1" x14ac:dyDescent="0.2">
      <c r="A319" s="885"/>
      <c r="B319" s="885"/>
      <c r="C319" s="885"/>
      <c r="D319" s="885"/>
      <c r="E319" s="885"/>
      <c r="F319" s="885"/>
      <c r="G319" s="885"/>
      <c r="H319" s="885"/>
      <c r="I319" s="885"/>
      <c r="J319" s="885"/>
      <c r="K319" s="885"/>
      <c r="L319" s="885"/>
      <c r="M319" s="885"/>
      <c r="N319" s="885"/>
      <c r="O319" s="885"/>
      <c r="P319" s="885"/>
      <c r="Q319" s="885"/>
      <c r="R319" s="885"/>
      <c r="S319" s="885"/>
      <c r="T319" s="885"/>
      <c r="U319" s="885"/>
      <c r="V319" s="885"/>
      <c r="W319" s="885"/>
      <c r="X319" s="885"/>
      <c r="Y319" s="885"/>
      <c r="Z319" s="885"/>
      <c r="AA319" s="885"/>
      <c r="AB319" s="885"/>
      <c r="AC319" s="885"/>
    </row>
    <row r="320" spans="1:29" ht="15.75" customHeight="1" x14ac:dyDescent="0.2">
      <c r="A320" s="885"/>
      <c r="B320" s="885"/>
      <c r="C320" s="885"/>
      <c r="D320" s="885"/>
      <c r="E320" s="885"/>
      <c r="F320" s="885"/>
      <c r="G320" s="885"/>
      <c r="H320" s="885"/>
      <c r="I320" s="885"/>
      <c r="J320" s="885"/>
      <c r="K320" s="885"/>
      <c r="L320" s="885"/>
      <c r="M320" s="885"/>
      <c r="N320" s="885"/>
      <c r="O320" s="885"/>
      <c r="P320" s="885"/>
      <c r="Q320" s="885"/>
      <c r="R320" s="885"/>
      <c r="S320" s="885"/>
      <c r="T320" s="885"/>
      <c r="U320" s="885"/>
      <c r="V320" s="885"/>
      <c r="W320" s="885"/>
      <c r="X320" s="885"/>
      <c r="Y320" s="885"/>
      <c r="Z320" s="885"/>
      <c r="AA320" s="885"/>
      <c r="AB320" s="885"/>
      <c r="AC320" s="885"/>
    </row>
    <row r="321" spans="1:29" ht="15.75" customHeight="1" x14ac:dyDescent="0.2">
      <c r="A321" s="885"/>
      <c r="B321" s="885"/>
      <c r="C321" s="885"/>
      <c r="D321" s="885"/>
      <c r="E321" s="885"/>
      <c r="F321" s="885"/>
      <c r="G321" s="885"/>
      <c r="H321" s="885"/>
      <c r="I321" s="885"/>
      <c r="J321" s="885"/>
      <c r="K321" s="885"/>
      <c r="L321" s="885"/>
      <c r="M321" s="885"/>
      <c r="N321" s="885"/>
      <c r="O321" s="885"/>
      <c r="P321" s="885"/>
      <c r="Q321" s="885"/>
      <c r="R321" s="885"/>
      <c r="S321" s="885"/>
      <c r="T321" s="885"/>
      <c r="U321" s="885"/>
      <c r="V321" s="885"/>
      <c r="W321" s="885"/>
      <c r="X321" s="885"/>
      <c r="Y321" s="885"/>
      <c r="Z321" s="885"/>
      <c r="AA321" s="885"/>
      <c r="AB321" s="885"/>
      <c r="AC321" s="885"/>
    </row>
    <row r="322" spans="1:29" ht="15.75" customHeight="1" x14ac:dyDescent="0.2">
      <c r="A322" s="885"/>
      <c r="B322" s="885"/>
      <c r="C322" s="885"/>
      <c r="D322" s="885"/>
      <c r="E322" s="885"/>
      <c r="F322" s="885"/>
      <c r="G322" s="885"/>
      <c r="H322" s="885"/>
      <c r="I322" s="885"/>
      <c r="J322" s="885"/>
      <c r="K322" s="885"/>
      <c r="L322" s="885"/>
      <c r="M322" s="885"/>
      <c r="N322" s="885"/>
      <c r="O322" s="885"/>
      <c r="P322" s="885"/>
      <c r="Q322" s="885"/>
      <c r="R322" s="885"/>
      <c r="S322" s="885"/>
      <c r="T322" s="885"/>
      <c r="U322" s="885"/>
      <c r="V322" s="885"/>
      <c r="W322" s="885"/>
      <c r="X322" s="885"/>
      <c r="Y322" s="885"/>
      <c r="Z322" s="885"/>
      <c r="AA322" s="885"/>
      <c r="AB322" s="885"/>
      <c r="AC322" s="885"/>
    </row>
    <row r="323" spans="1:29" ht="15.75" customHeight="1" x14ac:dyDescent="0.2">
      <c r="A323" s="885"/>
      <c r="B323" s="885"/>
      <c r="C323" s="885"/>
      <c r="D323" s="885"/>
      <c r="E323" s="885"/>
      <c r="F323" s="885"/>
      <c r="G323" s="885"/>
      <c r="H323" s="885"/>
      <c r="I323" s="885"/>
      <c r="J323" s="885"/>
      <c r="K323" s="885"/>
      <c r="L323" s="885"/>
      <c r="M323" s="885"/>
      <c r="N323" s="885"/>
      <c r="O323" s="885"/>
      <c r="P323" s="885"/>
      <c r="Q323" s="885"/>
      <c r="R323" s="885"/>
      <c r="S323" s="885"/>
      <c r="T323" s="885"/>
      <c r="U323" s="885"/>
      <c r="V323" s="885"/>
      <c r="W323" s="885"/>
      <c r="X323" s="885"/>
      <c r="Y323" s="885"/>
      <c r="Z323" s="885"/>
      <c r="AA323" s="885"/>
      <c r="AB323" s="885"/>
      <c r="AC323" s="885"/>
    </row>
    <row r="324" spans="1:29" ht="15.75" customHeight="1" x14ac:dyDescent="0.2">
      <c r="A324" s="885"/>
      <c r="B324" s="885"/>
      <c r="C324" s="885"/>
      <c r="D324" s="885"/>
      <c r="E324" s="885"/>
      <c r="F324" s="885"/>
      <c r="G324" s="885"/>
      <c r="H324" s="885"/>
      <c r="I324" s="885"/>
      <c r="J324" s="885"/>
      <c r="K324" s="885"/>
      <c r="L324" s="885"/>
      <c r="M324" s="885"/>
      <c r="N324" s="885"/>
      <c r="O324" s="885"/>
      <c r="P324" s="885"/>
      <c r="Q324" s="885"/>
      <c r="R324" s="885"/>
      <c r="S324" s="885"/>
      <c r="T324" s="885"/>
      <c r="U324" s="885"/>
      <c r="V324" s="885"/>
      <c r="W324" s="885"/>
      <c r="X324" s="885"/>
      <c r="Y324" s="885"/>
      <c r="Z324" s="885"/>
      <c r="AA324" s="885"/>
      <c r="AB324" s="885"/>
      <c r="AC324" s="885"/>
    </row>
    <row r="325" spans="1:29" ht="15.75" customHeight="1" x14ac:dyDescent="0.2">
      <c r="A325" s="885"/>
      <c r="B325" s="885"/>
      <c r="C325" s="885"/>
      <c r="D325" s="885"/>
      <c r="E325" s="885"/>
      <c r="F325" s="885"/>
      <c r="G325" s="885"/>
      <c r="H325" s="885"/>
      <c r="I325" s="885"/>
      <c r="J325" s="885"/>
      <c r="K325" s="885"/>
      <c r="L325" s="885"/>
      <c r="M325" s="885"/>
      <c r="N325" s="885"/>
      <c r="O325" s="885"/>
      <c r="P325" s="885"/>
      <c r="Q325" s="885"/>
      <c r="R325" s="885"/>
      <c r="S325" s="885"/>
      <c r="T325" s="885"/>
      <c r="U325" s="885"/>
      <c r="V325" s="885"/>
      <c r="W325" s="885"/>
      <c r="X325" s="885"/>
      <c r="Y325" s="885"/>
      <c r="Z325" s="885"/>
      <c r="AA325" s="885"/>
      <c r="AB325" s="885"/>
      <c r="AC325" s="885"/>
    </row>
    <row r="326" spans="1:29" ht="15.75" customHeight="1" x14ac:dyDescent="0.2">
      <c r="A326" s="885"/>
      <c r="B326" s="885"/>
      <c r="C326" s="885"/>
      <c r="D326" s="885"/>
      <c r="E326" s="885"/>
      <c r="F326" s="885"/>
      <c r="G326" s="885"/>
      <c r="H326" s="885"/>
      <c r="I326" s="885"/>
      <c r="J326" s="885"/>
      <c r="K326" s="885"/>
      <c r="L326" s="885"/>
      <c r="M326" s="885"/>
      <c r="N326" s="885"/>
      <c r="O326" s="885"/>
      <c r="P326" s="885"/>
      <c r="Q326" s="885"/>
      <c r="R326" s="885"/>
      <c r="S326" s="885"/>
      <c r="T326" s="885"/>
      <c r="U326" s="885"/>
      <c r="V326" s="885"/>
      <c r="W326" s="885"/>
      <c r="X326" s="885"/>
      <c r="Y326" s="885"/>
      <c r="Z326" s="885"/>
      <c r="AA326" s="885"/>
      <c r="AB326" s="885"/>
      <c r="AC326" s="885"/>
    </row>
    <row r="327" spans="1:29" ht="15.75" customHeight="1" x14ac:dyDescent="0.2">
      <c r="A327" s="885"/>
      <c r="B327" s="885"/>
      <c r="C327" s="885"/>
      <c r="D327" s="885"/>
      <c r="E327" s="885"/>
      <c r="F327" s="885"/>
      <c r="G327" s="885"/>
      <c r="H327" s="885"/>
      <c r="I327" s="885"/>
      <c r="J327" s="885"/>
      <c r="K327" s="885"/>
      <c r="L327" s="885"/>
      <c r="M327" s="885"/>
      <c r="N327" s="885"/>
      <c r="O327" s="885"/>
      <c r="P327" s="885"/>
      <c r="Q327" s="885"/>
      <c r="R327" s="885"/>
      <c r="S327" s="885"/>
      <c r="T327" s="885"/>
      <c r="U327" s="885"/>
      <c r="V327" s="885"/>
      <c r="W327" s="885"/>
      <c r="X327" s="885"/>
      <c r="Y327" s="885"/>
      <c r="Z327" s="885"/>
      <c r="AA327" s="885"/>
      <c r="AB327" s="885"/>
      <c r="AC327" s="885"/>
    </row>
    <row r="328" spans="1:29" ht="15.75" customHeight="1" x14ac:dyDescent="0.2">
      <c r="A328" s="885"/>
      <c r="B328" s="885"/>
      <c r="C328" s="885"/>
      <c r="D328" s="885"/>
      <c r="E328" s="885"/>
      <c r="F328" s="885"/>
      <c r="G328" s="885"/>
      <c r="H328" s="885"/>
      <c r="I328" s="885"/>
      <c r="J328" s="885"/>
      <c r="K328" s="885"/>
      <c r="L328" s="885"/>
      <c r="M328" s="885"/>
      <c r="N328" s="885"/>
      <c r="O328" s="885"/>
      <c r="P328" s="885"/>
      <c r="Q328" s="885"/>
      <c r="R328" s="885"/>
      <c r="S328" s="885"/>
      <c r="T328" s="885"/>
      <c r="U328" s="885"/>
      <c r="V328" s="885"/>
      <c r="W328" s="885"/>
      <c r="X328" s="885"/>
      <c r="Y328" s="885"/>
      <c r="Z328" s="885"/>
      <c r="AA328" s="885"/>
      <c r="AB328" s="885"/>
      <c r="AC328" s="885"/>
    </row>
    <row r="329" spans="1:29" ht="15.75" customHeight="1" x14ac:dyDescent="0.2">
      <c r="A329" s="885"/>
      <c r="B329" s="885"/>
      <c r="C329" s="885"/>
      <c r="D329" s="885"/>
      <c r="E329" s="885"/>
      <c r="F329" s="885"/>
      <c r="G329" s="885"/>
      <c r="H329" s="885"/>
      <c r="I329" s="885"/>
      <c r="J329" s="885"/>
      <c r="K329" s="885"/>
      <c r="L329" s="885"/>
      <c r="M329" s="885"/>
      <c r="N329" s="885"/>
      <c r="O329" s="885"/>
      <c r="P329" s="885"/>
      <c r="Q329" s="885"/>
      <c r="R329" s="885"/>
      <c r="S329" s="885"/>
      <c r="T329" s="885"/>
      <c r="U329" s="885"/>
      <c r="V329" s="885"/>
      <c r="W329" s="885"/>
      <c r="X329" s="885"/>
      <c r="Y329" s="885"/>
      <c r="Z329" s="885"/>
      <c r="AA329" s="885"/>
      <c r="AB329" s="885"/>
      <c r="AC329" s="885"/>
    </row>
    <row r="330" spans="1:29" ht="15.75" customHeight="1" x14ac:dyDescent="0.2">
      <c r="A330" s="885"/>
      <c r="B330" s="885"/>
      <c r="C330" s="885"/>
      <c r="D330" s="885"/>
      <c r="E330" s="885"/>
      <c r="F330" s="885"/>
      <c r="G330" s="885"/>
      <c r="H330" s="885"/>
      <c r="I330" s="885"/>
      <c r="J330" s="885"/>
      <c r="K330" s="885"/>
      <c r="L330" s="885"/>
      <c r="M330" s="885"/>
      <c r="N330" s="885"/>
      <c r="O330" s="885"/>
      <c r="P330" s="885"/>
      <c r="Q330" s="885"/>
      <c r="R330" s="885"/>
      <c r="S330" s="885"/>
      <c r="T330" s="885"/>
      <c r="U330" s="885"/>
      <c r="V330" s="885"/>
      <c r="W330" s="885"/>
      <c r="X330" s="885"/>
      <c r="Y330" s="885"/>
      <c r="Z330" s="885"/>
      <c r="AA330" s="885"/>
      <c r="AB330" s="885"/>
      <c r="AC330" s="885"/>
    </row>
    <row r="331" spans="1:29" ht="15.75" customHeight="1" x14ac:dyDescent="0.2">
      <c r="A331" s="885"/>
      <c r="B331" s="885"/>
      <c r="C331" s="885"/>
      <c r="D331" s="885"/>
      <c r="E331" s="885"/>
      <c r="F331" s="885"/>
      <c r="G331" s="885"/>
      <c r="H331" s="885"/>
      <c r="I331" s="885"/>
      <c r="J331" s="885"/>
      <c r="K331" s="885"/>
      <c r="L331" s="885"/>
      <c r="M331" s="885"/>
      <c r="N331" s="885"/>
      <c r="O331" s="885"/>
      <c r="P331" s="885"/>
      <c r="Q331" s="885"/>
      <c r="R331" s="885"/>
      <c r="S331" s="885"/>
      <c r="T331" s="885"/>
      <c r="U331" s="885"/>
      <c r="V331" s="885"/>
      <c r="W331" s="885"/>
      <c r="X331" s="885"/>
      <c r="Y331" s="885"/>
      <c r="Z331" s="885"/>
      <c r="AA331" s="885"/>
      <c r="AB331" s="885"/>
      <c r="AC331" s="885"/>
    </row>
    <row r="332" spans="1:29" ht="15.75" customHeight="1" x14ac:dyDescent="0.2">
      <c r="A332" s="885"/>
      <c r="B332" s="885"/>
      <c r="C332" s="885"/>
      <c r="D332" s="885"/>
      <c r="E332" s="885"/>
      <c r="F332" s="885"/>
      <c r="G332" s="885"/>
      <c r="H332" s="885"/>
      <c r="I332" s="885"/>
      <c r="J332" s="885"/>
      <c r="K332" s="885"/>
      <c r="L332" s="885"/>
      <c r="M332" s="885"/>
      <c r="N332" s="885"/>
      <c r="O332" s="885"/>
      <c r="P332" s="885"/>
      <c r="Q332" s="885"/>
      <c r="R332" s="885"/>
      <c r="S332" s="885"/>
      <c r="T332" s="885"/>
      <c r="U332" s="885"/>
      <c r="V332" s="885"/>
      <c r="W332" s="885"/>
      <c r="X332" s="885"/>
      <c r="Y332" s="885"/>
      <c r="Z332" s="885"/>
      <c r="AA332" s="885"/>
      <c r="AB332" s="885"/>
      <c r="AC332" s="885"/>
    </row>
    <row r="333" spans="1:29" ht="15.75" customHeight="1" x14ac:dyDescent="0.2">
      <c r="A333" s="885"/>
      <c r="B333" s="885"/>
      <c r="C333" s="885"/>
      <c r="D333" s="885"/>
      <c r="E333" s="885"/>
      <c r="F333" s="885"/>
      <c r="G333" s="885"/>
      <c r="H333" s="885"/>
      <c r="I333" s="885"/>
      <c r="J333" s="885"/>
      <c r="K333" s="885"/>
      <c r="L333" s="885"/>
      <c r="M333" s="885"/>
      <c r="N333" s="885"/>
      <c r="O333" s="885"/>
      <c r="P333" s="885"/>
      <c r="Q333" s="885"/>
      <c r="R333" s="885"/>
      <c r="S333" s="885"/>
      <c r="T333" s="885"/>
      <c r="U333" s="885"/>
      <c r="V333" s="885"/>
      <c r="W333" s="885"/>
      <c r="X333" s="885"/>
      <c r="Y333" s="885"/>
      <c r="Z333" s="885"/>
      <c r="AA333" s="885"/>
      <c r="AB333" s="885"/>
      <c r="AC333" s="885"/>
    </row>
    <row r="334" spans="1:29" ht="15.75" customHeight="1" x14ac:dyDescent="0.2">
      <c r="A334" s="885"/>
      <c r="B334" s="885"/>
      <c r="C334" s="885"/>
      <c r="D334" s="885"/>
      <c r="E334" s="885"/>
      <c r="F334" s="885"/>
      <c r="G334" s="885"/>
      <c r="H334" s="885"/>
      <c r="I334" s="885"/>
      <c r="J334" s="885"/>
      <c r="K334" s="885"/>
      <c r="L334" s="885"/>
      <c r="M334" s="885"/>
      <c r="N334" s="885"/>
      <c r="O334" s="885"/>
      <c r="P334" s="885"/>
      <c r="Q334" s="885"/>
      <c r="R334" s="885"/>
      <c r="S334" s="885"/>
      <c r="T334" s="885"/>
      <c r="U334" s="885"/>
      <c r="V334" s="885"/>
      <c r="W334" s="885"/>
      <c r="X334" s="885"/>
      <c r="Y334" s="885"/>
      <c r="Z334" s="885"/>
      <c r="AA334" s="885"/>
      <c r="AB334" s="885"/>
      <c r="AC334" s="885"/>
    </row>
    <row r="335" spans="1:29" ht="15.75" customHeight="1" x14ac:dyDescent="0.2">
      <c r="A335" s="885"/>
      <c r="B335" s="885"/>
      <c r="C335" s="885"/>
      <c r="D335" s="885"/>
      <c r="E335" s="885"/>
      <c r="F335" s="885"/>
      <c r="G335" s="885"/>
      <c r="H335" s="885"/>
      <c r="I335" s="885"/>
      <c r="J335" s="885"/>
      <c r="K335" s="885"/>
      <c r="L335" s="885"/>
      <c r="M335" s="885"/>
      <c r="N335" s="885"/>
      <c r="O335" s="885"/>
      <c r="P335" s="885"/>
      <c r="Q335" s="885"/>
      <c r="R335" s="885"/>
      <c r="S335" s="885"/>
      <c r="T335" s="885"/>
      <c r="U335" s="885"/>
      <c r="V335" s="885"/>
      <c r="W335" s="885"/>
      <c r="X335" s="885"/>
      <c r="Y335" s="885"/>
      <c r="Z335" s="885"/>
      <c r="AA335" s="885"/>
      <c r="AB335" s="885"/>
      <c r="AC335" s="885"/>
    </row>
    <row r="336" spans="1:29" ht="15.75" customHeight="1" x14ac:dyDescent="0.2">
      <c r="A336" s="885"/>
      <c r="B336" s="885"/>
      <c r="C336" s="885"/>
      <c r="D336" s="885"/>
      <c r="E336" s="885"/>
      <c r="F336" s="885"/>
      <c r="G336" s="885"/>
      <c r="H336" s="885"/>
      <c r="I336" s="885"/>
      <c r="J336" s="885"/>
      <c r="K336" s="885"/>
      <c r="L336" s="885"/>
      <c r="M336" s="885"/>
      <c r="N336" s="885"/>
      <c r="O336" s="885"/>
      <c r="P336" s="885"/>
      <c r="Q336" s="885"/>
      <c r="R336" s="885"/>
      <c r="S336" s="885"/>
      <c r="T336" s="885"/>
      <c r="U336" s="885"/>
      <c r="V336" s="885"/>
      <c r="W336" s="885"/>
      <c r="X336" s="885"/>
      <c r="Y336" s="885"/>
      <c r="Z336" s="885"/>
      <c r="AA336" s="885"/>
      <c r="AB336" s="885"/>
      <c r="AC336" s="885"/>
    </row>
    <row r="337" spans="1:29" ht="15.75" customHeight="1" x14ac:dyDescent="0.2">
      <c r="A337" s="885"/>
      <c r="B337" s="885"/>
      <c r="C337" s="885"/>
      <c r="D337" s="885"/>
      <c r="E337" s="885"/>
      <c r="F337" s="885"/>
      <c r="G337" s="885"/>
      <c r="H337" s="885"/>
      <c r="I337" s="885"/>
      <c r="J337" s="885"/>
      <c r="K337" s="885"/>
      <c r="L337" s="885"/>
      <c r="M337" s="885"/>
      <c r="N337" s="885"/>
      <c r="O337" s="885"/>
      <c r="P337" s="885"/>
      <c r="Q337" s="885"/>
      <c r="R337" s="885"/>
      <c r="S337" s="885"/>
      <c r="T337" s="885"/>
      <c r="U337" s="885"/>
      <c r="V337" s="885"/>
      <c r="W337" s="885"/>
      <c r="X337" s="885"/>
      <c r="Y337" s="885"/>
      <c r="Z337" s="885"/>
      <c r="AA337" s="885"/>
      <c r="AB337" s="885"/>
      <c r="AC337" s="885"/>
    </row>
    <row r="338" spans="1:29" ht="15.75" customHeight="1" x14ac:dyDescent="0.2">
      <c r="A338" s="885"/>
      <c r="B338" s="885"/>
      <c r="C338" s="885"/>
      <c r="D338" s="885"/>
      <c r="E338" s="885"/>
      <c r="F338" s="885"/>
      <c r="G338" s="885"/>
      <c r="H338" s="885"/>
      <c r="I338" s="885"/>
      <c r="J338" s="885"/>
      <c r="K338" s="885"/>
      <c r="L338" s="885"/>
      <c r="M338" s="885"/>
      <c r="N338" s="885"/>
      <c r="O338" s="885"/>
      <c r="P338" s="885"/>
      <c r="Q338" s="885"/>
      <c r="R338" s="885"/>
      <c r="S338" s="885"/>
      <c r="T338" s="885"/>
      <c r="U338" s="885"/>
      <c r="V338" s="885"/>
      <c r="W338" s="885"/>
      <c r="X338" s="885"/>
      <c r="Y338" s="885"/>
      <c r="Z338" s="885"/>
      <c r="AA338" s="885"/>
      <c r="AB338" s="885"/>
      <c r="AC338" s="885"/>
    </row>
    <row r="339" spans="1:29" ht="15.75" customHeight="1" x14ac:dyDescent="0.2">
      <c r="A339" s="885"/>
      <c r="B339" s="885"/>
      <c r="C339" s="885"/>
      <c r="D339" s="885"/>
      <c r="E339" s="885"/>
      <c r="F339" s="885"/>
      <c r="G339" s="885"/>
      <c r="H339" s="885"/>
      <c r="I339" s="885"/>
      <c r="J339" s="885"/>
      <c r="K339" s="885"/>
      <c r="L339" s="885"/>
      <c r="M339" s="885"/>
      <c r="N339" s="885"/>
      <c r="O339" s="885"/>
      <c r="P339" s="885"/>
      <c r="Q339" s="885"/>
      <c r="R339" s="885"/>
      <c r="S339" s="885"/>
      <c r="T339" s="885"/>
      <c r="U339" s="885"/>
      <c r="V339" s="885"/>
      <c r="W339" s="885"/>
      <c r="X339" s="885"/>
      <c r="Y339" s="885"/>
      <c r="Z339" s="885"/>
      <c r="AA339" s="885"/>
      <c r="AB339" s="885"/>
      <c r="AC339" s="885"/>
    </row>
    <row r="340" spans="1:29" ht="15.75" customHeight="1" x14ac:dyDescent="0.2">
      <c r="A340" s="885"/>
      <c r="B340" s="885"/>
      <c r="C340" s="885"/>
      <c r="D340" s="885"/>
      <c r="E340" s="885"/>
      <c r="F340" s="885"/>
      <c r="G340" s="885"/>
      <c r="H340" s="885"/>
      <c r="I340" s="885"/>
      <c r="J340" s="885"/>
      <c r="K340" s="885"/>
      <c r="L340" s="885"/>
      <c r="M340" s="885"/>
      <c r="N340" s="885"/>
      <c r="O340" s="885"/>
      <c r="P340" s="885"/>
      <c r="Q340" s="885"/>
      <c r="R340" s="885"/>
      <c r="S340" s="885"/>
      <c r="T340" s="885"/>
      <c r="U340" s="885"/>
      <c r="V340" s="885"/>
      <c r="W340" s="885"/>
      <c r="X340" s="885"/>
      <c r="Y340" s="885"/>
      <c r="Z340" s="885"/>
      <c r="AA340" s="885"/>
      <c r="AB340" s="885"/>
      <c r="AC340" s="885"/>
    </row>
    <row r="341" spans="1:29" ht="15.75" customHeight="1" x14ac:dyDescent="0.2">
      <c r="A341" s="885"/>
      <c r="B341" s="885"/>
      <c r="C341" s="885"/>
      <c r="D341" s="885"/>
      <c r="E341" s="885"/>
      <c r="F341" s="885"/>
      <c r="G341" s="885"/>
      <c r="H341" s="885"/>
      <c r="I341" s="885"/>
      <c r="J341" s="885"/>
      <c r="K341" s="885"/>
      <c r="L341" s="885"/>
      <c r="M341" s="885"/>
      <c r="N341" s="885"/>
      <c r="O341" s="885"/>
      <c r="P341" s="885"/>
      <c r="Q341" s="885"/>
      <c r="R341" s="885"/>
      <c r="S341" s="885"/>
      <c r="T341" s="885"/>
      <c r="U341" s="885"/>
      <c r="V341" s="885"/>
      <c r="W341" s="885"/>
      <c r="X341" s="885"/>
      <c r="Y341" s="885"/>
      <c r="Z341" s="885"/>
      <c r="AA341" s="885"/>
      <c r="AB341" s="885"/>
      <c r="AC341" s="885"/>
    </row>
    <row r="342" spans="1:29" ht="15.75" customHeight="1" x14ac:dyDescent="0.2">
      <c r="A342" s="885"/>
      <c r="B342" s="885"/>
      <c r="C342" s="885"/>
      <c r="D342" s="885"/>
      <c r="E342" s="885"/>
      <c r="F342" s="885"/>
      <c r="G342" s="885"/>
      <c r="H342" s="885"/>
      <c r="I342" s="885"/>
      <c r="J342" s="885"/>
      <c r="K342" s="885"/>
      <c r="L342" s="885"/>
      <c r="M342" s="885"/>
      <c r="N342" s="885"/>
      <c r="O342" s="885"/>
      <c r="P342" s="885"/>
      <c r="Q342" s="885"/>
      <c r="R342" s="885"/>
      <c r="S342" s="885"/>
      <c r="T342" s="885"/>
      <c r="U342" s="885"/>
      <c r="V342" s="885"/>
      <c r="W342" s="885"/>
      <c r="X342" s="885"/>
      <c r="Y342" s="885"/>
      <c r="Z342" s="885"/>
      <c r="AA342" s="885"/>
      <c r="AB342" s="885"/>
      <c r="AC342" s="885"/>
    </row>
    <row r="343" spans="1:29" ht="15.75" customHeight="1" x14ac:dyDescent="0.2">
      <c r="A343" s="885"/>
      <c r="B343" s="885"/>
      <c r="C343" s="885"/>
      <c r="D343" s="885"/>
      <c r="E343" s="885"/>
      <c r="F343" s="885"/>
      <c r="G343" s="885"/>
      <c r="H343" s="885"/>
      <c r="I343" s="885"/>
      <c r="J343" s="885"/>
      <c r="K343" s="885"/>
      <c r="L343" s="885"/>
      <c r="M343" s="885"/>
      <c r="N343" s="885"/>
      <c r="O343" s="885"/>
      <c r="P343" s="885"/>
      <c r="Q343" s="885"/>
      <c r="R343" s="885"/>
      <c r="S343" s="885"/>
      <c r="T343" s="885"/>
      <c r="U343" s="885"/>
      <c r="V343" s="885"/>
      <c r="W343" s="885"/>
      <c r="X343" s="885"/>
      <c r="Y343" s="885"/>
      <c r="Z343" s="885"/>
      <c r="AA343" s="885"/>
      <c r="AB343" s="885"/>
      <c r="AC343" s="885"/>
    </row>
    <row r="344" spans="1:29" ht="15.75" customHeight="1" x14ac:dyDescent="0.2">
      <c r="A344" s="885"/>
      <c r="B344" s="885"/>
      <c r="C344" s="885"/>
      <c r="D344" s="885"/>
      <c r="E344" s="885"/>
      <c r="F344" s="885"/>
      <c r="G344" s="885"/>
      <c r="H344" s="885"/>
      <c r="I344" s="885"/>
      <c r="J344" s="885"/>
      <c r="K344" s="885"/>
      <c r="L344" s="885"/>
      <c r="M344" s="885"/>
      <c r="N344" s="885"/>
      <c r="O344" s="885"/>
      <c r="P344" s="885"/>
      <c r="Q344" s="885"/>
      <c r="R344" s="885"/>
      <c r="S344" s="885"/>
      <c r="T344" s="885"/>
      <c r="U344" s="885"/>
      <c r="V344" s="885"/>
      <c r="W344" s="885"/>
      <c r="X344" s="885"/>
      <c r="Y344" s="885"/>
      <c r="Z344" s="885"/>
      <c r="AA344" s="885"/>
      <c r="AB344" s="885"/>
      <c r="AC344" s="885"/>
    </row>
    <row r="345" spans="1:29" ht="15.75" customHeight="1" x14ac:dyDescent="0.2">
      <c r="A345" s="885"/>
      <c r="B345" s="885"/>
      <c r="C345" s="885"/>
      <c r="D345" s="885"/>
      <c r="E345" s="885"/>
      <c r="F345" s="885"/>
      <c r="G345" s="885"/>
      <c r="H345" s="885"/>
      <c r="I345" s="885"/>
      <c r="J345" s="885"/>
      <c r="K345" s="885"/>
      <c r="L345" s="885"/>
      <c r="M345" s="885"/>
      <c r="N345" s="885"/>
      <c r="O345" s="885"/>
      <c r="P345" s="885"/>
      <c r="Q345" s="885"/>
      <c r="R345" s="885"/>
      <c r="S345" s="885"/>
      <c r="T345" s="885"/>
      <c r="U345" s="885"/>
      <c r="V345" s="885"/>
      <c r="W345" s="885"/>
      <c r="X345" s="885"/>
      <c r="Y345" s="885"/>
      <c r="Z345" s="885"/>
      <c r="AA345" s="885"/>
      <c r="AB345" s="885"/>
      <c r="AC345" s="885"/>
    </row>
    <row r="346" spans="1:29" ht="15.75" customHeight="1" x14ac:dyDescent="0.2">
      <c r="A346" s="885"/>
      <c r="B346" s="885"/>
      <c r="C346" s="885"/>
      <c r="D346" s="885"/>
      <c r="E346" s="885"/>
      <c r="F346" s="885"/>
      <c r="G346" s="885"/>
      <c r="H346" s="885"/>
      <c r="I346" s="885"/>
      <c r="J346" s="885"/>
      <c r="K346" s="885"/>
      <c r="L346" s="885"/>
      <c r="M346" s="885"/>
      <c r="N346" s="885"/>
      <c r="O346" s="885"/>
      <c r="P346" s="885"/>
      <c r="Q346" s="885"/>
      <c r="R346" s="885"/>
      <c r="S346" s="885"/>
      <c r="T346" s="885"/>
      <c r="U346" s="885"/>
      <c r="V346" s="885"/>
      <c r="W346" s="885"/>
      <c r="X346" s="885"/>
      <c r="Y346" s="885"/>
      <c r="Z346" s="885"/>
      <c r="AA346" s="885"/>
      <c r="AB346" s="885"/>
      <c r="AC346" s="885"/>
    </row>
    <row r="347" spans="1:29" ht="15.75" customHeight="1" x14ac:dyDescent="0.2">
      <c r="A347" s="885"/>
      <c r="B347" s="885"/>
      <c r="C347" s="885"/>
      <c r="D347" s="885"/>
      <c r="E347" s="885"/>
      <c r="F347" s="885"/>
      <c r="G347" s="885"/>
      <c r="H347" s="885"/>
      <c r="I347" s="885"/>
      <c r="J347" s="885"/>
      <c r="K347" s="885"/>
      <c r="L347" s="885"/>
      <c r="M347" s="885"/>
      <c r="N347" s="885"/>
      <c r="O347" s="885"/>
      <c r="P347" s="885"/>
      <c r="Q347" s="885"/>
      <c r="R347" s="885"/>
      <c r="S347" s="885"/>
      <c r="T347" s="885"/>
      <c r="U347" s="885"/>
      <c r="V347" s="885"/>
      <c r="W347" s="885"/>
      <c r="X347" s="885"/>
      <c r="Y347" s="885"/>
      <c r="Z347" s="885"/>
      <c r="AA347" s="885"/>
      <c r="AB347" s="885"/>
      <c r="AC347" s="885"/>
    </row>
    <row r="348" spans="1:29" ht="15.75" customHeight="1" x14ac:dyDescent="0.2">
      <c r="A348" s="885"/>
      <c r="B348" s="885"/>
      <c r="C348" s="885"/>
      <c r="D348" s="885"/>
      <c r="E348" s="885"/>
      <c r="F348" s="885"/>
      <c r="G348" s="885"/>
      <c r="H348" s="885"/>
      <c r="I348" s="885"/>
      <c r="J348" s="885"/>
      <c r="K348" s="885"/>
      <c r="L348" s="885"/>
      <c r="M348" s="885"/>
      <c r="N348" s="885"/>
      <c r="O348" s="885"/>
      <c r="P348" s="885"/>
      <c r="Q348" s="885"/>
      <c r="R348" s="885"/>
      <c r="S348" s="885"/>
      <c r="T348" s="885"/>
      <c r="U348" s="885"/>
      <c r="V348" s="885"/>
      <c r="W348" s="885"/>
      <c r="X348" s="885"/>
      <c r="Y348" s="885"/>
      <c r="Z348" s="885"/>
      <c r="AA348" s="885"/>
      <c r="AB348" s="885"/>
      <c r="AC348" s="885"/>
    </row>
    <row r="349" spans="1:29" ht="15.75" customHeight="1" x14ac:dyDescent="0.2">
      <c r="A349" s="885"/>
      <c r="B349" s="885"/>
      <c r="C349" s="885"/>
      <c r="D349" s="885"/>
      <c r="E349" s="885"/>
      <c r="F349" s="885"/>
      <c r="G349" s="885"/>
      <c r="H349" s="885"/>
      <c r="I349" s="885"/>
      <c r="J349" s="885"/>
      <c r="K349" s="885"/>
      <c r="L349" s="885"/>
      <c r="M349" s="885"/>
      <c r="N349" s="885"/>
      <c r="O349" s="885"/>
      <c r="P349" s="885"/>
      <c r="Q349" s="885"/>
      <c r="R349" s="885"/>
      <c r="S349" s="885"/>
      <c r="T349" s="885"/>
      <c r="U349" s="885"/>
      <c r="V349" s="885"/>
      <c r="W349" s="885"/>
      <c r="X349" s="885"/>
      <c r="Y349" s="885"/>
      <c r="Z349" s="885"/>
      <c r="AA349" s="885"/>
      <c r="AB349" s="885"/>
      <c r="AC349" s="885"/>
    </row>
    <row r="350" spans="1:29" ht="15.75" customHeight="1" x14ac:dyDescent="0.2">
      <c r="A350" s="885"/>
      <c r="B350" s="885"/>
      <c r="C350" s="885"/>
      <c r="D350" s="885"/>
      <c r="E350" s="885"/>
      <c r="F350" s="885"/>
      <c r="G350" s="885"/>
      <c r="H350" s="885"/>
      <c r="I350" s="885"/>
      <c r="J350" s="885"/>
      <c r="K350" s="885"/>
      <c r="L350" s="885"/>
      <c r="M350" s="885"/>
      <c r="N350" s="885"/>
      <c r="O350" s="885"/>
      <c r="P350" s="885"/>
      <c r="Q350" s="885"/>
      <c r="R350" s="885"/>
      <c r="S350" s="885"/>
      <c r="T350" s="885"/>
      <c r="U350" s="885"/>
      <c r="V350" s="885"/>
      <c r="W350" s="885"/>
      <c r="X350" s="885"/>
      <c r="Y350" s="885"/>
      <c r="Z350" s="885"/>
      <c r="AA350" s="885"/>
      <c r="AB350" s="885"/>
      <c r="AC350" s="885"/>
    </row>
    <row r="351" spans="1:29" ht="15.75" customHeight="1" x14ac:dyDescent="0.2">
      <c r="A351" s="885"/>
      <c r="B351" s="885"/>
      <c r="C351" s="885"/>
      <c r="D351" s="885"/>
      <c r="E351" s="885"/>
      <c r="F351" s="885"/>
      <c r="G351" s="885"/>
      <c r="H351" s="885"/>
      <c r="I351" s="885"/>
      <c r="J351" s="885"/>
      <c r="K351" s="885"/>
      <c r="L351" s="885"/>
      <c r="M351" s="885"/>
      <c r="N351" s="885"/>
      <c r="O351" s="885"/>
      <c r="P351" s="885"/>
      <c r="Q351" s="885"/>
      <c r="R351" s="885"/>
      <c r="S351" s="885"/>
      <c r="T351" s="885"/>
      <c r="U351" s="885"/>
      <c r="V351" s="885"/>
      <c r="W351" s="885"/>
      <c r="X351" s="885"/>
      <c r="Y351" s="885"/>
      <c r="Z351" s="885"/>
      <c r="AA351" s="885"/>
      <c r="AB351" s="885"/>
      <c r="AC351" s="885"/>
    </row>
    <row r="352" spans="1:29" ht="15.75" customHeight="1" x14ac:dyDescent="0.2">
      <c r="A352" s="885"/>
      <c r="B352" s="885"/>
      <c r="C352" s="885"/>
      <c r="D352" s="885"/>
      <c r="E352" s="885"/>
      <c r="F352" s="885"/>
      <c r="G352" s="885"/>
      <c r="H352" s="885"/>
      <c r="I352" s="885"/>
      <c r="J352" s="885"/>
      <c r="K352" s="885"/>
      <c r="L352" s="885"/>
      <c r="M352" s="885"/>
      <c r="N352" s="885"/>
      <c r="O352" s="885"/>
      <c r="P352" s="885"/>
      <c r="Q352" s="885"/>
      <c r="R352" s="885"/>
      <c r="S352" s="885"/>
      <c r="T352" s="885"/>
      <c r="U352" s="885"/>
      <c r="V352" s="885"/>
      <c r="W352" s="885"/>
      <c r="X352" s="885"/>
      <c r="Y352" s="885"/>
      <c r="Z352" s="885"/>
      <c r="AA352" s="885"/>
      <c r="AB352" s="885"/>
      <c r="AC352" s="885"/>
    </row>
    <row r="353" spans="1:29" ht="15.75" customHeight="1" x14ac:dyDescent="0.2">
      <c r="A353" s="885"/>
      <c r="B353" s="885"/>
      <c r="C353" s="885"/>
      <c r="D353" s="885"/>
      <c r="E353" s="885"/>
      <c r="F353" s="885"/>
      <c r="G353" s="885"/>
      <c r="H353" s="885"/>
      <c r="I353" s="885"/>
      <c r="J353" s="885"/>
      <c r="K353" s="885"/>
      <c r="L353" s="885"/>
      <c r="M353" s="885"/>
      <c r="N353" s="885"/>
      <c r="O353" s="885"/>
      <c r="P353" s="885"/>
      <c r="Q353" s="885"/>
      <c r="R353" s="885"/>
      <c r="S353" s="885"/>
      <c r="T353" s="885"/>
      <c r="U353" s="885"/>
      <c r="V353" s="885"/>
      <c r="W353" s="885"/>
      <c r="X353" s="885"/>
      <c r="Y353" s="885"/>
      <c r="Z353" s="885"/>
      <c r="AA353" s="885"/>
      <c r="AB353" s="885"/>
      <c r="AC353" s="885"/>
    </row>
    <row r="354" spans="1:29" ht="15.75" customHeight="1" x14ac:dyDescent="0.2">
      <c r="A354" s="885"/>
      <c r="B354" s="885"/>
      <c r="C354" s="885"/>
      <c r="D354" s="885"/>
      <c r="E354" s="885"/>
      <c r="F354" s="885"/>
      <c r="G354" s="885"/>
      <c r="H354" s="885"/>
      <c r="I354" s="885"/>
      <c r="J354" s="885"/>
      <c r="K354" s="885"/>
      <c r="L354" s="885"/>
      <c r="M354" s="885"/>
      <c r="N354" s="885"/>
      <c r="O354" s="885"/>
      <c r="P354" s="885"/>
      <c r="Q354" s="885"/>
      <c r="R354" s="885"/>
      <c r="S354" s="885"/>
      <c r="T354" s="885"/>
      <c r="U354" s="885"/>
      <c r="V354" s="885"/>
      <c r="W354" s="885"/>
      <c r="X354" s="885"/>
      <c r="Y354" s="885"/>
      <c r="Z354" s="885"/>
      <c r="AA354" s="885"/>
      <c r="AB354" s="885"/>
      <c r="AC354" s="885"/>
    </row>
    <row r="355" spans="1:29" ht="15.75" customHeight="1" x14ac:dyDescent="0.2">
      <c r="A355" s="885"/>
      <c r="B355" s="885"/>
      <c r="C355" s="885"/>
      <c r="D355" s="885"/>
      <c r="E355" s="885"/>
      <c r="F355" s="885"/>
      <c r="G355" s="885"/>
      <c r="H355" s="885"/>
      <c r="I355" s="885"/>
      <c r="J355" s="885"/>
      <c r="K355" s="885"/>
      <c r="L355" s="885"/>
      <c r="M355" s="885"/>
      <c r="N355" s="885"/>
      <c r="O355" s="885"/>
      <c r="P355" s="885"/>
      <c r="Q355" s="885"/>
      <c r="R355" s="885"/>
      <c r="S355" s="885"/>
      <c r="T355" s="885"/>
      <c r="U355" s="885"/>
      <c r="V355" s="885"/>
      <c r="W355" s="885"/>
      <c r="X355" s="885"/>
      <c r="Y355" s="885"/>
      <c r="Z355" s="885"/>
      <c r="AA355" s="885"/>
      <c r="AB355" s="885"/>
      <c r="AC355" s="885"/>
    </row>
    <row r="356" spans="1:29" ht="15.75" customHeight="1" x14ac:dyDescent="0.2">
      <c r="A356" s="885"/>
      <c r="B356" s="885"/>
      <c r="C356" s="885"/>
      <c r="D356" s="885"/>
      <c r="E356" s="885"/>
      <c r="F356" s="885"/>
      <c r="G356" s="885"/>
      <c r="H356" s="885"/>
      <c r="I356" s="885"/>
      <c r="J356" s="885"/>
      <c r="K356" s="885"/>
      <c r="L356" s="885"/>
      <c r="M356" s="885"/>
      <c r="N356" s="885"/>
      <c r="O356" s="885"/>
      <c r="P356" s="885"/>
      <c r="Q356" s="885"/>
      <c r="R356" s="885"/>
      <c r="S356" s="885"/>
      <c r="T356" s="885"/>
      <c r="U356" s="885"/>
      <c r="V356" s="885"/>
      <c r="W356" s="885"/>
      <c r="X356" s="885"/>
      <c r="Y356" s="885"/>
      <c r="Z356" s="885"/>
      <c r="AA356" s="885"/>
      <c r="AB356" s="885"/>
      <c r="AC356" s="885"/>
    </row>
    <row r="357" spans="1:29" ht="15.75" customHeight="1" x14ac:dyDescent="0.2">
      <c r="A357" s="885"/>
      <c r="B357" s="885"/>
      <c r="C357" s="885"/>
      <c r="D357" s="885"/>
      <c r="E357" s="885"/>
      <c r="F357" s="885"/>
      <c r="G357" s="885"/>
      <c r="H357" s="885"/>
      <c r="I357" s="885"/>
      <c r="J357" s="885"/>
      <c r="K357" s="885"/>
      <c r="L357" s="885"/>
      <c r="M357" s="885"/>
      <c r="N357" s="885"/>
      <c r="O357" s="885"/>
      <c r="P357" s="885"/>
      <c r="Q357" s="885"/>
      <c r="R357" s="885"/>
      <c r="S357" s="885"/>
      <c r="T357" s="885"/>
      <c r="U357" s="885"/>
      <c r="V357" s="885"/>
      <c r="W357" s="885"/>
      <c r="X357" s="885"/>
      <c r="Y357" s="885"/>
      <c r="Z357" s="885"/>
      <c r="AA357" s="885"/>
      <c r="AB357" s="885"/>
      <c r="AC357" s="885"/>
    </row>
    <row r="358" spans="1:29" ht="15.75" customHeight="1" x14ac:dyDescent="0.2">
      <c r="A358" s="885"/>
      <c r="B358" s="885"/>
      <c r="C358" s="885"/>
      <c r="D358" s="885"/>
      <c r="E358" s="885"/>
      <c r="F358" s="885"/>
      <c r="G358" s="885"/>
      <c r="H358" s="885"/>
      <c r="I358" s="885"/>
      <c r="J358" s="885"/>
      <c r="K358" s="885"/>
      <c r="L358" s="885"/>
      <c r="M358" s="885"/>
      <c r="N358" s="885"/>
      <c r="O358" s="885"/>
      <c r="P358" s="885"/>
      <c r="Q358" s="885"/>
      <c r="R358" s="885"/>
      <c r="S358" s="885"/>
      <c r="T358" s="885"/>
      <c r="U358" s="885"/>
      <c r="V358" s="885"/>
      <c r="W358" s="885"/>
      <c r="X358" s="885"/>
      <c r="Y358" s="885"/>
      <c r="Z358" s="885"/>
      <c r="AA358" s="885"/>
      <c r="AB358" s="885"/>
      <c r="AC358" s="885"/>
    </row>
    <row r="359" spans="1:29" ht="15.75" customHeight="1" x14ac:dyDescent="0.2">
      <c r="A359" s="885"/>
      <c r="B359" s="885"/>
      <c r="C359" s="885"/>
      <c r="D359" s="885"/>
      <c r="E359" s="885"/>
      <c r="F359" s="885"/>
      <c r="G359" s="885"/>
      <c r="H359" s="885"/>
      <c r="I359" s="885"/>
      <c r="J359" s="885"/>
      <c r="K359" s="885"/>
      <c r="L359" s="885"/>
      <c r="M359" s="885"/>
      <c r="N359" s="885"/>
      <c r="O359" s="885"/>
      <c r="P359" s="885"/>
      <c r="Q359" s="885"/>
      <c r="R359" s="885"/>
      <c r="S359" s="885"/>
      <c r="T359" s="885"/>
      <c r="U359" s="885"/>
      <c r="V359" s="885"/>
      <c r="W359" s="885"/>
      <c r="X359" s="885"/>
      <c r="Y359" s="885"/>
      <c r="Z359" s="885"/>
      <c r="AA359" s="885"/>
      <c r="AB359" s="885"/>
      <c r="AC359" s="885"/>
    </row>
    <row r="360" spans="1:29" ht="15.75" customHeight="1" x14ac:dyDescent="0.2">
      <c r="A360" s="885"/>
      <c r="B360" s="885"/>
      <c r="C360" s="885"/>
      <c r="D360" s="885"/>
      <c r="E360" s="885"/>
      <c r="F360" s="885"/>
      <c r="G360" s="885"/>
      <c r="H360" s="885"/>
      <c r="I360" s="885"/>
      <c r="J360" s="885"/>
      <c r="K360" s="885"/>
      <c r="L360" s="885"/>
      <c r="M360" s="885"/>
      <c r="N360" s="885"/>
      <c r="O360" s="885"/>
      <c r="P360" s="885"/>
      <c r="Q360" s="885"/>
      <c r="R360" s="885"/>
      <c r="S360" s="885"/>
      <c r="T360" s="885"/>
      <c r="U360" s="885"/>
      <c r="V360" s="885"/>
      <c r="W360" s="885"/>
      <c r="X360" s="885"/>
      <c r="Y360" s="885"/>
      <c r="Z360" s="885"/>
      <c r="AA360" s="885"/>
      <c r="AB360" s="885"/>
      <c r="AC360" s="885"/>
    </row>
    <row r="361" spans="1:29" ht="15.75" customHeight="1" x14ac:dyDescent="0.2">
      <c r="A361" s="885"/>
      <c r="B361" s="885"/>
      <c r="C361" s="885"/>
      <c r="D361" s="885"/>
      <c r="E361" s="885"/>
      <c r="F361" s="885"/>
      <c r="G361" s="885"/>
      <c r="H361" s="885"/>
      <c r="I361" s="885"/>
      <c r="J361" s="885"/>
      <c r="K361" s="885"/>
      <c r="L361" s="885"/>
      <c r="M361" s="885"/>
      <c r="N361" s="885"/>
      <c r="O361" s="885"/>
      <c r="P361" s="885"/>
      <c r="Q361" s="885"/>
      <c r="R361" s="885"/>
      <c r="S361" s="885"/>
      <c r="T361" s="885"/>
      <c r="U361" s="885"/>
      <c r="V361" s="885"/>
      <c r="W361" s="885"/>
      <c r="X361" s="885"/>
      <c r="Y361" s="885"/>
      <c r="Z361" s="885"/>
      <c r="AA361" s="885"/>
      <c r="AB361" s="885"/>
      <c r="AC361" s="885"/>
    </row>
    <row r="362" spans="1:29" ht="15.75" customHeight="1" x14ac:dyDescent="0.2">
      <c r="A362" s="885"/>
      <c r="B362" s="885"/>
      <c r="C362" s="885"/>
      <c r="D362" s="885"/>
      <c r="E362" s="885"/>
      <c r="F362" s="885"/>
      <c r="G362" s="885"/>
      <c r="H362" s="885"/>
      <c r="I362" s="885"/>
      <c r="J362" s="885"/>
      <c r="K362" s="885"/>
      <c r="L362" s="885"/>
      <c r="M362" s="885"/>
      <c r="N362" s="885"/>
      <c r="O362" s="885"/>
      <c r="P362" s="885"/>
      <c r="Q362" s="885"/>
      <c r="R362" s="885"/>
      <c r="S362" s="885"/>
      <c r="T362" s="885"/>
      <c r="U362" s="885"/>
      <c r="V362" s="885"/>
      <c r="W362" s="885"/>
      <c r="X362" s="885"/>
      <c r="Y362" s="885"/>
      <c r="Z362" s="885"/>
      <c r="AA362" s="885"/>
      <c r="AB362" s="885"/>
      <c r="AC362" s="885"/>
    </row>
    <row r="363" spans="1:29" ht="15.75" customHeight="1" x14ac:dyDescent="0.2">
      <c r="A363" s="885"/>
      <c r="B363" s="885"/>
      <c r="C363" s="885"/>
      <c r="D363" s="885"/>
      <c r="E363" s="885"/>
      <c r="F363" s="885"/>
      <c r="G363" s="885"/>
      <c r="H363" s="885"/>
      <c r="I363" s="885"/>
      <c r="J363" s="885"/>
      <c r="K363" s="885"/>
      <c r="L363" s="885"/>
      <c r="M363" s="885"/>
      <c r="N363" s="885"/>
      <c r="O363" s="885"/>
      <c r="P363" s="885"/>
      <c r="Q363" s="885"/>
      <c r="R363" s="885"/>
      <c r="S363" s="885"/>
      <c r="T363" s="885"/>
      <c r="U363" s="885"/>
      <c r="V363" s="885"/>
      <c r="W363" s="885"/>
      <c r="X363" s="885"/>
      <c r="Y363" s="885"/>
      <c r="Z363" s="885"/>
      <c r="AA363" s="885"/>
      <c r="AB363" s="885"/>
      <c r="AC363" s="885"/>
    </row>
    <row r="364" spans="1:29" ht="15.75" customHeight="1" x14ac:dyDescent="0.2">
      <c r="A364" s="885"/>
      <c r="B364" s="885"/>
      <c r="C364" s="885"/>
      <c r="D364" s="885"/>
      <c r="E364" s="885"/>
      <c r="F364" s="885"/>
      <c r="G364" s="885"/>
      <c r="H364" s="885"/>
      <c r="I364" s="885"/>
      <c r="J364" s="885"/>
      <c r="K364" s="885"/>
      <c r="L364" s="885"/>
      <c r="M364" s="885"/>
      <c r="N364" s="885"/>
      <c r="O364" s="885"/>
      <c r="P364" s="885"/>
      <c r="Q364" s="885"/>
      <c r="R364" s="885"/>
      <c r="S364" s="885"/>
      <c r="T364" s="885"/>
      <c r="U364" s="885"/>
      <c r="V364" s="885"/>
      <c r="W364" s="885"/>
      <c r="X364" s="885"/>
      <c r="Y364" s="885"/>
      <c r="Z364" s="885"/>
      <c r="AA364" s="885"/>
      <c r="AB364" s="885"/>
      <c r="AC364" s="885"/>
    </row>
    <row r="365" spans="1:29" ht="15.75" customHeight="1" x14ac:dyDescent="0.2">
      <c r="A365" s="885"/>
      <c r="B365" s="885"/>
      <c r="C365" s="885"/>
      <c r="D365" s="885"/>
      <c r="E365" s="885"/>
      <c r="F365" s="885"/>
      <c r="G365" s="885"/>
      <c r="H365" s="885"/>
      <c r="I365" s="885"/>
      <c r="J365" s="885"/>
      <c r="K365" s="885"/>
      <c r="L365" s="885"/>
      <c r="M365" s="885"/>
      <c r="N365" s="885"/>
      <c r="O365" s="885"/>
      <c r="P365" s="885"/>
      <c r="Q365" s="885"/>
      <c r="R365" s="885"/>
      <c r="S365" s="885"/>
      <c r="T365" s="885"/>
      <c r="U365" s="885"/>
      <c r="V365" s="885"/>
      <c r="W365" s="885"/>
      <c r="X365" s="885"/>
      <c r="Y365" s="885"/>
      <c r="Z365" s="885"/>
      <c r="AA365" s="885"/>
      <c r="AB365" s="885"/>
      <c r="AC365" s="885"/>
    </row>
    <row r="366" spans="1:29" ht="15.75" customHeight="1" x14ac:dyDescent="0.2">
      <c r="A366" s="885"/>
      <c r="B366" s="885"/>
      <c r="C366" s="885"/>
      <c r="D366" s="885"/>
      <c r="E366" s="885"/>
      <c r="F366" s="885"/>
      <c r="G366" s="885"/>
      <c r="H366" s="885"/>
      <c r="I366" s="885"/>
      <c r="J366" s="885"/>
      <c r="K366" s="885"/>
      <c r="L366" s="885"/>
      <c r="M366" s="885"/>
      <c r="N366" s="885"/>
      <c r="O366" s="885"/>
      <c r="P366" s="885"/>
      <c r="Q366" s="885"/>
      <c r="R366" s="885"/>
      <c r="S366" s="885"/>
      <c r="T366" s="885"/>
      <c r="U366" s="885"/>
      <c r="V366" s="885"/>
      <c r="W366" s="885"/>
      <c r="X366" s="885"/>
      <c r="Y366" s="885"/>
      <c r="Z366" s="885"/>
      <c r="AA366" s="885"/>
      <c r="AB366" s="885"/>
      <c r="AC366" s="885"/>
    </row>
    <row r="367" spans="1:29" ht="15.75" customHeight="1" x14ac:dyDescent="0.2">
      <c r="A367" s="885"/>
      <c r="B367" s="885"/>
      <c r="C367" s="885"/>
      <c r="D367" s="885"/>
      <c r="E367" s="885"/>
      <c r="F367" s="885"/>
      <c r="G367" s="885"/>
      <c r="H367" s="885"/>
      <c r="I367" s="885"/>
      <c r="J367" s="885"/>
      <c r="K367" s="885"/>
      <c r="L367" s="885"/>
      <c r="M367" s="885"/>
      <c r="N367" s="885"/>
      <c r="O367" s="885"/>
      <c r="P367" s="885"/>
      <c r="Q367" s="885"/>
      <c r="R367" s="885"/>
      <c r="S367" s="885"/>
      <c r="T367" s="885"/>
      <c r="U367" s="885"/>
      <c r="V367" s="885"/>
      <c r="W367" s="885"/>
      <c r="X367" s="885"/>
      <c r="Y367" s="885"/>
      <c r="Z367" s="885"/>
      <c r="AA367" s="885"/>
      <c r="AB367" s="885"/>
      <c r="AC367" s="885"/>
    </row>
    <row r="368" spans="1:29" ht="15.75" customHeight="1" x14ac:dyDescent="0.2">
      <c r="A368" s="885"/>
      <c r="B368" s="885"/>
      <c r="C368" s="885"/>
      <c r="D368" s="885"/>
      <c r="E368" s="885"/>
      <c r="F368" s="885"/>
      <c r="G368" s="885"/>
      <c r="H368" s="885"/>
      <c r="I368" s="885"/>
      <c r="J368" s="885"/>
      <c r="K368" s="885"/>
      <c r="L368" s="885"/>
      <c r="M368" s="885"/>
      <c r="N368" s="885"/>
      <c r="O368" s="885"/>
      <c r="P368" s="885"/>
      <c r="Q368" s="885"/>
      <c r="R368" s="885"/>
      <c r="S368" s="885"/>
      <c r="T368" s="885"/>
      <c r="U368" s="885"/>
      <c r="V368" s="885"/>
      <c r="W368" s="885"/>
      <c r="X368" s="885"/>
      <c r="Y368" s="885"/>
      <c r="Z368" s="885"/>
      <c r="AA368" s="885"/>
      <c r="AB368" s="885"/>
      <c r="AC368" s="885"/>
    </row>
    <row r="369" spans="1:29" ht="15.75" customHeight="1" x14ac:dyDescent="0.2">
      <c r="A369" s="885"/>
      <c r="B369" s="885"/>
      <c r="C369" s="885"/>
      <c r="D369" s="885"/>
      <c r="E369" s="885"/>
      <c r="F369" s="885"/>
      <c r="G369" s="885"/>
      <c r="H369" s="885"/>
      <c r="I369" s="885"/>
      <c r="J369" s="885"/>
      <c r="K369" s="885"/>
      <c r="L369" s="885"/>
      <c r="M369" s="885"/>
      <c r="N369" s="885"/>
      <c r="O369" s="885"/>
      <c r="P369" s="885"/>
      <c r="Q369" s="885"/>
      <c r="R369" s="885"/>
      <c r="S369" s="885"/>
      <c r="T369" s="885"/>
      <c r="U369" s="885"/>
      <c r="V369" s="885"/>
      <c r="W369" s="885"/>
      <c r="X369" s="885"/>
      <c r="Y369" s="885"/>
      <c r="Z369" s="885"/>
      <c r="AA369" s="885"/>
      <c r="AB369" s="885"/>
      <c r="AC369" s="885"/>
    </row>
    <row r="370" spans="1:29" ht="15.75" customHeight="1" x14ac:dyDescent="0.2">
      <c r="A370" s="885"/>
      <c r="B370" s="885"/>
      <c r="C370" s="885"/>
      <c r="D370" s="885"/>
      <c r="E370" s="885"/>
      <c r="F370" s="885"/>
      <c r="G370" s="885"/>
      <c r="H370" s="885"/>
      <c r="I370" s="885"/>
      <c r="J370" s="885"/>
      <c r="K370" s="885"/>
      <c r="L370" s="885"/>
      <c r="M370" s="885"/>
      <c r="N370" s="885"/>
      <c r="O370" s="885"/>
      <c r="P370" s="885"/>
      <c r="Q370" s="885"/>
      <c r="R370" s="885"/>
      <c r="S370" s="885"/>
      <c r="T370" s="885"/>
      <c r="U370" s="885"/>
      <c r="V370" s="885"/>
      <c r="W370" s="885"/>
      <c r="X370" s="885"/>
      <c r="Y370" s="885"/>
      <c r="Z370" s="885"/>
      <c r="AA370" s="885"/>
      <c r="AB370" s="885"/>
      <c r="AC370" s="885"/>
    </row>
    <row r="371" spans="1:29" ht="15.75" customHeight="1" x14ac:dyDescent="0.2">
      <c r="A371" s="885"/>
      <c r="B371" s="885"/>
      <c r="C371" s="885"/>
      <c r="D371" s="885"/>
      <c r="E371" s="885"/>
      <c r="F371" s="885"/>
      <c r="G371" s="885"/>
      <c r="H371" s="885"/>
      <c r="I371" s="885"/>
      <c r="J371" s="885"/>
      <c r="K371" s="885"/>
      <c r="L371" s="885"/>
      <c r="M371" s="885"/>
      <c r="N371" s="885"/>
      <c r="O371" s="885"/>
      <c r="P371" s="885"/>
      <c r="Q371" s="885"/>
      <c r="R371" s="885"/>
      <c r="S371" s="885"/>
      <c r="T371" s="885"/>
      <c r="U371" s="885"/>
      <c r="V371" s="885"/>
      <c r="W371" s="885"/>
      <c r="X371" s="885"/>
      <c r="Y371" s="885"/>
      <c r="Z371" s="885"/>
      <c r="AA371" s="885"/>
      <c r="AB371" s="885"/>
      <c r="AC371" s="885"/>
    </row>
    <row r="372" spans="1:29" ht="15.75" customHeight="1" x14ac:dyDescent="0.2">
      <c r="A372" s="885"/>
      <c r="B372" s="885"/>
      <c r="C372" s="885"/>
      <c r="D372" s="885"/>
      <c r="E372" s="885"/>
      <c r="F372" s="885"/>
      <c r="G372" s="885"/>
      <c r="H372" s="885"/>
      <c r="I372" s="885"/>
      <c r="J372" s="885"/>
      <c r="K372" s="885"/>
      <c r="L372" s="885"/>
      <c r="M372" s="885"/>
      <c r="N372" s="885"/>
      <c r="O372" s="885"/>
      <c r="P372" s="885"/>
      <c r="Q372" s="885"/>
      <c r="R372" s="885"/>
      <c r="S372" s="885"/>
      <c r="T372" s="885"/>
      <c r="U372" s="885"/>
      <c r="V372" s="885"/>
      <c r="W372" s="885"/>
      <c r="X372" s="885"/>
      <c r="Y372" s="885"/>
      <c r="Z372" s="885"/>
      <c r="AA372" s="885"/>
      <c r="AB372" s="885"/>
      <c r="AC372" s="885"/>
    </row>
    <row r="373" spans="1:29" ht="15.75" customHeight="1" x14ac:dyDescent="0.2">
      <c r="A373" s="885"/>
      <c r="B373" s="885"/>
      <c r="C373" s="885"/>
      <c r="D373" s="885"/>
      <c r="E373" s="885"/>
      <c r="F373" s="885"/>
      <c r="G373" s="885"/>
      <c r="H373" s="885"/>
      <c r="I373" s="885"/>
      <c r="J373" s="885"/>
      <c r="K373" s="885"/>
      <c r="L373" s="885"/>
      <c r="M373" s="885"/>
      <c r="N373" s="885"/>
      <c r="O373" s="885"/>
      <c r="P373" s="885"/>
      <c r="Q373" s="885"/>
      <c r="R373" s="885"/>
      <c r="S373" s="885"/>
      <c r="T373" s="885"/>
      <c r="U373" s="885"/>
      <c r="V373" s="885"/>
      <c r="W373" s="885"/>
      <c r="X373" s="885"/>
      <c r="Y373" s="885"/>
      <c r="Z373" s="885"/>
      <c r="AA373" s="885"/>
      <c r="AB373" s="885"/>
      <c r="AC373" s="885"/>
    </row>
    <row r="374" spans="1:29" ht="15.75" customHeight="1" x14ac:dyDescent="0.2">
      <c r="A374" s="885"/>
      <c r="B374" s="885"/>
      <c r="C374" s="885"/>
      <c r="D374" s="885"/>
      <c r="E374" s="885"/>
      <c r="F374" s="885"/>
      <c r="G374" s="885"/>
      <c r="H374" s="885"/>
      <c r="I374" s="885"/>
      <c r="J374" s="885"/>
      <c r="K374" s="885"/>
      <c r="L374" s="885"/>
      <c r="M374" s="885"/>
      <c r="N374" s="885"/>
      <c r="O374" s="885"/>
      <c r="P374" s="885"/>
      <c r="Q374" s="885"/>
      <c r="R374" s="885"/>
      <c r="S374" s="885"/>
      <c r="T374" s="885"/>
      <c r="U374" s="885"/>
      <c r="V374" s="885"/>
      <c r="W374" s="885"/>
      <c r="X374" s="885"/>
      <c r="Y374" s="885"/>
      <c r="Z374" s="885"/>
      <c r="AA374" s="885"/>
      <c r="AB374" s="885"/>
      <c r="AC374" s="885"/>
    </row>
    <row r="375" spans="1:29" ht="15.75" customHeight="1" x14ac:dyDescent="0.2">
      <c r="A375" s="885"/>
      <c r="B375" s="885"/>
      <c r="C375" s="885"/>
      <c r="D375" s="885"/>
      <c r="E375" s="885"/>
      <c r="F375" s="885"/>
      <c r="G375" s="885"/>
      <c r="H375" s="885"/>
      <c r="I375" s="885"/>
      <c r="J375" s="885"/>
      <c r="K375" s="885"/>
      <c r="L375" s="885"/>
      <c r="M375" s="885"/>
      <c r="N375" s="885"/>
      <c r="O375" s="885"/>
      <c r="P375" s="885"/>
      <c r="Q375" s="885"/>
      <c r="R375" s="885"/>
      <c r="S375" s="885"/>
      <c r="T375" s="885"/>
      <c r="U375" s="885"/>
      <c r="V375" s="885"/>
      <c r="W375" s="885"/>
      <c r="X375" s="885"/>
      <c r="Y375" s="885"/>
      <c r="Z375" s="885"/>
      <c r="AA375" s="885"/>
      <c r="AB375" s="885"/>
      <c r="AC375" s="885"/>
    </row>
    <row r="376" spans="1:29" ht="15.75" customHeight="1" x14ac:dyDescent="0.2">
      <c r="A376" s="885"/>
      <c r="B376" s="885"/>
      <c r="C376" s="885"/>
      <c r="D376" s="885"/>
      <c r="E376" s="885"/>
      <c r="F376" s="885"/>
      <c r="G376" s="885"/>
      <c r="H376" s="885"/>
      <c r="I376" s="885"/>
      <c r="J376" s="885"/>
      <c r="K376" s="885"/>
      <c r="L376" s="885"/>
      <c r="M376" s="885"/>
      <c r="N376" s="885"/>
      <c r="O376" s="885"/>
      <c r="P376" s="885"/>
      <c r="Q376" s="885"/>
      <c r="R376" s="885"/>
      <c r="S376" s="885"/>
      <c r="T376" s="885"/>
      <c r="U376" s="885"/>
      <c r="V376" s="885"/>
      <c r="W376" s="885"/>
      <c r="X376" s="885"/>
      <c r="Y376" s="885"/>
      <c r="Z376" s="885"/>
      <c r="AA376" s="885"/>
      <c r="AB376" s="885"/>
      <c r="AC376" s="885"/>
    </row>
    <row r="377" spans="1:29" ht="15.75" customHeight="1" x14ac:dyDescent="0.2">
      <c r="A377" s="885"/>
      <c r="B377" s="885"/>
      <c r="C377" s="885"/>
      <c r="D377" s="885"/>
      <c r="E377" s="885"/>
      <c r="F377" s="885"/>
      <c r="G377" s="885"/>
      <c r="H377" s="885"/>
      <c r="I377" s="885"/>
      <c r="J377" s="885"/>
      <c r="K377" s="885"/>
      <c r="L377" s="885"/>
      <c r="M377" s="885"/>
      <c r="N377" s="885"/>
      <c r="O377" s="885"/>
      <c r="P377" s="885"/>
      <c r="Q377" s="885"/>
      <c r="R377" s="885"/>
      <c r="S377" s="885"/>
      <c r="T377" s="885"/>
      <c r="U377" s="885"/>
      <c r="V377" s="885"/>
      <c r="W377" s="885"/>
      <c r="X377" s="885"/>
      <c r="Y377" s="885"/>
      <c r="Z377" s="885"/>
      <c r="AA377" s="885"/>
      <c r="AB377" s="885"/>
      <c r="AC377" s="885"/>
    </row>
    <row r="378" spans="1:29" ht="15.75" customHeight="1" x14ac:dyDescent="0.2">
      <c r="A378" s="885"/>
      <c r="B378" s="885"/>
      <c r="C378" s="885"/>
      <c r="D378" s="885"/>
      <c r="E378" s="885"/>
      <c r="F378" s="885"/>
      <c r="G378" s="885"/>
      <c r="H378" s="885"/>
      <c r="I378" s="885"/>
      <c r="J378" s="885"/>
      <c r="K378" s="885"/>
      <c r="L378" s="885"/>
      <c r="M378" s="885"/>
      <c r="N378" s="885"/>
      <c r="O378" s="885"/>
      <c r="P378" s="885"/>
      <c r="Q378" s="885"/>
      <c r="R378" s="885"/>
      <c r="S378" s="885"/>
      <c r="T378" s="885"/>
      <c r="U378" s="885"/>
      <c r="V378" s="885"/>
      <c r="W378" s="885"/>
      <c r="X378" s="885"/>
      <c r="Y378" s="885"/>
      <c r="Z378" s="885"/>
      <c r="AA378" s="885"/>
      <c r="AB378" s="885"/>
      <c r="AC378" s="885"/>
    </row>
    <row r="379" spans="1:29" ht="15.75" customHeight="1" x14ac:dyDescent="0.2">
      <c r="A379" s="885"/>
      <c r="B379" s="885"/>
      <c r="C379" s="885"/>
      <c r="D379" s="885"/>
      <c r="E379" s="885"/>
      <c r="F379" s="885"/>
      <c r="G379" s="885"/>
      <c r="H379" s="885"/>
      <c r="I379" s="885"/>
      <c r="J379" s="885"/>
      <c r="K379" s="885"/>
      <c r="L379" s="885"/>
      <c r="M379" s="885"/>
      <c r="N379" s="885"/>
      <c r="O379" s="885"/>
      <c r="P379" s="885"/>
      <c r="Q379" s="885"/>
      <c r="R379" s="885"/>
      <c r="S379" s="885"/>
      <c r="T379" s="885"/>
      <c r="U379" s="885"/>
      <c r="V379" s="885"/>
      <c r="W379" s="885"/>
      <c r="X379" s="885"/>
      <c r="Y379" s="885"/>
      <c r="Z379" s="885"/>
      <c r="AA379" s="885"/>
      <c r="AB379" s="885"/>
      <c r="AC379" s="885"/>
    </row>
    <row r="380" spans="1:29" ht="15.75" customHeight="1" x14ac:dyDescent="0.2">
      <c r="A380" s="885"/>
      <c r="B380" s="885"/>
      <c r="C380" s="885"/>
      <c r="D380" s="885"/>
      <c r="E380" s="885"/>
      <c r="F380" s="885"/>
      <c r="G380" s="885"/>
      <c r="H380" s="885"/>
      <c r="I380" s="885"/>
      <c r="J380" s="885"/>
      <c r="K380" s="885"/>
      <c r="L380" s="885"/>
      <c r="M380" s="885"/>
      <c r="N380" s="885"/>
      <c r="O380" s="885"/>
      <c r="P380" s="885"/>
      <c r="Q380" s="885"/>
      <c r="R380" s="885"/>
      <c r="S380" s="885"/>
      <c r="T380" s="885"/>
      <c r="U380" s="885"/>
      <c r="V380" s="885"/>
      <c r="W380" s="885"/>
      <c r="X380" s="885"/>
      <c r="Y380" s="885"/>
      <c r="Z380" s="885"/>
      <c r="AA380" s="885"/>
      <c r="AB380" s="885"/>
      <c r="AC380" s="885"/>
    </row>
    <row r="381" spans="1:29" ht="15.75" customHeight="1" x14ac:dyDescent="0.2">
      <c r="A381" s="885"/>
      <c r="B381" s="885"/>
      <c r="C381" s="885"/>
      <c r="D381" s="885"/>
      <c r="E381" s="885"/>
      <c r="F381" s="885"/>
      <c r="G381" s="885"/>
      <c r="H381" s="885"/>
      <c r="I381" s="885"/>
      <c r="J381" s="885"/>
      <c r="K381" s="885"/>
      <c r="L381" s="885"/>
      <c r="M381" s="885"/>
      <c r="N381" s="885"/>
      <c r="O381" s="885"/>
      <c r="P381" s="885"/>
      <c r="Q381" s="885"/>
      <c r="R381" s="885"/>
      <c r="S381" s="885"/>
      <c r="T381" s="885"/>
      <c r="U381" s="885"/>
      <c r="V381" s="885"/>
      <c r="W381" s="885"/>
      <c r="X381" s="885"/>
      <c r="Y381" s="885"/>
      <c r="Z381" s="885"/>
      <c r="AA381" s="885"/>
      <c r="AB381" s="885"/>
      <c r="AC381" s="885"/>
    </row>
    <row r="382" spans="1:29" ht="15.75" customHeight="1" x14ac:dyDescent="0.2">
      <c r="A382" s="885"/>
      <c r="B382" s="885"/>
      <c r="C382" s="885"/>
      <c r="D382" s="885"/>
      <c r="E382" s="885"/>
      <c r="F382" s="885"/>
      <c r="G382" s="885"/>
      <c r="H382" s="885"/>
      <c r="I382" s="885"/>
      <c r="J382" s="885"/>
      <c r="K382" s="885"/>
      <c r="L382" s="885"/>
      <c r="M382" s="885"/>
      <c r="N382" s="885"/>
      <c r="O382" s="885"/>
      <c r="P382" s="885"/>
      <c r="Q382" s="885"/>
      <c r="R382" s="885"/>
      <c r="S382" s="885"/>
      <c r="T382" s="885"/>
      <c r="U382" s="885"/>
      <c r="V382" s="885"/>
      <c r="W382" s="885"/>
      <c r="X382" s="885"/>
      <c r="Y382" s="885"/>
      <c r="Z382" s="885"/>
      <c r="AA382" s="885"/>
      <c r="AB382" s="885"/>
      <c r="AC382" s="885"/>
    </row>
    <row r="383" spans="1:29" ht="15.75" customHeight="1" x14ac:dyDescent="0.2">
      <c r="A383" s="885"/>
      <c r="B383" s="885"/>
      <c r="C383" s="885"/>
      <c r="D383" s="885"/>
      <c r="E383" s="885"/>
      <c r="F383" s="885"/>
      <c r="G383" s="885"/>
      <c r="H383" s="885"/>
      <c r="I383" s="885"/>
      <c r="J383" s="885"/>
      <c r="K383" s="885"/>
      <c r="L383" s="885"/>
      <c r="M383" s="885"/>
      <c r="N383" s="885"/>
      <c r="O383" s="885"/>
      <c r="P383" s="885"/>
      <c r="Q383" s="885"/>
      <c r="R383" s="885"/>
      <c r="S383" s="885"/>
      <c r="T383" s="885"/>
      <c r="U383" s="885"/>
      <c r="V383" s="885"/>
      <c r="W383" s="885"/>
      <c r="X383" s="885"/>
      <c r="Y383" s="885"/>
      <c r="Z383" s="885"/>
      <c r="AA383" s="885"/>
      <c r="AB383" s="885"/>
      <c r="AC383" s="885"/>
    </row>
    <row r="384" spans="1:29" ht="15.75" customHeight="1" x14ac:dyDescent="0.2">
      <c r="A384" s="885"/>
      <c r="B384" s="885"/>
      <c r="C384" s="885"/>
      <c r="D384" s="885"/>
      <c r="E384" s="885"/>
      <c r="F384" s="885"/>
      <c r="G384" s="885"/>
      <c r="H384" s="885"/>
      <c r="I384" s="885"/>
      <c r="J384" s="885"/>
      <c r="K384" s="885"/>
      <c r="L384" s="885"/>
      <c r="M384" s="885"/>
      <c r="N384" s="885"/>
      <c r="O384" s="885"/>
      <c r="P384" s="885"/>
      <c r="Q384" s="885"/>
      <c r="R384" s="885"/>
      <c r="S384" s="885"/>
      <c r="T384" s="885"/>
      <c r="U384" s="885"/>
      <c r="V384" s="885"/>
      <c r="W384" s="885"/>
      <c r="X384" s="885"/>
      <c r="Y384" s="885"/>
      <c r="Z384" s="885"/>
      <c r="AA384" s="885"/>
      <c r="AB384" s="885"/>
      <c r="AC384" s="885"/>
    </row>
    <row r="385" spans="1:29" ht="15.75" customHeight="1" x14ac:dyDescent="0.2">
      <c r="A385" s="885"/>
      <c r="B385" s="885"/>
      <c r="C385" s="885"/>
      <c r="D385" s="885"/>
      <c r="E385" s="885"/>
      <c r="F385" s="885"/>
      <c r="G385" s="885"/>
      <c r="H385" s="885"/>
      <c r="I385" s="885"/>
      <c r="J385" s="885"/>
      <c r="K385" s="885"/>
      <c r="L385" s="885"/>
      <c r="M385" s="885"/>
      <c r="N385" s="885"/>
      <c r="O385" s="885"/>
      <c r="P385" s="885"/>
      <c r="Q385" s="885"/>
      <c r="R385" s="885"/>
      <c r="S385" s="885"/>
      <c r="T385" s="885"/>
      <c r="U385" s="885"/>
      <c r="V385" s="885"/>
      <c r="W385" s="885"/>
      <c r="X385" s="885"/>
      <c r="Y385" s="885"/>
      <c r="Z385" s="885"/>
      <c r="AA385" s="885"/>
      <c r="AB385" s="885"/>
      <c r="AC385" s="885"/>
    </row>
    <row r="386" spans="1:29" ht="15.75" customHeight="1" x14ac:dyDescent="0.2">
      <c r="A386" s="885"/>
      <c r="B386" s="885"/>
      <c r="C386" s="885"/>
      <c r="D386" s="885"/>
      <c r="E386" s="885"/>
      <c r="F386" s="885"/>
      <c r="G386" s="885"/>
      <c r="H386" s="885"/>
      <c r="I386" s="885"/>
      <c r="J386" s="885"/>
      <c r="K386" s="885"/>
      <c r="L386" s="885"/>
      <c r="M386" s="885"/>
      <c r="N386" s="885"/>
      <c r="O386" s="885"/>
      <c r="P386" s="885"/>
      <c r="Q386" s="885"/>
      <c r="R386" s="885"/>
      <c r="S386" s="885"/>
      <c r="T386" s="885"/>
      <c r="U386" s="885"/>
      <c r="V386" s="885"/>
      <c r="W386" s="885"/>
      <c r="X386" s="885"/>
      <c r="Y386" s="885"/>
      <c r="Z386" s="885"/>
      <c r="AA386" s="885"/>
      <c r="AB386" s="885"/>
      <c r="AC386" s="885"/>
    </row>
    <row r="387" spans="1:29" ht="15.75" customHeight="1" x14ac:dyDescent="0.2">
      <c r="A387" s="885"/>
      <c r="B387" s="885"/>
      <c r="C387" s="885"/>
      <c r="D387" s="885"/>
      <c r="E387" s="885"/>
      <c r="F387" s="885"/>
      <c r="G387" s="885"/>
      <c r="H387" s="885"/>
      <c r="I387" s="885"/>
      <c r="J387" s="885"/>
      <c r="K387" s="885"/>
      <c r="L387" s="885"/>
      <c r="M387" s="885"/>
      <c r="N387" s="885"/>
      <c r="O387" s="885"/>
      <c r="P387" s="885"/>
      <c r="Q387" s="885"/>
      <c r="R387" s="885"/>
      <c r="S387" s="885"/>
      <c r="T387" s="885"/>
      <c r="U387" s="885"/>
      <c r="V387" s="885"/>
      <c r="W387" s="885"/>
      <c r="X387" s="885"/>
      <c r="Y387" s="885"/>
      <c r="Z387" s="885"/>
      <c r="AA387" s="885"/>
      <c r="AB387" s="885"/>
      <c r="AC387" s="885"/>
    </row>
    <row r="388" spans="1:29" ht="15.75" customHeight="1" x14ac:dyDescent="0.2">
      <c r="A388" s="885"/>
      <c r="B388" s="885"/>
      <c r="C388" s="885"/>
      <c r="D388" s="885"/>
      <c r="E388" s="885"/>
      <c r="F388" s="885"/>
      <c r="G388" s="885"/>
      <c r="H388" s="885"/>
      <c r="I388" s="885"/>
      <c r="J388" s="885"/>
      <c r="K388" s="885"/>
      <c r="L388" s="885"/>
      <c r="M388" s="885"/>
      <c r="N388" s="885"/>
      <c r="O388" s="885"/>
      <c r="P388" s="885"/>
      <c r="Q388" s="885"/>
      <c r="R388" s="885"/>
      <c r="S388" s="885"/>
      <c r="T388" s="885"/>
      <c r="U388" s="885"/>
      <c r="V388" s="885"/>
      <c r="W388" s="885"/>
      <c r="X388" s="885"/>
      <c r="Y388" s="885"/>
      <c r="Z388" s="885"/>
      <c r="AA388" s="885"/>
      <c r="AB388" s="885"/>
      <c r="AC388" s="885"/>
    </row>
    <row r="389" spans="1:29" ht="15.75" customHeight="1" x14ac:dyDescent="0.2">
      <c r="A389" s="885"/>
      <c r="B389" s="885"/>
      <c r="C389" s="885"/>
      <c r="D389" s="885"/>
      <c r="E389" s="885"/>
      <c r="F389" s="885"/>
      <c r="G389" s="885"/>
      <c r="H389" s="885"/>
      <c r="I389" s="885"/>
      <c r="J389" s="885"/>
      <c r="K389" s="885"/>
      <c r="L389" s="885"/>
      <c r="M389" s="885"/>
      <c r="N389" s="885"/>
      <c r="O389" s="885"/>
      <c r="P389" s="885"/>
      <c r="Q389" s="885"/>
      <c r="R389" s="885"/>
      <c r="S389" s="885"/>
      <c r="T389" s="885"/>
      <c r="U389" s="885"/>
      <c r="V389" s="885"/>
      <c r="W389" s="885"/>
      <c r="X389" s="885"/>
      <c r="Y389" s="885"/>
      <c r="Z389" s="885"/>
      <c r="AA389" s="885"/>
      <c r="AB389" s="885"/>
      <c r="AC389" s="885"/>
    </row>
    <row r="390" spans="1:29" ht="15.75" customHeight="1" x14ac:dyDescent="0.2">
      <c r="A390" s="885"/>
      <c r="B390" s="885"/>
      <c r="C390" s="885"/>
      <c r="D390" s="885"/>
      <c r="E390" s="885"/>
      <c r="F390" s="885"/>
      <c r="G390" s="885"/>
      <c r="H390" s="885"/>
      <c r="I390" s="885"/>
      <c r="J390" s="885"/>
      <c r="K390" s="885"/>
      <c r="L390" s="885"/>
      <c r="M390" s="885"/>
      <c r="N390" s="885"/>
      <c r="O390" s="885"/>
      <c r="P390" s="885"/>
      <c r="Q390" s="885"/>
      <c r="R390" s="885"/>
      <c r="S390" s="885"/>
      <c r="T390" s="885"/>
      <c r="U390" s="885"/>
      <c r="V390" s="885"/>
      <c r="W390" s="885"/>
      <c r="X390" s="885"/>
      <c r="Y390" s="885"/>
      <c r="Z390" s="885"/>
      <c r="AA390" s="885"/>
      <c r="AB390" s="885"/>
      <c r="AC390" s="885"/>
    </row>
    <row r="391" spans="1:29" ht="15.75" customHeight="1" x14ac:dyDescent="0.2">
      <c r="A391" s="885"/>
      <c r="B391" s="885"/>
      <c r="C391" s="885"/>
      <c r="D391" s="885"/>
      <c r="E391" s="885"/>
      <c r="F391" s="885"/>
      <c r="G391" s="885"/>
      <c r="H391" s="885"/>
      <c r="I391" s="885"/>
      <c r="J391" s="885"/>
      <c r="K391" s="885"/>
      <c r="L391" s="885"/>
      <c r="M391" s="885"/>
      <c r="N391" s="885"/>
      <c r="O391" s="885"/>
      <c r="P391" s="885"/>
      <c r="Q391" s="885"/>
      <c r="R391" s="885"/>
      <c r="S391" s="885"/>
      <c r="T391" s="885"/>
      <c r="U391" s="885"/>
      <c r="V391" s="885"/>
      <c r="W391" s="885"/>
      <c r="X391" s="885"/>
      <c r="Y391" s="885"/>
      <c r="Z391" s="885"/>
      <c r="AA391" s="885"/>
      <c r="AB391" s="885"/>
      <c r="AC391" s="885"/>
    </row>
    <row r="392" spans="1:29" ht="15.75" customHeight="1" x14ac:dyDescent="0.2">
      <c r="A392" s="885"/>
      <c r="B392" s="885"/>
      <c r="C392" s="885"/>
      <c r="D392" s="885"/>
      <c r="E392" s="885"/>
      <c r="F392" s="885"/>
      <c r="G392" s="885"/>
      <c r="H392" s="885"/>
      <c r="I392" s="885"/>
      <c r="J392" s="885"/>
      <c r="K392" s="885"/>
      <c r="L392" s="885"/>
      <c r="M392" s="885"/>
      <c r="N392" s="885"/>
      <c r="O392" s="885"/>
      <c r="P392" s="885"/>
      <c r="Q392" s="885"/>
      <c r="R392" s="885"/>
      <c r="S392" s="885"/>
      <c r="T392" s="885"/>
      <c r="U392" s="885"/>
      <c r="V392" s="885"/>
      <c r="W392" s="885"/>
      <c r="X392" s="885"/>
      <c r="Y392" s="885"/>
      <c r="Z392" s="885"/>
      <c r="AA392" s="885"/>
      <c r="AB392" s="885"/>
      <c r="AC392" s="885"/>
    </row>
    <row r="393" spans="1:29" ht="15.75" customHeight="1" x14ac:dyDescent="0.2">
      <c r="A393" s="885"/>
      <c r="B393" s="885"/>
      <c r="C393" s="885"/>
      <c r="D393" s="885"/>
      <c r="E393" s="885"/>
      <c r="F393" s="885"/>
      <c r="G393" s="885"/>
      <c r="H393" s="885"/>
      <c r="I393" s="885"/>
      <c r="J393" s="885"/>
      <c r="K393" s="885"/>
      <c r="L393" s="885"/>
      <c r="M393" s="885"/>
      <c r="N393" s="885"/>
      <c r="O393" s="885"/>
      <c r="P393" s="885"/>
      <c r="Q393" s="885"/>
      <c r="R393" s="885"/>
      <c r="S393" s="885"/>
      <c r="T393" s="885"/>
      <c r="U393" s="885"/>
      <c r="V393" s="885"/>
      <c r="W393" s="885"/>
      <c r="X393" s="885"/>
      <c r="Y393" s="885"/>
      <c r="Z393" s="885"/>
      <c r="AA393" s="885"/>
      <c r="AB393" s="885"/>
      <c r="AC393" s="885"/>
    </row>
    <row r="394" spans="1:29" ht="15.75" customHeight="1" x14ac:dyDescent="0.2">
      <c r="A394" s="885"/>
      <c r="B394" s="885"/>
      <c r="C394" s="885"/>
      <c r="D394" s="885"/>
      <c r="E394" s="885"/>
      <c r="F394" s="885"/>
      <c r="G394" s="885"/>
      <c r="H394" s="885"/>
      <c r="I394" s="885"/>
      <c r="J394" s="885"/>
      <c r="K394" s="885"/>
      <c r="L394" s="885"/>
      <c r="M394" s="885"/>
      <c r="N394" s="885"/>
      <c r="O394" s="885"/>
      <c r="P394" s="885"/>
      <c r="Q394" s="885"/>
      <c r="R394" s="885"/>
      <c r="S394" s="885"/>
      <c r="T394" s="885"/>
      <c r="U394" s="885"/>
      <c r="V394" s="885"/>
      <c r="W394" s="885"/>
      <c r="X394" s="885"/>
      <c r="Y394" s="885"/>
      <c r="Z394" s="885"/>
      <c r="AA394" s="885"/>
      <c r="AB394" s="885"/>
      <c r="AC394" s="885"/>
    </row>
    <row r="395" spans="1:29" ht="15.75" customHeight="1" x14ac:dyDescent="0.2">
      <c r="A395" s="885"/>
      <c r="B395" s="885"/>
      <c r="C395" s="885"/>
      <c r="D395" s="885"/>
      <c r="E395" s="885"/>
      <c r="F395" s="885"/>
      <c r="G395" s="885"/>
      <c r="H395" s="885"/>
      <c r="I395" s="885"/>
      <c r="J395" s="885"/>
      <c r="K395" s="885"/>
      <c r="L395" s="885"/>
      <c r="M395" s="885"/>
      <c r="N395" s="885"/>
      <c r="O395" s="885"/>
      <c r="P395" s="885"/>
      <c r="Q395" s="885"/>
      <c r="R395" s="885"/>
      <c r="S395" s="885"/>
      <c r="T395" s="885"/>
      <c r="U395" s="885"/>
      <c r="V395" s="885"/>
      <c r="W395" s="885"/>
      <c r="X395" s="885"/>
      <c r="Y395" s="885"/>
      <c r="Z395" s="885"/>
      <c r="AA395" s="885"/>
      <c r="AB395" s="885"/>
      <c r="AC395" s="885"/>
    </row>
    <row r="396" spans="1:29" ht="15.75" customHeight="1" x14ac:dyDescent="0.2">
      <c r="A396" s="885"/>
      <c r="B396" s="885"/>
      <c r="C396" s="885"/>
      <c r="D396" s="885"/>
      <c r="E396" s="885"/>
      <c r="F396" s="885"/>
      <c r="G396" s="885"/>
      <c r="H396" s="885"/>
      <c r="I396" s="885"/>
      <c r="J396" s="885"/>
      <c r="K396" s="885"/>
      <c r="L396" s="885"/>
      <c r="M396" s="885"/>
      <c r="N396" s="885"/>
      <c r="O396" s="885"/>
      <c r="P396" s="885"/>
      <c r="Q396" s="885"/>
      <c r="R396" s="885"/>
      <c r="S396" s="885"/>
      <c r="T396" s="885"/>
      <c r="U396" s="885"/>
      <c r="V396" s="885"/>
      <c r="W396" s="885"/>
      <c r="X396" s="885"/>
      <c r="Y396" s="885"/>
      <c r="Z396" s="885"/>
      <c r="AA396" s="885"/>
      <c r="AB396" s="885"/>
      <c r="AC396" s="885"/>
    </row>
    <row r="397" spans="1:29" ht="15.75" customHeight="1" x14ac:dyDescent="0.2">
      <c r="A397" s="885"/>
      <c r="B397" s="885"/>
      <c r="C397" s="885"/>
      <c r="D397" s="885"/>
      <c r="E397" s="885"/>
      <c r="F397" s="885"/>
      <c r="G397" s="885"/>
      <c r="H397" s="885"/>
      <c r="I397" s="885"/>
      <c r="J397" s="885"/>
      <c r="K397" s="885"/>
      <c r="L397" s="885"/>
      <c r="M397" s="885"/>
      <c r="N397" s="885"/>
      <c r="O397" s="885"/>
      <c r="P397" s="885"/>
      <c r="Q397" s="885"/>
      <c r="R397" s="885"/>
      <c r="S397" s="885"/>
      <c r="T397" s="885"/>
      <c r="U397" s="885"/>
      <c r="V397" s="885"/>
      <c r="W397" s="885"/>
      <c r="X397" s="885"/>
      <c r="Y397" s="885"/>
      <c r="Z397" s="885"/>
      <c r="AA397" s="885"/>
      <c r="AB397" s="885"/>
      <c r="AC397" s="885"/>
    </row>
    <row r="398" spans="1:29" ht="15.75" customHeight="1" x14ac:dyDescent="0.2">
      <c r="A398" s="885"/>
      <c r="B398" s="885"/>
      <c r="C398" s="885"/>
      <c r="D398" s="885"/>
      <c r="E398" s="885"/>
      <c r="F398" s="885"/>
      <c r="G398" s="885"/>
      <c r="H398" s="885"/>
      <c r="I398" s="885"/>
      <c r="J398" s="885"/>
      <c r="K398" s="885"/>
      <c r="L398" s="885"/>
      <c r="M398" s="885"/>
      <c r="N398" s="885"/>
      <c r="O398" s="885"/>
      <c r="P398" s="885"/>
      <c r="Q398" s="885"/>
      <c r="R398" s="885"/>
      <c r="S398" s="885"/>
      <c r="T398" s="885"/>
      <c r="U398" s="885"/>
      <c r="V398" s="885"/>
      <c r="W398" s="885"/>
      <c r="X398" s="885"/>
      <c r="Y398" s="885"/>
      <c r="Z398" s="885"/>
      <c r="AA398" s="885"/>
      <c r="AB398" s="885"/>
      <c r="AC398" s="885"/>
    </row>
    <row r="399" spans="1:29" ht="15.75" customHeight="1" x14ac:dyDescent="0.2">
      <c r="A399" s="885"/>
      <c r="B399" s="885"/>
      <c r="C399" s="885"/>
      <c r="D399" s="885"/>
      <c r="E399" s="885"/>
      <c r="F399" s="885"/>
      <c r="G399" s="885"/>
      <c r="H399" s="885"/>
      <c r="I399" s="885"/>
      <c r="J399" s="885"/>
      <c r="K399" s="885"/>
      <c r="L399" s="885"/>
      <c r="M399" s="885"/>
      <c r="N399" s="885"/>
      <c r="O399" s="885"/>
      <c r="P399" s="885"/>
      <c r="Q399" s="885"/>
      <c r="R399" s="885"/>
      <c r="S399" s="885"/>
      <c r="T399" s="885"/>
      <c r="U399" s="885"/>
      <c r="V399" s="885"/>
      <c r="W399" s="885"/>
      <c r="X399" s="885"/>
      <c r="Y399" s="885"/>
      <c r="Z399" s="885"/>
      <c r="AA399" s="885"/>
      <c r="AB399" s="885"/>
      <c r="AC399" s="885"/>
    </row>
    <row r="400" spans="1:29" ht="15.75" customHeight="1" x14ac:dyDescent="0.2">
      <c r="A400" s="885"/>
      <c r="B400" s="885"/>
      <c r="C400" s="885"/>
      <c r="D400" s="885"/>
      <c r="E400" s="885"/>
      <c r="F400" s="885"/>
      <c r="G400" s="885"/>
      <c r="H400" s="885"/>
      <c r="I400" s="885"/>
      <c r="J400" s="885"/>
      <c r="K400" s="885"/>
      <c r="L400" s="885"/>
      <c r="M400" s="885"/>
      <c r="N400" s="885"/>
      <c r="O400" s="885"/>
      <c r="P400" s="885"/>
      <c r="Q400" s="885"/>
      <c r="R400" s="885"/>
      <c r="S400" s="885"/>
      <c r="T400" s="885"/>
      <c r="U400" s="885"/>
      <c r="V400" s="885"/>
      <c r="W400" s="885"/>
      <c r="X400" s="885"/>
      <c r="Y400" s="885"/>
      <c r="Z400" s="885"/>
      <c r="AA400" s="885"/>
      <c r="AB400" s="885"/>
      <c r="AC400" s="885"/>
    </row>
    <row r="401" spans="1:29" ht="15.75" customHeight="1" x14ac:dyDescent="0.2">
      <c r="A401" s="885"/>
      <c r="B401" s="885"/>
      <c r="C401" s="885"/>
      <c r="D401" s="885"/>
      <c r="E401" s="885"/>
      <c r="F401" s="885"/>
      <c r="G401" s="885"/>
      <c r="H401" s="885"/>
      <c r="I401" s="885"/>
      <c r="J401" s="885"/>
      <c r="K401" s="885"/>
      <c r="L401" s="885"/>
      <c r="M401" s="885"/>
      <c r="N401" s="885"/>
      <c r="O401" s="885"/>
      <c r="P401" s="885"/>
      <c r="Q401" s="885"/>
      <c r="R401" s="885"/>
      <c r="S401" s="885"/>
      <c r="T401" s="885"/>
      <c r="U401" s="885"/>
      <c r="V401" s="885"/>
      <c r="W401" s="885"/>
      <c r="X401" s="885"/>
      <c r="Y401" s="885"/>
      <c r="Z401" s="885"/>
      <c r="AA401" s="885"/>
      <c r="AB401" s="885"/>
      <c r="AC401" s="885"/>
    </row>
    <row r="402" spans="1:29" ht="15.75" customHeight="1" x14ac:dyDescent="0.2">
      <c r="A402" s="885"/>
      <c r="B402" s="885"/>
      <c r="C402" s="885"/>
      <c r="D402" s="885"/>
      <c r="E402" s="885"/>
      <c r="F402" s="885"/>
      <c r="G402" s="885"/>
      <c r="H402" s="885"/>
      <c r="I402" s="885"/>
      <c r="J402" s="885"/>
      <c r="K402" s="885"/>
      <c r="L402" s="885"/>
      <c r="M402" s="885"/>
      <c r="N402" s="885"/>
      <c r="O402" s="885"/>
      <c r="P402" s="885"/>
      <c r="Q402" s="885"/>
      <c r="R402" s="885"/>
      <c r="S402" s="885"/>
      <c r="T402" s="885"/>
      <c r="U402" s="885"/>
      <c r="V402" s="885"/>
      <c r="W402" s="885"/>
      <c r="X402" s="885"/>
      <c r="Y402" s="885"/>
      <c r="Z402" s="885"/>
      <c r="AA402" s="885"/>
      <c r="AB402" s="885"/>
      <c r="AC402" s="885"/>
    </row>
    <row r="403" spans="1:29" ht="15.75" customHeight="1" x14ac:dyDescent="0.2">
      <c r="A403" s="885"/>
      <c r="B403" s="885"/>
      <c r="C403" s="885"/>
      <c r="D403" s="885"/>
      <c r="E403" s="885"/>
      <c r="F403" s="885"/>
      <c r="G403" s="885"/>
      <c r="H403" s="885"/>
      <c r="I403" s="885"/>
      <c r="J403" s="885"/>
      <c r="K403" s="885"/>
      <c r="L403" s="885"/>
      <c r="M403" s="885"/>
      <c r="N403" s="885"/>
      <c r="O403" s="885"/>
      <c r="P403" s="885"/>
      <c r="Q403" s="885"/>
      <c r="R403" s="885"/>
      <c r="S403" s="885"/>
      <c r="T403" s="885"/>
      <c r="U403" s="885"/>
      <c r="V403" s="885"/>
      <c r="W403" s="885"/>
      <c r="X403" s="885"/>
      <c r="Y403" s="885"/>
      <c r="Z403" s="885"/>
      <c r="AA403" s="885"/>
      <c r="AB403" s="885"/>
      <c r="AC403" s="885"/>
    </row>
    <row r="404" spans="1:29" ht="15.75" customHeight="1" x14ac:dyDescent="0.2">
      <c r="A404" s="885"/>
      <c r="B404" s="885"/>
      <c r="C404" s="885"/>
      <c r="D404" s="885"/>
      <c r="E404" s="885"/>
      <c r="F404" s="885"/>
      <c r="G404" s="885"/>
      <c r="H404" s="885"/>
      <c r="I404" s="885"/>
      <c r="J404" s="885"/>
      <c r="K404" s="885"/>
      <c r="L404" s="885"/>
      <c r="M404" s="885"/>
      <c r="N404" s="885"/>
      <c r="O404" s="885"/>
      <c r="P404" s="885"/>
      <c r="Q404" s="885"/>
      <c r="R404" s="885"/>
      <c r="S404" s="885"/>
      <c r="T404" s="885"/>
      <c r="U404" s="885"/>
      <c r="V404" s="885"/>
      <c r="W404" s="885"/>
      <c r="X404" s="885"/>
      <c r="Y404" s="885"/>
      <c r="Z404" s="885"/>
      <c r="AA404" s="885"/>
      <c r="AB404" s="885"/>
      <c r="AC404" s="885"/>
    </row>
    <row r="405" spans="1:29" ht="15.75" customHeight="1" x14ac:dyDescent="0.2">
      <c r="A405" s="885"/>
      <c r="B405" s="885"/>
      <c r="C405" s="885"/>
      <c r="D405" s="885"/>
      <c r="E405" s="885"/>
      <c r="F405" s="885"/>
      <c r="G405" s="885"/>
      <c r="H405" s="885"/>
      <c r="I405" s="885"/>
      <c r="J405" s="885"/>
      <c r="K405" s="885"/>
      <c r="L405" s="885"/>
      <c r="M405" s="885"/>
      <c r="N405" s="885"/>
      <c r="O405" s="885"/>
      <c r="P405" s="885"/>
      <c r="Q405" s="885"/>
      <c r="R405" s="885"/>
      <c r="S405" s="885"/>
      <c r="T405" s="885"/>
      <c r="U405" s="885"/>
      <c r="V405" s="885"/>
      <c r="W405" s="885"/>
      <c r="X405" s="885"/>
      <c r="Y405" s="885"/>
      <c r="Z405" s="885"/>
      <c r="AA405" s="885"/>
      <c r="AB405" s="885"/>
      <c r="AC405" s="885"/>
    </row>
    <row r="406" spans="1:29" ht="15.75" customHeight="1" x14ac:dyDescent="0.2">
      <c r="A406" s="885"/>
      <c r="B406" s="885"/>
      <c r="C406" s="885"/>
      <c r="D406" s="885"/>
      <c r="E406" s="885"/>
      <c r="F406" s="885"/>
      <c r="G406" s="885"/>
      <c r="H406" s="885"/>
      <c r="I406" s="885"/>
      <c r="J406" s="885"/>
      <c r="K406" s="885"/>
      <c r="L406" s="885"/>
      <c r="M406" s="885"/>
      <c r="N406" s="885"/>
      <c r="O406" s="885"/>
      <c r="P406" s="885"/>
      <c r="Q406" s="885"/>
      <c r="R406" s="885"/>
      <c r="S406" s="885"/>
      <c r="T406" s="885"/>
      <c r="U406" s="885"/>
      <c r="V406" s="885"/>
      <c r="W406" s="885"/>
      <c r="X406" s="885"/>
      <c r="Y406" s="885"/>
      <c r="Z406" s="885"/>
      <c r="AA406" s="885"/>
      <c r="AB406" s="885"/>
      <c r="AC406" s="885"/>
    </row>
    <row r="407" spans="1:29" ht="15.75" customHeight="1" x14ac:dyDescent="0.2">
      <c r="A407" s="885"/>
      <c r="B407" s="885"/>
      <c r="C407" s="885"/>
      <c r="D407" s="885"/>
      <c r="E407" s="885"/>
      <c r="F407" s="885"/>
      <c r="G407" s="885"/>
      <c r="H407" s="885"/>
      <c r="I407" s="885"/>
      <c r="J407" s="885"/>
      <c r="K407" s="885"/>
      <c r="L407" s="885"/>
      <c r="M407" s="885"/>
      <c r="N407" s="885"/>
      <c r="O407" s="885"/>
      <c r="P407" s="885"/>
      <c r="Q407" s="885"/>
      <c r="R407" s="885"/>
      <c r="S407" s="885"/>
      <c r="T407" s="885"/>
      <c r="U407" s="885"/>
      <c r="V407" s="885"/>
      <c r="W407" s="885"/>
      <c r="X407" s="885"/>
      <c r="Y407" s="885"/>
      <c r="Z407" s="885"/>
      <c r="AA407" s="885"/>
      <c r="AB407" s="885"/>
      <c r="AC407" s="885"/>
    </row>
    <row r="408" spans="1:29" ht="15.75" customHeight="1" x14ac:dyDescent="0.2">
      <c r="A408" s="885"/>
      <c r="B408" s="885"/>
      <c r="C408" s="885"/>
      <c r="D408" s="885"/>
      <c r="E408" s="885"/>
      <c r="F408" s="885"/>
      <c r="G408" s="885"/>
      <c r="H408" s="885"/>
      <c r="I408" s="885"/>
      <c r="J408" s="885"/>
      <c r="K408" s="885"/>
      <c r="L408" s="885"/>
      <c r="M408" s="885"/>
      <c r="N408" s="885"/>
      <c r="O408" s="885"/>
      <c r="P408" s="885"/>
      <c r="Q408" s="885"/>
      <c r="R408" s="885"/>
      <c r="S408" s="885"/>
      <c r="T408" s="885"/>
      <c r="U408" s="885"/>
      <c r="V408" s="885"/>
      <c r="W408" s="885"/>
      <c r="X408" s="885"/>
      <c r="Y408" s="885"/>
      <c r="Z408" s="885"/>
      <c r="AA408" s="885"/>
      <c r="AB408" s="885"/>
      <c r="AC408" s="885"/>
    </row>
    <row r="409" spans="1:29" ht="15.75" customHeight="1" x14ac:dyDescent="0.2">
      <c r="A409" s="885"/>
      <c r="B409" s="885"/>
      <c r="C409" s="885"/>
      <c r="D409" s="885"/>
      <c r="E409" s="885"/>
      <c r="F409" s="885"/>
      <c r="G409" s="885"/>
      <c r="H409" s="885"/>
      <c r="I409" s="885"/>
      <c r="J409" s="885"/>
      <c r="K409" s="885"/>
      <c r="L409" s="885"/>
      <c r="M409" s="885"/>
      <c r="N409" s="885"/>
      <c r="O409" s="885"/>
      <c r="P409" s="885"/>
      <c r="Q409" s="885"/>
      <c r="R409" s="885"/>
      <c r="S409" s="885"/>
      <c r="T409" s="885"/>
      <c r="U409" s="885"/>
      <c r="V409" s="885"/>
      <c r="W409" s="885"/>
      <c r="X409" s="885"/>
      <c r="Y409" s="885"/>
      <c r="Z409" s="885"/>
      <c r="AA409" s="885"/>
      <c r="AB409" s="885"/>
      <c r="AC409" s="885"/>
    </row>
    <row r="410" spans="1:29" ht="15.75" customHeight="1" x14ac:dyDescent="0.2">
      <c r="A410" s="885"/>
      <c r="B410" s="885"/>
      <c r="C410" s="885"/>
      <c r="D410" s="885"/>
      <c r="E410" s="885"/>
      <c r="F410" s="885"/>
      <c r="G410" s="885"/>
      <c r="H410" s="885"/>
      <c r="I410" s="885"/>
      <c r="J410" s="885"/>
      <c r="K410" s="885"/>
      <c r="L410" s="885"/>
      <c r="M410" s="885"/>
      <c r="N410" s="885"/>
      <c r="O410" s="885"/>
      <c r="P410" s="885"/>
      <c r="Q410" s="885"/>
      <c r="R410" s="885"/>
      <c r="S410" s="885"/>
      <c r="T410" s="885"/>
      <c r="U410" s="885"/>
      <c r="V410" s="885"/>
      <c r="W410" s="885"/>
      <c r="X410" s="885"/>
      <c r="Y410" s="885"/>
      <c r="Z410" s="885"/>
      <c r="AA410" s="885"/>
      <c r="AB410" s="885"/>
      <c r="AC410" s="885"/>
    </row>
    <row r="411" spans="1:29" ht="15.75" customHeight="1" x14ac:dyDescent="0.2">
      <c r="A411" s="885"/>
      <c r="B411" s="885"/>
      <c r="C411" s="885"/>
      <c r="D411" s="885"/>
      <c r="E411" s="885"/>
      <c r="F411" s="885"/>
      <c r="G411" s="885"/>
      <c r="H411" s="885"/>
      <c r="I411" s="885"/>
      <c r="J411" s="885"/>
      <c r="K411" s="885"/>
      <c r="L411" s="885"/>
      <c r="M411" s="885"/>
      <c r="N411" s="885"/>
      <c r="O411" s="885"/>
      <c r="P411" s="885"/>
      <c r="Q411" s="885"/>
      <c r="R411" s="885"/>
      <c r="S411" s="885"/>
      <c r="T411" s="885"/>
      <c r="U411" s="885"/>
      <c r="V411" s="885"/>
      <c r="W411" s="885"/>
      <c r="X411" s="885"/>
      <c r="Y411" s="885"/>
      <c r="Z411" s="885"/>
      <c r="AA411" s="885"/>
      <c r="AB411" s="885"/>
      <c r="AC411" s="885"/>
    </row>
    <row r="412" spans="1:29" ht="15.75" customHeight="1" x14ac:dyDescent="0.2">
      <c r="A412" s="885"/>
      <c r="B412" s="885"/>
      <c r="C412" s="885"/>
      <c r="D412" s="885"/>
      <c r="E412" s="885"/>
      <c r="F412" s="885"/>
      <c r="G412" s="885"/>
      <c r="H412" s="885"/>
      <c r="I412" s="885"/>
      <c r="J412" s="885"/>
      <c r="K412" s="885"/>
      <c r="L412" s="885"/>
      <c r="M412" s="885"/>
      <c r="N412" s="885"/>
      <c r="O412" s="885"/>
      <c r="P412" s="885"/>
      <c r="Q412" s="885"/>
      <c r="R412" s="885"/>
      <c r="S412" s="885"/>
      <c r="T412" s="885"/>
      <c r="U412" s="885"/>
      <c r="V412" s="885"/>
      <c r="W412" s="885"/>
      <c r="X412" s="885"/>
      <c r="Y412" s="885"/>
      <c r="Z412" s="885"/>
      <c r="AA412" s="885"/>
      <c r="AB412" s="885"/>
      <c r="AC412" s="885"/>
    </row>
    <row r="413" spans="1:29" ht="15.75" customHeight="1" x14ac:dyDescent="0.2">
      <c r="A413" s="885"/>
      <c r="B413" s="885"/>
      <c r="C413" s="885"/>
      <c r="D413" s="885"/>
      <c r="E413" s="885"/>
      <c r="F413" s="885"/>
      <c r="G413" s="885"/>
      <c r="H413" s="885"/>
      <c r="I413" s="885"/>
      <c r="J413" s="885"/>
      <c r="K413" s="885"/>
      <c r="L413" s="885"/>
      <c r="M413" s="885"/>
      <c r="N413" s="885"/>
      <c r="O413" s="885"/>
      <c r="P413" s="885"/>
      <c r="Q413" s="885"/>
      <c r="R413" s="885"/>
      <c r="S413" s="885"/>
      <c r="T413" s="885"/>
      <c r="U413" s="885"/>
      <c r="V413" s="885"/>
      <c r="W413" s="885"/>
      <c r="X413" s="885"/>
      <c r="Y413" s="885"/>
      <c r="Z413" s="885"/>
      <c r="AA413" s="885"/>
      <c r="AB413" s="885"/>
      <c r="AC413" s="885"/>
    </row>
    <row r="414" spans="1:29" ht="15.75" customHeight="1" x14ac:dyDescent="0.2">
      <c r="A414" s="885"/>
      <c r="B414" s="885"/>
      <c r="C414" s="885"/>
      <c r="D414" s="885"/>
      <c r="E414" s="885"/>
      <c r="F414" s="885"/>
      <c r="G414" s="885"/>
      <c r="H414" s="885"/>
      <c r="I414" s="885"/>
      <c r="J414" s="885"/>
      <c r="K414" s="885"/>
      <c r="L414" s="885"/>
      <c r="M414" s="885"/>
      <c r="N414" s="885"/>
      <c r="O414" s="885"/>
      <c r="P414" s="885"/>
      <c r="Q414" s="885"/>
      <c r="R414" s="885"/>
      <c r="S414" s="885"/>
      <c r="T414" s="885"/>
      <c r="U414" s="885"/>
      <c r="V414" s="885"/>
      <c r="W414" s="885"/>
      <c r="X414" s="885"/>
      <c r="Y414" s="885"/>
      <c r="Z414" s="885"/>
      <c r="AA414" s="885"/>
      <c r="AB414" s="885"/>
      <c r="AC414" s="885"/>
    </row>
    <row r="415" spans="1:29" ht="15.75" customHeight="1" x14ac:dyDescent="0.2">
      <c r="A415" s="885"/>
      <c r="B415" s="885"/>
      <c r="C415" s="885"/>
      <c r="D415" s="885"/>
      <c r="E415" s="885"/>
      <c r="F415" s="885"/>
      <c r="G415" s="885"/>
      <c r="H415" s="885"/>
      <c r="I415" s="885"/>
      <c r="J415" s="885"/>
      <c r="K415" s="885"/>
      <c r="L415" s="885"/>
      <c r="M415" s="885"/>
      <c r="N415" s="885"/>
      <c r="O415" s="885"/>
      <c r="P415" s="885"/>
      <c r="Q415" s="885"/>
      <c r="R415" s="885"/>
      <c r="S415" s="885"/>
      <c r="T415" s="885"/>
      <c r="U415" s="885"/>
      <c r="V415" s="885"/>
      <c r="W415" s="885"/>
      <c r="X415" s="885"/>
      <c r="Y415" s="885"/>
      <c r="Z415" s="885"/>
      <c r="AA415" s="885"/>
      <c r="AB415" s="885"/>
      <c r="AC415" s="885"/>
    </row>
    <row r="416" spans="1:29" ht="15.75" customHeight="1" x14ac:dyDescent="0.2">
      <c r="A416" s="885"/>
      <c r="B416" s="885"/>
      <c r="C416" s="885"/>
      <c r="D416" s="885"/>
      <c r="E416" s="885"/>
      <c r="F416" s="885"/>
      <c r="G416" s="885"/>
      <c r="H416" s="885"/>
      <c r="I416" s="885"/>
      <c r="J416" s="885"/>
      <c r="K416" s="885"/>
      <c r="L416" s="885"/>
      <c r="M416" s="885"/>
      <c r="N416" s="885"/>
      <c r="O416" s="885"/>
      <c r="P416" s="885"/>
      <c r="Q416" s="885"/>
      <c r="R416" s="885"/>
      <c r="S416" s="885"/>
      <c r="T416" s="885"/>
      <c r="U416" s="885"/>
      <c r="V416" s="885"/>
      <c r="W416" s="885"/>
      <c r="X416" s="885"/>
      <c r="Y416" s="885"/>
      <c r="Z416" s="885"/>
      <c r="AA416" s="885"/>
      <c r="AB416" s="885"/>
      <c r="AC416" s="885"/>
    </row>
    <row r="417" spans="1:29" ht="15.75" customHeight="1" x14ac:dyDescent="0.2">
      <c r="A417" s="885"/>
      <c r="B417" s="885"/>
      <c r="C417" s="885"/>
      <c r="D417" s="885"/>
      <c r="E417" s="885"/>
      <c r="F417" s="885"/>
      <c r="G417" s="885"/>
      <c r="H417" s="885"/>
      <c r="I417" s="885"/>
      <c r="J417" s="885"/>
      <c r="K417" s="885"/>
      <c r="L417" s="885"/>
      <c r="M417" s="885"/>
      <c r="N417" s="885"/>
      <c r="O417" s="885"/>
      <c r="P417" s="885"/>
      <c r="Q417" s="885"/>
      <c r="R417" s="885"/>
      <c r="S417" s="885"/>
      <c r="T417" s="885"/>
      <c r="U417" s="885"/>
      <c r="V417" s="885"/>
      <c r="W417" s="885"/>
      <c r="X417" s="885"/>
      <c r="Y417" s="885"/>
      <c r="Z417" s="885"/>
      <c r="AA417" s="885"/>
      <c r="AB417" s="885"/>
      <c r="AC417" s="885"/>
    </row>
    <row r="418" spans="1:29" ht="15.75" customHeight="1" x14ac:dyDescent="0.2">
      <c r="A418" s="885"/>
      <c r="B418" s="885"/>
      <c r="C418" s="885"/>
      <c r="D418" s="885"/>
      <c r="E418" s="885"/>
      <c r="F418" s="885"/>
      <c r="G418" s="885"/>
      <c r="H418" s="885"/>
      <c r="I418" s="885"/>
      <c r="J418" s="885"/>
      <c r="K418" s="885"/>
      <c r="L418" s="885"/>
      <c r="M418" s="885"/>
      <c r="N418" s="885"/>
      <c r="O418" s="885"/>
      <c r="P418" s="885"/>
      <c r="Q418" s="885"/>
      <c r="R418" s="885"/>
      <c r="S418" s="885"/>
      <c r="T418" s="885"/>
      <c r="U418" s="885"/>
      <c r="V418" s="885"/>
      <c r="W418" s="885"/>
      <c r="X418" s="885"/>
      <c r="Y418" s="885"/>
      <c r="Z418" s="885"/>
      <c r="AA418" s="885"/>
      <c r="AB418" s="885"/>
      <c r="AC418" s="885"/>
    </row>
    <row r="419" spans="1:29" ht="15.75" customHeight="1" x14ac:dyDescent="0.2">
      <c r="A419" s="885"/>
      <c r="B419" s="885"/>
      <c r="C419" s="885"/>
      <c r="D419" s="885"/>
      <c r="E419" s="885"/>
      <c r="F419" s="885"/>
      <c r="G419" s="885"/>
      <c r="H419" s="885"/>
      <c r="I419" s="885"/>
      <c r="J419" s="885"/>
      <c r="K419" s="885"/>
      <c r="L419" s="885"/>
      <c r="M419" s="885"/>
      <c r="N419" s="885"/>
      <c r="O419" s="885"/>
      <c r="P419" s="885"/>
      <c r="Q419" s="885"/>
      <c r="R419" s="885"/>
      <c r="S419" s="885"/>
      <c r="T419" s="885"/>
      <c r="U419" s="885"/>
      <c r="V419" s="885"/>
      <c r="W419" s="885"/>
      <c r="X419" s="885"/>
      <c r="Y419" s="885"/>
      <c r="Z419" s="885"/>
      <c r="AA419" s="885"/>
      <c r="AB419" s="885"/>
      <c r="AC419" s="885"/>
    </row>
    <row r="420" spans="1:29" ht="15.75" customHeight="1" x14ac:dyDescent="0.2">
      <c r="A420" s="885"/>
      <c r="B420" s="885"/>
      <c r="C420" s="885"/>
      <c r="D420" s="885"/>
      <c r="E420" s="885"/>
      <c r="F420" s="885"/>
      <c r="G420" s="885"/>
      <c r="H420" s="885"/>
      <c r="I420" s="885"/>
      <c r="J420" s="885"/>
      <c r="K420" s="885"/>
      <c r="L420" s="885"/>
      <c r="M420" s="885"/>
      <c r="N420" s="885"/>
      <c r="O420" s="885"/>
      <c r="P420" s="885"/>
      <c r="Q420" s="885"/>
      <c r="R420" s="885"/>
      <c r="S420" s="885"/>
      <c r="T420" s="885"/>
      <c r="U420" s="885"/>
      <c r="V420" s="885"/>
      <c r="W420" s="885"/>
      <c r="X420" s="885"/>
      <c r="Y420" s="885"/>
      <c r="Z420" s="885"/>
      <c r="AA420" s="885"/>
      <c r="AB420" s="885"/>
      <c r="AC420" s="885"/>
    </row>
    <row r="421" spans="1:29" ht="15.75" customHeight="1" x14ac:dyDescent="0.2">
      <c r="A421" s="885"/>
      <c r="B421" s="885"/>
      <c r="C421" s="885"/>
      <c r="D421" s="885"/>
      <c r="E421" s="885"/>
      <c r="F421" s="885"/>
      <c r="G421" s="885"/>
      <c r="H421" s="885"/>
      <c r="I421" s="885"/>
      <c r="J421" s="885"/>
      <c r="K421" s="885"/>
      <c r="L421" s="885"/>
      <c r="M421" s="885"/>
      <c r="N421" s="885"/>
      <c r="O421" s="885"/>
      <c r="P421" s="885"/>
      <c r="Q421" s="885"/>
      <c r="R421" s="885"/>
      <c r="S421" s="885"/>
      <c r="T421" s="885"/>
      <c r="U421" s="885"/>
      <c r="V421" s="885"/>
      <c r="W421" s="885"/>
      <c r="X421" s="885"/>
      <c r="Y421" s="885"/>
      <c r="Z421" s="885"/>
      <c r="AA421" s="885"/>
      <c r="AB421" s="885"/>
      <c r="AC421" s="885"/>
    </row>
    <row r="422" spans="1:29" ht="15.75" customHeight="1" x14ac:dyDescent="0.2">
      <c r="A422" s="885"/>
      <c r="B422" s="885"/>
      <c r="C422" s="885"/>
      <c r="D422" s="885"/>
      <c r="E422" s="885"/>
      <c r="F422" s="885"/>
      <c r="G422" s="885"/>
      <c r="H422" s="885"/>
      <c r="I422" s="885"/>
      <c r="J422" s="885"/>
      <c r="K422" s="885"/>
      <c r="L422" s="885"/>
      <c r="M422" s="885"/>
      <c r="N422" s="885"/>
      <c r="O422" s="885"/>
      <c r="P422" s="885"/>
      <c r="Q422" s="885"/>
      <c r="R422" s="885"/>
      <c r="S422" s="885"/>
      <c r="T422" s="885"/>
      <c r="U422" s="885"/>
      <c r="V422" s="885"/>
      <c r="W422" s="885"/>
      <c r="X422" s="885"/>
      <c r="Y422" s="885"/>
      <c r="Z422" s="885"/>
      <c r="AA422" s="885"/>
      <c r="AB422" s="885"/>
      <c r="AC422" s="885"/>
    </row>
    <row r="423" spans="1:29" ht="15.75" customHeight="1" x14ac:dyDescent="0.2">
      <c r="A423" s="885"/>
      <c r="B423" s="885"/>
      <c r="C423" s="885"/>
      <c r="D423" s="885"/>
      <c r="E423" s="885"/>
      <c r="F423" s="885"/>
      <c r="G423" s="885"/>
      <c r="H423" s="885"/>
      <c r="I423" s="885"/>
      <c r="J423" s="885"/>
      <c r="K423" s="885"/>
      <c r="L423" s="885"/>
      <c r="M423" s="885"/>
      <c r="N423" s="885"/>
      <c r="O423" s="885"/>
      <c r="P423" s="885"/>
      <c r="Q423" s="885"/>
      <c r="R423" s="885"/>
      <c r="S423" s="885"/>
      <c r="T423" s="885"/>
      <c r="U423" s="885"/>
      <c r="V423" s="885"/>
      <c r="W423" s="885"/>
      <c r="X423" s="885"/>
      <c r="Y423" s="885"/>
      <c r="Z423" s="885"/>
      <c r="AA423" s="885"/>
      <c r="AB423" s="885"/>
      <c r="AC423" s="885"/>
    </row>
    <row r="424" spans="1:29" ht="15.75" customHeight="1" x14ac:dyDescent="0.2">
      <c r="A424" s="885"/>
      <c r="B424" s="885"/>
      <c r="C424" s="885"/>
      <c r="D424" s="885"/>
      <c r="E424" s="885"/>
      <c r="F424" s="885"/>
      <c r="G424" s="885"/>
      <c r="H424" s="885"/>
      <c r="I424" s="885"/>
      <c r="J424" s="885"/>
      <c r="K424" s="885"/>
      <c r="L424" s="885"/>
      <c r="M424" s="885"/>
      <c r="N424" s="885"/>
      <c r="O424" s="885"/>
      <c r="P424" s="885"/>
      <c r="Q424" s="885"/>
      <c r="R424" s="885"/>
      <c r="S424" s="885"/>
      <c r="T424" s="885"/>
      <c r="U424" s="885"/>
      <c r="V424" s="885"/>
      <c r="W424" s="885"/>
      <c r="X424" s="885"/>
      <c r="Y424" s="885"/>
      <c r="Z424" s="885"/>
      <c r="AA424" s="885"/>
      <c r="AB424" s="885"/>
      <c r="AC424" s="885"/>
    </row>
    <row r="425" spans="1:29" ht="15.75" customHeight="1" x14ac:dyDescent="0.2">
      <c r="A425" s="885"/>
      <c r="B425" s="885"/>
      <c r="C425" s="885"/>
      <c r="D425" s="885"/>
      <c r="E425" s="885"/>
      <c r="F425" s="885"/>
      <c r="G425" s="885"/>
      <c r="H425" s="885"/>
      <c r="I425" s="885"/>
      <c r="J425" s="885"/>
      <c r="K425" s="885"/>
      <c r="L425" s="885"/>
      <c r="M425" s="885"/>
      <c r="N425" s="885"/>
      <c r="O425" s="885"/>
      <c r="P425" s="885"/>
      <c r="Q425" s="885"/>
      <c r="R425" s="885"/>
      <c r="S425" s="885"/>
      <c r="T425" s="885"/>
      <c r="U425" s="885"/>
      <c r="V425" s="885"/>
      <c r="W425" s="885"/>
      <c r="X425" s="885"/>
      <c r="Y425" s="885"/>
      <c r="Z425" s="885"/>
      <c r="AA425" s="885"/>
      <c r="AB425" s="885"/>
      <c r="AC425" s="885"/>
    </row>
    <row r="426" spans="1:29" ht="15.75" customHeight="1" x14ac:dyDescent="0.2">
      <c r="A426" s="885"/>
      <c r="B426" s="885"/>
      <c r="C426" s="885"/>
      <c r="D426" s="885"/>
      <c r="E426" s="885"/>
      <c r="F426" s="885"/>
      <c r="G426" s="885"/>
      <c r="H426" s="885"/>
      <c r="I426" s="885"/>
      <c r="J426" s="885"/>
      <c r="K426" s="885"/>
      <c r="L426" s="885"/>
      <c r="M426" s="885"/>
      <c r="N426" s="885"/>
      <c r="O426" s="885"/>
      <c r="P426" s="885"/>
      <c r="Q426" s="885"/>
      <c r="R426" s="885"/>
      <c r="S426" s="885"/>
      <c r="T426" s="885"/>
      <c r="U426" s="885"/>
      <c r="V426" s="885"/>
      <c r="W426" s="885"/>
      <c r="X426" s="885"/>
      <c r="Y426" s="885"/>
      <c r="Z426" s="885"/>
      <c r="AA426" s="885"/>
      <c r="AB426" s="885"/>
      <c r="AC426" s="885"/>
    </row>
    <row r="427" spans="1:29" ht="15.75" customHeight="1" x14ac:dyDescent="0.2">
      <c r="A427" s="885"/>
      <c r="B427" s="885"/>
      <c r="C427" s="885"/>
      <c r="D427" s="885"/>
      <c r="E427" s="885"/>
      <c r="F427" s="885"/>
      <c r="G427" s="885"/>
      <c r="H427" s="885"/>
      <c r="I427" s="885"/>
      <c r="J427" s="885"/>
      <c r="K427" s="885"/>
      <c r="L427" s="885"/>
      <c r="M427" s="885"/>
      <c r="N427" s="885"/>
      <c r="O427" s="885"/>
      <c r="P427" s="885"/>
      <c r="Q427" s="885"/>
      <c r="R427" s="885"/>
      <c r="S427" s="885"/>
      <c r="T427" s="885"/>
      <c r="U427" s="885"/>
      <c r="V427" s="885"/>
      <c r="W427" s="885"/>
      <c r="X427" s="885"/>
      <c r="Y427" s="885"/>
      <c r="Z427" s="885"/>
      <c r="AA427" s="885"/>
      <c r="AB427" s="885"/>
      <c r="AC427" s="885"/>
    </row>
    <row r="428" spans="1:29" ht="15.75" customHeight="1" x14ac:dyDescent="0.2">
      <c r="A428" s="885"/>
      <c r="B428" s="885"/>
      <c r="C428" s="885"/>
      <c r="D428" s="885"/>
      <c r="E428" s="885"/>
      <c r="F428" s="885"/>
      <c r="G428" s="885"/>
      <c r="H428" s="885"/>
      <c r="I428" s="885"/>
      <c r="J428" s="885"/>
      <c r="K428" s="885"/>
      <c r="L428" s="885"/>
      <c r="M428" s="885"/>
      <c r="N428" s="885"/>
      <c r="O428" s="885"/>
      <c r="P428" s="885"/>
      <c r="Q428" s="885"/>
      <c r="R428" s="885"/>
      <c r="S428" s="885"/>
      <c r="T428" s="885"/>
      <c r="U428" s="885"/>
      <c r="V428" s="885"/>
      <c r="W428" s="885"/>
      <c r="X428" s="885"/>
      <c r="Y428" s="885"/>
      <c r="Z428" s="885"/>
      <c r="AA428" s="885"/>
      <c r="AB428" s="885"/>
      <c r="AC428" s="885"/>
    </row>
    <row r="429" spans="1:29" ht="15.75" customHeight="1" x14ac:dyDescent="0.2">
      <c r="A429" s="885"/>
      <c r="B429" s="885"/>
      <c r="C429" s="885"/>
      <c r="D429" s="885"/>
      <c r="E429" s="885"/>
      <c r="F429" s="885"/>
      <c r="G429" s="885"/>
      <c r="H429" s="885"/>
      <c r="I429" s="885"/>
      <c r="J429" s="885"/>
      <c r="K429" s="885"/>
      <c r="L429" s="885"/>
      <c r="M429" s="885"/>
      <c r="N429" s="885"/>
      <c r="O429" s="885"/>
      <c r="P429" s="885"/>
      <c r="Q429" s="885"/>
      <c r="R429" s="885"/>
      <c r="S429" s="885"/>
      <c r="T429" s="885"/>
      <c r="U429" s="885"/>
      <c r="V429" s="885"/>
      <c r="W429" s="885"/>
      <c r="X429" s="885"/>
      <c r="Y429" s="885"/>
      <c r="Z429" s="885"/>
      <c r="AA429" s="885"/>
      <c r="AB429" s="885"/>
      <c r="AC429" s="885"/>
    </row>
    <row r="430" spans="1:29" ht="15.75" customHeight="1" x14ac:dyDescent="0.2">
      <c r="A430" s="885"/>
      <c r="B430" s="885"/>
      <c r="C430" s="885"/>
      <c r="D430" s="885"/>
      <c r="E430" s="885"/>
      <c r="F430" s="885"/>
      <c r="G430" s="885"/>
      <c r="H430" s="885"/>
      <c r="I430" s="885"/>
      <c r="J430" s="885"/>
      <c r="K430" s="885"/>
      <c r="L430" s="885"/>
      <c r="M430" s="885"/>
      <c r="N430" s="885"/>
      <c r="O430" s="885"/>
      <c r="P430" s="885"/>
      <c r="Q430" s="885"/>
      <c r="R430" s="885"/>
      <c r="S430" s="885"/>
      <c r="T430" s="885"/>
      <c r="U430" s="885"/>
      <c r="V430" s="885"/>
      <c r="W430" s="885"/>
      <c r="X430" s="885"/>
      <c r="Y430" s="885"/>
      <c r="Z430" s="885"/>
      <c r="AA430" s="885"/>
      <c r="AB430" s="885"/>
      <c r="AC430" s="885"/>
    </row>
    <row r="431" spans="1:29" ht="15.75" customHeight="1" x14ac:dyDescent="0.2">
      <c r="A431" s="885"/>
      <c r="B431" s="885"/>
      <c r="C431" s="885"/>
      <c r="D431" s="885"/>
      <c r="E431" s="885"/>
      <c r="F431" s="885"/>
      <c r="G431" s="885"/>
      <c r="H431" s="885"/>
      <c r="I431" s="885"/>
      <c r="J431" s="885"/>
      <c r="K431" s="885"/>
      <c r="L431" s="885"/>
      <c r="M431" s="885"/>
      <c r="N431" s="885"/>
      <c r="O431" s="885"/>
      <c r="P431" s="885"/>
      <c r="Q431" s="885"/>
      <c r="R431" s="885"/>
      <c r="S431" s="885"/>
      <c r="T431" s="885"/>
      <c r="U431" s="885"/>
      <c r="V431" s="885"/>
      <c r="W431" s="885"/>
      <c r="X431" s="885"/>
      <c r="Y431" s="885"/>
      <c r="Z431" s="885"/>
      <c r="AA431" s="885"/>
      <c r="AB431" s="885"/>
      <c r="AC431" s="885"/>
    </row>
    <row r="432" spans="1:29" ht="15.75" customHeight="1" x14ac:dyDescent="0.2">
      <c r="A432" s="885"/>
      <c r="B432" s="885"/>
      <c r="C432" s="885"/>
      <c r="D432" s="885"/>
      <c r="E432" s="885"/>
      <c r="F432" s="885"/>
      <c r="G432" s="885"/>
      <c r="H432" s="885"/>
      <c r="I432" s="885"/>
      <c r="J432" s="885"/>
      <c r="K432" s="885"/>
      <c r="L432" s="885"/>
      <c r="M432" s="885"/>
      <c r="N432" s="885"/>
      <c r="O432" s="885"/>
      <c r="P432" s="885"/>
      <c r="Q432" s="885"/>
      <c r="R432" s="885"/>
      <c r="S432" s="885"/>
      <c r="T432" s="885"/>
      <c r="U432" s="885"/>
      <c r="V432" s="885"/>
      <c r="W432" s="885"/>
      <c r="X432" s="885"/>
      <c r="Y432" s="885"/>
      <c r="Z432" s="885"/>
      <c r="AA432" s="885"/>
      <c r="AB432" s="885"/>
      <c r="AC432" s="885"/>
    </row>
    <row r="433" spans="1:29" ht="15.75" customHeight="1" x14ac:dyDescent="0.2">
      <c r="A433" s="885"/>
      <c r="B433" s="885"/>
      <c r="C433" s="885"/>
      <c r="D433" s="885"/>
      <c r="E433" s="885"/>
      <c r="F433" s="885"/>
      <c r="G433" s="885"/>
      <c r="H433" s="885"/>
      <c r="I433" s="885"/>
      <c r="J433" s="885"/>
      <c r="K433" s="885"/>
      <c r="L433" s="885"/>
      <c r="M433" s="885"/>
      <c r="N433" s="885"/>
      <c r="O433" s="885"/>
      <c r="P433" s="885"/>
      <c r="Q433" s="885"/>
      <c r="R433" s="885"/>
      <c r="S433" s="885"/>
      <c r="T433" s="885"/>
      <c r="U433" s="885"/>
      <c r="V433" s="885"/>
      <c r="W433" s="885"/>
      <c r="X433" s="885"/>
      <c r="Y433" s="885"/>
      <c r="Z433" s="885"/>
      <c r="AA433" s="885"/>
      <c r="AB433" s="885"/>
      <c r="AC433" s="885"/>
    </row>
    <row r="434" spans="1:29" ht="15.75" customHeight="1" x14ac:dyDescent="0.2">
      <c r="A434" s="885"/>
      <c r="B434" s="885"/>
      <c r="C434" s="885"/>
      <c r="D434" s="885"/>
      <c r="E434" s="885"/>
      <c r="F434" s="885"/>
      <c r="G434" s="885"/>
      <c r="H434" s="885"/>
      <c r="I434" s="885"/>
      <c r="J434" s="885"/>
      <c r="K434" s="885"/>
      <c r="L434" s="885"/>
      <c r="M434" s="885"/>
      <c r="N434" s="885"/>
      <c r="O434" s="885"/>
      <c r="P434" s="885"/>
      <c r="Q434" s="885"/>
      <c r="R434" s="885"/>
      <c r="S434" s="885"/>
      <c r="T434" s="885"/>
      <c r="U434" s="885"/>
      <c r="V434" s="885"/>
      <c r="W434" s="885"/>
      <c r="X434" s="885"/>
      <c r="Y434" s="885"/>
      <c r="Z434" s="885"/>
      <c r="AA434" s="885"/>
      <c r="AB434" s="885"/>
      <c r="AC434" s="885"/>
    </row>
    <row r="435" spans="1:29" ht="15.75" customHeight="1" x14ac:dyDescent="0.2">
      <c r="A435" s="885"/>
      <c r="B435" s="885"/>
      <c r="C435" s="885"/>
      <c r="D435" s="885"/>
      <c r="E435" s="885"/>
      <c r="F435" s="885"/>
      <c r="G435" s="885"/>
      <c r="H435" s="885"/>
      <c r="I435" s="885"/>
      <c r="J435" s="885"/>
      <c r="K435" s="885"/>
      <c r="L435" s="885"/>
      <c r="M435" s="885"/>
      <c r="N435" s="885"/>
      <c r="O435" s="885"/>
      <c r="P435" s="885"/>
      <c r="Q435" s="885"/>
      <c r="R435" s="885"/>
      <c r="S435" s="885"/>
      <c r="T435" s="885"/>
      <c r="U435" s="885"/>
      <c r="V435" s="885"/>
      <c r="W435" s="885"/>
      <c r="X435" s="885"/>
      <c r="Y435" s="885"/>
      <c r="Z435" s="885"/>
      <c r="AA435" s="885"/>
      <c r="AB435" s="885"/>
      <c r="AC435" s="885"/>
    </row>
    <row r="436" spans="1:29" ht="15.75" customHeight="1" x14ac:dyDescent="0.2">
      <c r="A436" s="885"/>
      <c r="B436" s="885"/>
      <c r="C436" s="885"/>
      <c r="D436" s="885"/>
      <c r="E436" s="885"/>
      <c r="F436" s="885"/>
      <c r="G436" s="885"/>
      <c r="H436" s="885"/>
      <c r="I436" s="885"/>
      <c r="J436" s="885"/>
      <c r="K436" s="885"/>
      <c r="L436" s="885"/>
      <c r="M436" s="885"/>
      <c r="N436" s="885"/>
      <c r="O436" s="885"/>
      <c r="P436" s="885"/>
      <c r="Q436" s="885"/>
      <c r="R436" s="885"/>
      <c r="S436" s="885"/>
      <c r="T436" s="885"/>
      <c r="U436" s="885"/>
      <c r="V436" s="885"/>
      <c r="W436" s="885"/>
      <c r="X436" s="885"/>
      <c r="Y436" s="885"/>
      <c r="Z436" s="885"/>
      <c r="AA436" s="885"/>
      <c r="AB436" s="885"/>
      <c r="AC436" s="885"/>
    </row>
    <row r="437" spans="1:29" ht="15.75" customHeight="1" x14ac:dyDescent="0.2">
      <c r="A437" s="885"/>
      <c r="B437" s="885"/>
      <c r="C437" s="885"/>
      <c r="D437" s="885"/>
      <c r="E437" s="885"/>
      <c r="F437" s="885"/>
      <c r="G437" s="885"/>
      <c r="H437" s="885"/>
      <c r="I437" s="885"/>
      <c r="J437" s="885"/>
      <c r="K437" s="885"/>
      <c r="L437" s="885"/>
      <c r="M437" s="885"/>
      <c r="N437" s="885"/>
      <c r="O437" s="885"/>
      <c r="P437" s="885"/>
      <c r="Q437" s="885"/>
      <c r="R437" s="885"/>
      <c r="S437" s="885"/>
      <c r="T437" s="885"/>
      <c r="U437" s="885"/>
      <c r="V437" s="885"/>
      <c r="W437" s="885"/>
      <c r="X437" s="885"/>
      <c r="Y437" s="885"/>
      <c r="Z437" s="885"/>
      <c r="AA437" s="885"/>
      <c r="AB437" s="885"/>
      <c r="AC437" s="885"/>
    </row>
    <row r="438" spans="1:29" ht="15.75" customHeight="1" x14ac:dyDescent="0.2">
      <c r="A438" s="885"/>
      <c r="B438" s="885"/>
      <c r="C438" s="885"/>
      <c r="D438" s="885"/>
      <c r="E438" s="885"/>
      <c r="F438" s="885"/>
      <c r="G438" s="885"/>
      <c r="H438" s="885"/>
      <c r="I438" s="885"/>
      <c r="J438" s="885"/>
      <c r="K438" s="885"/>
      <c r="L438" s="885"/>
      <c r="M438" s="885"/>
      <c r="N438" s="885"/>
      <c r="O438" s="885"/>
      <c r="P438" s="885"/>
      <c r="Q438" s="885"/>
      <c r="R438" s="885"/>
      <c r="S438" s="885"/>
      <c r="T438" s="885"/>
      <c r="U438" s="885"/>
      <c r="V438" s="885"/>
      <c r="W438" s="885"/>
      <c r="X438" s="885"/>
      <c r="Y438" s="885"/>
      <c r="Z438" s="885"/>
      <c r="AA438" s="885"/>
      <c r="AB438" s="885"/>
      <c r="AC438" s="885"/>
    </row>
    <row r="439" spans="1:29" ht="15.75" customHeight="1" x14ac:dyDescent="0.2">
      <c r="A439" s="885"/>
      <c r="B439" s="885"/>
      <c r="C439" s="885"/>
      <c r="D439" s="885"/>
      <c r="E439" s="885"/>
      <c r="F439" s="885"/>
      <c r="G439" s="885"/>
      <c r="H439" s="885"/>
      <c r="I439" s="885"/>
      <c r="J439" s="885"/>
      <c r="K439" s="885"/>
      <c r="L439" s="885"/>
      <c r="M439" s="885"/>
      <c r="N439" s="885"/>
      <c r="O439" s="885"/>
      <c r="P439" s="885"/>
      <c r="Q439" s="885"/>
      <c r="R439" s="885"/>
      <c r="S439" s="885"/>
      <c r="T439" s="885"/>
      <c r="U439" s="885"/>
      <c r="V439" s="885"/>
      <c r="W439" s="885"/>
      <c r="X439" s="885"/>
      <c r="Y439" s="885"/>
      <c r="Z439" s="885"/>
      <c r="AA439" s="885"/>
      <c r="AB439" s="885"/>
      <c r="AC439" s="885"/>
    </row>
    <row r="440" spans="1:29" ht="15.75" customHeight="1" x14ac:dyDescent="0.2">
      <c r="A440" s="885"/>
      <c r="B440" s="885"/>
      <c r="C440" s="885"/>
      <c r="D440" s="885"/>
      <c r="E440" s="885"/>
      <c r="F440" s="885"/>
      <c r="G440" s="885"/>
      <c r="H440" s="885"/>
      <c r="I440" s="885"/>
      <c r="J440" s="885"/>
      <c r="K440" s="885"/>
      <c r="L440" s="885"/>
      <c r="M440" s="885"/>
      <c r="N440" s="885"/>
      <c r="O440" s="885"/>
      <c r="P440" s="885"/>
      <c r="Q440" s="885"/>
      <c r="R440" s="885"/>
      <c r="S440" s="885"/>
      <c r="T440" s="885"/>
      <c r="U440" s="885"/>
      <c r="V440" s="885"/>
      <c r="W440" s="885"/>
      <c r="X440" s="885"/>
      <c r="Y440" s="885"/>
      <c r="Z440" s="885"/>
      <c r="AA440" s="885"/>
      <c r="AB440" s="885"/>
      <c r="AC440" s="885"/>
    </row>
    <row r="441" spans="1:29" ht="15.75" customHeight="1" x14ac:dyDescent="0.2">
      <c r="A441" s="885"/>
      <c r="B441" s="885"/>
      <c r="C441" s="885"/>
      <c r="D441" s="885"/>
      <c r="E441" s="885"/>
      <c r="F441" s="885"/>
      <c r="G441" s="885"/>
      <c r="H441" s="885"/>
      <c r="I441" s="885"/>
      <c r="J441" s="885"/>
      <c r="K441" s="885"/>
      <c r="L441" s="885"/>
      <c r="M441" s="885"/>
      <c r="N441" s="885"/>
      <c r="O441" s="885"/>
      <c r="P441" s="885"/>
      <c r="Q441" s="885"/>
      <c r="R441" s="885"/>
      <c r="S441" s="885"/>
      <c r="T441" s="885"/>
      <c r="U441" s="885"/>
      <c r="V441" s="885"/>
      <c r="W441" s="885"/>
      <c r="X441" s="885"/>
      <c r="Y441" s="885"/>
      <c r="Z441" s="885"/>
      <c r="AA441" s="885"/>
      <c r="AB441" s="885"/>
      <c r="AC441" s="885"/>
    </row>
    <row r="442" spans="1:29" ht="15.75" customHeight="1" x14ac:dyDescent="0.2">
      <c r="A442" s="885"/>
      <c r="B442" s="885"/>
      <c r="C442" s="885"/>
      <c r="D442" s="885"/>
      <c r="E442" s="885"/>
      <c r="F442" s="885"/>
      <c r="G442" s="885"/>
      <c r="H442" s="885"/>
      <c r="I442" s="885"/>
      <c r="J442" s="885"/>
      <c r="K442" s="885"/>
      <c r="L442" s="885"/>
      <c r="M442" s="885"/>
      <c r="N442" s="885"/>
      <c r="O442" s="885"/>
      <c r="P442" s="885"/>
      <c r="Q442" s="885"/>
      <c r="R442" s="885"/>
      <c r="S442" s="885"/>
      <c r="T442" s="885"/>
      <c r="U442" s="885"/>
      <c r="V442" s="885"/>
      <c r="W442" s="885"/>
      <c r="X442" s="885"/>
      <c r="Y442" s="885"/>
      <c r="Z442" s="885"/>
      <c r="AA442" s="885"/>
      <c r="AB442" s="885"/>
      <c r="AC442" s="885"/>
    </row>
    <row r="443" spans="1:29" ht="15.75" customHeight="1" x14ac:dyDescent="0.2">
      <c r="A443" s="885"/>
      <c r="B443" s="885"/>
      <c r="C443" s="885"/>
      <c r="D443" s="885"/>
      <c r="E443" s="885"/>
      <c r="F443" s="885"/>
      <c r="G443" s="885"/>
      <c r="H443" s="885"/>
      <c r="I443" s="885"/>
      <c r="J443" s="885"/>
      <c r="K443" s="885"/>
      <c r="L443" s="885"/>
      <c r="M443" s="885"/>
      <c r="N443" s="885"/>
      <c r="O443" s="885"/>
      <c r="P443" s="885"/>
      <c r="Q443" s="885"/>
      <c r="R443" s="885"/>
      <c r="S443" s="885"/>
      <c r="T443" s="885"/>
      <c r="U443" s="885"/>
      <c r="V443" s="885"/>
      <c r="W443" s="885"/>
      <c r="X443" s="885"/>
      <c r="Y443" s="885"/>
      <c r="Z443" s="885"/>
      <c r="AA443" s="885"/>
      <c r="AB443" s="885"/>
      <c r="AC443" s="885"/>
    </row>
    <row r="444" spans="1:29" ht="15.75" customHeight="1" x14ac:dyDescent="0.2">
      <c r="A444" s="885"/>
      <c r="B444" s="885"/>
      <c r="C444" s="885"/>
      <c r="D444" s="885"/>
      <c r="E444" s="885"/>
      <c r="F444" s="885"/>
      <c r="G444" s="885"/>
      <c r="H444" s="885"/>
      <c r="I444" s="885"/>
      <c r="J444" s="885"/>
      <c r="K444" s="885"/>
      <c r="L444" s="885"/>
      <c r="M444" s="885"/>
      <c r="N444" s="885"/>
      <c r="O444" s="885"/>
      <c r="P444" s="885"/>
      <c r="Q444" s="885"/>
      <c r="R444" s="885"/>
      <c r="S444" s="885"/>
      <c r="T444" s="885"/>
      <c r="U444" s="885"/>
      <c r="V444" s="885"/>
      <c r="W444" s="885"/>
      <c r="X444" s="885"/>
      <c r="Y444" s="885"/>
      <c r="Z444" s="885"/>
      <c r="AA444" s="885"/>
      <c r="AB444" s="885"/>
      <c r="AC444" s="885"/>
    </row>
    <row r="445" spans="1:29" ht="15.75" customHeight="1" x14ac:dyDescent="0.2">
      <c r="A445" s="885"/>
      <c r="B445" s="885"/>
      <c r="C445" s="885"/>
      <c r="D445" s="885"/>
      <c r="E445" s="885"/>
      <c r="F445" s="885"/>
      <c r="G445" s="885"/>
      <c r="H445" s="885"/>
      <c r="I445" s="885"/>
      <c r="J445" s="885"/>
      <c r="K445" s="885"/>
      <c r="L445" s="885"/>
      <c r="M445" s="885"/>
      <c r="N445" s="885"/>
      <c r="O445" s="885"/>
      <c r="P445" s="885"/>
      <c r="Q445" s="885"/>
      <c r="R445" s="885"/>
      <c r="S445" s="885"/>
      <c r="T445" s="885"/>
      <c r="U445" s="885"/>
      <c r="V445" s="885"/>
      <c r="W445" s="885"/>
      <c r="X445" s="885"/>
      <c r="Y445" s="885"/>
      <c r="Z445" s="885"/>
      <c r="AA445" s="885"/>
      <c r="AB445" s="885"/>
      <c r="AC445" s="885"/>
    </row>
    <row r="446" spans="1:29" ht="15.75" customHeight="1" x14ac:dyDescent="0.2">
      <c r="A446" s="885"/>
      <c r="B446" s="885"/>
      <c r="C446" s="885"/>
      <c r="D446" s="885"/>
      <c r="E446" s="885"/>
      <c r="F446" s="885"/>
      <c r="G446" s="885"/>
      <c r="H446" s="885"/>
      <c r="I446" s="885"/>
      <c r="J446" s="885"/>
      <c r="K446" s="885"/>
      <c r="L446" s="885"/>
      <c r="M446" s="885"/>
      <c r="N446" s="885"/>
      <c r="O446" s="885"/>
      <c r="P446" s="885"/>
      <c r="Q446" s="885"/>
      <c r="R446" s="885"/>
      <c r="S446" s="885"/>
      <c r="T446" s="885"/>
      <c r="U446" s="885"/>
      <c r="V446" s="885"/>
      <c r="W446" s="885"/>
      <c r="X446" s="885"/>
      <c r="Y446" s="885"/>
      <c r="Z446" s="885"/>
      <c r="AA446" s="885"/>
      <c r="AB446" s="885"/>
      <c r="AC446" s="885"/>
    </row>
    <row r="447" spans="1:29" ht="15.75" customHeight="1" x14ac:dyDescent="0.2">
      <c r="A447" s="885"/>
      <c r="B447" s="885"/>
      <c r="C447" s="885"/>
      <c r="D447" s="885"/>
      <c r="E447" s="885"/>
      <c r="F447" s="885"/>
      <c r="G447" s="885"/>
      <c r="H447" s="885"/>
      <c r="I447" s="885"/>
      <c r="J447" s="885"/>
      <c r="K447" s="885"/>
      <c r="L447" s="885"/>
      <c r="M447" s="885"/>
      <c r="N447" s="885"/>
      <c r="O447" s="885"/>
      <c r="P447" s="885"/>
      <c r="Q447" s="885"/>
      <c r="R447" s="885"/>
      <c r="S447" s="885"/>
      <c r="T447" s="885"/>
      <c r="U447" s="885"/>
      <c r="V447" s="885"/>
      <c r="W447" s="885"/>
      <c r="X447" s="885"/>
      <c r="Y447" s="885"/>
      <c r="Z447" s="885"/>
      <c r="AA447" s="885"/>
      <c r="AB447" s="885"/>
      <c r="AC447" s="885"/>
    </row>
    <row r="448" spans="1:29" ht="15.75" customHeight="1" x14ac:dyDescent="0.2">
      <c r="A448" s="885"/>
      <c r="B448" s="885"/>
      <c r="C448" s="885"/>
      <c r="D448" s="885"/>
      <c r="E448" s="885"/>
      <c r="F448" s="885"/>
      <c r="G448" s="885"/>
      <c r="H448" s="885"/>
      <c r="I448" s="885"/>
      <c r="J448" s="885"/>
      <c r="K448" s="885"/>
      <c r="L448" s="885"/>
      <c r="M448" s="885"/>
      <c r="N448" s="885"/>
      <c r="O448" s="885"/>
      <c r="P448" s="885"/>
      <c r="Q448" s="885"/>
      <c r="R448" s="885"/>
      <c r="S448" s="885"/>
      <c r="T448" s="885"/>
      <c r="U448" s="885"/>
      <c r="V448" s="885"/>
      <c r="W448" s="885"/>
      <c r="X448" s="885"/>
      <c r="Y448" s="885"/>
      <c r="Z448" s="885"/>
      <c r="AA448" s="885"/>
      <c r="AB448" s="885"/>
      <c r="AC448" s="885"/>
    </row>
    <row r="449" spans="1:29" ht="15.75" customHeight="1" x14ac:dyDescent="0.2">
      <c r="A449" s="885"/>
      <c r="B449" s="885"/>
      <c r="C449" s="885"/>
      <c r="D449" s="885"/>
      <c r="E449" s="885"/>
      <c r="F449" s="885"/>
      <c r="G449" s="885"/>
      <c r="H449" s="885"/>
      <c r="I449" s="885"/>
      <c r="J449" s="885"/>
      <c r="K449" s="885"/>
      <c r="L449" s="885"/>
      <c r="M449" s="885"/>
      <c r="N449" s="885"/>
      <c r="O449" s="885"/>
      <c r="P449" s="885"/>
      <c r="Q449" s="885"/>
      <c r="R449" s="885"/>
      <c r="S449" s="885"/>
      <c r="T449" s="885"/>
      <c r="U449" s="885"/>
      <c r="V449" s="885"/>
      <c r="W449" s="885"/>
      <c r="X449" s="885"/>
      <c r="Y449" s="885"/>
      <c r="Z449" s="885"/>
      <c r="AA449" s="885"/>
      <c r="AB449" s="885"/>
      <c r="AC449" s="885"/>
    </row>
    <row r="450" spans="1:29" ht="15.75" customHeight="1" x14ac:dyDescent="0.2">
      <c r="A450" s="885"/>
      <c r="B450" s="885"/>
      <c r="C450" s="885"/>
      <c r="D450" s="885"/>
      <c r="E450" s="885"/>
      <c r="F450" s="885"/>
      <c r="G450" s="885"/>
      <c r="H450" s="885"/>
      <c r="I450" s="885"/>
      <c r="J450" s="885"/>
      <c r="K450" s="885"/>
      <c r="L450" s="885"/>
      <c r="M450" s="885"/>
      <c r="N450" s="885"/>
      <c r="O450" s="885"/>
      <c r="P450" s="885"/>
      <c r="Q450" s="885"/>
      <c r="R450" s="885"/>
      <c r="S450" s="885"/>
      <c r="T450" s="885"/>
      <c r="U450" s="885"/>
      <c r="V450" s="885"/>
      <c r="W450" s="885"/>
      <c r="X450" s="885"/>
      <c r="Y450" s="885"/>
      <c r="Z450" s="885"/>
      <c r="AA450" s="885"/>
      <c r="AB450" s="885"/>
      <c r="AC450" s="885"/>
    </row>
    <row r="451" spans="1:29" ht="15.75" customHeight="1" x14ac:dyDescent="0.2">
      <c r="A451" s="885"/>
      <c r="B451" s="885"/>
      <c r="C451" s="885"/>
      <c r="D451" s="885"/>
      <c r="E451" s="885"/>
      <c r="F451" s="885"/>
      <c r="G451" s="885"/>
      <c r="H451" s="885"/>
      <c r="I451" s="885"/>
      <c r="J451" s="885"/>
      <c r="K451" s="885"/>
      <c r="L451" s="885"/>
      <c r="M451" s="885"/>
      <c r="N451" s="885"/>
      <c r="O451" s="885"/>
      <c r="P451" s="885"/>
      <c r="Q451" s="885"/>
      <c r="R451" s="885"/>
      <c r="S451" s="885"/>
      <c r="T451" s="885"/>
      <c r="U451" s="885"/>
      <c r="V451" s="885"/>
      <c r="W451" s="885"/>
      <c r="X451" s="885"/>
      <c r="Y451" s="885"/>
      <c r="Z451" s="885"/>
      <c r="AA451" s="885"/>
      <c r="AB451" s="885"/>
      <c r="AC451" s="885"/>
    </row>
    <row r="452" spans="1:29" ht="15.75" customHeight="1" x14ac:dyDescent="0.2">
      <c r="A452" s="885"/>
      <c r="B452" s="885"/>
      <c r="C452" s="885"/>
      <c r="D452" s="885"/>
      <c r="E452" s="885"/>
      <c r="F452" s="885"/>
      <c r="G452" s="885"/>
      <c r="H452" s="885"/>
      <c r="I452" s="885"/>
      <c r="J452" s="885"/>
      <c r="K452" s="885"/>
      <c r="L452" s="885"/>
      <c r="M452" s="885"/>
      <c r="N452" s="885"/>
      <c r="O452" s="885"/>
      <c r="P452" s="885"/>
      <c r="Q452" s="885"/>
      <c r="R452" s="885"/>
      <c r="S452" s="885"/>
      <c r="T452" s="885"/>
      <c r="U452" s="885"/>
      <c r="V452" s="885"/>
      <c r="W452" s="885"/>
      <c r="X452" s="885"/>
      <c r="Y452" s="885"/>
      <c r="Z452" s="885"/>
      <c r="AA452" s="885"/>
      <c r="AB452" s="885"/>
      <c r="AC452" s="885"/>
    </row>
    <row r="453" spans="1:29" ht="15.75" customHeight="1" x14ac:dyDescent="0.2">
      <c r="A453" s="885"/>
      <c r="B453" s="885"/>
      <c r="C453" s="885"/>
      <c r="D453" s="885"/>
      <c r="E453" s="885"/>
      <c r="F453" s="885"/>
      <c r="G453" s="885"/>
      <c r="H453" s="885"/>
      <c r="I453" s="885"/>
      <c r="J453" s="885"/>
      <c r="K453" s="885"/>
      <c r="L453" s="885"/>
      <c r="M453" s="885"/>
      <c r="N453" s="885"/>
      <c r="O453" s="885"/>
      <c r="P453" s="885"/>
      <c r="Q453" s="885"/>
      <c r="R453" s="885"/>
      <c r="S453" s="885"/>
      <c r="T453" s="885"/>
      <c r="U453" s="885"/>
      <c r="V453" s="885"/>
      <c r="W453" s="885"/>
      <c r="X453" s="885"/>
      <c r="Y453" s="885"/>
      <c r="Z453" s="885"/>
      <c r="AA453" s="885"/>
      <c r="AB453" s="885"/>
      <c r="AC453" s="885"/>
    </row>
    <row r="454" spans="1:29" ht="15.75" customHeight="1" x14ac:dyDescent="0.2">
      <c r="A454" s="885"/>
      <c r="B454" s="885"/>
      <c r="C454" s="885"/>
      <c r="D454" s="885"/>
      <c r="E454" s="885"/>
      <c r="F454" s="885"/>
      <c r="G454" s="885"/>
      <c r="H454" s="885"/>
      <c r="I454" s="885"/>
      <c r="J454" s="885"/>
      <c r="K454" s="885"/>
      <c r="L454" s="885"/>
      <c r="M454" s="885"/>
      <c r="N454" s="885"/>
      <c r="O454" s="885"/>
      <c r="P454" s="885"/>
      <c r="Q454" s="885"/>
      <c r="R454" s="885"/>
      <c r="S454" s="885"/>
      <c r="T454" s="885"/>
      <c r="U454" s="885"/>
      <c r="V454" s="885"/>
      <c r="W454" s="885"/>
      <c r="X454" s="885"/>
      <c r="Y454" s="885"/>
      <c r="Z454" s="885"/>
      <c r="AA454" s="885"/>
      <c r="AB454" s="885"/>
      <c r="AC454" s="885"/>
    </row>
    <row r="455" spans="1:29" ht="15.75" customHeight="1" x14ac:dyDescent="0.2">
      <c r="A455" s="885"/>
      <c r="B455" s="885"/>
      <c r="C455" s="885"/>
      <c r="D455" s="885"/>
      <c r="E455" s="885"/>
      <c r="F455" s="885"/>
      <c r="G455" s="885"/>
      <c r="H455" s="885"/>
      <c r="I455" s="885"/>
      <c r="J455" s="885"/>
      <c r="K455" s="885"/>
      <c r="L455" s="885"/>
      <c r="M455" s="885"/>
      <c r="N455" s="885"/>
      <c r="O455" s="885"/>
      <c r="P455" s="885"/>
      <c r="Q455" s="885"/>
      <c r="R455" s="885"/>
      <c r="S455" s="885"/>
      <c r="T455" s="885"/>
      <c r="U455" s="885"/>
      <c r="V455" s="885"/>
      <c r="W455" s="885"/>
      <c r="X455" s="885"/>
      <c r="Y455" s="885"/>
      <c r="Z455" s="885"/>
      <c r="AA455" s="885"/>
      <c r="AB455" s="885"/>
      <c r="AC455" s="885"/>
    </row>
    <row r="456" spans="1:29" ht="15.75" customHeight="1" x14ac:dyDescent="0.2">
      <c r="A456" s="885"/>
      <c r="B456" s="885"/>
      <c r="C456" s="885"/>
      <c r="D456" s="885"/>
      <c r="E456" s="885"/>
      <c r="F456" s="885"/>
      <c r="G456" s="885"/>
      <c r="H456" s="885"/>
      <c r="I456" s="885"/>
      <c r="J456" s="885"/>
      <c r="K456" s="885"/>
      <c r="L456" s="885"/>
      <c r="M456" s="885"/>
      <c r="N456" s="885"/>
      <c r="O456" s="885"/>
      <c r="P456" s="885"/>
      <c r="Q456" s="885"/>
      <c r="R456" s="885"/>
      <c r="S456" s="885"/>
      <c r="T456" s="885"/>
      <c r="U456" s="885"/>
      <c r="V456" s="885"/>
      <c r="W456" s="885"/>
      <c r="X456" s="885"/>
      <c r="Y456" s="885"/>
      <c r="Z456" s="885"/>
      <c r="AA456" s="885"/>
      <c r="AB456" s="885"/>
      <c r="AC456" s="885"/>
    </row>
    <row r="457" spans="1:29" ht="15.75" customHeight="1" x14ac:dyDescent="0.2">
      <c r="A457" s="885"/>
      <c r="B457" s="885"/>
      <c r="C457" s="885"/>
      <c r="D457" s="885"/>
      <c r="E457" s="885"/>
      <c r="F457" s="885"/>
      <c r="G457" s="885"/>
      <c r="H457" s="885"/>
      <c r="I457" s="885"/>
      <c r="J457" s="885"/>
      <c r="K457" s="885"/>
      <c r="L457" s="885"/>
      <c r="M457" s="885"/>
      <c r="N457" s="885"/>
      <c r="O457" s="885"/>
      <c r="P457" s="885"/>
      <c r="Q457" s="885"/>
      <c r="R457" s="885"/>
      <c r="S457" s="885"/>
      <c r="T457" s="885"/>
      <c r="U457" s="885"/>
      <c r="V457" s="885"/>
      <c r="W457" s="885"/>
      <c r="X457" s="885"/>
      <c r="Y457" s="885"/>
      <c r="Z457" s="885"/>
      <c r="AA457" s="885"/>
      <c r="AB457" s="885"/>
      <c r="AC457" s="885"/>
    </row>
    <row r="458" spans="1:29" ht="15.75" customHeight="1" x14ac:dyDescent="0.2">
      <c r="A458" s="885"/>
      <c r="B458" s="885"/>
      <c r="C458" s="885"/>
      <c r="D458" s="885"/>
      <c r="E458" s="885"/>
      <c r="F458" s="885"/>
      <c r="G458" s="885"/>
      <c r="H458" s="885"/>
      <c r="I458" s="885"/>
      <c r="J458" s="885"/>
      <c r="K458" s="885"/>
      <c r="L458" s="885"/>
      <c r="M458" s="885"/>
      <c r="N458" s="885"/>
      <c r="O458" s="885"/>
      <c r="P458" s="885"/>
      <c r="Q458" s="885"/>
      <c r="R458" s="885"/>
      <c r="S458" s="885"/>
      <c r="T458" s="885"/>
      <c r="U458" s="885"/>
      <c r="V458" s="885"/>
      <c r="W458" s="885"/>
      <c r="X458" s="885"/>
      <c r="Y458" s="885"/>
      <c r="Z458" s="885"/>
      <c r="AA458" s="885"/>
      <c r="AB458" s="885"/>
      <c r="AC458" s="885"/>
    </row>
    <row r="459" spans="1:29" ht="15.75" customHeight="1" x14ac:dyDescent="0.2">
      <c r="A459" s="885"/>
      <c r="B459" s="885"/>
      <c r="C459" s="885"/>
      <c r="D459" s="885"/>
      <c r="E459" s="885"/>
      <c r="F459" s="885"/>
      <c r="G459" s="885"/>
      <c r="H459" s="885"/>
      <c r="I459" s="885"/>
      <c r="J459" s="885"/>
      <c r="K459" s="885"/>
      <c r="L459" s="885"/>
      <c r="M459" s="885"/>
      <c r="N459" s="885"/>
      <c r="O459" s="885"/>
      <c r="P459" s="885"/>
      <c r="Q459" s="885"/>
      <c r="R459" s="885"/>
      <c r="S459" s="885"/>
      <c r="T459" s="885"/>
      <c r="U459" s="885"/>
      <c r="V459" s="885"/>
      <c r="W459" s="885"/>
      <c r="X459" s="885"/>
      <c r="Y459" s="885"/>
      <c r="Z459" s="885"/>
      <c r="AA459" s="885"/>
      <c r="AB459" s="885"/>
      <c r="AC459" s="885"/>
    </row>
    <row r="460" spans="1:29" ht="15.75" customHeight="1" x14ac:dyDescent="0.2">
      <c r="A460" s="885"/>
      <c r="B460" s="885"/>
      <c r="C460" s="885"/>
      <c r="D460" s="885"/>
      <c r="E460" s="885"/>
      <c r="F460" s="885"/>
      <c r="G460" s="885"/>
      <c r="H460" s="885"/>
      <c r="I460" s="885"/>
      <c r="J460" s="885"/>
      <c r="K460" s="885"/>
      <c r="L460" s="885"/>
      <c r="M460" s="885"/>
      <c r="N460" s="885"/>
      <c r="O460" s="885"/>
      <c r="P460" s="885"/>
      <c r="Q460" s="885"/>
      <c r="R460" s="885"/>
      <c r="S460" s="885"/>
      <c r="T460" s="885"/>
      <c r="U460" s="885"/>
      <c r="V460" s="885"/>
      <c r="W460" s="885"/>
      <c r="X460" s="885"/>
      <c r="Y460" s="885"/>
      <c r="Z460" s="885"/>
      <c r="AA460" s="885"/>
      <c r="AB460" s="885"/>
      <c r="AC460" s="885"/>
    </row>
    <row r="461" spans="1:29" ht="15.75" customHeight="1" x14ac:dyDescent="0.2">
      <c r="A461" s="885"/>
      <c r="B461" s="885"/>
      <c r="C461" s="885"/>
      <c r="D461" s="885"/>
      <c r="E461" s="885"/>
      <c r="F461" s="885"/>
      <c r="G461" s="885"/>
      <c r="H461" s="885"/>
      <c r="I461" s="885"/>
      <c r="J461" s="885"/>
      <c r="K461" s="885"/>
      <c r="L461" s="885"/>
      <c r="M461" s="885"/>
      <c r="N461" s="885"/>
      <c r="O461" s="885"/>
      <c r="P461" s="885"/>
      <c r="Q461" s="885"/>
      <c r="R461" s="885"/>
      <c r="S461" s="885"/>
      <c r="T461" s="885"/>
      <c r="U461" s="885"/>
      <c r="V461" s="885"/>
      <c r="W461" s="885"/>
      <c r="X461" s="885"/>
      <c r="Y461" s="885"/>
      <c r="Z461" s="885"/>
      <c r="AA461" s="885"/>
      <c r="AB461" s="885"/>
      <c r="AC461" s="885"/>
    </row>
    <row r="462" spans="1:29" ht="15.75" customHeight="1" x14ac:dyDescent="0.2">
      <c r="A462" s="885"/>
      <c r="B462" s="885"/>
      <c r="C462" s="885"/>
      <c r="D462" s="885"/>
      <c r="E462" s="885"/>
      <c r="F462" s="885"/>
      <c r="G462" s="885"/>
      <c r="H462" s="885"/>
      <c r="I462" s="885"/>
      <c r="J462" s="885"/>
      <c r="K462" s="885"/>
      <c r="L462" s="885"/>
      <c r="M462" s="885"/>
      <c r="N462" s="885"/>
      <c r="O462" s="885"/>
      <c r="P462" s="885"/>
      <c r="Q462" s="885"/>
      <c r="R462" s="885"/>
      <c r="S462" s="885"/>
      <c r="T462" s="885"/>
      <c r="U462" s="885"/>
      <c r="V462" s="885"/>
      <c r="W462" s="885"/>
      <c r="X462" s="885"/>
      <c r="Y462" s="885"/>
      <c r="Z462" s="885"/>
      <c r="AA462" s="885"/>
      <c r="AB462" s="885"/>
      <c r="AC462" s="885"/>
    </row>
    <row r="463" spans="1:29" ht="15.75" customHeight="1" x14ac:dyDescent="0.2">
      <c r="A463" s="885"/>
      <c r="B463" s="885"/>
      <c r="C463" s="885"/>
      <c r="D463" s="885"/>
      <c r="E463" s="885"/>
      <c r="F463" s="885"/>
      <c r="G463" s="885"/>
      <c r="H463" s="885"/>
      <c r="I463" s="885"/>
      <c r="J463" s="885"/>
      <c r="K463" s="885"/>
      <c r="L463" s="885"/>
      <c r="M463" s="885"/>
      <c r="N463" s="885"/>
      <c r="O463" s="885"/>
      <c r="P463" s="885"/>
      <c r="Q463" s="885"/>
      <c r="R463" s="885"/>
      <c r="S463" s="885"/>
      <c r="T463" s="885"/>
      <c r="U463" s="885"/>
      <c r="V463" s="885"/>
      <c r="W463" s="885"/>
      <c r="X463" s="885"/>
      <c r="Y463" s="885"/>
      <c r="Z463" s="885"/>
      <c r="AA463" s="885"/>
      <c r="AB463" s="885"/>
      <c r="AC463" s="885"/>
    </row>
    <row r="464" spans="1:29" ht="15.75" customHeight="1" x14ac:dyDescent="0.2">
      <c r="A464" s="885"/>
      <c r="B464" s="885"/>
      <c r="C464" s="885"/>
      <c r="D464" s="885"/>
      <c r="E464" s="885"/>
      <c r="F464" s="885"/>
      <c r="G464" s="885"/>
      <c r="H464" s="885"/>
      <c r="I464" s="885"/>
      <c r="J464" s="885"/>
      <c r="K464" s="885"/>
      <c r="L464" s="885"/>
      <c r="M464" s="885"/>
      <c r="N464" s="885"/>
      <c r="O464" s="885"/>
      <c r="P464" s="885"/>
      <c r="Q464" s="885"/>
      <c r="R464" s="885"/>
      <c r="S464" s="885"/>
      <c r="T464" s="885"/>
      <c r="U464" s="885"/>
      <c r="V464" s="885"/>
      <c r="W464" s="885"/>
      <c r="X464" s="885"/>
      <c r="Y464" s="885"/>
      <c r="Z464" s="885"/>
      <c r="AA464" s="885"/>
      <c r="AB464" s="885"/>
      <c r="AC464" s="885"/>
    </row>
    <row r="465" spans="1:29" ht="15.75" customHeight="1" x14ac:dyDescent="0.2">
      <c r="A465" s="885"/>
      <c r="B465" s="885"/>
      <c r="C465" s="885"/>
      <c r="D465" s="885"/>
      <c r="E465" s="885"/>
      <c r="F465" s="885"/>
      <c r="G465" s="885"/>
      <c r="H465" s="885"/>
      <c r="I465" s="885"/>
      <c r="J465" s="885"/>
      <c r="K465" s="885"/>
      <c r="L465" s="885"/>
      <c r="M465" s="885"/>
      <c r="N465" s="885"/>
      <c r="O465" s="885"/>
      <c r="P465" s="885"/>
      <c r="Q465" s="885"/>
      <c r="R465" s="885"/>
      <c r="S465" s="885"/>
      <c r="T465" s="885"/>
      <c r="U465" s="885"/>
      <c r="V465" s="885"/>
      <c r="W465" s="885"/>
      <c r="X465" s="885"/>
      <c r="Y465" s="885"/>
      <c r="Z465" s="885"/>
      <c r="AA465" s="885"/>
      <c r="AB465" s="885"/>
      <c r="AC465" s="885"/>
    </row>
    <row r="466" spans="1:29" ht="15.75" customHeight="1" x14ac:dyDescent="0.2">
      <c r="A466" s="885"/>
      <c r="B466" s="885"/>
      <c r="C466" s="885"/>
      <c r="D466" s="885"/>
      <c r="E466" s="885"/>
      <c r="F466" s="885"/>
      <c r="G466" s="885"/>
      <c r="H466" s="885"/>
      <c r="I466" s="885"/>
      <c r="J466" s="885"/>
      <c r="K466" s="885"/>
      <c r="L466" s="885"/>
      <c r="M466" s="885"/>
      <c r="N466" s="885"/>
      <c r="O466" s="885"/>
      <c r="P466" s="885"/>
      <c r="Q466" s="885"/>
      <c r="R466" s="885"/>
      <c r="S466" s="885"/>
      <c r="T466" s="885"/>
      <c r="U466" s="885"/>
      <c r="V466" s="885"/>
      <c r="W466" s="885"/>
      <c r="X466" s="885"/>
      <c r="Y466" s="885"/>
      <c r="Z466" s="885"/>
      <c r="AA466" s="885"/>
      <c r="AB466" s="885"/>
      <c r="AC466" s="885"/>
    </row>
    <row r="467" spans="1:29" ht="15.75" customHeight="1" x14ac:dyDescent="0.2">
      <c r="A467" s="885"/>
      <c r="B467" s="885"/>
      <c r="C467" s="885"/>
      <c r="D467" s="885"/>
      <c r="E467" s="885"/>
      <c r="F467" s="885"/>
      <c r="G467" s="885"/>
      <c r="H467" s="885"/>
      <c r="I467" s="885"/>
      <c r="J467" s="885"/>
      <c r="K467" s="885"/>
      <c r="L467" s="885"/>
      <c r="M467" s="885"/>
      <c r="N467" s="885"/>
      <c r="O467" s="885"/>
      <c r="P467" s="885"/>
      <c r="Q467" s="885"/>
      <c r="R467" s="885"/>
      <c r="S467" s="885"/>
      <c r="T467" s="885"/>
      <c r="U467" s="885"/>
      <c r="V467" s="885"/>
      <c r="W467" s="885"/>
      <c r="X467" s="885"/>
      <c r="Y467" s="885"/>
      <c r="Z467" s="885"/>
      <c r="AA467" s="885"/>
      <c r="AB467" s="885"/>
      <c r="AC467" s="885"/>
    </row>
    <row r="468" spans="1:29" ht="15.75" customHeight="1" x14ac:dyDescent="0.2">
      <c r="A468" s="885"/>
      <c r="B468" s="885"/>
      <c r="C468" s="885"/>
      <c r="D468" s="885"/>
      <c r="E468" s="885"/>
      <c r="F468" s="885"/>
      <c r="G468" s="885"/>
      <c r="H468" s="885"/>
      <c r="I468" s="885"/>
      <c r="J468" s="885"/>
      <c r="K468" s="885"/>
      <c r="L468" s="885"/>
      <c r="M468" s="885"/>
      <c r="N468" s="885"/>
      <c r="O468" s="885"/>
      <c r="P468" s="885"/>
      <c r="Q468" s="885"/>
      <c r="R468" s="885"/>
      <c r="S468" s="885"/>
      <c r="T468" s="885"/>
      <c r="U468" s="885"/>
      <c r="V468" s="885"/>
      <c r="W468" s="885"/>
      <c r="X468" s="885"/>
      <c r="Y468" s="885"/>
      <c r="Z468" s="885"/>
      <c r="AA468" s="885"/>
      <c r="AB468" s="885"/>
      <c r="AC468" s="885"/>
    </row>
    <row r="469" spans="1:29" ht="15.75" customHeight="1" x14ac:dyDescent="0.2">
      <c r="A469" s="885"/>
      <c r="B469" s="885"/>
      <c r="C469" s="885"/>
      <c r="D469" s="885"/>
      <c r="E469" s="885"/>
      <c r="F469" s="885"/>
      <c r="G469" s="885"/>
      <c r="H469" s="885"/>
      <c r="I469" s="885"/>
      <c r="J469" s="885"/>
      <c r="K469" s="885"/>
      <c r="L469" s="885"/>
      <c r="M469" s="885"/>
      <c r="N469" s="885"/>
      <c r="O469" s="885"/>
      <c r="P469" s="885"/>
      <c r="Q469" s="885"/>
      <c r="R469" s="885"/>
      <c r="S469" s="885"/>
      <c r="T469" s="885"/>
      <c r="U469" s="885"/>
      <c r="V469" s="885"/>
      <c r="W469" s="885"/>
      <c r="X469" s="885"/>
      <c r="Y469" s="885"/>
      <c r="Z469" s="885"/>
      <c r="AA469" s="885"/>
      <c r="AB469" s="885"/>
      <c r="AC469" s="885"/>
    </row>
    <row r="470" spans="1:29" ht="15.75" customHeight="1" x14ac:dyDescent="0.2">
      <c r="A470" s="885"/>
      <c r="B470" s="885"/>
      <c r="C470" s="885"/>
      <c r="D470" s="885"/>
      <c r="E470" s="885"/>
      <c r="F470" s="885"/>
      <c r="G470" s="885"/>
      <c r="H470" s="885"/>
      <c r="I470" s="885"/>
      <c r="J470" s="885"/>
      <c r="K470" s="885"/>
      <c r="L470" s="885"/>
      <c r="M470" s="885"/>
      <c r="N470" s="885"/>
      <c r="O470" s="885"/>
      <c r="P470" s="885"/>
      <c r="Q470" s="885"/>
      <c r="R470" s="885"/>
      <c r="S470" s="885"/>
      <c r="T470" s="885"/>
      <c r="U470" s="885"/>
      <c r="V470" s="885"/>
      <c r="W470" s="885"/>
      <c r="X470" s="885"/>
      <c r="Y470" s="885"/>
      <c r="Z470" s="885"/>
      <c r="AA470" s="885"/>
      <c r="AB470" s="885"/>
      <c r="AC470" s="885"/>
    </row>
    <row r="471" spans="1:29" ht="15.75" customHeight="1" x14ac:dyDescent="0.2">
      <c r="A471" s="885"/>
      <c r="B471" s="885"/>
      <c r="C471" s="885"/>
      <c r="D471" s="885"/>
      <c r="E471" s="885"/>
      <c r="F471" s="885"/>
      <c r="G471" s="885"/>
      <c r="H471" s="885"/>
      <c r="I471" s="885"/>
      <c r="J471" s="885"/>
      <c r="K471" s="885"/>
      <c r="L471" s="885"/>
      <c r="M471" s="885"/>
      <c r="N471" s="885"/>
      <c r="O471" s="885"/>
      <c r="P471" s="885"/>
      <c r="Q471" s="885"/>
      <c r="R471" s="885"/>
      <c r="S471" s="885"/>
      <c r="T471" s="885"/>
      <c r="U471" s="885"/>
      <c r="V471" s="885"/>
      <c r="W471" s="885"/>
      <c r="X471" s="885"/>
      <c r="Y471" s="885"/>
      <c r="Z471" s="885"/>
      <c r="AA471" s="885"/>
      <c r="AB471" s="885"/>
      <c r="AC471" s="885"/>
    </row>
    <row r="472" spans="1:29" ht="15.75" customHeight="1" x14ac:dyDescent="0.2">
      <c r="A472" s="885"/>
      <c r="B472" s="885"/>
      <c r="C472" s="885"/>
      <c r="D472" s="885"/>
      <c r="E472" s="885"/>
      <c r="F472" s="885"/>
      <c r="G472" s="885"/>
      <c r="H472" s="885"/>
      <c r="I472" s="885"/>
      <c r="J472" s="885"/>
      <c r="K472" s="885"/>
      <c r="L472" s="885"/>
      <c r="M472" s="885"/>
      <c r="N472" s="885"/>
      <c r="O472" s="885"/>
      <c r="P472" s="885"/>
      <c r="Q472" s="885"/>
      <c r="R472" s="885"/>
      <c r="S472" s="885"/>
      <c r="T472" s="885"/>
      <c r="U472" s="885"/>
      <c r="V472" s="885"/>
      <c r="W472" s="885"/>
      <c r="X472" s="885"/>
      <c r="Y472" s="885"/>
      <c r="Z472" s="885"/>
      <c r="AA472" s="885"/>
      <c r="AB472" s="885"/>
      <c r="AC472" s="885"/>
    </row>
    <row r="473" spans="1:29" ht="15.75" customHeight="1" x14ac:dyDescent="0.2">
      <c r="A473" s="885"/>
      <c r="B473" s="885"/>
      <c r="C473" s="885"/>
      <c r="D473" s="885"/>
      <c r="E473" s="885"/>
      <c r="F473" s="885"/>
      <c r="G473" s="885"/>
      <c r="H473" s="885"/>
      <c r="I473" s="885"/>
      <c r="J473" s="885"/>
      <c r="K473" s="885"/>
      <c r="L473" s="885"/>
      <c r="M473" s="885"/>
      <c r="N473" s="885"/>
      <c r="O473" s="885"/>
      <c r="P473" s="885"/>
      <c r="Q473" s="885"/>
      <c r="R473" s="885"/>
      <c r="S473" s="885"/>
      <c r="T473" s="885"/>
      <c r="U473" s="885"/>
      <c r="V473" s="885"/>
      <c r="W473" s="885"/>
      <c r="X473" s="885"/>
      <c r="Y473" s="885"/>
      <c r="Z473" s="885"/>
      <c r="AA473" s="885"/>
      <c r="AB473" s="885"/>
      <c r="AC473" s="885"/>
    </row>
    <row r="474" spans="1:29" ht="15.75" customHeight="1" x14ac:dyDescent="0.2">
      <c r="A474" s="885"/>
      <c r="B474" s="885"/>
      <c r="C474" s="885"/>
      <c r="D474" s="885"/>
      <c r="E474" s="885"/>
      <c r="F474" s="885"/>
      <c r="G474" s="885"/>
      <c r="H474" s="885"/>
      <c r="I474" s="885"/>
      <c r="J474" s="885"/>
      <c r="K474" s="885"/>
      <c r="L474" s="885"/>
      <c r="M474" s="885"/>
      <c r="N474" s="885"/>
      <c r="O474" s="885"/>
      <c r="P474" s="885"/>
      <c r="Q474" s="885"/>
      <c r="R474" s="885"/>
      <c r="S474" s="885"/>
      <c r="T474" s="885"/>
      <c r="U474" s="885"/>
      <c r="V474" s="885"/>
      <c r="W474" s="885"/>
      <c r="X474" s="885"/>
      <c r="Y474" s="885"/>
      <c r="Z474" s="885"/>
      <c r="AA474" s="885"/>
      <c r="AB474" s="885"/>
      <c r="AC474" s="885"/>
    </row>
    <row r="475" spans="1:29" ht="15.75" customHeight="1" x14ac:dyDescent="0.2">
      <c r="A475" s="885"/>
      <c r="B475" s="885"/>
      <c r="C475" s="885"/>
      <c r="D475" s="885"/>
      <c r="E475" s="885"/>
      <c r="F475" s="885"/>
      <c r="G475" s="885"/>
      <c r="H475" s="885"/>
      <c r="I475" s="885"/>
      <c r="J475" s="885"/>
      <c r="K475" s="885"/>
      <c r="L475" s="885"/>
      <c r="M475" s="885"/>
      <c r="N475" s="885"/>
      <c r="O475" s="885"/>
      <c r="P475" s="885"/>
      <c r="Q475" s="885"/>
      <c r="R475" s="885"/>
      <c r="S475" s="885"/>
      <c r="T475" s="885"/>
      <c r="U475" s="885"/>
      <c r="V475" s="885"/>
      <c r="W475" s="885"/>
      <c r="X475" s="885"/>
      <c r="Y475" s="885"/>
      <c r="Z475" s="885"/>
      <c r="AA475" s="885"/>
      <c r="AB475" s="885"/>
      <c r="AC475" s="885"/>
    </row>
    <row r="476" spans="1:29" ht="15.75" customHeight="1" x14ac:dyDescent="0.2">
      <c r="A476" s="885"/>
      <c r="B476" s="885"/>
      <c r="C476" s="885"/>
      <c r="D476" s="885"/>
      <c r="E476" s="885"/>
      <c r="F476" s="885"/>
      <c r="G476" s="885"/>
      <c r="H476" s="885"/>
      <c r="I476" s="885"/>
      <c r="J476" s="885"/>
      <c r="K476" s="885"/>
      <c r="L476" s="885"/>
      <c r="M476" s="885"/>
      <c r="N476" s="885"/>
      <c r="O476" s="885"/>
      <c r="P476" s="885"/>
      <c r="Q476" s="885"/>
      <c r="R476" s="885"/>
      <c r="S476" s="885"/>
      <c r="T476" s="885"/>
      <c r="U476" s="885"/>
      <c r="V476" s="885"/>
      <c r="W476" s="885"/>
      <c r="X476" s="885"/>
      <c r="Y476" s="885"/>
      <c r="Z476" s="885"/>
      <c r="AA476" s="885"/>
      <c r="AB476" s="885"/>
      <c r="AC476" s="885"/>
    </row>
    <row r="477" spans="1:29" ht="15.75" customHeight="1" x14ac:dyDescent="0.2">
      <c r="A477" s="885"/>
      <c r="B477" s="885"/>
      <c r="C477" s="885"/>
      <c r="D477" s="885"/>
      <c r="E477" s="885"/>
      <c r="F477" s="885"/>
      <c r="G477" s="885"/>
      <c r="H477" s="885"/>
      <c r="I477" s="885"/>
      <c r="J477" s="885"/>
      <c r="K477" s="885"/>
      <c r="L477" s="885"/>
      <c r="M477" s="885"/>
      <c r="N477" s="885"/>
      <c r="O477" s="885"/>
      <c r="P477" s="885"/>
      <c r="Q477" s="885"/>
      <c r="R477" s="885"/>
      <c r="S477" s="885"/>
      <c r="T477" s="885"/>
      <c r="U477" s="885"/>
      <c r="V477" s="885"/>
      <c r="W477" s="885"/>
      <c r="X477" s="885"/>
      <c r="Y477" s="885"/>
      <c r="Z477" s="885"/>
      <c r="AA477" s="885"/>
      <c r="AB477" s="885"/>
      <c r="AC477" s="885"/>
    </row>
    <row r="478" spans="1:29" ht="15.75" customHeight="1" x14ac:dyDescent="0.2">
      <c r="A478" s="885"/>
      <c r="B478" s="885"/>
      <c r="C478" s="885"/>
      <c r="D478" s="885"/>
      <c r="E478" s="885"/>
      <c r="F478" s="885"/>
      <c r="G478" s="885"/>
      <c r="H478" s="885"/>
      <c r="I478" s="885"/>
      <c r="J478" s="885"/>
      <c r="K478" s="885"/>
      <c r="L478" s="885"/>
      <c r="M478" s="885"/>
      <c r="N478" s="885"/>
      <c r="O478" s="885"/>
      <c r="P478" s="885"/>
      <c r="Q478" s="885"/>
      <c r="R478" s="885"/>
      <c r="S478" s="885"/>
      <c r="T478" s="885"/>
      <c r="U478" s="885"/>
      <c r="V478" s="885"/>
      <c r="W478" s="885"/>
      <c r="X478" s="885"/>
      <c r="Y478" s="885"/>
      <c r="Z478" s="885"/>
      <c r="AA478" s="885"/>
      <c r="AB478" s="885"/>
      <c r="AC478" s="885"/>
    </row>
    <row r="479" spans="1:29" ht="15.75" customHeight="1" x14ac:dyDescent="0.2">
      <c r="A479" s="885"/>
      <c r="B479" s="885"/>
      <c r="C479" s="885"/>
      <c r="D479" s="885"/>
      <c r="E479" s="885"/>
      <c r="F479" s="885"/>
      <c r="G479" s="885"/>
      <c r="H479" s="885"/>
      <c r="I479" s="885"/>
      <c r="J479" s="885"/>
      <c r="K479" s="885"/>
      <c r="L479" s="885"/>
      <c r="M479" s="885"/>
      <c r="N479" s="885"/>
      <c r="O479" s="885"/>
      <c r="P479" s="885"/>
      <c r="Q479" s="885"/>
      <c r="R479" s="885"/>
      <c r="S479" s="885"/>
      <c r="T479" s="885"/>
      <c r="U479" s="885"/>
      <c r="V479" s="885"/>
      <c r="W479" s="885"/>
      <c r="X479" s="885"/>
      <c r="Y479" s="885"/>
      <c r="Z479" s="885"/>
      <c r="AA479" s="885"/>
      <c r="AB479" s="885"/>
      <c r="AC479" s="885"/>
    </row>
    <row r="480" spans="1:29" ht="15.75" customHeight="1" x14ac:dyDescent="0.2">
      <c r="A480" s="885"/>
      <c r="B480" s="885"/>
      <c r="C480" s="885"/>
      <c r="D480" s="885"/>
      <c r="E480" s="885"/>
      <c r="F480" s="885"/>
      <c r="G480" s="885"/>
      <c r="H480" s="885"/>
      <c r="I480" s="885"/>
      <c r="J480" s="885"/>
      <c r="K480" s="885"/>
      <c r="L480" s="885"/>
      <c r="M480" s="885"/>
      <c r="N480" s="885"/>
      <c r="O480" s="885"/>
      <c r="P480" s="885"/>
      <c r="Q480" s="885"/>
      <c r="R480" s="885"/>
      <c r="S480" s="885"/>
      <c r="T480" s="885"/>
      <c r="U480" s="885"/>
      <c r="V480" s="885"/>
      <c r="W480" s="885"/>
      <c r="X480" s="885"/>
      <c r="Y480" s="885"/>
      <c r="Z480" s="885"/>
      <c r="AA480" s="885"/>
      <c r="AB480" s="885"/>
      <c r="AC480" s="885"/>
    </row>
    <row r="481" spans="1:29" ht="15.75" customHeight="1" x14ac:dyDescent="0.2">
      <c r="A481" s="885"/>
      <c r="B481" s="885"/>
      <c r="C481" s="885"/>
      <c r="D481" s="885"/>
      <c r="E481" s="885"/>
      <c r="F481" s="885"/>
      <c r="G481" s="885"/>
      <c r="H481" s="885"/>
      <c r="I481" s="885"/>
      <c r="J481" s="885"/>
      <c r="K481" s="885"/>
      <c r="L481" s="885"/>
      <c r="M481" s="885"/>
      <c r="N481" s="885"/>
      <c r="O481" s="885"/>
      <c r="P481" s="885"/>
      <c r="Q481" s="885"/>
      <c r="R481" s="885"/>
      <c r="S481" s="885"/>
      <c r="T481" s="885"/>
      <c r="U481" s="885"/>
      <c r="V481" s="885"/>
      <c r="W481" s="885"/>
      <c r="X481" s="885"/>
      <c r="Y481" s="885"/>
      <c r="Z481" s="885"/>
      <c r="AA481" s="885"/>
      <c r="AB481" s="885"/>
      <c r="AC481" s="885"/>
    </row>
    <row r="482" spans="1:29" ht="15.75" customHeight="1" x14ac:dyDescent="0.2">
      <c r="A482" s="885"/>
      <c r="B482" s="885"/>
      <c r="C482" s="885"/>
      <c r="D482" s="885"/>
      <c r="E482" s="885"/>
      <c r="F482" s="885"/>
      <c r="G482" s="885"/>
      <c r="H482" s="885"/>
      <c r="I482" s="885"/>
      <c r="J482" s="885"/>
      <c r="K482" s="885"/>
      <c r="L482" s="885"/>
      <c r="M482" s="885"/>
      <c r="N482" s="885"/>
      <c r="O482" s="885"/>
      <c r="P482" s="885"/>
      <c r="Q482" s="885"/>
      <c r="R482" s="885"/>
      <c r="S482" s="885"/>
      <c r="T482" s="885"/>
      <c r="U482" s="885"/>
      <c r="V482" s="885"/>
      <c r="W482" s="885"/>
      <c r="X482" s="885"/>
      <c r="Y482" s="885"/>
      <c r="Z482" s="885"/>
      <c r="AA482" s="885"/>
      <c r="AB482" s="885"/>
      <c r="AC482" s="885"/>
    </row>
    <row r="483" spans="1:29" ht="15.75" customHeight="1" x14ac:dyDescent="0.2">
      <c r="A483" s="885"/>
      <c r="B483" s="885"/>
      <c r="C483" s="885"/>
      <c r="D483" s="885"/>
      <c r="E483" s="885"/>
      <c r="F483" s="885"/>
      <c r="G483" s="885"/>
      <c r="H483" s="885"/>
      <c r="I483" s="885"/>
      <c r="J483" s="885"/>
      <c r="K483" s="885"/>
      <c r="L483" s="885"/>
      <c r="M483" s="885"/>
      <c r="N483" s="885"/>
      <c r="O483" s="885"/>
      <c r="P483" s="885"/>
      <c r="Q483" s="885"/>
      <c r="R483" s="885"/>
      <c r="S483" s="885"/>
      <c r="T483" s="885"/>
      <c r="U483" s="885"/>
      <c r="V483" s="885"/>
      <c r="W483" s="885"/>
      <c r="X483" s="885"/>
      <c r="Y483" s="885"/>
      <c r="Z483" s="885"/>
      <c r="AA483" s="885"/>
      <c r="AB483" s="885"/>
      <c r="AC483" s="885"/>
    </row>
    <row r="484" spans="1:29" ht="15.75" customHeight="1" x14ac:dyDescent="0.2">
      <c r="A484" s="885"/>
      <c r="B484" s="885"/>
      <c r="C484" s="885"/>
      <c r="D484" s="885"/>
      <c r="E484" s="885"/>
      <c r="F484" s="885"/>
      <c r="G484" s="885"/>
      <c r="H484" s="885"/>
      <c r="I484" s="885"/>
      <c r="J484" s="885"/>
      <c r="K484" s="885"/>
      <c r="L484" s="885"/>
      <c r="M484" s="885"/>
      <c r="N484" s="885"/>
      <c r="O484" s="885"/>
      <c r="P484" s="885"/>
      <c r="Q484" s="885"/>
      <c r="R484" s="885"/>
      <c r="S484" s="885"/>
      <c r="T484" s="885"/>
      <c r="U484" s="885"/>
      <c r="V484" s="885"/>
      <c r="W484" s="885"/>
      <c r="X484" s="885"/>
      <c r="Y484" s="885"/>
      <c r="Z484" s="885"/>
      <c r="AA484" s="885"/>
      <c r="AB484" s="885"/>
      <c r="AC484" s="885"/>
    </row>
    <row r="485" spans="1:29" ht="15.75" customHeight="1" x14ac:dyDescent="0.2">
      <c r="A485" s="885"/>
      <c r="B485" s="885"/>
      <c r="C485" s="885"/>
      <c r="D485" s="885"/>
      <c r="E485" s="885"/>
      <c r="F485" s="885"/>
      <c r="G485" s="885"/>
      <c r="H485" s="885"/>
      <c r="I485" s="885"/>
      <c r="J485" s="885"/>
      <c r="K485" s="885"/>
      <c r="L485" s="885"/>
      <c r="M485" s="885"/>
      <c r="N485" s="885"/>
      <c r="O485" s="885"/>
      <c r="P485" s="885"/>
      <c r="Q485" s="885"/>
      <c r="R485" s="885"/>
      <c r="S485" s="885"/>
      <c r="T485" s="885"/>
      <c r="U485" s="885"/>
      <c r="V485" s="885"/>
      <c r="W485" s="885"/>
      <c r="X485" s="885"/>
      <c r="Y485" s="885"/>
      <c r="Z485" s="885"/>
      <c r="AA485" s="885"/>
      <c r="AB485" s="885"/>
      <c r="AC485" s="885"/>
    </row>
    <row r="486" spans="1:29" ht="15.75" customHeight="1" x14ac:dyDescent="0.2">
      <c r="A486" s="885"/>
      <c r="B486" s="885"/>
      <c r="C486" s="885"/>
      <c r="D486" s="885"/>
      <c r="E486" s="885"/>
      <c r="F486" s="885"/>
      <c r="G486" s="885"/>
      <c r="H486" s="885"/>
      <c r="I486" s="885"/>
      <c r="J486" s="885"/>
      <c r="K486" s="885"/>
      <c r="L486" s="885"/>
      <c r="M486" s="885"/>
      <c r="N486" s="885"/>
      <c r="O486" s="885"/>
      <c r="P486" s="885"/>
      <c r="Q486" s="885"/>
      <c r="R486" s="885"/>
      <c r="S486" s="885"/>
      <c r="T486" s="885"/>
      <c r="U486" s="885"/>
      <c r="V486" s="885"/>
      <c r="W486" s="885"/>
      <c r="X486" s="885"/>
      <c r="Y486" s="885"/>
      <c r="Z486" s="885"/>
      <c r="AA486" s="885"/>
      <c r="AB486" s="885"/>
      <c r="AC486" s="885"/>
    </row>
    <row r="487" spans="1:29" ht="15.75" customHeight="1" x14ac:dyDescent="0.2">
      <c r="A487" s="885"/>
      <c r="B487" s="885"/>
      <c r="C487" s="885"/>
      <c r="D487" s="885"/>
      <c r="E487" s="885"/>
      <c r="F487" s="885"/>
      <c r="G487" s="885"/>
      <c r="H487" s="885"/>
      <c r="I487" s="885"/>
      <c r="J487" s="885"/>
      <c r="K487" s="885"/>
      <c r="L487" s="885"/>
      <c r="M487" s="885"/>
      <c r="N487" s="885"/>
      <c r="O487" s="885"/>
      <c r="P487" s="885"/>
      <c r="Q487" s="885"/>
      <c r="R487" s="885"/>
      <c r="S487" s="885"/>
      <c r="T487" s="885"/>
      <c r="U487" s="885"/>
      <c r="V487" s="885"/>
      <c r="W487" s="885"/>
      <c r="X487" s="885"/>
      <c r="Y487" s="885"/>
      <c r="Z487" s="885"/>
      <c r="AA487" s="885"/>
      <c r="AB487" s="885"/>
      <c r="AC487" s="885"/>
    </row>
    <row r="488" spans="1:29" ht="15.75" customHeight="1" x14ac:dyDescent="0.2">
      <c r="A488" s="885"/>
      <c r="B488" s="885"/>
      <c r="C488" s="885"/>
      <c r="D488" s="885"/>
      <c r="E488" s="885"/>
      <c r="F488" s="885"/>
      <c r="G488" s="885"/>
      <c r="H488" s="885"/>
      <c r="I488" s="885"/>
      <c r="J488" s="885"/>
      <c r="K488" s="885"/>
      <c r="L488" s="885"/>
      <c r="M488" s="885"/>
      <c r="N488" s="885"/>
      <c r="O488" s="885"/>
      <c r="P488" s="885"/>
      <c r="Q488" s="885"/>
      <c r="R488" s="885"/>
      <c r="S488" s="885"/>
      <c r="T488" s="885"/>
      <c r="U488" s="885"/>
      <c r="V488" s="885"/>
      <c r="W488" s="885"/>
      <c r="X488" s="885"/>
      <c r="Y488" s="885"/>
      <c r="Z488" s="885"/>
      <c r="AA488" s="885"/>
      <c r="AB488" s="885"/>
      <c r="AC488" s="885"/>
    </row>
    <row r="489" spans="1:29" ht="15.75" customHeight="1" x14ac:dyDescent="0.2">
      <c r="A489" s="885"/>
      <c r="B489" s="885"/>
      <c r="C489" s="885"/>
      <c r="D489" s="885"/>
      <c r="E489" s="885"/>
      <c r="F489" s="885"/>
      <c r="G489" s="885"/>
      <c r="H489" s="885"/>
      <c r="I489" s="885"/>
      <c r="J489" s="885"/>
      <c r="K489" s="885"/>
      <c r="L489" s="885"/>
      <c r="M489" s="885"/>
      <c r="N489" s="885"/>
      <c r="O489" s="885"/>
      <c r="P489" s="885"/>
      <c r="Q489" s="885"/>
      <c r="R489" s="885"/>
      <c r="S489" s="885"/>
      <c r="T489" s="885"/>
      <c r="U489" s="885"/>
      <c r="V489" s="885"/>
      <c r="W489" s="885"/>
      <c r="X489" s="885"/>
      <c r="Y489" s="885"/>
      <c r="Z489" s="885"/>
      <c r="AA489" s="885"/>
      <c r="AB489" s="885"/>
      <c r="AC489" s="885"/>
    </row>
    <row r="490" spans="1:29" ht="15.75" customHeight="1" x14ac:dyDescent="0.2">
      <c r="A490" s="885"/>
      <c r="B490" s="885"/>
      <c r="C490" s="885"/>
      <c r="D490" s="885"/>
      <c r="E490" s="885"/>
      <c r="F490" s="885"/>
      <c r="G490" s="885"/>
      <c r="H490" s="885"/>
      <c r="I490" s="885"/>
      <c r="J490" s="885"/>
      <c r="K490" s="885"/>
      <c r="L490" s="885"/>
      <c r="M490" s="885"/>
      <c r="N490" s="885"/>
      <c r="O490" s="885"/>
      <c r="P490" s="885"/>
      <c r="Q490" s="885"/>
      <c r="R490" s="885"/>
      <c r="S490" s="885"/>
      <c r="T490" s="885"/>
      <c r="U490" s="885"/>
      <c r="V490" s="885"/>
      <c r="W490" s="885"/>
      <c r="X490" s="885"/>
      <c r="Y490" s="885"/>
      <c r="Z490" s="885"/>
      <c r="AA490" s="885"/>
      <c r="AB490" s="885"/>
      <c r="AC490" s="885"/>
    </row>
    <row r="491" spans="1:29" ht="15.75" customHeight="1" x14ac:dyDescent="0.2">
      <c r="A491" s="885"/>
      <c r="B491" s="885"/>
      <c r="C491" s="885"/>
      <c r="D491" s="885"/>
      <c r="E491" s="885"/>
      <c r="F491" s="885"/>
      <c r="G491" s="885"/>
      <c r="H491" s="885"/>
      <c r="I491" s="885"/>
      <c r="J491" s="885"/>
      <c r="K491" s="885"/>
      <c r="L491" s="885"/>
      <c r="M491" s="885"/>
      <c r="N491" s="885"/>
      <c r="O491" s="885"/>
      <c r="P491" s="885"/>
      <c r="Q491" s="885"/>
      <c r="R491" s="885"/>
      <c r="S491" s="885"/>
      <c r="T491" s="885"/>
      <c r="U491" s="885"/>
      <c r="V491" s="885"/>
      <c r="W491" s="885"/>
      <c r="X491" s="885"/>
      <c r="Y491" s="885"/>
      <c r="Z491" s="885"/>
      <c r="AA491" s="885"/>
      <c r="AB491" s="885"/>
      <c r="AC491" s="885"/>
    </row>
    <row r="492" spans="1:29" ht="15.75" customHeight="1" x14ac:dyDescent="0.2">
      <c r="A492" s="885"/>
      <c r="B492" s="885"/>
      <c r="C492" s="885"/>
      <c r="D492" s="885"/>
      <c r="E492" s="885"/>
      <c r="F492" s="885"/>
      <c r="G492" s="885"/>
      <c r="H492" s="885"/>
      <c r="I492" s="885"/>
      <c r="J492" s="885"/>
      <c r="K492" s="885"/>
      <c r="L492" s="885"/>
      <c r="M492" s="885"/>
      <c r="N492" s="885"/>
      <c r="O492" s="885"/>
      <c r="P492" s="885"/>
      <c r="Q492" s="885"/>
      <c r="R492" s="885"/>
      <c r="S492" s="885"/>
      <c r="T492" s="885"/>
      <c r="U492" s="885"/>
      <c r="V492" s="885"/>
      <c r="W492" s="885"/>
      <c r="X492" s="885"/>
      <c r="Y492" s="885"/>
      <c r="Z492" s="885"/>
      <c r="AA492" s="885"/>
      <c r="AB492" s="885"/>
      <c r="AC492" s="885"/>
    </row>
    <row r="493" spans="1:29" ht="15.75" customHeight="1" x14ac:dyDescent="0.2">
      <c r="A493" s="885"/>
      <c r="B493" s="885"/>
      <c r="C493" s="885"/>
      <c r="D493" s="885"/>
      <c r="E493" s="885"/>
      <c r="F493" s="885"/>
      <c r="G493" s="885"/>
      <c r="H493" s="885"/>
      <c r="I493" s="885"/>
      <c r="J493" s="885"/>
      <c r="K493" s="885"/>
      <c r="L493" s="885"/>
      <c r="M493" s="885"/>
      <c r="N493" s="885"/>
      <c r="O493" s="885"/>
      <c r="P493" s="885"/>
      <c r="Q493" s="885"/>
      <c r="R493" s="885"/>
      <c r="S493" s="885"/>
      <c r="T493" s="885"/>
      <c r="U493" s="885"/>
      <c r="V493" s="885"/>
      <c r="W493" s="885"/>
      <c r="X493" s="885"/>
      <c r="Y493" s="885"/>
      <c r="Z493" s="885"/>
      <c r="AA493" s="885"/>
      <c r="AB493" s="885"/>
      <c r="AC493" s="885"/>
    </row>
    <row r="494" spans="1:29" ht="15.75" customHeight="1" x14ac:dyDescent="0.2">
      <c r="A494" s="885"/>
      <c r="B494" s="885"/>
      <c r="C494" s="885"/>
      <c r="D494" s="885"/>
      <c r="E494" s="885"/>
      <c r="F494" s="885"/>
      <c r="G494" s="885"/>
      <c r="H494" s="885"/>
      <c r="I494" s="885"/>
      <c r="J494" s="885"/>
      <c r="K494" s="885"/>
      <c r="L494" s="885"/>
      <c r="M494" s="885"/>
      <c r="N494" s="885"/>
      <c r="O494" s="885"/>
      <c r="P494" s="885"/>
      <c r="Q494" s="885"/>
      <c r="R494" s="885"/>
      <c r="S494" s="885"/>
      <c r="T494" s="885"/>
      <c r="U494" s="885"/>
      <c r="V494" s="885"/>
      <c r="W494" s="885"/>
      <c r="X494" s="885"/>
      <c r="Y494" s="885"/>
      <c r="Z494" s="885"/>
      <c r="AA494" s="885"/>
      <c r="AB494" s="885"/>
      <c r="AC494" s="885"/>
    </row>
    <row r="495" spans="1:29" ht="15.75" customHeight="1" x14ac:dyDescent="0.2">
      <c r="A495" s="885"/>
      <c r="B495" s="885"/>
      <c r="C495" s="885"/>
      <c r="D495" s="885"/>
      <c r="E495" s="885"/>
      <c r="F495" s="885"/>
      <c r="G495" s="885"/>
      <c r="H495" s="885"/>
      <c r="I495" s="885"/>
      <c r="J495" s="885"/>
      <c r="K495" s="885"/>
      <c r="L495" s="885"/>
      <c r="M495" s="885"/>
      <c r="N495" s="885"/>
      <c r="O495" s="885"/>
      <c r="P495" s="885"/>
      <c r="Q495" s="885"/>
      <c r="R495" s="885"/>
      <c r="S495" s="885"/>
      <c r="T495" s="885"/>
      <c r="U495" s="885"/>
      <c r="V495" s="885"/>
      <c r="W495" s="885"/>
      <c r="X495" s="885"/>
      <c r="Y495" s="885"/>
      <c r="Z495" s="885"/>
      <c r="AA495" s="885"/>
      <c r="AB495" s="885"/>
      <c r="AC495" s="885"/>
    </row>
    <row r="496" spans="1:29" ht="15.75" customHeight="1" x14ac:dyDescent="0.2">
      <c r="A496" s="885"/>
      <c r="B496" s="885"/>
      <c r="C496" s="885"/>
      <c r="D496" s="885"/>
      <c r="E496" s="885"/>
      <c r="F496" s="885"/>
      <c r="G496" s="885"/>
      <c r="H496" s="885"/>
      <c r="I496" s="885"/>
      <c r="J496" s="885"/>
      <c r="K496" s="885"/>
      <c r="L496" s="885"/>
      <c r="M496" s="885"/>
      <c r="N496" s="885"/>
      <c r="O496" s="885"/>
      <c r="P496" s="885"/>
      <c r="Q496" s="885"/>
      <c r="R496" s="885"/>
      <c r="S496" s="885"/>
      <c r="T496" s="885"/>
      <c r="U496" s="885"/>
      <c r="V496" s="885"/>
      <c r="W496" s="885"/>
      <c r="X496" s="885"/>
      <c r="Y496" s="885"/>
      <c r="Z496" s="885"/>
      <c r="AA496" s="885"/>
      <c r="AB496" s="885"/>
      <c r="AC496" s="885"/>
    </row>
    <row r="497" spans="1:29" ht="15.75" customHeight="1" x14ac:dyDescent="0.2">
      <c r="A497" s="885"/>
      <c r="B497" s="885"/>
      <c r="C497" s="885"/>
      <c r="D497" s="885"/>
      <c r="E497" s="885"/>
      <c r="F497" s="885"/>
      <c r="G497" s="885"/>
      <c r="H497" s="885"/>
      <c r="I497" s="885"/>
      <c r="J497" s="885"/>
      <c r="K497" s="885"/>
      <c r="L497" s="885"/>
      <c r="M497" s="885"/>
      <c r="N497" s="885"/>
      <c r="O497" s="885"/>
      <c r="P497" s="885"/>
      <c r="Q497" s="885"/>
      <c r="R497" s="885"/>
      <c r="S497" s="885"/>
      <c r="T497" s="885"/>
      <c r="U497" s="885"/>
      <c r="V497" s="885"/>
      <c r="W497" s="885"/>
      <c r="X497" s="885"/>
      <c r="Y497" s="885"/>
      <c r="Z497" s="885"/>
      <c r="AA497" s="885"/>
      <c r="AB497" s="885"/>
      <c r="AC497" s="885"/>
    </row>
    <row r="498" spans="1:29" ht="15.75" customHeight="1" x14ac:dyDescent="0.2">
      <c r="A498" s="885"/>
      <c r="B498" s="885"/>
      <c r="C498" s="885"/>
      <c r="D498" s="885"/>
      <c r="E498" s="885"/>
      <c r="F498" s="885"/>
      <c r="G498" s="885"/>
      <c r="H498" s="885"/>
      <c r="I498" s="885"/>
      <c r="J498" s="885"/>
      <c r="K498" s="885"/>
      <c r="L498" s="885"/>
      <c r="M498" s="885"/>
      <c r="N498" s="885"/>
      <c r="O498" s="885"/>
      <c r="P498" s="885"/>
      <c r="Q498" s="885"/>
      <c r="R498" s="885"/>
      <c r="S498" s="885"/>
      <c r="T498" s="885"/>
      <c r="U498" s="885"/>
      <c r="V498" s="885"/>
      <c r="W498" s="885"/>
      <c r="X498" s="885"/>
      <c r="Y498" s="885"/>
      <c r="Z498" s="885"/>
      <c r="AA498" s="885"/>
      <c r="AB498" s="885"/>
      <c r="AC498" s="885"/>
    </row>
    <row r="499" spans="1:29" ht="15.75" customHeight="1" x14ac:dyDescent="0.2">
      <c r="A499" s="885"/>
      <c r="B499" s="885"/>
      <c r="C499" s="885"/>
      <c r="D499" s="885"/>
      <c r="E499" s="885"/>
      <c r="F499" s="885"/>
      <c r="G499" s="885"/>
      <c r="H499" s="885"/>
      <c r="I499" s="885"/>
      <c r="J499" s="885"/>
      <c r="K499" s="885"/>
      <c r="L499" s="885"/>
      <c r="M499" s="885"/>
      <c r="N499" s="885"/>
      <c r="O499" s="885"/>
      <c r="P499" s="885"/>
      <c r="Q499" s="885"/>
      <c r="R499" s="885"/>
      <c r="S499" s="885"/>
      <c r="T499" s="885"/>
      <c r="U499" s="885"/>
      <c r="V499" s="885"/>
      <c r="W499" s="885"/>
      <c r="X499" s="885"/>
      <c r="Y499" s="885"/>
      <c r="Z499" s="885"/>
      <c r="AA499" s="885"/>
      <c r="AB499" s="885"/>
      <c r="AC499" s="885"/>
    </row>
    <row r="500" spans="1:29" ht="15.75" customHeight="1" x14ac:dyDescent="0.2">
      <c r="A500" s="885"/>
      <c r="B500" s="885"/>
      <c r="C500" s="885"/>
      <c r="D500" s="885"/>
      <c r="E500" s="885"/>
      <c r="F500" s="885"/>
      <c r="G500" s="885"/>
      <c r="H500" s="885"/>
      <c r="I500" s="885"/>
      <c r="J500" s="885"/>
      <c r="K500" s="885"/>
      <c r="L500" s="885"/>
      <c r="M500" s="885"/>
      <c r="N500" s="885"/>
      <c r="O500" s="885"/>
      <c r="P500" s="885"/>
      <c r="Q500" s="885"/>
      <c r="R500" s="885"/>
      <c r="S500" s="885"/>
      <c r="T500" s="885"/>
      <c r="U500" s="885"/>
      <c r="V500" s="885"/>
      <c r="W500" s="885"/>
      <c r="X500" s="885"/>
      <c r="Y500" s="885"/>
      <c r="Z500" s="885"/>
      <c r="AA500" s="885"/>
      <c r="AB500" s="885"/>
      <c r="AC500" s="885"/>
    </row>
    <row r="501" spans="1:29" ht="15.75" customHeight="1" x14ac:dyDescent="0.2">
      <c r="A501" s="885"/>
      <c r="B501" s="885"/>
      <c r="C501" s="885"/>
      <c r="D501" s="885"/>
      <c r="E501" s="885"/>
      <c r="F501" s="885"/>
      <c r="G501" s="885"/>
      <c r="H501" s="885"/>
      <c r="I501" s="885"/>
      <c r="J501" s="885"/>
      <c r="K501" s="885"/>
      <c r="L501" s="885"/>
      <c r="M501" s="885"/>
      <c r="N501" s="885"/>
      <c r="O501" s="885"/>
      <c r="P501" s="885"/>
      <c r="Q501" s="885"/>
      <c r="R501" s="885"/>
      <c r="S501" s="885"/>
      <c r="T501" s="885"/>
      <c r="U501" s="885"/>
      <c r="V501" s="885"/>
      <c r="W501" s="885"/>
      <c r="X501" s="885"/>
      <c r="Y501" s="885"/>
      <c r="Z501" s="885"/>
      <c r="AA501" s="885"/>
      <c r="AB501" s="885"/>
      <c r="AC501" s="885"/>
    </row>
    <row r="502" spans="1:29" ht="15.75" customHeight="1" x14ac:dyDescent="0.2">
      <c r="A502" s="885"/>
      <c r="B502" s="885"/>
      <c r="C502" s="885"/>
      <c r="D502" s="885"/>
      <c r="E502" s="885"/>
      <c r="F502" s="885"/>
      <c r="G502" s="885"/>
      <c r="H502" s="885"/>
      <c r="I502" s="885"/>
      <c r="J502" s="885"/>
      <c r="K502" s="885"/>
      <c r="L502" s="885"/>
      <c r="M502" s="885"/>
      <c r="N502" s="885"/>
      <c r="O502" s="885"/>
      <c r="P502" s="885"/>
      <c r="Q502" s="885"/>
      <c r="R502" s="885"/>
      <c r="S502" s="885"/>
      <c r="T502" s="885"/>
      <c r="U502" s="885"/>
      <c r="V502" s="885"/>
      <c r="W502" s="885"/>
      <c r="X502" s="885"/>
      <c r="Y502" s="885"/>
      <c r="Z502" s="885"/>
      <c r="AA502" s="885"/>
      <c r="AB502" s="885"/>
      <c r="AC502" s="885"/>
    </row>
    <row r="503" spans="1:29" ht="15.75" customHeight="1" x14ac:dyDescent="0.2">
      <c r="A503" s="885"/>
      <c r="B503" s="885"/>
      <c r="C503" s="885"/>
      <c r="D503" s="885"/>
      <c r="E503" s="885"/>
      <c r="F503" s="885"/>
      <c r="G503" s="885"/>
      <c r="H503" s="885"/>
      <c r="I503" s="885"/>
      <c r="J503" s="885"/>
      <c r="K503" s="885"/>
      <c r="L503" s="885"/>
      <c r="M503" s="885"/>
      <c r="N503" s="885"/>
      <c r="O503" s="885"/>
      <c r="P503" s="885"/>
      <c r="Q503" s="885"/>
      <c r="R503" s="885"/>
      <c r="S503" s="885"/>
      <c r="T503" s="885"/>
      <c r="U503" s="885"/>
      <c r="V503" s="885"/>
      <c r="W503" s="885"/>
      <c r="X503" s="885"/>
      <c r="Y503" s="885"/>
      <c r="Z503" s="885"/>
      <c r="AA503" s="885"/>
      <c r="AB503" s="885"/>
      <c r="AC503" s="885"/>
    </row>
    <row r="504" spans="1:29" ht="15.75" customHeight="1" x14ac:dyDescent="0.2">
      <c r="A504" s="885"/>
      <c r="B504" s="885"/>
      <c r="C504" s="885"/>
      <c r="D504" s="885"/>
      <c r="E504" s="885"/>
      <c r="F504" s="885"/>
      <c r="G504" s="885"/>
      <c r="H504" s="885"/>
      <c r="I504" s="885"/>
      <c r="J504" s="885"/>
      <c r="K504" s="885"/>
      <c r="L504" s="885"/>
      <c r="M504" s="885"/>
      <c r="N504" s="885"/>
      <c r="O504" s="885"/>
      <c r="P504" s="885"/>
      <c r="Q504" s="885"/>
      <c r="R504" s="885"/>
      <c r="S504" s="885"/>
      <c r="T504" s="885"/>
      <c r="U504" s="885"/>
      <c r="V504" s="885"/>
      <c r="W504" s="885"/>
      <c r="X504" s="885"/>
      <c r="Y504" s="885"/>
      <c r="Z504" s="885"/>
      <c r="AA504" s="885"/>
      <c r="AB504" s="885"/>
      <c r="AC504" s="885"/>
    </row>
    <row r="505" spans="1:29" ht="15.75" customHeight="1" x14ac:dyDescent="0.2">
      <c r="A505" s="885"/>
      <c r="B505" s="885"/>
      <c r="C505" s="885"/>
      <c r="D505" s="885"/>
      <c r="E505" s="885"/>
      <c r="F505" s="885"/>
      <c r="G505" s="885"/>
      <c r="H505" s="885"/>
      <c r="I505" s="885"/>
      <c r="J505" s="885"/>
      <c r="K505" s="885"/>
      <c r="L505" s="885"/>
      <c r="M505" s="885"/>
      <c r="N505" s="885"/>
      <c r="O505" s="885"/>
      <c r="P505" s="885"/>
      <c r="Q505" s="885"/>
      <c r="R505" s="885"/>
      <c r="S505" s="885"/>
      <c r="T505" s="885"/>
      <c r="U505" s="885"/>
      <c r="V505" s="885"/>
      <c r="W505" s="885"/>
      <c r="X505" s="885"/>
      <c r="Y505" s="885"/>
      <c r="Z505" s="885"/>
      <c r="AA505" s="885"/>
      <c r="AB505" s="885"/>
      <c r="AC505" s="885"/>
    </row>
    <row r="506" spans="1:29" ht="15.75" customHeight="1" x14ac:dyDescent="0.2">
      <c r="A506" s="885"/>
      <c r="B506" s="885"/>
      <c r="C506" s="885"/>
      <c r="D506" s="885"/>
      <c r="E506" s="885"/>
      <c r="F506" s="885"/>
      <c r="G506" s="885"/>
      <c r="H506" s="885"/>
      <c r="I506" s="885"/>
      <c r="J506" s="885"/>
      <c r="K506" s="885"/>
      <c r="L506" s="885"/>
      <c r="M506" s="885"/>
      <c r="N506" s="885"/>
      <c r="O506" s="885"/>
      <c r="P506" s="885"/>
      <c r="Q506" s="885"/>
      <c r="R506" s="885"/>
      <c r="S506" s="885"/>
      <c r="T506" s="885"/>
      <c r="U506" s="885"/>
      <c r="V506" s="885"/>
      <c r="W506" s="885"/>
      <c r="X506" s="885"/>
      <c r="Y506" s="885"/>
      <c r="Z506" s="885"/>
      <c r="AA506" s="885"/>
      <c r="AB506" s="885"/>
      <c r="AC506" s="885"/>
    </row>
    <row r="507" spans="1:29" ht="15.75" customHeight="1" x14ac:dyDescent="0.2">
      <c r="A507" s="885"/>
      <c r="B507" s="885"/>
      <c r="C507" s="885"/>
      <c r="D507" s="885"/>
      <c r="E507" s="885"/>
      <c r="F507" s="885"/>
      <c r="G507" s="885"/>
      <c r="H507" s="885"/>
      <c r="I507" s="885"/>
      <c r="J507" s="885"/>
      <c r="K507" s="885"/>
      <c r="L507" s="885"/>
      <c r="M507" s="885"/>
      <c r="N507" s="885"/>
      <c r="O507" s="885"/>
      <c r="P507" s="885"/>
      <c r="Q507" s="885"/>
      <c r="R507" s="885"/>
      <c r="S507" s="885"/>
      <c r="T507" s="885"/>
      <c r="U507" s="885"/>
      <c r="V507" s="885"/>
      <c r="W507" s="885"/>
      <c r="X507" s="885"/>
      <c r="Y507" s="885"/>
      <c r="Z507" s="885"/>
      <c r="AA507" s="885"/>
      <c r="AB507" s="885"/>
      <c r="AC507" s="885"/>
    </row>
    <row r="508" spans="1:29" ht="15.75" customHeight="1" x14ac:dyDescent="0.2">
      <c r="A508" s="885"/>
      <c r="B508" s="885"/>
      <c r="C508" s="885"/>
      <c r="D508" s="885"/>
      <c r="E508" s="885"/>
      <c r="F508" s="885"/>
      <c r="G508" s="885"/>
      <c r="H508" s="885"/>
      <c r="I508" s="885"/>
      <c r="J508" s="885"/>
      <c r="K508" s="885"/>
      <c r="L508" s="885"/>
      <c r="M508" s="885"/>
      <c r="N508" s="885"/>
      <c r="O508" s="885"/>
      <c r="P508" s="885"/>
      <c r="Q508" s="885"/>
      <c r="R508" s="885"/>
      <c r="S508" s="885"/>
      <c r="T508" s="885"/>
      <c r="U508" s="885"/>
      <c r="V508" s="885"/>
      <c r="W508" s="885"/>
      <c r="X508" s="885"/>
      <c r="Y508" s="885"/>
      <c r="Z508" s="885"/>
      <c r="AA508" s="885"/>
      <c r="AB508" s="885"/>
      <c r="AC508" s="885"/>
    </row>
    <row r="509" spans="1:29" ht="15.75" customHeight="1" x14ac:dyDescent="0.2">
      <c r="A509" s="885"/>
      <c r="B509" s="885"/>
      <c r="C509" s="885"/>
      <c r="D509" s="885"/>
      <c r="E509" s="885"/>
      <c r="F509" s="885"/>
      <c r="G509" s="885"/>
      <c r="H509" s="885"/>
      <c r="I509" s="885"/>
      <c r="J509" s="885"/>
      <c r="K509" s="885"/>
      <c r="L509" s="885"/>
      <c r="M509" s="885"/>
      <c r="N509" s="885"/>
      <c r="O509" s="885"/>
      <c r="P509" s="885"/>
      <c r="Q509" s="885"/>
      <c r="R509" s="885"/>
      <c r="S509" s="885"/>
      <c r="T509" s="885"/>
      <c r="U509" s="885"/>
      <c r="V509" s="885"/>
      <c r="W509" s="885"/>
      <c r="X509" s="885"/>
      <c r="Y509" s="885"/>
      <c r="Z509" s="885"/>
      <c r="AA509" s="885"/>
      <c r="AB509" s="885"/>
      <c r="AC509" s="885"/>
    </row>
    <row r="510" spans="1:29" ht="15.75" customHeight="1" x14ac:dyDescent="0.2">
      <c r="A510" s="885"/>
      <c r="B510" s="885"/>
      <c r="C510" s="885"/>
      <c r="D510" s="885"/>
      <c r="E510" s="885"/>
      <c r="F510" s="885"/>
      <c r="G510" s="885"/>
      <c r="H510" s="885"/>
      <c r="I510" s="885"/>
      <c r="J510" s="885"/>
      <c r="K510" s="885"/>
      <c r="L510" s="885"/>
      <c r="M510" s="885"/>
      <c r="N510" s="885"/>
      <c r="O510" s="885"/>
      <c r="P510" s="885"/>
      <c r="Q510" s="885"/>
      <c r="R510" s="885"/>
      <c r="S510" s="885"/>
      <c r="T510" s="885"/>
      <c r="U510" s="885"/>
      <c r="V510" s="885"/>
      <c r="W510" s="885"/>
      <c r="X510" s="885"/>
      <c r="Y510" s="885"/>
      <c r="Z510" s="885"/>
      <c r="AA510" s="885"/>
      <c r="AB510" s="885"/>
      <c r="AC510" s="885"/>
    </row>
    <row r="511" spans="1:29" ht="15.75" customHeight="1" x14ac:dyDescent="0.2">
      <c r="A511" s="885"/>
      <c r="B511" s="885"/>
      <c r="C511" s="885"/>
      <c r="D511" s="885"/>
      <c r="E511" s="885"/>
      <c r="F511" s="885"/>
      <c r="G511" s="885"/>
      <c r="H511" s="885"/>
      <c r="I511" s="885"/>
      <c r="J511" s="885"/>
      <c r="K511" s="885"/>
      <c r="L511" s="885"/>
      <c r="M511" s="885"/>
      <c r="N511" s="885"/>
      <c r="O511" s="885"/>
      <c r="P511" s="885"/>
      <c r="Q511" s="885"/>
      <c r="R511" s="885"/>
      <c r="S511" s="885"/>
      <c r="T511" s="885"/>
      <c r="U511" s="885"/>
      <c r="V511" s="885"/>
      <c r="W511" s="885"/>
      <c r="X511" s="885"/>
      <c r="Y511" s="885"/>
      <c r="Z511" s="885"/>
      <c r="AA511" s="885"/>
      <c r="AB511" s="885"/>
      <c r="AC511" s="885"/>
    </row>
    <row r="512" spans="1:29" ht="15.75" customHeight="1" x14ac:dyDescent="0.2">
      <c r="A512" s="885"/>
      <c r="B512" s="885"/>
      <c r="C512" s="885"/>
      <c r="D512" s="885"/>
      <c r="E512" s="885"/>
      <c r="F512" s="885"/>
      <c r="G512" s="885"/>
      <c r="H512" s="885"/>
      <c r="I512" s="885"/>
      <c r="J512" s="885"/>
      <c r="K512" s="885"/>
      <c r="L512" s="885"/>
      <c r="M512" s="885"/>
      <c r="N512" s="885"/>
      <c r="O512" s="885"/>
      <c r="P512" s="885"/>
      <c r="Q512" s="885"/>
      <c r="R512" s="885"/>
      <c r="S512" s="885"/>
      <c r="T512" s="885"/>
      <c r="U512" s="885"/>
      <c r="V512" s="885"/>
      <c r="W512" s="885"/>
      <c r="X512" s="885"/>
      <c r="Y512" s="885"/>
      <c r="Z512" s="885"/>
      <c r="AA512" s="885"/>
      <c r="AB512" s="885"/>
      <c r="AC512" s="885"/>
    </row>
    <row r="513" spans="1:29" ht="15.75" customHeight="1" x14ac:dyDescent="0.2">
      <c r="A513" s="885"/>
      <c r="B513" s="885"/>
      <c r="C513" s="885"/>
      <c r="D513" s="885"/>
      <c r="E513" s="885"/>
      <c r="F513" s="885"/>
      <c r="G513" s="885"/>
      <c r="H513" s="885"/>
      <c r="I513" s="885"/>
      <c r="J513" s="885"/>
      <c r="K513" s="885"/>
      <c r="L513" s="885"/>
      <c r="M513" s="885"/>
      <c r="N513" s="885"/>
      <c r="O513" s="885"/>
      <c r="P513" s="885"/>
      <c r="Q513" s="885"/>
      <c r="R513" s="885"/>
      <c r="S513" s="885"/>
      <c r="T513" s="885"/>
      <c r="U513" s="885"/>
      <c r="V513" s="885"/>
      <c r="W513" s="885"/>
      <c r="X513" s="885"/>
      <c r="Y513" s="885"/>
      <c r="Z513" s="885"/>
      <c r="AA513" s="885"/>
      <c r="AB513" s="885"/>
      <c r="AC513" s="885"/>
    </row>
    <row r="514" spans="1:29" ht="15.75" customHeight="1" x14ac:dyDescent="0.2">
      <c r="A514" s="885"/>
      <c r="B514" s="885"/>
      <c r="C514" s="885"/>
      <c r="D514" s="885"/>
      <c r="E514" s="885"/>
      <c r="F514" s="885"/>
      <c r="G514" s="885"/>
      <c r="H514" s="885"/>
      <c r="I514" s="885"/>
      <c r="J514" s="885"/>
      <c r="K514" s="885"/>
      <c r="L514" s="885"/>
      <c r="M514" s="885"/>
      <c r="N514" s="885"/>
      <c r="O514" s="885"/>
      <c r="P514" s="885"/>
      <c r="Q514" s="885"/>
      <c r="R514" s="885"/>
      <c r="S514" s="885"/>
      <c r="T514" s="885"/>
      <c r="U514" s="885"/>
      <c r="V514" s="885"/>
      <c r="W514" s="885"/>
      <c r="X514" s="885"/>
      <c r="Y514" s="885"/>
      <c r="Z514" s="885"/>
      <c r="AA514" s="885"/>
      <c r="AB514" s="885"/>
      <c r="AC514" s="885"/>
    </row>
    <row r="515" spans="1:29" ht="15.75" customHeight="1" x14ac:dyDescent="0.2">
      <c r="A515" s="885"/>
      <c r="B515" s="885"/>
      <c r="C515" s="885"/>
      <c r="D515" s="885"/>
      <c r="E515" s="885"/>
      <c r="F515" s="885"/>
      <c r="G515" s="885"/>
      <c r="H515" s="885"/>
      <c r="I515" s="885"/>
      <c r="J515" s="885"/>
      <c r="K515" s="885"/>
      <c r="L515" s="885"/>
      <c r="M515" s="885"/>
      <c r="N515" s="885"/>
      <c r="O515" s="885"/>
      <c r="P515" s="885"/>
      <c r="Q515" s="885"/>
      <c r="R515" s="885"/>
      <c r="S515" s="885"/>
      <c r="T515" s="885"/>
      <c r="U515" s="885"/>
      <c r="V515" s="885"/>
      <c r="W515" s="885"/>
      <c r="X515" s="885"/>
      <c r="Y515" s="885"/>
      <c r="Z515" s="885"/>
      <c r="AA515" s="885"/>
      <c r="AB515" s="885"/>
      <c r="AC515" s="885"/>
    </row>
    <row r="516" spans="1:29" ht="15.75" customHeight="1" x14ac:dyDescent="0.2">
      <c r="A516" s="885"/>
      <c r="B516" s="885"/>
      <c r="C516" s="885"/>
      <c r="D516" s="885"/>
      <c r="E516" s="885"/>
      <c r="F516" s="885"/>
      <c r="G516" s="885"/>
      <c r="H516" s="885"/>
      <c r="I516" s="885"/>
      <c r="J516" s="885"/>
      <c r="K516" s="885"/>
      <c r="L516" s="885"/>
      <c r="M516" s="885"/>
      <c r="N516" s="885"/>
      <c r="O516" s="885"/>
      <c r="P516" s="885"/>
      <c r="Q516" s="885"/>
      <c r="R516" s="885"/>
      <c r="S516" s="885"/>
      <c r="T516" s="885"/>
      <c r="U516" s="885"/>
      <c r="V516" s="885"/>
      <c r="W516" s="885"/>
      <c r="X516" s="885"/>
      <c r="Y516" s="885"/>
      <c r="Z516" s="885"/>
      <c r="AA516" s="885"/>
      <c r="AB516" s="885"/>
      <c r="AC516" s="885"/>
    </row>
    <row r="517" spans="1:29" ht="15.75" customHeight="1" x14ac:dyDescent="0.2">
      <c r="A517" s="885"/>
      <c r="B517" s="885"/>
      <c r="C517" s="885"/>
      <c r="D517" s="885"/>
      <c r="E517" s="885"/>
      <c r="F517" s="885"/>
      <c r="G517" s="885"/>
      <c r="H517" s="885"/>
      <c r="I517" s="885"/>
      <c r="J517" s="885"/>
      <c r="K517" s="885"/>
      <c r="L517" s="885"/>
      <c r="M517" s="885"/>
      <c r="N517" s="885"/>
      <c r="O517" s="885"/>
      <c r="P517" s="885"/>
      <c r="Q517" s="885"/>
      <c r="R517" s="885"/>
      <c r="S517" s="885"/>
      <c r="T517" s="885"/>
      <c r="U517" s="885"/>
      <c r="V517" s="885"/>
      <c r="W517" s="885"/>
      <c r="X517" s="885"/>
      <c r="Y517" s="885"/>
      <c r="Z517" s="885"/>
      <c r="AA517" s="885"/>
      <c r="AB517" s="885"/>
      <c r="AC517" s="885"/>
    </row>
    <row r="518" spans="1:29" ht="15.75" customHeight="1" x14ac:dyDescent="0.2">
      <c r="A518" s="885"/>
      <c r="B518" s="885"/>
      <c r="C518" s="885"/>
      <c r="D518" s="885"/>
      <c r="E518" s="885"/>
      <c r="F518" s="885"/>
      <c r="G518" s="885"/>
      <c r="H518" s="885"/>
      <c r="I518" s="885"/>
      <c r="J518" s="885"/>
      <c r="K518" s="885"/>
      <c r="L518" s="885"/>
      <c r="M518" s="885"/>
      <c r="N518" s="885"/>
      <c r="O518" s="885"/>
      <c r="P518" s="885"/>
      <c r="Q518" s="885"/>
      <c r="R518" s="885"/>
      <c r="S518" s="885"/>
      <c r="T518" s="885"/>
      <c r="U518" s="885"/>
      <c r="V518" s="885"/>
      <c r="W518" s="885"/>
      <c r="X518" s="885"/>
      <c r="Y518" s="885"/>
      <c r="Z518" s="885"/>
      <c r="AA518" s="885"/>
      <c r="AB518" s="885"/>
      <c r="AC518" s="885"/>
    </row>
    <row r="519" spans="1:29" ht="15.75" customHeight="1" x14ac:dyDescent="0.2">
      <c r="A519" s="885"/>
      <c r="B519" s="885"/>
      <c r="C519" s="885"/>
      <c r="D519" s="885"/>
      <c r="E519" s="885"/>
      <c r="F519" s="885"/>
      <c r="G519" s="885"/>
      <c r="H519" s="885"/>
      <c r="I519" s="885"/>
      <c r="J519" s="885"/>
      <c r="K519" s="885"/>
      <c r="L519" s="885"/>
      <c r="M519" s="885"/>
      <c r="N519" s="885"/>
      <c r="O519" s="885"/>
      <c r="P519" s="885"/>
      <c r="Q519" s="885"/>
      <c r="R519" s="885"/>
      <c r="S519" s="885"/>
      <c r="T519" s="885"/>
      <c r="U519" s="885"/>
      <c r="V519" s="885"/>
      <c r="W519" s="885"/>
      <c r="X519" s="885"/>
      <c r="Y519" s="885"/>
      <c r="Z519" s="885"/>
      <c r="AA519" s="885"/>
      <c r="AB519" s="885"/>
      <c r="AC519" s="885"/>
    </row>
    <row r="520" spans="1:29" ht="15.75" customHeight="1" x14ac:dyDescent="0.2">
      <c r="A520" s="885"/>
      <c r="B520" s="885"/>
      <c r="C520" s="885"/>
      <c r="D520" s="885"/>
      <c r="E520" s="885"/>
      <c r="F520" s="885"/>
      <c r="G520" s="885"/>
      <c r="H520" s="885"/>
      <c r="I520" s="885"/>
      <c r="J520" s="885"/>
      <c r="K520" s="885"/>
      <c r="L520" s="885"/>
      <c r="M520" s="885"/>
      <c r="N520" s="885"/>
      <c r="O520" s="885"/>
      <c r="P520" s="885"/>
      <c r="Q520" s="885"/>
      <c r="R520" s="885"/>
      <c r="S520" s="885"/>
      <c r="T520" s="885"/>
      <c r="U520" s="885"/>
      <c r="V520" s="885"/>
      <c r="W520" s="885"/>
      <c r="X520" s="885"/>
      <c r="Y520" s="885"/>
      <c r="Z520" s="885"/>
      <c r="AA520" s="885"/>
      <c r="AB520" s="885"/>
      <c r="AC520" s="885"/>
    </row>
    <row r="521" spans="1:29" ht="15.75" customHeight="1" x14ac:dyDescent="0.2">
      <c r="A521" s="885"/>
      <c r="B521" s="885"/>
      <c r="C521" s="885"/>
      <c r="D521" s="885"/>
      <c r="E521" s="885"/>
      <c r="F521" s="885"/>
      <c r="G521" s="885"/>
      <c r="H521" s="885"/>
      <c r="I521" s="885"/>
      <c r="J521" s="885"/>
      <c r="K521" s="885"/>
      <c r="L521" s="885"/>
      <c r="M521" s="885"/>
      <c r="N521" s="885"/>
      <c r="O521" s="885"/>
      <c r="P521" s="885"/>
      <c r="Q521" s="885"/>
      <c r="R521" s="885"/>
      <c r="S521" s="885"/>
      <c r="T521" s="885"/>
      <c r="U521" s="885"/>
      <c r="V521" s="885"/>
      <c r="W521" s="885"/>
      <c r="X521" s="885"/>
      <c r="Y521" s="885"/>
      <c r="Z521" s="885"/>
      <c r="AA521" s="885"/>
      <c r="AB521" s="885"/>
      <c r="AC521" s="885"/>
    </row>
    <row r="522" spans="1:29" ht="15.75" customHeight="1" x14ac:dyDescent="0.2">
      <c r="A522" s="885"/>
      <c r="B522" s="885"/>
      <c r="C522" s="885"/>
      <c r="D522" s="885"/>
      <c r="E522" s="885"/>
      <c r="F522" s="885"/>
      <c r="G522" s="885"/>
      <c r="H522" s="885"/>
      <c r="I522" s="885"/>
      <c r="J522" s="885"/>
      <c r="K522" s="885"/>
      <c r="L522" s="885"/>
      <c r="M522" s="885"/>
      <c r="N522" s="885"/>
      <c r="O522" s="885"/>
      <c r="P522" s="885"/>
      <c r="Q522" s="885"/>
      <c r="R522" s="885"/>
      <c r="S522" s="885"/>
      <c r="T522" s="885"/>
      <c r="U522" s="885"/>
      <c r="V522" s="885"/>
      <c r="W522" s="885"/>
      <c r="X522" s="885"/>
      <c r="Y522" s="885"/>
      <c r="Z522" s="885"/>
      <c r="AA522" s="885"/>
      <c r="AB522" s="885"/>
      <c r="AC522" s="885"/>
    </row>
    <row r="523" spans="1:29" ht="15.75" customHeight="1" x14ac:dyDescent="0.2">
      <c r="A523" s="885"/>
      <c r="B523" s="885"/>
      <c r="C523" s="885"/>
      <c r="D523" s="885"/>
      <c r="E523" s="885"/>
      <c r="F523" s="885"/>
      <c r="G523" s="885"/>
      <c r="H523" s="885"/>
      <c r="I523" s="885"/>
      <c r="J523" s="885"/>
      <c r="K523" s="885"/>
      <c r="L523" s="885"/>
      <c r="M523" s="885"/>
      <c r="N523" s="885"/>
      <c r="O523" s="885"/>
      <c r="P523" s="885"/>
      <c r="Q523" s="885"/>
      <c r="R523" s="885"/>
      <c r="S523" s="885"/>
      <c r="T523" s="885"/>
      <c r="U523" s="885"/>
      <c r="V523" s="885"/>
      <c r="W523" s="885"/>
      <c r="X523" s="885"/>
      <c r="Y523" s="885"/>
      <c r="Z523" s="885"/>
      <c r="AA523" s="885"/>
      <c r="AB523" s="885"/>
      <c r="AC523" s="885"/>
    </row>
    <row r="524" spans="1:29" ht="15.75" customHeight="1" x14ac:dyDescent="0.2">
      <c r="A524" s="885"/>
      <c r="B524" s="885"/>
      <c r="C524" s="885"/>
      <c r="D524" s="885"/>
      <c r="E524" s="885"/>
      <c r="F524" s="885"/>
      <c r="G524" s="885"/>
      <c r="H524" s="885"/>
      <c r="I524" s="885"/>
      <c r="J524" s="885"/>
      <c r="K524" s="885"/>
      <c r="L524" s="885"/>
      <c r="M524" s="885"/>
      <c r="N524" s="885"/>
      <c r="O524" s="885"/>
      <c r="P524" s="885"/>
      <c r="Q524" s="885"/>
      <c r="R524" s="885"/>
      <c r="S524" s="885"/>
      <c r="T524" s="885"/>
      <c r="U524" s="885"/>
      <c r="V524" s="885"/>
      <c r="W524" s="885"/>
      <c r="X524" s="885"/>
      <c r="Y524" s="885"/>
      <c r="Z524" s="885"/>
      <c r="AA524" s="885"/>
      <c r="AB524" s="885"/>
      <c r="AC524" s="885"/>
    </row>
    <row r="525" spans="1:29" ht="15.75" customHeight="1" x14ac:dyDescent="0.2">
      <c r="A525" s="885"/>
      <c r="B525" s="885"/>
      <c r="C525" s="885"/>
      <c r="D525" s="885"/>
      <c r="E525" s="885"/>
      <c r="F525" s="885"/>
      <c r="G525" s="885"/>
      <c r="H525" s="885"/>
      <c r="I525" s="885"/>
      <c r="J525" s="885"/>
      <c r="K525" s="885"/>
      <c r="L525" s="885"/>
      <c r="M525" s="885"/>
      <c r="N525" s="885"/>
      <c r="O525" s="885"/>
      <c r="P525" s="885"/>
      <c r="Q525" s="885"/>
      <c r="R525" s="885"/>
      <c r="S525" s="885"/>
      <c r="T525" s="885"/>
      <c r="U525" s="885"/>
      <c r="V525" s="885"/>
      <c r="W525" s="885"/>
      <c r="X525" s="885"/>
      <c r="Y525" s="885"/>
      <c r="Z525" s="885"/>
      <c r="AA525" s="885"/>
      <c r="AB525" s="885"/>
      <c r="AC525" s="885"/>
    </row>
    <row r="526" spans="1:29" ht="15.75" customHeight="1" x14ac:dyDescent="0.2">
      <c r="A526" s="885"/>
      <c r="B526" s="885"/>
      <c r="C526" s="885"/>
      <c r="D526" s="885"/>
      <c r="E526" s="885"/>
      <c r="F526" s="885"/>
      <c r="G526" s="885"/>
      <c r="H526" s="885"/>
      <c r="I526" s="885"/>
      <c r="J526" s="885"/>
      <c r="K526" s="885"/>
      <c r="L526" s="885"/>
      <c r="M526" s="885"/>
      <c r="N526" s="885"/>
      <c r="O526" s="885"/>
      <c r="P526" s="885"/>
      <c r="Q526" s="885"/>
      <c r="R526" s="885"/>
      <c r="S526" s="885"/>
      <c r="T526" s="885"/>
      <c r="U526" s="885"/>
      <c r="V526" s="885"/>
      <c r="W526" s="885"/>
      <c r="X526" s="885"/>
      <c r="Y526" s="885"/>
      <c r="Z526" s="885"/>
      <c r="AA526" s="885"/>
      <c r="AB526" s="885"/>
      <c r="AC526" s="885"/>
    </row>
    <row r="527" spans="1:29" ht="15.75" customHeight="1" x14ac:dyDescent="0.2">
      <c r="A527" s="885"/>
      <c r="B527" s="885"/>
      <c r="C527" s="885"/>
      <c r="D527" s="885"/>
      <c r="E527" s="885"/>
      <c r="F527" s="885"/>
      <c r="G527" s="885"/>
      <c r="H527" s="885"/>
      <c r="I527" s="885"/>
      <c r="J527" s="885"/>
      <c r="K527" s="885"/>
      <c r="L527" s="885"/>
      <c r="M527" s="885"/>
      <c r="N527" s="885"/>
      <c r="O527" s="885"/>
      <c r="P527" s="885"/>
      <c r="Q527" s="885"/>
      <c r="R527" s="885"/>
      <c r="S527" s="885"/>
      <c r="T527" s="885"/>
      <c r="U527" s="885"/>
      <c r="V527" s="885"/>
      <c r="W527" s="885"/>
      <c r="X527" s="885"/>
      <c r="Y527" s="885"/>
      <c r="Z527" s="885"/>
      <c r="AA527" s="885"/>
      <c r="AB527" s="885"/>
      <c r="AC527" s="885"/>
    </row>
    <row r="528" spans="1:29" ht="15.75" customHeight="1" x14ac:dyDescent="0.2">
      <c r="A528" s="885"/>
      <c r="B528" s="885"/>
      <c r="C528" s="885"/>
      <c r="D528" s="885"/>
      <c r="E528" s="885"/>
      <c r="F528" s="885"/>
      <c r="G528" s="885"/>
      <c r="H528" s="885"/>
      <c r="I528" s="885"/>
      <c r="J528" s="885"/>
      <c r="K528" s="885"/>
      <c r="L528" s="885"/>
      <c r="M528" s="885"/>
      <c r="N528" s="885"/>
      <c r="O528" s="885"/>
      <c r="P528" s="885"/>
      <c r="Q528" s="885"/>
      <c r="R528" s="885"/>
      <c r="S528" s="885"/>
      <c r="T528" s="885"/>
      <c r="U528" s="885"/>
      <c r="V528" s="885"/>
      <c r="W528" s="885"/>
      <c r="X528" s="885"/>
      <c r="Y528" s="885"/>
      <c r="Z528" s="885"/>
      <c r="AA528" s="885"/>
      <c r="AB528" s="885"/>
      <c r="AC528" s="885"/>
    </row>
    <row r="529" spans="1:29" ht="15.75" customHeight="1" x14ac:dyDescent="0.2">
      <c r="A529" s="885"/>
      <c r="B529" s="885"/>
      <c r="C529" s="885"/>
      <c r="D529" s="885"/>
      <c r="E529" s="885"/>
      <c r="F529" s="885"/>
      <c r="G529" s="885"/>
      <c r="H529" s="885"/>
      <c r="I529" s="885"/>
      <c r="J529" s="885"/>
      <c r="K529" s="885"/>
      <c r="L529" s="885"/>
      <c r="M529" s="885"/>
      <c r="N529" s="885"/>
      <c r="O529" s="885"/>
      <c r="P529" s="885"/>
      <c r="Q529" s="885"/>
      <c r="R529" s="885"/>
      <c r="S529" s="885"/>
      <c r="T529" s="885"/>
      <c r="U529" s="885"/>
      <c r="V529" s="885"/>
      <c r="W529" s="885"/>
      <c r="X529" s="885"/>
      <c r="Y529" s="885"/>
      <c r="Z529" s="885"/>
      <c r="AA529" s="885"/>
      <c r="AB529" s="885"/>
      <c r="AC529" s="885"/>
    </row>
    <row r="530" spans="1:29" ht="15.75" customHeight="1" x14ac:dyDescent="0.2">
      <c r="A530" s="885"/>
      <c r="B530" s="885"/>
      <c r="C530" s="885"/>
      <c r="D530" s="885"/>
      <c r="E530" s="885"/>
      <c r="F530" s="885"/>
      <c r="G530" s="885"/>
      <c r="H530" s="885"/>
      <c r="I530" s="885"/>
      <c r="J530" s="885"/>
      <c r="K530" s="885"/>
      <c r="L530" s="885"/>
      <c r="M530" s="885"/>
      <c r="N530" s="885"/>
      <c r="O530" s="885"/>
      <c r="P530" s="885"/>
      <c r="Q530" s="885"/>
      <c r="R530" s="885"/>
      <c r="S530" s="885"/>
      <c r="T530" s="885"/>
      <c r="U530" s="885"/>
      <c r="V530" s="885"/>
      <c r="W530" s="885"/>
      <c r="X530" s="885"/>
      <c r="Y530" s="885"/>
      <c r="Z530" s="885"/>
      <c r="AA530" s="885"/>
      <c r="AB530" s="885"/>
      <c r="AC530" s="885"/>
    </row>
    <row r="531" spans="1:29" ht="15.75" customHeight="1" x14ac:dyDescent="0.2">
      <c r="A531" s="885"/>
      <c r="B531" s="885"/>
      <c r="C531" s="885"/>
      <c r="D531" s="885"/>
      <c r="E531" s="885"/>
      <c r="F531" s="885"/>
      <c r="G531" s="885"/>
      <c r="H531" s="885"/>
      <c r="I531" s="885"/>
      <c r="J531" s="885"/>
      <c r="K531" s="885"/>
      <c r="L531" s="885"/>
      <c r="M531" s="885"/>
      <c r="N531" s="885"/>
      <c r="O531" s="885"/>
      <c r="P531" s="885"/>
      <c r="Q531" s="885"/>
      <c r="R531" s="885"/>
      <c r="S531" s="885"/>
      <c r="T531" s="885"/>
      <c r="U531" s="885"/>
      <c r="V531" s="885"/>
      <c r="W531" s="885"/>
      <c r="X531" s="885"/>
      <c r="Y531" s="885"/>
      <c r="Z531" s="885"/>
      <c r="AA531" s="885"/>
      <c r="AB531" s="885"/>
      <c r="AC531" s="885"/>
    </row>
    <row r="532" spans="1:29" ht="15.75" customHeight="1" x14ac:dyDescent="0.2">
      <c r="A532" s="885"/>
      <c r="B532" s="885"/>
      <c r="C532" s="885"/>
      <c r="D532" s="885"/>
      <c r="E532" s="885"/>
      <c r="F532" s="885"/>
      <c r="G532" s="885"/>
      <c r="H532" s="885"/>
      <c r="I532" s="885"/>
      <c r="J532" s="885"/>
      <c r="K532" s="885"/>
      <c r="L532" s="885"/>
      <c r="M532" s="885"/>
      <c r="N532" s="885"/>
      <c r="O532" s="885"/>
      <c r="P532" s="885"/>
      <c r="Q532" s="885"/>
      <c r="R532" s="885"/>
      <c r="S532" s="885"/>
      <c r="T532" s="885"/>
      <c r="U532" s="885"/>
      <c r="V532" s="885"/>
      <c r="W532" s="885"/>
      <c r="X532" s="885"/>
      <c r="Y532" s="885"/>
      <c r="Z532" s="885"/>
      <c r="AA532" s="885"/>
      <c r="AB532" s="885"/>
      <c r="AC532" s="885"/>
    </row>
    <row r="533" spans="1:29" ht="15.75" customHeight="1" x14ac:dyDescent="0.2">
      <c r="A533" s="885"/>
      <c r="B533" s="885"/>
      <c r="C533" s="885"/>
      <c r="D533" s="885"/>
      <c r="E533" s="885"/>
      <c r="F533" s="885"/>
      <c r="G533" s="885"/>
      <c r="H533" s="885"/>
      <c r="I533" s="885"/>
      <c r="J533" s="885"/>
      <c r="K533" s="885"/>
      <c r="L533" s="885"/>
      <c r="M533" s="885"/>
      <c r="N533" s="885"/>
      <c r="O533" s="885"/>
      <c r="P533" s="885"/>
      <c r="Q533" s="885"/>
      <c r="R533" s="885"/>
      <c r="S533" s="885"/>
      <c r="T533" s="885"/>
      <c r="U533" s="885"/>
      <c r="V533" s="885"/>
      <c r="W533" s="885"/>
      <c r="X533" s="885"/>
      <c r="Y533" s="885"/>
      <c r="Z533" s="885"/>
      <c r="AA533" s="885"/>
      <c r="AB533" s="885"/>
      <c r="AC533" s="885"/>
    </row>
    <row r="534" spans="1:29" ht="15.75" customHeight="1" x14ac:dyDescent="0.2">
      <c r="A534" s="885"/>
      <c r="B534" s="885"/>
      <c r="C534" s="885"/>
      <c r="D534" s="885"/>
      <c r="E534" s="885"/>
      <c r="F534" s="885"/>
      <c r="G534" s="885"/>
      <c r="H534" s="885"/>
      <c r="I534" s="885"/>
      <c r="J534" s="885"/>
      <c r="K534" s="885"/>
      <c r="L534" s="885"/>
      <c r="M534" s="885"/>
      <c r="N534" s="885"/>
      <c r="O534" s="885"/>
      <c r="P534" s="885"/>
      <c r="Q534" s="885"/>
      <c r="R534" s="885"/>
      <c r="S534" s="885"/>
      <c r="T534" s="885"/>
      <c r="U534" s="885"/>
      <c r="V534" s="885"/>
      <c r="W534" s="885"/>
      <c r="X534" s="885"/>
      <c r="Y534" s="885"/>
      <c r="Z534" s="885"/>
      <c r="AA534" s="885"/>
      <c r="AB534" s="885"/>
      <c r="AC534" s="885"/>
    </row>
    <row r="535" spans="1:29" ht="15.75" customHeight="1" x14ac:dyDescent="0.2">
      <c r="A535" s="885"/>
      <c r="B535" s="885"/>
      <c r="C535" s="885"/>
      <c r="D535" s="885"/>
      <c r="E535" s="885"/>
      <c r="F535" s="885"/>
      <c r="G535" s="885"/>
      <c r="H535" s="885"/>
      <c r="I535" s="885"/>
      <c r="J535" s="885"/>
      <c r="K535" s="885"/>
      <c r="L535" s="885"/>
      <c r="M535" s="885"/>
      <c r="N535" s="885"/>
      <c r="O535" s="885"/>
      <c r="P535" s="885"/>
      <c r="Q535" s="885"/>
      <c r="R535" s="885"/>
      <c r="S535" s="885"/>
      <c r="T535" s="885"/>
      <c r="U535" s="885"/>
      <c r="V535" s="885"/>
      <c r="W535" s="885"/>
      <c r="X535" s="885"/>
      <c r="Y535" s="885"/>
      <c r="Z535" s="885"/>
      <c r="AA535" s="885"/>
      <c r="AB535" s="885"/>
      <c r="AC535" s="885"/>
    </row>
    <row r="536" spans="1:29" ht="15.75" customHeight="1" x14ac:dyDescent="0.2">
      <c r="A536" s="885"/>
      <c r="B536" s="885"/>
      <c r="C536" s="885"/>
      <c r="D536" s="885"/>
      <c r="E536" s="885"/>
      <c r="F536" s="885"/>
      <c r="G536" s="885"/>
      <c r="H536" s="885"/>
      <c r="I536" s="885"/>
      <c r="J536" s="885"/>
      <c r="K536" s="885"/>
      <c r="L536" s="885"/>
      <c r="M536" s="885"/>
      <c r="N536" s="885"/>
      <c r="O536" s="885"/>
      <c r="P536" s="885"/>
      <c r="Q536" s="885"/>
      <c r="R536" s="885"/>
      <c r="S536" s="885"/>
      <c r="T536" s="885"/>
      <c r="U536" s="885"/>
      <c r="V536" s="885"/>
      <c r="W536" s="885"/>
      <c r="X536" s="885"/>
      <c r="Y536" s="885"/>
      <c r="Z536" s="885"/>
      <c r="AA536" s="885"/>
      <c r="AB536" s="885"/>
      <c r="AC536" s="885"/>
    </row>
    <row r="537" spans="1:29" ht="15.75" customHeight="1" x14ac:dyDescent="0.2">
      <c r="A537" s="885"/>
      <c r="B537" s="885"/>
      <c r="C537" s="885"/>
      <c r="D537" s="885"/>
      <c r="E537" s="885"/>
      <c r="F537" s="885"/>
      <c r="G537" s="885"/>
      <c r="H537" s="885"/>
      <c r="I537" s="885"/>
      <c r="J537" s="885"/>
      <c r="K537" s="885"/>
      <c r="L537" s="885"/>
      <c r="M537" s="885"/>
      <c r="N537" s="885"/>
      <c r="O537" s="885"/>
      <c r="P537" s="885"/>
      <c r="Q537" s="885"/>
      <c r="R537" s="885"/>
      <c r="S537" s="885"/>
      <c r="T537" s="885"/>
      <c r="U537" s="885"/>
      <c r="V537" s="885"/>
      <c r="W537" s="885"/>
      <c r="X537" s="885"/>
      <c r="Y537" s="885"/>
      <c r="Z537" s="885"/>
      <c r="AA537" s="885"/>
      <c r="AB537" s="885"/>
      <c r="AC537" s="885"/>
    </row>
    <row r="538" spans="1:29" ht="15.75" customHeight="1" x14ac:dyDescent="0.2">
      <c r="A538" s="885"/>
      <c r="B538" s="885"/>
      <c r="C538" s="885"/>
      <c r="D538" s="885"/>
      <c r="E538" s="885"/>
      <c r="F538" s="885"/>
      <c r="G538" s="885"/>
      <c r="H538" s="885"/>
      <c r="I538" s="885"/>
      <c r="J538" s="885"/>
      <c r="K538" s="885"/>
      <c r="L538" s="885"/>
      <c r="M538" s="885"/>
      <c r="N538" s="885"/>
      <c r="O538" s="885"/>
      <c r="P538" s="885"/>
      <c r="Q538" s="885"/>
      <c r="R538" s="885"/>
      <c r="S538" s="885"/>
      <c r="T538" s="885"/>
      <c r="U538" s="885"/>
      <c r="V538" s="885"/>
      <c r="W538" s="885"/>
      <c r="X538" s="885"/>
      <c r="Y538" s="885"/>
      <c r="Z538" s="885"/>
      <c r="AA538" s="885"/>
      <c r="AB538" s="885"/>
      <c r="AC538" s="885"/>
    </row>
    <row r="539" spans="1:29" ht="15.75" customHeight="1" x14ac:dyDescent="0.2">
      <c r="A539" s="885"/>
      <c r="B539" s="885"/>
      <c r="C539" s="885"/>
      <c r="D539" s="885"/>
      <c r="E539" s="885"/>
      <c r="F539" s="885"/>
      <c r="G539" s="885"/>
      <c r="H539" s="885"/>
      <c r="I539" s="885"/>
      <c r="J539" s="885"/>
      <c r="K539" s="885"/>
      <c r="L539" s="885"/>
      <c r="M539" s="885"/>
      <c r="N539" s="885"/>
      <c r="O539" s="885"/>
      <c r="P539" s="885"/>
      <c r="Q539" s="885"/>
      <c r="R539" s="885"/>
      <c r="S539" s="885"/>
      <c r="T539" s="885"/>
      <c r="U539" s="885"/>
      <c r="V539" s="885"/>
      <c r="W539" s="885"/>
      <c r="X539" s="885"/>
      <c r="Y539" s="885"/>
      <c r="Z539" s="885"/>
      <c r="AA539" s="885"/>
      <c r="AB539" s="885"/>
      <c r="AC539" s="885"/>
    </row>
    <row r="540" spans="1:29" ht="15.75" customHeight="1" x14ac:dyDescent="0.2">
      <c r="A540" s="885"/>
      <c r="B540" s="885"/>
      <c r="C540" s="885"/>
      <c r="D540" s="885"/>
      <c r="E540" s="885"/>
      <c r="F540" s="885"/>
      <c r="G540" s="885"/>
      <c r="H540" s="885"/>
      <c r="I540" s="885"/>
      <c r="J540" s="885"/>
      <c r="K540" s="885"/>
      <c r="L540" s="885"/>
      <c r="M540" s="885"/>
      <c r="N540" s="885"/>
      <c r="O540" s="885"/>
      <c r="P540" s="885"/>
      <c r="Q540" s="885"/>
      <c r="R540" s="885"/>
      <c r="S540" s="885"/>
      <c r="T540" s="885"/>
      <c r="U540" s="885"/>
      <c r="V540" s="885"/>
      <c r="W540" s="885"/>
      <c r="X540" s="885"/>
      <c r="Y540" s="885"/>
      <c r="Z540" s="885"/>
      <c r="AA540" s="885"/>
      <c r="AB540" s="885"/>
      <c r="AC540" s="885"/>
    </row>
    <row r="541" spans="1:29" ht="15.75" customHeight="1" x14ac:dyDescent="0.2">
      <c r="A541" s="885"/>
      <c r="B541" s="885"/>
      <c r="C541" s="885"/>
      <c r="D541" s="885"/>
      <c r="E541" s="885"/>
      <c r="F541" s="885"/>
      <c r="G541" s="885"/>
      <c r="H541" s="885"/>
      <c r="I541" s="885"/>
      <c r="J541" s="885"/>
      <c r="K541" s="885"/>
      <c r="L541" s="885"/>
      <c r="M541" s="885"/>
      <c r="N541" s="885"/>
      <c r="O541" s="885"/>
      <c r="P541" s="885"/>
      <c r="Q541" s="885"/>
      <c r="R541" s="885"/>
      <c r="S541" s="885"/>
      <c r="T541" s="885"/>
      <c r="U541" s="885"/>
      <c r="V541" s="885"/>
      <c r="W541" s="885"/>
      <c r="X541" s="885"/>
      <c r="Y541" s="885"/>
      <c r="Z541" s="885"/>
      <c r="AA541" s="885"/>
      <c r="AB541" s="885"/>
      <c r="AC541" s="885"/>
    </row>
    <row r="542" spans="1:29" ht="15.75" customHeight="1" x14ac:dyDescent="0.2">
      <c r="A542" s="885"/>
      <c r="B542" s="885"/>
      <c r="C542" s="885"/>
      <c r="D542" s="885"/>
      <c r="E542" s="885"/>
      <c r="F542" s="885"/>
      <c r="G542" s="885"/>
      <c r="H542" s="885"/>
      <c r="I542" s="885"/>
      <c r="J542" s="885"/>
      <c r="K542" s="885"/>
      <c r="L542" s="885"/>
      <c r="M542" s="885"/>
      <c r="N542" s="885"/>
      <c r="O542" s="885"/>
      <c r="P542" s="885"/>
      <c r="Q542" s="885"/>
      <c r="R542" s="885"/>
      <c r="S542" s="885"/>
      <c r="T542" s="885"/>
      <c r="U542" s="885"/>
      <c r="V542" s="885"/>
      <c r="W542" s="885"/>
      <c r="X542" s="885"/>
      <c r="Y542" s="885"/>
      <c r="Z542" s="885"/>
      <c r="AA542" s="885"/>
      <c r="AB542" s="885"/>
      <c r="AC542" s="885"/>
    </row>
    <row r="543" spans="1:29" ht="15.75" customHeight="1" x14ac:dyDescent="0.2">
      <c r="A543" s="885"/>
      <c r="B543" s="885"/>
      <c r="C543" s="885"/>
      <c r="D543" s="885"/>
      <c r="E543" s="885"/>
      <c r="F543" s="885"/>
      <c r="G543" s="885"/>
      <c r="H543" s="885"/>
      <c r="I543" s="885"/>
      <c r="J543" s="885"/>
      <c r="K543" s="885"/>
      <c r="L543" s="885"/>
      <c r="M543" s="885"/>
      <c r="N543" s="885"/>
      <c r="O543" s="885"/>
      <c r="P543" s="885"/>
      <c r="Q543" s="885"/>
      <c r="R543" s="885"/>
      <c r="S543" s="885"/>
      <c r="T543" s="885"/>
      <c r="U543" s="885"/>
      <c r="V543" s="885"/>
      <c r="W543" s="885"/>
      <c r="X543" s="885"/>
      <c r="Y543" s="885"/>
      <c r="Z543" s="885"/>
      <c r="AA543" s="885"/>
      <c r="AB543" s="885"/>
      <c r="AC543" s="885"/>
    </row>
    <row r="544" spans="1:29" ht="15.75" customHeight="1" x14ac:dyDescent="0.2">
      <c r="A544" s="885"/>
      <c r="B544" s="885"/>
      <c r="C544" s="885"/>
      <c r="D544" s="885"/>
      <c r="E544" s="885"/>
      <c r="F544" s="885"/>
      <c r="G544" s="885"/>
      <c r="H544" s="885"/>
      <c r="I544" s="885"/>
      <c r="J544" s="885"/>
      <c r="K544" s="885"/>
      <c r="L544" s="885"/>
      <c r="M544" s="885"/>
      <c r="N544" s="885"/>
      <c r="O544" s="885"/>
      <c r="P544" s="885"/>
      <c r="Q544" s="885"/>
      <c r="R544" s="885"/>
      <c r="S544" s="885"/>
      <c r="T544" s="885"/>
      <c r="U544" s="885"/>
      <c r="V544" s="885"/>
      <c r="W544" s="885"/>
      <c r="X544" s="885"/>
      <c r="Y544" s="885"/>
      <c r="Z544" s="885"/>
      <c r="AA544" s="885"/>
      <c r="AB544" s="885"/>
      <c r="AC544" s="885"/>
    </row>
    <row r="545" spans="1:29" ht="15.75" customHeight="1" x14ac:dyDescent="0.2">
      <c r="A545" s="885"/>
      <c r="B545" s="885"/>
      <c r="C545" s="885"/>
      <c r="D545" s="885"/>
      <c r="E545" s="885"/>
      <c r="F545" s="885"/>
      <c r="G545" s="885"/>
      <c r="H545" s="885"/>
      <c r="I545" s="885"/>
      <c r="J545" s="885"/>
      <c r="K545" s="885"/>
      <c r="L545" s="885"/>
      <c r="M545" s="885"/>
      <c r="N545" s="885"/>
      <c r="O545" s="885"/>
      <c r="P545" s="885"/>
      <c r="Q545" s="885"/>
      <c r="R545" s="885"/>
      <c r="S545" s="885"/>
      <c r="T545" s="885"/>
      <c r="U545" s="885"/>
      <c r="V545" s="885"/>
      <c r="W545" s="885"/>
      <c r="X545" s="885"/>
      <c r="Y545" s="885"/>
      <c r="Z545" s="885"/>
      <c r="AA545" s="885"/>
      <c r="AB545" s="885"/>
      <c r="AC545" s="885"/>
    </row>
    <row r="546" spans="1:29" ht="15.75" customHeight="1" x14ac:dyDescent="0.2">
      <c r="A546" s="885"/>
      <c r="B546" s="885"/>
      <c r="C546" s="885"/>
      <c r="D546" s="885"/>
      <c r="E546" s="885"/>
      <c r="F546" s="885"/>
      <c r="G546" s="885"/>
      <c r="H546" s="885"/>
      <c r="I546" s="885"/>
      <c r="J546" s="885"/>
      <c r="K546" s="885"/>
      <c r="L546" s="885"/>
      <c r="M546" s="885"/>
      <c r="N546" s="885"/>
      <c r="O546" s="885"/>
      <c r="P546" s="885"/>
      <c r="Q546" s="885"/>
      <c r="R546" s="885"/>
      <c r="S546" s="885"/>
      <c r="T546" s="885"/>
      <c r="U546" s="885"/>
      <c r="V546" s="885"/>
      <c r="W546" s="885"/>
      <c r="X546" s="885"/>
      <c r="Y546" s="885"/>
      <c r="Z546" s="885"/>
      <c r="AA546" s="885"/>
      <c r="AB546" s="885"/>
      <c r="AC546" s="885"/>
    </row>
    <row r="547" spans="1:29" ht="15.75" customHeight="1" x14ac:dyDescent="0.2">
      <c r="A547" s="885"/>
      <c r="B547" s="885"/>
      <c r="C547" s="885"/>
      <c r="D547" s="885"/>
      <c r="E547" s="885"/>
      <c r="F547" s="885"/>
      <c r="G547" s="885"/>
      <c r="H547" s="885"/>
      <c r="I547" s="885"/>
      <c r="J547" s="885"/>
      <c r="K547" s="885"/>
      <c r="L547" s="885"/>
      <c r="M547" s="885"/>
      <c r="N547" s="885"/>
      <c r="O547" s="885"/>
      <c r="P547" s="885"/>
      <c r="Q547" s="885"/>
      <c r="R547" s="885"/>
      <c r="S547" s="885"/>
      <c r="T547" s="885"/>
      <c r="U547" s="885"/>
      <c r="V547" s="885"/>
      <c r="W547" s="885"/>
      <c r="X547" s="885"/>
      <c r="Y547" s="885"/>
      <c r="Z547" s="885"/>
      <c r="AA547" s="885"/>
      <c r="AB547" s="885"/>
      <c r="AC547" s="885"/>
    </row>
    <row r="548" spans="1:29" ht="15.75" customHeight="1" x14ac:dyDescent="0.2">
      <c r="A548" s="885"/>
      <c r="B548" s="885"/>
      <c r="C548" s="885"/>
      <c r="D548" s="885"/>
      <c r="E548" s="885"/>
      <c r="F548" s="885"/>
      <c r="G548" s="885"/>
      <c r="H548" s="885"/>
      <c r="I548" s="885"/>
      <c r="J548" s="885"/>
      <c r="K548" s="885"/>
      <c r="L548" s="885"/>
      <c r="M548" s="885"/>
      <c r="N548" s="885"/>
      <c r="O548" s="885"/>
      <c r="P548" s="885"/>
      <c r="Q548" s="885"/>
      <c r="R548" s="885"/>
      <c r="S548" s="885"/>
      <c r="T548" s="885"/>
      <c r="U548" s="885"/>
      <c r="V548" s="885"/>
      <c r="W548" s="885"/>
      <c r="X548" s="885"/>
      <c r="Y548" s="885"/>
      <c r="Z548" s="885"/>
      <c r="AA548" s="885"/>
      <c r="AB548" s="885"/>
      <c r="AC548" s="885"/>
    </row>
    <row r="549" spans="1:29" ht="15.75" customHeight="1" x14ac:dyDescent="0.2">
      <c r="A549" s="885"/>
      <c r="B549" s="885"/>
      <c r="C549" s="885"/>
      <c r="D549" s="885"/>
      <c r="E549" s="885"/>
      <c r="F549" s="885"/>
      <c r="G549" s="885"/>
      <c r="H549" s="885"/>
      <c r="I549" s="885"/>
      <c r="J549" s="885"/>
      <c r="K549" s="885"/>
      <c r="L549" s="885"/>
      <c r="M549" s="885"/>
      <c r="N549" s="885"/>
      <c r="O549" s="885"/>
      <c r="P549" s="885"/>
      <c r="Q549" s="885"/>
      <c r="R549" s="885"/>
      <c r="S549" s="885"/>
      <c r="T549" s="885"/>
      <c r="U549" s="885"/>
      <c r="V549" s="885"/>
      <c r="W549" s="885"/>
      <c r="X549" s="885"/>
      <c r="Y549" s="885"/>
      <c r="Z549" s="885"/>
      <c r="AA549" s="885"/>
      <c r="AB549" s="885"/>
      <c r="AC549" s="885"/>
    </row>
    <row r="550" spans="1:29" ht="15.75" customHeight="1" x14ac:dyDescent="0.2">
      <c r="A550" s="885"/>
      <c r="B550" s="885"/>
      <c r="C550" s="885"/>
      <c r="D550" s="885"/>
      <c r="E550" s="885"/>
      <c r="F550" s="885"/>
      <c r="G550" s="885"/>
      <c r="H550" s="885"/>
      <c r="I550" s="885"/>
      <c r="J550" s="885"/>
      <c r="K550" s="885"/>
      <c r="L550" s="885"/>
      <c r="M550" s="885"/>
      <c r="N550" s="885"/>
      <c r="O550" s="885"/>
      <c r="P550" s="885"/>
      <c r="Q550" s="885"/>
      <c r="R550" s="885"/>
      <c r="S550" s="885"/>
      <c r="T550" s="885"/>
      <c r="U550" s="885"/>
      <c r="V550" s="885"/>
      <c r="W550" s="885"/>
      <c r="X550" s="885"/>
      <c r="Y550" s="885"/>
      <c r="Z550" s="885"/>
      <c r="AA550" s="885"/>
      <c r="AB550" s="885"/>
      <c r="AC550" s="885"/>
    </row>
    <row r="551" spans="1:29" ht="15.75" customHeight="1" x14ac:dyDescent="0.2">
      <c r="A551" s="885"/>
      <c r="B551" s="885"/>
      <c r="C551" s="885"/>
      <c r="D551" s="885"/>
      <c r="E551" s="885"/>
      <c r="F551" s="885"/>
      <c r="G551" s="885"/>
      <c r="H551" s="885"/>
      <c r="I551" s="885"/>
      <c r="J551" s="885"/>
      <c r="K551" s="885"/>
      <c r="L551" s="885"/>
      <c r="M551" s="885"/>
      <c r="N551" s="885"/>
      <c r="O551" s="885"/>
      <c r="P551" s="885"/>
      <c r="Q551" s="885"/>
      <c r="R551" s="885"/>
      <c r="S551" s="885"/>
      <c r="T551" s="885"/>
      <c r="U551" s="885"/>
      <c r="V551" s="885"/>
      <c r="W551" s="885"/>
      <c r="X551" s="885"/>
      <c r="Y551" s="885"/>
      <c r="Z551" s="885"/>
      <c r="AA551" s="885"/>
      <c r="AB551" s="885"/>
      <c r="AC551" s="885"/>
    </row>
    <row r="552" spans="1:29" ht="15.75" customHeight="1" x14ac:dyDescent="0.2">
      <c r="A552" s="885"/>
      <c r="B552" s="885"/>
      <c r="C552" s="885"/>
      <c r="D552" s="885"/>
      <c r="E552" s="885"/>
      <c r="F552" s="885"/>
      <c r="G552" s="885"/>
      <c r="H552" s="885"/>
      <c r="I552" s="885"/>
      <c r="J552" s="885"/>
      <c r="K552" s="885"/>
      <c r="L552" s="885"/>
      <c r="M552" s="885"/>
      <c r="N552" s="885"/>
      <c r="O552" s="885"/>
      <c r="P552" s="885"/>
      <c r="Q552" s="885"/>
      <c r="R552" s="885"/>
      <c r="S552" s="885"/>
      <c r="T552" s="885"/>
      <c r="U552" s="885"/>
      <c r="V552" s="885"/>
      <c r="W552" s="885"/>
      <c r="X552" s="885"/>
      <c r="Y552" s="885"/>
      <c r="Z552" s="885"/>
      <c r="AA552" s="885"/>
      <c r="AB552" s="885"/>
      <c r="AC552" s="885"/>
    </row>
    <row r="553" spans="1:29" ht="15.75" customHeight="1" x14ac:dyDescent="0.2">
      <c r="A553" s="885"/>
      <c r="B553" s="885"/>
      <c r="C553" s="885"/>
      <c r="D553" s="885"/>
      <c r="E553" s="885"/>
      <c r="F553" s="885"/>
      <c r="G553" s="885"/>
      <c r="H553" s="885"/>
      <c r="I553" s="885"/>
      <c r="J553" s="885"/>
      <c r="K553" s="885"/>
      <c r="L553" s="885"/>
      <c r="M553" s="885"/>
      <c r="N553" s="885"/>
      <c r="O553" s="885"/>
      <c r="P553" s="885"/>
      <c r="Q553" s="885"/>
      <c r="R553" s="885"/>
      <c r="S553" s="885"/>
      <c r="T553" s="885"/>
      <c r="U553" s="885"/>
      <c r="V553" s="885"/>
      <c r="W553" s="885"/>
      <c r="X553" s="885"/>
      <c r="Y553" s="885"/>
      <c r="Z553" s="885"/>
      <c r="AA553" s="885"/>
      <c r="AB553" s="885"/>
      <c r="AC553" s="885"/>
    </row>
    <row r="554" spans="1:29" ht="15.75" customHeight="1" x14ac:dyDescent="0.2">
      <c r="A554" s="885"/>
      <c r="B554" s="885"/>
      <c r="C554" s="885"/>
      <c r="D554" s="885"/>
      <c r="E554" s="885"/>
      <c r="F554" s="885"/>
      <c r="G554" s="885"/>
      <c r="H554" s="885"/>
      <c r="I554" s="885"/>
      <c r="J554" s="885"/>
      <c r="K554" s="885"/>
      <c r="L554" s="885"/>
      <c r="M554" s="885"/>
      <c r="N554" s="885"/>
      <c r="O554" s="885"/>
      <c r="P554" s="885"/>
      <c r="Q554" s="885"/>
      <c r="R554" s="885"/>
      <c r="S554" s="885"/>
      <c r="T554" s="885"/>
      <c r="U554" s="885"/>
      <c r="V554" s="885"/>
      <c r="W554" s="885"/>
      <c r="X554" s="885"/>
      <c r="Y554" s="885"/>
      <c r="Z554" s="885"/>
      <c r="AA554" s="885"/>
      <c r="AB554" s="885"/>
      <c r="AC554" s="885"/>
    </row>
    <row r="555" spans="1:29" ht="15.75" customHeight="1" x14ac:dyDescent="0.2">
      <c r="A555" s="885"/>
      <c r="B555" s="885"/>
      <c r="C555" s="885"/>
      <c r="D555" s="885"/>
      <c r="E555" s="885"/>
      <c r="F555" s="885"/>
      <c r="G555" s="885"/>
      <c r="H555" s="885"/>
      <c r="I555" s="885"/>
      <c r="J555" s="885"/>
      <c r="K555" s="885"/>
      <c r="L555" s="885"/>
      <c r="M555" s="885"/>
      <c r="N555" s="885"/>
      <c r="O555" s="885"/>
      <c r="P555" s="885"/>
      <c r="Q555" s="885"/>
      <c r="R555" s="885"/>
      <c r="S555" s="885"/>
      <c r="T555" s="885"/>
      <c r="U555" s="885"/>
      <c r="V555" s="885"/>
      <c r="W555" s="885"/>
      <c r="X555" s="885"/>
      <c r="Y555" s="885"/>
      <c r="Z555" s="885"/>
      <c r="AA555" s="885"/>
      <c r="AB555" s="885"/>
      <c r="AC555" s="885"/>
    </row>
    <row r="556" spans="1:29" ht="15.75" customHeight="1" x14ac:dyDescent="0.2">
      <c r="A556" s="885"/>
      <c r="B556" s="885"/>
      <c r="C556" s="885"/>
      <c r="D556" s="885"/>
      <c r="E556" s="885"/>
      <c r="F556" s="885"/>
      <c r="G556" s="885"/>
      <c r="H556" s="885"/>
      <c r="I556" s="885"/>
      <c r="J556" s="885"/>
      <c r="K556" s="885"/>
      <c r="L556" s="885"/>
      <c r="M556" s="885"/>
      <c r="N556" s="885"/>
      <c r="O556" s="885"/>
      <c r="P556" s="885"/>
      <c r="Q556" s="885"/>
      <c r="R556" s="885"/>
      <c r="S556" s="885"/>
      <c r="T556" s="885"/>
      <c r="U556" s="885"/>
      <c r="V556" s="885"/>
      <c r="W556" s="885"/>
      <c r="X556" s="885"/>
      <c r="Y556" s="885"/>
      <c r="Z556" s="885"/>
      <c r="AA556" s="885"/>
      <c r="AB556" s="885"/>
      <c r="AC556" s="885"/>
    </row>
    <row r="557" spans="1:29" ht="15.75" customHeight="1" x14ac:dyDescent="0.2">
      <c r="A557" s="885"/>
      <c r="B557" s="885"/>
      <c r="C557" s="885"/>
      <c r="D557" s="885"/>
      <c r="E557" s="885"/>
      <c r="F557" s="885"/>
      <c r="G557" s="885"/>
      <c r="H557" s="885"/>
      <c r="I557" s="885"/>
      <c r="J557" s="885"/>
      <c r="K557" s="885"/>
      <c r="L557" s="885"/>
      <c r="M557" s="885"/>
      <c r="N557" s="885"/>
      <c r="O557" s="885"/>
      <c r="P557" s="885"/>
      <c r="Q557" s="885"/>
      <c r="R557" s="885"/>
      <c r="S557" s="885"/>
      <c r="T557" s="885"/>
      <c r="U557" s="885"/>
      <c r="V557" s="885"/>
      <c r="W557" s="885"/>
      <c r="X557" s="885"/>
      <c r="Y557" s="885"/>
      <c r="Z557" s="885"/>
      <c r="AA557" s="885"/>
      <c r="AB557" s="885"/>
      <c r="AC557" s="885"/>
    </row>
    <row r="558" spans="1:29" ht="15.75" customHeight="1" x14ac:dyDescent="0.2">
      <c r="A558" s="885"/>
      <c r="B558" s="885"/>
      <c r="C558" s="885"/>
      <c r="D558" s="885"/>
      <c r="E558" s="885"/>
      <c r="F558" s="885"/>
      <c r="G558" s="885"/>
      <c r="H558" s="885"/>
      <c r="I558" s="885"/>
      <c r="J558" s="885"/>
      <c r="K558" s="885"/>
      <c r="L558" s="885"/>
      <c r="M558" s="885"/>
      <c r="N558" s="885"/>
      <c r="O558" s="885"/>
      <c r="P558" s="885"/>
      <c r="Q558" s="885"/>
      <c r="R558" s="885"/>
      <c r="S558" s="885"/>
      <c r="T558" s="885"/>
      <c r="U558" s="885"/>
      <c r="V558" s="885"/>
      <c r="W558" s="885"/>
      <c r="X558" s="885"/>
      <c r="Y558" s="885"/>
      <c r="Z558" s="885"/>
      <c r="AA558" s="885"/>
      <c r="AB558" s="885"/>
      <c r="AC558" s="885"/>
    </row>
    <row r="559" spans="1:29" ht="15.75" customHeight="1" x14ac:dyDescent="0.2">
      <c r="A559" s="885"/>
      <c r="B559" s="885"/>
      <c r="C559" s="885"/>
      <c r="D559" s="885"/>
      <c r="E559" s="885"/>
      <c r="F559" s="885"/>
      <c r="G559" s="885"/>
      <c r="H559" s="885"/>
      <c r="I559" s="885"/>
      <c r="J559" s="885"/>
      <c r="K559" s="885"/>
      <c r="L559" s="885"/>
      <c r="M559" s="885"/>
      <c r="N559" s="885"/>
      <c r="O559" s="885"/>
      <c r="P559" s="885"/>
      <c r="Q559" s="885"/>
      <c r="R559" s="885"/>
      <c r="S559" s="885"/>
      <c r="T559" s="885"/>
      <c r="U559" s="885"/>
      <c r="V559" s="885"/>
      <c r="W559" s="885"/>
      <c r="X559" s="885"/>
      <c r="Y559" s="885"/>
      <c r="Z559" s="885"/>
      <c r="AA559" s="885"/>
      <c r="AB559" s="885"/>
      <c r="AC559" s="885"/>
    </row>
    <row r="560" spans="1:29" ht="15.75" customHeight="1" x14ac:dyDescent="0.2">
      <c r="A560" s="885"/>
      <c r="B560" s="885"/>
      <c r="C560" s="885"/>
      <c r="D560" s="885"/>
      <c r="E560" s="885"/>
      <c r="F560" s="885"/>
      <c r="G560" s="885"/>
      <c r="H560" s="885"/>
      <c r="I560" s="885"/>
      <c r="J560" s="885"/>
      <c r="K560" s="885"/>
      <c r="L560" s="885"/>
      <c r="M560" s="885"/>
      <c r="N560" s="885"/>
      <c r="O560" s="885"/>
      <c r="P560" s="885"/>
      <c r="Q560" s="885"/>
      <c r="R560" s="885"/>
      <c r="S560" s="885"/>
      <c r="T560" s="885"/>
      <c r="U560" s="885"/>
      <c r="V560" s="885"/>
      <c r="W560" s="885"/>
      <c r="X560" s="885"/>
      <c r="Y560" s="885"/>
      <c r="Z560" s="885"/>
      <c r="AA560" s="885"/>
      <c r="AB560" s="885"/>
      <c r="AC560" s="885"/>
    </row>
    <row r="561" spans="1:29" ht="15.75" customHeight="1" x14ac:dyDescent="0.2">
      <c r="A561" s="885"/>
      <c r="B561" s="885"/>
      <c r="C561" s="885"/>
      <c r="D561" s="885"/>
      <c r="E561" s="885"/>
      <c r="F561" s="885"/>
      <c r="G561" s="885"/>
      <c r="H561" s="885"/>
      <c r="I561" s="885"/>
      <c r="J561" s="885"/>
      <c r="K561" s="885"/>
      <c r="L561" s="885"/>
      <c r="M561" s="885"/>
      <c r="N561" s="885"/>
      <c r="O561" s="885"/>
      <c r="P561" s="885"/>
      <c r="Q561" s="885"/>
      <c r="R561" s="885"/>
      <c r="S561" s="885"/>
      <c r="T561" s="885"/>
      <c r="U561" s="885"/>
      <c r="V561" s="885"/>
      <c r="W561" s="885"/>
      <c r="X561" s="885"/>
      <c r="Y561" s="885"/>
      <c r="Z561" s="885"/>
      <c r="AA561" s="885"/>
      <c r="AB561" s="885"/>
      <c r="AC561" s="885"/>
    </row>
    <row r="562" spans="1:29" ht="15.75" customHeight="1" x14ac:dyDescent="0.2">
      <c r="A562" s="885"/>
      <c r="B562" s="885"/>
      <c r="C562" s="885"/>
      <c r="D562" s="885"/>
      <c r="E562" s="885"/>
      <c r="F562" s="885"/>
      <c r="G562" s="885"/>
      <c r="H562" s="885"/>
      <c r="I562" s="885"/>
      <c r="J562" s="885"/>
      <c r="K562" s="885"/>
      <c r="L562" s="885"/>
      <c r="M562" s="885"/>
      <c r="N562" s="885"/>
      <c r="O562" s="885"/>
      <c r="P562" s="885"/>
      <c r="Q562" s="885"/>
      <c r="R562" s="885"/>
      <c r="S562" s="885"/>
      <c r="T562" s="885"/>
      <c r="U562" s="885"/>
      <c r="V562" s="885"/>
      <c r="W562" s="885"/>
      <c r="X562" s="885"/>
      <c r="Y562" s="885"/>
      <c r="Z562" s="885"/>
      <c r="AA562" s="885"/>
      <c r="AB562" s="885"/>
      <c r="AC562" s="885"/>
    </row>
    <row r="563" spans="1:29" ht="15.75" customHeight="1" x14ac:dyDescent="0.2">
      <c r="A563" s="885"/>
      <c r="B563" s="885"/>
      <c r="C563" s="885"/>
      <c r="D563" s="885"/>
      <c r="E563" s="885"/>
      <c r="F563" s="885"/>
      <c r="G563" s="885"/>
      <c r="H563" s="885"/>
      <c r="I563" s="885"/>
      <c r="J563" s="885"/>
      <c r="K563" s="885"/>
      <c r="L563" s="885"/>
      <c r="M563" s="885"/>
      <c r="N563" s="885"/>
      <c r="O563" s="885"/>
      <c r="P563" s="885"/>
      <c r="Q563" s="885"/>
      <c r="R563" s="885"/>
      <c r="S563" s="885"/>
      <c r="T563" s="885"/>
      <c r="U563" s="885"/>
      <c r="V563" s="885"/>
      <c r="W563" s="885"/>
      <c r="X563" s="885"/>
      <c r="Y563" s="885"/>
      <c r="Z563" s="885"/>
      <c r="AA563" s="885"/>
      <c r="AB563" s="885"/>
      <c r="AC563" s="885"/>
    </row>
    <row r="564" spans="1:29" ht="15.75" customHeight="1" x14ac:dyDescent="0.2">
      <c r="A564" s="885"/>
      <c r="B564" s="885"/>
      <c r="C564" s="885"/>
      <c r="D564" s="885"/>
      <c r="E564" s="885"/>
      <c r="F564" s="885"/>
      <c r="G564" s="885"/>
      <c r="H564" s="885"/>
      <c r="I564" s="885"/>
      <c r="J564" s="885"/>
      <c r="K564" s="885"/>
      <c r="L564" s="885"/>
      <c r="M564" s="885"/>
      <c r="N564" s="885"/>
      <c r="O564" s="885"/>
      <c r="P564" s="885"/>
      <c r="Q564" s="885"/>
      <c r="R564" s="885"/>
      <c r="S564" s="885"/>
      <c r="T564" s="885"/>
      <c r="U564" s="885"/>
      <c r="V564" s="885"/>
      <c r="W564" s="885"/>
      <c r="X564" s="885"/>
      <c r="Y564" s="885"/>
      <c r="Z564" s="885"/>
      <c r="AA564" s="885"/>
      <c r="AB564" s="885"/>
      <c r="AC564" s="885"/>
    </row>
    <row r="565" spans="1:29" ht="15.75" customHeight="1" x14ac:dyDescent="0.2">
      <c r="A565" s="885"/>
      <c r="B565" s="885"/>
      <c r="C565" s="885"/>
      <c r="D565" s="885"/>
      <c r="E565" s="885"/>
      <c r="F565" s="885"/>
      <c r="G565" s="885"/>
      <c r="H565" s="885"/>
      <c r="I565" s="885"/>
      <c r="J565" s="885"/>
      <c r="K565" s="885"/>
      <c r="L565" s="885"/>
      <c r="M565" s="885"/>
      <c r="N565" s="885"/>
      <c r="O565" s="885"/>
      <c r="P565" s="885"/>
      <c r="Q565" s="885"/>
      <c r="R565" s="885"/>
      <c r="S565" s="885"/>
      <c r="T565" s="885"/>
      <c r="U565" s="885"/>
      <c r="V565" s="885"/>
      <c r="W565" s="885"/>
      <c r="X565" s="885"/>
      <c r="Y565" s="885"/>
      <c r="Z565" s="885"/>
      <c r="AA565" s="885"/>
      <c r="AB565" s="885"/>
      <c r="AC565" s="885"/>
    </row>
    <row r="566" spans="1:29" ht="15.75" customHeight="1" x14ac:dyDescent="0.2">
      <c r="A566" s="885"/>
      <c r="B566" s="885"/>
      <c r="C566" s="885"/>
      <c r="D566" s="885"/>
      <c r="E566" s="885"/>
      <c r="F566" s="885"/>
      <c r="G566" s="885"/>
      <c r="H566" s="885"/>
      <c r="I566" s="885"/>
      <c r="J566" s="885"/>
      <c r="K566" s="885"/>
      <c r="L566" s="885"/>
      <c r="M566" s="885"/>
      <c r="N566" s="885"/>
      <c r="O566" s="885"/>
      <c r="P566" s="885"/>
      <c r="Q566" s="885"/>
      <c r="R566" s="885"/>
      <c r="S566" s="885"/>
      <c r="T566" s="885"/>
      <c r="U566" s="885"/>
      <c r="V566" s="885"/>
      <c r="W566" s="885"/>
      <c r="X566" s="885"/>
      <c r="Y566" s="885"/>
      <c r="Z566" s="885"/>
      <c r="AA566" s="885"/>
      <c r="AB566" s="885"/>
      <c r="AC566" s="885"/>
    </row>
    <row r="567" spans="1:29" ht="15.75" customHeight="1" x14ac:dyDescent="0.2">
      <c r="A567" s="885"/>
      <c r="B567" s="885"/>
      <c r="C567" s="885"/>
      <c r="D567" s="885"/>
      <c r="E567" s="885"/>
      <c r="F567" s="885"/>
      <c r="G567" s="885"/>
      <c r="H567" s="885"/>
      <c r="I567" s="885"/>
      <c r="J567" s="885"/>
      <c r="K567" s="885"/>
      <c r="L567" s="885"/>
      <c r="M567" s="885"/>
      <c r="N567" s="885"/>
      <c r="O567" s="885"/>
      <c r="P567" s="885"/>
      <c r="Q567" s="885"/>
      <c r="R567" s="885"/>
      <c r="S567" s="885"/>
      <c r="T567" s="885"/>
      <c r="U567" s="885"/>
      <c r="V567" s="885"/>
      <c r="W567" s="885"/>
      <c r="X567" s="885"/>
      <c r="Y567" s="885"/>
      <c r="Z567" s="885"/>
      <c r="AA567" s="885"/>
      <c r="AB567" s="885"/>
      <c r="AC567" s="885"/>
    </row>
    <row r="568" spans="1:29" ht="15.75" customHeight="1" x14ac:dyDescent="0.2">
      <c r="A568" s="885"/>
      <c r="B568" s="885"/>
      <c r="C568" s="885"/>
      <c r="D568" s="885"/>
      <c r="E568" s="885"/>
      <c r="F568" s="885"/>
      <c r="G568" s="885"/>
      <c r="H568" s="885"/>
      <c r="I568" s="885"/>
      <c r="J568" s="885"/>
      <c r="K568" s="885"/>
      <c r="L568" s="885"/>
      <c r="M568" s="885"/>
      <c r="N568" s="885"/>
      <c r="O568" s="885"/>
      <c r="P568" s="885"/>
      <c r="Q568" s="885"/>
      <c r="R568" s="885"/>
      <c r="S568" s="885"/>
      <c r="T568" s="885"/>
      <c r="U568" s="885"/>
      <c r="V568" s="885"/>
      <c r="W568" s="885"/>
      <c r="X568" s="885"/>
      <c r="Y568" s="885"/>
      <c r="Z568" s="885"/>
      <c r="AA568" s="885"/>
      <c r="AB568" s="885"/>
      <c r="AC568" s="885"/>
    </row>
    <row r="569" spans="1:29" ht="15.75" customHeight="1" x14ac:dyDescent="0.2">
      <c r="A569" s="885"/>
      <c r="B569" s="885"/>
      <c r="C569" s="885"/>
      <c r="D569" s="885"/>
      <c r="E569" s="885"/>
      <c r="F569" s="885"/>
      <c r="G569" s="885"/>
      <c r="H569" s="885"/>
      <c r="I569" s="885"/>
      <c r="J569" s="885"/>
      <c r="K569" s="885"/>
      <c r="L569" s="885"/>
      <c r="M569" s="885"/>
      <c r="N569" s="885"/>
      <c r="O569" s="885"/>
      <c r="P569" s="885"/>
      <c r="Q569" s="885"/>
      <c r="R569" s="885"/>
      <c r="S569" s="885"/>
      <c r="T569" s="885"/>
      <c r="U569" s="885"/>
      <c r="V569" s="885"/>
      <c r="W569" s="885"/>
      <c r="X569" s="885"/>
      <c r="Y569" s="885"/>
      <c r="Z569" s="885"/>
      <c r="AA569" s="885"/>
      <c r="AB569" s="885"/>
      <c r="AC569" s="885"/>
    </row>
    <row r="570" spans="1:29" ht="15.75" customHeight="1" x14ac:dyDescent="0.2">
      <c r="A570" s="885"/>
      <c r="B570" s="885"/>
      <c r="C570" s="885"/>
      <c r="D570" s="885"/>
      <c r="E570" s="885"/>
      <c r="F570" s="885"/>
      <c r="G570" s="885"/>
      <c r="H570" s="885"/>
      <c r="I570" s="885"/>
      <c r="J570" s="885"/>
      <c r="K570" s="885"/>
      <c r="L570" s="885"/>
      <c r="M570" s="885"/>
      <c r="N570" s="885"/>
      <c r="O570" s="885"/>
      <c r="P570" s="885"/>
      <c r="Q570" s="885"/>
      <c r="R570" s="885"/>
      <c r="S570" s="885"/>
      <c r="T570" s="885"/>
      <c r="U570" s="885"/>
      <c r="V570" s="885"/>
      <c r="W570" s="885"/>
      <c r="X570" s="885"/>
      <c r="Y570" s="885"/>
      <c r="Z570" s="885"/>
      <c r="AA570" s="885"/>
      <c r="AB570" s="885"/>
      <c r="AC570" s="885"/>
    </row>
    <row r="571" spans="1:29" ht="15.75" customHeight="1" x14ac:dyDescent="0.2">
      <c r="A571" s="885"/>
      <c r="B571" s="885"/>
      <c r="C571" s="885"/>
      <c r="D571" s="885"/>
      <c r="E571" s="885"/>
      <c r="F571" s="885"/>
      <c r="G571" s="885"/>
      <c r="H571" s="885"/>
      <c r="I571" s="885"/>
      <c r="J571" s="885"/>
      <c r="K571" s="885"/>
      <c r="L571" s="885"/>
      <c r="M571" s="885"/>
      <c r="N571" s="885"/>
      <c r="O571" s="885"/>
      <c r="P571" s="885"/>
      <c r="Q571" s="885"/>
      <c r="R571" s="885"/>
      <c r="S571" s="885"/>
      <c r="T571" s="885"/>
      <c r="U571" s="885"/>
      <c r="V571" s="885"/>
      <c r="W571" s="885"/>
      <c r="X571" s="885"/>
      <c r="Y571" s="885"/>
      <c r="Z571" s="885"/>
      <c r="AA571" s="885"/>
      <c r="AB571" s="885"/>
      <c r="AC571" s="885"/>
    </row>
    <row r="572" spans="1:29" ht="15.75" customHeight="1" x14ac:dyDescent="0.2">
      <c r="A572" s="885"/>
      <c r="B572" s="885"/>
      <c r="C572" s="885"/>
      <c r="D572" s="885"/>
      <c r="E572" s="885"/>
      <c r="F572" s="885"/>
      <c r="G572" s="885"/>
      <c r="H572" s="885"/>
      <c r="I572" s="885"/>
      <c r="J572" s="885"/>
      <c r="K572" s="885"/>
      <c r="L572" s="885"/>
      <c r="M572" s="885"/>
      <c r="N572" s="885"/>
      <c r="O572" s="885"/>
      <c r="P572" s="885"/>
      <c r="Q572" s="885"/>
      <c r="R572" s="885"/>
      <c r="S572" s="885"/>
      <c r="T572" s="885"/>
      <c r="U572" s="885"/>
      <c r="V572" s="885"/>
      <c r="W572" s="885"/>
      <c r="X572" s="885"/>
      <c r="Y572" s="885"/>
      <c r="Z572" s="885"/>
      <c r="AA572" s="885"/>
      <c r="AB572" s="885"/>
      <c r="AC572" s="885"/>
    </row>
    <row r="573" spans="1:29" ht="15.75" customHeight="1" x14ac:dyDescent="0.2">
      <c r="A573" s="885"/>
      <c r="B573" s="885"/>
      <c r="C573" s="885"/>
      <c r="D573" s="885"/>
      <c r="E573" s="885"/>
      <c r="F573" s="885"/>
      <c r="G573" s="885"/>
      <c r="H573" s="885"/>
      <c r="I573" s="885"/>
      <c r="J573" s="885"/>
      <c r="K573" s="885"/>
      <c r="L573" s="885"/>
      <c r="M573" s="885"/>
      <c r="N573" s="885"/>
      <c r="O573" s="885"/>
      <c r="P573" s="885"/>
      <c r="Q573" s="885"/>
      <c r="R573" s="885"/>
      <c r="S573" s="885"/>
      <c r="T573" s="885"/>
      <c r="U573" s="885"/>
      <c r="V573" s="885"/>
      <c r="W573" s="885"/>
      <c r="X573" s="885"/>
      <c r="Y573" s="885"/>
      <c r="Z573" s="885"/>
      <c r="AA573" s="885"/>
      <c r="AB573" s="885"/>
      <c r="AC573" s="885"/>
    </row>
    <row r="574" spans="1:29" ht="15.75" customHeight="1" x14ac:dyDescent="0.2">
      <c r="A574" s="885"/>
      <c r="B574" s="885"/>
      <c r="C574" s="885"/>
      <c r="D574" s="885"/>
      <c r="E574" s="885"/>
      <c r="F574" s="885"/>
      <c r="G574" s="885"/>
      <c r="H574" s="885"/>
      <c r="I574" s="885"/>
      <c r="J574" s="885"/>
      <c r="K574" s="885"/>
      <c r="L574" s="885"/>
      <c r="M574" s="885"/>
      <c r="N574" s="885"/>
      <c r="O574" s="885"/>
      <c r="P574" s="885"/>
      <c r="Q574" s="885"/>
      <c r="R574" s="885"/>
      <c r="S574" s="885"/>
      <c r="T574" s="885"/>
      <c r="U574" s="885"/>
      <c r="V574" s="885"/>
      <c r="W574" s="885"/>
      <c r="X574" s="885"/>
      <c r="Y574" s="885"/>
      <c r="Z574" s="885"/>
      <c r="AA574" s="885"/>
      <c r="AB574" s="885"/>
      <c r="AC574" s="885"/>
    </row>
    <row r="575" spans="1:29" ht="15.75" customHeight="1" x14ac:dyDescent="0.2">
      <c r="A575" s="885"/>
      <c r="B575" s="885"/>
      <c r="C575" s="885"/>
      <c r="D575" s="885"/>
      <c r="E575" s="885"/>
      <c r="F575" s="885"/>
      <c r="G575" s="885"/>
      <c r="H575" s="885"/>
      <c r="I575" s="885"/>
      <c r="J575" s="885"/>
      <c r="K575" s="885"/>
      <c r="L575" s="885"/>
      <c r="M575" s="885"/>
      <c r="N575" s="885"/>
      <c r="O575" s="885"/>
      <c r="P575" s="885"/>
      <c r="Q575" s="885"/>
      <c r="R575" s="885"/>
      <c r="S575" s="885"/>
      <c r="T575" s="885"/>
      <c r="U575" s="885"/>
      <c r="V575" s="885"/>
      <c r="W575" s="885"/>
      <c r="X575" s="885"/>
      <c r="Y575" s="885"/>
      <c r="Z575" s="885"/>
      <c r="AA575" s="885"/>
      <c r="AB575" s="885"/>
      <c r="AC575" s="885"/>
    </row>
    <row r="576" spans="1:29" ht="15.75" customHeight="1" x14ac:dyDescent="0.2">
      <c r="A576" s="885"/>
      <c r="B576" s="885"/>
      <c r="C576" s="885"/>
      <c r="D576" s="885"/>
      <c r="E576" s="885"/>
      <c r="F576" s="885"/>
      <c r="G576" s="885"/>
      <c r="H576" s="885"/>
      <c r="I576" s="885"/>
      <c r="J576" s="885"/>
      <c r="K576" s="885"/>
      <c r="L576" s="885"/>
      <c r="M576" s="885"/>
      <c r="N576" s="885"/>
      <c r="O576" s="885"/>
      <c r="P576" s="885"/>
      <c r="Q576" s="885"/>
      <c r="R576" s="885"/>
      <c r="S576" s="885"/>
      <c r="T576" s="885"/>
      <c r="U576" s="885"/>
      <c r="V576" s="885"/>
      <c r="W576" s="885"/>
      <c r="X576" s="885"/>
      <c r="Y576" s="885"/>
      <c r="Z576" s="885"/>
      <c r="AA576" s="885"/>
      <c r="AB576" s="885"/>
      <c r="AC576" s="885"/>
    </row>
    <row r="577" spans="1:29" ht="15.75" customHeight="1" x14ac:dyDescent="0.2">
      <c r="A577" s="885"/>
      <c r="B577" s="885"/>
      <c r="C577" s="885"/>
      <c r="D577" s="885"/>
      <c r="E577" s="885"/>
      <c r="F577" s="885"/>
      <c r="G577" s="885"/>
      <c r="H577" s="885"/>
      <c r="I577" s="885"/>
      <c r="J577" s="885"/>
      <c r="K577" s="885"/>
      <c r="L577" s="885"/>
      <c r="M577" s="885"/>
      <c r="N577" s="885"/>
      <c r="O577" s="885"/>
      <c r="P577" s="885"/>
      <c r="Q577" s="885"/>
      <c r="R577" s="885"/>
      <c r="S577" s="885"/>
      <c r="T577" s="885"/>
      <c r="U577" s="885"/>
      <c r="V577" s="885"/>
      <c r="W577" s="885"/>
      <c r="X577" s="885"/>
      <c r="Y577" s="885"/>
      <c r="Z577" s="885"/>
      <c r="AA577" s="885"/>
      <c r="AB577" s="885"/>
      <c r="AC577" s="885"/>
    </row>
    <row r="578" spans="1:29" ht="15.75" customHeight="1" x14ac:dyDescent="0.2">
      <c r="A578" s="885"/>
      <c r="B578" s="885"/>
      <c r="C578" s="885"/>
      <c r="D578" s="885"/>
      <c r="E578" s="885"/>
      <c r="F578" s="885"/>
      <c r="G578" s="885"/>
      <c r="H578" s="885"/>
      <c r="I578" s="885"/>
      <c r="J578" s="885"/>
      <c r="K578" s="885"/>
      <c r="L578" s="885"/>
      <c r="M578" s="885"/>
      <c r="N578" s="885"/>
      <c r="O578" s="885"/>
      <c r="P578" s="885"/>
      <c r="Q578" s="885"/>
      <c r="R578" s="885"/>
      <c r="S578" s="885"/>
      <c r="T578" s="885"/>
      <c r="U578" s="885"/>
      <c r="V578" s="885"/>
      <c r="W578" s="885"/>
      <c r="X578" s="885"/>
      <c r="Y578" s="885"/>
      <c r="Z578" s="885"/>
      <c r="AA578" s="885"/>
      <c r="AB578" s="885"/>
      <c r="AC578" s="885"/>
    </row>
    <row r="579" spans="1:29" ht="15.75" customHeight="1" x14ac:dyDescent="0.2">
      <c r="A579" s="885"/>
      <c r="B579" s="885"/>
      <c r="C579" s="885"/>
      <c r="D579" s="885"/>
      <c r="E579" s="885"/>
      <c r="F579" s="885"/>
      <c r="G579" s="885"/>
      <c r="H579" s="885"/>
      <c r="I579" s="885"/>
      <c r="J579" s="885"/>
      <c r="K579" s="885"/>
      <c r="L579" s="885"/>
      <c r="M579" s="885"/>
      <c r="N579" s="885"/>
      <c r="O579" s="885"/>
      <c r="P579" s="885"/>
      <c r="Q579" s="885"/>
      <c r="R579" s="885"/>
      <c r="S579" s="885"/>
      <c r="T579" s="885"/>
      <c r="U579" s="885"/>
      <c r="V579" s="885"/>
      <c r="W579" s="885"/>
      <c r="X579" s="885"/>
      <c r="Y579" s="885"/>
      <c r="Z579" s="885"/>
      <c r="AA579" s="885"/>
      <c r="AB579" s="885"/>
      <c r="AC579" s="885"/>
    </row>
    <row r="580" spans="1:29" ht="15.75" customHeight="1" x14ac:dyDescent="0.2">
      <c r="A580" s="885"/>
      <c r="B580" s="885"/>
      <c r="C580" s="885"/>
      <c r="D580" s="885"/>
      <c r="E580" s="885"/>
      <c r="F580" s="885"/>
      <c r="G580" s="885"/>
      <c r="H580" s="885"/>
      <c r="I580" s="885"/>
      <c r="J580" s="885"/>
      <c r="K580" s="885"/>
      <c r="L580" s="885"/>
      <c r="M580" s="885"/>
      <c r="N580" s="885"/>
      <c r="O580" s="885"/>
      <c r="P580" s="885"/>
      <c r="Q580" s="885"/>
      <c r="R580" s="885"/>
      <c r="S580" s="885"/>
      <c r="T580" s="885"/>
      <c r="U580" s="885"/>
      <c r="V580" s="885"/>
      <c r="W580" s="885"/>
      <c r="X580" s="885"/>
      <c r="Y580" s="885"/>
      <c r="Z580" s="885"/>
      <c r="AA580" s="885"/>
      <c r="AB580" s="885"/>
      <c r="AC580" s="885"/>
    </row>
    <row r="581" spans="1:29" ht="15.75" customHeight="1" x14ac:dyDescent="0.2">
      <c r="A581" s="885"/>
      <c r="B581" s="885"/>
      <c r="C581" s="885"/>
      <c r="D581" s="885"/>
      <c r="E581" s="885"/>
      <c r="F581" s="885"/>
      <c r="G581" s="885"/>
      <c r="H581" s="885"/>
      <c r="I581" s="885"/>
      <c r="J581" s="885"/>
      <c r="K581" s="885"/>
      <c r="L581" s="885"/>
      <c r="M581" s="885"/>
      <c r="N581" s="885"/>
      <c r="O581" s="885"/>
      <c r="P581" s="885"/>
      <c r="Q581" s="885"/>
      <c r="R581" s="885"/>
      <c r="S581" s="885"/>
      <c r="T581" s="885"/>
      <c r="U581" s="885"/>
      <c r="V581" s="885"/>
      <c r="W581" s="885"/>
      <c r="X581" s="885"/>
      <c r="Y581" s="885"/>
      <c r="Z581" s="885"/>
      <c r="AA581" s="885"/>
      <c r="AB581" s="885"/>
      <c r="AC581" s="885"/>
    </row>
    <row r="582" spans="1:29" ht="15.75" customHeight="1" x14ac:dyDescent="0.2">
      <c r="A582" s="885"/>
      <c r="B582" s="885"/>
      <c r="C582" s="885"/>
      <c r="D582" s="885"/>
      <c r="E582" s="885"/>
      <c r="F582" s="885"/>
      <c r="G582" s="885"/>
      <c r="H582" s="885"/>
      <c r="I582" s="885"/>
      <c r="J582" s="885"/>
      <c r="K582" s="885"/>
      <c r="L582" s="885"/>
      <c r="M582" s="885"/>
      <c r="N582" s="885"/>
      <c r="O582" s="885"/>
      <c r="P582" s="885"/>
      <c r="Q582" s="885"/>
      <c r="R582" s="885"/>
      <c r="S582" s="885"/>
      <c r="T582" s="885"/>
      <c r="U582" s="885"/>
      <c r="V582" s="885"/>
      <c r="W582" s="885"/>
      <c r="X582" s="885"/>
      <c r="Y582" s="885"/>
      <c r="Z582" s="885"/>
      <c r="AA582" s="885"/>
      <c r="AB582" s="885"/>
      <c r="AC582" s="885"/>
    </row>
    <row r="583" spans="1:29" ht="15.75" customHeight="1" x14ac:dyDescent="0.2">
      <c r="A583" s="885"/>
      <c r="B583" s="885"/>
      <c r="C583" s="885"/>
      <c r="D583" s="885"/>
      <c r="E583" s="885"/>
      <c r="F583" s="885"/>
      <c r="G583" s="885"/>
      <c r="H583" s="885"/>
      <c r="I583" s="885"/>
      <c r="J583" s="885"/>
      <c r="K583" s="885"/>
      <c r="L583" s="885"/>
      <c r="M583" s="885"/>
      <c r="N583" s="885"/>
      <c r="O583" s="885"/>
      <c r="P583" s="885"/>
      <c r="Q583" s="885"/>
      <c r="R583" s="885"/>
      <c r="S583" s="885"/>
      <c r="T583" s="885"/>
      <c r="U583" s="885"/>
      <c r="V583" s="885"/>
      <c r="W583" s="885"/>
      <c r="X583" s="885"/>
      <c r="Y583" s="885"/>
      <c r="Z583" s="885"/>
      <c r="AA583" s="885"/>
      <c r="AB583" s="885"/>
      <c r="AC583" s="885"/>
    </row>
    <row r="584" spans="1:29" ht="15.75" customHeight="1" x14ac:dyDescent="0.2">
      <c r="A584" s="885"/>
      <c r="B584" s="885"/>
      <c r="C584" s="885"/>
      <c r="D584" s="885"/>
      <c r="E584" s="885"/>
      <c r="F584" s="885"/>
      <c r="G584" s="885"/>
      <c r="H584" s="885"/>
      <c r="I584" s="885"/>
      <c r="J584" s="885"/>
      <c r="K584" s="885"/>
      <c r="L584" s="885"/>
      <c r="M584" s="885"/>
      <c r="N584" s="885"/>
      <c r="O584" s="885"/>
      <c r="P584" s="885"/>
      <c r="Q584" s="885"/>
      <c r="R584" s="885"/>
      <c r="S584" s="885"/>
      <c r="T584" s="885"/>
      <c r="U584" s="885"/>
      <c r="V584" s="885"/>
      <c r="W584" s="885"/>
      <c r="X584" s="885"/>
      <c r="Y584" s="885"/>
      <c r="Z584" s="885"/>
      <c r="AA584" s="885"/>
      <c r="AB584" s="885"/>
      <c r="AC584" s="885"/>
    </row>
    <row r="585" spans="1:29" ht="15.75" customHeight="1" x14ac:dyDescent="0.2">
      <c r="A585" s="885"/>
      <c r="B585" s="885"/>
      <c r="C585" s="885"/>
      <c r="D585" s="885"/>
      <c r="E585" s="885"/>
      <c r="F585" s="885"/>
      <c r="G585" s="885"/>
      <c r="H585" s="885"/>
      <c r="I585" s="885"/>
      <c r="J585" s="885"/>
      <c r="K585" s="885"/>
      <c r="L585" s="885"/>
      <c r="M585" s="885"/>
      <c r="N585" s="885"/>
      <c r="O585" s="885"/>
      <c r="P585" s="885"/>
      <c r="Q585" s="885"/>
      <c r="R585" s="885"/>
      <c r="S585" s="885"/>
      <c r="T585" s="885"/>
      <c r="U585" s="885"/>
      <c r="V585" s="885"/>
      <c r="W585" s="885"/>
      <c r="X585" s="885"/>
      <c r="Y585" s="885"/>
      <c r="Z585" s="885"/>
      <c r="AA585" s="885"/>
      <c r="AB585" s="885"/>
      <c r="AC585" s="885"/>
    </row>
    <row r="586" spans="1:29" ht="15.75" customHeight="1" x14ac:dyDescent="0.2">
      <c r="A586" s="885"/>
      <c r="B586" s="885"/>
      <c r="C586" s="885"/>
      <c r="D586" s="885"/>
      <c r="E586" s="885"/>
      <c r="F586" s="885"/>
      <c r="G586" s="885"/>
      <c r="H586" s="885"/>
      <c r="I586" s="885"/>
      <c r="J586" s="885"/>
      <c r="K586" s="885"/>
      <c r="L586" s="885"/>
      <c r="M586" s="885"/>
      <c r="N586" s="885"/>
      <c r="O586" s="885"/>
      <c r="P586" s="885"/>
      <c r="Q586" s="885"/>
      <c r="R586" s="885"/>
      <c r="S586" s="885"/>
      <c r="T586" s="885"/>
      <c r="U586" s="885"/>
      <c r="V586" s="885"/>
      <c r="W586" s="885"/>
      <c r="X586" s="885"/>
      <c r="Y586" s="885"/>
      <c r="Z586" s="885"/>
      <c r="AA586" s="885"/>
      <c r="AB586" s="885"/>
      <c r="AC586" s="885"/>
    </row>
    <row r="587" spans="1:29" ht="15.75" customHeight="1" x14ac:dyDescent="0.2">
      <c r="A587" s="885"/>
      <c r="B587" s="885"/>
      <c r="C587" s="885"/>
      <c r="D587" s="885"/>
      <c r="E587" s="885"/>
      <c r="F587" s="885"/>
      <c r="G587" s="885"/>
      <c r="H587" s="885"/>
      <c r="I587" s="885"/>
      <c r="J587" s="885"/>
      <c r="K587" s="885"/>
      <c r="L587" s="885"/>
      <c r="M587" s="885"/>
      <c r="N587" s="885"/>
      <c r="O587" s="885"/>
      <c r="P587" s="885"/>
      <c r="Q587" s="885"/>
      <c r="R587" s="885"/>
      <c r="S587" s="885"/>
      <c r="T587" s="885"/>
      <c r="U587" s="885"/>
      <c r="V587" s="885"/>
      <c r="W587" s="885"/>
      <c r="X587" s="885"/>
      <c r="Y587" s="885"/>
      <c r="Z587" s="885"/>
      <c r="AA587" s="885"/>
      <c r="AB587" s="885"/>
      <c r="AC587" s="885"/>
    </row>
    <row r="588" spans="1:29" ht="15.75" customHeight="1" x14ac:dyDescent="0.2">
      <c r="A588" s="885"/>
      <c r="B588" s="885"/>
      <c r="C588" s="885"/>
      <c r="D588" s="885"/>
      <c r="E588" s="885"/>
      <c r="F588" s="885"/>
      <c r="G588" s="885"/>
      <c r="H588" s="885"/>
      <c r="I588" s="885"/>
      <c r="J588" s="885"/>
      <c r="K588" s="885"/>
      <c r="L588" s="885"/>
      <c r="M588" s="885"/>
      <c r="N588" s="885"/>
      <c r="O588" s="885"/>
      <c r="P588" s="885"/>
      <c r="Q588" s="885"/>
      <c r="R588" s="885"/>
      <c r="S588" s="885"/>
      <c r="T588" s="885"/>
      <c r="U588" s="885"/>
      <c r="V588" s="885"/>
      <c r="W588" s="885"/>
      <c r="X588" s="885"/>
      <c r="Y588" s="885"/>
      <c r="Z588" s="885"/>
      <c r="AA588" s="885"/>
      <c r="AB588" s="885"/>
      <c r="AC588" s="885"/>
    </row>
    <row r="589" spans="1:29" ht="15.75" customHeight="1" x14ac:dyDescent="0.2">
      <c r="A589" s="885"/>
      <c r="B589" s="885"/>
      <c r="C589" s="885"/>
      <c r="D589" s="885"/>
      <c r="E589" s="885"/>
      <c r="F589" s="885"/>
      <c r="G589" s="885"/>
      <c r="H589" s="885"/>
      <c r="I589" s="885"/>
      <c r="J589" s="885"/>
      <c r="K589" s="885"/>
      <c r="L589" s="885"/>
      <c r="M589" s="885"/>
      <c r="N589" s="885"/>
      <c r="O589" s="885"/>
      <c r="P589" s="885"/>
      <c r="Q589" s="885"/>
      <c r="R589" s="885"/>
      <c r="S589" s="885"/>
      <c r="T589" s="885"/>
      <c r="U589" s="885"/>
      <c r="V589" s="885"/>
      <c r="W589" s="885"/>
      <c r="X589" s="885"/>
      <c r="Y589" s="885"/>
      <c r="Z589" s="885"/>
      <c r="AA589" s="885"/>
      <c r="AB589" s="885"/>
      <c r="AC589" s="885"/>
    </row>
    <row r="590" spans="1:29" ht="15.75" customHeight="1" x14ac:dyDescent="0.2">
      <c r="A590" s="885"/>
      <c r="B590" s="885"/>
      <c r="C590" s="885"/>
      <c r="D590" s="885"/>
      <c r="E590" s="885"/>
      <c r="F590" s="885"/>
      <c r="G590" s="885"/>
      <c r="H590" s="885"/>
      <c r="I590" s="885"/>
      <c r="J590" s="885"/>
      <c r="K590" s="885"/>
      <c r="L590" s="885"/>
      <c r="M590" s="885"/>
      <c r="N590" s="885"/>
      <c r="O590" s="885"/>
      <c r="P590" s="885"/>
      <c r="Q590" s="885"/>
      <c r="R590" s="885"/>
      <c r="S590" s="885"/>
      <c r="T590" s="885"/>
      <c r="U590" s="885"/>
      <c r="V590" s="885"/>
      <c r="W590" s="885"/>
      <c r="X590" s="885"/>
      <c r="Y590" s="885"/>
      <c r="Z590" s="885"/>
      <c r="AA590" s="885"/>
      <c r="AB590" s="885"/>
      <c r="AC590" s="885"/>
    </row>
    <row r="591" spans="1:29" ht="15.75" customHeight="1" x14ac:dyDescent="0.2">
      <c r="A591" s="885"/>
      <c r="B591" s="885"/>
      <c r="C591" s="885"/>
      <c r="D591" s="885"/>
      <c r="E591" s="885"/>
      <c r="F591" s="885"/>
      <c r="G591" s="885"/>
      <c r="H591" s="885"/>
      <c r="I591" s="885"/>
      <c r="J591" s="885"/>
      <c r="K591" s="885"/>
      <c r="L591" s="885"/>
      <c r="M591" s="885"/>
      <c r="N591" s="885"/>
      <c r="O591" s="885"/>
      <c r="P591" s="885"/>
      <c r="Q591" s="885"/>
      <c r="R591" s="885"/>
      <c r="S591" s="885"/>
      <c r="T591" s="885"/>
      <c r="U591" s="885"/>
      <c r="V591" s="885"/>
      <c r="W591" s="885"/>
      <c r="X591" s="885"/>
      <c r="Y591" s="885"/>
      <c r="Z591" s="885"/>
      <c r="AA591" s="885"/>
      <c r="AB591" s="885"/>
      <c r="AC591" s="885"/>
    </row>
    <row r="592" spans="1:29" ht="15.75" customHeight="1" x14ac:dyDescent="0.2">
      <c r="A592" s="885"/>
      <c r="B592" s="885"/>
      <c r="C592" s="885"/>
      <c r="D592" s="885"/>
      <c r="E592" s="885"/>
      <c r="F592" s="885"/>
      <c r="G592" s="885"/>
      <c r="H592" s="885"/>
      <c r="I592" s="885"/>
      <c r="J592" s="885"/>
      <c r="K592" s="885"/>
      <c r="L592" s="885"/>
      <c r="M592" s="885"/>
      <c r="N592" s="885"/>
      <c r="O592" s="885"/>
      <c r="P592" s="885"/>
      <c r="Q592" s="885"/>
      <c r="R592" s="885"/>
      <c r="S592" s="885"/>
      <c r="T592" s="885"/>
      <c r="U592" s="885"/>
      <c r="V592" s="885"/>
      <c r="W592" s="885"/>
      <c r="X592" s="885"/>
      <c r="Y592" s="885"/>
      <c r="Z592" s="885"/>
      <c r="AA592" s="885"/>
      <c r="AB592" s="885"/>
      <c r="AC592" s="885"/>
    </row>
    <row r="593" spans="1:29" ht="15.75" customHeight="1" x14ac:dyDescent="0.2">
      <c r="A593" s="885"/>
      <c r="B593" s="885"/>
      <c r="C593" s="885"/>
      <c r="D593" s="885"/>
      <c r="E593" s="885"/>
      <c r="F593" s="885"/>
      <c r="G593" s="885"/>
      <c r="H593" s="885"/>
      <c r="I593" s="885"/>
      <c r="J593" s="885"/>
      <c r="K593" s="885"/>
      <c r="L593" s="885"/>
      <c r="M593" s="885"/>
      <c r="N593" s="885"/>
      <c r="O593" s="885"/>
      <c r="P593" s="885"/>
      <c r="Q593" s="885"/>
      <c r="R593" s="885"/>
      <c r="S593" s="885"/>
      <c r="T593" s="885"/>
      <c r="U593" s="885"/>
      <c r="V593" s="885"/>
      <c r="W593" s="885"/>
      <c r="X593" s="885"/>
      <c r="Y593" s="885"/>
      <c r="Z593" s="885"/>
      <c r="AA593" s="885"/>
      <c r="AB593" s="885"/>
      <c r="AC593" s="885"/>
    </row>
    <row r="594" spans="1:29" ht="15.75" customHeight="1" x14ac:dyDescent="0.2">
      <c r="A594" s="885"/>
      <c r="B594" s="885"/>
      <c r="C594" s="885"/>
      <c r="D594" s="885"/>
      <c r="E594" s="885"/>
      <c r="F594" s="885"/>
      <c r="G594" s="885"/>
      <c r="H594" s="885"/>
      <c r="I594" s="885"/>
      <c r="J594" s="885"/>
      <c r="K594" s="885"/>
      <c r="L594" s="885"/>
      <c r="M594" s="885"/>
      <c r="N594" s="885"/>
      <c r="O594" s="885"/>
      <c r="P594" s="885"/>
      <c r="Q594" s="885"/>
      <c r="R594" s="885"/>
      <c r="S594" s="885"/>
      <c r="T594" s="885"/>
      <c r="U594" s="885"/>
      <c r="V594" s="885"/>
      <c r="W594" s="885"/>
      <c r="X594" s="885"/>
      <c r="Y594" s="885"/>
      <c r="Z594" s="885"/>
      <c r="AA594" s="885"/>
      <c r="AB594" s="885"/>
      <c r="AC594" s="885"/>
    </row>
    <row r="595" spans="1:29" ht="15.75" customHeight="1" x14ac:dyDescent="0.2">
      <c r="A595" s="885"/>
      <c r="B595" s="885"/>
      <c r="C595" s="885"/>
      <c r="D595" s="885"/>
      <c r="E595" s="885"/>
      <c r="F595" s="885"/>
      <c r="G595" s="885"/>
      <c r="H595" s="885"/>
      <c r="I595" s="885"/>
      <c r="J595" s="885"/>
      <c r="K595" s="885"/>
      <c r="L595" s="885"/>
      <c r="M595" s="885"/>
      <c r="N595" s="885"/>
      <c r="O595" s="885"/>
      <c r="P595" s="885"/>
      <c r="Q595" s="885"/>
      <c r="R595" s="885"/>
      <c r="S595" s="885"/>
      <c r="T595" s="885"/>
      <c r="U595" s="885"/>
      <c r="V595" s="885"/>
      <c r="W595" s="885"/>
      <c r="X595" s="885"/>
      <c r="Y595" s="885"/>
      <c r="Z595" s="885"/>
      <c r="AA595" s="885"/>
      <c r="AB595" s="885"/>
      <c r="AC595" s="885"/>
    </row>
    <row r="596" spans="1:29" ht="15.75" customHeight="1" x14ac:dyDescent="0.2">
      <c r="A596" s="885"/>
      <c r="B596" s="885"/>
      <c r="C596" s="885"/>
      <c r="D596" s="885"/>
      <c r="E596" s="885"/>
      <c r="F596" s="885"/>
      <c r="G596" s="885"/>
      <c r="H596" s="885"/>
      <c r="I596" s="885"/>
      <c r="J596" s="885"/>
      <c r="K596" s="885"/>
      <c r="L596" s="885"/>
      <c r="M596" s="885"/>
      <c r="N596" s="885"/>
      <c r="O596" s="885"/>
      <c r="P596" s="885"/>
      <c r="Q596" s="885"/>
      <c r="R596" s="885"/>
      <c r="S596" s="885"/>
      <c r="T596" s="885"/>
      <c r="U596" s="885"/>
      <c r="V596" s="885"/>
      <c r="W596" s="885"/>
      <c r="X596" s="885"/>
      <c r="Y596" s="885"/>
      <c r="Z596" s="885"/>
      <c r="AA596" s="885"/>
      <c r="AB596" s="885"/>
      <c r="AC596" s="885"/>
    </row>
    <row r="597" spans="1:29" ht="15.75" customHeight="1" x14ac:dyDescent="0.2">
      <c r="A597" s="885"/>
      <c r="B597" s="885"/>
      <c r="C597" s="885"/>
      <c r="D597" s="885"/>
      <c r="E597" s="885"/>
      <c r="F597" s="885"/>
      <c r="G597" s="885"/>
      <c r="H597" s="885"/>
      <c r="I597" s="885"/>
      <c r="J597" s="885"/>
      <c r="K597" s="885"/>
      <c r="L597" s="885"/>
      <c r="M597" s="885"/>
      <c r="N597" s="885"/>
      <c r="O597" s="885"/>
      <c r="P597" s="885"/>
      <c r="Q597" s="885"/>
      <c r="R597" s="885"/>
      <c r="S597" s="885"/>
      <c r="T597" s="885"/>
      <c r="U597" s="885"/>
      <c r="V597" s="885"/>
      <c r="W597" s="885"/>
      <c r="X597" s="885"/>
      <c r="Y597" s="885"/>
      <c r="Z597" s="885"/>
      <c r="AA597" s="885"/>
      <c r="AB597" s="885"/>
      <c r="AC597" s="885"/>
    </row>
    <row r="598" spans="1:29" ht="15.75" customHeight="1" x14ac:dyDescent="0.2">
      <c r="A598" s="885"/>
      <c r="B598" s="885"/>
      <c r="C598" s="885"/>
      <c r="D598" s="885"/>
      <c r="E598" s="885"/>
      <c r="F598" s="885"/>
      <c r="G598" s="885"/>
      <c r="H598" s="885"/>
      <c r="I598" s="885"/>
      <c r="J598" s="885"/>
      <c r="K598" s="885"/>
      <c r="L598" s="885"/>
      <c r="M598" s="885"/>
      <c r="N598" s="885"/>
      <c r="O598" s="885"/>
      <c r="P598" s="885"/>
      <c r="Q598" s="885"/>
      <c r="R598" s="885"/>
      <c r="S598" s="885"/>
      <c r="T598" s="885"/>
      <c r="U598" s="885"/>
      <c r="V598" s="885"/>
      <c r="W598" s="885"/>
      <c r="X598" s="885"/>
      <c r="Y598" s="885"/>
      <c r="Z598" s="885"/>
      <c r="AA598" s="885"/>
      <c r="AB598" s="885"/>
      <c r="AC598" s="885"/>
    </row>
    <row r="599" spans="1:29" ht="15.75" customHeight="1" x14ac:dyDescent="0.2">
      <c r="A599" s="885"/>
      <c r="B599" s="885"/>
      <c r="C599" s="885"/>
      <c r="D599" s="885"/>
      <c r="E599" s="885"/>
      <c r="F599" s="885"/>
      <c r="G599" s="885"/>
      <c r="H599" s="885"/>
      <c r="I599" s="885"/>
      <c r="J599" s="885"/>
      <c r="K599" s="885"/>
      <c r="L599" s="885"/>
      <c r="M599" s="885"/>
      <c r="N599" s="885"/>
      <c r="O599" s="885"/>
      <c r="P599" s="885"/>
      <c r="Q599" s="885"/>
      <c r="R599" s="885"/>
      <c r="S599" s="885"/>
      <c r="T599" s="885"/>
      <c r="U599" s="885"/>
      <c r="V599" s="885"/>
      <c r="W599" s="885"/>
      <c r="X599" s="885"/>
      <c r="Y599" s="885"/>
      <c r="Z599" s="885"/>
      <c r="AA599" s="885"/>
      <c r="AB599" s="885"/>
      <c r="AC599" s="885"/>
    </row>
    <row r="600" spans="1:29" ht="15.75" customHeight="1" x14ac:dyDescent="0.2">
      <c r="A600" s="885"/>
      <c r="B600" s="885"/>
      <c r="C600" s="885"/>
      <c r="D600" s="885"/>
      <c r="E600" s="885"/>
      <c r="F600" s="885"/>
      <c r="G600" s="885"/>
      <c r="H600" s="885"/>
      <c r="I600" s="885"/>
      <c r="J600" s="885"/>
      <c r="K600" s="885"/>
      <c r="L600" s="885"/>
      <c r="M600" s="885"/>
      <c r="N600" s="885"/>
      <c r="O600" s="885"/>
      <c r="P600" s="885"/>
      <c r="Q600" s="885"/>
      <c r="R600" s="885"/>
      <c r="S600" s="885"/>
      <c r="T600" s="885"/>
      <c r="U600" s="885"/>
      <c r="V600" s="885"/>
      <c r="W600" s="885"/>
      <c r="X600" s="885"/>
      <c r="Y600" s="885"/>
      <c r="Z600" s="885"/>
      <c r="AA600" s="885"/>
      <c r="AB600" s="885"/>
      <c r="AC600" s="885"/>
    </row>
    <row r="601" spans="1:29" ht="15.75" customHeight="1" x14ac:dyDescent="0.2">
      <c r="A601" s="885"/>
      <c r="B601" s="885"/>
      <c r="C601" s="885"/>
      <c r="D601" s="885"/>
      <c r="E601" s="885"/>
      <c r="F601" s="885"/>
      <c r="G601" s="885"/>
      <c r="H601" s="885"/>
      <c r="I601" s="885"/>
      <c r="J601" s="885"/>
      <c r="K601" s="885"/>
      <c r="L601" s="885"/>
      <c r="M601" s="885"/>
      <c r="N601" s="885"/>
      <c r="O601" s="885"/>
      <c r="P601" s="885"/>
      <c r="Q601" s="885"/>
      <c r="R601" s="885"/>
      <c r="S601" s="885"/>
      <c r="T601" s="885"/>
      <c r="U601" s="885"/>
      <c r="V601" s="885"/>
      <c r="W601" s="885"/>
      <c r="X601" s="885"/>
      <c r="Y601" s="885"/>
      <c r="Z601" s="885"/>
      <c r="AA601" s="885"/>
      <c r="AB601" s="885"/>
      <c r="AC601" s="885"/>
    </row>
    <row r="602" spans="1:29" ht="15.75" customHeight="1" x14ac:dyDescent="0.2">
      <c r="A602" s="885"/>
      <c r="B602" s="885"/>
      <c r="C602" s="885"/>
      <c r="D602" s="885"/>
      <c r="E602" s="885"/>
      <c r="F602" s="885"/>
      <c r="G602" s="885"/>
      <c r="H602" s="885"/>
      <c r="I602" s="885"/>
      <c r="J602" s="885"/>
      <c r="K602" s="885"/>
      <c r="L602" s="885"/>
      <c r="M602" s="885"/>
      <c r="N602" s="885"/>
      <c r="O602" s="885"/>
      <c r="P602" s="885"/>
      <c r="Q602" s="885"/>
      <c r="R602" s="885"/>
      <c r="S602" s="885"/>
      <c r="T602" s="885"/>
      <c r="U602" s="885"/>
      <c r="V602" s="885"/>
      <c r="W602" s="885"/>
      <c r="X602" s="885"/>
      <c r="Y602" s="885"/>
      <c r="Z602" s="885"/>
      <c r="AA602" s="885"/>
      <c r="AB602" s="885"/>
      <c r="AC602" s="885"/>
    </row>
    <row r="603" spans="1:29" ht="15.75" customHeight="1" x14ac:dyDescent="0.2">
      <c r="A603" s="885"/>
      <c r="B603" s="885"/>
      <c r="C603" s="885"/>
      <c r="D603" s="885"/>
      <c r="E603" s="885"/>
      <c r="F603" s="885"/>
      <c r="G603" s="885"/>
      <c r="H603" s="885"/>
      <c r="I603" s="885"/>
      <c r="J603" s="885"/>
      <c r="K603" s="885"/>
      <c r="L603" s="885"/>
      <c r="M603" s="885"/>
      <c r="N603" s="885"/>
      <c r="O603" s="885"/>
      <c r="P603" s="885"/>
      <c r="Q603" s="885"/>
      <c r="R603" s="885"/>
      <c r="S603" s="885"/>
      <c r="T603" s="885"/>
      <c r="U603" s="885"/>
      <c r="V603" s="885"/>
      <c r="W603" s="885"/>
      <c r="X603" s="885"/>
      <c r="Y603" s="885"/>
      <c r="Z603" s="885"/>
      <c r="AA603" s="885"/>
      <c r="AB603" s="885"/>
      <c r="AC603" s="885"/>
    </row>
    <row r="604" spans="1:29" ht="15.75" customHeight="1" x14ac:dyDescent="0.2">
      <c r="A604" s="885"/>
      <c r="B604" s="885"/>
      <c r="C604" s="885"/>
      <c r="D604" s="885"/>
      <c r="E604" s="885"/>
      <c r="F604" s="885"/>
      <c r="G604" s="885"/>
      <c r="H604" s="885"/>
      <c r="I604" s="885"/>
      <c r="J604" s="885"/>
      <c r="K604" s="885"/>
      <c r="L604" s="885"/>
      <c r="M604" s="885"/>
      <c r="N604" s="885"/>
      <c r="O604" s="885"/>
      <c r="P604" s="885"/>
      <c r="Q604" s="885"/>
      <c r="R604" s="885"/>
      <c r="S604" s="885"/>
      <c r="T604" s="885"/>
      <c r="U604" s="885"/>
      <c r="V604" s="885"/>
      <c r="W604" s="885"/>
      <c r="X604" s="885"/>
      <c r="Y604" s="885"/>
      <c r="Z604" s="885"/>
      <c r="AA604" s="885"/>
      <c r="AB604" s="885"/>
      <c r="AC604" s="885"/>
    </row>
    <row r="605" spans="1:29" ht="15.75" customHeight="1" x14ac:dyDescent="0.2">
      <c r="A605" s="885"/>
      <c r="B605" s="885"/>
      <c r="C605" s="885"/>
      <c r="D605" s="885"/>
      <c r="E605" s="885"/>
      <c r="F605" s="885"/>
      <c r="G605" s="885"/>
      <c r="H605" s="885"/>
      <c r="I605" s="885"/>
      <c r="J605" s="885"/>
      <c r="K605" s="885"/>
      <c r="L605" s="885"/>
      <c r="M605" s="885"/>
      <c r="N605" s="885"/>
      <c r="O605" s="885"/>
      <c r="P605" s="885"/>
      <c r="Q605" s="885"/>
      <c r="R605" s="885"/>
      <c r="S605" s="885"/>
      <c r="T605" s="885"/>
      <c r="U605" s="885"/>
      <c r="V605" s="885"/>
      <c r="W605" s="885"/>
      <c r="X605" s="885"/>
      <c r="Y605" s="885"/>
      <c r="Z605" s="885"/>
      <c r="AA605" s="885"/>
      <c r="AB605" s="885"/>
      <c r="AC605" s="885"/>
    </row>
    <row r="606" spans="1:29" ht="15.75" customHeight="1" x14ac:dyDescent="0.2">
      <c r="A606" s="885"/>
      <c r="B606" s="885"/>
      <c r="C606" s="885"/>
      <c r="D606" s="885"/>
      <c r="E606" s="885"/>
      <c r="F606" s="885"/>
      <c r="G606" s="885"/>
      <c r="H606" s="885"/>
      <c r="I606" s="885"/>
      <c r="J606" s="885"/>
      <c r="K606" s="885"/>
      <c r="L606" s="885"/>
      <c r="M606" s="885"/>
      <c r="N606" s="885"/>
      <c r="O606" s="885"/>
      <c r="P606" s="885"/>
      <c r="Q606" s="885"/>
      <c r="R606" s="885"/>
      <c r="S606" s="885"/>
      <c r="T606" s="885"/>
      <c r="U606" s="885"/>
      <c r="V606" s="885"/>
      <c r="W606" s="885"/>
      <c r="X606" s="885"/>
      <c r="Y606" s="885"/>
      <c r="Z606" s="885"/>
      <c r="AA606" s="885"/>
      <c r="AB606" s="885"/>
      <c r="AC606" s="885"/>
    </row>
    <row r="607" spans="1:29" ht="15.75" customHeight="1" x14ac:dyDescent="0.2">
      <c r="A607" s="885"/>
      <c r="B607" s="885"/>
      <c r="C607" s="885"/>
      <c r="D607" s="885"/>
      <c r="E607" s="885"/>
      <c r="F607" s="885"/>
      <c r="G607" s="885"/>
      <c r="H607" s="885"/>
      <c r="I607" s="885"/>
      <c r="J607" s="885"/>
      <c r="K607" s="885"/>
      <c r="L607" s="885"/>
      <c r="M607" s="885"/>
      <c r="N607" s="885"/>
      <c r="O607" s="885"/>
      <c r="P607" s="885"/>
      <c r="Q607" s="885"/>
      <c r="R607" s="885"/>
      <c r="S607" s="885"/>
      <c r="T607" s="885"/>
      <c r="U607" s="885"/>
      <c r="V607" s="885"/>
      <c r="W607" s="885"/>
      <c r="X607" s="885"/>
      <c r="Y607" s="885"/>
      <c r="Z607" s="885"/>
      <c r="AA607" s="885"/>
      <c r="AB607" s="885"/>
      <c r="AC607" s="885"/>
    </row>
    <row r="608" spans="1:29" ht="15.75" customHeight="1" x14ac:dyDescent="0.2">
      <c r="A608" s="885"/>
      <c r="B608" s="885"/>
      <c r="C608" s="885"/>
      <c r="D608" s="885"/>
      <c r="E608" s="885"/>
      <c r="F608" s="885"/>
      <c r="G608" s="885"/>
      <c r="H608" s="885"/>
      <c r="I608" s="885"/>
      <c r="J608" s="885"/>
      <c r="K608" s="885"/>
      <c r="L608" s="885"/>
      <c r="M608" s="885"/>
      <c r="N608" s="885"/>
      <c r="O608" s="885"/>
      <c r="P608" s="885"/>
      <c r="Q608" s="885"/>
      <c r="R608" s="885"/>
      <c r="S608" s="885"/>
      <c r="T608" s="885"/>
      <c r="U608" s="885"/>
      <c r="V608" s="885"/>
      <c r="W608" s="885"/>
      <c r="X608" s="885"/>
      <c r="Y608" s="885"/>
      <c r="Z608" s="885"/>
      <c r="AA608" s="885"/>
      <c r="AB608" s="885"/>
      <c r="AC608" s="885"/>
    </row>
    <row r="609" spans="1:29" ht="15.75" customHeight="1" x14ac:dyDescent="0.2">
      <c r="A609" s="885"/>
      <c r="B609" s="885"/>
      <c r="C609" s="885"/>
      <c r="D609" s="885"/>
      <c r="E609" s="885"/>
      <c r="F609" s="885"/>
      <c r="G609" s="885"/>
      <c r="H609" s="885"/>
      <c r="I609" s="885"/>
      <c r="J609" s="885"/>
      <c r="K609" s="885"/>
      <c r="L609" s="885"/>
      <c r="M609" s="885"/>
      <c r="N609" s="885"/>
      <c r="O609" s="885"/>
      <c r="P609" s="885"/>
      <c r="Q609" s="885"/>
      <c r="R609" s="885"/>
      <c r="S609" s="885"/>
      <c r="T609" s="885"/>
      <c r="U609" s="885"/>
      <c r="V609" s="885"/>
      <c r="W609" s="885"/>
      <c r="X609" s="885"/>
      <c r="Y609" s="885"/>
      <c r="Z609" s="885"/>
      <c r="AA609" s="885"/>
      <c r="AB609" s="885"/>
      <c r="AC609" s="885"/>
    </row>
    <row r="610" spans="1:29" ht="15.75" customHeight="1" x14ac:dyDescent="0.2">
      <c r="A610" s="885"/>
      <c r="B610" s="885"/>
      <c r="C610" s="885"/>
      <c r="D610" s="885"/>
      <c r="E610" s="885"/>
      <c r="F610" s="885"/>
      <c r="G610" s="885"/>
      <c r="H610" s="885"/>
      <c r="I610" s="885"/>
      <c r="J610" s="885"/>
      <c r="K610" s="885"/>
      <c r="L610" s="885"/>
      <c r="M610" s="885"/>
      <c r="N610" s="885"/>
      <c r="O610" s="885"/>
      <c r="P610" s="885"/>
      <c r="Q610" s="885"/>
      <c r="R610" s="885"/>
      <c r="S610" s="885"/>
      <c r="T610" s="885"/>
      <c r="U610" s="885"/>
      <c r="V610" s="885"/>
      <c r="W610" s="885"/>
      <c r="X610" s="885"/>
      <c r="Y610" s="885"/>
      <c r="Z610" s="885"/>
      <c r="AA610" s="885"/>
      <c r="AB610" s="885"/>
      <c r="AC610" s="885"/>
    </row>
    <row r="611" spans="1:29" ht="15.75" customHeight="1" x14ac:dyDescent="0.2">
      <c r="A611" s="885"/>
      <c r="B611" s="885"/>
      <c r="C611" s="885"/>
      <c r="D611" s="885"/>
      <c r="E611" s="885"/>
      <c r="F611" s="885"/>
      <c r="G611" s="885"/>
      <c r="H611" s="885"/>
      <c r="I611" s="885"/>
      <c r="J611" s="885"/>
      <c r="K611" s="885"/>
      <c r="L611" s="885"/>
      <c r="M611" s="885"/>
      <c r="N611" s="885"/>
      <c r="O611" s="885"/>
      <c r="P611" s="885"/>
      <c r="Q611" s="885"/>
      <c r="R611" s="885"/>
      <c r="S611" s="885"/>
      <c r="T611" s="885"/>
      <c r="U611" s="885"/>
      <c r="V611" s="885"/>
      <c r="W611" s="885"/>
      <c r="X611" s="885"/>
      <c r="Y611" s="885"/>
      <c r="Z611" s="885"/>
      <c r="AA611" s="885"/>
      <c r="AB611" s="885"/>
      <c r="AC611" s="885"/>
    </row>
    <row r="612" spans="1:29" ht="15.75" customHeight="1" x14ac:dyDescent="0.2">
      <c r="A612" s="885"/>
      <c r="B612" s="885"/>
      <c r="C612" s="885"/>
      <c r="D612" s="885"/>
      <c r="E612" s="885"/>
      <c r="F612" s="885"/>
      <c r="G612" s="885"/>
      <c r="H612" s="885"/>
      <c r="I612" s="885"/>
      <c r="J612" s="885"/>
      <c r="K612" s="885"/>
      <c r="L612" s="885"/>
      <c r="M612" s="885"/>
      <c r="N612" s="885"/>
      <c r="O612" s="885"/>
      <c r="P612" s="885"/>
      <c r="Q612" s="885"/>
      <c r="R612" s="885"/>
      <c r="S612" s="885"/>
      <c r="T612" s="885"/>
      <c r="U612" s="885"/>
      <c r="V612" s="885"/>
      <c r="W612" s="885"/>
      <c r="X612" s="885"/>
      <c r="Y612" s="885"/>
      <c r="Z612" s="885"/>
      <c r="AA612" s="885"/>
      <c r="AB612" s="885"/>
      <c r="AC612" s="885"/>
    </row>
    <row r="613" spans="1:29" ht="15.75" customHeight="1" x14ac:dyDescent="0.2">
      <c r="A613" s="885"/>
      <c r="B613" s="885"/>
      <c r="C613" s="885"/>
      <c r="D613" s="885"/>
      <c r="E613" s="885"/>
      <c r="F613" s="885"/>
      <c r="G613" s="885"/>
      <c r="H613" s="885"/>
      <c r="I613" s="885"/>
      <c r="J613" s="885"/>
      <c r="K613" s="885"/>
      <c r="L613" s="885"/>
      <c r="M613" s="885"/>
      <c r="N613" s="885"/>
      <c r="O613" s="885"/>
      <c r="P613" s="885"/>
      <c r="Q613" s="885"/>
      <c r="R613" s="885"/>
      <c r="S613" s="885"/>
      <c r="T613" s="885"/>
      <c r="U613" s="885"/>
      <c r="V613" s="885"/>
      <c r="W613" s="885"/>
      <c r="X613" s="885"/>
      <c r="Y613" s="885"/>
      <c r="Z613" s="885"/>
      <c r="AA613" s="885"/>
      <c r="AB613" s="885"/>
      <c r="AC613" s="885"/>
    </row>
    <row r="614" spans="1:29" ht="15.75" customHeight="1" x14ac:dyDescent="0.2">
      <c r="A614" s="885"/>
      <c r="B614" s="885"/>
      <c r="C614" s="885"/>
      <c r="D614" s="885"/>
      <c r="E614" s="885"/>
      <c r="F614" s="885"/>
      <c r="G614" s="885"/>
      <c r="H614" s="885"/>
      <c r="I614" s="885"/>
      <c r="J614" s="885"/>
      <c r="K614" s="885"/>
      <c r="L614" s="885"/>
      <c r="M614" s="885"/>
      <c r="N614" s="885"/>
      <c r="O614" s="885"/>
      <c r="P614" s="885"/>
      <c r="Q614" s="885"/>
      <c r="R614" s="885"/>
      <c r="S614" s="885"/>
      <c r="T614" s="885"/>
      <c r="U614" s="885"/>
      <c r="V614" s="885"/>
      <c r="W614" s="885"/>
      <c r="X614" s="885"/>
      <c r="Y614" s="885"/>
      <c r="Z614" s="885"/>
      <c r="AA614" s="885"/>
      <c r="AB614" s="885"/>
      <c r="AC614" s="885"/>
    </row>
    <row r="615" spans="1:29" ht="15.75" customHeight="1" x14ac:dyDescent="0.2">
      <c r="A615" s="885"/>
      <c r="B615" s="885"/>
      <c r="C615" s="885"/>
      <c r="D615" s="885"/>
      <c r="E615" s="885"/>
      <c r="F615" s="885"/>
      <c r="G615" s="885"/>
      <c r="H615" s="885"/>
      <c r="I615" s="885"/>
      <c r="J615" s="885"/>
      <c r="K615" s="885"/>
      <c r="L615" s="885"/>
      <c r="M615" s="885"/>
      <c r="N615" s="885"/>
      <c r="O615" s="885"/>
      <c r="P615" s="885"/>
      <c r="Q615" s="885"/>
      <c r="R615" s="885"/>
      <c r="S615" s="885"/>
      <c r="T615" s="885"/>
      <c r="U615" s="885"/>
      <c r="V615" s="885"/>
      <c r="W615" s="885"/>
      <c r="X615" s="885"/>
      <c r="Y615" s="885"/>
      <c r="Z615" s="885"/>
      <c r="AA615" s="885"/>
      <c r="AB615" s="885"/>
      <c r="AC615" s="885"/>
    </row>
    <row r="616" spans="1:29" ht="15.75" customHeight="1" x14ac:dyDescent="0.2">
      <c r="A616" s="885"/>
      <c r="B616" s="885"/>
      <c r="C616" s="885"/>
      <c r="D616" s="885"/>
      <c r="E616" s="885"/>
      <c r="F616" s="885"/>
      <c r="G616" s="885"/>
      <c r="H616" s="885"/>
      <c r="I616" s="885"/>
      <c r="J616" s="885"/>
      <c r="K616" s="885"/>
      <c r="L616" s="885"/>
      <c r="M616" s="885"/>
      <c r="N616" s="885"/>
      <c r="O616" s="885"/>
      <c r="P616" s="885"/>
      <c r="Q616" s="885"/>
      <c r="R616" s="885"/>
      <c r="S616" s="885"/>
      <c r="T616" s="885"/>
      <c r="U616" s="885"/>
      <c r="V616" s="885"/>
      <c r="W616" s="885"/>
      <c r="X616" s="885"/>
      <c r="Y616" s="885"/>
      <c r="Z616" s="885"/>
      <c r="AA616" s="885"/>
      <c r="AB616" s="885"/>
      <c r="AC616" s="885"/>
    </row>
    <row r="617" spans="1:29" ht="15.75" customHeight="1" x14ac:dyDescent="0.2">
      <c r="A617" s="885"/>
      <c r="B617" s="885"/>
      <c r="C617" s="885"/>
      <c r="D617" s="885"/>
      <c r="E617" s="885"/>
      <c r="F617" s="885"/>
      <c r="G617" s="885"/>
      <c r="H617" s="885"/>
      <c r="I617" s="885"/>
      <c r="J617" s="885"/>
      <c r="K617" s="885"/>
      <c r="L617" s="885"/>
      <c r="M617" s="885"/>
      <c r="N617" s="885"/>
      <c r="O617" s="885"/>
      <c r="P617" s="885"/>
      <c r="Q617" s="885"/>
      <c r="R617" s="885"/>
      <c r="S617" s="885"/>
      <c r="T617" s="885"/>
      <c r="U617" s="885"/>
      <c r="V617" s="885"/>
      <c r="W617" s="885"/>
      <c r="X617" s="885"/>
      <c r="Y617" s="885"/>
      <c r="Z617" s="885"/>
      <c r="AA617" s="885"/>
      <c r="AB617" s="885"/>
      <c r="AC617" s="885"/>
    </row>
    <row r="618" spans="1:29" ht="15.75" customHeight="1" x14ac:dyDescent="0.2">
      <c r="A618" s="885"/>
      <c r="B618" s="885"/>
      <c r="C618" s="885"/>
      <c r="D618" s="885"/>
      <c r="E618" s="885"/>
      <c r="F618" s="885"/>
      <c r="G618" s="885"/>
      <c r="H618" s="885"/>
      <c r="I618" s="885"/>
      <c r="J618" s="885"/>
      <c r="K618" s="885"/>
      <c r="L618" s="885"/>
      <c r="M618" s="885"/>
      <c r="N618" s="885"/>
      <c r="O618" s="885"/>
      <c r="P618" s="885"/>
      <c r="Q618" s="885"/>
      <c r="R618" s="885"/>
      <c r="S618" s="885"/>
      <c r="T618" s="885"/>
      <c r="U618" s="885"/>
      <c r="V618" s="885"/>
      <c r="W618" s="885"/>
      <c r="X618" s="885"/>
      <c r="Y618" s="885"/>
      <c r="Z618" s="885"/>
      <c r="AA618" s="885"/>
      <c r="AB618" s="885"/>
      <c r="AC618" s="885"/>
    </row>
    <row r="619" spans="1:29" ht="15.75" customHeight="1" x14ac:dyDescent="0.2">
      <c r="A619" s="885"/>
      <c r="B619" s="885"/>
      <c r="C619" s="885"/>
      <c r="D619" s="885"/>
      <c r="E619" s="885"/>
      <c r="F619" s="885"/>
      <c r="G619" s="885"/>
      <c r="H619" s="885"/>
      <c r="I619" s="885"/>
      <c r="J619" s="885"/>
      <c r="K619" s="885"/>
      <c r="L619" s="885"/>
      <c r="M619" s="885"/>
      <c r="N619" s="885"/>
      <c r="O619" s="885"/>
      <c r="P619" s="885"/>
      <c r="Q619" s="885"/>
      <c r="R619" s="885"/>
      <c r="S619" s="885"/>
      <c r="T619" s="885"/>
      <c r="U619" s="885"/>
      <c r="V619" s="885"/>
      <c r="W619" s="885"/>
      <c r="X619" s="885"/>
      <c r="Y619" s="885"/>
      <c r="Z619" s="885"/>
      <c r="AA619" s="885"/>
      <c r="AB619" s="885"/>
      <c r="AC619" s="885"/>
    </row>
    <row r="620" spans="1:29" ht="15.75" customHeight="1" x14ac:dyDescent="0.2">
      <c r="A620" s="885"/>
      <c r="B620" s="885"/>
      <c r="C620" s="885"/>
      <c r="D620" s="885"/>
      <c r="E620" s="885"/>
      <c r="F620" s="885"/>
      <c r="G620" s="885"/>
      <c r="H620" s="885"/>
      <c r="I620" s="885"/>
      <c r="J620" s="885"/>
      <c r="K620" s="885"/>
      <c r="L620" s="885"/>
      <c r="M620" s="885"/>
      <c r="N620" s="885"/>
      <c r="O620" s="885"/>
      <c r="P620" s="885"/>
      <c r="Q620" s="885"/>
      <c r="R620" s="885"/>
      <c r="S620" s="885"/>
      <c r="T620" s="885"/>
      <c r="U620" s="885"/>
      <c r="V620" s="885"/>
      <c r="W620" s="885"/>
      <c r="X620" s="885"/>
      <c r="Y620" s="885"/>
      <c r="Z620" s="885"/>
      <c r="AA620" s="885"/>
      <c r="AB620" s="885"/>
      <c r="AC620" s="885"/>
    </row>
    <row r="621" spans="1:29" ht="15.75" customHeight="1" x14ac:dyDescent="0.2">
      <c r="A621" s="885"/>
      <c r="B621" s="885"/>
      <c r="C621" s="885"/>
      <c r="D621" s="885"/>
      <c r="E621" s="885"/>
      <c r="F621" s="885"/>
      <c r="G621" s="885"/>
      <c r="H621" s="885"/>
      <c r="I621" s="885"/>
      <c r="J621" s="885"/>
      <c r="K621" s="885"/>
      <c r="L621" s="885"/>
      <c r="M621" s="885"/>
      <c r="N621" s="885"/>
      <c r="O621" s="885"/>
      <c r="P621" s="885"/>
      <c r="Q621" s="885"/>
      <c r="R621" s="885"/>
      <c r="S621" s="885"/>
      <c r="T621" s="885"/>
      <c r="U621" s="885"/>
      <c r="V621" s="885"/>
      <c r="W621" s="885"/>
      <c r="X621" s="885"/>
      <c r="Y621" s="885"/>
      <c r="Z621" s="885"/>
      <c r="AA621" s="885"/>
      <c r="AB621" s="885"/>
      <c r="AC621" s="885"/>
    </row>
    <row r="622" spans="1:29" ht="15.75" customHeight="1" x14ac:dyDescent="0.2">
      <c r="A622" s="885"/>
      <c r="B622" s="885"/>
      <c r="C622" s="885"/>
      <c r="D622" s="885"/>
      <c r="E622" s="885"/>
      <c r="F622" s="885"/>
      <c r="G622" s="885"/>
      <c r="H622" s="885"/>
      <c r="I622" s="885"/>
      <c r="J622" s="885"/>
      <c r="K622" s="885"/>
      <c r="L622" s="885"/>
      <c r="M622" s="885"/>
      <c r="N622" s="885"/>
      <c r="O622" s="885"/>
      <c r="P622" s="885"/>
      <c r="Q622" s="885"/>
      <c r="R622" s="885"/>
      <c r="S622" s="885"/>
      <c r="T622" s="885"/>
      <c r="U622" s="885"/>
      <c r="V622" s="885"/>
      <c r="W622" s="885"/>
      <c r="X622" s="885"/>
      <c r="Y622" s="885"/>
      <c r="Z622" s="885"/>
      <c r="AA622" s="885"/>
      <c r="AB622" s="885"/>
      <c r="AC622" s="885"/>
    </row>
    <row r="623" spans="1:29" ht="15.75" customHeight="1" x14ac:dyDescent="0.2">
      <c r="A623" s="885"/>
      <c r="B623" s="885"/>
      <c r="C623" s="885"/>
      <c r="D623" s="885"/>
      <c r="E623" s="885"/>
      <c r="F623" s="885"/>
      <c r="G623" s="885"/>
      <c r="H623" s="885"/>
      <c r="I623" s="885"/>
      <c r="J623" s="885"/>
      <c r="K623" s="885"/>
      <c r="L623" s="885"/>
      <c r="M623" s="885"/>
      <c r="N623" s="885"/>
      <c r="O623" s="885"/>
      <c r="P623" s="885"/>
      <c r="Q623" s="885"/>
      <c r="R623" s="885"/>
      <c r="S623" s="885"/>
      <c r="T623" s="885"/>
      <c r="U623" s="885"/>
      <c r="V623" s="885"/>
      <c r="W623" s="885"/>
      <c r="X623" s="885"/>
      <c r="Y623" s="885"/>
      <c r="Z623" s="885"/>
      <c r="AA623" s="885"/>
      <c r="AB623" s="885"/>
      <c r="AC623" s="885"/>
    </row>
    <row r="624" spans="1:29" ht="15.75" customHeight="1" x14ac:dyDescent="0.2">
      <c r="A624" s="885"/>
      <c r="B624" s="885"/>
      <c r="C624" s="885"/>
      <c r="D624" s="885"/>
      <c r="E624" s="885"/>
      <c r="F624" s="885"/>
      <c r="G624" s="885"/>
      <c r="H624" s="885"/>
      <c r="I624" s="885"/>
      <c r="J624" s="885"/>
      <c r="K624" s="885"/>
      <c r="L624" s="885"/>
      <c r="M624" s="885"/>
      <c r="N624" s="885"/>
      <c r="O624" s="885"/>
      <c r="P624" s="885"/>
      <c r="Q624" s="885"/>
      <c r="R624" s="885"/>
      <c r="S624" s="885"/>
      <c r="T624" s="885"/>
      <c r="U624" s="885"/>
      <c r="V624" s="885"/>
      <c r="W624" s="885"/>
      <c r="X624" s="885"/>
      <c r="Y624" s="885"/>
      <c r="Z624" s="885"/>
      <c r="AA624" s="885"/>
      <c r="AB624" s="885"/>
      <c r="AC624" s="885"/>
    </row>
    <row r="625" spans="1:29" ht="15.75" customHeight="1" x14ac:dyDescent="0.2">
      <c r="A625" s="885"/>
      <c r="B625" s="885"/>
      <c r="C625" s="885"/>
      <c r="D625" s="885"/>
      <c r="E625" s="885"/>
      <c r="F625" s="885"/>
      <c r="G625" s="885"/>
      <c r="H625" s="885"/>
      <c r="I625" s="885"/>
      <c r="J625" s="885"/>
      <c r="K625" s="885"/>
      <c r="L625" s="885"/>
      <c r="M625" s="885"/>
      <c r="N625" s="885"/>
      <c r="O625" s="885"/>
      <c r="P625" s="885"/>
      <c r="Q625" s="885"/>
      <c r="R625" s="885"/>
      <c r="S625" s="885"/>
      <c r="T625" s="885"/>
      <c r="U625" s="885"/>
      <c r="V625" s="885"/>
      <c r="W625" s="885"/>
      <c r="X625" s="885"/>
      <c r="Y625" s="885"/>
      <c r="Z625" s="885"/>
      <c r="AA625" s="885"/>
      <c r="AB625" s="885"/>
      <c r="AC625" s="885"/>
    </row>
    <row r="626" spans="1:29" ht="15.75" customHeight="1" x14ac:dyDescent="0.2">
      <c r="A626" s="885"/>
      <c r="B626" s="885"/>
      <c r="C626" s="885"/>
      <c r="D626" s="885"/>
      <c r="E626" s="885"/>
      <c r="F626" s="885"/>
      <c r="G626" s="885"/>
      <c r="H626" s="885"/>
      <c r="I626" s="885"/>
      <c r="J626" s="885"/>
      <c r="K626" s="885"/>
      <c r="L626" s="885"/>
      <c r="M626" s="885"/>
      <c r="N626" s="885"/>
      <c r="O626" s="885"/>
      <c r="P626" s="885"/>
      <c r="Q626" s="885"/>
      <c r="R626" s="885"/>
      <c r="S626" s="885"/>
      <c r="T626" s="885"/>
      <c r="U626" s="885"/>
      <c r="V626" s="885"/>
      <c r="W626" s="885"/>
      <c r="X626" s="885"/>
      <c r="Y626" s="885"/>
      <c r="Z626" s="885"/>
      <c r="AA626" s="885"/>
      <c r="AB626" s="885"/>
      <c r="AC626" s="885"/>
    </row>
    <row r="627" spans="1:29" ht="15.75" customHeight="1" x14ac:dyDescent="0.2">
      <c r="A627" s="885"/>
      <c r="B627" s="885"/>
      <c r="C627" s="885"/>
      <c r="D627" s="885"/>
      <c r="E627" s="885"/>
      <c r="F627" s="885"/>
      <c r="G627" s="885"/>
      <c r="H627" s="885"/>
      <c r="I627" s="885"/>
      <c r="J627" s="885"/>
      <c r="K627" s="885"/>
      <c r="L627" s="885"/>
      <c r="M627" s="885"/>
      <c r="N627" s="885"/>
      <c r="O627" s="885"/>
      <c r="P627" s="885"/>
      <c r="Q627" s="885"/>
      <c r="R627" s="885"/>
      <c r="S627" s="885"/>
      <c r="T627" s="885"/>
      <c r="U627" s="885"/>
      <c r="V627" s="885"/>
      <c r="W627" s="885"/>
      <c r="X627" s="885"/>
      <c r="Y627" s="885"/>
      <c r="Z627" s="885"/>
      <c r="AA627" s="885"/>
      <c r="AB627" s="885"/>
      <c r="AC627" s="885"/>
    </row>
    <row r="628" spans="1:29" ht="15.75" customHeight="1" x14ac:dyDescent="0.2">
      <c r="A628" s="885"/>
      <c r="B628" s="885"/>
      <c r="C628" s="885"/>
      <c r="D628" s="885"/>
      <c r="E628" s="885"/>
      <c r="F628" s="885"/>
      <c r="G628" s="885"/>
      <c r="H628" s="885"/>
      <c r="I628" s="885"/>
      <c r="J628" s="885"/>
      <c r="K628" s="885"/>
      <c r="L628" s="885"/>
      <c r="M628" s="885"/>
      <c r="N628" s="885"/>
      <c r="O628" s="885"/>
      <c r="P628" s="885"/>
      <c r="Q628" s="885"/>
      <c r="R628" s="885"/>
      <c r="S628" s="885"/>
      <c r="T628" s="885"/>
      <c r="U628" s="885"/>
      <c r="V628" s="885"/>
      <c r="W628" s="885"/>
      <c r="X628" s="885"/>
      <c r="Y628" s="885"/>
      <c r="Z628" s="885"/>
      <c r="AA628" s="885"/>
      <c r="AB628" s="885"/>
      <c r="AC628" s="885"/>
    </row>
    <row r="629" spans="1:29" ht="15.75" customHeight="1" x14ac:dyDescent="0.2">
      <c r="A629" s="885"/>
      <c r="B629" s="885"/>
      <c r="C629" s="885"/>
      <c r="D629" s="885"/>
      <c r="E629" s="885"/>
      <c r="F629" s="885"/>
      <c r="G629" s="885"/>
      <c r="H629" s="885"/>
      <c r="I629" s="885"/>
      <c r="J629" s="885"/>
      <c r="K629" s="885"/>
      <c r="L629" s="885"/>
      <c r="M629" s="885"/>
      <c r="N629" s="885"/>
      <c r="O629" s="885"/>
      <c r="P629" s="885"/>
      <c r="Q629" s="885"/>
      <c r="R629" s="885"/>
      <c r="S629" s="885"/>
      <c r="T629" s="885"/>
      <c r="U629" s="885"/>
      <c r="V629" s="885"/>
      <c r="W629" s="885"/>
      <c r="X629" s="885"/>
      <c r="Y629" s="885"/>
      <c r="Z629" s="885"/>
      <c r="AA629" s="885"/>
      <c r="AB629" s="885"/>
      <c r="AC629" s="885"/>
    </row>
    <row r="630" spans="1:29" ht="15.75" customHeight="1" x14ac:dyDescent="0.2">
      <c r="A630" s="885"/>
      <c r="B630" s="885"/>
      <c r="C630" s="885"/>
      <c r="D630" s="885"/>
      <c r="E630" s="885"/>
      <c r="F630" s="885"/>
      <c r="G630" s="885"/>
      <c r="H630" s="885"/>
      <c r="I630" s="885"/>
      <c r="J630" s="885"/>
      <c r="K630" s="885"/>
      <c r="L630" s="885"/>
      <c r="M630" s="885"/>
      <c r="N630" s="885"/>
      <c r="O630" s="885"/>
      <c r="P630" s="885"/>
      <c r="Q630" s="885"/>
      <c r="R630" s="885"/>
      <c r="S630" s="885"/>
      <c r="T630" s="885"/>
      <c r="U630" s="885"/>
      <c r="V630" s="885"/>
      <c r="W630" s="885"/>
      <c r="X630" s="885"/>
      <c r="Y630" s="885"/>
      <c r="Z630" s="885"/>
      <c r="AA630" s="885"/>
      <c r="AB630" s="885"/>
      <c r="AC630" s="885"/>
    </row>
    <row r="631" spans="1:29" ht="15.75" customHeight="1" x14ac:dyDescent="0.2">
      <c r="A631" s="885"/>
      <c r="B631" s="885"/>
      <c r="C631" s="885"/>
      <c r="D631" s="885"/>
      <c r="E631" s="885"/>
      <c r="F631" s="885"/>
      <c r="G631" s="885"/>
      <c r="H631" s="885"/>
      <c r="I631" s="885"/>
      <c r="J631" s="885"/>
      <c r="K631" s="885"/>
      <c r="L631" s="885"/>
      <c r="M631" s="885"/>
      <c r="N631" s="885"/>
      <c r="O631" s="885"/>
      <c r="P631" s="885"/>
      <c r="Q631" s="885"/>
      <c r="R631" s="885"/>
      <c r="S631" s="885"/>
      <c r="T631" s="885"/>
      <c r="U631" s="885"/>
      <c r="V631" s="885"/>
      <c r="W631" s="885"/>
      <c r="X631" s="885"/>
      <c r="Y631" s="885"/>
      <c r="Z631" s="885"/>
      <c r="AA631" s="885"/>
      <c r="AB631" s="885"/>
      <c r="AC631" s="885"/>
    </row>
    <row r="632" spans="1:29" ht="15.75" customHeight="1" x14ac:dyDescent="0.2">
      <c r="A632" s="885"/>
      <c r="B632" s="885"/>
      <c r="C632" s="885"/>
      <c r="D632" s="885"/>
      <c r="E632" s="885"/>
      <c r="F632" s="885"/>
      <c r="G632" s="885"/>
      <c r="H632" s="885"/>
      <c r="I632" s="885"/>
      <c r="J632" s="885"/>
      <c r="K632" s="885"/>
      <c r="L632" s="885"/>
      <c r="M632" s="885"/>
      <c r="N632" s="885"/>
      <c r="O632" s="885"/>
      <c r="P632" s="885"/>
      <c r="Q632" s="885"/>
      <c r="R632" s="885"/>
      <c r="S632" s="885"/>
      <c r="T632" s="885"/>
      <c r="U632" s="885"/>
      <c r="V632" s="885"/>
      <c r="W632" s="885"/>
      <c r="X632" s="885"/>
      <c r="Y632" s="885"/>
      <c r="Z632" s="885"/>
      <c r="AA632" s="885"/>
      <c r="AB632" s="885"/>
      <c r="AC632" s="885"/>
    </row>
    <row r="633" spans="1:29" ht="15.75" customHeight="1" x14ac:dyDescent="0.2">
      <c r="A633" s="885"/>
      <c r="B633" s="885"/>
      <c r="C633" s="885"/>
      <c r="D633" s="885"/>
      <c r="E633" s="885"/>
      <c r="F633" s="885"/>
      <c r="G633" s="885"/>
      <c r="H633" s="885"/>
      <c r="I633" s="885"/>
      <c r="J633" s="885"/>
      <c r="K633" s="885"/>
      <c r="L633" s="885"/>
      <c r="M633" s="885"/>
      <c r="N633" s="885"/>
      <c r="O633" s="885"/>
      <c r="P633" s="885"/>
      <c r="Q633" s="885"/>
      <c r="R633" s="885"/>
      <c r="S633" s="885"/>
      <c r="T633" s="885"/>
      <c r="U633" s="885"/>
      <c r="V633" s="885"/>
      <c r="W633" s="885"/>
      <c r="X633" s="885"/>
      <c r="Y633" s="885"/>
      <c r="Z633" s="885"/>
      <c r="AA633" s="885"/>
      <c r="AB633" s="885"/>
      <c r="AC633" s="885"/>
    </row>
    <row r="634" spans="1:29" ht="15.75" customHeight="1" x14ac:dyDescent="0.2">
      <c r="A634" s="885"/>
      <c r="B634" s="885"/>
      <c r="C634" s="885"/>
      <c r="D634" s="885"/>
      <c r="E634" s="885"/>
      <c r="F634" s="885"/>
      <c r="G634" s="885"/>
      <c r="H634" s="885"/>
      <c r="I634" s="885"/>
      <c r="J634" s="885"/>
      <c r="K634" s="885"/>
      <c r="L634" s="885"/>
      <c r="M634" s="885"/>
      <c r="N634" s="885"/>
      <c r="O634" s="885"/>
      <c r="P634" s="885"/>
      <c r="Q634" s="885"/>
      <c r="R634" s="885"/>
      <c r="S634" s="885"/>
      <c r="T634" s="885"/>
      <c r="U634" s="885"/>
      <c r="V634" s="885"/>
      <c r="W634" s="885"/>
      <c r="X634" s="885"/>
      <c r="Y634" s="885"/>
      <c r="Z634" s="885"/>
      <c r="AA634" s="885"/>
      <c r="AB634" s="885"/>
      <c r="AC634" s="885"/>
    </row>
    <row r="635" spans="1:29" ht="15.75" customHeight="1" x14ac:dyDescent="0.2">
      <c r="A635" s="885"/>
      <c r="B635" s="885"/>
      <c r="C635" s="885"/>
      <c r="D635" s="885"/>
      <c r="E635" s="885"/>
      <c r="F635" s="885"/>
      <c r="G635" s="885"/>
      <c r="H635" s="885"/>
      <c r="I635" s="885"/>
      <c r="J635" s="885"/>
      <c r="K635" s="885"/>
      <c r="L635" s="885"/>
      <c r="M635" s="885"/>
      <c r="N635" s="885"/>
      <c r="O635" s="885"/>
      <c r="P635" s="885"/>
      <c r="Q635" s="885"/>
      <c r="R635" s="885"/>
      <c r="S635" s="885"/>
      <c r="T635" s="885"/>
      <c r="U635" s="885"/>
      <c r="V635" s="885"/>
      <c r="W635" s="885"/>
      <c r="X635" s="885"/>
      <c r="Y635" s="885"/>
      <c r="Z635" s="885"/>
      <c r="AA635" s="885"/>
      <c r="AB635" s="885"/>
      <c r="AC635" s="885"/>
    </row>
    <row r="636" spans="1:29" ht="15.75" customHeight="1" x14ac:dyDescent="0.2">
      <c r="A636" s="885"/>
      <c r="B636" s="885"/>
      <c r="C636" s="885"/>
      <c r="D636" s="885"/>
      <c r="E636" s="885"/>
      <c r="F636" s="885"/>
      <c r="G636" s="885"/>
      <c r="H636" s="885"/>
      <c r="I636" s="885"/>
      <c r="J636" s="885"/>
      <c r="K636" s="885"/>
      <c r="L636" s="885"/>
      <c r="M636" s="885"/>
      <c r="N636" s="885"/>
      <c r="O636" s="885"/>
      <c r="P636" s="885"/>
      <c r="Q636" s="885"/>
      <c r="R636" s="885"/>
      <c r="S636" s="885"/>
      <c r="T636" s="885"/>
      <c r="U636" s="885"/>
      <c r="V636" s="885"/>
      <c r="W636" s="885"/>
      <c r="X636" s="885"/>
      <c r="Y636" s="885"/>
      <c r="Z636" s="885"/>
      <c r="AA636" s="885"/>
      <c r="AB636" s="885"/>
      <c r="AC636" s="885"/>
    </row>
    <row r="637" spans="1:29" ht="15.75" customHeight="1" x14ac:dyDescent="0.2">
      <c r="A637" s="885"/>
      <c r="B637" s="885"/>
      <c r="C637" s="885"/>
      <c r="D637" s="885"/>
      <c r="E637" s="885"/>
      <c r="F637" s="885"/>
      <c r="G637" s="885"/>
      <c r="H637" s="885"/>
      <c r="I637" s="885"/>
      <c r="J637" s="885"/>
      <c r="K637" s="885"/>
      <c r="L637" s="885"/>
      <c r="M637" s="885"/>
      <c r="N637" s="885"/>
      <c r="O637" s="885"/>
      <c r="P637" s="885"/>
      <c r="Q637" s="885"/>
      <c r="R637" s="885"/>
      <c r="S637" s="885"/>
      <c r="T637" s="885"/>
      <c r="U637" s="885"/>
      <c r="V637" s="885"/>
      <c r="W637" s="885"/>
      <c r="X637" s="885"/>
      <c r="Y637" s="885"/>
      <c r="Z637" s="885"/>
      <c r="AA637" s="885"/>
      <c r="AB637" s="885"/>
      <c r="AC637" s="885"/>
    </row>
    <row r="638" spans="1:29" ht="15.75" customHeight="1" x14ac:dyDescent="0.2">
      <c r="A638" s="885"/>
      <c r="B638" s="885"/>
      <c r="C638" s="885"/>
      <c r="D638" s="885"/>
      <c r="E638" s="885"/>
      <c r="F638" s="885"/>
      <c r="G638" s="885"/>
      <c r="H638" s="885"/>
      <c r="I638" s="885"/>
      <c r="J638" s="885"/>
      <c r="K638" s="885"/>
      <c r="L638" s="885"/>
      <c r="M638" s="885"/>
      <c r="N638" s="885"/>
      <c r="O638" s="885"/>
      <c r="P638" s="885"/>
      <c r="Q638" s="885"/>
      <c r="R638" s="885"/>
      <c r="S638" s="885"/>
      <c r="T638" s="885"/>
      <c r="U638" s="885"/>
      <c r="V638" s="885"/>
      <c r="W638" s="885"/>
      <c r="X638" s="885"/>
      <c r="Y638" s="885"/>
      <c r="Z638" s="885"/>
      <c r="AA638" s="885"/>
      <c r="AB638" s="885"/>
      <c r="AC638" s="885"/>
    </row>
    <row r="639" spans="1:29" ht="15.75" customHeight="1" x14ac:dyDescent="0.2">
      <c r="A639" s="885"/>
      <c r="B639" s="885"/>
      <c r="C639" s="885"/>
      <c r="D639" s="885"/>
      <c r="E639" s="885"/>
      <c r="F639" s="885"/>
      <c r="G639" s="885"/>
      <c r="H639" s="885"/>
      <c r="I639" s="885"/>
      <c r="J639" s="885"/>
      <c r="K639" s="885"/>
      <c r="L639" s="885"/>
      <c r="M639" s="885"/>
      <c r="N639" s="885"/>
      <c r="O639" s="885"/>
      <c r="P639" s="885"/>
      <c r="Q639" s="885"/>
      <c r="R639" s="885"/>
      <c r="S639" s="885"/>
      <c r="T639" s="885"/>
      <c r="U639" s="885"/>
      <c r="V639" s="885"/>
      <c r="W639" s="885"/>
      <c r="X639" s="885"/>
      <c r="Y639" s="885"/>
      <c r="Z639" s="885"/>
      <c r="AA639" s="885"/>
      <c r="AB639" s="885"/>
      <c r="AC639" s="885"/>
    </row>
    <row r="640" spans="1:29" ht="15.75" customHeight="1" x14ac:dyDescent="0.2">
      <c r="A640" s="885"/>
      <c r="B640" s="885"/>
      <c r="C640" s="885"/>
      <c r="D640" s="885"/>
      <c r="E640" s="885"/>
      <c r="F640" s="885"/>
      <c r="G640" s="885"/>
      <c r="H640" s="885"/>
      <c r="I640" s="885"/>
      <c r="J640" s="885"/>
      <c r="K640" s="885"/>
      <c r="L640" s="885"/>
      <c r="M640" s="885"/>
      <c r="N640" s="885"/>
      <c r="O640" s="885"/>
      <c r="P640" s="885"/>
      <c r="Q640" s="885"/>
      <c r="R640" s="885"/>
      <c r="S640" s="885"/>
      <c r="T640" s="885"/>
      <c r="U640" s="885"/>
      <c r="V640" s="885"/>
      <c r="W640" s="885"/>
      <c r="X640" s="885"/>
      <c r="Y640" s="885"/>
      <c r="Z640" s="885"/>
      <c r="AA640" s="885"/>
      <c r="AB640" s="885"/>
      <c r="AC640" s="885"/>
    </row>
    <row r="641" spans="1:29" ht="15.75" customHeight="1" x14ac:dyDescent="0.2">
      <c r="A641" s="885"/>
      <c r="B641" s="885"/>
      <c r="C641" s="885"/>
      <c r="D641" s="885"/>
      <c r="E641" s="885"/>
      <c r="F641" s="885"/>
      <c r="G641" s="885"/>
      <c r="H641" s="885"/>
      <c r="I641" s="885"/>
      <c r="J641" s="885"/>
      <c r="K641" s="885"/>
      <c r="L641" s="885"/>
      <c r="M641" s="885"/>
      <c r="N641" s="885"/>
      <c r="O641" s="885"/>
      <c r="P641" s="885"/>
      <c r="Q641" s="885"/>
      <c r="R641" s="885"/>
      <c r="S641" s="885"/>
      <c r="T641" s="885"/>
      <c r="U641" s="885"/>
      <c r="V641" s="885"/>
      <c r="W641" s="885"/>
      <c r="X641" s="885"/>
      <c r="Y641" s="885"/>
      <c r="Z641" s="885"/>
      <c r="AA641" s="885"/>
      <c r="AB641" s="885"/>
      <c r="AC641" s="885"/>
    </row>
    <row r="642" spans="1:29" ht="15.75" customHeight="1" x14ac:dyDescent="0.2">
      <c r="A642" s="885"/>
      <c r="B642" s="885"/>
      <c r="C642" s="885"/>
      <c r="D642" s="885"/>
      <c r="E642" s="885"/>
      <c r="F642" s="885"/>
      <c r="G642" s="885"/>
      <c r="H642" s="885"/>
      <c r="I642" s="885"/>
      <c r="J642" s="885"/>
      <c r="K642" s="885"/>
      <c r="L642" s="885"/>
      <c r="M642" s="885"/>
      <c r="N642" s="885"/>
      <c r="O642" s="885"/>
      <c r="P642" s="885"/>
      <c r="Q642" s="885"/>
      <c r="R642" s="885"/>
      <c r="S642" s="885"/>
      <c r="T642" s="885"/>
      <c r="U642" s="885"/>
      <c r="V642" s="885"/>
      <c r="W642" s="885"/>
      <c r="X642" s="885"/>
      <c r="Y642" s="885"/>
      <c r="Z642" s="885"/>
      <c r="AA642" s="885"/>
      <c r="AB642" s="885"/>
      <c r="AC642" s="885"/>
    </row>
    <row r="643" spans="1:29" ht="15.75" customHeight="1" x14ac:dyDescent="0.2">
      <c r="A643" s="885"/>
      <c r="B643" s="885"/>
      <c r="C643" s="885"/>
      <c r="D643" s="885"/>
      <c r="E643" s="885"/>
      <c r="F643" s="885"/>
      <c r="G643" s="885"/>
      <c r="H643" s="885"/>
      <c r="I643" s="885"/>
      <c r="J643" s="885"/>
      <c r="K643" s="885"/>
      <c r="L643" s="885"/>
      <c r="M643" s="885"/>
      <c r="N643" s="885"/>
      <c r="O643" s="885"/>
      <c r="P643" s="885"/>
      <c r="Q643" s="885"/>
      <c r="R643" s="885"/>
      <c r="S643" s="885"/>
      <c r="T643" s="885"/>
      <c r="U643" s="885"/>
      <c r="V643" s="885"/>
      <c r="W643" s="885"/>
      <c r="X643" s="885"/>
      <c r="Y643" s="885"/>
      <c r="Z643" s="885"/>
      <c r="AA643" s="885"/>
      <c r="AB643" s="885"/>
      <c r="AC643" s="885"/>
    </row>
    <row r="644" spans="1:29" ht="15.75" customHeight="1" x14ac:dyDescent="0.2">
      <c r="A644" s="885"/>
      <c r="B644" s="885"/>
      <c r="C644" s="885"/>
      <c r="D644" s="885"/>
      <c r="E644" s="885"/>
      <c r="F644" s="885"/>
      <c r="G644" s="885"/>
      <c r="H644" s="885"/>
      <c r="I644" s="885"/>
      <c r="J644" s="885"/>
      <c r="K644" s="885"/>
      <c r="L644" s="885"/>
      <c r="M644" s="885"/>
      <c r="N644" s="885"/>
      <c r="O644" s="885"/>
      <c r="P644" s="885"/>
      <c r="Q644" s="885"/>
      <c r="R644" s="885"/>
      <c r="S644" s="885"/>
      <c r="T644" s="885"/>
      <c r="U644" s="885"/>
      <c r="V644" s="885"/>
      <c r="W644" s="885"/>
      <c r="X644" s="885"/>
      <c r="Y644" s="885"/>
      <c r="Z644" s="885"/>
      <c r="AA644" s="885"/>
      <c r="AB644" s="885"/>
      <c r="AC644" s="885"/>
    </row>
    <row r="645" spans="1:29" ht="15.75" customHeight="1" x14ac:dyDescent="0.2">
      <c r="A645" s="885"/>
      <c r="B645" s="885"/>
      <c r="C645" s="885"/>
      <c r="D645" s="885"/>
      <c r="E645" s="885"/>
      <c r="F645" s="885"/>
      <c r="G645" s="885"/>
      <c r="H645" s="885"/>
      <c r="I645" s="885"/>
      <c r="J645" s="885"/>
      <c r="K645" s="885"/>
      <c r="L645" s="885"/>
      <c r="M645" s="885"/>
      <c r="N645" s="885"/>
      <c r="O645" s="885"/>
      <c r="P645" s="885"/>
      <c r="Q645" s="885"/>
      <c r="R645" s="885"/>
      <c r="S645" s="885"/>
      <c r="T645" s="885"/>
      <c r="U645" s="885"/>
      <c r="V645" s="885"/>
      <c r="W645" s="885"/>
      <c r="X645" s="885"/>
      <c r="Y645" s="885"/>
      <c r="Z645" s="885"/>
      <c r="AA645" s="885"/>
      <c r="AB645" s="885"/>
      <c r="AC645" s="885"/>
    </row>
    <row r="646" spans="1:29" ht="15.75" customHeight="1" x14ac:dyDescent="0.2">
      <c r="A646" s="885"/>
      <c r="B646" s="885"/>
      <c r="C646" s="885"/>
      <c r="D646" s="885"/>
      <c r="E646" s="885"/>
      <c r="F646" s="885"/>
      <c r="G646" s="885"/>
      <c r="H646" s="885"/>
      <c r="I646" s="885"/>
      <c r="J646" s="885"/>
      <c r="K646" s="885"/>
      <c r="L646" s="885"/>
      <c r="M646" s="885"/>
      <c r="N646" s="885"/>
      <c r="O646" s="885"/>
      <c r="P646" s="885"/>
      <c r="Q646" s="885"/>
      <c r="R646" s="885"/>
      <c r="S646" s="885"/>
      <c r="T646" s="885"/>
      <c r="U646" s="885"/>
      <c r="V646" s="885"/>
      <c r="W646" s="885"/>
      <c r="X646" s="885"/>
      <c r="Y646" s="885"/>
      <c r="Z646" s="885"/>
      <c r="AA646" s="885"/>
      <c r="AB646" s="885"/>
      <c r="AC646" s="885"/>
    </row>
    <row r="647" spans="1:29" ht="15.75" customHeight="1" x14ac:dyDescent="0.2">
      <c r="A647" s="885"/>
      <c r="B647" s="885"/>
      <c r="C647" s="885"/>
      <c r="D647" s="885"/>
      <c r="E647" s="885"/>
      <c r="F647" s="885"/>
      <c r="G647" s="885"/>
      <c r="H647" s="885"/>
      <c r="I647" s="885"/>
      <c r="J647" s="885"/>
      <c r="K647" s="885"/>
      <c r="L647" s="885"/>
      <c r="M647" s="885"/>
      <c r="N647" s="885"/>
      <c r="O647" s="885"/>
      <c r="P647" s="885"/>
      <c r="Q647" s="885"/>
      <c r="R647" s="885"/>
      <c r="S647" s="885"/>
      <c r="T647" s="885"/>
      <c r="U647" s="885"/>
      <c r="V647" s="885"/>
      <c r="W647" s="885"/>
      <c r="X647" s="885"/>
      <c r="Y647" s="885"/>
      <c r="Z647" s="885"/>
      <c r="AA647" s="885"/>
      <c r="AB647" s="885"/>
      <c r="AC647" s="885"/>
    </row>
    <row r="648" spans="1:29" ht="15.75" customHeight="1" x14ac:dyDescent="0.2">
      <c r="A648" s="885"/>
      <c r="B648" s="885"/>
      <c r="C648" s="885"/>
      <c r="D648" s="885"/>
      <c r="E648" s="885"/>
      <c r="F648" s="885"/>
      <c r="G648" s="885"/>
      <c r="H648" s="885"/>
      <c r="I648" s="885"/>
      <c r="J648" s="885"/>
      <c r="K648" s="885"/>
      <c r="L648" s="885"/>
      <c r="M648" s="885"/>
      <c r="N648" s="885"/>
      <c r="O648" s="885"/>
      <c r="P648" s="885"/>
      <c r="Q648" s="885"/>
      <c r="R648" s="885"/>
      <c r="S648" s="885"/>
      <c r="T648" s="885"/>
      <c r="U648" s="885"/>
      <c r="V648" s="885"/>
      <c r="W648" s="885"/>
      <c r="X648" s="885"/>
      <c r="Y648" s="885"/>
      <c r="Z648" s="885"/>
      <c r="AA648" s="885"/>
      <c r="AB648" s="885"/>
      <c r="AC648" s="885"/>
    </row>
    <row r="649" spans="1:29" ht="15.75" customHeight="1" x14ac:dyDescent="0.2">
      <c r="A649" s="885"/>
      <c r="B649" s="885"/>
      <c r="C649" s="885"/>
      <c r="D649" s="885"/>
      <c r="E649" s="885"/>
      <c r="F649" s="885"/>
      <c r="G649" s="885"/>
      <c r="H649" s="885"/>
      <c r="I649" s="885"/>
      <c r="J649" s="885"/>
      <c r="K649" s="885"/>
      <c r="L649" s="885"/>
      <c r="M649" s="885"/>
      <c r="N649" s="885"/>
      <c r="O649" s="885"/>
      <c r="P649" s="885"/>
      <c r="Q649" s="885"/>
      <c r="R649" s="885"/>
      <c r="S649" s="885"/>
      <c r="T649" s="885"/>
      <c r="U649" s="885"/>
      <c r="V649" s="885"/>
      <c r="W649" s="885"/>
      <c r="X649" s="885"/>
      <c r="Y649" s="885"/>
      <c r="Z649" s="885"/>
      <c r="AA649" s="885"/>
      <c r="AB649" s="885"/>
      <c r="AC649" s="885"/>
    </row>
    <row r="650" spans="1:29" ht="15.75" customHeight="1" x14ac:dyDescent="0.2">
      <c r="A650" s="885"/>
      <c r="B650" s="885"/>
      <c r="C650" s="885"/>
      <c r="D650" s="885"/>
      <c r="E650" s="885"/>
      <c r="F650" s="885"/>
      <c r="G650" s="885"/>
      <c r="H650" s="885"/>
      <c r="I650" s="885"/>
      <c r="J650" s="885"/>
      <c r="K650" s="885"/>
      <c r="L650" s="885"/>
      <c r="M650" s="885"/>
      <c r="N650" s="885"/>
      <c r="O650" s="885"/>
      <c r="P650" s="885"/>
      <c r="Q650" s="885"/>
      <c r="R650" s="885"/>
      <c r="S650" s="885"/>
      <c r="T650" s="885"/>
      <c r="U650" s="885"/>
      <c r="V650" s="885"/>
      <c r="W650" s="885"/>
      <c r="X650" s="885"/>
      <c r="Y650" s="885"/>
      <c r="Z650" s="885"/>
      <c r="AA650" s="885"/>
      <c r="AB650" s="885"/>
      <c r="AC650" s="885"/>
    </row>
    <row r="651" spans="1:29" ht="15.75" customHeight="1" x14ac:dyDescent="0.2">
      <c r="A651" s="885"/>
      <c r="B651" s="885"/>
      <c r="C651" s="885"/>
      <c r="D651" s="885"/>
      <c r="E651" s="885"/>
      <c r="F651" s="885"/>
      <c r="G651" s="885"/>
      <c r="H651" s="885"/>
      <c r="I651" s="885"/>
      <c r="J651" s="885"/>
      <c r="K651" s="885"/>
      <c r="L651" s="885"/>
      <c r="M651" s="885"/>
      <c r="N651" s="885"/>
      <c r="O651" s="885"/>
      <c r="P651" s="885"/>
      <c r="Q651" s="885"/>
      <c r="R651" s="885"/>
      <c r="S651" s="885"/>
      <c r="T651" s="885"/>
      <c r="U651" s="885"/>
      <c r="V651" s="885"/>
      <c r="W651" s="885"/>
      <c r="X651" s="885"/>
      <c r="Y651" s="885"/>
      <c r="Z651" s="885"/>
      <c r="AA651" s="885"/>
      <c r="AB651" s="885"/>
      <c r="AC651" s="885"/>
    </row>
    <row r="652" spans="1:29" ht="15.75" customHeight="1" x14ac:dyDescent="0.2">
      <c r="A652" s="885"/>
      <c r="B652" s="885"/>
      <c r="C652" s="885"/>
      <c r="D652" s="885"/>
      <c r="E652" s="885"/>
      <c r="F652" s="885"/>
      <c r="G652" s="885"/>
      <c r="H652" s="885"/>
      <c r="I652" s="885"/>
      <c r="J652" s="885"/>
      <c r="K652" s="885"/>
      <c r="L652" s="885"/>
      <c r="M652" s="885"/>
      <c r="N652" s="885"/>
      <c r="O652" s="885"/>
      <c r="P652" s="885"/>
      <c r="Q652" s="885"/>
      <c r="R652" s="885"/>
      <c r="S652" s="885"/>
      <c r="T652" s="885"/>
      <c r="U652" s="885"/>
      <c r="V652" s="885"/>
      <c r="W652" s="885"/>
      <c r="X652" s="885"/>
      <c r="Y652" s="885"/>
      <c r="Z652" s="885"/>
      <c r="AA652" s="885"/>
      <c r="AB652" s="885"/>
      <c r="AC652" s="885"/>
    </row>
    <row r="653" spans="1:29" ht="15.75" customHeight="1" x14ac:dyDescent="0.2">
      <c r="A653" s="885"/>
      <c r="B653" s="885"/>
      <c r="C653" s="885"/>
      <c r="D653" s="885"/>
      <c r="E653" s="885"/>
      <c r="F653" s="885"/>
      <c r="G653" s="885"/>
      <c r="H653" s="885"/>
      <c r="I653" s="885"/>
      <c r="J653" s="885"/>
      <c r="K653" s="885"/>
      <c r="L653" s="885"/>
      <c r="M653" s="885"/>
      <c r="N653" s="885"/>
      <c r="O653" s="885"/>
      <c r="P653" s="885"/>
      <c r="Q653" s="885"/>
      <c r="R653" s="885"/>
      <c r="S653" s="885"/>
      <c r="T653" s="885"/>
      <c r="U653" s="885"/>
      <c r="V653" s="885"/>
      <c r="W653" s="885"/>
      <c r="X653" s="885"/>
      <c r="Y653" s="885"/>
      <c r="Z653" s="885"/>
      <c r="AA653" s="885"/>
      <c r="AB653" s="885"/>
      <c r="AC653" s="885"/>
    </row>
    <row r="654" spans="1:29" ht="15.75" customHeight="1" x14ac:dyDescent="0.2">
      <c r="A654" s="885"/>
      <c r="B654" s="885"/>
      <c r="C654" s="885"/>
      <c r="D654" s="885"/>
      <c r="E654" s="885"/>
      <c r="F654" s="885"/>
      <c r="G654" s="885"/>
      <c r="H654" s="885"/>
      <c r="I654" s="885"/>
      <c r="J654" s="885"/>
      <c r="K654" s="885"/>
      <c r="L654" s="885"/>
      <c r="M654" s="885"/>
      <c r="N654" s="885"/>
      <c r="O654" s="885"/>
      <c r="P654" s="885"/>
      <c r="Q654" s="885"/>
      <c r="R654" s="885"/>
      <c r="S654" s="885"/>
      <c r="T654" s="885"/>
      <c r="U654" s="885"/>
      <c r="V654" s="885"/>
      <c r="W654" s="885"/>
      <c r="X654" s="885"/>
      <c r="Y654" s="885"/>
      <c r="Z654" s="885"/>
      <c r="AA654" s="885"/>
      <c r="AB654" s="885"/>
      <c r="AC654" s="885"/>
    </row>
    <row r="655" spans="1:29" ht="15.75" customHeight="1" x14ac:dyDescent="0.2">
      <c r="A655" s="885"/>
      <c r="B655" s="885"/>
      <c r="C655" s="885"/>
      <c r="D655" s="885"/>
      <c r="E655" s="885"/>
      <c r="F655" s="885"/>
      <c r="G655" s="885"/>
      <c r="H655" s="885"/>
      <c r="I655" s="885"/>
      <c r="J655" s="885"/>
      <c r="K655" s="885"/>
      <c r="L655" s="885"/>
      <c r="M655" s="885"/>
      <c r="N655" s="885"/>
      <c r="O655" s="885"/>
      <c r="P655" s="885"/>
      <c r="Q655" s="885"/>
      <c r="R655" s="885"/>
      <c r="S655" s="885"/>
      <c r="T655" s="885"/>
      <c r="U655" s="885"/>
      <c r="V655" s="885"/>
      <c r="W655" s="885"/>
      <c r="X655" s="885"/>
      <c r="Y655" s="885"/>
      <c r="Z655" s="885"/>
      <c r="AA655" s="885"/>
      <c r="AB655" s="885"/>
      <c r="AC655" s="885"/>
    </row>
    <row r="656" spans="1:29" ht="15.75" customHeight="1" x14ac:dyDescent="0.2">
      <c r="A656" s="885"/>
      <c r="B656" s="885"/>
      <c r="C656" s="885"/>
      <c r="D656" s="885"/>
      <c r="E656" s="885"/>
      <c r="F656" s="885"/>
      <c r="G656" s="885"/>
      <c r="H656" s="885"/>
      <c r="I656" s="885"/>
      <c r="J656" s="885"/>
      <c r="K656" s="885"/>
      <c r="L656" s="885"/>
      <c r="M656" s="885"/>
      <c r="N656" s="885"/>
      <c r="O656" s="885"/>
      <c r="P656" s="885"/>
      <c r="Q656" s="885"/>
      <c r="R656" s="885"/>
      <c r="S656" s="885"/>
      <c r="T656" s="885"/>
      <c r="U656" s="885"/>
      <c r="V656" s="885"/>
      <c r="W656" s="885"/>
      <c r="X656" s="885"/>
      <c r="Y656" s="885"/>
      <c r="Z656" s="885"/>
      <c r="AA656" s="885"/>
      <c r="AB656" s="885"/>
      <c r="AC656" s="885"/>
    </row>
    <row r="657" spans="1:29" ht="15.75" customHeight="1" x14ac:dyDescent="0.2">
      <c r="A657" s="885"/>
      <c r="B657" s="885"/>
      <c r="C657" s="885"/>
      <c r="D657" s="885"/>
      <c r="E657" s="885"/>
      <c r="F657" s="885"/>
      <c r="G657" s="885"/>
      <c r="H657" s="885"/>
      <c r="I657" s="885"/>
      <c r="J657" s="885"/>
      <c r="K657" s="885"/>
      <c r="L657" s="885"/>
      <c r="M657" s="885"/>
      <c r="N657" s="885"/>
      <c r="O657" s="885"/>
      <c r="P657" s="885"/>
      <c r="Q657" s="885"/>
      <c r="R657" s="885"/>
      <c r="S657" s="885"/>
      <c r="T657" s="885"/>
      <c r="U657" s="885"/>
      <c r="V657" s="885"/>
      <c r="W657" s="885"/>
      <c r="X657" s="885"/>
      <c r="Y657" s="885"/>
      <c r="Z657" s="885"/>
      <c r="AA657" s="885"/>
      <c r="AB657" s="885"/>
      <c r="AC657" s="885"/>
    </row>
    <row r="658" spans="1:29" ht="15.75" customHeight="1" x14ac:dyDescent="0.2">
      <c r="A658" s="885"/>
      <c r="B658" s="885"/>
      <c r="C658" s="885"/>
      <c r="D658" s="885"/>
      <c r="E658" s="885"/>
      <c r="F658" s="885"/>
      <c r="G658" s="885"/>
      <c r="H658" s="885"/>
      <c r="I658" s="885"/>
      <c r="J658" s="885"/>
      <c r="K658" s="885"/>
      <c r="L658" s="885"/>
      <c r="M658" s="885"/>
      <c r="N658" s="885"/>
      <c r="O658" s="885"/>
      <c r="P658" s="885"/>
      <c r="Q658" s="885"/>
      <c r="R658" s="885"/>
      <c r="S658" s="885"/>
      <c r="T658" s="885"/>
      <c r="U658" s="885"/>
      <c r="V658" s="885"/>
      <c r="W658" s="885"/>
      <c r="X658" s="885"/>
      <c r="Y658" s="885"/>
      <c r="Z658" s="885"/>
      <c r="AA658" s="885"/>
      <c r="AB658" s="885"/>
      <c r="AC658" s="885"/>
    </row>
    <row r="659" spans="1:29" ht="15.75" customHeight="1" x14ac:dyDescent="0.2">
      <c r="A659" s="885"/>
      <c r="B659" s="885"/>
      <c r="C659" s="885"/>
      <c r="D659" s="885"/>
      <c r="E659" s="885"/>
      <c r="F659" s="885"/>
      <c r="G659" s="885"/>
      <c r="H659" s="885"/>
      <c r="I659" s="885"/>
      <c r="J659" s="885"/>
      <c r="K659" s="885"/>
      <c r="L659" s="885"/>
      <c r="M659" s="885"/>
      <c r="N659" s="885"/>
      <c r="O659" s="885"/>
      <c r="P659" s="885"/>
      <c r="Q659" s="885"/>
      <c r="R659" s="885"/>
      <c r="S659" s="885"/>
      <c r="T659" s="885"/>
      <c r="U659" s="885"/>
      <c r="V659" s="885"/>
      <c r="W659" s="885"/>
      <c r="X659" s="885"/>
      <c r="Y659" s="885"/>
      <c r="Z659" s="885"/>
      <c r="AA659" s="885"/>
      <c r="AB659" s="885"/>
      <c r="AC659" s="885"/>
    </row>
    <row r="660" spans="1:29" ht="15.75" customHeight="1" x14ac:dyDescent="0.2">
      <c r="A660" s="885"/>
      <c r="B660" s="885"/>
      <c r="C660" s="885"/>
      <c r="D660" s="885"/>
      <c r="E660" s="885"/>
      <c r="F660" s="885"/>
      <c r="G660" s="885"/>
      <c r="H660" s="885"/>
      <c r="I660" s="885"/>
      <c r="J660" s="885"/>
      <c r="K660" s="885"/>
      <c r="L660" s="885"/>
      <c r="M660" s="885"/>
      <c r="N660" s="885"/>
      <c r="O660" s="885"/>
      <c r="P660" s="885"/>
      <c r="Q660" s="885"/>
      <c r="R660" s="885"/>
      <c r="S660" s="885"/>
      <c r="T660" s="885"/>
      <c r="U660" s="885"/>
      <c r="V660" s="885"/>
      <c r="W660" s="885"/>
      <c r="X660" s="885"/>
      <c r="Y660" s="885"/>
      <c r="Z660" s="885"/>
      <c r="AA660" s="885"/>
      <c r="AB660" s="885"/>
      <c r="AC660" s="885"/>
    </row>
    <row r="661" spans="1:29" ht="15.75" customHeight="1" x14ac:dyDescent="0.2">
      <c r="A661" s="885"/>
      <c r="B661" s="885"/>
      <c r="C661" s="885"/>
      <c r="D661" s="885"/>
      <c r="E661" s="885"/>
      <c r="F661" s="885"/>
      <c r="G661" s="885"/>
      <c r="H661" s="885"/>
      <c r="I661" s="885"/>
      <c r="J661" s="885"/>
      <c r="K661" s="885"/>
      <c r="L661" s="885"/>
      <c r="M661" s="885"/>
      <c r="N661" s="885"/>
      <c r="O661" s="885"/>
      <c r="P661" s="885"/>
      <c r="Q661" s="885"/>
      <c r="R661" s="885"/>
      <c r="S661" s="885"/>
      <c r="T661" s="885"/>
      <c r="U661" s="885"/>
      <c r="V661" s="885"/>
      <c r="W661" s="885"/>
      <c r="X661" s="885"/>
      <c r="Y661" s="885"/>
      <c r="Z661" s="885"/>
      <c r="AA661" s="885"/>
      <c r="AB661" s="885"/>
      <c r="AC661" s="885"/>
    </row>
    <row r="662" spans="1:29" ht="15.75" customHeight="1" x14ac:dyDescent="0.2">
      <c r="A662" s="885"/>
      <c r="B662" s="885"/>
      <c r="C662" s="885"/>
      <c r="D662" s="885"/>
      <c r="E662" s="885"/>
      <c r="F662" s="885"/>
      <c r="G662" s="885"/>
      <c r="H662" s="885"/>
      <c r="I662" s="885"/>
      <c r="J662" s="885"/>
      <c r="K662" s="885"/>
      <c r="L662" s="885"/>
      <c r="M662" s="885"/>
      <c r="N662" s="885"/>
      <c r="O662" s="885"/>
      <c r="P662" s="885"/>
      <c r="Q662" s="885"/>
      <c r="R662" s="885"/>
      <c r="S662" s="885"/>
      <c r="T662" s="885"/>
      <c r="U662" s="885"/>
      <c r="V662" s="885"/>
      <c r="W662" s="885"/>
      <c r="X662" s="885"/>
      <c r="Y662" s="885"/>
      <c r="Z662" s="885"/>
      <c r="AA662" s="885"/>
      <c r="AB662" s="885"/>
      <c r="AC662" s="885"/>
    </row>
    <row r="663" spans="1:29" ht="15.75" customHeight="1" x14ac:dyDescent="0.2">
      <c r="A663" s="885"/>
      <c r="B663" s="885"/>
      <c r="C663" s="885"/>
      <c r="D663" s="885"/>
      <c r="E663" s="885"/>
      <c r="F663" s="885"/>
      <c r="G663" s="885"/>
      <c r="H663" s="885"/>
      <c r="I663" s="885"/>
      <c r="J663" s="885"/>
      <c r="K663" s="885"/>
      <c r="L663" s="885"/>
      <c r="M663" s="885"/>
      <c r="N663" s="885"/>
      <c r="O663" s="885"/>
      <c r="P663" s="885"/>
      <c r="Q663" s="885"/>
      <c r="R663" s="885"/>
      <c r="S663" s="885"/>
      <c r="T663" s="885"/>
      <c r="U663" s="885"/>
      <c r="V663" s="885"/>
      <c r="W663" s="885"/>
      <c r="X663" s="885"/>
      <c r="Y663" s="885"/>
      <c r="Z663" s="885"/>
      <c r="AA663" s="885"/>
      <c r="AB663" s="885"/>
      <c r="AC663" s="885"/>
    </row>
    <row r="664" spans="1:29" ht="15.75" customHeight="1" x14ac:dyDescent="0.2">
      <c r="A664" s="885"/>
      <c r="B664" s="885"/>
      <c r="C664" s="885"/>
      <c r="D664" s="885"/>
      <c r="E664" s="885"/>
      <c r="F664" s="885"/>
      <c r="G664" s="885"/>
      <c r="H664" s="885"/>
      <c r="I664" s="885"/>
      <c r="J664" s="885"/>
      <c r="K664" s="885"/>
      <c r="L664" s="885"/>
      <c r="M664" s="885"/>
      <c r="N664" s="885"/>
      <c r="O664" s="885"/>
      <c r="P664" s="885"/>
      <c r="Q664" s="885"/>
      <c r="R664" s="885"/>
      <c r="S664" s="885"/>
      <c r="T664" s="885"/>
      <c r="U664" s="885"/>
      <c r="V664" s="885"/>
      <c r="W664" s="885"/>
      <c r="X664" s="885"/>
      <c r="Y664" s="885"/>
      <c r="Z664" s="885"/>
      <c r="AA664" s="885"/>
      <c r="AB664" s="885"/>
      <c r="AC664" s="885"/>
    </row>
    <row r="665" spans="1:29" ht="15.75" customHeight="1" x14ac:dyDescent="0.2">
      <c r="A665" s="885"/>
      <c r="B665" s="885"/>
      <c r="C665" s="885"/>
      <c r="D665" s="885"/>
      <c r="E665" s="885"/>
      <c r="F665" s="885"/>
      <c r="G665" s="885"/>
      <c r="H665" s="885"/>
      <c r="I665" s="885"/>
      <c r="J665" s="885"/>
      <c r="K665" s="885"/>
      <c r="L665" s="885"/>
      <c r="M665" s="885"/>
      <c r="N665" s="885"/>
      <c r="O665" s="885"/>
      <c r="P665" s="885"/>
      <c r="Q665" s="885"/>
      <c r="R665" s="885"/>
      <c r="S665" s="885"/>
      <c r="T665" s="885"/>
      <c r="U665" s="885"/>
      <c r="V665" s="885"/>
      <c r="W665" s="885"/>
      <c r="X665" s="885"/>
      <c r="Y665" s="885"/>
      <c r="Z665" s="885"/>
      <c r="AA665" s="885"/>
      <c r="AB665" s="885"/>
      <c r="AC665" s="885"/>
    </row>
    <row r="666" spans="1:29" ht="15.75" customHeight="1" x14ac:dyDescent="0.2">
      <c r="A666" s="885"/>
      <c r="B666" s="885"/>
      <c r="C666" s="885"/>
      <c r="D666" s="885"/>
      <c r="E666" s="885"/>
      <c r="F666" s="885"/>
      <c r="G666" s="885"/>
      <c r="H666" s="885"/>
      <c r="I666" s="885"/>
      <c r="J666" s="885"/>
      <c r="K666" s="885"/>
      <c r="L666" s="885"/>
      <c r="M666" s="885"/>
      <c r="N666" s="885"/>
      <c r="O666" s="885"/>
      <c r="P666" s="885"/>
      <c r="Q666" s="885"/>
      <c r="R666" s="885"/>
      <c r="S666" s="885"/>
      <c r="T666" s="885"/>
      <c r="U666" s="885"/>
      <c r="V666" s="885"/>
      <c r="W666" s="885"/>
      <c r="X666" s="885"/>
      <c r="Y666" s="885"/>
      <c r="Z666" s="885"/>
      <c r="AA666" s="885"/>
      <c r="AB666" s="885"/>
      <c r="AC666" s="885"/>
    </row>
    <row r="667" spans="1:29" ht="15.75" customHeight="1" x14ac:dyDescent="0.2">
      <c r="A667" s="885"/>
      <c r="B667" s="885"/>
      <c r="C667" s="885"/>
      <c r="D667" s="885"/>
      <c r="E667" s="885"/>
      <c r="F667" s="885"/>
      <c r="G667" s="885"/>
      <c r="H667" s="885"/>
      <c r="I667" s="885"/>
      <c r="J667" s="885"/>
      <c r="K667" s="885"/>
      <c r="L667" s="885"/>
      <c r="M667" s="885"/>
      <c r="N667" s="885"/>
      <c r="O667" s="885"/>
      <c r="P667" s="885"/>
      <c r="Q667" s="885"/>
      <c r="R667" s="885"/>
      <c r="S667" s="885"/>
      <c r="T667" s="885"/>
      <c r="U667" s="885"/>
      <c r="V667" s="885"/>
      <c r="W667" s="885"/>
      <c r="X667" s="885"/>
      <c r="Y667" s="885"/>
      <c r="Z667" s="885"/>
      <c r="AA667" s="885"/>
      <c r="AB667" s="885"/>
      <c r="AC667" s="885"/>
    </row>
    <row r="668" spans="1:29" ht="15.75" customHeight="1" x14ac:dyDescent="0.2">
      <c r="A668" s="885"/>
      <c r="B668" s="885"/>
      <c r="C668" s="885"/>
      <c r="D668" s="885"/>
      <c r="E668" s="885"/>
      <c r="F668" s="885"/>
      <c r="G668" s="885"/>
      <c r="H668" s="885"/>
      <c r="I668" s="885"/>
      <c r="J668" s="885"/>
      <c r="K668" s="885"/>
      <c r="L668" s="885"/>
      <c r="M668" s="885"/>
      <c r="N668" s="885"/>
      <c r="O668" s="885"/>
      <c r="P668" s="885"/>
      <c r="Q668" s="885"/>
      <c r="R668" s="885"/>
      <c r="S668" s="885"/>
      <c r="T668" s="885"/>
      <c r="U668" s="885"/>
      <c r="V668" s="885"/>
      <c r="W668" s="885"/>
      <c r="X668" s="885"/>
      <c r="Y668" s="885"/>
      <c r="Z668" s="885"/>
      <c r="AA668" s="885"/>
      <c r="AB668" s="885"/>
      <c r="AC668" s="885"/>
    </row>
    <row r="669" spans="1:29" ht="15.75" customHeight="1" x14ac:dyDescent="0.2">
      <c r="A669" s="885"/>
      <c r="B669" s="885"/>
      <c r="C669" s="885"/>
      <c r="D669" s="885"/>
      <c r="E669" s="885"/>
      <c r="F669" s="885"/>
      <c r="G669" s="885"/>
      <c r="H669" s="885"/>
      <c r="I669" s="885"/>
      <c r="J669" s="885"/>
      <c r="K669" s="885"/>
      <c r="L669" s="885"/>
      <c r="M669" s="885"/>
      <c r="N669" s="885"/>
      <c r="O669" s="885"/>
      <c r="P669" s="885"/>
      <c r="Q669" s="885"/>
      <c r="R669" s="885"/>
      <c r="S669" s="885"/>
      <c r="T669" s="885"/>
      <c r="U669" s="885"/>
      <c r="V669" s="885"/>
      <c r="W669" s="885"/>
      <c r="X669" s="885"/>
      <c r="Y669" s="885"/>
      <c r="Z669" s="885"/>
      <c r="AA669" s="885"/>
      <c r="AB669" s="885"/>
      <c r="AC669" s="885"/>
    </row>
    <row r="670" spans="1:29" ht="15.75" customHeight="1" x14ac:dyDescent="0.2">
      <c r="A670" s="885"/>
      <c r="B670" s="885"/>
      <c r="C670" s="885"/>
      <c r="D670" s="885"/>
      <c r="E670" s="885"/>
      <c r="F670" s="885"/>
      <c r="G670" s="885"/>
      <c r="H670" s="885"/>
      <c r="I670" s="885"/>
      <c r="J670" s="885"/>
      <c r="K670" s="885"/>
      <c r="L670" s="885"/>
      <c r="M670" s="885"/>
      <c r="N670" s="885"/>
      <c r="O670" s="885"/>
      <c r="P670" s="885"/>
      <c r="Q670" s="885"/>
      <c r="R670" s="885"/>
      <c r="S670" s="885"/>
      <c r="T670" s="885"/>
      <c r="U670" s="885"/>
      <c r="V670" s="885"/>
      <c r="W670" s="885"/>
      <c r="X670" s="885"/>
      <c r="Y670" s="885"/>
      <c r="Z670" s="885"/>
      <c r="AA670" s="885"/>
      <c r="AB670" s="885"/>
      <c r="AC670" s="885"/>
    </row>
    <row r="671" spans="1:29" ht="15.75" customHeight="1" x14ac:dyDescent="0.2">
      <c r="A671" s="885"/>
      <c r="B671" s="885"/>
      <c r="C671" s="885"/>
      <c r="D671" s="885"/>
      <c r="E671" s="885"/>
      <c r="F671" s="885"/>
      <c r="G671" s="885"/>
      <c r="H671" s="885"/>
      <c r="I671" s="885"/>
      <c r="J671" s="885"/>
      <c r="K671" s="885"/>
      <c r="L671" s="885"/>
      <c r="M671" s="885"/>
      <c r="N671" s="885"/>
      <c r="O671" s="885"/>
      <c r="P671" s="885"/>
      <c r="Q671" s="885"/>
      <c r="R671" s="885"/>
      <c r="S671" s="885"/>
      <c r="T671" s="885"/>
      <c r="U671" s="885"/>
      <c r="V671" s="885"/>
      <c r="W671" s="885"/>
      <c r="X671" s="885"/>
      <c r="Y671" s="885"/>
      <c r="Z671" s="885"/>
      <c r="AA671" s="885"/>
      <c r="AB671" s="885"/>
      <c r="AC671" s="885"/>
    </row>
    <row r="672" spans="1:29" ht="15.75" customHeight="1" x14ac:dyDescent="0.2">
      <c r="A672" s="885"/>
      <c r="B672" s="885"/>
      <c r="C672" s="885"/>
      <c r="D672" s="885"/>
      <c r="E672" s="885"/>
      <c r="F672" s="885"/>
      <c r="G672" s="885"/>
      <c r="H672" s="885"/>
      <c r="I672" s="885"/>
      <c r="J672" s="885"/>
      <c r="K672" s="885"/>
      <c r="L672" s="885"/>
      <c r="M672" s="885"/>
      <c r="N672" s="885"/>
      <c r="O672" s="885"/>
      <c r="P672" s="885"/>
      <c r="Q672" s="885"/>
      <c r="R672" s="885"/>
      <c r="S672" s="885"/>
      <c r="T672" s="885"/>
      <c r="U672" s="885"/>
      <c r="V672" s="885"/>
      <c r="W672" s="885"/>
      <c r="X672" s="885"/>
      <c r="Y672" s="885"/>
      <c r="Z672" s="885"/>
      <c r="AA672" s="885"/>
      <c r="AB672" s="885"/>
      <c r="AC672" s="885"/>
    </row>
    <row r="673" spans="1:29" ht="15.75" customHeight="1" x14ac:dyDescent="0.2">
      <c r="A673" s="885"/>
      <c r="B673" s="885"/>
      <c r="C673" s="885"/>
      <c r="D673" s="885"/>
      <c r="E673" s="885"/>
      <c r="F673" s="885"/>
      <c r="G673" s="885"/>
      <c r="H673" s="885"/>
      <c r="I673" s="885"/>
      <c r="J673" s="885"/>
      <c r="K673" s="885"/>
      <c r="L673" s="885"/>
      <c r="M673" s="885"/>
      <c r="N673" s="885"/>
      <c r="O673" s="885"/>
      <c r="P673" s="885"/>
      <c r="Q673" s="885"/>
      <c r="R673" s="885"/>
      <c r="S673" s="885"/>
      <c r="T673" s="885"/>
      <c r="U673" s="885"/>
      <c r="V673" s="885"/>
      <c r="W673" s="885"/>
      <c r="X673" s="885"/>
      <c r="Y673" s="885"/>
      <c r="Z673" s="885"/>
      <c r="AA673" s="885"/>
      <c r="AB673" s="885"/>
      <c r="AC673" s="885"/>
    </row>
    <row r="674" spans="1:29" ht="15.75" customHeight="1" x14ac:dyDescent="0.2">
      <c r="A674" s="885"/>
      <c r="B674" s="885"/>
      <c r="C674" s="885"/>
      <c r="D674" s="885"/>
      <c r="E674" s="885"/>
      <c r="F674" s="885"/>
      <c r="G674" s="885"/>
      <c r="H674" s="885"/>
      <c r="I674" s="885"/>
      <c r="J674" s="885"/>
      <c r="K674" s="885"/>
      <c r="L674" s="885"/>
      <c r="M674" s="885"/>
      <c r="N674" s="885"/>
      <c r="O674" s="885"/>
      <c r="P674" s="885"/>
      <c r="Q674" s="885"/>
      <c r="R674" s="885"/>
      <c r="S674" s="885"/>
      <c r="T674" s="885"/>
      <c r="U674" s="885"/>
      <c r="V674" s="885"/>
      <c r="W674" s="885"/>
      <c r="X674" s="885"/>
      <c r="Y674" s="885"/>
      <c r="Z674" s="885"/>
      <c r="AA674" s="885"/>
      <c r="AB674" s="885"/>
      <c r="AC674" s="885"/>
    </row>
    <row r="675" spans="1:29" ht="15.75" customHeight="1" x14ac:dyDescent="0.2">
      <c r="A675" s="885"/>
      <c r="B675" s="885"/>
      <c r="C675" s="885"/>
      <c r="D675" s="885"/>
      <c r="E675" s="885"/>
      <c r="F675" s="885"/>
      <c r="G675" s="885"/>
      <c r="H675" s="885"/>
      <c r="I675" s="885"/>
      <c r="J675" s="885"/>
      <c r="K675" s="885"/>
      <c r="L675" s="885"/>
      <c r="M675" s="885"/>
      <c r="N675" s="885"/>
      <c r="O675" s="885"/>
      <c r="P675" s="885"/>
      <c r="Q675" s="885"/>
      <c r="R675" s="885"/>
      <c r="S675" s="885"/>
      <c r="T675" s="885"/>
      <c r="U675" s="885"/>
      <c r="V675" s="885"/>
      <c r="W675" s="885"/>
      <c r="X675" s="885"/>
      <c r="Y675" s="885"/>
      <c r="Z675" s="885"/>
      <c r="AA675" s="885"/>
      <c r="AB675" s="885"/>
      <c r="AC675" s="885"/>
    </row>
    <row r="676" spans="1:29" ht="15.75" customHeight="1" x14ac:dyDescent="0.2">
      <c r="A676" s="885"/>
      <c r="B676" s="885"/>
      <c r="C676" s="885"/>
      <c r="D676" s="885"/>
      <c r="E676" s="885"/>
      <c r="F676" s="885"/>
      <c r="G676" s="885"/>
      <c r="H676" s="885"/>
      <c r="I676" s="885"/>
      <c r="J676" s="885"/>
      <c r="K676" s="885"/>
      <c r="L676" s="885"/>
      <c r="M676" s="885"/>
      <c r="N676" s="885"/>
      <c r="O676" s="885"/>
      <c r="P676" s="885"/>
      <c r="Q676" s="885"/>
      <c r="R676" s="885"/>
      <c r="S676" s="885"/>
      <c r="T676" s="885"/>
      <c r="U676" s="885"/>
      <c r="V676" s="885"/>
      <c r="W676" s="885"/>
      <c r="X676" s="885"/>
      <c r="Y676" s="885"/>
      <c r="Z676" s="885"/>
      <c r="AA676" s="885"/>
      <c r="AB676" s="885"/>
      <c r="AC676" s="885"/>
    </row>
    <row r="677" spans="1:29" ht="15.75" customHeight="1" x14ac:dyDescent="0.2">
      <c r="A677" s="885"/>
      <c r="B677" s="885"/>
      <c r="C677" s="885"/>
      <c r="D677" s="885"/>
      <c r="E677" s="885"/>
      <c r="F677" s="885"/>
      <c r="G677" s="885"/>
      <c r="H677" s="885"/>
      <c r="I677" s="885"/>
      <c r="J677" s="885"/>
      <c r="K677" s="885"/>
      <c r="L677" s="885"/>
      <c r="M677" s="885"/>
      <c r="N677" s="885"/>
      <c r="O677" s="885"/>
      <c r="P677" s="885"/>
      <c r="Q677" s="885"/>
      <c r="R677" s="885"/>
      <c r="S677" s="885"/>
      <c r="T677" s="885"/>
      <c r="U677" s="885"/>
      <c r="V677" s="885"/>
      <c r="W677" s="885"/>
      <c r="X677" s="885"/>
      <c r="Y677" s="885"/>
      <c r="Z677" s="885"/>
      <c r="AA677" s="885"/>
      <c r="AB677" s="885"/>
      <c r="AC677" s="885"/>
    </row>
    <row r="678" spans="1:29" ht="15.75" customHeight="1" x14ac:dyDescent="0.2">
      <c r="A678" s="885"/>
      <c r="B678" s="885"/>
      <c r="C678" s="885"/>
      <c r="D678" s="885"/>
      <c r="E678" s="885"/>
      <c r="F678" s="885"/>
      <c r="G678" s="885"/>
      <c r="H678" s="885"/>
      <c r="I678" s="885"/>
      <c r="J678" s="885"/>
      <c r="K678" s="885"/>
      <c r="L678" s="885"/>
      <c r="M678" s="885"/>
      <c r="N678" s="885"/>
      <c r="O678" s="885"/>
      <c r="P678" s="885"/>
      <c r="Q678" s="885"/>
      <c r="R678" s="885"/>
      <c r="S678" s="885"/>
      <c r="T678" s="885"/>
      <c r="U678" s="885"/>
      <c r="V678" s="885"/>
      <c r="W678" s="885"/>
      <c r="X678" s="885"/>
      <c r="Y678" s="885"/>
      <c r="Z678" s="885"/>
      <c r="AA678" s="885"/>
      <c r="AB678" s="885"/>
      <c r="AC678" s="885"/>
    </row>
    <row r="679" spans="1:29" ht="15.75" customHeight="1" x14ac:dyDescent="0.2">
      <c r="A679" s="885"/>
      <c r="B679" s="885"/>
      <c r="C679" s="885"/>
      <c r="D679" s="885"/>
      <c r="E679" s="885"/>
      <c r="F679" s="885"/>
      <c r="G679" s="885"/>
      <c r="H679" s="885"/>
      <c r="I679" s="885"/>
      <c r="J679" s="885"/>
      <c r="K679" s="885"/>
      <c r="L679" s="885"/>
      <c r="M679" s="885"/>
      <c r="N679" s="885"/>
      <c r="O679" s="885"/>
      <c r="P679" s="885"/>
      <c r="Q679" s="885"/>
      <c r="R679" s="885"/>
      <c r="S679" s="885"/>
      <c r="T679" s="885"/>
      <c r="U679" s="885"/>
      <c r="V679" s="885"/>
      <c r="W679" s="885"/>
      <c r="X679" s="885"/>
      <c r="Y679" s="885"/>
      <c r="Z679" s="885"/>
      <c r="AA679" s="885"/>
      <c r="AB679" s="885"/>
      <c r="AC679" s="885"/>
    </row>
    <row r="680" spans="1:29" ht="15.75" customHeight="1" x14ac:dyDescent="0.2">
      <c r="A680" s="885"/>
      <c r="B680" s="885"/>
      <c r="C680" s="885"/>
      <c r="D680" s="885"/>
      <c r="E680" s="885"/>
      <c r="F680" s="885"/>
      <c r="G680" s="885"/>
      <c r="H680" s="885"/>
      <c r="I680" s="885"/>
      <c r="J680" s="885"/>
      <c r="K680" s="885"/>
      <c r="L680" s="885"/>
      <c r="M680" s="885"/>
      <c r="N680" s="885"/>
      <c r="O680" s="885"/>
      <c r="P680" s="885"/>
      <c r="Q680" s="885"/>
      <c r="R680" s="885"/>
      <c r="S680" s="885"/>
      <c r="T680" s="885"/>
      <c r="U680" s="885"/>
      <c r="V680" s="885"/>
      <c r="W680" s="885"/>
      <c r="X680" s="885"/>
      <c r="Y680" s="885"/>
      <c r="Z680" s="885"/>
      <c r="AA680" s="885"/>
      <c r="AB680" s="885"/>
      <c r="AC680" s="885"/>
    </row>
    <row r="681" spans="1:29" ht="15.75" customHeight="1" x14ac:dyDescent="0.2">
      <c r="A681" s="885"/>
      <c r="B681" s="885"/>
      <c r="C681" s="885"/>
      <c r="D681" s="885"/>
      <c r="E681" s="885"/>
      <c r="F681" s="885"/>
      <c r="G681" s="885"/>
      <c r="H681" s="885"/>
      <c r="I681" s="885"/>
      <c r="J681" s="885"/>
      <c r="K681" s="885"/>
      <c r="L681" s="885"/>
      <c r="M681" s="885"/>
      <c r="N681" s="885"/>
      <c r="O681" s="885"/>
      <c r="P681" s="885"/>
      <c r="Q681" s="885"/>
      <c r="R681" s="885"/>
      <c r="S681" s="885"/>
      <c r="T681" s="885"/>
      <c r="U681" s="885"/>
      <c r="V681" s="885"/>
      <c r="W681" s="885"/>
      <c r="X681" s="885"/>
      <c r="Y681" s="885"/>
      <c r="Z681" s="885"/>
      <c r="AA681" s="885"/>
      <c r="AB681" s="885"/>
      <c r="AC681" s="885"/>
    </row>
    <row r="682" spans="1:29" ht="15.75" customHeight="1" x14ac:dyDescent="0.2">
      <c r="A682" s="885"/>
      <c r="B682" s="885"/>
      <c r="C682" s="885"/>
      <c r="D682" s="885"/>
      <c r="E682" s="885"/>
      <c r="F682" s="885"/>
      <c r="G682" s="885"/>
      <c r="H682" s="885"/>
      <c r="I682" s="885"/>
      <c r="J682" s="885"/>
      <c r="K682" s="885"/>
      <c r="L682" s="885"/>
      <c r="M682" s="885"/>
      <c r="N682" s="885"/>
      <c r="O682" s="885"/>
      <c r="P682" s="885"/>
      <c r="Q682" s="885"/>
      <c r="R682" s="885"/>
      <c r="S682" s="885"/>
      <c r="T682" s="885"/>
      <c r="U682" s="885"/>
      <c r="V682" s="885"/>
      <c r="W682" s="885"/>
      <c r="X682" s="885"/>
      <c r="Y682" s="885"/>
      <c r="Z682" s="885"/>
      <c r="AA682" s="885"/>
      <c r="AB682" s="885"/>
      <c r="AC682" s="885"/>
    </row>
    <row r="683" spans="1:29" ht="15.75" customHeight="1" x14ac:dyDescent="0.2">
      <c r="A683" s="885"/>
      <c r="B683" s="885"/>
      <c r="C683" s="885"/>
      <c r="D683" s="885"/>
      <c r="E683" s="885"/>
      <c r="F683" s="885"/>
      <c r="G683" s="885"/>
      <c r="H683" s="885"/>
      <c r="I683" s="885"/>
      <c r="J683" s="885"/>
      <c r="K683" s="885"/>
      <c r="L683" s="885"/>
      <c r="M683" s="885"/>
      <c r="N683" s="885"/>
      <c r="O683" s="885"/>
      <c r="P683" s="885"/>
      <c r="Q683" s="885"/>
      <c r="R683" s="885"/>
      <c r="S683" s="885"/>
      <c r="T683" s="885"/>
      <c r="U683" s="885"/>
      <c r="V683" s="885"/>
      <c r="W683" s="885"/>
      <c r="X683" s="885"/>
      <c r="Y683" s="885"/>
      <c r="Z683" s="885"/>
      <c r="AA683" s="885"/>
      <c r="AB683" s="885"/>
      <c r="AC683" s="885"/>
    </row>
    <row r="684" spans="1:29" ht="15.75" customHeight="1" x14ac:dyDescent="0.2">
      <c r="A684" s="885"/>
      <c r="B684" s="885"/>
      <c r="C684" s="885"/>
      <c r="D684" s="885"/>
      <c r="E684" s="885"/>
      <c r="F684" s="885"/>
      <c r="G684" s="885"/>
      <c r="H684" s="885"/>
      <c r="I684" s="885"/>
      <c r="J684" s="885"/>
      <c r="K684" s="885"/>
      <c r="L684" s="885"/>
      <c r="M684" s="885"/>
      <c r="N684" s="885"/>
      <c r="O684" s="885"/>
      <c r="P684" s="885"/>
      <c r="Q684" s="885"/>
      <c r="R684" s="885"/>
      <c r="S684" s="885"/>
      <c r="T684" s="885"/>
      <c r="U684" s="885"/>
      <c r="V684" s="885"/>
      <c r="W684" s="885"/>
      <c r="X684" s="885"/>
      <c r="Y684" s="885"/>
      <c r="Z684" s="885"/>
      <c r="AA684" s="885"/>
      <c r="AB684" s="885"/>
      <c r="AC684" s="885"/>
    </row>
    <row r="685" spans="1:29" ht="15.75" customHeight="1" x14ac:dyDescent="0.2">
      <c r="A685" s="885"/>
      <c r="B685" s="885"/>
      <c r="C685" s="885"/>
      <c r="D685" s="885"/>
      <c r="E685" s="885"/>
      <c r="F685" s="885"/>
      <c r="G685" s="885"/>
      <c r="H685" s="885"/>
      <c r="I685" s="885"/>
      <c r="J685" s="885"/>
      <c r="K685" s="885"/>
      <c r="L685" s="885"/>
      <c r="M685" s="885"/>
      <c r="N685" s="885"/>
      <c r="O685" s="885"/>
      <c r="P685" s="885"/>
      <c r="Q685" s="885"/>
      <c r="R685" s="885"/>
      <c r="S685" s="885"/>
      <c r="T685" s="885"/>
      <c r="U685" s="885"/>
      <c r="V685" s="885"/>
      <c r="W685" s="885"/>
      <c r="X685" s="885"/>
      <c r="Y685" s="885"/>
      <c r="Z685" s="885"/>
      <c r="AA685" s="885"/>
      <c r="AB685" s="885"/>
      <c r="AC685" s="885"/>
    </row>
    <row r="686" spans="1:29" ht="15.75" customHeight="1" x14ac:dyDescent="0.2">
      <c r="A686" s="885"/>
      <c r="B686" s="885"/>
      <c r="C686" s="885"/>
      <c r="D686" s="885"/>
      <c r="E686" s="885"/>
      <c r="F686" s="885"/>
      <c r="G686" s="885"/>
      <c r="H686" s="885"/>
      <c r="I686" s="885"/>
      <c r="J686" s="885"/>
      <c r="K686" s="885"/>
      <c r="L686" s="885"/>
      <c r="M686" s="885"/>
      <c r="N686" s="885"/>
      <c r="O686" s="885"/>
      <c r="P686" s="885"/>
      <c r="Q686" s="885"/>
      <c r="R686" s="885"/>
      <c r="S686" s="885"/>
      <c r="T686" s="885"/>
      <c r="U686" s="885"/>
      <c r="V686" s="885"/>
      <c r="W686" s="885"/>
      <c r="X686" s="885"/>
      <c r="Y686" s="885"/>
      <c r="Z686" s="885"/>
      <c r="AA686" s="885"/>
      <c r="AB686" s="885"/>
      <c r="AC686" s="885"/>
    </row>
    <row r="687" spans="1:29" ht="15.75" customHeight="1" x14ac:dyDescent="0.2">
      <c r="A687" s="885"/>
      <c r="B687" s="885"/>
      <c r="C687" s="885"/>
      <c r="D687" s="885"/>
      <c r="E687" s="885"/>
      <c r="F687" s="885"/>
      <c r="G687" s="885"/>
      <c r="H687" s="885"/>
      <c r="I687" s="885"/>
      <c r="J687" s="885"/>
      <c r="K687" s="885"/>
      <c r="L687" s="885"/>
      <c r="M687" s="885"/>
      <c r="N687" s="885"/>
      <c r="O687" s="885"/>
      <c r="P687" s="885"/>
      <c r="Q687" s="885"/>
      <c r="R687" s="885"/>
      <c r="S687" s="885"/>
      <c r="T687" s="885"/>
      <c r="U687" s="885"/>
      <c r="V687" s="885"/>
      <c r="W687" s="885"/>
      <c r="X687" s="885"/>
      <c r="Y687" s="885"/>
      <c r="Z687" s="885"/>
      <c r="AA687" s="885"/>
      <c r="AB687" s="885"/>
      <c r="AC687" s="885"/>
    </row>
    <row r="688" spans="1:29" ht="15.75" customHeight="1" x14ac:dyDescent="0.2">
      <c r="A688" s="885"/>
      <c r="B688" s="885"/>
      <c r="C688" s="885"/>
      <c r="D688" s="885"/>
      <c r="E688" s="885"/>
      <c r="F688" s="885"/>
      <c r="G688" s="885"/>
      <c r="H688" s="885"/>
      <c r="I688" s="885"/>
      <c r="J688" s="885"/>
      <c r="K688" s="885"/>
      <c r="L688" s="885"/>
      <c r="M688" s="885"/>
      <c r="N688" s="885"/>
      <c r="O688" s="885"/>
      <c r="P688" s="885"/>
      <c r="Q688" s="885"/>
      <c r="R688" s="885"/>
      <c r="S688" s="885"/>
      <c r="T688" s="885"/>
      <c r="U688" s="885"/>
      <c r="V688" s="885"/>
      <c r="W688" s="885"/>
      <c r="X688" s="885"/>
      <c r="Y688" s="885"/>
      <c r="Z688" s="885"/>
      <c r="AA688" s="885"/>
      <c r="AB688" s="885"/>
      <c r="AC688" s="885"/>
    </row>
    <row r="689" spans="1:29" ht="15.75" customHeight="1" x14ac:dyDescent="0.2">
      <c r="A689" s="885"/>
      <c r="B689" s="885"/>
      <c r="C689" s="885"/>
      <c r="D689" s="885"/>
      <c r="E689" s="885"/>
      <c r="F689" s="885"/>
      <c r="G689" s="885"/>
      <c r="H689" s="885"/>
      <c r="I689" s="885"/>
      <c r="J689" s="885"/>
      <c r="K689" s="885"/>
      <c r="L689" s="885"/>
      <c r="M689" s="885"/>
      <c r="N689" s="885"/>
      <c r="O689" s="885"/>
      <c r="P689" s="885"/>
      <c r="Q689" s="885"/>
      <c r="R689" s="885"/>
      <c r="S689" s="885"/>
      <c r="T689" s="885"/>
      <c r="U689" s="885"/>
      <c r="V689" s="885"/>
      <c r="W689" s="885"/>
      <c r="X689" s="885"/>
      <c r="Y689" s="885"/>
      <c r="Z689" s="885"/>
      <c r="AA689" s="885"/>
      <c r="AB689" s="885"/>
      <c r="AC689" s="885"/>
    </row>
    <row r="690" spans="1:29" ht="15.75" customHeight="1" x14ac:dyDescent="0.2">
      <c r="A690" s="885"/>
      <c r="B690" s="885"/>
      <c r="C690" s="885"/>
      <c r="D690" s="885"/>
      <c r="E690" s="885"/>
      <c r="F690" s="885"/>
      <c r="G690" s="885"/>
      <c r="H690" s="885"/>
      <c r="I690" s="885"/>
      <c r="J690" s="885"/>
      <c r="K690" s="885"/>
      <c r="L690" s="885"/>
      <c r="M690" s="885"/>
      <c r="N690" s="885"/>
      <c r="O690" s="885"/>
      <c r="P690" s="885"/>
      <c r="Q690" s="885"/>
      <c r="R690" s="885"/>
      <c r="S690" s="885"/>
      <c r="T690" s="885"/>
      <c r="U690" s="885"/>
      <c r="V690" s="885"/>
      <c r="W690" s="885"/>
      <c r="X690" s="885"/>
      <c r="Y690" s="885"/>
      <c r="Z690" s="885"/>
      <c r="AA690" s="885"/>
      <c r="AB690" s="885"/>
      <c r="AC690" s="885"/>
    </row>
    <row r="691" spans="1:29" ht="15.75" customHeight="1" x14ac:dyDescent="0.2">
      <c r="A691" s="885"/>
      <c r="B691" s="885"/>
      <c r="C691" s="885"/>
      <c r="D691" s="885"/>
      <c r="E691" s="885"/>
      <c r="F691" s="885"/>
      <c r="G691" s="885"/>
      <c r="H691" s="885"/>
      <c r="I691" s="885"/>
      <c r="J691" s="885"/>
      <c r="K691" s="885"/>
      <c r="L691" s="885"/>
      <c r="M691" s="885"/>
      <c r="N691" s="885"/>
      <c r="O691" s="885"/>
      <c r="P691" s="885"/>
      <c r="Q691" s="885"/>
      <c r="R691" s="885"/>
      <c r="S691" s="885"/>
      <c r="T691" s="885"/>
      <c r="U691" s="885"/>
      <c r="V691" s="885"/>
      <c r="W691" s="885"/>
      <c r="X691" s="885"/>
      <c r="Y691" s="885"/>
      <c r="Z691" s="885"/>
      <c r="AA691" s="885"/>
      <c r="AB691" s="885"/>
      <c r="AC691" s="885"/>
    </row>
    <row r="692" spans="1:29" ht="15.75" customHeight="1" x14ac:dyDescent="0.2">
      <c r="A692" s="885"/>
      <c r="B692" s="885"/>
      <c r="C692" s="885"/>
      <c r="D692" s="885"/>
      <c r="E692" s="885"/>
      <c r="F692" s="885"/>
      <c r="G692" s="885"/>
      <c r="H692" s="885"/>
      <c r="I692" s="885"/>
      <c r="J692" s="885"/>
      <c r="K692" s="885"/>
      <c r="L692" s="885"/>
      <c r="M692" s="885"/>
      <c r="N692" s="885"/>
      <c r="O692" s="885"/>
      <c r="P692" s="885"/>
      <c r="Q692" s="885"/>
      <c r="R692" s="885"/>
      <c r="S692" s="885"/>
      <c r="T692" s="885"/>
      <c r="U692" s="885"/>
      <c r="V692" s="885"/>
      <c r="W692" s="885"/>
      <c r="X692" s="885"/>
      <c r="Y692" s="885"/>
      <c r="Z692" s="885"/>
      <c r="AA692" s="885"/>
      <c r="AB692" s="885"/>
      <c r="AC692" s="885"/>
    </row>
    <row r="693" spans="1:29" ht="15.75" customHeight="1" x14ac:dyDescent="0.2">
      <c r="A693" s="885"/>
      <c r="B693" s="885"/>
      <c r="C693" s="885"/>
      <c r="D693" s="885"/>
      <c r="E693" s="885"/>
      <c r="F693" s="885"/>
      <c r="G693" s="885"/>
      <c r="H693" s="885"/>
      <c r="I693" s="885"/>
      <c r="J693" s="885"/>
      <c r="K693" s="885"/>
      <c r="L693" s="885"/>
      <c r="M693" s="885"/>
      <c r="N693" s="885"/>
      <c r="O693" s="885"/>
      <c r="P693" s="885"/>
      <c r="Q693" s="885"/>
      <c r="R693" s="885"/>
      <c r="S693" s="885"/>
      <c r="T693" s="885"/>
      <c r="U693" s="885"/>
      <c r="V693" s="885"/>
      <c r="W693" s="885"/>
      <c r="X693" s="885"/>
      <c r="Y693" s="885"/>
      <c r="Z693" s="885"/>
      <c r="AA693" s="885"/>
      <c r="AB693" s="885"/>
      <c r="AC693" s="885"/>
    </row>
    <row r="694" spans="1:29" ht="15.75" customHeight="1" x14ac:dyDescent="0.2">
      <c r="A694" s="885"/>
      <c r="B694" s="885"/>
      <c r="C694" s="885"/>
      <c r="D694" s="885"/>
      <c r="E694" s="885"/>
      <c r="F694" s="885"/>
      <c r="G694" s="885"/>
      <c r="H694" s="885"/>
      <c r="I694" s="885"/>
      <c r="J694" s="885"/>
      <c r="K694" s="885"/>
      <c r="L694" s="885"/>
      <c r="M694" s="885"/>
      <c r="N694" s="885"/>
      <c r="O694" s="885"/>
      <c r="P694" s="885"/>
      <c r="Q694" s="885"/>
      <c r="R694" s="885"/>
      <c r="S694" s="885"/>
      <c r="T694" s="885"/>
      <c r="U694" s="885"/>
      <c r="V694" s="885"/>
      <c r="W694" s="885"/>
      <c r="X694" s="885"/>
      <c r="Y694" s="885"/>
      <c r="Z694" s="885"/>
      <c r="AA694" s="885"/>
      <c r="AB694" s="885"/>
      <c r="AC694" s="885"/>
    </row>
    <row r="695" spans="1:29" ht="15.75" customHeight="1" x14ac:dyDescent="0.2">
      <c r="A695" s="885"/>
      <c r="B695" s="885"/>
      <c r="C695" s="885"/>
      <c r="D695" s="885"/>
      <c r="E695" s="885"/>
      <c r="F695" s="885"/>
      <c r="G695" s="885"/>
      <c r="H695" s="885"/>
      <c r="I695" s="885"/>
      <c r="J695" s="885"/>
      <c r="K695" s="885"/>
      <c r="L695" s="885"/>
      <c r="M695" s="885"/>
      <c r="N695" s="885"/>
      <c r="O695" s="885"/>
      <c r="P695" s="885"/>
      <c r="Q695" s="885"/>
      <c r="R695" s="885"/>
      <c r="S695" s="885"/>
      <c r="T695" s="885"/>
      <c r="U695" s="885"/>
      <c r="V695" s="885"/>
      <c r="W695" s="885"/>
      <c r="X695" s="885"/>
      <c r="Y695" s="885"/>
      <c r="Z695" s="885"/>
      <c r="AA695" s="885"/>
      <c r="AB695" s="885"/>
      <c r="AC695" s="885"/>
    </row>
    <row r="696" spans="1:29" ht="15.75" customHeight="1" x14ac:dyDescent="0.2">
      <c r="A696" s="885"/>
      <c r="B696" s="885"/>
      <c r="C696" s="885"/>
      <c r="D696" s="885"/>
      <c r="E696" s="885"/>
      <c r="F696" s="885"/>
      <c r="G696" s="885"/>
      <c r="H696" s="885"/>
      <c r="I696" s="885"/>
      <c r="J696" s="885"/>
      <c r="K696" s="885"/>
      <c r="L696" s="885"/>
      <c r="M696" s="885"/>
      <c r="N696" s="885"/>
      <c r="O696" s="885"/>
      <c r="P696" s="885"/>
      <c r="Q696" s="885"/>
      <c r="R696" s="885"/>
      <c r="S696" s="885"/>
      <c r="T696" s="885"/>
      <c r="U696" s="885"/>
      <c r="V696" s="885"/>
      <c r="W696" s="885"/>
      <c r="X696" s="885"/>
      <c r="Y696" s="885"/>
      <c r="Z696" s="885"/>
      <c r="AA696" s="885"/>
      <c r="AB696" s="885"/>
      <c r="AC696" s="885"/>
    </row>
    <row r="697" spans="1:29" ht="15.75" customHeight="1" x14ac:dyDescent="0.2">
      <c r="A697" s="885"/>
      <c r="B697" s="885"/>
      <c r="C697" s="885"/>
      <c r="D697" s="885"/>
      <c r="E697" s="885"/>
      <c r="F697" s="885"/>
      <c r="G697" s="885"/>
      <c r="H697" s="885"/>
      <c r="I697" s="885"/>
      <c r="J697" s="885"/>
      <c r="K697" s="885"/>
      <c r="L697" s="885"/>
      <c r="M697" s="885"/>
      <c r="N697" s="885"/>
      <c r="O697" s="885"/>
      <c r="P697" s="885"/>
      <c r="Q697" s="885"/>
      <c r="R697" s="885"/>
      <c r="S697" s="885"/>
      <c r="T697" s="885"/>
      <c r="U697" s="885"/>
      <c r="V697" s="885"/>
      <c r="W697" s="885"/>
      <c r="X697" s="885"/>
      <c r="Y697" s="885"/>
      <c r="Z697" s="885"/>
      <c r="AA697" s="885"/>
      <c r="AB697" s="885"/>
      <c r="AC697" s="885"/>
    </row>
    <row r="698" spans="1:29" ht="15.75" customHeight="1" x14ac:dyDescent="0.2">
      <c r="A698" s="885"/>
      <c r="B698" s="885"/>
      <c r="C698" s="885"/>
      <c r="D698" s="885"/>
      <c r="E698" s="885"/>
      <c r="F698" s="885"/>
      <c r="G698" s="885"/>
      <c r="H698" s="885"/>
      <c r="I698" s="885"/>
      <c r="J698" s="885"/>
      <c r="K698" s="885"/>
      <c r="L698" s="885"/>
      <c r="M698" s="885"/>
      <c r="N698" s="885"/>
      <c r="O698" s="885"/>
      <c r="P698" s="885"/>
      <c r="Q698" s="885"/>
      <c r="R698" s="885"/>
      <c r="S698" s="885"/>
      <c r="T698" s="885"/>
      <c r="U698" s="885"/>
      <c r="V698" s="885"/>
      <c r="W698" s="885"/>
      <c r="X698" s="885"/>
      <c r="Y698" s="885"/>
      <c r="Z698" s="885"/>
      <c r="AA698" s="885"/>
      <c r="AB698" s="885"/>
      <c r="AC698" s="885"/>
    </row>
    <row r="699" spans="1:29" ht="15.75" customHeight="1" x14ac:dyDescent="0.2">
      <c r="A699" s="885"/>
      <c r="B699" s="885"/>
      <c r="C699" s="885"/>
      <c r="D699" s="885"/>
      <c r="E699" s="885"/>
      <c r="F699" s="885"/>
      <c r="G699" s="885"/>
      <c r="H699" s="885"/>
      <c r="I699" s="885"/>
      <c r="J699" s="885"/>
      <c r="K699" s="885"/>
      <c r="L699" s="885"/>
      <c r="M699" s="885"/>
      <c r="N699" s="885"/>
      <c r="O699" s="885"/>
      <c r="P699" s="885"/>
      <c r="Q699" s="885"/>
      <c r="R699" s="885"/>
      <c r="S699" s="885"/>
      <c r="T699" s="885"/>
      <c r="U699" s="885"/>
      <c r="V699" s="885"/>
      <c r="W699" s="885"/>
      <c r="X699" s="885"/>
      <c r="Y699" s="885"/>
      <c r="Z699" s="885"/>
      <c r="AA699" s="885"/>
      <c r="AB699" s="885"/>
      <c r="AC699" s="885"/>
    </row>
    <row r="700" spans="1:29" ht="15.75" customHeight="1" x14ac:dyDescent="0.2">
      <c r="A700" s="885"/>
      <c r="B700" s="885"/>
      <c r="C700" s="885"/>
      <c r="D700" s="885"/>
      <c r="E700" s="885"/>
      <c r="F700" s="885"/>
      <c r="G700" s="885"/>
      <c r="H700" s="885"/>
      <c r="I700" s="885"/>
      <c r="J700" s="885"/>
      <c r="K700" s="885"/>
      <c r="L700" s="885"/>
      <c r="M700" s="885"/>
      <c r="N700" s="885"/>
      <c r="O700" s="885"/>
      <c r="P700" s="885"/>
      <c r="Q700" s="885"/>
      <c r="R700" s="885"/>
      <c r="S700" s="885"/>
      <c r="T700" s="885"/>
      <c r="U700" s="885"/>
      <c r="V700" s="885"/>
      <c r="W700" s="885"/>
      <c r="X700" s="885"/>
      <c r="Y700" s="885"/>
      <c r="Z700" s="885"/>
      <c r="AA700" s="885"/>
      <c r="AB700" s="885"/>
      <c r="AC700" s="885"/>
    </row>
    <row r="701" spans="1:29" ht="15.75" customHeight="1" x14ac:dyDescent="0.2">
      <c r="A701" s="885"/>
      <c r="B701" s="885"/>
      <c r="C701" s="885"/>
      <c r="D701" s="885"/>
      <c r="E701" s="885"/>
      <c r="F701" s="885"/>
      <c r="G701" s="885"/>
      <c r="H701" s="885"/>
      <c r="I701" s="885"/>
      <c r="J701" s="885"/>
      <c r="K701" s="885"/>
      <c r="L701" s="885"/>
      <c r="M701" s="885"/>
      <c r="N701" s="885"/>
      <c r="O701" s="885"/>
      <c r="P701" s="885"/>
      <c r="Q701" s="885"/>
      <c r="R701" s="885"/>
      <c r="S701" s="885"/>
      <c r="T701" s="885"/>
      <c r="U701" s="885"/>
      <c r="V701" s="885"/>
      <c r="W701" s="885"/>
      <c r="X701" s="885"/>
      <c r="Y701" s="885"/>
      <c r="Z701" s="885"/>
      <c r="AA701" s="885"/>
      <c r="AB701" s="885"/>
      <c r="AC701" s="885"/>
    </row>
    <row r="702" spans="1:29" ht="15.75" customHeight="1" x14ac:dyDescent="0.2">
      <c r="A702" s="885"/>
      <c r="B702" s="885"/>
      <c r="C702" s="885"/>
      <c r="D702" s="885"/>
      <c r="E702" s="885"/>
      <c r="F702" s="885"/>
      <c r="G702" s="885"/>
      <c r="H702" s="885"/>
      <c r="I702" s="885"/>
      <c r="J702" s="885"/>
      <c r="K702" s="885"/>
      <c r="L702" s="885"/>
      <c r="M702" s="885"/>
      <c r="N702" s="885"/>
      <c r="O702" s="885"/>
      <c r="P702" s="885"/>
      <c r="Q702" s="885"/>
      <c r="R702" s="885"/>
      <c r="S702" s="885"/>
      <c r="T702" s="885"/>
      <c r="U702" s="885"/>
      <c r="V702" s="885"/>
      <c r="W702" s="885"/>
      <c r="X702" s="885"/>
      <c r="Y702" s="885"/>
      <c r="Z702" s="885"/>
      <c r="AA702" s="885"/>
      <c r="AB702" s="885"/>
      <c r="AC702" s="885"/>
    </row>
    <row r="703" spans="1:29" ht="15.75" customHeight="1" x14ac:dyDescent="0.2">
      <c r="A703" s="885"/>
      <c r="B703" s="885"/>
      <c r="C703" s="885"/>
      <c r="D703" s="885"/>
      <c r="E703" s="885"/>
      <c r="F703" s="885"/>
      <c r="G703" s="885"/>
      <c r="H703" s="885"/>
      <c r="I703" s="885"/>
      <c r="J703" s="885"/>
      <c r="K703" s="885"/>
      <c r="L703" s="885"/>
      <c r="M703" s="885"/>
      <c r="N703" s="885"/>
      <c r="O703" s="885"/>
      <c r="P703" s="885"/>
      <c r="Q703" s="885"/>
      <c r="R703" s="885"/>
      <c r="S703" s="885"/>
      <c r="T703" s="885"/>
      <c r="U703" s="885"/>
      <c r="V703" s="885"/>
      <c r="W703" s="885"/>
      <c r="X703" s="885"/>
      <c r="Y703" s="885"/>
      <c r="Z703" s="885"/>
      <c r="AA703" s="885"/>
      <c r="AB703" s="885"/>
      <c r="AC703" s="885"/>
    </row>
    <row r="704" spans="1:29" ht="15.75" customHeight="1" x14ac:dyDescent="0.2">
      <c r="A704" s="885"/>
      <c r="B704" s="885"/>
      <c r="C704" s="885"/>
      <c r="D704" s="885"/>
      <c r="E704" s="885"/>
      <c r="F704" s="885"/>
      <c r="G704" s="885"/>
      <c r="H704" s="885"/>
      <c r="I704" s="885"/>
      <c r="J704" s="885"/>
      <c r="K704" s="885"/>
      <c r="L704" s="885"/>
      <c r="M704" s="885"/>
      <c r="N704" s="885"/>
      <c r="O704" s="885"/>
      <c r="P704" s="885"/>
      <c r="Q704" s="885"/>
      <c r="R704" s="885"/>
      <c r="S704" s="885"/>
      <c r="T704" s="885"/>
      <c r="U704" s="885"/>
      <c r="V704" s="885"/>
      <c r="W704" s="885"/>
      <c r="X704" s="885"/>
      <c r="Y704" s="885"/>
      <c r="Z704" s="885"/>
      <c r="AA704" s="885"/>
      <c r="AB704" s="885"/>
      <c r="AC704" s="885"/>
    </row>
    <row r="705" spans="1:29" ht="15.75" customHeight="1" x14ac:dyDescent="0.2">
      <c r="A705" s="885"/>
      <c r="B705" s="885"/>
      <c r="C705" s="885"/>
      <c r="D705" s="885"/>
      <c r="E705" s="885"/>
      <c r="F705" s="885"/>
      <c r="G705" s="885"/>
      <c r="H705" s="885"/>
      <c r="I705" s="885"/>
      <c r="J705" s="885"/>
      <c r="K705" s="885"/>
      <c r="L705" s="885"/>
      <c r="M705" s="885"/>
      <c r="N705" s="885"/>
      <c r="O705" s="885"/>
      <c r="P705" s="885"/>
      <c r="Q705" s="885"/>
      <c r="R705" s="885"/>
      <c r="S705" s="885"/>
      <c r="T705" s="885"/>
      <c r="U705" s="885"/>
      <c r="V705" s="885"/>
      <c r="W705" s="885"/>
      <c r="X705" s="885"/>
      <c r="Y705" s="885"/>
      <c r="Z705" s="885"/>
      <c r="AA705" s="885"/>
      <c r="AB705" s="885"/>
      <c r="AC705" s="885"/>
    </row>
    <row r="706" spans="1:29" ht="15.75" customHeight="1" x14ac:dyDescent="0.2">
      <c r="A706" s="885"/>
      <c r="B706" s="885"/>
      <c r="C706" s="885"/>
      <c r="D706" s="885"/>
      <c r="E706" s="885"/>
      <c r="F706" s="885"/>
      <c r="G706" s="885"/>
      <c r="H706" s="885"/>
      <c r="I706" s="885"/>
      <c r="J706" s="885"/>
      <c r="K706" s="885"/>
      <c r="L706" s="885"/>
      <c r="M706" s="885"/>
      <c r="N706" s="885"/>
      <c r="O706" s="885"/>
      <c r="P706" s="885"/>
      <c r="Q706" s="885"/>
      <c r="R706" s="885"/>
      <c r="S706" s="885"/>
      <c r="T706" s="885"/>
      <c r="U706" s="885"/>
      <c r="V706" s="885"/>
      <c r="W706" s="885"/>
      <c r="X706" s="885"/>
      <c r="Y706" s="885"/>
      <c r="Z706" s="885"/>
      <c r="AA706" s="885"/>
      <c r="AB706" s="885"/>
      <c r="AC706" s="885"/>
    </row>
    <row r="707" spans="1:29" ht="15.75" customHeight="1" x14ac:dyDescent="0.2">
      <c r="A707" s="885"/>
      <c r="B707" s="885"/>
      <c r="C707" s="885"/>
      <c r="D707" s="885"/>
      <c r="E707" s="885"/>
      <c r="F707" s="885"/>
      <c r="G707" s="885"/>
      <c r="H707" s="885"/>
      <c r="I707" s="885"/>
      <c r="J707" s="885"/>
      <c r="K707" s="885"/>
      <c r="L707" s="885"/>
      <c r="M707" s="885"/>
      <c r="N707" s="885"/>
      <c r="O707" s="885"/>
      <c r="P707" s="885"/>
      <c r="Q707" s="885"/>
      <c r="R707" s="885"/>
      <c r="S707" s="885"/>
      <c r="T707" s="885"/>
      <c r="U707" s="885"/>
      <c r="V707" s="885"/>
      <c r="W707" s="885"/>
      <c r="X707" s="885"/>
      <c r="Y707" s="885"/>
      <c r="Z707" s="885"/>
      <c r="AA707" s="885"/>
      <c r="AB707" s="885"/>
      <c r="AC707" s="885"/>
    </row>
    <row r="708" spans="1:29" ht="15.75" customHeight="1" x14ac:dyDescent="0.2">
      <c r="A708" s="885"/>
      <c r="B708" s="885"/>
      <c r="C708" s="885"/>
      <c r="D708" s="885"/>
      <c r="E708" s="885"/>
      <c r="F708" s="885"/>
      <c r="G708" s="885"/>
      <c r="H708" s="885"/>
      <c r="I708" s="885"/>
      <c r="J708" s="885"/>
      <c r="K708" s="885"/>
      <c r="L708" s="885"/>
      <c r="M708" s="885"/>
      <c r="N708" s="885"/>
      <c r="O708" s="885"/>
      <c r="P708" s="885"/>
      <c r="Q708" s="885"/>
      <c r="R708" s="885"/>
      <c r="S708" s="885"/>
      <c r="T708" s="885"/>
      <c r="U708" s="885"/>
      <c r="V708" s="885"/>
      <c r="W708" s="885"/>
      <c r="X708" s="885"/>
      <c r="Y708" s="885"/>
      <c r="Z708" s="885"/>
      <c r="AA708" s="885"/>
      <c r="AB708" s="885"/>
      <c r="AC708" s="885"/>
    </row>
    <row r="709" spans="1:29" ht="15.75" customHeight="1" x14ac:dyDescent="0.2">
      <c r="A709" s="885"/>
      <c r="B709" s="885"/>
      <c r="C709" s="885"/>
      <c r="D709" s="885"/>
      <c r="E709" s="885"/>
      <c r="F709" s="885"/>
      <c r="G709" s="885"/>
      <c r="H709" s="885"/>
      <c r="I709" s="885"/>
      <c r="J709" s="885"/>
      <c r="K709" s="885"/>
      <c r="L709" s="885"/>
      <c r="M709" s="885"/>
      <c r="N709" s="885"/>
      <c r="O709" s="885"/>
      <c r="P709" s="885"/>
      <c r="Q709" s="885"/>
      <c r="R709" s="885"/>
      <c r="S709" s="885"/>
      <c r="T709" s="885"/>
      <c r="U709" s="885"/>
      <c r="V709" s="885"/>
      <c r="W709" s="885"/>
      <c r="X709" s="885"/>
      <c r="Y709" s="885"/>
      <c r="Z709" s="885"/>
      <c r="AA709" s="885"/>
      <c r="AB709" s="885"/>
      <c r="AC709" s="885"/>
    </row>
    <row r="710" spans="1:29" ht="15.75" customHeight="1" x14ac:dyDescent="0.2">
      <c r="A710" s="885"/>
      <c r="B710" s="885"/>
      <c r="C710" s="885"/>
      <c r="D710" s="885"/>
      <c r="E710" s="885"/>
      <c r="F710" s="885"/>
      <c r="G710" s="885"/>
      <c r="H710" s="885"/>
      <c r="I710" s="885"/>
      <c r="J710" s="885"/>
      <c r="K710" s="885"/>
      <c r="L710" s="885"/>
      <c r="M710" s="885"/>
      <c r="N710" s="885"/>
      <c r="O710" s="885"/>
      <c r="P710" s="885"/>
      <c r="Q710" s="885"/>
      <c r="R710" s="885"/>
      <c r="S710" s="885"/>
      <c r="T710" s="885"/>
      <c r="U710" s="885"/>
      <c r="V710" s="885"/>
      <c r="W710" s="885"/>
      <c r="X710" s="885"/>
      <c r="Y710" s="885"/>
      <c r="Z710" s="885"/>
      <c r="AA710" s="885"/>
      <c r="AB710" s="885"/>
      <c r="AC710" s="885"/>
    </row>
    <row r="711" spans="1:29" ht="15.75" customHeight="1" x14ac:dyDescent="0.2">
      <c r="A711" s="885"/>
      <c r="B711" s="885"/>
      <c r="C711" s="885"/>
      <c r="D711" s="885"/>
      <c r="E711" s="885"/>
      <c r="F711" s="885"/>
      <c r="G711" s="885"/>
      <c r="H711" s="885"/>
      <c r="I711" s="885"/>
      <c r="J711" s="885"/>
      <c r="K711" s="885"/>
      <c r="L711" s="885"/>
      <c r="M711" s="885"/>
      <c r="N711" s="885"/>
      <c r="O711" s="885"/>
      <c r="P711" s="885"/>
      <c r="Q711" s="885"/>
      <c r="R711" s="885"/>
      <c r="S711" s="885"/>
      <c r="T711" s="885"/>
      <c r="U711" s="885"/>
      <c r="V711" s="885"/>
      <c r="W711" s="885"/>
      <c r="X711" s="885"/>
      <c r="Y711" s="885"/>
      <c r="Z711" s="885"/>
      <c r="AA711" s="885"/>
      <c r="AB711" s="885"/>
      <c r="AC711" s="885"/>
    </row>
    <row r="712" spans="1:29" ht="15.75" customHeight="1" x14ac:dyDescent="0.2">
      <c r="A712" s="885"/>
      <c r="B712" s="885"/>
      <c r="C712" s="885"/>
      <c r="D712" s="885"/>
      <c r="E712" s="885"/>
      <c r="F712" s="885"/>
      <c r="G712" s="885"/>
      <c r="H712" s="885"/>
      <c r="I712" s="885"/>
      <c r="J712" s="885"/>
      <c r="K712" s="885"/>
      <c r="L712" s="885"/>
      <c r="M712" s="885"/>
      <c r="N712" s="885"/>
      <c r="O712" s="885"/>
      <c r="P712" s="885"/>
      <c r="Q712" s="885"/>
      <c r="R712" s="885"/>
      <c r="S712" s="885"/>
      <c r="T712" s="885"/>
      <c r="U712" s="885"/>
      <c r="V712" s="885"/>
      <c r="W712" s="885"/>
      <c r="X712" s="885"/>
      <c r="Y712" s="885"/>
      <c r="Z712" s="885"/>
      <c r="AA712" s="885"/>
      <c r="AB712" s="885"/>
      <c r="AC712" s="885"/>
    </row>
    <row r="713" spans="1:29" ht="15.75" customHeight="1" x14ac:dyDescent="0.2">
      <c r="A713" s="885"/>
      <c r="B713" s="885"/>
      <c r="C713" s="885"/>
      <c r="D713" s="885"/>
      <c r="E713" s="885"/>
      <c r="F713" s="885"/>
      <c r="G713" s="885"/>
      <c r="H713" s="885"/>
      <c r="I713" s="885"/>
      <c r="J713" s="885"/>
      <c r="K713" s="885"/>
      <c r="L713" s="885"/>
      <c r="M713" s="885"/>
      <c r="N713" s="885"/>
      <c r="O713" s="885"/>
      <c r="P713" s="885"/>
      <c r="Q713" s="885"/>
      <c r="R713" s="885"/>
      <c r="S713" s="885"/>
      <c r="T713" s="885"/>
      <c r="U713" s="885"/>
      <c r="V713" s="885"/>
      <c r="W713" s="885"/>
      <c r="X713" s="885"/>
      <c r="Y713" s="885"/>
      <c r="Z713" s="885"/>
      <c r="AA713" s="885"/>
      <c r="AB713" s="885"/>
      <c r="AC713" s="885"/>
    </row>
    <row r="714" spans="1:29" ht="15.75" customHeight="1" x14ac:dyDescent="0.2">
      <c r="A714" s="885"/>
      <c r="B714" s="885"/>
      <c r="C714" s="885"/>
      <c r="D714" s="885"/>
      <c r="E714" s="885"/>
      <c r="F714" s="885"/>
      <c r="G714" s="885"/>
      <c r="H714" s="885"/>
      <c r="I714" s="885"/>
      <c r="J714" s="885"/>
      <c r="K714" s="885"/>
      <c r="L714" s="885"/>
      <c r="M714" s="885"/>
      <c r="N714" s="885"/>
      <c r="O714" s="885"/>
      <c r="P714" s="885"/>
      <c r="Q714" s="885"/>
      <c r="R714" s="885"/>
      <c r="S714" s="885"/>
      <c r="T714" s="885"/>
      <c r="U714" s="885"/>
      <c r="V714" s="885"/>
      <c r="W714" s="885"/>
      <c r="X714" s="885"/>
      <c r="Y714" s="885"/>
      <c r="Z714" s="885"/>
      <c r="AA714" s="885"/>
      <c r="AB714" s="885"/>
      <c r="AC714" s="885"/>
    </row>
    <row r="715" spans="1:29" ht="15.75" customHeight="1" x14ac:dyDescent="0.2">
      <c r="A715" s="885"/>
      <c r="B715" s="885"/>
      <c r="C715" s="885"/>
      <c r="D715" s="885"/>
      <c r="E715" s="885"/>
      <c r="F715" s="885"/>
      <c r="G715" s="885"/>
      <c r="H715" s="885"/>
      <c r="I715" s="885"/>
      <c r="J715" s="885"/>
      <c r="K715" s="885"/>
      <c r="L715" s="885"/>
      <c r="M715" s="885"/>
      <c r="N715" s="885"/>
      <c r="O715" s="885"/>
      <c r="P715" s="885"/>
      <c r="Q715" s="885"/>
      <c r="R715" s="885"/>
      <c r="S715" s="885"/>
      <c r="T715" s="885"/>
      <c r="U715" s="885"/>
      <c r="V715" s="885"/>
      <c r="W715" s="885"/>
      <c r="X715" s="885"/>
      <c r="Y715" s="885"/>
      <c r="Z715" s="885"/>
      <c r="AA715" s="885"/>
      <c r="AB715" s="885"/>
      <c r="AC715" s="885"/>
    </row>
    <row r="716" spans="1:29" ht="15.75" customHeight="1" x14ac:dyDescent="0.2">
      <c r="A716" s="885"/>
      <c r="B716" s="885"/>
      <c r="C716" s="885"/>
      <c r="D716" s="885"/>
      <c r="E716" s="885"/>
      <c r="F716" s="885"/>
      <c r="G716" s="885"/>
      <c r="H716" s="885"/>
      <c r="I716" s="885"/>
      <c r="J716" s="885"/>
      <c r="K716" s="885"/>
      <c r="L716" s="885"/>
      <c r="M716" s="885"/>
      <c r="N716" s="885"/>
      <c r="O716" s="885"/>
      <c r="P716" s="885"/>
      <c r="Q716" s="885"/>
      <c r="R716" s="885"/>
      <c r="S716" s="885"/>
      <c r="T716" s="885"/>
      <c r="U716" s="885"/>
      <c r="V716" s="885"/>
      <c r="W716" s="885"/>
      <c r="X716" s="885"/>
      <c r="Y716" s="885"/>
      <c r="Z716" s="885"/>
      <c r="AA716" s="885"/>
      <c r="AB716" s="885"/>
      <c r="AC716" s="885"/>
    </row>
    <row r="717" spans="1:29" ht="15.75" customHeight="1" x14ac:dyDescent="0.2">
      <c r="A717" s="885"/>
      <c r="B717" s="885"/>
      <c r="C717" s="885"/>
      <c r="D717" s="885"/>
      <c r="E717" s="885"/>
      <c r="F717" s="885"/>
      <c r="G717" s="885"/>
      <c r="H717" s="885"/>
      <c r="I717" s="885"/>
      <c r="J717" s="885"/>
      <c r="K717" s="885"/>
      <c r="L717" s="885"/>
      <c r="M717" s="885"/>
      <c r="N717" s="885"/>
      <c r="O717" s="885"/>
      <c r="P717" s="885"/>
      <c r="Q717" s="885"/>
      <c r="R717" s="885"/>
      <c r="S717" s="885"/>
      <c r="T717" s="885"/>
      <c r="U717" s="885"/>
      <c r="V717" s="885"/>
      <c r="W717" s="885"/>
      <c r="X717" s="885"/>
      <c r="Y717" s="885"/>
      <c r="Z717" s="885"/>
      <c r="AA717" s="885"/>
      <c r="AB717" s="885"/>
      <c r="AC717" s="885"/>
    </row>
    <row r="718" spans="1:29" ht="15.75" customHeight="1" x14ac:dyDescent="0.2">
      <c r="A718" s="885"/>
      <c r="B718" s="885"/>
      <c r="C718" s="885"/>
      <c r="D718" s="885"/>
      <c r="E718" s="885"/>
      <c r="F718" s="885"/>
      <c r="G718" s="885"/>
      <c r="H718" s="885"/>
      <c r="I718" s="885"/>
      <c r="J718" s="885"/>
      <c r="K718" s="885"/>
      <c r="L718" s="885"/>
      <c r="M718" s="885"/>
      <c r="N718" s="885"/>
      <c r="O718" s="885"/>
      <c r="P718" s="885"/>
      <c r="Q718" s="885"/>
      <c r="R718" s="885"/>
      <c r="S718" s="885"/>
      <c r="T718" s="885"/>
      <c r="U718" s="885"/>
      <c r="V718" s="885"/>
      <c r="W718" s="885"/>
      <c r="X718" s="885"/>
      <c r="Y718" s="885"/>
      <c r="Z718" s="885"/>
      <c r="AA718" s="885"/>
      <c r="AB718" s="885"/>
      <c r="AC718" s="885"/>
    </row>
    <row r="719" spans="1:29" ht="15.75" customHeight="1" x14ac:dyDescent="0.2">
      <c r="A719" s="885"/>
      <c r="B719" s="885"/>
      <c r="C719" s="885"/>
      <c r="D719" s="885"/>
      <c r="E719" s="885"/>
      <c r="F719" s="885"/>
      <c r="G719" s="885"/>
      <c r="H719" s="885"/>
      <c r="I719" s="885"/>
      <c r="J719" s="885"/>
      <c r="K719" s="885"/>
      <c r="L719" s="885"/>
      <c r="M719" s="885"/>
      <c r="N719" s="885"/>
      <c r="O719" s="885"/>
      <c r="P719" s="885"/>
      <c r="Q719" s="885"/>
      <c r="R719" s="885"/>
      <c r="S719" s="885"/>
      <c r="T719" s="885"/>
      <c r="U719" s="885"/>
      <c r="V719" s="885"/>
      <c r="W719" s="885"/>
      <c r="X719" s="885"/>
      <c r="Y719" s="885"/>
      <c r="Z719" s="885"/>
      <c r="AA719" s="885"/>
      <c r="AB719" s="885"/>
      <c r="AC719" s="885"/>
    </row>
    <row r="720" spans="1:29" ht="15.75" customHeight="1" x14ac:dyDescent="0.2">
      <c r="A720" s="885"/>
      <c r="B720" s="885"/>
      <c r="C720" s="885"/>
      <c r="D720" s="885"/>
      <c r="E720" s="885"/>
      <c r="F720" s="885"/>
      <c r="G720" s="885"/>
      <c r="H720" s="885"/>
      <c r="I720" s="885"/>
      <c r="J720" s="885"/>
      <c r="K720" s="885"/>
      <c r="L720" s="885"/>
      <c r="M720" s="885"/>
      <c r="N720" s="885"/>
      <c r="O720" s="885"/>
      <c r="P720" s="885"/>
      <c r="Q720" s="885"/>
      <c r="R720" s="885"/>
      <c r="S720" s="885"/>
      <c r="T720" s="885"/>
      <c r="U720" s="885"/>
      <c r="V720" s="885"/>
      <c r="W720" s="885"/>
      <c r="X720" s="885"/>
      <c r="Y720" s="885"/>
      <c r="Z720" s="885"/>
      <c r="AA720" s="885"/>
      <c r="AB720" s="885"/>
      <c r="AC720" s="885"/>
    </row>
    <row r="721" spans="1:29" ht="15.75" customHeight="1" x14ac:dyDescent="0.2">
      <c r="A721" s="885"/>
      <c r="B721" s="885"/>
      <c r="C721" s="885"/>
      <c r="D721" s="885"/>
      <c r="E721" s="885"/>
      <c r="F721" s="885"/>
      <c r="G721" s="885"/>
      <c r="H721" s="885"/>
      <c r="I721" s="885"/>
      <c r="J721" s="885"/>
      <c r="K721" s="885"/>
      <c r="L721" s="885"/>
      <c r="M721" s="885"/>
      <c r="N721" s="885"/>
      <c r="O721" s="885"/>
      <c r="P721" s="885"/>
      <c r="Q721" s="885"/>
      <c r="R721" s="885"/>
      <c r="S721" s="885"/>
      <c r="T721" s="885"/>
      <c r="U721" s="885"/>
      <c r="V721" s="885"/>
      <c r="W721" s="885"/>
      <c r="X721" s="885"/>
      <c r="Y721" s="885"/>
      <c r="Z721" s="885"/>
      <c r="AA721" s="885"/>
      <c r="AB721" s="885"/>
      <c r="AC721" s="885"/>
    </row>
    <row r="722" spans="1:29" ht="15.75" customHeight="1" x14ac:dyDescent="0.2">
      <c r="A722" s="885"/>
      <c r="B722" s="885"/>
      <c r="C722" s="885"/>
      <c r="D722" s="885"/>
      <c r="E722" s="885"/>
      <c r="F722" s="885"/>
      <c r="G722" s="885"/>
      <c r="H722" s="885"/>
      <c r="I722" s="885"/>
      <c r="J722" s="885"/>
      <c r="K722" s="885"/>
      <c r="L722" s="885"/>
      <c r="M722" s="885"/>
      <c r="N722" s="885"/>
      <c r="O722" s="885"/>
      <c r="P722" s="885"/>
      <c r="Q722" s="885"/>
      <c r="R722" s="885"/>
      <c r="S722" s="885"/>
      <c r="T722" s="885"/>
      <c r="U722" s="885"/>
      <c r="V722" s="885"/>
      <c r="W722" s="885"/>
      <c r="X722" s="885"/>
      <c r="Y722" s="885"/>
      <c r="Z722" s="885"/>
      <c r="AA722" s="885"/>
      <c r="AB722" s="885"/>
      <c r="AC722" s="885"/>
    </row>
    <row r="723" spans="1:29" ht="15.75" customHeight="1" x14ac:dyDescent="0.2">
      <c r="A723" s="885"/>
      <c r="B723" s="885"/>
      <c r="C723" s="885"/>
      <c r="D723" s="885"/>
      <c r="E723" s="885"/>
      <c r="F723" s="885"/>
      <c r="G723" s="885"/>
      <c r="H723" s="885"/>
      <c r="I723" s="885"/>
      <c r="J723" s="885"/>
      <c r="K723" s="885"/>
      <c r="L723" s="885"/>
      <c r="M723" s="885"/>
      <c r="N723" s="885"/>
      <c r="O723" s="885"/>
      <c r="P723" s="885"/>
      <c r="Q723" s="885"/>
      <c r="R723" s="885"/>
      <c r="S723" s="885"/>
      <c r="T723" s="885"/>
      <c r="U723" s="885"/>
      <c r="V723" s="885"/>
      <c r="W723" s="885"/>
      <c r="X723" s="885"/>
      <c r="Y723" s="885"/>
      <c r="Z723" s="885"/>
      <c r="AA723" s="885"/>
      <c r="AB723" s="885"/>
      <c r="AC723" s="885"/>
    </row>
    <row r="724" spans="1:29" ht="15.75" customHeight="1" x14ac:dyDescent="0.2">
      <c r="A724" s="885"/>
      <c r="B724" s="885"/>
      <c r="C724" s="885"/>
      <c r="D724" s="885"/>
      <c r="E724" s="885"/>
      <c r="F724" s="885"/>
      <c r="G724" s="885"/>
      <c r="H724" s="885"/>
      <c r="I724" s="885"/>
      <c r="J724" s="885"/>
      <c r="K724" s="885"/>
      <c r="L724" s="885"/>
      <c r="M724" s="885"/>
      <c r="N724" s="885"/>
      <c r="O724" s="885"/>
      <c r="P724" s="885"/>
      <c r="Q724" s="885"/>
      <c r="R724" s="885"/>
      <c r="S724" s="885"/>
      <c r="T724" s="885"/>
      <c r="U724" s="885"/>
      <c r="V724" s="885"/>
      <c r="W724" s="885"/>
      <c r="X724" s="885"/>
      <c r="Y724" s="885"/>
      <c r="Z724" s="885"/>
      <c r="AA724" s="885"/>
      <c r="AB724" s="885"/>
      <c r="AC724" s="885"/>
    </row>
    <row r="725" spans="1:29" ht="15.75" customHeight="1" x14ac:dyDescent="0.2">
      <c r="A725" s="885"/>
      <c r="B725" s="885"/>
      <c r="C725" s="885"/>
      <c r="D725" s="885"/>
      <c r="E725" s="885"/>
      <c r="F725" s="885"/>
      <c r="G725" s="885"/>
      <c r="H725" s="885"/>
      <c r="I725" s="885"/>
      <c r="J725" s="885"/>
      <c r="K725" s="885"/>
      <c r="L725" s="885"/>
      <c r="M725" s="885"/>
      <c r="N725" s="885"/>
      <c r="O725" s="885"/>
      <c r="P725" s="885"/>
      <c r="Q725" s="885"/>
      <c r="R725" s="885"/>
      <c r="S725" s="885"/>
      <c r="T725" s="885"/>
      <c r="U725" s="885"/>
      <c r="V725" s="885"/>
      <c r="W725" s="885"/>
      <c r="X725" s="885"/>
      <c r="Y725" s="885"/>
      <c r="Z725" s="885"/>
      <c r="AA725" s="885"/>
      <c r="AB725" s="885"/>
      <c r="AC725" s="885"/>
    </row>
    <row r="726" spans="1:29" ht="15.75" customHeight="1" x14ac:dyDescent="0.2">
      <c r="A726" s="885"/>
      <c r="B726" s="885"/>
      <c r="C726" s="885"/>
      <c r="D726" s="885"/>
      <c r="E726" s="885"/>
      <c r="F726" s="885"/>
      <c r="G726" s="885"/>
      <c r="H726" s="885"/>
      <c r="I726" s="885"/>
      <c r="J726" s="885"/>
      <c r="K726" s="885"/>
      <c r="L726" s="885"/>
      <c r="M726" s="885"/>
      <c r="N726" s="885"/>
      <c r="O726" s="885"/>
      <c r="P726" s="885"/>
      <c r="Q726" s="885"/>
      <c r="R726" s="885"/>
      <c r="S726" s="885"/>
      <c r="T726" s="885"/>
      <c r="U726" s="885"/>
      <c r="V726" s="885"/>
      <c r="W726" s="885"/>
      <c r="X726" s="885"/>
      <c r="Y726" s="885"/>
      <c r="Z726" s="885"/>
      <c r="AA726" s="885"/>
      <c r="AB726" s="885"/>
      <c r="AC726" s="885"/>
    </row>
    <row r="727" spans="1:29" ht="15.75" customHeight="1" x14ac:dyDescent="0.2">
      <c r="A727" s="885"/>
      <c r="B727" s="885"/>
      <c r="C727" s="885"/>
      <c r="D727" s="885"/>
      <c r="E727" s="885"/>
      <c r="F727" s="885"/>
      <c r="G727" s="885"/>
      <c r="H727" s="885"/>
      <c r="I727" s="885"/>
      <c r="J727" s="885"/>
      <c r="K727" s="885"/>
      <c r="L727" s="885"/>
      <c r="M727" s="885"/>
      <c r="N727" s="885"/>
      <c r="O727" s="885"/>
      <c r="P727" s="885"/>
      <c r="Q727" s="885"/>
      <c r="R727" s="885"/>
      <c r="S727" s="885"/>
      <c r="T727" s="885"/>
      <c r="U727" s="885"/>
      <c r="V727" s="885"/>
      <c r="W727" s="885"/>
      <c r="X727" s="885"/>
      <c r="Y727" s="885"/>
      <c r="Z727" s="885"/>
      <c r="AA727" s="885"/>
      <c r="AB727" s="885"/>
      <c r="AC727" s="885"/>
    </row>
    <row r="728" spans="1:29" ht="15.75" customHeight="1" x14ac:dyDescent="0.2">
      <c r="A728" s="885"/>
      <c r="B728" s="885"/>
      <c r="C728" s="885"/>
      <c r="D728" s="885"/>
      <c r="E728" s="885"/>
      <c r="F728" s="885"/>
      <c r="G728" s="885"/>
      <c r="H728" s="885"/>
      <c r="I728" s="885"/>
      <c r="J728" s="885"/>
      <c r="K728" s="885"/>
      <c r="L728" s="885"/>
      <c r="M728" s="885"/>
      <c r="N728" s="885"/>
      <c r="O728" s="885"/>
      <c r="P728" s="885"/>
      <c r="Q728" s="885"/>
      <c r="R728" s="885"/>
      <c r="S728" s="885"/>
      <c r="T728" s="885"/>
      <c r="U728" s="885"/>
      <c r="V728" s="885"/>
      <c r="W728" s="885"/>
      <c r="X728" s="885"/>
      <c r="Y728" s="885"/>
      <c r="Z728" s="885"/>
      <c r="AA728" s="885"/>
      <c r="AB728" s="885"/>
      <c r="AC728" s="885"/>
    </row>
    <row r="729" spans="1:29" ht="15.75" customHeight="1" x14ac:dyDescent="0.2">
      <c r="A729" s="885"/>
      <c r="B729" s="885"/>
      <c r="C729" s="885"/>
      <c r="D729" s="885"/>
      <c r="E729" s="885"/>
      <c r="F729" s="885"/>
      <c r="G729" s="885"/>
      <c r="H729" s="885"/>
      <c r="I729" s="885"/>
      <c r="J729" s="885"/>
      <c r="K729" s="885"/>
      <c r="L729" s="885"/>
      <c r="M729" s="885"/>
      <c r="N729" s="885"/>
      <c r="O729" s="885"/>
      <c r="P729" s="885"/>
      <c r="Q729" s="885"/>
      <c r="R729" s="885"/>
      <c r="S729" s="885"/>
      <c r="T729" s="885"/>
      <c r="U729" s="885"/>
      <c r="V729" s="885"/>
      <c r="W729" s="885"/>
      <c r="X729" s="885"/>
      <c r="Y729" s="885"/>
      <c r="Z729" s="885"/>
      <c r="AA729" s="885"/>
      <c r="AB729" s="885"/>
      <c r="AC729" s="885"/>
    </row>
    <row r="730" spans="1:29" ht="15.75" customHeight="1" x14ac:dyDescent="0.2">
      <c r="A730" s="885"/>
      <c r="B730" s="885"/>
      <c r="C730" s="885"/>
      <c r="D730" s="885"/>
      <c r="E730" s="885"/>
      <c r="F730" s="885"/>
      <c r="G730" s="885"/>
      <c r="H730" s="885"/>
      <c r="I730" s="885"/>
      <c r="J730" s="885"/>
      <c r="K730" s="885"/>
      <c r="L730" s="885"/>
      <c r="M730" s="885"/>
      <c r="N730" s="885"/>
      <c r="O730" s="885"/>
      <c r="P730" s="885"/>
      <c r="Q730" s="885"/>
      <c r="R730" s="885"/>
      <c r="S730" s="885"/>
      <c r="T730" s="885"/>
      <c r="U730" s="885"/>
      <c r="V730" s="885"/>
      <c r="W730" s="885"/>
      <c r="X730" s="885"/>
      <c r="Y730" s="885"/>
      <c r="Z730" s="885"/>
      <c r="AA730" s="885"/>
      <c r="AB730" s="885"/>
      <c r="AC730" s="885"/>
    </row>
    <row r="731" spans="1:29" ht="15.75" customHeight="1" x14ac:dyDescent="0.2">
      <c r="A731" s="885"/>
      <c r="B731" s="885"/>
      <c r="C731" s="885"/>
      <c r="D731" s="885"/>
      <c r="E731" s="885"/>
      <c r="F731" s="885"/>
      <c r="G731" s="885"/>
      <c r="H731" s="885"/>
      <c r="I731" s="885"/>
      <c r="J731" s="885"/>
      <c r="K731" s="885"/>
      <c r="L731" s="885"/>
      <c r="M731" s="885"/>
      <c r="N731" s="885"/>
      <c r="O731" s="885"/>
      <c r="P731" s="885"/>
      <c r="Q731" s="885"/>
      <c r="R731" s="885"/>
      <c r="S731" s="885"/>
      <c r="T731" s="885"/>
      <c r="U731" s="885"/>
      <c r="V731" s="885"/>
      <c r="W731" s="885"/>
      <c r="X731" s="885"/>
      <c r="Y731" s="885"/>
      <c r="Z731" s="885"/>
      <c r="AA731" s="885"/>
      <c r="AB731" s="885"/>
      <c r="AC731" s="885"/>
    </row>
    <row r="732" spans="1:29" ht="15.75" customHeight="1" x14ac:dyDescent="0.2">
      <c r="A732" s="885"/>
      <c r="B732" s="885"/>
      <c r="C732" s="885"/>
      <c r="D732" s="885"/>
      <c r="E732" s="885"/>
      <c r="F732" s="885"/>
      <c r="G732" s="885"/>
      <c r="H732" s="885"/>
      <c r="I732" s="885"/>
      <c r="J732" s="885"/>
      <c r="K732" s="885"/>
      <c r="L732" s="885"/>
      <c r="M732" s="885"/>
      <c r="N732" s="885"/>
      <c r="O732" s="885"/>
      <c r="P732" s="885"/>
      <c r="Q732" s="885"/>
      <c r="R732" s="885"/>
      <c r="S732" s="885"/>
      <c r="T732" s="885"/>
      <c r="U732" s="885"/>
      <c r="V732" s="885"/>
      <c r="W732" s="885"/>
      <c r="X732" s="885"/>
      <c r="Y732" s="885"/>
      <c r="Z732" s="885"/>
      <c r="AA732" s="885"/>
      <c r="AB732" s="885"/>
      <c r="AC732" s="885"/>
    </row>
    <row r="733" spans="1:29" ht="15.75" customHeight="1" x14ac:dyDescent="0.2">
      <c r="A733" s="885"/>
      <c r="B733" s="885"/>
      <c r="C733" s="885"/>
      <c r="D733" s="885"/>
      <c r="E733" s="885"/>
      <c r="F733" s="885"/>
      <c r="G733" s="885"/>
      <c r="H733" s="885"/>
      <c r="I733" s="885"/>
      <c r="J733" s="885"/>
      <c r="K733" s="885"/>
      <c r="L733" s="885"/>
      <c r="M733" s="885"/>
      <c r="N733" s="885"/>
      <c r="O733" s="885"/>
      <c r="P733" s="885"/>
      <c r="Q733" s="885"/>
      <c r="R733" s="885"/>
      <c r="S733" s="885"/>
      <c r="T733" s="885"/>
      <c r="U733" s="885"/>
      <c r="V733" s="885"/>
      <c r="W733" s="885"/>
      <c r="X733" s="885"/>
      <c r="Y733" s="885"/>
      <c r="Z733" s="885"/>
      <c r="AA733" s="885"/>
      <c r="AB733" s="885"/>
      <c r="AC733" s="885"/>
    </row>
    <row r="734" spans="1:29" ht="15.75" customHeight="1" x14ac:dyDescent="0.2">
      <c r="A734" s="885"/>
      <c r="B734" s="885"/>
      <c r="C734" s="885"/>
      <c r="D734" s="885"/>
      <c r="E734" s="885"/>
      <c r="F734" s="885"/>
      <c r="G734" s="885"/>
      <c r="H734" s="885"/>
      <c r="I734" s="885"/>
      <c r="J734" s="885"/>
      <c r="K734" s="885"/>
      <c r="L734" s="885"/>
      <c r="M734" s="885"/>
      <c r="N734" s="885"/>
      <c r="O734" s="885"/>
      <c r="P734" s="885"/>
      <c r="Q734" s="885"/>
      <c r="R734" s="885"/>
      <c r="S734" s="885"/>
      <c r="T734" s="885"/>
      <c r="U734" s="885"/>
      <c r="V734" s="885"/>
      <c r="W734" s="885"/>
      <c r="X734" s="885"/>
      <c r="Y734" s="885"/>
      <c r="Z734" s="885"/>
      <c r="AA734" s="885"/>
      <c r="AB734" s="885"/>
      <c r="AC734" s="885"/>
    </row>
    <row r="735" spans="1:29" ht="15.75" customHeight="1" x14ac:dyDescent="0.2">
      <c r="A735" s="885"/>
      <c r="B735" s="885"/>
      <c r="C735" s="885"/>
      <c r="D735" s="885"/>
      <c r="E735" s="885"/>
      <c r="F735" s="885"/>
      <c r="G735" s="885"/>
      <c r="H735" s="885"/>
      <c r="I735" s="885"/>
      <c r="J735" s="885"/>
      <c r="K735" s="885"/>
      <c r="L735" s="885"/>
      <c r="M735" s="885"/>
      <c r="N735" s="885"/>
      <c r="O735" s="885"/>
      <c r="P735" s="885"/>
      <c r="Q735" s="885"/>
      <c r="R735" s="885"/>
      <c r="S735" s="885"/>
      <c r="T735" s="885"/>
      <c r="U735" s="885"/>
      <c r="V735" s="885"/>
      <c r="W735" s="885"/>
      <c r="X735" s="885"/>
      <c r="Y735" s="885"/>
      <c r="Z735" s="885"/>
      <c r="AA735" s="885"/>
      <c r="AB735" s="885"/>
      <c r="AC735" s="885"/>
    </row>
    <row r="736" spans="1:29" ht="15.75" customHeight="1" x14ac:dyDescent="0.2">
      <c r="A736" s="885"/>
      <c r="B736" s="885"/>
      <c r="C736" s="885"/>
      <c r="D736" s="885"/>
      <c r="E736" s="885"/>
      <c r="F736" s="885"/>
      <c r="G736" s="885"/>
      <c r="H736" s="885"/>
      <c r="I736" s="885"/>
      <c r="J736" s="885"/>
      <c r="K736" s="885"/>
      <c r="L736" s="885"/>
      <c r="M736" s="885"/>
      <c r="N736" s="885"/>
      <c r="O736" s="885"/>
      <c r="P736" s="885"/>
      <c r="Q736" s="885"/>
      <c r="R736" s="885"/>
      <c r="S736" s="885"/>
      <c r="T736" s="885"/>
      <c r="U736" s="885"/>
      <c r="V736" s="885"/>
      <c r="W736" s="885"/>
      <c r="X736" s="885"/>
      <c r="Y736" s="885"/>
      <c r="Z736" s="885"/>
      <c r="AA736" s="885"/>
      <c r="AB736" s="885"/>
      <c r="AC736" s="885"/>
    </row>
    <row r="737" spans="1:29" ht="15.75" customHeight="1" x14ac:dyDescent="0.2">
      <c r="A737" s="885"/>
      <c r="B737" s="885"/>
      <c r="C737" s="885"/>
      <c r="D737" s="885"/>
      <c r="E737" s="885"/>
      <c r="F737" s="885"/>
      <c r="G737" s="885"/>
      <c r="H737" s="885"/>
      <c r="I737" s="885"/>
      <c r="J737" s="885"/>
      <c r="K737" s="885"/>
      <c r="L737" s="885"/>
      <c r="M737" s="885"/>
      <c r="N737" s="885"/>
      <c r="O737" s="885"/>
      <c r="P737" s="885"/>
      <c r="Q737" s="885"/>
      <c r="R737" s="885"/>
      <c r="S737" s="885"/>
      <c r="T737" s="885"/>
      <c r="U737" s="885"/>
      <c r="V737" s="885"/>
      <c r="W737" s="885"/>
      <c r="X737" s="885"/>
      <c r="Y737" s="885"/>
      <c r="Z737" s="885"/>
      <c r="AA737" s="885"/>
      <c r="AB737" s="885"/>
      <c r="AC737" s="885"/>
    </row>
    <row r="738" spans="1:29" ht="15.75" customHeight="1" x14ac:dyDescent="0.2">
      <c r="A738" s="885"/>
      <c r="B738" s="885"/>
      <c r="C738" s="885"/>
      <c r="D738" s="885"/>
      <c r="E738" s="885"/>
      <c r="F738" s="885"/>
      <c r="G738" s="885"/>
      <c r="H738" s="885"/>
      <c r="I738" s="885"/>
      <c r="J738" s="885"/>
      <c r="K738" s="885"/>
      <c r="L738" s="885"/>
      <c r="M738" s="885"/>
      <c r="N738" s="885"/>
      <c r="O738" s="885"/>
      <c r="P738" s="885"/>
      <c r="Q738" s="885"/>
      <c r="R738" s="885"/>
      <c r="S738" s="885"/>
      <c r="T738" s="885"/>
      <c r="U738" s="885"/>
      <c r="V738" s="885"/>
      <c r="W738" s="885"/>
      <c r="X738" s="885"/>
      <c r="Y738" s="885"/>
      <c r="Z738" s="885"/>
      <c r="AA738" s="885"/>
      <c r="AB738" s="885"/>
      <c r="AC738" s="885"/>
    </row>
    <row r="739" spans="1:29" ht="15.75" customHeight="1" x14ac:dyDescent="0.2">
      <c r="A739" s="885"/>
      <c r="B739" s="885"/>
      <c r="C739" s="885"/>
      <c r="D739" s="885"/>
      <c r="E739" s="885"/>
      <c r="F739" s="885"/>
      <c r="G739" s="885"/>
      <c r="H739" s="885"/>
      <c r="I739" s="885"/>
      <c r="J739" s="885"/>
      <c r="K739" s="885"/>
      <c r="L739" s="885"/>
      <c r="M739" s="885"/>
      <c r="N739" s="885"/>
      <c r="O739" s="885"/>
      <c r="P739" s="885"/>
      <c r="Q739" s="885"/>
      <c r="R739" s="885"/>
      <c r="S739" s="885"/>
      <c r="T739" s="885"/>
      <c r="U739" s="885"/>
      <c r="V739" s="885"/>
      <c r="W739" s="885"/>
      <c r="X739" s="885"/>
      <c r="Y739" s="885"/>
      <c r="Z739" s="885"/>
      <c r="AA739" s="885"/>
      <c r="AB739" s="885"/>
      <c r="AC739" s="885"/>
    </row>
    <row r="740" spans="1:29" ht="15.75" customHeight="1" x14ac:dyDescent="0.2">
      <c r="A740" s="885"/>
      <c r="B740" s="885"/>
      <c r="C740" s="885"/>
      <c r="D740" s="885"/>
      <c r="E740" s="885"/>
      <c r="F740" s="885"/>
      <c r="G740" s="885"/>
      <c r="H740" s="885"/>
      <c r="I740" s="885"/>
      <c r="J740" s="885"/>
      <c r="K740" s="885"/>
      <c r="L740" s="885"/>
      <c r="M740" s="885"/>
      <c r="N740" s="885"/>
      <c r="O740" s="885"/>
      <c r="P740" s="885"/>
      <c r="Q740" s="885"/>
      <c r="R740" s="885"/>
      <c r="S740" s="885"/>
      <c r="T740" s="885"/>
      <c r="U740" s="885"/>
      <c r="V740" s="885"/>
      <c r="W740" s="885"/>
      <c r="X740" s="885"/>
      <c r="Y740" s="885"/>
      <c r="Z740" s="885"/>
      <c r="AA740" s="885"/>
      <c r="AB740" s="885"/>
      <c r="AC740" s="885"/>
    </row>
    <row r="741" spans="1:29" ht="15.75" customHeight="1" x14ac:dyDescent="0.2">
      <c r="A741" s="885"/>
      <c r="B741" s="885"/>
      <c r="C741" s="885"/>
      <c r="D741" s="885"/>
      <c r="E741" s="885"/>
      <c r="F741" s="885"/>
      <c r="G741" s="885"/>
      <c r="H741" s="885"/>
      <c r="I741" s="885"/>
      <c r="J741" s="885"/>
      <c r="K741" s="885"/>
      <c r="L741" s="885"/>
      <c r="M741" s="885"/>
      <c r="N741" s="885"/>
      <c r="O741" s="885"/>
      <c r="P741" s="885"/>
      <c r="Q741" s="885"/>
      <c r="R741" s="885"/>
      <c r="S741" s="885"/>
      <c r="T741" s="885"/>
      <c r="U741" s="885"/>
      <c r="V741" s="885"/>
      <c r="W741" s="885"/>
      <c r="X741" s="885"/>
      <c r="Y741" s="885"/>
      <c r="Z741" s="885"/>
      <c r="AA741" s="885"/>
      <c r="AB741" s="885"/>
      <c r="AC741" s="885"/>
    </row>
    <row r="742" spans="1:29" ht="15.75" customHeight="1" x14ac:dyDescent="0.2">
      <c r="A742" s="885"/>
      <c r="B742" s="885"/>
      <c r="C742" s="885"/>
      <c r="D742" s="885"/>
      <c r="E742" s="885"/>
      <c r="F742" s="885"/>
      <c r="G742" s="885"/>
      <c r="H742" s="885"/>
      <c r="I742" s="885"/>
      <c r="J742" s="885"/>
      <c r="K742" s="885"/>
      <c r="L742" s="885"/>
      <c r="M742" s="885"/>
      <c r="N742" s="885"/>
      <c r="O742" s="885"/>
      <c r="P742" s="885"/>
      <c r="Q742" s="885"/>
      <c r="R742" s="885"/>
      <c r="S742" s="885"/>
      <c r="T742" s="885"/>
      <c r="U742" s="885"/>
      <c r="V742" s="885"/>
      <c r="W742" s="885"/>
      <c r="X742" s="885"/>
      <c r="Y742" s="885"/>
      <c r="Z742" s="885"/>
      <c r="AA742" s="885"/>
      <c r="AB742" s="885"/>
      <c r="AC742" s="885"/>
    </row>
    <row r="743" spans="1:29" ht="15.75" customHeight="1" x14ac:dyDescent="0.2">
      <c r="A743" s="885"/>
      <c r="B743" s="885"/>
      <c r="C743" s="885"/>
      <c r="D743" s="885"/>
      <c r="E743" s="885"/>
      <c r="F743" s="885"/>
      <c r="G743" s="885"/>
      <c r="H743" s="885"/>
      <c r="I743" s="885"/>
      <c r="J743" s="885"/>
      <c r="K743" s="885"/>
      <c r="L743" s="885"/>
      <c r="M743" s="885"/>
      <c r="N743" s="885"/>
      <c r="O743" s="885"/>
      <c r="P743" s="885"/>
      <c r="Q743" s="885"/>
      <c r="R743" s="885"/>
      <c r="S743" s="885"/>
      <c r="T743" s="885"/>
      <c r="U743" s="885"/>
      <c r="V743" s="885"/>
      <c r="W743" s="885"/>
      <c r="X743" s="885"/>
      <c r="Y743" s="885"/>
      <c r="Z743" s="885"/>
      <c r="AA743" s="885"/>
      <c r="AB743" s="885"/>
      <c r="AC743" s="885"/>
    </row>
    <row r="744" spans="1:29" ht="15.75" customHeight="1" x14ac:dyDescent="0.2">
      <c r="A744" s="885"/>
      <c r="B744" s="885"/>
      <c r="C744" s="885"/>
      <c r="D744" s="885"/>
      <c r="E744" s="885"/>
      <c r="F744" s="885"/>
      <c r="G744" s="885"/>
      <c r="H744" s="885"/>
      <c r="I744" s="885"/>
      <c r="J744" s="885"/>
      <c r="K744" s="885"/>
      <c r="L744" s="885"/>
      <c r="M744" s="885"/>
      <c r="N744" s="885"/>
      <c r="O744" s="885"/>
      <c r="P744" s="885"/>
      <c r="Q744" s="885"/>
      <c r="R744" s="885"/>
      <c r="S744" s="885"/>
      <c r="T744" s="885"/>
      <c r="U744" s="885"/>
      <c r="V744" s="885"/>
      <c r="W744" s="885"/>
      <c r="X744" s="885"/>
      <c r="Y744" s="885"/>
      <c r="Z744" s="885"/>
      <c r="AA744" s="885"/>
      <c r="AB744" s="885"/>
      <c r="AC744" s="885"/>
    </row>
    <row r="745" spans="1:29" ht="15.75" customHeight="1" x14ac:dyDescent="0.2">
      <c r="A745" s="885"/>
      <c r="B745" s="885"/>
      <c r="C745" s="885"/>
      <c r="D745" s="885"/>
      <c r="E745" s="885"/>
      <c r="F745" s="885"/>
      <c r="G745" s="885"/>
      <c r="H745" s="885"/>
      <c r="I745" s="885"/>
      <c r="J745" s="885"/>
      <c r="K745" s="885"/>
      <c r="L745" s="885"/>
      <c r="M745" s="885"/>
      <c r="N745" s="885"/>
      <c r="O745" s="885"/>
      <c r="P745" s="885"/>
      <c r="Q745" s="885"/>
      <c r="R745" s="885"/>
      <c r="S745" s="885"/>
      <c r="T745" s="885"/>
      <c r="U745" s="885"/>
      <c r="V745" s="885"/>
      <c r="W745" s="885"/>
      <c r="X745" s="885"/>
      <c r="Y745" s="885"/>
      <c r="Z745" s="885"/>
      <c r="AA745" s="885"/>
      <c r="AB745" s="885"/>
      <c r="AC745" s="885"/>
    </row>
    <row r="746" spans="1:29" ht="15.75" customHeight="1" x14ac:dyDescent="0.2">
      <c r="A746" s="885"/>
      <c r="B746" s="885"/>
      <c r="C746" s="885"/>
      <c r="D746" s="885"/>
      <c r="E746" s="885"/>
      <c r="F746" s="885"/>
      <c r="G746" s="885"/>
      <c r="H746" s="885"/>
      <c r="I746" s="885"/>
      <c r="J746" s="885"/>
      <c r="K746" s="885"/>
      <c r="L746" s="885"/>
      <c r="M746" s="885"/>
      <c r="N746" s="885"/>
      <c r="O746" s="885"/>
      <c r="P746" s="885"/>
      <c r="Q746" s="885"/>
      <c r="R746" s="885"/>
      <c r="S746" s="885"/>
      <c r="T746" s="885"/>
      <c r="U746" s="885"/>
      <c r="V746" s="885"/>
      <c r="W746" s="885"/>
      <c r="X746" s="885"/>
      <c r="Y746" s="885"/>
      <c r="Z746" s="885"/>
      <c r="AA746" s="885"/>
      <c r="AB746" s="885"/>
      <c r="AC746" s="885"/>
    </row>
    <row r="747" spans="1:29" ht="15.75" customHeight="1" x14ac:dyDescent="0.2">
      <c r="A747" s="885"/>
      <c r="B747" s="885"/>
      <c r="C747" s="885"/>
      <c r="D747" s="885"/>
      <c r="E747" s="885"/>
      <c r="F747" s="885"/>
      <c r="G747" s="885"/>
      <c r="H747" s="885"/>
      <c r="I747" s="885"/>
      <c r="J747" s="885"/>
      <c r="K747" s="885"/>
      <c r="L747" s="885"/>
      <c r="M747" s="885"/>
      <c r="N747" s="885"/>
      <c r="O747" s="885"/>
      <c r="P747" s="885"/>
      <c r="Q747" s="885"/>
      <c r="R747" s="885"/>
      <c r="S747" s="885"/>
      <c r="T747" s="885"/>
      <c r="U747" s="885"/>
      <c r="V747" s="885"/>
      <c r="W747" s="885"/>
      <c r="X747" s="885"/>
      <c r="Y747" s="885"/>
      <c r="Z747" s="885"/>
      <c r="AA747" s="885"/>
      <c r="AB747" s="885"/>
      <c r="AC747" s="885"/>
    </row>
    <row r="748" spans="1:29" ht="15.75" customHeight="1" x14ac:dyDescent="0.2">
      <c r="A748" s="885"/>
      <c r="B748" s="885"/>
      <c r="C748" s="885"/>
      <c r="D748" s="885"/>
      <c r="E748" s="885"/>
      <c r="F748" s="885"/>
      <c r="G748" s="885"/>
      <c r="H748" s="885"/>
      <c r="I748" s="885"/>
      <c r="J748" s="885"/>
      <c r="K748" s="885"/>
      <c r="L748" s="885"/>
      <c r="M748" s="885"/>
      <c r="N748" s="885"/>
      <c r="O748" s="885"/>
      <c r="P748" s="885"/>
      <c r="Q748" s="885"/>
      <c r="R748" s="885"/>
      <c r="S748" s="885"/>
      <c r="T748" s="885"/>
      <c r="U748" s="885"/>
      <c r="V748" s="885"/>
      <c r="W748" s="885"/>
      <c r="X748" s="885"/>
      <c r="Y748" s="885"/>
      <c r="Z748" s="885"/>
      <c r="AA748" s="885"/>
      <c r="AB748" s="885"/>
      <c r="AC748" s="885"/>
    </row>
    <row r="749" spans="1:29" ht="15.75" customHeight="1" x14ac:dyDescent="0.2">
      <c r="A749" s="885"/>
      <c r="B749" s="885"/>
      <c r="C749" s="885"/>
      <c r="D749" s="885"/>
      <c r="E749" s="885"/>
      <c r="F749" s="885"/>
      <c r="G749" s="885"/>
      <c r="H749" s="885"/>
      <c r="I749" s="885"/>
      <c r="J749" s="885"/>
      <c r="K749" s="885"/>
      <c r="L749" s="885"/>
      <c r="M749" s="885"/>
      <c r="N749" s="885"/>
      <c r="O749" s="885"/>
      <c r="P749" s="885"/>
      <c r="Q749" s="885"/>
      <c r="R749" s="885"/>
      <c r="S749" s="885"/>
      <c r="T749" s="885"/>
      <c r="U749" s="885"/>
      <c r="V749" s="885"/>
      <c r="W749" s="885"/>
      <c r="X749" s="885"/>
      <c r="Y749" s="885"/>
      <c r="Z749" s="885"/>
      <c r="AA749" s="885"/>
      <c r="AB749" s="885"/>
      <c r="AC749" s="885"/>
    </row>
    <row r="750" spans="1:29" ht="15.75" customHeight="1" x14ac:dyDescent="0.2">
      <c r="A750" s="885"/>
      <c r="B750" s="885"/>
      <c r="C750" s="885"/>
      <c r="D750" s="885"/>
      <c r="E750" s="885"/>
      <c r="F750" s="885"/>
      <c r="G750" s="885"/>
      <c r="H750" s="885"/>
      <c r="I750" s="885"/>
      <c r="J750" s="885"/>
      <c r="K750" s="885"/>
      <c r="L750" s="885"/>
      <c r="M750" s="885"/>
      <c r="N750" s="885"/>
      <c r="O750" s="885"/>
      <c r="P750" s="885"/>
      <c r="Q750" s="885"/>
      <c r="R750" s="885"/>
      <c r="S750" s="885"/>
      <c r="T750" s="885"/>
      <c r="U750" s="885"/>
      <c r="V750" s="885"/>
      <c r="W750" s="885"/>
      <c r="X750" s="885"/>
      <c r="Y750" s="885"/>
      <c r="Z750" s="885"/>
      <c r="AA750" s="885"/>
      <c r="AB750" s="885"/>
      <c r="AC750" s="885"/>
    </row>
    <row r="751" spans="1:29" ht="15.75" customHeight="1" x14ac:dyDescent="0.2">
      <c r="A751" s="885"/>
      <c r="B751" s="885"/>
      <c r="C751" s="885"/>
      <c r="D751" s="885"/>
      <c r="E751" s="885"/>
      <c r="F751" s="885"/>
      <c r="G751" s="885"/>
      <c r="H751" s="885"/>
      <c r="I751" s="885"/>
      <c r="J751" s="885"/>
      <c r="K751" s="885"/>
      <c r="L751" s="885"/>
      <c r="M751" s="885"/>
      <c r="N751" s="885"/>
      <c r="O751" s="885"/>
      <c r="P751" s="885"/>
      <c r="Q751" s="885"/>
      <c r="R751" s="885"/>
      <c r="S751" s="885"/>
      <c r="T751" s="885"/>
      <c r="U751" s="885"/>
      <c r="V751" s="885"/>
      <c r="W751" s="885"/>
      <c r="X751" s="885"/>
      <c r="Y751" s="885"/>
      <c r="Z751" s="885"/>
      <c r="AA751" s="885"/>
      <c r="AB751" s="885"/>
      <c r="AC751" s="885"/>
    </row>
    <row r="752" spans="1:29" ht="15.75" customHeight="1" x14ac:dyDescent="0.2">
      <c r="A752" s="885"/>
      <c r="B752" s="885"/>
      <c r="C752" s="885"/>
      <c r="D752" s="885"/>
      <c r="E752" s="885"/>
      <c r="F752" s="885"/>
      <c r="G752" s="885"/>
      <c r="H752" s="885"/>
      <c r="I752" s="885"/>
      <c r="J752" s="885"/>
      <c r="K752" s="885"/>
      <c r="L752" s="885"/>
      <c r="M752" s="885"/>
      <c r="N752" s="885"/>
      <c r="O752" s="885"/>
      <c r="P752" s="885"/>
      <c r="Q752" s="885"/>
      <c r="R752" s="885"/>
      <c r="S752" s="885"/>
      <c r="T752" s="885"/>
      <c r="U752" s="885"/>
      <c r="V752" s="885"/>
      <c r="W752" s="885"/>
      <c r="X752" s="885"/>
      <c r="Y752" s="885"/>
      <c r="Z752" s="885"/>
      <c r="AA752" s="885"/>
      <c r="AB752" s="885"/>
      <c r="AC752" s="885"/>
    </row>
    <row r="753" spans="1:29" ht="15.75" customHeight="1" x14ac:dyDescent="0.2">
      <c r="A753" s="885"/>
      <c r="B753" s="885"/>
      <c r="C753" s="885"/>
      <c r="D753" s="885"/>
      <c r="E753" s="885"/>
      <c r="F753" s="885"/>
      <c r="G753" s="885"/>
      <c r="H753" s="885"/>
      <c r="I753" s="885"/>
      <c r="J753" s="885"/>
      <c r="K753" s="885"/>
      <c r="L753" s="885"/>
      <c r="M753" s="885"/>
      <c r="N753" s="885"/>
      <c r="O753" s="885"/>
      <c r="P753" s="885"/>
      <c r="Q753" s="885"/>
      <c r="R753" s="885"/>
      <c r="S753" s="885"/>
      <c r="T753" s="885"/>
      <c r="U753" s="885"/>
      <c r="V753" s="885"/>
      <c r="W753" s="885"/>
      <c r="X753" s="885"/>
      <c r="Y753" s="885"/>
      <c r="Z753" s="885"/>
      <c r="AA753" s="885"/>
      <c r="AB753" s="885"/>
      <c r="AC753" s="885"/>
    </row>
    <row r="754" spans="1:29" ht="15.75" customHeight="1" x14ac:dyDescent="0.2">
      <c r="A754" s="885"/>
      <c r="B754" s="885"/>
      <c r="C754" s="885"/>
      <c r="D754" s="885"/>
      <c r="E754" s="885"/>
      <c r="F754" s="885"/>
      <c r="G754" s="885"/>
      <c r="H754" s="885"/>
      <c r="I754" s="885"/>
      <c r="J754" s="885"/>
      <c r="K754" s="885"/>
      <c r="L754" s="885"/>
      <c r="M754" s="885"/>
      <c r="N754" s="885"/>
      <c r="O754" s="885"/>
      <c r="P754" s="885"/>
      <c r="Q754" s="885"/>
      <c r="R754" s="885"/>
      <c r="S754" s="885"/>
      <c r="T754" s="885"/>
      <c r="U754" s="885"/>
      <c r="V754" s="885"/>
      <c r="W754" s="885"/>
      <c r="X754" s="885"/>
      <c r="Y754" s="885"/>
      <c r="Z754" s="885"/>
      <c r="AA754" s="885"/>
      <c r="AB754" s="885"/>
      <c r="AC754" s="885"/>
    </row>
    <row r="755" spans="1:29" ht="15.75" customHeight="1" x14ac:dyDescent="0.2">
      <c r="A755" s="885"/>
      <c r="B755" s="885"/>
      <c r="C755" s="885"/>
      <c r="D755" s="885"/>
      <c r="E755" s="885"/>
      <c r="F755" s="885"/>
      <c r="G755" s="885"/>
      <c r="H755" s="885"/>
      <c r="I755" s="885"/>
      <c r="J755" s="885"/>
      <c r="K755" s="885"/>
      <c r="L755" s="885"/>
      <c r="M755" s="885"/>
      <c r="N755" s="885"/>
      <c r="O755" s="885"/>
      <c r="P755" s="885"/>
      <c r="Q755" s="885"/>
      <c r="R755" s="885"/>
      <c r="S755" s="885"/>
      <c r="T755" s="885"/>
      <c r="U755" s="885"/>
      <c r="V755" s="885"/>
      <c r="W755" s="885"/>
      <c r="X755" s="885"/>
      <c r="Y755" s="885"/>
      <c r="Z755" s="885"/>
      <c r="AA755" s="885"/>
      <c r="AB755" s="885"/>
      <c r="AC755" s="885"/>
    </row>
    <row r="756" spans="1:29" ht="15.75" customHeight="1" x14ac:dyDescent="0.2">
      <c r="A756" s="885"/>
      <c r="B756" s="885"/>
      <c r="C756" s="885"/>
      <c r="D756" s="885"/>
      <c r="E756" s="885"/>
      <c r="F756" s="885"/>
      <c r="G756" s="885"/>
      <c r="H756" s="885"/>
      <c r="I756" s="885"/>
      <c r="J756" s="885"/>
      <c r="K756" s="885"/>
      <c r="L756" s="885"/>
      <c r="M756" s="885"/>
      <c r="N756" s="885"/>
      <c r="O756" s="885"/>
      <c r="P756" s="885"/>
      <c r="Q756" s="885"/>
      <c r="R756" s="885"/>
      <c r="S756" s="885"/>
      <c r="T756" s="885"/>
      <c r="U756" s="885"/>
      <c r="V756" s="885"/>
      <c r="W756" s="885"/>
      <c r="X756" s="885"/>
      <c r="Y756" s="885"/>
      <c r="Z756" s="885"/>
      <c r="AA756" s="885"/>
      <c r="AB756" s="885"/>
      <c r="AC756" s="885"/>
    </row>
    <row r="757" spans="1:29" ht="15.75" customHeight="1" x14ac:dyDescent="0.2">
      <c r="A757" s="885"/>
      <c r="B757" s="885"/>
      <c r="C757" s="885"/>
      <c r="D757" s="885"/>
      <c r="E757" s="885"/>
      <c r="F757" s="885"/>
      <c r="G757" s="885"/>
      <c r="H757" s="885"/>
      <c r="I757" s="885"/>
      <c r="J757" s="885"/>
      <c r="K757" s="885"/>
      <c r="L757" s="885"/>
      <c r="M757" s="885"/>
      <c r="N757" s="885"/>
      <c r="O757" s="885"/>
      <c r="P757" s="885"/>
      <c r="Q757" s="885"/>
      <c r="R757" s="885"/>
      <c r="S757" s="885"/>
      <c r="T757" s="885"/>
      <c r="U757" s="885"/>
      <c r="V757" s="885"/>
      <c r="W757" s="885"/>
      <c r="X757" s="885"/>
      <c r="Y757" s="885"/>
      <c r="Z757" s="885"/>
      <c r="AA757" s="885"/>
      <c r="AB757" s="885"/>
      <c r="AC757" s="885"/>
    </row>
    <row r="758" spans="1:29" ht="15.75" customHeight="1" x14ac:dyDescent="0.2">
      <c r="A758" s="885"/>
      <c r="B758" s="885"/>
      <c r="C758" s="885"/>
      <c r="D758" s="885"/>
      <c r="E758" s="885"/>
      <c r="F758" s="885"/>
      <c r="G758" s="885"/>
      <c r="H758" s="885"/>
      <c r="I758" s="885"/>
      <c r="J758" s="885"/>
      <c r="K758" s="885"/>
      <c r="L758" s="885"/>
      <c r="M758" s="885"/>
      <c r="N758" s="885"/>
      <c r="O758" s="885"/>
      <c r="P758" s="885"/>
      <c r="Q758" s="885"/>
      <c r="R758" s="885"/>
      <c r="S758" s="885"/>
      <c r="T758" s="885"/>
      <c r="U758" s="885"/>
      <c r="V758" s="885"/>
      <c r="W758" s="885"/>
      <c r="X758" s="885"/>
      <c r="Y758" s="885"/>
      <c r="Z758" s="885"/>
      <c r="AA758" s="885"/>
      <c r="AB758" s="885"/>
      <c r="AC758" s="885"/>
    </row>
    <row r="759" spans="1:29" ht="15.75" customHeight="1" x14ac:dyDescent="0.2">
      <c r="A759" s="885"/>
      <c r="B759" s="885"/>
      <c r="C759" s="885"/>
      <c r="D759" s="885"/>
      <c r="E759" s="885"/>
      <c r="F759" s="885"/>
      <c r="G759" s="885"/>
      <c r="H759" s="885"/>
      <c r="I759" s="885"/>
      <c r="J759" s="885"/>
      <c r="K759" s="885"/>
      <c r="L759" s="885"/>
      <c r="M759" s="885"/>
      <c r="N759" s="885"/>
      <c r="O759" s="885"/>
      <c r="P759" s="885"/>
      <c r="Q759" s="885"/>
      <c r="R759" s="885"/>
      <c r="S759" s="885"/>
      <c r="T759" s="885"/>
      <c r="U759" s="885"/>
      <c r="V759" s="885"/>
      <c r="W759" s="885"/>
      <c r="X759" s="885"/>
      <c r="Y759" s="885"/>
      <c r="Z759" s="885"/>
      <c r="AA759" s="885"/>
      <c r="AB759" s="885"/>
      <c r="AC759" s="885"/>
    </row>
    <row r="760" spans="1:29" ht="15.75" customHeight="1" x14ac:dyDescent="0.2">
      <c r="A760" s="885"/>
      <c r="B760" s="885"/>
      <c r="C760" s="885"/>
      <c r="D760" s="885"/>
      <c r="E760" s="885"/>
      <c r="F760" s="885"/>
      <c r="G760" s="885"/>
      <c r="H760" s="885"/>
      <c r="I760" s="885"/>
      <c r="J760" s="885"/>
      <c r="K760" s="885"/>
      <c r="L760" s="885"/>
      <c r="M760" s="885"/>
      <c r="N760" s="885"/>
      <c r="O760" s="885"/>
      <c r="P760" s="885"/>
      <c r="Q760" s="885"/>
      <c r="R760" s="885"/>
      <c r="S760" s="885"/>
      <c r="T760" s="885"/>
      <c r="U760" s="885"/>
      <c r="V760" s="885"/>
      <c r="W760" s="885"/>
      <c r="X760" s="885"/>
      <c r="Y760" s="885"/>
      <c r="Z760" s="885"/>
      <c r="AA760" s="885"/>
      <c r="AB760" s="885"/>
      <c r="AC760" s="885"/>
    </row>
    <row r="761" spans="1:29" ht="15.75" customHeight="1" x14ac:dyDescent="0.2">
      <c r="A761" s="885"/>
      <c r="B761" s="885"/>
      <c r="C761" s="885"/>
      <c r="D761" s="885"/>
      <c r="E761" s="885"/>
      <c r="F761" s="885"/>
      <c r="G761" s="885"/>
      <c r="H761" s="885"/>
      <c r="I761" s="885"/>
      <c r="J761" s="885"/>
      <c r="K761" s="885"/>
      <c r="L761" s="885"/>
      <c r="M761" s="885"/>
      <c r="N761" s="885"/>
      <c r="O761" s="885"/>
      <c r="P761" s="885"/>
      <c r="Q761" s="885"/>
      <c r="R761" s="885"/>
      <c r="S761" s="885"/>
      <c r="T761" s="885"/>
      <c r="U761" s="885"/>
      <c r="V761" s="885"/>
      <c r="W761" s="885"/>
      <c r="X761" s="885"/>
      <c r="Y761" s="885"/>
      <c r="Z761" s="885"/>
      <c r="AA761" s="885"/>
      <c r="AB761" s="885"/>
      <c r="AC761" s="885"/>
    </row>
    <row r="762" spans="1:29" ht="15.75" customHeight="1" x14ac:dyDescent="0.2">
      <c r="A762" s="885"/>
      <c r="B762" s="885"/>
      <c r="C762" s="885"/>
      <c r="D762" s="885"/>
      <c r="E762" s="885"/>
      <c r="F762" s="885"/>
      <c r="G762" s="885"/>
      <c r="H762" s="885"/>
      <c r="I762" s="885"/>
      <c r="J762" s="885"/>
      <c r="K762" s="885"/>
      <c r="L762" s="885"/>
      <c r="M762" s="885"/>
      <c r="N762" s="885"/>
      <c r="O762" s="885"/>
      <c r="P762" s="885"/>
      <c r="Q762" s="885"/>
      <c r="R762" s="885"/>
      <c r="S762" s="885"/>
      <c r="T762" s="885"/>
      <c r="U762" s="885"/>
      <c r="V762" s="885"/>
      <c r="W762" s="885"/>
      <c r="X762" s="885"/>
      <c r="Y762" s="885"/>
      <c r="Z762" s="885"/>
      <c r="AA762" s="885"/>
      <c r="AB762" s="885"/>
      <c r="AC762" s="885"/>
    </row>
    <row r="763" spans="1:29" ht="15.75" customHeight="1" x14ac:dyDescent="0.2">
      <c r="A763" s="885"/>
      <c r="B763" s="885"/>
      <c r="C763" s="885"/>
      <c r="D763" s="885"/>
      <c r="E763" s="885"/>
      <c r="F763" s="885"/>
      <c r="G763" s="885"/>
      <c r="H763" s="885"/>
      <c r="I763" s="885"/>
      <c r="J763" s="885"/>
      <c r="K763" s="885"/>
      <c r="L763" s="885"/>
      <c r="M763" s="885"/>
      <c r="N763" s="885"/>
      <c r="O763" s="885"/>
      <c r="P763" s="885"/>
      <c r="Q763" s="885"/>
      <c r="R763" s="885"/>
      <c r="S763" s="885"/>
      <c r="T763" s="885"/>
      <c r="U763" s="885"/>
      <c r="V763" s="885"/>
      <c r="W763" s="885"/>
      <c r="X763" s="885"/>
      <c r="Y763" s="885"/>
      <c r="Z763" s="885"/>
      <c r="AA763" s="885"/>
      <c r="AB763" s="885"/>
      <c r="AC763" s="885"/>
    </row>
    <row r="764" spans="1:29" ht="15.75" customHeight="1" x14ac:dyDescent="0.2">
      <c r="A764" s="885"/>
      <c r="B764" s="885"/>
      <c r="C764" s="885"/>
      <c r="D764" s="885"/>
      <c r="E764" s="885"/>
      <c r="F764" s="885"/>
      <c r="G764" s="885"/>
      <c r="H764" s="885"/>
      <c r="I764" s="885"/>
      <c r="J764" s="885"/>
      <c r="K764" s="885"/>
      <c r="L764" s="885"/>
      <c r="M764" s="885"/>
      <c r="N764" s="885"/>
      <c r="O764" s="885"/>
      <c r="P764" s="885"/>
      <c r="Q764" s="885"/>
      <c r="R764" s="885"/>
      <c r="S764" s="885"/>
      <c r="T764" s="885"/>
      <c r="U764" s="885"/>
      <c r="V764" s="885"/>
      <c r="W764" s="885"/>
      <c r="X764" s="885"/>
      <c r="Y764" s="885"/>
      <c r="Z764" s="885"/>
      <c r="AA764" s="885"/>
      <c r="AB764" s="885"/>
      <c r="AC764" s="885"/>
    </row>
    <row r="765" spans="1:29" ht="15.75" customHeight="1" x14ac:dyDescent="0.2">
      <c r="A765" s="885"/>
      <c r="B765" s="885"/>
      <c r="C765" s="885"/>
      <c r="D765" s="885"/>
      <c r="E765" s="885"/>
      <c r="F765" s="885"/>
      <c r="G765" s="885"/>
      <c r="H765" s="885"/>
      <c r="I765" s="885"/>
      <c r="J765" s="885"/>
      <c r="K765" s="885"/>
      <c r="L765" s="885"/>
      <c r="M765" s="885"/>
      <c r="N765" s="885"/>
      <c r="O765" s="885"/>
      <c r="P765" s="885"/>
      <c r="Q765" s="885"/>
      <c r="R765" s="885"/>
      <c r="S765" s="885"/>
      <c r="T765" s="885"/>
      <c r="U765" s="885"/>
      <c r="V765" s="885"/>
      <c r="W765" s="885"/>
      <c r="X765" s="885"/>
      <c r="Y765" s="885"/>
      <c r="Z765" s="885"/>
      <c r="AA765" s="885"/>
      <c r="AB765" s="885"/>
      <c r="AC765" s="885"/>
    </row>
    <row r="766" spans="1:29" ht="15.75" customHeight="1" x14ac:dyDescent="0.2">
      <c r="A766" s="885"/>
      <c r="B766" s="885"/>
      <c r="C766" s="885"/>
      <c r="D766" s="885"/>
      <c r="E766" s="885"/>
      <c r="F766" s="885"/>
      <c r="G766" s="885"/>
      <c r="H766" s="885"/>
      <c r="I766" s="885"/>
      <c r="J766" s="885"/>
      <c r="K766" s="885"/>
      <c r="L766" s="885"/>
      <c r="M766" s="885"/>
      <c r="N766" s="885"/>
      <c r="O766" s="885"/>
      <c r="P766" s="885"/>
      <c r="Q766" s="885"/>
      <c r="R766" s="885"/>
      <c r="S766" s="885"/>
      <c r="T766" s="885"/>
      <c r="U766" s="885"/>
      <c r="V766" s="885"/>
      <c r="W766" s="885"/>
      <c r="X766" s="885"/>
      <c r="Y766" s="885"/>
      <c r="Z766" s="885"/>
      <c r="AA766" s="885"/>
      <c r="AB766" s="885"/>
      <c r="AC766" s="885"/>
    </row>
    <row r="767" spans="1:29" ht="15.75" customHeight="1" x14ac:dyDescent="0.2">
      <c r="A767" s="885"/>
      <c r="B767" s="885"/>
      <c r="C767" s="885"/>
      <c r="D767" s="885"/>
      <c r="E767" s="885"/>
      <c r="F767" s="885"/>
      <c r="G767" s="885"/>
      <c r="H767" s="885"/>
      <c r="I767" s="885"/>
      <c r="J767" s="885"/>
      <c r="K767" s="885"/>
      <c r="L767" s="885"/>
      <c r="M767" s="885"/>
      <c r="N767" s="885"/>
      <c r="O767" s="885"/>
      <c r="P767" s="885"/>
      <c r="Q767" s="885"/>
      <c r="R767" s="885"/>
      <c r="S767" s="885"/>
      <c r="T767" s="885"/>
      <c r="U767" s="885"/>
      <c r="V767" s="885"/>
      <c r="W767" s="885"/>
      <c r="X767" s="885"/>
      <c r="Y767" s="885"/>
      <c r="Z767" s="885"/>
      <c r="AA767" s="885"/>
      <c r="AB767" s="885"/>
      <c r="AC767" s="885"/>
    </row>
    <row r="768" spans="1:29" ht="15.75" customHeight="1" x14ac:dyDescent="0.2">
      <c r="A768" s="885"/>
      <c r="B768" s="885"/>
      <c r="C768" s="885"/>
      <c r="D768" s="885"/>
      <c r="E768" s="885"/>
      <c r="F768" s="885"/>
      <c r="G768" s="885"/>
      <c r="H768" s="885"/>
      <c r="I768" s="885"/>
      <c r="J768" s="885"/>
      <c r="K768" s="885"/>
      <c r="L768" s="885"/>
      <c r="M768" s="885"/>
      <c r="N768" s="885"/>
      <c r="O768" s="885"/>
      <c r="P768" s="885"/>
      <c r="Q768" s="885"/>
      <c r="R768" s="885"/>
      <c r="S768" s="885"/>
      <c r="T768" s="885"/>
      <c r="U768" s="885"/>
      <c r="V768" s="885"/>
      <c r="W768" s="885"/>
      <c r="X768" s="885"/>
      <c r="Y768" s="885"/>
      <c r="Z768" s="885"/>
      <c r="AA768" s="885"/>
      <c r="AB768" s="885"/>
      <c r="AC768" s="885"/>
    </row>
    <row r="769" spans="1:29" ht="15.75" customHeight="1" x14ac:dyDescent="0.2">
      <c r="A769" s="885"/>
      <c r="B769" s="885"/>
      <c r="C769" s="885"/>
      <c r="D769" s="885"/>
      <c r="E769" s="885"/>
      <c r="F769" s="885"/>
      <c r="G769" s="885"/>
      <c r="H769" s="885"/>
      <c r="I769" s="885"/>
      <c r="J769" s="885"/>
      <c r="K769" s="885"/>
      <c r="L769" s="885"/>
      <c r="M769" s="885"/>
      <c r="N769" s="885"/>
      <c r="O769" s="885"/>
      <c r="P769" s="885"/>
      <c r="Q769" s="885"/>
      <c r="R769" s="885"/>
      <c r="S769" s="885"/>
      <c r="T769" s="885"/>
      <c r="U769" s="885"/>
      <c r="V769" s="885"/>
      <c r="W769" s="885"/>
      <c r="X769" s="885"/>
      <c r="Y769" s="885"/>
      <c r="Z769" s="885"/>
      <c r="AA769" s="885"/>
      <c r="AB769" s="885"/>
      <c r="AC769" s="885"/>
    </row>
    <row r="770" spans="1:29" ht="15.75" customHeight="1" x14ac:dyDescent="0.2">
      <c r="A770" s="885"/>
      <c r="B770" s="885"/>
      <c r="C770" s="885"/>
      <c r="D770" s="885"/>
      <c r="E770" s="885"/>
      <c r="F770" s="885"/>
      <c r="G770" s="885"/>
      <c r="H770" s="885"/>
      <c r="I770" s="885"/>
      <c r="J770" s="885"/>
      <c r="K770" s="885"/>
      <c r="L770" s="885"/>
      <c r="M770" s="885"/>
      <c r="N770" s="885"/>
      <c r="O770" s="885"/>
      <c r="P770" s="885"/>
      <c r="Q770" s="885"/>
      <c r="R770" s="885"/>
      <c r="S770" s="885"/>
      <c r="T770" s="885"/>
      <c r="U770" s="885"/>
      <c r="V770" s="885"/>
      <c r="W770" s="885"/>
      <c r="X770" s="885"/>
      <c r="Y770" s="885"/>
      <c r="Z770" s="885"/>
      <c r="AA770" s="885"/>
      <c r="AB770" s="885"/>
      <c r="AC770" s="885"/>
    </row>
    <row r="771" spans="1:29" ht="15.75" customHeight="1" x14ac:dyDescent="0.2">
      <c r="A771" s="885"/>
      <c r="B771" s="885"/>
      <c r="C771" s="885"/>
      <c r="D771" s="885"/>
      <c r="E771" s="885"/>
      <c r="F771" s="885"/>
      <c r="G771" s="885"/>
      <c r="H771" s="885"/>
      <c r="I771" s="885"/>
      <c r="J771" s="885"/>
      <c r="K771" s="885"/>
      <c r="L771" s="885"/>
      <c r="M771" s="885"/>
      <c r="N771" s="885"/>
      <c r="O771" s="885"/>
      <c r="P771" s="885"/>
      <c r="Q771" s="885"/>
      <c r="R771" s="885"/>
      <c r="S771" s="885"/>
      <c r="T771" s="885"/>
      <c r="U771" s="885"/>
      <c r="V771" s="885"/>
      <c r="W771" s="885"/>
      <c r="X771" s="885"/>
      <c r="Y771" s="885"/>
      <c r="Z771" s="885"/>
      <c r="AA771" s="885"/>
      <c r="AB771" s="885"/>
      <c r="AC771" s="885"/>
    </row>
    <row r="772" spans="1:29" ht="15.75" customHeight="1" x14ac:dyDescent="0.2">
      <c r="A772" s="885"/>
      <c r="B772" s="885"/>
      <c r="C772" s="885"/>
      <c r="D772" s="885"/>
      <c r="E772" s="885"/>
      <c r="F772" s="885"/>
      <c r="G772" s="885"/>
      <c r="H772" s="885"/>
      <c r="I772" s="885"/>
      <c r="J772" s="885"/>
      <c r="K772" s="885"/>
      <c r="L772" s="885"/>
      <c r="M772" s="885"/>
      <c r="N772" s="885"/>
      <c r="O772" s="885"/>
      <c r="P772" s="885"/>
      <c r="Q772" s="885"/>
      <c r="R772" s="885"/>
      <c r="S772" s="885"/>
      <c r="T772" s="885"/>
      <c r="U772" s="885"/>
      <c r="V772" s="885"/>
      <c r="W772" s="885"/>
      <c r="X772" s="885"/>
      <c r="Y772" s="885"/>
      <c r="Z772" s="885"/>
      <c r="AA772" s="885"/>
      <c r="AB772" s="885"/>
      <c r="AC772" s="885"/>
    </row>
    <row r="773" spans="1:29" ht="15.75" customHeight="1" x14ac:dyDescent="0.2">
      <c r="A773" s="885"/>
      <c r="B773" s="885"/>
      <c r="C773" s="885"/>
      <c r="D773" s="885"/>
      <c r="E773" s="885"/>
      <c r="F773" s="885"/>
      <c r="G773" s="885"/>
      <c r="H773" s="885"/>
      <c r="I773" s="885"/>
      <c r="J773" s="885"/>
      <c r="K773" s="885"/>
      <c r="L773" s="885"/>
      <c r="M773" s="885"/>
      <c r="N773" s="885"/>
      <c r="O773" s="885"/>
      <c r="P773" s="885"/>
      <c r="Q773" s="885"/>
      <c r="R773" s="885"/>
      <c r="S773" s="885"/>
      <c r="T773" s="885"/>
      <c r="U773" s="885"/>
      <c r="V773" s="885"/>
      <c r="W773" s="885"/>
      <c r="X773" s="885"/>
      <c r="Y773" s="885"/>
      <c r="Z773" s="885"/>
      <c r="AA773" s="885"/>
      <c r="AB773" s="885"/>
      <c r="AC773" s="885"/>
    </row>
    <row r="774" spans="1:29" ht="15.75" customHeight="1" x14ac:dyDescent="0.2">
      <c r="A774" s="885"/>
      <c r="B774" s="885"/>
      <c r="C774" s="885"/>
      <c r="D774" s="885"/>
      <c r="E774" s="885"/>
      <c r="F774" s="885"/>
      <c r="G774" s="885"/>
      <c r="H774" s="885"/>
      <c r="I774" s="885"/>
      <c r="J774" s="885"/>
      <c r="K774" s="885"/>
      <c r="L774" s="885"/>
      <c r="M774" s="885"/>
      <c r="N774" s="885"/>
      <c r="O774" s="885"/>
      <c r="P774" s="885"/>
      <c r="Q774" s="885"/>
      <c r="R774" s="885"/>
      <c r="S774" s="885"/>
      <c r="T774" s="885"/>
      <c r="U774" s="885"/>
      <c r="V774" s="885"/>
      <c r="W774" s="885"/>
      <c r="X774" s="885"/>
      <c r="Y774" s="885"/>
      <c r="Z774" s="885"/>
      <c r="AA774" s="885"/>
      <c r="AB774" s="885"/>
      <c r="AC774" s="885"/>
    </row>
    <row r="775" spans="1:29" ht="15.75" customHeight="1" x14ac:dyDescent="0.2">
      <c r="A775" s="885"/>
      <c r="B775" s="885"/>
      <c r="C775" s="885"/>
      <c r="D775" s="885"/>
      <c r="E775" s="885"/>
      <c r="F775" s="885"/>
      <c r="G775" s="885"/>
      <c r="H775" s="885"/>
      <c r="I775" s="885"/>
      <c r="J775" s="885"/>
      <c r="K775" s="885"/>
      <c r="L775" s="885"/>
      <c r="M775" s="885"/>
      <c r="N775" s="885"/>
      <c r="O775" s="885"/>
      <c r="P775" s="885"/>
      <c r="Q775" s="885"/>
      <c r="R775" s="885"/>
      <c r="S775" s="885"/>
      <c r="T775" s="885"/>
      <c r="U775" s="885"/>
      <c r="V775" s="885"/>
      <c r="W775" s="885"/>
      <c r="X775" s="885"/>
      <c r="Y775" s="885"/>
      <c r="Z775" s="885"/>
      <c r="AA775" s="885"/>
      <c r="AB775" s="885"/>
      <c r="AC775" s="885"/>
    </row>
    <row r="776" spans="1:29" ht="15.75" customHeight="1" x14ac:dyDescent="0.2">
      <c r="A776" s="885"/>
      <c r="B776" s="885"/>
      <c r="C776" s="885"/>
      <c r="D776" s="885"/>
      <c r="E776" s="885"/>
      <c r="F776" s="885"/>
      <c r="G776" s="885"/>
      <c r="H776" s="885"/>
      <c r="I776" s="885"/>
      <c r="J776" s="885"/>
      <c r="K776" s="885"/>
      <c r="L776" s="885"/>
      <c r="M776" s="885"/>
      <c r="N776" s="885"/>
      <c r="O776" s="885"/>
      <c r="P776" s="885"/>
      <c r="Q776" s="885"/>
      <c r="R776" s="885"/>
      <c r="S776" s="885"/>
      <c r="T776" s="885"/>
      <c r="U776" s="885"/>
      <c r="V776" s="885"/>
      <c r="W776" s="885"/>
      <c r="X776" s="885"/>
      <c r="Y776" s="885"/>
      <c r="Z776" s="885"/>
      <c r="AA776" s="885"/>
      <c r="AB776" s="885"/>
      <c r="AC776" s="885"/>
    </row>
    <row r="777" spans="1:29" ht="15.75" customHeight="1" x14ac:dyDescent="0.2">
      <c r="A777" s="885"/>
      <c r="B777" s="885"/>
      <c r="C777" s="885"/>
      <c r="D777" s="885"/>
      <c r="E777" s="885"/>
      <c r="F777" s="885"/>
      <c r="G777" s="885"/>
      <c r="H777" s="885"/>
      <c r="I777" s="885"/>
      <c r="J777" s="885"/>
      <c r="K777" s="885"/>
      <c r="L777" s="885"/>
      <c r="M777" s="885"/>
      <c r="N777" s="885"/>
      <c r="O777" s="885"/>
      <c r="P777" s="885"/>
      <c r="Q777" s="885"/>
      <c r="R777" s="885"/>
      <c r="S777" s="885"/>
      <c r="T777" s="885"/>
      <c r="U777" s="885"/>
      <c r="V777" s="885"/>
      <c r="W777" s="885"/>
      <c r="X777" s="885"/>
      <c r="Y777" s="885"/>
      <c r="Z777" s="885"/>
      <c r="AA777" s="885"/>
      <c r="AB777" s="885"/>
      <c r="AC777" s="885"/>
    </row>
    <row r="778" spans="1:29" ht="15.75" customHeight="1" x14ac:dyDescent="0.2">
      <c r="A778" s="885"/>
      <c r="B778" s="885"/>
      <c r="C778" s="885"/>
      <c r="D778" s="885"/>
      <c r="E778" s="885"/>
      <c r="F778" s="885"/>
      <c r="G778" s="885"/>
      <c r="H778" s="885"/>
      <c r="I778" s="885"/>
      <c r="J778" s="885"/>
      <c r="K778" s="885"/>
      <c r="L778" s="885"/>
      <c r="M778" s="885"/>
      <c r="N778" s="885"/>
      <c r="O778" s="885"/>
      <c r="P778" s="885"/>
      <c r="Q778" s="885"/>
      <c r="R778" s="885"/>
      <c r="S778" s="885"/>
      <c r="T778" s="885"/>
      <c r="U778" s="885"/>
      <c r="V778" s="885"/>
      <c r="W778" s="885"/>
      <c r="X778" s="885"/>
      <c r="Y778" s="885"/>
      <c r="Z778" s="885"/>
      <c r="AA778" s="885"/>
      <c r="AB778" s="885"/>
      <c r="AC778" s="885"/>
    </row>
    <row r="779" spans="1:29" ht="15.75" customHeight="1" x14ac:dyDescent="0.2">
      <c r="A779" s="885"/>
      <c r="B779" s="885"/>
      <c r="C779" s="885"/>
      <c r="D779" s="885"/>
      <c r="E779" s="885"/>
      <c r="F779" s="885"/>
      <c r="G779" s="885"/>
      <c r="H779" s="885"/>
      <c r="I779" s="885"/>
      <c r="J779" s="885"/>
      <c r="K779" s="885"/>
      <c r="L779" s="885"/>
      <c r="M779" s="885"/>
      <c r="N779" s="885"/>
      <c r="O779" s="885"/>
      <c r="P779" s="885"/>
      <c r="Q779" s="885"/>
      <c r="R779" s="885"/>
      <c r="S779" s="885"/>
      <c r="T779" s="885"/>
      <c r="U779" s="885"/>
      <c r="V779" s="885"/>
      <c r="W779" s="885"/>
      <c r="X779" s="885"/>
      <c r="Y779" s="885"/>
      <c r="Z779" s="885"/>
      <c r="AA779" s="885"/>
      <c r="AB779" s="885"/>
      <c r="AC779" s="885"/>
    </row>
    <row r="780" spans="1:29" ht="15.75" customHeight="1" x14ac:dyDescent="0.2">
      <c r="A780" s="885"/>
      <c r="B780" s="885"/>
      <c r="C780" s="885"/>
      <c r="D780" s="885"/>
      <c r="E780" s="885"/>
      <c r="F780" s="885"/>
      <c r="G780" s="885"/>
      <c r="H780" s="885"/>
      <c r="I780" s="885"/>
      <c r="J780" s="885"/>
      <c r="K780" s="885"/>
      <c r="L780" s="885"/>
      <c r="M780" s="885"/>
      <c r="N780" s="885"/>
      <c r="O780" s="885"/>
      <c r="P780" s="885"/>
      <c r="Q780" s="885"/>
      <c r="R780" s="885"/>
      <c r="S780" s="885"/>
      <c r="T780" s="885"/>
      <c r="U780" s="885"/>
      <c r="V780" s="885"/>
      <c r="W780" s="885"/>
      <c r="X780" s="885"/>
      <c r="Y780" s="885"/>
      <c r="Z780" s="885"/>
      <c r="AA780" s="885"/>
      <c r="AB780" s="885"/>
      <c r="AC780" s="885"/>
    </row>
    <row r="781" spans="1:29" ht="15.75" customHeight="1" x14ac:dyDescent="0.2">
      <c r="A781" s="885"/>
      <c r="B781" s="885"/>
      <c r="C781" s="885"/>
      <c r="D781" s="885"/>
      <c r="E781" s="885"/>
      <c r="F781" s="885"/>
      <c r="G781" s="885"/>
      <c r="H781" s="885"/>
      <c r="I781" s="885"/>
      <c r="J781" s="885"/>
      <c r="K781" s="885"/>
      <c r="L781" s="885"/>
      <c r="M781" s="885"/>
      <c r="N781" s="885"/>
      <c r="O781" s="885"/>
      <c r="P781" s="885"/>
      <c r="Q781" s="885"/>
      <c r="R781" s="885"/>
      <c r="S781" s="885"/>
      <c r="T781" s="885"/>
      <c r="U781" s="885"/>
      <c r="V781" s="885"/>
      <c r="W781" s="885"/>
      <c r="X781" s="885"/>
      <c r="Y781" s="885"/>
      <c r="Z781" s="885"/>
      <c r="AA781" s="885"/>
      <c r="AB781" s="885"/>
      <c r="AC781" s="885"/>
    </row>
    <row r="782" spans="1:29" ht="15.75" customHeight="1" x14ac:dyDescent="0.2">
      <c r="A782" s="885"/>
      <c r="B782" s="885"/>
      <c r="C782" s="885"/>
      <c r="D782" s="885"/>
      <c r="E782" s="885"/>
      <c r="F782" s="885"/>
      <c r="G782" s="885"/>
      <c r="H782" s="885"/>
      <c r="I782" s="885"/>
      <c r="J782" s="885"/>
      <c r="K782" s="885"/>
      <c r="L782" s="885"/>
      <c r="M782" s="885"/>
      <c r="N782" s="885"/>
      <c r="O782" s="885"/>
      <c r="P782" s="885"/>
      <c r="Q782" s="885"/>
      <c r="R782" s="885"/>
      <c r="S782" s="885"/>
      <c r="T782" s="885"/>
      <c r="U782" s="885"/>
      <c r="V782" s="885"/>
      <c r="W782" s="885"/>
      <c r="X782" s="885"/>
      <c r="Y782" s="885"/>
      <c r="Z782" s="885"/>
      <c r="AA782" s="885"/>
      <c r="AB782" s="885"/>
      <c r="AC782" s="885"/>
    </row>
    <row r="783" spans="1:29" ht="15.75" customHeight="1" x14ac:dyDescent="0.2">
      <c r="A783" s="885"/>
      <c r="B783" s="885"/>
      <c r="C783" s="885"/>
      <c r="D783" s="885"/>
      <c r="E783" s="885"/>
      <c r="F783" s="885"/>
      <c r="G783" s="885"/>
      <c r="H783" s="885"/>
      <c r="I783" s="885"/>
      <c r="J783" s="885"/>
      <c r="K783" s="885"/>
      <c r="L783" s="885"/>
      <c r="M783" s="885"/>
      <c r="N783" s="885"/>
      <c r="O783" s="885"/>
      <c r="P783" s="885"/>
      <c r="Q783" s="885"/>
      <c r="R783" s="885"/>
      <c r="S783" s="885"/>
      <c r="T783" s="885"/>
      <c r="U783" s="885"/>
      <c r="V783" s="885"/>
      <c r="W783" s="885"/>
      <c r="X783" s="885"/>
      <c r="Y783" s="885"/>
      <c r="Z783" s="885"/>
      <c r="AA783" s="885"/>
      <c r="AB783" s="885"/>
      <c r="AC783" s="885"/>
    </row>
    <row r="784" spans="1:29" ht="15.75" customHeight="1" x14ac:dyDescent="0.2">
      <c r="A784" s="885"/>
      <c r="B784" s="885"/>
      <c r="C784" s="885"/>
      <c r="D784" s="885"/>
      <c r="E784" s="885"/>
      <c r="F784" s="885"/>
      <c r="G784" s="885"/>
      <c r="H784" s="885"/>
      <c r="I784" s="885"/>
      <c r="J784" s="885"/>
      <c r="K784" s="885"/>
      <c r="L784" s="885"/>
      <c r="M784" s="885"/>
      <c r="N784" s="885"/>
      <c r="O784" s="885"/>
      <c r="P784" s="885"/>
      <c r="Q784" s="885"/>
      <c r="R784" s="885"/>
      <c r="S784" s="885"/>
      <c r="T784" s="885"/>
      <c r="U784" s="885"/>
      <c r="V784" s="885"/>
      <c r="W784" s="885"/>
      <c r="X784" s="885"/>
      <c r="Y784" s="885"/>
      <c r="Z784" s="885"/>
      <c r="AA784" s="885"/>
      <c r="AB784" s="885"/>
      <c r="AC784" s="885"/>
    </row>
    <row r="785" spans="1:29" ht="15.75" customHeight="1" x14ac:dyDescent="0.2">
      <c r="A785" s="885"/>
      <c r="B785" s="885"/>
      <c r="C785" s="885"/>
      <c r="D785" s="885"/>
      <c r="E785" s="885"/>
      <c r="F785" s="885"/>
      <c r="G785" s="885"/>
      <c r="H785" s="885"/>
      <c r="I785" s="885"/>
      <c r="J785" s="885"/>
      <c r="K785" s="885"/>
      <c r="L785" s="885"/>
      <c r="M785" s="885"/>
      <c r="N785" s="885"/>
      <c r="O785" s="885"/>
      <c r="P785" s="885"/>
      <c r="Q785" s="885"/>
      <c r="R785" s="885"/>
      <c r="S785" s="885"/>
      <c r="T785" s="885"/>
      <c r="U785" s="885"/>
      <c r="V785" s="885"/>
      <c r="W785" s="885"/>
      <c r="X785" s="885"/>
      <c r="Y785" s="885"/>
      <c r="Z785" s="885"/>
      <c r="AA785" s="885"/>
      <c r="AB785" s="885"/>
      <c r="AC785" s="885"/>
    </row>
    <row r="786" spans="1:29" ht="15.75" customHeight="1" x14ac:dyDescent="0.2">
      <c r="A786" s="885"/>
      <c r="B786" s="885"/>
      <c r="C786" s="885"/>
      <c r="D786" s="885"/>
      <c r="E786" s="885"/>
      <c r="F786" s="885"/>
      <c r="G786" s="885"/>
      <c r="H786" s="885"/>
      <c r="I786" s="885"/>
      <c r="J786" s="885"/>
      <c r="K786" s="885"/>
      <c r="L786" s="885"/>
      <c r="M786" s="885"/>
      <c r="N786" s="885"/>
      <c r="O786" s="885"/>
      <c r="P786" s="885"/>
      <c r="Q786" s="885"/>
      <c r="R786" s="885"/>
      <c r="S786" s="885"/>
      <c r="T786" s="885"/>
      <c r="U786" s="885"/>
      <c r="V786" s="885"/>
      <c r="W786" s="885"/>
      <c r="X786" s="885"/>
      <c r="Y786" s="885"/>
      <c r="Z786" s="885"/>
      <c r="AA786" s="885"/>
      <c r="AB786" s="885"/>
      <c r="AC786" s="885"/>
    </row>
    <row r="787" spans="1:29" ht="15.75" customHeight="1" x14ac:dyDescent="0.2">
      <c r="A787" s="885"/>
      <c r="B787" s="885"/>
      <c r="C787" s="885"/>
      <c r="D787" s="885"/>
      <c r="E787" s="885"/>
      <c r="F787" s="885"/>
      <c r="G787" s="885"/>
      <c r="H787" s="885"/>
      <c r="I787" s="885"/>
      <c r="J787" s="885"/>
      <c r="K787" s="885"/>
      <c r="L787" s="885"/>
      <c r="M787" s="885"/>
      <c r="N787" s="885"/>
      <c r="O787" s="885"/>
      <c r="P787" s="885"/>
      <c r="Q787" s="885"/>
      <c r="R787" s="885"/>
      <c r="S787" s="885"/>
      <c r="T787" s="885"/>
      <c r="U787" s="885"/>
      <c r="V787" s="885"/>
      <c r="W787" s="885"/>
      <c r="X787" s="885"/>
      <c r="Y787" s="885"/>
      <c r="Z787" s="885"/>
      <c r="AA787" s="885"/>
      <c r="AB787" s="885"/>
      <c r="AC787" s="885"/>
    </row>
    <row r="788" spans="1:29" ht="15.75" customHeight="1" x14ac:dyDescent="0.2">
      <c r="A788" s="885"/>
      <c r="B788" s="885"/>
      <c r="C788" s="885"/>
      <c r="D788" s="885"/>
      <c r="E788" s="885"/>
      <c r="F788" s="885"/>
      <c r="G788" s="885"/>
      <c r="H788" s="885"/>
      <c r="I788" s="885"/>
      <c r="J788" s="885"/>
      <c r="K788" s="885"/>
      <c r="L788" s="885"/>
      <c r="M788" s="885"/>
      <c r="N788" s="885"/>
      <c r="O788" s="885"/>
      <c r="P788" s="885"/>
      <c r="Q788" s="885"/>
      <c r="R788" s="885"/>
      <c r="S788" s="885"/>
      <c r="T788" s="885"/>
      <c r="U788" s="885"/>
      <c r="V788" s="885"/>
      <c r="W788" s="885"/>
      <c r="X788" s="885"/>
      <c r="Y788" s="885"/>
      <c r="Z788" s="885"/>
      <c r="AA788" s="885"/>
      <c r="AB788" s="885"/>
      <c r="AC788" s="885"/>
    </row>
    <row r="789" spans="1:29" ht="15.75" customHeight="1" x14ac:dyDescent="0.2">
      <c r="A789" s="885"/>
      <c r="B789" s="885"/>
      <c r="C789" s="885"/>
      <c r="D789" s="885"/>
      <c r="E789" s="885"/>
      <c r="F789" s="885"/>
      <c r="G789" s="885"/>
      <c r="H789" s="885"/>
      <c r="I789" s="885"/>
      <c r="J789" s="885"/>
      <c r="K789" s="885"/>
      <c r="L789" s="885"/>
      <c r="M789" s="885"/>
      <c r="N789" s="885"/>
      <c r="O789" s="885"/>
      <c r="P789" s="885"/>
      <c r="Q789" s="885"/>
      <c r="R789" s="885"/>
      <c r="S789" s="885"/>
      <c r="T789" s="885"/>
      <c r="U789" s="885"/>
      <c r="V789" s="885"/>
      <c r="W789" s="885"/>
      <c r="X789" s="885"/>
      <c r="Y789" s="885"/>
      <c r="Z789" s="885"/>
      <c r="AA789" s="885"/>
      <c r="AB789" s="885"/>
      <c r="AC789" s="885"/>
    </row>
    <row r="790" spans="1:29" ht="15.75" customHeight="1" x14ac:dyDescent="0.2">
      <c r="A790" s="885"/>
      <c r="B790" s="885"/>
      <c r="C790" s="885"/>
      <c r="D790" s="885"/>
      <c r="E790" s="885"/>
      <c r="F790" s="885"/>
      <c r="G790" s="885"/>
      <c r="H790" s="885"/>
      <c r="I790" s="885"/>
      <c r="J790" s="885"/>
      <c r="K790" s="885"/>
      <c r="L790" s="885"/>
      <c r="M790" s="885"/>
      <c r="N790" s="885"/>
      <c r="O790" s="885"/>
      <c r="P790" s="885"/>
      <c r="Q790" s="885"/>
      <c r="R790" s="885"/>
      <c r="S790" s="885"/>
      <c r="T790" s="885"/>
      <c r="U790" s="885"/>
      <c r="V790" s="885"/>
      <c r="W790" s="885"/>
      <c r="X790" s="885"/>
      <c r="Y790" s="885"/>
      <c r="Z790" s="885"/>
      <c r="AA790" s="885"/>
      <c r="AB790" s="885"/>
      <c r="AC790" s="885"/>
    </row>
    <row r="791" spans="1:29" ht="15.75" customHeight="1" x14ac:dyDescent="0.2">
      <c r="A791" s="885"/>
      <c r="B791" s="885"/>
      <c r="C791" s="885"/>
      <c r="D791" s="885"/>
      <c r="E791" s="885"/>
      <c r="F791" s="885"/>
      <c r="G791" s="885"/>
      <c r="H791" s="885"/>
      <c r="I791" s="885"/>
      <c r="J791" s="885"/>
      <c r="K791" s="885"/>
      <c r="L791" s="885"/>
      <c r="M791" s="885"/>
      <c r="N791" s="885"/>
      <c r="O791" s="885"/>
      <c r="P791" s="885"/>
      <c r="Q791" s="885"/>
      <c r="R791" s="885"/>
      <c r="S791" s="885"/>
      <c r="T791" s="885"/>
      <c r="U791" s="885"/>
      <c r="V791" s="885"/>
      <c r="W791" s="885"/>
      <c r="X791" s="885"/>
      <c r="Y791" s="885"/>
      <c r="Z791" s="885"/>
      <c r="AA791" s="885"/>
      <c r="AB791" s="885"/>
      <c r="AC791" s="885"/>
    </row>
    <row r="792" spans="1:29" ht="15.75" customHeight="1" x14ac:dyDescent="0.2">
      <c r="A792" s="885"/>
      <c r="B792" s="885"/>
      <c r="C792" s="885"/>
      <c r="D792" s="885"/>
      <c r="E792" s="885"/>
      <c r="F792" s="885"/>
      <c r="G792" s="885"/>
      <c r="H792" s="885"/>
      <c r="I792" s="885"/>
      <c r="J792" s="885"/>
      <c r="K792" s="885"/>
      <c r="L792" s="885"/>
      <c r="M792" s="885"/>
      <c r="N792" s="885"/>
      <c r="O792" s="885"/>
      <c r="P792" s="885"/>
      <c r="Q792" s="885"/>
      <c r="R792" s="885"/>
      <c r="S792" s="885"/>
      <c r="T792" s="885"/>
      <c r="U792" s="885"/>
      <c r="V792" s="885"/>
      <c r="W792" s="885"/>
      <c r="X792" s="885"/>
      <c r="Y792" s="885"/>
      <c r="Z792" s="885"/>
      <c r="AA792" s="885"/>
      <c r="AB792" s="885"/>
      <c r="AC792" s="885"/>
    </row>
    <row r="793" spans="1:29" ht="15.75" customHeight="1" x14ac:dyDescent="0.2">
      <c r="A793" s="885"/>
      <c r="B793" s="885"/>
      <c r="C793" s="885"/>
      <c r="D793" s="885"/>
      <c r="E793" s="885"/>
      <c r="F793" s="885"/>
      <c r="G793" s="885"/>
      <c r="H793" s="885"/>
      <c r="I793" s="885"/>
      <c r="J793" s="885"/>
      <c r="K793" s="885"/>
      <c r="L793" s="885"/>
      <c r="M793" s="885"/>
      <c r="N793" s="885"/>
      <c r="O793" s="885"/>
      <c r="P793" s="885"/>
      <c r="Q793" s="885"/>
      <c r="R793" s="885"/>
      <c r="S793" s="885"/>
      <c r="T793" s="885"/>
      <c r="U793" s="885"/>
      <c r="V793" s="885"/>
      <c r="W793" s="885"/>
      <c r="X793" s="885"/>
      <c r="Y793" s="885"/>
      <c r="Z793" s="885"/>
      <c r="AA793" s="885"/>
      <c r="AB793" s="885"/>
      <c r="AC793" s="885"/>
    </row>
    <row r="794" spans="1:29" ht="15.75" customHeight="1" x14ac:dyDescent="0.2">
      <c r="A794" s="885"/>
      <c r="B794" s="885"/>
      <c r="C794" s="885"/>
      <c r="D794" s="885"/>
      <c r="E794" s="885"/>
      <c r="F794" s="885"/>
      <c r="G794" s="885"/>
      <c r="H794" s="885"/>
      <c r="I794" s="885"/>
      <c r="J794" s="885"/>
      <c r="K794" s="885"/>
      <c r="L794" s="885"/>
      <c r="M794" s="885"/>
      <c r="N794" s="885"/>
      <c r="O794" s="885"/>
      <c r="P794" s="885"/>
      <c r="Q794" s="885"/>
      <c r="R794" s="885"/>
      <c r="S794" s="885"/>
      <c r="T794" s="885"/>
      <c r="U794" s="885"/>
      <c r="V794" s="885"/>
      <c r="W794" s="885"/>
      <c r="X794" s="885"/>
      <c r="Y794" s="885"/>
      <c r="Z794" s="885"/>
      <c r="AA794" s="885"/>
      <c r="AB794" s="885"/>
      <c r="AC794" s="885"/>
    </row>
    <row r="795" spans="1:29" ht="15.75" customHeight="1" x14ac:dyDescent="0.2">
      <c r="A795" s="885"/>
      <c r="B795" s="885"/>
      <c r="C795" s="885"/>
      <c r="D795" s="885"/>
      <c r="E795" s="885"/>
      <c r="F795" s="885"/>
      <c r="G795" s="885"/>
      <c r="H795" s="885"/>
      <c r="I795" s="885"/>
      <c r="J795" s="885"/>
      <c r="K795" s="885"/>
      <c r="L795" s="885"/>
      <c r="M795" s="885"/>
      <c r="N795" s="885"/>
      <c r="O795" s="885"/>
      <c r="P795" s="885"/>
      <c r="Q795" s="885"/>
      <c r="R795" s="885"/>
      <c r="S795" s="885"/>
      <c r="T795" s="885"/>
      <c r="U795" s="885"/>
      <c r="V795" s="885"/>
      <c r="W795" s="885"/>
      <c r="X795" s="885"/>
      <c r="Y795" s="885"/>
      <c r="Z795" s="885"/>
      <c r="AA795" s="885"/>
      <c r="AB795" s="885"/>
      <c r="AC795" s="885"/>
    </row>
    <row r="796" spans="1:29" ht="15.75" customHeight="1" x14ac:dyDescent="0.2">
      <c r="A796" s="885"/>
      <c r="B796" s="885"/>
      <c r="C796" s="885"/>
      <c r="D796" s="885"/>
      <c r="E796" s="885"/>
      <c r="F796" s="885"/>
      <c r="G796" s="885"/>
      <c r="H796" s="885"/>
      <c r="I796" s="885"/>
      <c r="J796" s="885"/>
      <c r="K796" s="885"/>
      <c r="L796" s="885"/>
      <c r="M796" s="885"/>
      <c r="N796" s="885"/>
      <c r="O796" s="885"/>
      <c r="P796" s="885"/>
      <c r="Q796" s="885"/>
      <c r="R796" s="885"/>
      <c r="S796" s="885"/>
      <c r="T796" s="885"/>
      <c r="U796" s="885"/>
      <c r="V796" s="885"/>
      <c r="W796" s="885"/>
      <c r="X796" s="885"/>
      <c r="Y796" s="885"/>
      <c r="Z796" s="885"/>
      <c r="AA796" s="885"/>
      <c r="AB796" s="885"/>
      <c r="AC796" s="885"/>
    </row>
    <row r="797" spans="1:29" ht="15.75" customHeight="1" x14ac:dyDescent="0.2">
      <c r="A797" s="885"/>
      <c r="B797" s="885"/>
      <c r="C797" s="885"/>
      <c r="D797" s="885"/>
      <c r="E797" s="885"/>
      <c r="F797" s="885"/>
      <c r="G797" s="885"/>
      <c r="H797" s="885"/>
      <c r="I797" s="885"/>
      <c r="J797" s="885"/>
      <c r="K797" s="885"/>
      <c r="L797" s="885"/>
      <c r="M797" s="885"/>
      <c r="N797" s="885"/>
      <c r="O797" s="885"/>
      <c r="P797" s="885"/>
      <c r="Q797" s="885"/>
      <c r="R797" s="885"/>
      <c r="S797" s="885"/>
      <c r="T797" s="885"/>
      <c r="U797" s="885"/>
      <c r="V797" s="885"/>
      <c r="W797" s="885"/>
      <c r="X797" s="885"/>
      <c r="Y797" s="885"/>
      <c r="Z797" s="885"/>
      <c r="AA797" s="885"/>
      <c r="AB797" s="885"/>
      <c r="AC797" s="885"/>
    </row>
    <row r="798" spans="1:29" ht="15.75" customHeight="1" x14ac:dyDescent="0.2">
      <c r="A798" s="885"/>
      <c r="B798" s="885"/>
      <c r="C798" s="885"/>
      <c r="D798" s="885"/>
      <c r="E798" s="885"/>
      <c r="F798" s="885"/>
      <c r="G798" s="885"/>
      <c r="H798" s="885"/>
      <c r="I798" s="885"/>
      <c r="J798" s="885"/>
      <c r="K798" s="885"/>
      <c r="L798" s="885"/>
      <c r="M798" s="885"/>
      <c r="N798" s="885"/>
      <c r="O798" s="885"/>
      <c r="P798" s="885"/>
      <c r="Q798" s="885"/>
      <c r="R798" s="885"/>
      <c r="S798" s="885"/>
      <c r="T798" s="885"/>
      <c r="U798" s="885"/>
      <c r="V798" s="885"/>
      <c r="W798" s="885"/>
      <c r="X798" s="885"/>
      <c r="Y798" s="885"/>
      <c r="Z798" s="885"/>
      <c r="AA798" s="885"/>
      <c r="AB798" s="885"/>
      <c r="AC798" s="885"/>
    </row>
    <row r="799" spans="1:29" ht="15.75" customHeight="1" x14ac:dyDescent="0.2">
      <c r="A799" s="885"/>
      <c r="B799" s="885"/>
      <c r="C799" s="885"/>
      <c r="D799" s="885"/>
      <c r="E799" s="885"/>
      <c r="F799" s="885"/>
      <c r="G799" s="885"/>
      <c r="H799" s="885"/>
      <c r="I799" s="885"/>
      <c r="J799" s="885"/>
      <c r="K799" s="885"/>
      <c r="L799" s="885"/>
      <c r="M799" s="885"/>
      <c r="N799" s="885"/>
      <c r="O799" s="885"/>
      <c r="P799" s="885"/>
      <c r="Q799" s="885"/>
      <c r="R799" s="885"/>
      <c r="S799" s="885"/>
      <c r="T799" s="885"/>
      <c r="U799" s="885"/>
      <c r="V799" s="885"/>
      <c r="W799" s="885"/>
      <c r="X799" s="885"/>
      <c r="Y799" s="885"/>
      <c r="Z799" s="885"/>
      <c r="AA799" s="885"/>
      <c r="AB799" s="885"/>
      <c r="AC799" s="885"/>
    </row>
    <row r="800" spans="1:29" ht="15.75" customHeight="1" x14ac:dyDescent="0.2">
      <c r="A800" s="885"/>
      <c r="B800" s="885"/>
      <c r="C800" s="885"/>
      <c r="D800" s="885"/>
      <c r="E800" s="885"/>
      <c r="F800" s="885"/>
      <c r="G800" s="885"/>
      <c r="H800" s="885"/>
      <c r="I800" s="885"/>
      <c r="J800" s="885"/>
      <c r="K800" s="885"/>
      <c r="L800" s="885"/>
      <c r="M800" s="885"/>
      <c r="N800" s="885"/>
      <c r="O800" s="885"/>
      <c r="P800" s="885"/>
      <c r="Q800" s="885"/>
      <c r="R800" s="885"/>
      <c r="S800" s="885"/>
      <c r="T800" s="885"/>
      <c r="U800" s="885"/>
      <c r="V800" s="885"/>
      <c r="W800" s="885"/>
      <c r="X800" s="885"/>
      <c r="Y800" s="885"/>
      <c r="Z800" s="885"/>
      <c r="AA800" s="885"/>
      <c r="AB800" s="885"/>
      <c r="AC800" s="885"/>
    </row>
    <row r="801" spans="1:29" ht="15.75" customHeight="1" x14ac:dyDescent="0.2">
      <c r="A801" s="885"/>
      <c r="B801" s="885"/>
      <c r="C801" s="885"/>
      <c r="D801" s="885"/>
      <c r="E801" s="885"/>
      <c r="F801" s="885"/>
      <c r="G801" s="885"/>
      <c r="H801" s="885"/>
      <c r="I801" s="885"/>
      <c r="J801" s="885"/>
      <c r="K801" s="885"/>
      <c r="L801" s="885"/>
      <c r="M801" s="885"/>
      <c r="N801" s="885"/>
      <c r="O801" s="885"/>
      <c r="P801" s="885"/>
      <c r="Q801" s="885"/>
      <c r="R801" s="885"/>
      <c r="S801" s="885"/>
      <c r="T801" s="885"/>
      <c r="U801" s="885"/>
      <c r="V801" s="885"/>
      <c r="W801" s="885"/>
      <c r="X801" s="885"/>
      <c r="Y801" s="885"/>
      <c r="Z801" s="885"/>
      <c r="AA801" s="885"/>
      <c r="AB801" s="885"/>
      <c r="AC801" s="885"/>
    </row>
    <row r="802" spans="1:29" ht="15.75" customHeight="1" x14ac:dyDescent="0.2">
      <c r="A802" s="885"/>
      <c r="B802" s="885"/>
      <c r="C802" s="885"/>
      <c r="D802" s="885"/>
      <c r="E802" s="885"/>
      <c r="F802" s="885"/>
      <c r="G802" s="885"/>
      <c r="H802" s="885"/>
      <c r="I802" s="885"/>
      <c r="J802" s="885"/>
      <c r="K802" s="885"/>
      <c r="L802" s="885"/>
      <c r="M802" s="885"/>
      <c r="N802" s="885"/>
      <c r="O802" s="885"/>
      <c r="P802" s="885"/>
      <c r="Q802" s="885"/>
      <c r="R802" s="885"/>
      <c r="S802" s="885"/>
      <c r="T802" s="885"/>
      <c r="U802" s="885"/>
      <c r="V802" s="885"/>
      <c r="W802" s="885"/>
      <c r="X802" s="885"/>
      <c r="Y802" s="885"/>
      <c r="Z802" s="885"/>
      <c r="AA802" s="885"/>
      <c r="AB802" s="885"/>
      <c r="AC802" s="885"/>
    </row>
    <row r="803" spans="1:29" ht="15.75" customHeight="1" x14ac:dyDescent="0.2">
      <c r="A803" s="885"/>
      <c r="B803" s="885"/>
      <c r="C803" s="885"/>
      <c r="D803" s="885"/>
      <c r="E803" s="885"/>
      <c r="F803" s="885"/>
      <c r="G803" s="885"/>
      <c r="H803" s="885"/>
      <c r="I803" s="885"/>
      <c r="J803" s="885"/>
      <c r="K803" s="885"/>
      <c r="L803" s="885"/>
      <c r="M803" s="885"/>
      <c r="N803" s="885"/>
      <c r="O803" s="885"/>
      <c r="P803" s="885"/>
      <c r="Q803" s="885"/>
      <c r="R803" s="885"/>
      <c r="S803" s="885"/>
      <c r="T803" s="885"/>
      <c r="U803" s="885"/>
      <c r="V803" s="885"/>
      <c r="W803" s="885"/>
      <c r="X803" s="885"/>
      <c r="Y803" s="885"/>
      <c r="Z803" s="885"/>
      <c r="AA803" s="885"/>
      <c r="AB803" s="885"/>
      <c r="AC803" s="885"/>
    </row>
    <row r="804" spans="1:29" ht="15.75" customHeight="1" x14ac:dyDescent="0.2">
      <c r="A804" s="885"/>
      <c r="B804" s="885"/>
      <c r="C804" s="885"/>
      <c r="D804" s="885"/>
      <c r="E804" s="885"/>
      <c r="F804" s="885"/>
      <c r="G804" s="885"/>
      <c r="H804" s="885"/>
      <c r="I804" s="885"/>
      <c r="J804" s="885"/>
      <c r="K804" s="885"/>
      <c r="L804" s="885"/>
      <c r="M804" s="885"/>
      <c r="N804" s="885"/>
      <c r="O804" s="885"/>
      <c r="P804" s="885"/>
      <c r="Q804" s="885"/>
      <c r="R804" s="885"/>
      <c r="S804" s="885"/>
      <c r="T804" s="885"/>
      <c r="U804" s="885"/>
      <c r="V804" s="885"/>
      <c r="W804" s="885"/>
      <c r="X804" s="885"/>
      <c r="Y804" s="885"/>
      <c r="Z804" s="885"/>
      <c r="AA804" s="885"/>
      <c r="AB804" s="885"/>
      <c r="AC804" s="885"/>
    </row>
    <row r="805" spans="1:29" ht="15.75" customHeight="1" x14ac:dyDescent="0.2">
      <c r="A805" s="885"/>
      <c r="B805" s="885"/>
      <c r="C805" s="885"/>
      <c r="D805" s="885"/>
      <c r="E805" s="885"/>
      <c r="F805" s="885"/>
      <c r="G805" s="885"/>
      <c r="H805" s="885"/>
      <c r="I805" s="885"/>
      <c r="J805" s="885"/>
      <c r="K805" s="885"/>
      <c r="L805" s="885"/>
      <c r="M805" s="885"/>
      <c r="N805" s="885"/>
      <c r="O805" s="885"/>
      <c r="P805" s="885"/>
      <c r="Q805" s="885"/>
      <c r="R805" s="885"/>
      <c r="S805" s="885"/>
      <c r="T805" s="885"/>
      <c r="U805" s="885"/>
      <c r="V805" s="885"/>
      <c r="W805" s="885"/>
      <c r="X805" s="885"/>
      <c r="Y805" s="885"/>
      <c r="Z805" s="885"/>
      <c r="AA805" s="885"/>
      <c r="AB805" s="885"/>
      <c r="AC805" s="885"/>
    </row>
    <row r="806" spans="1:29" ht="15.75" customHeight="1" x14ac:dyDescent="0.2">
      <c r="A806" s="885"/>
      <c r="B806" s="885"/>
      <c r="C806" s="885"/>
      <c r="D806" s="885"/>
      <c r="E806" s="885"/>
      <c r="F806" s="885"/>
      <c r="G806" s="885"/>
      <c r="H806" s="885"/>
      <c r="I806" s="885"/>
      <c r="J806" s="885"/>
      <c r="K806" s="885"/>
      <c r="L806" s="885"/>
      <c r="M806" s="885"/>
      <c r="N806" s="885"/>
      <c r="O806" s="885"/>
      <c r="P806" s="885"/>
      <c r="Q806" s="885"/>
      <c r="R806" s="885"/>
      <c r="S806" s="885"/>
      <c r="T806" s="885"/>
      <c r="U806" s="885"/>
      <c r="V806" s="885"/>
      <c r="W806" s="885"/>
      <c r="X806" s="885"/>
      <c r="Y806" s="885"/>
      <c r="Z806" s="885"/>
      <c r="AA806" s="885"/>
      <c r="AB806" s="885"/>
      <c r="AC806" s="885"/>
    </row>
    <row r="807" spans="1:29" ht="15.75" customHeight="1" x14ac:dyDescent="0.2">
      <c r="A807" s="885"/>
      <c r="B807" s="885"/>
      <c r="C807" s="885"/>
      <c r="D807" s="885"/>
      <c r="E807" s="885"/>
      <c r="F807" s="885"/>
      <c r="G807" s="885"/>
      <c r="H807" s="885"/>
      <c r="I807" s="885"/>
      <c r="J807" s="885"/>
      <c r="K807" s="885"/>
      <c r="L807" s="885"/>
      <c r="M807" s="885"/>
      <c r="N807" s="885"/>
      <c r="O807" s="885"/>
      <c r="P807" s="885"/>
      <c r="Q807" s="885"/>
      <c r="R807" s="885"/>
      <c r="S807" s="885"/>
      <c r="T807" s="885"/>
      <c r="U807" s="885"/>
      <c r="V807" s="885"/>
      <c r="W807" s="885"/>
      <c r="X807" s="885"/>
      <c r="Y807" s="885"/>
      <c r="Z807" s="885"/>
      <c r="AA807" s="885"/>
      <c r="AB807" s="885"/>
      <c r="AC807" s="885"/>
    </row>
    <row r="808" spans="1:29" ht="15.75" customHeight="1" x14ac:dyDescent="0.2">
      <c r="A808" s="885"/>
      <c r="B808" s="885"/>
      <c r="C808" s="885"/>
      <c r="D808" s="885"/>
      <c r="E808" s="885"/>
      <c r="F808" s="885"/>
      <c r="G808" s="885"/>
      <c r="H808" s="885"/>
      <c r="I808" s="885"/>
      <c r="J808" s="885"/>
      <c r="K808" s="885"/>
      <c r="L808" s="885"/>
      <c r="M808" s="885"/>
      <c r="N808" s="885"/>
      <c r="O808" s="885"/>
      <c r="P808" s="885"/>
      <c r="Q808" s="885"/>
      <c r="R808" s="885"/>
      <c r="S808" s="885"/>
      <c r="T808" s="885"/>
      <c r="U808" s="885"/>
      <c r="V808" s="885"/>
      <c r="W808" s="885"/>
      <c r="X808" s="885"/>
      <c r="Y808" s="885"/>
      <c r="Z808" s="885"/>
      <c r="AA808" s="885"/>
      <c r="AB808" s="885"/>
      <c r="AC808" s="885"/>
    </row>
    <row r="809" spans="1:29" ht="15.75" customHeight="1" x14ac:dyDescent="0.2">
      <c r="A809" s="885"/>
      <c r="B809" s="885"/>
      <c r="C809" s="885"/>
      <c r="D809" s="885"/>
      <c r="E809" s="885"/>
      <c r="F809" s="885"/>
      <c r="G809" s="885"/>
      <c r="H809" s="885"/>
      <c r="I809" s="885"/>
      <c r="J809" s="885"/>
      <c r="K809" s="885"/>
      <c r="L809" s="885"/>
      <c r="M809" s="885"/>
      <c r="N809" s="885"/>
      <c r="O809" s="885"/>
      <c r="P809" s="885"/>
      <c r="Q809" s="885"/>
      <c r="R809" s="885"/>
      <c r="S809" s="885"/>
      <c r="T809" s="885"/>
      <c r="U809" s="885"/>
      <c r="V809" s="885"/>
      <c r="W809" s="885"/>
      <c r="X809" s="885"/>
      <c r="Y809" s="885"/>
      <c r="Z809" s="885"/>
      <c r="AA809" s="885"/>
      <c r="AB809" s="885"/>
      <c r="AC809" s="885"/>
    </row>
    <row r="810" spans="1:29" ht="15.75" customHeight="1" x14ac:dyDescent="0.2">
      <c r="A810" s="885"/>
      <c r="B810" s="885"/>
      <c r="C810" s="885"/>
      <c r="D810" s="885"/>
      <c r="E810" s="885"/>
      <c r="F810" s="885"/>
      <c r="G810" s="885"/>
      <c r="H810" s="885"/>
      <c r="I810" s="885"/>
      <c r="J810" s="885"/>
      <c r="K810" s="885"/>
      <c r="L810" s="885"/>
      <c r="M810" s="885"/>
      <c r="N810" s="885"/>
      <c r="O810" s="885"/>
      <c r="P810" s="885"/>
      <c r="Q810" s="885"/>
      <c r="R810" s="885"/>
      <c r="S810" s="885"/>
      <c r="T810" s="885"/>
      <c r="U810" s="885"/>
      <c r="V810" s="885"/>
      <c r="W810" s="885"/>
      <c r="X810" s="885"/>
      <c r="Y810" s="885"/>
      <c r="Z810" s="885"/>
      <c r="AA810" s="885"/>
      <c r="AB810" s="885"/>
      <c r="AC810" s="885"/>
    </row>
    <row r="811" spans="1:29" ht="15.75" customHeight="1" x14ac:dyDescent="0.2">
      <c r="A811" s="885"/>
      <c r="B811" s="885"/>
      <c r="C811" s="885"/>
      <c r="D811" s="885"/>
      <c r="E811" s="885"/>
      <c r="F811" s="885"/>
      <c r="G811" s="885"/>
      <c r="H811" s="885"/>
      <c r="I811" s="885"/>
      <c r="J811" s="885"/>
      <c r="K811" s="885"/>
      <c r="L811" s="885"/>
      <c r="M811" s="885"/>
      <c r="N811" s="885"/>
      <c r="O811" s="885"/>
      <c r="P811" s="885"/>
      <c r="Q811" s="885"/>
      <c r="R811" s="885"/>
      <c r="S811" s="885"/>
      <c r="T811" s="885"/>
      <c r="U811" s="885"/>
      <c r="V811" s="885"/>
      <c r="W811" s="885"/>
      <c r="X811" s="885"/>
      <c r="Y811" s="885"/>
      <c r="Z811" s="885"/>
      <c r="AA811" s="885"/>
      <c r="AB811" s="885"/>
      <c r="AC811" s="885"/>
    </row>
    <row r="812" spans="1:29" ht="15.75" customHeight="1" x14ac:dyDescent="0.2">
      <c r="A812" s="885"/>
      <c r="B812" s="885"/>
      <c r="C812" s="885"/>
      <c r="D812" s="885"/>
      <c r="E812" s="885"/>
      <c r="F812" s="885"/>
      <c r="G812" s="885"/>
      <c r="H812" s="885"/>
      <c r="I812" s="885"/>
      <c r="J812" s="885"/>
      <c r="K812" s="885"/>
      <c r="L812" s="885"/>
      <c r="M812" s="885"/>
      <c r="N812" s="885"/>
      <c r="O812" s="885"/>
      <c r="P812" s="885"/>
      <c r="Q812" s="885"/>
      <c r="R812" s="885"/>
      <c r="S812" s="885"/>
      <c r="T812" s="885"/>
      <c r="U812" s="885"/>
      <c r="V812" s="885"/>
      <c r="W812" s="885"/>
      <c r="X812" s="885"/>
      <c r="Y812" s="885"/>
      <c r="Z812" s="885"/>
      <c r="AA812" s="885"/>
      <c r="AB812" s="885"/>
      <c r="AC812" s="885"/>
    </row>
    <row r="813" spans="1:29" ht="15.75" customHeight="1" x14ac:dyDescent="0.2">
      <c r="A813" s="885"/>
      <c r="B813" s="885"/>
      <c r="C813" s="885"/>
      <c r="D813" s="885"/>
      <c r="E813" s="885"/>
      <c r="F813" s="885"/>
      <c r="G813" s="885"/>
      <c r="H813" s="885"/>
      <c r="I813" s="885"/>
      <c r="J813" s="885"/>
      <c r="K813" s="885"/>
      <c r="L813" s="885"/>
      <c r="M813" s="885"/>
      <c r="N813" s="885"/>
      <c r="O813" s="885"/>
      <c r="P813" s="885"/>
      <c r="Q813" s="885"/>
      <c r="R813" s="885"/>
      <c r="S813" s="885"/>
      <c r="T813" s="885"/>
      <c r="U813" s="885"/>
      <c r="V813" s="885"/>
      <c r="W813" s="885"/>
      <c r="X813" s="885"/>
      <c r="Y813" s="885"/>
      <c r="Z813" s="885"/>
      <c r="AA813" s="885"/>
      <c r="AB813" s="885"/>
      <c r="AC813" s="885"/>
    </row>
    <row r="814" spans="1:29" ht="15.75" customHeight="1" x14ac:dyDescent="0.2">
      <c r="A814" s="885"/>
      <c r="B814" s="885"/>
      <c r="C814" s="885"/>
      <c r="D814" s="885"/>
      <c r="E814" s="885"/>
      <c r="F814" s="885"/>
      <c r="G814" s="885"/>
      <c r="H814" s="885"/>
      <c r="I814" s="885"/>
      <c r="J814" s="885"/>
      <c r="K814" s="885"/>
      <c r="L814" s="885"/>
      <c r="M814" s="885"/>
      <c r="N814" s="885"/>
      <c r="O814" s="885"/>
      <c r="P814" s="885"/>
      <c r="Q814" s="885"/>
      <c r="R814" s="885"/>
      <c r="S814" s="885"/>
      <c r="T814" s="885"/>
      <c r="U814" s="885"/>
      <c r="V814" s="885"/>
      <c r="W814" s="885"/>
      <c r="X814" s="885"/>
      <c r="Y814" s="885"/>
      <c r="Z814" s="885"/>
      <c r="AA814" s="885"/>
      <c r="AB814" s="885"/>
      <c r="AC814" s="885"/>
    </row>
    <row r="815" spans="1:29" ht="15.75" customHeight="1" x14ac:dyDescent="0.2">
      <c r="A815" s="885"/>
      <c r="B815" s="885"/>
      <c r="C815" s="885"/>
      <c r="D815" s="885"/>
      <c r="E815" s="885"/>
      <c r="F815" s="885"/>
      <c r="G815" s="885"/>
      <c r="H815" s="885"/>
      <c r="I815" s="885"/>
      <c r="J815" s="885"/>
      <c r="K815" s="885"/>
      <c r="L815" s="885"/>
      <c r="M815" s="885"/>
      <c r="N815" s="885"/>
      <c r="O815" s="885"/>
      <c r="P815" s="885"/>
      <c r="Q815" s="885"/>
      <c r="R815" s="885"/>
      <c r="S815" s="885"/>
      <c r="T815" s="885"/>
      <c r="U815" s="885"/>
      <c r="V815" s="885"/>
      <c r="W815" s="885"/>
      <c r="X815" s="885"/>
      <c r="Y815" s="885"/>
      <c r="Z815" s="885"/>
      <c r="AA815" s="885"/>
      <c r="AB815" s="885"/>
      <c r="AC815" s="885"/>
    </row>
    <row r="816" spans="1:29" ht="15.75" customHeight="1" x14ac:dyDescent="0.2">
      <c r="A816" s="885"/>
      <c r="B816" s="885"/>
      <c r="C816" s="885"/>
      <c r="D816" s="885"/>
      <c r="E816" s="885"/>
      <c r="F816" s="885"/>
      <c r="G816" s="885"/>
      <c r="H816" s="885"/>
      <c r="I816" s="885"/>
      <c r="J816" s="885"/>
      <c r="K816" s="885"/>
      <c r="L816" s="885"/>
      <c r="M816" s="885"/>
      <c r="N816" s="885"/>
      <c r="O816" s="885"/>
      <c r="P816" s="885"/>
      <c r="Q816" s="885"/>
      <c r="R816" s="885"/>
      <c r="S816" s="885"/>
      <c r="T816" s="885"/>
      <c r="U816" s="885"/>
      <c r="V816" s="885"/>
      <c r="W816" s="885"/>
      <c r="X816" s="885"/>
      <c r="Y816" s="885"/>
      <c r="Z816" s="885"/>
      <c r="AA816" s="885"/>
      <c r="AB816" s="885"/>
      <c r="AC816" s="885"/>
    </row>
    <row r="817" spans="1:29" ht="15.75" customHeight="1" x14ac:dyDescent="0.2">
      <c r="A817" s="885"/>
      <c r="B817" s="885"/>
      <c r="C817" s="885"/>
      <c r="D817" s="885"/>
      <c r="E817" s="885"/>
      <c r="F817" s="885"/>
      <c r="G817" s="885"/>
      <c r="H817" s="885"/>
      <c r="I817" s="885"/>
      <c r="J817" s="885"/>
      <c r="K817" s="885"/>
      <c r="L817" s="885"/>
      <c r="M817" s="885"/>
      <c r="N817" s="885"/>
      <c r="O817" s="885"/>
      <c r="P817" s="885"/>
      <c r="Q817" s="885"/>
      <c r="R817" s="885"/>
      <c r="S817" s="885"/>
      <c r="T817" s="885"/>
      <c r="U817" s="885"/>
      <c r="V817" s="885"/>
      <c r="W817" s="885"/>
      <c r="X817" s="885"/>
      <c r="Y817" s="885"/>
      <c r="Z817" s="885"/>
      <c r="AA817" s="885"/>
      <c r="AB817" s="885"/>
      <c r="AC817" s="885"/>
    </row>
    <row r="818" spans="1:29" ht="15.75" customHeight="1" x14ac:dyDescent="0.2">
      <c r="A818" s="885"/>
      <c r="B818" s="885"/>
      <c r="C818" s="885"/>
      <c r="D818" s="885"/>
      <c r="E818" s="885"/>
      <c r="F818" s="885"/>
      <c r="G818" s="885"/>
      <c r="H818" s="885"/>
      <c r="I818" s="885"/>
      <c r="J818" s="885"/>
      <c r="K818" s="885"/>
      <c r="L818" s="885"/>
      <c r="M818" s="885"/>
      <c r="N818" s="885"/>
      <c r="O818" s="885"/>
      <c r="P818" s="885"/>
      <c r="Q818" s="885"/>
      <c r="R818" s="885"/>
      <c r="S818" s="885"/>
      <c r="T818" s="885"/>
      <c r="U818" s="885"/>
      <c r="V818" s="885"/>
      <c r="W818" s="885"/>
      <c r="X818" s="885"/>
      <c r="Y818" s="885"/>
      <c r="Z818" s="885"/>
      <c r="AA818" s="885"/>
      <c r="AB818" s="885"/>
      <c r="AC818" s="885"/>
    </row>
    <row r="819" spans="1:29" ht="15.75" customHeight="1" x14ac:dyDescent="0.2">
      <c r="A819" s="885"/>
      <c r="B819" s="885"/>
      <c r="C819" s="885"/>
      <c r="D819" s="885"/>
      <c r="E819" s="885"/>
      <c r="F819" s="885"/>
      <c r="G819" s="885"/>
      <c r="H819" s="885"/>
      <c r="I819" s="885"/>
      <c r="J819" s="885"/>
      <c r="K819" s="885"/>
      <c r="L819" s="885"/>
      <c r="M819" s="885"/>
      <c r="N819" s="885"/>
      <c r="O819" s="885"/>
      <c r="P819" s="885"/>
      <c r="Q819" s="885"/>
      <c r="R819" s="885"/>
      <c r="S819" s="885"/>
      <c r="T819" s="885"/>
      <c r="U819" s="885"/>
      <c r="V819" s="885"/>
      <c r="W819" s="885"/>
      <c r="X819" s="885"/>
      <c r="Y819" s="885"/>
      <c r="Z819" s="885"/>
      <c r="AA819" s="885"/>
      <c r="AB819" s="885"/>
      <c r="AC819" s="885"/>
    </row>
    <row r="820" spans="1:29" ht="15.75" customHeight="1" x14ac:dyDescent="0.2">
      <c r="A820" s="885"/>
      <c r="B820" s="885"/>
      <c r="C820" s="885"/>
      <c r="D820" s="885"/>
      <c r="E820" s="885"/>
      <c r="F820" s="885"/>
      <c r="G820" s="885"/>
      <c r="H820" s="885"/>
      <c r="I820" s="885"/>
      <c r="J820" s="885"/>
      <c r="K820" s="885"/>
      <c r="L820" s="885"/>
      <c r="M820" s="885"/>
      <c r="N820" s="885"/>
      <c r="O820" s="885"/>
      <c r="P820" s="885"/>
      <c r="Q820" s="885"/>
      <c r="R820" s="885"/>
      <c r="S820" s="885"/>
      <c r="T820" s="885"/>
      <c r="U820" s="885"/>
      <c r="V820" s="885"/>
      <c r="W820" s="885"/>
      <c r="X820" s="885"/>
      <c r="Y820" s="885"/>
      <c r="Z820" s="885"/>
      <c r="AA820" s="885"/>
      <c r="AB820" s="885"/>
      <c r="AC820" s="885"/>
    </row>
    <row r="821" spans="1:29" ht="15.75" customHeight="1" x14ac:dyDescent="0.2">
      <c r="A821" s="885"/>
      <c r="B821" s="885"/>
      <c r="C821" s="885"/>
      <c r="D821" s="885"/>
      <c r="E821" s="885"/>
      <c r="F821" s="885"/>
      <c r="G821" s="885"/>
      <c r="H821" s="885"/>
      <c r="I821" s="885"/>
      <c r="J821" s="885"/>
      <c r="K821" s="885"/>
      <c r="L821" s="885"/>
      <c r="M821" s="885"/>
      <c r="N821" s="885"/>
      <c r="O821" s="885"/>
      <c r="P821" s="885"/>
      <c r="Q821" s="885"/>
      <c r="R821" s="885"/>
      <c r="S821" s="885"/>
      <c r="T821" s="885"/>
      <c r="U821" s="885"/>
      <c r="V821" s="885"/>
      <c r="W821" s="885"/>
      <c r="X821" s="885"/>
      <c r="Y821" s="885"/>
      <c r="Z821" s="885"/>
      <c r="AA821" s="885"/>
      <c r="AB821" s="885"/>
      <c r="AC821" s="885"/>
    </row>
    <row r="822" spans="1:29" ht="15.75" customHeight="1" x14ac:dyDescent="0.2">
      <c r="A822" s="885"/>
      <c r="B822" s="885"/>
      <c r="C822" s="885"/>
      <c r="D822" s="885"/>
      <c r="E822" s="885"/>
      <c r="F822" s="885"/>
      <c r="G822" s="885"/>
      <c r="H822" s="885"/>
      <c r="I822" s="885"/>
      <c r="J822" s="885"/>
      <c r="K822" s="885"/>
      <c r="L822" s="885"/>
      <c r="M822" s="885"/>
      <c r="N822" s="885"/>
      <c r="O822" s="885"/>
      <c r="P822" s="885"/>
      <c r="Q822" s="885"/>
      <c r="R822" s="885"/>
      <c r="S822" s="885"/>
      <c r="T822" s="885"/>
      <c r="U822" s="885"/>
      <c r="V822" s="885"/>
      <c r="W822" s="885"/>
      <c r="X822" s="885"/>
      <c r="Y822" s="885"/>
      <c r="Z822" s="885"/>
      <c r="AA822" s="885"/>
      <c r="AB822" s="885"/>
      <c r="AC822" s="885"/>
    </row>
    <row r="823" spans="1:29" ht="15.75" customHeight="1" x14ac:dyDescent="0.2">
      <c r="A823" s="885"/>
      <c r="B823" s="885"/>
      <c r="C823" s="885"/>
      <c r="D823" s="885"/>
      <c r="E823" s="885"/>
      <c r="F823" s="885"/>
      <c r="G823" s="885"/>
      <c r="H823" s="885"/>
      <c r="I823" s="885"/>
      <c r="J823" s="885"/>
      <c r="K823" s="885"/>
      <c r="L823" s="885"/>
      <c r="M823" s="885"/>
      <c r="N823" s="885"/>
      <c r="O823" s="885"/>
      <c r="P823" s="885"/>
      <c r="Q823" s="885"/>
      <c r="R823" s="885"/>
      <c r="S823" s="885"/>
      <c r="T823" s="885"/>
      <c r="U823" s="885"/>
      <c r="V823" s="885"/>
      <c r="W823" s="885"/>
      <c r="X823" s="885"/>
      <c r="Y823" s="885"/>
      <c r="Z823" s="885"/>
      <c r="AA823" s="885"/>
      <c r="AB823" s="885"/>
      <c r="AC823" s="885"/>
    </row>
    <row r="824" spans="1:29" ht="15.75" customHeight="1" x14ac:dyDescent="0.2">
      <c r="A824" s="885"/>
      <c r="B824" s="885"/>
      <c r="C824" s="885"/>
      <c r="D824" s="885"/>
      <c r="E824" s="885"/>
      <c r="F824" s="885"/>
      <c r="G824" s="885"/>
      <c r="H824" s="885"/>
      <c r="I824" s="885"/>
      <c r="J824" s="885"/>
      <c r="K824" s="885"/>
      <c r="L824" s="885"/>
      <c r="M824" s="885"/>
      <c r="N824" s="885"/>
      <c r="O824" s="885"/>
      <c r="P824" s="885"/>
      <c r="Q824" s="885"/>
      <c r="R824" s="885"/>
      <c r="S824" s="885"/>
      <c r="T824" s="885"/>
      <c r="U824" s="885"/>
      <c r="V824" s="885"/>
      <c r="W824" s="885"/>
      <c r="X824" s="885"/>
      <c r="Y824" s="885"/>
      <c r="Z824" s="885"/>
      <c r="AA824" s="885"/>
      <c r="AB824" s="885"/>
      <c r="AC824" s="885"/>
    </row>
    <row r="825" spans="1:29" ht="15.75" customHeight="1" x14ac:dyDescent="0.2">
      <c r="A825" s="885"/>
      <c r="B825" s="885"/>
      <c r="C825" s="885"/>
      <c r="D825" s="885"/>
      <c r="E825" s="885"/>
      <c r="F825" s="885"/>
      <c r="G825" s="885"/>
      <c r="H825" s="885"/>
      <c r="I825" s="885"/>
      <c r="J825" s="885"/>
      <c r="K825" s="885"/>
      <c r="L825" s="885"/>
      <c r="M825" s="885"/>
      <c r="N825" s="885"/>
      <c r="O825" s="885"/>
      <c r="P825" s="885"/>
      <c r="Q825" s="885"/>
      <c r="R825" s="885"/>
      <c r="S825" s="885"/>
      <c r="T825" s="885"/>
      <c r="U825" s="885"/>
      <c r="V825" s="885"/>
      <c r="W825" s="885"/>
      <c r="X825" s="885"/>
      <c r="Y825" s="885"/>
      <c r="Z825" s="885"/>
      <c r="AA825" s="885"/>
      <c r="AB825" s="885"/>
      <c r="AC825" s="885"/>
    </row>
    <row r="826" spans="1:29" ht="15.75" customHeight="1" x14ac:dyDescent="0.2">
      <c r="A826" s="885"/>
      <c r="B826" s="885"/>
      <c r="C826" s="885"/>
      <c r="D826" s="885"/>
      <c r="E826" s="885"/>
      <c r="F826" s="885"/>
      <c r="G826" s="885"/>
      <c r="H826" s="885"/>
      <c r="I826" s="885"/>
      <c r="J826" s="885"/>
      <c r="K826" s="885"/>
      <c r="L826" s="885"/>
      <c r="M826" s="885"/>
      <c r="N826" s="885"/>
      <c r="O826" s="885"/>
      <c r="P826" s="885"/>
      <c r="Q826" s="885"/>
      <c r="R826" s="885"/>
      <c r="S826" s="885"/>
      <c r="T826" s="885"/>
      <c r="U826" s="885"/>
      <c r="V826" s="885"/>
      <c r="W826" s="885"/>
      <c r="X826" s="885"/>
      <c r="Y826" s="885"/>
      <c r="Z826" s="885"/>
      <c r="AA826" s="885"/>
      <c r="AB826" s="885"/>
      <c r="AC826" s="885"/>
    </row>
    <row r="827" spans="1:29" ht="15.75" customHeight="1" x14ac:dyDescent="0.2">
      <c r="A827" s="885"/>
      <c r="B827" s="885"/>
      <c r="C827" s="885"/>
      <c r="D827" s="885"/>
      <c r="E827" s="885"/>
      <c r="F827" s="885"/>
      <c r="G827" s="885"/>
      <c r="H827" s="885"/>
      <c r="I827" s="885"/>
      <c r="J827" s="885"/>
      <c r="K827" s="885"/>
      <c r="L827" s="885"/>
      <c r="M827" s="885"/>
      <c r="N827" s="885"/>
      <c r="O827" s="885"/>
      <c r="P827" s="885"/>
      <c r="Q827" s="885"/>
      <c r="R827" s="885"/>
      <c r="S827" s="885"/>
      <c r="T827" s="885"/>
      <c r="U827" s="885"/>
      <c r="V827" s="885"/>
      <c r="W827" s="885"/>
      <c r="X827" s="885"/>
      <c r="Y827" s="885"/>
      <c r="Z827" s="885"/>
      <c r="AA827" s="885"/>
      <c r="AB827" s="885"/>
      <c r="AC827" s="885"/>
    </row>
    <row r="828" spans="1:29" ht="15.75" customHeight="1" x14ac:dyDescent="0.2">
      <c r="A828" s="885"/>
      <c r="B828" s="885"/>
      <c r="C828" s="885"/>
      <c r="D828" s="885"/>
      <c r="E828" s="885"/>
      <c r="F828" s="885"/>
      <c r="G828" s="885"/>
      <c r="H828" s="885"/>
      <c r="I828" s="885"/>
      <c r="J828" s="885"/>
      <c r="K828" s="885"/>
      <c r="L828" s="885"/>
      <c r="M828" s="885"/>
      <c r="N828" s="885"/>
      <c r="O828" s="885"/>
      <c r="P828" s="885"/>
      <c r="Q828" s="885"/>
      <c r="R828" s="885"/>
      <c r="S828" s="885"/>
      <c r="T828" s="885"/>
      <c r="U828" s="885"/>
      <c r="V828" s="885"/>
      <c r="W828" s="885"/>
      <c r="X828" s="885"/>
      <c r="Y828" s="885"/>
      <c r="Z828" s="885"/>
      <c r="AA828" s="885"/>
      <c r="AB828" s="885"/>
      <c r="AC828" s="885"/>
    </row>
    <row r="829" spans="1:29" ht="15.75" customHeight="1" x14ac:dyDescent="0.2">
      <c r="A829" s="885"/>
      <c r="B829" s="885"/>
      <c r="C829" s="885"/>
      <c r="D829" s="885"/>
      <c r="E829" s="885"/>
      <c r="F829" s="885"/>
      <c r="G829" s="885"/>
      <c r="H829" s="885"/>
      <c r="I829" s="885"/>
      <c r="J829" s="885"/>
      <c r="K829" s="885"/>
      <c r="L829" s="885"/>
      <c r="M829" s="885"/>
      <c r="N829" s="885"/>
      <c r="O829" s="885"/>
      <c r="P829" s="885"/>
      <c r="Q829" s="885"/>
      <c r="R829" s="885"/>
      <c r="S829" s="885"/>
      <c r="T829" s="885"/>
      <c r="U829" s="885"/>
      <c r="V829" s="885"/>
      <c r="W829" s="885"/>
      <c r="X829" s="885"/>
      <c r="Y829" s="885"/>
      <c r="Z829" s="885"/>
      <c r="AA829" s="885"/>
      <c r="AB829" s="885"/>
      <c r="AC829" s="885"/>
    </row>
    <row r="830" spans="1:29" ht="15.75" customHeight="1" x14ac:dyDescent="0.2">
      <c r="A830" s="885"/>
      <c r="B830" s="885"/>
      <c r="C830" s="885"/>
      <c r="D830" s="885"/>
      <c r="E830" s="885"/>
      <c r="F830" s="885"/>
      <c r="G830" s="885"/>
      <c r="H830" s="885"/>
      <c r="I830" s="885"/>
      <c r="J830" s="885"/>
      <c r="K830" s="885"/>
      <c r="L830" s="885"/>
      <c r="M830" s="885"/>
      <c r="N830" s="885"/>
      <c r="O830" s="885"/>
      <c r="P830" s="885"/>
      <c r="Q830" s="885"/>
      <c r="R830" s="885"/>
      <c r="S830" s="885"/>
      <c r="T830" s="885"/>
      <c r="U830" s="885"/>
      <c r="V830" s="885"/>
      <c r="W830" s="885"/>
      <c r="X830" s="885"/>
      <c r="Y830" s="885"/>
      <c r="Z830" s="885"/>
      <c r="AA830" s="885"/>
      <c r="AB830" s="885"/>
      <c r="AC830" s="885"/>
    </row>
    <row r="831" spans="1:29" ht="15.75" customHeight="1" x14ac:dyDescent="0.2">
      <c r="A831" s="885"/>
      <c r="B831" s="885"/>
      <c r="C831" s="885"/>
      <c r="D831" s="885"/>
      <c r="E831" s="885"/>
      <c r="F831" s="885"/>
      <c r="G831" s="885"/>
      <c r="H831" s="885"/>
      <c r="I831" s="885"/>
      <c r="J831" s="885"/>
      <c r="K831" s="885"/>
      <c r="L831" s="885"/>
      <c r="M831" s="885"/>
      <c r="N831" s="885"/>
      <c r="O831" s="885"/>
      <c r="P831" s="885"/>
      <c r="Q831" s="885"/>
      <c r="R831" s="885"/>
      <c r="S831" s="885"/>
      <c r="T831" s="885"/>
      <c r="U831" s="885"/>
      <c r="V831" s="885"/>
      <c r="W831" s="885"/>
      <c r="X831" s="885"/>
      <c r="Y831" s="885"/>
      <c r="Z831" s="885"/>
      <c r="AA831" s="885"/>
      <c r="AB831" s="885"/>
      <c r="AC831" s="885"/>
    </row>
    <row r="832" spans="1:29" ht="15.75" customHeight="1" x14ac:dyDescent="0.2">
      <c r="A832" s="885"/>
      <c r="B832" s="885"/>
      <c r="C832" s="885"/>
      <c r="D832" s="885"/>
      <c r="E832" s="885"/>
      <c r="F832" s="885"/>
      <c r="G832" s="885"/>
      <c r="H832" s="885"/>
      <c r="I832" s="885"/>
      <c r="J832" s="885"/>
      <c r="K832" s="885"/>
      <c r="L832" s="885"/>
      <c r="M832" s="885"/>
      <c r="N832" s="885"/>
      <c r="O832" s="885"/>
      <c r="P832" s="885"/>
      <c r="Q832" s="885"/>
      <c r="R832" s="885"/>
      <c r="S832" s="885"/>
      <c r="T832" s="885"/>
      <c r="U832" s="885"/>
      <c r="V832" s="885"/>
      <c r="W832" s="885"/>
      <c r="X832" s="885"/>
      <c r="Y832" s="885"/>
      <c r="Z832" s="885"/>
      <c r="AA832" s="885"/>
      <c r="AB832" s="885"/>
      <c r="AC832" s="885"/>
    </row>
    <row r="833" spans="1:29" ht="15.75" customHeight="1" x14ac:dyDescent="0.2">
      <c r="A833" s="885"/>
      <c r="B833" s="885"/>
      <c r="C833" s="885"/>
      <c r="D833" s="885"/>
      <c r="E833" s="885"/>
      <c r="F833" s="885"/>
      <c r="G833" s="885"/>
      <c r="H833" s="885"/>
      <c r="I833" s="885"/>
      <c r="J833" s="885"/>
      <c r="K833" s="885"/>
      <c r="L833" s="885"/>
      <c r="M833" s="885"/>
      <c r="N833" s="885"/>
      <c r="O833" s="885"/>
      <c r="P833" s="885"/>
      <c r="Q833" s="885"/>
      <c r="R833" s="885"/>
      <c r="S833" s="885"/>
      <c r="T833" s="885"/>
      <c r="U833" s="885"/>
      <c r="V833" s="885"/>
      <c r="W833" s="885"/>
      <c r="X833" s="885"/>
      <c r="Y833" s="885"/>
      <c r="Z833" s="885"/>
      <c r="AA833" s="885"/>
      <c r="AB833" s="885"/>
      <c r="AC833" s="885"/>
    </row>
    <row r="834" spans="1:29" ht="15.75" customHeight="1" x14ac:dyDescent="0.2">
      <c r="A834" s="885"/>
      <c r="B834" s="885"/>
      <c r="C834" s="885"/>
      <c r="D834" s="885"/>
      <c r="E834" s="885"/>
      <c r="F834" s="885"/>
      <c r="G834" s="885"/>
      <c r="H834" s="885"/>
      <c r="I834" s="885"/>
      <c r="J834" s="885"/>
      <c r="K834" s="885"/>
      <c r="L834" s="885"/>
      <c r="M834" s="885"/>
      <c r="N834" s="885"/>
      <c r="O834" s="885"/>
      <c r="P834" s="885"/>
      <c r="Q834" s="885"/>
      <c r="R834" s="885"/>
      <c r="S834" s="885"/>
      <c r="T834" s="885"/>
      <c r="U834" s="885"/>
      <c r="V834" s="885"/>
      <c r="W834" s="885"/>
      <c r="X834" s="885"/>
      <c r="Y834" s="885"/>
      <c r="Z834" s="885"/>
      <c r="AA834" s="885"/>
      <c r="AB834" s="885"/>
      <c r="AC834" s="885"/>
    </row>
    <row r="835" spans="1:29" ht="15.75" customHeight="1" x14ac:dyDescent="0.2">
      <c r="A835" s="885"/>
      <c r="B835" s="885"/>
      <c r="C835" s="885"/>
      <c r="D835" s="885"/>
      <c r="E835" s="885"/>
      <c r="F835" s="885"/>
      <c r="G835" s="885"/>
      <c r="H835" s="885"/>
      <c r="I835" s="885"/>
      <c r="J835" s="885"/>
      <c r="K835" s="885"/>
      <c r="L835" s="885"/>
      <c r="M835" s="885"/>
      <c r="N835" s="885"/>
      <c r="O835" s="885"/>
      <c r="P835" s="885"/>
      <c r="Q835" s="885"/>
      <c r="R835" s="885"/>
      <c r="S835" s="885"/>
      <c r="T835" s="885"/>
      <c r="U835" s="885"/>
      <c r="V835" s="885"/>
      <c r="W835" s="885"/>
      <c r="X835" s="885"/>
      <c r="Y835" s="885"/>
      <c r="Z835" s="885"/>
      <c r="AA835" s="885"/>
      <c r="AB835" s="885"/>
      <c r="AC835" s="885"/>
    </row>
    <row r="836" spans="1:29" ht="15.75" customHeight="1" x14ac:dyDescent="0.2">
      <c r="A836" s="885"/>
      <c r="B836" s="885"/>
      <c r="C836" s="885"/>
      <c r="D836" s="885"/>
      <c r="E836" s="885"/>
      <c r="F836" s="885"/>
      <c r="G836" s="885"/>
      <c r="H836" s="885"/>
      <c r="I836" s="885"/>
      <c r="J836" s="885"/>
      <c r="K836" s="885"/>
      <c r="L836" s="885"/>
      <c r="M836" s="885"/>
      <c r="N836" s="885"/>
      <c r="O836" s="885"/>
      <c r="P836" s="885"/>
      <c r="Q836" s="885"/>
      <c r="R836" s="885"/>
      <c r="S836" s="885"/>
      <c r="T836" s="885"/>
      <c r="U836" s="885"/>
      <c r="V836" s="885"/>
      <c r="W836" s="885"/>
      <c r="X836" s="885"/>
      <c r="Y836" s="885"/>
      <c r="Z836" s="885"/>
      <c r="AA836" s="885"/>
      <c r="AB836" s="885"/>
      <c r="AC836" s="885"/>
    </row>
    <row r="837" spans="1:29" ht="15.75" customHeight="1" x14ac:dyDescent="0.2">
      <c r="A837" s="885"/>
      <c r="B837" s="885"/>
      <c r="C837" s="885"/>
      <c r="D837" s="885"/>
      <c r="E837" s="885"/>
      <c r="F837" s="885"/>
      <c r="G837" s="885"/>
      <c r="H837" s="885"/>
      <c r="I837" s="885"/>
      <c r="J837" s="885"/>
      <c r="K837" s="885"/>
      <c r="L837" s="885"/>
      <c r="M837" s="885"/>
      <c r="N837" s="885"/>
      <c r="O837" s="885"/>
      <c r="P837" s="885"/>
      <c r="Q837" s="885"/>
      <c r="R837" s="885"/>
      <c r="S837" s="885"/>
      <c r="T837" s="885"/>
      <c r="U837" s="885"/>
      <c r="V837" s="885"/>
      <c r="W837" s="885"/>
      <c r="X837" s="885"/>
      <c r="Y837" s="885"/>
      <c r="Z837" s="885"/>
      <c r="AA837" s="885"/>
      <c r="AB837" s="885"/>
      <c r="AC837" s="885"/>
    </row>
    <row r="838" spans="1:29" ht="15.75" customHeight="1" x14ac:dyDescent="0.2">
      <c r="A838" s="885"/>
      <c r="B838" s="885"/>
      <c r="C838" s="885"/>
      <c r="D838" s="885"/>
      <c r="E838" s="885"/>
      <c r="F838" s="885"/>
      <c r="G838" s="885"/>
      <c r="H838" s="885"/>
      <c r="I838" s="885"/>
      <c r="J838" s="885"/>
      <c r="K838" s="885"/>
      <c r="L838" s="885"/>
      <c r="M838" s="885"/>
      <c r="N838" s="885"/>
      <c r="O838" s="885"/>
      <c r="P838" s="885"/>
      <c r="Q838" s="885"/>
      <c r="R838" s="885"/>
      <c r="S838" s="885"/>
      <c r="T838" s="885"/>
      <c r="U838" s="885"/>
      <c r="V838" s="885"/>
      <c r="W838" s="885"/>
      <c r="X838" s="885"/>
      <c r="Y838" s="885"/>
      <c r="Z838" s="885"/>
      <c r="AA838" s="885"/>
      <c r="AB838" s="885"/>
      <c r="AC838" s="885"/>
    </row>
    <row r="839" spans="1:29" ht="15.75" customHeight="1" x14ac:dyDescent="0.2">
      <c r="A839" s="885"/>
      <c r="B839" s="885"/>
      <c r="C839" s="885"/>
      <c r="D839" s="885"/>
      <c r="E839" s="885"/>
      <c r="F839" s="885"/>
      <c r="G839" s="885"/>
      <c r="H839" s="885"/>
      <c r="I839" s="885"/>
      <c r="J839" s="885"/>
      <c r="K839" s="885"/>
      <c r="L839" s="885"/>
      <c r="M839" s="885"/>
      <c r="N839" s="885"/>
      <c r="O839" s="885"/>
      <c r="P839" s="885"/>
      <c r="Q839" s="885"/>
      <c r="R839" s="885"/>
      <c r="S839" s="885"/>
      <c r="T839" s="885"/>
      <c r="U839" s="885"/>
      <c r="V839" s="885"/>
      <c r="W839" s="885"/>
      <c r="X839" s="885"/>
      <c r="Y839" s="885"/>
      <c r="Z839" s="885"/>
      <c r="AA839" s="885"/>
      <c r="AB839" s="885"/>
      <c r="AC839" s="885"/>
    </row>
    <row r="840" spans="1:29" ht="15.75" customHeight="1" x14ac:dyDescent="0.2">
      <c r="A840" s="885"/>
      <c r="B840" s="885"/>
      <c r="C840" s="885"/>
      <c r="D840" s="885"/>
      <c r="E840" s="885"/>
      <c r="F840" s="885"/>
      <c r="G840" s="885"/>
      <c r="H840" s="885"/>
      <c r="I840" s="885"/>
      <c r="J840" s="885"/>
      <c r="K840" s="885"/>
      <c r="L840" s="885"/>
      <c r="M840" s="885"/>
      <c r="N840" s="885"/>
      <c r="O840" s="885"/>
      <c r="P840" s="885"/>
      <c r="Q840" s="885"/>
      <c r="R840" s="885"/>
      <c r="S840" s="885"/>
      <c r="T840" s="885"/>
      <c r="U840" s="885"/>
      <c r="V840" s="885"/>
      <c r="W840" s="885"/>
      <c r="X840" s="885"/>
      <c r="Y840" s="885"/>
      <c r="Z840" s="885"/>
      <c r="AA840" s="885"/>
      <c r="AB840" s="885"/>
      <c r="AC840" s="885"/>
    </row>
    <row r="841" spans="1:29" ht="15.75" customHeight="1" x14ac:dyDescent="0.2">
      <c r="A841" s="885"/>
      <c r="B841" s="885"/>
      <c r="C841" s="885"/>
      <c r="D841" s="885"/>
      <c r="E841" s="885"/>
      <c r="F841" s="885"/>
      <c r="G841" s="885"/>
      <c r="H841" s="885"/>
      <c r="I841" s="885"/>
      <c r="J841" s="885"/>
      <c r="K841" s="885"/>
      <c r="L841" s="885"/>
      <c r="M841" s="885"/>
      <c r="N841" s="885"/>
      <c r="O841" s="885"/>
      <c r="P841" s="885"/>
      <c r="Q841" s="885"/>
      <c r="R841" s="885"/>
      <c r="S841" s="885"/>
      <c r="T841" s="885"/>
      <c r="U841" s="885"/>
      <c r="V841" s="885"/>
      <c r="W841" s="885"/>
      <c r="X841" s="885"/>
      <c r="Y841" s="885"/>
      <c r="Z841" s="885"/>
      <c r="AA841" s="885"/>
      <c r="AB841" s="885"/>
      <c r="AC841" s="885"/>
    </row>
    <row r="842" spans="1:29" ht="15.75" customHeight="1" x14ac:dyDescent="0.2">
      <c r="A842" s="885"/>
      <c r="B842" s="885"/>
      <c r="C842" s="885"/>
      <c r="D842" s="885"/>
      <c r="E842" s="885"/>
      <c r="F842" s="885"/>
      <c r="G842" s="885"/>
      <c r="H842" s="885"/>
      <c r="I842" s="885"/>
      <c r="J842" s="885"/>
      <c r="K842" s="885"/>
      <c r="L842" s="885"/>
      <c r="M842" s="885"/>
      <c r="N842" s="885"/>
      <c r="O842" s="885"/>
      <c r="P842" s="885"/>
      <c r="Q842" s="885"/>
      <c r="R842" s="885"/>
      <c r="S842" s="885"/>
      <c r="T842" s="885"/>
      <c r="U842" s="885"/>
      <c r="V842" s="885"/>
      <c r="W842" s="885"/>
      <c r="X842" s="885"/>
      <c r="Y842" s="885"/>
      <c r="Z842" s="885"/>
      <c r="AA842" s="885"/>
      <c r="AB842" s="885"/>
      <c r="AC842" s="885"/>
    </row>
    <row r="843" spans="1:29" ht="15.75" customHeight="1" x14ac:dyDescent="0.2">
      <c r="A843" s="885"/>
      <c r="B843" s="885"/>
      <c r="C843" s="885"/>
      <c r="D843" s="885"/>
      <c r="E843" s="885"/>
      <c r="F843" s="885"/>
      <c r="G843" s="885"/>
      <c r="H843" s="885"/>
      <c r="I843" s="885"/>
      <c r="J843" s="885"/>
      <c r="K843" s="885"/>
      <c r="L843" s="885"/>
      <c r="M843" s="885"/>
      <c r="N843" s="885"/>
      <c r="O843" s="885"/>
      <c r="P843" s="885"/>
      <c r="Q843" s="885"/>
      <c r="R843" s="885"/>
      <c r="S843" s="885"/>
      <c r="T843" s="885"/>
      <c r="U843" s="885"/>
      <c r="V843" s="885"/>
      <c r="W843" s="885"/>
      <c r="X843" s="885"/>
      <c r="Y843" s="885"/>
      <c r="Z843" s="885"/>
      <c r="AA843" s="885"/>
      <c r="AB843" s="885"/>
      <c r="AC843" s="885"/>
    </row>
    <row r="844" spans="1:29" ht="15.75" customHeight="1" x14ac:dyDescent="0.2">
      <c r="A844" s="885"/>
      <c r="B844" s="885"/>
      <c r="C844" s="885"/>
      <c r="D844" s="885"/>
      <c r="E844" s="885"/>
      <c r="F844" s="885"/>
      <c r="G844" s="885"/>
      <c r="H844" s="885"/>
      <c r="I844" s="885"/>
      <c r="J844" s="885"/>
      <c r="K844" s="885"/>
      <c r="L844" s="885"/>
      <c r="M844" s="885"/>
      <c r="N844" s="885"/>
      <c r="O844" s="885"/>
      <c r="P844" s="885"/>
      <c r="Q844" s="885"/>
      <c r="R844" s="885"/>
      <c r="S844" s="885"/>
      <c r="T844" s="885"/>
      <c r="U844" s="885"/>
      <c r="V844" s="885"/>
      <c r="W844" s="885"/>
      <c r="X844" s="885"/>
      <c r="Y844" s="885"/>
      <c r="Z844" s="885"/>
      <c r="AA844" s="885"/>
      <c r="AB844" s="885"/>
      <c r="AC844" s="885"/>
    </row>
    <row r="845" spans="1:29" ht="15.75" customHeight="1" x14ac:dyDescent="0.2">
      <c r="A845" s="885"/>
      <c r="B845" s="885"/>
      <c r="C845" s="885"/>
      <c r="D845" s="885"/>
      <c r="E845" s="885"/>
      <c r="F845" s="885"/>
      <c r="G845" s="885"/>
      <c r="H845" s="885"/>
      <c r="I845" s="885"/>
      <c r="J845" s="885"/>
      <c r="K845" s="885"/>
      <c r="L845" s="885"/>
      <c r="M845" s="885"/>
      <c r="N845" s="885"/>
      <c r="O845" s="885"/>
      <c r="P845" s="885"/>
      <c r="Q845" s="885"/>
      <c r="R845" s="885"/>
      <c r="S845" s="885"/>
      <c r="T845" s="885"/>
      <c r="U845" s="885"/>
      <c r="V845" s="885"/>
      <c r="W845" s="885"/>
      <c r="X845" s="885"/>
      <c r="Y845" s="885"/>
      <c r="Z845" s="885"/>
      <c r="AA845" s="885"/>
      <c r="AB845" s="885"/>
      <c r="AC845" s="885"/>
    </row>
    <row r="846" spans="1:29" ht="15.75" customHeight="1" x14ac:dyDescent="0.2">
      <c r="A846" s="885"/>
      <c r="B846" s="885"/>
      <c r="C846" s="885"/>
      <c r="D846" s="885"/>
      <c r="E846" s="885"/>
      <c r="F846" s="885"/>
      <c r="G846" s="885"/>
      <c r="H846" s="885"/>
      <c r="I846" s="885"/>
      <c r="J846" s="885"/>
      <c r="K846" s="885"/>
      <c r="L846" s="885"/>
      <c r="M846" s="885"/>
      <c r="N846" s="885"/>
      <c r="O846" s="885"/>
      <c r="P846" s="885"/>
      <c r="Q846" s="885"/>
      <c r="R846" s="885"/>
      <c r="S846" s="885"/>
      <c r="T846" s="885"/>
      <c r="U846" s="885"/>
      <c r="V846" s="885"/>
      <c r="W846" s="885"/>
      <c r="X846" s="885"/>
      <c r="Y846" s="885"/>
      <c r="Z846" s="885"/>
      <c r="AA846" s="885"/>
      <c r="AB846" s="885"/>
      <c r="AC846" s="885"/>
    </row>
    <row r="847" spans="1:29" ht="15.75" customHeight="1" x14ac:dyDescent="0.2">
      <c r="A847" s="885"/>
      <c r="B847" s="885"/>
      <c r="C847" s="885"/>
      <c r="D847" s="885"/>
      <c r="E847" s="885"/>
      <c r="F847" s="885"/>
      <c r="G847" s="885"/>
      <c r="H847" s="885"/>
      <c r="I847" s="885"/>
      <c r="J847" s="885"/>
      <c r="K847" s="885"/>
      <c r="L847" s="885"/>
      <c r="M847" s="885"/>
      <c r="N847" s="885"/>
      <c r="O847" s="885"/>
      <c r="P847" s="885"/>
      <c r="Q847" s="885"/>
      <c r="R847" s="885"/>
      <c r="S847" s="885"/>
      <c r="T847" s="885"/>
      <c r="U847" s="885"/>
      <c r="V847" s="885"/>
      <c r="W847" s="885"/>
      <c r="X847" s="885"/>
      <c r="Y847" s="885"/>
      <c r="Z847" s="885"/>
      <c r="AA847" s="885"/>
      <c r="AB847" s="885"/>
      <c r="AC847" s="885"/>
    </row>
    <row r="848" spans="1:29" ht="15.75" customHeight="1" x14ac:dyDescent="0.2">
      <c r="A848" s="885"/>
      <c r="B848" s="885"/>
      <c r="C848" s="885"/>
      <c r="D848" s="885"/>
      <c r="E848" s="885"/>
      <c r="F848" s="885"/>
      <c r="G848" s="885"/>
      <c r="H848" s="885"/>
      <c r="I848" s="885"/>
      <c r="J848" s="885"/>
      <c r="K848" s="885"/>
      <c r="L848" s="885"/>
      <c r="M848" s="885"/>
      <c r="N848" s="885"/>
      <c r="O848" s="885"/>
      <c r="P848" s="885"/>
      <c r="Q848" s="885"/>
      <c r="R848" s="885"/>
      <c r="S848" s="885"/>
      <c r="T848" s="885"/>
      <c r="U848" s="885"/>
      <c r="V848" s="885"/>
      <c r="W848" s="885"/>
      <c r="X848" s="885"/>
      <c r="Y848" s="885"/>
      <c r="Z848" s="885"/>
      <c r="AA848" s="885"/>
      <c r="AB848" s="885"/>
      <c r="AC848" s="885"/>
    </row>
    <row r="849" spans="1:29" ht="15.75" customHeight="1" x14ac:dyDescent="0.2">
      <c r="A849" s="885"/>
      <c r="B849" s="885"/>
      <c r="C849" s="885"/>
      <c r="D849" s="885"/>
      <c r="E849" s="885"/>
      <c r="F849" s="885"/>
      <c r="G849" s="885"/>
      <c r="H849" s="885"/>
      <c r="I849" s="885"/>
      <c r="J849" s="885"/>
      <c r="K849" s="885"/>
      <c r="L849" s="885"/>
      <c r="M849" s="885"/>
      <c r="N849" s="885"/>
      <c r="O849" s="885"/>
      <c r="P849" s="885"/>
      <c r="Q849" s="885"/>
      <c r="R849" s="885"/>
      <c r="S849" s="885"/>
      <c r="T849" s="885"/>
      <c r="U849" s="885"/>
      <c r="V849" s="885"/>
      <c r="W849" s="885"/>
      <c r="X849" s="885"/>
      <c r="Y849" s="885"/>
      <c r="Z849" s="885"/>
      <c r="AA849" s="885"/>
      <c r="AB849" s="885"/>
      <c r="AC849" s="885"/>
    </row>
    <row r="850" spans="1:29" ht="15.75" customHeight="1" x14ac:dyDescent="0.2">
      <c r="A850" s="885"/>
      <c r="B850" s="885"/>
      <c r="C850" s="885"/>
      <c r="D850" s="885"/>
      <c r="E850" s="885"/>
      <c r="F850" s="885"/>
      <c r="G850" s="885"/>
      <c r="H850" s="885"/>
      <c r="I850" s="885"/>
      <c r="J850" s="885"/>
      <c r="K850" s="885"/>
      <c r="L850" s="885"/>
      <c r="M850" s="885"/>
      <c r="N850" s="885"/>
      <c r="O850" s="885"/>
      <c r="P850" s="885"/>
      <c r="Q850" s="885"/>
      <c r="R850" s="885"/>
      <c r="S850" s="885"/>
      <c r="T850" s="885"/>
      <c r="U850" s="885"/>
      <c r="V850" s="885"/>
      <c r="W850" s="885"/>
      <c r="X850" s="885"/>
      <c r="Y850" s="885"/>
      <c r="Z850" s="885"/>
      <c r="AA850" s="885"/>
      <c r="AB850" s="885"/>
      <c r="AC850" s="885"/>
    </row>
    <row r="851" spans="1:29" ht="15.75" customHeight="1" x14ac:dyDescent="0.2">
      <c r="A851" s="885"/>
      <c r="B851" s="885"/>
      <c r="C851" s="885"/>
      <c r="D851" s="885"/>
      <c r="E851" s="885"/>
      <c r="F851" s="885"/>
      <c r="G851" s="885"/>
      <c r="H851" s="885"/>
      <c r="I851" s="885"/>
      <c r="J851" s="885"/>
      <c r="K851" s="885"/>
      <c r="L851" s="885"/>
      <c r="M851" s="885"/>
      <c r="N851" s="885"/>
      <c r="O851" s="885"/>
      <c r="P851" s="885"/>
      <c r="Q851" s="885"/>
      <c r="R851" s="885"/>
      <c r="S851" s="885"/>
      <c r="T851" s="885"/>
      <c r="U851" s="885"/>
      <c r="V851" s="885"/>
      <c r="W851" s="885"/>
      <c r="X851" s="885"/>
      <c r="Y851" s="885"/>
      <c r="Z851" s="885"/>
      <c r="AA851" s="885"/>
      <c r="AB851" s="885"/>
      <c r="AC851" s="885"/>
    </row>
    <row r="852" spans="1:29" ht="15.75" customHeight="1" x14ac:dyDescent="0.2">
      <c r="A852" s="885"/>
      <c r="B852" s="885"/>
      <c r="C852" s="885"/>
      <c r="D852" s="885"/>
      <c r="E852" s="885"/>
      <c r="F852" s="885"/>
      <c r="G852" s="885"/>
      <c r="H852" s="885"/>
      <c r="I852" s="885"/>
      <c r="J852" s="885"/>
      <c r="K852" s="885"/>
      <c r="L852" s="885"/>
      <c r="M852" s="885"/>
      <c r="N852" s="885"/>
      <c r="O852" s="885"/>
      <c r="P852" s="885"/>
      <c r="Q852" s="885"/>
      <c r="R852" s="885"/>
      <c r="S852" s="885"/>
      <c r="T852" s="885"/>
      <c r="U852" s="885"/>
      <c r="V852" s="885"/>
      <c r="W852" s="885"/>
      <c r="X852" s="885"/>
      <c r="Y852" s="885"/>
      <c r="Z852" s="885"/>
      <c r="AA852" s="885"/>
      <c r="AB852" s="885"/>
      <c r="AC852" s="885"/>
    </row>
    <row r="853" spans="1:29" ht="15.75" customHeight="1" x14ac:dyDescent="0.2">
      <c r="A853" s="885"/>
      <c r="B853" s="885"/>
      <c r="C853" s="885"/>
      <c r="D853" s="885"/>
      <c r="E853" s="885"/>
      <c r="F853" s="885"/>
      <c r="G853" s="885"/>
      <c r="H853" s="885"/>
      <c r="I853" s="885"/>
      <c r="J853" s="885"/>
      <c r="K853" s="885"/>
      <c r="L853" s="885"/>
      <c r="M853" s="885"/>
      <c r="N853" s="885"/>
      <c r="O853" s="885"/>
      <c r="P853" s="885"/>
      <c r="Q853" s="885"/>
      <c r="R853" s="885"/>
      <c r="S853" s="885"/>
      <c r="T853" s="885"/>
      <c r="U853" s="885"/>
      <c r="V853" s="885"/>
      <c r="W853" s="885"/>
      <c r="X853" s="885"/>
      <c r="Y853" s="885"/>
      <c r="Z853" s="885"/>
      <c r="AA853" s="885"/>
      <c r="AB853" s="885"/>
      <c r="AC853" s="885"/>
    </row>
    <row r="854" spans="1:29" ht="15.75" customHeight="1" x14ac:dyDescent="0.2">
      <c r="A854" s="885"/>
      <c r="B854" s="885"/>
      <c r="C854" s="885"/>
      <c r="D854" s="885"/>
      <c r="E854" s="885"/>
      <c r="F854" s="885"/>
      <c r="G854" s="885"/>
      <c r="H854" s="885"/>
      <c r="I854" s="885"/>
      <c r="J854" s="885"/>
      <c r="K854" s="885"/>
      <c r="L854" s="885"/>
      <c r="M854" s="885"/>
      <c r="N854" s="885"/>
      <c r="O854" s="885"/>
      <c r="P854" s="885"/>
      <c r="Q854" s="885"/>
      <c r="R854" s="885"/>
      <c r="S854" s="885"/>
      <c r="T854" s="885"/>
      <c r="U854" s="885"/>
      <c r="V854" s="885"/>
      <c r="W854" s="885"/>
      <c r="X854" s="885"/>
      <c r="Y854" s="885"/>
      <c r="Z854" s="885"/>
      <c r="AA854" s="885"/>
      <c r="AB854" s="885"/>
      <c r="AC854" s="885"/>
    </row>
    <row r="855" spans="1:29" ht="15.75" customHeight="1" x14ac:dyDescent="0.2">
      <c r="A855" s="885"/>
      <c r="B855" s="885"/>
      <c r="C855" s="885"/>
      <c r="D855" s="885"/>
      <c r="E855" s="885"/>
      <c r="F855" s="885"/>
      <c r="G855" s="885"/>
      <c r="H855" s="885"/>
      <c r="I855" s="885"/>
      <c r="J855" s="885"/>
      <c r="K855" s="885"/>
      <c r="L855" s="885"/>
      <c r="M855" s="885"/>
      <c r="N855" s="885"/>
      <c r="O855" s="885"/>
      <c r="P855" s="885"/>
      <c r="Q855" s="885"/>
      <c r="R855" s="885"/>
      <c r="S855" s="885"/>
      <c r="T855" s="885"/>
      <c r="U855" s="885"/>
      <c r="V855" s="885"/>
      <c r="W855" s="885"/>
      <c r="X855" s="885"/>
      <c r="Y855" s="885"/>
      <c r="Z855" s="885"/>
      <c r="AA855" s="885"/>
      <c r="AB855" s="885"/>
      <c r="AC855" s="885"/>
    </row>
    <row r="856" spans="1:29" ht="15.75" customHeight="1" x14ac:dyDescent="0.2">
      <c r="A856" s="885"/>
      <c r="B856" s="885"/>
      <c r="C856" s="885"/>
      <c r="D856" s="885"/>
      <c r="E856" s="885"/>
      <c r="F856" s="885"/>
      <c r="G856" s="885"/>
      <c r="H856" s="885"/>
      <c r="I856" s="885"/>
      <c r="J856" s="885"/>
      <c r="K856" s="885"/>
      <c r="L856" s="885"/>
      <c r="M856" s="885"/>
      <c r="N856" s="885"/>
      <c r="O856" s="885"/>
      <c r="P856" s="885"/>
      <c r="Q856" s="885"/>
      <c r="R856" s="885"/>
      <c r="S856" s="885"/>
      <c r="T856" s="885"/>
      <c r="U856" s="885"/>
      <c r="V856" s="885"/>
      <c r="W856" s="885"/>
      <c r="X856" s="885"/>
      <c r="Y856" s="885"/>
      <c r="Z856" s="885"/>
      <c r="AA856" s="885"/>
      <c r="AB856" s="885"/>
      <c r="AC856" s="885"/>
    </row>
    <row r="857" spans="1:29" ht="15.75" customHeight="1" x14ac:dyDescent="0.2">
      <c r="A857" s="885"/>
      <c r="B857" s="885"/>
      <c r="C857" s="885"/>
      <c r="D857" s="885"/>
      <c r="E857" s="885"/>
      <c r="F857" s="885"/>
      <c r="G857" s="885"/>
      <c r="H857" s="885"/>
      <c r="I857" s="885"/>
      <c r="J857" s="885"/>
      <c r="K857" s="885"/>
      <c r="L857" s="885"/>
      <c r="M857" s="885"/>
      <c r="N857" s="885"/>
      <c r="O857" s="885"/>
      <c r="P857" s="885"/>
      <c r="Q857" s="885"/>
      <c r="R857" s="885"/>
      <c r="S857" s="885"/>
      <c r="T857" s="885"/>
      <c r="U857" s="885"/>
      <c r="V857" s="885"/>
      <c r="W857" s="885"/>
      <c r="X857" s="885"/>
      <c r="Y857" s="885"/>
      <c r="Z857" s="885"/>
      <c r="AA857" s="885"/>
      <c r="AB857" s="885"/>
      <c r="AC857" s="885"/>
    </row>
    <row r="858" spans="1:29" ht="15.75" customHeight="1" x14ac:dyDescent="0.2">
      <c r="A858" s="885"/>
      <c r="B858" s="885"/>
      <c r="C858" s="885"/>
      <c r="D858" s="885"/>
      <c r="E858" s="885"/>
      <c r="F858" s="885"/>
      <c r="G858" s="885"/>
      <c r="H858" s="885"/>
      <c r="I858" s="885"/>
      <c r="J858" s="885"/>
      <c r="K858" s="885"/>
      <c r="L858" s="885"/>
      <c r="M858" s="885"/>
      <c r="N858" s="885"/>
      <c r="O858" s="885"/>
      <c r="P858" s="885"/>
      <c r="Q858" s="885"/>
      <c r="R858" s="885"/>
      <c r="S858" s="885"/>
      <c r="T858" s="885"/>
      <c r="U858" s="885"/>
      <c r="V858" s="885"/>
      <c r="W858" s="885"/>
      <c r="X858" s="885"/>
      <c r="Y858" s="885"/>
      <c r="Z858" s="885"/>
      <c r="AA858" s="885"/>
      <c r="AB858" s="885"/>
      <c r="AC858" s="885"/>
    </row>
    <row r="859" spans="1:29" ht="15.75" customHeight="1" x14ac:dyDescent="0.2">
      <c r="A859" s="885"/>
      <c r="B859" s="885"/>
      <c r="C859" s="885"/>
      <c r="D859" s="885"/>
      <c r="E859" s="885"/>
      <c r="F859" s="885"/>
      <c r="G859" s="885"/>
      <c r="H859" s="885"/>
      <c r="I859" s="885"/>
      <c r="J859" s="885"/>
      <c r="K859" s="885"/>
      <c r="L859" s="885"/>
      <c r="M859" s="885"/>
      <c r="N859" s="885"/>
      <c r="O859" s="885"/>
      <c r="P859" s="885"/>
      <c r="Q859" s="885"/>
      <c r="R859" s="885"/>
      <c r="S859" s="885"/>
      <c r="T859" s="885"/>
      <c r="U859" s="885"/>
      <c r="V859" s="885"/>
      <c r="W859" s="885"/>
      <c r="X859" s="885"/>
      <c r="Y859" s="885"/>
      <c r="Z859" s="885"/>
      <c r="AA859" s="885"/>
      <c r="AB859" s="885"/>
      <c r="AC859" s="885"/>
    </row>
    <row r="860" spans="1:29" ht="15.75" customHeight="1" x14ac:dyDescent="0.2">
      <c r="A860" s="885"/>
      <c r="B860" s="885"/>
      <c r="C860" s="885"/>
      <c r="D860" s="885"/>
      <c r="E860" s="885"/>
      <c r="F860" s="885"/>
      <c r="G860" s="885"/>
      <c r="H860" s="885"/>
      <c r="I860" s="885"/>
      <c r="J860" s="885"/>
      <c r="K860" s="885"/>
      <c r="L860" s="885"/>
      <c r="M860" s="885"/>
      <c r="N860" s="885"/>
      <c r="O860" s="885"/>
      <c r="P860" s="885"/>
      <c r="Q860" s="885"/>
      <c r="R860" s="885"/>
      <c r="S860" s="885"/>
      <c r="T860" s="885"/>
      <c r="U860" s="885"/>
      <c r="V860" s="885"/>
      <c r="W860" s="885"/>
      <c r="X860" s="885"/>
      <c r="Y860" s="885"/>
      <c r="Z860" s="885"/>
      <c r="AA860" s="885"/>
      <c r="AB860" s="885"/>
      <c r="AC860" s="885"/>
    </row>
    <row r="861" spans="1:29" ht="15.75" customHeight="1" x14ac:dyDescent="0.2">
      <c r="A861" s="885"/>
      <c r="B861" s="885"/>
      <c r="C861" s="885"/>
      <c r="D861" s="885"/>
      <c r="E861" s="885"/>
      <c r="F861" s="885"/>
      <c r="G861" s="885"/>
      <c r="H861" s="885"/>
      <c r="I861" s="885"/>
      <c r="J861" s="885"/>
      <c r="K861" s="885"/>
      <c r="L861" s="885"/>
      <c r="M861" s="885"/>
      <c r="N861" s="885"/>
      <c r="O861" s="885"/>
      <c r="P861" s="885"/>
      <c r="Q861" s="885"/>
      <c r="R861" s="885"/>
      <c r="S861" s="885"/>
      <c r="T861" s="885"/>
      <c r="U861" s="885"/>
      <c r="V861" s="885"/>
      <c r="W861" s="885"/>
      <c r="X861" s="885"/>
      <c r="Y861" s="885"/>
      <c r="Z861" s="885"/>
      <c r="AA861" s="885"/>
      <c r="AB861" s="885"/>
      <c r="AC861" s="885"/>
    </row>
    <row r="862" spans="1:29" ht="15.75" customHeight="1" x14ac:dyDescent="0.2">
      <c r="A862" s="885"/>
      <c r="B862" s="885"/>
      <c r="C862" s="885"/>
      <c r="D862" s="885"/>
      <c r="E862" s="885"/>
      <c r="F862" s="885"/>
      <c r="G862" s="885"/>
      <c r="H862" s="885"/>
      <c r="I862" s="885"/>
      <c r="J862" s="885"/>
      <c r="K862" s="885"/>
      <c r="L862" s="885"/>
      <c r="M862" s="885"/>
      <c r="N862" s="885"/>
      <c r="O862" s="885"/>
      <c r="P862" s="885"/>
      <c r="Q862" s="885"/>
      <c r="R862" s="885"/>
      <c r="S862" s="885"/>
      <c r="T862" s="885"/>
      <c r="U862" s="885"/>
      <c r="V862" s="885"/>
      <c r="W862" s="885"/>
      <c r="X862" s="885"/>
      <c r="Y862" s="885"/>
      <c r="Z862" s="885"/>
      <c r="AA862" s="885"/>
      <c r="AB862" s="885"/>
      <c r="AC862" s="885"/>
    </row>
    <row r="863" spans="1:29" ht="15.75" customHeight="1" x14ac:dyDescent="0.2">
      <c r="A863" s="885"/>
      <c r="B863" s="885"/>
      <c r="C863" s="885"/>
      <c r="D863" s="885"/>
      <c r="E863" s="885"/>
      <c r="F863" s="885"/>
      <c r="G863" s="885"/>
      <c r="H863" s="885"/>
      <c r="I863" s="885"/>
      <c r="J863" s="885"/>
      <c r="K863" s="885"/>
      <c r="L863" s="885"/>
      <c r="M863" s="885"/>
      <c r="N863" s="885"/>
      <c r="O863" s="885"/>
      <c r="P863" s="885"/>
      <c r="Q863" s="885"/>
      <c r="R863" s="885"/>
      <c r="S863" s="885"/>
      <c r="T863" s="885"/>
      <c r="U863" s="885"/>
      <c r="V863" s="885"/>
      <c r="W863" s="885"/>
      <c r="X863" s="885"/>
      <c r="Y863" s="885"/>
      <c r="Z863" s="885"/>
      <c r="AA863" s="885"/>
      <c r="AB863" s="885"/>
      <c r="AC863" s="885"/>
    </row>
    <row r="864" spans="1:29" ht="15.75" customHeight="1" x14ac:dyDescent="0.2">
      <c r="A864" s="885"/>
      <c r="B864" s="885"/>
      <c r="C864" s="885"/>
      <c r="D864" s="885"/>
      <c r="E864" s="885"/>
      <c r="F864" s="885"/>
      <c r="G864" s="885"/>
      <c r="H864" s="885"/>
      <c r="I864" s="885"/>
      <c r="J864" s="885"/>
      <c r="K864" s="885"/>
      <c r="L864" s="885"/>
      <c r="M864" s="885"/>
      <c r="N864" s="885"/>
      <c r="O864" s="885"/>
      <c r="P864" s="885"/>
      <c r="Q864" s="885"/>
      <c r="R864" s="885"/>
      <c r="S864" s="885"/>
      <c r="T864" s="885"/>
      <c r="U864" s="885"/>
      <c r="V864" s="885"/>
      <c r="W864" s="885"/>
      <c r="X864" s="885"/>
      <c r="Y864" s="885"/>
      <c r="Z864" s="885"/>
      <c r="AA864" s="885"/>
      <c r="AB864" s="885"/>
      <c r="AC864" s="885"/>
    </row>
    <row r="865" spans="1:29" ht="15.75" customHeight="1" x14ac:dyDescent="0.2">
      <c r="A865" s="885"/>
      <c r="B865" s="885"/>
      <c r="C865" s="885"/>
      <c r="D865" s="885"/>
      <c r="E865" s="885"/>
      <c r="F865" s="885"/>
      <c r="G865" s="885"/>
      <c r="H865" s="885"/>
      <c r="I865" s="885"/>
      <c r="J865" s="885"/>
      <c r="K865" s="885"/>
      <c r="L865" s="885"/>
      <c r="M865" s="885"/>
      <c r="N865" s="885"/>
      <c r="O865" s="885"/>
      <c r="P865" s="885"/>
      <c r="Q865" s="885"/>
      <c r="R865" s="885"/>
      <c r="S865" s="885"/>
      <c r="T865" s="885"/>
      <c r="U865" s="885"/>
      <c r="V865" s="885"/>
      <c r="W865" s="885"/>
      <c r="X865" s="885"/>
      <c r="Y865" s="885"/>
      <c r="Z865" s="885"/>
      <c r="AA865" s="885"/>
      <c r="AB865" s="885"/>
      <c r="AC865" s="885"/>
    </row>
    <row r="866" spans="1:29" ht="15.75" customHeight="1" x14ac:dyDescent="0.2">
      <c r="A866" s="885"/>
      <c r="B866" s="885"/>
      <c r="C866" s="885"/>
      <c r="D866" s="885"/>
      <c r="E866" s="885"/>
      <c r="F866" s="885"/>
      <c r="G866" s="885"/>
      <c r="H866" s="885"/>
      <c r="I866" s="885"/>
      <c r="J866" s="885"/>
      <c r="K866" s="885"/>
      <c r="L866" s="885"/>
      <c r="M866" s="885"/>
      <c r="N866" s="885"/>
      <c r="O866" s="885"/>
      <c r="P866" s="885"/>
      <c r="Q866" s="885"/>
      <c r="R866" s="885"/>
      <c r="S866" s="885"/>
      <c r="T866" s="885"/>
      <c r="U866" s="885"/>
      <c r="V866" s="885"/>
      <c r="W866" s="885"/>
      <c r="X866" s="885"/>
      <c r="Y866" s="885"/>
      <c r="Z866" s="885"/>
      <c r="AA866" s="885"/>
      <c r="AB866" s="885"/>
      <c r="AC866" s="885"/>
    </row>
    <row r="867" spans="1:29" ht="15.75" customHeight="1" x14ac:dyDescent="0.2">
      <c r="A867" s="885"/>
      <c r="B867" s="885"/>
      <c r="C867" s="885"/>
      <c r="D867" s="885"/>
      <c r="E867" s="885"/>
      <c r="F867" s="885"/>
      <c r="G867" s="885"/>
      <c r="H867" s="885"/>
      <c r="I867" s="885"/>
      <c r="J867" s="885"/>
      <c r="K867" s="885"/>
      <c r="L867" s="885"/>
      <c r="M867" s="885"/>
      <c r="N867" s="885"/>
      <c r="O867" s="885"/>
      <c r="P867" s="885"/>
      <c r="Q867" s="885"/>
      <c r="R867" s="885"/>
      <c r="S867" s="885"/>
      <c r="T867" s="885"/>
      <c r="U867" s="885"/>
      <c r="V867" s="885"/>
      <c r="W867" s="885"/>
      <c r="X867" s="885"/>
      <c r="Y867" s="885"/>
      <c r="Z867" s="885"/>
      <c r="AA867" s="885"/>
      <c r="AB867" s="885"/>
      <c r="AC867" s="885"/>
    </row>
    <row r="868" spans="1:29" ht="15.75" customHeight="1" x14ac:dyDescent="0.2">
      <c r="A868" s="885"/>
      <c r="B868" s="885"/>
      <c r="C868" s="885"/>
      <c r="D868" s="885"/>
      <c r="E868" s="885"/>
      <c r="F868" s="885"/>
      <c r="G868" s="885"/>
      <c r="H868" s="885"/>
      <c r="I868" s="885"/>
      <c r="J868" s="885"/>
      <c r="K868" s="885"/>
      <c r="L868" s="885"/>
      <c r="M868" s="885"/>
      <c r="N868" s="885"/>
      <c r="O868" s="885"/>
      <c r="P868" s="885"/>
      <c r="Q868" s="885"/>
      <c r="R868" s="885"/>
      <c r="S868" s="885"/>
      <c r="T868" s="885"/>
      <c r="U868" s="885"/>
      <c r="V868" s="885"/>
      <c r="W868" s="885"/>
      <c r="X868" s="885"/>
      <c r="Y868" s="885"/>
      <c r="Z868" s="885"/>
      <c r="AA868" s="885"/>
      <c r="AB868" s="885"/>
      <c r="AC868" s="885"/>
    </row>
    <row r="869" spans="1:29" ht="15.75" customHeight="1" x14ac:dyDescent="0.2">
      <c r="A869" s="885"/>
      <c r="B869" s="885"/>
      <c r="C869" s="885"/>
      <c r="D869" s="885"/>
      <c r="E869" s="885"/>
      <c r="F869" s="885"/>
      <c r="G869" s="885"/>
      <c r="H869" s="885"/>
      <c r="I869" s="885"/>
      <c r="J869" s="885"/>
      <c r="K869" s="885"/>
      <c r="L869" s="885"/>
      <c r="M869" s="885"/>
      <c r="N869" s="885"/>
      <c r="O869" s="885"/>
      <c r="P869" s="885"/>
      <c r="Q869" s="885"/>
      <c r="R869" s="885"/>
      <c r="S869" s="885"/>
      <c r="T869" s="885"/>
      <c r="U869" s="885"/>
      <c r="V869" s="885"/>
      <c r="W869" s="885"/>
      <c r="X869" s="885"/>
      <c r="Y869" s="885"/>
      <c r="Z869" s="885"/>
      <c r="AA869" s="885"/>
      <c r="AB869" s="885"/>
      <c r="AC869" s="885"/>
    </row>
    <row r="870" spans="1:29" ht="15.75" customHeight="1" x14ac:dyDescent="0.2">
      <c r="A870" s="885"/>
      <c r="B870" s="885"/>
      <c r="C870" s="885"/>
      <c r="D870" s="885"/>
      <c r="E870" s="885"/>
      <c r="F870" s="885"/>
      <c r="G870" s="885"/>
      <c r="H870" s="885"/>
      <c r="I870" s="885"/>
      <c r="J870" s="885"/>
      <c r="K870" s="885"/>
      <c r="L870" s="885"/>
      <c r="M870" s="885"/>
      <c r="N870" s="885"/>
      <c r="O870" s="885"/>
      <c r="P870" s="885"/>
      <c r="Q870" s="885"/>
      <c r="R870" s="885"/>
      <c r="S870" s="885"/>
      <c r="T870" s="885"/>
      <c r="U870" s="885"/>
      <c r="V870" s="885"/>
      <c r="W870" s="885"/>
      <c r="X870" s="885"/>
      <c r="Y870" s="885"/>
      <c r="Z870" s="885"/>
      <c r="AA870" s="885"/>
      <c r="AB870" s="885"/>
      <c r="AC870" s="885"/>
    </row>
    <row r="871" spans="1:29" ht="15.75" customHeight="1" x14ac:dyDescent="0.2">
      <c r="A871" s="885"/>
      <c r="B871" s="885"/>
      <c r="C871" s="885"/>
      <c r="D871" s="885"/>
      <c r="E871" s="885"/>
      <c r="F871" s="885"/>
      <c r="G871" s="885"/>
      <c r="H871" s="885"/>
      <c r="I871" s="885"/>
      <c r="J871" s="885"/>
      <c r="K871" s="885"/>
      <c r="L871" s="885"/>
      <c r="M871" s="885"/>
      <c r="N871" s="885"/>
      <c r="O871" s="885"/>
      <c r="P871" s="885"/>
      <c r="Q871" s="885"/>
      <c r="R871" s="885"/>
      <c r="S871" s="885"/>
      <c r="T871" s="885"/>
      <c r="U871" s="885"/>
      <c r="V871" s="885"/>
      <c r="W871" s="885"/>
      <c r="X871" s="885"/>
      <c r="Y871" s="885"/>
      <c r="Z871" s="885"/>
      <c r="AA871" s="885"/>
      <c r="AB871" s="885"/>
      <c r="AC871" s="885"/>
    </row>
    <row r="872" spans="1:29" ht="15.75" customHeight="1" x14ac:dyDescent="0.2">
      <c r="A872" s="885"/>
      <c r="B872" s="885"/>
      <c r="C872" s="885"/>
      <c r="D872" s="885"/>
      <c r="E872" s="885"/>
      <c r="F872" s="885"/>
      <c r="G872" s="885"/>
      <c r="H872" s="885"/>
      <c r="I872" s="885"/>
      <c r="J872" s="885"/>
      <c r="K872" s="885"/>
      <c r="L872" s="885"/>
      <c r="M872" s="885"/>
      <c r="N872" s="885"/>
      <c r="O872" s="885"/>
      <c r="P872" s="885"/>
      <c r="Q872" s="885"/>
      <c r="R872" s="885"/>
      <c r="S872" s="885"/>
      <c r="T872" s="885"/>
      <c r="U872" s="885"/>
      <c r="V872" s="885"/>
      <c r="W872" s="885"/>
      <c r="X872" s="885"/>
      <c r="Y872" s="885"/>
      <c r="Z872" s="885"/>
      <c r="AA872" s="885"/>
      <c r="AB872" s="885"/>
      <c r="AC872" s="885"/>
    </row>
    <row r="873" spans="1:29" ht="15.75" customHeight="1" x14ac:dyDescent="0.2">
      <c r="A873" s="885"/>
      <c r="B873" s="885"/>
      <c r="C873" s="885"/>
      <c r="D873" s="885"/>
      <c r="E873" s="885"/>
      <c r="F873" s="885"/>
      <c r="G873" s="885"/>
      <c r="H873" s="885"/>
      <c r="I873" s="885"/>
      <c r="J873" s="885"/>
      <c r="K873" s="885"/>
      <c r="L873" s="885"/>
      <c r="M873" s="885"/>
      <c r="N873" s="885"/>
      <c r="O873" s="885"/>
      <c r="P873" s="885"/>
      <c r="Q873" s="885"/>
      <c r="R873" s="885"/>
      <c r="S873" s="885"/>
      <c r="T873" s="885"/>
      <c r="U873" s="885"/>
      <c r="V873" s="885"/>
      <c r="W873" s="885"/>
      <c r="X873" s="885"/>
      <c r="Y873" s="885"/>
      <c r="Z873" s="885"/>
      <c r="AA873" s="885"/>
      <c r="AB873" s="885"/>
      <c r="AC873" s="885"/>
    </row>
    <row r="874" spans="1:29" ht="15.75" customHeight="1" x14ac:dyDescent="0.2">
      <c r="A874" s="885"/>
      <c r="B874" s="885"/>
      <c r="C874" s="885"/>
      <c r="D874" s="885"/>
      <c r="E874" s="885"/>
      <c r="F874" s="885"/>
      <c r="G874" s="885"/>
      <c r="H874" s="885"/>
      <c r="I874" s="885"/>
      <c r="J874" s="885"/>
      <c r="K874" s="885"/>
      <c r="L874" s="885"/>
      <c r="M874" s="885"/>
      <c r="N874" s="885"/>
      <c r="O874" s="885"/>
      <c r="P874" s="885"/>
      <c r="Q874" s="885"/>
      <c r="R874" s="885"/>
      <c r="S874" s="885"/>
      <c r="T874" s="885"/>
      <c r="U874" s="885"/>
      <c r="V874" s="885"/>
      <c r="W874" s="885"/>
      <c r="X874" s="885"/>
      <c r="Y874" s="885"/>
      <c r="Z874" s="885"/>
      <c r="AA874" s="885"/>
      <c r="AB874" s="885"/>
      <c r="AC874" s="885"/>
    </row>
    <row r="875" spans="1:29" ht="15.75" customHeight="1" x14ac:dyDescent="0.2">
      <c r="A875" s="885"/>
      <c r="B875" s="885"/>
      <c r="C875" s="885"/>
      <c r="D875" s="885"/>
      <c r="E875" s="885"/>
      <c r="F875" s="885"/>
      <c r="G875" s="885"/>
      <c r="H875" s="885"/>
      <c r="I875" s="885"/>
      <c r="J875" s="885"/>
      <c r="K875" s="885"/>
      <c r="L875" s="885"/>
      <c r="M875" s="885"/>
      <c r="N875" s="885"/>
      <c r="O875" s="885"/>
      <c r="P875" s="885"/>
      <c r="Q875" s="885"/>
      <c r="R875" s="885"/>
      <c r="S875" s="885"/>
      <c r="T875" s="885"/>
      <c r="U875" s="885"/>
      <c r="V875" s="885"/>
      <c r="W875" s="885"/>
      <c r="X875" s="885"/>
      <c r="Y875" s="885"/>
      <c r="Z875" s="885"/>
      <c r="AA875" s="885"/>
      <c r="AB875" s="885"/>
      <c r="AC875" s="885"/>
    </row>
    <row r="876" spans="1:29" ht="15.75" customHeight="1" x14ac:dyDescent="0.2">
      <c r="A876" s="885"/>
      <c r="B876" s="885"/>
      <c r="C876" s="885"/>
      <c r="D876" s="885"/>
      <c r="E876" s="885"/>
      <c r="F876" s="885"/>
      <c r="G876" s="885"/>
      <c r="H876" s="885"/>
      <c r="I876" s="885"/>
      <c r="J876" s="885"/>
      <c r="K876" s="885"/>
      <c r="L876" s="885"/>
      <c r="M876" s="885"/>
      <c r="N876" s="885"/>
      <c r="O876" s="885"/>
      <c r="P876" s="885"/>
      <c r="Q876" s="885"/>
      <c r="R876" s="885"/>
      <c r="S876" s="885"/>
      <c r="T876" s="885"/>
      <c r="U876" s="885"/>
      <c r="V876" s="885"/>
      <c r="W876" s="885"/>
      <c r="X876" s="885"/>
      <c r="Y876" s="885"/>
      <c r="Z876" s="885"/>
      <c r="AA876" s="885"/>
      <c r="AB876" s="885"/>
      <c r="AC876" s="885"/>
    </row>
    <row r="877" spans="1:29" ht="15.75" customHeight="1" x14ac:dyDescent="0.2">
      <c r="A877" s="885"/>
      <c r="B877" s="885"/>
      <c r="C877" s="885"/>
      <c r="D877" s="885"/>
      <c r="E877" s="885"/>
      <c r="F877" s="885"/>
      <c r="G877" s="885"/>
      <c r="H877" s="885"/>
      <c r="I877" s="885"/>
      <c r="J877" s="885"/>
      <c r="K877" s="885"/>
      <c r="L877" s="885"/>
      <c r="M877" s="885"/>
      <c r="N877" s="885"/>
      <c r="O877" s="885"/>
      <c r="P877" s="885"/>
      <c r="Q877" s="885"/>
      <c r="R877" s="885"/>
      <c r="S877" s="885"/>
      <c r="T877" s="885"/>
      <c r="U877" s="885"/>
      <c r="V877" s="885"/>
      <c r="W877" s="885"/>
      <c r="X877" s="885"/>
      <c r="Y877" s="885"/>
      <c r="Z877" s="885"/>
      <c r="AA877" s="885"/>
      <c r="AB877" s="885"/>
      <c r="AC877" s="885"/>
    </row>
    <row r="878" spans="1:29" ht="15.75" customHeight="1" x14ac:dyDescent="0.2">
      <c r="A878" s="885"/>
      <c r="B878" s="885"/>
      <c r="C878" s="885"/>
      <c r="D878" s="885"/>
      <c r="E878" s="885"/>
      <c r="F878" s="885"/>
      <c r="G878" s="885"/>
      <c r="H878" s="885"/>
      <c r="I878" s="885"/>
      <c r="J878" s="885"/>
      <c r="K878" s="885"/>
      <c r="L878" s="885"/>
      <c r="M878" s="885"/>
      <c r="N878" s="885"/>
      <c r="O878" s="885"/>
      <c r="P878" s="885"/>
      <c r="Q878" s="885"/>
      <c r="R878" s="885"/>
      <c r="S878" s="885"/>
      <c r="T878" s="885"/>
      <c r="U878" s="885"/>
      <c r="V878" s="885"/>
      <c r="W878" s="885"/>
      <c r="X878" s="885"/>
      <c r="Y878" s="885"/>
      <c r="Z878" s="885"/>
      <c r="AA878" s="885"/>
      <c r="AB878" s="885"/>
      <c r="AC878" s="885"/>
    </row>
    <row r="879" spans="1:29" ht="15.75" customHeight="1" x14ac:dyDescent="0.2">
      <c r="A879" s="885"/>
      <c r="B879" s="885"/>
      <c r="C879" s="885"/>
      <c r="D879" s="885"/>
      <c r="E879" s="885"/>
      <c r="F879" s="885"/>
      <c r="G879" s="885"/>
      <c r="H879" s="885"/>
      <c r="I879" s="885"/>
      <c r="J879" s="885"/>
      <c r="K879" s="885"/>
      <c r="L879" s="885"/>
      <c r="M879" s="885"/>
      <c r="N879" s="885"/>
      <c r="O879" s="885"/>
      <c r="P879" s="885"/>
      <c r="Q879" s="885"/>
      <c r="R879" s="885"/>
      <c r="S879" s="885"/>
      <c r="T879" s="885"/>
      <c r="U879" s="885"/>
      <c r="V879" s="885"/>
      <c r="W879" s="885"/>
      <c r="X879" s="885"/>
      <c r="Y879" s="885"/>
      <c r="Z879" s="885"/>
      <c r="AA879" s="885"/>
      <c r="AB879" s="885"/>
      <c r="AC879" s="885"/>
    </row>
    <row r="880" spans="1:29" ht="15.75" customHeight="1" x14ac:dyDescent="0.2">
      <c r="A880" s="885"/>
      <c r="B880" s="885"/>
      <c r="C880" s="885"/>
      <c r="D880" s="885"/>
      <c r="E880" s="885"/>
      <c r="F880" s="885"/>
      <c r="G880" s="885"/>
      <c r="H880" s="885"/>
      <c r="I880" s="885"/>
      <c r="J880" s="885"/>
      <c r="K880" s="885"/>
      <c r="L880" s="885"/>
      <c r="M880" s="885"/>
      <c r="N880" s="885"/>
      <c r="O880" s="885"/>
      <c r="P880" s="885"/>
      <c r="Q880" s="885"/>
      <c r="R880" s="885"/>
      <c r="S880" s="885"/>
      <c r="T880" s="885"/>
      <c r="U880" s="885"/>
      <c r="V880" s="885"/>
      <c r="W880" s="885"/>
      <c r="X880" s="885"/>
      <c r="Y880" s="885"/>
      <c r="Z880" s="885"/>
      <c r="AA880" s="885"/>
      <c r="AB880" s="885"/>
      <c r="AC880" s="885"/>
    </row>
    <row r="881" spans="1:29" ht="15.75" customHeight="1" x14ac:dyDescent="0.2">
      <c r="A881" s="885"/>
      <c r="B881" s="885"/>
      <c r="C881" s="885"/>
      <c r="D881" s="885"/>
      <c r="E881" s="885"/>
      <c r="F881" s="885"/>
      <c r="G881" s="885"/>
      <c r="H881" s="885"/>
      <c r="I881" s="885"/>
      <c r="J881" s="885"/>
      <c r="K881" s="885"/>
      <c r="L881" s="885"/>
      <c r="M881" s="885"/>
      <c r="N881" s="885"/>
      <c r="O881" s="885"/>
      <c r="P881" s="885"/>
      <c r="Q881" s="885"/>
      <c r="R881" s="885"/>
      <c r="S881" s="885"/>
      <c r="T881" s="885"/>
      <c r="U881" s="885"/>
      <c r="V881" s="885"/>
      <c r="W881" s="885"/>
      <c r="X881" s="885"/>
      <c r="Y881" s="885"/>
      <c r="Z881" s="885"/>
      <c r="AA881" s="885"/>
      <c r="AB881" s="885"/>
      <c r="AC881" s="885"/>
    </row>
    <row r="882" spans="1:29" ht="15.75" customHeight="1" x14ac:dyDescent="0.2">
      <c r="A882" s="885"/>
      <c r="B882" s="885"/>
      <c r="C882" s="885"/>
      <c r="D882" s="885"/>
      <c r="E882" s="885"/>
      <c r="F882" s="885"/>
      <c r="G882" s="885"/>
      <c r="H882" s="885"/>
      <c r="I882" s="885"/>
      <c r="J882" s="885"/>
      <c r="K882" s="885"/>
      <c r="L882" s="885"/>
      <c r="M882" s="885"/>
      <c r="N882" s="885"/>
      <c r="O882" s="885"/>
      <c r="P882" s="885"/>
      <c r="Q882" s="885"/>
      <c r="R882" s="885"/>
      <c r="S882" s="885"/>
      <c r="T882" s="885"/>
      <c r="U882" s="885"/>
      <c r="V882" s="885"/>
      <c r="W882" s="885"/>
      <c r="X882" s="885"/>
      <c r="Y882" s="885"/>
      <c r="Z882" s="885"/>
      <c r="AA882" s="885"/>
      <c r="AB882" s="885"/>
      <c r="AC882" s="885"/>
    </row>
    <row r="883" spans="1:29" ht="15.75" customHeight="1" x14ac:dyDescent="0.2">
      <c r="A883" s="885"/>
      <c r="B883" s="885"/>
      <c r="C883" s="885"/>
      <c r="D883" s="885"/>
      <c r="E883" s="885"/>
      <c r="F883" s="885"/>
      <c r="G883" s="885"/>
      <c r="H883" s="885"/>
      <c r="I883" s="885"/>
      <c r="J883" s="885"/>
      <c r="K883" s="885"/>
      <c r="L883" s="885"/>
      <c r="M883" s="885"/>
      <c r="N883" s="885"/>
      <c r="O883" s="885"/>
      <c r="P883" s="885"/>
      <c r="Q883" s="885"/>
      <c r="R883" s="885"/>
      <c r="S883" s="885"/>
      <c r="T883" s="885"/>
      <c r="U883" s="885"/>
      <c r="V883" s="885"/>
      <c r="W883" s="885"/>
      <c r="X883" s="885"/>
      <c r="Y883" s="885"/>
      <c r="Z883" s="885"/>
      <c r="AA883" s="885"/>
      <c r="AB883" s="885"/>
      <c r="AC883" s="885"/>
    </row>
    <row r="884" spans="1:29" ht="15.75" customHeight="1" x14ac:dyDescent="0.2">
      <c r="A884" s="885"/>
      <c r="B884" s="885"/>
      <c r="C884" s="885"/>
      <c r="D884" s="885"/>
      <c r="E884" s="885"/>
      <c r="F884" s="885"/>
      <c r="G884" s="885"/>
      <c r="H884" s="885"/>
      <c r="I884" s="885"/>
      <c r="J884" s="885"/>
      <c r="K884" s="885"/>
      <c r="L884" s="885"/>
      <c r="M884" s="885"/>
      <c r="N884" s="885"/>
      <c r="O884" s="885"/>
      <c r="P884" s="885"/>
      <c r="Q884" s="885"/>
      <c r="R884" s="885"/>
      <c r="S884" s="885"/>
      <c r="T884" s="885"/>
      <c r="U884" s="885"/>
      <c r="V884" s="885"/>
      <c r="W884" s="885"/>
      <c r="X884" s="885"/>
      <c r="Y884" s="885"/>
      <c r="Z884" s="885"/>
      <c r="AA884" s="885"/>
      <c r="AB884" s="885"/>
      <c r="AC884" s="885"/>
    </row>
    <row r="885" spans="1:29" ht="15.75" customHeight="1" x14ac:dyDescent="0.2">
      <c r="A885" s="885"/>
      <c r="B885" s="885"/>
      <c r="C885" s="885"/>
      <c r="D885" s="885"/>
      <c r="E885" s="885"/>
      <c r="F885" s="885"/>
      <c r="G885" s="885"/>
      <c r="H885" s="885"/>
      <c r="I885" s="885"/>
      <c r="J885" s="885"/>
      <c r="K885" s="885"/>
      <c r="L885" s="885"/>
      <c r="M885" s="885"/>
      <c r="N885" s="885"/>
      <c r="O885" s="885"/>
      <c r="P885" s="885"/>
      <c r="Q885" s="885"/>
      <c r="R885" s="885"/>
      <c r="S885" s="885"/>
      <c r="T885" s="885"/>
      <c r="U885" s="885"/>
      <c r="V885" s="885"/>
      <c r="W885" s="885"/>
      <c r="X885" s="885"/>
      <c r="Y885" s="885"/>
      <c r="Z885" s="885"/>
      <c r="AA885" s="885"/>
      <c r="AB885" s="885"/>
      <c r="AC885" s="885"/>
    </row>
    <row r="886" spans="1:29" ht="15.75" customHeight="1" x14ac:dyDescent="0.2">
      <c r="A886" s="885"/>
      <c r="B886" s="885"/>
      <c r="C886" s="885"/>
      <c r="D886" s="885"/>
      <c r="E886" s="885"/>
      <c r="F886" s="885"/>
      <c r="G886" s="885"/>
      <c r="H886" s="885"/>
      <c r="I886" s="885"/>
      <c r="J886" s="885"/>
      <c r="K886" s="885"/>
      <c r="L886" s="885"/>
      <c r="M886" s="885"/>
      <c r="N886" s="885"/>
      <c r="O886" s="885"/>
      <c r="P886" s="885"/>
      <c r="Q886" s="885"/>
      <c r="R886" s="885"/>
      <c r="S886" s="885"/>
      <c r="T886" s="885"/>
      <c r="U886" s="885"/>
      <c r="V886" s="885"/>
      <c r="W886" s="885"/>
      <c r="X886" s="885"/>
      <c r="Y886" s="885"/>
      <c r="Z886" s="885"/>
      <c r="AA886" s="885"/>
      <c r="AB886" s="885"/>
      <c r="AC886" s="885"/>
    </row>
    <row r="887" spans="1:29" ht="15.75" customHeight="1" x14ac:dyDescent="0.2">
      <c r="A887" s="885"/>
      <c r="B887" s="885"/>
      <c r="C887" s="885"/>
      <c r="D887" s="885"/>
      <c r="E887" s="885"/>
      <c r="F887" s="885"/>
      <c r="G887" s="885"/>
      <c r="H887" s="885"/>
      <c r="I887" s="885"/>
      <c r="J887" s="885"/>
      <c r="K887" s="885"/>
      <c r="L887" s="885"/>
      <c r="M887" s="885"/>
      <c r="N887" s="885"/>
      <c r="O887" s="885"/>
      <c r="P887" s="885"/>
      <c r="Q887" s="885"/>
      <c r="R887" s="885"/>
      <c r="S887" s="885"/>
      <c r="T887" s="885"/>
      <c r="U887" s="885"/>
      <c r="V887" s="885"/>
      <c r="W887" s="885"/>
      <c r="X887" s="885"/>
      <c r="Y887" s="885"/>
      <c r="Z887" s="885"/>
      <c r="AA887" s="885"/>
      <c r="AB887" s="885"/>
      <c r="AC887" s="885"/>
    </row>
    <row r="888" spans="1:29" ht="15.75" customHeight="1" x14ac:dyDescent="0.2">
      <c r="A888" s="885"/>
      <c r="B888" s="885"/>
      <c r="C888" s="885"/>
      <c r="D888" s="885"/>
      <c r="E888" s="885"/>
      <c r="F888" s="885"/>
      <c r="G888" s="885"/>
      <c r="H888" s="885"/>
      <c r="I888" s="885"/>
      <c r="J888" s="885"/>
      <c r="K888" s="885"/>
      <c r="L888" s="885"/>
      <c r="M888" s="885"/>
      <c r="N888" s="885"/>
      <c r="O888" s="885"/>
      <c r="P888" s="885"/>
      <c r="Q888" s="885"/>
      <c r="R888" s="885"/>
      <c r="S888" s="885"/>
      <c r="T888" s="885"/>
      <c r="U888" s="885"/>
      <c r="V888" s="885"/>
      <c r="W888" s="885"/>
      <c r="X888" s="885"/>
      <c r="Y888" s="885"/>
      <c r="Z888" s="885"/>
      <c r="AA888" s="885"/>
      <c r="AB888" s="885"/>
      <c r="AC888" s="885"/>
    </row>
    <row r="889" spans="1:29" ht="15.75" customHeight="1" x14ac:dyDescent="0.2">
      <c r="A889" s="885"/>
      <c r="B889" s="885"/>
      <c r="C889" s="885"/>
      <c r="D889" s="885"/>
      <c r="E889" s="885"/>
      <c r="F889" s="885"/>
      <c r="G889" s="885"/>
      <c r="H889" s="885"/>
      <c r="I889" s="885"/>
      <c r="J889" s="885"/>
      <c r="K889" s="885"/>
      <c r="L889" s="885"/>
      <c r="M889" s="885"/>
      <c r="N889" s="885"/>
      <c r="O889" s="885"/>
      <c r="P889" s="885"/>
      <c r="Q889" s="885"/>
      <c r="R889" s="885"/>
      <c r="S889" s="885"/>
      <c r="T889" s="885"/>
      <c r="U889" s="885"/>
      <c r="V889" s="885"/>
      <c r="W889" s="885"/>
      <c r="X889" s="885"/>
      <c r="Y889" s="885"/>
      <c r="Z889" s="885"/>
      <c r="AA889" s="885"/>
      <c r="AB889" s="885"/>
      <c r="AC889" s="885"/>
    </row>
    <row r="890" spans="1:29" ht="15.75" customHeight="1" x14ac:dyDescent="0.2">
      <c r="A890" s="885"/>
      <c r="B890" s="885"/>
      <c r="C890" s="885"/>
      <c r="D890" s="885"/>
      <c r="E890" s="885"/>
      <c r="F890" s="885"/>
      <c r="G890" s="885"/>
      <c r="H890" s="885"/>
      <c r="I890" s="885"/>
      <c r="J890" s="885"/>
      <c r="K890" s="885"/>
      <c r="L890" s="885"/>
      <c r="M890" s="885"/>
      <c r="N890" s="885"/>
      <c r="O890" s="885"/>
      <c r="P890" s="885"/>
      <c r="Q890" s="885"/>
      <c r="R890" s="885"/>
      <c r="S890" s="885"/>
      <c r="T890" s="885"/>
      <c r="U890" s="885"/>
      <c r="V890" s="885"/>
      <c r="W890" s="885"/>
      <c r="X890" s="885"/>
      <c r="Y890" s="885"/>
      <c r="Z890" s="885"/>
      <c r="AA890" s="885"/>
      <c r="AB890" s="885"/>
      <c r="AC890" s="885"/>
    </row>
    <row r="891" spans="1:29" ht="15.75" customHeight="1" x14ac:dyDescent="0.2">
      <c r="A891" s="885"/>
      <c r="B891" s="885"/>
      <c r="C891" s="885"/>
      <c r="D891" s="885"/>
      <c r="E891" s="885"/>
      <c r="F891" s="885"/>
      <c r="G891" s="885"/>
      <c r="H891" s="885"/>
      <c r="I891" s="885"/>
      <c r="J891" s="885"/>
      <c r="K891" s="885"/>
      <c r="L891" s="885"/>
      <c r="M891" s="885"/>
      <c r="N891" s="885"/>
      <c r="O891" s="885"/>
      <c r="P891" s="885"/>
      <c r="Q891" s="885"/>
      <c r="R891" s="885"/>
      <c r="S891" s="885"/>
      <c r="T891" s="885"/>
      <c r="U891" s="885"/>
      <c r="V891" s="885"/>
      <c r="W891" s="885"/>
      <c r="X891" s="885"/>
      <c r="Y891" s="885"/>
      <c r="Z891" s="885"/>
      <c r="AA891" s="885"/>
      <c r="AB891" s="885"/>
      <c r="AC891" s="885"/>
    </row>
    <row r="892" spans="1:29" ht="15.75" customHeight="1" x14ac:dyDescent="0.2">
      <c r="A892" s="885"/>
      <c r="B892" s="885"/>
      <c r="C892" s="885"/>
      <c r="D892" s="885"/>
      <c r="E892" s="885"/>
      <c r="F892" s="885"/>
      <c r="G892" s="885"/>
      <c r="H892" s="885"/>
      <c r="I892" s="885"/>
      <c r="J892" s="885"/>
      <c r="K892" s="885"/>
      <c r="L892" s="885"/>
      <c r="M892" s="885"/>
      <c r="N892" s="885"/>
      <c r="O892" s="885"/>
      <c r="P892" s="885"/>
      <c r="Q892" s="885"/>
      <c r="R892" s="885"/>
      <c r="S892" s="885"/>
      <c r="T892" s="885"/>
      <c r="U892" s="885"/>
      <c r="V892" s="885"/>
      <c r="W892" s="885"/>
      <c r="X892" s="885"/>
      <c r="Y892" s="885"/>
      <c r="Z892" s="885"/>
      <c r="AA892" s="885"/>
      <c r="AB892" s="885"/>
      <c r="AC892" s="885"/>
    </row>
    <row r="893" spans="1:29" ht="15.75" customHeight="1" x14ac:dyDescent="0.2">
      <c r="A893" s="885"/>
      <c r="B893" s="885"/>
      <c r="C893" s="885"/>
      <c r="D893" s="885"/>
      <c r="E893" s="885"/>
      <c r="F893" s="885"/>
      <c r="G893" s="885"/>
      <c r="H893" s="885"/>
      <c r="I893" s="885"/>
      <c r="J893" s="885"/>
      <c r="K893" s="885"/>
      <c r="L893" s="885"/>
      <c r="M893" s="885"/>
      <c r="N893" s="885"/>
      <c r="O893" s="885"/>
      <c r="P893" s="885"/>
      <c r="Q893" s="885"/>
      <c r="R893" s="885"/>
      <c r="S893" s="885"/>
      <c r="T893" s="885"/>
      <c r="U893" s="885"/>
      <c r="V893" s="885"/>
      <c r="W893" s="885"/>
      <c r="X893" s="885"/>
      <c r="Y893" s="885"/>
      <c r="Z893" s="885"/>
      <c r="AA893" s="885"/>
      <c r="AB893" s="885"/>
      <c r="AC893" s="885"/>
    </row>
    <row r="894" spans="1:29" ht="15.75" customHeight="1" x14ac:dyDescent="0.2">
      <c r="A894" s="885"/>
      <c r="B894" s="885"/>
      <c r="C894" s="885"/>
      <c r="D894" s="885"/>
      <c r="E894" s="885"/>
      <c r="F894" s="885"/>
      <c r="G894" s="885"/>
      <c r="H894" s="885"/>
      <c r="I894" s="885"/>
      <c r="J894" s="885"/>
      <c r="K894" s="885"/>
      <c r="L894" s="885"/>
      <c r="M894" s="885"/>
      <c r="N894" s="885"/>
      <c r="O894" s="885"/>
      <c r="P894" s="885"/>
      <c r="Q894" s="885"/>
      <c r="R894" s="885"/>
      <c r="S894" s="885"/>
      <c r="T894" s="885"/>
      <c r="U894" s="885"/>
      <c r="V894" s="885"/>
      <c r="W894" s="885"/>
      <c r="X894" s="885"/>
      <c r="Y894" s="885"/>
      <c r="Z894" s="885"/>
      <c r="AA894" s="885"/>
      <c r="AB894" s="885"/>
      <c r="AC894" s="885"/>
    </row>
    <row r="895" spans="1:29" ht="15.75" customHeight="1" x14ac:dyDescent="0.2">
      <c r="A895" s="885"/>
      <c r="B895" s="885"/>
      <c r="C895" s="885"/>
      <c r="D895" s="885"/>
      <c r="E895" s="885"/>
      <c r="F895" s="885"/>
      <c r="G895" s="885"/>
      <c r="H895" s="885"/>
      <c r="I895" s="885"/>
      <c r="J895" s="885"/>
      <c r="K895" s="885"/>
      <c r="L895" s="885"/>
      <c r="M895" s="885"/>
      <c r="N895" s="885"/>
      <c r="O895" s="885"/>
      <c r="P895" s="885"/>
      <c r="Q895" s="885"/>
      <c r="R895" s="885"/>
      <c r="S895" s="885"/>
      <c r="T895" s="885"/>
      <c r="U895" s="885"/>
      <c r="V895" s="885"/>
      <c r="W895" s="885"/>
      <c r="X895" s="885"/>
      <c r="Y895" s="885"/>
      <c r="Z895" s="885"/>
      <c r="AA895" s="885"/>
      <c r="AB895" s="885"/>
      <c r="AC895" s="885"/>
    </row>
    <row r="896" spans="1:29" ht="15.75" customHeight="1" x14ac:dyDescent="0.2">
      <c r="A896" s="885"/>
      <c r="B896" s="885"/>
      <c r="C896" s="885"/>
      <c r="D896" s="885"/>
      <c r="E896" s="885"/>
      <c r="F896" s="885"/>
      <c r="G896" s="885"/>
      <c r="H896" s="885"/>
      <c r="I896" s="885"/>
      <c r="J896" s="885"/>
      <c r="K896" s="885"/>
      <c r="L896" s="885"/>
      <c r="M896" s="885"/>
      <c r="N896" s="885"/>
      <c r="O896" s="885"/>
      <c r="P896" s="885"/>
      <c r="Q896" s="885"/>
      <c r="R896" s="885"/>
      <c r="S896" s="885"/>
      <c r="T896" s="885"/>
      <c r="U896" s="885"/>
      <c r="V896" s="885"/>
      <c r="W896" s="885"/>
      <c r="X896" s="885"/>
      <c r="Y896" s="885"/>
      <c r="Z896" s="885"/>
      <c r="AA896" s="885"/>
      <c r="AB896" s="885"/>
      <c r="AC896" s="885"/>
    </row>
    <row r="897" spans="1:29" ht="15.75" customHeight="1" x14ac:dyDescent="0.2">
      <c r="A897" s="885"/>
      <c r="B897" s="885"/>
      <c r="C897" s="885"/>
      <c r="D897" s="885"/>
      <c r="E897" s="885"/>
      <c r="F897" s="885"/>
      <c r="G897" s="885"/>
      <c r="H897" s="885"/>
      <c r="I897" s="885"/>
      <c r="J897" s="885"/>
      <c r="K897" s="885"/>
      <c r="L897" s="885"/>
      <c r="M897" s="885"/>
      <c r="N897" s="885"/>
      <c r="O897" s="885"/>
      <c r="P897" s="885"/>
      <c r="Q897" s="885"/>
      <c r="R897" s="885"/>
      <c r="S897" s="885"/>
      <c r="T897" s="885"/>
      <c r="U897" s="885"/>
      <c r="V897" s="885"/>
      <c r="W897" s="885"/>
      <c r="X897" s="885"/>
      <c r="Y897" s="885"/>
      <c r="Z897" s="885"/>
      <c r="AA897" s="885"/>
      <c r="AB897" s="885"/>
      <c r="AC897" s="885"/>
    </row>
    <row r="898" spans="1:29" ht="15.75" customHeight="1" x14ac:dyDescent="0.2">
      <c r="A898" s="885"/>
      <c r="B898" s="885"/>
      <c r="C898" s="885"/>
      <c r="D898" s="885"/>
      <c r="E898" s="885"/>
      <c r="F898" s="885"/>
      <c r="G898" s="885"/>
      <c r="H898" s="885"/>
      <c r="I898" s="885"/>
      <c r="J898" s="885"/>
      <c r="K898" s="885"/>
      <c r="L898" s="885"/>
      <c r="M898" s="885"/>
      <c r="N898" s="885"/>
      <c r="O898" s="885"/>
      <c r="P898" s="885"/>
      <c r="Q898" s="885"/>
      <c r="R898" s="885"/>
      <c r="S898" s="885"/>
      <c r="T898" s="885"/>
      <c r="U898" s="885"/>
      <c r="V898" s="885"/>
      <c r="W898" s="885"/>
      <c r="X898" s="885"/>
      <c r="Y898" s="885"/>
      <c r="Z898" s="885"/>
      <c r="AA898" s="885"/>
      <c r="AB898" s="885"/>
      <c r="AC898" s="885"/>
    </row>
    <row r="899" spans="1:29" ht="15.75" customHeight="1" x14ac:dyDescent="0.2">
      <c r="A899" s="885"/>
      <c r="B899" s="885"/>
      <c r="C899" s="885"/>
      <c r="D899" s="885"/>
      <c r="E899" s="885"/>
      <c r="F899" s="885"/>
      <c r="G899" s="885"/>
      <c r="H899" s="885"/>
      <c r="I899" s="885"/>
      <c r="J899" s="885"/>
      <c r="K899" s="885"/>
      <c r="L899" s="885"/>
      <c r="M899" s="885"/>
      <c r="N899" s="885"/>
      <c r="O899" s="885"/>
      <c r="P899" s="885"/>
      <c r="Q899" s="885"/>
      <c r="R899" s="885"/>
      <c r="S899" s="885"/>
      <c r="T899" s="885"/>
      <c r="U899" s="885"/>
      <c r="V899" s="885"/>
      <c r="W899" s="885"/>
      <c r="X899" s="885"/>
      <c r="Y899" s="885"/>
      <c r="Z899" s="885"/>
      <c r="AA899" s="885"/>
      <c r="AB899" s="885"/>
      <c r="AC899" s="885"/>
    </row>
    <row r="900" spans="1:29" ht="15.75" customHeight="1" x14ac:dyDescent="0.2">
      <c r="A900" s="885"/>
      <c r="B900" s="885"/>
      <c r="C900" s="885"/>
      <c r="D900" s="885"/>
      <c r="E900" s="885"/>
      <c r="F900" s="885"/>
      <c r="G900" s="885"/>
      <c r="H900" s="885"/>
      <c r="I900" s="885"/>
      <c r="J900" s="885"/>
      <c r="K900" s="885"/>
      <c r="L900" s="885"/>
      <c r="M900" s="885"/>
      <c r="N900" s="885"/>
      <c r="O900" s="885"/>
      <c r="P900" s="885"/>
      <c r="Q900" s="885"/>
      <c r="R900" s="885"/>
      <c r="S900" s="885"/>
      <c r="T900" s="885"/>
      <c r="U900" s="885"/>
      <c r="V900" s="885"/>
      <c r="W900" s="885"/>
      <c r="X900" s="885"/>
      <c r="Y900" s="885"/>
      <c r="Z900" s="885"/>
      <c r="AA900" s="885"/>
      <c r="AB900" s="885"/>
      <c r="AC900" s="885"/>
    </row>
    <row r="901" spans="1:29" ht="15.75" customHeight="1" x14ac:dyDescent="0.2">
      <c r="A901" s="885"/>
      <c r="B901" s="885"/>
      <c r="C901" s="885"/>
      <c r="D901" s="885"/>
      <c r="E901" s="885"/>
      <c r="F901" s="885"/>
      <c r="G901" s="885"/>
      <c r="H901" s="885"/>
      <c r="I901" s="885"/>
      <c r="J901" s="885"/>
      <c r="K901" s="885"/>
      <c r="L901" s="885"/>
      <c r="M901" s="885"/>
      <c r="N901" s="885"/>
      <c r="O901" s="885"/>
      <c r="P901" s="885"/>
      <c r="Q901" s="885"/>
      <c r="R901" s="885"/>
      <c r="S901" s="885"/>
      <c r="T901" s="885"/>
      <c r="U901" s="885"/>
      <c r="V901" s="885"/>
      <c r="W901" s="885"/>
      <c r="X901" s="885"/>
      <c r="Y901" s="885"/>
      <c r="Z901" s="885"/>
      <c r="AA901" s="885"/>
      <c r="AB901" s="885"/>
      <c r="AC901" s="885"/>
    </row>
    <row r="902" spans="1:29" ht="15.75" customHeight="1" x14ac:dyDescent="0.2">
      <c r="A902" s="885"/>
      <c r="B902" s="885"/>
      <c r="C902" s="885"/>
      <c r="D902" s="885"/>
      <c r="E902" s="885"/>
      <c r="F902" s="885"/>
      <c r="G902" s="885"/>
      <c r="H902" s="885"/>
      <c r="I902" s="885"/>
      <c r="J902" s="885"/>
      <c r="K902" s="885"/>
      <c r="L902" s="885"/>
      <c r="M902" s="885"/>
      <c r="N902" s="885"/>
      <c r="O902" s="885"/>
      <c r="P902" s="885"/>
      <c r="Q902" s="885"/>
      <c r="R902" s="885"/>
      <c r="S902" s="885"/>
      <c r="T902" s="885"/>
      <c r="U902" s="885"/>
      <c r="V902" s="885"/>
      <c r="W902" s="885"/>
      <c r="X902" s="885"/>
      <c r="Y902" s="885"/>
      <c r="Z902" s="885"/>
      <c r="AA902" s="885"/>
      <c r="AB902" s="885"/>
      <c r="AC902" s="885"/>
    </row>
    <row r="903" spans="1:29" ht="15.75" customHeight="1" x14ac:dyDescent="0.2">
      <c r="A903" s="885"/>
      <c r="B903" s="885"/>
      <c r="C903" s="885"/>
      <c r="D903" s="885"/>
      <c r="E903" s="885"/>
      <c r="F903" s="885"/>
      <c r="G903" s="885"/>
      <c r="H903" s="885"/>
      <c r="I903" s="885"/>
      <c r="J903" s="885"/>
      <c r="K903" s="885"/>
      <c r="L903" s="885"/>
      <c r="M903" s="885"/>
      <c r="N903" s="885"/>
      <c r="O903" s="885"/>
      <c r="P903" s="885"/>
      <c r="Q903" s="885"/>
      <c r="R903" s="885"/>
      <c r="S903" s="885"/>
      <c r="T903" s="885"/>
      <c r="U903" s="885"/>
      <c r="V903" s="885"/>
      <c r="W903" s="885"/>
      <c r="X903" s="885"/>
      <c r="Y903" s="885"/>
      <c r="Z903" s="885"/>
      <c r="AA903" s="885"/>
      <c r="AB903" s="885"/>
      <c r="AC903" s="885"/>
    </row>
    <row r="904" spans="1:29" ht="15.75" customHeight="1" x14ac:dyDescent="0.2">
      <c r="A904" s="885"/>
      <c r="B904" s="885"/>
      <c r="C904" s="885"/>
      <c r="D904" s="885"/>
      <c r="E904" s="885"/>
      <c r="F904" s="885"/>
      <c r="G904" s="885"/>
      <c r="H904" s="885"/>
      <c r="I904" s="885"/>
      <c r="J904" s="885"/>
      <c r="K904" s="885"/>
      <c r="L904" s="885"/>
      <c r="M904" s="885"/>
      <c r="N904" s="885"/>
      <c r="O904" s="885"/>
      <c r="P904" s="885"/>
      <c r="Q904" s="885"/>
      <c r="R904" s="885"/>
      <c r="S904" s="885"/>
      <c r="T904" s="885"/>
      <c r="U904" s="885"/>
      <c r="V904" s="885"/>
      <c r="W904" s="885"/>
      <c r="X904" s="885"/>
      <c r="Y904" s="885"/>
      <c r="Z904" s="885"/>
      <c r="AA904" s="885"/>
      <c r="AB904" s="885"/>
      <c r="AC904" s="885"/>
    </row>
    <row r="905" spans="1:29" ht="15.75" customHeight="1" x14ac:dyDescent="0.2">
      <c r="A905" s="885"/>
      <c r="B905" s="885"/>
      <c r="C905" s="885"/>
      <c r="D905" s="885"/>
      <c r="E905" s="885"/>
      <c r="F905" s="885"/>
      <c r="G905" s="885"/>
      <c r="H905" s="885"/>
      <c r="I905" s="885"/>
      <c r="J905" s="885"/>
      <c r="K905" s="885"/>
      <c r="L905" s="885"/>
      <c r="M905" s="885"/>
      <c r="N905" s="885"/>
      <c r="O905" s="885"/>
      <c r="P905" s="885"/>
      <c r="Q905" s="885"/>
      <c r="R905" s="885"/>
      <c r="S905" s="885"/>
      <c r="T905" s="885"/>
      <c r="U905" s="885"/>
      <c r="V905" s="885"/>
      <c r="W905" s="885"/>
      <c r="X905" s="885"/>
      <c r="Y905" s="885"/>
      <c r="Z905" s="885"/>
      <c r="AA905" s="885"/>
      <c r="AB905" s="885"/>
      <c r="AC905" s="885"/>
    </row>
    <row r="906" spans="1:29" ht="15.75" customHeight="1" x14ac:dyDescent="0.2">
      <c r="A906" s="885"/>
      <c r="B906" s="885"/>
      <c r="C906" s="885"/>
      <c r="D906" s="885"/>
      <c r="E906" s="885"/>
      <c r="F906" s="885"/>
      <c r="G906" s="885"/>
      <c r="H906" s="885"/>
      <c r="I906" s="885"/>
      <c r="J906" s="885"/>
      <c r="K906" s="885"/>
      <c r="L906" s="885"/>
      <c r="M906" s="885"/>
      <c r="N906" s="885"/>
      <c r="O906" s="885"/>
      <c r="P906" s="885"/>
      <c r="Q906" s="885"/>
      <c r="R906" s="885"/>
      <c r="S906" s="885"/>
      <c r="T906" s="885"/>
      <c r="U906" s="885"/>
      <c r="V906" s="885"/>
      <c r="W906" s="885"/>
      <c r="X906" s="885"/>
      <c r="Y906" s="885"/>
      <c r="Z906" s="885"/>
      <c r="AA906" s="885"/>
      <c r="AB906" s="885"/>
      <c r="AC906" s="885"/>
    </row>
    <row r="907" spans="1:29" ht="15.75" customHeight="1" x14ac:dyDescent="0.2">
      <c r="A907" s="885"/>
      <c r="B907" s="885"/>
      <c r="C907" s="885"/>
      <c r="D907" s="885"/>
      <c r="E907" s="885"/>
      <c r="F907" s="885"/>
      <c r="G907" s="885"/>
      <c r="H907" s="885"/>
      <c r="I907" s="885"/>
      <c r="J907" s="885"/>
      <c r="K907" s="885"/>
      <c r="L907" s="885"/>
      <c r="M907" s="885"/>
      <c r="N907" s="885"/>
      <c r="O907" s="885"/>
      <c r="P907" s="885"/>
      <c r="Q907" s="885"/>
      <c r="R907" s="885"/>
      <c r="S907" s="885"/>
      <c r="T907" s="885"/>
      <c r="U907" s="885"/>
      <c r="V907" s="885"/>
      <c r="W907" s="885"/>
      <c r="X907" s="885"/>
      <c r="Y907" s="885"/>
      <c r="Z907" s="885"/>
      <c r="AA907" s="885"/>
      <c r="AB907" s="885"/>
      <c r="AC907" s="885"/>
    </row>
    <row r="908" spans="1:29" ht="15.75" customHeight="1" x14ac:dyDescent="0.2">
      <c r="A908" s="885"/>
      <c r="B908" s="885"/>
      <c r="C908" s="885"/>
      <c r="D908" s="885"/>
      <c r="E908" s="885"/>
      <c r="F908" s="885"/>
      <c r="G908" s="885"/>
      <c r="H908" s="885"/>
      <c r="I908" s="885"/>
      <c r="J908" s="885"/>
      <c r="K908" s="885"/>
      <c r="L908" s="885"/>
      <c r="M908" s="885"/>
      <c r="N908" s="885"/>
      <c r="O908" s="885"/>
      <c r="P908" s="885"/>
      <c r="Q908" s="885"/>
      <c r="R908" s="885"/>
      <c r="S908" s="885"/>
      <c r="T908" s="885"/>
      <c r="U908" s="885"/>
      <c r="V908" s="885"/>
      <c r="W908" s="885"/>
      <c r="X908" s="885"/>
      <c r="Y908" s="885"/>
      <c r="Z908" s="885"/>
      <c r="AA908" s="885"/>
      <c r="AB908" s="885"/>
      <c r="AC908" s="885"/>
    </row>
    <row r="909" spans="1:29" ht="15.75" customHeight="1" x14ac:dyDescent="0.2">
      <c r="A909" s="885"/>
      <c r="B909" s="885"/>
      <c r="C909" s="885"/>
      <c r="D909" s="885"/>
      <c r="E909" s="885"/>
      <c r="F909" s="885"/>
      <c r="G909" s="885"/>
      <c r="H909" s="885"/>
      <c r="I909" s="885"/>
      <c r="J909" s="885"/>
      <c r="K909" s="885"/>
      <c r="L909" s="885"/>
      <c r="M909" s="885"/>
      <c r="N909" s="885"/>
      <c r="O909" s="885"/>
      <c r="P909" s="885"/>
      <c r="Q909" s="885"/>
      <c r="R909" s="885"/>
      <c r="S909" s="885"/>
      <c r="T909" s="885"/>
      <c r="U909" s="885"/>
      <c r="V909" s="885"/>
      <c r="W909" s="885"/>
      <c r="X909" s="885"/>
      <c r="Y909" s="885"/>
      <c r="Z909" s="885"/>
      <c r="AA909" s="885"/>
      <c r="AB909" s="885"/>
      <c r="AC909" s="885"/>
    </row>
    <row r="910" spans="1:29" ht="15.75" customHeight="1" x14ac:dyDescent="0.2">
      <c r="A910" s="885"/>
      <c r="B910" s="885"/>
      <c r="C910" s="885"/>
      <c r="D910" s="885"/>
      <c r="E910" s="885"/>
      <c r="F910" s="885"/>
      <c r="G910" s="885"/>
      <c r="H910" s="885"/>
      <c r="I910" s="885"/>
      <c r="J910" s="885"/>
      <c r="K910" s="885"/>
      <c r="L910" s="885"/>
      <c r="M910" s="885"/>
      <c r="N910" s="885"/>
      <c r="O910" s="885"/>
      <c r="P910" s="885"/>
      <c r="Q910" s="885"/>
      <c r="R910" s="885"/>
      <c r="S910" s="885"/>
      <c r="T910" s="885"/>
      <c r="U910" s="885"/>
      <c r="V910" s="885"/>
      <c r="W910" s="885"/>
      <c r="X910" s="885"/>
      <c r="Y910" s="885"/>
      <c r="Z910" s="885"/>
      <c r="AA910" s="885"/>
      <c r="AB910" s="885"/>
      <c r="AC910" s="885"/>
    </row>
    <row r="911" spans="1:29" ht="15.75" customHeight="1" x14ac:dyDescent="0.2">
      <c r="A911" s="885"/>
      <c r="B911" s="885"/>
      <c r="C911" s="885"/>
      <c r="D911" s="885"/>
      <c r="E911" s="885"/>
      <c r="F911" s="885"/>
      <c r="G911" s="885"/>
      <c r="H911" s="885"/>
      <c r="I911" s="885"/>
      <c r="J911" s="885"/>
      <c r="K911" s="885"/>
      <c r="L911" s="885"/>
      <c r="M911" s="885"/>
      <c r="N911" s="885"/>
      <c r="O911" s="885"/>
      <c r="P911" s="885"/>
      <c r="Q911" s="885"/>
      <c r="R911" s="885"/>
      <c r="S911" s="885"/>
      <c r="T911" s="885"/>
      <c r="U911" s="885"/>
      <c r="V911" s="885"/>
      <c r="W911" s="885"/>
      <c r="X911" s="885"/>
      <c r="Y911" s="885"/>
      <c r="Z911" s="885"/>
      <c r="AA911" s="885"/>
      <c r="AB911" s="885"/>
      <c r="AC911" s="885"/>
    </row>
    <row r="912" spans="1:29" ht="15.75" customHeight="1" x14ac:dyDescent="0.2">
      <c r="A912" s="885"/>
      <c r="B912" s="885"/>
      <c r="C912" s="885"/>
      <c r="D912" s="885"/>
      <c r="E912" s="885"/>
      <c r="F912" s="885"/>
      <c r="G912" s="885"/>
      <c r="H912" s="885"/>
      <c r="I912" s="885"/>
      <c r="J912" s="885"/>
      <c r="K912" s="885"/>
      <c r="L912" s="885"/>
      <c r="M912" s="885"/>
      <c r="N912" s="885"/>
      <c r="O912" s="885"/>
      <c r="P912" s="885"/>
      <c r="Q912" s="885"/>
      <c r="R912" s="885"/>
      <c r="S912" s="885"/>
      <c r="T912" s="885"/>
      <c r="U912" s="885"/>
      <c r="V912" s="885"/>
      <c r="W912" s="885"/>
      <c r="X912" s="885"/>
      <c r="Y912" s="885"/>
      <c r="Z912" s="885"/>
      <c r="AA912" s="885"/>
      <c r="AB912" s="885"/>
      <c r="AC912" s="885"/>
    </row>
    <row r="913" spans="1:29" ht="15.75" customHeight="1" x14ac:dyDescent="0.2">
      <c r="A913" s="885"/>
      <c r="B913" s="885"/>
      <c r="C913" s="885"/>
      <c r="D913" s="885"/>
      <c r="E913" s="885"/>
      <c r="F913" s="885"/>
      <c r="G913" s="885"/>
      <c r="H913" s="885"/>
      <c r="I913" s="885"/>
      <c r="J913" s="885"/>
      <c r="K913" s="885"/>
      <c r="L913" s="885"/>
      <c r="M913" s="885"/>
      <c r="N913" s="885"/>
      <c r="O913" s="885"/>
      <c r="P913" s="885"/>
      <c r="Q913" s="885"/>
      <c r="R913" s="885"/>
      <c r="S913" s="885"/>
      <c r="T913" s="885"/>
      <c r="U913" s="885"/>
      <c r="V913" s="885"/>
      <c r="W913" s="885"/>
      <c r="X913" s="885"/>
      <c r="Y913" s="885"/>
      <c r="Z913" s="885"/>
      <c r="AA913" s="885"/>
      <c r="AB913" s="885"/>
      <c r="AC913" s="885"/>
    </row>
    <row r="914" spans="1:29" ht="15.75" customHeight="1" x14ac:dyDescent="0.2">
      <c r="A914" s="885"/>
      <c r="B914" s="885"/>
      <c r="C914" s="885"/>
      <c r="D914" s="885"/>
      <c r="E914" s="885"/>
      <c r="F914" s="885"/>
      <c r="G914" s="885"/>
      <c r="H914" s="885"/>
      <c r="I914" s="885"/>
      <c r="J914" s="885"/>
      <c r="K914" s="885"/>
      <c r="L914" s="885"/>
      <c r="M914" s="885"/>
      <c r="N914" s="885"/>
      <c r="O914" s="885"/>
      <c r="P914" s="885"/>
      <c r="Q914" s="885"/>
      <c r="R914" s="885"/>
      <c r="S914" s="885"/>
      <c r="T914" s="885"/>
      <c r="U914" s="885"/>
      <c r="V914" s="885"/>
      <c r="W914" s="885"/>
      <c r="X914" s="885"/>
      <c r="Y914" s="885"/>
      <c r="Z914" s="885"/>
      <c r="AA914" s="885"/>
      <c r="AB914" s="885"/>
      <c r="AC914" s="885"/>
    </row>
    <row r="915" spans="1:29" ht="15.75" customHeight="1" x14ac:dyDescent="0.2">
      <c r="A915" s="885"/>
      <c r="B915" s="885"/>
      <c r="C915" s="885"/>
      <c r="D915" s="885"/>
      <c r="E915" s="885"/>
      <c r="F915" s="885"/>
      <c r="G915" s="885"/>
      <c r="H915" s="885"/>
      <c r="I915" s="885"/>
      <c r="J915" s="885"/>
      <c r="K915" s="885"/>
      <c r="L915" s="885"/>
      <c r="M915" s="885"/>
      <c r="N915" s="885"/>
      <c r="O915" s="885"/>
      <c r="P915" s="885"/>
      <c r="Q915" s="885"/>
      <c r="R915" s="885"/>
      <c r="S915" s="885"/>
      <c r="T915" s="885"/>
      <c r="U915" s="885"/>
      <c r="V915" s="885"/>
      <c r="W915" s="885"/>
      <c r="X915" s="885"/>
      <c r="Y915" s="885"/>
      <c r="Z915" s="885"/>
      <c r="AA915" s="885"/>
      <c r="AB915" s="885"/>
      <c r="AC915" s="885"/>
    </row>
    <row r="916" spans="1:29" ht="15.75" customHeight="1" x14ac:dyDescent="0.2">
      <c r="A916" s="885"/>
      <c r="B916" s="885"/>
      <c r="C916" s="885"/>
      <c r="D916" s="885"/>
      <c r="E916" s="885"/>
      <c r="F916" s="885"/>
      <c r="G916" s="885"/>
      <c r="H916" s="885"/>
      <c r="I916" s="885"/>
      <c r="J916" s="885"/>
      <c r="K916" s="885"/>
      <c r="L916" s="885"/>
      <c r="M916" s="885"/>
      <c r="N916" s="885"/>
      <c r="O916" s="885"/>
      <c r="P916" s="885"/>
      <c r="Q916" s="885"/>
      <c r="R916" s="885"/>
      <c r="S916" s="885"/>
      <c r="T916" s="885"/>
      <c r="U916" s="885"/>
      <c r="V916" s="885"/>
      <c r="W916" s="885"/>
      <c r="X916" s="885"/>
      <c r="Y916" s="885"/>
      <c r="Z916" s="885"/>
      <c r="AA916" s="885"/>
      <c r="AB916" s="885"/>
      <c r="AC916" s="885"/>
    </row>
    <row r="917" spans="1:29" ht="15.75" customHeight="1" x14ac:dyDescent="0.2">
      <c r="A917" s="885"/>
      <c r="B917" s="885"/>
      <c r="C917" s="885"/>
      <c r="D917" s="885"/>
      <c r="E917" s="885"/>
      <c r="F917" s="885"/>
      <c r="G917" s="885"/>
      <c r="H917" s="885"/>
      <c r="I917" s="885"/>
      <c r="J917" s="885"/>
      <c r="K917" s="885"/>
      <c r="L917" s="885"/>
      <c r="M917" s="885"/>
      <c r="N917" s="885"/>
      <c r="O917" s="885"/>
      <c r="P917" s="885"/>
      <c r="Q917" s="885"/>
      <c r="R917" s="885"/>
      <c r="S917" s="885"/>
      <c r="T917" s="885"/>
      <c r="U917" s="885"/>
      <c r="V917" s="885"/>
      <c r="W917" s="885"/>
      <c r="X917" s="885"/>
      <c r="Y917" s="885"/>
      <c r="Z917" s="885"/>
      <c r="AA917" s="885"/>
      <c r="AB917" s="885"/>
      <c r="AC917" s="885"/>
    </row>
    <row r="918" spans="1:29" ht="15.75" customHeight="1" x14ac:dyDescent="0.2">
      <c r="A918" s="885"/>
      <c r="B918" s="885"/>
      <c r="C918" s="885"/>
      <c r="D918" s="885"/>
      <c r="E918" s="885"/>
      <c r="F918" s="885"/>
      <c r="G918" s="885"/>
      <c r="H918" s="885"/>
      <c r="I918" s="885"/>
      <c r="J918" s="885"/>
      <c r="K918" s="885"/>
      <c r="L918" s="885"/>
      <c r="M918" s="885"/>
      <c r="N918" s="885"/>
      <c r="O918" s="885"/>
      <c r="P918" s="885"/>
      <c r="Q918" s="885"/>
      <c r="R918" s="885"/>
      <c r="S918" s="885"/>
      <c r="T918" s="885"/>
      <c r="U918" s="885"/>
      <c r="V918" s="885"/>
      <c r="W918" s="885"/>
      <c r="X918" s="885"/>
      <c r="Y918" s="885"/>
      <c r="Z918" s="885"/>
      <c r="AA918" s="885"/>
      <c r="AB918" s="885"/>
      <c r="AC918" s="885"/>
    </row>
    <row r="919" spans="1:29" ht="15.75" customHeight="1" x14ac:dyDescent="0.2">
      <c r="A919" s="885"/>
      <c r="B919" s="885"/>
      <c r="C919" s="885"/>
      <c r="D919" s="885"/>
      <c r="E919" s="885"/>
      <c r="F919" s="885"/>
      <c r="G919" s="885"/>
      <c r="H919" s="885"/>
      <c r="I919" s="885"/>
      <c r="J919" s="885"/>
      <c r="K919" s="885"/>
      <c r="L919" s="885"/>
      <c r="M919" s="885"/>
      <c r="N919" s="885"/>
      <c r="O919" s="885"/>
      <c r="P919" s="885"/>
      <c r="Q919" s="885"/>
      <c r="R919" s="885"/>
      <c r="S919" s="885"/>
      <c r="T919" s="885"/>
      <c r="U919" s="885"/>
      <c r="V919" s="885"/>
      <c r="W919" s="885"/>
      <c r="X919" s="885"/>
      <c r="Y919" s="885"/>
      <c r="Z919" s="885"/>
      <c r="AA919" s="885"/>
      <c r="AB919" s="885"/>
      <c r="AC919" s="885"/>
    </row>
    <row r="920" spans="1:29" ht="15.75" customHeight="1" x14ac:dyDescent="0.2">
      <c r="A920" s="885"/>
      <c r="B920" s="885"/>
      <c r="C920" s="885"/>
      <c r="D920" s="885"/>
      <c r="E920" s="885"/>
      <c r="F920" s="885"/>
      <c r="G920" s="885"/>
      <c r="H920" s="885"/>
      <c r="I920" s="885"/>
      <c r="J920" s="885"/>
      <c r="K920" s="885"/>
      <c r="L920" s="885"/>
      <c r="M920" s="885"/>
      <c r="N920" s="885"/>
      <c r="O920" s="885"/>
      <c r="P920" s="885"/>
      <c r="Q920" s="885"/>
      <c r="R920" s="885"/>
      <c r="S920" s="885"/>
      <c r="T920" s="885"/>
      <c r="U920" s="885"/>
      <c r="V920" s="885"/>
      <c r="W920" s="885"/>
      <c r="X920" s="885"/>
      <c r="Y920" s="885"/>
      <c r="Z920" s="885"/>
      <c r="AA920" s="885"/>
      <c r="AB920" s="885"/>
      <c r="AC920" s="885"/>
    </row>
    <row r="921" spans="1:29" ht="15.75" customHeight="1" x14ac:dyDescent="0.2">
      <c r="A921" s="885"/>
      <c r="B921" s="885"/>
      <c r="C921" s="885"/>
      <c r="D921" s="885"/>
      <c r="E921" s="885"/>
      <c r="F921" s="885"/>
      <c r="G921" s="885"/>
      <c r="H921" s="885"/>
      <c r="I921" s="885"/>
      <c r="J921" s="885"/>
      <c r="K921" s="885"/>
      <c r="L921" s="885"/>
      <c r="M921" s="885"/>
      <c r="N921" s="885"/>
      <c r="O921" s="885"/>
      <c r="P921" s="885"/>
      <c r="Q921" s="885"/>
      <c r="R921" s="885"/>
      <c r="S921" s="885"/>
      <c r="T921" s="885"/>
      <c r="U921" s="885"/>
      <c r="V921" s="885"/>
      <c r="W921" s="885"/>
      <c r="X921" s="885"/>
      <c r="Y921" s="885"/>
      <c r="Z921" s="885"/>
      <c r="AA921" s="885"/>
      <c r="AB921" s="885"/>
      <c r="AC921" s="885"/>
    </row>
    <row r="922" spans="1:29" ht="15.75" customHeight="1" x14ac:dyDescent="0.2">
      <c r="A922" s="885"/>
      <c r="B922" s="885"/>
      <c r="C922" s="885"/>
      <c r="D922" s="885"/>
      <c r="E922" s="885"/>
      <c r="F922" s="885"/>
      <c r="G922" s="885"/>
      <c r="H922" s="885"/>
      <c r="I922" s="885"/>
      <c r="J922" s="885"/>
      <c r="K922" s="885"/>
      <c r="L922" s="885"/>
      <c r="M922" s="885"/>
      <c r="N922" s="885"/>
      <c r="O922" s="885"/>
      <c r="P922" s="885"/>
      <c r="Q922" s="885"/>
      <c r="R922" s="885"/>
      <c r="S922" s="885"/>
      <c r="T922" s="885"/>
      <c r="U922" s="885"/>
      <c r="V922" s="885"/>
      <c r="W922" s="885"/>
      <c r="X922" s="885"/>
      <c r="Y922" s="885"/>
      <c r="Z922" s="885"/>
      <c r="AA922" s="885"/>
      <c r="AB922" s="885"/>
      <c r="AC922" s="885"/>
    </row>
    <row r="923" spans="1:29" ht="15.75" customHeight="1" x14ac:dyDescent="0.2">
      <c r="A923" s="885"/>
      <c r="B923" s="885"/>
      <c r="C923" s="885"/>
      <c r="D923" s="885"/>
      <c r="E923" s="885"/>
      <c r="F923" s="885"/>
      <c r="G923" s="885"/>
      <c r="H923" s="885"/>
      <c r="I923" s="885"/>
      <c r="J923" s="885"/>
      <c r="K923" s="885"/>
      <c r="L923" s="885"/>
      <c r="M923" s="885"/>
      <c r="N923" s="885"/>
      <c r="O923" s="885"/>
      <c r="P923" s="885"/>
      <c r="Q923" s="885"/>
      <c r="R923" s="885"/>
      <c r="S923" s="885"/>
      <c r="T923" s="885"/>
      <c r="U923" s="885"/>
      <c r="V923" s="885"/>
      <c r="W923" s="885"/>
      <c r="X923" s="885"/>
      <c r="Y923" s="885"/>
      <c r="Z923" s="885"/>
      <c r="AA923" s="885"/>
      <c r="AB923" s="885"/>
      <c r="AC923" s="885"/>
    </row>
    <row r="924" spans="1:29" ht="15.75" customHeight="1" x14ac:dyDescent="0.2">
      <c r="A924" s="885"/>
      <c r="B924" s="885"/>
      <c r="C924" s="885"/>
      <c r="D924" s="885"/>
      <c r="E924" s="885"/>
      <c r="F924" s="885"/>
      <c r="G924" s="885"/>
      <c r="H924" s="885"/>
      <c r="I924" s="885"/>
      <c r="J924" s="885"/>
      <c r="K924" s="885"/>
      <c r="L924" s="885"/>
      <c r="M924" s="885"/>
      <c r="N924" s="885"/>
      <c r="O924" s="885"/>
      <c r="P924" s="885"/>
      <c r="Q924" s="885"/>
      <c r="R924" s="885"/>
      <c r="S924" s="885"/>
      <c r="T924" s="885"/>
      <c r="U924" s="885"/>
      <c r="V924" s="885"/>
      <c r="W924" s="885"/>
      <c r="X924" s="885"/>
      <c r="Y924" s="885"/>
      <c r="Z924" s="885"/>
      <c r="AA924" s="885"/>
      <c r="AB924" s="885"/>
      <c r="AC924" s="885"/>
    </row>
    <row r="925" spans="1:29" ht="15.75" customHeight="1" x14ac:dyDescent="0.2">
      <c r="A925" s="885"/>
      <c r="B925" s="885"/>
      <c r="C925" s="885"/>
      <c r="D925" s="885"/>
      <c r="E925" s="885"/>
      <c r="F925" s="885"/>
      <c r="G925" s="885"/>
      <c r="H925" s="885"/>
      <c r="I925" s="885"/>
      <c r="J925" s="885"/>
      <c r="K925" s="885"/>
      <c r="L925" s="885"/>
      <c r="M925" s="885"/>
      <c r="N925" s="885"/>
      <c r="O925" s="885"/>
      <c r="P925" s="885"/>
      <c r="Q925" s="885"/>
      <c r="R925" s="885"/>
      <c r="S925" s="885"/>
      <c r="T925" s="885"/>
      <c r="U925" s="885"/>
      <c r="V925" s="885"/>
      <c r="W925" s="885"/>
      <c r="X925" s="885"/>
      <c r="Y925" s="885"/>
      <c r="Z925" s="885"/>
      <c r="AA925" s="885"/>
      <c r="AB925" s="885"/>
      <c r="AC925" s="885"/>
    </row>
    <row r="926" spans="1:29" ht="15.75" customHeight="1" x14ac:dyDescent="0.2">
      <c r="A926" s="885"/>
      <c r="B926" s="885"/>
      <c r="C926" s="885"/>
      <c r="D926" s="885"/>
      <c r="E926" s="885"/>
      <c r="F926" s="885"/>
      <c r="G926" s="885"/>
      <c r="H926" s="885"/>
      <c r="I926" s="885"/>
      <c r="J926" s="885"/>
      <c r="K926" s="885"/>
      <c r="L926" s="885"/>
      <c r="M926" s="885"/>
      <c r="N926" s="885"/>
      <c r="O926" s="885"/>
      <c r="P926" s="885"/>
      <c r="Q926" s="885"/>
      <c r="R926" s="885"/>
      <c r="S926" s="885"/>
      <c r="T926" s="885"/>
      <c r="U926" s="885"/>
      <c r="V926" s="885"/>
      <c r="W926" s="885"/>
      <c r="X926" s="885"/>
      <c r="Y926" s="885"/>
      <c r="Z926" s="885"/>
      <c r="AA926" s="885"/>
      <c r="AB926" s="885"/>
      <c r="AC926" s="885"/>
    </row>
    <row r="927" spans="1:29" ht="15.75" customHeight="1" x14ac:dyDescent="0.2">
      <c r="A927" s="885"/>
      <c r="B927" s="885"/>
      <c r="C927" s="885"/>
      <c r="D927" s="885"/>
      <c r="E927" s="885"/>
      <c r="F927" s="885"/>
      <c r="G927" s="885"/>
      <c r="H927" s="885"/>
      <c r="I927" s="885"/>
      <c r="J927" s="885"/>
      <c r="K927" s="885"/>
      <c r="L927" s="885"/>
      <c r="M927" s="885"/>
      <c r="N927" s="885"/>
      <c r="O927" s="885"/>
      <c r="P927" s="885"/>
      <c r="Q927" s="885"/>
      <c r="R927" s="885"/>
      <c r="S927" s="885"/>
      <c r="T927" s="885"/>
      <c r="U927" s="885"/>
      <c r="V927" s="885"/>
      <c r="W927" s="885"/>
      <c r="X927" s="885"/>
      <c r="Y927" s="885"/>
      <c r="Z927" s="885"/>
      <c r="AA927" s="885"/>
      <c r="AB927" s="885"/>
      <c r="AC927" s="885"/>
    </row>
    <row r="928" spans="1:29" ht="15.75" customHeight="1" x14ac:dyDescent="0.2">
      <c r="A928" s="885"/>
      <c r="B928" s="885"/>
      <c r="C928" s="885"/>
      <c r="D928" s="885"/>
      <c r="E928" s="885"/>
      <c r="F928" s="885"/>
      <c r="G928" s="885"/>
      <c r="H928" s="885"/>
      <c r="I928" s="885"/>
      <c r="J928" s="885"/>
      <c r="K928" s="885"/>
      <c r="L928" s="885"/>
      <c r="M928" s="885"/>
      <c r="N928" s="885"/>
      <c r="O928" s="885"/>
      <c r="P928" s="885"/>
      <c r="Q928" s="885"/>
      <c r="R928" s="885"/>
      <c r="S928" s="885"/>
      <c r="T928" s="885"/>
      <c r="U928" s="885"/>
      <c r="V928" s="885"/>
      <c r="W928" s="885"/>
      <c r="X928" s="885"/>
      <c r="Y928" s="885"/>
      <c r="Z928" s="885"/>
      <c r="AA928" s="885"/>
      <c r="AB928" s="885"/>
      <c r="AC928" s="885"/>
    </row>
    <row r="929" spans="1:29" ht="15.75" customHeight="1" x14ac:dyDescent="0.2">
      <c r="A929" s="885"/>
      <c r="B929" s="885"/>
      <c r="C929" s="885"/>
      <c r="D929" s="885"/>
      <c r="E929" s="885"/>
      <c r="F929" s="885"/>
      <c r="G929" s="885"/>
      <c r="H929" s="885"/>
      <c r="I929" s="885"/>
      <c r="J929" s="885"/>
      <c r="K929" s="885"/>
      <c r="L929" s="885"/>
      <c r="M929" s="885"/>
      <c r="N929" s="885"/>
      <c r="O929" s="885"/>
      <c r="P929" s="885"/>
      <c r="Q929" s="885"/>
      <c r="R929" s="885"/>
      <c r="S929" s="885"/>
      <c r="T929" s="885"/>
      <c r="U929" s="885"/>
      <c r="V929" s="885"/>
      <c r="W929" s="885"/>
      <c r="X929" s="885"/>
      <c r="Y929" s="885"/>
      <c r="Z929" s="885"/>
      <c r="AA929" s="885"/>
      <c r="AB929" s="885"/>
      <c r="AC929" s="885"/>
    </row>
    <row r="930" spans="1:29" ht="15.75" customHeight="1" x14ac:dyDescent="0.2">
      <c r="A930" s="885"/>
      <c r="B930" s="885"/>
      <c r="C930" s="885"/>
      <c r="D930" s="885"/>
      <c r="E930" s="885"/>
      <c r="F930" s="885"/>
      <c r="G930" s="885"/>
      <c r="H930" s="885"/>
      <c r="I930" s="885"/>
      <c r="J930" s="885"/>
      <c r="K930" s="885"/>
      <c r="L930" s="885"/>
      <c r="M930" s="885"/>
      <c r="N930" s="885"/>
      <c r="O930" s="885"/>
      <c r="P930" s="885"/>
      <c r="Q930" s="885"/>
      <c r="R930" s="885"/>
      <c r="S930" s="885"/>
      <c r="T930" s="885"/>
      <c r="U930" s="885"/>
      <c r="V930" s="885"/>
      <c r="W930" s="885"/>
      <c r="X930" s="885"/>
      <c r="Y930" s="885"/>
      <c r="Z930" s="885"/>
      <c r="AA930" s="885"/>
      <c r="AB930" s="885"/>
      <c r="AC930" s="885"/>
    </row>
    <row r="931" spans="1:29" ht="15.75" customHeight="1" x14ac:dyDescent="0.2">
      <c r="A931" s="885"/>
      <c r="B931" s="885"/>
      <c r="C931" s="885"/>
      <c r="D931" s="885"/>
      <c r="E931" s="885"/>
      <c r="F931" s="885"/>
      <c r="G931" s="885"/>
      <c r="H931" s="885"/>
      <c r="I931" s="885"/>
      <c r="J931" s="885"/>
      <c r="K931" s="885"/>
      <c r="L931" s="885"/>
      <c r="M931" s="885"/>
      <c r="N931" s="885"/>
      <c r="O931" s="885"/>
      <c r="P931" s="885"/>
      <c r="Q931" s="885"/>
      <c r="R931" s="885"/>
      <c r="S931" s="885"/>
      <c r="T931" s="885"/>
      <c r="U931" s="885"/>
      <c r="V931" s="885"/>
      <c r="W931" s="885"/>
      <c r="X931" s="885"/>
      <c r="Y931" s="885"/>
      <c r="Z931" s="885"/>
      <c r="AA931" s="885"/>
      <c r="AB931" s="885"/>
      <c r="AC931" s="885"/>
    </row>
    <row r="932" spans="1:29" ht="15.75" customHeight="1" x14ac:dyDescent="0.2">
      <c r="A932" s="885"/>
      <c r="B932" s="885"/>
      <c r="C932" s="885"/>
      <c r="D932" s="885"/>
      <c r="E932" s="885"/>
      <c r="F932" s="885"/>
      <c r="G932" s="885"/>
      <c r="H932" s="885"/>
      <c r="I932" s="885"/>
      <c r="J932" s="885"/>
      <c r="K932" s="885"/>
      <c r="L932" s="885"/>
      <c r="M932" s="885"/>
      <c r="N932" s="885"/>
      <c r="O932" s="885"/>
      <c r="P932" s="885"/>
      <c r="Q932" s="885"/>
      <c r="R932" s="885"/>
      <c r="S932" s="885"/>
      <c r="T932" s="885"/>
      <c r="U932" s="885"/>
      <c r="V932" s="885"/>
      <c r="W932" s="885"/>
      <c r="X932" s="885"/>
      <c r="Y932" s="885"/>
      <c r="Z932" s="885"/>
      <c r="AA932" s="885"/>
      <c r="AB932" s="885"/>
      <c r="AC932" s="885"/>
    </row>
    <row r="933" spans="1:29" ht="15.75" customHeight="1" x14ac:dyDescent="0.2">
      <c r="A933" s="885"/>
      <c r="B933" s="885"/>
      <c r="C933" s="885"/>
      <c r="D933" s="885"/>
      <c r="E933" s="885"/>
      <c r="F933" s="885"/>
      <c r="G933" s="885"/>
      <c r="H933" s="885"/>
      <c r="I933" s="885"/>
      <c r="J933" s="885"/>
      <c r="K933" s="885"/>
      <c r="L933" s="885"/>
      <c r="M933" s="885"/>
      <c r="N933" s="885"/>
      <c r="O933" s="885"/>
      <c r="P933" s="885"/>
      <c r="Q933" s="885"/>
      <c r="R933" s="885"/>
      <c r="S933" s="885"/>
      <c r="T933" s="885"/>
      <c r="U933" s="885"/>
      <c r="V933" s="885"/>
      <c r="W933" s="885"/>
      <c r="X933" s="885"/>
      <c r="Y933" s="885"/>
      <c r="Z933" s="885"/>
      <c r="AA933" s="885"/>
      <c r="AB933" s="885"/>
      <c r="AC933" s="885"/>
    </row>
    <row r="934" spans="1:29" ht="15.75" customHeight="1" x14ac:dyDescent="0.2">
      <c r="A934" s="885"/>
      <c r="B934" s="885"/>
      <c r="C934" s="885"/>
      <c r="D934" s="885"/>
      <c r="E934" s="885"/>
      <c r="F934" s="885"/>
      <c r="G934" s="885"/>
      <c r="H934" s="885"/>
      <c r="I934" s="885"/>
      <c r="J934" s="885"/>
      <c r="K934" s="885"/>
      <c r="L934" s="885"/>
      <c r="M934" s="885"/>
      <c r="N934" s="885"/>
      <c r="O934" s="885"/>
      <c r="P934" s="885"/>
      <c r="Q934" s="885"/>
      <c r="R934" s="885"/>
      <c r="S934" s="885"/>
      <c r="T934" s="885"/>
      <c r="U934" s="885"/>
      <c r="V934" s="885"/>
      <c r="W934" s="885"/>
      <c r="X934" s="885"/>
      <c r="Y934" s="885"/>
      <c r="Z934" s="885"/>
      <c r="AA934" s="885"/>
      <c r="AB934" s="885"/>
      <c r="AC934" s="885"/>
    </row>
    <row r="935" spans="1:29" ht="15.75" customHeight="1" x14ac:dyDescent="0.2">
      <c r="A935" s="885"/>
      <c r="B935" s="885"/>
      <c r="C935" s="885"/>
      <c r="D935" s="885"/>
      <c r="E935" s="885"/>
      <c r="F935" s="885"/>
      <c r="G935" s="885"/>
      <c r="H935" s="885"/>
      <c r="I935" s="885"/>
      <c r="J935" s="885"/>
      <c r="K935" s="885"/>
      <c r="L935" s="885"/>
      <c r="M935" s="885"/>
      <c r="N935" s="885"/>
      <c r="O935" s="885"/>
      <c r="P935" s="885"/>
      <c r="Q935" s="885"/>
      <c r="R935" s="885"/>
      <c r="S935" s="885"/>
      <c r="T935" s="885"/>
      <c r="U935" s="885"/>
      <c r="V935" s="885"/>
      <c r="W935" s="885"/>
      <c r="X935" s="885"/>
      <c r="Y935" s="885"/>
      <c r="Z935" s="885"/>
      <c r="AA935" s="885"/>
      <c r="AB935" s="885"/>
      <c r="AC935" s="885"/>
    </row>
    <row r="936" spans="1:29" ht="15.75" customHeight="1" x14ac:dyDescent="0.2">
      <c r="A936" s="885"/>
      <c r="B936" s="885"/>
      <c r="C936" s="885"/>
      <c r="D936" s="885"/>
      <c r="E936" s="885"/>
      <c r="F936" s="885"/>
      <c r="G936" s="885"/>
      <c r="H936" s="885"/>
      <c r="I936" s="885"/>
      <c r="J936" s="885"/>
      <c r="K936" s="885"/>
      <c r="L936" s="885"/>
      <c r="M936" s="885"/>
      <c r="N936" s="885"/>
      <c r="O936" s="885"/>
      <c r="P936" s="885"/>
      <c r="Q936" s="885"/>
      <c r="R936" s="885"/>
      <c r="S936" s="885"/>
      <c r="T936" s="885"/>
      <c r="U936" s="885"/>
      <c r="V936" s="885"/>
      <c r="W936" s="885"/>
      <c r="X936" s="885"/>
      <c r="Y936" s="885"/>
      <c r="Z936" s="885"/>
      <c r="AA936" s="885"/>
      <c r="AB936" s="885"/>
      <c r="AC936" s="885"/>
    </row>
    <row r="937" spans="1:29" ht="15.75" customHeight="1" x14ac:dyDescent="0.2">
      <c r="A937" s="885"/>
      <c r="B937" s="885"/>
      <c r="C937" s="885"/>
      <c r="D937" s="885"/>
      <c r="E937" s="885"/>
      <c r="F937" s="885"/>
      <c r="G937" s="885"/>
      <c r="H937" s="885"/>
      <c r="I937" s="885"/>
      <c r="J937" s="885"/>
      <c r="K937" s="885"/>
      <c r="L937" s="885"/>
      <c r="M937" s="885"/>
      <c r="N937" s="885"/>
      <c r="O937" s="885"/>
      <c r="P937" s="885"/>
      <c r="Q937" s="885"/>
      <c r="R937" s="885"/>
      <c r="S937" s="885"/>
      <c r="T937" s="885"/>
      <c r="U937" s="885"/>
      <c r="V937" s="885"/>
      <c r="W937" s="885"/>
      <c r="X937" s="885"/>
      <c r="Y937" s="885"/>
      <c r="Z937" s="885"/>
      <c r="AA937" s="885"/>
      <c r="AB937" s="885"/>
      <c r="AC937" s="885"/>
    </row>
    <row r="938" spans="1:29" ht="15.75" customHeight="1" x14ac:dyDescent="0.2">
      <c r="A938" s="885"/>
      <c r="B938" s="885"/>
      <c r="C938" s="885"/>
      <c r="D938" s="885"/>
      <c r="E938" s="885"/>
      <c r="F938" s="885"/>
      <c r="G938" s="885"/>
      <c r="H938" s="885"/>
      <c r="I938" s="885"/>
      <c r="J938" s="885"/>
      <c r="K938" s="885"/>
      <c r="L938" s="885"/>
      <c r="M938" s="885"/>
      <c r="N938" s="885"/>
      <c r="O938" s="885"/>
      <c r="P938" s="885"/>
      <c r="Q938" s="885"/>
      <c r="R938" s="885"/>
      <c r="S938" s="885"/>
      <c r="T938" s="885"/>
      <c r="U938" s="885"/>
      <c r="V938" s="885"/>
      <c r="W938" s="885"/>
      <c r="X938" s="885"/>
      <c r="Y938" s="885"/>
      <c r="Z938" s="885"/>
      <c r="AA938" s="885"/>
      <c r="AB938" s="885"/>
      <c r="AC938" s="885"/>
    </row>
    <row r="939" spans="1:29" ht="15.75" customHeight="1" x14ac:dyDescent="0.2">
      <c r="A939" s="885"/>
      <c r="B939" s="885"/>
      <c r="C939" s="885"/>
      <c r="D939" s="885"/>
      <c r="E939" s="885"/>
      <c r="F939" s="885"/>
      <c r="G939" s="885"/>
      <c r="H939" s="885"/>
      <c r="I939" s="885"/>
      <c r="J939" s="885"/>
      <c r="K939" s="885"/>
      <c r="L939" s="885"/>
      <c r="M939" s="885"/>
      <c r="N939" s="885"/>
      <c r="O939" s="885"/>
      <c r="P939" s="885"/>
      <c r="Q939" s="885"/>
      <c r="R939" s="885"/>
      <c r="S939" s="885"/>
      <c r="T939" s="885"/>
      <c r="U939" s="885"/>
      <c r="V939" s="885"/>
      <c r="W939" s="885"/>
      <c r="X939" s="885"/>
      <c r="Y939" s="885"/>
      <c r="Z939" s="885"/>
      <c r="AA939" s="885"/>
      <c r="AB939" s="885"/>
      <c r="AC939" s="885"/>
    </row>
    <row r="940" spans="1:29" ht="15.75" customHeight="1" x14ac:dyDescent="0.2">
      <c r="A940" s="885"/>
      <c r="B940" s="885"/>
      <c r="C940" s="885"/>
      <c r="D940" s="885"/>
      <c r="E940" s="885"/>
      <c r="F940" s="885"/>
      <c r="G940" s="885"/>
      <c r="H940" s="885"/>
      <c r="I940" s="885"/>
      <c r="J940" s="885"/>
      <c r="K940" s="885"/>
      <c r="L940" s="885"/>
      <c r="M940" s="885"/>
      <c r="N940" s="885"/>
      <c r="O940" s="885"/>
      <c r="P940" s="885"/>
      <c r="Q940" s="885"/>
      <c r="R940" s="885"/>
      <c r="S940" s="885"/>
      <c r="T940" s="885"/>
      <c r="U940" s="885"/>
      <c r="V940" s="885"/>
      <c r="W940" s="885"/>
      <c r="X940" s="885"/>
      <c r="Y940" s="885"/>
      <c r="Z940" s="885"/>
      <c r="AA940" s="885"/>
      <c r="AB940" s="885"/>
      <c r="AC940" s="885"/>
    </row>
    <row r="941" spans="1:29" ht="15.75" customHeight="1" x14ac:dyDescent="0.2">
      <c r="A941" s="885"/>
      <c r="B941" s="885"/>
      <c r="C941" s="885"/>
      <c r="D941" s="885"/>
      <c r="E941" s="885"/>
      <c r="F941" s="885"/>
      <c r="G941" s="885"/>
      <c r="H941" s="885"/>
      <c r="I941" s="885"/>
      <c r="J941" s="885"/>
      <c r="K941" s="885"/>
      <c r="L941" s="885"/>
      <c r="M941" s="885"/>
      <c r="N941" s="885"/>
      <c r="O941" s="885"/>
      <c r="P941" s="885"/>
      <c r="Q941" s="885"/>
      <c r="R941" s="885"/>
      <c r="S941" s="885"/>
      <c r="T941" s="885"/>
      <c r="U941" s="885"/>
      <c r="V941" s="885"/>
      <c r="W941" s="885"/>
      <c r="X941" s="885"/>
      <c r="Y941" s="885"/>
      <c r="Z941" s="885"/>
      <c r="AA941" s="885"/>
      <c r="AB941" s="885"/>
      <c r="AC941" s="885"/>
    </row>
    <row r="942" spans="1:29" ht="15.75" customHeight="1" x14ac:dyDescent="0.2">
      <c r="A942" s="885"/>
      <c r="B942" s="885"/>
      <c r="C942" s="885"/>
      <c r="D942" s="885"/>
      <c r="E942" s="885"/>
      <c r="F942" s="885"/>
      <c r="G942" s="885"/>
      <c r="H942" s="885"/>
      <c r="I942" s="885"/>
      <c r="J942" s="885"/>
      <c r="K942" s="885"/>
      <c r="L942" s="885"/>
      <c r="M942" s="885"/>
      <c r="N942" s="885"/>
      <c r="O942" s="885"/>
      <c r="P942" s="885"/>
      <c r="Q942" s="885"/>
      <c r="R942" s="885"/>
      <c r="S942" s="885"/>
      <c r="T942" s="885"/>
      <c r="U942" s="885"/>
      <c r="V942" s="885"/>
      <c r="W942" s="885"/>
      <c r="X942" s="885"/>
      <c r="Y942" s="885"/>
      <c r="Z942" s="885"/>
      <c r="AA942" s="885"/>
      <c r="AB942" s="885"/>
      <c r="AC942" s="885"/>
    </row>
    <row r="943" spans="1:29" ht="15.75" customHeight="1" x14ac:dyDescent="0.2">
      <c r="A943" s="885"/>
      <c r="B943" s="885"/>
      <c r="C943" s="885"/>
      <c r="D943" s="885"/>
      <c r="E943" s="885"/>
      <c r="F943" s="885"/>
      <c r="G943" s="885"/>
      <c r="H943" s="885"/>
      <c r="I943" s="885"/>
      <c r="J943" s="885"/>
      <c r="K943" s="885"/>
      <c r="L943" s="885"/>
      <c r="M943" s="885"/>
      <c r="N943" s="885"/>
      <c r="O943" s="885"/>
      <c r="P943" s="885"/>
      <c r="Q943" s="885"/>
      <c r="R943" s="885"/>
      <c r="S943" s="885"/>
      <c r="T943" s="885"/>
      <c r="U943" s="885"/>
      <c r="V943" s="885"/>
      <c r="W943" s="885"/>
      <c r="X943" s="885"/>
      <c r="Y943" s="885"/>
      <c r="Z943" s="885"/>
      <c r="AA943" s="885"/>
      <c r="AB943" s="885"/>
      <c r="AC943" s="885"/>
    </row>
    <row r="944" spans="1:29" ht="15.75" customHeight="1" x14ac:dyDescent="0.2">
      <c r="A944" s="885"/>
      <c r="B944" s="885"/>
      <c r="C944" s="885"/>
      <c r="D944" s="885"/>
      <c r="E944" s="885"/>
      <c r="F944" s="885"/>
      <c r="G944" s="885"/>
      <c r="H944" s="885"/>
      <c r="I944" s="885"/>
      <c r="J944" s="885"/>
      <c r="K944" s="885"/>
      <c r="L944" s="885"/>
      <c r="M944" s="885"/>
      <c r="N944" s="885"/>
      <c r="O944" s="885"/>
      <c r="P944" s="885"/>
      <c r="Q944" s="885"/>
      <c r="R944" s="885"/>
      <c r="S944" s="885"/>
      <c r="T944" s="885"/>
      <c r="U944" s="885"/>
      <c r="V944" s="885"/>
      <c r="W944" s="885"/>
      <c r="X944" s="885"/>
      <c r="Y944" s="885"/>
      <c r="Z944" s="885"/>
      <c r="AA944" s="885"/>
      <c r="AB944" s="885"/>
      <c r="AC944" s="885"/>
    </row>
    <row r="945" spans="1:29" ht="15.75" customHeight="1" x14ac:dyDescent="0.2">
      <c r="A945" s="885"/>
      <c r="B945" s="885"/>
      <c r="C945" s="885"/>
      <c r="D945" s="885"/>
      <c r="E945" s="885"/>
      <c r="F945" s="885"/>
      <c r="G945" s="885"/>
      <c r="H945" s="885"/>
      <c r="I945" s="885"/>
      <c r="J945" s="885"/>
      <c r="K945" s="885"/>
      <c r="L945" s="885"/>
      <c r="M945" s="885"/>
      <c r="N945" s="885"/>
      <c r="O945" s="885"/>
      <c r="P945" s="885"/>
      <c r="Q945" s="885"/>
      <c r="R945" s="885"/>
      <c r="S945" s="885"/>
      <c r="T945" s="885"/>
      <c r="U945" s="885"/>
      <c r="V945" s="885"/>
      <c r="W945" s="885"/>
      <c r="X945" s="885"/>
      <c r="Y945" s="885"/>
      <c r="Z945" s="885"/>
      <c r="AA945" s="885"/>
      <c r="AB945" s="885"/>
      <c r="AC945" s="885"/>
    </row>
    <row r="946" spans="1:29" ht="15.75" customHeight="1" x14ac:dyDescent="0.2">
      <c r="A946" s="885"/>
      <c r="B946" s="885"/>
      <c r="C946" s="885"/>
      <c r="D946" s="885"/>
      <c r="E946" s="885"/>
      <c r="F946" s="885"/>
      <c r="G946" s="885"/>
      <c r="H946" s="885"/>
      <c r="I946" s="885"/>
      <c r="J946" s="885"/>
      <c r="K946" s="885"/>
      <c r="L946" s="885"/>
      <c r="M946" s="885"/>
      <c r="N946" s="885"/>
      <c r="O946" s="885"/>
      <c r="P946" s="885"/>
      <c r="Q946" s="885"/>
      <c r="R946" s="885"/>
      <c r="S946" s="885"/>
      <c r="T946" s="885"/>
      <c r="U946" s="885"/>
      <c r="V946" s="885"/>
      <c r="W946" s="885"/>
      <c r="X946" s="885"/>
      <c r="Y946" s="885"/>
      <c r="Z946" s="885"/>
      <c r="AA946" s="885"/>
      <c r="AB946" s="885"/>
      <c r="AC946" s="885"/>
    </row>
    <row r="947" spans="1:29" ht="15.75" customHeight="1" x14ac:dyDescent="0.2">
      <c r="A947" s="885"/>
      <c r="B947" s="885"/>
      <c r="C947" s="885"/>
      <c r="D947" s="885"/>
      <c r="E947" s="885"/>
      <c r="F947" s="885"/>
      <c r="G947" s="885"/>
      <c r="H947" s="885"/>
      <c r="I947" s="885"/>
      <c r="J947" s="885"/>
      <c r="K947" s="885"/>
      <c r="L947" s="885"/>
      <c r="M947" s="885"/>
      <c r="N947" s="885"/>
      <c r="O947" s="885"/>
      <c r="P947" s="885"/>
      <c r="Q947" s="885"/>
      <c r="R947" s="885"/>
      <c r="S947" s="885"/>
      <c r="T947" s="885"/>
      <c r="U947" s="885"/>
      <c r="V947" s="885"/>
      <c r="W947" s="885"/>
      <c r="X947" s="885"/>
      <c r="Y947" s="885"/>
      <c r="Z947" s="885"/>
      <c r="AA947" s="885"/>
      <c r="AB947" s="885"/>
      <c r="AC947" s="885"/>
    </row>
    <row r="948" spans="1:29" ht="15.75" customHeight="1" x14ac:dyDescent="0.2">
      <c r="A948" s="885"/>
      <c r="B948" s="885"/>
      <c r="C948" s="885"/>
      <c r="D948" s="885"/>
      <c r="E948" s="885"/>
      <c r="F948" s="885"/>
      <c r="G948" s="885"/>
      <c r="H948" s="885"/>
      <c r="I948" s="885"/>
      <c r="J948" s="885"/>
      <c r="K948" s="885"/>
      <c r="L948" s="885"/>
      <c r="M948" s="885"/>
      <c r="N948" s="885"/>
      <c r="O948" s="885"/>
      <c r="P948" s="885"/>
      <c r="Q948" s="885"/>
      <c r="R948" s="885"/>
      <c r="S948" s="885"/>
      <c r="T948" s="885"/>
      <c r="U948" s="885"/>
      <c r="V948" s="885"/>
      <c r="W948" s="885"/>
      <c r="X948" s="885"/>
      <c r="Y948" s="885"/>
      <c r="Z948" s="885"/>
      <c r="AA948" s="885"/>
      <c r="AB948" s="885"/>
      <c r="AC948" s="885"/>
    </row>
    <row r="949" spans="1:29" ht="15.75" customHeight="1" x14ac:dyDescent="0.2">
      <c r="A949" s="885"/>
      <c r="B949" s="885"/>
      <c r="C949" s="885"/>
      <c r="D949" s="885"/>
      <c r="E949" s="885"/>
      <c r="F949" s="885"/>
      <c r="G949" s="885"/>
      <c r="H949" s="885"/>
      <c r="I949" s="885"/>
      <c r="J949" s="885"/>
      <c r="K949" s="885"/>
      <c r="L949" s="885"/>
      <c r="M949" s="885"/>
      <c r="N949" s="885"/>
      <c r="O949" s="885"/>
      <c r="P949" s="885"/>
      <c r="Q949" s="885"/>
      <c r="R949" s="885"/>
      <c r="S949" s="885"/>
      <c r="T949" s="885"/>
      <c r="U949" s="885"/>
      <c r="V949" s="885"/>
      <c r="W949" s="885"/>
      <c r="X949" s="885"/>
      <c r="Y949" s="885"/>
      <c r="Z949" s="885"/>
      <c r="AA949" s="885"/>
      <c r="AB949" s="885"/>
      <c r="AC949" s="885"/>
    </row>
    <row r="950" spans="1:29" ht="15.75" customHeight="1" x14ac:dyDescent="0.2">
      <c r="A950" s="885"/>
      <c r="B950" s="885"/>
      <c r="C950" s="885"/>
      <c r="D950" s="885"/>
      <c r="E950" s="885"/>
      <c r="F950" s="885"/>
      <c r="G950" s="885"/>
      <c r="H950" s="885"/>
      <c r="I950" s="885"/>
      <c r="J950" s="885"/>
      <c r="K950" s="885"/>
      <c r="L950" s="885"/>
      <c r="M950" s="885"/>
      <c r="N950" s="885"/>
      <c r="O950" s="885"/>
      <c r="P950" s="885"/>
      <c r="Q950" s="885"/>
      <c r="R950" s="885"/>
      <c r="S950" s="885"/>
      <c r="T950" s="885"/>
      <c r="U950" s="885"/>
      <c r="V950" s="885"/>
      <c r="W950" s="885"/>
      <c r="X950" s="885"/>
      <c r="Y950" s="885"/>
      <c r="Z950" s="885"/>
      <c r="AA950" s="885"/>
      <c r="AB950" s="885"/>
      <c r="AC950" s="885"/>
    </row>
    <row r="951" spans="1:29" ht="15.75" customHeight="1" x14ac:dyDescent="0.2">
      <c r="A951" s="885"/>
      <c r="B951" s="885"/>
      <c r="C951" s="885"/>
      <c r="D951" s="885"/>
      <c r="E951" s="885"/>
      <c r="F951" s="885"/>
      <c r="G951" s="885"/>
      <c r="H951" s="885"/>
      <c r="I951" s="885"/>
      <c r="J951" s="885"/>
      <c r="K951" s="885"/>
      <c r="L951" s="885"/>
      <c r="M951" s="885"/>
      <c r="N951" s="885"/>
      <c r="O951" s="885"/>
      <c r="P951" s="885"/>
      <c r="Q951" s="885"/>
      <c r="R951" s="885"/>
      <c r="S951" s="885"/>
      <c r="T951" s="885"/>
      <c r="U951" s="885"/>
      <c r="V951" s="885"/>
      <c r="W951" s="885"/>
      <c r="X951" s="885"/>
      <c r="Y951" s="885"/>
      <c r="Z951" s="885"/>
      <c r="AA951" s="885"/>
      <c r="AB951" s="885"/>
      <c r="AC951" s="885"/>
    </row>
    <row r="952" spans="1:29" ht="15.75" customHeight="1" x14ac:dyDescent="0.2">
      <c r="A952" s="885"/>
      <c r="B952" s="885"/>
      <c r="C952" s="885"/>
      <c r="D952" s="885"/>
      <c r="E952" s="885"/>
      <c r="F952" s="885"/>
      <c r="G952" s="885"/>
      <c r="H952" s="885"/>
      <c r="I952" s="885"/>
      <c r="J952" s="885"/>
      <c r="K952" s="885"/>
      <c r="L952" s="885"/>
      <c r="M952" s="885"/>
      <c r="N952" s="885"/>
      <c r="O952" s="885"/>
      <c r="P952" s="885"/>
      <c r="Q952" s="885"/>
      <c r="R952" s="885"/>
      <c r="S952" s="885"/>
      <c r="T952" s="885"/>
      <c r="U952" s="885"/>
      <c r="V952" s="885"/>
      <c r="W952" s="885"/>
      <c r="X952" s="885"/>
      <c r="Y952" s="885"/>
      <c r="Z952" s="885"/>
      <c r="AA952" s="885"/>
      <c r="AB952" s="885"/>
      <c r="AC952" s="885"/>
    </row>
    <row r="953" spans="1:29" ht="15.75" customHeight="1" x14ac:dyDescent="0.2">
      <c r="A953" s="885"/>
      <c r="B953" s="885"/>
      <c r="C953" s="885"/>
      <c r="D953" s="885"/>
      <c r="E953" s="885"/>
      <c r="F953" s="885"/>
      <c r="G953" s="885"/>
      <c r="H953" s="885"/>
      <c r="I953" s="885"/>
      <c r="J953" s="885"/>
      <c r="K953" s="885"/>
      <c r="L953" s="885"/>
      <c r="M953" s="885"/>
      <c r="N953" s="885"/>
      <c r="O953" s="885"/>
      <c r="P953" s="885"/>
      <c r="Q953" s="885"/>
      <c r="R953" s="885"/>
      <c r="S953" s="885"/>
      <c r="T953" s="885"/>
      <c r="U953" s="885"/>
      <c r="V953" s="885"/>
      <c r="W953" s="885"/>
      <c r="X953" s="885"/>
      <c r="Y953" s="885"/>
      <c r="Z953" s="885"/>
      <c r="AA953" s="885"/>
      <c r="AB953" s="885"/>
      <c r="AC953" s="885"/>
    </row>
    <row r="954" spans="1:29" ht="15.75" customHeight="1" x14ac:dyDescent="0.2">
      <c r="A954" s="885"/>
      <c r="B954" s="885"/>
      <c r="C954" s="885"/>
      <c r="D954" s="885"/>
      <c r="E954" s="885"/>
      <c r="F954" s="885"/>
      <c r="G954" s="885"/>
      <c r="H954" s="885"/>
      <c r="I954" s="885"/>
      <c r="J954" s="885"/>
      <c r="K954" s="885"/>
      <c r="L954" s="885"/>
      <c r="M954" s="885"/>
      <c r="N954" s="885"/>
      <c r="O954" s="885"/>
      <c r="P954" s="885"/>
      <c r="Q954" s="885"/>
      <c r="R954" s="885"/>
      <c r="S954" s="885"/>
      <c r="T954" s="885"/>
      <c r="U954" s="885"/>
      <c r="V954" s="885"/>
      <c r="W954" s="885"/>
      <c r="X954" s="885"/>
      <c r="Y954" s="885"/>
      <c r="Z954" s="885"/>
      <c r="AA954" s="885"/>
      <c r="AB954" s="885"/>
      <c r="AC954" s="885"/>
    </row>
    <row r="955" spans="1:29" ht="15.75" customHeight="1" x14ac:dyDescent="0.2">
      <c r="A955" s="885"/>
      <c r="B955" s="885"/>
      <c r="C955" s="885"/>
      <c r="D955" s="885"/>
      <c r="E955" s="885"/>
      <c r="F955" s="885"/>
      <c r="G955" s="885"/>
      <c r="H955" s="885"/>
      <c r="I955" s="885"/>
      <c r="J955" s="885"/>
      <c r="K955" s="885"/>
      <c r="L955" s="885"/>
      <c r="M955" s="885"/>
      <c r="N955" s="885"/>
      <c r="O955" s="885"/>
      <c r="P955" s="885"/>
      <c r="Q955" s="885"/>
      <c r="R955" s="885"/>
      <c r="S955" s="885"/>
      <c r="T955" s="885"/>
      <c r="U955" s="885"/>
      <c r="V955" s="885"/>
      <c r="W955" s="885"/>
      <c r="X955" s="885"/>
      <c r="Y955" s="885"/>
      <c r="Z955" s="885"/>
      <c r="AA955" s="885"/>
      <c r="AB955" s="885"/>
      <c r="AC955" s="885"/>
    </row>
    <row r="956" spans="1:29" ht="15.75" customHeight="1" x14ac:dyDescent="0.2">
      <c r="A956" s="885"/>
      <c r="B956" s="885"/>
      <c r="C956" s="885"/>
      <c r="D956" s="885"/>
      <c r="E956" s="885"/>
      <c r="F956" s="885"/>
      <c r="G956" s="885"/>
      <c r="H956" s="885"/>
      <c r="I956" s="885"/>
      <c r="J956" s="885"/>
      <c r="K956" s="885"/>
      <c r="L956" s="885"/>
      <c r="M956" s="885"/>
      <c r="N956" s="885"/>
      <c r="O956" s="885"/>
      <c r="P956" s="885"/>
      <c r="Q956" s="885"/>
      <c r="R956" s="885"/>
      <c r="S956" s="885"/>
      <c r="T956" s="885"/>
      <c r="U956" s="885"/>
      <c r="V956" s="885"/>
      <c r="W956" s="885"/>
      <c r="X956" s="885"/>
      <c r="Y956" s="885"/>
      <c r="Z956" s="885"/>
      <c r="AA956" s="885"/>
      <c r="AB956" s="885"/>
      <c r="AC956" s="885"/>
    </row>
    <row r="957" spans="1:29" ht="15.75" customHeight="1" x14ac:dyDescent="0.2">
      <c r="A957" s="885"/>
      <c r="B957" s="885"/>
      <c r="C957" s="885"/>
      <c r="D957" s="885"/>
      <c r="E957" s="885"/>
      <c r="F957" s="885"/>
      <c r="G957" s="885"/>
      <c r="H957" s="885"/>
      <c r="I957" s="885"/>
      <c r="J957" s="885"/>
      <c r="K957" s="885"/>
      <c r="L957" s="885"/>
      <c r="M957" s="885"/>
      <c r="N957" s="885"/>
      <c r="O957" s="885"/>
      <c r="P957" s="885"/>
      <c r="Q957" s="885"/>
      <c r="R957" s="885"/>
      <c r="S957" s="885"/>
      <c r="T957" s="885"/>
      <c r="U957" s="885"/>
      <c r="V957" s="885"/>
      <c r="W957" s="885"/>
      <c r="X957" s="885"/>
      <c r="Y957" s="885"/>
      <c r="Z957" s="885"/>
      <c r="AA957" s="885"/>
      <c r="AB957" s="885"/>
      <c r="AC957" s="885"/>
    </row>
    <row r="958" spans="1:29" ht="15.75" customHeight="1" x14ac:dyDescent="0.2">
      <c r="A958" s="885"/>
      <c r="B958" s="885"/>
      <c r="C958" s="885"/>
      <c r="D958" s="885"/>
      <c r="E958" s="885"/>
      <c r="F958" s="885"/>
      <c r="G958" s="885"/>
      <c r="H958" s="885"/>
      <c r="I958" s="885"/>
      <c r="J958" s="885"/>
      <c r="K958" s="885"/>
      <c r="L958" s="885"/>
      <c r="M958" s="885"/>
      <c r="N958" s="885"/>
      <c r="O958" s="885"/>
      <c r="P958" s="885"/>
      <c r="Q958" s="885"/>
      <c r="R958" s="885"/>
      <c r="S958" s="885"/>
      <c r="T958" s="885"/>
      <c r="U958" s="885"/>
      <c r="V958" s="885"/>
      <c r="W958" s="885"/>
      <c r="X958" s="885"/>
      <c r="Y958" s="885"/>
      <c r="Z958" s="885"/>
      <c r="AA958" s="885"/>
      <c r="AB958" s="885"/>
      <c r="AC958" s="885"/>
    </row>
    <row r="959" spans="1:29" ht="15.75" customHeight="1" x14ac:dyDescent="0.2">
      <c r="A959" s="885"/>
      <c r="B959" s="885"/>
      <c r="C959" s="885"/>
      <c r="D959" s="885"/>
      <c r="E959" s="885"/>
      <c r="F959" s="885"/>
      <c r="G959" s="885"/>
      <c r="H959" s="885"/>
      <c r="I959" s="885"/>
      <c r="J959" s="885"/>
      <c r="K959" s="885"/>
      <c r="L959" s="885"/>
      <c r="M959" s="885"/>
      <c r="N959" s="885"/>
      <c r="O959" s="885"/>
      <c r="P959" s="885"/>
      <c r="Q959" s="885"/>
      <c r="R959" s="885"/>
      <c r="S959" s="885"/>
      <c r="T959" s="885"/>
      <c r="U959" s="885"/>
      <c r="V959" s="885"/>
      <c r="W959" s="885"/>
      <c r="X959" s="885"/>
      <c r="Y959" s="885"/>
      <c r="Z959" s="885"/>
      <c r="AA959" s="885"/>
      <c r="AB959" s="885"/>
      <c r="AC959" s="885"/>
    </row>
    <row r="960" spans="1:29" ht="15.75" customHeight="1" x14ac:dyDescent="0.2">
      <c r="A960" s="885"/>
      <c r="B960" s="885"/>
      <c r="C960" s="885"/>
      <c r="D960" s="885"/>
      <c r="E960" s="885"/>
      <c r="F960" s="885"/>
      <c r="G960" s="885"/>
      <c r="H960" s="885"/>
      <c r="I960" s="885"/>
      <c r="J960" s="885"/>
      <c r="K960" s="885"/>
      <c r="L960" s="885"/>
      <c r="M960" s="885"/>
      <c r="N960" s="885"/>
      <c r="O960" s="885"/>
      <c r="P960" s="885"/>
      <c r="Q960" s="885"/>
      <c r="R960" s="885"/>
      <c r="S960" s="885"/>
      <c r="T960" s="885"/>
      <c r="U960" s="885"/>
      <c r="V960" s="885"/>
      <c r="W960" s="885"/>
      <c r="X960" s="885"/>
      <c r="Y960" s="885"/>
      <c r="Z960" s="885"/>
      <c r="AA960" s="885"/>
      <c r="AB960" s="885"/>
      <c r="AC960" s="885"/>
    </row>
    <row r="961" spans="1:29" ht="15.75" customHeight="1" x14ac:dyDescent="0.2">
      <c r="A961" s="885"/>
      <c r="B961" s="885"/>
      <c r="C961" s="885"/>
      <c r="D961" s="885"/>
      <c r="E961" s="885"/>
      <c r="F961" s="885"/>
      <c r="G961" s="885"/>
      <c r="H961" s="885"/>
      <c r="I961" s="885"/>
      <c r="J961" s="885"/>
      <c r="K961" s="885"/>
      <c r="L961" s="885"/>
      <c r="M961" s="885"/>
      <c r="N961" s="885"/>
      <c r="O961" s="885"/>
      <c r="P961" s="885"/>
      <c r="Q961" s="885"/>
      <c r="R961" s="885"/>
      <c r="S961" s="885"/>
      <c r="T961" s="885"/>
      <c r="U961" s="885"/>
      <c r="V961" s="885"/>
      <c r="W961" s="885"/>
      <c r="X961" s="885"/>
      <c r="Y961" s="885"/>
      <c r="Z961" s="885"/>
      <c r="AA961" s="885"/>
      <c r="AB961" s="885"/>
      <c r="AC961" s="885"/>
    </row>
    <row r="962" spans="1:29" ht="15.75" customHeight="1" x14ac:dyDescent="0.2">
      <c r="A962" s="885"/>
      <c r="B962" s="885"/>
      <c r="C962" s="885"/>
      <c r="D962" s="885"/>
      <c r="E962" s="885"/>
      <c r="F962" s="885"/>
      <c r="G962" s="885"/>
      <c r="H962" s="885"/>
      <c r="I962" s="885"/>
      <c r="J962" s="885"/>
      <c r="K962" s="885"/>
      <c r="L962" s="885"/>
      <c r="M962" s="885"/>
      <c r="N962" s="885"/>
      <c r="O962" s="885"/>
      <c r="P962" s="885"/>
      <c r="Q962" s="885"/>
      <c r="R962" s="885"/>
      <c r="S962" s="885"/>
      <c r="T962" s="885"/>
      <c r="U962" s="885"/>
      <c r="V962" s="885"/>
      <c r="W962" s="885"/>
      <c r="X962" s="885"/>
      <c r="Y962" s="885"/>
      <c r="Z962" s="885"/>
      <c r="AA962" s="885"/>
      <c r="AB962" s="885"/>
      <c r="AC962" s="885"/>
    </row>
    <row r="963" spans="1:29" ht="15.75" customHeight="1" x14ac:dyDescent="0.2">
      <c r="A963" s="885"/>
      <c r="B963" s="885"/>
      <c r="C963" s="885"/>
      <c r="D963" s="885"/>
      <c r="E963" s="885"/>
      <c r="F963" s="885"/>
      <c r="G963" s="885"/>
      <c r="H963" s="885"/>
      <c r="I963" s="885"/>
      <c r="J963" s="885"/>
      <c r="K963" s="885"/>
      <c r="L963" s="885"/>
      <c r="M963" s="885"/>
      <c r="N963" s="885"/>
      <c r="O963" s="885"/>
      <c r="P963" s="885"/>
      <c r="Q963" s="885"/>
      <c r="R963" s="885"/>
      <c r="S963" s="885"/>
      <c r="T963" s="885"/>
      <c r="U963" s="885"/>
      <c r="V963" s="885"/>
      <c r="W963" s="885"/>
      <c r="X963" s="885"/>
      <c r="Y963" s="885"/>
      <c r="Z963" s="885"/>
      <c r="AA963" s="885"/>
      <c r="AB963" s="885"/>
      <c r="AC963" s="885"/>
    </row>
    <row r="964" spans="1:29" ht="15.75" customHeight="1" x14ac:dyDescent="0.2">
      <c r="A964" s="885"/>
      <c r="B964" s="885"/>
      <c r="C964" s="885"/>
      <c r="D964" s="885"/>
      <c r="E964" s="885"/>
      <c r="F964" s="885"/>
      <c r="G964" s="885"/>
      <c r="H964" s="885"/>
      <c r="I964" s="885"/>
      <c r="J964" s="885"/>
      <c r="K964" s="885"/>
      <c r="L964" s="885"/>
      <c r="M964" s="885"/>
      <c r="N964" s="885"/>
      <c r="O964" s="885"/>
      <c r="P964" s="885"/>
      <c r="Q964" s="885"/>
      <c r="R964" s="885"/>
      <c r="S964" s="885"/>
      <c r="T964" s="885"/>
      <c r="U964" s="885"/>
      <c r="V964" s="885"/>
      <c r="W964" s="885"/>
      <c r="X964" s="885"/>
      <c r="Y964" s="885"/>
      <c r="Z964" s="885"/>
      <c r="AA964" s="885"/>
      <c r="AB964" s="885"/>
      <c r="AC964" s="885"/>
    </row>
    <row r="965" spans="1:29" ht="15.75" customHeight="1" x14ac:dyDescent="0.2">
      <c r="A965" s="885"/>
      <c r="B965" s="885"/>
      <c r="C965" s="885"/>
      <c r="D965" s="885"/>
      <c r="E965" s="885"/>
      <c r="F965" s="885"/>
      <c r="G965" s="885"/>
      <c r="H965" s="885"/>
      <c r="I965" s="885"/>
      <c r="J965" s="885"/>
      <c r="K965" s="885"/>
      <c r="L965" s="885"/>
      <c r="M965" s="885"/>
      <c r="N965" s="885"/>
      <c r="O965" s="885"/>
      <c r="P965" s="885"/>
      <c r="Q965" s="885"/>
      <c r="R965" s="885"/>
      <c r="S965" s="885"/>
      <c r="T965" s="885"/>
      <c r="U965" s="885"/>
      <c r="V965" s="885"/>
      <c r="W965" s="885"/>
      <c r="X965" s="885"/>
      <c r="Y965" s="885"/>
      <c r="Z965" s="885"/>
      <c r="AA965" s="885"/>
      <c r="AB965" s="885"/>
      <c r="AC965" s="885"/>
    </row>
    <row r="966" spans="1:29" ht="15.75" customHeight="1" x14ac:dyDescent="0.2">
      <c r="A966" s="885"/>
      <c r="B966" s="885"/>
      <c r="C966" s="885"/>
      <c r="D966" s="885"/>
      <c r="E966" s="885"/>
      <c r="F966" s="885"/>
      <c r="G966" s="885"/>
      <c r="H966" s="885"/>
      <c r="I966" s="885"/>
      <c r="J966" s="885"/>
      <c r="K966" s="885"/>
      <c r="L966" s="885"/>
      <c r="M966" s="885"/>
      <c r="N966" s="885"/>
      <c r="O966" s="885"/>
      <c r="P966" s="885"/>
      <c r="Q966" s="885"/>
      <c r="R966" s="885"/>
      <c r="S966" s="885"/>
      <c r="T966" s="885"/>
      <c r="U966" s="885"/>
      <c r="V966" s="885"/>
      <c r="W966" s="885"/>
      <c r="X966" s="885"/>
      <c r="Y966" s="885"/>
      <c r="Z966" s="885"/>
      <c r="AA966" s="885"/>
      <c r="AB966" s="885"/>
      <c r="AC966" s="885"/>
    </row>
    <row r="967" spans="1:29" ht="15.75" customHeight="1" x14ac:dyDescent="0.2">
      <c r="A967" s="885"/>
      <c r="B967" s="885"/>
      <c r="C967" s="885"/>
      <c r="D967" s="885"/>
      <c r="E967" s="885"/>
      <c r="F967" s="885"/>
      <c r="G967" s="885"/>
      <c r="H967" s="885"/>
      <c r="I967" s="885"/>
      <c r="J967" s="885"/>
      <c r="K967" s="885"/>
      <c r="L967" s="885"/>
      <c r="M967" s="885"/>
      <c r="N967" s="885"/>
      <c r="O967" s="885"/>
      <c r="P967" s="885"/>
      <c r="Q967" s="885"/>
      <c r="R967" s="885"/>
      <c r="S967" s="885"/>
      <c r="T967" s="885"/>
      <c r="U967" s="885"/>
      <c r="V967" s="885"/>
      <c r="W967" s="885"/>
      <c r="X967" s="885"/>
      <c r="Y967" s="885"/>
      <c r="Z967" s="885"/>
      <c r="AA967" s="885"/>
      <c r="AB967" s="885"/>
      <c r="AC967" s="885"/>
    </row>
    <row r="968" spans="1:29" ht="15.75" customHeight="1" x14ac:dyDescent="0.2">
      <c r="A968" s="885"/>
      <c r="B968" s="885"/>
      <c r="C968" s="885"/>
      <c r="D968" s="885"/>
      <c r="E968" s="885"/>
      <c r="F968" s="885"/>
      <c r="G968" s="885"/>
      <c r="H968" s="885"/>
      <c r="I968" s="885"/>
      <c r="J968" s="885"/>
      <c r="K968" s="885"/>
      <c r="L968" s="885"/>
      <c r="M968" s="885"/>
      <c r="N968" s="885"/>
      <c r="O968" s="885"/>
      <c r="P968" s="885"/>
      <c r="Q968" s="885"/>
      <c r="R968" s="885"/>
      <c r="S968" s="885"/>
      <c r="T968" s="885"/>
      <c r="U968" s="885"/>
      <c r="V968" s="885"/>
      <c r="W968" s="885"/>
      <c r="X968" s="885"/>
      <c r="Y968" s="885"/>
      <c r="Z968" s="885"/>
      <c r="AA968" s="885"/>
      <c r="AB968" s="885"/>
      <c r="AC968" s="885"/>
    </row>
    <row r="969" spans="1:29" ht="15.75" customHeight="1" x14ac:dyDescent="0.2">
      <c r="A969" s="885"/>
      <c r="B969" s="885"/>
      <c r="C969" s="885"/>
      <c r="D969" s="885"/>
      <c r="E969" s="885"/>
      <c r="F969" s="885"/>
      <c r="G969" s="885"/>
      <c r="H969" s="885"/>
      <c r="I969" s="885"/>
      <c r="J969" s="885"/>
      <c r="K969" s="885"/>
      <c r="L969" s="885"/>
      <c r="M969" s="885"/>
      <c r="N969" s="885"/>
      <c r="O969" s="885"/>
      <c r="P969" s="885"/>
      <c r="Q969" s="885"/>
      <c r="R969" s="885"/>
      <c r="S969" s="885"/>
      <c r="T969" s="885"/>
      <c r="U969" s="885"/>
      <c r="V969" s="885"/>
      <c r="W969" s="885"/>
      <c r="X969" s="885"/>
      <c r="Y969" s="885"/>
      <c r="Z969" s="885"/>
      <c r="AA969" s="885"/>
      <c r="AB969" s="885"/>
      <c r="AC969" s="885"/>
    </row>
    <row r="970" spans="1:29" ht="15.75" customHeight="1" x14ac:dyDescent="0.2">
      <c r="A970" s="885"/>
      <c r="B970" s="885"/>
      <c r="C970" s="885"/>
      <c r="D970" s="885"/>
      <c r="E970" s="885"/>
      <c r="F970" s="885"/>
      <c r="G970" s="885"/>
      <c r="H970" s="885"/>
      <c r="I970" s="885"/>
      <c r="J970" s="885"/>
      <c r="K970" s="885"/>
      <c r="L970" s="885"/>
      <c r="M970" s="885"/>
      <c r="N970" s="885"/>
      <c r="O970" s="885"/>
      <c r="P970" s="885"/>
      <c r="Q970" s="885"/>
      <c r="R970" s="885"/>
      <c r="S970" s="885"/>
      <c r="T970" s="885"/>
      <c r="U970" s="885"/>
      <c r="V970" s="885"/>
      <c r="W970" s="885"/>
      <c r="X970" s="885"/>
      <c r="Y970" s="885"/>
      <c r="Z970" s="885"/>
      <c r="AA970" s="885"/>
      <c r="AB970" s="885"/>
      <c r="AC970" s="885"/>
    </row>
    <row r="971" spans="1:29" ht="15.75" customHeight="1" x14ac:dyDescent="0.2">
      <c r="A971" s="885"/>
      <c r="B971" s="885"/>
      <c r="C971" s="885"/>
      <c r="D971" s="885"/>
      <c r="E971" s="885"/>
      <c r="F971" s="885"/>
      <c r="G971" s="885"/>
      <c r="H971" s="885"/>
      <c r="I971" s="885"/>
      <c r="J971" s="885"/>
      <c r="K971" s="885"/>
      <c r="L971" s="885"/>
      <c r="M971" s="885"/>
      <c r="N971" s="885"/>
      <c r="O971" s="885"/>
      <c r="P971" s="885"/>
      <c r="Q971" s="885"/>
      <c r="R971" s="885"/>
      <c r="S971" s="885"/>
      <c r="T971" s="885"/>
      <c r="U971" s="885"/>
      <c r="V971" s="885"/>
      <c r="W971" s="885"/>
      <c r="X971" s="885"/>
      <c r="Y971" s="885"/>
      <c r="Z971" s="885"/>
      <c r="AA971" s="885"/>
      <c r="AB971" s="885"/>
      <c r="AC971" s="885"/>
    </row>
    <row r="972" spans="1:29" ht="15.75" customHeight="1" x14ac:dyDescent="0.2">
      <c r="A972" s="885"/>
      <c r="B972" s="885"/>
      <c r="C972" s="885"/>
      <c r="D972" s="885"/>
      <c r="E972" s="885"/>
      <c r="F972" s="885"/>
      <c r="G972" s="885"/>
      <c r="H972" s="885"/>
      <c r="I972" s="885"/>
      <c r="J972" s="885"/>
      <c r="K972" s="885"/>
      <c r="L972" s="885"/>
      <c r="M972" s="885"/>
      <c r="N972" s="885"/>
      <c r="O972" s="885"/>
      <c r="P972" s="885"/>
      <c r="Q972" s="885"/>
      <c r="R972" s="885"/>
      <c r="S972" s="885"/>
      <c r="T972" s="885"/>
      <c r="U972" s="885"/>
      <c r="V972" s="885"/>
      <c r="W972" s="885"/>
      <c r="X972" s="885"/>
      <c r="Y972" s="885"/>
      <c r="Z972" s="885"/>
      <c r="AA972" s="885"/>
      <c r="AB972" s="885"/>
      <c r="AC972" s="885"/>
    </row>
    <row r="973" spans="1:29" ht="15.75" customHeight="1" x14ac:dyDescent="0.2">
      <c r="A973" s="885"/>
      <c r="B973" s="885"/>
      <c r="C973" s="885"/>
      <c r="D973" s="885"/>
      <c r="E973" s="885"/>
      <c r="F973" s="885"/>
      <c r="G973" s="885"/>
      <c r="H973" s="885"/>
      <c r="I973" s="885"/>
      <c r="J973" s="885"/>
      <c r="K973" s="885"/>
      <c r="L973" s="885"/>
      <c r="M973" s="885"/>
      <c r="N973" s="885"/>
      <c r="O973" s="885"/>
      <c r="P973" s="885"/>
      <c r="Q973" s="885"/>
      <c r="R973" s="885"/>
      <c r="S973" s="885"/>
      <c r="T973" s="885"/>
      <c r="U973" s="885"/>
      <c r="V973" s="885"/>
      <c r="W973" s="885"/>
      <c r="X973" s="885"/>
      <c r="Y973" s="885"/>
      <c r="Z973" s="885"/>
      <c r="AA973" s="885"/>
      <c r="AB973" s="885"/>
      <c r="AC973" s="885"/>
    </row>
    <row r="974" spans="1:29" ht="15.75" customHeight="1" x14ac:dyDescent="0.2">
      <c r="A974" s="885"/>
      <c r="B974" s="885"/>
      <c r="C974" s="885"/>
      <c r="D974" s="885"/>
      <c r="E974" s="885"/>
      <c r="F974" s="885"/>
      <c r="G974" s="885"/>
      <c r="H974" s="885"/>
      <c r="I974" s="885"/>
      <c r="J974" s="885"/>
      <c r="K974" s="885"/>
      <c r="L974" s="885"/>
      <c r="M974" s="885"/>
      <c r="N974" s="885"/>
      <c r="O974" s="885"/>
      <c r="P974" s="885"/>
      <c r="Q974" s="885"/>
      <c r="R974" s="885"/>
      <c r="S974" s="885"/>
      <c r="T974" s="885"/>
      <c r="U974" s="885"/>
      <c r="V974" s="885"/>
      <c r="W974" s="885"/>
      <c r="X974" s="885"/>
      <c r="Y974" s="885"/>
      <c r="Z974" s="885"/>
      <c r="AA974" s="885"/>
      <c r="AB974" s="885"/>
      <c r="AC974" s="885"/>
    </row>
    <row r="975" spans="1:29" ht="15.75" customHeight="1" x14ac:dyDescent="0.2">
      <c r="A975" s="885"/>
      <c r="B975" s="885"/>
      <c r="C975" s="885"/>
      <c r="D975" s="885"/>
      <c r="E975" s="885"/>
      <c r="F975" s="885"/>
      <c r="G975" s="885"/>
      <c r="H975" s="885"/>
      <c r="I975" s="885"/>
      <c r="J975" s="885"/>
      <c r="K975" s="885"/>
      <c r="L975" s="885"/>
      <c r="M975" s="885"/>
      <c r="N975" s="885"/>
      <c r="O975" s="885"/>
      <c r="P975" s="885"/>
      <c r="Q975" s="885"/>
      <c r="R975" s="885"/>
      <c r="S975" s="885"/>
      <c r="T975" s="885"/>
      <c r="U975" s="885"/>
      <c r="V975" s="885"/>
      <c r="W975" s="885"/>
      <c r="X975" s="885"/>
      <c r="Y975" s="885"/>
      <c r="Z975" s="885"/>
      <c r="AA975" s="885"/>
      <c r="AB975" s="885"/>
      <c r="AC975" s="885"/>
    </row>
    <row r="976" spans="1:29" ht="15.75" customHeight="1" x14ac:dyDescent="0.2">
      <c r="A976" s="885"/>
      <c r="B976" s="885"/>
      <c r="C976" s="885"/>
      <c r="D976" s="885"/>
      <c r="E976" s="885"/>
      <c r="F976" s="885"/>
      <c r="G976" s="885"/>
      <c r="H976" s="885"/>
      <c r="I976" s="885"/>
      <c r="J976" s="885"/>
      <c r="K976" s="885"/>
      <c r="L976" s="885"/>
      <c r="M976" s="885"/>
      <c r="N976" s="885"/>
      <c r="O976" s="885"/>
      <c r="P976" s="885"/>
      <c r="Q976" s="885"/>
      <c r="R976" s="885"/>
      <c r="S976" s="885"/>
      <c r="T976" s="885"/>
      <c r="U976" s="885"/>
      <c r="V976" s="885"/>
      <c r="W976" s="885"/>
      <c r="X976" s="885"/>
      <c r="Y976" s="885"/>
      <c r="Z976" s="885"/>
      <c r="AA976" s="885"/>
      <c r="AB976" s="885"/>
      <c r="AC976" s="885"/>
    </row>
    <row r="977" spans="1:29" ht="15.75" customHeight="1" x14ac:dyDescent="0.2">
      <c r="A977" s="885"/>
      <c r="B977" s="885"/>
      <c r="C977" s="885"/>
      <c r="D977" s="885"/>
      <c r="E977" s="885"/>
      <c r="F977" s="885"/>
      <c r="G977" s="885"/>
      <c r="H977" s="885"/>
      <c r="I977" s="885"/>
      <c r="J977" s="885"/>
      <c r="K977" s="885"/>
      <c r="L977" s="885"/>
      <c r="M977" s="885"/>
      <c r="N977" s="885"/>
      <c r="O977" s="885"/>
      <c r="P977" s="885"/>
      <c r="Q977" s="885"/>
      <c r="R977" s="885"/>
      <c r="S977" s="885"/>
      <c r="T977" s="885"/>
      <c r="U977" s="885"/>
      <c r="V977" s="885"/>
      <c r="W977" s="885"/>
      <c r="X977" s="885"/>
      <c r="Y977" s="885"/>
      <c r="Z977" s="885"/>
      <c r="AA977" s="885"/>
      <c r="AB977" s="885"/>
      <c r="AC977" s="885"/>
    </row>
    <row r="978" spans="1:29" ht="15.75" customHeight="1" x14ac:dyDescent="0.2">
      <c r="A978" s="885"/>
      <c r="B978" s="885"/>
      <c r="C978" s="885"/>
      <c r="D978" s="885"/>
      <c r="E978" s="885"/>
      <c r="F978" s="885"/>
      <c r="G978" s="885"/>
      <c r="H978" s="885"/>
      <c r="I978" s="885"/>
      <c r="J978" s="885"/>
      <c r="K978" s="885"/>
      <c r="L978" s="885"/>
      <c r="M978" s="885"/>
      <c r="N978" s="885"/>
      <c r="O978" s="885"/>
      <c r="P978" s="885"/>
      <c r="Q978" s="885"/>
      <c r="R978" s="885"/>
      <c r="S978" s="885"/>
      <c r="T978" s="885"/>
      <c r="U978" s="885"/>
      <c r="V978" s="885"/>
      <c r="W978" s="885"/>
      <c r="X978" s="885"/>
      <c r="Y978" s="885"/>
      <c r="Z978" s="885"/>
      <c r="AA978" s="885"/>
      <c r="AB978" s="885"/>
      <c r="AC978" s="885"/>
    </row>
    <row r="979" spans="1:29" ht="15.75" customHeight="1" x14ac:dyDescent="0.2">
      <c r="A979" s="885"/>
      <c r="B979" s="885"/>
      <c r="C979" s="885"/>
      <c r="D979" s="885"/>
      <c r="E979" s="885"/>
      <c r="F979" s="885"/>
      <c r="G979" s="885"/>
      <c r="H979" s="885"/>
      <c r="I979" s="885"/>
      <c r="J979" s="885"/>
      <c r="K979" s="885"/>
      <c r="L979" s="885"/>
      <c r="M979" s="885"/>
      <c r="N979" s="885"/>
      <c r="O979" s="885"/>
      <c r="P979" s="885"/>
      <c r="Q979" s="885"/>
      <c r="R979" s="885"/>
      <c r="S979" s="885"/>
      <c r="T979" s="885"/>
      <c r="U979" s="885"/>
      <c r="V979" s="885"/>
      <c r="W979" s="885"/>
      <c r="X979" s="885"/>
      <c r="Y979" s="885"/>
      <c r="Z979" s="885"/>
      <c r="AA979" s="885"/>
      <c r="AB979" s="885"/>
      <c r="AC979" s="885"/>
    </row>
    <row r="980" spans="1:29" ht="15.75" customHeight="1" x14ac:dyDescent="0.2">
      <c r="A980" s="885"/>
      <c r="B980" s="885"/>
      <c r="C980" s="885"/>
      <c r="D980" s="885"/>
      <c r="E980" s="885"/>
      <c r="F980" s="885"/>
      <c r="G980" s="885"/>
      <c r="H980" s="885"/>
      <c r="I980" s="885"/>
      <c r="J980" s="885"/>
      <c r="K980" s="885"/>
      <c r="L980" s="885"/>
      <c r="M980" s="885"/>
      <c r="N980" s="885"/>
      <c r="O980" s="885"/>
      <c r="P980" s="885"/>
      <c r="Q980" s="885"/>
      <c r="R980" s="885"/>
      <c r="S980" s="885"/>
      <c r="T980" s="885"/>
      <c r="U980" s="885"/>
      <c r="V980" s="885"/>
      <c r="W980" s="885"/>
      <c r="X980" s="885"/>
      <c r="Y980" s="885"/>
      <c r="Z980" s="885"/>
      <c r="AA980" s="885"/>
      <c r="AB980" s="885"/>
      <c r="AC980" s="885"/>
    </row>
    <row r="981" spans="1:29" ht="15.75" customHeight="1" x14ac:dyDescent="0.2">
      <c r="A981" s="885"/>
      <c r="B981" s="885"/>
      <c r="C981" s="885"/>
      <c r="D981" s="885"/>
      <c r="E981" s="885"/>
      <c r="F981" s="885"/>
      <c r="G981" s="885"/>
      <c r="H981" s="885"/>
      <c r="I981" s="885"/>
      <c r="J981" s="885"/>
      <c r="K981" s="885"/>
      <c r="L981" s="885"/>
      <c r="M981" s="885"/>
      <c r="N981" s="885"/>
      <c r="O981" s="885"/>
      <c r="P981" s="885"/>
      <c r="Q981" s="885"/>
      <c r="R981" s="885"/>
      <c r="S981" s="885"/>
      <c r="T981" s="885"/>
      <c r="U981" s="885"/>
      <c r="V981" s="885"/>
      <c r="W981" s="885"/>
      <c r="X981" s="885"/>
      <c r="Y981" s="885"/>
      <c r="Z981" s="885"/>
      <c r="AA981" s="885"/>
      <c r="AB981" s="885"/>
      <c r="AC981" s="885"/>
    </row>
    <row r="982" spans="1:29" ht="15.75" customHeight="1" x14ac:dyDescent="0.2">
      <c r="A982" s="885"/>
      <c r="B982" s="885"/>
      <c r="C982" s="885"/>
      <c r="D982" s="885"/>
      <c r="E982" s="885"/>
      <c r="F982" s="885"/>
      <c r="G982" s="885"/>
      <c r="H982" s="885"/>
      <c r="I982" s="885"/>
      <c r="J982" s="885"/>
      <c r="K982" s="885"/>
      <c r="L982" s="885"/>
      <c r="M982" s="885"/>
      <c r="N982" s="885"/>
      <c r="O982" s="885"/>
      <c r="P982" s="885"/>
      <c r="Q982" s="885"/>
      <c r="R982" s="885"/>
      <c r="S982" s="885"/>
      <c r="T982" s="885"/>
      <c r="U982" s="885"/>
      <c r="V982" s="885"/>
      <c r="W982" s="885"/>
      <c r="X982" s="885"/>
      <c r="Y982" s="885"/>
      <c r="Z982" s="885"/>
      <c r="AA982" s="885"/>
      <c r="AB982" s="885"/>
      <c r="AC982" s="885"/>
    </row>
    <row r="983" spans="1:29" ht="15.75" customHeight="1" x14ac:dyDescent="0.2">
      <c r="A983" s="885"/>
      <c r="B983" s="885"/>
      <c r="C983" s="885"/>
      <c r="D983" s="885"/>
      <c r="E983" s="885"/>
      <c r="F983" s="885"/>
      <c r="G983" s="885"/>
      <c r="H983" s="885"/>
      <c r="I983" s="885"/>
      <c r="J983" s="885"/>
      <c r="K983" s="885"/>
      <c r="L983" s="885"/>
      <c r="M983" s="885"/>
      <c r="N983" s="885"/>
      <c r="O983" s="885"/>
      <c r="P983" s="885"/>
      <c r="Q983" s="885"/>
      <c r="R983" s="885"/>
      <c r="S983" s="885"/>
      <c r="T983" s="885"/>
      <c r="U983" s="885"/>
      <c r="V983" s="885"/>
      <c r="W983" s="885"/>
      <c r="X983" s="885"/>
      <c r="Y983" s="885"/>
      <c r="Z983" s="885"/>
      <c r="AA983" s="885"/>
      <c r="AB983" s="885"/>
      <c r="AC983" s="885"/>
    </row>
    <row r="984" spans="1:29" ht="15.75" customHeight="1" x14ac:dyDescent="0.2">
      <c r="A984" s="885"/>
      <c r="B984" s="885"/>
      <c r="C984" s="885"/>
      <c r="D984" s="885"/>
      <c r="E984" s="885"/>
      <c r="F984" s="885"/>
      <c r="G984" s="885"/>
      <c r="H984" s="885"/>
      <c r="I984" s="885"/>
      <c r="J984" s="885"/>
      <c r="K984" s="885"/>
      <c r="L984" s="885"/>
      <c r="M984" s="885"/>
      <c r="N984" s="885"/>
      <c r="O984" s="885"/>
      <c r="P984" s="885"/>
      <c r="Q984" s="885"/>
      <c r="R984" s="885"/>
      <c r="S984" s="885"/>
      <c r="T984" s="885"/>
      <c r="U984" s="885"/>
      <c r="V984" s="885"/>
      <c r="W984" s="885"/>
      <c r="X984" s="885"/>
      <c r="Y984" s="885"/>
      <c r="Z984" s="885"/>
      <c r="AA984" s="885"/>
      <c r="AB984" s="885"/>
      <c r="AC984" s="885"/>
    </row>
    <row r="985" spans="1:29" ht="15.75" customHeight="1" x14ac:dyDescent="0.2">
      <c r="A985" s="885"/>
      <c r="B985" s="885"/>
      <c r="C985" s="885"/>
      <c r="D985" s="885"/>
      <c r="E985" s="885"/>
      <c r="F985" s="885"/>
      <c r="G985" s="885"/>
      <c r="H985" s="885"/>
      <c r="I985" s="885"/>
      <c r="J985" s="885"/>
      <c r="K985" s="885"/>
      <c r="L985" s="885"/>
      <c r="M985" s="885"/>
      <c r="N985" s="885"/>
      <c r="O985" s="885"/>
      <c r="P985" s="885"/>
      <c r="Q985" s="885"/>
      <c r="R985" s="885"/>
      <c r="S985" s="885"/>
      <c r="T985" s="885"/>
      <c r="U985" s="885"/>
      <c r="V985" s="885"/>
      <c r="W985" s="885"/>
      <c r="X985" s="885"/>
      <c r="Y985" s="885"/>
      <c r="Z985" s="885"/>
      <c r="AA985" s="885"/>
      <c r="AB985" s="885"/>
      <c r="AC985" s="885"/>
    </row>
    <row r="986" spans="1:29" ht="15.75" customHeight="1" x14ac:dyDescent="0.2">
      <c r="A986" s="885"/>
      <c r="B986" s="885"/>
      <c r="C986" s="885"/>
      <c r="D986" s="885"/>
      <c r="E986" s="885"/>
      <c r="F986" s="885"/>
      <c r="G986" s="885"/>
      <c r="H986" s="885"/>
      <c r="I986" s="885"/>
      <c r="J986" s="885"/>
      <c r="K986" s="885"/>
      <c r="L986" s="885"/>
      <c r="M986" s="885"/>
      <c r="N986" s="885"/>
      <c r="O986" s="885"/>
      <c r="P986" s="885"/>
      <c r="Q986" s="885"/>
      <c r="R986" s="885"/>
      <c r="S986" s="885"/>
      <c r="T986" s="885"/>
      <c r="U986" s="885"/>
      <c r="V986" s="885"/>
      <c r="W986" s="885"/>
      <c r="X986" s="885"/>
      <c r="Y986" s="885"/>
      <c r="Z986" s="885"/>
      <c r="AA986" s="885"/>
      <c r="AB986" s="885"/>
      <c r="AC986" s="885"/>
    </row>
    <row r="987" spans="1:29" ht="15.75" customHeight="1" x14ac:dyDescent="0.2">
      <c r="A987" s="885"/>
      <c r="B987" s="885"/>
      <c r="C987" s="885"/>
      <c r="D987" s="885"/>
      <c r="E987" s="885"/>
      <c r="F987" s="885"/>
      <c r="G987" s="885"/>
      <c r="H987" s="885"/>
      <c r="I987" s="885"/>
      <c r="J987" s="885"/>
      <c r="K987" s="885"/>
      <c r="L987" s="885"/>
      <c r="M987" s="885"/>
      <c r="N987" s="885"/>
      <c r="O987" s="885"/>
      <c r="P987" s="885"/>
      <c r="Q987" s="885"/>
      <c r="R987" s="885"/>
      <c r="S987" s="885"/>
      <c r="T987" s="885"/>
      <c r="U987" s="885"/>
      <c r="V987" s="885"/>
      <c r="W987" s="885"/>
      <c r="X987" s="885"/>
      <c r="Y987" s="885"/>
      <c r="Z987" s="885"/>
      <c r="AA987" s="885"/>
      <c r="AB987" s="885"/>
      <c r="AC987" s="885"/>
    </row>
    <row r="988" spans="1:29" ht="15.75" customHeight="1" x14ac:dyDescent="0.2">
      <c r="A988" s="885"/>
      <c r="B988" s="885"/>
      <c r="C988" s="885"/>
      <c r="D988" s="885"/>
      <c r="E988" s="885"/>
      <c r="F988" s="885"/>
      <c r="G988" s="885"/>
      <c r="H988" s="885"/>
      <c r="I988" s="885"/>
      <c r="J988" s="885"/>
      <c r="K988" s="885"/>
      <c r="L988" s="885"/>
      <c r="M988" s="885"/>
      <c r="N988" s="885"/>
      <c r="O988" s="885"/>
      <c r="P988" s="885"/>
      <c r="Q988" s="885"/>
      <c r="R988" s="885"/>
      <c r="S988" s="885"/>
      <c r="T988" s="885"/>
      <c r="U988" s="885"/>
      <c r="V988" s="885"/>
      <c r="W988" s="885"/>
      <c r="X988" s="885"/>
      <c r="Y988" s="885"/>
      <c r="Z988" s="885"/>
      <c r="AA988" s="885"/>
      <c r="AB988" s="885"/>
      <c r="AC988" s="885"/>
    </row>
    <row r="989" spans="1:29" ht="15.75" customHeight="1" x14ac:dyDescent="0.2">
      <c r="A989" s="885"/>
      <c r="B989" s="885"/>
      <c r="C989" s="885"/>
      <c r="D989" s="885"/>
      <c r="E989" s="885"/>
      <c r="F989" s="885"/>
      <c r="G989" s="885"/>
      <c r="H989" s="885"/>
      <c r="I989" s="885"/>
      <c r="J989" s="885"/>
      <c r="K989" s="885"/>
      <c r="L989" s="885"/>
      <c r="M989" s="885"/>
      <c r="N989" s="885"/>
      <c r="O989" s="885"/>
      <c r="P989" s="885"/>
      <c r="Q989" s="885"/>
      <c r="R989" s="885"/>
      <c r="S989" s="885"/>
      <c r="T989" s="885"/>
      <c r="U989" s="885"/>
      <c r="V989" s="885"/>
      <c r="W989" s="885"/>
      <c r="X989" s="885"/>
      <c r="Y989" s="885"/>
      <c r="Z989" s="885"/>
      <c r="AA989" s="885"/>
      <c r="AB989" s="885"/>
      <c r="AC989" s="885"/>
    </row>
    <row r="990" spans="1:29" ht="15.75" customHeight="1" x14ac:dyDescent="0.2">
      <c r="A990" s="885"/>
      <c r="B990" s="885"/>
      <c r="C990" s="885"/>
      <c r="D990" s="885"/>
      <c r="E990" s="885"/>
      <c r="F990" s="885"/>
      <c r="G990" s="885"/>
      <c r="H990" s="885"/>
      <c r="I990" s="885"/>
      <c r="J990" s="885"/>
      <c r="K990" s="885"/>
      <c r="L990" s="885"/>
      <c r="M990" s="885"/>
      <c r="N990" s="885"/>
      <c r="O990" s="885"/>
      <c r="P990" s="885"/>
      <c r="Q990" s="885"/>
      <c r="R990" s="885"/>
      <c r="S990" s="885"/>
      <c r="T990" s="885"/>
      <c r="U990" s="885"/>
      <c r="V990" s="885"/>
      <c r="W990" s="885"/>
      <c r="X990" s="885"/>
      <c r="Y990" s="885"/>
      <c r="Z990" s="885"/>
      <c r="AA990" s="885"/>
      <c r="AB990" s="885"/>
      <c r="AC990" s="885"/>
    </row>
    <row r="991" spans="1:29" ht="15.75" customHeight="1" x14ac:dyDescent="0.2">
      <c r="A991" s="885"/>
      <c r="B991" s="885"/>
      <c r="C991" s="885"/>
      <c r="D991" s="885"/>
      <c r="E991" s="885"/>
      <c r="F991" s="885"/>
      <c r="G991" s="885"/>
      <c r="H991" s="885"/>
      <c r="I991" s="885"/>
      <c r="J991" s="885"/>
      <c r="K991" s="885"/>
      <c r="L991" s="885"/>
      <c r="M991" s="885"/>
      <c r="N991" s="885"/>
      <c r="O991" s="885"/>
      <c r="P991" s="885"/>
      <c r="Q991" s="885"/>
      <c r="R991" s="885"/>
      <c r="S991" s="885"/>
      <c r="T991" s="885"/>
      <c r="U991" s="885"/>
      <c r="V991" s="885"/>
      <c r="W991" s="885"/>
      <c r="X991" s="885"/>
      <c r="Y991" s="885"/>
      <c r="Z991" s="885"/>
      <c r="AA991" s="885"/>
      <c r="AB991" s="885"/>
      <c r="AC991" s="885"/>
    </row>
    <row r="992" spans="1:29" ht="15.75" customHeight="1" x14ac:dyDescent="0.2">
      <c r="A992" s="885"/>
      <c r="B992" s="885"/>
      <c r="C992" s="885"/>
      <c r="D992" s="885"/>
      <c r="E992" s="885"/>
      <c r="F992" s="885"/>
      <c r="G992" s="885"/>
      <c r="H992" s="885"/>
      <c r="I992" s="885"/>
      <c r="J992" s="885"/>
      <c r="K992" s="885"/>
      <c r="L992" s="885"/>
      <c r="M992" s="885"/>
      <c r="N992" s="885"/>
      <c r="O992" s="885"/>
      <c r="P992" s="885"/>
      <c r="Q992" s="885"/>
      <c r="R992" s="885"/>
      <c r="S992" s="885"/>
      <c r="T992" s="885"/>
      <c r="U992" s="885"/>
      <c r="V992" s="885"/>
      <c r="W992" s="885"/>
      <c r="X992" s="885"/>
      <c r="Y992" s="885"/>
      <c r="Z992" s="885"/>
      <c r="AA992" s="885"/>
      <c r="AB992" s="885"/>
      <c r="AC992" s="885"/>
    </row>
    <row r="993" spans="1:29" ht="15.75" customHeight="1" x14ac:dyDescent="0.2">
      <c r="A993" s="885"/>
      <c r="B993" s="885"/>
      <c r="C993" s="885"/>
      <c r="D993" s="885"/>
      <c r="E993" s="885"/>
      <c r="F993" s="885"/>
      <c r="G993" s="885"/>
      <c r="H993" s="885"/>
      <c r="I993" s="885"/>
      <c r="J993" s="885"/>
      <c r="K993" s="885"/>
      <c r="L993" s="885"/>
      <c r="M993" s="885"/>
      <c r="N993" s="885"/>
      <c r="O993" s="885"/>
      <c r="P993" s="885"/>
      <c r="Q993" s="885"/>
      <c r="R993" s="885"/>
      <c r="S993" s="885"/>
      <c r="T993" s="885"/>
      <c r="U993" s="885"/>
      <c r="V993" s="885"/>
      <c r="W993" s="885"/>
      <c r="X993" s="885"/>
      <c r="Y993" s="885"/>
      <c r="Z993" s="885"/>
      <c r="AA993" s="885"/>
      <c r="AB993" s="885"/>
      <c r="AC993" s="885"/>
    </row>
    <row r="994" spans="1:29" ht="15.75" customHeight="1" x14ac:dyDescent="0.2">
      <c r="A994" s="885"/>
      <c r="B994" s="885"/>
      <c r="C994" s="885"/>
      <c r="D994" s="885"/>
      <c r="E994" s="885"/>
      <c r="F994" s="885"/>
      <c r="G994" s="885"/>
      <c r="H994" s="885"/>
      <c r="I994" s="885"/>
      <c r="J994" s="885"/>
      <c r="K994" s="885"/>
      <c r="L994" s="885"/>
      <c r="M994" s="885"/>
      <c r="N994" s="885"/>
      <c r="O994" s="885"/>
      <c r="P994" s="885"/>
      <c r="Q994" s="885"/>
      <c r="R994" s="885"/>
      <c r="S994" s="885"/>
      <c r="T994" s="885"/>
      <c r="U994" s="885"/>
      <c r="V994" s="885"/>
      <c r="W994" s="885"/>
      <c r="X994" s="885"/>
      <c r="Y994" s="885"/>
      <c r="Z994" s="885"/>
      <c r="AA994" s="885"/>
      <c r="AB994" s="885"/>
      <c r="AC994" s="885"/>
    </row>
    <row r="995" spans="1:29" ht="15.75" customHeight="1" x14ac:dyDescent="0.2">
      <c r="A995" s="885"/>
      <c r="B995" s="885"/>
      <c r="C995" s="885"/>
      <c r="D995" s="885"/>
      <c r="E995" s="885"/>
      <c r="F995" s="885"/>
      <c r="G995" s="885"/>
      <c r="H995" s="885"/>
      <c r="I995" s="885"/>
      <c r="J995" s="885"/>
      <c r="K995" s="885"/>
      <c r="L995" s="885"/>
      <c r="M995" s="885"/>
      <c r="N995" s="885"/>
      <c r="O995" s="885"/>
      <c r="P995" s="885"/>
      <c r="Q995" s="885"/>
      <c r="R995" s="885"/>
      <c r="S995" s="885"/>
      <c r="T995" s="885"/>
      <c r="U995" s="885"/>
      <c r="V995" s="885"/>
      <c r="W995" s="885"/>
      <c r="X995" s="885"/>
      <c r="Y995" s="885"/>
      <c r="Z995" s="885"/>
      <c r="AA995" s="885"/>
      <c r="AB995" s="885"/>
      <c r="AC995" s="885"/>
    </row>
    <row r="996" spans="1:29" ht="15.75" customHeight="1" x14ac:dyDescent="0.2">
      <c r="A996" s="885"/>
      <c r="B996" s="885"/>
      <c r="C996" s="885"/>
      <c r="D996" s="885"/>
      <c r="E996" s="885"/>
      <c r="F996" s="885"/>
      <c r="G996" s="885"/>
      <c r="H996" s="885"/>
      <c r="I996" s="885"/>
      <c r="J996" s="885"/>
      <c r="K996" s="885"/>
      <c r="L996" s="885"/>
      <c r="M996" s="885"/>
      <c r="N996" s="885"/>
      <c r="O996" s="885"/>
      <c r="P996" s="885"/>
      <c r="Q996" s="885"/>
      <c r="R996" s="885"/>
      <c r="S996" s="885"/>
      <c r="T996" s="885"/>
      <c r="U996" s="885"/>
      <c r="V996" s="885"/>
      <c r="W996" s="885"/>
      <c r="X996" s="885"/>
      <c r="Y996" s="885"/>
      <c r="Z996" s="885"/>
      <c r="AA996" s="885"/>
      <c r="AB996" s="885"/>
      <c r="AC996" s="885"/>
    </row>
    <row r="997" spans="1:29" ht="15.75" customHeight="1" x14ac:dyDescent="0.2">
      <c r="A997" s="885"/>
      <c r="B997" s="885"/>
      <c r="C997" s="885"/>
      <c r="D997" s="885"/>
      <c r="E997" s="885"/>
      <c r="F997" s="885"/>
      <c r="G997" s="885"/>
      <c r="H997" s="885"/>
      <c r="I997" s="885"/>
      <c r="J997" s="885"/>
      <c r="K997" s="885"/>
      <c r="L997" s="885"/>
      <c r="M997" s="885"/>
      <c r="N997" s="885"/>
      <c r="O997" s="885"/>
      <c r="P997" s="885"/>
      <c r="Q997" s="885"/>
      <c r="R997" s="885"/>
      <c r="S997" s="885"/>
      <c r="T997" s="885"/>
      <c r="U997" s="885"/>
      <c r="V997" s="885"/>
      <c r="W997" s="885"/>
      <c r="X997" s="885"/>
      <c r="Y997" s="885"/>
      <c r="Z997" s="885"/>
      <c r="AA997" s="885"/>
      <c r="AB997" s="885"/>
      <c r="AC997" s="885"/>
    </row>
    <row r="998" spans="1:29" ht="15.75" customHeight="1" x14ac:dyDescent="0.2">
      <c r="A998" s="885"/>
      <c r="B998" s="885"/>
      <c r="C998" s="885"/>
      <c r="D998" s="885"/>
      <c r="E998" s="885"/>
      <c r="F998" s="885"/>
      <c r="G998" s="885"/>
      <c r="H998" s="885"/>
      <c r="I998" s="885"/>
      <c r="J998" s="885"/>
      <c r="K998" s="885"/>
      <c r="L998" s="885"/>
      <c r="M998" s="885"/>
      <c r="N998" s="885"/>
      <c r="O998" s="885"/>
      <c r="P998" s="885"/>
      <c r="Q998" s="885"/>
      <c r="R998" s="885"/>
      <c r="S998" s="885"/>
      <c r="T998" s="885"/>
      <c r="U998" s="885"/>
      <c r="V998" s="885"/>
      <c r="W998" s="885"/>
      <c r="X998" s="885"/>
      <c r="Y998" s="885"/>
      <c r="Z998" s="885"/>
      <c r="AA998" s="885"/>
      <c r="AB998" s="885"/>
      <c r="AC998" s="885"/>
    </row>
    <row r="999" spans="1:29" ht="15.75" customHeight="1" x14ac:dyDescent="0.2">
      <c r="A999" s="885"/>
      <c r="B999" s="885"/>
      <c r="C999" s="885"/>
      <c r="D999" s="885"/>
      <c r="E999" s="885"/>
      <c r="F999" s="885"/>
      <c r="G999" s="885"/>
      <c r="H999" s="885"/>
      <c r="I999" s="885"/>
      <c r="J999" s="885"/>
      <c r="K999" s="885"/>
      <c r="L999" s="885"/>
      <c r="M999" s="885"/>
      <c r="N999" s="885"/>
      <c r="O999" s="885"/>
      <c r="P999" s="885"/>
      <c r="Q999" s="885"/>
      <c r="R999" s="885"/>
      <c r="S999" s="885"/>
      <c r="T999" s="885"/>
      <c r="U999" s="885"/>
      <c r="V999" s="885"/>
      <c r="W999" s="885"/>
      <c r="X999" s="885"/>
      <c r="Y999" s="885"/>
      <c r="Z999" s="885"/>
      <c r="AA999" s="885"/>
      <c r="AB999" s="885"/>
      <c r="AC999" s="885"/>
    </row>
    <row r="1000" spans="1:29" ht="15.75" customHeight="1" x14ac:dyDescent="0.2">
      <c r="A1000" s="885"/>
      <c r="B1000" s="885"/>
      <c r="C1000" s="885"/>
      <c r="D1000" s="885"/>
      <c r="E1000" s="885"/>
      <c r="F1000" s="885"/>
      <c r="G1000" s="885"/>
      <c r="H1000" s="885"/>
      <c r="I1000" s="885"/>
      <c r="J1000" s="885"/>
      <c r="K1000" s="885"/>
      <c r="L1000" s="885"/>
      <c r="M1000" s="885"/>
      <c r="N1000" s="885"/>
      <c r="O1000" s="885"/>
      <c r="P1000" s="885"/>
      <c r="Q1000" s="885"/>
      <c r="R1000" s="885"/>
      <c r="S1000" s="885"/>
      <c r="T1000" s="885"/>
      <c r="U1000" s="885"/>
      <c r="V1000" s="885"/>
      <c r="W1000" s="885"/>
      <c r="X1000" s="885"/>
      <c r="Y1000" s="885"/>
      <c r="Z1000" s="885"/>
      <c r="AA1000" s="885"/>
      <c r="AB1000" s="885"/>
      <c r="AC1000" s="885"/>
    </row>
    <row r="1001" spans="1:29" ht="15.75" customHeight="1" x14ac:dyDescent="0.2">
      <c r="A1001" s="885"/>
      <c r="B1001" s="885"/>
      <c r="C1001" s="885"/>
      <c r="D1001" s="885"/>
      <c r="E1001" s="885"/>
      <c r="F1001" s="885"/>
      <c r="G1001" s="885"/>
      <c r="H1001" s="885"/>
      <c r="I1001" s="885"/>
      <c r="J1001" s="885"/>
      <c r="K1001" s="885"/>
      <c r="L1001" s="885"/>
      <c r="M1001" s="885"/>
      <c r="N1001" s="885"/>
      <c r="O1001" s="885"/>
      <c r="P1001" s="885"/>
      <c r="Q1001" s="885"/>
      <c r="R1001" s="885"/>
      <c r="S1001" s="885"/>
      <c r="T1001" s="885"/>
      <c r="U1001" s="885"/>
      <c r="V1001" s="885"/>
      <c r="W1001" s="885"/>
      <c r="X1001" s="885"/>
      <c r="Y1001" s="885"/>
      <c r="Z1001" s="885"/>
      <c r="AA1001" s="885"/>
      <c r="AB1001" s="885"/>
      <c r="AC1001" s="885"/>
    </row>
  </sheetData>
  <mergeCells count="1">
    <mergeCell ref="AD7:AE7"/>
  </mergeCells>
  <pageMargins left="0.7" right="0.7" top="0.75" bottom="0.75" header="0" footer="0"/>
  <pageSetup orientation="landscape"/>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Z998"/>
  <sheetViews>
    <sheetView showGridLines="0" workbookViewId="0"/>
  </sheetViews>
  <sheetFormatPr defaultColWidth="16.83203125" defaultRowHeight="15" customHeight="1" x14ac:dyDescent="0.2"/>
  <cols>
    <col min="1" max="1" width="4.6640625" style="869" customWidth="1"/>
    <col min="2" max="2" width="17.83203125" style="869" customWidth="1"/>
    <col min="3" max="3" width="16.33203125" style="869" customWidth="1"/>
    <col min="4" max="4" width="15.5" style="869" customWidth="1"/>
    <col min="5" max="5" width="12.6640625" style="869" customWidth="1"/>
    <col min="6" max="6" width="8.83203125" style="869" customWidth="1"/>
    <col min="7" max="7" width="18.33203125" style="869" customWidth="1"/>
    <col min="8" max="8" width="8.83203125" style="869" customWidth="1"/>
    <col min="9" max="9" width="11" style="869" customWidth="1"/>
    <col min="10" max="10" width="12.6640625" style="869" customWidth="1"/>
    <col min="11" max="26" width="8.83203125" style="869" customWidth="1"/>
    <col min="27" max="16384" width="16.83203125" style="869"/>
  </cols>
  <sheetData>
    <row r="1" spans="1:26" ht="33.75" x14ac:dyDescent="0.5">
      <c r="B1" s="870"/>
      <c r="G1" s="872"/>
      <c r="H1" s="871"/>
    </row>
    <row r="2" spans="1:26" ht="21" customHeight="1" x14ac:dyDescent="0.5">
      <c r="B2" s="1022" t="s">
        <v>1689</v>
      </c>
      <c r="C2" s="2000"/>
      <c r="D2" s="2000"/>
      <c r="E2" s="2000"/>
      <c r="F2" s="2000"/>
      <c r="G2" s="872"/>
      <c r="H2" s="871"/>
    </row>
    <row r="3" spans="1:26" ht="87" customHeight="1" x14ac:dyDescent="0.25">
      <c r="A3" s="1991"/>
      <c r="B3" s="1992"/>
      <c r="C3" s="1992"/>
      <c r="D3" s="1993"/>
      <c r="E3" s="1993"/>
      <c r="F3" s="1993"/>
      <c r="G3" s="1993"/>
      <c r="H3" s="1994"/>
      <c r="I3" s="1991"/>
      <c r="J3" s="1994"/>
      <c r="K3" s="1994"/>
      <c r="L3" s="1994"/>
      <c r="M3" s="1991"/>
      <c r="N3" s="1991"/>
      <c r="O3" s="1991"/>
      <c r="P3" s="1991"/>
      <c r="Q3" s="1991"/>
      <c r="R3" s="1991"/>
      <c r="S3" s="1991"/>
      <c r="T3" s="1991"/>
      <c r="U3" s="1991"/>
      <c r="V3" s="1991"/>
      <c r="W3" s="1991"/>
      <c r="X3" s="1991"/>
      <c r="Y3" s="1991"/>
      <c r="Z3" s="1991"/>
    </row>
    <row r="4" spans="1:26" x14ac:dyDescent="0.25">
      <c r="A4" s="1991"/>
      <c r="B4" s="1991"/>
      <c r="C4" s="1991"/>
      <c r="D4" s="1995"/>
      <c r="E4" s="1991"/>
      <c r="F4" s="1991"/>
      <c r="G4" s="1991"/>
      <c r="H4" s="1991"/>
      <c r="I4" s="1991"/>
      <c r="J4" s="1991"/>
      <c r="K4" s="1991"/>
      <c r="L4" s="1991"/>
      <c r="M4" s="1991"/>
      <c r="N4" s="1991"/>
      <c r="O4" s="1991"/>
      <c r="P4" s="1991"/>
      <c r="Q4" s="1991"/>
      <c r="R4" s="1991"/>
      <c r="S4" s="1991"/>
      <c r="T4" s="1991"/>
      <c r="U4" s="1991"/>
      <c r="V4" s="1991"/>
      <c r="W4" s="1991"/>
      <c r="X4" s="1991"/>
      <c r="Y4" s="1991"/>
      <c r="Z4" s="1991"/>
    </row>
    <row r="5" spans="1:26" ht="30" x14ac:dyDescent="0.25">
      <c r="A5" s="1991"/>
      <c r="B5" s="1996"/>
      <c r="C5" s="1997" t="s">
        <v>827</v>
      </c>
      <c r="E5" s="1991"/>
      <c r="F5" s="1991"/>
      <c r="G5" s="1991"/>
      <c r="H5" s="1991"/>
      <c r="I5" s="1991"/>
      <c r="J5" s="1991"/>
      <c r="K5" s="1991"/>
      <c r="L5" s="1991"/>
      <c r="M5" s="1991"/>
      <c r="N5" s="1991"/>
      <c r="O5" s="1991"/>
      <c r="P5" s="1991"/>
      <c r="Q5" s="1991"/>
      <c r="R5" s="1991"/>
      <c r="S5" s="1991"/>
      <c r="T5" s="1991"/>
      <c r="U5" s="1991"/>
      <c r="V5" s="1991"/>
      <c r="W5" s="1991"/>
      <c r="X5" s="1991"/>
      <c r="Y5" s="1991"/>
      <c r="Z5" s="1991"/>
    </row>
    <row r="6" spans="1:26" x14ac:dyDescent="0.25">
      <c r="A6" s="1991"/>
      <c r="B6" s="1998" t="s">
        <v>1692</v>
      </c>
      <c r="C6" s="1996">
        <v>3.3000000000000002E-2</v>
      </c>
      <c r="E6" s="1999"/>
      <c r="F6" s="1991"/>
      <c r="G6" s="1991"/>
      <c r="H6" s="1991"/>
      <c r="I6" s="1991"/>
      <c r="J6" s="1991"/>
      <c r="K6" s="1991"/>
      <c r="L6" s="1991"/>
      <c r="M6" s="1991"/>
      <c r="N6" s="1991"/>
      <c r="O6" s="1991"/>
      <c r="P6" s="1991"/>
      <c r="Q6" s="1991"/>
      <c r="R6" s="1991"/>
      <c r="S6" s="1991"/>
      <c r="T6" s="1991"/>
      <c r="U6" s="1991"/>
      <c r="V6" s="1991"/>
      <c r="W6" s="1991"/>
      <c r="X6" s="1991"/>
      <c r="Y6" s="1991"/>
      <c r="Z6" s="1991"/>
    </row>
    <row r="7" spans="1:26" ht="11.25" customHeight="1" x14ac:dyDescent="0.25">
      <c r="A7" s="1991"/>
      <c r="B7" s="1991"/>
      <c r="C7" s="1991"/>
      <c r="D7" s="1991"/>
      <c r="E7" s="1991"/>
      <c r="F7" s="1991"/>
      <c r="G7" s="1991"/>
      <c r="H7" s="1991"/>
      <c r="I7" s="1991"/>
      <c r="J7" s="1991"/>
      <c r="K7" s="1991"/>
      <c r="L7" s="1991"/>
      <c r="M7" s="1991"/>
      <c r="N7" s="1991"/>
      <c r="O7" s="1991"/>
      <c r="P7" s="1991"/>
      <c r="Q7" s="1991"/>
      <c r="R7" s="1991"/>
      <c r="S7" s="1991"/>
      <c r="T7" s="1991"/>
      <c r="U7" s="1991"/>
      <c r="V7" s="1991"/>
      <c r="W7" s="1991"/>
      <c r="X7" s="1991"/>
      <c r="Y7" s="1991"/>
      <c r="Z7" s="1991"/>
    </row>
    <row r="8" spans="1:26" ht="11.25" customHeight="1" x14ac:dyDescent="0.2"/>
    <row r="9" spans="1:26" ht="11.25" customHeight="1" x14ac:dyDescent="0.2"/>
    <row r="10" spans="1:26" ht="11.25" customHeight="1" x14ac:dyDescent="0.2"/>
    <row r="11" spans="1:26" ht="11.25" customHeight="1" x14ac:dyDescent="0.2"/>
    <row r="12" spans="1:26" ht="11.25" customHeight="1" x14ac:dyDescent="0.2"/>
    <row r="13" spans="1:26" ht="11.25" customHeight="1" x14ac:dyDescent="0.2"/>
    <row r="14" spans="1:26" ht="11.25" customHeight="1" x14ac:dyDescent="0.2"/>
    <row r="15" spans="1:26" ht="11.25" customHeight="1" x14ac:dyDescent="0.2"/>
    <row r="16" spans="1:26" ht="11.25" customHeight="1" x14ac:dyDescent="0.2"/>
    <row r="17" s="869" customFormat="1" ht="11.25" customHeight="1" x14ac:dyDescent="0.2"/>
    <row r="18" s="869" customFormat="1" ht="11.25" customHeight="1" x14ac:dyDescent="0.2"/>
    <row r="19" s="869" customFormat="1" ht="11.25" customHeight="1" x14ac:dyDescent="0.2"/>
    <row r="20" s="869" customFormat="1" ht="11.25" customHeight="1" x14ac:dyDescent="0.2"/>
    <row r="21" s="869" customFormat="1" ht="11.25" customHeight="1" x14ac:dyDescent="0.2"/>
    <row r="22" s="869" customFormat="1" ht="11.25" customHeight="1" x14ac:dyDescent="0.2"/>
    <row r="23" s="869" customFormat="1" ht="11.25" customHeight="1" x14ac:dyDescent="0.2"/>
    <row r="24" s="869" customFormat="1" ht="11.25" customHeight="1" x14ac:dyDescent="0.2"/>
    <row r="25" s="869" customFormat="1" ht="11.25" customHeight="1" x14ac:dyDescent="0.2"/>
    <row r="26" s="869" customFormat="1" ht="11.25" customHeight="1" x14ac:dyDescent="0.2"/>
    <row r="27" s="869" customFormat="1" ht="11.25" customHeight="1" x14ac:dyDescent="0.2"/>
    <row r="28" s="869" customFormat="1" ht="11.25" customHeight="1" x14ac:dyDescent="0.2"/>
    <row r="29" s="869" customFormat="1" ht="11.25" customHeight="1" x14ac:dyDescent="0.2"/>
    <row r="30" s="869" customFormat="1" ht="11.25" customHeight="1" x14ac:dyDescent="0.2"/>
    <row r="31" s="869" customFormat="1" ht="11.25" customHeight="1" x14ac:dyDescent="0.2"/>
    <row r="32" s="869" customFormat="1" ht="11.25" customHeight="1" x14ac:dyDescent="0.2"/>
    <row r="33" s="869" customFormat="1" ht="11.25" customHeight="1" x14ac:dyDescent="0.2"/>
    <row r="34" s="869" customFormat="1" ht="11.25" customHeight="1" x14ac:dyDescent="0.2"/>
    <row r="35" s="869" customFormat="1" ht="11.25" customHeight="1" x14ac:dyDescent="0.2"/>
    <row r="36" s="869" customFormat="1" ht="11.25" customHeight="1" x14ac:dyDescent="0.2"/>
    <row r="37" s="869" customFormat="1" ht="11.25" customHeight="1" x14ac:dyDescent="0.2"/>
    <row r="38" s="869" customFormat="1" ht="11.25" customHeight="1" x14ac:dyDescent="0.2"/>
    <row r="39" s="869" customFormat="1" ht="11.25" customHeight="1" x14ac:dyDescent="0.2"/>
    <row r="40" s="869" customFormat="1" ht="11.25" customHeight="1" x14ac:dyDescent="0.2"/>
    <row r="41" s="869" customFormat="1" ht="11.25" customHeight="1" x14ac:dyDescent="0.2"/>
    <row r="42" s="869" customFormat="1" ht="11.25" customHeight="1" x14ac:dyDescent="0.2"/>
    <row r="43" s="869" customFormat="1" ht="11.25" customHeight="1" x14ac:dyDescent="0.2"/>
    <row r="44" s="869" customFormat="1" ht="11.25" customHeight="1" x14ac:dyDescent="0.2"/>
    <row r="45" s="869" customFormat="1" ht="11.25" customHeight="1" x14ac:dyDescent="0.2"/>
    <row r="46" s="869" customFormat="1" ht="11.25" customHeight="1" x14ac:dyDescent="0.2"/>
    <row r="47" s="869" customFormat="1" ht="11.25" customHeight="1" x14ac:dyDescent="0.2"/>
    <row r="48" s="869" customFormat="1" ht="11.25" customHeight="1" x14ac:dyDescent="0.2"/>
    <row r="49" s="869" customFormat="1" ht="11.25" customHeight="1" x14ac:dyDescent="0.2"/>
    <row r="50" s="869" customFormat="1" ht="11.25" customHeight="1" x14ac:dyDescent="0.2"/>
    <row r="51" s="869" customFormat="1" ht="11.25" customHeight="1" x14ac:dyDescent="0.2"/>
    <row r="52" s="869" customFormat="1" ht="11.25" customHeight="1" x14ac:dyDescent="0.2"/>
    <row r="53" s="869" customFormat="1" ht="11.25" customHeight="1" x14ac:dyDescent="0.2"/>
    <row r="54" s="869" customFormat="1" ht="11.25" customHeight="1" x14ac:dyDescent="0.2"/>
    <row r="55" s="869" customFormat="1" ht="11.25" customHeight="1" x14ac:dyDescent="0.2"/>
    <row r="56" s="869" customFormat="1" ht="11.25" customHeight="1" x14ac:dyDescent="0.2"/>
    <row r="57" s="869" customFormat="1" ht="11.25" customHeight="1" x14ac:dyDescent="0.2"/>
    <row r="58" s="869" customFormat="1" ht="11.25" customHeight="1" x14ac:dyDescent="0.2"/>
    <row r="59" s="869" customFormat="1" ht="11.25" customHeight="1" x14ac:dyDescent="0.2"/>
    <row r="60" s="869" customFormat="1" ht="11.25" customHeight="1" x14ac:dyDescent="0.2"/>
    <row r="61" s="869" customFormat="1" ht="11.25" customHeight="1" x14ac:dyDescent="0.2"/>
    <row r="62" s="869" customFormat="1" ht="11.25" customHeight="1" x14ac:dyDescent="0.2"/>
    <row r="63" s="869" customFormat="1" ht="11.25" customHeight="1" x14ac:dyDescent="0.2"/>
    <row r="64" s="869" customFormat="1" ht="11.25" customHeight="1" x14ac:dyDescent="0.2"/>
    <row r="65" s="869" customFormat="1" ht="11.25" customHeight="1" x14ac:dyDescent="0.2"/>
    <row r="66" s="869" customFormat="1" ht="11.25" customHeight="1" x14ac:dyDescent="0.2"/>
    <row r="67" s="869" customFormat="1" ht="11.25" customHeight="1" x14ac:dyDescent="0.2"/>
    <row r="68" s="869" customFormat="1" ht="11.25" customHeight="1" x14ac:dyDescent="0.2"/>
    <row r="69" s="869" customFormat="1" ht="11.25" customHeight="1" x14ac:dyDescent="0.2"/>
    <row r="70" s="869" customFormat="1" ht="11.25" customHeight="1" x14ac:dyDescent="0.2"/>
    <row r="71" s="869" customFormat="1" ht="11.25" customHeight="1" x14ac:dyDescent="0.2"/>
    <row r="72" s="869" customFormat="1" ht="11.25" customHeight="1" x14ac:dyDescent="0.2"/>
    <row r="73" s="869" customFormat="1" ht="11.25" customHeight="1" x14ac:dyDescent="0.2"/>
    <row r="74" s="869" customFormat="1" ht="11.25" customHeight="1" x14ac:dyDescent="0.2"/>
    <row r="75" s="869" customFormat="1" ht="11.25" customHeight="1" x14ac:dyDescent="0.2"/>
    <row r="76" s="869" customFormat="1" ht="11.25" customHeight="1" x14ac:dyDescent="0.2"/>
    <row r="77" s="869" customFormat="1" ht="11.25" customHeight="1" x14ac:dyDescent="0.2"/>
    <row r="78" s="869" customFormat="1" ht="11.25" customHeight="1" x14ac:dyDescent="0.2"/>
    <row r="79" s="869" customFormat="1" ht="11.25" customHeight="1" x14ac:dyDescent="0.2"/>
    <row r="80" s="869" customFormat="1" ht="11.25" customHeight="1" x14ac:dyDescent="0.2"/>
    <row r="81" s="869" customFormat="1" ht="11.25" customHeight="1" x14ac:dyDescent="0.2"/>
    <row r="82" s="869" customFormat="1" ht="11.25" customHeight="1" x14ac:dyDescent="0.2"/>
    <row r="83" s="869" customFormat="1" ht="11.25" customHeight="1" x14ac:dyDescent="0.2"/>
    <row r="84" s="869" customFormat="1" ht="11.25" customHeight="1" x14ac:dyDescent="0.2"/>
    <row r="85" s="869" customFormat="1" ht="11.25" customHeight="1" x14ac:dyDescent="0.2"/>
    <row r="86" s="869" customFormat="1" ht="11.25" customHeight="1" x14ac:dyDescent="0.2"/>
    <row r="87" s="869" customFormat="1" ht="11.25" customHeight="1" x14ac:dyDescent="0.2"/>
    <row r="88" s="869" customFormat="1" ht="11.25" customHeight="1" x14ac:dyDescent="0.2"/>
    <row r="89" s="869" customFormat="1" ht="11.25" customHeight="1" x14ac:dyDescent="0.2"/>
    <row r="90" s="869" customFormat="1" ht="11.25" customHeight="1" x14ac:dyDescent="0.2"/>
    <row r="91" s="869" customFormat="1" ht="11.25" customHeight="1" x14ac:dyDescent="0.2"/>
    <row r="92" s="869" customFormat="1" ht="11.25" customHeight="1" x14ac:dyDescent="0.2"/>
    <row r="93" s="869" customFormat="1" ht="11.25" customHeight="1" x14ac:dyDescent="0.2"/>
    <row r="94" s="869" customFormat="1" ht="11.25" customHeight="1" x14ac:dyDescent="0.2"/>
    <row r="95" s="869" customFormat="1" ht="11.25" customHeight="1" x14ac:dyDescent="0.2"/>
    <row r="96" s="869" customFormat="1" ht="11.25" customHeight="1" x14ac:dyDescent="0.2"/>
    <row r="97" s="869" customFormat="1" ht="11.25" customHeight="1" x14ac:dyDescent="0.2"/>
    <row r="98" s="869" customFormat="1" ht="11.25" customHeight="1" x14ac:dyDescent="0.2"/>
    <row r="99" s="869" customFormat="1" ht="11.25" customHeight="1" x14ac:dyDescent="0.2"/>
    <row r="100" s="869" customFormat="1" ht="11.25" customHeight="1" x14ac:dyDescent="0.2"/>
    <row r="101" s="869" customFormat="1" ht="11.25" customHeight="1" x14ac:dyDescent="0.2"/>
    <row r="102" s="869" customFormat="1" ht="11.25" customHeight="1" x14ac:dyDescent="0.2"/>
    <row r="103" s="869" customFormat="1" ht="11.25" customHeight="1" x14ac:dyDescent="0.2"/>
    <row r="104" s="869" customFormat="1" ht="11.25" customHeight="1" x14ac:dyDescent="0.2"/>
    <row r="105" s="869" customFormat="1" ht="11.25" customHeight="1" x14ac:dyDescent="0.2"/>
    <row r="106" s="869" customFormat="1" ht="11.25" customHeight="1" x14ac:dyDescent="0.2"/>
    <row r="107" s="869" customFormat="1" ht="11.25" customHeight="1" x14ac:dyDescent="0.2"/>
    <row r="108" s="869" customFormat="1" ht="11.25" customHeight="1" x14ac:dyDescent="0.2"/>
    <row r="109" s="869" customFormat="1" ht="11.25" customHeight="1" x14ac:dyDescent="0.2"/>
    <row r="110" s="869" customFormat="1" ht="11.25" customHeight="1" x14ac:dyDescent="0.2"/>
    <row r="111" s="869" customFormat="1" ht="11.25" customHeight="1" x14ac:dyDescent="0.2"/>
    <row r="112" s="869" customFormat="1" ht="11.25" customHeight="1" x14ac:dyDescent="0.2"/>
    <row r="113" s="869" customFormat="1" ht="11.25" customHeight="1" x14ac:dyDescent="0.2"/>
    <row r="114" s="869" customFormat="1" ht="11.25" customHeight="1" x14ac:dyDescent="0.2"/>
    <row r="115" s="869" customFormat="1" ht="11.25" customHeight="1" x14ac:dyDescent="0.2"/>
    <row r="116" s="869" customFormat="1" ht="11.25" customHeight="1" x14ac:dyDescent="0.2"/>
    <row r="117" s="869" customFormat="1" ht="11.25" customHeight="1" x14ac:dyDescent="0.2"/>
    <row r="118" s="869" customFormat="1" ht="11.25" customHeight="1" x14ac:dyDescent="0.2"/>
    <row r="119" s="869" customFormat="1" ht="11.25" customHeight="1" x14ac:dyDescent="0.2"/>
    <row r="120" s="869" customFormat="1" ht="11.25" customHeight="1" x14ac:dyDescent="0.2"/>
    <row r="121" s="869" customFormat="1" ht="11.25" customHeight="1" x14ac:dyDescent="0.2"/>
    <row r="122" s="869" customFormat="1" ht="11.25" customHeight="1" x14ac:dyDescent="0.2"/>
    <row r="123" s="869" customFormat="1" ht="11.25" customHeight="1" x14ac:dyDescent="0.2"/>
    <row r="124" s="869" customFormat="1" ht="11.25" customHeight="1" x14ac:dyDescent="0.2"/>
    <row r="125" s="869" customFormat="1" ht="11.25" customHeight="1" x14ac:dyDescent="0.2"/>
    <row r="126" s="869" customFormat="1" ht="11.25" customHeight="1" x14ac:dyDescent="0.2"/>
    <row r="127" s="869" customFormat="1" ht="11.25" customHeight="1" x14ac:dyDescent="0.2"/>
    <row r="128" s="869" customFormat="1" ht="11.25" customHeight="1" x14ac:dyDescent="0.2"/>
    <row r="129" s="869" customFormat="1" ht="11.25" customHeight="1" x14ac:dyDescent="0.2"/>
    <row r="130" s="869" customFormat="1" ht="11.25" customHeight="1" x14ac:dyDescent="0.2"/>
    <row r="131" s="869" customFormat="1" ht="11.25" customHeight="1" x14ac:dyDescent="0.2"/>
    <row r="132" s="869" customFormat="1" ht="11.25" customHeight="1" x14ac:dyDescent="0.2"/>
    <row r="133" s="869" customFormat="1" ht="11.25" customHeight="1" x14ac:dyDescent="0.2"/>
    <row r="134" s="869" customFormat="1" ht="11.25" customHeight="1" x14ac:dyDescent="0.2"/>
    <row r="135" s="869" customFormat="1" ht="11.25" customHeight="1" x14ac:dyDescent="0.2"/>
    <row r="136" s="869" customFormat="1" ht="11.25" customHeight="1" x14ac:dyDescent="0.2"/>
    <row r="137" s="869" customFormat="1" ht="11.25" customHeight="1" x14ac:dyDescent="0.2"/>
    <row r="138" s="869" customFormat="1" ht="11.25" customHeight="1" x14ac:dyDescent="0.2"/>
    <row r="139" s="869" customFormat="1" ht="11.25" customHeight="1" x14ac:dyDescent="0.2"/>
    <row r="140" s="869" customFormat="1" ht="11.25" customHeight="1" x14ac:dyDescent="0.2"/>
    <row r="141" s="869" customFormat="1" ht="11.25" customHeight="1" x14ac:dyDescent="0.2"/>
    <row r="142" s="869" customFormat="1" ht="11.25" customHeight="1" x14ac:dyDescent="0.2"/>
    <row r="143" s="869" customFormat="1" ht="11.25" customHeight="1" x14ac:dyDescent="0.2"/>
    <row r="144" s="869" customFormat="1" ht="11.25" customHeight="1" x14ac:dyDescent="0.2"/>
    <row r="145" s="869" customFormat="1" ht="11.25" customHeight="1" x14ac:dyDescent="0.2"/>
    <row r="146" s="869" customFormat="1" ht="11.25" customHeight="1" x14ac:dyDescent="0.2"/>
    <row r="147" s="869" customFormat="1" ht="11.25" customHeight="1" x14ac:dyDescent="0.2"/>
    <row r="148" s="869" customFormat="1" ht="11.25" customHeight="1" x14ac:dyDescent="0.2"/>
    <row r="149" s="869" customFormat="1" ht="11.25" customHeight="1" x14ac:dyDescent="0.2"/>
    <row r="150" s="869" customFormat="1" ht="11.25" customHeight="1" x14ac:dyDescent="0.2"/>
    <row r="151" s="869" customFormat="1" ht="11.25" customHeight="1" x14ac:dyDescent="0.2"/>
    <row r="152" s="869" customFormat="1" ht="11.25" customHeight="1" x14ac:dyDescent="0.2"/>
    <row r="153" s="869" customFormat="1" ht="11.25" customHeight="1" x14ac:dyDescent="0.2"/>
    <row r="154" s="869" customFormat="1" ht="11.25" customHeight="1" x14ac:dyDescent="0.2"/>
    <row r="155" s="869" customFormat="1" ht="11.25" customHeight="1" x14ac:dyDescent="0.2"/>
    <row r="156" s="869" customFormat="1" ht="11.25" customHeight="1" x14ac:dyDescent="0.2"/>
    <row r="157" s="869" customFormat="1" ht="11.25" customHeight="1" x14ac:dyDescent="0.2"/>
    <row r="158" s="869" customFormat="1" ht="11.25" customHeight="1" x14ac:dyDescent="0.2"/>
    <row r="159" s="869" customFormat="1" ht="11.25" customHeight="1" x14ac:dyDescent="0.2"/>
    <row r="160" s="869" customFormat="1" ht="11.25" customHeight="1" x14ac:dyDescent="0.2"/>
    <row r="161" s="869" customFormat="1" ht="11.25" customHeight="1" x14ac:dyDescent="0.2"/>
    <row r="162" s="869" customFormat="1" ht="11.25" customHeight="1" x14ac:dyDescent="0.2"/>
    <row r="163" s="869" customFormat="1" ht="11.25" customHeight="1" x14ac:dyDescent="0.2"/>
    <row r="164" s="869" customFormat="1" ht="11.25" customHeight="1" x14ac:dyDescent="0.2"/>
    <row r="165" s="869" customFormat="1" ht="11.25" customHeight="1" x14ac:dyDescent="0.2"/>
    <row r="166" s="869" customFormat="1" ht="11.25" customHeight="1" x14ac:dyDescent="0.2"/>
    <row r="167" s="869" customFormat="1" ht="11.25" customHeight="1" x14ac:dyDescent="0.2"/>
    <row r="168" s="869" customFormat="1" ht="11.25" customHeight="1" x14ac:dyDescent="0.2"/>
    <row r="169" s="869" customFormat="1" ht="11.25" customHeight="1" x14ac:dyDescent="0.2"/>
    <row r="170" s="869" customFormat="1" ht="11.25" customHeight="1" x14ac:dyDescent="0.2"/>
    <row r="171" s="869" customFormat="1" ht="11.25" customHeight="1" x14ac:dyDescent="0.2"/>
    <row r="172" s="869" customFormat="1" ht="11.25" customHeight="1" x14ac:dyDescent="0.2"/>
    <row r="173" s="869" customFormat="1" ht="11.25" customHeight="1" x14ac:dyDescent="0.2"/>
    <row r="174" s="869" customFormat="1" ht="11.25" customHeight="1" x14ac:dyDescent="0.2"/>
    <row r="175" s="869" customFormat="1" ht="11.25" customHeight="1" x14ac:dyDescent="0.2"/>
    <row r="176" s="869" customFormat="1" ht="11.25" customHeight="1" x14ac:dyDescent="0.2"/>
    <row r="177" s="869" customFormat="1" ht="11.25" customHeight="1" x14ac:dyDescent="0.2"/>
    <row r="178" s="869" customFormat="1" ht="11.25" customHeight="1" x14ac:dyDescent="0.2"/>
    <row r="179" s="869" customFormat="1" ht="11.25" customHeight="1" x14ac:dyDescent="0.2"/>
    <row r="180" s="869" customFormat="1" ht="11.25" customHeight="1" x14ac:dyDescent="0.2"/>
    <row r="181" s="869" customFormat="1" ht="11.25" customHeight="1" x14ac:dyDescent="0.2"/>
    <row r="182" s="869" customFormat="1" ht="11.25" customHeight="1" x14ac:dyDescent="0.2"/>
    <row r="183" s="869" customFormat="1" ht="11.25" customHeight="1" x14ac:dyDescent="0.2"/>
    <row r="184" s="869" customFormat="1" ht="11.25" customHeight="1" x14ac:dyDescent="0.2"/>
    <row r="185" s="869" customFormat="1" ht="11.25" customHeight="1" x14ac:dyDescent="0.2"/>
    <row r="186" s="869" customFormat="1" ht="11.25" customHeight="1" x14ac:dyDescent="0.2"/>
    <row r="187" s="869" customFormat="1" ht="11.25" customHeight="1" x14ac:dyDescent="0.2"/>
    <row r="188" s="869" customFormat="1" ht="11.25" customHeight="1" x14ac:dyDescent="0.2"/>
    <row r="189" s="869" customFormat="1" ht="11.25" customHeight="1" x14ac:dyDescent="0.2"/>
    <row r="190" s="869" customFormat="1" ht="11.25" customHeight="1" x14ac:dyDescent="0.2"/>
    <row r="191" s="869" customFormat="1" ht="11.25" customHeight="1" x14ac:dyDescent="0.2"/>
    <row r="192" s="869" customFormat="1" ht="11.25" customHeight="1" x14ac:dyDescent="0.2"/>
    <row r="193" s="869" customFormat="1" ht="11.25" customHeight="1" x14ac:dyDescent="0.2"/>
    <row r="194" s="869" customFormat="1" ht="11.25" customHeight="1" x14ac:dyDescent="0.2"/>
    <row r="195" s="869" customFormat="1" ht="11.25" customHeight="1" x14ac:dyDescent="0.2"/>
    <row r="196" s="869" customFormat="1" ht="11.25" customHeight="1" x14ac:dyDescent="0.2"/>
    <row r="197" s="869" customFormat="1" ht="11.25" customHeight="1" x14ac:dyDescent="0.2"/>
    <row r="198" s="869" customFormat="1" ht="11.25" customHeight="1" x14ac:dyDescent="0.2"/>
    <row r="199" s="869" customFormat="1" ht="11.25" customHeight="1" x14ac:dyDescent="0.2"/>
    <row r="200" s="869" customFormat="1" ht="11.25" customHeight="1" x14ac:dyDescent="0.2"/>
    <row r="201" s="869" customFormat="1" ht="11.25" customHeight="1" x14ac:dyDescent="0.2"/>
    <row r="202" s="869" customFormat="1" ht="11.25" customHeight="1" x14ac:dyDescent="0.2"/>
    <row r="203" s="869" customFormat="1" ht="11.25" customHeight="1" x14ac:dyDescent="0.2"/>
    <row r="204" s="869" customFormat="1" ht="11.25" customHeight="1" x14ac:dyDescent="0.2"/>
    <row r="205" s="869" customFormat="1" ht="11.25" customHeight="1" x14ac:dyDescent="0.2"/>
    <row r="206" s="869" customFormat="1" ht="11.25" customHeight="1" x14ac:dyDescent="0.2"/>
    <row r="207" s="869" customFormat="1" ht="11.25" customHeight="1" x14ac:dyDescent="0.2"/>
    <row r="208" s="869" customFormat="1" ht="11.25" customHeight="1" x14ac:dyDescent="0.2"/>
    <row r="209" s="869" customFormat="1" ht="11.25" customHeight="1" x14ac:dyDescent="0.2"/>
    <row r="210" s="869" customFormat="1" ht="11.25" customHeight="1" x14ac:dyDescent="0.2"/>
    <row r="211" s="869" customFormat="1" ht="11.25" customHeight="1" x14ac:dyDescent="0.2"/>
    <row r="212" s="869" customFormat="1" ht="11.25" customHeight="1" x14ac:dyDescent="0.2"/>
    <row r="213" s="869" customFormat="1" ht="11.25" customHeight="1" x14ac:dyDescent="0.2"/>
    <row r="214" s="869" customFormat="1" ht="11.25" customHeight="1" x14ac:dyDescent="0.2"/>
    <row r="215" s="869" customFormat="1" ht="11.25" customHeight="1" x14ac:dyDescent="0.2"/>
    <row r="216" s="869" customFormat="1" ht="11.25" customHeight="1" x14ac:dyDescent="0.2"/>
    <row r="217" s="869" customFormat="1" ht="11.25" customHeight="1" x14ac:dyDescent="0.2"/>
    <row r="218" s="869" customFormat="1" ht="11.25" customHeight="1" x14ac:dyDescent="0.2"/>
    <row r="219" s="869" customFormat="1" ht="11.25" customHeight="1" x14ac:dyDescent="0.2"/>
    <row r="220" s="869" customFormat="1" ht="11.25" customHeight="1" x14ac:dyDescent="0.2"/>
    <row r="221" s="869" customFormat="1" ht="11.25" customHeight="1" x14ac:dyDescent="0.2"/>
    <row r="222" s="869" customFormat="1" ht="11.25" customHeight="1" x14ac:dyDescent="0.2"/>
    <row r="223" s="869" customFormat="1" ht="11.25" customHeight="1" x14ac:dyDescent="0.2"/>
    <row r="224" s="869" customFormat="1" ht="11.25" customHeight="1" x14ac:dyDescent="0.2"/>
    <row r="225" s="869" customFormat="1" ht="11.25" customHeight="1" x14ac:dyDescent="0.2"/>
    <row r="226" s="869" customFormat="1" ht="11.25" customHeight="1" x14ac:dyDescent="0.2"/>
    <row r="227" s="869" customFormat="1" ht="11.25" customHeight="1" x14ac:dyDescent="0.2"/>
    <row r="228" s="869" customFormat="1" ht="11.25" customHeight="1" x14ac:dyDescent="0.2"/>
    <row r="229" s="869" customFormat="1" ht="11.25" customHeight="1" x14ac:dyDescent="0.2"/>
    <row r="230" s="869" customFormat="1" ht="11.25" customHeight="1" x14ac:dyDescent="0.2"/>
    <row r="231" s="869" customFormat="1" ht="11.25" customHeight="1" x14ac:dyDescent="0.2"/>
    <row r="232" s="869" customFormat="1" ht="11.25" customHeight="1" x14ac:dyDescent="0.2"/>
    <row r="233" s="869" customFormat="1" ht="11.25" customHeight="1" x14ac:dyDescent="0.2"/>
    <row r="234" s="869" customFormat="1" ht="11.25" customHeight="1" x14ac:dyDescent="0.2"/>
    <row r="235" s="869" customFormat="1" ht="11.25" customHeight="1" x14ac:dyDescent="0.2"/>
    <row r="236" s="869" customFormat="1" ht="11.25" customHeight="1" x14ac:dyDescent="0.2"/>
    <row r="237" s="869" customFormat="1" ht="11.25" customHeight="1" x14ac:dyDescent="0.2"/>
    <row r="238" s="869" customFormat="1" ht="11.25" customHeight="1" x14ac:dyDescent="0.2"/>
    <row r="239" s="869" customFormat="1" ht="11.25" customHeight="1" x14ac:dyDescent="0.2"/>
    <row r="240" s="869" customFormat="1" ht="11.25" customHeight="1" x14ac:dyDescent="0.2"/>
    <row r="241" s="869" customFormat="1" ht="11.25" customHeight="1" x14ac:dyDescent="0.2"/>
    <row r="242" s="869" customFormat="1" ht="11.25" customHeight="1" x14ac:dyDescent="0.2"/>
    <row r="243" s="869" customFormat="1" ht="11.25" customHeight="1" x14ac:dyDescent="0.2"/>
    <row r="244" s="869" customFormat="1" ht="11.25" customHeight="1" x14ac:dyDescent="0.2"/>
    <row r="245" s="869" customFormat="1" ht="11.25" customHeight="1" x14ac:dyDescent="0.2"/>
    <row r="246" s="869" customFormat="1" ht="11.25" customHeight="1" x14ac:dyDescent="0.2"/>
    <row r="247" s="869" customFormat="1" ht="11.25" customHeight="1" x14ac:dyDescent="0.2"/>
    <row r="248" s="869" customFormat="1" ht="11.25" customHeight="1" x14ac:dyDescent="0.2"/>
    <row r="249" s="869" customFormat="1" ht="11.25" customHeight="1" x14ac:dyDescent="0.2"/>
    <row r="250" s="869" customFormat="1" ht="11.25" customHeight="1" x14ac:dyDescent="0.2"/>
    <row r="251" s="869" customFormat="1" ht="11.25" customHeight="1" x14ac:dyDescent="0.2"/>
    <row r="252" s="869" customFormat="1" ht="11.25" customHeight="1" x14ac:dyDescent="0.2"/>
    <row r="253" s="869" customFormat="1" ht="11.25" customHeight="1" x14ac:dyDescent="0.2"/>
    <row r="254" s="869" customFormat="1" ht="11.25" customHeight="1" x14ac:dyDescent="0.2"/>
    <row r="255" s="869" customFormat="1" ht="11.25" customHeight="1" x14ac:dyDescent="0.2"/>
    <row r="256" s="869" customFormat="1" ht="11.25" customHeight="1" x14ac:dyDescent="0.2"/>
    <row r="257" s="869" customFormat="1" ht="11.25" customHeight="1" x14ac:dyDescent="0.2"/>
    <row r="258" s="869" customFormat="1" ht="11.25" customHeight="1" x14ac:dyDescent="0.2"/>
    <row r="259" s="869" customFormat="1" ht="11.25" customHeight="1" x14ac:dyDescent="0.2"/>
    <row r="260" s="869" customFormat="1" ht="11.25" customHeight="1" x14ac:dyDescent="0.2"/>
    <row r="261" s="869" customFormat="1" ht="11.25" customHeight="1" x14ac:dyDescent="0.2"/>
    <row r="262" s="869" customFormat="1" ht="11.25" customHeight="1" x14ac:dyDescent="0.2"/>
    <row r="263" s="869" customFormat="1" ht="11.25" customHeight="1" x14ac:dyDescent="0.2"/>
    <row r="264" s="869" customFormat="1" ht="11.25" customHeight="1" x14ac:dyDescent="0.2"/>
    <row r="265" s="869" customFormat="1" ht="11.25" customHeight="1" x14ac:dyDescent="0.2"/>
    <row r="266" s="869" customFormat="1" ht="11.25" customHeight="1" x14ac:dyDescent="0.2"/>
    <row r="267" s="869" customFormat="1" ht="11.25" customHeight="1" x14ac:dyDescent="0.2"/>
    <row r="268" s="869" customFormat="1" ht="11.25" customHeight="1" x14ac:dyDescent="0.2"/>
    <row r="269" s="869" customFormat="1" ht="11.25" customHeight="1" x14ac:dyDescent="0.2"/>
    <row r="270" s="869" customFormat="1" ht="11.25" customHeight="1" x14ac:dyDescent="0.2"/>
    <row r="271" s="869" customFormat="1" ht="11.25" customHeight="1" x14ac:dyDescent="0.2"/>
    <row r="272" s="869" customFormat="1" ht="11.25" customHeight="1" x14ac:dyDescent="0.2"/>
    <row r="273" s="869" customFormat="1" ht="11.25" customHeight="1" x14ac:dyDescent="0.2"/>
    <row r="274" s="869" customFormat="1" ht="11.25" customHeight="1" x14ac:dyDescent="0.2"/>
    <row r="275" s="869" customFormat="1" ht="11.25" customHeight="1" x14ac:dyDescent="0.2"/>
    <row r="276" s="869" customFormat="1" ht="11.25" customHeight="1" x14ac:dyDescent="0.2"/>
    <row r="277" s="869" customFormat="1" ht="11.25" customHeight="1" x14ac:dyDescent="0.2"/>
    <row r="278" s="869" customFormat="1" ht="11.25" customHeight="1" x14ac:dyDescent="0.2"/>
    <row r="279" s="869" customFormat="1" ht="11.25" customHeight="1" x14ac:dyDescent="0.2"/>
    <row r="280" s="869" customFormat="1" ht="11.25" customHeight="1" x14ac:dyDescent="0.2"/>
    <row r="281" s="869" customFormat="1" ht="11.25" customHeight="1" x14ac:dyDescent="0.2"/>
    <row r="282" s="869" customFormat="1" ht="11.25" customHeight="1" x14ac:dyDescent="0.2"/>
    <row r="283" s="869" customFormat="1" ht="11.25" customHeight="1" x14ac:dyDescent="0.2"/>
    <row r="284" s="869" customFormat="1" ht="11.25" customHeight="1" x14ac:dyDescent="0.2"/>
    <row r="285" s="869" customFormat="1" ht="11.25" customHeight="1" x14ac:dyDescent="0.2"/>
    <row r="286" s="869" customFormat="1" ht="11.25" customHeight="1" x14ac:dyDescent="0.2"/>
    <row r="287" s="869" customFormat="1" ht="11.25" customHeight="1" x14ac:dyDescent="0.2"/>
    <row r="288" s="869" customFormat="1" ht="11.25" customHeight="1" x14ac:dyDescent="0.2"/>
    <row r="289" s="869" customFormat="1" ht="11.25" customHeight="1" x14ac:dyDescent="0.2"/>
    <row r="290" s="869" customFormat="1" ht="11.25" customHeight="1" x14ac:dyDescent="0.2"/>
    <row r="291" s="869" customFormat="1" ht="11.25" customHeight="1" x14ac:dyDescent="0.2"/>
    <row r="292" s="869" customFormat="1" ht="11.25" customHeight="1" x14ac:dyDescent="0.2"/>
    <row r="293" s="869" customFormat="1" ht="11.25" customHeight="1" x14ac:dyDescent="0.2"/>
    <row r="294" s="869" customFormat="1" ht="11.25" customHeight="1" x14ac:dyDescent="0.2"/>
    <row r="295" s="869" customFormat="1" ht="11.25" customHeight="1" x14ac:dyDescent="0.2"/>
    <row r="296" s="869" customFormat="1" ht="11.25" customHeight="1" x14ac:dyDescent="0.2"/>
    <row r="297" s="869" customFormat="1" ht="11.25" customHeight="1" x14ac:dyDescent="0.2"/>
    <row r="298" s="869" customFormat="1" ht="11.25" customHeight="1" x14ac:dyDescent="0.2"/>
    <row r="299" s="869" customFormat="1" ht="11.25" customHeight="1" x14ac:dyDescent="0.2"/>
    <row r="300" s="869" customFormat="1" ht="11.25" customHeight="1" x14ac:dyDescent="0.2"/>
    <row r="301" s="869" customFormat="1" ht="11.25" customHeight="1" x14ac:dyDescent="0.2"/>
    <row r="302" s="869" customFormat="1" ht="11.25" customHeight="1" x14ac:dyDescent="0.2"/>
    <row r="303" s="869" customFormat="1" ht="11.25" customHeight="1" x14ac:dyDescent="0.2"/>
    <row r="304" s="869" customFormat="1" ht="11.25" customHeight="1" x14ac:dyDescent="0.2"/>
    <row r="305" s="869" customFormat="1" ht="11.25" customHeight="1" x14ac:dyDescent="0.2"/>
    <row r="306" s="869" customFormat="1" ht="11.25" customHeight="1" x14ac:dyDescent="0.2"/>
    <row r="307" s="869" customFormat="1" ht="11.25" customHeight="1" x14ac:dyDescent="0.2"/>
    <row r="308" s="869" customFormat="1" ht="11.25" customHeight="1" x14ac:dyDescent="0.2"/>
    <row r="309" s="869" customFormat="1" ht="11.25" customHeight="1" x14ac:dyDescent="0.2"/>
    <row r="310" s="869" customFormat="1" ht="11.25" customHeight="1" x14ac:dyDescent="0.2"/>
    <row r="311" s="869" customFormat="1" ht="11.25" customHeight="1" x14ac:dyDescent="0.2"/>
    <row r="312" s="869" customFormat="1" ht="11.25" customHeight="1" x14ac:dyDescent="0.2"/>
    <row r="313" s="869" customFormat="1" ht="11.25" customHeight="1" x14ac:dyDescent="0.2"/>
    <row r="314" s="869" customFormat="1" ht="11.25" customHeight="1" x14ac:dyDescent="0.2"/>
    <row r="315" s="869" customFormat="1" ht="11.25" customHeight="1" x14ac:dyDescent="0.2"/>
    <row r="316" s="869" customFormat="1" ht="11.25" customHeight="1" x14ac:dyDescent="0.2"/>
    <row r="317" s="869" customFormat="1" ht="11.25" customHeight="1" x14ac:dyDescent="0.2"/>
    <row r="318" s="869" customFormat="1" ht="11.25" customHeight="1" x14ac:dyDescent="0.2"/>
    <row r="319" s="869" customFormat="1" ht="11.25" customHeight="1" x14ac:dyDescent="0.2"/>
    <row r="320" s="869" customFormat="1" ht="11.25" customHeight="1" x14ac:dyDescent="0.2"/>
    <row r="321" s="869" customFormat="1" ht="11.25" customHeight="1" x14ac:dyDescent="0.2"/>
    <row r="322" s="869" customFormat="1" ht="11.25" customHeight="1" x14ac:dyDescent="0.2"/>
    <row r="323" s="869" customFormat="1" ht="11.25" customHeight="1" x14ac:dyDescent="0.2"/>
    <row r="324" s="869" customFormat="1" ht="11.25" customHeight="1" x14ac:dyDescent="0.2"/>
    <row r="325" s="869" customFormat="1" ht="11.25" customHeight="1" x14ac:dyDescent="0.2"/>
    <row r="326" s="869" customFormat="1" ht="11.25" customHeight="1" x14ac:dyDescent="0.2"/>
    <row r="327" s="869" customFormat="1" ht="11.25" customHeight="1" x14ac:dyDescent="0.2"/>
    <row r="328" s="869" customFormat="1" ht="11.25" customHeight="1" x14ac:dyDescent="0.2"/>
    <row r="329" s="869" customFormat="1" ht="11.25" customHeight="1" x14ac:dyDescent="0.2"/>
    <row r="330" s="869" customFormat="1" ht="11.25" customHeight="1" x14ac:dyDescent="0.2"/>
    <row r="331" s="869" customFormat="1" ht="11.25" customHeight="1" x14ac:dyDescent="0.2"/>
    <row r="332" s="869" customFormat="1" ht="11.25" customHeight="1" x14ac:dyDescent="0.2"/>
    <row r="333" s="869" customFormat="1" ht="11.25" customHeight="1" x14ac:dyDescent="0.2"/>
    <row r="334" s="869" customFormat="1" ht="11.25" customHeight="1" x14ac:dyDescent="0.2"/>
    <row r="335" s="869" customFormat="1" ht="11.25" customHeight="1" x14ac:dyDescent="0.2"/>
    <row r="336" s="869" customFormat="1" ht="11.25" customHeight="1" x14ac:dyDescent="0.2"/>
    <row r="337" s="869" customFormat="1" ht="11.25" customHeight="1" x14ac:dyDescent="0.2"/>
    <row r="338" s="869" customFormat="1" ht="11.25" customHeight="1" x14ac:dyDescent="0.2"/>
    <row r="339" s="869" customFormat="1" ht="11.25" customHeight="1" x14ac:dyDescent="0.2"/>
    <row r="340" s="869" customFormat="1" ht="11.25" customHeight="1" x14ac:dyDescent="0.2"/>
    <row r="341" s="869" customFormat="1" ht="11.25" customHeight="1" x14ac:dyDescent="0.2"/>
    <row r="342" s="869" customFormat="1" ht="11.25" customHeight="1" x14ac:dyDescent="0.2"/>
    <row r="343" s="869" customFormat="1" ht="11.25" customHeight="1" x14ac:dyDescent="0.2"/>
    <row r="344" s="869" customFormat="1" ht="11.25" customHeight="1" x14ac:dyDescent="0.2"/>
    <row r="345" s="869" customFormat="1" ht="11.25" customHeight="1" x14ac:dyDescent="0.2"/>
    <row r="346" s="869" customFormat="1" ht="11.25" customHeight="1" x14ac:dyDescent="0.2"/>
    <row r="347" s="869" customFormat="1" ht="11.25" customHeight="1" x14ac:dyDescent="0.2"/>
    <row r="348" s="869" customFormat="1" ht="11.25" customHeight="1" x14ac:dyDescent="0.2"/>
    <row r="349" s="869" customFormat="1" ht="11.25" customHeight="1" x14ac:dyDescent="0.2"/>
    <row r="350" s="869" customFormat="1" ht="11.25" customHeight="1" x14ac:dyDescent="0.2"/>
    <row r="351" s="869" customFormat="1" ht="11.25" customHeight="1" x14ac:dyDescent="0.2"/>
    <row r="352" s="869" customFormat="1" ht="11.25" customHeight="1" x14ac:dyDescent="0.2"/>
    <row r="353" s="869" customFormat="1" ht="11.25" customHeight="1" x14ac:dyDescent="0.2"/>
    <row r="354" s="869" customFormat="1" ht="11.25" customHeight="1" x14ac:dyDescent="0.2"/>
    <row r="355" s="869" customFormat="1" ht="11.25" customHeight="1" x14ac:dyDescent="0.2"/>
    <row r="356" s="869" customFormat="1" ht="11.25" customHeight="1" x14ac:dyDescent="0.2"/>
    <row r="357" s="869" customFormat="1" ht="11.25" customHeight="1" x14ac:dyDescent="0.2"/>
    <row r="358" s="869" customFormat="1" ht="11.25" customHeight="1" x14ac:dyDescent="0.2"/>
    <row r="359" s="869" customFormat="1" ht="11.25" customHeight="1" x14ac:dyDescent="0.2"/>
    <row r="360" s="869" customFormat="1" ht="11.25" customHeight="1" x14ac:dyDescent="0.2"/>
    <row r="361" s="869" customFormat="1" ht="11.25" customHeight="1" x14ac:dyDescent="0.2"/>
    <row r="362" s="869" customFormat="1" ht="11.25" customHeight="1" x14ac:dyDescent="0.2"/>
    <row r="363" s="869" customFormat="1" ht="11.25" customHeight="1" x14ac:dyDescent="0.2"/>
    <row r="364" s="869" customFormat="1" ht="11.25" customHeight="1" x14ac:dyDescent="0.2"/>
    <row r="365" s="869" customFormat="1" ht="11.25" customHeight="1" x14ac:dyDescent="0.2"/>
    <row r="366" s="869" customFormat="1" ht="11.25" customHeight="1" x14ac:dyDescent="0.2"/>
    <row r="367" s="869" customFormat="1" ht="11.25" customHeight="1" x14ac:dyDescent="0.2"/>
    <row r="368" s="869" customFormat="1" ht="11.25" customHeight="1" x14ac:dyDescent="0.2"/>
    <row r="369" s="869" customFormat="1" ht="11.25" customHeight="1" x14ac:dyDescent="0.2"/>
    <row r="370" s="869" customFormat="1" ht="11.25" customHeight="1" x14ac:dyDescent="0.2"/>
    <row r="371" s="869" customFormat="1" ht="11.25" customHeight="1" x14ac:dyDescent="0.2"/>
    <row r="372" s="869" customFormat="1" ht="11.25" customHeight="1" x14ac:dyDescent="0.2"/>
    <row r="373" s="869" customFormat="1" ht="11.25" customHeight="1" x14ac:dyDescent="0.2"/>
    <row r="374" s="869" customFormat="1" ht="11.25" customHeight="1" x14ac:dyDescent="0.2"/>
    <row r="375" s="869" customFormat="1" ht="11.25" customHeight="1" x14ac:dyDescent="0.2"/>
    <row r="376" s="869" customFormat="1" ht="11.25" customHeight="1" x14ac:dyDescent="0.2"/>
    <row r="377" s="869" customFormat="1" ht="11.25" customHeight="1" x14ac:dyDescent="0.2"/>
    <row r="378" s="869" customFormat="1" ht="11.25" customHeight="1" x14ac:dyDescent="0.2"/>
    <row r="379" s="869" customFormat="1" ht="11.25" customHeight="1" x14ac:dyDescent="0.2"/>
    <row r="380" s="869" customFormat="1" ht="11.25" customHeight="1" x14ac:dyDescent="0.2"/>
    <row r="381" s="869" customFormat="1" ht="11.25" customHeight="1" x14ac:dyDescent="0.2"/>
    <row r="382" s="869" customFormat="1" ht="11.25" customHeight="1" x14ac:dyDescent="0.2"/>
    <row r="383" s="869" customFormat="1" ht="11.25" customHeight="1" x14ac:dyDescent="0.2"/>
    <row r="384" s="869" customFormat="1" ht="11.25" customHeight="1" x14ac:dyDescent="0.2"/>
    <row r="385" s="869" customFormat="1" ht="11.25" customHeight="1" x14ac:dyDescent="0.2"/>
    <row r="386" s="869" customFormat="1" ht="11.25" customHeight="1" x14ac:dyDescent="0.2"/>
    <row r="387" s="869" customFormat="1" ht="11.25" customHeight="1" x14ac:dyDescent="0.2"/>
    <row r="388" s="869" customFormat="1" ht="11.25" customHeight="1" x14ac:dyDescent="0.2"/>
    <row r="389" s="869" customFormat="1" ht="11.25" customHeight="1" x14ac:dyDescent="0.2"/>
    <row r="390" s="869" customFormat="1" ht="11.25" customHeight="1" x14ac:dyDescent="0.2"/>
    <row r="391" s="869" customFormat="1" ht="11.25" customHeight="1" x14ac:dyDescent="0.2"/>
    <row r="392" s="869" customFormat="1" ht="11.25" customHeight="1" x14ac:dyDescent="0.2"/>
    <row r="393" s="869" customFormat="1" ht="11.25" customHeight="1" x14ac:dyDescent="0.2"/>
    <row r="394" s="869" customFormat="1" ht="11.25" customHeight="1" x14ac:dyDescent="0.2"/>
    <row r="395" s="869" customFormat="1" ht="11.25" customHeight="1" x14ac:dyDescent="0.2"/>
    <row r="396" s="869" customFormat="1" ht="11.25" customHeight="1" x14ac:dyDescent="0.2"/>
    <row r="397" s="869" customFormat="1" ht="11.25" customHeight="1" x14ac:dyDescent="0.2"/>
    <row r="398" s="869" customFormat="1" ht="11.25" customHeight="1" x14ac:dyDescent="0.2"/>
    <row r="399" s="869" customFormat="1" ht="11.25" customHeight="1" x14ac:dyDescent="0.2"/>
    <row r="400" s="869" customFormat="1" ht="11.25" customHeight="1" x14ac:dyDescent="0.2"/>
    <row r="401" s="869" customFormat="1" ht="11.25" customHeight="1" x14ac:dyDescent="0.2"/>
    <row r="402" s="869" customFormat="1" ht="11.25" customHeight="1" x14ac:dyDescent="0.2"/>
    <row r="403" s="869" customFormat="1" ht="11.25" customHeight="1" x14ac:dyDescent="0.2"/>
    <row r="404" s="869" customFormat="1" ht="11.25" customHeight="1" x14ac:dyDescent="0.2"/>
    <row r="405" s="869" customFormat="1" ht="11.25" customHeight="1" x14ac:dyDescent="0.2"/>
    <row r="406" s="869" customFormat="1" ht="11.25" customHeight="1" x14ac:dyDescent="0.2"/>
    <row r="407" s="869" customFormat="1" ht="11.25" customHeight="1" x14ac:dyDescent="0.2"/>
    <row r="408" s="869" customFormat="1" ht="11.25" customHeight="1" x14ac:dyDescent="0.2"/>
    <row r="409" s="869" customFormat="1" ht="11.25" customHeight="1" x14ac:dyDescent="0.2"/>
    <row r="410" s="869" customFormat="1" ht="11.25" customHeight="1" x14ac:dyDescent="0.2"/>
    <row r="411" s="869" customFormat="1" ht="11.25" customHeight="1" x14ac:dyDescent="0.2"/>
    <row r="412" s="869" customFormat="1" ht="11.25" customHeight="1" x14ac:dyDescent="0.2"/>
    <row r="413" s="869" customFormat="1" ht="11.25" customHeight="1" x14ac:dyDescent="0.2"/>
    <row r="414" s="869" customFormat="1" ht="11.25" customHeight="1" x14ac:dyDescent="0.2"/>
    <row r="415" s="869" customFormat="1" ht="11.25" customHeight="1" x14ac:dyDescent="0.2"/>
    <row r="416" s="869" customFormat="1" ht="11.25" customHeight="1" x14ac:dyDescent="0.2"/>
    <row r="417" s="869" customFormat="1" ht="11.25" customHeight="1" x14ac:dyDescent="0.2"/>
    <row r="418" s="869" customFormat="1" ht="11.25" customHeight="1" x14ac:dyDescent="0.2"/>
    <row r="419" s="869" customFormat="1" ht="11.25" customHeight="1" x14ac:dyDescent="0.2"/>
    <row r="420" s="869" customFormat="1" ht="11.25" customHeight="1" x14ac:dyDescent="0.2"/>
    <row r="421" s="869" customFormat="1" ht="11.25" customHeight="1" x14ac:dyDescent="0.2"/>
    <row r="422" s="869" customFormat="1" ht="11.25" customHeight="1" x14ac:dyDescent="0.2"/>
    <row r="423" s="869" customFormat="1" ht="11.25" customHeight="1" x14ac:dyDescent="0.2"/>
    <row r="424" s="869" customFormat="1" ht="11.25" customHeight="1" x14ac:dyDescent="0.2"/>
    <row r="425" s="869" customFormat="1" ht="11.25" customHeight="1" x14ac:dyDescent="0.2"/>
    <row r="426" s="869" customFormat="1" ht="11.25" customHeight="1" x14ac:dyDescent="0.2"/>
    <row r="427" s="869" customFormat="1" ht="11.25" customHeight="1" x14ac:dyDescent="0.2"/>
    <row r="428" s="869" customFormat="1" ht="11.25" customHeight="1" x14ac:dyDescent="0.2"/>
    <row r="429" s="869" customFormat="1" ht="11.25" customHeight="1" x14ac:dyDescent="0.2"/>
    <row r="430" s="869" customFormat="1" ht="11.25" customHeight="1" x14ac:dyDescent="0.2"/>
    <row r="431" s="869" customFormat="1" ht="11.25" customHeight="1" x14ac:dyDescent="0.2"/>
    <row r="432" s="869" customFormat="1" ht="11.25" customHeight="1" x14ac:dyDescent="0.2"/>
    <row r="433" s="869" customFormat="1" ht="11.25" customHeight="1" x14ac:dyDescent="0.2"/>
    <row r="434" s="869" customFormat="1" ht="11.25" customHeight="1" x14ac:dyDescent="0.2"/>
    <row r="435" s="869" customFormat="1" ht="11.25" customHeight="1" x14ac:dyDescent="0.2"/>
    <row r="436" s="869" customFormat="1" ht="11.25" customHeight="1" x14ac:dyDescent="0.2"/>
    <row r="437" s="869" customFormat="1" ht="11.25" customHeight="1" x14ac:dyDescent="0.2"/>
    <row r="438" s="869" customFormat="1" ht="11.25" customHeight="1" x14ac:dyDescent="0.2"/>
    <row r="439" s="869" customFormat="1" ht="11.25" customHeight="1" x14ac:dyDescent="0.2"/>
    <row r="440" s="869" customFormat="1" ht="11.25" customHeight="1" x14ac:dyDescent="0.2"/>
    <row r="441" s="869" customFormat="1" ht="11.25" customHeight="1" x14ac:dyDescent="0.2"/>
    <row r="442" s="869" customFormat="1" ht="11.25" customHeight="1" x14ac:dyDescent="0.2"/>
    <row r="443" s="869" customFormat="1" ht="11.25" customHeight="1" x14ac:dyDescent="0.2"/>
    <row r="444" s="869" customFormat="1" ht="11.25" customHeight="1" x14ac:dyDescent="0.2"/>
    <row r="445" s="869" customFormat="1" ht="11.25" customHeight="1" x14ac:dyDescent="0.2"/>
    <row r="446" s="869" customFormat="1" ht="11.25" customHeight="1" x14ac:dyDescent="0.2"/>
    <row r="447" s="869" customFormat="1" ht="11.25" customHeight="1" x14ac:dyDescent="0.2"/>
    <row r="448" s="869" customFormat="1" ht="11.25" customHeight="1" x14ac:dyDescent="0.2"/>
    <row r="449" s="869" customFormat="1" ht="11.25" customHeight="1" x14ac:dyDescent="0.2"/>
    <row r="450" s="869" customFormat="1" ht="11.25" customHeight="1" x14ac:dyDescent="0.2"/>
    <row r="451" s="869" customFormat="1" ht="11.25" customHeight="1" x14ac:dyDescent="0.2"/>
    <row r="452" s="869" customFormat="1" ht="11.25" customHeight="1" x14ac:dyDescent="0.2"/>
    <row r="453" s="869" customFormat="1" ht="11.25" customHeight="1" x14ac:dyDescent="0.2"/>
    <row r="454" s="869" customFormat="1" ht="11.25" customHeight="1" x14ac:dyDescent="0.2"/>
    <row r="455" s="869" customFormat="1" ht="11.25" customHeight="1" x14ac:dyDescent="0.2"/>
    <row r="456" s="869" customFormat="1" ht="11.25" customHeight="1" x14ac:dyDescent="0.2"/>
    <row r="457" s="869" customFormat="1" ht="11.25" customHeight="1" x14ac:dyDescent="0.2"/>
    <row r="458" s="869" customFormat="1" ht="11.25" customHeight="1" x14ac:dyDescent="0.2"/>
    <row r="459" s="869" customFormat="1" ht="11.25" customHeight="1" x14ac:dyDescent="0.2"/>
    <row r="460" s="869" customFormat="1" ht="11.25" customHeight="1" x14ac:dyDescent="0.2"/>
    <row r="461" s="869" customFormat="1" ht="11.25" customHeight="1" x14ac:dyDescent="0.2"/>
    <row r="462" s="869" customFormat="1" ht="11.25" customHeight="1" x14ac:dyDescent="0.2"/>
    <row r="463" s="869" customFormat="1" ht="11.25" customHeight="1" x14ac:dyDescent="0.2"/>
    <row r="464" s="869" customFormat="1" ht="11.25" customHeight="1" x14ac:dyDescent="0.2"/>
    <row r="465" s="869" customFormat="1" ht="11.25" customHeight="1" x14ac:dyDescent="0.2"/>
    <row r="466" s="869" customFormat="1" ht="11.25" customHeight="1" x14ac:dyDescent="0.2"/>
    <row r="467" s="869" customFormat="1" ht="11.25" customHeight="1" x14ac:dyDescent="0.2"/>
    <row r="468" s="869" customFormat="1" ht="11.25" customHeight="1" x14ac:dyDescent="0.2"/>
    <row r="469" s="869" customFormat="1" ht="11.25" customHeight="1" x14ac:dyDescent="0.2"/>
    <row r="470" s="869" customFormat="1" ht="11.25" customHeight="1" x14ac:dyDescent="0.2"/>
    <row r="471" s="869" customFormat="1" ht="11.25" customHeight="1" x14ac:dyDescent="0.2"/>
    <row r="472" s="869" customFormat="1" ht="11.25" customHeight="1" x14ac:dyDescent="0.2"/>
    <row r="473" s="869" customFormat="1" ht="11.25" customHeight="1" x14ac:dyDescent="0.2"/>
    <row r="474" s="869" customFormat="1" ht="11.25" customHeight="1" x14ac:dyDescent="0.2"/>
    <row r="475" s="869" customFormat="1" ht="11.25" customHeight="1" x14ac:dyDescent="0.2"/>
    <row r="476" s="869" customFormat="1" ht="11.25" customHeight="1" x14ac:dyDescent="0.2"/>
    <row r="477" s="869" customFormat="1" ht="11.25" customHeight="1" x14ac:dyDescent="0.2"/>
    <row r="478" s="869" customFormat="1" ht="11.25" customHeight="1" x14ac:dyDescent="0.2"/>
    <row r="479" s="869" customFormat="1" ht="11.25" customHeight="1" x14ac:dyDescent="0.2"/>
    <row r="480" s="869" customFormat="1" ht="11.25" customHeight="1" x14ac:dyDescent="0.2"/>
    <row r="481" s="869" customFormat="1" ht="11.25" customHeight="1" x14ac:dyDescent="0.2"/>
    <row r="482" s="869" customFormat="1" ht="11.25" customHeight="1" x14ac:dyDescent="0.2"/>
    <row r="483" s="869" customFormat="1" ht="11.25" customHeight="1" x14ac:dyDescent="0.2"/>
    <row r="484" s="869" customFormat="1" ht="11.25" customHeight="1" x14ac:dyDescent="0.2"/>
    <row r="485" s="869" customFormat="1" ht="11.25" customHeight="1" x14ac:dyDescent="0.2"/>
    <row r="486" s="869" customFormat="1" ht="11.25" customHeight="1" x14ac:dyDescent="0.2"/>
    <row r="487" s="869" customFormat="1" ht="11.25" customHeight="1" x14ac:dyDescent="0.2"/>
    <row r="488" s="869" customFormat="1" ht="11.25" customHeight="1" x14ac:dyDescent="0.2"/>
    <row r="489" s="869" customFormat="1" ht="11.25" customHeight="1" x14ac:dyDescent="0.2"/>
    <row r="490" s="869" customFormat="1" ht="11.25" customHeight="1" x14ac:dyDescent="0.2"/>
    <row r="491" s="869" customFormat="1" ht="11.25" customHeight="1" x14ac:dyDescent="0.2"/>
    <row r="492" s="869" customFormat="1" ht="11.25" customHeight="1" x14ac:dyDescent="0.2"/>
    <row r="493" s="869" customFormat="1" ht="11.25" customHeight="1" x14ac:dyDescent="0.2"/>
    <row r="494" s="869" customFormat="1" ht="11.25" customHeight="1" x14ac:dyDescent="0.2"/>
    <row r="495" s="869" customFormat="1" ht="11.25" customHeight="1" x14ac:dyDescent="0.2"/>
    <row r="496" s="869" customFormat="1" ht="11.25" customHeight="1" x14ac:dyDescent="0.2"/>
    <row r="497" s="869" customFormat="1" ht="11.25" customHeight="1" x14ac:dyDescent="0.2"/>
    <row r="498" s="869" customFormat="1" ht="11.25" customHeight="1" x14ac:dyDescent="0.2"/>
    <row r="499" s="869" customFormat="1" ht="11.25" customHeight="1" x14ac:dyDescent="0.2"/>
    <row r="500" s="869" customFormat="1" ht="11.25" customHeight="1" x14ac:dyDescent="0.2"/>
    <row r="501" s="869" customFormat="1" ht="11.25" customHeight="1" x14ac:dyDescent="0.2"/>
    <row r="502" s="869" customFormat="1" ht="11.25" customHeight="1" x14ac:dyDescent="0.2"/>
    <row r="503" s="869" customFormat="1" ht="11.25" customHeight="1" x14ac:dyDescent="0.2"/>
    <row r="504" s="869" customFormat="1" ht="11.25" customHeight="1" x14ac:dyDescent="0.2"/>
    <row r="505" s="869" customFormat="1" ht="11.25" customHeight="1" x14ac:dyDescent="0.2"/>
    <row r="506" s="869" customFormat="1" ht="11.25" customHeight="1" x14ac:dyDescent="0.2"/>
    <row r="507" s="869" customFormat="1" ht="11.25" customHeight="1" x14ac:dyDescent="0.2"/>
    <row r="508" s="869" customFormat="1" ht="11.25" customHeight="1" x14ac:dyDescent="0.2"/>
    <row r="509" s="869" customFormat="1" ht="11.25" customHeight="1" x14ac:dyDescent="0.2"/>
    <row r="510" s="869" customFormat="1" ht="11.25" customHeight="1" x14ac:dyDescent="0.2"/>
    <row r="511" s="869" customFormat="1" ht="11.25" customHeight="1" x14ac:dyDescent="0.2"/>
    <row r="512" s="869" customFormat="1" ht="11.25" customHeight="1" x14ac:dyDescent="0.2"/>
    <row r="513" s="869" customFormat="1" ht="11.25" customHeight="1" x14ac:dyDescent="0.2"/>
    <row r="514" s="869" customFormat="1" ht="11.25" customHeight="1" x14ac:dyDescent="0.2"/>
    <row r="515" s="869" customFormat="1" ht="11.25" customHeight="1" x14ac:dyDescent="0.2"/>
    <row r="516" s="869" customFormat="1" ht="11.25" customHeight="1" x14ac:dyDescent="0.2"/>
    <row r="517" s="869" customFormat="1" ht="11.25" customHeight="1" x14ac:dyDescent="0.2"/>
    <row r="518" s="869" customFormat="1" ht="11.25" customHeight="1" x14ac:dyDescent="0.2"/>
    <row r="519" s="869" customFormat="1" ht="11.25" customHeight="1" x14ac:dyDescent="0.2"/>
    <row r="520" s="869" customFormat="1" ht="11.25" customHeight="1" x14ac:dyDescent="0.2"/>
    <row r="521" s="869" customFormat="1" ht="11.25" customHeight="1" x14ac:dyDescent="0.2"/>
    <row r="522" s="869" customFormat="1" ht="11.25" customHeight="1" x14ac:dyDescent="0.2"/>
    <row r="523" s="869" customFormat="1" ht="11.25" customHeight="1" x14ac:dyDescent="0.2"/>
    <row r="524" s="869" customFormat="1" ht="11.25" customHeight="1" x14ac:dyDescent="0.2"/>
    <row r="525" s="869" customFormat="1" ht="11.25" customHeight="1" x14ac:dyDescent="0.2"/>
    <row r="526" s="869" customFormat="1" ht="11.25" customHeight="1" x14ac:dyDescent="0.2"/>
    <row r="527" s="869" customFormat="1" ht="11.25" customHeight="1" x14ac:dyDescent="0.2"/>
    <row r="528" s="869" customFormat="1" ht="11.25" customHeight="1" x14ac:dyDescent="0.2"/>
    <row r="529" s="869" customFormat="1" ht="11.25" customHeight="1" x14ac:dyDescent="0.2"/>
    <row r="530" s="869" customFormat="1" ht="11.25" customHeight="1" x14ac:dyDescent="0.2"/>
    <row r="531" s="869" customFormat="1" ht="11.25" customHeight="1" x14ac:dyDescent="0.2"/>
    <row r="532" s="869" customFormat="1" ht="11.25" customHeight="1" x14ac:dyDescent="0.2"/>
    <row r="533" s="869" customFormat="1" ht="11.25" customHeight="1" x14ac:dyDescent="0.2"/>
    <row r="534" s="869" customFormat="1" ht="11.25" customHeight="1" x14ac:dyDescent="0.2"/>
    <row r="535" s="869" customFormat="1" ht="11.25" customHeight="1" x14ac:dyDescent="0.2"/>
    <row r="536" s="869" customFormat="1" ht="11.25" customHeight="1" x14ac:dyDescent="0.2"/>
    <row r="537" s="869" customFormat="1" ht="11.25" customHeight="1" x14ac:dyDescent="0.2"/>
    <row r="538" s="869" customFormat="1" ht="11.25" customHeight="1" x14ac:dyDescent="0.2"/>
    <row r="539" s="869" customFormat="1" ht="11.25" customHeight="1" x14ac:dyDescent="0.2"/>
    <row r="540" s="869" customFormat="1" ht="11.25" customHeight="1" x14ac:dyDescent="0.2"/>
    <row r="541" s="869" customFormat="1" ht="11.25" customHeight="1" x14ac:dyDescent="0.2"/>
    <row r="542" s="869" customFormat="1" ht="11.25" customHeight="1" x14ac:dyDescent="0.2"/>
    <row r="543" s="869" customFormat="1" ht="11.25" customHeight="1" x14ac:dyDescent="0.2"/>
    <row r="544" s="869" customFormat="1" ht="11.25" customHeight="1" x14ac:dyDescent="0.2"/>
    <row r="545" s="869" customFormat="1" ht="11.25" customHeight="1" x14ac:dyDescent="0.2"/>
    <row r="546" s="869" customFormat="1" ht="11.25" customHeight="1" x14ac:dyDescent="0.2"/>
    <row r="547" s="869" customFormat="1" ht="11.25" customHeight="1" x14ac:dyDescent="0.2"/>
    <row r="548" s="869" customFormat="1" ht="11.25" customHeight="1" x14ac:dyDescent="0.2"/>
    <row r="549" s="869" customFormat="1" ht="11.25" customHeight="1" x14ac:dyDescent="0.2"/>
    <row r="550" s="869" customFormat="1" ht="11.25" customHeight="1" x14ac:dyDescent="0.2"/>
    <row r="551" s="869" customFormat="1" ht="11.25" customHeight="1" x14ac:dyDescent="0.2"/>
    <row r="552" s="869" customFormat="1" ht="11.25" customHeight="1" x14ac:dyDescent="0.2"/>
    <row r="553" s="869" customFormat="1" ht="11.25" customHeight="1" x14ac:dyDescent="0.2"/>
    <row r="554" s="869" customFormat="1" ht="11.25" customHeight="1" x14ac:dyDescent="0.2"/>
    <row r="555" s="869" customFormat="1" ht="11.25" customHeight="1" x14ac:dyDescent="0.2"/>
    <row r="556" s="869" customFormat="1" ht="11.25" customHeight="1" x14ac:dyDescent="0.2"/>
    <row r="557" s="869" customFormat="1" ht="11.25" customHeight="1" x14ac:dyDescent="0.2"/>
    <row r="558" s="869" customFormat="1" ht="11.25" customHeight="1" x14ac:dyDescent="0.2"/>
    <row r="559" s="869" customFormat="1" ht="11.25" customHeight="1" x14ac:dyDescent="0.2"/>
    <row r="560" s="869" customFormat="1" ht="11.25" customHeight="1" x14ac:dyDescent="0.2"/>
    <row r="561" s="869" customFormat="1" ht="11.25" customHeight="1" x14ac:dyDescent="0.2"/>
    <row r="562" s="869" customFormat="1" ht="11.25" customHeight="1" x14ac:dyDescent="0.2"/>
    <row r="563" s="869" customFormat="1" ht="11.25" customHeight="1" x14ac:dyDescent="0.2"/>
    <row r="564" s="869" customFormat="1" ht="11.25" customHeight="1" x14ac:dyDescent="0.2"/>
    <row r="565" s="869" customFormat="1" ht="11.25" customHeight="1" x14ac:dyDescent="0.2"/>
    <row r="566" s="869" customFormat="1" ht="11.25" customHeight="1" x14ac:dyDescent="0.2"/>
    <row r="567" s="869" customFormat="1" ht="11.25" customHeight="1" x14ac:dyDescent="0.2"/>
    <row r="568" s="869" customFormat="1" ht="11.25" customHeight="1" x14ac:dyDescent="0.2"/>
    <row r="569" s="869" customFormat="1" ht="11.25" customHeight="1" x14ac:dyDescent="0.2"/>
    <row r="570" s="869" customFormat="1" ht="11.25" customHeight="1" x14ac:dyDescent="0.2"/>
    <row r="571" s="869" customFormat="1" ht="11.25" customHeight="1" x14ac:dyDescent="0.2"/>
    <row r="572" s="869" customFormat="1" ht="11.25" customHeight="1" x14ac:dyDescent="0.2"/>
    <row r="573" s="869" customFormat="1" ht="11.25" customHeight="1" x14ac:dyDescent="0.2"/>
    <row r="574" s="869" customFormat="1" ht="11.25" customHeight="1" x14ac:dyDescent="0.2"/>
    <row r="575" s="869" customFormat="1" ht="11.25" customHeight="1" x14ac:dyDescent="0.2"/>
    <row r="576" s="869" customFormat="1" ht="11.25" customHeight="1" x14ac:dyDescent="0.2"/>
    <row r="577" s="869" customFormat="1" ht="11.25" customHeight="1" x14ac:dyDescent="0.2"/>
    <row r="578" s="869" customFormat="1" ht="11.25" customHeight="1" x14ac:dyDescent="0.2"/>
    <row r="579" s="869" customFormat="1" ht="11.25" customHeight="1" x14ac:dyDescent="0.2"/>
    <row r="580" s="869" customFormat="1" ht="11.25" customHeight="1" x14ac:dyDescent="0.2"/>
    <row r="581" s="869" customFormat="1" ht="11.25" customHeight="1" x14ac:dyDescent="0.2"/>
    <row r="582" s="869" customFormat="1" ht="11.25" customHeight="1" x14ac:dyDescent="0.2"/>
    <row r="583" s="869" customFormat="1" ht="11.25" customHeight="1" x14ac:dyDescent="0.2"/>
    <row r="584" s="869" customFormat="1" ht="11.25" customHeight="1" x14ac:dyDescent="0.2"/>
    <row r="585" s="869" customFormat="1" ht="11.25" customHeight="1" x14ac:dyDescent="0.2"/>
    <row r="586" s="869" customFormat="1" ht="11.25" customHeight="1" x14ac:dyDescent="0.2"/>
    <row r="587" s="869" customFormat="1" ht="11.25" customHeight="1" x14ac:dyDescent="0.2"/>
    <row r="588" s="869" customFormat="1" ht="11.25" customHeight="1" x14ac:dyDescent="0.2"/>
    <row r="589" s="869" customFormat="1" ht="11.25" customHeight="1" x14ac:dyDescent="0.2"/>
    <row r="590" s="869" customFormat="1" ht="11.25" customHeight="1" x14ac:dyDescent="0.2"/>
    <row r="591" s="869" customFormat="1" ht="11.25" customHeight="1" x14ac:dyDescent="0.2"/>
    <row r="592" s="869" customFormat="1" ht="11.25" customHeight="1" x14ac:dyDescent="0.2"/>
    <row r="593" s="869" customFormat="1" ht="11.25" customHeight="1" x14ac:dyDescent="0.2"/>
    <row r="594" s="869" customFormat="1" ht="11.25" customHeight="1" x14ac:dyDescent="0.2"/>
    <row r="595" s="869" customFormat="1" ht="11.25" customHeight="1" x14ac:dyDescent="0.2"/>
    <row r="596" s="869" customFormat="1" ht="11.25" customHeight="1" x14ac:dyDescent="0.2"/>
    <row r="597" s="869" customFormat="1" ht="11.25" customHeight="1" x14ac:dyDescent="0.2"/>
    <row r="598" s="869" customFormat="1" ht="11.25" customHeight="1" x14ac:dyDescent="0.2"/>
    <row r="599" s="869" customFormat="1" ht="11.25" customHeight="1" x14ac:dyDescent="0.2"/>
    <row r="600" s="869" customFormat="1" ht="11.25" customHeight="1" x14ac:dyDescent="0.2"/>
    <row r="601" s="869" customFormat="1" ht="11.25" customHeight="1" x14ac:dyDescent="0.2"/>
    <row r="602" s="869" customFormat="1" ht="11.25" customHeight="1" x14ac:dyDescent="0.2"/>
    <row r="603" s="869" customFormat="1" ht="11.25" customHeight="1" x14ac:dyDescent="0.2"/>
    <row r="604" s="869" customFormat="1" ht="11.25" customHeight="1" x14ac:dyDescent="0.2"/>
    <row r="605" s="869" customFormat="1" ht="11.25" customHeight="1" x14ac:dyDescent="0.2"/>
    <row r="606" s="869" customFormat="1" ht="11.25" customHeight="1" x14ac:dyDescent="0.2"/>
    <row r="607" s="869" customFormat="1" ht="11.25" customHeight="1" x14ac:dyDescent="0.2"/>
    <row r="608" s="869" customFormat="1" ht="11.25" customHeight="1" x14ac:dyDescent="0.2"/>
    <row r="609" s="869" customFormat="1" ht="11.25" customHeight="1" x14ac:dyDescent="0.2"/>
    <row r="610" s="869" customFormat="1" ht="11.25" customHeight="1" x14ac:dyDescent="0.2"/>
    <row r="611" s="869" customFormat="1" ht="11.25" customHeight="1" x14ac:dyDescent="0.2"/>
    <row r="612" s="869" customFormat="1" ht="11.25" customHeight="1" x14ac:dyDescent="0.2"/>
    <row r="613" s="869" customFormat="1" ht="11.25" customHeight="1" x14ac:dyDescent="0.2"/>
    <row r="614" s="869" customFormat="1" ht="11.25" customHeight="1" x14ac:dyDescent="0.2"/>
    <row r="615" s="869" customFormat="1" ht="11.25" customHeight="1" x14ac:dyDescent="0.2"/>
    <row r="616" s="869" customFormat="1" ht="11.25" customHeight="1" x14ac:dyDescent="0.2"/>
    <row r="617" s="869" customFormat="1" ht="11.25" customHeight="1" x14ac:dyDescent="0.2"/>
    <row r="618" s="869" customFormat="1" ht="11.25" customHeight="1" x14ac:dyDescent="0.2"/>
    <row r="619" s="869" customFormat="1" ht="11.25" customHeight="1" x14ac:dyDescent="0.2"/>
    <row r="620" s="869" customFormat="1" ht="11.25" customHeight="1" x14ac:dyDescent="0.2"/>
    <row r="621" s="869" customFormat="1" ht="11.25" customHeight="1" x14ac:dyDescent="0.2"/>
    <row r="622" s="869" customFormat="1" ht="11.25" customHeight="1" x14ac:dyDescent="0.2"/>
    <row r="623" s="869" customFormat="1" ht="11.25" customHeight="1" x14ac:dyDescent="0.2"/>
    <row r="624" s="869" customFormat="1" ht="11.25" customHeight="1" x14ac:dyDescent="0.2"/>
    <row r="625" s="869" customFormat="1" ht="11.25" customHeight="1" x14ac:dyDescent="0.2"/>
    <row r="626" s="869" customFormat="1" ht="11.25" customHeight="1" x14ac:dyDescent="0.2"/>
    <row r="627" s="869" customFormat="1" ht="11.25" customHeight="1" x14ac:dyDescent="0.2"/>
    <row r="628" s="869" customFormat="1" ht="11.25" customHeight="1" x14ac:dyDescent="0.2"/>
    <row r="629" s="869" customFormat="1" ht="11.25" customHeight="1" x14ac:dyDescent="0.2"/>
    <row r="630" s="869" customFormat="1" ht="11.25" customHeight="1" x14ac:dyDescent="0.2"/>
    <row r="631" s="869" customFormat="1" ht="11.25" customHeight="1" x14ac:dyDescent="0.2"/>
    <row r="632" s="869" customFormat="1" ht="11.25" customHeight="1" x14ac:dyDescent="0.2"/>
    <row r="633" s="869" customFormat="1" ht="11.25" customHeight="1" x14ac:dyDescent="0.2"/>
    <row r="634" s="869" customFormat="1" ht="11.25" customHeight="1" x14ac:dyDescent="0.2"/>
    <row r="635" s="869" customFormat="1" ht="11.25" customHeight="1" x14ac:dyDescent="0.2"/>
    <row r="636" s="869" customFormat="1" ht="11.25" customHeight="1" x14ac:dyDescent="0.2"/>
    <row r="637" s="869" customFormat="1" ht="11.25" customHeight="1" x14ac:dyDescent="0.2"/>
    <row r="638" s="869" customFormat="1" ht="11.25" customHeight="1" x14ac:dyDescent="0.2"/>
    <row r="639" s="869" customFormat="1" ht="11.25" customHeight="1" x14ac:dyDescent="0.2"/>
    <row r="640" s="869" customFormat="1" ht="11.25" customHeight="1" x14ac:dyDescent="0.2"/>
    <row r="641" s="869" customFormat="1" ht="11.25" customHeight="1" x14ac:dyDescent="0.2"/>
    <row r="642" s="869" customFormat="1" ht="11.25" customHeight="1" x14ac:dyDescent="0.2"/>
    <row r="643" s="869" customFormat="1" ht="11.25" customHeight="1" x14ac:dyDescent="0.2"/>
    <row r="644" s="869" customFormat="1" ht="11.25" customHeight="1" x14ac:dyDescent="0.2"/>
    <row r="645" s="869" customFormat="1" ht="11.25" customHeight="1" x14ac:dyDescent="0.2"/>
    <row r="646" s="869" customFormat="1" ht="11.25" customHeight="1" x14ac:dyDescent="0.2"/>
    <row r="647" s="869" customFormat="1" ht="11.25" customHeight="1" x14ac:dyDescent="0.2"/>
    <row r="648" s="869" customFormat="1" ht="11.25" customHeight="1" x14ac:dyDescent="0.2"/>
    <row r="649" s="869" customFormat="1" ht="11.25" customHeight="1" x14ac:dyDescent="0.2"/>
    <row r="650" s="869" customFormat="1" ht="11.25" customHeight="1" x14ac:dyDescent="0.2"/>
    <row r="651" s="869" customFormat="1" ht="11.25" customHeight="1" x14ac:dyDescent="0.2"/>
    <row r="652" s="869" customFormat="1" ht="11.25" customHeight="1" x14ac:dyDescent="0.2"/>
    <row r="653" s="869" customFormat="1" ht="11.25" customHeight="1" x14ac:dyDescent="0.2"/>
    <row r="654" s="869" customFormat="1" ht="11.25" customHeight="1" x14ac:dyDescent="0.2"/>
    <row r="655" s="869" customFormat="1" ht="11.25" customHeight="1" x14ac:dyDescent="0.2"/>
    <row r="656" s="869" customFormat="1" ht="11.25" customHeight="1" x14ac:dyDescent="0.2"/>
    <row r="657" s="869" customFormat="1" ht="11.25" customHeight="1" x14ac:dyDescent="0.2"/>
    <row r="658" s="869" customFormat="1" ht="11.25" customHeight="1" x14ac:dyDescent="0.2"/>
    <row r="659" s="869" customFormat="1" ht="11.25" customHeight="1" x14ac:dyDescent="0.2"/>
    <row r="660" s="869" customFormat="1" ht="11.25" customHeight="1" x14ac:dyDescent="0.2"/>
    <row r="661" s="869" customFormat="1" ht="11.25" customHeight="1" x14ac:dyDescent="0.2"/>
    <row r="662" s="869" customFormat="1" ht="11.25" customHeight="1" x14ac:dyDescent="0.2"/>
    <row r="663" s="869" customFormat="1" ht="11.25" customHeight="1" x14ac:dyDescent="0.2"/>
    <row r="664" s="869" customFormat="1" ht="11.25" customHeight="1" x14ac:dyDescent="0.2"/>
    <row r="665" s="869" customFormat="1" ht="11.25" customHeight="1" x14ac:dyDescent="0.2"/>
    <row r="666" s="869" customFormat="1" ht="11.25" customHeight="1" x14ac:dyDescent="0.2"/>
    <row r="667" s="869" customFormat="1" ht="11.25" customHeight="1" x14ac:dyDescent="0.2"/>
    <row r="668" s="869" customFormat="1" ht="11.25" customHeight="1" x14ac:dyDescent="0.2"/>
    <row r="669" s="869" customFormat="1" ht="11.25" customHeight="1" x14ac:dyDescent="0.2"/>
    <row r="670" s="869" customFormat="1" ht="11.25" customHeight="1" x14ac:dyDescent="0.2"/>
    <row r="671" s="869" customFormat="1" ht="11.25" customHeight="1" x14ac:dyDescent="0.2"/>
    <row r="672" s="869" customFormat="1" ht="11.25" customHeight="1" x14ac:dyDescent="0.2"/>
    <row r="673" s="869" customFormat="1" ht="11.25" customHeight="1" x14ac:dyDescent="0.2"/>
    <row r="674" s="869" customFormat="1" ht="11.25" customHeight="1" x14ac:dyDescent="0.2"/>
    <row r="675" s="869" customFormat="1" ht="11.25" customHeight="1" x14ac:dyDescent="0.2"/>
    <row r="676" s="869" customFormat="1" ht="11.25" customHeight="1" x14ac:dyDescent="0.2"/>
    <row r="677" s="869" customFormat="1" ht="11.25" customHeight="1" x14ac:dyDescent="0.2"/>
    <row r="678" s="869" customFormat="1" ht="11.25" customHeight="1" x14ac:dyDescent="0.2"/>
    <row r="679" s="869" customFormat="1" ht="11.25" customHeight="1" x14ac:dyDescent="0.2"/>
    <row r="680" s="869" customFormat="1" ht="11.25" customHeight="1" x14ac:dyDescent="0.2"/>
    <row r="681" s="869" customFormat="1" ht="11.25" customHeight="1" x14ac:dyDescent="0.2"/>
    <row r="682" s="869" customFormat="1" ht="11.25" customHeight="1" x14ac:dyDescent="0.2"/>
    <row r="683" s="869" customFormat="1" ht="11.25" customHeight="1" x14ac:dyDescent="0.2"/>
    <row r="684" s="869" customFormat="1" ht="11.25" customHeight="1" x14ac:dyDescent="0.2"/>
    <row r="685" s="869" customFormat="1" ht="11.25" customHeight="1" x14ac:dyDescent="0.2"/>
    <row r="686" s="869" customFormat="1" ht="11.25" customHeight="1" x14ac:dyDescent="0.2"/>
    <row r="687" s="869" customFormat="1" ht="11.25" customHeight="1" x14ac:dyDescent="0.2"/>
    <row r="688" s="869" customFormat="1" ht="11.25" customHeight="1" x14ac:dyDescent="0.2"/>
    <row r="689" s="869" customFormat="1" ht="11.25" customHeight="1" x14ac:dyDescent="0.2"/>
    <row r="690" s="869" customFormat="1" ht="11.25" customHeight="1" x14ac:dyDescent="0.2"/>
    <row r="691" s="869" customFormat="1" ht="11.25" customHeight="1" x14ac:dyDescent="0.2"/>
    <row r="692" s="869" customFormat="1" ht="11.25" customHeight="1" x14ac:dyDescent="0.2"/>
    <row r="693" s="869" customFormat="1" ht="11.25" customHeight="1" x14ac:dyDescent="0.2"/>
    <row r="694" s="869" customFormat="1" ht="11.25" customHeight="1" x14ac:dyDescent="0.2"/>
    <row r="695" s="869" customFormat="1" ht="11.25" customHeight="1" x14ac:dyDescent="0.2"/>
    <row r="696" s="869" customFormat="1" ht="11.25" customHeight="1" x14ac:dyDescent="0.2"/>
    <row r="697" s="869" customFormat="1" ht="11.25" customHeight="1" x14ac:dyDescent="0.2"/>
    <row r="698" s="869" customFormat="1" ht="11.25" customHeight="1" x14ac:dyDescent="0.2"/>
    <row r="699" s="869" customFormat="1" ht="11.25" customHeight="1" x14ac:dyDescent="0.2"/>
    <row r="700" s="869" customFormat="1" ht="11.25" customHeight="1" x14ac:dyDescent="0.2"/>
    <row r="701" s="869" customFormat="1" ht="11.25" customHeight="1" x14ac:dyDescent="0.2"/>
    <row r="702" s="869" customFormat="1" ht="11.25" customHeight="1" x14ac:dyDescent="0.2"/>
    <row r="703" s="869" customFormat="1" ht="11.25" customHeight="1" x14ac:dyDescent="0.2"/>
    <row r="704" s="869" customFormat="1" ht="11.25" customHeight="1" x14ac:dyDescent="0.2"/>
    <row r="705" s="869" customFormat="1" ht="11.25" customHeight="1" x14ac:dyDescent="0.2"/>
    <row r="706" s="869" customFormat="1" ht="11.25" customHeight="1" x14ac:dyDescent="0.2"/>
    <row r="707" s="869" customFormat="1" ht="11.25" customHeight="1" x14ac:dyDescent="0.2"/>
    <row r="708" s="869" customFormat="1" ht="11.25" customHeight="1" x14ac:dyDescent="0.2"/>
    <row r="709" s="869" customFormat="1" ht="11.25" customHeight="1" x14ac:dyDescent="0.2"/>
    <row r="710" s="869" customFormat="1" ht="11.25" customHeight="1" x14ac:dyDescent="0.2"/>
    <row r="711" s="869" customFormat="1" ht="11.25" customHeight="1" x14ac:dyDescent="0.2"/>
    <row r="712" s="869" customFormat="1" ht="11.25" customHeight="1" x14ac:dyDescent="0.2"/>
    <row r="713" s="869" customFormat="1" ht="11.25" customHeight="1" x14ac:dyDescent="0.2"/>
    <row r="714" s="869" customFormat="1" ht="11.25" customHeight="1" x14ac:dyDescent="0.2"/>
    <row r="715" s="869" customFormat="1" ht="11.25" customHeight="1" x14ac:dyDescent="0.2"/>
    <row r="716" s="869" customFormat="1" ht="11.25" customHeight="1" x14ac:dyDescent="0.2"/>
    <row r="717" s="869" customFormat="1" ht="11.25" customHeight="1" x14ac:dyDescent="0.2"/>
    <row r="718" s="869" customFormat="1" ht="11.25" customHeight="1" x14ac:dyDescent="0.2"/>
    <row r="719" s="869" customFormat="1" ht="11.25" customHeight="1" x14ac:dyDescent="0.2"/>
    <row r="720" s="869" customFormat="1" ht="11.25" customHeight="1" x14ac:dyDescent="0.2"/>
    <row r="721" s="869" customFormat="1" ht="11.25" customHeight="1" x14ac:dyDescent="0.2"/>
    <row r="722" s="869" customFormat="1" ht="11.25" customHeight="1" x14ac:dyDescent="0.2"/>
    <row r="723" s="869" customFormat="1" ht="11.25" customHeight="1" x14ac:dyDescent="0.2"/>
    <row r="724" s="869" customFormat="1" ht="11.25" customHeight="1" x14ac:dyDescent="0.2"/>
    <row r="725" s="869" customFormat="1" ht="11.25" customHeight="1" x14ac:dyDescent="0.2"/>
    <row r="726" s="869" customFormat="1" ht="11.25" customHeight="1" x14ac:dyDescent="0.2"/>
    <row r="727" s="869" customFormat="1" ht="11.25" customHeight="1" x14ac:dyDescent="0.2"/>
    <row r="728" s="869" customFormat="1" ht="11.25" customHeight="1" x14ac:dyDescent="0.2"/>
    <row r="729" s="869" customFormat="1" ht="11.25" customHeight="1" x14ac:dyDescent="0.2"/>
    <row r="730" s="869" customFormat="1" ht="11.25" customHeight="1" x14ac:dyDescent="0.2"/>
    <row r="731" s="869" customFormat="1" ht="11.25" customHeight="1" x14ac:dyDescent="0.2"/>
    <row r="732" s="869" customFormat="1" ht="11.25" customHeight="1" x14ac:dyDescent="0.2"/>
    <row r="733" s="869" customFormat="1" ht="11.25" customHeight="1" x14ac:dyDescent="0.2"/>
    <row r="734" s="869" customFormat="1" ht="11.25" customHeight="1" x14ac:dyDescent="0.2"/>
    <row r="735" s="869" customFormat="1" ht="11.25" customHeight="1" x14ac:dyDescent="0.2"/>
    <row r="736" s="869" customFormat="1" ht="11.25" customHeight="1" x14ac:dyDescent="0.2"/>
    <row r="737" s="869" customFormat="1" ht="11.25" customHeight="1" x14ac:dyDescent="0.2"/>
    <row r="738" s="869" customFormat="1" ht="11.25" customHeight="1" x14ac:dyDescent="0.2"/>
    <row r="739" s="869" customFormat="1" ht="11.25" customHeight="1" x14ac:dyDescent="0.2"/>
    <row r="740" s="869" customFormat="1" ht="11.25" customHeight="1" x14ac:dyDescent="0.2"/>
    <row r="741" s="869" customFormat="1" ht="11.25" customHeight="1" x14ac:dyDescent="0.2"/>
    <row r="742" s="869" customFormat="1" ht="11.25" customHeight="1" x14ac:dyDescent="0.2"/>
    <row r="743" s="869" customFormat="1" ht="11.25" customHeight="1" x14ac:dyDescent="0.2"/>
    <row r="744" s="869" customFormat="1" ht="11.25" customHeight="1" x14ac:dyDescent="0.2"/>
    <row r="745" s="869" customFormat="1" ht="11.25" customHeight="1" x14ac:dyDescent="0.2"/>
    <row r="746" s="869" customFormat="1" ht="11.25" customHeight="1" x14ac:dyDescent="0.2"/>
    <row r="747" s="869" customFormat="1" ht="11.25" customHeight="1" x14ac:dyDescent="0.2"/>
    <row r="748" s="869" customFormat="1" ht="11.25" customHeight="1" x14ac:dyDescent="0.2"/>
    <row r="749" s="869" customFormat="1" ht="11.25" customHeight="1" x14ac:dyDescent="0.2"/>
    <row r="750" s="869" customFormat="1" ht="11.25" customHeight="1" x14ac:dyDescent="0.2"/>
    <row r="751" s="869" customFormat="1" ht="11.25" customHeight="1" x14ac:dyDescent="0.2"/>
    <row r="752" s="869" customFormat="1" ht="11.25" customHeight="1" x14ac:dyDescent="0.2"/>
    <row r="753" s="869" customFormat="1" ht="11.25" customHeight="1" x14ac:dyDescent="0.2"/>
    <row r="754" s="869" customFormat="1" ht="11.25" customHeight="1" x14ac:dyDescent="0.2"/>
    <row r="755" s="869" customFormat="1" ht="11.25" customHeight="1" x14ac:dyDescent="0.2"/>
    <row r="756" s="869" customFormat="1" ht="11.25" customHeight="1" x14ac:dyDescent="0.2"/>
    <row r="757" s="869" customFormat="1" ht="11.25" customHeight="1" x14ac:dyDescent="0.2"/>
    <row r="758" s="869" customFormat="1" ht="11.25" customHeight="1" x14ac:dyDescent="0.2"/>
    <row r="759" s="869" customFormat="1" ht="11.25" customHeight="1" x14ac:dyDescent="0.2"/>
    <row r="760" s="869" customFormat="1" ht="11.25" customHeight="1" x14ac:dyDescent="0.2"/>
    <row r="761" s="869" customFormat="1" ht="11.25" customHeight="1" x14ac:dyDescent="0.2"/>
    <row r="762" s="869" customFormat="1" ht="11.25" customHeight="1" x14ac:dyDescent="0.2"/>
    <row r="763" s="869" customFormat="1" ht="11.25" customHeight="1" x14ac:dyDescent="0.2"/>
    <row r="764" s="869" customFormat="1" ht="11.25" customHeight="1" x14ac:dyDescent="0.2"/>
    <row r="765" s="869" customFormat="1" ht="11.25" customHeight="1" x14ac:dyDescent="0.2"/>
    <row r="766" s="869" customFormat="1" ht="11.25" customHeight="1" x14ac:dyDescent="0.2"/>
    <row r="767" s="869" customFormat="1" ht="11.25" customHeight="1" x14ac:dyDescent="0.2"/>
    <row r="768" s="869" customFormat="1" ht="11.25" customHeight="1" x14ac:dyDescent="0.2"/>
    <row r="769" s="869" customFormat="1" ht="11.25" customHeight="1" x14ac:dyDescent="0.2"/>
    <row r="770" s="869" customFormat="1" ht="11.25" customHeight="1" x14ac:dyDescent="0.2"/>
    <row r="771" s="869" customFormat="1" ht="11.25" customHeight="1" x14ac:dyDescent="0.2"/>
    <row r="772" s="869" customFormat="1" ht="11.25" customHeight="1" x14ac:dyDescent="0.2"/>
    <row r="773" s="869" customFormat="1" ht="11.25" customHeight="1" x14ac:dyDescent="0.2"/>
    <row r="774" s="869" customFormat="1" ht="11.25" customHeight="1" x14ac:dyDescent="0.2"/>
    <row r="775" s="869" customFormat="1" ht="11.25" customHeight="1" x14ac:dyDescent="0.2"/>
    <row r="776" s="869" customFormat="1" ht="11.25" customHeight="1" x14ac:dyDescent="0.2"/>
    <row r="777" s="869" customFormat="1" ht="11.25" customHeight="1" x14ac:dyDescent="0.2"/>
    <row r="778" s="869" customFormat="1" ht="11.25" customHeight="1" x14ac:dyDescent="0.2"/>
    <row r="779" s="869" customFormat="1" ht="11.25" customHeight="1" x14ac:dyDescent="0.2"/>
    <row r="780" s="869" customFormat="1" ht="11.25" customHeight="1" x14ac:dyDescent="0.2"/>
    <row r="781" s="869" customFormat="1" ht="11.25" customHeight="1" x14ac:dyDescent="0.2"/>
    <row r="782" s="869" customFormat="1" ht="11.25" customHeight="1" x14ac:dyDescent="0.2"/>
    <row r="783" s="869" customFormat="1" ht="11.25" customHeight="1" x14ac:dyDescent="0.2"/>
    <row r="784" s="869" customFormat="1" ht="11.25" customHeight="1" x14ac:dyDescent="0.2"/>
    <row r="785" s="869" customFormat="1" ht="11.25" customHeight="1" x14ac:dyDescent="0.2"/>
    <row r="786" s="869" customFormat="1" ht="11.25" customHeight="1" x14ac:dyDescent="0.2"/>
    <row r="787" s="869" customFormat="1" ht="11.25" customHeight="1" x14ac:dyDescent="0.2"/>
    <row r="788" s="869" customFormat="1" ht="11.25" customHeight="1" x14ac:dyDescent="0.2"/>
    <row r="789" s="869" customFormat="1" ht="11.25" customHeight="1" x14ac:dyDescent="0.2"/>
    <row r="790" s="869" customFormat="1" ht="11.25" customHeight="1" x14ac:dyDescent="0.2"/>
    <row r="791" s="869" customFormat="1" ht="11.25" customHeight="1" x14ac:dyDescent="0.2"/>
    <row r="792" s="869" customFormat="1" ht="11.25" customHeight="1" x14ac:dyDescent="0.2"/>
    <row r="793" s="869" customFormat="1" ht="11.25" customHeight="1" x14ac:dyDescent="0.2"/>
    <row r="794" s="869" customFormat="1" ht="11.25" customHeight="1" x14ac:dyDescent="0.2"/>
    <row r="795" s="869" customFormat="1" ht="11.25" customHeight="1" x14ac:dyDescent="0.2"/>
    <row r="796" s="869" customFormat="1" ht="11.25" customHeight="1" x14ac:dyDescent="0.2"/>
    <row r="797" s="869" customFormat="1" ht="11.25" customHeight="1" x14ac:dyDescent="0.2"/>
    <row r="798" s="869" customFormat="1" ht="11.25" customHeight="1" x14ac:dyDescent="0.2"/>
    <row r="799" s="869" customFormat="1" ht="11.25" customHeight="1" x14ac:dyDescent="0.2"/>
    <row r="800" s="869" customFormat="1" ht="11.25" customHeight="1" x14ac:dyDescent="0.2"/>
    <row r="801" s="869" customFormat="1" ht="11.25" customHeight="1" x14ac:dyDescent="0.2"/>
    <row r="802" s="869" customFormat="1" ht="11.25" customHeight="1" x14ac:dyDescent="0.2"/>
    <row r="803" s="869" customFormat="1" ht="11.25" customHeight="1" x14ac:dyDescent="0.2"/>
    <row r="804" s="869" customFormat="1" ht="11.25" customHeight="1" x14ac:dyDescent="0.2"/>
    <row r="805" s="869" customFormat="1" ht="11.25" customHeight="1" x14ac:dyDescent="0.2"/>
    <row r="806" s="869" customFormat="1" ht="11.25" customHeight="1" x14ac:dyDescent="0.2"/>
    <row r="807" s="869" customFormat="1" ht="11.25" customHeight="1" x14ac:dyDescent="0.2"/>
    <row r="808" s="869" customFormat="1" ht="11.25" customHeight="1" x14ac:dyDescent="0.2"/>
    <row r="809" s="869" customFormat="1" ht="11.25" customHeight="1" x14ac:dyDescent="0.2"/>
    <row r="810" s="869" customFormat="1" ht="11.25" customHeight="1" x14ac:dyDescent="0.2"/>
    <row r="811" s="869" customFormat="1" ht="11.25" customHeight="1" x14ac:dyDescent="0.2"/>
    <row r="812" s="869" customFormat="1" ht="11.25" customHeight="1" x14ac:dyDescent="0.2"/>
    <row r="813" s="869" customFormat="1" ht="11.25" customHeight="1" x14ac:dyDescent="0.2"/>
    <row r="814" s="869" customFormat="1" ht="11.25" customHeight="1" x14ac:dyDescent="0.2"/>
    <row r="815" s="869" customFormat="1" ht="11.25" customHeight="1" x14ac:dyDescent="0.2"/>
    <row r="816" s="869" customFormat="1" ht="11.25" customHeight="1" x14ac:dyDescent="0.2"/>
    <row r="817" s="869" customFormat="1" ht="11.25" customHeight="1" x14ac:dyDescent="0.2"/>
    <row r="818" s="869" customFormat="1" ht="11.25" customHeight="1" x14ac:dyDescent="0.2"/>
    <row r="819" s="869" customFormat="1" ht="11.25" customHeight="1" x14ac:dyDescent="0.2"/>
    <row r="820" s="869" customFormat="1" ht="11.25" customHeight="1" x14ac:dyDescent="0.2"/>
    <row r="821" s="869" customFormat="1" ht="11.25" customHeight="1" x14ac:dyDescent="0.2"/>
    <row r="822" s="869" customFormat="1" ht="11.25" customHeight="1" x14ac:dyDescent="0.2"/>
    <row r="823" s="869" customFormat="1" ht="11.25" customHeight="1" x14ac:dyDescent="0.2"/>
    <row r="824" s="869" customFormat="1" ht="11.25" customHeight="1" x14ac:dyDescent="0.2"/>
    <row r="825" s="869" customFormat="1" ht="11.25" customHeight="1" x14ac:dyDescent="0.2"/>
    <row r="826" s="869" customFormat="1" ht="11.25" customHeight="1" x14ac:dyDescent="0.2"/>
    <row r="827" s="869" customFormat="1" ht="11.25" customHeight="1" x14ac:dyDescent="0.2"/>
    <row r="828" s="869" customFormat="1" ht="11.25" customHeight="1" x14ac:dyDescent="0.2"/>
    <row r="829" s="869" customFormat="1" ht="11.25" customHeight="1" x14ac:dyDescent="0.2"/>
    <row r="830" s="869" customFormat="1" ht="11.25" customHeight="1" x14ac:dyDescent="0.2"/>
    <row r="831" s="869" customFormat="1" ht="11.25" customHeight="1" x14ac:dyDescent="0.2"/>
    <row r="832" s="869" customFormat="1" ht="11.25" customHeight="1" x14ac:dyDescent="0.2"/>
    <row r="833" s="869" customFormat="1" ht="11.25" customHeight="1" x14ac:dyDescent="0.2"/>
    <row r="834" s="869" customFormat="1" ht="11.25" customHeight="1" x14ac:dyDescent="0.2"/>
    <row r="835" s="869" customFormat="1" ht="11.25" customHeight="1" x14ac:dyDescent="0.2"/>
    <row r="836" s="869" customFormat="1" ht="11.25" customHeight="1" x14ac:dyDescent="0.2"/>
    <row r="837" s="869" customFormat="1" ht="11.25" customHeight="1" x14ac:dyDescent="0.2"/>
    <row r="838" s="869" customFormat="1" ht="11.25" customHeight="1" x14ac:dyDescent="0.2"/>
    <row r="839" s="869" customFormat="1" ht="11.25" customHeight="1" x14ac:dyDescent="0.2"/>
    <row r="840" s="869" customFormat="1" ht="11.25" customHeight="1" x14ac:dyDescent="0.2"/>
    <row r="841" s="869" customFormat="1" ht="11.25" customHeight="1" x14ac:dyDescent="0.2"/>
    <row r="842" s="869" customFormat="1" ht="11.25" customHeight="1" x14ac:dyDescent="0.2"/>
    <row r="843" s="869" customFormat="1" ht="11.25" customHeight="1" x14ac:dyDescent="0.2"/>
    <row r="844" s="869" customFormat="1" ht="11.25" customHeight="1" x14ac:dyDescent="0.2"/>
    <row r="845" s="869" customFormat="1" ht="11.25" customHeight="1" x14ac:dyDescent="0.2"/>
    <row r="846" s="869" customFormat="1" ht="11.25" customHeight="1" x14ac:dyDescent="0.2"/>
    <row r="847" s="869" customFormat="1" ht="11.25" customHeight="1" x14ac:dyDescent="0.2"/>
    <row r="848" s="869" customFormat="1" ht="11.25" customHeight="1" x14ac:dyDescent="0.2"/>
    <row r="849" s="869" customFormat="1" ht="11.25" customHeight="1" x14ac:dyDescent="0.2"/>
    <row r="850" s="869" customFormat="1" ht="11.25" customHeight="1" x14ac:dyDescent="0.2"/>
    <row r="851" s="869" customFormat="1" ht="11.25" customHeight="1" x14ac:dyDescent="0.2"/>
    <row r="852" s="869" customFormat="1" ht="11.25" customHeight="1" x14ac:dyDescent="0.2"/>
    <row r="853" s="869" customFormat="1" ht="11.25" customHeight="1" x14ac:dyDescent="0.2"/>
    <row r="854" s="869" customFormat="1" ht="11.25" customHeight="1" x14ac:dyDescent="0.2"/>
    <row r="855" s="869" customFormat="1" ht="11.25" customHeight="1" x14ac:dyDescent="0.2"/>
    <row r="856" s="869" customFormat="1" ht="11.25" customHeight="1" x14ac:dyDescent="0.2"/>
    <row r="857" s="869" customFormat="1" ht="11.25" customHeight="1" x14ac:dyDescent="0.2"/>
    <row r="858" s="869" customFormat="1" ht="11.25" customHeight="1" x14ac:dyDescent="0.2"/>
    <row r="859" s="869" customFormat="1" ht="11.25" customHeight="1" x14ac:dyDescent="0.2"/>
    <row r="860" s="869" customFormat="1" ht="11.25" customHeight="1" x14ac:dyDescent="0.2"/>
    <row r="861" s="869" customFormat="1" ht="11.25" customHeight="1" x14ac:dyDescent="0.2"/>
    <row r="862" s="869" customFormat="1" ht="11.25" customHeight="1" x14ac:dyDescent="0.2"/>
    <row r="863" s="869" customFormat="1" ht="11.25" customHeight="1" x14ac:dyDescent="0.2"/>
    <row r="864" s="869" customFormat="1" ht="11.25" customHeight="1" x14ac:dyDescent="0.2"/>
    <row r="865" s="869" customFormat="1" ht="11.25" customHeight="1" x14ac:dyDescent="0.2"/>
    <row r="866" s="869" customFormat="1" ht="11.25" customHeight="1" x14ac:dyDescent="0.2"/>
    <row r="867" s="869" customFormat="1" ht="11.25" customHeight="1" x14ac:dyDescent="0.2"/>
    <row r="868" s="869" customFormat="1" ht="11.25" customHeight="1" x14ac:dyDescent="0.2"/>
    <row r="869" s="869" customFormat="1" ht="11.25" customHeight="1" x14ac:dyDescent="0.2"/>
    <row r="870" s="869" customFormat="1" ht="11.25" customHeight="1" x14ac:dyDescent="0.2"/>
    <row r="871" s="869" customFormat="1" ht="11.25" customHeight="1" x14ac:dyDescent="0.2"/>
    <row r="872" s="869" customFormat="1" ht="11.25" customHeight="1" x14ac:dyDescent="0.2"/>
    <row r="873" s="869" customFormat="1" ht="11.25" customHeight="1" x14ac:dyDescent="0.2"/>
    <row r="874" s="869" customFormat="1" ht="11.25" customHeight="1" x14ac:dyDescent="0.2"/>
    <row r="875" s="869" customFormat="1" ht="11.25" customHeight="1" x14ac:dyDescent="0.2"/>
    <row r="876" s="869" customFormat="1" ht="11.25" customHeight="1" x14ac:dyDescent="0.2"/>
    <row r="877" s="869" customFormat="1" ht="11.25" customHeight="1" x14ac:dyDescent="0.2"/>
    <row r="878" s="869" customFormat="1" ht="11.25" customHeight="1" x14ac:dyDescent="0.2"/>
    <row r="879" s="869" customFormat="1" ht="11.25" customHeight="1" x14ac:dyDescent="0.2"/>
    <row r="880" s="869" customFormat="1" ht="11.25" customHeight="1" x14ac:dyDescent="0.2"/>
    <row r="881" s="869" customFormat="1" ht="11.25" customHeight="1" x14ac:dyDescent="0.2"/>
    <row r="882" s="869" customFormat="1" ht="11.25" customHeight="1" x14ac:dyDescent="0.2"/>
    <row r="883" s="869" customFormat="1" ht="11.25" customHeight="1" x14ac:dyDescent="0.2"/>
    <row r="884" s="869" customFormat="1" ht="11.25" customHeight="1" x14ac:dyDescent="0.2"/>
    <row r="885" s="869" customFormat="1" ht="11.25" customHeight="1" x14ac:dyDescent="0.2"/>
    <row r="886" s="869" customFormat="1" ht="11.25" customHeight="1" x14ac:dyDescent="0.2"/>
    <row r="887" s="869" customFormat="1" ht="11.25" customHeight="1" x14ac:dyDescent="0.2"/>
    <row r="888" s="869" customFormat="1" ht="11.25" customHeight="1" x14ac:dyDescent="0.2"/>
    <row r="889" s="869" customFormat="1" ht="11.25" customHeight="1" x14ac:dyDescent="0.2"/>
    <row r="890" s="869" customFormat="1" ht="11.25" customHeight="1" x14ac:dyDescent="0.2"/>
    <row r="891" s="869" customFormat="1" ht="11.25" customHeight="1" x14ac:dyDescent="0.2"/>
    <row r="892" s="869" customFormat="1" ht="11.25" customHeight="1" x14ac:dyDescent="0.2"/>
    <row r="893" s="869" customFormat="1" ht="11.25" customHeight="1" x14ac:dyDescent="0.2"/>
    <row r="894" s="869" customFormat="1" ht="11.25" customHeight="1" x14ac:dyDescent="0.2"/>
    <row r="895" s="869" customFormat="1" ht="11.25" customHeight="1" x14ac:dyDescent="0.2"/>
    <row r="896" s="869" customFormat="1" ht="11.25" customHeight="1" x14ac:dyDescent="0.2"/>
    <row r="897" s="869" customFormat="1" ht="11.25" customHeight="1" x14ac:dyDescent="0.2"/>
    <row r="898" s="869" customFormat="1" ht="11.25" customHeight="1" x14ac:dyDescent="0.2"/>
    <row r="899" s="869" customFormat="1" ht="11.25" customHeight="1" x14ac:dyDescent="0.2"/>
    <row r="900" s="869" customFormat="1" ht="11.25" customHeight="1" x14ac:dyDescent="0.2"/>
    <row r="901" s="869" customFormat="1" ht="11.25" customHeight="1" x14ac:dyDescent="0.2"/>
    <row r="902" s="869" customFormat="1" ht="11.25" customHeight="1" x14ac:dyDescent="0.2"/>
    <row r="903" s="869" customFormat="1" ht="11.25" customHeight="1" x14ac:dyDescent="0.2"/>
    <row r="904" s="869" customFormat="1" ht="11.25" customHeight="1" x14ac:dyDescent="0.2"/>
    <row r="905" s="869" customFormat="1" ht="11.25" customHeight="1" x14ac:dyDescent="0.2"/>
    <row r="906" s="869" customFormat="1" ht="11.25" customHeight="1" x14ac:dyDescent="0.2"/>
    <row r="907" s="869" customFormat="1" ht="11.25" customHeight="1" x14ac:dyDescent="0.2"/>
    <row r="908" s="869" customFormat="1" ht="11.25" customHeight="1" x14ac:dyDescent="0.2"/>
    <row r="909" s="869" customFormat="1" ht="11.25" customHeight="1" x14ac:dyDescent="0.2"/>
    <row r="910" s="869" customFormat="1" ht="11.25" customHeight="1" x14ac:dyDescent="0.2"/>
    <row r="911" s="869" customFormat="1" ht="11.25" customHeight="1" x14ac:dyDescent="0.2"/>
    <row r="912" s="869" customFormat="1" ht="11.25" customHeight="1" x14ac:dyDescent="0.2"/>
    <row r="913" s="869" customFormat="1" ht="11.25" customHeight="1" x14ac:dyDescent="0.2"/>
    <row r="914" s="869" customFormat="1" ht="11.25" customHeight="1" x14ac:dyDescent="0.2"/>
    <row r="915" s="869" customFormat="1" ht="11.25" customHeight="1" x14ac:dyDescent="0.2"/>
    <row r="916" s="869" customFormat="1" ht="11.25" customHeight="1" x14ac:dyDescent="0.2"/>
    <row r="917" s="869" customFormat="1" ht="11.25" customHeight="1" x14ac:dyDescent="0.2"/>
    <row r="918" s="869" customFormat="1" ht="11.25" customHeight="1" x14ac:dyDescent="0.2"/>
    <row r="919" s="869" customFormat="1" ht="11.25" customHeight="1" x14ac:dyDescent="0.2"/>
    <row r="920" s="869" customFormat="1" ht="11.25" customHeight="1" x14ac:dyDescent="0.2"/>
    <row r="921" s="869" customFormat="1" ht="11.25" customHeight="1" x14ac:dyDescent="0.2"/>
    <row r="922" s="869" customFormat="1" ht="11.25" customHeight="1" x14ac:dyDescent="0.2"/>
    <row r="923" s="869" customFormat="1" ht="11.25" customHeight="1" x14ac:dyDescent="0.2"/>
    <row r="924" s="869" customFormat="1" ht="11.25" customHeight="1" x14ac:dyDescent="0.2"/>
    <row r="925" s="869" customFormat="1" ht="11.25" customHeight="1" x14ac:dyDescent="0.2"/>
    <row r="926" s="869" customFormat="1" ht="11.25" customHeight="1" x14ac:dyDescent="0.2"/>
    <row r="927" s="869" customFormat="1" ht="11.25" customHeight="1" x14ac:dyDescent="0.2"/>
    <row r="928" s="869" customFormat="1" ht="11.25" customHeight="1" x14ac:dyDescent="0.2"/>
    <row r="929" s="869" customFormat="1" ht="11.25" customHeight="1" x14ac:dyDescent="0.2"/>
    <row r="930" s="869" customFormat="1" ht="11.25" customHeight="1" x14ac:dyDescent="0.2"/>
    <row r="931" s="869" customFormat="1" ht="11.25" customHeight="1" x14ac:dyDescent="0.2"/>
    <row r="932" s="869" customFormat="1" ht="11.25" customHeight="1" x14ac:dyDescent="0.2"/>
    <row r="933" s="869" customFormat="1" ht="11.25" customHeight="1" x14ac:dyDescent="0.2"/>
    <row r="934" s="869" customFormat="1" ht="11.25" customHeight="1" x14ac:dyDescent="0.2"/>
    <row r="935" s="869" customFormat="1" ht="11.25" customHeight="1" x14ac:dyDescent="0.2"/>
    <row r="936" s="869" customFormat="1" ht="11.25" customHeight="1" x14ac:dyDescent="0.2"/>
    <row r="937" s="869" customFormat="1" ht="11.25" customHeight="1" x14ac:dyDescent="0.2"/>
    <row r="938" s="869" customFormat="1" ht="11.25" customHeight="1" x14ac:dyDescent="0.2"/>
    <row r="939" s="869" customFormat="1" ht="11.25" customHeight="1" x14ac:dyDescent="0.2"/>
    <row r="940" s="869" customFormat="1" ht="11.25" customHeight="1" x14ac:dyDescent="0.2"/>
    <row r="941" s="869" customFormat="1" ht="11.25" customHeight="1" x14ac:dyDescent="0.2"/>
    <row r="942" s="869" customFormat="1" ht="11.25" customHeight="1" x14ac:dyDescent="0.2"/>
    <row r="943" s="869" customFormat="1" ht="11.25" customHeight="1" x14ac:dyDescent="0.2"/>
    <row r="944" s="869" customFormat="1" ht="11.25" customHeight="1" x14ac:dyDescent="0.2"/>
    <row r="945" s="869" customFormat="1" ht="11.25" customHeight="1" x14ac:dyDescent="0.2"/>
    <row r="946" s="869" customFormat="1" ht="11.25" customHeight="1" x14ac:dyDescent="0.2"/>
    <row r="947" s="869" customFormat="1" ht="11.25" customHeight="1" x14ac:dyDescent="0.2"/>
    <row r="948" s="869" customFormat="1" ht="11.25" customHeight="1" x14ac:dyDescent="0.2"/>
    <row r="949" s="869" customFormat="1" ht="11.25" customHeight="1" x14ac:dyDescent="0.2"/>
    <row r="950" s="869" customFormat="1" ht="11.25" customHeight="1" x14ac:dyDescent="0.2"/>
    <row r="951" s="869" customFormat="1" ht="11.25" customHeight="1" x14ac:dyDescent="0.2"/>
    <row r="952" s="869" customFormat="1" ht="11.25" customHeight="1" x14ac:dyDescent="0.2"/>
    <row r="953" s="869" customFormat="1" ht="11.25" customHeight="1" x14ac:dyDescent="0.2"/>
    <row r="954" s="869" customFormat="1" ht="11.25" customHeight="1" x14ac:dyDescent="0.2"/>
    <row r="955" s="869" customFormat="1" ht="11.25" customHeight="1" x14ac:dyDescent="0.2"/>
    <row r="956" s="869" customFormat="1" ht="11.25" customHeight="1" x14ac:dyDescent="0.2"/>
    <row r="957" s="869" customFormat="1" ht="11.25" customHeight="1" x14ac:dyDescent="0.2"/>
    <row r="958" s="869" customFormat="1" ht="11.25" customHeight="1" x14ac:dyDescent="0.2"/>
    <row r="959" s="869" customFormat="1" ht="11.25" customHeight="1" x14ac:dyDescent="0.2"/>
    <row r="960" s="869" customFormat="1" ht="11.25" customHeight="1" x14ac:dyDescent="0.2"/>
    <row r="961" s="869" customFormat="1" ht="11.25" customHeight="1" x14ac:dyDescent="0.2"/>
    <row r="962" s="869" customFormat="1" ht="11.25" customHeight="1" x14ac:dyDescent="0.2"/>
    <row r="963" s="869" customFormat="1" ht="11.25" customHeight="1" x14ac:dyDescent="0.2"/>
    <row r="964" s="869" customFormat="1" ht="11.25" customHeight="1" x14ac:dyDescent="0.2"/>
    <row r="965" s="869" customFormat="1" ht="11.25" customHeight="1" x14ac:dyDescent="0.2"/>
    <row r="966" s="869" customFormat="1" ht="11.25" customHeight="1" x14ac:dyDescent="0.2"/>
    <row r="967" s="869" customFormat="1" ht="11.25" customHeight="1" x14ac:dyDescent="0.2"/>
    <row r="968" s="869" customFormat="1" ht="11.25" customHeight="1" x14ac:dyDescent="0.2"/>
    <row r="969" s="869" customFormat="1" ht="11.25" customHeight="1" x14ac:dyDescent="0.2"/>
    <row r="970" s="869" customFormat="1" ht="11.25" customHeight="1" x14ac:dyDescent="0.2"/>
    <row r="971" s="869" customFormat="1" ht="11.25" customHeight="1" x14ac:dyDescent="0.2"/>
    <row r="972" s="869" customFormat="1" ht="11.25" customHeight="1" x14ac:dyDescent="0.2"/>
    <row r="973" s="869" customFormat="1" ht="11.25" customHeight="1" x14ac:dyDescent="0.2"/>
    <row r="974" s="869" customFormat="1" ht="11.25" customHeight="1" x14ac:dyDescent="0.2"/>
    <row r="975" s="869" customFormat="1" ht="11.25" customHeight="1" x14ac:dyDescent="0.2"/>
    <row r="976" s="869" customFormat="1" ht="11.25" customHeight="1" x14ac:dyDescent="0.2"/>
    <row r="977" s="869" customFormat="1" ht="11.25" customHeight="1" x14ac:dyDescent="0.2"/>
    <row r="978" s="869" customFormat="1" ht="11.25" customHeight="1" x14ac:dyDescent="0.2"/>
    <row r="979" s="869" customFormat="1" ht="11.25" customHeight="1" x14ac:dyDescent="0.2"/>
    <row r="980" s="869" customFormat="1" ht="11.25" customHeight="1" x14ac:dyDescent="0.2"/>
    <row r="981" s="869" customFormat="1" ht="11.25" customHeight="1" x14ac:dyDescent="0.2"/>
    <row r="982" s="869" customFormat="1" ht="11.25" customHeight="1" x14ac:dyDescent="0.2"/>
    <row r="983" s="869" customFormat="1" ht="11.25" customHeight="1" x14ac:dyDescent="0.2"/>
    <row r="984" s="869" customFormat="1" ht="11.25" customHeight="1" x14ac:dyDescent="0.2"/>
    <row r="985" s="869" customFormat="1" ht="11.25" customHeight="1" x14ac:dyDescent="0.2"/>
    <row r="986" s="869" customFormat="1" ht="11.25" customHeight="1" x14ac:dyDescent="0.2"/>
    <row r="987" s="869" customFormat="1" ht="11.25" customHeight="1" x14ac:dyDescent="0.2"/>
    <row r="988" s="869" customFormat="1" ht="11.25" customHeight="1" x14ac:dyDescent="0.2"/>
    <row r="989" s="869" customFormat="1" ht="11.25" customHeight="1" x14ac:dyDescent="0.2"/>
    <row r="990" s="869" customFormat="1" ht="11.25" customHeight="1" x14ac:dyDescent="0.2"/>
    <row r="991" s="869" customFormat="1" ht="11.25" customHeight="1" x14ac:dyDescent="0.2"/>
    <row r="992" s="869" customFormat="1" ht="11.25" customHeight="1" x14ac:dyDescent="0.2"/>
    <row r="993" s="869" customFormat="1" ht="11.25" customHeight="1" x14ac:dyDescent="0.2"/>
    <row r="994" s="869" customFormat="1" ht="11.25" customHeight="1" x14ac:dyDescent="0.2"/>
    <row r="995" s="869" customFormat="1" ht="11.25" customHeight="1" x14ac:dyDescent="0.2"/>
    <row r="996" s="869" customFormat="1" ht="11.25" customHeight="1" x14ac:dyDescent="0.2"/>
    <row r="997" s="869" customFormat="1" ht="11.25" customHeight="1" x14ac:dyDescent="0.2"/>
    <row r="998" s="869" customFormat="1" ht="11.25" customHeight="1" x14ac:dyDescent="0.2"/>
  </sheetData>
  <pageMargins left="0.75" right="0.75" top="1" bottom="1" header="0" footer="0"/>
  <pageSetup orientation="portrait"/>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Below="0" summaryRight="0"/>
  </sheetPr>
  <dimension ref="A1:AF1231"/>
  <sheetViews>
    <sheetView showGridLines="0" workbookViewId="0"/>
  </sheetViews>
  <sheetFormatPr defaultColWidth="16.83203125" defaultRowHeight="15" customHeight="1" x14ac:dyDescent="0.2"/>
  <cols>
    <col min="1" max="1" width="6.6640625" customWidth="1"/>
    <col min="2" max="2" width="53.6640625" customWidth="1"/>
    <col min="3" max="3" width="31.6640625" bestFit="1" customWidth="1"/>
    <col min="4" max="4" width="20.83203125" customWidth="1"/>
  </cols>
  <sheetData>
    <row r="1" spans="1:32" x14ac:dyDescent="0.25">
      <c r="A1" s="194"/>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row>
    <row r="2" spans="1:32" ht="15.75" x14ac:dyDescent="0.25">
      <c r="A2" s="194"/>
      <c r="B2" s="2046" t="s">
        <v>1701</v>
      </c>
      <c r="C2" s="2047"/>
      <c r="D2" s="2047"/>
      <c r="E2" s="2047"/>
      <c r="F2" s="2047"/>
      <c r="G2" s="2047"/>
      <c r="H2" s="2048"/>
      <c r="I2" s="194"/>
      <c r="J2" s="2054" t="s">
        <v>1</v>
      </c>
      <c r="K2" s="2009"/>
      <c r="L2" s="194"/>
      <c r="M2" s="194"/>
      <c r="N2" s="194"/>
      <c r="O2" s="194"/>
      <c r="P2" s="194"/>
      <c r="Q2" s="194"/>
      <c r="R2" s="194"/>
      <c r="S2" s="194"/>
      <c r="T2" s="194"/>
      <c r="U2" s="194"/>
      <c r="V2" s="194"/>
      <c r="W2" s="194"/>
      <c r="X2" s="194"/>
      <c r="Y2" s="194"/>
      <c r="Z2" s="194"/>
      <c r="AA2" s="194"/>
      <c r="AB2" s="194"/>
      <c r="AC2" s="194"/>
      <c r="AD2" s="194"/>
      <c r="AE2" s="194"/>
      <c r="AF2" s="194"/>
    </row>
    <row r="3" spans="1:32" x14ac:dyDescent="0.25">
      <c r="A3" s="194"/>
      <c r="B3" s="194"/>
      <c r="C3" s="194"/>
      <c r="D3" s="194"/>
      <c r="E3" s="194"/>
      <c r="F3" s="194"/>
      <c r="G3" s="194"/>
      <c r="H3" s="194"/>
      <c r="I3" s="194"/>
      <c r="J3" s="54"/>
      <c r="K3" s="54" t="str">
        <f>Summary!E3</f>
        <v>AR6 100-yr GWP</v>
      </c>
      <c r="L3" s="194"/>
      <c r="M3" s="194"/>
      <c r="N3" s="194"/>
      <c r="O3" s="194"/>
      <c r="P3" s="194"/>
      <c r="Q3" s="194"/>
      <c r="R3" s="194"/>
      <c r="S3" s="194"/>
      <c r="T3" s="194"/>
      <c r="U3" s="194"/>
      <c r="V3" s="194"/>
      <c r="W3" s="194"/>
      <c r="X3" s="194"/>
      <c r="Y3" s="194"/>
      <c r="Z3" s="194"/>
      <c r="AA3" s="194"/>
      <c r="AB3" s="194"/>
      <c r="AC3" s="194"/>
      <c r="AD3" s="194"/>
      <c r="AE3" s="194"/>
      <c r="AF3" s="194"/>
    </row>
    <row r="4" spans="1:32" x14ac:dyDescent="0.25">
      <c r="A4" s="194"/>
      <c r="B4" s="194"/>
      <c r="C4" s="194"/>
      <c r="D4" s="194"/>
      <c r="E4" s="194"/>
      <c r="F4" s="194"/>
      <c r="G4" s="194"/>
      <c r="H4" s="194"/>
      <c r="I4" s="194"/>
      <c r="J4" s="54" t="str">
        <f>Summary!C4</f>
        <v>CO2</v>
      </c>
      <c r="K4" s="77">
        <f>Summary!E4</f>
        <v>1</v>
      </c>
      <c r="L4" s="194"/>
      <c r="M4" s="194"/>
      <c r="N4" s="194"/>
      <c r="O4" s="194"/>
      <c r="P4" s="194"/>
      <c r="Q4" s="194"/>
      <c r="R4" s="194"/>
      <c r="S4" s="194"/>
      <c r="T4" s="194"/>
      <c r="U4" s="194"/>
      <c r="V4" s="194"/>
      <c r="W4" s="194"/>
      <c r="X4" s="194"/>
      <c r="Y4" s="194"/>
      <c r="Z4" s="194"/>
      <c r="AA4" s="194"/>
      <c r="AB4" s="194"/>
      <c r="AC4" s="194"/>
      <c r="AD4" s="194"/>
      <c r="AE4" s="194"/>
      <c r="AF4" s="194"/>
    </row>
    <row r="5" spans="1:32" x14ac:dyDescent="0.25">
      <c r="A5" s="194"/>
      <c r="B5" s="194"/>
      <c r="C5" s="194"/>
      <c r="D5" s="194"/>
      <c r="E5" s="194"/>
      <c r="F5" s="194"/>
      <c r="G5" s="194"/>
      <c r="H5" s="194"/>
      <c r="I5" s="194"/>
      <c r="J5" s="54" t="str">
        <f>Summary!C5</f>
        <v>CH4</v>
      </c>
      <c r="K5" s="77">
        <f>Summary!E5</f>
        <v>27.9</v>
      </c>
      <c r="L5" s="194"/>
      <c r="M5" s="194"/>
      <c r="N5" s="194"/>
      <c r="O5" s="194"/>
      <c r="P5" s="194"/>
      <c r="Q5" s="194"/>
      <c r="R5" s="194"/>
      <c r="S5" s="194"/>
      <c r="T5" s="194"/>
      <c r="U5" s="194"/>
      <c r="V5" s="194"/>
      <c r="W5" s="194"/>
      <c r="X5" s="194"/>
      <c r="Y5" s="194"/>
      <c r="Z5" s="194"/>
      <c r="AA5" s="194"/>
      <c r="AB5" s="194"/>
      <c r="AC5" s="194"/>
      <c r="AD5" s="194"/>
      <c r="AE5" s="194"/>
      <c r="AF5" s="194"/>
    </row>
    <row r="6" spans="1:32" x14ac:dyDescent="0.25">
      <c r="A6" s="194"/>
      <c r="C6" s="194"/>
      <c r="D6" s="194"/>
      <c r="E6" s="194"/>
      <c r="F6" s="194"/>
      <c r="G6" s="194"/>
      <c r="H6" s="194"/>
      <c r="I6" s="194"/>
      <c r="J6" s="54" t="str">
        <f>Summary!C6</f>
        <v>N2O</v>
      </c>
      <c r="K6" s="77">
        <f>Summary!E6</f>
        <v>273</v>
      </c>
      <c r="L6" s="194"/>
      <c r="M6" s="194"/>
      <c r="N6" s="194"/>
      <c r="O6" s="194"/>
      <c r="P6" s="194"/>
      <c r="Q6" s="194"/>
      <c r="R6" s="194"/>
      <c r="S6" s="194"/>
      <c r="T6" s="194"/>
      <c r="U6" s="194"/>
      <c r="V6" s="194"/>
      <c r="W6" s="194"/>
      <c r="X6" s="194"/>
      <c r="Y6" s="194"/>
      <c r="Z6" s="194"/>
      <c r="AA6" s="194"/>
      <c r="AB6" s="194"/>
      <c r="AC6" s="194"/>
      <c r="AD6" s="194"/>
      <c r="AE6" s="194"/>
      <c r="AF6" s="194"/>
    </row>
    <row r="7" spans="1:32" x14ac:dyDescent="0.25">
      <c r="A7" s="194"/>
      <c r="C7" s="194"/>
      <c r="D7" s="194"/>
      <c r="E7" s="194"/>
      <c r="F7" s="194"/>
      <c r="G7" s="194"/>
      <c r="H7" s="194"/>
      <c r="I7" s="194"/>
      <c r="J7" s="54" t="str">
        <f>Summary!C7</f>
        <v>SF6</v>
      </c>
      <c r="K7" s="88">
        <f>Summary!E7</f>
        <v>24300</v>
      </c>
      <c r="L7" s="194"/>
      <c r="M7" s="194"/>
      <c r="N7" s="194"/>
      <c r="O7" s="194"/>
      <c r="P7" s="194"/>
      <c r="Q7" s="194"/>
      <c r="R7" s="194"/>
      <c r="S7" s="194"/>
      <c r="T7" s="194"/>
      <c r="U7" s="194"/>
      <c r="V7" s="194"/>
      <c r="W7" s="194"/>
      <c r="X7" s="194"/>
      <c r="Y7" s="194"/>
      <c r="Z7" s="194"/>
      <c r="AA7" s="194"/>
      <c r="AB7" s="194"/>
      <c r="AC7" s="194"/>
      <c r="AD7" s="194"/>
      <c r="AE7" s="194"/>
      <c r="AF7" s="194"/>
    </row>
    <row r="8" spans="1:32" x14ac:dyDescent="0.25">
      <c r="A8" s="194"/>
      <c r="C8" s="194"/>
      <c r="D8" s="194"/>
      <c r="E8" s="194"/>
      <c r="F8" s="194"/>
      <c r="G8" s="194"/>
      <c r="H8" s="194"/>
      <c r="I8" s="194"/>
      <c r="J8" s="194"/>
      <c r="K8" s="194"/>
      <c r="L8" s="194"/>
      <c r="M8" s="194"/>
      <c r="N8" s="194"/>
      <c r="O8" s="194"/>
      <c r="P8" s="194"/>
      <c r="Q8" s="194"/>
      <c r="R8" s="194"/>
      <c r="S8" s="194"/>
      <c r="T8" s="194"/>
      <c r="U8" s="194"/>
      <c r="V8" s="194"/>
      <c r="W8" s="194"/>
      <c r="X8" s="194"/>
      <c r="Y8" s="194"/>
      <c r="Z8" s="194"/>
      <c r="AA8" s="194"/>
      <c r="AB8" s="194"/>
      <c r="AC8" s="194"/>
      <c r="AD8" s="194"/>
      <c r="AE8" s="194"/>
      <c r="AF8" s="194"/>
    </row>
    <row r="9" spans="1:32" x14ac:dyDescent="0.25">
      <c r="A9" s="194"/>
      <c r="B9" s="716" t="s">
        <v>424</v>
      </c>
      <c r="C9" s="717"/>
      <c r="D9" s="717"/>
      <c r="E9" s="717"/>
      <c r="F9" s="717"/>
      <c r="G9" s="717"/>
      <c r="H9" s="717"/>
      <c r="I9" s="717"/>
      <c r="J9" s="717"/>
      <c r="K9" s="717"/>
      <c r="L9" s="717"/>
      <c r="M9" s="717"/>
      <c r="N9" s="717"/>
      <c r="O9" s="717"/>
      <c r="P9" s="717"/>
      <c r="Q9" s="717"/>
      <c r="R9" s="717"/>
      <c r="S9" s="717"/>
      <c r="T9" s="2001"/>
      <c r="U9" s="2001"/>
      <c r="V9" s="2001"/>
      <c r="W9" s="2001"/>
      <c r="X9" s="2001"/>
      <c r="Y9" s="2001"/>
      <c r="Z9" s="2001"/>
      <c r="AA9" s="2001"/>
      <c r="AB9" s="2001"/>
      <c r="AC9" s="2001"/>
      <c r="AD9" s="2001"/>
      <c r="AE9" s="2001"/>
      <c r="AF9" s="2001"/>
    </row>
    <row r="10" spans="1:32" x14ac:dyDescent="0.25">
      <c r="A10" s="194"/>
      <c r="B10" s="194"/>
      <c r="C10" s="194"/>
      <c r="D10" s="194"/>
      <c r="E10" s="194"/>
      <c r="F10" s="194"/>
      <c r="G10" s="194"/>
      <c r="H10" s="194"/>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194"/>
    </row>
    <row r="11" spans="1:32" x14ac:dyDescent="0.25">
      <c r="A11" s="194"/>
      <c r="B11" s="718" t="s">
        <v>1702</v>
      </c>
      <c r="C11" s="719"/>
      <c r="D11" s="719"/>
      <c r="E11" s="719"/>
      <c r="F11" s="719"/>
      <c r="G11" s="194"/>
      <c r="H11" s="194"/>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194"/>
    </row>
    <row r="12" spans="1:32" ht="48.75" x14ac:dyDescent="0.25">
      <c r="A12" s="194"/>
      <c r="B12" s="720" t="s">
        <v>692</v>
      </c>
      <c r="C12" s="720" t="s">
        <v>1703</v>
      </c>
      <c r="D12" s="720" t="s">
        <v>1704</v>
      </c>
      <c r="E12" s="720" t="s">
        <v>1705</v>
      </c>
      <c r="F12" s="720" t="s">
        <v>1706</v>
      </c>
      <c r="G12" s="720" t="s">
        <v>1707</v>
      </c>
      <c r="H12" s="194"/>
      <c r="I12" s="194"/>
      <c r="J12" s="194"/>
      <c r="K12" s="194"/>
      <c r="L12" s="194"/>
      <c r="M12" s="194"/>
      <c r="N12" s="194"/>
      <c r="O12" s="194"/>
      <c r="P12" s="194"/>
      <c r="Q12" s="194"/>
      <c r="R12" s="194"/>
      <c r="S12" s="194"/>
      <c r="T12" s="194"/>
      <c r="U12" s="194"/>
      <c r="V12" s="194"/>
      <c r="W12" s="194"/>
      <c r="X12" s="194"/>
      <c r="Y12" s="194"/>
      <c r="Z12" s="194"/>
      <c r="AA12" s="194"/>
      <c r="AB12" s="194"/>
      <c r="AC12" s="194"/>
      <c r="AD12" s="194"/>
      <c r="AE12" s="194"/>
      <c r="AF12" s="194"/>
    </row>
    <row r="13" spans="1:32" x14ac:dyDescent="0.25">
      <c r="A13" s="194"/>
      <c r="B13" s="721">
        <v>1990</v>
      </c>
      <c r="C13" s="721">
        <v>77.749999999999986</v>
      </c>
      <c r="D13" s="721">
        <v>1.7749999999999999</v>
      </c>
      <c r="E13" s="721">
        <v>2.17</v>
      </c>
      <c r="F13" s="721">
        <v>-0.48599999999999999</v>
      </c>
      <c r="G13" s="721">
        <v>9.0999999999999998E-2</v>
      </c>
      <c r="H13" s="194"/>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row>
    <row r="14" spans="1:32" x14ac:dyDescent="0.25">
      <c r="A14" s="194"/>
      <c r="B14" s="721">
        <v>1991</v>
      </c>
      <c r="C14" s="721">
        <v>77.325999999999979</v>
      </c>
      <c r="D14" s="721">
        <v>-0.42399999999999999</v>
      </c>
      <c r="E14" s="721">
        <v>0.13900000000000001</v>
      </c>
      <c r="F14" s="721">
        <v>-0.629</v>
      </c>
      <c r="G14" s="721">
        <v>6.6000000000000003E-2</v>
      </c>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row>
    <row r="15" spans="1:32" x14ac:dyDescent="0.25">
      <c r="A15" s="194"/>
      <c r="B15" s="721">
        <v>1992</v>
      </c>
      <c r="C15" s="721">
        <v>78.787999999999982</v>
      </c>
      <c r="D15" s="721">
        <v>1.462</v>
      </c>
      <c r="E15" s="721">
        <v>1.992</v>
      </c>
      <c r="F15" s="721">
        <v>-0.57499999999999996</v>
      </c>
      <c r="G15" s="721">
        <v>4.4999999999999998E-2</v>
      </c>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row>
    <row r="16" spans="1:32" x14ac:dyDescent="0.25">
      <c r="A16" s="194"/>
      <c r="B16" s="721">
        <v>1993</v>
      </c>
      <c r="C16" s="721">
        <v>79.950999999999979</v>
      </c>
      <c r="D16" s="721">
        <v>1.163</v>
      </c>
      <c r="E16" s="721">
        <v>1.665</v>
      </c>
      <c r="F16" s="721">
        <v>-0.53500000000000003</v>
      </c>
      <c r="G16" s="721">
        <v>3.3000000000000002E-2</v>
      </c>
      <c r="H16" s="194"/>
      <c r="I16" s="194"/>
      <c r="J16" s="194"/>
      <c r="K16" s="194"/>
      <c r="L16" s="194"/>
      <c r="M16" s="194"/>
      <c r="N16" s="194"/>
      <c r="O16" s="194"/>
      <c r="P16" s="194"/>
      <c r="Q16" s="194"/>
      <c r="R16" s="194"/>
      <c r="S16" s="194"/>
      <c r="T16" s="194"/>
      <c r="U16" s="194"/>
      <c r="V16" s="194"/>
      <c r="W16" s="194"/>
      <c r="X16" s="194"/>
      <c r="Y16" s="194"/>
      <c r="Z16" s="194"/>
      <c r="AA16" s="194"/>
      <c r="AB16" s="194"/>
      <c r="AC16" s="194"/>
      <c r="AD16" s="194"/>
      <c r="AE16" s="194"/>
      <c r="AF16" s="194"/>
    </row>
    <row r="17" spans="1:32" x14ac:dyDescent="0.25">
      <c r="A17" s="194"/>
      <c r="B17" s="721">
        <v>1994</v>
      </c>
      <c r="C17" s="721">
        <v>81.604999999999976</v>
      </c>
      <c r="D17" s="721">
        <v>1.6539999999999999</v>
      </c>
      <c r="E17" s="721">
        <v>2.0619999999999998</v>
      </c>
      <c r="F17" s="721">
        <v>-0.45500000000000002</v>
      </c>
      <c r="G17" s="721">
        <v>4.7E-2</v>
      </c>
      <c r="H17" s="194"/>
      <c r="I17" s="194"/>
      <c r="J17" s="194"/>
      <c r="K17" s="194"/>
      <c r="L17" s="194"/>
      <c r="M17" s="194"/>
      <c r="N17" s="194"/>
      <c r="O17" s="194"/>
      <c r="P17" s="194"/>
      <c r="Q17" s="194"/>
      <c r="R17" s="194"/>
      <c r="S17" s="194"/>
      <c r="T17" s="194"/>
      <c r="U17" s="194"/>
      <c r="V17" s="194"/>
      <c r="W17" s="194"/>
      <c r="X17" s="194"/>
      <c r="Y17" s="194"/>
      <c r="Z17" s="194"/>
      <c r="AA17" s="194"/>
      <c r="AB17" s="194"/>
      <c r="AC17" s="194"/>
      <c r="AD17" s="194"/>
      <c r="AE17" s="194"/>
      <c r="AF17" s="194"/>
    </row>
    <row r="18" spans="1:32" x14ac:dyDescent="0.25">
      <c r="A18" s="194"/>
      <c r="B18" s="721">
        <v>1995</v>
      </c>
      <c r="C18" s="721">
        <v>82.650999999999982</v>
      </c>
      <c r="D18" s="721">
        <v>1.046</v>
      </c>
      <c r="E18" s="721">
        <v>1.4339999999999999</v>
      </c>
      <c r="F18" s="721">
        <v>-0.42299999999999999</v>
      </c>
      <c r="G18" s="721">
        <v>3.5000000000000003E-2</v>
      </c>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row>
    <row r="19" spans="1:32" x14ac:dyDescent="0.25">
      <c r="A19" s="194"/>
      <c r="B19" s="721">
        <v>1996</v>
      </c>
      <c r="C19" s="721">
        <v>84.711999999999989</v>
      </c>
      <c r="D19" s="721">
        <v>2.0609999999999999</v>
      </c>
      <c r="E19" s="721">
        <v>2.38</v>
      </c>
      <c r="F19" s="721">
        <v>-0.38500000000000001</v>
      </c>
      <c r="G19" s="721">
        <v>6.6000000000000003E-2</v>
      </c>
      <c r="H19" s="194"/>
      <c r="I19" s="194"/>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row>
    <row r="20" spans="1:32" x14ac:dyDescent="0.25">
      <c r="A20" s="194"/>
      <c r="B20" s="721">
        <v>1997</v>
      </c>
      <c r="C20" s="721">
        <v>86.071999999999989</v>
      </c>
      <c r="D20" s="721">
        <v>1.36</v>
      </c>
      <c r="E20" s="721">
        <v>1.9039999999999999</v>
      </c>
      <c r="F20" s="721">
        <v>-0.56299999999999994</v>
      </c>
      <c r="G20" s="721">
        <v>1.9E-2</v>
      </c>
      <c r="H20" s="194"/>
      <c r="I20" s="194"/>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row>
    <row r="21" spans="1:32" x14ac:dyDescent="0.25">
      <c r="A21" s="194"/>
      <c r="B21" s="721">
        <v>1998</v>
      </c>
      <c r="C21" s="721">
        <v>87.058999999999983</v>
      </c>
      <c r="D21" s="721">
        <v>0.98699999999999999</v>
      </c>
      <c r="E21" s="721">
        <v>1.6160000000000001</v>
      </c>
      <c r="F21" s="721">
        <v>-0.64500000000000002</v>
      </c>
      <c r="G21" s="721">
        <v>1.6E-2</v>
      </c>
      <c r="H21" s="194"/>
      <c r="I21" s="194"/>
      <c r="J21" s="194"/>
      <c r="K21" s="194"/>
      <c r="L21" s="194"/>
      <c r="M21" s="194"/>
      <c r="N21" s="194"/>
      <c r="O21" s="194"/>
      <c r="P21" s="194"/>
      <c r="Q21" s="194"/>
      <c r="R21" s="194"/>
      <c r="S21" s="194"/>
      <c r="T21" s="194"/>
      <c r="U21" s="194"/>
      <c r="V21" s="194"/>
      <c r="W21" s="194"/>
      <c r="X21" s="194"/>
      <c r="Y21" s="194"/>
      <c r="Z21" s="194"/>
      <c r="AA21" s="194"/>
      <c r="AB21" s="194"/>
      <c r="AC21" s="194"/>
      <c r="AD21" s="194"/>
      <c r="AE21" s="194"/>
      <c r="AF21" s="194"/>
    </row>
    <row r="22" spans="1:32" x14ac:dyDescent="0.25">
      <c r="A22" s="194"/>
      <c r="B22" s="722">
        <v>1999</v>
      </c>
      <c r="C22" s="722">
        <v>87.842999999999989</v>
      </c>
      <c r="D22" s="722">
        <v>0.78400000000000003</v>
      </c>
      <c r="E22" s="722">
        <v>1.2929999999999999</v>
      </c>
      <c r="F22" s="722">
        <v>-0.52900000000000003</v>
      </c>
      <c r="G22" s="722">
        <v>0.02</v>
      </c>
      <c r="H22" s="194"/>
      <c r="I22" s="194"/>
      <c r="J22" s="194"/>
      <c r="K22" s="194"/>
      <c r="L22" s="194"/>
      <c r="M22" s="194"/>
      <c r="N22" s="194"/>
      <c r="O22" s="194"/>
      <c r="P22" s="194"/>
      <c r="Q22" s="194"/>
      <c r="R22" s="194"/>
      <c r="S22" s="194"/>
      <c r="T22" s="194"/>
      <c r="U22" s="194"/>
      <c r="V22" s="194"/>
      <c r="W22" s="194"/>
      <c r="X22" s="194"/>
      <c r="Y22" s="194"/>
      <c r="Z22" s="194"/>
      <c r="AA22" s="194"/>
      <c r="AB22" s="194"/>
      <c r="AC22" s="194"/>
      <c r="AD22" s="194"/>
      <c r="AE22" s="194"/>
      <c r="AF22" s="194"/>
    </row>
    <row r="23" spans="1:32" x14ac:dyDescent="0.25">
      <c r="A23" s="194"/>
      <c r="B23" s="723">
        <v>2000</v>
      </c>
      <c r="C23" s="724">
        <v>87.000209999999996</v>
      </c>
      <c r="D23" s="723"/>
      <c r="E23" s="723"/>
      <c r="F23" s="723"/>
      <c r="G23" s="723"/>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row>
    <row r="24" spans="1:32" x14ac:dyDescent="0.25">
      <c r="A24" s="194"/>
      <c r="B24" s="721">
        <v>2001</v>
      </c>
      <c r="C24" s="725">
        <v>89.291449999999998</v>
      </c>
      <c r="D24" s="725">
        <v>2.2912368999999999</v>
      </c>
      <c r="E24" s="721"/>
      <c r="F24" s="721"/>
      <c r="G24" s="721"/>
      <c r="H24" s="194"/>
      <c r="I24" s="194"/>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row>
    <row r="25" spans="1:32" x14ac:dyDescent="0.25">
      <c r="A25" s="194"/>
      <c r="B25" s="721">
        <v>2002</v>
      </c>
      <c r="C25" s="725">
        <v>89.968770000000006</v>
      </c>
      <c r="D25" s="725">
        <v>0.67732239999999999</v>
      </c>
      <c r="E25" s="721"/>
      <c r="F25" s="721"/>
      <c r="G25" s="721"/>
      <c r="H25" s="194"/>
      <c r="I25" s="194"/>
      <c r="J25" s="194"/>
      <c r="K25" s="194"/>
      <c r="L25" s="194"/>
      <c r="M25" s="194"/>
      <c r="N25" s="194"/>
      <c r="O25" s="194"/>
      <c r="P25" s="194"/>
      <c r="Q25" s="194"/>
      <c r="R25" s="194"/>
      <c r="S25" s="194"/>
      <c r="T25" s="194"/>
      <c r="U25" s="194"/>
      <c r="V25" s="194"/>
      <c r="W25" s="194"/>
      <c r="X25" s="194"/>
      <c r="Y25" s="194"/>
      <c r="Z25" s="194"/>
      <c r="AA25" s="194"/>
      <c r="AB25" s="194"/>
      <c r="AC25" s="194"/>
      <c r="AD25" s="194"/>
      <c r="AE25" s="194"/>
      <c r="AF25" s="194"/>
    </row>
    <row r="26" spans="1:32" x14ac:dyDescent="0.25">
      <c r="A26" s="194"/>
      <c r="B26" s="721">
        <v>2003</v>
      </c>
      <c r="C26" s="725">
        <v>92.303023999999994</v>
      </c>
      <c r="D26" s="725">
        <v>2.3342513999999999</v>
      </c>
      <c r="E26" s="721"/>
      <c r="F26" s="721"/>
      <c r="G26" s="721"/>
      <c r="H26" s="194"/>
      <c r="I26" s="194"/>
      <c r="J26" s="194"/>
      <c r="K26" s="194"/>
      <c r="L26" s="194"/>
      <c r="M26" s="194"/>
      <c r="N26" s="194"/>
      <c r="O26" s="194"/>
      <c r="P26" s="194"/>
      <c r="Q26" s="194"/>
      <c r="R26" s="194"/>
      <c r="S26" s="194"/>
      <c r="T26" s="194"/>
      <c r="U26" s="194"/>
      <c r="V26" s="194"/>
      <c r="W26" s="194"/>
      <c r="X26" s="194"/>
      <c r="Y26" s="194"/>
      <c r="Z26" s="194"/>
      <c r="AA26" s="194"/>
      <c r="AB26" s="194"/>
      <c r="AC26" s="194"/>
      <c r="AD26" s="194"/>
      <c r="AE26" s="194"/>
      <c r="AF26" s="194"/>
    </row>
    <row r="27" spans="1:32" x14ac:dyDescent="0.25">
      <c r="A27" s="194"/>
      <c r="B27" s="721">
        <v>2004</v>
      </c>
      <c r="C27" s="725">
        <v>94.35575</v>
      </c>
      <c r="D27" s="725">
        <v>2.0527267</v>
      </c>
      <c r="E27" s="721"/>
      <c r="F27" s="721"/>
      <c r="G27" s="721"/>
      <c r="H27" s="194"/>
      <c r="I27" s="194"/>
      <c r="J27" s="194"/>
      <c r="K27" s="194"/>
      <c r="L27" s="194"/>
      <c r="M27" s="194"/>
      <c r="N27" s="194"/>
      <c r="O27" s="194"/>
      <c r="P27" s="194"/>
      <c r="Q27" s="194"/>
      <c r="R27" s="194"/>
      <c r="S27" s="194"/>
      <c r="T27" s="194"/>
      <c r="U27" s="194"/>
      <c r="V27" s="194"/>
      <c r="W27" s="194"/>
      <c r="X27" s="194"/>
      <c r="Y27" s="194"/>
      <c r="Z27" s="194"/>
      <c r="AA27" s="194"/>
      <c r="AB27" s="194"/>
      <c r="AC27" s="194"/>
      <c r="AD27" s="194"/>
      <c r="AE27" s="194"/>
      <c r="AF27" s="194"/>
    </row>
    <row r="28" spans="1:32" x14ac:dyDescent="0.25">
      <c r="A28" s="194"/>
      <c r="B28" s="721">
        <v>2005</v>
      </c>
      <c r="C28" s="725">
        <v>95.916250000000005</v>
      </c>
      <c r="D28" s="725">
        <v>1.5605011</v>
      </c>
      <c r="E28" s="721"/>
      <c r="F28" s="721"/>
      <c r="G28" s="721"/>
      <c r="H28" s="194"/>
      <c r="I28" s="194"/>
      <c r="J28" s="194"/>
      <c r="K28" s="194"/>
      <c r="L28" s="194"/>
      <c r="M28" s="194"/>
      <c r="N28" s="194"/>
      <c r="O28" s="194"/>
      <c r="P28" s="194"/>
      <c r="Q28" s="194"/>
      <c r="R28" s="194"/>
      <c r="S28" s="194"/>
      <c r="T28" s="194"/>
      <c r="U28" s="194"/>
      <c r="V28" s="194"/>
      <c r="W28" s="194"/>
      <c r="X28" s="194"/>
      <c r="Y28" s="194"/>
      <c r="Z28" s="194"/>
      <c r="AA28" s="194"/>
      <c r="AB28" s="194"/>
      <c r="AC28" s="194"/>
      <c r="AD28" s="194"/>
      <c r="AE28" s="194"/>
      <c r="AF28" s="194"/>
    </row>
    <row r="29" spans="1:32" x14ac:dyDescent="0.25">
      <c r="A29" s="194"/>
      <c r="B29" s="721">
        <v>2006</v>
      </c>
      <c r="C29" s="725">
        <v>97.513000000000005</v>
      </c>
      <c r="D29" s="725">
        <v>1.5967484000000001</v>
      </c>
      <c r="E29" s="721"/>
      <c r="F29" s="721"/>
      <c r="G29" s="721"/>
      <c r="H29" s="194"/>
      <c r="I29" s="194"/>
      <c r="J29" s="194"/>
      <c r="K29" s="194"/>
      <c r="L29" s="194"/>
      <c r="M29" s="194"/>
      <c r="N29" s="194"/>
      <c r="O29" s="194"/>
      <c r="P29" s="194"/>
      <c r="Q29" s="194"/>
      <c r="R29" s="194"/>
      <c r="S29" s="194"/>
      <c r="T29" s="194"/>
      <c r="U29" s="194"/>
      <c r="V29" s="194"/>
      <c r="W29" s="194"/>
      <c r="X29" s="194"/>
      <c r="Y29" s="194"/>
      <c r="Z29" s="194"/>
      <c r="AA29" s="194"/>
      <c r="AB29" s="194"/>
      <c r="AC29" s="194"/>
      <c r="AD29" s="194"/>
      <c r="AE29" s="194"/>
      <c r="AF29" s="194"/>
    </row>
    <row r="30" spans="1:32" x14ac:dyDescent="0.25">
      <c r="A30" s="194"/>
      <c r="B30" s="721">
        <v>2007</v>
      </c>
      <c r="C30" s="725">
        <v>98.517129999999995</v>
      </c>
      <c r="D30" s="725">
        <v>1.0041275000000001</v>
      </c>
      <c r="E30" s="721"/>
      <c r="F30" s="721"/>
      <c r="G30" s="721"/>
      <c r="H30" s="194"/>
      <c r="I30" s="194"/>
      <c r="J30" s="194"/>
      <c r="K30" s="194"/>
      <c r="L30" s="194"/>
      <c r="M30" s="194"/>
      <c r="N30" s="194"/>
      <c r="O30" s="194"/>
      <c r="P30" s="194"/>
      <c r="Q30" s="194"/>
      <c r="R30" s="194"/>
      <c r="S30" s="194"/>
      <c r="T30" s="194"/>
      <c r="U30" s="194"/>
      <c r="V30" s="194"/>
      <c r="W30" s="194"/>
      <c r="X30" s="194"/>
      <c r="Y30" s="194"/>
      <c r="Z30" s="194"/>
      <c r="AA30" s="194"/>
      <c r="AB30" s="194"/>
      <c r="AC30" s="194"/>
      <c r="AD30" s="194"/>
      <c r="AE30" s="194"/>
      <c r="AF30" s="194"/>
    </row>
    <row r="31" spans="1:32" x14ac:dyDescent="0.25">
      <c r="A31" s="194"/>
      <c r="B31" s="721">
        <v>2008</v>
      </c>
      <c r="C31" s="725">
        <v>100.57679</v>
      </c>
      <c r="D31" s="725">
        <v>2.0596619</v>
      </c>
      <c r="E31" s="721"/>
      <c r="F31" s="721"/>
      <c r="G31" s="721"/>
      <c r="H31" s="194"/>
      <c r="I31" s="194"/>
      <c r="J31" s="194"/>
      <c r="K31" s="194"/>
      <c r="L31" s="194"/>
      <c r="M31" s="194"/>
      <c r="N31" s="194"/>
      <c r="O31" s="194"/>
      <c r="P31" s="194"/>
      <c r="Q31" s="194"/>
      <c r="R31" s="194"/>
      <c r="S31" s="194"/>
      <c r="T31" s="194"/>
      <c r="U31" s="194"/>
      <c r="V31" s="194"/>
      <c r="W31" s="194"/>
      <c r="X31" s="194"/>
      <c r="Y31" s="194"/>
      <c r="Z31" s="194"/>
      <c r="AA31" s="194"/>
      <c r="AB31" s="194"/>
      <c r="AC31" s="194"/>
      <c r="AD31" s="194"/>
      <c r="AE31" s="194"/>
      <c r="AF31" s="194"/>
    </row>
    <row r="32" spans="1:32" x14ac:dyDescent="0.25">
      <c r="A32" s="194"/>
      <c r="B32" s="721">
        <v>2009</v>
      </c>
      <c r="C32" s="725">
        <v>103.406685</v>
      </c>
      <c r="D32" s="725">
        <v>2.829895</v>
      </c>
      <c r="E32" s="721"/>
      <c r="F32" s="721"/>
      <c r="G32" s="721"/>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row>
    <row r="33" spans="1:32" x14ac:dyDescent="0.25">
      <c r="A33" s="194"/>
      <c r="B33" s="721">
        <v>2010</v>
      </c>
      <c r="C33" s="725">
        <v>104.35123400000001</v>
      </c>
      <c r="D33" s="725">
        <v>0.94454956000000001</v>
      </c>
      <c r="E33" s="721"/>
      <c r="F33" s="721"/>
      <c r="G33" s="721"/>
      <c r="H33" s="194"/>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row>
    <row r="34" spans="1:32" x14ac:dyDescent="0.25">
      <c r="A34" s="194"/>
      <c r="B34" s="721">
        <v>2011</v>
      </c>
      <c r="C34" s="725">
        <v>105.90895</v>
      </c>
      <c r="D34" s="725">
        <v>1.5577163999999999</v>
      </c>
      <c r="E34" s="721"/>
      <c r="F34" s="721"/>
      <c r="G34" s="721"/>
      <c r="H34" s="194"/>
      <c r="I34" s="194"/>
      <c r="J34" s="194"/>
      <c r="K34" s="194"/>
      <c r="L34" s="194"/>
      <c r="M34" s="194"/>
      <c r="N34" s="194"/>
      <c r="O34" s="194"/>
      <c r="P34" s="194"/>
      <c r="Q34" s="194"/>
      <c r="R34" s="194"/>
      <c r="S34" s="194"/>
      <c r="T34" s="194"/>
      <c r="U34" s="194"/>
      <c r="V34" s="194"/>
      <c r="W34" s="194"/>
      <c r="X34" s="194"/>
      <c r="Y34" s="194"/>
      <c r="Z34" s="194"/>
      <c r="AA34" s="194"/>
      <c r="AB34" s="194"/>
      <c r="AC34" s="194"/>
      <c r="AD34" s="194"/>
      <c r="AE34" s="194"/>
      <c r="AF34" s="194"/>
    </row>
    <row r="35" spans="1:32" x14ac:dyDescent="0.25">
      <c r="A35" s="194"/>
      <c r="B35" s="721">
        <v>2012</v>
      </c>
      <c r="C35" s="725">
        <v>107.932846</v>
      </c>
      <c r="D35" s="725">
        <v>2.0238953</v>
      </c>
      <c r="E35" s="721"/>
      <c r="F35" s="721"/>
      <c r="G35" s="721"/>
      <c r="H35" s="194"/>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row>
    <row r="36" spans="1:32" x14ac:dyDescent="0.25">
      <c r="A36" s="194"/>
      <c r="B36" s="721">
        <v>2013</v>
      </c>
      <c r="C36" s="725">
        <v>110.34440600000001</v>
      </c>
      <c r="D36" s="725">
        <v>2.4115600000000001</v>
      </c>
      <c r="E36" s="721"/>
      <c r="F36" s="721"/>
      <c r="G36" s="721"/>
      <c r="H36" s="194"/>
      <c r="I36" s="194"/>
      <c r="J36" s="194"/>
      <c r="K36" s="194"/>
      <c r="L36" s="194"/>
      <c r="M36" s="194"/>
      <c r="N36" s="194"/>
      <c r="O36" s="194"/>
      <c r="P36" s="194"/>
      <c r="Q36" s="194"/>
      <c r="R36" s="194"/>
      <c r="S36" s="194"/>
      <c r="T36" s="194"/>
      <c r="U36" s="194"/>
      <c r="V36" s="194"/>
      <c r="W36" s="194"/>
      <c r="X36" s="194"/>
      <c r="Y36" s="194"/>
      <c r="Z36" s="194"/>
      <c r="AA36" s="194"/>
      <c r="AB36" s="194"/>
      <c r="AC36" s="194"/>
      <c r="AD36" s="194"/>
      <c r="AE36" s="194"/>
      <c r="AF36" s="194"/>
    </row>
    <row r="37" spans="1:32" x14ac:dyDescent="0.25">
      <c r="A37" s="194"/>
      <c r="B37" s="721">
        <v>2014</v>
      </c>
      <c r="C37" s="725">
        <v>112.5826</v>
      </c>
      <c r="D37" s="725">
        <v>2.2381972999999999</v>
      </c>
      <c r="E37" s="721"/>
      <c r="F37" s="721"/>
      <c r="G37" s="721"/>
      <c r="H37" s="194"/>
      <c r="I37" s="194"/>
      <c r="J37" s="194"/>
      <c r="K37" s="194"/>
      <c r="L37" s="194"/>
      <c r="M37" s="194"/>
      <c r="N37" s="194"/>
      <c r="O37" s="194"/>
      <c r="P37" s="194"/>
      <c r="Q37" s="194"/>
      <c r="R37" s="194"/>
      <c r="S37" s="194"/>
      <c r="T37" s="194"/>
      <c r="U37" s="194"/>
      <c r="V37" s="194"/>
      <c r="W37" s="194"/>
      <c r="X37" s="194"/>
      <c r="Y37" s="194"/>
      <c r="Z37" s="194"/>
      <c r="AA37" s="194"/>
      <c r="AB37" s="194"/>
      <c r="AC37" s="194"/>
      <c r="AD37" s="194"/>
      <c r="AE37" s="194"/>
      <c r="AF37" s="194"/>
    </row>
    <row r="38" spans="1:32" x14ac:dyDescent="0.25">
      <c r="A38" s="194"/>
      <c r="B38" s="721">
        <v>2015</v>
      </c>
      <c r="C38" s="725">
        <v>115.124405</v>
      </c>
      <c r="D38" s="725">
        <v>2.5418015</v>
      </c>
      <c r="E38" s="721"/>
      <c r="F38" s="721"/>
      <c r="G38" s="721"/>
      <c r="H38" s="194"/>
      <c r="I38" s="194"/>
      <c r="J38" s="194"/>
      <c r="K38" s="194"/>
      <c r="L38" s="194"/>
      <c r="M38" s="194"/>
      <c r="N38" s="194"/>
      <c r="O38" s="194"/>
      <c r="P38" s="194"/>
      <c r="Q38" s="194"/>
      <c r="R38" s="194"/>
      <c r="S38" s="194"/>
      <c r="T38" s="194"/>
      <c r="U38" s="194"/>
      <c r="V38" s="194"/>
      <c r="W38" s="194"/>
      <c r="X38" s="194"/>
      <c r="Y38" s="194"/>
      <c r="Z38" s="194"/>
      <c r="AA38" s="194"/>
      <c r="AB38" s="194"/>
      <c r="AC38" s="194"/>
      <c r="AD38" s="194"/>
      <c r="AE38" s="194"/>
      <c r="AF38" s="194"/>
    </row>
    <row r="39" spans="1:32" x14ac:dyDescent="0.25">
      <c r="A39" s="194"/>
      <c r="B39" s="721">
        <v>2016</v>
      </c>
      <c r="C39" s="725">
        <v>115.5119</v>
      </c>
      <c r="D39" s="725">
        <v>0.38749695000000001</v>
      </c>
      <c r="E39" s="721"/>
      <c r="F39" s="721"/>
      <c r="G39" s="721"/>
      <c r="H39" s="194"/>
      <c r="I39" s="194"/>
      <c r="J39" s="194"/>
      <c r="K39" s="194"/>
      <c r="L39" s="194"/>
      <c r="M39" s="194"/>
      <c r="N39" s="194"/>
      <c r="O39" s="194"/>
      <c r="P39" s="194"/>
      <c r="Q39" s="194"/>
      <c r="R39" s="194"/>
      <c r="S39" s="194"/>
      <c r="T39" s="194"/>
      <c r="U39" s="194"/>
      <c r="V39" s="194"/>
      <c r="W39" s="194"/>
      <c r="X39" s="194"/>
      <c r="Y39" s="194"/>
      <c r="Z39" s="194"/>
      <c r="AA39" s="194"/>
      <c r="AB39" s="194"/>
      <c r="AC39" s="194"/>
      <c r="AD39" s="194"/>
      <c r="AE39" s="194"/>
      <c r="AF39" s="194"/>
    </row>
    <row r="40" spans="1:32" x14ac:dyDescent="0.25">
      <c r="A40" s="194"/>
      <c r="B40" s="721">
        <v>2017</v>
      </c>
      <c r="C40" s="725">
        <v>117.04738</v>
      </c>
      <c r="D40" s="725">
        <v>1.5354767</v>
      </c>
      <c r="E40" s="721"/>
      <c r="F40" s="721"/>
      <c r="G40" s="721"/>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row>
    <row r="41" spans="1:32" x14ac:dyDescent="0.25">
      <c r="A41" s="194"/>
      <c r="B41" s="721">
        <v>2018</v>
      </c>
      <c r="C41" s="725">
        <v>117.97264</v>
      </c>
      <c r="D41" s="725">
        <v>0.92526244999999996</v>
      </c>
      <c r="E41" s="721"/>
      <c r="F41" s="721"/>
      <c r="G41" s="721"/>
      <c r="H41" s="194"/>
      <c r="I41" s="194"/>
      <c r="J41" s="194"/>
      <c r="K41" s="194"/>
      <c r="L41" s="194"/>
      <c r="M41" s="194"/>
      <c r="N41" s="194"/>
      <c r="O41" s="194"/>
      <c r="P41" s="194"/>
      <c r="Q41" s="194"/>
      <c r="R41" s="194"/>
      <c r="S41" s="194"/>
      <c r="T41" s="194"/>
      <c r="U41" s="194"/>
      <c r="V41" s="194"/>
      <c r="W41" s="194"/>
      <c r="X41" s="194"/>
      <c r="Y41" s="194"/>
      <c r="Z41" s="194"/>
      <c r="AA41" s="194"/>
      <c r="AB41" s="194"/>
      <c r="AC41" s="194"/>
      <c r="AD41" s="194"/>
      <c r="AE41" s="194"/>
      <c r="AF41" s="194"/>
    </row>
    <row r="42" spans="1:32" x14ac:dyDescent="0.25">
      <c r="A42" s="194"/>
      <c r="B42" s="721">
        <v>2019</v>
      </c>
      <c r="C42" s="725">
        <v>118.91793</v>
      </c>
      <c r="D42" s="725">
        <v>0.94528959999999995</v>
      </c>
      <c r="E42" s="721"/>
      <c r="F42" s="721"/>
      <c r="G42" s="721"/>
      <c r="H42" s="194"/>
      <c r="I42" s="194"/>
      <c r="J42" s="194"/>
      <c r="K42" s="194"/>
      <c r="L42" s="194"/>
      <c r="M42" s="194"/>
      <c r="N42" s="194"/>
      <c r="O42" s="194"/>
      <c r="P42" s="194"/>
      <c r="Q42" s="194"/>
      <c r="R42" s="194"/>
      <c r="S42" s="194"/>
      <c r="T42" s="194"/>
      <c r="U42" s="194"/>
      <c r="V42" s="194"/>
      <c r="W42" s="194"/>
      <c r="X42" s="194"/>
      <c r="Y42" s="194"/>
      <c r="Z42" s="194"/>
      <c r="AA42" s="194"/>
      <c r="AB42" s="194"/>
      <c r="AC42" s="194"/>
      <c r="AD42" s="194"/>
      <c r="AE42" s="194"/>
      <c r="AF42" s="194"/>
    </row>
    <row r="43" spans="1:32" x14ac:dyDescent="0.25">
      <c r="A43" s="194"/>
      <c r="B43" s="721">
        <v>2020</v>
      </c>
      <c r="C43" s="725">
        <v>120.864655</v>
      </c>
      <c r="D43" s="725">
        <v>1.9467239000000001</v>
      </c>
      <c r="E43" s="721"/>
      <c r="F43" s="721"/>
      <c r="G43" s="721"/>
      <c r="H43" s="194"/>
      <c r="I43" s="194"/>
      <c r="J43" s="194"/>
      <c r="K43" s="194"/>
      <c r="L43" s="194"/>
      <c r="M43" s="194"/>
      <c r="N43" s="194"/>
      <c r="O43" s="194"/>
      <c r="P43" s="194"/>
      <c r="Q43" s="194"/>
      <c r="R43" s="194"/>
      <c r="S43" s="194"/>
      <c r="T43" s="194"/>
      <c r="U43" s="194"/>
      <c r="V43" s="194"/>
      <c r="W43" s="194"/>
      <c r="X43" s="194"/>
      <c r="Y43" s="194"/>
      <c r="Z43" s="194"/>
      <c r="AA43" s="194"/>
      <c r="AB43" s="194"/>
      <c r="AC43" s="194"/>
      <c r="AD43" s="194"/>
      <c r="AE43" s="194"/>
      <c r="AF43" s="194"/>
    </row>
    <row r="44" spans="1:32" x14ac:dyDescent="0.25">
      <c r="A44" s="194"/>
      <c r="B44" s="721">
        <v>2021</v>
      </c>
      <c r="C44" s="725">
        <v>122.49020400000001</v>
      </c>
      <c r="D44" s="725">
        <v>1.6255493000000001</v>
      </c>
      <c r="E44" s="721"/>
      <c r="F44" s="721"/>
      <c r="G44" s="721"/>
      <c r="H44" s="194"/>
      <c r="I44" s="194"/>
      <c r="J44" s="194"/>
      <c r="K44" s="194"/>
      <c r="L44" s="194"/>
      <c r="M44" s="194"/>
      <c r="N44" s="194"/>
      <c r="O44" s="194"/>
      <c r="P44" s="194"/>
      <c r="Q44" s="194"/>
      <c r="R44" s="194"/>
      <c r="S44" s="194"/>
      <c r="T44" s="194"/>
      <c r="U44" s="194"/>
      <c r="V44" s="194"/>
      <c r="W44" s="194"/>
      <c r="X44" s="194"/>
      <c r="Y44" s="194"/>
      <c r="Z44" s="194"/>
      <c r="AA44" s="194"/>
      <c r="AB44" s="194"/>
      <c r="AC44" s="194"/>
      <c r="AD44" s="194"/>
      <c r="AE44" s="194"/>
      <c r="AF44" s="194"/>
    </row>
    <row r="45" spans="1:32" x14ac:dyDescent="0.25">
      <c r="A45" s="194"/>
      <c r="B45" s="721">
        <v>2022</v>
      </c>
      <c r="C45" s="725">
        <v>123.88503</v>
      </c>
      <c r="D45" s="725">
        <v>1.3948288</v>
      </c>
      <c r="E45" s="721"/>
      <c r="F45" s="721"/>
      <c r="G45" s="721"/>
      <c r="H45" s="194"/>
      <c r="I45" s="194"/>
      <c r="J45" s="194"/>
      <c r="K45" s="194"/>
      <c r="L45" s="194"/>
      <c r="M45" s="194"/>
      <c r="N45" s="194"/>
      <c r="O45" s="194"/>
      <c r="P45" s="194"/>
      <c r="Q45" s="194"/>
      <c r="R45" s="194"/>
      <c r="S45" s="194"/>
      <c r="T45" s="194"/>
      <c r="U45" s="194"/>
      <c r="V45" s="194"/>
      <c r="W45" s="194"/>
      <c r="X45" s="194"/>
      <c r="Y45" s="194"/>
      <c r="Z45" s="194"/>
      <c r="AA45" s="194"/>
      <c r="AB45" s="194"/>
      <c r="AC45" s="194"/>
      <c r="AD45" s="194"/>
      <c r="AE45" s="194"/>
      <c r="AF45" s="194"/>
    </row>
    <row r="46" spans="1:32" x14ac:dyDescent="0.25">
      <c r="A46" s="194"/>
      <c r="B46" s="721">
        <v>2023</v>
      </c>
      <c r="C46" s="725">
        <v>125.73924</v>
      </c>
      <c r="D46" s="725">
        <v>1.8542099000000001</v>
      </c>
      <c r="E46" s="721"/>
      <c r="F46" s="721"/>
      <c r="G46" s="721"/>
      <c r="H46" s="194"/>
      <c r="I46" s="194"/>
      <c r="J46" s="194"/>
      <c r="K46" s="194"/>
      <c r="L46" s="194"/>
      <c r="M46" s="194"/>
      <c r="N46" s="194"/>
      <c r="O46" s="194"/>
      <c r="P46" s="194"/>
      <c r="Q46" s="194"/>
      <c r="R46" s="194"/>
      <c r="S46" s="194"/>
      <c r="T46" s="194"/>
      <c r="U46" s="194"/>
      <c r="V46" s="194"/>
      <c r="W46" s="194"/>
      <c r="X46" s="194"/>
      <c r="Y46" s="194"/>
      <c r="Z46" s="194"/>
      <c r="AA46" s="194"/>
      <c r="AB46" s="194"/>
      <c r="AC46" s="194"/>
      <c r="AD46" s="194"/>
      <c r="AE46" s="194"/>
      <c r="AF46" s="194"/>
    </row>
    <row r="47" spans="1:32" x14ac:dyDescent="0.25">
      <c r="A47" s="194"/>
      <c r="B47" s="721">
        <v>2024</v>
      </c>
      <c r="C47" s="725">
        <v>126.98994</v>
      </c>
      <c r="D47" s="725">
        <v>1.2506942999999999</v>
      </c>
      <c r="E47" s="721"/>
      <c r="F47" s="721"/>
      <c r="G47" s="721"/>
      <c r="H47" s="194"/>
      <c r="I47" s="194"/>
      <c r="J47" s="194"/>
      <c r="K47" s="194"/>
      <c r="L47" s="194"/>
      <c r="M47" s="194"/>
      <c r="N47" s="194"/>
      <c r="O47" s="194"/>
      <c r="P47" s="194"/>
      <c r="Q47" s="194"/>
      <c r="R47" s="194"/>
      <c r="S47" s="194"/>
      <c r="T47" s="194"/>
      <c r="U47" s="194"/>
      <c r="V47" s="194"/>
      <c r="W47" s="194"/>
      <c r="X47" s="194"/>
      <c r="Y47" s="194"/>
      <c r="Z47" s="194"/>
      <c r="AA47" s="194"/>
      <c r="AB47" s="194"/>
      <c r="AC47" s="194"/>
      <c r="AD47" s="194"/>
      <c r="AE47" s="194"/>
      <c r="AF47" s="194"/>
    </row>
    <row r="48" spans="1:32" x14ac:dyDescent="0.25">
      <c r="A48" s="194"/>
      <c r="B48" s="194"/>
      <c r="C48" s="194"/>
      <c r="D48" s="194"/>
      <c r="E48" s="194"/>
      <c r="F48" s="194"/>
      <c r="G48" s="194"/>
      <c r="H48" s="194"/>
      <c r="I48" s="194"/>
      <c r="J48" s="194"/>
      <c r="K48" s="194"/>
      <c r="L48" s="194"/>
      <c r="M48" s="194"/>
      <c r="N48" s="194"/>
      <c r="O48" s="194"/>
      <c r="P48" s="194"/>
      <c r="Q48" s="194"/>
      <c r="R48" s="194"/>
      <c r="S48" s="194"/>
      <c r="T48" s="194"/>
      <c r="U48" s="194"/>
      <c r="V48" s="194"/>
      <c r="W48" s="194"/>
      <c r="X48" s="194"/>
      <c r="Y48" s="194"/>
      <c r="Z48" s="194"/>
      <c r="AA48" s="194"/>
      <c r="AB48" s="194"/>
      <c r="AC48" s="194"/>
      <c r="AD48" s="194"/>
      <c r="AE48" s="194"/>
      <c r="AF48" s="194"/>
    </row>
    <row r="49" spans="1:32" x14ac:dyDescent="0.25">
      <c r="A49" s="194"/>
      <c r="B49" s="194"/>
      <c r="C49" s="194"/>
      <c r="D49" s="194"/>
      <c r="E49" s="194"/>
      <c r="F49" s="194"/>
      <c r="G49" s="194"/>
      <c r="H49" s="194"/>
      <c r="I49" s="194"/>
      <c r="J49" s="194"/>
      <c r="K49" s="194"/>
      <c r="L49" s="194"/>
      <c r="M49" s="194"/>
      <c r="N49" s="194"/>
      <c r="O49" s="194"/>
      <c r="P49" s="194"/>
      <c r="Q49" s="194"/>
      <c r="R49" s="194"/>
      <c r="S49" s="194"/>
      <c r="T49" s="194"/>
      <c r="U49" s="194"/>
      <c r="V49" s="194"/>
      <c r="W49" s="194"/>
      <c r="X49" s="194"/>
      <c r="Y49" s="194"/>
      <c r="Z49" s="194"/>
      <c r="AA49" s="194"/>
      <c r="AB49" s="194"/>
      <c r="AC49" s="194"/>
      <c r="AD49" s="194"/>
      <c r="AE49" s="194"/>
      <c r="AF49" s="194"/>
    </row>
    <row r="50" spans="1:32" x14ac:dyDescent="0.25">
      <c r="A50" s="194"/>
      <c r="B50" s="718" t="s">
        <v>1710</v>
      </c>
      <c r="C50" s="194"/>
      <c r="D50" s="194"/>
      <c r="E50" s="194"/>
      <c r="F50" s="194"/>
      <c r="G50" s="194"/>
      <c r="H50" s="194"/>
      <c r="I50" s="194"/>
      <c r="J50" s="194"/>
      <c r="K50" s="194"/>
      <c r="L50" s="194"/>
      <c r="M50" s="194"/>
      <c r="N50" s="194"/>
      <c r="O50" s="194"/>
      <c r="P50" s="194"/>
      <c r="Q50" s="194"/>
      <c r="R50" s="194"/>
      <c r="S50" s="194"/>
      <c r="T50" s="194"/>
      <c r="U50" s="194"/>
      <c r="V50" s="194"/>
      <c r="W50" s="194"/>
      <c r="X50" s="194"/>
      <c r="Y50" s="194"/>
      <c r="Z50" s="194"/>
      <c r="AA50" s="194"/>
      <c r="AB50" s="194"/>
      <c r="AC50" s="194"/>
      <c r="AD50" s="194"/>
      <c r="AE50" s="194"/>
      <c r="AF50" s="194"/>
    </row>
    <row r="51" spans="1:32" x14ac:dyDescent="0.25">
      <c r="A51" s="194"/>
      <c r="B51" s="418" t="s">
        <v>1711</v>
      </c>
      <c r="C51" s="726"/>
      <c r="D51" s="726"/>
      <c r="E51" s="726"/>
      <c r="F51" s="194"/>
      <c r="G51" s="194"/>
      <c r="H51" s="194"/>
      <c r="I51" s="194"/>
      <c r="J51" s="194"/>
      <c r="K51" s="194"/>
      <c r="L51" s="194"/>
      <c r="M51" s="194"/>
      <c r="N51" s="194"/>
      <c r="O51" s="194"/>
      <c r="P51" s="194"/>
      <c r="Q51" s="194"/>
      <c r="R51" s="194"/>
      <c r="S51" s="194"/>
      <c r="T51" s="194"/>
      <c r="U51" s="194"/>
      <c r="V51" s="194"/>
      <c r="W51" s="194"/>
      <c r="X51" s="194"/>
      <c r="Y51" s="194"/>
      <c r="Z51" s="194"/>
      <c r="AA51" s="194"/>
      <c r="AB51" s="194"/>
      <c r="AC51" s="194"/>
      <c r="AD51" s="194"/>
      <c r="AE51" s="194"/>
      <c r="AF51" s="194"/>
    </row>
    <row r="52" spans="1:32" x14ac:dyDescent="0.25">
      <c r="A52" s="194"/>
      <c r="B52" s="418" t="s">
        <v>1712</v>
      </c>
      <c r="C52" s="726"/>
      <c r="D52" s="726"/>
      <c r="E52" s="726"/>
      <c r="F52" s="194"/>
      <c r="H52" s="194"/>
      <c r="I52" s="194"/>
      <c r="J52" s="194"/>
      <c r="K52" s="194"/>
      <c r="L52" s="194"/>
      <c r="M52" s="194"/>
      <c r="N52" s="194"/>
      <c r="O52" s="194"/>
      <c r="P52" s="194"/>
      <c r="Q52" s="194"/>
      <c r="R52" s="194"/>
      <c r="S52" s="194"/>
      <c r="T52" s="194"/>
      <c r="U52" s="194"/>
      <c r="V52" s="194"/>
      <c r="W52" s="194"/>
      <c r="X52" s="194"/>
      <c r="Y52" s="194"/>
      <c r="Z52" s="194"/>
      <c r="AA52" s="194"/>
      <c r="AB52" s="194"/>
      <c r="AC52" s="194"/>
      <c r="AD52" s="194"/>
      <c r="AE52" s="194"/>
      <c r="AF52" s="194"/>
    </row>
    <row r="53" spans="1:32" x14ac:dyDescent="0.25">
      <c r="A53" s="194"/>
      <c r="B53" s="2055" t="s">
        <v>1713</v>
      </c>
      <c r="C53" s="2050"/>
      <c r="D53" s="2050"/>
      <c r="E53" s="2050"/>
      <c r="F53" s="194"/>
      <c r="G53" s="194"/>
      <c r="H53" s="194"/>
      <c r="I53" s="194"/>
      <c r="J53" s="194"/>
      <c r="K53" s="194"/>
      <c r="L53" s="194"/>
      <c r="M53" s="194"/>
      <c r="N53" s="194"/>
      <c r="O53" s="194"/>
      <c r="P53" s="194"/>
      <c r="Q53" s="194"/>
      <c r="R53" s="194"/>
      <c r="S53" s="194"/>
      <c r="T53" s="194"/>
      <c r="U53" s="194"/>
      <c r="V53" s="194"/>
      <c r="W53" s="194"/>
      <c r="X53" s="194"/>
      <c r="Y53" s="194"/>
      <c r="Z53" s="194"/>
      <c r="AA53" s="194"/>
      <c r="AB53" s="194"/>
      <c r="AC53" s="194"/>
      <c r="AD53" s="194"/>
      <c r="AE53" s="194"/>
      <c r="AF53" s="194"/>
    </row>
    <row r="54" spans="1:32" x14ac:dyDescent="0.25">
      <c r="A54" s="194"/>
      <c r="B54" s="194"/>
      <c r="C54" s="194"/>
      <c r="D54" s="194"/>
      <c r="E54" s="194"/>
      <c r="F54" s="194"/>
      <c r="G54" s="194"/>
      <c r="H54" s="194"/>
      <c r="I54" s="194"/>
      <c r="J54" s="194"/>
      <c r="K54" s="194"/>
      <c r="L54" s="194"/>
      <c r="M54" s="194"/>
      <c r="N54" s="194"/>
      <c r="O54" s="194"/>
      <c r="P54" s="194"/>
      <c r="Q54" s="194"/>
      <c r="R54" s="194"/>
      <c r="S54" s="194"/>
      <c r="T54" s="194"/>
      <c r="U54" s="194"/>
      <c r="V54" s="194"/>
      <c r="W54" s="194"/>
      <c r="X54" s="194"/>
      <c r="Y54" s="194"/>
      <c r="Z54" s="194"/>
      <c r="AA54" s="194"/>
      <c r="AB54" s="194"/>
      <c r="AC54" s="194"/>
      <c r="AD54" s="194"/>
      <c r="AE54" s="194"/>
      <c r="AF54" s="194"/>
    </row>
    <row r="55" spans="1:32" x14ac:dyDescent="0.25">
      <c r="A55" s="194"/>
      <c r="B55" s="727" t="s">
        <v>1714</v>
      </c>
      <c r="C55" s="728"/>
      <c r="D55" s="728"/>
      <c r="E55" s="728"/>
      <c r="F55" s="728"/>
      <c r="G55" s="728"/>
      <c r="H55" s="728"/>
      <c r="I55" s="728"/>
      <c r="J55" s="729"/>
      <c r="K55" s="9"/>
      <c r="L55" s="9"/>
      <c r="M55" s="9"/>
      <c r="N55" s="9"/>
      <c r="O55" s="9"/>
      <c r="P55" s="9"/>
      <c r="Q55" s="9"/>
      <c r="R55" s="9"/>
      <c r="S55" s="9"/>
      <c r="T55" s="9"/>
      <c r="U55" s="9"/>
      <c r="V55" s="9"/>
      <c r="W55" s="9"/>
      <c r="X55" s="9"/>
      <c r="Y55" s="9"/>
      <c r="Z55" s="9"/>
      <c r="AA55" s="9"/>
      <c r="AB55" s="9"/>
      <c r="AC55" s="9"/>
      <c r="AD55" s="9"/>
      <c r="AE55" s="9"/>
      <c r="AF55" s="9"/>
    </row>
    <row r="56" spans="1:32" x14ac:dyDescent="0.25">
      <c r="A56" s="194"/>
      <c r="B56" s="730" t="s">
        <v>1716</v>
      </c>
      <c r="C56" s="731"/>
      <c r="D56" s="732">
        <v>2006</v>
      </c>
      <c r="E56" s="732">
        <v>2011</v>
      </c>
      <c r="F56" s="732">
        <v>2014</v>
      </c>
      <c r="G56" s="732">
        <v>2017</v>
      </c>
      <c r="H56" s="732">
        <v>2020</v>
      </c>
      <c r="I56" s="732">
        <v>2023</v>
      </c>
      <c r="K56" s="733"/>
      <c r="L56" s="733"/>
      <c r="M56" s="733"/>
      <c r="N56" s="733"/>
      <c r="O56" s="733"/>
      <c r="P56" s="733"/>
      <c r="Q56" s="733"/>
      <c r="R56" s="733"/>
      <c r="S56" s="1"/>
      <c r="T56" s="733"/>
      <c r="U56" s="733"/>
      <c r="V56" s="733"/>
      <c r="W56" s="1"/>
      <c r="X56" s="1"/>
      <c r="Y56" s="733"/>
      <c r="Z56" s="733"/>
      <c r="AA56" s="1"/>
      <c r="AB56" s="733"/>
      <c r="AC56" s="1"/>
      <c r="AD56" s="1"/>
      <c r="AE56" s="733"/>
    </row>
    <row r="57" spans="1:32" x14ac:dyDescent="0.25">
      <c r="A57" s="194"/>
      <c r="B57" s="734" t="s">
        <v>1718</v>
      </c>
      <c r="C57" s="735"/>
      <c r="D57" s="18">
        <v>-0.8</v>
      </c>
      <c r="E57" s="18">
        <v>-0.82</v>
      </c>
      <c r="F57" s="18">
        <v>-0.84</v>
      </c>
      <c r="G57" s="18">
        <v>-0.86</v>
      </c>
      <c r="H57" s="18">
        <v>-0.9</v>
      </c>
      <c r="I57" s="18">
        <v>-0.93</v>
      </c>
      <c r="K57" s="27"/>
      <c r="L57" s="27"/>
      <c r="M57" s="27"/>
      <c r="N57" s="27"/>
      <c r="O57" s="27"/>
      <c r="P57" s="27"/>
      <c r="Q57" s="27"/>
      <c r="R57" s="27"/>
      <c r="S57" s="1"/>
      <c r="T57" s="27"/>
      <c r="U57" s="27"/>
      <c r="V57" s="27"/>
      <c r="W57" s="1"/>
      <c r="X57" s="1"/>
      <c r="Y57" s="27"/>
      <c r="Z57" s="27"/>
      <c r="AA57" s="1"/>
      <c r="AB57" s="27"/>
      <c r="AC57" s="1"/>
      <c r="AD57" s="1"/>
      <c r="AE57" s="27"/>
    </row>
    <row r="58" spans="1:32" x14ac:dyDescent="0.25">
      <c r="A58" s="194"/>
      <c r="B58" s="734" t="s">
        <v>1397</v>
      </c>
      <c r="C58" s="735"/>
      <c r="D58" s="18">
        <v>-0.02</v>
      </c>
      <c r="E58" s="18">
        <v>-0.01</v>
      </c>
      <c r="F58" s="18">
        <v>-0.01</v>
      </c>
      <c r="G58" s="18">
        <v>0</v>
      </c>
      <c r="H58" s="18">
        <v>0.01</v>
      </c>
      <c r="I58" s="18">
        <v>0.01</v>
      </c>
      <c r="K58" s="27"/>
      <c r="L58" s="27"/>
      <c r="M58" s="27"/>
      <c r="N58" s="27"/>
      <c r="O58" s="27"/>
      <c r="P58" s="27"/>
      <c r="Q58" s="27"/>
      <c r="R58" s="27"/>
      <c r="S58" s="1"/>
      <c r="T58" s="27"/>
      <c r="U58" s="27"/>
      <c r="V58" s="27"/>
      <c r="W58" s="1"/>
      <c r="X58" s="1"/>
      <c r="Y58" s="27"/>
      <c r="Z58" s="27"/>
      <c r="AA58" s="1"/>
      <c r="AB58" s="27"/>
      <c r="AC58" s="1"/>
      <c r="AD58" s="1"/>
      <c r="AE58" s="27"/>
    </row>
    <row r="59" spans="1:32" x14ac:dyDescent="0.25">
      <c r="A59" s="194"/>
      <c r="B59" s="734" t="s">
        <v>1719</v>
      </c>
      <c r="C59" s="735"/>
      <c r="D59" s="18">
        <v>0.1</v>
      </c>
      <c r="E59" s="18">
        <v>0.1</v>
      </c>
      <c r="F59" s="18">
        <v>0.09</v>
      </c>
      <c r="G59" s="18">
        <v>0.09</v>
      </c>
      <c r="H59" s="18">
        <v>0.08</v>
      </c>
      <c r="I59" s="18">
        <v>0.08</v>
      </c>
      <c r="K59" s="27"/>
      <c r="L59" s="27"/>
      <c r="M59" s="27"/>
      <c r="N59" s="27"/>
      <c r="O59" s="27"/>
      <c r="P59" s="27"/>
      <c r="Q59" s="27"/>
      <c r="R59" s="27"/>
      <c r="S59" s="1"/>
      <c r="T59" s="27"/>
      <c r="U59" s="27"/>
      <c r="V59" s="27"/>
      <c r="W59" s="1"/>
      <c r="X59" s="1"/>
      <c r="Y59" s="27"/>
      <c r="Z59" s="27"/>
      <c r="AA59" s="1"/>
      <c r="AB59" s="27"/>
      <c r="AC59" s="1"/>
      <c r="AD59" s="1"/>
      <c r="AE59" s="27"/>
    </row>
    <row r="60" spans="1:32" x14ac:dyDescent="0.25">
      <c r="A60" s="194"/>
      <c r="B60" s="736" t="s">
        <v>1720</v>
      </c>
      <c r="C60" s="737"/>
      <c r="D60" s="738">
        <v>0</v>
      </c>
      <c r="E60" s="738">
        <v>0</v>
      </c>
      <c r="F60" s="738">
        <v>0</v>
      </c>
      <c r="G60" s="738">
        <v>0</v>
      </c>
      <c r="H60" s="738">
        <v>0</v>
      </c>
      <c r="I60" s="738">
        <v>0</v>
      </c>
      <c r="K60" s="27"/>
      <c r="L60" s="27"/>
      <c r="M60" s="27"/>
      <c r="N60" s="27"/>
      <c r="O60" s="27"/>
      <c r="P60" s="27"/>
      <c r="Q60" s="27"/>
      <c r="R60" s="27"/>
      <c r="S60" s="1"/>
      <c r="T60" s="27"/>
      <c r="U60" s="27"/>
      <c r="V60" s="27"/>
      <c r="W60" s="1"/>
      <c r="X60" s="1"/>
      <c r="Y60" s="27"/>
      <c r="Z60" s="27"/>
      <c r="AA60" s="1"/>
      <c r="AB60" s="27"/>
      <c r="AC60" s="1"/>
      <c r="AD60" s="1"/>
      <c r="AE60" s="27"/>
    </row>
    <row r="61" spans="1:32" x14ac:dyDescent="0.25">
      <c r="A61" s="194"/>
      <c r="B61" s="739" t="s">
        <v>1721</v>
      </c>
      <c r="C61" s="740"/>
      <c r="D61" s="741">
        <v>-4.33</v>
      </c>
      <c r="E61" s="741">
        <v>-4.22</v>
      </c>
      <c r="F61" s="741">
        <v>-4.1100000000000003</v>
      </c>
      <c r="G61" s="741">
        <v>-3.99</v>
      </c>
      <c r="H61" s="741">
        <v>-3.84</v>
      </c>
      <c r="I61" s="741">
        <v>-3.69</v>
      </c>
      <c r="K61" s="9"/>
      <c r="L61" s="9"/>
      <c r="M61" s="9"/>
      <c r="N61" s="9"/>
      <c r="O61" s="9"/>
      <c r="P61" s="9"/>
      <c r="Q61" s="9"/>
      <c r="R61" s="9"/>
      <c r="S61" s="1"/>
      <c r="T61" s="9"/>
      <c r="U61" s="9"/>
      <c r="V61" s="9"/>
      <c r="W61" s="1"/>
      <c r="X61" s="1"/>
      <c r="Y61" s="9"/>
      <c r="Z61" s="9"/>
      <c r="AA61" s="1"/>
      <c r="AB61" s="9"/>
      <c r="AC61" s="1"/>
      <c r="AD61" s="1"/>
      <c r="AE61" s="9"/>
    </row>
    <row r="62" spans="1:32" x14ac:dyDescent="0.25">
      <c r="A62" s="194"/>
      <c r="B62" s="734" t="s">
        <v>1722</v>
      </c>
      <c r="C62" s="735"/>
      <c r="D62" s="18">
        <v>-0.81</v>
      </c>
      <c r="E62" s="18">
        <v>-0.77</v>
      </c>
      <c r="F62" s="18">
        <v>-0.74</v>
      </c>
      <c r="G62" s="18">
        <v>-0.71</v>
      </c>
      <c r="H62" s="18">
        <v>-0.67</v>
      </c>
      <c r="I62" s="18">
        <v>-0.63</v>
      </c>
      <c r="K62" s="9"/>
      <c r="L62" s="9"/>
      <c r="M62" s="9"/>
      <c r="N62" s="9"/>
      <c r="O62" s="9"/>
      <c r="P62" s="9"/>
      <c r="Q62" s="9"/>
      <c r="R62" s="9"/>
      <c r="S62" s="1"/>
      <c r="T62" s="9"/>
      <c r="U62" s="9"/>
      <c r="V62" s="9"/>
      <c r="W62" s="1"/>
      <c r="X62" s="1"/>
      <c r="Y62" s="9"/>
      <c r="Z62" s="9"/>
      <c r="AA62" s="1"/>
      <c r="AB62" s="9"/>
      <c r="AC62" s="1"/>
      <c r="AD62" s="1"/>
      <c r="AE62" s="9"/>
    </row>
    <row r="63" spans="1:32" x14ac:dyDescent="0.25">
      <c r="A63" s="194"/>
      <c r="B63" s="9"/>
      <c r="C63" s="9"/>
      <c r="D63" s="9"/>
      <c r="E63" s="742"/>
      <c r="F63" s="742"/>
      <c r="G63" s="742"/>
      <c r="H63" s="742"/>
      <c r="I63" s="742"/>
      <c r="J63" s="9"/>
      <c r="K63" s="9"/>
      <c r="L63" s="9"/>
      <c r="M63" s="9"/>
      <c r="N63" s="9"/>
      <c r="O63" s="9"/>
      <c r="P63" s="9"/>
      <c r="Q63" s="9"/>
      <c r="R63" s="9"/>
      <c r="S63" s="1"/>
      <c r="T63" s="9"/>
      <c r="U63" s="9"/>
      <c r="V63" s="9"/>
      <c r="W63" s="1"/>
      <c r="X63" s="1"/>
      <c r="Y63" s="9"/>
      <c r="Z63" s="9"/>
      <c r="AA63" s="1"/>
      <c r="AB63" s="9"/>
      <c r="AC63" s="1"/>
      <c r="AD63" s="1"/>
      <c r="AE63" s="9"/>
    </row>
    <row r="64" spans="1:32" x14ac:dyDescent="0.25">
      <c r="A64" s="194"/>
      <c r="B64" s="727" t="s">
        <v>1723</v>
      </c>
      <c r="C64" s="728"/>
      <c r="D64" s="728"/>
      <c r="E64" s="728"/>
      <c r="F64" s="728"/>
      <c r="G64" s="728"/>
      <c r="H64" s="728"/>
      <c r="I64" s="728"/>
      <c r="J64" s="729"/>
      <c r="K64" s="9"/>
      <c r="L64" s="9"/>
      <c r="M64" s="9"/>
      <c r="N64" s="9"/>
      <c r="O64" s="9"/>
      <c r="P64" s="9"/>
      <c r="Q64" s="9"/>
      <c r="R64" s="9"/>
      <c r="S64" s="1"/>
      <c r="T64" s="9"/>
      <c r="U64" s="9"/>
      <c r="V64" s="9"/>
      <c r="W64" s="1"/>
      <c r="X64" s="1"/>
      <c r="Y64" s="9"/>
      <c r="Z64" s="9"/>
      <c r="AA64" s="1"/>
      <c r="AB64" s="9"/>
      <c r="AC64" s="1"/>
      <c r="AD64" s="1"/>
      <c r="AE64" s="9"/>
    </row>
    <row r="65" spans="1:32" x14ac:dyDescent="0.25">
      <c r="A65" s="194"/>
      <c r="B65" s="743" t="s">
        <v>1724</v>
      </c>
      <c r="C65" s="743" t="s">
        <v>1725</v>
      </c>
      <c r="D65" s="732">
        <v>2006</v>
      </c>
      <c r="E65" s="732">
        <v>2011</v>
      </c>
      <c r="F65" s="732">
        <v>2014</v>
      </c>
      <c r="G65" s="732">
        <v>2017</v>
      </c>
      <c r="H65" s="732">
        <v>2020</v>
      </c>
      <c r="I65" s="732">
        <v>2023</v>
      </c>
      <c r="K65" s="733"/>
      <c r="L65" s="733"/>
      <c r="M65" s="733"/>
      <c r="N65" s="733"/>
      <c r="O65" s="733"/>
      <c r="P65" s="733"/>
      <c r="Q65" s="733"/>
      <c r="R65" s="733"/>
      <c r="S65" s="1"/>
      <c r="T65" s="733"/>
      <c r="U65" s="733"/>
      <c r="V65" s="733"/>
      <c r="W65" s="1"/>
      <c r="X65" s="1"/>
      <c r="Y65" s="733"/>
      <c r="Z65" s="733"/>
      <c r="AA65" s="1"/>
      <c r="AB65" s="733"/>
      <c r="AC65" s="1"/>
      <c r="AD65" s="1"/>
      <c r="AE65" s="733"/>
    </row>
    <row r="66" spans="1:32" x14ac:dyDescent="0.25">
      <c r="A66" s="194"/>
      <c r="B66" s="316" t="s">
        <v>1726</v>
      </c>
      <c r="C66" s="316" t="s">
        <v>1727</v>
      </c>
      <c r="D66" s="18">
        <v>-0.06</v>
      </c>
      <c r="E66" s="18">
        <v>-0.06</v>
      </c>
      <c r="F66" s="18">
        <v>-0.06</v>
      </c>
      <c r="G66" s="18">
        <v>-0.06</v>
      </c>
      <c r="H66" s="18">
        <v>-0.06</v>
      </c>
      <c r="I66" s="18">
        <v>-0.06</v>
      </c>
      <c r="K66" s="27"/>
      <c r="L66" s="27"/>
      <c r="M66" s="27"/>
      <c r="N66" s="27"/>
      <c r="O66" s="27"/>
      <c r="P66" s="27"/>
      <c r="Q66" s="27"/>
      <c r="R66" s="27"/>
      <c r="S66" s="1"/>
      <c r="T66" s="27"/>
      <c r="U66" s="27"/>
      <c r="V66" s="27"/>
      <c r="W66" s="1"/>
      <c r="X66" s="1"/>
      <c r="Y66" s="27"/>
      <c r="Z66" s="27"/>
      <c r="AA66" s="1"/>
      <c r="AB66" s="27"/>
      <c r="AC66" s="1"/>
      <c r="AD66" s="1"/>
      <c r="AE66" s="27"/>
    </row>
    <row r="67" spans="1:32" x14ac:dyDescent="0.25">
      <c r="A67" s="194"/>
      <c r="B67" s="316" t="s">
        <v>1726</v>
      </c>
      <c r="C67" s="316" t="s">
        <v>1728</v>
      </c>
      <c r="D67" s="18">
        <v>-0.08</v>
      </c>
      <c r="E67" s="18">
        <v>-0.08</v>
      </c>
      <c r="F67" s="18">
        <v>-0.08</v>
      </c>
      <c r="G67" s="18">
        <v>-0.08</v>
      </c>
      <c r="H67" s="18">
        <v>-0.08</v>
      </c>
      <c r="I67" s="18">
        <v>-0.08</v>
      </c>
      <c r="K67" s="27"/>
      <c r="L67" s="27"/>
      <c r="M67" s="27"/>
      <c r="N67" s="27"/>
      <c r="O67" s="27"/>
      <c r="P67" s="27"/>
      <c r="Q67" s="27"/>
      <c r="R67" s="27"/>
      <c r="S67" s="1"/>
      <c r="T67" s="27"/>
      <c r="U67" s="27"/>
      <c r="V67" s="27"/>
      <c r="W67" s="1"/>
      <c r="X67" s="1"/>
      <c r="Y67" s="27"/>
      <c r="Z67" s="27"/>
      <c r="AA67" s="1"/>
      <c r="AB67" s="27"/>
      <c r="AC67" s="1"/>
      <c r="AD67" s="1"/>
      <c r="AE67" s="27"/>
    </row>
    <row r="68" spans="1:32" x14ac:dyDescent="0.25">
      <c r="A68" s="194"/>
      <c r="B68" s="316" t="s">
        <v>1726</v>
      </c>
      <c r="C68" s="316" t="s">
        <v>1729</v>
      </c>
      <c r="D68" s="18">
        <v>0</v>
      </c>
      <c r="E68" s="18">
        <v>0</v>
      </c>
      <c r="F68" s="18">
        <v>0</v>
      </c>
      <c r="G68" s="18">
        <v>0</v>
      </c>
      <c r="H68" s="18">
        <v>0</v>
      </c>
      <c r="I68" s="18">
        <v>0</v>
      </c>
      <c r="K68" s="27"/>
      <c r="L68" s="27"/>
      <c r="M68" s="27"/>
      <c r="N68" s="27"/>
      <c r="O68" s="27"/>
      <c r="P68" s="27"/>
      <c r="Q68" s="27"/>
      <c r="R68" s="27"/>
      <c r="S68" s="1"/>
      <c r="T68" s="27"/>
      <c r="U68" s="27"/>
      <c r="V68" s="27"/>
      <c r="W68" s="1"/>
      <c r="X68" s="1"/>
      <c r="Y68" s="27"/>
      <c r="Z68" s="27"/>
      <c r="AA68" s="1"/>
      <c r="AB68" s="27"/>
      <c r="AC68" s="1"/>
      <c r="AD68" s="1"/>
      <c r="AE68" s="27"/>
    </row>
    <row r="69" spans="1:32" x14ac:dyDescent="0.25">
      <c r="A69" s="194"/>
      <c r="B69" s="739" t="s">
        <v>1726</v>
      </c>
      <c r="C69" s="744" t="s">
        <v>1731</v>
      </c>
      <c r="D69" s="741">
        <v>-0.27</v>
      </c>
      <c r="E69" s="741">
        <v>-0.27</v>
      </c>
      <c r="F69" s="741">
        <v>-0.27</v>
      </c>
      <c r="G69" s="741">
        <v>-0.27</v>
      </c>
      <c r="H69" s="741">
        <v>-0.26</v>
      </c>
      <c r="I69" s="741">
        <v>-0.26</v>
      </c>
      <c r="K69" s="9"/>
      <c r="L69" s="9"/>
      <c r="M69" s="9"/>
      <c r="N69" s="9"/>
      <c r="O69" s="9"/>
      <c r="P69" s="9"/>
      <c r="Q69" s="9"/>
      <c r="R69" s="9"/>
      <c r="S69" s="1"/>
      <c r="T69" s="9"/>
      <c r="U69" s="9"/>
      <c r="V69" s="9"/>
      <c r="W69" s="1"/>
      <c r="X69" s="1"/>
      <c r="Y69" s="9"/>
      <c r="Z69" s="9"/>
      <c r="AA69" s="1"/>
      <c r="AB69" s="9"/>
      <c r="AC69" s="1"/>
      <c r="AD69" s="1"/>
      <c r="AE69" s="9"/>
    </row>
    <row r="70" spans="1:32" x14ac:dyDescent="0.25">
      <c r="A70" s="194"/>
      <c r="B70" s="734" t="s">
        <v>1726</v>
      </c>
      <c r="C70" s="316" t="s">
        <v>1732</v>
      </c>
      <c r="D70" s="18">
        <v>-0.04</v>
      </c>
      <c r="E70" s="18">
        <v>-0.04</v>
      </c>
      <c r="F70" s="18">
        <v>-0.04</v>
      </c>
      <c r="G70" s="18">
        <v>-0.04</v>
      </c>
      <c r="H70" s="18">
        <v>-0.04</v>
      </c>
      <c r="I70" s="18">
        <v>-0.04</v>
      </c>
      <c r="K70" s="9"/>
      <c r="L70" s="9"/>
      <c r="M70" s="9"/>
      <c r="N70" s="9"/>
      <c r="O70" s="9"/>
      <c r="P70" s="9"/>
      <c r="Q70" s="9"/>
      <c r="R70" s="9"/>
      <c r="S70" s="1"/>
      <c r="T70" s="9"/>
      <c r="U70" s="9"/>
      <c r="V70" s="9"/>
      <c r="W70" s="1"/>
      <c r="X70" s="1"/>
      <c r="Y70" s="9"/>
      <c r="Z70" s="9"/>
      <c r="AA70" s="1"/>
      <c r="AB70" s="9"/>
      <c r="AC70" s="1"/>
      <c r="AD70" s="1"/>
      <c r="AE70" s="9"/>
    </row>
    <row r="71" spans="1:32" x14ac:dyDescent="0.25">
      <c r="A71" s="194"/>
      <c r="B71" s="9"/>
      <c r="C71" s="9"/>
      <c r="D71" s="9"/>
      <c r="E71" s="742"/>
      <c r="F71" s="742"/>
      <c r="G71" s="742"/>
      <c r="H71" s="742"/>
      <c r="I71" s="742"/>
      <c r="J71" s="9"/>
      <c r="K71" s="9"/>
      <c r="L71" s="9"/>
      <c r="M71" s="9"/>
      <c r="N71" s="9"/>
      <c r="O71" s="9"/>
      <c r="P71" s="9"/>
      <c r="Q71" s="9"/>
      <c r="R71" s="9"/>
      <c r="S71" s="1"/>
      <c r="T71" s="9"/>
      <c r="U71" s="9"/>
      <c r="V71" s="9"/>
      <c r="W71" s="1"/>
      <c r="X71" s="1"/>
      <c r="Y71" s="9"/>
      <c r="Z71" s="9"/>
      <c r="AA71" s="1"/>
      <c r="AB71" s="9"/>
      <c r="AC71" s="1"/>
      <c r="AD71" s="1"/>
      <c r="AE71" s="9"/>
    </row>
    <row r="72" spans="1:32" x14ac:dyDescent="0.25">
      <c r="A72" s="194"/>
      <c r="B72" s="727" t="s">
        <v>1733</v>
      </c>
      <c r="C72" s="728"/>
      <c r="D72" s="728"/>
      <c r="E72" s="728"/>
      <c r="F72" s="728"/>
      <c r="G72" s="728"/>
      <c r="H72" s="728"/>
      <c r="I72" s="728"/>
      <c r="J72" s="729"/>
      <c r="K72" s="9"/>
      <c r="L72" s="9"/>
      <c r="M72" s="9"/>
      <c r="N72" s="9"/>
      <c r="O72" s="9"/>
      <c r="P72" s="9"/>
      <c r="Q72" s="9"/>
      <c r="R72" s="9"/>
      <c r="S72" s="1"/>
      <c r="T72" s="9"/>
      <c r="U72" s="9"/>
      <c r="V72" s="9"/>
      <c r="W72" s="1"/>
      <c r="X72" s="1"/>
      <c r="Y72" s="9"/>
      <c r="Z72" s="9"/>
      <c r="AA72" s="1"/>
      <c r="AB72" s="9"/>
      <c r="AC72" s="1"/>
      <c r="AD72" s="1"/>
      <c r="AE72" s="9"/>
    </row>
    <row r="73" spans="1:32" x14ac:dyDescent="0.25">
      <c r="A73" s="194"/>
      <c r="B73" s="743" t="s">
        <v>1724</v>
      </c>
      <c r="C73" s="743" t="s">
        <v>1725</v>
      </c>
      <c r="D73" s="732">
        <v>2006</v>
      </c>
      <c r="E73" s="732">
        <v>2011</v>
      </c>
      <c r="F73" s="732">
        <v>2014</v>
      </c>
      <c r="G73" s="732">
        <v>2017</v>
      </c>
      <c r="H73" s="732">
        <v>2020</v>
      </c>
      <c r="I73" s="732">
        <v>2023</v>
      </c>
      <c r="K73" s="733"/>
      <c r="L73" s="733"/>
      <c r="M73" s="733"/>
      <c r="N73" s="733"/>
      <c r="O73" s="733"/>
      <c r="P73" s="733"/>
      <c r="Q73" s="733"/>
      <c r="R73" s="733"/>
      <c r="S73" s="1"/>
      <c r="T73" s="733"/>
      <c r="U73" s="733"/>
      <c r="V73" s="733"/>
      <c r="W73" s="1"/>
      <c r="X73" s="1"/>
      <c r="Y73" s="733"/>
      <c r="Z73" s="733"/>
      <c r="AA73" s="1"/>
      <c r="AB73" s="733"/>
      <c r="AC73" s="1"/>
      <c r="AD73" s="1"/>
      <c r="AE73" s="733"/>
    </row>
    <row r="74" spans="1:32" x14ac:dyDescent="0.25">
      <c r="A74" s="194"/>
      <c r="B74" s="316" t="s">
        <v>1726</v>
      </c>
      <c r="C74" s="316" t="s">
        <v>1727</v>
      </c>
      <c r="D74" s="18">
        <v>0.11</v>
      </c>
      <c r="E74" s="18">
        <v>0.12</v>
      </c>
      <c r="F74" s="18">
        <v>0.12</v>
      </c>
      <c r="G74" s="18">
        <v>0.12</v>
      </c>
      <c r="H74" s="18">
        <v>0.12</v>
      </c>
      <c r="I74" s="18">
        <v>0.12</v>
      </c>
      <c r="K74" s="27"/>
      <c r="L74" s="27"/>
      <c r="M74" s="27"/>
      <c r="N74" s="27"/>
      <c r="O74" s="27"/>
      <c r="P74" s="27"/>
      <c r="Q74" s="27"/>
      <c r="R74" s="27"/>
      <c r="S74" s="1"/>
      <c r="T74" s="27"/>
      <c r="U74" s="27"/>
      <c r="V74" s="27"/>
      <c r="W74" s="1"/>
      <c r="X74" s="1"/>
      <c r="Y74" s="27"/>
      <c r="Z74" s="27"/>
      <c r="AA74" s="1"/>
      <c r="AB74" s="27"/>
      <c r="AC74" s="1"/>
      <c r="AD74" s="1"/>
      <c r="AE74" s="27"/>
    </row>
    <row r="75" spans="1:32" x14ac:dyDescent="0.25">
      <c r="A75" s="194"/>
      <c r="B75" s="316" t="s">
        <v>1726</v>
      </c>
      <c r="C75" s="316" t="s">
        <v>1728</v>
      </c>
      <c r="D75" s="18">
        <v>0.21</v>
      </c>
      <c r="E75" s="18">
        <v>0.21</v>
      </c>
      <c r="F75" s="18">
        <v>0.21</v>
      </c>
      <c r="G75" s="18">
        <v>0.22</v>
      </c>
      <c r="H75" s="18">
        <v>0.22</v>
      </c>
      <c r="I75" s="18">
        <v>0.22</v>
      </c>
      <c r="K75" s="27"/>
      <c r="L75" s="27"/>
      <c r="M75" s="27"/>
      <c r="N75" s="27"/>
      <c r="O75" s="27"/>
      <c r="P75" s="27"/>
      <c r="Q75" s="27"/>
      <c r="R75" s="27"/>
      <c r="S75" s="1"/>
      <c r="T75" s="27"/>
      <c r="U75" s="27"/>
      <c r="V75" s="27"/>
      <c r="W75" s="1"/>
      <c r="X75" s="1"/>
      <c r="Y75" s="27"/>
      <c r="Z75" s="27"/>
      <c r="AA75" s="1"/>
      <c r="AB75" s="27"/>
      <c r="AC75" s="1"/>
      <c r="AD75" s="1"/>
      <c r="AE75" s="27"/>
    </row>
    <row r="76" spans="1:32" x14ac:dyDescent="0.25">
      <c r="A76" s="194"/>
      <c r="B76" s="316" t="s">
        <v>1726</v>
      </c>
      <c r="C76" s="316" t="s">
        <v>1729</v>
      </c>
      <c r="D76" s="18">
        <v>0.01</v>
      </c>
      <c r="E76" s="18">
        <v>0.01</v>
      </c>
      <c r="F76" s="18">
        <v>0.02</v>
      </c>
      <c r="G76" s="18">
        <v>0.01</v>
      </c>
      <c r="H76" s="18">
        <v>0.01</v>
      </c>
      <c r="I76" s="18">
        <v>0.01</v>
      </c>
      <c r="K76" s="27"/>
      <c r="L76" s="27"/>
      <c r="M76" s="27"/>
      <c r="N76" s="27"/>
      <c r="O76" s="27"/>
      <c r="P76" s="27"/>
      <c r="Q76" s="27"/>
      <c r="R76" s="27"/>
      <c r="S76" s="1"/>
      <c r="T76" s="27"/>
      <c r="U76" s="27"/>
      <c r="V76" s="27"/>
      <c r="W76" s="1"/>
      <c r="X76" s="1"/>
      <c r="Y76" s="27"/>
      <c r="Z76" s="27"/>
      <c r="AA76" s="1"/>
      <c r="AB76" s="27"/>
      <c r="AC76" s="1"/>
      <c r="AD76" s="1"/>
      <c r="AE76" s="27"/>
    </row>
    <row r="77" spans="1:32" x14ac:dyDescent="0.25">
      <c r="A77" s="194"/>
      <c r="B77" s="739" t="s">
        <v>1726</v>
      </c>
      <c r="C77" s="744" t="s">
        <v>1731</v>
      </c>
      <c r="D77" s="741">
        <v>0.91</v>
      </c>
      <c r="E77" s="741">
        <v>0.92</v>
      </c>
      <c r="F77" s="741">
        <v>0.94</v>
      </c>
      <c r="G77" s="741">
        <v>0.95</v>
      </c>
      <c r="H77" s="741">
        <v>0.96</v>
      </c>
      <c r="I77" s="741">
        <v>0.96</v>
      </c>
      <c r="K77" s="194"/>
      <c r="L77" s="194"/>
      <c r="M77" s="194"/>
      <c r="N77" s="194"/>
      <c r="O77" s="194"/>
      <c r="P77" s="194"/>
      <c r="Q77" s="194"/>
      <c r="R77" s="194"/>
      <c r="S77" s="194"/>
      <c r="T77" s="194"/>
      <c r="U77" s="194"/>
      <c r="V77" s="194"/>
      <c r="W77" s="194"/>
      <c r="X77" s="194"/>
      <c r="Y77" s="194"/>
      <c r="Z77" s="194"/>
      <c r="AA77" s="194"/>
      <c r="AB77" s="194"/>
      <c r="AC77" s="194"/>
      <c r="AD77" s="194"/>
      <c r="AE77" s="194"/>
      <c r="AF77" s="194"/>
    </row>
    <row r="78" spans="1:32" x14ac:dyDescent="0.25">
      <c r="A78" s="194"/>
      <c r="B78" s="734" t="s">
        <v>1726</v>
      </c>
      <c r="C78" s="316" t="s">
        <v>1732</v>
      </c>
      <c r="D78" s="18">
        <v>0.15</v>
      </c>
      <c r="E78" s="18">
        <v>0.15</v>
      </c>
      <c r="F78" s="18">
        <v>0.15</v>
      </c>
      <c r="G78" s="18">
        <v>0.16</v>
      </c>
      <c r="H78" s="18">
        <v>0.16</v>
      </c>
      <c r="I78" s="18">
        <v>0.16</v>
      </c>
      <c r="K78" s="194"/>
      <c r="L78" s="194"/>
      <c r="M78" s="194"/>
      <c r="N78" s="194"/>
      <c r="O78" s="194"/>
      <c r="P78" s="194"/>
      <c r="Q78" s="194"/>
      <c r="R78" s="194"/>
      <c r="S78" s="194"/>
      <c r="T78" s="194"/>
      <c r="U78" s="194"/>
      <c r="V78" s="194"/>
      <c r="W78" s="194"/>
      <c r="X78" s="194"/>
      <c r="Y78" s="194"/>
      <c r="Z78" s="194"/>
      <c r="AA78" s="194"/>
      <c r="AB78" s="194"/>
      <c r="AC78" s="194"/>
      <c r="AD78" s="194"/>
      <c r="AE78" s="194"/>
      <c r="AF78" s="194"/>
    </row>
    <row r="79" spans="1:32" x14ac:dyDescent="0.25">
      <c r="A79" s="194"/>
      <c r="B79" s="1"/>
      <c r="C79" s="194"/>
      <c r="D79" s="194"/>
      <c r="E79" s="194"/>
      <c r="F79" s="194"/>
      <c r="G79" s="194"/>
      <c r="H79" s="194"/>
      <c r="I79" s="194"/>
      <c r="J79" s="194"/>
      <c r="K79" s="194"/>
      <c r="L79" s="194"/>
      <c r="M79" s="194"/>
      <c r="N79" s="194"/>
      <c r="O79" s="194"/>
      <c r="P79" s="194"/>
      <c r="Q79" s="194"/>
      <c r="R79" s="194"/>
      <c r="S79" s="194"/>
      <c r="T79" s="194"/>
      <c r="U79" s="194"/>
      <c r="V79" s="194"/>
      <c r="W79" s="194"/>
      <c r="X79" s="194"/>
      <c r="Y79" s="194"/>
      <c r="Z79" s="194"/>
      <c r="AA79" s="194"/>
      <c r="AB79" s="194"/>
      <c r="AC79" s="194"/>
      <c r="AD79" s="194"/>
      <c r="AE79" s="194"/>
      <c r="AF79" s="194"/>
    </row>
    <row r="80" spans="1:32" x14ac:dyDescent="0.25">
      <c r="A80" s="194"/>
      <c r="B80" s="727" t="s">
        <v>1734</v>
      </c>
      <c r="C80" s="728"/>
      <c r="D80" s="728"/>
      <c r="E80" s="728"/>
      <c r="F80" s="728"/>
      <c r="G80" s="728"/>
      <c r="H80" s="728"/>
      <c r="I80" s="728"/>
      <c r="J80" s="194"/>
      <c r="K80" s="194"/>
      <c r="L80" s="194"/>
      <c r="M80" s="194"/>
      <c r="N80" s="194"/>
      <c r="O80" s="194"/>
      <c r="P80" s="194"/>
      <c r="Q80" s="194"/>
      <c r="R80" s="194"/>
      <c r="S80" s="194"/>
      <c r="T80" s="194"/>
      <c r="U80" s="194"/>
      <c r="V80" s="194"/>
      <c r="W80" s="194"/>
      <c r="X80" s="194"/>
      <c r="Y80" s="194"/>
      <c r="Z80" s="194"/>
      <c r="AA80" s="194"/>
      <c r="AB80" s="194"/>
      <c r="AC80" s="194"/>
      <c r="AD80" s="194"/>
      <c r="AE80" s="194"/>
      <c r="AF80" s="194"/>
    </row>
    <row r="81" spans="1:32" x14ac:dyDescent="0.25">
      <c r="A81" s="194"/>
      <c r="B81" s="1"/>
      <c r="C81" s="194"/>
      <c r="D81" s="732">
        <v>2006</v>
      </c>
      <c r="E81" s="732">
        <v>2011</v>
      </c>
      <c r="F81" s="732">
        <v>2014</v>
      </c>
      <c r="G81" s="732">
        <v>2017</v>
      </c>
      <c r="H81" s="732">
        <v>2020</v>
      </c>
      <c r="I81" s="732">
        <v>2023</v>
      </c>
      <c r="J81" s="194"/>
      <c r="K81" s="194"/>
      <c r="L81" s="194"/>
      <c r="M81" s="194"/>
      <c r="N81" s="194"/>
      <c r="O81" s="194"/>
      <c r="P81" s="194"/>
      <c r="Q81" s="194"/>
      <c r="R81" s="194"/>
      <c r="S81" s="194"/>
      <c r="T81" s="194"/>
      <c r="U81" s="194"/>
      <c r="V81" s="194"/>
      <c r="W81" s="194"/>
      <c r="X81" s="194"/>
      <c r="Y81" s="194"/>
      <c r="Z81" s="194"/>
      <c r="AA81" s="194"/>
      <c r="AB81" s="194"/>
      <c r="AC81" s="194"/>
      <c r="AD81" s="194"/>
      <c r="AE81" s="194"/>
      <c r="AF81" s="194"/>
    </row>
    <row r="82" spans="1:32" x14ac:dyDescent="0.25">
      <c r="A82" s="194"/>
      <c r="B82" s="734" t="s">
        <v>1735</v>
      </c>
      <c r="C82" s="735"/>
      <c r="D82" s="745">
        <f t="shared" ref="D82:I82" si="0">(D62+D70+D78)/(D61+D69+D77)</f>
        <v>0.18970189701897022</v>
      </c>
      <c r="E82" s="745">
        <f t="shared" si="0"/>
        <v>0.18487394957983191</v>
      </c>
      <c r="F82" s="745">
        <f t="shared" si="0"/>
        <v>0.18313953488372089</v>
      </c>
      <c r="G82" s="745">
        <f t="shared" si="0"/>
        <v>0.17824773413897282</v>
      </c>
      <c r="H82" s="745">
        <f t="shared" si="0"/>
        <v>0.17515923566878985</v>
      </c>
      <c r="I82" s="745">
        <f t="shared" si="0"/>
        <v>0.1705685618729097</v>
      </c>
      <c r="J82" s="194"/>
      <c r="K82" s="194"/>
      <c r="L82" s="194"/>
      <c r="M82" s="194"/>
      <c r="N82" s="194"/>
      <c r="O82" s="194"/>
      <c r="P82" s="194"/>
      <c r="Q82" s="194"/>
      <c r="R82" s="194"/>
      <c r="S82" s="194"/>
      <c r="T82" s="194"/>
      <c r="U82" s="194"/>
      <c r="V82" s="194"/>
      <c r="W82" s="194"/>
      <c r="X82" s="194"/>
      <c r="Y82" s="194"/>
      <c r="Z82" s="194"/>
      <c r="AA82" s="194"/>
      <c r="AB82" s="194"/>
      <c r="AC82" s="194"/>
      <c r="AD82" s="194"/>
      <c r="AE82" s="194"/>
      <c r="AF82" s="194"/>
    </row>
    <row r="83" spans="1:32" x14ac:dyDescent="0.25">
      <c r="A83" s="194"/>
      <c r="B83" s="718"/>
      <c r="C83" s="746"/>
      <c r="D83" s="194"/>
      <c r="E83" s="194"/>
      <c r="F83" s="194"/>
      <c r="G83" s="194"/>
      <c r="H83" s="194"/>
      <c r="I83" s="194"/>
      <c r="J83" s="194"/>
      <c r="K83" s="194"/>
      <c r="L83" s="194"/>
      <c r="M83" s="194"/>
      <c r="N83" s="194"/>
      <c r="O83" s="194"/>
      <c r="P83" s="194"/>
      <c r="Q83" s="194"/>
      <c r="R83" s="194"/>
      <c r="S83" s="194"/>
      <c r="T83" s="194"/>
      <c r="U83" s="194"/>
      <c r="V83" s="194"/>
      <c r="W83" s="194"/>
      <c r="X83" s="194"/>
      <c r="Y83" s="194"/>
      <c r="Z83" s="194"/>
      <c r="AA83" s="194"/>
      <c r="AB83" s="194"/>
      <c r="AC83" s="194"/>
      <c r="AD83" s="194"/>
      <c r="AE83" s="194"/>
      <c r="AF83" s="194"/>
    </row>
    <row r="84" spans="1:32" x14ac:dyDescent="0.25">
      <c r="A84" s="194"/>
      <c r="B84" s="718" t="s">
        <v>1736</v>
      </c>
      <c r="C84" s="746"/>
      <c r="D84" s="194"/>
      <c r="E84" s="194"/>
      <c r="F84" s="194"/>
      <c r="G84" s="194"/>
      <c r="H84" s="194"/>
      <c r="I84" s="194"/>
      <c r="J84" s="194"/>
      <c r="K84" s="194"/>
      <c r="L84" s="194"/>
      <c r="M84" s="194"/>
      <c r="N84" s="194"/>
      <c r="O84" s="194"/>
      <c r="P84" s="194"/>
      <c r="Q84" s="194"/>
      <c r="R84" s="194"/>
      <c r="S84" s="194"/>
      <c r="T84" s="194"/>
      <c r="U84" s="194"/>
      <c r="V84" s="194"/>
      <c r="W84" s="194"/>
      <c r="X84" s="194"/>
      <c r="Y84" s="194"/>
      <c r="Z84" s="194"/>
      <c r="AA84" s="194"/>
      <c r="AB84" s="194"/>
      <c r="AC84" s="194"/>
      <c r="AD84" s="194"/>
      <c r="AE84" s="194"/>
      <c r="AF84" s="194"/>
    </row>
    <row r="85" spans="1:32" x14ac:dyDescent="0.25">
      <c r="A85" s="194"/>
      <c r="B85" s="743" t="s">
        <v>822</v>
      </c>
      <c r="C85" s="747">
        <v>2023</v>
      </c>
      <c r="D85" s="194"/>
      <c r="E85" s="748"/>
      <c r="F85" s="748"/>
      <c r="G85" s="748"/>
      <c r="H85" s="748"/>
      <c r="I85" s="748"/>
      <c r="J85" s="748"/>
      <c r="K85" s="194"/>
      <c r="L85" s="194"/>
      <c r="M85" s="194"/>
      <c r="N85" s="194"/>
      <c r="O85" s="194"/>
      <c r="P85" s="194"/>
      <c r="Q85" s="194"/>
      <c r="R85" s="194"/>
      <c r="S85" s="194"/>
      <c r="T85" s="194"/>
      <c r="U85" s="194"/>
      <c r="V85" s="194"/>
      <c r="W85" s="194"/>
      <c r="X85" s="194"/>
      <c r="Y85" s="194"/>
      <c r="Z85" s="194"/>
      <c r="AA85" s="194"/>
      <c r="AB85" s="194"/>
      <c r="AC85" s="194"/>
      <c r="AD85" s="194"/>
      <c r="AE85" s="194"/>
      <c r="AF85" s="194"/>
    </row>
    <row r="86" spans="1:32" x14ac:dyDescent="0.25">
      <c r="A86" s="194"/>
      <c r="B86" s="316" t="s">
        <v>1738</v>
      </c>
      <c r="C86" s="749">
        <f>-D46*(44/12)</f>
        <v>-6.7987696333333334</v>
      </c>
      <c r="D86" s="194"/>
      <c r="E86" s="748"/>
      <c r="F86" s="748"/>
      <c r="G86" s="748"/>
      <c r="H86" s="748"/>
      <c r="I86" s="748"/>
      <c r="J86" s="748"/>
      <c r="K86" s="194"/>
      <c r="L86" s="194"/>
      <c r="M86" s="194"/>
      <c r="N86" s="194"/>
      <c r="O86" s="194"/>
      <c r="P86" s="194"/>
      <c r="Q86" s="194"/>
      <c r="R86" s="194"/>
      <c r="S86" s="194"/>
      <c r="T86" s="194"/>
      <c r="U86" s="194"/>
      <c r="V86" s="194"/>
      <c r="W86" s="194"/>
      <c r="X86" s="194"/>
      <c r="Y86" s="194"/>
      <c r="Z86" s="194"/>
      <c r="AA86" s="194"/>
      <c r="AB86" s="194"/>
      <c r="AC86" s="194"/>
      <c r="AD86" s="194"/>
      <c r="AE86" s="194"/>
      <c r="AF86" s="194"/>
    </row>
    <row r="87" spans="1:32" x14ac:dyDescent="0.25">
      <c r="A87" s="194"/>
      <c r="B87" s="316" t="s">
        <v>1739</v>
      </c>
      <c r="C87" s="749">
        <f>C86*I82</f>
        <v>-1.1596563588628763</v>
      </c>
      <c r="D87" s="194"/>
      <c r="E87" s="750"/>
      <c r="F87" s="750"/>
      <c r="G87" s="750"/>
      <c r="H87" s="750"/>
      <c r="I87" s="750"/>
      <c r="J87" s="750"/>
      <c r="K87" s="194"/>
      <c r="L87" s="194"/>
      <c r="M87" s="194"/>
      <c r="N87" s="194"/>
      <c r="O87" s="194"/>
      <c r="P87" s="194"/>
      <c r="Q87" s="194"/>
      <c r="R87" s="194"/>
      <c r="S87" s="194"/>
      <c r="T87" s="194"/>
      <c r="U87" s="194"/>
      <c r="V87" s="194"/>
      <c r="W87" s="194"/>
      <c r="X87" s="194"/>
      <c r="Y87" s="194"/>
      <c r="Z87" s="194"/>
      <c r="AA87" s="194"/>
      <c r="AB87" s="194"/>
      <c r="AC87" s="194"/>
      <c r="AD87" s="194"/>
      <c r="AE87" s="194"/>
      <c r="AF87" s="194"/>
    </row>
    <row r="88" spans="1:32" x14ac:dyDescent="0.25">
      <c r="A88" s="194"/>
      <c r="B88" s="316" t="s">
        <v>1740</v>
      </c>
      <c r="C88" s="749">
        <f t="shared" ref="C88:C90" si="1">I57+I66+I74</f>
        <v>-0.87</v>
      </c>
      <c r="D88" s="194"/>
      <c r="E88" s="748"/>
      <c r="F88" s="748"/>
      <c r="G88" s="748"/>
      <c r="H88" s="748"/>
      <c r="I88" s="748"/>
      <c r="J88" s="748"/>
      <c r="K88" s="194"/>
      <c r="L88" s="194"/>
      <c r="M88" s="194"/>
      <c r="N88" s="194"/>
      <c r="O88" s="194"/>
      <c r="P88" s="194"/>
      <c r="Q88" s="194"/>
      <c r="R88" s="194"/>
      <c r="S88" s="194"/>
      <c r="T88" s="194"/>
      <c r="U88" s="194"/>
      <c r="V88" s="194"/>
      <c r="W88" s="194"/>
      <c r="X88" s="194"/>
      <c r="Y88" s="194"/>
      <c r="Z88" s="194"/>
      <c r="AA88" s="194"/>
      <c r="AB88" s="194"/>
      <c r="AC88" s="194"/>
      <c r="AD88" s="194"/>
      <c r="AE88" s="194"/>
      <c r="AF88" s="194"/>
    </row>
    <row r="89" spans="1:32" x14ac:dyDescent="0.25">
      <c r="A89" s="194"/>
      <c r="B89" s="316" t="s">
        <v>1741</v>
      </c>
      <c r="C89" s="749">
        <f t="shared" si="1"/>
        <v>0.15</v>
      </c>
      <c r="D89" s="194"/>
      <c r="E89" s="748"/>
      <c r="F89" s="748"/>
      <c r="G89" s="748"/>
      <c r="H89" s="748"/>
      <c r="I89" s="748"/>
      <c r="J89" s="748"/>
      <c r="K89" s="194"/>
      <c r="L89" s="194"/>
      <c r="M89" s="194"/>
      <c r="N89" s="194"/>
      <c r="O89" s="194"/>
      <c r="P89" s="194"/>
      <c r="Q89" s="194"/>
      <c r="R89" s="194"/>
      <c r="S89" s="194"/>
      <c r="T89" s="194"/>
      <c r="U89" s="194"/>
      <c r="V89" s="194"/>
      <c r="W89" s="194"/>
      <c r="X89" s="194"/>
      <c r="Y89" s="194"/>
      <c r="Z89" s="194"/>
      <c r="AA89" s="194"/>
      <c r="AB89" s="194"/>
      <c r="AC89" s="194"/>
      <c r="AD89" s="194"/>
      <c r="AE89" s="194"/>
      <c r="AF89" s="194"/>
    </row>
    <row r="90" spans="1:32" x14ac:dyDescent="0.25">
      <c r="A90" s="194"/>
      <c r="B90" s="316" t="s">
        <v>1742</v>
      </c>
      <c r="C90" s="749">
        <f t="shared" si="1"/>
        <v>0.09</v>
      </c>
      <c r="D90" s="194"/>
      <c r="E90" s="748"/>
      <c r="F90" s="748"/>
      <c r="G90" s="748"/>
      <c r="H90" s="748"/>
      <c r="I90" s="748"/>
      <c r="J90" s="748"/>
      <c r="K90" s="194"/>
      <c r="L90" s="194"/>
      <c r="M90" s="194"/>
      <c r="N90" s="194"/>
      <c r="O90" s="194"/>
      <c r="P90" s="194"/>
      <c r="Q90" s="194"/>
      <c r="R90" s="194"/>
      <c r="S90" s="194"/>
      <c r="T90" s="194"/>
      <c r="U90" s="194"/>
      <c r="V90" s="194"/>
      <c r="W90" s="194"/>
      <c r="X90" s="194"/>
      <c r="Y90" s="194"/>
      <c r="Z90" s="194"/>
      <c r="AA90" s="194"/>
      <c r="AB90" s="194"/>
      <c r="AC90" s="194"/>
      <c r="AD90" s="194"/>
      <c r="AE90" s="194"/>
      <c r="AF90" s="194"/>
    </row>
    <row r="91" spans="1:32" x14ac:dyDescent="0.25">
      <c r="A91" s="194"/>
      <c r="B91" s="316" t="s">
        <v>1743</v>
      </c>
      <c r="C91" s="749">
        <f>I60</f>
        <v>0</v>
      </c>
      <c r="D91" s="194"/>
      <c r="E91" s="748"/>
      <c r="F91" s="748"/>
      <c r="G91" s="748"/>
      <c r="H91" s="748"/>
      <c r="I91" s="748"/>
      <c r="J91" s="748"/>
      <c r="K91" s="194"/>
      <c r="L91" s="194"/>
      <c r="M91" s="194"/>
      <c r="N91" s="194"/>
      <c r="O91" s="194"/>
      <c r="P91" s="194"/>
      <c r="Q91" s="194"/>
      <c r="R91" s="194"/>
      <c r="S91" s="194"/>
      <c r="T91" s="194"/>
      <c r="U91" s="194"/>
      <c r="V91" s="194"/>
      <c r="W91" s="194"/>
      <c r="X91" s="194"/>
      <c r="Y91" s="194"/>
      <c r="Z91" s="194"/>
      <c r="AA91" s="194"/>
      <c r="AB91" s="194"/>
      <c r="AC91" s="194"/>
      <c r="AD91" s="194"/>
      <c r="AE91" s="194"/>
      <c r="AF91" s="194"/>
    </row>
    <row r="92" spans="1:32" x14ac:dyDescent="0.25">
      <c r="A92" s="194"/>
      <c r="B92" s="751" t="s">
        <v>102</v>
      </c>
      <c r="C92" s="752">
        <f>SUM(C86:C91)</f>
        <v>-8.5884259921962087</v>
      </c>
      <c r="D92" s="194"/>
      <c r="E92" s="748"/>
      <c r="F92" s="748"/>
      <c r="G92" s="748"/>
      <c r="H92" s="748"/>
      <c r="I92" s="748"/>
      <c r="J92" s="748"/>
      <c r="K92" s="194"/>
      <c r="L92" s="194"/>
      <c r="M92" s="194"/>
      <c r="N92" s="194"/>
      <c r="O92" s="194"/>
      <c r="P92" s="194"/>
      <c r="Q92" s="194"/>
      <c r="R92" s="194"/>
      <c r="S92" s="194"/>
      <c r="T92" s="194"/>
      <c r="U92" s="194"/>
      <c r="V92" s="194"/>
      <c r="W92" s="194"/>
      <c r="X92" s="194"/>
      <c r="Y92" s="194"/>
      <c r="Z92" s="194"/>
      <c r="AA92" s="194"/>
      <c r="AB92" s="194"/>
      <c r="AC92" s="194"/>
      <c r="AD92" s="194"/>
      <c r="AE92" s="194"/>
      <c r="AF92" s="194"/>
    </row>
    <row r="93" spans="1:32" x14ac:dyDescent="0.25">
      <c r="A93" s="194"/>
      <c r="B93" s="194"/>
      <c r="C93" s="194"/>
      <c r="D93" s="194"/>
      <c r="E93" s="194"/>
      <c r="F93" s="194"/>
      <c r="G93" s="194"/>
      <c r="H93" s="194"/>
      <c r="I93" s="194"/>
      <c r="J93" s="194"/>
      <c r="K93" s="194"/>
      <c r="L93" s="194"/>
      <c r="M93" s="194"/>
      <c r="N93" s="194"/>
      <c r="O93" s="194"/>
      <c r="P93" s="194"/>
      <c r="Q93" s="194"/>
      <c r="R93" s="194"/>
      <c r="S93" s="194"/>
      <c r="T93" s="194"/>
      <c r="U93" s="194"/>
      <c r="V93" s="194"/>
      <c r="W93" s="194"/>
      <c r="X93" s="194"/>
      <c r="Y93" s="194"/>
      <c r="Z93" s="194"/>
      <c r="AA93" s="194"/>
      <c r="AB93" s="194"/>
      <c r="AC93" s="194"/>
      <c r="AD93" s="194"/>
      <c r="AE93" s="194"/>
      <c r="AF93" s="194"/>
    </row>
    <row r="94" spans="1:32" x14ac:dyDescent="0.25">
      <c r="A94" s="194"/>
      <c r="B94" s="194"/>
      <c r="C94" s="194"/>
      <c r="D94" s="194"/>
      <c r="E94" s="194"/>
      <c r="F94" s="194"/>
      <c r="G94" s="194"/>
      <c r="H94" s="194"/>
      <c r="I94" s="194"/>
      <c r="J94" s="194"/>
      <c r="K94" s="194"/>
      <c r="L94" s="194"/>
      <c r="M94" s="194"/>
      <c r="N94" s="194"/>
      <c r="O94" s="194"/>
      <c r="P94" s="194"/>
      <c r="Q94" s="194"/>
      <c r="R94" s="194"/>
      <c r="S94" s="194"/>
      <c r="T94" s="194"/>
      <c r="U94" s="194"/>
      <c r="V94" s="194"/>
      <c r="W94" s="194"/>
      <c r="X94" s="194"/>
      <c r="Y94" s="194"/>
      <c r="Z94" s="194"/>
      <c r="AA94" s="194"/>
      <c r="AB94" s="194"/>
      <c r="AC94" s="194"/>
      <c r="AD94" s="194"/>
      <c r="AE94" s="194"/>
      <c r="AF94" s="194"/>
    </row>
    <row r="95" spans="1:32" x14ac:dyDescent="0.25">
      <c r="A95" s="194"/>
      <c r="B95" s="716" t="s">
        <v>429</v>
      </c>
      <c r="C95" s="717"/>
      <c r="D95" s="717"/>
      <c r="E95" s="717"/>
      <c r="F95" s="717"/>
      <c r="G95" s="717"/>
      <c r="H95" s="194"/>
      <c r="I95" s="194"/>
      <c r="J95" s="194"/>
      <c r="K95" s="194"/>
      <c r="L95" s="194"/>
      <c r="M95" s="194"/>
      <c r="N95" s="194"/>
      <c r="O95" s="194"/>
      <c r="P95" s="194"/>
      <c r="Q95" s="194"/>
      <c r="R95" s="194"/>
      <c r="S95" s="194"/>
      <c r="T95" s="194"/>
      <c r="U95" s="194"/>
      <c r="V95" s="194"/>
      <c r="W95" s="194"/>
      <c r="X95" s="194"/>
      <c r="Y95" s="194"/>
      <c r="Z95" s="194"/>
      <c r="AA95" s="194"/>
      <c r="AB95" s="194"/>
      <c r="AC95" s="194"/>
      <c r="AD95" s="194"/>
      <c r="AE95" s="194"/>
      <c r="AF95" s="194"/>
    </row>
    <row r="96" spans="1:32" x14ac:dyDescent="0.25">
      <c r="A96" s="194"/>
      <c r="C96" s="194"/>
      <c r="D96" s="194"/>
      <c r="E96" s="194"/>
      <c r="F96" s="194"/>
      <c r="G96" s="194"/>
      <c r="H96" s="194"/>
      <c r="I96" s="194"/>
      <c r="J96" s="194"/>
      <c r="K96" s="194"/>
      <c r="L96" s="194"/>
      <c r="M96" s="194"/>
      <c r="N96" s="194"/>
      <c r="O96" s="194"/>
      <c r="P96" s="194"/>
      <c r="Q96" s="194"/>
      <c r="R96" s="194"/>
      <c r="S96" s="194"/>
      <c r="T96" s="194"/>
      <c r="U96" s="194"/>
      <c r="V96" s="194"/>
      <c r="W96" s="194"/>
      <c r="X96" s="194"/>
      <c r="Y96" s="194"/>
      <c r="Z96" s="194"/>
      <c r="AA96" s="194"/>
      <c r="AB96" s="194"/>
      <c r="AC96" s="194"/>
      <c r="AD96" s="194"/>
      <c r="AE96" s="194"/>
      <c r="AF96" s="194"/>
    </row>
    <row r="97" spans="1:32" x14ac:dyDescent="0.25">
      <c r="A97" s="194"/>
      <c r="B97" s="718" t="s">
        <v>1746</v>
      </c>
      <c r="C97" s="194"/>
      <c r="D97" s="194"/>
      <c r="E97" s="194"/>
      <c r="F97" s="194"/>
      <c r="G97" s="194"/>
      <c r="H97" s="194"/>
      <c r="I97" s="194"/>
      <c r="J97" s="194"/>
      <c r="K97" s="194"/>
      <c r="L97" s="194"/>
      <c r="M97" s="194"/>
      <c r="N97" s="194"/>
      <c r="O97" s="194"/>
      <c r="P97" s="194"/>
      <c r="Q97" s="194"/>
      <c r="R97" s="194"/>
      <c r="S97" s="194"/>
      <c r="T97" s="194"/>
      <c r="U97" s="194"/>
      <c r="V97" s="194"/>
      <c r="W97" s="194"/>
      <c r="X97" s="194"/>
      <c r="Y97" s="194"/>
      <c r="Z97" s="194"/>
      <c r="AA97" s="194"/>
      <c r="AB97" s="194"/>
      <c r="AC97" s="194"/>
      <c r="AD97" s="194"/>
      <c r="AE97" s="194"/>
      <c r="AF97" s="194"/>
    </row>
    <row r="98" spans="1:32" x14ac:dyDescent="0.25">
      <c r="A98" s="194"/>
      <c r="B98" s="743" t="s">
        <v>822</v>
      </c>
      <c r="C98" s="732">
        <v>2006</v>
      </c>
      <c r="D98" s="732">
        <v>2011</v>
      </c>
      <c r="E98" s="732">
        <v>2014</v>
      </c>
      <c r="F98" s="732">
        <v>2017</v>
      </c>
      <c r="G98" s="732">
        <v>2020</v>
      </c>
      <c r="H98" s="732">
        <v>2023</v>
      </c>
      <c r="I98" s="194"/>
      <c r="J98" s="194"/>
      <c r="K98" s="194"/>
      <c r="L98" s="194"/>
      <c r="M98" s="194"/>
      <c r="N98" s="194"/>
      <c r="O98" s="194"/>
      <c r="P98" s="194"/>
      <c r="Q98" s="194"/>
      <c r="R98" s="194"/>
      <c r="S98" s="194"/>
      <c r="T98" s="194"/>
      <c r="U98" s="194"/>
      <c r="V98" s="194"/>
      <c r="W98" s="194"/>
      <c r="X98" s="194"/>
      <c r="Y98" s="194"/>
      <c r="Z98" s="194"/>
      <c r="AA98" s="194"/>
      <c r="AB98" s="194"/>
      <c r="AC98" s="194"/>
      <c r="AD98" s="194"/>
      <c r="AE98" s="194"/>
      <c r="AF98" s="194"/>
    </row>
    <row r="99" spans="1:32" x14ac:dyDescent="0.25">
      <c r="A99" s="194"/>
      <c r="B99" s="753" t="s">
        <v>1747</v>
      </c>
      <c r="C99" s="749">
        <v>-8.4802520728281365E-3</v>
      </c>
      <c r="D99" s="749">
        <v>-1.2684842167839765E-2</v>
      </c>
      <c r="E99" s="749">
        <v>-1.061836128E-2</v>
      </c>
      <c r="F99" s="749">
        <v>-9.5545989087629721E-3</v>
      </c>
      <c r="G99" s="749">
        <v>-0.04</v>
      </c>
      <c r="H99" s="749">
        <v>-1.2999999999999999E-3</v>
      </c>
      <c r="I99" s="194"/>
      <c r="J99" s="194"/>
      <c r="K99" s="194"/>
      <c r="L99" s="194"/>
      <c r="M99" s="194"/>
      <c r="N99" s="194"/>
      <c r="O99" s="194"/>
      <c r="P99" s="194"/>
      <c r="Q99" s="194"/>
      <c r="R99" s="194"/>
      <c r="S99" s="194"/>
      <c r="T99" s="194"/>
      <c r="U99" s="194"/>
      <c r="V99" s="194"/>
      <c r="W99" s="194"/>
      <c r="X99" s="194"/>
      <c r="Y99" s="194"/>
      <c r="Z99" s="194"/>
      <c r="AA99" s="194"/>
      <c r="AB99" s="194"/>
      <c r="AC99" s="194"/>
      <c r="AD99" s="194"/>
      <c r="AE99" s="194"/>
      <c r="AF99" s="194"/>
    </row>
    <row r="100" spans="1:32" x14ac:dyDescent="0.25">
      <c r="A100" s="194"/>
      <c r="B100" s="753" t="s">
        <v>1748</v>
      </c>
      <c r="C100" s="749">
        <v>-6.1942198859260007E-2</v>
      </c>
      <c r="D100" s="749">
        <v>-7.0873721137987705E-2</v>
      </c>
      <c r="E100" s="749">
        <v>-5.6721999869999998E-2</v>
      </c>
      <c r="F100" s="749">
        <v>-4.900786961971372E-2</v>
      </c>
      <c r="G100" s="749">
        <v>-0.2</v>
      </c>
      <c r="H100" s="749">
        <v>-5.62E-3</v>
      </c>
      <c r="I100" s="194"/>
      <c r="J100" s="194"/>
      <c r="K100" s="194"/>
      <c r="L100" s="194"/>
      <c r="M100" s="194"/>
      <c r="N100" s="194"/>
      <c r="O100" s="194"/>
      <c r="P100" s="194"/>
      <c r="Q100" s="194"/>
      <c r="R100" s="194"/>
      <c r="S100" s="194"/>
      <c r="T100" s="194"/>
      <c r="U100" s="194"/>
      <c r="V100" s="194"/>
      <c r="W100" s="194"/>
      <c r="X100" s="194"/>
      <c r="Y100" s="194"/>
      <c r="Z100" s="194"/>
      <c r="AA100" s="194"/>
      <c r="AB100" s="194"/>
      <c r="AC100" s="194"/>
      <c r="AD100" s="194"/>
      <c r="AE100" s="194"/>
      <c r="AF100" s="194"/>
    </row>
    <row r="101" spans="1:32" x14ac:dyDescent="0.25">
      <c r="A101" s="194"/>
      <c r="B101" s="753" t="s">
        <v>1749</v>
      </c>
      <c r="C101" s="749">
        <v>-5.6039595623909609E-2</v>
      </c>
      <c r="D101" s="749">
        <v>-6.4577261430635649E-2</v>
      </c>
      <c r="E101" s="749">
        <v>-5.1412480519999998E-2</v>
      </c>
      <c r="F101" s="749">
        <v>-4.4283838656574669E-2</v>
      </c>
      <c r="G101" s="749">
        <v>-0.19</v>
      </c>
      <c r="H101" s="749">
        <v>-3.7499999999999999E-3</v>
      </c>
      <c r="I101" s="194"/>
      <c r="J101" s="194"/>
      <c r="K101" s="194"/>
      <c r="L101" s="194"/>
      <c r="M101" s="194"/>
      <c r="N101" s="194"/>
      <c r="O101" s="194"/>
      <c r="P101" s="194"/>
      <c r="Q101" s="194"/>
      <c r="R101" s="194"/>
      <c r="S101" s="194"/>
      <c r="T101" s="194"/>
      <c r="U101" s="194"/>
      <c r="V101" s="194"/>
      <c r="W101" s="194"/>
      <c r="X101" s="194"/>
      <c r="Y101" s="194"/>
      <c r="Z101" s="194"/>
      <c r="AA101" s="194"/>
      <c r="AB101" s="194"/>
      <c r="AC101" s="194"/>
      <c r="AD101" s="194"/>
      <c r="AE101" s="194"/>
      <c r="AF101" s="194"/>
    </row>
    <row r="102" spans="1:32" x14ac:dyDescent="0.25">
      <c r="A102" s="194"/>
      <c r="B102" s="753" t="s">
        <v>1750</v>
      </c>
      <c r="C102" s="749">
        <v>-5.821479238412712E-2</v>
      </c>
      <c r="D102" s="749">
        <v>-7.0092372707812392E-2</v>
      </c>
      <c r="E102" s="749">
        <v>-6.7201258309999998E-2</v>
      </c>
      <c r="F102" s="749">
        <v>-6.5793765350723746E-2</v>
      </c>
      <c r="G102" s="749">
        <v>-0.06</v>
      </c>
      <c r="H102" s="749">
        <v>-7.5620000000000007E-2</v>
      </c>
      <c r="I102" s="194"/>
      <c r="J102" s="194"/>
      <c r="K102" s="194"/>
      <c r="L102" s="194"/>
      <c r="M102" s="194"/>
      <c r="N102" s="194"/>
      <c r="O102" s="194"/>
      <c r="P102" s="194"/>
      <c r="Q102" s="194"/>
      <c r="R102" s="194"/>
      <c r="S102" s="194"/>
      <c r="T102" s="194"/>
      <c r="U102" s="194"/>
      <c r="V102" s="194"/>
      <c r="W102" s="194"/>
      <c r="X102" s="194"/>
      <c r="Y102" s="194"/>
      <c r="Z102" s="194"/>
      <c r="AA102" s="194"/>
      <c r="AB102" s="194"/>
      <c r="AC102" s="194"/>
      <c r="AD102" s="194"/>
      <c r="AE102" s="194"/>
      <c r="AF102" s="194"/>
    </row>
    <row r="103" spans="1:32" x14ac:dyDescent="0.25">
      <c r="A103" s="194"/>
      <c r="B103" s="751" t="s">
        <v>102</v>
      </c>
      <c r="C103" s="752">
        <f t="shared" ref="C103:H103" si="2">SUM(C99:C102)</f>
        <v>-0.18467683894012488</v>
      </c>
      <c r="D103" s="752">
        <f t="shared" si="2"/>
        <v>-0.21822819744427552</v>
      </c>
      <c r="E103" s="752">
        <f t="shared" si="2"/>
        <v>-0.18595409998000001</v>
      </c>
      <c r="F103" s="752">
        <f t="shared" si="2"/>
        <v>-0.16864007253577512</v>
      </c>
      <c r="G103" s="752">
        <f t="shared" si="2"/>
        <v>-0.49000000000000005</v>
      </c>
      <c r="H103" s="752">
        <f t="shared" si="2"/>
        <v>-8.6290000000000006E-2</v>
      </c>
      <c r="I103" s="194"/>
      <c r="J103" s="194"/>
      <c r="K103" s="194"/>
      <c r="L103" s="194"/>
      <c r="M103" s="194"/>
      <c r="N103" s="194"/>
      <c r="O103" s="194"/>
      <c r="P103" s="194"/>
      <c r="Q103" s="194"/>
      <c r="R103" s="194"/>
      <c r="S103" s="194"/>
      <c r="T103" s="194"/>
      <c r="U103" s="194"/>
      <c r="V103" s="194"/>
      <c r="W103" s="194"/>
      <c r="X103" s="194"/>
      <c r="Y103" s="194"/>
      <c r="Z103" s="194"/>
      <c r="AA103" s="194"/>
      <c r="AB103" s="194"/>
      <c r="AC103" s="194"/>
      <c r="AD103" s="194"/>
      <c r="AE103" s="194"/>
      <c r="AF103" s="194"/>
    </row>
    <row r="104" spans="1:32" x14ac:dyDescent="0.25">
      <c r="A104" s="194"/>
      <c r="B104" s="2002"/>
      <c r="C104" s="2003"/>
      <c r="D104" s="2003"/>
      <c r="E104" s="2003"/>
      <c r="F104" s="2003"/>
      <c r="G104" s="2003"/>
      <c r="H104" s="2003"/>
      <c r="I104" s="194"/>
      <c r="J104" s="194"/>
      <c r="K104" s="194"/>
      <c r="L104" s="194"/>
      <c r="M104" s="194"/>
      <c r="N104" s="194"/>
      <c r="O104" s="194"/>
      <c r="P104" s="194"/>
      <c r="Q104" s="194"/>
      <c r="R104" s="194"/>
      <c r="S104" s="194"/>
      <c r="T104" s="194"/>
      <c r="U104" s="194"/>
      <c r="V104" s="194"/>
      <c r="W104" s="194"/>
      <c r="X104" s="194"/>
      <c r="Y104" s="194"/>
      <c r="Z104" s="194"/>
      <c r="AA104" s="194"/>
      <c r="AB104" s="194"/>
      <c r="AC104" s="194"/>
      <c r="AD104" s="194"/>
      <c r="AE104" s="194"/>
      <c r="AF104" s="194"/>
    </row>
    <row r="105" spans="1:32" x14ac:dyDescent="0.25">
      <c r="A105" s="194"/>
      <c r="B105" s="194"/>
      <c r="C105" s="194"/>
      <c r="D105" s="194"/>
      <c r="E105" s="194"/>
      <c r="F105" s="194"/>
      <c r="G105" s="194"/>
      <c r="H105" s="194"/>
      <c r="I105" s="194"/>
      <c r="J105" s="194"/>
      <c r="K105" s="194"/>
      <c r="L105" s="194"/>
      <c r="M105" s="194"/>
      <c r="N105" s="194"/>
      <c r="O105" s="194"/>
      <c r="P105" s="194"/>
      <c r="Q105" s="194"/>
      <c r="R105" s="194"/>
      <c r="S105" s="194"/>
      <c r="T105" s="194"/>
      <c r="U105" s="194"/>
      <c r="V105" s="194"/>
      <c r="W105" s="194"/>
      <c r="X105" s="194"/>
      <c r="Y105" s="194"/>
      <c r="Z105" s="194"/>
      <c r="AA105" s="194"/>
      <c r="AB105" s="194"/>
      <c r="AC105" s="194"/>
      <c r="AD105" s="194"/>
      <c r="AE105" s="194"/>
      <c r="AF105" s="194"/>
    </row>
    <row r="106" spans="1:32" x14ac:dyDescent="0.25">
      <c r="A106" s="194"/>
      <c r="B106" s="718" t="s">
        <v>1751</v>
      </c>
      <c r="C106" s="194"/>
      <c r="D106" s="194"/>
      <c r="E106" s="194"/>
      <c r="F106" s="194"/>
      <c r="G106" s="194"/>
      <c r="H106" s="194"/>
      <c r="I106" s="194"/>
      <c r="J106" s="194"/>
      <c r="K106" s="194"/>
      <c r="L106" s="194"/>
      <c r="M106" s="194"/>
      <c r="N106" s="194"/>
      <c r="O106" s="194"/>
      <c r="P106" s="194"/>
      <c r="Q106" s="194"/>
      <c r="R106" s="194"/>
      <c r="S106" s="194"/>
      <c r="T106" s="194"/>
      <c r="U106" s="194"/>
      <c r="V106" s="194"/>
      <c r="W106" s="194"/>
      <c r="X106" s="194"/>
      <c r="Y106" s="194"/>
      <c r="Z106" s="194"/>
      <c r="AA106" s="194"/>
      <c r="AB106" s="194"/>
      <c r="AC106" s="194"/>
      <c r="AD106" s="194"/>
      <c r="AE106" s="194"/>
      <c r="AF106" s="194"/>
    </row>
    <row r="107" spans="1:32" x14ac:dyDescent="0.25">
      <c r="A107" s="194"/>
      <c r="B107" s="754"/>
      <c r="C107" s="754"/>
      <c r="D107" s="754"/>
      <c r="E107" s="754"/>
      <c r="F107" s="755"/>
      <c r="G107" s="755"/>
      <c r="H107" s="9"/>
      <c r="I107" s="194"/>
      <c r="J107" s="194"/>
      <c r="K107" s="194"/>
      <c r="L107" s="194"/>
      <c r="M107" s="194"/>
      <c r="N107" s="194"/>
      <c r="O107" s="194"/>
      <c r="P107" s="194"/>
      <c r="Q107" s="194"/>
      <c r="R107" s="194"/>
      <c r="S107" s="194"/>
      <c r="T107" s="194"/>
      <c r="U107" s="194"/>
      <c r="V107" s="194"/>
      <c r="W107" s="194"/>
      <c r="X107" s="194"/>
      <c r="Y107" s="194"/>
      <c r="Z107" s="194"/>
      <c r="AA107" s="194"/>
      <c r="AB107" s="194"/>
      <c r="AC107" s="194"/>
      <c r="AD107" s="194"/>
      <c r="AE107" s="194"/>
      <c r="AF107" s="194"/>
    </row>
    <row r="108" spans="1:32" x14ac:dyDescent="0.25">
      <c r="A108" s="194"/>
      <c r="B108" s="743" t="s">
        <v>822</v>
      </c>
      <c r="C108" s="732">
        <v>2006</v>
      </c>
      <c r="D108" s="732">
        <v>2011</v>
      </c>
      <c r="E108" s="732">
        <v>2014</v>
      </c>
      <c r="F108" s="732">
        <v>2017</v>
      </c>
      <c r="G108" s="732">
        <v>2020</v>
      </c>
      <c r="H108" s="732">
        <v>2023</v>
      </c>
      <c r="J108" s="194"/>
      <c r="K108" s="194"/>
      <c r="L108" s="194"/>
      <c r="M108" s="194"/>
      <c r="N108" s="194"/>
      <c r="O108" s="194"/>
      <c r="P108" s="194"/>
      <c r="Q108" s="194"/>
      <c r="R108" s="194"/>
      <c r="S108" s="194"/>
      <c r="T108" s="194"/>
      <c r="U108" s="194"/>
      <c r="V108" s="194"/>
      <c r="W108" s="194"/>
      <c r="X108" s="194"/>
      <c r="Y108" s="194"/>
      <c r="Z108" s="194"/>
      <c r="AA108" s="194"/>
      <c r="AB108" s="194"/>
      <c r="AC108" s="194"/>
      <c r="AD108" s="194"/>
      <c r="AE108" s="194"/>
      <c r="AF108" s="194"/>
    </row>
    <row r="109" spans="1:32" x14ac:dyDescent="0.25">
      <c r="A109" s="194"/>
      <c r="B109" s="756" t="s">
        <v>1752</v>
      </c>
      <c r="C109" s="757">
        <v>-0.72</v>
      </c>
      <c r="D109" s="757">
        <v>-0.72</v>
      </c>
      <c r="E109" s="757">
        <v>-0.72</v>
      </c>
      <c r="F109" s="757">
        <v>-0.72</v>
      </c>
      <c r="G109" s="758">
        <v>-0.72</v>
      </c>
      <c r="H109" s="758">
        <v>-0.72</v>
      </c>
      <c r="J109" s="194"/>
      <c r="K109" s="194"/>
      <c r="L109" s="194"/>
      <c r="M109" s="194"/>
      <c r="N109" s="194"/>
      <c r="O109" s="194"/>
      <c r="P109" s="194"/>
      <c r="Q109" s="194"/>
      <c r="R109" s="194"/>
      <c r="S109" s="194"/>
      <c r="T109" s="194"/>
      <c r="U109" s="194"/>
      <c r="V109" s="194"/>
      <c r="W109" s="194"/>
      <c r="X109" s="194"/>
      <c r="Y109" s="194"/>
      <c r="Z109" s="194"/>
      <c r="AA109" s="194"/>
      <c r="AB109" s="194"/>
      <c r="AC109" s="194"/>
      <c r="AD109" s="194"/>
      <c r="AE109" s="194"/>
      <c r="AF109" s="194"/>
    </row>
    <row r="110" spans="1:32" x14ac:dyDescent="0.25">
      <c r="A110" s="194"/>
      <c r="B110" s="194"/>
      <c r="C110" s="194"/>
      <c r="D110" s="194"/>
      <c r="E110" s="194"/>
      <c r="F110" s="194"/>
      <c r="G110" s="194"/>
      <c r="H110" s="194"/>
      <c r="I110" s="194"/>
      <c r="J110" s="194"/>
      <c r="K110" s="194"/>
      <c r="L110" s="194"/>
      <c r="M110" s="194"/>
      <c r="N110" s="194"/>
      <c r="O110" s="194"/>
      <c r="P110" s="194"/>
      <c r="Q110" s="194"/>
      <c r="R110" s="194"/>
      <c r="S110" s="194"/>
      <c r="T110" s="194"/>
      <c r="U110" s="194"/>
      <c r="V110" s="194"/>
      <c r="W110" s="194"/>
      <c r="X110" s="194"/>
      <c r="Y110" s="194"/>
      <c r="Z110" s="194"/>
      <c r="AA110" s="194"/>
      <c r="AB110" s="194"/>
      <c r="AC110" s="194"/>
      <c r="AD110" s="194"/>
      <c r="AE110" s="194"/>
      <c r="AF110" s="194"/>
    </row>
    <row r="111" spans="1:32" x14ac:dyDescent="0.25">
      <c r="A111" s="194"/>
      <c r="B111" s="194"/>
      <c r="C111" s="194"/>
      <c r="D111" s="194"/>
      <c r="E111" s="194"/>
      <c r="F111" s="194"/>
      <c r="G111" s="194"/>
      <c r="H111" s="194"/>
      <c r="I111" s="194"/>
      <c r="J111" s="194"/>
      <c r="K111" s="194"/>
      <c r="L111" s="194"/>
      <c r="M111" s="194"/>
      <c r="N111" s="194"/>
      <c r="O111" s="194"/>
      <c r="P111" s="194"/>
      <c r="Q111" s="194"/>
      <c r="R111" s="194"/>
      <c r="S111" s="194"/>
      <c r="T111" s="194"/>
      <c r="U111" s="194"/>
      <c r="V111" s="194"/>
      <c r="W111" s="194"/>
      <c r="X111" s="194"/>
      <c r="Y111" s="194"/>
      <c r="Z111" s="194"/>
      <c r="AA111" s="194"/>
      <c r="AB111" s="194"/>
      <c r="AC111" s="194"/>
      <c r="AD111" s="194"/>
      <c r="AE111" s="194"/>
      <c r="AF111" s="194"/>
    </row>
    <row r="112" spans="1:32" x14ac:dyDescent="0.25">
      <c r="A112" s="194"/>
      <c r="B112" s="194"/>
      <c r="C112" s="194"/>
      <c r="D112" s="194"/>
      <c r="E112" s="194"/>
      <c r="F112" s="194"/>
      <c r="G112" s="194"/>
      <c r="H112" s="194"/>
      <c r="I112" s="194"/>
      <c r="J112" s="194"/>
      <c r="K112" s="194"/>
      <c r="L112" s="194"/>
      <c r="M112" s="194"/>
      <c r="N112" s="194"/>
      <c r="O112" s="194"/>
      <c r="P112" s="194"/>
      <c r="Q112" s="194"/>
      <c r="R112" s="194"/>
      <c r="S112" s="194"/>
      <c r="T112" s="194"/>
      <c r="U112" s="194"/>
      <c r="V112" s="194"/>
      <c r="W112" s="194"/>
      <c r="X112" s="194"/>
      <c r="Y112" s="194"/>
      <c r="Z112" s="194"/>
      <c r="AA112" s="194"/>
      <c r="AB112" s="194"/>
      <c r="AC112" s="194"/>
      <c r="AD112" s="194"/>
      <c r="AE112" s="194"/>
      <c r="AF112" s="194"/>
    </row>
    <row r="113" spans="1:32" x14ac:dyDescent="0.25">
      <c r="A113" s="194"/>
      <c r="B113" s="716" t="s">
        <v>434</v>
      </c>
      <c r="C113" s="717"/>
      <c r="D113" s="717"/>
      <c r="E113" s="717"/>
      <c r="F113" s="717"/>
      <c r="G113" s="717"/>
      <c r="H113" s="717"/>
      <c r="I113" s="194"/>
      <c r="J113" s="194"/>
      <c r="K113" s="194"/>
      <c r="L113" s="194"/>
      <c r="M113" s="194"/>
      <c r="N113" s="194"/>
      <c r="O113" s="194"/>
      <c r="P113" s="194"/>
      <c r="Q113" s="194"/>
      <c r="R113" s="194"/>
      <c r="S113" s="194"/>
      <c r="T113" s="194"/>
      <c r="U113" s="194"/>
      <c r="V113" s="194"/>
      <c r="W113" s="194"/>
      <c r="X113" s="194"/>
      <c r="Y113" s="194"/>
      <c r="Z113" s="194"/>
      <c r="AA113" s="194"/>
      <c r="AB113" s="194"/>
      <c r="AC113" s="194"/>
      <c r="AD113" s="194"/>
      <c r="AE113" s="194"/>
      <c r="AF113" s="194"/>
    </row>
    <row r="114" spans="1:32" x14ac:dyDescent="0.25">
      <c r="A114" s="194"/>
      <c r="C114" s="194"/>
      <c r="D114" s="194"/>
      <c r="E114" s="194"/>
      <c r="F114" s="194"/>
      <c r="G114" s="194"/>
      <c r="H114" s="194"/>
      <c r="I114" s="194"/>
      <c r="J114" s="194"/>
      <c r="K114" s="194"/>
      <c r="L114" s="194"/>
      <c r="M114" s="194"/>
      <c r="N114" s="194"/>
      <c r="O114" s="194"/>
      <c r="P114" s="194"/>
      <c r="Q114" s="194"/>
      <c r="R114" s="194"/>
      <c r="S114" s="194"/>
      <c r="T114" s="194"/>
      <c r="U114" s="194"/>
      <c r="V114" s="194"/>
      <c r="W114" s="194"/>
      <c r="X114" s="194"/>
      <c r="Y114" s="194"/>
      <c r="Z114" s="194"/>
      <c r="AA114" s="194"/>
      <c r="AB114" s="194"/>
      <c r="AC114" s="194"/>
      <c r="AD114" s="194"/>
      <c r="AE114" s="194"/>
      <c r="AF114" s="194"/>
    </row>
    <row r="115" spans="1:32" ht="36.75" x14ac:dyDescent="0.25">
      <c r="A115" s="194"/>
      <c r="B115" s="759" t="s">
        <v>692</v>
      </c>
      <c r="C115" s="760" t="s">
        <v>1753</v>
      </c>
      <c r="D115" s="760" t="s">
        <v>1754</v>
      </c>
      <c r="E115" s="760" t="s">
        <v>1676</v>
      </c>
      <c r="F115" s="760" t="s">
        <v>1410</v>
      </c>
      <c r="G115" s="760" t="s">
        <v>1288</v>
      </c>
      <c r="I115" s="194"/>
      <c r="J115" s="194"/>
      <c r="K115" s="194"/>
      <c r="L115" s="194"/>
      <c r="M115" s="194"/>
      <c r="N115" s="194"/>
      <c r="O115" s="194"/>
      <c r="P115" s="194"/>
      <c r="Q115" s="194"/>
      <c r="R115" s="194"/>
      <c r="S115" s="194"/>
      <c r="T115" s="194"/>
      <c r="U115" s="194"/>
      <c r="V115" s="194"/>
      <c r="W115" s="194"/>
      <c r="X115" s="194"/>
      <c r="Y115" s="194"/>
      <c r="Z115" s="194"/>
      <c r="AA115" s="194"/>
      <c r="AB115" s="194"/>
      <c r="AC115" s="194"/>
      <c r="AD115" s="194"/>
      <c r="AE115" s="194"/>
      <c r="AF115" s="194"/>
    </row>
    <row r="116" spans="1:32" x14ac:dyDescent="0.25">
      <c r="A116" s="194"/>
      <c r="B116" s="761">
        <v>2023</v>
      </c>
      <c r="C116" s="762">
        <v>4022</v>
      </c>
      <c r="D116" s="763">
        <v>0.01</v>
      </c>
      <c r="E116" s="764">
        <f t="shared" ref="E116:E121" si="3">44/28</f>
        <v>1.5714285714285714</v>
      </c>
      <c r="F116" s="764">
        <f t="shared" ref="F116:F121" si="4">C116*D116*E116</f>
        <v>63.202857142857141</v>
      </c>
      <c r="G116" s="765">
        <f t="shared" ref="G116:G121" si="5">F116*K$6/1000000</f>
        <v>1.725438E-2</v>
      </c>
      <c r="I116" s="194"/>
      <c r="J116" s="194"/>
      <c r="K116" s="194"/>
      <c r="L116" s="194"/>
      <c r="M116" s="194"/>
      <c r="N116" s="194"/>
      <c r="O116" s="194"/>
      <c r="P116" s="194"/>
      <c r="Q116" s="194"/>
      <c r="R116" s="194"/>
      <c r="S116" s="194"/>
      <c r="T116" s="194"/>
      <c r="U116" s="194"/>
      <c r="V116" s="194"/>
      <c r="W116" s="194"/>
      <c r="X116" s="194"/>
      <c r="Y116" s="194"/>
      <c r="Z116" s="194"/>
      <c r="AA116" s="194"/>
      <c r="AB116" s="194"/>
      <c r="AC116" s="194"/>
      <c r="AD116" s="194"/>
      <c r="AE116" s="194"/>
      <c r="AF116" s="194"/>
    </row>
    <row r="117" spans="1:32" x14ac:dyDescent="0.25">
      <c r="A117" s="194"/>
      <c r="B117" s="761">
        <v>2020</v>
      </c>
      <c r="C117" s="762">
        <v>4022</v>
      </c>
      <c r="D117" s="763">
        <v>0.01</v>
      </c>
      <c r="E117" s="764">
        <f t="shared" si="3"/>
        <v>1.5714285714285714</v>
      </c>
      <c r="F117" s="764">
        <f t="shared" si="4"/>
        <v>63.202857142857141</v>
      </c>
      <c r="G117" s="765">
        <f t="shared" si="5"/>
        <v>1.725438E-2</v>
      </c>
      <c r="I117" s="194"/>
      <c r="J117" s="194"/>
      <c r="K117" s="194"/>
      <c r="L117" s="194"/>
      <c r="M117" s="194"/>
      <c r="N117" s="194"/>
      <c r="O117" s="194"/>
      <c r="P117" s="194"/>
      <c r="Q117" s="194"/>
      <c r="R117" s="194"/>
      <c r="S117" s="194"/>
      <c r="T117" s="194"/>
      <c r="U117" s="194"/>
      <c r="V117" s="194"/>
      <c r="W117" s="194"/>
      <c r="X117" s="194"/>
      <c r="Y117" s="194"/>
      <c r="Z117" s="194"/>
      <c r="AA117" s="194"/>
      <c r="AB117" s="194"/>
      <c r="AC117" s="194"/>
      <c r="AD117" s="194"/>
      <c r="AE117" s="194"/>
      <c r="AF117" s="194"/>
    </row>
    <row r="118" spans="1:32" x14ac:dyDescent="0.25">
      <c r="A118" s="194"/>
      <c r="B118" s="761">
        <v>2017</v>
      </c>
      <c r="C118" s="766">
        <v>4022</v>
      </c>
      <c r="D118" s="767">
        <v>0.01</v>
      </c>
      <c r="E118" s="764">
        <f t="shared" si="3"/>
        <v>1.5714285714285714</v>
      </c>
      <c r="F118" s="764">
        <f t="shared" si="4"/>
        <v>63.202857142857141</v>
      </c>
      <c r="G118" s="765">
        <f t="shared" si="5"/>
        <v>1.725438E-2</v>
      </c>
      <c r="I118" s="194"/>
      <c r="J118" s="194"/>
      <c r="K118" s="194"/>
      <c r="L118" s="194"/>
      <c r="M118" s="194"/>
      <c r="N118" s="194"/>
      <c r="O118" s="194"/>
      <c r="P118" s="194"/>
      <c r="Q118" s="194"/>
      <c r="R118" s="194"/>
      <c r="S118" s="194"/>
      <c r="T118" s="194"/>
      <c r="U118" s="194"/>
      <c r="V118" s="194"/>
      <c r="W118" s="194"/>
      <c r="X118" s="194"/>
      <c r="Y118" s="194"/>
      <c r="Z118" s="194"/>
      <c r="AA118" s="194"/>
      <c r="AB118" s="194"/>
      <c r="AC118" s="194"/>
      <c r="AD118" s="194"/>
      <c r="AE118" s="194"/>
      <c r="AF118" s="194"/>
    </row>
    <row r="119" spans="1:32" x14ac:dyDescent="0.25">
      <c r="A119" s="194"/>
      <c r="B119" s="761">
        <v>2014</v>
      </c>
      <c r="C119" s="766">
        <v>4022</v>
      </c>
      <c r="D119" s="767">
        <v>0.01</v>
      </c>
      <c r="E119" s="764">
        <f t="shared" si="3"/>
        <v>1.5714285714285714</v>
      </c>
      <c r="F119" s="764">
        <f t="shared" si="4"/>
        <v>63.202857142857141</v>
      </c>
      <c r="G119" s="765">
        <f t="shared" si="5"/>
        <v>1.725438E-2</v>
      </c>
      <c r="I119" s="194"/>
      <c r="J119" s="194"/>
      <c r="K119" s="194"/>
      <c r="L119" s="194"/>
      <c r="M119" s="194"/>
      <c r="N119" s="194"/>
      <c r="O119" s="194"/>
      <c r="P119" s="194"/>
      <c r="Q119" s="194"/>
      <c r="R119" s="194"/>
      <c r="S119" s="194"/>
      <c r="T119" s="194"/>
      <c r="U119" s="194"/>
      <c r="V119" s="194"/>
      <c r="W119" s="194"/>
      <c r="X119" s="194"/>
      <c r="Y119" s="194"/>
      <c r="Z119" s="194"/>
      <c r="AA119" s="194"/>
      <c r="AB119" s="194"/>
      <c r="AC119" s="194"/>
      <c r="AD119" s="194"/>
      <c r="AE119" s="194"/>
      <c r="AF119" s="194"/>
    </row>
    <row r="120" spans="1:32" x14ac:dyDescent="0.25">
      <c r="A120" s="194"/>
      <c r="B120" s="761">
        <v>2011</v>
      </c>
      <c r="C120" s="766">
        <v>3993</v>
      </c>
      <c r="D120" s="767">
        <v>0.01</v>
      </c>
      <c r="E120" s="764">
        <f t="shared" si="3"/>
        <v>1.5714285714285714</v>
      </c>
      <c r="F120" s="764">
        <f t="shared" si="4"/>
        <v>62.747142857142855</v>
      </c>
      <c r="G120" s="765">
        <f t="shared" si="5"/>
        <v>1.7129969999999998E-2</v>
      </c>
      <c r="I120" s="194"/>
      <c r="J120" s="194"/>
      <c r="K120" s="194"/>
      <c r="L120" s="194"/>
      <c r="M120" s="194"/>
      <c r="N120" s="194"/>
      <c r="O120" s="194"/>
      <c r="P120" s="194"/>
      <c r="Q120" s="194"/>
      <c r="R120" s="194"/>
      <c r="S120" s="194"/>
      <c r="T120" s="194"/>
      <c r="U120" s="194"/>
      <c r="V120" s="194"/>
      <c r="W120" s="194"/>
      <c r="X120" s="194"/>
      <c r="Y120" s="194"/>
      <c r="Z120" s="194"/>
      <c r="AA120" s="194"/>
      <c r="AB120" s="194"/>
      <c r="AC120" s="194"/>
      <c r="AD120" s="194"/>
      <c r="AE120" s="194"/>
      <c r="AF120" s="194"/>
    </row>
    <row r="121" spans="1:32" x14ac:dyDescent="0.25">
      <c r="A121" s="194"/>
      <c r="B121" s="761">
        <v>2006</v>
      </c>
      <c r="C121" s="766">
        <v>4686</v>
      </c>
      <c r="D121" s="767">
        <v>0.01</v>
      </c>
      <c r="E121" s="764">
        <f t="shared" si="3"/>
        <v>1.5714285714285714</v>
      </c>
      <c r="F121" s="764">
        <f t="shared" si="4"/>
        <v>73.637142857142848</v>
      </c>
      <c r="G121" s="765">
        <f t="shared" si="5"/>
        <v>2.010294E-2</v>
      </c>
      <c r="I121" s="194"/>
      <c r="J121" s="194"/>
      <c r="K121" s="194"/>
      <c r="L121" s="194"/>
      <c r="M121" s="194"/>
      <c r="N121" s="194"/>
      <c r="O121" s="194"/>
      <c r="P121" s="194"/>
      <c r="Q121" s="194"/>
      <c r="R121" s="194"/>
      <c r="S121" s="194"/>
      <c r="T121" s="194"/>
      <c r="U121" s="194"/>
      <c r="V121" s="194"/>
      <c r="W121" s="194"/>
      <c r="X121" s="194"/>
      <c r="Y121" s="194"/>
      <c r="Z121" s="194"/>
      <c r="AA121" s="194"/>
      <c r="AB121" s="194"/>
      <c r="AC121" s="194"/>
      <c r="AD121" s="194"/>
      <c r="AE121" s="194"/>
      <c r="AF121" s="194"/>
    </row>
    <row r="122" spans="1:32" x14ac:dyDescent="0.25">
      <c r="A122" s="194"/>
      <c r="B122" s="194"/>
      <c r="C122" s="194"/>
      <c r="D122" s="194"/>
      <c r="E122" s="194"/>
      <c r="F122" s="194"/>
      <c r="G122" s="194"/>
      <c r="H122" s="194"/>
      <c r="I122" s="194"/>
      <c r="J122" s="194"/>
      <c r="K122" s="194"/>
      <c r="L122" s="194"/>
      <c r="M122" s="194"/>
      <c r="N122" s="194"/>
      <c r="O122" s="194"/>
      <c r="P122" s="194"/>
      <c r="Q122" s="194"/>
      <c r="R122" s="194"/>
      <c r="S122" s="194"/>
      <c r="T122" s="194"/>
      <c r="U122" s="194"/>
      <c r="V122" s="194"/>
      <c r="W122" s="194"/>
      <c r="X122" s="194"/>
      <c r="Y122" s="194"/>
      <c r="Z122" s="194"/>
      <c r="AA122" s="194"/>
      <c r="AB122" s="194"/>
      <c r="AC122" s="194"/>
      <c r="AD122" s="194"/>
      <c r="AE122" s="194"/>
      <c r="AF122" s="194"/>
    </row>
    <row r="123" spans="1:32" x14ac:dyDescent="0.25">
      <c r="A123" s="194"/>
      <c r="B123" s="194"/>
      <c r="C123" s="194"/>
      <c r="D123" s="194"/>
      <c r="E123" s="194"/>
      <c r="F123" s="194"/>
      <c r="G123" s="194"/>
      <c r="H123" s="194"/>
      <c r="I123" s="194"/>
      <c r="J123" s="194"/>
      <c r="K123" s="194"/>
      <c r="L123" s="194"/>
      <c r="M123" s="194"/>
      <c r="N123" s="194"/>
      <c r="O123" s="194"/>
      <c r="P123" s="194"/>
      <c r="Q123" s="194"/>
      <c r="R123" s="194"/>
      <c r="S123" s="194"/>
      <c r="T123" s="194"/>
      <c r="U123" s="194"/>
      <c r="V123" s="194"/>
      <c r="W123" s="194"/>
      <c r="X123" s="194"/>
      <c r="Y123" s="194"/>
      <c r="Z123" s="194"/>
      <c r="AA123" s="194"/>
      <c r="AB123" s="194"/>
      <c r="AC123" s="194"/>
      <c r="AD123" s="194"/>
      <c r="AE123" s="194"/>
      <c r="AF123" s="194"/>
    </row>
    <row r="124" spans="1:32" x14ac:dyDescent="0.25">
      <c r="A124" s="194"/>
      <c r="B124" s="716" t="s">
        <v>440</v>
      </c>
      <c r="C124" s="717"/>
      <c r="D124" s="717"/>
      <c r="E124" s="717"/>
      <c r="F124" s="717"/>
      <c r="G124" s="717"/>
      <c r="H124" s="717"/>
      <c r="I124" s="194"/>
      <c r="J124" s="194"/>
      <c r="K124" s="194"/>
      <c r="L124" s="194"/>
      <c r="M124" s="194"/>
      <c r="N124" s="194"/>
      <c r="O124" s="194"/>
      <c r="P124" s="194"/>
      <c r="Q124" s="194"/>
      <c r="R124" s="194"/>
      <c r="S124" s="194"/>
      <c r="T124" s="194"/>
      <c r="U124" s="194"/>
      <c r="V124" s="194"/>
      <c r="W124" s="194"/>
      <c r="X124" s="194"/>
      <c r="Y124" s="194"/>
      <c r="Z124" s="194"/>
      <c r="AA124" s="194"/>
      <c r="AB124" s="194"/>
      <c r="AC124" s="194"/>
      <c r="AD124" s="194"/>
      <c r="AE124" s="194"/>
      <c r="AF124" s="194"/>
    </row>
    <row r="125" spans="1:32" x14ac:dyDescent="0.25">
      <c r="A125" s="194"/>
      <c r="B125" s="9" t="s">
        <v>1755</v>
      </c>
      <c r="C125" s="194"/>
      <c r="D125" s="194"/>
      <c r="E125" s="194"/>
      <c r="F125" s="194"/>
      <c r="G125" s="194"/>
      <c r="H125" s="194"/>
      <c r="I125" s="194"/>
      <c r="J125" s="194"/>
      <c r="K125" s="194"/>
      <c r="L125" s="194"/>
      <c r="M125" s="194"/>
      <c r="N125" s="194"/>
      <c r="O125" s="194"/>
      <c r="P125" s="194"/>
      <c r="Q125" s="194"/>
      <c r="R125" s="194"/>
      <c r="S125" s="194"/>
      <c r="T125" s="194"/>
      <c r="U125" s="194"/>
      <c r="V125" s="194"/>
      <c r="W125" s="194"/>
      <c r="X125" s="194"/>
      <c r="Y125" s="194"/>
      <c r="Z125" s="194"/>
      <c r="AA125" s="194"/>
      <c r="AB125" s="194"/>
      <c r="AC125" s="194"/>
      <c r="AD125" s="194"/>
      <c r="AE125" s="194"/>
      <c r="AF125" s="194"/>
    </row>
    <row r="126" spans="1:32" x14ac:dyDescent="0.25">
      <c r="A126" s="194"/>
      <c r="B126" s="418" t="s">
        <v>1756</v>
      </c>
      <c r="C126" s="768"/>
      <c r="D126" s="768"/>
      <c r="E126" s="768"/>
      <c r="F126" s="768"/>
      <c r="G126" s="768"/>
      <c r="H126" s="9"/>
      <c r="I126" s="194"/>
      <c r="J126" s="194"/>
      <c r="K126" s="194"/>
      <c r="L126" s="194"/>
      <c r="M126" s="194"/>
      <c r="N126" s="194"/>
      <c r="O126" s="194"/>
      <c r="P126" s="194"/>
      <c r="Q126" s="194"/>
      <c r="R126" s="194"/>
      <c r="S126" s="194"/>
      <c r="T126" s="194"/>
      <c r="U126" s="194"/>
      <c r="V126" s="194"/>
      <c r="W126" s="194"/>
      <c r="X126" s="194"/>
      <c r="Y126" s="194"/>
      <c r="Z126" s="194"/>
      <c r="AA126" s="194"/>
      <c r="AB126" s="194"/>
      <c r="AC126" s="194"/>
      <c r="AD126" s="194"/>
      <c r="AE126" s="194"/>
      <c r="AF126" s="194"/>
    </row>
    <row r="127" spans="1:32" x14ac:dyDescent="0.25">
      <c r="A127" s="194"/>
      <c r="B127" s="194"/>
      <c r="C127" s="768"/>
      <c r="D127" s="768"/>
      <c r="E127" s="768"/>
      <c r="F127" s="768"/>
      <c r="G127" s="768"/>
      <c r="H127" s="9"/>
      <c r="I127" s="194"/>
      <c r="J127" s="194"/>
      <c r="L127" s="194"/>
      <c r="M127" s="194"/>
      <c r="N127" s="194"/>
      <c r="O127" s="194"/>
      <c r="P127" s="194"/>
      <c r="Q127" s="194"/>
      <c r="R127" s="194"/>
      <c r="S127" s="194"/>
      <c r="T127" s="194"/>
      <c r="U127" s="194"/>
      <c r="V127" s="194"/>
      <c r="W127" s="194"/>
      <c r="X127" s="194"/>
      <c r="Y127" s="194"/>
      <c r="Z127" s="194"/>
      <c r="AA127" s="194"/>
      <c r="AB127" s="194"/>
      <c r="AC127" s="194"/>
      <c r="AD127" s="194"/>
      <c r="AE127" s="194"/>
      <c r="AF127" s="194"/>
    </row>
    <row r="128" spans="1:32" x14ac:dyDescent="0.25">
      <c r="A128" s="194"/>
      <c r="B128" s="718" t="s">
        <v>1757</v>
      </c>
      <c r="C128" s="768"/>
      <c r="D128" s="768"/>
      <c r="E128" s="768"/>
      <c r="F128" s="768"/>
      <c r="G128" s="768"/>
      <c r="H128" s="9"/>
      <c r="I128" s="194"/>
      <c r="J128" s="194"/>
      <c r="K128" s="194"/>
      <c r="L128" s="194"/>
      <c r="M128" s="194"/>
      <c r="N128" s="194"/>
      <c r="O128" s="194"/>
      <c r="P128" s="194"/>
      <c r="Q128" s="194"/>
      <c r="R128" s="194"/>
      <c r="S128" s="194"/>
      <c r="T128" s="194"/>
      <c r="U128" s="194"/>
      <c r="V128" s="194"/>
      <c r="W128" s="194"/>
      <c r="X128" s="194"/>
      <c r="Y128" s="194"/>
      <c r="Z128" s="194"/>
      <c r="AA128" s="194"/>
      <c r="AB128" s="194"/>
      <c r="AC128" s="194"/>
      <c r="AD128" s="194"/>
      <c r="AE128" s="194"/>
      <c r="AF128" s="194"/>
    </row>
    <row r="129" spans="1:32" x14ac:dyDescent="0.25">
      <c r="A129" s="194"/>
      <c r="B129" s="9"/>
      <c r="C129" s="732">
        <v>2006</v>
      </c>
      <c r="D129" s="732">
        <v>2011</v>
      </c>
      <c r="E129" s="732">
        <v>2014</v>
      </c>
      <c r="F129" s="732">
        <v>2017</v>
      </c>
      <c r="G129" s="732">
        <v>2020</v>
      </c>
      <c r="H129" s="732">
        <v>2023</v>
      </c>
      <c r="I129" s="194"/>
      <c r="J129" s="194"/>
      <c r="K129" s="194"/>
      <c r="L129" s="194"/>
      <c r="M129" s="194"/>
      <c r="N129" s="194"/>
      <c r="O129" s="194"/>
      <c r="P129" s="194"/>
      <c r="Q129" s="194"/>
      <c r="R129" s="194"/>
      <c r="S129" s="194"/>
      <c r="T129" s="194"/>
      <c r="U129" s="194"/>
      <c r="V129" s="194"/>
      <c r="W129" s="194"/>
      <c r="X129" s="194"/>
      <c r="Y129" s="194"/>
      <c r="Z129" s="194"/>
      <c r="AA129" s="194"/>
      <c r="AB129" s="194"/>
      <c r="AC129" s="194"/>
      <c r="AD129" s="194"/>
      <c r="AE129" s="194"/>
      <c r="AF129" s="194"/>
    </row>
    <row r="130" spans="1:32" x14ac:dyDescent="0.25">
      <c r="A130" s="194"/>
      <c r="B130" s="316" t="s">
        <v>1758</v>
      </c>
      <c r="C130" s="769"/>
      <c r="D130" s="769"/>
      <c r="E130" s="769"/>
      <c r="F130" s="769"/>
      <c r="G130" s="769"/>
      <c r="H130" s="769">
        <v>4482.8</v>
      </c>
      <c r="I130" s="194"/>
      <c r="J130" s="194"/>
      <c r="L130" s="194"/>
      <c r="M130" s="194"/>
      <c r="N130" s="194"/>
      <c r="O130" s="194"/>
      <c r="P130" s="194"/>
      <c r="Q130" s="194"/>
      <c r="R130" s="194"/>
      <c r="S130" s="194"/>
      <c r="T130" s="194"/>
      <c r="U130" s="194"/>
      <c r="V130" s="194"/>
      <c r="W130" s="194"/>
      <c r="X130" s="194"/>
      <c r="Y130" s="194"/>
      <c r="Z130" s="194"/>
      <c r="AA130" s="194"/>
      <c r="AB130" s="194"/>
      <c r="AC130" s="194"/>
      <c r="AD130" s="194"/>
      <c r="AE130" s="194"/>
      <c r="AF130" s="194"/>
    </row>
    <row r="131" spans="1:32" x14ac:dyDescent="0.25">
      <c r="A131" s="194"/>
      <c r="B131" s="316" t="s">
        <v>1759</v>
      </c>
      <c r="C131" s="769">
        <v>2458</v>
      </c>
      <c r="D131" s="769">
        <v>3363</v>
      </c>
      <c r="E131" s="769">
        <v>696</v>
      </c>
      <c r="F131" s="769">
        <v>880</v>
      </c>
      <c r="G131" s="769">
        <v>575.29999999999995</v>
      </c>
      <c r="H131" s="769">
        <f>H130/2.47105</f>
        <v>1814.1275975799763</v>
      </c>
      <c r="I131" s="194"/>
      <c r="J131" s="770"/>
      <c r="L131" s="194"/>
      <c r="M131" s="194"/>
      <c r="N131" s="194"/>
      <c r="O131" s="194"/>
      <c r="P131" s="194"/>
      <c r="Q131" s="194"/>
      <c r="R131" s="194"/>
      <c r="S131" s="194"/>
      <c r="T131" s="194"/>
      <c r="U131" s="194"/>
      <c r="V131" s="194"/>
      <c r="W131" s="194"/>
      <c r="X131" s="194"/>
      <c r="Y131" s="194"/>
      <c r="Z131" s="194"/>
      <c r="AA131" s="194"/>
      <c r="AB131" s="194"/>
      <c r="AC131" s="194"/>
      <c r="AD131" s="194"/>
      <c r="AE131" s="194"/>
      <c r="AF131" s="194"/>
    </row>
    <row r="132" spans="1:32" x14ac:dyDescent="0.25">
      <c r="A132" s="194"/>
      <c r="B132" s="316" t="s">
        <v>1760</v>
      </c>
      <c r="C132" s="769">
        <v>152440</v>
      </c>
      <c r="D132" s="769">
        <v>152440</v>
      </c>
      <c r="E132" s="769">
        <v>152440</v>
      </c>
      <c r="F132" s="769">
        <v>152440</v>
      </c>
      <c r="G132" s="769">
        <v>152440</v>
      </c>
      <c r="H132" s="769">
        <v>152440</v>
      </c>
      <c r="I132" s="194"/>
      <c r="J132" s="194"/>
      <c r="M132" s="194"/>
      <c r="N132" s="194"/>
      <c r="O132" s="194"/>
      <c r="P132" s="194"/>
      <c r="Q132" s="194"/>
      <c r="R132" s="194"/>
      <c r="S132" s="194"/>
      <c r="T132" s="194"/>
      <c r="U132" s="194"/>
      <c r="V132" s="194"/>
      <c r="W132" s="194"/>
      <c r="X132" s="194"/>
      <c r="Y132" s="194"/>
      <c r="Z132" s="194"/>
      <c r="AA132" s="194"/>
      <c r="AB132" s="194"/>
      <c r="AC132" s="194"/>
      <c r="AD132" s="194"/>
      <c r="AE132" s="194"/>
      <c r="AF132" s="194"/>
    </row>
    <row r="133" spans="1:32" x14ac:dyDescent="0.25">
      <c r="A133" s="194"/>
      <c r="B133" s="771" t="s">
        <v>1761</v>
      </c>
      <c r="C133" s="772">
        <v>0.45</v>
      </c>
      <c r="D133" s="772">
        <v>0.45</v>
      </c>
      <c r="E133" s="772">
        <v>0.45</v>
      </c>
      <c r="F133" s="772">
        <v>0.45</v>
      </c>
      <c r="G133" s="772">
        <v>0.45</v>
      </c>
      <c r="H133" s="772">
        <v>0.45</v>
      </c>
      <c r="I133" s="194"/>
      <c r="J133" s="194"/>
      <c r="K133" s="194"/>
      <c r="L133" s="194"/>
      <c r="M133" s="194"/>
      <c r="N133" s="194"/>
      <c r="O133" s="194"/>
      <c r="P133" s="194"/>
      <c r="Q133" s="194"/>
      <c r="R133" s="194"/>
      <c r="S133" s="194"/>
      <c r="T133" s="194"/>
      <c r="U133" s="194"/>
      <c r="V133" s="194"/>
      <c r="W133" s="194"/>
      <c r="X133" s="194"/>
      <c r="Y133" s="194"/>
      <c r="Z133" s="194"/>
      <c r="AA133" s="194"/>
      <c r="AB133" s="194"/>
      <c r="AC133" s="194"/>
      <c r="AD133" s="194"/>
      <c r="AE133" s="194"/>
      <c r="AF133" s="194"/>
    </row>
    <row r="134" spans="1:32" x14ac:dyDescent="0.25">
      <c r="A134" s="194"/>
      <c r="B134" s="316" t="s">
        <v>1762</v>
      </c>
      <c r="C134" s="773">
        <v>6.8</v>
      </c>
      <c r="D134" s="773">
        <v>6.8</v>
      </c>
      <c r="E134" s="773">
        <v>6.8</v>
      </c>
      <c r="F134" s="773">
        <v>6.8</v>
      </c>
      <c r="G134" s="773">
        <v>6.8</v>
      </c>
      <c r="H134" s="773">
        <v>6.8</v>
      </c>
      <c r="I134" s="748"/>
      <c r="J134" s="748"/>
      <c r="K134" s="194"/>
      <c r="L134" s="194"/>
      <c r="M134" s="194"/>
      <c r="N134" s="194"/>
      <c r="O134" s="194"/>
      <c r="P134" s="194"/>
      <c r="Q134" s="194"/>
      <c r="R134" s="194"/>
      <c r="S134" s="194"/>
      <c r="T134" s="194"/>
      <c r="U134" s="194"/>
      <c r="V134" s="194"/>
      <c r="W134" s="194"/>
      <c r="X134" s="194"/>
      <c r="Y134" s="194"/>
      <c r="Z134" s="194"/>
      <c r="AA134" s="194"/>
      <c r="AB134" s="194"/>
      <c r="AC134" s="194"/>
      <c r="AD134" s="194"/>
      <c r="AE134" s="194"/>
      <c r="AF134" s="194"/>
    </row>
    <row r="135" spans="1:32" x14ac:dyDescent="0.25">
      <c r="A135" s="194"/>
      <c r="B135" s="316" t="s">
        <v>1763</v>
      </c>
      <c r="C135" s="769">
        <f t="shared" ref="C135:H135" si="6">(C131*C132*C133*C134)/1000/1000</f>
        <v>1146.5744112</v>
      </c>
      <c r="D135" s="769">
        <f t="shared" si="6"/>
        <v>1568.7265032000003</v>
      </c>
      <c r="E135" s="769">
        <f t="shared" si="6"/>
        <v>324.66061439999999</v>
      </c>
      <c r="F135" s="769">
        <f t="shared" si="6"/>
        <v>410.490432</v>
      </c>
      <c r="G135" s="769">
        <f t="shared" si="6"/>
        <v>268.35811991999998</v>
      </c>
      <c r="H135" s="769">
        <f t="shared" si="6"/>
        <v>846.22956958378029</v>
      </c>
      <c r="I135" s="194"/>
      <c r="J135" s="194"/>
      <c r="K135" s="194"/>
      <c r="L135" s="194"/>
      <c r="M135" s="194"/>
      <c r="N135" s="194"/>
      <c r="O135" s="194"/>
      <c r="P135" s="194"/>
      <c r="Q135" s="194"/>
      <c r="R135" s="194"/>
      <c r="S135" s="194"/>
      <c r="T135" s="194"/>
      <c r="U135" s="194"/>
      <c r="V135" s="194"/>
      <c r="W135" s="194"/>
      <c r="X135" s="194"/>
      <c r="Y135" s="194"/>
      <c r="Z135" s="194"/>
      <c r="AA135" s="194"/>
      <c r="AB135" s="194"/>
      <c r="AC135" s="194"/>
      <c r="AD135" s="194"/>
      <c r="AE135" s="194"/>
      <c r="AF135" s="194"/>
    </row>
    <row r="136" spans="1:32" x14ac:dyDescent="0.25">
      <c r="A136" s="194"/>
      <c r="B136" s="771" t="s">
        <v>1764</v>
      </c>
      <c r="C136" s="774">
        <f t="shared" ref="C136:H136" si="7">C135*$K$5/1000000</f>
        <v>3.1989426072479996E-2</v>
      </c>
      <c r="D136" s="774">
        <f t="shared" si="7"/>
        <v>4.3767469439280011E-2</v>
      </c>
      <c r="E136" s="774">
        <f t="shared" si="7"/>
        <v>9.0580311417599989E-3</v>
      </c>
      <c r="F136" s="774">
        <f t="shared" si="7"/>
        <v>1.1452683052799999E-2</v>
      </c>
      <c r="G136" s="774">
        <f t="shared" si="7"/>
        <v>7.4871915457679992E-3</v>
      </c>
      <c r="H136" s="774">
        <f t="shared" si="7"/>
        <v>2.3609804991387467E-2</v>
      </c>
      <c r="I136" s="194"/>
      <c r="J136" s="194"/>
      <c r="K136" s="194"/>
      <c r="L136" s="194"/>
      <c r="M136" s="194"/>
      <c r="N136" s="194"/>
      <c r="O136" s="194"/>
      <c r="P136" s="194"/>
      <c r="Q136" s="194"/>
      <c r="R136" s="194"/>
      <c r="S136" s="194"/>
      <c r="T136" s="194"/>
      <c r="U136" s="194"/>
      <c r="V136" s="194"/>
      <c r="W136" s="194"/>
      <c r="X136" s="194"/>
      <c r="Y136" s="194"/>
      <c r="Z136" s="194"/>
      <c r="AA136" s="194"/>
      <c r="AB136" s="194"/>
      <c r="AC136" s="194"/>
      <c r="AD136" s="194"/>
      <c r="AE136" s="194"/>
      <c r="AF136" s="194"/>
    </row>
    <row r="137" spans="1:32" x14ac:dyDescent="0.25">
      <c r="A137" s="194"/>
      <c r="B137" s="753" t="s">
        <v>1765</v>
      </c>
      <c r="C137" s="773">
        <v>0.2</v>
      </c>
      <c r="D137" s="773">
        <v>0.2</v>
      </c>
      <c r="E137" s="773">
        <v>0.2</v>
      </c>
      <c r="F137" s="773">
        <v>0.2</v>
      </c>
      <c r="G137" s="773">
        <v>0.2</v>
      </c>
      <c r="H137" s="773">
        <v>0.2</v>
      </c>
      <c r="I137" s="748"/>
      <c r="J137" s="748"/>
      <c r="K137" s="194"/>
      <c r="L137" s="194"/>
      <c r="M137" s="194"/>
      <c r="N137" s="194"/>
      <c r="O137" s="194"/>
      <c r="P137" s="194"/>
      <c r="Q137" s="194"/>
      <c r="R137" s="194"/>
      <c r="S137" s="194"/>
      <c r="T137" s="194"/>
      <c r="U137" s="194"/>
      <c r="V137" s="194"/>
      <c r="W137" s="194"/>
      <c r="X137" s="194"/>
      <c r="Y137" s="194"/>
      <c r="Z137" s="194"/>
      <c r="AA137" s="194"/>
      <c r="AB137" s="194"/>
      <c r="AC137" s="194"/>
      <c r="AD137" s="194"/>
      <c r="AE137" s="194"/>
      <c r="AF137" s="194"/>
    </row>
    <row r="138" spans="1:32" x14ac:dyDescent="0.25">
      <c r="A138" s="194"/>
      <c r="B138" s="316" t="s">
        <v>1766</v>
      </c>
      <c r="C138" s="769">
        <f t="shared" ref="C138:H138" si="8">(C131*C132*C133*C137)/1000/1000</f>
        <v>33.722776800000005</v>
      </c>
      <c r="D138" s="769">
        <f t="shared" si="8"/>
        <v>46.139014800000005</v>
      </c>
      <c r="E138" s="769">
        <f t="shared" si="8"/>
        <v>9.5488415999999994</v>
      </c>
      <c r="F138" s="769">
        <f t="shared" si="8"/>
        <v>12.073248</v>
      </c>
      <c r="G138" s="769">
        <f t="shared" si="8"/>
        <v>7.8928858799999997</v>
      </c>
      <c r="H138" s="769">
        <f t="shared" si="8"/>
        <v>24.889104987758245</v>
      </c>
      <c r="I138" s="194"/>
      <c r="J138" s="194"/>
      <c r="K138" s="194"/>
      <c r="L138" s="194"/>
      <c r="M138" s="194"/>
      <c r="N138" s="194"/>
      <c r="O138" s="194"/>
      <c r="P138" s="194"/>
      <c r="Q138" s="194"/>
      <c r="R138" s="194"/>
      <c r="S138" s="194"/>
      <c r="T138" s="194"/>
      <c r="U138" s="194"/>
      <c r="V138" s="194"/>
      <c r="W138" s="194"/>
      <c r="X138" s="194"/>
      <c r="Y138" s="194"/>
      <c r="Z138" s="194"/>
      <c r="AA138" s="194"/>
      <c r="AB138" s="194"/>
      <c r="AC138" s="194"/>
      <c r="AD138" s="194"/>
      <c r="AE138" s="194"/>
      <c r="AF138" s="194"/>
    </row>
    <row r="139" spans="1:32" x14ac:dyDescent="0.25">
      <c r="A139" s="194"/>
      <c r="B139" s="771" t="s">
        <v>1767</v>
      </c>
      <c r="C139" s="774">
        <f t="shared" ref="C139:H139" si="9">C138*$K$6/1000000</f>
        <v>9.2063180664000016E-3</v>
      </c>
      <c r="D139" s="774">
        <f t="shared" si="9"/>
        <v>1.25959510404E-2</v>
      </c>
      <c r="E139" s="774">
        <f t="shared" si="9"/>
        <v>2.6068337567999996E-3</v>
      </c>
      <c r="F139" s="774">
        <f t="shared" si="9"/>
        <v>3.2959967039999996E-3</v>
      </c>
      <c r="G139" s="774">
        <f t="shared" si="9"/>
        <v>2.1547578452399997E-3</v>
      </c>
      <c r="H139" s="774">
        <f t="shared" si="9"/>
        <v>6.7947256616580007E-3</v>
      </c>
      <c r="I139" s="194"/>
      <c r="J139" s="194"/>
      <c r="K139" s="194"/>
      <c r="L139" s="194"/>
      <c r="M139" s="194"/>
      <c r="N139" s="194"/>
      <c r="O139" s="194"/>
      <c r="P139" s="194"/>
      <c r="Q139" s="194"/>
      <c r="R139" s="194"/>
      <c r="S139" s="194"/>
      <c r="T139" s="194"/>
      <c r="U139" s="194"/>
      <c r="V139" s="194"/>
      <c r="W139" s="194"/>
      <c r="X139" s="194"/>
      <c r="Y139" s="194"/>
      <c r="Z139" s="194"/>
      <c r="AA139" s="194"/>
      <c r="AB139" s="194"/>
      <c r="AC139" s="194"/>
      <c r="AD139" s="194"/>
      <c r="AE139" s="194"/>
      <c r="AF139" s="194"/>
    </row>
    <row r="140" spans="1:32" x14ac:dyDescent="0.25">
      <c r="A140" s="194"/>
      <c r="I140" s="194"/>
      <c r="J140" s="194"/>
      <c r="K140" s="194"/>
      <c r="L140" s="194"/>
      <c r="M140" s="194"/>
      <c r="N140" s="194"/>
      <c r="O140" s="194"/>
      <c r="P140" s="194"/>
      <c r="Q140" s="194"/>
      <c r="R140" s="194"/>
      <c r="S140" s="194"/>
      <c r="T140" s="194"/>
      <c r="U140" s="194"/>
      <c r="V140" s="194"/>
      <c r="W140" s="194"/>
      <c r="X140" s="194"/>
      <c r="Y140" s="194"/>
      <c r="Z140" s="194"/>
      <c r="AA140" s="194"/>
      <c r="AB140" s="194"/>
      <c r="AC140" s="194"/>
      <c r="AD140" s="194"/>
      <c r="AE140" s="194"/>
      <c r="AF140" s="194"/>
    </row>
    <row r="141" spans="1:32" x14ac:dyDescent="0.25">
      <c r="A141" s="194"/>
      <c r="B141" s="718" t="s">
        <v>1768</v>
      </c>
      <c r="C141" s="768"/>
      <c r="D141" s="768"/>
      <c r="E141" s="768"/>
      <c r="F141" s="768"/>
      <c r="G141" s="768"/>
      <c r="H141" s="9"/>
      <c r="I141" s="194"/>
      <c r="J141" s="194"/>
      <c r="K141" s="194"/>
      <c r="L141" s="194"/>
      <c r="M141" s="194"/>
      <c r="N141" s="194"/>
      <c r="O141" s="194"/>
      <c r="P141" s="194"/>
      <c r="Q141" s="194"/>
      <c r="R141" s="194"/>
      <c r="S141" s="194"/>
      <c r="T141" s="194"/>
      <c r="U141" s="194"/>
      <c r="V141" s="194"/>
      <c r="W141" s="194"/>
      <c r="X141" s="194"/>
      <c r="Y141" s="194"/>
      <c r="Z141" s="194"/>
      <c r="AA141" s="194"/>
      <c r="AB141" s="194"/>
      <c r="AC141" s="194"/>
      <c r="AD141" s="194"/>
      <c r="AE141" s="194"/>
      <c r="AF141" s="194"/>
    </row>
    <row r="142" spans="1:32" x14ac:dyDescent="0.25">
      <c r="A142" s="194"/>
      <c r="B142" s="9"/>
      <c r="C142" s="732">
        <v>2006</v>
      </c>
      <c r="D142" s="732">
        <v>2011</v>
      </c>
      <c r="E142" s="732">
        <v>2014</v>
      </c>
      <c r="F142" s="732">
        <v>2017</v>
      </c>
      <c r="G142" s="732">
        <v>2020</v>
      </c>
      <c r="H142" s="732">
        <v>2023</v>
      </c>
      <c r="I142" s="194"/>
      <c r="J142" s="194"/>
      <c r="K142" s="194"/>
      <c r="L142" s="194"/>
      <c r="M142" s="194"/>
      <c r="N142" s="194"/>
      <c r="O142" s="194"/>
      <c r="P142" s="194"/>
      <c r="Q142" s="194"/>
      <c r="R142" s="194"/>
      <c r="S142" s="194"/>
      <c r="T142" s="194"/>
      <c r="U142" s="194"/>
      <c r="V142" s="194"/>
      <c r="W142" s="194"/>
      <c r="X142" s="194"/>
      <c r="Y142" s="194"/>
      <c r="Z142" s="194"/>
      <c r="AA142" s="194"/>
      <c r="AB142" s="194"/>
      <c r="AC142" s="194"/>
      <c r="AD142" s="194"/>
      <c r="AE142" s="194"/>
      <c r="AF142" s="194"/>
    </row>
    <row r="143" spans="1:32" x14ac:dyDescent="0.25">
      <c r="A143" s="194"/>
      <c r="B143" s="316" t="s">
        <v>1758</v>
      </c>
      <c r="C143" s="769"/>
      <c r="D143" s="769"/>
      <c r="E143" s="769"/>
      <c r="F143" s="769"/>
      <c r="G143" s="769"/>
      <c r="H143" s="769">
        <v>9188</v>
      </c>
      <c r="I143" s="194"/>
      <c r="J143" s="194"/>
      <c r="K143" s="194"/>
      <c r="L143" s="194"/>
      <c r="M143" s="194"/>
      <c r="N143" s="194"/>
      <c r="O143" s="194"/>
      <c r="P143" s="194"/>
      <c r="Q143" s="194"/>
      <c r="R143" s="194"/>
      <c r="S143" s="194"/>
      <c r="T143" s="194"/>
      <c r="U143" s="194"/>
      <c r="V143" s="194"/>
      <c r="W143" s="194"/>
      <c r="X143" s="194"/>
      <c r="Y143" s="194"/>
      <c r="Z143" s="194"/>
      <c r="AA143" s="194"/>
      <c r="AB143" s="194"/>
      <c r="AC143" s="194"/>
      <c r="AD143" s="194"/>
      <c r="AE143" s="194"/>
      <c r="AF143" s="194"/>
    </row>
    <row r="144" spans="1:32" x14ac:dyDescent="0.25">
      <c r="A144" s="194"/>
      <c r="B144" s="316" t="s">
        <v>1759</v>
      </c>
      <c r="C144" s="769">
        <v>202.7</v>
      </c>
      <c r="D144" s="769">
        <v>295.2</v>
      </c>
      <c r="E144" s="769">
        <v>440.5</v>
      </c>
      <c r="F144" s="769">
        <v>604.9</v>
      </c>
      <c r="G144" s="769">
        <v>181.3</v>
      </c>
      <c r="H144" s="769">
        <f>H143/2.47105</f>
        <v>3718.2574209344207</v>
      </c>
      <c r="I144" s="194"/>
      <c r="J144" s="194"/>
      <c r="K144" s="194"/>
      <c r="L144" s="194"/>
      <c r="M144" s="194"/>
      <c r="N144" s="194"/>
      <c r="O144" s="194"/>
      <c r="P144" s="194"/>
      <c r="Q144" s="194"/>
      <c r="R144" s="194"/>
      <c r="S144" s="194"/>
      <c r="T144" s="194"/>
      <c r="U144" s="194"/>
      <c r="V144" s="194"/>
      <c r="W144" s="194"/>
      <c r="X144" s="194"/>
      <c r="Y144" s="194"/>
      <c r="Z144" s="194"/>
      <c r="AA144" s="194"/>
      <c r="AB144" s="194"/>
      <c r="AC144" s="194"/>
      <c r="AD144" s="194"/>
      <c r="AE144" s="194"/>
      <c r="AF144" s="194"/>
    </row>
    <row r="145" spans="1:32" x14ac:dyDescent="0.25">
      <c r="A145" s="194"/>
      <c r="B145" s="316" t="s">
        <v>1760</v>
      </c>
      <c r="C145" s="769">
        <v>152440</v>
      </c>
      <c r="D145" s="769">
        <v>152440</v>
      </c>
      <c r="E145" s="769">
        <v>152440</v>
      </c>
      <c r="F145" s="769">
        <v>152440</v>
      </c>
      <c r="G145" s="769">
        <v>152440</v>
      </c>
      <c r="H145" s="769">
        <v>152440</v>
      </c>
      <c r="I145" s="194"/>
      <c r="J145" s="194"/>
      <c r="K145" s="194"/>
      <c r="L145" s="194"/>
      <c r="M145" s="194"/>
      <c r="N145" s="194"/>
      <c r="O145" s="194"/>
      <c r="P145" s="194"/>
      <c r="Q145" s="194"/>
      <c r="R145" s="194"/>
      <c r="S145" s="194"/>
      <c r="T145" s="194"/>
      <c r="U145" s="194"/>
      <c r="V145" s="194"/>
      <c r="W145" s="194"/>
      <c r="X145" s="194"/>
      <c r="Y145" s="194"/>
      <c r="Z145" s="194"/>
      <c r="AA145" s="194"/>
      <c r="AB145" s="194"/>
      <c r="AC145" s="194"/>
      <c r="AD145" s="194"/>
      <c r="AE145" s="194"/>
      <c r="AF145" s="194"/>
    </row>
    <row r="146" spans="1:32" x14ac:dyDescent="0.25">
      <c r="A146" s="194"/>
      <c r="B146" s="771" t="s">
        <v>1769</v>
      </c>
      <c r="C146" s="772">
        <v>0.72</v>
      </c>
      <c r="D146" s="772">
        <v>0.72</v>
      </c>
      <c r="E146" s="772">
        <v>0.72</v>
      </c>
      <c r="F146" s="772">
        <v>0.72</v>
      </c>
      <c r="G146" s="772">
        <v>0.72</v>
      </c>
      <c r="H146" s="772">
        <v>0.72</v>
      </c>
      <c r="I146" s="194"/>
      <c r="J146" s="194"/>
      <c r="K146" s="194"/>
      <c r="L146" s="194"/>
      <c r="M146" s="194"/>
      <c r="N146" s="194"/>
      <c r="O146" s="194"/>
      <c r="P146" s="194"/>
      <c r="Q146" s="194"/>
      <c r="R146" s="194"/>
      <c r="S146" s="194"/>
      <c r="T146" s="194"/>
      <c r="U146" s="194"/>
      <c r="V146" s="194"/>
      <c r="W146" s="194"/>
      <c r="X146" s="194"/>
      <c r="Y146" s="194"/>
      <c r="Z146" s="194"/>
      <c r="AA146" s="194"/>
      <c r="AB146" s="194"/>
      <c r="AC146" s="194"/>
      <c r="AD146" s="194"/>
      <c r="AE146" s="194"/>
      <c r="AF146" s="194"/>
    </row>
    <row r="147" spans="1:32" x14ac:dyDescent="0.25">
      <c r="A147" s="194"/>
      <c r="B147" s="316" t="s">
        <v>1762</v>
      </c>
      <c r="C147" s="773">
        <v>6.8</v>
      </c>
      <c r="D147" s="773">
        <v>6.8</v>
      </c>
      <c r="E147" s="773">
        <v>6.8</v>
      </c>
      <c r="F147" s="773">
        <v>6.8</v>
      </c>
      <c r="G147" s="773">
        <v>6.8</v>
      </c>
      <c r="H147" s="773">
        <v>6.8</v>
      </c>
      <c r="I147" s="748"/>
      <c r="J147" s="194"/>
      <c r="K147" s="194"/>
      <c r="L147" s="194"/>
      <c r="M147" s="194"/>
      <c r="N147" s="194"/>
      <c r="O147" s="194"/>
      <c r="P147" s="194"/>
      <c r="Q147" s="194"/>
      <c r="R147" s="194"/>
      <c r="S147" s="194"/>
      <c r="T147" s="194"/>
      <c r="U147" s="194"/>
      <c r="V147" s="194"/>
      <c r="W147" s="194"/>
      <c r="X147" s="194"/>
      <c r="Y147" s="194"/>
      <c r="Z147" s="194"/>
      <c r="AA147" s="194"/>
      <c r="AB147" s="194"/>
      <c r="AC147" s="194"/>
      <c r="AD147" s="194"/>
      <c r="AE147" s="194"/>
      <c r="AF147" s="194"/>
    </row>
    <row r="148" spans="1:32" x14ac:dyDescent="0.25">
      <c r="A148" s="194"/>
      <c r="B148" s="316" t="s">
        <v>1763</v>
      </c>
      <c r="C148" s="769">
        <f t="shared" ref="C148:H148" si="10">(C144*C145*C146*C147)/1000/1000</f>
        <v>151.28438284799998</v>
      </c>
      <c r="D148" s="769">
        <f t="shared" si="10"/>
        <v>220.32141004799999</v>
      </c>
      <c r="E148" s="769">
        <f t="shared" si="10"/>
        <v>328.76551871999999</v>
      </c>
      <c r="F148" s="769">
        <f t="shared" si="10"/>
        <v>451.46484057599997</v>
      </c>
      <c r="G148" s="769">
        <f t="shared" si="10"/>
        <v>135.31257331199998</v>
      </c>
      <c r="H148" s="769">
        <f t="shared" si="10"/>
        <v>2775.1074454665018</v>
      </c>
      <c r="I148" s="194"/>
      <c r="J148" s="194"/>
      <c r="K148" s="194"/>
      <c r="L148" s="194"/>
      <c r="M148" s="194"/>
      <c r="N148" s="194"/>
      <c r="O148" s="194"/>
      <c r="P148" s="194"/>
      <c r="Q148" s="194"/>
      <c r="R148" s="194"/>
      <c r="S148" s="194"/>
      <c r="T148" s="194"/>
      <c r="U148" s="194"/>
      <c r="V148" s="194"/>
      <c r="W148" s="194"/>
      <c r="X148" s="194"/>
      <c r="Y148" s="194"/>
      <c r="Z148" s="194"/>
      <c r="AA148" s="194"/>
      <c r="AB148" s="194"/>
      <c r="AC148" s="194"/>
      <c r="AD148" s="194"/>
      <c r="AE148" s="194"/>
      <c r="AF148" s="194"/>
    </row>
    <row r="149" spans="1:32" x14ac:dyDescent="0.25">
      <c r="A149" s="194"/>
      <c r="B149" s="771" t="s">
        <v>1764</v>
      </c>
      <c r="C149" s="774">
        <f t="shared" ref="C149:H149" si="11">C148*$K$5/1000000</f>
        <v>4.2208342814591985E-3</v>
      </c>
      <c r="D149" s="774">
        <f t="shared" si="11"/>
        <v>6.1469673403392001E-3</v>
      </c>
      <c r="E149" s="774">
        <f t="shared" si="11"/>
        <v>9.1725579722879997E-3</v>
      </c>
      <c r="F149" s="774">
        <f t="shared" si="11"/>
        <v>1.2595869052070399E-2</v>
      </c>
      <c r="G149" s="774">
        <f t="shared" si="11"/>
        <v>3.7752207954047995E-3</v>
      </c>
      <c r="H149" s="774">
        <f t="shared" si="11"/>
        <v>7.7425497728515397E-2</v>
      </c>
      <c r="I149" s="194"/>
      <c r="J149" s="194"/>
      <c r="K149" s="194"/>
      <c r="L149" s="194"/>
      <c r="M149" s="194"/>
      <c r="N149" s="194"/>
      <c r="O149" s="194"/>
      <c r="P149" s="194"/>
      <c r="Q149" s="194"/>
      <c r="R149" s="194"/>
      <c r="S149" s="194"/>
      <c r="T149" s="194"/>
      <c r="U149" s="194"/>
      <c r="V149" s="194"/>
      <c r="W149" s="194"/>
      <c r="X149" s="194"/>
      <c r="Y149" s="194"/>
      <c r="Z149" s="194"/>
      <c r="AA149" s="194"/>
      <c r="AB149" s="194"/>
      <c r="AC149" s="194"/>
      <c r="AD149" s="194"/>
      <c r="AE149" s="194"/>
      <c r="AF149" s="194"/>
    </row>
    <row r="150" spans="1:32" x14ac:dyDescent="0.25">
      <c r="A150" s="194"/>
      <c r="B150" s="753" t="s">
        <v>1765</v>
      </c>
      <c r="C150" s="773">
        <v>0.2</v>
      </c>
      <c r="D150" s="773">
        <v>0.2</v>
      </c>
      <c r="E150" s="773">
        <v>0.2</v>
      </c>
      <c r="F150" s="773">
        <v>0.2</v>
      </c>
      <c r="G150" s="773">
        <v>0.2</v>
      </c>
      <c r="H150" s="773">
        <v>0.2</v>
      </c>
      <c r="I150" s="748"/>
      <c r="J150" s="194"/>
      <c r="K150" s="194"/>
      <c r="L150" s="194"/>
      <c r="M150" s="194"/>
      <c r="N150" s="194"/>
      <c r="O150" s="194"/>
      <c r="P150" s="194"/>
      <c r="Q150" s="194"/>
      <c r="R150" s="194"/>
      <c r="S150" s="194"/>
      <c r="T150" s="194"/>
      <c r="U150" s="194"/>
      <c r="V150" s="194"/>
      <c r="W150" s="194"/>
      <c r="X150" s="194"/>
      <c r="Y150" s="194"/>
      <c r="Z150" s="194"/>
      <c r="AA150" s="194"/>
      <c r="AB150" s="194"/>
      <c r="AC150" s="194"/>
      <c r="AD150" s="194"/>
      <c r="AE150" s="194"/>
      <c r="AF150" s="194"/>
    </row>
    <row r="151" spans="1:32" x14ac:dyDescent="0.25">
      <c r="A151" s="194"/>
      <c r="B151" s="316" t="s">
        <v>1766</v>
      </c>
      <c r="C151" s="769">
        <f t="shared" ref="C151:H151" si="12">(C144*C145*C146*C150)/1000/1000</f>
        <v>4.4495406720000004</v>
      </c>
      <c r="D151" s="769">
        <f t="shared" si="12"/>
        <v>6.4800414719999999</v>
      </c>
      <c r="E151" s="769">
        <f t="shared" si="12"/>
        <v>9.6695740800000003</v>
      </c>
      <c r="F151" s="769">
        <f t="shared" si="12"/>
        <v>13.278377664000001</v>
      </c>
      <c r="G151" s="769">
        <f t="shared" si="12"/>
        <v>3.9797815679999999</v>
      </c>
      <c r="H151" s="769">
        <f t="shared" si="12"/>
        <v>81.620807219602995</v>
      </c>
      <c r="I151" s="194"/>
      <c r="J151" s="194"/>
      <c r="K151" s="194"/>
      <c r="L151" s="194"/>
      <c r="M151" s="194"/>
      <c r="N151" s="194"/>
      <c r="O151" s="194"/>
      <c r="P151" s="194"/>
      <c r="Q151" s="194"/>
      <c r="R151" s="194"/>
      <c r="S151" s="194"/>
      <c r="T151" s="194"/>
      <c r="U151" s="194"/>
      <c r="V151" s="194"/>
      <c r="W151" s="194"/>
      <c r="X151" s="194"/>
      <c r="Y151" s="194"/>
      <c r="Z151" s="194"/>
      <c r="AA151" s="194"/>
      <c r="AB151" s="194"/>
      <c r="AC151" s="194"/>
      <c r="AD151" s="194"/>
      <c r="AE151" s="194"/>
      <c r="AF151" s="194"/>
    </row>
    <row r="152" spans="1:32" x14ac:dyDescent="0.25">
      <c r="A152" s="194"/>
      <c r="B152" s="771" t="s">
        <v>1767</v>
      </c>
      <c r="C152" s="774">
        <f t="shared" ref="C152:H152" si="13">C151*$K$6/1000000</f>
        <v>1.2147246034560002E-3</v>
      </c>
      <c r="D152" s="774">
        <f t="shared" si="13"/>
        <v>1.769051321856E-3</v>
      </c>
      <c r="E152" s="774">
        <f t="shared" si="13"/>
        <v>2.6397937238400002E-3</v>
      </c>
      <c r="F152" s="774">
        <f t="shared" si="13"/>
        <v>3.6249971022719999E-3</v>
      </c>
      <c r="G152" s="774">
        <f t="shared" si="13"/>
        <v>1.086480368064E-3</v>
      </c>
      <c r="H152" s="774">
        <f t="shared" si="13"/>
        <v>2.2282480370951617E-2</v>
      </c>
      <c r="I152" s="194"/>
      <c r="J152" s="194"/>
      <c r="K152" s="194"/>
      <c r="L152" s="194"/>
      <c r="M152" s="194"/>
      <c r="N152" s="194"/>
      <c r="O152" s="194"/>
      <c r="P152" s="194"/>
      <c r="Q152" s="194"/>
      <c r="R152" s="194"/>
      <c r="S152" s="194"/>
      <c r="T152" s="194"/>
      <c r="U152" s="194"/>
      <c r="V152" s="194"/>
      <c r="W152" s="194"/>
      <c r="X152" s="194"/>
      <c r="Y152" s="194"/>
      <c r="Z152" s="194"/>
      <c r="AA152" s="194"/>
      <c r="AB152" s="194"/>
      <c r="AC152" s="194"/>
      <c r="AD152" s="194"/>
      <c r="AE152" s="194"/>
      <c r="AF152" s="194"/>
    </row>
    <row r="153" spans="1:32" x14ac:dyDescent="0.25">
      <c r="A153" s="194"/>
      <c r="I153" s="194"/>
      <c r="J153" s="194"/>
      <c r="K153" s="194"/>
      <c r="L153" s="194"/>
      <c r="M153" s="194"/>
      <c r="N153" s="194"/>
      <c r="O153" s="194"/>
      <c r="P153" s="194"/>
      <c r="Q153" s="194"/>
      <c r="R153" s="194"/>
      <c r="S153" s="194"/>
      <c r="T153" s="194"/>
      <c r="U153" s="194"/>
      <c r="V153" s="194"/>
      <c r="W153" s="194"/>
      <c r="X153" s="194"/>
      <c r="Y153" s="194"/>
      <c r="Z153" s="194"/>
      <c r="AA153" s="194"/>
      <c r="AB153" s="194"/>
      <c r="AC153" s="194"/>
      <c r="AD153" s="194"/>
      <c r="AE153" s="194"/>
      <c r="AF153" s="194"/>
    </row>
    <row r="154" spans="1:32" x14ac:dyDescent="0.25">
      <c r="A154" s="194"/>
      <c r="B154" s="718" t="s">
        <v>1770</v>
      </c>
      <c r="I154" s="194"/>
      <c r="J154" s="194"/>
      <c r="K154" s="194"/>
      <c r="L154" s="194"/>
      <c r="M154" s="194"/>
      <c r="N154" s="194"/>
      <c r="O154" s="194"/>
      <c r="P154" s="194"/>
      <c r="Q154" s="194"/>
      <c r="R154" s="194"/>
      <c r="S154" s="194"/>
      <c r="T154" s="194"/>
      <c r="U154" s="194"/>
      <c r="V154" s="194"/>
      <c r="W154" s="194"/>
      <c r="X154" s="194"/>
      <c r="Y154" s="194"/>
      <c r="Z154" s="194"/>
      <c r="AA154" s="194"/>
      <c r="AB154" s="194"/>
      <c r="AC154" s="194"/>
      <c r="AD154" s="194"/>
      <c r="AE154" s="194"/>
      <c r="AF154" s="194"/>
    </row>
    <row r="155" spans="1:32" x14ac:dyDescent="0.25">
      <c r="A155" s="194"/>
      <c r="B155" s="9"/>
      <c r="C155" s="732">
        <v>2006</v>
      </c>
      <c r="D155" s="775">
        <v>2011</v>
      </c>
      <c r="E155" s="775">
        <v>2014</v>
      </c>
      <c r="F155" s="775">
        <v>2017</v>
      </c>
      <c r="G155" s="775">
        <v>2020</v>
      </c>
      <c r="H155" s="732">
        <v>2023</v>
      </c>
      <c r="I155" s="194"/>
      <c r="J155" s="194"/>
      <c r="K155" s="194"/>
      <c r="L155" s="194"/>
      <c r="M155" s="194"/>
      <c r="N155" s="194"/>
      <c r="O155" s="194"/>
      <c r="P155" s="194"/>
      <c r="Q155" s="194"/>
      <c r="R155" s="194"/>
      <c r="S155" s="194"/>
      <c r="T155" s="194"/>
      <c r="U155" s="194"/>
      <c r="V155" s="194"/>
      <c r="W155" s="194"/>
      <c r="X155" s="194"/>
      <c r="Y155" s="194"/>
      <c r="Z155" s="194"/>
      <c r="AA155" s="194"/>
      <c r="AB155" s="194"/>
      <c r="AC155" s="194"/>
      <c r="AD155" s="194"/>
      <c r="AE155" s="194"/>
      <c r="AF155" s="194"/>
    </row>
    <row r="156" spans="1:32" x14ac:dyDescent="0.25">
      <c r="A156" s="194"/>
      <c r="B156" s="316" t="s">
        <v>1764</v>
      </c>
      <c r="C156" s="776">
        <f t="shared" ref="C156:H156" si="14">C136+C149</f>
        <v>3.6210260353939192E-2</v>
      </c>
      <c r="D156" s="776">
        <f t="shared" si="14"/>
        <v>4.9914436779619209E-2</v>
      </c>
      <c r="E156" s="776">
        <f t="shared" si="14"/>
        <v>1.8230589114047999E-2</v>
      </c>
      <c r="F156" s="776">
        <f t="shared" si="14"/>
        <v>2.4048552104870398E-2</v>
      </c>
      <c r="G156" s="776">
        <f t="shared" si="14"/>
        <v>1.1262412341172798E-2</v>
      </c>
      <c r="H156" s="776">
        <f t="shared" si="14"/>
        <v>0.10103530271990287</v>
      </c>
      <c r="I156" s="194"/>
      <c r="J156" s="194"/>
      <c r="K156" s="194"/>
      <c r="L156" s="194"/>
      <c r="M156" s="194"/>
      <c r="N156" s="194"/>
      <c r="O156" s="194"/>
      <c r="P156" s="194"/>
      <c r="Q156" s="194"/>
      <c r="R156" s="194"/>
      <c r="S156" s="194"/>
      <c r="T156" s="194"/>
      <c r="U156" s="194"/>
      <c r="V156" s="194"/>
      <c r="W156" s="194"/>
      <c r="X156" s="194"/>
      <c r="Y156" s="194"/>
      <c r="Z156" s="194"/>
      <c r="AA156" s="194"/>
      <c r="AB156" s="194"/>
      <c r="AC156" s="194"/>
      <c r="AD156" s="194"/>
      <c r="AE156" s="194"/>
      <c r="AF156" s="194"/>
    </row>
    <row r="157" spans="1:32" x14ac:dyDescent="0.25">
      <c r="A157" s="194"/>
      <c r="B157" s="316" t="s">
        <v>1767</v>
      </c>
      <c r="C157" s="776">
        <f t="shared" ref="C157:H157" si="15">C139+C152</f>
        <v>1.0421042669856002E-2</v>
      </c>
      <c r="D157" s="776">
        <f t="shared" si="15"/>
        <v>1.4365002362256001E-2</v>
      </c>
      <c r="E157" s="776">
        <f t="shared" si="15"/>
        <v>5.2466274806400003E-3</v>
      </c>
      <c r="F157" s="776">
        <f t="shared" si="15"/>
        <v>6.9209938062719991E-3</v>
      </c>
      <c r="G157" s="776">
        <f t="shared" si="15"/>
        <v>3.2412382133039999E-3</v>
      </c>
      <c r="H157" s="776">
        <f t="shared" si="15"/>
        <v>2.9077206032609618E-2</v>
      </c>
      <c r="I157" s="194"/>
      <c r="J157" s="194"/>
      <c r="K157" s="194"/>
      <c r="L157" s="194"/>
      <c r="M157" s="194"/>
      <c r="N157" s="194"/>
      <c r="O157" s="194"/>
      <c r="P157" s="194"/>
      <c r="Q157" s="194"/>
      <c r="R157" s="194"/>
      <c r="S157" s="194"/>
      <c r="T157" s="194"/>
      <c r="U157" s="194"/>
      <c r="V157" s="194"/>
      <c r="W157" s="194"/>
      <c r="X157" s="194"/>
      <c r="Y157" s="194"/>
      <c r="Z157" s="194"/>
      <c r="AA157" s="194"/>
      <c r="AB157" s="194"/>
      <c r="AC157" s="194"/>
      <c r="AD157" s="194"/>
      <c r="AE157" s="194"/>
      <c r="AF157" s="194"/>
    </row>
    <row r="158" spans="1:32" x14ac:dyDescent="0.25">
      <c r="A158" s="194"/>
      <c r="B158" s="316" t="s">
        <v>1648</v>
      </c>
      <c r="C158" s="315">
        <f t="shared" ref="C158:H158" si="16">C156+C157</f>
        <v>4.6631303023795194E-2</v>
      </c>
      <c r="D158" s="315">
        <f t="shared" si="16"/>
        <v>6.4279439141875214E-2</v>
      </c>
      <c r="E158" s="315">
        <f t="shared" si="16"/>
        <v>2.3477216594687999E-2</v>
      </c>
      <c r="F158" s="315">
        <f t="shared" si="16"/>
        <v>3.0969545911142399E-2</v>
      </c>
      <c r="G158" s="315">
        <f t="shared" si="16"/>
        <v>1.4503650554476798E-2</v>
      </c>
      <c r="H158" s="315">
        <f t="shared" si="16"/>
        <v>0.13011250875251248</v>
      </c>
      <c r="I158" s="194"/>
      <c r="J158" s="194"/>
      <c r="K158" s="194"/>
      <c r="L158" s="194"/>
      <c r="M158" s="194"/>
      <c r="N158" s="194"/>
      <c r="O158" s="194"/>
      <c r="P158" s="194"/>
      <c r="Q158" s="194"/>
      <c r="R158" s="194"/>
      <c r="S158" s="194"/>
      <c r="T158" s="194"/>
      <c r="U158" s="194"/>
      <c r="V158" s="194"/>
      <c r="W158" s="194"/>
      <c r="X158" s="194"/>
      <c r="Y158" s="194"/>
      <c r="Z158" s="194"/>
      <c r="AA158" s="194"/>
      <c r="AB158" s="194"/>
      <c r="AC158" s="194"/>
      <c r="AD158" s="194"/>
      <c r="AE158" s="194"/>
      <c r="AF158" s="194"/>
    </row>
    <row r="159" spans="1:32" x14ac:dyDescent="0.25">
      <c r="A159" s="194"/>
      <c r="B159" s="194"/>
      <c r="C159" s="777"/>
      <c r="D159" s="777"/>
      <c r="E159" s="777"/>
      <c r="F159" s="777"/>
      <c r="G159" s="777"/>
      <c r="H159" s="777"/>
      <c r="I159" s="194"/>
      <c r="J159" s="194"/>
      <c r="K159" s="194"/>
      <c r="L159" s="194"/>
      <c r="M159" s="194"/>
      <c r="N159" s="194"/>
      <c r="O159" s="194"/>
      <c r="P159" s="194"/>
      <c r="Q159" s="194"/>
      <c r="R159" s="194"/>
      <c r="S159" s="194"/>
      <c r="T159" s="194"/>
      <c r="U159" s="194"/>
      <c r="V159" s="194"/>
      <c r="W159" s="194"/>
      <c r="X159" s="194"/>
      <c r="Y159" s="194"/>
      <c r="Z159" s="194"/>
      <c r="AA159" s="194"/>
      <c r="AB159" s="194"/>
      <c r="AC159" s="194"/>
      <c r="AD159" s="194"/>
      <c r="AE159" s="194"/>
      <c r="AF159" s="194"/>
    </row>
    <row r="160" spans="1:32" x14ac:dyDescent="0.25">
      <c r="A160" s="194"/>
      <c r="B160" s="194"/>
      <c r="C160" s="194"/>
      <c r="D160" s="194"/>
      <c r="E160" s="194"/>
      <c r="F160" s="194"/>
      <c r="G160" s="194"/>
      <c r="H160" s="194"/>
      <c r="I160" s="194"/>
      <c r="J160" s="194"/>
      <c r="K160" s="194"/>
      <c r="L160" s="194"/>
      <c r="M160" s="194"/>
      <c r="N160" s="194"/>
      <c r="O160" s="194"/>
      <c r="P160" s="194"/>
      <c r="Q160" s="194"/>
      <c r="R160" s="194"/>
      <c r="S160" s="194"/>
      <c r="T160" s="194"/>
      <c r="U160" s="194"/>
      <c r="V160" s="194"/>
      <c r="W160" s="194"/>
      <c r="X160" s="194"/>
      <c r="Y160" s="194"/>
      <c r="Z160" s="194"/>
      <c r="AA160" s="194"/>
      <c r="AB160" s="194"/>
      <c r="AC160" s="194"/>
      <c r="AD160" s="194"/>
      <c r="AE160" s="194"/>
      <c r="AF160" s="194"/>
    </row>
    <row r="161" spans="1:32" x14ac:dyDescent="0.25">
      <c r="A161" s="194"/>
      <c r="B161" s="716" t="s">
        <v>455</v>
      </c>
      <c r="C161" s="717"/>
      <c r="D161" s="717"/>
      <c r="E161" s="717"/>
      <c r="F161" s="717"/>
      <c r="G161" s="717"/>
      <c r="H161" s="717"/>
      <c r="I161" s="194"/>
      <c r="J161" s="194"/>
      <c r="K161" s="194"/>
      <c r="L161" s="194"/>
      <c r="M161" s="194"/>
      <c r="N161" s="194"/>
      <c r="O161" s="194"/>
      <c r="P161" s="194"/>
      <c r="Q161" s="194"/>
      <c r="R161" s="194"/>
      <c r="S161" s="194"/>
      <c r="T161" s="194"/>
      <c r="U161" s="194"/>
      <c r="V161" s="194"/>
      <c r="W161" s="194"/>
      <c r="X161" s="194"/>
      <c r="Y161" s="194"/>
      <c r="Z161" s="194"/>
      <c r="AA161" s="194"/>
      <c r="AB161" s="194"/>
      <c r="AC161" s="194"/>
      <c r="AD161" s="194"/>
      <c r="AE161" s="194"/>
      <c r="AF161" s="194"/>
    </row>
    <row r="162" spans="1:32" x14ac:dyDescent="0.25">
      <c r="A162" s="194"/>
      <c r="B162" s="9"/>
      <c r="C162" s="9"/>
      <c r="D162" s="9"/>
      <c r="E162" s="9"/>
      <c r="F162" s="9"/>
      <c r="G162" s="9"/>
      <c r="H162" s="9"/>
      <c r="I162" s="194"/>
      <c r="J162" s="194"/>
      <c r="K162" s="194"/>
      <c r="L162" s="194"/>
      <c r="M162" s="194"/>
      <c r="N162" s="194"/>
      <c r="O162" s="194"/>
      <c r="P162" s="194"/>
      <c r="Q162" s="194"/>
      <c r="R162" s="194"/>
      <c r="S162" s="194"/>
      <c r="T162" s="194"/>
      <c r="U162" s="194"/>
      <c r="V162" s="194"/>
      <c r="W162" s="194"/>
      <c r="X162" s="194"/>
      <c r="Y162" s="194"/>
      <c r="Z162" s="194"/>
      <c r="AA162" s="194"/>
      <c r="AB162" s="194"/>
      <c r="AC162" s="194"/>
      <c r="AD162" s="194"/>
      <c r="AE162" s="194"/>
      <c r="AF162" s="194"/>
    </row>
    <row r="163" spans="1:32" x14ac:dyDescent="0.25">
      <c r="A163" s="194"/>
      <c r="B163" s="754"/>
      <c r="C163" s="754"/>
      <c r="D163" s="754"/>
      <c r="E163" s="754"/>
      <c r="F163" s="755"/>
      <c r="G163" s="755"/>
      <c r="H163" s="9"/>
      <c r="I163" s="194"/>
      <c r="J163" s="194"/>
      <c r="K163" s="194"/>
      <c r="L163" s="194"/>
      <c r="M163" s="194"/>
      <c r="N163" s="194"/>
      <c r="O163" s="194"/>
      <c r="P163" s="194"/>
      <c r="Q163" s="194"/>
      <c r="R163" s="194"/>
      <c r="S163" s="194"/>
      <c r="T163" s="194"/>
      <c r="U163" s="194"/>
      <c r="V163" s="194"/>
      <c r="W163" s="194"/>
      <c r="X163" s="194"/>
      <c r="Y163" s="194"/>
      <c r="Z163" s="194"/>
      <c r="AA163" s="194"/>
      <c r="AB163" s="194"/>
      <c r="AC163" s="194"/>
      <c r="AD163" s="194"/>
      <c r="AE163" s="194"/>
      <c r="AF163" s="194"/>
    </row>
    <row r="164" spans="1:32" x14ac:dyDescent="0.25">
      <c r="A164" s="194"/>
      <c r="B164" s="743" t="s">
        <v>822</v>
      </c>
      <c r="C164" s="778">
        <v>2006</v>
      </c>
      <c r="D164" s="778">
        <v>2011</v>
      </c>
      <c r="E164" s="778">
        <v>2014</v>
      </c>
      <c r="F164" s="778">
        <v>2017</v>
      </c>
      <c r="G164" s="732">
        <v>2020</v>
      </c>
      <c r="H164" s="732">
        <v>2023</v>
      </c>
      <c r="I164" s="194"/>
      <c r="J164" s="194"/>
      <c r="K164" s="194"/>
      <c r="L164" s="194"/>
      <c r="M164" s="194"/>
      <c r="N164" s="194"/>
      <c r="O164" s="194"/>
      <c r="P164" s="194"/>
      <c r="Q164" s="194"/>
      <c r="R164" s="194"/>
      <c r="S164" s="194"/>
      <c r="T164" s="194"/>
      <c r="U164" s="194"/>
      <c r="V164" s="194"/>
      <c r="W164" s="194"/>
      <c r="X164" s="194"/>
      <c r="Y164" s="194"/>
      <c r="Z164" s="194"/>
      <c r="AA164" s="194"/>
      <c r="AB164" s="194"/>
      <c r="AC164" s="194"/>
      <c r="AD164" s="194"/>
      <c r="AE164" s="194"/>
      <c r="AF164" s="194"/>
    </row>
    <row r="165" spans="1:32" x14ac:dyDescent="0.25">
      <c r="A165" s="194"/>
      <c r="B165" s="756" t="s">
        <v>1771</v>
      </c>
      <c r="C165" s="779">
        <v>-0.41589139400000003</v>
      </c>
      <c r="D165" s="779">
        <v>-0.58079230100000001</v>
      </c>
      <c r="E165" s="779">
        <v>-0.50026980099999996</v>
      </c>
      <c r="F165" s="779">
        <v>-0.60005773100000004</v>
      </c>
      <c r="G165" s="780">
        <v>-0.69987347499999997</v>
      </c>
      <c r="H165" s="780">
        <v>-0.936648598</v>
      </c>
      <c r="I165" s="194"/>
      <c r="J165" s="194"/>
      <c r="K165" s="194"/>
      <c r="L165" s="194"/>
      <c r="M165" s="194"/>
      <c r="N165" s="194"/>
      <c r="O165" s="194"/>
      <c r="P165" s="194"/>
      <c r="Q165" s="194"/>
      <c r="R165" s="194"/>
      <c r="S165" s="194"/>
      <c r="T165" s="194"/>
      <c r="U165" s="194"/>
      <c r="V165" s="194"/>
      <c r="W165" s="194"/>
      <c r="X165" s="194"/>
      <c r="Y165" s="194"/>
      <c r="Z165" s="194"/>
      <c r="AA165" s="194"/>
      <c r="AB165" s="194"/>
      <c r="AC165" s="194"/>
      <c r="AD165" s="194"/>
      <c r="AE165" s="194"/>
      <c r="AF165" s="194"/>
    </row>
    <row r="166" spans="1:32" x14ac:dyDescent="0.25">
      <c r="A166" s="194"/>
      <c r="B166" s="1" t="s">
        <v>1772</v>
      </c>
      <c r="C166" s="9"/>
      <c r="D166" s="9"/>
      <c r="E166" s="9"/>
      <c r="F166" s="9"/>
      <c r="G166" s="9"/>
      <c r="H166" s="9"/>
      <c r="I166" s="194"/>
      <c r="J166" s="194"/>
      <c r="K166" s="194"/>
      <c r="L166" s="194"/>
      <c r="M166" s="194"/>
      <c r="N166" s="194"/>
      <c r="O166" s="194"/>
      <c r="P166" s="194"/>
      <c r="Q166" s="194"/>
      <c r="R166" s="194"/>
      <c r="S166" s="194"/>
      <c r="T166" s="194"/>
      <c r="U166" s="194"/>
      <c r="V166" s="194"/>
      <c r="W166" s="194"/>
      <c r="X166" s="194"/>
      <c r="Y166" s="194"/>
      <c r="Z166" s="194"/>
      <c r="AA166" s="194"/>
      <c r="AB166" s="194"/>
      <c r="AC166" s="194"/>
      <c r="AD166" s="194"/>
      <c r="AE166" s="194"/>
      <c r="AF166" s="194"/>
    </row>
    <row r="167" spans="1:32" x14ac:dyDescent="0.25">
      <c r="A167" s="194"/>
      <c r="B167" s="194"/>
      <c r="C167" s="9"/>
      <c r="D167" s="9"/>
      <c r="E167" s="9"/>
      <c r="F167" s="9"/>
      <c r="G167" s="9"/>
      <c r="H167" s="9"/>
      <c r="I167" s="748"/>
      <c r="J167" s="194"/>
      <c r="K167" s="194"/>
      <c r="L167" s="194"/>
      <c r="M167" s="194"/>
      <c r="N167" s="194"/>
      <c r="O167" s="194"/>
      <c r="P167" s="194"/>
      <c r="Q167" s="194"/>
      <c r="R167" s="194"/>
      <c r="S167" s="194"/>
      <c r="T167" s="194"/>
      <c r="U167" s="194"/>
      <c r="V167" s="194"/>
      <c r="W167" s="194"/>
      <c r="X167" s="194"/>
      <c r="Y167" s="194"/>
      <c r="Z167" s="194"/>
      <c r="AA167" s="194"/>
      <c r="AB167" s="194"/>
      <c r="AC167" s="194"/>
      <c r="AD167" s="194"/>
      <c r="AE167" s="194"/>
      <c r="AF167" s="194"/>
    </row>
    <row r="168" spans="1:32" x14ac:dyDescent="0.25">
      <c r="A168" s="194"/>
      <c r="B168" s="194"/>
      <c r="C168" s="194"/>
      <c r="D168" s="194"/>
      <c r="E168" s="194"/>
      <c r="F168" s="194"/>
      <c r="G168" s="194"/>
      <c r="H168" s="194"/>
      <c r="I168" s="194"/>
      <c r="J168" s="194"/>
      <c r="K168" s="194"/>
      <c r="L168" s="194"/>
      <c r="M168" s="194"/>
      <c r="N168" s="194"/>
      <c r="O168" s="194"/>
      <c r="P168" s="194"/>
      <c r="Q168" s="194"/>
      <c r="R168" s="194"/>
      <c r="S168" s="194"/>
      <c r="T168" s="194"/>
      <c r="U168" s="194"/>
      <c r="V168" s="194"/>
      <c r="W168" s="194"/>
      <c r="X168" s="194"/>
      <c r="Y168" s="194"/>
      <c r="Z168" s="194"/>
      <c r="AA168" s="194"/>
      <c r="AB168" s="194"/>
      <c r="AC168" s="194"/>
      <c r="AD168" s="194"/>
      <c r="AE168" s="194"/>
      <c r="AF168" s="194"/>
    </row>
    <row r="169" spans="1:32" x14ac:dyDescent="0.25">
      <c r="A169" s="194"/>
      <c r="B169" s="716" t="s">
        <v>1773</v>
      </c>
      <c r="C169" s="717"/>
      <c r="D169" s="717"/>
      <c r="E169" s="717"/>
      <c r="F169" s="717"/>
      <c r="G169" s="717"/>
      <c r="H169" s="717"/>
      <c r="I169" s="717"/>
      <c r="J169" s="717"/>
      <c r="K169" s="717"/>
      <c r="L169" s="717"/>
      <c r="M169" s="717"/>
      <c r="N169" s="717"/>
      <c r="O169" s="717"/>
      <c r="P169" s="717"/>
      <c r="Q169" s="717"/>
      <c r="R169" s="717"/>
      <c r="S169" s="717"/>
      <c r="T169" s="194"/>
      <c r="U169" s="194"/>
      <c r="V169" s="194"/>
      <c r="W169" s="194"/>
      <c r="X169" s="194"/>
      <c r="Y169" s="194"/>
      <c r="Z169" s="194"/>
      <c r="AA169" s="194"/>
      <c r="AB169" s="194"/>
      <c r="AC169" s="194"/>
      <c r="AD169" s="194"/>
      <c r="AE169" s="194"/>
      <c r="AF169" s="194"/>
    </row>
    <row r="170" spans="1:32" x14ac:dyDescent="0.25">
      <c r="A170" s="194"/>
      <c r="B170" s="194"/>
      <c r="C170" s="194"/>
      <c r="D170" s="194"/>
      <c r="E170" s="194"/>
      <c r="F170" s="194"/>
      <c r="G170" s="194"/>
      <c r="H170" s="194"/>
      <c r="I170" s="194"/>
      <c r="J170" s="194"/>
      <c r="K170" s="194"/>
      <c r="L170" s="194"/>
      <c r="M170" s="194"/>
      <c r="N170" s="194"/>
      <c r="O170" s="194"/>
      <c r="P170" s="194"/>
      <c r="Q170" s="194"/>
      <c r="R170" s="194"/>
      <c r="S170" s="194"/>
      <c r="T170" s="194"/>
      <c r="U170" s="194"/>
      <c r="V170" s="194"/>
      <c r="W170" s="194"/>
      <c r="X170" s="194"/>
      <c r="Y170" s="194"/>
      <c r="Z170" s="194"/>
      <c r="AA170" s="194"/>
      <c r="AB170" s="194"/>
      <c r="AC170" s="194"/>
      <c r="AD170" s="194"/>
      <c r="AE170" s="194"/>
      <c r="AF170" s="194"/>
    </row>
    <row r="171" spans="1:32" x14ac:dyDescent="0.25">
      <c r="A171" s="194"/>
      <c r="B171" s="718" t="s">
        <v>1774</v>
      </c>
      <c r="C171" s="194"/>
      <c r="D171" s="194"/>
      <c r="E171" s="194"/>
      <c r="F171" s="194"/>
      <c r="G171" s="194"/>
      <c r="H171" s="194"/>
      <c r="I171" s="194"/>
      <c r="J171" s="194"/>
      <c r="K171" s="194"/>
      <c r="L171" s="194"/>
      <c r="M171" s="194"/>
      <c r="N171" s="194"/>
      <c r="O171" s="194"/>
      <c r="P171" s="194"/>
      <c r="Q171" s="194"/>
      <c r="R171" s="194"/>
      <c r="S171" s="194"/>
      <c r="T171" s="194"/>
      <c r="U171" s="194"/>
      <c r="V171" s="194"/>
      <c r="W171" s="194"/>
      <c r="X171" s="194"/>
      <c r="Y171" s="194"/>
      <c r="Z171" s="194"/>
      <c r="AA171" s="194"/>
      <c r="AB171" s="194"/>
      <c r="AC171" s="194"/>
      <c r="AD171" s="194"/>
      <c r="AE171" s="194"/>
      <c r="AF171" s="194"/>
    </row>
    <row r="172" spans="1:32" x14ac:dyDescent="0.25">
      <c r="A172" s="194"/>
      <c r="B172" s="9" t="s">
        <v>1775</v>
      </c>
      <c r="D172" s="768"/>
      <c r="E172" s="768"/>
      <c r="F172" s="768"/>
      <c r="G172" s="768"/>
      <c r="H172" s="768"/>
      <c r="I172" s="768"/>
      <c r="J172" s="768"/>
      <c r="K172" s="194"/>
      <c r="L172" s="194"/>
      <c r="M172" s="194"/>
      <c r="N172" s="194"/>
      <c r="O172" s="194"/>
      <c r="P172" s="194"/>
      <c r="Q172" s="194"/>
      <c r="R172" s="194"/>
      <c r="S172" s="194"/>
      <c r="T172" s="194"/>
      <c r="U172" s="194"/>
      <c r="V172" s="194"/>
      <c r="W172" s="194"/>
      <c r="X172" s="194"/>
      <c r="Y172" s="194"/>
      <c r="Z172" s="194"/>
      <c r="AA172" s="194"/>
      <c r="AB172" s="194"/>
      <c r="AC172" s="194"/>
      <c r="AD172" s="194"/>
      <c r="AE172" s="194"/>
      <c r="AF172" s="194"/>
    </row>
    <row r="173" spans="1:32" x14ac:dyDescent="0.25">
      <c r="A173" s="194"/>
      <c r="B173" s="9" t="s">
        <v>1776</v>
      </c>
      <c r="D173" s="768"/>
      <c r="E173" s="768"/>
      <c r="F173" s="768"/>
      <c r="G173" s="768"/>
      <c r="H173" s="768"/>
      <c r="I173" s="768"/>
      <c r="J173" s="768"/>
      <c r="K173" s="194"/>
      <c r="L173" s="194"/>
      <c r="M173" s="194"/>
      <c r="N173" s="194"/>
      <c r="O173" s="194"/>
      <c r="P173" s="194"/>
      <c r="Q173" s="194"/>
      <c r="R173" s="194"/>
      <c r="S173" s="194"/>
      <c r="T173" s="194"/>
      <c r="U173" s="194"/>
      <c r="V173" s="194"/>
      <c r="W173" s="194"/>
      <c r="X173" s="194"/>
      <c r="Y173" s="194"/>
      <c r="Z173" s="194"/>
      <c r="AA173" s="194"/>
      <c r="AB173" s="194"/>
      <c r="AC173" s="194"/>
      <c r="AD173" s="194"/>
      <c r="AE173" s="194"/>
      <c r="AF173" s="194"/>
    </row>
    <row r="174" spans="1:32" x14ac:dyDescent="0.25">
      <c r="A174" s="194"/>
      <c r="B174" s="9"/>
      <c r="D174" s="781" t="s">
        <v>1777</v>
      </c>
      <c r="E174" s="782"/>
      <c r="F174" s="782"/>
      <c r="G174" s="782"/>
      <c r="H174" s="782"/>
      <c r="I174" s="782"/>
      <c r="J174" s="782"/>
      <c r="K174" s="782"/>
      <c r="L174" s="783"/>
      <c r="M174" s="194"/>
      <c r="N174" s="194"/>
      <c r="O174" s="194"/>
      <c r="P174" s="194"/>
      <c r="Q174" s="194"/>
      <c r="R174" s="194"/>
      <c r="S174" s="194"/>
      <c r="T174" s="194"/>
      <c r="U174" s="194"/>
      <c r="V174" s="194"/>
      <c r="W174" s="194"/>
      <c r="X174" s="194"/>
      <c r="Y174" s="194"/>
      <c r="Z174" s="194"/>
      <c r="AA174" s="194"/>
      <c r="AB174" s="194"/>
      <c r="AC174" s="194"/>
      <c r="AD174" s="194"/>
      <c r="AE174" s="194"/>
      <c r="AF174" s="194"/>
    </row>
    <row r="175" spans="1:32" x14ac:dyDescent="0.25">
      <c r="A175" s="194"/>
      <c r="B175" s="784" t="s">
        <v>1778</v>
      </c>
      <c r="C175" s="785"/>
      <c r="D175" s="786">
        <v>2006</v>
      </c>
      <c r="E175" s="786">
        <v>2010</v>
      </c>
      <c r="F175" s="786">
        <v>2011</v>
      </c>
      <c r="G175" s="786">
        <v>2014</v>
      </c>
      <c r="H175" s="786">
        <v>2016</v>
      </c>
      <c r="I175" s="786">
        <v>2017</v>
      </c>
      <c r="J175" s="786">
        <v>2020</v>
      </c>
      <c r="K175" s="732">
        <v>2021</v>
      </c>
      <c r="L175" s="732">
        <v>2023</v>
      </c>
      <c r="M175" s="748"/>
      <c r="N175" s="748"/>
      <c r="O175" s="748"/>
      <c r="P175" s="748"/>
      <c r="Q175" s="194"/>
      <c r="R175" s="194"/>
      <c r="S175" s="194"/>
      <c r="T175" s="194"/>
      <c r="U175" s="194"/>
      <c r="V175" s="194"/>
      <c r="W175" s="194"/>
      <c r="X175" s="194"/>
      <c r="Y175" s="194"/>
      <c r="Z175" s="194"/>
      <c r="AA175" s="194"/>
      <c r="AB175" s="194"/>
      <c r="AC175" s="194"/>
      <c r="AD175" s="194"/>
      <c r="AE175" s="194"/>
      <c r="AF175" s="194"/>
    </row>
    <row r="176" spans="1:32" x14ac:dyDescent="0.25">
      <c r="A176" s="194"/>
      <c r="B176" s="316" t="s">
        <v>1779</v>
      </c>
      <c r="C176" s="785"/>
      <c r="D176" s="787">
        <v>16489</v>
      </c>
      <c r="E176" s="787">
        <v>16497</v>
      </c>
      <c r="F176" s="788">
        <f t="shared" ref="F176:G176" si="17">($H176-$E176)/($H$175-$E$175)*(F$175-$E$175)+$E176</f>
        <v>16480.833333333332</v>
      </c>
      <c r="G176" s="788">
        <f t="shared" si="17"/>
        <v>16432.333333333332</v>
      </c>
      <c r="H176" s="787">
        <v>16400</v>
      </c>
      <c r="I176" s="788">
        <f t="shared" ref="I176:J176" si="18">($K176-$H176)/($K$175-$H$175)*(I$175-$H$175)+$H176</f>
        <v>16411.599999999999</v>
      </c>
      <c r="J176" s="788">
        <f t="shared" si="18"/>
        <v>16446.400000000001</v>
      </c>
      <c r="K176" s="787">
        <v>16458</v>
      </c>
      <c r="L176" s="788">
        <f t="shared" ref="L176:L177" si="19">K176</f>
        <v>16458</v>
      </c>
      <c r="M176" s="789"/>
      <c r="N176" s="789"/>
      <c r="O176" s="789"/>
      <c r="P176" s="789"/>
      <c r="Q176" s="194"/>
      <c r="R176" s="194"/>
      <c r="S176" s="194"/>
      <c r="T176" s="194"/>
      <c r="U176" s="194"/>
      <c r="V176" s="194"/>
      <c r="W176" s="194"/>
      <c r="X176" s="194"/>
      <c r="Y176" s="194"/>
      <c r="Z176" s="194"/>
      <c r="AA176" s="194"/>
      <c r="AB176" s="194"/>
      <c r="AC176" s="194"/>
      <c r="AD176" s="194"/>
      <c r="AE176" s="194"/>
      <c r="AF176" s="194"/>
    </row>
    <row r="177" spans="1:32" x14ac:dyDescent="0.25">
      <c r="A177" s="194"/>
      <c r="B177" s="771" t="s">
        <v>1780</v>
      </c>
      <c r="C177" s="790"/>
      <c r="D177" s="791">
        <v>158143</v>
      </c>
      <c r="E177" s="791">
        <v>159387</v>
      </c>
      <c r="F177" s="792">
        <f t="shared" ref="F177:G177" si="20">($H177-$E177)/($H$175-$E$175)*(F$175-$E$175)+$E177</f>
        <v>159414</v>
      </c>
      <c r="G177" s="792">
        <f t="shared" si="20"/>
        <v>159495</v>
      </c>
      <c r="H177" s="791">
        <v>159549</v>
      </c>
      <c r="I177" s="792">
        <f t="shared" ref="I177:J177" si="21">($K177-$H177)/($K$175-$H$175)*(I$175-$H$175)+$H177</f>
        <v>159457.60000000001</v>
      </c>
      <c r="J177" s="792">
        <f t="shared" si="21"/>
        <v>159183.4</v>
      </c>
      <c r="K177" s="791">
        <v>159092</v>
      </c>
      <c r="L177" s="792">
        <f t="shared" si="19"/>
        <v>159092</v>
      </c>
      <c r="M177" s="789"/>
      <c r="N177" s="789"/>
      <c r="O177" s="789"/>
      <c r="P177" s="789"/>
      <c r="Q177" s="748"/>
      <c r="S177" s="194"/>
      <c r="T177" s="194"/>
      <c r="U177" s="194"/>
      <c r="V177" s="194"/>
      <c r="W177" s="194"/>
      <c r="X177" s="194"/>
      <c r="Y177" s="194"/>
      <c r="Z177" s="194"/>
      <c r="AA177" s="194"/>
      <c r="AB177" s="194"/>
      <c r="AC177" s="194"/>
      <c r="AD177" s="194"/>
      <c r="AE177" s="194"/>
      <c r="AF177" s="194"/>
    </row>
    <row r="178" spans="1:32" x14ac:dyDescent="0.25">
      <c r="A178" s="194"/>
      <c r="B178" s="753" t="s">
        <v>1781</v>
      </c>
      <c r="C178" s="793"/>
      <c r="D178" s="787">
        <v>13246</v>
      </c>
      <c r="E178" s="788"/>
      <c r="F178" s="787">
        <v>11642</v>
      </c>
      <c r="G178" s="787">
        <v>10060</v>
      </c>
      <c r="H178" s="788"/>
      <c r="I178" s="787">
        <v>13115</v>
      </c>
      <c r="J178" s="787">
        <v>12204</v>
      </c>
      <c r="K178" s="788"/>
      <c r="L178" s="787">
        <v>12094</v>
      </c>
      <c r="M178" s="789"/>
      <c r="N178" s="789"/>
      <c r="O178" s="789"/>
      <c r="P178" s="789"/>
      <c r="Q178" s="789"/>
      <c r="S178" s="194"/>
      <c r="T178" s="194"/>
      <c r="U178" s="194"/>
      <c r="V178" s="194"/>
      <c r="W178" s="194"/>
      <c r="X178" s="194"/>
      <c r="Y178" s="194"/>
      <c r="Z178" s="194"/>
      <c r="AA178" s="194"/>
      <c r="AB178" s="194"/>
      <c r="AC178" s="194"/>
      <c r="AD178" s="194"/>
      <c r="AE178" s="194"/>
      <c r="AF178" s="194"/>
    </row>
    <row r="179" spans="1:32" x14ac:dyDescent="0.25">
      <c r="A179" s="194"/>
      <c r="B179" s="316" t="s">
        <v>1782</v>
      </c>
      <c r="C179" s="785"/>
      <c r="D179" s="787">
        <v>7240</v>
      </c>
      <c r="E179" s="788"/>
      <c r="F179" s="787">
        <v>4372</v>
      </c>
      <c r="G179" s="787">
        <v>3599</v>
      </c>
      <c r="H179" s="788"/>
      <c r="I179" s="787">
        <v>5465</v>
      </c>
      <c r="J179" s="787">
        <v>5422</v>
      </c>
      <c r="K179" s="788"/>
      <c r="L179" s="787">
        <v>1298</v>
      </c>
      <c r="M179" s="789"/>
      <c r="N179" s="789"/>
      <c r="O179" s="789"/>
      <c r="P179" s="789"/>
      <c r="Q179" s="789"/>
      <c r="S179" s="194"/>
      <c r="T179" s="194"/>
      <c r="U179" s="194"/>
      <c r="V179" s="194"/>
      <c r="W179" s="194"/>
      <c r="X179" s="194"/>
      <c r="Y179" s="194"/>
      <c r="Z179" s="194"/>
      <c r="AA179" s="194"/>
      <c r="AB179" s="194"/>
      <c r="AC179" s="194"/>
      <c r="AD179" s="194"/>
      <c r="AE179" s="194"/>
      <c r="AF179" s="194"/>
    </row>
    <row r="180" spans="1:32" x14ac:dyDescent="0.25">
      <c r="A180" s="194"/>
      <c r="B180" s="316" t="s">
        <v>1783</v>
      </c>
      <c r="C180" s="785"/>
      <c r="D180" s="787">
        <v>12084</v>
      </c>
      <c r="E180" s="788"/>
      <c r="F180" s="787">
        <v>17630</v>
      </c>
      <c r="G180" s="787">
        <v>25740</v>
      </c>
      <c r="H180" s="788"/>
      <c r="I180" s="787">
        <v>43776</v>
      </c>
      <c r="J180" s="787">
        <v>17639</v>
      </c>
      <c r="K180" s="788"/>
      <c r="L180" s="787">
        <v>25007</v>
      </c>
      <c r="M180" s="789"/>
      <c r="N180" s="789"/>
      <c r="O180" s="789"/>
      <c r="P180" s="789"/>
      <c r="Q180" s="789"/>
      <c r="S180" s="194"/>
      <c r="T180" s="194"/>
      <c r="U180" s="194"/>
      <c r="V180" s="194"/>
      <c r="W180" s="194"/>
      <c r="X180" s="194"/>
      <c r="Y180" s="194"/>
      <c r="Z180" s="194"/>
      <c r="AA180" s="194"/>
      <c r="AB180" s="194"/>
      <c r="AC180" s="194"/>
      <c r="AD180" s="194"/>
      <c r="AE180" s="194"/>
      <c r="AF180" s="194"/>
    </row>
    <row r="181" spans="1:32" x14ac:dyDescent="0.25">
      <c r="A181" s="194"/>
      <c r="B181" s="771" t="s">
        <v>1784</v>
      </c>
      <c r="C181" s="790"/>
      <c r="D181" s="794">
        <v>7368</v>
      </c>
      <c r="E181" s="795"/>
      <c r="F181" s="794">
        <v>5673</v>
      </c>
      <c r="G181" s="794">
        <v>6492</v>
      </c>
      <c r="H181" s="795"/>
      <c r="I181" s="794">
        <v>5642</v>
      </c>
      <c r="J181" s="794">
        <v>5337</v>
      </c>
      <c r="K181" s="795"/>
      <c r="L181" s="794">
        <v>6735</v>
      </c>
      <c r="M181" s="789"/>
      <c r="N181" s="789"/>
      <c r="O181" s="789"/>
      <c r="P181" s="789"/>
      <c r="Q181" s="789"/>
      <c r="S181" s="194"/>
      <c r="T181" s="194"/>
      <c r="U181" s="194"/>
      <c r="V181" s="194"/>
      <c r="W181" s="194"/>
      <c r="X181" s="194"/>
      <c r="Y181" s="194"/>
      <c r="Z181" s="194"/>
      <c r="AA181" s="194"/>
      <c r="AB181" s="194"/>
      <c r="AC181" s="194"/>
      <c r="AD181" s="194"/>
      <c r="AE181" s="194"/>
      <c r="AF181" s="194"/>
    </row>
    <row r="182" spans="1:32" x14ac:dyDescent="0.25">
      <c r="A182" s="194"/>
      <c r="B182" s="753" t="s">
        <v>1785</v>
      </c>
      <c r="C182" s="793"/>
      <c r="D182" s="796">
        <f>D176+D177</f>
        <v>174632</v>
      </c>
      <c r="E182" s="797"/>
      <c r="F182" s="796">
        <f t="shared" ref="F182:G182" si="22">F176+F177</f>
        <v>175894.83333333334</v>
      </c>
      <c r="G182" s="796">
        <f t="shared" si="22"/>
        <v>175927.33333333334</v>
      </c>
      <c r="H182" s="797"/>
      <c r="I182" s="796">
        <f t="shared" ref="I182:J182" si="23">I176+I177</f>
        <v>175869.2</v>
      </c>
      <c r="J182" s="796">
        <f t="shared" si="23"/>
        <v>175629.8</v>
      </c>
      <c r="K182" s="797"/>
      <c r="L182" s="796">
        <f>L176+L177</f>
        <v>175550</v>
      </c>
      <c r="M182" s="194"/>
      <c r="N182" s="194"/>
      <c r="O182" s="194"/>
      <c r="P182" s="194"/>
      <c r="Q182" s="194"/>
      <c r="R182" s="194"/>
      <c r="S182" s="194"/>
      <c r="T182" s="194"/>
      <c r="U182" s="194"/>
      <c r="V182" s="194"/>
      <c r="W182" s="194"/>
      <c r="X182" s="194"/>
      <c r="Y182" s="194"/>
      <c r="Z182" s="194"/>
      <c r="AA182" s="194"/>
      <c r="AB182" s="194"/>
      <c r="AC182" s="194"/>
      <c r="AD182" s="194"/>
      <c r="AE182" s="194"/>
      <c r="AF182" s="194"/>
    </row>
    <row r="183" spans="1:32" x14ac:dyDescent="0.25">
      <c r="A183" s="194"/>
      <c r="B183" s="316" t="s">
        <v>1786</v>
      </c>
      <c r="C183" s="785"/>
      <c r="D183" s="787">
        <f>SUM(D178:D181)</f>
        <v>39938</v>
      </c>
      <c r="E183" s="788"/>
      <c r="F183" s="787">
        <f t="shared" ref="F183:G183" si="24">SUM(F178:F181)</f>
        <v>39317</v>
      </c>
      <c r="G183" s="787">
        <f t="shared" si="24"/>
        <v>45891</v>
      </c>
      <c r="H183" s="788"/>
      <c r="I183" s="787">
        <f t="shared" ref="I183:J183" si="25">SUM(I178:I181)</f>
        <v>67998</v>
      </c>
      <c r="J183" s="787">
        <f t="shared" si="25"/>
        <v>40602</v>
      </c>
      <c r="K183" s="788"/>
      <c r="L183" s="787">
        <f>SUM(L178:L181)</f>
        <v>45134</v>
      </c>
      <c r="M183" s="194"/>
      <c r="N183" s="194"/>
      <c r="O183" s="194"/>
      <c r="P183" s="194"/>
      <c r="Q183" s="194"/>
      <c r="R183" s="194"/>
      <c r="S183" s="194"/>
      <c r="T183" s="194"/>
      <c r="U183" s="194"/>
      <c r="V183" s="194"/>
      <c r="W183" s="194"/>
      <c r="X183" s="194"/>
      <c r="Y183" s="194"/>
      <c r="Z183" s="194"/>
      <c r="AA183" s="194"/>
      <c r="AB183" s="194"/>
      <c r="AC183" s="194"/>
      <c r="AD183" s="194"/>
      <c r="AE183" s="194"/>
      <c r="AF183" s="194"/>
    </row>
    <row r="184" spans="1:32" x14ac:dyDescent="0.25">
      <c r="A184" s="194"/>
      <c r="B184" s="194"/>
      <c r="C184" s="194"/>
      <c r="D184" s="194"/>
      <c r="E184" s="194"/>
      <c r="F184" s="194"/>
      <c r="G184" s="194"/>
      <c r="H184" s="194"/>
      <c r="I184" s="194"/>
      <c r="J184" s="194"/>
      <c r="K184" s="194"/>
      <c r="L184" s="194"/>
      <c r="M184" s="194"/>
      <c r="N184" s="194"/>
      <c r="O184" s="194"/>
      <c r="P184" s="194"/>
      <c r="Q184" s="194"/>
      <c r="R184" s="194"/>
      <c r="S184" s="194"/>
      <c r="T184" s="194"/>
      <c r="U184" s="194"/>
      <c r="V184" s="194"/>
      <c r="W184" s="194"/>
      <c r="X184" s="194"/>
      <c r="Y184" s="194"/>
      <c r="Z184" s="194"/>
      <c r="AA184" s="194"/>
      <c r="AB184" s="194"/>
      <c r="AC184" s="194"/>
      <c r="AD184" s="194"/>
      <c r="AE184" s="194"/>
      <c r="AF184" s="194"/>
    </row>
    <row r="185" spans="1:32" x14ac:dyDescent="0.25">
      <c r="A185" s="194"/>
      <c r="B185" s="194"/>
      <c r="C185" s="1"/>
      <c r="D185" s="781" t="s">
        <v>1787</v>
      </c>
      <c r="E185" s="782"/>
      <c r="F185" s="782"/>
      <c r="G185" s="782"/>
      <c r="H185" s="782"/>
      <c r="I185" s="782"/>
      <c r="J185" s="782"/>
      <c r="K185" s="782"/>
      <c r="L185" s="783"/>
      <c r="M185" s="194"/>
      <c r="N185" s="194"/>
      <c r="O185" s="194"/>
      <c r="P185" s="194"/>
      <c r="Q185" s="194"/>
      <c r="R185" s="194"/>
      <c r="S185" s="194"/>
      <c r="T185" s="194"/>
      <c r="U185" s="194"/>
      <c r="V185" s="194"/>
      <c r="W185" s="194"/>
      <c r="X185" s="194"/>
      <c r="Y185" s="194"/>
      <c r="Z185" s="194"/>
      <c r="AA185" s="194"/>
      <c r="AB185" s="194"/>
      <c r="AC185" s="194"/>
      <c r="AD185" s="194"/>
      <c r="AE185" s="194"/>
      <c r="AF185" s="194"/>
    </row>
    <row r="186" spans="1:32" x14ac:dyDescent="0.25">
      <c r="A186" s="194"/>
      <c r="B186" s="784" t="s">
        <v>1778</v>
      </c>
      <c r="C186" s="313" t="s">
        <v>1788</v>
      </c>
      <c r="D186" s="786">
        <v>2006</v>
      </c>
      <c r="E186" s="786"/>
      <c r="F186" s="786">
        <v>2011</v>
      </c>
      <c r="G186" s="786">
        <v>2014</v>
      </c>
      <c r="H186" s="786"/>
      <c r="I186" s="786">
        <v>2017</v>
      </c>
      <c r="J186" s="786">
        <v>2020</v>
      </c>
      <c r="K186" s="732"/>
      <c r="L186" s="732">
        <v>2023</v>
      </c>
      <c r="M186" s="194"/>
      <c r="N186" s="194"/>
      <c r="O186" s="194"/>
      <c r="P186" s="194"/>
      <c r="Q186" s="194"/>
      <c r="R186" s="194"/>
      <c r="S186" s="194"/>
      <c r="T186" s="194"/>
      <c r="U186" s="194"/>
      <c r="V186" s="194"/>
      <c r="W186" s="194"/>
      <c r="X186" s="194"/>
      <c r="Y186" s="194"/>
      <c r="Z186" s="194"/>
      <c r="AA186" s="194"/>
      <c r="AB186" s="194"/>
      <c r="AC186" s="194"/>
      <c r="AD186" s="194"/>
      <c r="AE186" s="194"/>
      <c r="AF186" s="194"/>
    </row>
    <row r="187" spans="1:32" x14ac:dyDescent="0.25">
      <c r="A187" s="194"/>
      <c r="B187" s="316" t="s">
        <v>1779</v>
      </c>
      <c r="C187" s="798">
        <f t="shared" ref="C187:C188" si="26">-2.067/2.47105*44/12</f>
        <v>-3.0671172173772288</v>
      </c>
      <c r="D187" s="787">
        <f t="shared" ref="D187:D192" si="27">$C187*D176</f>
        <v>-50573.695797333123</v>
      </c>
      <c r="E187" s="787"/>
      <c r="F187" s="787">
        <f t="shared" ref="F187:G187" si="28">$C187*F176</f>
        <v>-50548.647673391206</v>
      </c>
      <c r="G187" s="787">
        <f t="shared" si="28"/>
        <v>-50399.892488348414</v>
      </c>
      <c r="H187" s="787"/>
      <c r="I187" s="787">
        <f t="shared" ref="I187:J187" si="29">$C187*I176</f>
        <v>-50336.300924708121</v>
      </c>
      <c r="J187" s="787">
        <f t="shared" si="29"/>
        <v>-50443.036603872861</v>
      </c>
      <c r="K187" s="787"/>
      <c r="L187" s="787">
        <f t="shared" ref="L187:L192" si="30">$C187*L176</f>
        <v>-50478.615163594433</v>
      </c>
      <c r="M187" s="194"/>
      <c r="N187" s="194"/>
      <c r="O187" s="194"/>
      <c r="P187" s="194"/>
      <c r="Q187" s="194"/>
      <c r="R187" s="194"/>
      <c r="S187" s="194"/>
      <c r="T187" s="194"/>
      <c r="U187" s="194"/>
      <c r="V187" s="194"/>
      <c r="W187" s="194"/>
      <c r="X187" s="194"/>
      <c r="Y187" s="194"/>
      <c r="Z187" s="194"/>
      <c r="AA187" s="194"/>
      <c r="AB187" s="194"/>
      <c r="AC187" s="194"/>
      <c r="AD187" s="194"/>
      <c r="AE187" s="194"/>
      <c r="AF187" s="194"/>
    </row>
    <row r="188" spans="1:32" x14ac:dyDescent="0.25">
      <c r="A188" s="194"/>
      <c r="B188" s="771" t="s">
        <v>1780</v>
      </c>
      <c r="C188" s="799">
        <f t="shared" si="26"/>
        <v>-3.0671172173772288</v>
      </c>
      <c r="D188" s="791">
        <f t="shared" si="27"/>
        <v>-485043.1181076871</v>
      </c>
      <c r="E188" s="791"/>
      <c r="F188" s="791">
        <f t="shared" ref="F188:G188" si="31">$C188*F177</f>
        <v>-488941.42409097357</v>
      </c>
      <c r="G188" s="791">
        <f t="shared" si="31"/>
        <v>-489189.8605855811</v>
      </c>
      <c r="H188" s="791"/>
      <c r="I188" s="791">
        <f t="shared" ref="I188:J188" si="32">$C188*I177</f>
        <v>-489075.15040165122</v>
      </c>
      <c r="J188" s="791">
        <f t="shared" si="32"/>
        <v>-488234.14686064632</v>
      </c>
      <c r="K188" s="791"/>
      <c r="L188" s="791">
        <f t="shared" si="30"/>
        <v>-487953.81234697805</v>
      </c>
      <c r="M188" s="194"/>
      <c r="N188" s="194"/>
      <c r="O188" s="194"/>
      <c r="P188" s="194"/>
      <c r="Q188" s="194"/>
      <c r="R188" s="194"/>
      <c r="S188" s="194"/>
      <c r="T188" s="194"/>
      <c r="U188" s="194"/>
      <c r="V188" s="194"/>
      <c r="W188" s="194"/>
      <c r="X188" s="194"/>
      <c r="Y188" s="194"/>
      <c r="Z188" s="194"/>
      <c r="AA188" s="194"/>
      <c r="AB188" s="194"/>
      <c r="AC188" s="194"/>
      <c r="AD188" s="194"/>
      <c r="AE188" s="194"/>
      <c r="AF188" s="194"/>
    </row>
    <row r="189" spans="1:32" x14ac:dyDescent="0.25">
      <c r="A189" s="194"/>
      <c r="B189" s="753" t="s">
        <v>1781</v>
      </c>
      <c r="C189" s="798">
        <f>-1.111/2.47105</f>
        <v>-0.44960644260537019</v>
      </c>
      <c r="D189" s="787">
        <f t="shared" si="27"/>
        <v>-5955.4869387507333</v>
      </c>
      <c r="E189" s="787"/>
      <c r="F189" s="787">
        <f t="shared" ref="F189:G189" si="33">$C189*F178</f>
        <v>-5234.3182048117196</v>
      </c>
      <c r="G189" s="787">
        <f t="shared" si="33"/>
        <v>-4523.0408126100237</v>
      </c>
      <c r="H189" s="787"/>
      <c r="I189" s="787">
        <f t="shared" ref="I189:J189" si="34">$C189*I178</f>
        <v>-5896.5884947694303</v>
      </c>
      <c r="J189" s="787">
        <f t="shared" si="34"/>
        <v>-5486.9970255559374</v>
      </c>
      <c r="K189" s="787"/>
      <c r="L189" s="787">
        <f t="shared" si="30"/>
        <v>-5437.5403168693474</v>
      </c>
      <c r="M189" s="194"/>
      <c r="N189" s="194"/>
      <c r="O189" s="194"/>
      <c r="P189" s="194"/>
      <c r="Q189" s="194"/>
      <c r="R189" s="194"/>
      <c r="S189" s="194"/>
      <c r="T189" s="194"/>
      <c r="U189" s="194"/>
      <c r="V189" s="194"/>
      <c r="W189" s="194"/>
      <c r="X189" s="194"/>
      <c r="Y189" s="194"/>
      <c r="Z189" s="194"/>
      <c r="AA189" s="194"/>
      <c r="AB189" s="194"/>
      <c r="AC189" s="194"/>
      <c r="AD189" s="194"/>
      <c r="AE189" s="194"/>
      <c r="AF189" s="194"/>
    </row>
    <row r="190" spans="1:32" x14ac:dyDescent="0.25">
      <c r="A190" s="194"/>
      <c r="B190" s="316" t="s">
        <v>1782</v>
      </c>
      <c r="C190" s="798">
        <f>-1.1/2.47105</f>
        <v>-0.44515489366868338</v>
      </c>
      <c r="D190" s="787">
        <f t="shared" si="27"/>
        <v>-3222.9214301612678</v>
      </c>
      <c r="E190" s="787"/>
      <c r="F190" s="787">
        <f t="shared" ref="F190:G190" si="35">$C190*F179</f>
        <v>-1946.2171951194837</v>
      </c>
      <c r="G190" s="787">
        <f t="shared" si="35"/>
        <v>-1602.1124623135915</v>
      </c>
      <c r="H190" s="787"/>
      <c r="I190" s="787">
        <f t="shared" ref="I190:J190" si="36">$C190*I179</f>
        <v>-2432.7714938993545</v>
      </c>
      <c r="J190" s="787">
        <f t="shared" si="36"/>
        <v>-2413.6298334716012</v>
      </c>
      <c r="K190" s="787"/>
      <c r="L190" s="787">
        <f t="shared" si="30"/>
        <v>-577.81105198195098</v>
      </c>
      <c r="M190" s="194"/>
      <c r="N190" s="194"/>
      <c r="O190" s="194"/>
      <c r="P190" s="194"/>
      <c r="Q190" s="194"/>
      <c r="R190" s="194"/>
      <c r="S190" s="194"/>
      <c r="T190" s="194"/>
      <c r="U190" s="194"/>
      <c r="V190" s="194"/>
      <c r="W190" s="194"/>
      <c r="X190" s="194"/>
      <c r="Y190" s="194"/>
      <c r="Z190" s="194"/>
      <c r="AA190" s="194"/>
      <c r="AB190" s="194"/>
      <c r="AC190" s="194"/>
      <c r="AD190" s="194"/>
      <c r="AE190" s="194"/>
      <c r="AF190" s="194"/>
    </row>
    <row r="191" spans="1:32" x14ac:dyDescent="0.25">
      <c r="A191" s="194"/>
      <c r="B191" s="316" t="s">
        <v>1783</v>
      </c>
      <c r="C191" s="798">
        <f>-0.38/2.47105</f>
        <v>-0.15378078144918153</v>
      </c>
      <c r="D191" s="787">
        <f t="shared" si="27"/>
        <v>-1858.2869630319096</v>
      </c>
      <c r="E191" s="787"/>
      <c r="F191" s="787">
        <f t="shared" ref="F191:G191" si="37">$C191*F180</f>
        <v>-2711.1551769490702</v>
      </c>
      <c r="G191" s="787">
        <f t="shared" si="37"/>
        <v>-3958.3173145019327</v>
      </c>
      <c r="H191" s="787"/>
      <c r="I191" s="787">
        <f t="shared" ref="I191:J191" si="38">$C191*I180</f>
        <v>-6731.907488719371</v>
      </c>
      <c r="J191" s="787">
        <f t="shared" si="38"/>
        <v>-2712.5392039821131</v>
      </c>
      <c r="K191" s="787"/>
      <c r="L191" s="787">
        <f t="shared" si="30"/>
        <v>-3845.5960016996823</v>
      </c>
      <c r="M191" s="194"/>
      <c r="N191" s="194"/>
      <c r="O191" s="194"/>
      <c r="P191" s="194"/>
      <c r="Q191" s="194"/>
      <c r="R191" s="194"/>
      <c r="S191" s="194"/>
      <c r="T191" s="194"/>
      <c r="U191" s="194"/>
      <c r="V191" s="194"/>
      <c r="W191" s="194"/>
      <c r="X191" s="194"/>
      <c r="Y191" s="194"/>
      <c r="Z191" s="194"/>
      <c r="AA191" s="194"/>
      <c r="AB191" s="194"/>
      <c r="AC191" s="194"/>
      <c r="AD191" s="194"/>
      <c r="AE191" s="194"/>
      <c r="AF191" s="194"/>
    </row>
    <row r="192" spans="1:32" x14ac:dyDescent="0.25">
      <c r="A192" s="194"/>
      <c r="B192" s="771" t="s">
        <v>1784</v>
      </c>
      <c r="C192" s="800">
        <f>-1.01/2.47105</f>
        <v>-0.40873312964124564</v>
      </c>
      <c r="D192" s="787">
        <f t="shared" si="27"/>
        <v>-3011.545699196698</v>
      </c>
      <c r="E192" s="794"/>
      <c r="F192" s="794">
        <f t="shared" ref="F192:G192" si="39">$C192*F181</f>
        <v>-2318.7430444547867</v>
      </c>
      <c r="G192" s="794">
        <f t="shared" si="39"/>
        <v>-2653.4954776309669</v>
      </c>
      <c r="H192" s="794"/>
      <c r="I192" s="794">
        <f t="shared" ref="I192:J192" si="40">$C192*I181</f>
        <v>-2306.0723174359077</v>
      </c>
      <c r="J192" s="794">
        <f t="shared" si="40"/>
        <v>-2181.4087128953279</v>
      </c>
      <c r="K192" s="794"/>
      <c r="L192" s="794">
        <f t="shared" si="30"/>
        <v>-2752.8176281337892</v>
      </c>
      <c r="M192" s="194"/>
      <c r="N192" s="194"/>
      <c r="O192" s="194"/>
      <c r="P192" s="194"/>
      <c r="Q192" s="194"/>
      <c r="R192" s="194"/>
      <c r="S192" s="194"/>
      <c r="T192" s="194"/>
      <c r="U192" s="194"/>
      <c r="V192" s="194"/>
      <c r="W192" s="194"/>
      <c r="X192" s="194"/>
      <c r="Y192" s="194"/>
      <c r="Z192" s="194"/>
      <c r="AA192" s="194"/>
      <c r="AB192" s="194"/>
      <c r="AC192" s="194"/>
      <c r="AD192" s="194"/>
      <c r="AE192" s="194"/>
      <c r="AF192" s="194"/>
    </row>
    <row r="193" spans="1:32" x14ac:dyDescent="0.25">
      <c r="A193" s="194"/>
      <c r="B193" s="744" t="s">
        <v>1785</v>
      </c>
      <c r="C193" s="801"/>
      <c r="D193" s="796">
        <f>SUM(D187:D188)</f>
        <v>-535616.81390502024</v>
      </c>
      <c r="E193" s="796"/>
      <c r="F193" s="796">
        <f t="shared" ref="F193:G193" si="41">SUM(F187:F188)</f>
        <v>-539490.07176436472</v>
      </c>
      <c r="G193" s="796">
        <f t="shared" si="41"/>
        <v>-539589.75307392958</v>
      </c>
      <c r="H193" s="796"/>
      <c r="I193" s="796">
        <f t="shared" ref="I193:J193" si="42">SUM(I187:I188)</f>
        <v>-539411.4513263593</v>
      </c>
      <c r="J193" s="796">
        <f t="shared" si="42"/>
        <v>-538677.18346451921</v>
      </c>
      <c r="K193" s="796"/>
      <c r="L193" s="796">
        <f>SUM(L187:L188)</f>
        <v>-538432.42751057248</v>
      </c>
      <c r="M193" s="194"/>
      <c r="N193" s="194"/>
      <c r="O193" s="194"/>
      <c r="P193" s="194"/>
      <c r="Q193" s="194"/>
      <c r="R193" s="194"/>
      <c r="S193" s="194"/>
      <c r="T193" s="194"/>
      <c r="U193" s="194"/>
      <c r="V193" s="194"/>
      <c r="W193" s="194"/>
      <c r="X193" s="194"/>
      <c r="Y193" s="194"/>
      <c r="Z193" s="194"/>
      <c r="AA193" s="194"/>
      <c r="AB193" s="194"/>
      <c r="AC193" s="194"/>
      <c r="AD193" s="194"/>
      <c r="AE193" s="194"/>
      <c r="AF193" s="194"/>
    </row>
    <row r="194" spans="1:32" x14ac:dyDescent="0.25">
      <c r="A194" s="194"/>
      <c r="B194" s="753" t="s">
        <v>1786</v>
      </c>
      <c r="C194" s="715"/>
      <c r="D194" s="787">
        <f>SUM(D189:D192)</f>
        <v>-14048.241031140609</v>
      </c>
      <c r="E194" s="787"/>
      <c r="F194" s="787">
        <f t="shared" ref="F194:G194" si="43">SUM(F189:F192)</f>
        <v>-12210.43362133506</v>
      </c>
      <c r="G194" s="787">
        <f t="shared" si="43"/>
        <v>-12736.966067056517</v>
      </c>
      <c r="H194" s="787"/>
      <c r="I194" s="787">
        <f t="shared" ref="I194:J194" si="44">SUM(I189:I192)</f>
        <v>-17367.339794824064</v>
      </c>
      <c r="J194" s="787">
        <f t="shared" si="44"/>
        <v>-12794.574775904981</v>
      </c>
      <c r="K194" s="787"/>
      <c r="L194" s="787">
        <f>SUM(L189:L192)</f>
        <v>-12613.76499868477</v>
      </c>
      <c r="M194" s="194"/>
      <c r="N194" s="194"/>
      <c r="O194" s="194"/>
      <c r="P194" s="194"/>
      <c r="Q194" s="194"/>
      <c r="R194" s="194"/>
      <c r="S194" s="194"/>
      <c r="T194" s="194"/>
      <c r="U194" s="194"/>
      <c r="V194" s="194"/>
      <c r="W194" s="194"/>
      <c r="X194" s="194"/>
      <c r="Y194" s="194"/>
      <c r="Z194" s="194"/>
      <c r="AA194" s="194"/>
      <c r="AB194" s="194"/>
      <c r="AC194" s="194"/>
      <c r="AD194" s="194"/>
      <c r="AE194" s="194"/>
      <c r="AF194" s="194"/>
    </row>
    <row r="195" spans="1:32" x14ac:dyDescent="0.25">
      <c r="A195" s="194"/>
      <c r="B195" s="1"/>
      <c r="C195" s="194"/>
      <c r="D195" s="194"/>
      <c r="E195" s="194"/>
      <c r="F195" s="194"/>
      <c r="G195" s="194"/>
      <c r="H195" s="194"/>
      <c r="I195" s="194"/>
      <c r="J195" s="194"/>
      <c r="K195" s="194"/>
      <c r="L195" s="194"/>
      <c r="M195" s="194"/>
      <c r="N195" s="194"/>
      <c r="O195" s="194"/>
      <c r="P195" s="194"/>
      <c r="Q195" s="194"/>
      <c r="R195" s="194"/>
      <c r="S195" s="194"/>
      <c r="T195" s="194"/>
      <c r="U195" s="194"/>
      <c r="V195" s="194"/>
      <c r="W195" s="194"/>
      <c r="X195" s="194"/>
      <c r="Y195" s="194"/>
      <c r="Z195" s="194"/>
      <c r="AA195" s="194"/>
      <c r="AB195" s="194"/>
      <c r="AC195" s="194"/>
      <c r="AD195" s="194"/>
      <c r="AE195" s="194"/>
      <c r="AF195" s="194"/>
    </row>
    <row r="196" spans="1:32" x14ac:dyDescent="0.25">
      <c r="A196" s="194"/>
      <c r="B196" s="194"/>
      <c r="C196" s="1"/>
      <c r="D196" s="781" t="s">
        <v>1789</v>
      </c>
      <c r="E196" s="782"/>
      <c r="F196" s="782"/>
      <c r="G196" s="782"/>
      <c r="H196" s="782"/>
      <c r="I196" s="782"/>
      <c r="J196" s="782"/>
      <c r="K196" s="782"/>
      <c r="L196" s="783"/>
      <c r="M196" s="194"/>
      <c r="N196" s="194"/>
      <c r="O196" s="194"/>
      <c r="P196" s="194"/>
      <c r="Q196" s="194"/>
      <c r="R196" s="194"/>
      <c r="S196" s="194"/>
      <c r="T196" s="194"/>
      <c r="U196" s="194"/>
      <c r="V196" s="194"/>
      <c r="W196" s="194"/>
      <c r="X196" s="194"/>
      <c r="Y196" s="194"/>
      <c r="Z196" s="194"/>
      <c r="AA196" s="194"/>
      <c r="AB196" s="194"/>
      <c r="AC196" s="194"/>
      <c r="AD196" s="194"/>
      <c r="AE196" s="194"/>
      <c r="AF196" s="194"/>
    </row>
    <row r="197" spans="1:32" x14ac:dyDescent="0.25">
      <c r="A197" s="194"/>
      <c r="B197" s="784" t="s">
        <v>1778</v>
      </c>
      <c r="C197" s="313" t="s">
        <v>1790</v>
      </c>
      <c r="D197" s="786">
        <v>2006</v>
      </c>
      <c r="E197" s="786"/>
      <c r="F197" s="786">
        <v>2011</v>
      </c>
      <c r="G197" s="786">
        <v>2014</v>
      </c>
      <c r="H197" s="786"/>
      <c r="I197" s="786">
        <v>2017</v>
      </c>
      <c r="J197" s="786">
        <v>2020</v>
      </c>
      <c r="K197" s="732"/>
      <c r="L197" s="732">
        <v>2023</v>
      </c>
      <c r="M197" s="194"/>
      <c r="N197" s="194"/>
      <c r="O197" s="194"/>
      <c r="P197" s="194"/>
      <c r="Q197" s="194"/>
      <c r="R197" s="194"/>
      <c r="S197" s="194"/>
      <c r="T197" s="194"/>
      <c r="U197" s="194"/>
      <c r="V197" s="194"/>
      <c r="W197" s="194"/>
      <c r="X197" s="194"/>
      <c r="Y197" s="194"/>
      <c r="Z197" s="194"/>
      <c r="AA197" s="194"/>
      <c r="AB197" s="194"/>
      <c r="AC197" s="194"/>
      <c r="AD197" s="194"/>
      <c r="AE197" s="194"/>
      <c r="AF197" s="194"/>
    </row>
    <row r="198" spans="1:32" x14ac:dyDescent="0.25">
      <c r="A198" s="194"/>
      <c r="B198" s="753" t="s">
        <v>1791</v>
      </c>
      <c r="C198" s="802">
        <f>0.00747375141244849/2.47105</f>
        <v>3.0245245593769816E-3</v>
      </c>
      <c r="D198" s="787">
        <f t="shared" ref="D198:D203" si="45">$C198*D176</f>
        <v>49.871385459567051</v>
      </c>
      <c r="E198" s="787"/>
      <c r="F198" s="787">
        <f t="shared" ref="F198:G198" si="46">$C198*F176</f>
        <v>49.846685175665471</v>
      </c>
      <c r="G198" s="787">
        <f t="shared" si="46"/>
        <v>49.699995734535683</v>
      </c>
      <c r="H198" s="787"/>
      <c r="I198" s="787">
        <f t="shared" ref="I198:J198" si="47">$C198*I176</f>
        <v>49.637287258671265</v>
      </c>
      <c r="J198" s="787">
        <f t="shared" si="47"/>
        <v>49.742540713337597</v>
      </c>
      <c r="K198" s="787"/>
      <c r="L198" s="787">
        <f t="shared" ref="L198:L203" si="48">$C198*L176</f>
        <v>49.77762519822636</v>
      </c>
      <c r="M198" s="194"/>
      <c r="N198" s="194"/>
      <c r="O198" s="194"/>
      <c r="P198" s="194"/>
      <c r="Q198" s="194"/>
      <c r="R198" s="194"/>
      <c r="S198" s="194"/>
      <c r="T198" s="194"/>
      <c r="U198" s="194"/>
      <c r="V198" s="194"/>
      <c r="W198" s="194"/>
      <c r="X198" s="194"/>
      <c r="Y198" s="194"/>
      <c r="Z198" s="194"/>
      <c r="AA198" s="194"/>
      <c r="AB198" s="194"/>
      <c r="AC198" s="194"/>
      <c r="AD198" s="194"/>
      <c r="AE198" s="194"/>
      <c r="AF198" s="194"/>
    </row>
    <row r="199" spans="1:32" x14ac:dyDescent="0.25">
      <c r="A199" s="194"/>
      <c r="B199" s="753" t="s">
        <v>1780</v>
      </c>
      <c r="C199" s="802">
        <f>0.147994684096754/2.47105</f>
        <v>5.989141623874629E-2</v>
      </c>
      <c r="D199" s="787">
        <f t="shared" si="45"/>
        <v>9471.4082382440538</v>
      </c>
      <c r="E199" s="787"/>
      <c r="F199" s="787">
        <f t="shared" ref="F199:G199" si="49">$C199*F177</f>
        <v>9547.5302282835019</v>
      </c>
      <c r="G199" s="787">
        <f t="shared" si="49"/>
        <v>9552.38143299884</v>
      </c>
      <c r="H199" s="787"/>
      <c r="I199" s="787">
        <f t="shared" ref="I199:J199" si="50">$C199*I177</f>
        <v>9550.1414940315099</v>
      </c>
      <c r="J199" s="787">
        <f t="shared" si="50"/>
        <v>9533.7192676988452</v>
      </c>
      <c r="K199" s="787"/>
      <c r="L199" s="787">
        <f t="shared" si="48"/>
        <v>9528.2451922546243</v>
      </c>
      <c r="M199" s="194"/>
      <c r="N199" s="194"/>
      <c r="O199" s="194"/>
      <c r="P199" s="194"/>
      <c r="Q199" s="194"/>
      <c r="R199" s="194"/>
      <c r="S199" s="194"/>
      <c r="T199" s="194"/>
      <c r="U199" s="194"/>
      <c r="V199" s="194"/>
      <c r="W199" s="194"/>
      <c r="X199" s="194"/>
      <c r="Y199" s="194"/>
      <c r="Z199" s="194"/>
      <c r="AA199" s="194"/>
      <c r="AB199" s="194"/>
      <c r="AC199" s="194"/>
      <c r="AD199" s="194"/>
      <c r="AE199" s="194"/>
      <c r="AF199" s="194"/>
    </row>
    <row r="200" spans="1:32" x14ac:dyDescent="0.25">
      <c r="A200" s="194"/>
      <c r="B200" s="753" t="s">
        <v>1793</v>
      </c>
      <c r="C200" s="802">
        <f t="shared" ref="C200:C203" si="51">0.008/2.47105</f>
        <v>3.2374901357722428E-3</v>
      </c>
      <c r="D200" s="787">
        <f t="shared" si="45"/>
        <v>42.883794338439131</v>
      </c>
      <c r="E200" s="787"/>
      <c r="F200" s="787">
        <f t="shared" ref="F200:G200" si="52">$C200*F178</f>
        <v>37.690860160660449</v>
      </c>
      <c r="G200" s="787">
        <f t="shared" si="52"/>
        <v>32.569150765868763</v>
      </c>
      <c r="H200" s="787"/>
      <c r="I200" s="787">
        <f t="shared" ref="I200:J200" si="53">$C200*I178</f>
        <v>42.459683130652962</v>
      </c>
      <c r="J200" s="787">
        <f t="shared" si="53"/>
        <v>39.510329616964448</v>
      </c>
      <c r="K200" s="787"/>
      <c r="L200" s="787">
        <f t="shared" si="48"/>
        <v>39.154205702029508</v>
      </c>
      <c r="M200" s="194"/>
      <c r="N200" s="194"/>
      <c r="O200" s="194"/>
      <c r="P200" s="194"/>
      <c r="Q200" s="194"/>
      <c r="R200" s="194"/>
      <c r="S200" s="194"/>
      <c r="T200" s="194"/>
      <c r="U200" s="194"/>
      <c r="V200" s="194"/>
      <c r="W200" s="194"/>
      <c r="X200" s="194"/>
      <c r="Y200" s="194"/>
      <c r="Z200" s="194"/>
      <c r="AA200" s="194"/>
      <c r="AB200" s="194"/>
      <c r="AC200" s="194"/>
      <c r="AD200" s="194"/>
      <c r="AE200" s="194"/>
      <c r="AF200" s="194"/>
    </row>
    <row r="201" spans="1:32" x14ac:dyDescent="0.25">
      <c r="A201" s="194"/>
      <c r="B201" s="753" t="s">
        <v>1782</v>
      </c>
      <c r="C201" s="802">
        <f t="shared" si="51"/>
        <v>3.2374901357722428E-3</v>
      </c>
      <c r="D201" s="787">
        <f t="shared" si="45"/>
        <v>23.439428582991038</v>
      </c>
      <c r="E201" s="787"/>
      <c r="F201" s="787">
        <f t="shared" ref="F201:G201" si="54">$C201*F179</f>
        <v>14.154306873596246</v>
      </c>
      <c r="G201" s="787">
        <f t="shared" si="54"/>
        <v>11.651726998644302</v>
      </c>
      <c r="H201" s="787"/>
      <c r="I201" s="787">
        <f t="shared" ref="I201:J201" si="55">$C201*I179</f>
        <v>17.692883591995308</v>
      </c>
      <c r="J201" s="787">
        <f t="shared" si="55"/>
        <v>17.553671516157099</v>
      </c>
      <c r="K201" s="787"/>
      <c r="L201" s="787">
        <f t="shared" si="48"/>
        <v>4.202262196232371</v>
      </c>
      <c r="M201" s="194"/>
      <c r="N201" s="194"/>
      <c r="O201" s="194"/>
      <c r="P201" s="194"/>
      <c r="Q201" s="194"/>
      <c r="R201" s="194"/>
      <c r="S201" s="194"/>
      <c r="T201" s="194"/>
      <c r="U201" s="194"/>
      <c r="V201" s="194"/>
      <c r="W201" s="194"/>
      <c r="X201" s="194"/>
      <c r="Y201" s="194"/>
      <c r="Z201" s="194"/>
      <c r="AA201" s="194"/>
      <c r="AB201" s="194"/>
      <c r="AC201" s="194"/>
      <c r="AD201" s="194"/>
      <c r="AE201" s="194"/>
      <c r="AF201" s="194"/>
    </row>
    <row r="202" spans="1:32" x14ac:dyDescent="0.25">
      <c r="A202" s="194"/>
      <c r="B202" s="753" t="s">
        <v>1783</v>
      </c>
      <c r="C202" s="802">
        <f t="shared" si="51"/>
        <v>3.2374901357722428E-3</v>
      </c>
      <c r="D202" s="787">
        <f t="shared" si="45"/>
        <v>39.121830800671781</v>
      </c>
      <c r="E202" s="787"/>
      <c r="F202" s="787">
        <f t="shared" ref="F202:G202" si="56">$C202*F180</f>
        <v>57.07695109366464</v>
      </c>
      <c r="G202" s="787">
        <f t="shared" si="56"/>
        <v>83.332996094777528</v>
      </c>
      <c r="H202" s="787"/>
      <c r="I202" s="787">
        <f t="shared" ref="I202:J202" si="57">$C202*I180</f>
        <v>141.7243681835657</v>
      </c>
      <c r="J202" s="787">
        <f t="shared" si="57"/>
        <v>57.106088504886593</v>
      </c>
      <c r="K202" s="787"/>
      <c r="L202" s="787">
        <f t="shared" si="48"/>
        <v>80.959915825256473</v>
      </c>
      <c r="M202" s="194"/>
      <c r="N202" s="194"/>
      <c r="O202" s="194"/>
      <c r="P202" s="194"/>
      <c r="Q202" s="194"/>
      <c r="R202" s="194"/>
      <c r="S202" s="194"/>
      <c r="T202" s="194"/>
      <c r="U202" s="194"/>
      <c r="V202" s="194"/>
      <c r="W202" s="194"/>
      <c r="X202" s="194"/>
      <c r="Y202" s="194"/>
      <c r="Z202" s="194"/>
      <c r="AA202" s="194"/>
      <c r="AB202" s="194"/>
      <c r="AC202" s="194"/>
      <c r="AD202" s="194"/>
      <c r="AE202" s="194"/>
      <c r="AF202" s="194"/>
    </row>
    <row r="203" spans="1:32" x14ac:dyDescent="0.25">
      <c r="A203" s="194"/>
      <c r="B203" s="803" t="s">
        <v>1794</v>
      </c>
      <c r="C203" s="802">
        <f t="shared" si="51"/>
        <v>3.2374901357722428E-3</v>
      </c>
      <c r="D203" s="787">
        <f t="shared" si="45"/>
        <v>23.853827320369884</v>
      </c>
      <c r="E203" s="787"/>
      <c r="F203" s="787">
        <f t="shared" ref="F203:G203" si="58">$C203*F181</f>
        <v>18.366281540235935</v>
      </c>
      <c r="G203" s="787">
        <f t="shared" si="58"/>
        <v>21.0177859614334</v>
      </c>
      <c r="H203" s="787"/>
      <c r="I203" s="787">
        <f t="shared" ref="I203:J203" si="59">$C203*I181</f>
        <v>18.265919346026994</v>
      </c>
      <c r="J203" s="787">
        <f t="shared" si="59"/>
        <v>17.278484854616458</v>
      </c>
      <c r="K203" s="787"/>
      <c r="L203" s="787">
        <f t="shared" si="48"/>
        <v>21.804496064426054</v>
      </c>
      <c r="M203" s="194"/>
      <c r="N203" s="194"/>
      <c r="O203" s="194"/>
      <c r="P203" s="194"/>
      <c r="Q203" s="194"/>
      <c r="R203" s="194"/>
      <c r="S203" s="194"/>
      <c r="T203" s="194"/>
      <c r="U203" s="194"/>
      <c r="V203" s="194"/>
      <c r="W203" s="194"/>
      <c r="X203" s="194"/>
      <c r="Y203" s="194"/>
      <c r="Z203" s="194"/>
      <c r="AA203" s="194"/>
      <c r="AB203" s="194"/>
      <c r="AC203" s="194"/>
      <c r="AD203" s="194"/>
      <c r="AE203" s="194"/>
      <c r="AF203" s="194"/>
    </row>
    <row r="204" spans="1:32" x14ac:dyDescent="0.25">
      <c r="A204" s="194"/>
      <c r="B204" s="744" t="s">
        <v>1785</v>
      </c>
      <c r="C204" s="801"/>
      <c r="D204" s="796">
        <f>SUM(D198:D199)</f>
        <v>9521.27962370362</v>
      </c>
      <c r="E204" s="796"/>
      <c r="F204" s="796">
        <f t="shared" ref="F204:G204" si="60">SUM(F198:F199)</f>
        <v>9597.3769134591676</v>
      </c>
      <c r="G204" s="796">
        <f t="shared" si="60"/>
        <v>9602.081428733376</v>
      </c>
      <c r="H204" s="796"/>
      <c r="I204" s="796">
        <f t="shared" ref="I204:J204" si="61">SUM(I198:I199)</f>
        <v>9599.7787812901806</v>
      </c>
      <c r="J204" s="796">
        <f t="shared" si="61"/>
        <v>9583.461808412183</v>
      </c>
      <c r="K204" s="796"/>
      <c r="L204" s="796">
        <f>SUM(L198:L199)</f>
        <v>9578.0228174528511</v>
      </c>
      <c r="M204" s="194"/>
      <c r="N204" s="194"/>
      <c r="O204" s="194"/>
      <c r="P204" s="194"/>
      <c r="Q204" s="194"/>
      <c r="R204" s="194"/>
      <c r="S204" s="194"/>
      <c r="T204" s="194"/>
      <c r="U204" s="194"/>
      <c r="V204" s="194"/>
      <c r="W204" s="194"/>
      <c r="X204" s="194"/>
      <c r="Y204" s="194"/>
      <c r="Z204" s="194"/>
      <c r="AA204" s="194"/>
      <c r="AB204" s="194"/>
      <c r="AC204" s="194"/>
      <c r="AD204" s="194"/>
      <c r="AE204" s="194"/>
      <c r="AF204" s="194"/>
    </row>
    <row r="205" spans="1:32" x14ac:dyDescent="0.25">
      <c r="A205" s="194"/>
      <c r="B205" s="753" t="s">
        <v>1786</v>
      </c>
      <c r="C205" s="715"/>
      <c r="D205" s="787">
        <f>SUM(D200:D203)</f>
        <v>129.29888104247183</v>
      </c>
      <c r="E205" s="787"/>
      <c r="F205" s="787">
        <f t="shared" ref="F205:G205" si="62">SUM(F200:F203)</f>
        <v>127.28839966815727</v>
      </c>
      <c r="G205" s="787">
        <f t="shared" si="62"/>
        <v>148.57165982072399</v>
      </c>
      <c r="H205" s="787"/>
      <c r="I205" s="787">
        <f t="shared" ref="I205:J205" si="63">SUM(I200:I203)</f>
        <v>220.14285425224099</v>
      </c>
      <c r="J205" s="787">
        <f t="shared" si="63"/>
        <v>131.4485744926246</v>
      </c>
      <c r="K205" s="787"/>
      <c r="L205" s="787">
        <f>SUM(L200:L203)</f>
        <v>146.1208797879444</v>
      </c>
      <c r="M205" s="194"/>
      <c r="N205" s="194"/>
      <c r="O205" s="194"/>
      <c r="P205" s="194"/>
      <c r="Q205" s="194"/>
      <c r="R205" s="194"/>
      <c r="S205" s="194"/>
      <c r="T205" s="194"/>
      <c r="U205" s="194"/>
      <c r="V205" s="194"/>
      <c r="W205" s="194"/>
      <c r="X205" s="194"/>
      <c r="Y205" s="194"/>
      <c r="Z205" s="194"/>
      <c r="AA205" s="194"/>
      <c r="AB205" s="194"/>
      <c r="AC205" s="194"/>
      <c r="AD205" s="194"/>
      <c r="AE205" s="194"/>
      <c r="AF205" s="194"/>
    </row>
    <row r="206" spans="1:32" x14ac:dyDescent="0.25">
      <c r="A206" s="194"/>
      <c r="B206" s="194"/>
      <c r="C206" s="194"/>
      <c r="D206" s="194"/>
      <c r="E206" s="194"/>
      <c r="F206" s="194"/>
      <c r="G206" s="194"/>
      <c r="H206" s="194"/>
      <c r="I206" s="194"/>
      <c r="J206" s="194"/>
      <c r="K206" s="194"/>
      <c r="L206" s="194"/>
      <c r="M206" s="194"/>
      <c r="N206" s="194"/>
      <c r="O206" s="194"/>
      <c r="P206" s="194"/>
      <c r="Q206" s="194"/>
      <c r="R206" s="194"/>
      <c r="S206" s="194"/>
      <c r="T206" s="194"/>
      <c r="U206" s="194"/>
      <c r="V206" s="194"/>
      <c r="W206" s="194"/>
      <c r="X206" s="194"/>
      <c r="Y206" s="194"/>
      <c r="Z206" s="194"/>
      <c r="AA206" s="194"/>
      <c r="AB206" s="194"/>
      <c r="AC206" s="194"/>
      <c r="AD206" s="194"/>
      <c r="AE206" s="194"/>
      <c r="AF206" s="194"/>
    </row>
    <row r="207" spans="1:32" x14ac:dyDescent="0.25">
      <c r="A207" s="194"/>
      <c r="B207" s="194"/>
      <c r="D207" s="781" t="s">
        <v>1795</v>
      </c>
      <c r="E207" s="804"/>
      <c r="F207" s="804"/>
      <c r="G207" s="804"/>
      <c r="H207" s="804"/>
      <c r="I207" s="804"/>
      <c r="J207" s="805"/>
      <c r="K207" s="805"/>
      <c r="L207" s="805"/>
      <c r="M207" s="194"/>
      <c r="N207" s="194"/>
      <c r="O207" s="194"/>
      <c r="P207" s="194"/>
      <c r="Q207" s="194"/>
      <c r="R207" s="194"/>
      <c r="S207" s="194"/>
      <c r="T207" s="194"/>
      <c r="U207" s="194"/>
      <c r="V207" s="194"/>
      <c r="W207" s="194"/>
      <c r="X207" s="194"/>
      <c r="Y207" s="194"/>
      <c r="Z207" s="194"/>
      <c r="AA207" s="194"/>
      <c r="AB207" s="194"/>
      <c r="AC207" s="194"/>
      <c r="AD207" s="194"/>
      <c r="AE207" s="194"/>
      <c r="AF207" s="194"/>
    </row>
    <row r="208" spans="1:32" x14ac:dyDescent="0.25">
      <c r="A208" s="194"/>
      <c r="B208" s="806" t="s">
        <v>1796</v>
      </c>
      <c r="C208" s="785"/>
      <c r="D208" s="786">
        <v>2006</v>
      </c>
      <c r="E208" s="786"/>
      <c r="F208" s="786">
        <v>2011</v>
      </c>
      <c r="G208" s="786">
        <v>2014</v>
      </c>
      <c r="H208" s="786"/>
      <c r="I208" s="786">
        <v>2017</v>
      </c>
      <c r="J208" s="786">
        <v>2020</v>
      </c>
      <c r="K208" s="732"/>
      <c r="L208" s="732" t="s">
        <v>1797</v>
      </c>
      <c r="M208" s="194"/>
      <c r="N208" s="194"/>
      <c r="O208" s="194"/>
      <c r="P208" s="194"/>
      <c r="Q208" s="194"/>
      <c r="R208" s="194"/>
      <c r="S208" s="194"/>
      <c r="T208" s="194"/>
      <c r="U208" s="194"/>
      <c r="V208" s="194"/>
      <c r="W208" s="194"/>
      <c r="X208" s="194"/>
      <c r="Y208" s="194"/>
      <c r="Z208" s="194"/>
      <c r="AA208" s="194"/>
      <c r="AB208" s="194"/>
      <c r="AC208" s="194"/>
      <c r="AD208" s="194"/>
      <c r="AE208" s="194"/>
      <c r="AF208" s="194"/>
    </row>
    <row r="209" spans="1:32" ht="24.75" x14ac:dyDescent="0.25">
      <c r="A209" s="194"/>
      <c r="B209" s="807" t="s">
        <v>1798</v>
      </c>
      <c r="C209" s="785"/>
      <c r="D209" s="808">
        <f>SUM(D210:D212)</f>
        <v>17961.122569790994</v>
      </c>
      <c r="E209" s="808"/>
      <c r="F209" s="808">
        <f t="shared" ref="F209:G209" si="64">SUM(F210:F212)</f>
        <v>12399.174933644143</v>
      </c>
      <c r="G209" s="808">
        <f t="shared" si="64"/>
        <v>12399.174933644143</v>
      </c>
      <c r="H209" s="808"/>
      <c r="I209" s="808">
        <f t="shared" ref="I209:J209" si="65">SUM(I210:I212)</f>
        <v>12399.174933644143</v>
      </c>
      <c r="J209" s="808">
        <f t="shared" si="65"/>
        <v>12399.174933644143</v>
      </c>
      <c r="K209" s="808"/>
      <c r="L209" s="808">
        <f>SUM(L210:L212)</f>
        <v>12399.090501288736</v>
      </c>
      <c r="M209" s="194"/>
      <c r="N209" s="194"/>
      <c r="O209" s="194"/>
      <c r="P209" s="194"/>
      <c r="Q209" s="194"/>
      <c r="R209" s="194"/>
      <c r="S209" s="194"/>
      <c r="T209" s="194"/>
      <c r="U209" s="194"/>
      <c r="V209" s="194"/>
      <c r="W209" s="194"/>
      <c r="X209" s="194"/>
      <c r="Y209" s="194"/>
      <c r="Z209" s="194"/>
      <c r="AA209" s="194"/>
      <c r="AB209" s="194"/>
      <c r="AC209" s="194"/>
      <c r="AD209" s="194"/>
      <c r="AE209" s="194"/>
      <c r="AF209" s="194"/>
    </row>
    <row r="210" spans="1:32" x14ac:dyDescent="0.25">
      <c r="A210" s="194"/>
      <c r="B210" s="316" t="s">
        <v>1799</v>
      </c>
      <c r="C210" s="785"/>
      <c r="D210" s="809">
        <f>0.000443677622843492*1000000</f>
        <v>443.67762284349203</v>
      </c>
      <c r="E210" s="809"/>
      <c r="F210" s="809">
        <f t="shared" ref="F210:G210" si="66">0.000406051384004542*1000000</f>
        <v>406.051384004542</v>
      </c>
      <c r="G210" s="809">
        <f t="shared" si="66"/>
        <v>406.051384004542</v>
      </c>
      <c r="H210" s="809"/>
      <c r="I210" s="809">
        <f t="shared" ref="I210:J210" si="67">0.000406051384004542*1000000</f>
        <v>406.051384004542</v>
      </c>
      <c r="J210" s="809">
        <f t="shared" si="67"/>
        <v>406.051384004542</v>
      </c>
      <c r="K210" s="809"/>
      <c r="L210" s="809">
        <f>0.000405966951649135*1000000</f>
        <v>405.96695164913501</v>
      </c>
      <c r="M210" s="194"/>
      <c r="N210" s="194"/>
      <c r="O210" s="194"/>
      <c r="P210" s="194"/>
      <c r="Q210" s="194"/>
      <c r="R210" s="194"/>
      <c r="S210" s="194"/>
      <c r="T210" s="194"/>
      <c r="U210" s="194"/>
      <c r="V210" s="194"/>
      <c r="W210" s="194"/>
      <c r="X210" s="194"/>
      <c r="Y210" s="194"/>
      <c r="Z210" s="194"/>
      <c r="AA210" s="194"/>
      <c r="AB210" s="194"/>
      <c r="AC210" s="194"/>
      <c r="AD210" s="194"/>
      <c r="AE210" s="194"/>
      <c r="AF210" s="194"/>
    </row>
    <row r="211" spans="1:32" x14ac:dyDescent="0.25">
      <c r="A211" s="194"/>
      <c r="B211" s="316" t="s">
        <v>1800</v>
      </c>
      <c r="C211" s="785"/>
      <c r="D211" s="809">
        <v>0</v>
      </c>
      <c r="E211" s="809"/>
      <c r="F211" s="809">
        <v>0</v>
      </c>
      <c r="G211" s="809">
        <v>0</v>
      </c>
      <c r="H211" s="809"/>
      <c r="I211" s="809">
        <v>0</v>
      </c>
      <c r="J211" s="809">
        <v>0</v>
      </c>
      <c r="K211" s="809"/>
      <c r="L211" s="809">
        <v>0</v>
      </c>
      <c r="M211" s="194"/>
      <c r="N211" s="194"/>
      <c r="O211" s="194"/>
      <c r="P211" s="194"/>
      <c r="Q211" s="194"/>
      <c r="R211" s="194"/>
      <c r="S211" s="194"/>
      <c r="T211" s="194"/>
      <c r="U211" s="194"/>
      <c r="V211" s="194"/>
      <c r="W211" s="194"/>
      <c r="X211" s="194"/>
      <c r="Y211" s="194"/>
      <c r="Z211" s="194"/>
      <c r="AA211" s="194"/>
      <c r="AB211" s="194"/>
      <c r="AC211" s="194"/>
      <c r="AD211" s="194"/>
      <c r="AE211" s="194"/>
      <c r="AF211" s="194"/>
    </row>
    <row r="212" spans="1:32" x14ac:dyDescent="0.25">
      <c r="A212" s="194"/>
      <c r="B212" s="316" t="s">
        <v>1801</v>
      </c>
      <c r="C212" s="785"/>
      <c r="D212" s="809">
        <f>0.0175174449469475*1000000</f>
        <v>17517.4449469475</v>
      </c>
      <c r="E212" s="809"/>
      <c r="F212" s="809">
        <f t="shared" ref="F212:G212" si="68">0.0119931235496396*1000000</f>
        <v>11993.1235496396</v>
      </c>
      <c r="G212" s="809">
        <f t="shared" si="68"/>
        <v>11993.1235496396</v>
      </c>
      <c r="H212" s="809"/>
      <c r="I212" s="809">
        <f t="shared" ref="I212:J212" si="69">0.0119931235496396*1000000</f>
        <v>11993.1235496396</v>
      </c>
      <c r="J212" s="809">
        <f t="shared" si="69"/>
        <v>11993.1235496396</v>
      </c>
      <c r="K212" s="809"/>
      <c r="L212" s="809">
        <f>0.0119931235496396*1000000</f>
        <v>11993.1235496396</v>
      </c>
      <c r="M212" s="194"/>
      <c r="N212" s="194"/>
      <c r="O212" s="194"/>
      <c r="P212" s="194"/>
      <c r="Q212" s="194"/>
      <c r="R212" s="194"/>
      <c r="S212" s="194"/>
      <c r="T212" s="194"/>
      <c r="U212" s="194"/>
      <c r="V212" s="194"/>
      <c r="W212" s="194"/>
      <c r="X212" s="194"/>
      <c r="Y212" s="194"/>
      <c r="Z212" s="194"/>
      <c r="AA212" s="194"/>
      <c r="AB212" s="194"/>
      <c r="AC212" s="194"/>
      <c r="AD212" s="194"/>
      <c r="AE212" s="194"/>
      <c r="AF212" s="194"/>
    </row>
    <row r="213" spans="1:32" ht="24.75" x14ac:dyDescent="0.25">
      <c r="A213" s="194"/>
      <c r="B213" s="807" t="s">
        <v>1802</v>
      </c>
      <c r="C213" s="785"/>
      <c r="D213" s="808">
        <f>SUM(D214:D216)</f>
        <v>-4326.0270322144079</v>
      </c>
      <c r="E213" s="810"/>
      <c r="F213" s="808">
        <f t="shared" ref="F213:G213" si="70">SUM(F214:F216)</f>
        <v>-397.84337763308849</v>
      </c>
      <c r="G213" s="808">
        <f t="shared" si="70"/>
        <v>-397.84337763308849</v>
      </c>
      <c r="H213" s="810"/>
      <c r="I213" s="808">
        <f t="shared" ref="I213:J213" si="71">SUM(I214:I216)</f>
        <v>-397.84337763308849</v>
      </c>
      <c r="J213" s="808">
        <f t="shared" si="71"/>
        <v>-397.84337763308849</v>
      </c>
      <c r="K213" s="810"/>
      <c r="L213" s="808">
        <f>SUM(L214:L216)</f>
        <v>-397.84337763308849</v>
      </c>
      <c r="M213" s="194"/>
      <c r="N213" s="194"/>
      <c r="O213" s="194"/>
      <c r="P213" s="194"/>
      <c r="Q213" s="194"/>
      <c r="R213" s="194"/>
      <c r="S213" s="194"/>
      <c r="T213" s="194"/>
      <c r="U213" s="194"/>
      <c r="V213" s="194"/>
      <c r="W213" s="194"/>
      <c r="X213" s="194"/>
      <c r="Y213" s="194"/>
      <c r="Z213" s="194"/>
      <c r="AA213" s="194"/>
      <c r="AB213" s="194"/>
      <c r="AC213" s="194"/>
      <c r="AD213" s="194"/>
      <c r="AE213" s="194"/>
      <c r="AF213" s="194"/>
    </row>
    <row r="214" spans="1:32" x14ac:dyDescent="0.25">
      <c r="A214" s="194"/>
      <c r="B214" s="316" t="s">
        <v>1799</v>
      </c>
      <c r="C214" s="785"/>
      <c r="D214" s="787">
        <f>-0.0038832913490701*1000000</f>
        <v>-3883.2913490701003</v>
      </c>
      <c r="E214" s="811"/>
      <c r="F214" s="787">
        <f t="shared" ref="F214:G214" si="72">-0.000324267072789191*1000000</f>
        <v>-324.26707278919099</v>
      </c>
      <c r="G214" s="787">
        <f t="shared" si="72"/>
        <v>-324.26707278919099</v>
      </c>
      <c r="H214" s="811"/>
      <c r="I214" s="787">
        <f t="shared" ref="I214:J214" si="73">-0.000324267072789191*1000000</f>
        <v>-324.26707278919099</v>
      </c>
      <c r="J214" s="787">
        <f t="shared" si="73"/>
        <v>-324.26707278919099</v>
      </c>
      <c r="K214" s="811"/>
      <c r="L214" s="787">
        <f>-0.000324267072789191*1000000</f>
        <v>-324.26707278919099</v>
      </c>
      <c r="M214" s="194"/>
      <c r="N214" s="194"/>
      <c r="O214" s="194"/>
      <c r="P214" s="194"/>
      <c r="Q214" s="194"/>
      <c r="R214" s="194"/>
      <c r="S214" s="194"/>
      <c r="T214" s="194"/>
      <c r="U214" s="194"/>
      <c r="V214" s="194"/>
      <c r="W214" s="194"/>
      <c r="X214" s="194"/>
      <c r="Y214" s="194"/>
      <c r="Z214" s="194"/>
      <c r="AA214" s="194"/>
      <c r="AB214" s="194"/>
      <c r="AC214" s="194"/>
      <c r="AD214" s="194"/>
      <c r="AE214" s="194"/>
      <c r="AF214" s="194"/>
    </row>
    <row r="215" spans="1:32" x14ac:dyDescent="0.25">
      <c r="A215" s="194"/>
      <c r="B215" s="316" t="s">
        <v>1800</v>
      </c>
      <c r="C215" s="785"/>
      <c r="D215" s="811">
        <v>0</v>
      </c>
      <c r="E215" s="811"/>
      <c r="F215" s="811">
        <v>0</v>
      </c>
      <c r="G215" s="811">
        <v>0</v>
      </c>
      <c r="H215" s="811"/>
      <c r="I215" s="811">
        <v>0</v>
      </c>
      <c r="J215" s="811">
        <v>0</v>
      </c>
      <c r="K215" s="811"/>
      <c r="L215" s="811">
        <v>0</v>
      </c>
      <c r="M215" s="194"/>
      <c r="N215" s="194"/>
      <c r="O215" s="194"/>
      <c r="P215" s="194"/>
      <c r="Q215" s="194"/>
      <c r="R215" s="194"/>
      <c r="S215" s="194"/>
      <c r="T215" s="194"/>
      <c r="U215" s="194"/>
      <c r="V215" s="194"/>
      <c r="W215" s="194"/>
      <c r="X215" s="194"/>
      <c r="Y215" s="194"/>
      <c r="Z215" s="194"/>
      <c r="AA215" s="194"/>
      <c r="AB215" s="194"/>
      <c r="AC215" s="194"/>
      <c r="AD215" s="194"/>
      <c r="AE215" s="194"/>
      <c r="AF215" s="194"/>
    </row>
    <row r="216" spans="1:32" x14ac:dyDescent="0.25">
      <c r="A216" s="194"/>
      <c r="B216" s="812" t="s">
        <v>1801</v>
      </c>
      <c r="C216" s="813"/>
      <c r="D216" s="787">
        <f>-0.000442735683144308*1000000</f>
        <v>-442.73568314430798</v>
      </c>
      <c r="E216" s="814"/>
      <c r="F216" s="787">
        <f t="shared" ref="F216:G216" si="74">-0.0000735763048438975*1000000</f>
        <v>-73.576304843897489</v>
      </c>
      <c r="G216" s="787">
        <f t="shared" si="74"/>
        <v>-73.576304843897489</v>
      </c>
      <c r="H216" s="814"/>
      <c r="I216" s="787">
        <f t="shared" ref="I216:J216" si="75">-0.0000735763048438975*1000000</f>
        <v>-73.576304843897489</v>
      </c>
      <c r="J216" s="787">
        <f t="shared" si="75"/>
        <v>-73.576304843897489</v>
      </c>
      <c r="K216" s="814"/>
      <c r="L216" s="787">
        <f>-0.0000735763048438975*1000000</f>
        <v>-73.576304843897489</v>
      </c>
      <c r="M216" s="194"/>
      <c r="N216" s="194"/>
      <c r="O216" s="194"/>
      <c r="P216" s="194"/>
      <c r="Q216" s="194"/>
      <c r="R216" s="194"/>
      <c r="S216" s="194"/>
      <c r="T216" s="194"/>
      <c r="U216" s="194"/>
      <c r="V216" s="194"/>
      <c r="W216" s="194"/>
      <c r="X216" s="194"/>
      <c r="Y216" s="194"/>
      <c r="Z216" s="194"/>
      <c r="AA216" s="194"/>
      <c r="AB216" s="194"/>
      <c r="AC216" s="194"/>
      <c r="AD216" s="194"/>
      <c r="AE216" s="194"/>
      <c r="AF216" s="194"/>
    </row>
    <row r="217" spans="1:32" x14ac:dyDescent="0.25">
      <c r="A217" s="194"/>
      <c r="B217" s="744" t="s">
        <v>1803</v>
      </c>
      <c r="C217" s="815"/>
      <c r="D217" s="816">
        <f>D213+D209</f>
        <v>13635.095537576586</v>
      </c>
      <c r="E217" s="816"/>
      <c r="F217" s="816">
        <f t="shared" ref="F217:G217" si="76">F213+F209</f>
        <v>12001.331556011053</v>
      </c>
      <c r="G217" s="816">
        <f t="shared" si="76"/>
        <v>12001.331556011053</v>
      </c>
      <c r="H217" s="816"/>
      <c r="I217" s="816">
        <f t="shared" ref="I217:J217" si="77">I213+I209</f>
        <v>12001.331556011053</v>
      </c>
      <c r="J217" s="816">
        <f t="shared" si="77"/>
        <v>12001.331556011053</v>
      </c>
      <c r="K217" s="816"/>
      <c r="L217" s="816">
        <f>L213+L209</f>
        <v>12001.247123655648</v>
      </c>
      <c r="M217" s="194"/>
      <c r="N217" s="194"/>
      <c r="O217" s="194"/>
      <c r="P217" s="194"/>
      <c r="Q217" s="194"/>
      <c r="R217" s="194"/>
      <c r="S217" s="194"/>
      <c r="T217" s="194"/>
      <c r="U217" s="194"/>
      <c r="V217" s="194"/>
      <c r="W217" s="194"/>
      <c r="X217" s="194"/>
      <c r="Y217" s="194"/>
      <c r="Z217" s="194"/>
      <c r="AA217" s="194"/>
      <c r="AB217" s="194"/>
      <c r="AC217" s="194"/>
      <c r="AD217" s="194"/>
      <c r="AE217" s="194"/>
      <c r="AF217" s="194"/>
    </row>
    <row r="218" spans="1:32" x14ac:dyDescent="0.25">
      <c r="A218" s="194"/>
      <c r="B218" s="1" t="s">
        <v>1804</v>
      </c>
      <c r="C218" s="194"/>
      <c r="D218" s="194"/>
      <c r="E218" s="194"/>
      <c r="F218" s="194"/>
      <c r="G218" s="194"/>
      <c r="H218" s="194"/>
      <c r="I218" s="194"/>
      <c r="J218" s="194"/>
      <c r="K218" s="194"/>
      <c r="L218" s="194"/>
      <c r="M218" s="194"/>
      <c r="N218" s="194"/>
      <c r="O218" s="194"/>
      <c r="P218" s="194"/>
      <c r="Q218" s="194"/>
      <c r="R218" s="194"/>
      <c r="S218" s="194"/>
      <c r="T218" s="194"/>
      <c r="U218" s="194"/>
      <c r="V218" s="194"/>
      <c r="W218" s="194"/>
      <c r="X218" s="194"/>
      <c r="Y218" s="194"/>
      <c r="Z218" s="194"/>
      <c r="AA218" s="194"/>
      <c r="AB218" s="194"/>
      <c r="AC218" s="194"/>
      <c r="AD218" s="194"/>
      <c r="AE218" s="194"/>
      <c r="AF218" s="194"/>
    </row>
    <row r="219" spans="1:32" x14ac:dyDescent="0.25">
      <c r="A219" s="194"/>
      <c r="B219" s="194"/>
      <c r="C219" s="194"/>
      <c r="D219" s="194"/>
      <c r="E219" s="194"/>
      <c r="F219" s="194"/>
      <c r="G219" s="194"/>
      <c r="H219" s="194"/>
      <c r="I219" s="194"/>
      <c r="J219" s="194"/>
      <c r="K219" s="194"/>
      <c r="L219" s="194"/>
      <c r="M219" s="194"/>
      <c r="N219" s="194"/>
      <c r="O219" s="194"/>
      <c r="P219" s="194"/>
      <c r="Q219" s="194"/>
      <c r="R219" s="194"/>
      <c r="S219" s="194"/>
      <c r="T219" s="194"/>
      <c r="U219" s="194"/>
      <c r="V219" s="194"/>
      <c r="W219" s="194"/>
      <c r="X219" s="194"/>
      <c r="Y219" s="194"/>
      <c r="Z219" s="194"/>
      <c r="AA219" s="194"/>
      <c r="AB219" s="194"/>
      <c r="AC219" s="194"/>
      <c r="AD219" s="194"/>
      <c r="AE219" s="194"/>
      <c r="AF219" s="194"/>
    </row>
    <row r="220" spans="1:32" x14ac:dyDescent="0.25">
      <c r="A220" s="194"/>
      <c r="B220" s="718" t="s">
        <v>1805</v>
      </c>
      <c r="C220" s="194"/>
      <c r="D220" s="194"/>
      <c r="E220" s="194"/>
      <c r="F220" s="194"/>
      <c r="G220" s="194"/>
      <c r="H220" s="194"/>
      <c r="I220" s="194"/>
      <c r="J220" s="194"/>
      <c r="K220" s="194"/>
      <c r="L220" s="194"/>
      <c r="M220" s="194"/>
      <c r="N220" s="194"/>
      <c r="O220" s="194"/>
      <c r="P220" s="194"/>
      <c r="Q220" s="194"/>
      <c r="R220" s="194"/>
      <c r="S220" s="194"/>
      <c r="T220" s="194"/>
      <c r="U220" s="194"/>
      <c r="V220" s="194"/>
      <c r="W220" s="194"/>
      <c r="X220" s="194"/>
      <c r="Y220" s="194"/>
      <c r="Z220" s="194"/>
      <c r="AA220" s="194"/>
      <c r="AB220" s="194"/>
      <c r="AC220" s="194"/>
      <c r="AD220" s="194"/>
      <c r="AE220" s="194"/>
      <c r="AF220" s="194"/>
    </row>
    <row r="221" spans="1:32" x14ac:dyDescent="0.25">
      <c r="A221" s="194"/>
      <c r="B221" s="194"/>
      <c r="C221" s="817"/>
      <c r="D221" s="817"/>
      <c r="E221" s="817"/>
      <c r="F221" s="817"/>
      <c r="G221" s="817"/>
      <c r="H221" s="817"/>
      <c r="I221" s="817"/>
      <c r="J221" s="817"/>
      <c r="K221" s="817"/>
      <c r="L221" s="817"/>
      <c r="M221" s="817"/>
      <c r="N221" s="817"/>
      <c r="O221" s="817"/>
      <c r="P221" s="817"/>
      <c r="Q221" s="817"/>
      <c r="R221" s="817"/>
      <c r="S221" s="817"/>
      <c r="T221" s="194"/>
      <c r="U221" s="194"/>
      <c r="V221" s="194"/>
      <c r="W221" s="194"/>
      <c r="X221" s="194"/>
      <c r="Y221" s="194"/>
      <c r="Z221" s="194"/>
      <c r="AA221" s="194"/>
      <c r="AB221" s="194"/>
      <c r="AC221" s="194"/>
      <c r="AD221" s="194"/>
      <c r="AE221" s="194"/>
      <c r="AF221" s="194"/>
    </row>
    <row r="222" spans="1:32" x14ac:dyDescent="0.25">
      <c r="A222" s="194"/>
      <c r="B222" s="194"/>
      <c r="C222" s="2056" t="s">
        <v>1807</v>
      </c>
      <c r="D222" s="2033"/>
      <c r="E222" s="2033"/>
      <c r="F222" s="2015"/>
      <c r="G222" s="2052" t="s">
        <v>1808</v>
      </c>
      <c r="H222" s="2033"/>
      <c r="I222" s="2033"/>
      <c r="J222" s="2033"/>
      <c r="K222" s="2033"/>
      <c r="L222" s="2015"/>
      <c r="M222" s="2057" t="s">
        <v>1809</v>
      </c>
      <c r="N222" s="2033"/>
      <c r="O222" s="2033"/>
      <c r="P222" s="2033"/>
      <c r="Q222" s="2033"/>
      <c r="R222" s="2015"/>
      <c r="S222" s="817"/>
      <c r="T222" s="194"/>
      <c r="U222" s="194"/>
      <c r="V222" s="194"/>
      <c r="W222" s="194"/>
      <c r="X222" s="194"/>
      <c r="Y222" s="194"/>
      <c r="Z222" s="194"/>
      <c r="AA222" s="194"/>
      <c r="AB222" s="194"/>
      <c r="AC222" s="194"/>
      <c r="AD222" s="194"/>
      <c r="AE222" s="194"/>
      <c r="AF222" s="194"/>
    </row>
    <row r="223" spans="1:32" x14ac:dyDescent="0.25">
      <c r="A223" s="194"/>
      <c r="B223" s="730" t="s">
        <v>1810</v>
      </c>
      <c r="C223" s="818" t="s">
        <v>1811</v>
      </c>
      <c r="D223" s="819" t="s">
        <v>1812</v>
      </c>
      <c r="E223" s="819" t="s">
        <v>1813</v>
      </c>
      <c r="F223" s="820" t="s">
        <v>1814</v>
      </c>
      <c r="G223" s="818">
        <v>2006</v>
      </c>
      <c r="H223" s="819">
        <v>2011</v>
      </c>
      <c r="I223" s="819">
        <v>2014</v>
      </c>
      <c r="J223" s="819">
        <v>2017</v>
      </c>
      <c r="K223" s="819">
        <v>2020</v>
      </c>
      <c r="L223" s="821">
        <v>2023</v>
      </c>
      <c r="M223" s="818">
        <v>2006</v>
      </c>
      <c r="N223" s="819">
        <v>2011</v>
      </c>
      <c r="O223" s="819">
        <v>2014</v>
      </c>
      <c r="P223" s="819">
        <v>2017</v>
      </c>
      <c r="Q223" s="819">
        <v>2020</v>
      </c>
      <c r="R223" s="821">
        <v>2023</v>
      </c>
      <c r="S223" s="817"/>
      <c r="T223" s="194"/>
      <c r="U223" s="194"/>
      <c r="V223" s="194"/>
      <c r="W223" s="194"/>
      <c r="X223" s="194"/>
      <c r="Y223" s="194"/>
      <c r="Z223" s="194"/>
      <c r="AA223" s="194"/>
      <c r="AB223" s="194"/>
      <c r="AC223" s="194"/>
      <c r="AD223" s="194"/>
      <c r="AE223" s="194"/>
      <c r="AF223" s="194"/>
    </row>
    <row r="224" spans="1:32" x14ac:dyDescent="0.25">
      <c r="A224" s="194"/>
      <c r="B224" s="822" t="s">
        <v>1815</v>
      </c>
      <c r="C224" s="823" t="s">
        <v>1816</v>
      </c>
      <c r="D224" s="824">
        <v>54</v>
      </c>
      <c r="E224" s="825"/>
      <c r="F224" s="826"/>
      <c r="G224" s="827">
        <v>2135.3404</v>
      </c>
      <c r="H224" s="787">
        <v>2144.8393219999998</v>
      </c>
      <c r="I224" s="787">
        <v>2144.8393219999998</v>
      </c>
      <c r="J224" s="787">
        <v>2144.8389999999999</v>
      </c>
      <c r="K224" s="787">
        <v>2144.8389999999999</v>
      </c>
      <c r="L224" s="828">
        <v>2144.8393219999998</v>
      </c>
      <c r="M224" s="827">
        <f t="shared" ref="M224:R224" si="78">G224*$D224/1000</f>
        <v>115.3083816</v>
      </c>
      <c r="N224" s="787">
        <f t="shared" si="78"/>
        <v>115.821323388</v>
      </c>
      <c r="O224" s="787">
        <f t="shared" si="78"/>
        <v>115.821323388</v>
      </c>
      <c r="P224" s="787">
        <f t="shared" si="78"/>
        <v>115.82130599999999</v>
      </c>
      <c r="Q224" s="787">
        <f t="shared" si="78"/>
        <v>115.82130599999999</v>
      </c>
      <c r="R224" s="829">
        <f t="shared" si="78"/>
        <v>115.821323388</v>
      </c>
      <c r="S224" s="830"/>
      <c r="T224" s="194"/>
      <c r="U224" s="194"/>
      <c r="V224" s="194"/>
      <c r="W224" s="194"/>
      <c r="X224" s="194"/>
      <c r="Y224" s="194"/>
      <c r="Z224" s="194"/>
      <c r="AA224" s="194"/>
      <c r="AB224" s="194"/>
      <c r="AC224" s="194"/>
      <c r="AD224" s="194"/>
      <c r="AE224" s="194"/>
      <c r="AF224" s="194"/>
    </row>
    <row r="225" spans="1:32" x14ac:dyDescent="0.25">
      <c r="A225" s="194"/>
      <c r="B225" s="831" t="s">
        <v>1815</v>
      </c>
      <c r="C225" s="832" t="s">
        <v>1817</v>
      </c>
      <c r="D225" s="833">
        <v>80.3</v>
      </c>
      <c r="E225" s="218"/>
      <c r="F225" s="826"/>
      <c r="G225" s="827">
        <v>5990.6760039999999</v>
      </c>
      <c r="H225" s="787">
        <v>5990.6760039999999</v>
      </c>
      <c r="I225" s="787">
        <v>5990.6760039999999</v>
      </c>
      <c r="J225" s="787">
        <v>5990.6760000000004</v>
      </c>
      <c r="K225" s="787">
        <v>5990.6760000000004</v>
      </c>
      <c r="L225" s="828">
        <v>5990.6760039999999</v>
      </c>
      <c r="M225" s="827">
        <f t="shared" ref="M225:R225" si="79">G225*$D225/1000</f>
        <v>481.05128312120002</v>
      </c>
      <c r="N225" s="787">
        <f t="shared" si="79"/>
        <v>481.05128312120002</v>
      </c>
      <c r="O225" s="787">
        <f t="shared" si="79"/>
        <v>481.05128312120002</v>
      </c>
      <c r="P225" s="787">
        <f t="shared" si="79"/>
        <v>481.05128279999997</v>
      </c>
      <c r="Q225" s="787">
        <f t="shared" si="79"/>
        <v>481.05128279999997</v>
      </c>
      <c r="R225" s="829">
        <f t="shared" si="79"/>
        <v>481.05128312120002</v>
      </c>
      <c r="S225" s="830"/>
      <c r="T225" s="194"/>
      <c r="U225" s="194"/>
      <c r="V225" s="194"/>
      <c r="W225" s="194"/>
      <c r="X225" s="194"/>
      <c r="Y225" s="194"/>
      <c r="Z225" s="194"/>
      <c r="AA225" s="194"/>
      <c r="AB225" s="194"/>
      <c r="AC225" s="194"/>
      <c r="AD225" s="194"/>
      <c r="AE225" s="194"/>
      <c r="AF225" s="194"/>
    </row>
    <row r="226" spans="1:32" x14ac:dyDescent="0.25">
      <c r="A226" s="194"/>
      <c r="B226" s="834" t="s">
        <v>1818</v>
      </c>
      <c r="C226" s="835" t="s">
        <v>1816</v>
      </c>
      <c r="D226" s="836">
        <v>84.7</v>
      </c>
      <c r="E226" s="836">
        <v>1.02</v>
      </c>
      <c r="F226" s="826">
        <f t="shared" ref="F226:F227" si="80">E226*44/12</f>
        <v>3.74</v>
      </c>
      <c r="G226" s="827">
        <v>9.4989216869999993</v>
      </c>
      <c r="H226" s="787">
        <v>0</v>
      </c>
      <c r="I226" s="787">
        <v>0</v>
      </c>
      <c r="J226" s="787">
        <v>0</v>
      </c>
      <c r="K226" s="787">
        <v>0</v>
      </c>
      <c r="L226" s="828">
        <v>0</v>
      </c>
      <c r="M226" s="827">
        <f t="shared" ref="M226:R226" si="81">G226*$D226/1000</f>
        <v>0.80455866688889999</v>
      </c>
      <c r="N226" s="787">
        <f t="shared" si="81"/>
        <v>0</v>
      </c>
      <c r="O226" s="787">
        <f t="shared" si="81"/>
        <v>0</v>
      </c>
      <c r="P226" s="787">
        <f t="shared" si="81"/>
        <v>0</v>
      </c>
      <c r="Q226" s="787">
        <f t="shared" si="81"/>
        <v>0</v>
      </c>
      <c r="R226" s="829">
        <f t="shared" si="81"/>
        <v>0</v>
      </c>
      <c r="S226" s="830"/>
      <c r="T226" s="194"/>
      <c r="U226" s="194"/>
      <c r="V226" s="194"/>
      <c r="W226" s="194"/>
      <c r="X226" s="194"/>
      <c r="Y226" s="194"/>
      <c r="Z226" s="194"/>
      <c r="AA226" s="194"/>
      <c r="AB226" s="194"/>
      <c r="AC226" s="194"/>
      <c r="AD226" s="194"/>
      <c r="AE226" s="194"/>
      <c r="AF226" s="194"/>
    </row>
    <row r="227" spans="1:32" x14ac:dyDescent="0.25">
      <c r="A227" s="194"/>
      <c r="B227" s="834" t="s">
        <v>1818</v>
      </c>
      <c r="C227" s="832" t="s">
        <v>1817</v>
      </c>
      <c r="D227" s="836">
        <v>127.5</v>
      </c>
      <c r="E227" s="836">
        <v>1.46</v>
      </c>
      <c r="F227" s="826">
        <f t="shared" si="80"/>
        <v>5.3533333333333326</v>
      </c>
      <c r="G227" s="827">
        <v>0</v>
      </c>
      <c r="H227" s="787">
        <v>0</v>
      </c>
      <c r="I227" s="787">
        <v>0</v>
      </c>
      <c r="J227" s="787">
        <v>0</v>
      </c>
      <c r="K227" s="787">
        <v>0</v>
      </c>
      <c r="L227" s="828">
        <v>0</v>
      </c>
      <c r="M227" s="827">
        <f t="shared" ref="M227:R227" si="82">G227*$D227/1000</f>
        <v>0</v>
      </c>
      <c r="N227" s="787">
        <f t="shared" si="82"/>
        <v>0</v>
      </c>
      <c r="O227" s="787">
        <f t="shared" si="82"/>
        <v>0</v>
      </c>
      <c r="P227" s="787">
        <f t="shared" si="82"/>
        <v>0</v>
      </c>
      <c r="Q227" s="787">
        <f t="shared" si="82"/>
        <v>0</v>
      </c>
      <c r="R227" s="829">
        <f t="shared" si="82"/>
        <v>0</v>
      </c>
      <c r="S227" s="830"/>
      <c r="T227" s="194"/>
      <c r="U227" s="194"/>
      <c r="V227" s="194"/>
      <c r="W227" s="194"/>
      <c r="X227" s="194"/>
      <c r="Y227" s="194"/>
      <c r="Z227" s="194"/>
      <c r="AA227" s="194"/>
      <c r="AB227" s="194"/>
      <c r="AC227" s="194"/>
      <c r="AD227" s="194"/>
      <c r="AE227" s="194"/>
      <c r="AF227" s="194"/>
    </row>
    <row r="228" spans="1:32" x14ac:dyDescent="0.25">
      <c r="A228" s="194"/>
      <c r="B228" s="831" t="s">
        <v>1819</v>
      </c>
      <c r="C228" s="832" t="s">
        <v>1820</v>
      </c>
      <c r="D228" s="837">
        <v>0.09</v>
      </c>
      <c r="E228" s="218"/>
      <c r="F228" s="826"/>
      <c r="G228" s="832"/>
      <c r="H228" s="218"/>
      <c r="I228" s="218"/>
      <c r="J228" s="218"/>
      <c r="K228" s="218"/>
      <c r="L228" s="838"/>
      <c r="M228" s="827">
        <f t="shared" ref="M228:Q228" si="83">SUM(M224:M227)*$D228</f>
        <v>53.744780104927997</v>
      </c>
      <c r="N228" s="787">
        <f t="shared" si="83"/>
        <v>53.718534585828003</v>
      </c>
      <c r="O228" s="787">
        <f t="shared" si="83"/>
        <v>53.718534585828003</v>
      </c>
      <c r="P228" s="787">
        <f t="shared" si="83"/>
        <v>53.718532991999986</v>
      </c>
      <c r="Q228" s="787">
        <f t="shared" si="83"/>
        <v>53.718532991999986</v>
      </c>
      <c r="R228" s="829">
        <f>L228*$D228/1000</f>
        <v>0</v>
      </c>
      <c r="S228" s="830"/>
      <c r="T228" s="194"/>
      <c r="U228" s="194"/>
      <c r="V228" s="194"/>
      <c r="W228" s="194"/>
      <c r="X228" s="194"/>
      <c r="Y228" s="194"/>
      <c r="Z228" s="194"/>
      <c r="AA228" s="194"/>
      <c r="AB228" s="194"/>
      <c r="AC228" s="194"/>
      <c r="AD228" s="194"/>
      <c r="AE228" s="194"/>
      <c r="AF228" s="194"/>
    </row>
    <row r="229" spans="1:32" x14ac:dyDescent="0.25">
      <c r="A229" s="194"/>
      <c r="B229" s="831" t="s">
        <v>1821</v>
      </c>
      <c r="C229" s="832" t="s">
        <v>1820</v>
      </c>
      <c r="D229" s="833">
        <v>183</v>
      </c>
      <c r="E229" s="218"/>
      <c r="F229" s="826"/>
      <c r="G229" s="827">
        <v>378.54672799999997</v>
      </c>
      <c r="H229" s="787">
        <v>381.76787580000001</v>
      </c>
      <c r="I229" s="787">
        <v>384.71023600000001</v>
      </c>
      <c r="J229" s="787">
        <v>384.71019999999999</v>
      </c>
      <c r="K229" s="787">
        <v>384.71019999999999</v>
      </c>
      <c r="L229" s="828">
        <v>384.71023600000001</v>
      </c>
      <c r="M229" s="827">
        <f t="shared" ref="M229:R229" si="84">G229*$D229/1000</f>
        <v>69.27405122399999</v>
      </c>
      <c r="N229" s="787">
        <f t="shared" si="84"/>
        <v>69.863521271400003</v>
      </c>
      <c r="O229" s="787">
        <f t="shared" si="84"/>
        <v>70.401973187999999</v>
      </c>
      <c r="P229" s="787">
        <f t="shared" si="84"/>
        <v>70.401966599999994</v>
      </c>
      <c r="Q229" s="787">
        <f t="shared" si="84"/>
        <v>70.401966599999994</v>
      </c>
      <c r="R229" s="829">
        <f t="shared" si="84"/>
        <v>70.401973187999999</v>
      </c>
      <c r="S229" s="830"/>
      <c r="T229" s="194"/>
      <c r="U229" s="194"/>
      <c r="V229" s="194"/>
      <c r="W229" s="194"/>
      <c r="X229" s="194"/>
      <c r="Y229" s="194"/>
      <c r="Z229" s="194"/>
      <c r="AA229" s="194"/>
      <c r="AB229" s="194"/>
      <c r="AC229" s="194"/>
      <c r="AD229" s="194"/>
      <c r="AE229" s="194"/>
      <c r="AF229" s="194"/>
    </row>
    <row r="230" spans="1:32" x14ac:dyDescent="0.25">
      <c r="A230" s="194"/>
      <c r="B230" s="831" t="s">
        <v>1822</v>
      </c>
      <c r="C230" s="835" t="s">
        <v>1816</v>
      </c>
      <c r="D230" s="833">
        <v>183</v>
      </c>
      <c r="E230" s="836">
        <v>1.02</v>
      </c>
      <c r="F230" s="826">
        <f t="shared" ref="F230:F231" si="85">E230*44/12</f>
        <v>3.74</v>
      </c>
      <c r="G230" s="827">
        <v>0</v>
      </c>
      <c r="H230" s="787">
        <v>0</v>
      </c>
      <c r="I230" s="787">
        <v>0</v>
      </c>
      <c r="J230" s="787">
        <v>0</v>
      </c>
      <c r="K230" s="787">
        <v>0</v>
      </c>
      <c r="L230" s="828">
        <v>0</v>
      </c>
      <c r="M230" s="827">
        <f t="shared" ref="M230:R230" si="86">G230*$D230/1000</f>
        <v>0</v>
      </c>
      <c r="N230" s="787">
        <f t="shared" si="86"/>
        <v>0</v>
      </c>
      <c r="O230" s="787">
        <f t="shared" si="86"/>
        <v>0</v>
      </c>
      <c r="P230" s="787">
        <f t="shared" si="86"/>
        <v>0</v>
      </c>
      <c r="Q230" s="787">
        <f t="shared" si="86"/>
        <v>0</v>
      </c>
      <c r="R230" s="829">
        <f t="shared" si="86"/>
        <v>0</v>
      </c>
      <c r="S230" s="830"/>
      <c r="T230" s="194"/>
      <c r="U230" s="194"/>
      <c r="V230" s="194"/>
      <c r="W230" s="194"/>
      <c r="X230" s="194"/>
      <c r="Y230" s="194"/>
      <c r="Z230" s="194"/>
      <c r="AA230" s="194"/>
      <c r="AB230" s="194"/>
      <c r="AC230" s="194"/>
      <c r="AD230" s="194"/>
      <c r="AE230" s="194"/>
      <c r="AF230" s="194"/>
    </row>
    <row r="231" spans="1:32" x14ac:dyDescent="0.25">
      <c r="A231" s="194"/>
      <c r="B231" s="831" t="s">
        <v>1822</v>
      </c>
      <c r="C231" s="832" t="s">
        <v>1817</v>
      </c>
      <c r="D231" s="833">
        <v>183</v>
      </c>
      <c r="E231" s="836">
        <v>1.46</v>
      </c>
      <c r="F231" s="826">
        <f t="shared" si="85"/>
        <v>5.3533333333333326</v>
      </c>
      <c r="G231" s="827">
        <v>6.1635079480000003</v>
      </c>
      <c r="H231" s="787">
        <v>8.6464103950000002</v>
      </c>
      <c r="I231" s="787">
        <v>5.7040501949999998</v>
      </c>
      <c r="J231" s="787">
        <v>5.7040499999999996</v>
      </c>
      <c r="K231" s="787">
        <v>5.7040499999999996</v>
      </c>
      <c r="L231" s="828">
        <v>5.7040501949999998</v>
      </c>
      <c r="M231" s="827">
        <f t="shared" ref="M231:R231" si="87">G231*$D231/1000</f>
        <v>1.127921954484</v>
      </c>
      <c r="N231" s="787">
        <f t="shared" si="87"/>
        <v>1.582293102285</v>
      </c>
      <c r="O231" s="787">
        <f t="shared" si="87"/>
        <v>1.0438411856850001</v>
      </c>
      <c r="P231" s="787">
        <f t="shared" si="87"/>
        <v>1.04384115</v>
      </c>
      <c r="Q231" s="787">
        <f t="shared" si="87"/>
        <v>1.04384115</v>
      </c>
      <c r="R231" s="829">
        <f t="shared" si="87"/>
        <v>1.0438411856850001</v>
      </c>
      <c r="S231" s="830"/>
      <c r="T231" s="194"/>
      <c r="U231" s="194"/>
      <c r="V231" s="194"/>
      <c r="W231" s="194"/>
      <c r="X231" s="194"/>
      <c r="Y231" s="194"/>
      <c r="Z231" s="194"/>
      <c r="AA231" s="194"/>
      <c r="AB231" s="194"/>
      <c r="AC231" s="194"/>
      <c r="AD231" s="194"/>
      <c r="AE231" s="194"/>
      <c r="AF231" s="194"/>
    </row>
    <row r="232" spans="1:32" x14ac:dyDescent="0.25">
      <c r="A232" s="194"/>
      <c r="B232" s="831" t="s">
        <v>1823</v>
      </c>
      <c r="C232" s="839" t="s">
        <v>1820</v>
      </c>
      <c r="D232" s="840">
        <v>416</v>
      </c>
      <c r="E232" s="841"/>
      <c r="F232" s="842"/>
      <c r="G232" s="843">
        <v>230.3975188</v>
      </c>
      <c r="H232" s="791">
        <v>230.3975188</v>
      </c>
      <c r="I232" s="791">
        <v>230.3975188</v>
      </c>
      <c r="J232" s="791">
        <v>230.39750000000001</v>
      </c>
      <c r="K232" s="791">
        <v>230.39750000000001</v>
      </c>
      <c r="L232" s="844">
        <v>230.3975188</v>
      </c>
      <c r="M232" s="843">
        <f t="shared" ref="M232:R232" si="88">G232*$D232/1000</f>
        <v>95.845367820800007</v>
      </c>
      <c r="N232" s="791">
        <f t="shared" si="88"/>
        <v>95.845367820800007</v>
      </c>
      <c r="O232" s="791">
        <f t="shared" si="88"/>
        <v>95.845367820800007</v>
      </c>
      <c r="P232" s="791">
        <f t="shared" si="88"/>
        <v>95.845359999999999</v>
      </c>
      <c r="Q232" s="791">
        <f t="shared" si="88"/>
        <v>95.845359999999999</v>
      </c>
      <c r="R232" s="845">
        <f t="shared" si="88"/>
        <v>95.845367820800007</v>
      </c>
      <c r="S232" s="830"/>
      <c r="T232" s="194"/>
      <c r="U232" s="194"/>
      <c r="V232" s="194"/>
      <c r="W232" s="194"/>
      <c r="X232" s="194"/>
      <c r="Y232" s="194"/>
      <c r="Z232" s="194"/>
      <c r="AA232" s="194"/>
      <c r="AB232" s="194"/>
      <c r="AC232" s="194"/>
      <c r="AD232" s="194"/>
      <c r="AE232" s="194"/>
      <c r="AF232" s="194"/>
    </row>
    <row r="233" spans="1:32" x14ac:dyDescent="0.25">
      <c r="A233" s="194"/>
      <c r="B233" s="194"/>
      <c r="C233" s="194"/>
      <c r="D233" s="194"/>
      <c r="E233" s="194"/>
      <c r="F233" s="194"/>
      <c r="G233" s="194"/>
      <c r="H233" s="194"/>
      <c r="I233" s="194"/>
      <c r="J233" s="194"/>
      <c r="K233" s="194"/>
      <c r="M233" s="194"/>
      <c r="N233" s="194"/>
      <c r="O233" s="194"/>
      <c r="P233" s="194"/>
      <c r="Q233" s="194"/>
      <c r="R233" s="194"/>
      <c r="S233" s="194"/>
      <c r="T233" s="194"/>
      <c r="U233" s="194"/>
      <c r="V233" s="194"/>
      <c r="W233" s="194"/>
      <c r="X233" s="194"/>
      <c r="Y233" s="194"/>
      <c r="Z233" s="194"/>
      <c r="AA233" s="194"/>
      <c r="AB233" s="194"/>
      <c r="AC233" s="194"/>
      <c r="AD233" s="194"/>
      <c r="AE233" s="194"/>
      <c r="AF233" s="194"/>
    </row>
    <row r="234" spans="1:32" x14ac:dyDescent="0.25">
      <c r="A234" s="194"/>
      <c r="B234" s="194"/>
      <c r="C234" s="194"/>
      <c r="D234" s="194"/>
      <c r="E234" s="194"/>
      <c r="F234" s="194"/>
      <c r="G234" s="194"/>
      <c r="H234" s="194"/>
      <c r="I234" s="194"/>
      <c r="J234" s="194"/>
      <c r="K234" s="194"/>
      <c r="M234" s="194"/>
      <c r="N234" s="194"/>
      <c r="O234" s="194"/>
      <c r="P234" s="194"/>
      <c r="Q234" s="194"/>
      <c r="R234" s="194"/>
      <c r="S234" s="194"/>
      <c r="T234" s="194"/>
      <c r="U234" s="194"/>
      <c r="V234" s="194"/>
      <c r="W234" s="194"/>
      <c r="X234" s="194"/>
      <c r="Y234" s="194"/>
      <c r="Z234" s="194"/>
      <c r="AA234" s="194"/>
      <c r="AB234" s="194"/>
      <c r="AC234" s="194"/>
      <c r="AD234" s="194"/>
      <c r="AE234" s="194"/>
      <c r="AF234" s="194"/>
    </row>
    <row r="235" spans="1:32" x14ac:dyDescent="0.25">
      <c r="A235" s="194"/>
      <c r="B235" s="194"/>
      <c r="C235" s="2056" t="s">
        <v>1807</v>
      </c>
      <c r="D235" s="2033"/>
      <c r="E235" s="2033"/>
      <c r="F235" s="2015"/>
      <c r="G235" s="2052" t="s">
        <v>1808</v>
      </c>
      <c r="H235" s="2033"/>
      <c r="I235" s="2033"/>
      <c r="J235" s="2033"/>
      <c r="K235" s="2033"/>
      <c r="L235" s="2015"/>
      <c r="M235" s="2053" t="s">
        <v>1824</v>
      </c>
      <c r="N235" s="2033"/>
      <c r="O235" s="2033"/>
      <c r="P235" s="2033"/>
      <c r="Q235" s="2033"/>
      <c r="R235" s="2015"/>
      <c r="T235" s="194"/>
      <c r="U235" s="194"/>
      <c r="V235" s="194"/>
      <c r="W235" s="194"/>
      <c r="X235" s="194"/>
      <c r="Y235" s="194"/>
      <c r="Z235" s="194"/>
      <c r="AA235" s="194"/>
      <c r="AB235" s="194"/>
      <c r="AC235" s="194"/>
      <c r="AD235" s="194"/>
      <c r="AE235" s="194"/>
      <c r="AF235" s="194"/>
    </row>
    <row r="236" spans="1:32" x14ac:dyDescent="0.25">
      <c r="A236" s="194"/>
      <c r="B236" s="730" t="s">
        <v>1810</v>
      </c>
      <c r="C236" s="818" t="s">
        <v>1811</v>
      </c>
      <c r="D236" s="819" t="s">
        <v>1812</v>
      </c>
      <c r="E236" s="819" t="s">
        <v>1813</v>
      </c>
      <c r="F236" s="820" t="s">
        <v>1814</v>
      </c>
      <c r="G236" s="818">
        <v>2006</v>
      </c>
      <c r="H236" s="819">
        <v>2011</v>
      </c>
      <c r="I236" s="819">
        <v>2014</v>
      </c>
      <c r="J236" s="819">
        <v>2017</v>
      </c>
      <c r="K236" s="819">
        <v>2020</v>
      </c>
      <c r="L236" s="821">
        <v>2023</v>
      </c>
      <c r="M236" s="818">
        <v>2006</v>
      </c>
      <c r="N236" s="819">
        <v>2011</v>
      </c>
      <c r="O236" s="819">
        <v>2014</v>
      </c>
      <c r="P236" s="819">
        <v>2017</v>
      </c>
      <c r="Q236" s="819">
        <v>2020</v>
      </c>
      <c r="R236" s="821">
        <v>2023</v>
      </c>
      <c r="T236" s="194"/>
      <c r="U236" s="194"/>
      <c r="V236" s="194"/>
      <c r="W236" s="194"/>
      <c r="X236" s="194"/>
      <c r="Y236" s="194"/>
      <c r="Z236" s="194"/>
      <c r="AA236" s="194"/>
      <c r="AB236" s="194"/>
      <c r="AC236" s="194"/>
      <c r="AD236" s="194"/>
      <c r="AE236" s="194"/>
      <c r="AF236" s="194"/>
    </row>
    <row r="237" spans="1:32" x14ac:dyDescent="0.25">
      <c r="A237" s="194"/>
      <c r="B237" s="822" t="s">
        <v>1815</v>
      </c>
      <c r="C237" s="823" t="s">
        <v>1816</v>
      </c>
      <c r="D237" s="824">
        <v>54</v>
      </c>
      <c r="E237" s="825"/>
      <c r="F237" s="826"/>
      <c r="G237" s="827">
        <v>2135.3404</v>
      </c>
      <c r="H237" s="787">
        <v>2144.8393219999998</v>
      </c>
      <c r="I237" s="787">
        <v>2144.8393219999998</v>
      </c>
      <c r="J237" s="787">
        <v>2144.8389999999999</v>
      </c>
      <c r="K237" s="787">
        <v>2144.8389999999999</v>
      </c>
      <c r="L237" s="828">
        <v>2144.8393219999998</v>
      </c>
      <c r="M237" s="827">
        <f t="shared" ref="M237:R237" si="89">G237*$F237</f>
        <v>0</v>
      </c>
      <c r="N237" s="787">
        <f t="shared" si="89"/>
        <v>0</v>
      </c>
      <c r="O237" s="787">
        <f t="shared" si="89"/>
        <v>0</v>
      </c>
      <c r="P237" s="787">
        <f t="shared" si="89"/>
        <v>0</v>
      </c>
      <c r="Q237" s="787">
        <f t="shared" si="89"/>
        <v>0</v>
      </c>
      <c r="R237" s="829">
        <f t="shared" si="89"/>
        <v>0</v>
      </c>
      <c r="T237" s="194"/>
      <c r="U237" s="194"/>
      <c r="V237" s="194"/>
      <c r="W237" s="194"/>
      <c r="X237" s="194"/>
      <c r="Y237" s="194"/>
      <c r="Z237" s="194"/>
      <c r="AA237" s="194"/>
      <c r="AB237" s="194"/>
      <c r="AC237" s="194"/>
      <c r="AD237" s="194"/>
      <c r="AE237" s="194"/>
      <c r="AF237" s="194"/>
    </row>
    <row r="238" spans="1:32" x14ac:dyDescent="0.25">
      <c r="A238" s="194"/>
      <c r="B238" s="831" t="s">
        <v>1815</v>
      </c>
      <c r="C238" s="832" t="s">
        <v>1817</v>
      </c>
      <c r="D238" s="833">
        <v>80.3</v>
      </c>
      <c r="E238" s="218"/>
      <c r="F238" s="826"/>
      <c r="G238" s="827">
        <v>5990.6760039999999</v>
      </c>
      <c r="H238" s="787">
        <v>5990.6760039999999</v>
      </c>
      <c r="I238" s="787">
        <v>5990.6760039999999</v>
      </c>
      <c r="J238" s="787">
        <v>5990.6760000000004</v>
      </c>
      <c r="K238" s="787">
        <v>5990.6760000000004</v>
      </c>
      <c r="L238" s="828">
        <v>5990.6760039999999</v>
      </c>
      <c r="M238" s="827">
        <f t="shared" ref="M238:R238" si="90">G238*$F238</f>
        <v>0</v>
      </c>
      <c r="N238" s="787">
        <f t="shared" si="90"/>
        <v>0</v>
      </c>
      <c r="O238" s="787">
        <f t="shared" si="90"/>
        <v>0</v>
      </c>
      <c r="P238" s="787">
        <f t="shared" si="90"/>
        <v>0</v>
      </c>
      <c r="Q238" s="787">
        <f t="shared" si="90"/>
        <v>0</v>
      </c>
      <c r="R238" s="829">
        <f t="shared" si="90"/>
        <v>0</v>
      </c>
      <c r="T238" s="194"/>
      <c r="U238" s="194"/>
      <c r="V238" s="194"/>
      <c r="W238" s="194"/>
      <c r="X238" s="194"/>
      <c r="Y238" s="194"/>
      <c r="Z238" s="194"/>
      <c r="AA238" s="194"/>
      <c r="AB238" s="194"/>
      <c r="AC238" s="194"/>
      <c r="AD238" s="194"/>
      <c r="AE238" s="194"/>
      <c r="AF238" s="194"/>
    </row>
    <row r="239" spans="1:32" x14ac:dyDescent="0.25">
      <c r="A239" s="194"/>
      <c r="B239" s="834" t="s">
        <v>1818</v>
      </c>
      <c r="C239" s="835" t="s">
        <v>1816</v>
      </c>
      <c r="D239" s="836">
        <v>84.7</v>
      </c>
      <c r="E239" s="836">
        <v>1.02</v>
      </c>
      <c r="F239" s="826">
        <f t="shared" ref="F239:F240" si="91">E239*44/12</f>
        <v>3.74</v>
      </c>
      <c r="G239" s="827">
        <v>9.4989216869999993</v>
      </c>
      <c r="H239" s="787">
        <v>0</v>
      </c>
      <c r="I239" s="787">
        <v>0</v>
      </c>
      <c r="J239" s="787">
        <v>0</v>
      </c>
      <c r="K239" s="787">
        <v>0</v>
      </c>
      <c r="L239" s="828">
        <v>0</v>
      </c>
      <c r="M239" s="827">
        <f t="shared" ref="M239:R239" si="92">G239*$F239</f>
        <v>35.525967109379998</v>
      </c>
      <c r="N239" s="787">
        <f t="shared" si="92"/>
        <v>0</v>
      </c>
      <c r="O239" s="787">
        <f t="shared" si="92"/>
        <v>0</v>
      </c>
      <c r="P239" s="787">
        <f t="shared" si="92"/>
        <v>0</v>
      </c>
      <c r="Q239" s="787">
        <f t="shared" si="92"/>
        <v>0</v>
      </c>
      <c r="R239" s="829">
        <f t="shared" si="92"/>
        <v>0</v>
      </c>
      <c r="T239" s="194"/>
      <c r="U239" s="194"/>
      <c r="V239" s="194"/>
      <c r="W239" s="194"/>
      <c r="X239" s="194"/>
      <c r="Y239" s="194"/>
      <c r="Z239" s="194"/>
      <c r="AA239" s="194"/>
      <c r="AB239" s="194"/>
      <c r="AC239" s="194"/>
      <c r="AD239" s="194"/>
      <c r="AE239" s="194"/>
      <c r="AF239" s="194"/>
    </row>
    <row r="240" spans="1:32" x14ac:dyDescent="0.25">
      <c r="A240" s="194"/>
      <c r="B240" s="834" t="s">
        <v>1818</v>
      </c>
      <c r="C240" s="832" t="s">
        <v>1817</v>
      </c>
      <c r="D240" s="836">
        <v>127.5</v>
      </c>
      <c r="E240" s="836">
        <v>1.46</v>
      </c>
      <c r="F240" s="826">
        <f t="shared" si="91"/>
        <v>5.3533333333333326</v>
      </c>
      <c r="G240" s="827">
        <v>0</v>
      </c>
      <c r="H240" s="787">
        <v>0</v>
      </c>
      <c r="I240" s="787">
        <v>0</v>
      </c>
      <c r="J240" s="787">
        <v>0</v>
      </c>
      <c r="K240" s="787">
        <v>0</v>
      </c>
      <c r="L240" s="828">
        <v>0</v>
      </c>
      <c r="M240" s="827">
        <f t="shared" ref="M240:R240" si="93">G240*$F240</f>
        <v>0</v>
      </c>
      <c r="N240" s="787">
        <f t="shared" si="93"/>
        <v>0</v>
      </c>
      <c r="O240" s="787">
        <f t="shared" si="93"/>
        <v>0</v>
      </c>
      <c r="P240" s="787">
        <f t="shared" si="93"/>
        <v>0</v>
      </c>
      <c r="Q240" s="787">
        <f t="shared" si="93"/>
        <v>0</v>
      </c>
      <c r="R240" s="829">
        <f t="shared" si="93"/>
        <v>0</v>
      </c>
      <c r="T240" s="194"/>
      <c r="U240" s="194"/>
      <c r="V240" s="194"/>
      <c r="W240" s="194"/>
      <c r="X240" s="194"/>
      <c r="Y240" s="194"/>
      <c r="Z240" s="194"/>
      <c r="AA240" s="194"/>
      <c r="AB240" s="194"/>
      <c r="AC240" s="194"/>
      <c r="AD240" s="194"/>
      <c r="AE240" s="194"/>
      <c r="AF240" s="194"/>
    </row>
    <row r="241" spans="1:32" x14ac:dyDescent="0.25">
      <c r="A241" s="194"/>
      <c r="B241" s="831" t="s">
        <v>1819</v>
      </c>
      <c r="C241" s="832" t="s">
        <v>1820</v>
      </c>
      <c r="D241" s="837">
        <v>0.09</v>
      </c>
      <c r="E241" s="218"/>
      <c r="F241" s="826"/>
      <c r="G241" s="832"/>
      <c r="H241" s="218"/>
      <c r="I241" s="218"/>
      <c r="J241" s="218"/>
      <c r="K241" s="218"/>
      <c r="L241" s="838"/>
      <c r="M241" s="827"/>
      <c r="N241" s="787"/>
      <c r="O241" s="787"/>
      <c r="P241" s="787"/>
      <c r="Q241" s="787"/>
      <c r="R241" s="829"/>
      <c r="T241" s="194"/>
      <c r="U241" s="194"/>
      <c r="V241" s="194"/>
      <c r="W241" s="194"/>
      <c r="X241" s="194"/>
      <c r="Y241" s="194"/>
      <c r="Z241" s="194"/>
      <c r="AA241" s="194"/>
      <c r="AB241" s="194"/>
      <c r="AC241" s="194"/>
      <c r="AD241" s="194"/>
      <c r="AE241" s="194"/>
      <c r="AF241" s="194"/>
    </row>
    <row r="242" spans="1:32" x14ac:dyDescent="0.25">
      <c r="A242" s="194"/>
      <c r="B242" s="831" t="s">
        <v>1821</v>
      </c>
      <c r="C242" s="832" t="s">
        <v>1820</v>
      </c>
      <c r="D242" s="833">
        <v>183</v>
      </c>
      <c r="E242" s="218"/>
      <c r="F242" s="826"/>
      <c r="G242" s="827">
        <v>378.54672799999997</v>
      </c>
      <c r="H242" s="787">
        <v>381.76787580000001</v>
      </c>
      <c r="I242" s="787">
        <v>384.71023600000001</v>
      </c>
      <c r="J242" s="787">
        <v>384.71019999999999</v>
      </c>
      <c r="K242" s="787">
        <v>384.71019999999999</v>
      </c>
      <c r="L242" s="828">
        <v>384.71023600000001</v>
      </c>
      <c r="M242" s="827">
        <f t="shared" ref="M242:R242" si="94">G242*$F242</f>
        <v>0</v>
      </c>
      <c r="N242" s="787">
        <f t="shared" si="94"/>
        <v>0</v>
      </c>
      <c r="O242" s="787">
        <f t="shared" si="94"/>
        <v>0</v>
      </c>
      <c r="P242" s="787">
        <f t="shared" si="94"/>
        <v>0</v>
      </c>
      <c r="Q242" s="787">
        <f t="shared" si="94"/>
        <v>0</v>
      </c>
      <c r="R242" s="829">
        <f t="shared" si="94"/>
        <v>0</v>
      </c>
      <c r="T242" s="194"/>
      <c r="U242" s="194"/>
      <c r="V242" s="194"/>
      <c r="W242" s="194"/>
      <c r="X242" s="194"/>
      <c r="Y242" s="194"/>
      <c r="Z242" s="194"/>
      <c r="AA242" s="194"/>
      <c r="AB242" s="194"/>
      <c r="AC242" s="194"/>
      <c r="AD242" s="194"/>
      <c r="AE242" s="194"/>
      <c r="AF242" s="194"/>
    </row>
    <row r="243" spans="1:32" x14ac:dyDescent="0.25">
      <c r="A243" s="194"/>
      <c r="B243" s="831" t="s">
        <v>1822</v>
      </c>
      <c r="C243" s="835" t="s">
        <v>1816</v>
      </c>
      <c r="D243" s="833">
        <v>183</v>
      </c>
      <c r="E243" s="836">
        <v>1.02</v>
      </c>
      <c r="F243" s="826">
        <f t="shared" ref="F243:F244" si="95">E243*44/12</f>
        <v>3.74</v>
      </c>
      <c r="G243" s="827">
        <v>0</v>
      </c>
      <c r="H243" s="787">
        <v>0</v>
      </c>
      <c r="I243" s="787">
        <v>0</v>
      </c>
      <c r="J243" s="787">
        <v>0</v>
      </c>
      <c r="K243" s="787">
        <v>0</v>
      </c>
      <c r="L243" s="828">
        <v>0</v>
      </c>
      <c r="M243" s="827">
        <f t="shared" ref="M243:R243" si="96">G243*$F243</f>
        <v>0</v>
      </c>
      <c r="N243" s="787">
        <f t="shared" si="96"/>
        <v>0</v>
      </c>
      <c r="O243" s="787">
        <f t="shared" si="96"/>
        <v>0</v>
      </c>
      <c r="P243" s="787">
        <f t="shared" si="96"/>
        <v>0</v>
      </c>
      <c r="Q243" s="787">
        <f t="shared" si="96"/>
        <v>0</v>
      </c>
      <c r="R243" s="829">
        <f t="shared" si="96"/>
        <v>0</v>
      </c>
      <c r="T243" s="194"/>
      <c r="U243" s="194"/>
      <c r="V243" s="194"/>
      <c r="W243" s="194"/>
      <c r="X243" s="194"/>
      <c r="Y243" s="194"/>
      <c r="Z243" s="194"/>
      <c r="AA243" s="194"/>
      <c r="AB243" s="194"/>
      <c r="AC243" s="194"/>
      <c r="AD243" s="194"/>
      <c r="AE243" s="194"/>
      <c r="AF243" s="194"/>
    </row>
    <row r="244" spans="1:32" x14ac:dyDescent="0.25">
      <c r="A244" s="194"/>
      <c r="B244" s="831" t="s">
        <v>1822</v>
      </c>
      <c r="C244" s="832" t="s">
        <v>1817</v>
      </c>
      <c r="D244" s="833">
        <v>183</v>
      </c>
      <c r="E244" s="836">
        <v>1.46</v>
      </c>
      <c r="F244" s="826">
        <f t="shared" si="95"/>
        <v>5.3533333333333326</v>
      </c>
      <c r="G244" s="827">
        <v>6.1635079480000003</v>
      </c>
      <c r="H244" s="787">
        <v>8.6464103950000002</v>
      </c>
      <c r="I244" s="787">
        <v>5.7040501949999998</v>
      </c>
      <c r="J244" s="787">
        <v>5.7040499999999996</v>
      </c>
      <c r="K244" s="787">
        <v>5.7040499999999996</v>
      </c>
      <c r="L244" s="828">
        <v>5.7040501949999998</v>
      </c>
      <c r="M244" s="827">
        <f t="shared" ref="M244:R244" si="97">G244*$F244</f>
        <v>32.995312548293327</v>
      </c>
      <c r="N244" s="787">
        <f t="shared" si="97"/>
        <v>46.287116981233325</v>
      </c>
      <c r="O244" s="787">
        <f t="shared" si="97"/>
        <v>30.535682043899996</v>
      </c>
      <c r="P244" s="787">
        <f t="shared" si="97"/>
        <v>30.535680999999993</v>
      </c>
      <c r="Q244" s="787">
        <f t="shared" si="97"/>
        <v>30.535680999999993</v>
      </c>
      <c r="R244" s="829">
        <f t="shared" si="97"/>
        <v>30.535682043899996</v>
      </c>
      <c r="T244" s="194"/>
      <c r="U244" s="194"/>
      <c r="V244" s="194"/>
      <c r="W244" s="194"/>
      <c r="X244" s="194"/>
      <c r="Y244" s="194"/>
      <c r="Z244" s="194"/>
      <c r="AA244" s="194"/>
      <c r="AB244" s="194"/>
      <c r="AC244" s="194"/>
      <c r="AD244" s="194"/>
      <c r="AE244" s="194"/>
      <c r="AF244" s="194"/>
    </row>
    <row r="245" spans="1:32" x14ac:dyDescent="0.25">
      <c r="A245" s="194"/>
      <c r="B245" s="831" t="s">
        <v>1823</v>
      </c>
      <c r="C245" s="839" t="s">
        <v>1820</v>
      </c>
      <c r="D245" s="840">
        <v>416</v>
      </c>
      <c r="E245" s="841"/>
      <c r="F245" s="842"/>
      <c r="G245" s="843">
        <v>230.3975188</v>
      </c>
      <c r="H245" s="791">
        <v>230.3975188</v>
      </c>
      <c r="I245" s="791">
        <v>230.3975188</v>
      </c>
      <c r="J245" s="791">
        <v>230.39750000000001</v>
      </c>
      <c r="K245" s="791">
        <v>230.39750000000001</v>
      </c>
      <c r="L245" s="844">
        <v>230.3975188</v>
      </c>
      <c r="M245" s="843">
        <f t="shared" ref="M245:R245" si="98">G245*$F245</f>
        <v>0</v>
      </c>
      <c r="N245" s="791">
        <f t="shared" si="98"/>
        <v>0</v>
      </c>
      <c r="O245" s="791">
        <f t="shared" si="98"/>
        <v>0</v>
      </c>
      <c r="P245" s="791">
        <f t="shared" si="98"/>
        <v>0</v>
      </c>
      <c r="Q245" s="791">
        <f t="shared" si="98"/>
        <v>0</v>
      </c>
      <c r="R245" s="845">
        <f t="shared" si="98"/>
        <v>0</v>
      </c>
      <c r="T245" s="194"/>
      <c r="U245" s="194"/>
      <c r="V245" s="194"/>
      <c r="W245" s="194"/>
      <c r="X245" s="194"/>
      <c r="Y245" s="194"/>
      <c r="Z245" s="194"/>
      <c r="AA245" s="194"/>
      <c r="AB245" s="194"/>
      <c r="AC245" s="194"/>
      <c r="AD245" s="194"/>
      <c r="AE245" s="194"/>
      <c r="AF245" s="194"/>
    </row>
    <row r="246" spans="1:32" x14ac:dyDescent="0.25">
      <c r="A246" s="194"/>
      <c r="B246" s="194"/>
      <c r="C246" s="194"/>
      <c r="D246" s="194"/>
      <c r="E246" s="194"/>
      <c r="F246" s="194"/>
      <c r="G246" s="194"/>
      <c r="H246" s="194"/>
      <c r="I246" s="194"/>
      <c r="J246" s="194"/>
      <c r="K246" s="194"/>
      <c r="L246" s="194"/>
      <c r="M246" s="194"/>
      <c r="N246" s="194"/>
      <c r="O246" s="194"/>
      <c r="P246" s="194"/>
      <c r="Q246" s="194"/>
      <c r="R246" s="194"/>
      <c r="S246" s="194"/>
      <c r="T246" s="194"/>
      <c r="U246" s="194"/>
      <c r="V246" s="194"/>
      <c r="W246" s="194"/>
      <c r="X246" s="194"/>
      <c r="Y246" s="194"/>
      <c r="Z246" s="194"/>
      <c r="AA246" s="194"/>
      <c r="AB246" s="194"/>
      <c r="AC246" s="194"/>
      <c r="AD246" s="194"/>
      <c r="AE246" s="194"/>
      <c r="AF246" s="194"/>
    </row>
    <row r="247" spans="1:32" x14ac:dyDescent="0.25">
      <c r="A247" s="194"/>
      <c r="B247" s="194"/>
      <c r="C247" s="194"/>
      <c r="D247" s="194"/>
      <c r="E247" s="194"/>
      <c r="F247" s="194"/>
      <c r="G247" s="194"/>
      <c r="H247" s="194"/>
      <c r="I247" s="194"/>
      <c r="J247" s="194"/>
      <c r="K247" s="194"/>
      <c r="L247" s="194"/>
      <c r="M247" s="194"/>
      <c r="N247" s="194"/>
      <c r="O247" s="194"/>
      <c r="P247" s="194"/>
      <c r="Q247" s="194"/>
      <c r="R247" s="194"/>
      <c r="S247" s="194"/>
      <c r="T247" s="194"/>
      <c r="U247" s="194"/>
      <c r="V247" s="194"/>
      <c r="W247" s="194"/>
      <c r="X247" s="194"/>
      <c r="Y247" s="194"/>
      <c r="Z247" s="194"/>
      <c r="AA247" s="194"/>
      <c r="AB247" s="194"/>
      <c r="AC247" s="194"/>
      <c r="AD247" s="194"/>
      <c r="AE247" s="194"/>
      <c r="AF247" s="194"/>
    </row>
    <row r="248" spans="1:32" x14ac:dyDescent="0.25">
      <c r="A248" s="194"/>
      <c r="B248" s="718" t="s">
        <v>1826</v>
      </c>
      <c r="C248" s="194"/>
      <c r="D248" s="194"/>
      <c r="E248" s="194"/>
      <c r="F248" s="194"/>
      <c r="G248" s="194"/>
      <c r="H248" s="194"/>
      <c r="I248" s="194"/>
      <c r="J248" s="194"/>
      <c r="K248" s="194"/>
      <c r="L248" s="194"/>
      <c r="M248" s="194"/>
      <c r="N248" s="194"/>
      <c r="O248" s="194"/>
      <c r="P248" s="194"/>
      <c r="Q248" s="194"/>
      <c r="R248" s="194"/>
      <c r="S248" s="194"/>
      <c r="T248" s="194"/>
      <c r="U248" s="194"/>
      <c r="V248" s="194"/>
      <c r="W248" s="194"/>
      <c r="X248" s="194"/>
      <c r="Y248" s="194"/>
      <c r="Z248" s="194"/>
      <c r="AA248" s="194"/>
      <c r="AB248" s="194"/>
      <c r="AC248" s="194"/>
      <c r="AD248" s="194"/>
      <c r="AE248" s="194"/>
      <c r="AF248" s="194"/>
    </row>
    <row r="249" spans="1:32" x14ac:dyDescent="0.25">
      <c r="A249" s="194"/>
      <c r="B249" s="194"/>
      <c r="C249" s="194"/>
      <c r="D249" s="194"/>
      <c r="E249" s="194"/>
      <c r="F249" s="194"/>
      <c r="G249" s="194"/>
      <c r="H249" s="194"/>
      <c r="I249" s="194"/>
      <c r="J249" s="194"/>
      <c r="K249" s="194"/>
      <c r="L249" s="194"/>
      <c r="M249" s="194"/>
      <c r="N249" s="194"/>
      <c r="O249" s="194"/>
      <c r="P249" s="194"/>
      <c r="Q249" s="194"/>
      <c r="R249" s="194"/>
      <c r="S249" s="194"/>
      <c r="T249" s="194"/>
      <c r="U249" s="194"/>
      <c r="V249" s="194"/>
      <c r="W249" s="194"/>
      <c r="X249" s="194"/>
      <c r="Y249" s="194"/>
      <c r="Z249" s="194"/>
      <c r="AA249" s="194"/>
      <c r="AB249" s="194"/>
      <c r="AC249" s="194"/>
      <c r="AD249" s="194"/>
      <c r="AE249" s="194"/>
      <c r="AF249" s="194"/>
    </row>
    <row r="250" spans="1:32" x14ac:dyDescent="0.25">
      <c r="A250" s="194"/>
      <c r="B250" s="743" t="s">
        <v>822</v>
      </c>
      <c r="C250" s="732">
        <v>2023</v>
      </c>
      <c r="D250" s="194"/>
      <c r="E250" s="194"/>
      <c r="F250" s="194"/>
      <c r="G250" s="194"/>
      <c r="H250" s="194"/>
      <c r="I250" s="194"/>
      <c r="J250" s="194"/>
      <c r="K250" s="194"/>
      <c r="L250" s="194"/>
      <c r="M250" s="194"/>
      <c r="N250" s="194"/>
      <c r="O250" s="194"/>
      <c r="P250" s="194"/>
      <c r="Q250" s="194"/>
      <c r="R250" s="194"/>
      <c r="S250" s="194"/>
      <c r="T250" s="194"/>
      <c r="U250" s="194"/>
      <c r="V250" s="194"/>
      <c r="W250" s="194"/>
      <c r="X250" s="194"/>
      <c r="Y250" s="194"/>
      <c r="Z250" s="194"/>
      <c r="AA250" s="194"/>
      <c r="AB250" s="194"/>
      <c r="AC250" s="194"/>
      <c r="AD250" s="194"/>
      <c r="AE250" s="194"/>
      <c r="AF250" s="194"/>
    </row>
    <row r="251" spans="1:32" x14ac:dyDescent="0.25">
      <c r="A251" s="194"/>
      <c r="B251" s="846" t="s">
        <v>10</v>
      </c>
      <c r="C251" s="847">
        <f>SUM(C252:C254)</f>
        <v>-0.53901440970355763</v>
      </c>
      <c r="D251" s="194"/>
      <c r="E251" s="194"/>
      <c r="F251" s="194"/>
      <c r="G251" s="194"/>
      <c r="H251" s="194"/>
      <c r="I251" s="194"/>
      <c r="J251" s="194"/>
      <c r="K251" s="194"/>
      <c r="L251" s="194"/>
      <c r="M251" s="194"/>
      <c r="N251" s="194"/>
      <c r="O251" s="194"/>
      <c r="P251" s="194"/>
      <c r="Q251" s="194"/>
      <c r="R251" s="194"/>
      <c r="S251" s="194"/>
      <c r="T251" s="194"/>
      <c r="U251" s="194"/>
      <c r="V251" s="194"/>
      <c r="W251" s="194"/>
      <c r="X251" s="194"/>
      <c r="Y251" s="194"/>
      <c r="Z251" s="194"/>
      <c r="AA251" s="194"/>
      <c r="AB251" s="194"/>
      <c r="AC251" s="194"/>
      <c r="AD251" s="194"/>
      <c r="AE251" s="194"/>
      <c r="AF251" s="194"/>
    </row>
    <row r="252" spans="1:32" x14ac:dyDescent="0.25">
      <c r="A252" s="194"/>
      <c r="B252" s="848" t="s">
        <v>1827</v>
      </c>
      <c r="C252" s="315">
        <f>(L193+L217)/1000000</f>
        <v>-0.52643118038691683</v>
      </c>
      <c r="D252" s="194"/>
      <c r="E252" s="194"/>
      <c r="F252" s="194"/>
      <c r="G252" s="194"/>
      <c r="H252" s="194"/>
      <c r="I252" s="194"/>
      <c r="J252" s="194"/>
      <c r="K252" s="194"/>
      <c r="L252" s="194"/>
      <c r="M252" s="194"/>
      <c r="N252" s="194"/>
      <c r="O252" s="194"/>
      <c r="P252" s="194"/>
      <c r="Q252" s="194"/>
      <c r="R252" s="194"/>
      <c r="S252" s="194"/>
      <c r="T252" s="194"/>
      <c r="U252" s="194"/>
      <c r="V252" s="194"/>
      <c r="W252" s="194"/>
      <c r="X252" s="194"/>
      <c r="Y252" s="194"/>
      <c r="Z252" s="194"/>
      <c r="AA252" s="194"/>
      <c r="AB252" s="194"/>
      <c r="AC252" s="194"/>
      <c r="AD252" s="194"/>
      <c r="AE252" s="194"/>
      <c r="AF252" s="194"/>
    </row>
    <row r="253" spans="1:32" x14ac:dyDescent="0.25">
      <c r="A253" s="194"/>
      <c r="B253" s="848" t="s">
        <v>1828</v>
      </c>
      <c r="C253" s="315">
        <f>L194/1000000</f>
        <v>-1.261376499868477E-2</v>
      </c>
      <c r="D253" s="194"/>
      <c r="E253" s="194"/>
      <c r="F253" s="194"/>
      <c r="G253" s="194"/>
      <c r="H253" s="194"/>
      <c r="I253" s="194"/>
      <c r="J253" s="194"/>
      <c r="K253" s="194"/>
      <c r="L253" s="194"/>
      <c r="M253" s="194"/>
      <c r="N253" s="194"/>
      <c r="O253" s="194"/>
      <c r="P253" s="194"/>
      <c r="Q253" s="194"/>
      <c r="R253" s="194"/>
      <c r="S253" s="194"/>
      <c r="T253" s="194"/>
      <c r="U253" s="194"/>
      <c r="V253" s="194"/>
      <c r="W253" s="194"/>
      <c r="X253" s="194"/>
      <c r="Y253" s="194"/>
      <c r="Z253" s="194"/>
      <c r="AA253" s="194"/>
      <c r="AB253" s="194"/>
      <c r="AC253" s="194"/>
      <c r="AD253" s="194"/>
      <c r="AE253" s="194"/>
      <c r="AF253" s="194"/>
    </row>
    <row r="254" spans="1:32" x14ac:dyDescent="0.25">
      <c r="A254" s="194"/>
      <c r="B254" s="848" t="s">
        <v>1829</v>
      </c>
      <c r="C254" s="315">
        <f>SUM(R237:R245)/1000000</f>
        <v>3.0535682043899994E-5</v>
      </c>
      <c r="D254" s="194"/>
      <c r="E254" s="194"/>
      <c r="F254" s="194"/>
      <c r="G254" s="194"/>
      <c r="H254" s="194"/>
      <c r="I254" s="194"/>
      <c r="J254" s="194"/>
      <c r="K254" s="194"/>
      <c r="L254" s="194"/>
      <c r="M254" s="194"/>
      <c r="N254" s="194"/>
      <c r="O254" s="194"/>
      <c r="P254" s="194"/>
      <c r="Q254" s="194"/>
      <c r="R254" s="194"/>
      <c r="S254" s="194"/>
      <c r="T254" s="194"/>
      <c r="U254" s="194"/>
      <c r="V254" s="194"/>
      <c r="W254" s="194"/>
      <c r="X254" s="194"/>
      <c r="Y254" s="194"/>
      <c r="Z254" s="194"/>
      <c r="AA254" s="194"/>
      <c r="AB254" s="194"/>
      <c r="AC254" s="194"/>
      <c r="AD254" s="194"/>
      <c r="AE254" s="194"/>
      <c r="AF254" s="194"/>
    </row>
    <row r="255" spans="1:32" x14ac:dyDescent="0.25">
      <c r="A255" s="194"/>
      <c r="B255" s="846" t="s">
        <v>13</v>
      </c>
      <c r="C255" s="847">
        <f>SUM(C256:C258)</f>
        <v>0.29262377885785096</v>
      </c>
      <c r="D255" s="194"/>
      <c r="E255" s="194"/>
      <c r="F255" s="194"/>
      <c r="G255" s="194"/>
      <c r="H255" s="194"/>
      <c r="I255" s="194"/>
      <c r="J255" s="194"/>
      <c r="K255" s="194"/>
      <c r="L255" s="194"/>
      <c r="M255" s="194"/>
      <c r="N255" s="194"/>
      <c r="O255" s="194"/>
      <c r="P255" s="194"/>
      <c r="Q255" s="194"/>
      <c r="R255" s="194"/>
      <c r="S255" s="194"/>
      <c r="T255" s="194"/>
      <c r="U255" s="194"/>
      <c r="V255" s="194"/>
      <c r="W255" s="194"/>
      <c r="X255" s="194"/>
      <c r="Y255" s="194"/>
      <c r="Z255" s="194"/>
      <c r="AA255" s="194"/>
      <c r="AB255" s="194"/>
      <c r="AC255" s="194"/>
      <c r="AD255" s="194"/>
      <c r="AE255" s="194"/>
      <c r="AF255" s="194"/>
    </row>
    <row r="256" spans="1:32" x14ac:dyDescent="0.25">
      <c r="A256" s="194"/>
      <c r="B256" s="848" t="s">
        <v>1827</v>
      </c>
      <c r="C256" s="315">
        <f>L204*K5/1000000</f>
        <v>0.26722683660693453</v>
      </c>
      <c r="D256" s="194"/>
      <c r="E256" s="194"/>
      <c r="F256" s="194"/>
      <c r="G256" s="194"/>
      <c r="H256" s="194"/>
      <c r="I256" s="194"/>
      <c r="J256" s="194"/>
      <c r="K256" s="194"/>
      <c r="L256" s="194"/>
      <c r="M256" s="194"/>
      <c r="N256" s="194"/>
      <c r="O256" s="194"/>
      <c r="P256" s="194"/>
      <c r="Q256" s="194"/>
      <c r="R256" s="194"/>
      <c r="S256" s="194"/>
      <c r="T256" s="194"/>
      <c r="U256" s="194"/>
      <c r="V256" s="194"/>
      <c r="W256" s="194"/>
      <c r="X256" s="194"/>
      <c r="Y256" s="194"/>
      <c r="Z256" s="194"/>
      <c r="AA256" s="194"/>
      <c r="AB256" s="194"/>
      <c r="AC256" s="194"/>
      <c r="AD256" s="194"/>
      <c r="AE256" s="194"/>
      <c r="AF256" s="194"/>
    </row>
    <row r="257" spans="1:32" x14ac:dyDescent="0.25">
      <c r="A257" s="194"/>
      <c r="B257" s="848" t="s">
        <v>1828</v>
      </c>
      <c r="C257" s="315">
        <f>L205*K5/1000000</f>
        <v>4.076772546083649E-3</v>
      </c>
      <c r="D257" s="194"/>
      <c r="E257" s="194"/>
      <c r="F257" s="194"/>
      <c r="G257" s="194"/>
      <c r="H257" s="194"/>
      <c r="I257" s="194"/>
      <c r="J257" s="194"/>
      <c r="K257" s="194"/>
      <c r="L257" s="194"/>
      <c r="M257" s="194"/>
      <c r="N257" s="194"/>
      <c r="O257" s="194"/>
      <c r="P257" s="194"/>
      <c r="Q257" s="194"/>
      <c r="R257" s="194"/>
      <c r="S257" s="194"/>
      <c r="T257" s="194"/>
      <c r="U257" s="194"/>
      <c r="V257" s="194"/>
      <c r="W257" s="194"/>
      <c r="X257" s="194"/>
      <c r="Y257" s="194"/>
      <c r="Z257" s="194"/>
      <c r="AA257" s="194"/>
      <c r="AB257" s="194"/>
      <c r="AC257" s="194"/>
      <c r="AD257" s="194"/>
      <c r="AE257" s="194"/>
      <c r="AF257" s="194"/>
    </row>
    <row r="258" spans="1:32" x14ac:dyDescent="0.25">
      <c r="A258" s="194"/>
      <c r="B258" s="848" t="s">
        <v>1829</v>
      </c>
      <c r="C258" s="315">
        <f>SUM(R224:R232)*K5/1000000</f>
        <v>2.1320169704832814E-2</v>
      </c>
      <c r="D258" s="194"/>
      <c r="E258" s="194"/>
      <c r="F258" s="194"/>
      <c r="G258" s="194"/>
      <c r="H258" s="194"/>
      <c r="I258" s="194"/>
      <c r="J258" s="194"/>
      <c r="K258" s="194"/>
      <c r="L258" s="194"/>
      <c r="M258" s="194"/>
      <c r="N258" s="194"/>
      <c r="O258" s="194"/>
      <c r="P258" s="194"/>
      <c r="Q258" s="194"/>
      <c r="R258" s="194"/>
      <c r="S258" s="194"/>
      <c r="T258" s="194"/>
      <c r="U258" s="194"/>
      <c r="V258" s="194"/>
      <c r="W258" s="194"/>
      <c r="X258" s="194"/>
      <c r="Y258" s="194"/>
      <c r="Z258" s="194"/>
      <c r="AA258" s="194"/>
      <c r="AB258" s="194"/>
      <c r="AC258" s="194"/>
      <c r="AD258" s="194"/>
      <c r="AE258" s="194"/>
      <c r="AF258" s="194"/>
    </row>
    <row r="259" spans="1:32" x14ac:dyDescent="0.25">
      <c r="A259" s="194"/>
      <c r="B259" s="751" t="s">
        <v>102</v>
      </c>
      <c r="C259" s="849">
        <f>C251+C255</f>
        <v>-0.24639063084570667</v>
      </c>
      <c r="D259" s="194"/>
      <c r="E259" s="194"/>
      <c r="F259" s="194"/>
      <c r="G259" s="194"/>
      <c r="H259" s="194"/>
      <c r="I259" s="194"/>
      <c r="J259" s="194"/>
      <c r="K259" s="194"/>
      <c r="L259" s="194"/>
      <c r="M259" s="194"/>
      <c r="N259" s="194"/>
      <c r="O259" s="194"/>
      <c r="P259" s="194"/>
      <c r="Q259" s="194"/>
      <c r="R259" s="194"/>
      <c r="S259" s="194"/>
      <c r="T259" s="194"/>
      <c r="U259" s="194"/>
      <c r="V259" s="194"/>
      <c r="W259" s="194"/>
      <c r="X259" s="194"/>
      <c r="Y259" s="194"/>
      <c r="Z259" s="194"/>
      <c r="AA259" s="194"/>
      <c r="AB259" s="194"/>
      <c r="AC259" s="194"/>
      <c r="AD259" s="194"/>
      <c r="AE259" s="194"/>
      <c r="AF259" s="194"/>
    </row>
    <row r="260" spans="1:32" x14ac:dyDescent="0.25">
      <c r="A260" s="194"/>
      <c r="C260" s="194"/>
      <c r="D260" s="194"/>
      <c r="E260" s="194"/>
      <c r="F260" s="194"/>
      <c r="G260" s="194"/>
      <c r="H260" s="194"/>
      <c r="I260" s="194"/>
      <c r="J260" s="194"/>
      <c r="K260" s="194"/>
      <c r="L260" s="194"/>
      <c r="M260" s="194"/>
      <c r="N260" s="194"/>
      <c r="O260" s="194"/>
      <c r="P260" s="194"/>
      <c r="Q260" s="194"/>
      <c r="R260" s="194"/>
      <c r="S260" s="194"/>
      <c r="T260" s="194"/>
      <c r="U260" s="194"/>
      <c r="V260" s="194"/>
      <c r="W260" s="194"/>
      <c r="X260" s="194"/>
      <c r="Y260" s="194"/>
      <c r="Z260" s="194"/>
      <c r="AA260" s="194"/>
      <c r="AB260" s="194"/>
      <c r="AC260" s="194"/>
      <c r="AD260" s="194"/>
      <c r="AE260" s="194"/>
      <c r="AF260" s="194"/>
    </row>
    <row r="261" spans="1:32" x14ac:dyDescent="0.25">
      <c r="A261" s="194"/>
      <c r="B261" s="194"/>
      <c r="C261" s="194"/>
      <c r="D261" s="194"/>
      <c r="E261" s="194"/>
      <c r="F261" s="194"/>
      <c r="G261" s="194"/>
      <c r="H261" s="194"/>
      <c r="I261" s="194"/>
      <c r="J261" s="194"/>
      <c r="K261" s="194"/>
      <c r="L261" s="194"/>
      <c r="M261" s="194"/>
      <c r="N261" s="194"/>
      <c r="O261" s="194"/>
      <c r="P261" s="194"/>
      <c r="Q261" s="194"/>
      <c r="R261" s="194"/>
      <c r="S261" s="194"/>
      <c r="T261" s="194"/>
      <c r="U261" s="194"/>
      <c r="V261" s="194"/>
      <c r="W261" s="194"/>
      <c r="X261" s="194"/>
      <c r="Y261" s="194"/>
      <c r="Z261" s="194"/>
      <c r="AA261" s="194"/>
      <c r="AB261" s="194"/>
      <c r="AC261" s="194"/>
      <c r="AD261" s="194"/>
      <c r="AE261" s="194"/>
      <c r="AF261" s="194"/>
    </row>
    <row r="262" spans="1:32" x14ac:dyDescent="0.25">
      <c r="A262" s="194"/>
      <c r="B262" s="716" t="s">
        <v>1831</v>
      </c>
      <c r="C262" s="717"/>
      <c r="D262" s="717"/>
      <c r="E262" s="717"/>
      <c r="F262" s="717"/>
      <c r="G262" s="717"/>
      <c r="H262" s="717"/>
      <c r="I262" s="717"/>
      <c r="J262" s="717"/>
      <c r="K262" s="717"/>
      <c r="L262" s="717"/>
      <c r="M262" s="717"/>
      <c r="N262" s="717"/>
      <c r="O262" s="717"/>
      <c r="P262" s="717"/>
      <c r="Q262" s="717"/>
      <c r="R262" s="717"/>
      <c r="S262" s="717"/>
      <c r="T262" s="194"/>
      <c r="U262" s="194"/>
      <c r="V262" s="194"/>
      <c r="W262" s="194"/>
      <c r="X262" s="194"/>
      <c r="Y262" s="194"/>
      <c r="Z262" s="194"/>
      <c r="AA262" s="194"/>
      <c r="AB262" s="194"/>
      <c r="AC262" s="194"/>
      <c r="AD262" s="194"/>
      <c r="AE262" s="194"/>
      <c r="AF262" s="194"/>
    </row>
    <row r="263" spans="1:32" x14ac:dyDescent="0.25">
      <c r="A263" s="194"/>
      <c r="B263" s="194"/>
      <c r="E263" s="194"/>
      <c r="F263" s="194"/>
      <c r="G263" s="194"/>
      <c r="H263" s="194"/>
      <c r="I263" s="194"/>
      <c r="J263" s="194"/>
      <c r="K263" s="194"/>
      <c r="L263" s="194"/>
      <c r="M263" s="194"/>
      <c r="N263" s="194"/>
      <c r="O263" s="194"/>
      <c r="P263" s="194"/>
      <c r="Q263" s="194"/>
      <c r="R263" s="194"/>
      <c r="S263" s="194"/>
      <c r="T263" s="194"/>
      <c r="U263" s="194"/>
      <c r="V263" s="194"/>
      <c r="W263" s="194"/>
      <c r="X263" s="194"/>
      <c r="Y263" s="194"/>
      <c r="Z263" s="194"/>
      <c r="AA263" s="194"/>
      <c r="AB263" s="194"/>
      <c r="AC263" s="194"/>
      <c r="AD263" s="194"/>
      <c r="AE263" s="194"/>
      <c r="AF263" s="194"/>
    </row>
    <row r="264" spans="1:32" x14ac:dyDescent="0.25">
      <c r="A264" s="194"/>
      <c r="B264" s="432"/>
      <c r="C264" s="850">
        <v>2023</v>
      </c>
      <c r="E264" s="194"/>
      <c r="F264" s="194"/>
      <c r="G264" s="194"/>
      <c r="H264" s="194"/>
      <c r="I264" s="194"/>
      <c r="J264" s="194"/>
      <c r="K264" s="194"/>
      <c r="L264" s="194"/>
      <c r="M264" s="194"/>
      <c r="N264" s="194"/>
      <c r="O264" s="194"/>
      <c r="P264" s="194"/>
      <c r="Q264" s="194"/>
      <c r="R264" s="194"/>
      <c r="S264" s="194"/>
      <c r="T264" s="194"/>
      <c r="U264" s="194"/>
      <c r="V264" s="194"/>
      <c r="W264" s="194"/>
      <c r="X264" s="194"/>
      <c r="Y264" s="194"/>
      <c r="Z264" s="194"/>
      <c r="AA264" s="194"/>
      <c r="AB264" s="194"/>
      <c r="AC264" s="194"/>
      <c r="AD264" s="194"/>
      <c r="AE264" s="194"/>
      <c r="AF264" s="194"/>
    </row>
    <row r="265" spans="1:32" x14ac:dyDescent="0.25">
      <c r="A265" s="194"/>
      <c r="B265" s="851" t="s">
        <v>1832</v>
      </c>
      <c r="C265" s="852">
        <f>C266+C273+C276+C278+C281+C282</f>
        <v>-10.430388332289402</v>
      </c>
      <c r="E265" s="194"/>
      <c r="F265" s="194"/>
      <c r="G265" s="194"/>
      <c r="H265" s="194"/>
      <c r="I265" s="194"/>
      <c r="J265" s="194"/>
      <c r="K265" s="194"/>
      <c r="L265" s="194"/>
      <c r="M265" s="194"/>
      <c r="N265" s="194"/>
      <c r="O265" s="194"/>
      <c r="P265" s="194"/>
      <c r="Q265" s="194"/>
      <c r="R265" s="194"/>
      <c r="S265" s="194"/>
      <c r="T265" s="194"/>
      <c r="U265" s="194"/>
      <c r="V265" s="194"/>
      <c r="W265" s="194"/>
      <c r="X265" s="194"/>
      <c r="Y265" s="194"/>
      <c r="Z265" s="194"/>
      <c r="AA265" s="194"/>
      <c r="AB265" s="194"/>
      <c r="AC265" s="194"/>
      <c r="AD265" s="194"/>
      <c r="AE265" s="194"/>
      <c r="AF265" s="194"/>
    </row>
    <row r="266" spans="1:32" x14ac:dyDescent="0.25">
      <c r="A266" s="194"/>
      <c r="B266" s="853" t="s">
        <v>424</v>
      </c>
      <c r="C266" s="854">
        <f>SUM(C267:C272)</f>
        <v>-8.5884259921962087</v>
      </c>
      <c r="E266" s="317"/>
      <c r="F266" s="194"/>
      <c r="G266" s="194"/>
      <c r="H266" s="194"/>
      <c r="I266" s="194"/>
      <c r="J266" s="194"/>
      <c r="K266" s="194"/>
      <c r="L266" s="194"/>
      <c r="M266" s="194"/>
      <c r="N266" s="194"/>
      <c r="O266" s="194"/>
      <c r="P266" s="194"/>
      <c r="Q266" s="194"/>
      <c r="R266" s="194"/>
      <c r="S266" s="194"/>
      <c r="T266" s="194"/>
      <c r="U266" s="194"/>
      <c r="V266" s="194"/>
      <c r="W266" s="194"/>
      <c r="X266" s="194"/>
      <c r="Y266" s="194"/>
      <c r="Z266" s="194"/>
      <c r="AA266" s="194"/>
      <c r="AB266" s="194"/>
      <c r="AC266" s="194"/>
      <c r="AD266" s="194"/>
      <c r="AE266" s="194"/>
      <c r="AF266" s="194"/>
    </row>
    <row r="267" spans="1:32" x14ac:dyDescent="0.25">
      <c r="A267" s="194"/>
      <c r="B267" s="855" t="s">
        <v>1738</v>
      </c>
      <c r="C267" s="856">
        <f t="shared" ref="C267:C272" si="99">C86</f>
        <v>-6.7987696333333334</v>
      </c>
      <c r="E267" s="317"/>
      <c r="F267" s="857"/>
      <c r="G267" s="857"/>
      <c r="H267" s="194"/>
      <c r="I267" s="194"/>
      <c r="J267" s="194"/>
      <c r="K267" s="194"/>
      <c r="L267" s="194"/>
      <c r="M267" s="194"/>
      <c r="N267" s="194"/>
      <c r="O267" s="194"/>
      <c r="P267" s="194"/>
      <c r="Q267" s="194"/>
      <c r="R267" s="194"/>
      <c r="S267" s="194"/>
      <c r="T267" s="194"/>
      <c r="U267" s="194"/>
      <c r="V267" s="194"/>
      <c r="W267" s="194"/>
      <c r="X267" s="194"/>
      <c r="Y267" s="194"/>
      <c r="Z267" s="194"/>
      <c r="AA267" s="194"/>
      <c r="AB267" s="194"/>
      <c r="AC267" s="194"/>
      <c r="AD267" s="194"/>
      <c r="AE267" s="194"/>
      <c r="AF267" s="194"/>
    </row>
    <row r="268" spans="1:32" x14ac:dyDescent="0.25">
      <c r="A268" s="194"/>
      <c r="B268" s="855" t="s">
        <v>1739</v>
      </c>
      <c r="C268" s="856">
        <f t="shared" si="99"/>
        <v>-1.1596563588628763</v>
      </c>
      <c r="E268" s="317"/>
      <c r="F268" s="857"/>
      <c r="G268" s="857"/>
      <c r="H268" s="194"/>
      <c r="I268" s="194"/>
      <c r="J268" s="194"/>
      <c r="K268" s="194"/>
      <c r="L268" s="194"/>
      <c r="M268" s="194"/>
      <c r="N268" s="194"/>
      <c r="O268" s="194"/>
      <c r="P268" s="194"/>
      <c r="Q268" s="194"/>
      <c r="R268" s="194"/>
      <c r="S268" s="194"/>
      <c r="T268" s="194"/>
      <c r="U268" s="194"/>
      <c r="V268" s="194"/>
      <c r="W268" s="194"/>
      <c r="X268" s="194"/>
      <c r="Y268" s="194"/>
      <c r="Z268" s="194"/>
      <c r="AA268" s="194"/>
      <c r="AB268" s="194"/>
      <c r="AC268" s="194"/>
      <c r="AD268" s="194"/>
      <c r="AE268" s="194"/>
      <c r="AF268" s="194"/>
    </row>
    <row r="269" spans="1:32" x14ac:dyDescent="0.25">
      <c r="A269" s="194"/>
      <c r="B269" s="855" t="s">
        <v>1740</v>
      </c>
      <c r="C269" s="856">
        <f t="shared" si="99"/>
        <v>-0.87</v>
      </c>
      <c r="E269" s="317"/>
      <c r="F269" s="857"/>
      <c r="G269" s="857"/>
      <c r="H269" s="194"/>
      <c r="I269" s="194"/>
      <c r="J269" s="194"/>
      <c r="K269" s="194"/>
      <c r="L269" s="194"/>
      <c r="M269" s="194"/>
      <c r="N269" s="194"/>
      <c r="O269" s="194"/>
      <c r="P269" s="194"/>
      <c r="Q269" s="194"/>
      <c r="R269" s="194"/>
      <c r="S269" s="194"/>
      <c r="T269" s="194"/>
      <c r="U269" s="194"/>
      <c r="V269" s="194"/>
      <c r="W269" s="194"/>
      <c r="X269" s="194"/>
      <c r="Y269" s="194"/>
      <c r="Z269" s="194"/>
      <c r="AA269" s="194"/>
      <c r="AB269" s="194"/>
      <c r="AC269" s="194"/>
      <c r="AD269" s="194"/>
      <c r="AE269" s="194"/>
      <c r="AF269" s="194"/>
    </row>
    <row r="270" spans="1:32" x14ac:dyDescent="0.25">
      <c r="A270" s="194"/>
      <c r="B270" s="855" t="s">
        <v>1741</v>
      </c>
      <c r="C270" s="856">
        <f t="shared" si="99"/>
        <v>0.15</v>
      </c>
      <c r="E270" s="317"/>
      <c r="F270" s="857"/>
      <c r="G270" s="857"/>
      <c r="H270" s="194"/>
      <c r="I270" s="194"/>
      <c r="J270" s="194"/>
      <c r="K270" s="194"/>
      <c r="L270" s="194"/>
      <c r="M270" s="194"/>
      <c r="N270" s="194"/>
      <c r="O270" s="194"/>
      <c r="P270" s="194"/>
      <c r="Q270" s="194"/>
      <c r="R270" s="194"/>
      <c r="S270" s="194"/>
      <c r="T270" s="194"/>
      <c r="U270" s="194"/>
      <c r="V270" s="194"/>
      <c r="W270" s="194"/>
      <c r="X270" s="194"/>
      <c r="Y270" s="194"/>
      <c r="Z270" s="194"/>
      <c r="AA270" s="194"/>
      <c r="AB270" s="194"/>
      <c r="AC270" s="194"/>
      <c r="AD270" s="194"/>
      <c r="AE270" s="194"/>
      <c r="AF270" s="194"/>
    </row>
    <row r="271" spans="1:32" x14ac:dyDescent="0.25">
      <c r="A271" s="194"/>
      <c r="B271" s="855" t="s">
        <v>1742</v>
      </c>
      <c r="C271" s="856">
        <f t="shared" si="99"/>
        <v>0.09</v>
      </c>
      <c r="E271" s="317"/>
      <c r="F271" s="857"/>
      <c r="G271" s="857"/>
      <c r="H271" s="194"/>
      <c r="I271" s="194"/>
      <c r="J271" s="194"/>
      <c r="K271" s="194"/>
      <c r="L271" s="194"/>
      <c r="M271" s="194"/>
      <c r="N271" s="194"/>
      <c r="O271" s="194"/>
      <c r="P271" s="194"/>
      <c r="Q271" s="194"/>
      <c r="R271" s="194"/>
      <c r="S271" s="194"/>
      <c r="T271" s="194"/>
      <c r="U271" s="194"/>
      <c r="V271" s="194"/>
      <c r="W271" s="194"/>
      <c r="X271" s="194"/>
      <c r="Y271" s="194"/>
      <c r="Z271" s="194"/>
      <c r="AA271" s="194"/>
      <c r="AB271" s="194"/>
      <c r="AC271" s="194"/>
      <c r="AD271" s="194"/>
      <c r="AE271" s="194"/>
      <c r="AF271" s="194"/>
    </row>
    <row r="272" spans="1:32" x14ac:dyDescent="0.25">
      <c r="A272" s="194"/>
      <c r="B272" s="855" t="s">
        <v>1743</v>
      </c>
      <c r="C272" s="856">
        <f t="shared" si="99"/>
        <v>0</v>
      </c>
      <c r="E272" s="317"/>
      <c r="F272" s="857"/>
      <c r="G272" s="857"/>
      <c r="H272" s="194"/>
      <c r="I272" s="194"/>
      <c r="J272" s="194"/>
      <c r="K272" s="194"/>
      <c r="L272" s="194"/>
      <c r="M272" s="194"/>
      <c r="N272" s="194"/>
      <c r="O272" s="194"/>
      <c r="P272" s="194"/>
      <c r="Q272" s="194"/>
      <c r="R272" s="194"/>
      <c r="S272" s="194"/>
      <c r="T272" s="194"/>
      <c r="U272" s="194"/>
      <c r="V272" s="194"/>
      <c r="W272" s="194"/>
      <c r="X272" s="194"/>
      <c r="Y272" s="194"/>
      <c r="Z272" s="194"/>
      <c r="AA272" s="194"/>
      <c r="AB272" s="194"/>
      <c r="AC272" s="194"/>
      <c r="AD272" s="194"/>
      <c r="AE272" s="194"/>
      <c r="AF272" s="194"/>
    </row>
    <row r="273" spans="1:32" x14ac:dyDescent="0.25">
      <c r="A273" s="194"/>
      <c r="B273" s="853" t="s">
        <v>429</v>
      </c>
      <c r="C273" s="854">
        <f>C274+C275</f>
        <v>-0.80628999999999995</v>
      </c>
      <c r="E273" s="317"/>
      <c r="F273" s="194"/>
      <c r="G273" s="194"/>
      <c r="H273" s="194"/>
      <c r="I273" s="194"/>
      <c r="J273" s="194"/>
      <c r="K273" s="194"/>
      <c r="L273" s="194"/>
      <c r="M273" s="194"/>
      <c r="N273" s="194"/>
      <c r="O273" s="194"/>
      <c r="P273" s="194"/>
      <c r="Q273" s="194"/>
      <c r="R273" s="194"/>
      <c r="S273" s="194"/>
      <c r="T273" s="194"/>
      <c r="U273" s="194"/>
      <c r="V273" s="194"/>
      <c r="W273" s="194"/>
      <c r="X273" s="194"/>
      <c r="Y273" s="194"/>
      <c r="Z273" s="194"/>
      <c r="AA273" s="194"/>
      <c r="AB273" s="194"/>
      <c r="AC273" s="194"/>
      <c r="AD273" s="194"/>
      <c r="AE273" s="194"/>
      <c r="AF273" s="194"/>
    </row>
    <row r="274" spans="1:32" x14ac:dyDescent="0.25">
      <c r="A274" s="194"/>
      <c r="B274" s="855" t="s">
        <v>1746</v>
      </c>
      <c r="C274" s="856">
        <f>H103</f>
        <v>-8.6290000000000006E-2</v>
      </c>
      <c r="E274" s="317"/>
      <c r="F274" s="194"/>
      <c r="G274" s="194"/>
      <c r="H274" s="194"/>
      <c r="I274" s="194"/>
      <c r="J274" s="194"/>
      <c r="K274" s="194"/>
      <c r="L274" s="194"/>
      <c r="M274" s="194"/>
      <c r="N274" s="194"/>
      <c r="O274" s="194"/>
      <c r="P274" s="194"/>
      <c r="Q274" s="194"/>
      <c r="R274" s="194"/>
      <c r="S274" s="194"/>
      <c r="T274" s="194"/>
      <c r="U274" s="194"/>
      <c r="V274" s="194"/>
      <c r="W274" s="194"/>
      <c r="X274" s="194"/>
      <c r="Y274" s="194"/>
      <c r="Z274" s="194"/>
      <c r="AA274" s="194"/>
      <c r="AB274" s="194"/>
      <c r="AC274" s="194"/>
      <c r="AD274" s="194"/>
      <c r="AE274" s="194"/>
      <c r="AF274" s="194"/>
    </row>
    <row r="275" spans="1:32" x14ac:dyDescent="0.25">
      <c r="A275" s="194"/>
      <c r="B275" s="855" t="s">
        <v>1751</v>
      </c>
      <c r="C275" s="856">
        <f>H109</f>
        <v>-0.72</v>
      </c>
      <c r="E275" s="317"/>
      <c r="F275" s="194"/>
      <c r="G275" s="194"/>
      <c r="H275" s="194"/>
      <c r="I275" s="194"/>
      <c r="J275" s="194"/>
      <c r="K275" s="194"/>
      <c r="L275" s="194"/>
      <c r="M275" s="194"/>
      <c r="N275" s="194"/>
      <c r="O275" s="194"/>
      <c r="P275" s="194"/>
      <c r="Q275" s="194"/>
      <c r="R275" s="194"/>
      <c r="S275" s="194"/>
      <c r="T275" s="194"/>
      <c r="U275" s="194"/>
      <c r="V275" s="194"/>
      <c r="W275" s="194"/>
      <c r="X275" s="194"/>
      <c r="Y275" s="194"/>
      <c r="Z275" s="194"/>
      <c r="AA275" s="194"/>
      <c r="AB275" s="194"/>
      <c r="AC275" s="194"/>
      <c r="AD275" s="194"/>
      <c r="AE275" s="194"/>
      <c r="AF275" s="194"/>
    </row>
    <row r="276" spans="1:32" x14ac:dyDescent="0.25">
      <c r="A276" s="194"/>
      <c r="B276" s="853" t="s">
        <v>434</v>
      </c>
      <c r="C276" s="854">
        <f>C277</f>
        <v>1.725438E-2</v>
      </c>
      <c r="E276" s="317"/>
      <c r="F276" s="194"/>
      <c r="G276" s="194"/>
      <c r="H276" s="194"/>
      <c r="I276" s="194"/>
      <c r="J276" s="194"/>
      <c r="K276" s="194"/>
      <c r="L276" s="194"/>
      <c r="M276" s="194"/>
      <c r="N276" s="194"/>
      <c r="O276" s="194"/>
      <c r="P276" s="194"/>
      <c r="Q276" s="194"/>
      <c r="R276" s="194"/>
      <c r="S276" s="194"/>
      <c r="T276" s="194"/>
      <c r="U276" s="194"/>
      <c r="V276" s="194"/>
      <c r="W276" s="194"/>
      <c r="X276" s="194"/>
      <c r="Y276" s="194"/>
      <c r="Z276" s="194"/>
      <c r="AA276" s="194"/>
      <c r="AB276" s="194"/>
      <c r="AC276" s="194"/>
      <c r="AD276" s="194"/>
      <c r="AE276" s="194"/>
      <c r="AF276" s="194"/>
    </row>
    <row r="277" spans="1:32" x14ac:dyDescent="0.25">
      <c r="A277" s="194"/>
      <c r="B277" s="855" t="s">
        <v>14</v>
      </c>
      <c r="C277" s="856">
        <f>G116</f>
        <v>1.725438E-2</v>
      </c>
      <c r="E277" s="317"/>
      <c r="F277" s="194"/>
      <c r="G277" s="194"/>
      <c r="H277" s="194"/>
      <c r="I277" s="194"/>
      <c r="J277" s="194"/>
      <c r="K277" s="194"/>
      <c r="L277" s="194"/>
      <c r="M277" s="194"/>
      <c r="N277" s="194"/>
      <c r="O277" s="194"/>
      <c r="P277" s="194"/>
      <c r="Q277" s="194"/>
      <c r="R277" s="194"/>
      <c r="S277" s="194"/>
      <c r="T277" s="194"/>
      <c r="U277" s="194"/>
      <c r="V277" s="194"/>
      <c r="W277" s="194"/>
      <c r="X277" s="194"/>
      <c r="Y277" s="194"/>
      <c r="Z277" s="194"/>
      <c r="AA277" s="194"/>
      <c r="AB277" s="194"/>
      <c r="AC277" s="194"/>
      <c r="AD277" s="194"/>
      <c r="AE277" s="194"/>
      <c r="AF277" s="194"/>
    </row>
    <row r="278" spans="1:32" x14ac:dyDescent="0.25">
      <c r="A278" s="194"/>
      <c r="B278" s="858" t="s">
        <v>440</v>
      </c>
      <c r="C278" s="854">
        <f>C279+C280</f>
        <v>0.13011250875251248</v>
      </c>
      <c r="E278" s="317"/>
      <c r="F278" s="194"/>
      <c r="G278" s="194"/>
      <c r="H278" s="194"/>
      <c r="I278" s="194"/>
      <c r="J278" s="194"/>
      <c r="K278" s="194"/>
      <c r="L278" s="194"/>
      <c r="M278" s="194"/>
      <c r="N278" s="194"/>
      <c r="O278" s="194"/>
      <c r="P278" s="194"/>
      <c r="Q278" s="194"/>
      <c r="R278" s="194"/>
      <c r="S278" s="194"/>
      <c r="T278" s="194"/>
      <c r="U278" s="194"/>
      <c r="V278" s="194"/>
      <c r="W278" s="194"/>
      <c r="X278" s="194"/>
      <c r="Y278" s="194"/>
      <c r="Z278" s="194"/>
      <c r="AA278" s="194"/>
      <c r="AB278" s="194"/>
      <c r="AC278" s="194"/>
      <c r="AD278" s="194"/>
      <c r="AE278" s="194"/>
      <c r="AF278" s="194"/>
    </row>
    <row r="279" spans="1:32" x14ac:dyDescent="0.25">
      <c r="A279" s="194"/>
      <c r="B279" s="855" t="s">
        <v>13</v>
      </c>
      <c r="C279" s="856">
        <f t="shared" ref="C279:C280" si="100">H156</f>
        <v>0.10103530271990287</v>
      </c>
      <c r="E279" s="317"/>
      <c r="F279" s="194"/>
      <c r="G279" s="194"/>
      <c r="H279" s="194"/>
      <c r="I279" s="194"/>
      <c r="J279" s="194"/>
      <c r="K279" s="194"/>
      <c r="L279" s="194"/>
      <c r="M279" s="194"/>
      <c r="N279" s="194"/>
      <c r="O279" s="194"/>
      <c r="P279" s="194"/>
      <c r="Q279" s="194"/>
      <c r="R279" s="194"/>
      <c r="S279" s="194"/>
      <c r="T279" s="194"/>
      <c r="U279" s="194"/>
      <c r="V279" s="194"/>
      <c r="W279" s="194"/>
      <c r="X279" s="194"/>
      <c r="Y279" s="194"/>
      <c r="Z279" s="194"/>
      <c r="AA279" s="194"/>
      <c r="AB279" s="194"/>
      <c r="AC279" s="194"/>
      <c r="AD279" s="194"/>
      <c r="AE279" s="194"/>
      <c r="AF279" s="194"/>
    </row>
    <row r="280" spans="1:32" x14ac:dyDescent="0.25">
      <c r="A280" s="194"/>
      <c r="B280" s="855" t="s">
        <v>14</v>
      </c>
      <c r="C280" s="856">
        <f t="shared" si="100"/>
        <v>2.9077206032609618E-2</v>
      </c>
      <c r="E280" s="317"/>
      <c r="F280" s="194"/>
      <c r="G280" s="194"/>
      <c r="H280" s="194"/>
      <c r="I280" s="194"/>
      <c r="J280" s="194"/>
      <c r="K280" s="194"/>
      <c r="L280" s="194"/>
      <c r="M280" s="194"/>
      <c r="N280" s="194"/>
      <c r="O280" s="194"/>
      <c r="P280" s="194"/>
      <c r="Q280" s="194"/>
      <c r="R280" s="194"/>
      <c r="S280" s="194"/>
      <c r="T280" s="194"/>
      <c r="U280" s="194"/>
      <c r="V280" s="194"/>
      <c r="W280" s="194"/>
      <c r="X280" s="194"/>
      <c r="Y280" s="194"/>
      <c r="Z280" s="194"/>
      <c r="AA280" s="194"/>
      <c r="AB280" s="194"/>
      <c r="AC280" s="194"/>
      <c r="AD280" s="194"/>
      <c r="AE280" s="194"/>
      <c r="AF280" s="194"/>
    </row>
    <row r="281" spans="1:32" x14ac:dyDescent="0.25">
      <c r="A281" s="194"/>
      <c r="B281" s="858" t="s">
        <v>1834</v>
      </c>
      <c r="C281" s="854">
        <f>H165</f>
        <v>-0.936648598</v>
      </c>
      <c r="E281" s="317"/>
      <c r="F281" s="194"/>
      <c r="G281" s="194"/>
      <c r="H281" s="194"/>
      <c r="I281" s="194"/>
      <c r="J281" s="194"/>
      <c r="K281" s="194"/>
      <c r="L281" s="194"/>
      <c r="M281" s="194"/>
      <c r="N281" s="194"/>
      <c r="O281" s="194"/>
      <c r="P281" s="194"/>
      <c r="Q281" s="194"/>
      <c r="R281" s="194"/>
      <c r="S281" s="194"/>
      <c r="T281" s="194"/>
      <c r="U281" s="194"/>
      <c r="V281" s="194"/>
      <c r="W281" s="194"/>
      <c r="X281" s="194"/>
      <c r="Y281" s="194"/>
      <c r="Z281" s="194"/>
      <c r="AA281" s="194"/>
      <c r="AB281" s="194"/>
      <c r="AC281" s="194"/>
      <c r="AD281" s="194"/>
      <c r="AE281" s="194"/>
      <c r="AF281" s="194"/>
    </row>
    <row r="282" spans="1:32" x14ac:dyDescent="0.25">
      <c r="A282" s="194"/>
      <c r="B282" s="858" t="s">
        <v>460</v>
      </c>
      <c r="C282" s="854">
        <f>SUM(C283:C284)</f>
        <v>-0.24639063084570667</v>
      </c>
      <c r="E282" s="317"/>
      <c r="F282" s="194"/>
      <c r="G282" s="194"/>
      <c r="H282" s="194"/>
      <c r="I282" s="194"/>
      <c r="J282" s="194"/>
      <c r="K282" s="194"/>
      <c r="L282" s="194"/>
      <c r="M282" s="194"/>
      <c r="N282" s="194"/>
      <c r="O282" s="194"/>
      <c r="P282" s="194"/>
      <c r="Q282" s="194"/>
      <c r="R282" s="194"/>
      <c r="S282" s="194"/>
      <c r="T282" s="194"/>
      <c r="U282" s="194"/>
      <c r="V282" s="194"/>
      <c r="W282" s="194"/>
      <c r="X282" s="194"/>
      <c r="Y282" s="194"/>
      <c r="Z282" s="194"/>
      <c r="AA282" s="194"/>
      <c r="AB282" s="194"/>
      <c r="AC282" s="194"/>
      <c r="AD282" s="194"/>
      <c r="AE282" s="194"/>
      <c r="AF282" s="194"/>
    </row>
    <row r="283" spans="1:32" x14ac:dyDescent="0.25">
      <c r="A283" s="194"/>
      <c r="B283" s="855" t="s">
        <v>10</v>
      </c>
      <c r="C283" s="856">
        <f>C251</f>
        <v>-0.53901440970355763</v>
      </c>
      <c r="E283" s="194"/>
      <c r="F283" s="194"/>
      <c r="G283" s="194"/>
      <c r="H283" s="194"/>
      <c r="I283" s="194"/>
      <c r="J283" s="194"/>
      <c r="K283" s="194"/>
      <c r="L283" s="194"/>
      <c r="M283" s="194"/>
      <c r="N283" s="194"/>
      <c r="O283" s="194"/>
      <c r="P283" s="194"/>
      <c r="Q283" s="194"/>
      <c r="R283" s="194"/>
      <c r="S283" s="194"/>
      <c r="T283" s="194"/>
      <c r="U283" s="194"/>
      <c r="V283" s="194"/>
      <c r="W283" s="194"/>
      <c r="X283" s="194"/>
      <c r="Y283" s="194"/>
      <c r="Z283" s="194"/>
      <c r="AA283" s="194"/>
      <c r="AB283" s="194"/>
      <c r="AC283" s="194"/>
      <c r="AD283" s="194"/>
      <c r="AE283" s="194"/>
      <c r="AF283" s="194"/>
    </row>
    <row r="284" spans="1:32" x14ac:dyDescent="0.25">
      <c r="A284" s="194"/>
      <c r="B284" s="855" t="s">
        <v>13</v>
      </c>
      <c r="C284" s="856">
        <f>C255</f>
        <v>0.29262377885785096</v>
      </c>
      <c r="E284" s="194"/>
      <c r="F284" s="194"/>
      <c r="G284" s="194"/>
      <c r="H284" s="194"/>
      <c r="I284" s="194"/>
      <c r="J284" s="194"/>
      <c r="K284" s="194"/>
      <c r="L284" s="194"/>
      <c r="M284" s="194"/>
      <c r="N284" s="194"/>
      <c r="O284" s="194"/>
      <c r="P284" s="194"/>
      <c r="Q284" s="194"/>
      <c r="R284" s="194"/>
      <c r="S284" s="194"/>
      <c r="T284" s="194"/>
      <c r="U284" s="194"/>
      <c r="V284" s="194"/>
      <c r="W284" s="194"/>
      <c r="X284" s="194"/>
      <c r="Y284" s="194"/>
      <c r="Z284" s="194"/>
      <c r="AA284" s="194"/>
      <c r="AB284" s="194"/>
      <c r="AC284" s="194"/>
      <c r="AD284" s="194"/>
      <c r="AE284" s="194"/>
      <c r="AF284" s="194"/>
    </row>
    <row r="285" spans="1:32" x14ac:dyDescent="0.25">
      <c r="A285" s="194"/>
      <c r="B285" s="8" t="s">
        <v>1835</v>
      </c>
      <c r="C285" s="8"/>
      <c r="D285" s="8"/>
      <c r="E285" s="8"/>
      <c r="F285" s="8"/>
      <c r="G285" s="8"/>
      <c r="H285" s="8"/>
      <c r="I285" s="8"/>
      <c r="J285" s="194"/>
      <c r="K285" s="194"/>
      <c r="L285" s="194"/>
      <c r="M285" s="194"/>
      <c r="N285" s="194"/>
      <c r="O285" s="194"/>
      <c r="P285" s="194"/>
      <c r="Q285" s="194"/>
      <c r="R285" s="194"/>
      <c r="S285" s="194"/>
      <c r="T285" s="194"/>
      <c r="U285" s="194"/>
      <c r="V285" s="194"/>
      <c r="W285" s="194"/>
      <c r="X285" s="194"/>
      <c r="Y285" s="194"/>
      <c r="Z285" s="194"/>
      <c r="AA285" s="194"/>
      <c r="AB285" s="194"/>
      <c r="AC285" s="194"/>
      <c r="AD285" s="194"/>
      <c r="AE285" s="194"/>
      <c r="AF285" s="194"/>
    </row>
    <row r="286" spans="1:32" x14ac:dyDescent="0.25">
      <c r="A286" s="194"/>
      <c r="B286" s="8" t="s">
        <v>1836</v>
      </c>
      <c r="C286" s="8"/>
      <c r="D286" s="8"/>
      <c r="E286" s="8"/>
      <c r="F286" s="8"/>
      <c r="G286" s="8"/>
      <c r="H286" s="8"/>
      <c r="I286" s="859"/>
      <c r="J286" s="194"/>
      <c r="K286" s="194"/>
      <c r="L286" s="194"/>
      <c r="M286" s="194"/>
      <c r="N286" s="194"/>
      <c r="O286" s="194"/>
      <c r="P286" s="194"/>
      <c r="Q286" s="194"/>
      <c r="R286" s="194"/>
      <c r="S286" s="194"/>
      <c r="T286" s="194"/>
      <c r="U286" s="194"/>
      <c r="V286" s="194"/>
      <c r="W286" s="194"/>
      <c r="X286" s="194"/>
      <c r="Y286" s="194"/>
      <c r="Z286" s="194"/>
      <c r="AA286" s="194"/>
      <c r="AB286" s="194"/>
      <c r="AC286" s="194"/>
      <c r="AD286" s="194"/>
      <c r="AE286" s="194"/>
      <c r="AF286" s="194"/>
    </row>
    <row r="287" spans="1:32" x14ac:dyDescent="0.25">
      <c r="A287" s="194"/>
      <c r="B287" s="8" t="s">
        <v>1837</v>
      </c>
      <c r="C287" s="8"/>
      <c r="D287" s="8"/>
      <c r="E287" s="8"/>
      <c r="F287" s="8"/>
      <c r="G287" s="8"/>
      <c r="H287" s="8"/>
      <c r="I287" s="8"/>
      <c r="J287" s="194"/>
      <c r="K287" s="194"/>
      <c r="L287" s="194"/>
      <c r="M287" s="194"/>
      <c r="N287" s="194"/>
      <c r="O287" s="194"/>
      <c r="P287" s="194"/>
      <c r="Q287" s="194"/>
      <c r="R287" s="194"/>
      <c r="S287" s="194"/>
      <c r="T287" s="194"/>
      <c r="U287" s="194"/>
      <c r="V287" s="194"/>
      <c r="W287" s="194"/>
      <c r="X287" s="194"/>
      <c r="Y287" s="194"/>
      <c r="Z287" s="194"/>
      <c r="AA287" s="194"/>
      <c r="AB287" s="194"/>
      <c r="AC287" s="194"/>
      <c r="AD287" s="194"/>
      <c r="AE287" s="194"/>
      <c r="AF287" s="194"/>
    </row>
    <row r="288" spans="1:32" x14ac:dyDescent="0.25">
      <c r="A288" s="194"/>
      <c r="B288" s="1"/>
      <c r="C288" s="1"/>
      <c r="D288" s="1"/>
      <c r="E288" s="1"/>
      <c r="F288" s="1"/>
      <c r="G288" s="1"/>
      <c r="H288" s="1"/>
      <c r="I288" s="1"/>
      <c r="J288" s="194"/>
      <c r="K288" s="194"/>
      <c r="L288" s="194"/>
      <c r="M288" s="194"/>
      <c r="N288" s="194"/>
      <c r="O288" s="194"/>
      <c r="P288" s="194"/>
      <c r="Q288" s="194"/>
      <c r="R288" s="194"/>
      <c r="S288" s="194"/>
      <c r="T288" s="194"/>
      <c r="U288" s="194"/>
      <c r="V288" s="194"/>
      <c r="W288" s="194"/>
      <c r="X288" s="194"/>
      <c r="Y288" s="194"/>
      <c r="Z288" s="194"/>
      <c r="AA288" s="194"/>
      <c r="AB288" s="194"/>
      <c r="AC288" s="194"/>
      <c r="AD288" s="194"/>
      <c r="AE288" s="194"/>
      <c r="AF288" s="194"/>
    </row>
    <row r="289" spans="1:32" x14ac:dyDescent="0.25">
      <c r="A289" s="194"/>
      <c r="B289" s="8"/>
      <c r="C289" s="1"/>
      <c r="D289" s="1"/>
      <c r="E289" s="1"/>
      <c r="F289" s="1"/>
      <c r="G289" s="1"/>
      <c r="H289" s="1"/>
      <c r="I289" s="1"/>
      <c r="J289" s="194"/>
      <c r="K289" s="194"/>
      <c r="L289" s="194"/>
      <c r="M289" s="194"/>
      <c r="N289" s="194"/>
      <c r="O289" s="194"/>
      <c r="P289" s="194"/>
      <c r="Q289" s="194"/>
      <c r="R289" s="194"/>
      <c r="S289" s="194"/>
      <c r="T289" s="194"/>
      <c r="U289" s="194"/>
      <c r="V289" s="194"/>
      <c r="W289" s="194"/>
      <c r="X289" s="194"/>
      <c r="Y289" s="194"/>
      <c r="Z289" s="194"/>
      <c r="AA289" s="194"/>
      <c r="AB289" s="194"/>
      <c r="AC289" s="194"/>
      <c r="AD289" s="194"/>
      <c r="AE289" s="194"/>
      <c r="AF289" s="194"/>
    </row>
    <row r="290" spans="1:32" x14ac:dyDescent="0.25">
      <c r="A290" s="194"/>
      <c r="B290" s="8"/>
      <c r="C290" s="1"/>
      <c r="D290" s="1"/>
      <c r="E290" s="1"/>
      <c r="F290" s="1"/>
      <c r="G290" s="1"/>
      <c r="H290" s="1"/>
      <c r="I290" s="1"/>
      <c r="J290" s="194"/>
      <c r="K290" s="194"/>
      <c r="L290" s="194"/>
      <c r="M290" s="194"/>
      <c r="N290" s="194"/>
      <c r="O290" s="194"/>
      <c r="P290" s="194"/>
      <c r="Q290" s="194"/>
      <c r="R290" s="194"/>
      <c r="S290" s="194"/>
      <c r="T290" s="194"/>
      <c r="U290" s="194"/>
      <c r="V290" s="194"/>
      <c r="W290" s="194"/>
      <c r="X290" s="194"/>
      <c r="Y290" s="194"/>
      <c r="Z290" s="194"/>
      <c r="AA290" s="194"/>
      <c r="AB290" s="194"/>
      <c r="AC290" s="194"/>
      <c r="AD290" s="194"/>
      <c r="AE290" s="194"/>
      <c r="AF290" s="194"/>
    </row>
    <row r="291" spans="1:32" x14ac:dyDescent="0.25">
      <c r="A291" s="194"/>
      <c r="B291" s="194"/>
      <c r="C291" s="194"/>
      <c r="D291" s="194"/>
      <c r="E291" s="194"/>
      <c r="F291" s="194"/>
      <c r="G291" s="194"/>
      <c r="H291" s="194"/>
      <c r="I291" s="194"/>
      <c r="J291" s="194"/>
      <c r="K291" s="194"/>
      <c r="L291" s="194"/>
      <c r="M291" s="194"/>
      <c r="N291" s="194"/>
      <c r="O291" s="194"/>
      <c r="P291" s="194"/>
      <c r="Q291" s="194"/>
      <c r="R291" s="194"/>
      <c r="S291" s="194"/>
      <c r="T291" s="194"/>
      <c r="U291" s="194"/>
      <c r="V291" s="194"/>
      <c r="W291" s="194"/>
      <c r="X291" s="194"/>
      <c r="Y291" s="194"/>
      <c r="Z291" s="194"/>
      <c r="AA291" s="194"/>
      <c r="AB291" s="194"/>
      <c r="AC291" s="194"/>
      <c r="AD291" s="194"/>
      <c r="AE291" s="194"/>
      <c r="AF291" s="194"/>
    </row>
    <row r="292" spans="1:32" x14ac:dyDescent="0.25">
      <c r="A292" s="194"/>
      <c r="D292" s="194"/>
      <c r="E292" s="194"/>
      <c r="F292" s="194"/>
      <c r="G292" s="194"/>
      <c r="H292" s="194"/>
      <c r="I292" s="194"/>
      <c r="J292" s="194"/>
      <c r="K292" s="194"/>
      <c r="L292" s="194"/>
      <c r="M292" s="194"/>
      <c r="N292" s="194"/>
      <c r="O292" s="194"/>
      <c r="P292" s="194"/>
      <c r="Q292" s="194"/>
      <c r="R292" s="194"/>
      <c r="S292" s="194"/>
      <c r="T292" s="194"/>
      <c r="U292" s="194"/>
      <c r="V292" s="194"/>
      <c r="W292" s="194"/>
      <c r="X292" s="194"/>
      <c r="Y292" s="194"/>
      <c r="Z292" s="194"/>
      <c r="AA292" s="194"/>
      <c r="AB292" s="194"/>
      <c r="AC292" s="194"/>
      <c r="AD292" s="194"/>
      <c r="AE292" s="194"/>
      <c r="AF292" s="194"/>
    </row>
    <row r="293" spans="1:32" x14ac:dyDescent="0.25">
      <c r="A293" s="194"/>
      <c r="D293" s="194"/>
      <c r="E293" s="194"/>
      <c r="F293" s="194"/>
      <c r="G293" s="194"/>
      <c r="H293" s="194"/>
      <c r="I293" s="194"/>
      <c r="J293" s="194"/>
      <c r="K293" s="194"/>
      <c r="L293" s="194"/>
      <c r="M293" s="194"/>
      <c r="N293" s="194"/>
      <c r="O293" s="194"/>
      <c r="P293" s="194"/>
      <c r="Q293" s="194"/>
      <c r="R293" s="194"/>
      <c r="S293" s="194"/>
      <c r="T293" s="194"/>
      <c r="U293" s="194"/>
      <c r="V293" s="194"/>
      <c r="W293" s="194"/>
      <c r="X293" s="194"/>
      <c r="Y293" s="194"/>
      <c r="Z293" s="194"/>
      <c r="AA293" s="194"/>
      <c r="AB293" s="194"/>
      <c r="AC293" s="194"/>
      <c r="AD293" s="194"/>
      <c r="AE293" s="194"/>
      <c r="AF293" s="194"/>
    </row>
    <row r="294" spans="1:32" x14ac:dyDescent="0.25">
      <c r="A294" s="194"/>
      <c r="D294" s="194"/>
      <c r="E294" s="194"/>
      <c r="F294" s="194"/>
      <c r="G294" s="194"/>
      <c r="H294" s="194"/>
      <c r="I294" s="194"/>
      <c r="J294" s="194"/>
      <c r="K294" s="194"/>
      <c r="L294" s="194"/>
      <c r="M294" s="194"/>
      <c r="N294" s="194"/>
      <c r="O294" s="194"/>
      <c r="P294" s="194"/>
      <c r="Q294" s="194"/>
      <c r="R294" s="194"/>
      <c r="S294" s="194"/>
      <c r="T294" s="194"/>
      <c r="U294" s="194"/>
      <c r="V294" s="194"/>
      <c r="W294" s="194"/>
      <c r="X294" s="194"/>
      <c r="Y294" s="194"/>
      <c r="Z294" s="194"/>
      <c r="AA294" s="194"/>
      <c r="AB294" s="194"/>
      <c r="AC294" s="194"/>
      <c r="AD294" s="194"/>
      <c r="AE294" s="194"/>
      <c r="AF294" s="194"/>
    </row>
    <row r="295" spans="1:32" x14ac:dyDescent="0.25">
      <c r="A295" s="194"/>
      <c r="D295" s="194"/>
      <c r="E295" s="194"/>
      <c r="F295" s="194"/>
      <c r="G295" s="194"/>
      <c r="H295" s="194"/>
      <c r="I295" s="194"/>
      <c r="J295" s="194"/>
      <c r="K295" s="194"/>
      <c r="L295" s="194"/>
      <c r="M295" s="194"/>
      <c r="N295" s="194"/>
      <c r="O295" s="194"/>
      <c r="P295" s="194"/>
      <c r="Q295" s="194"/>
      <c r="R295" s="194"/>
      <c r="S295" s="194"/>
      <c r="T295" s="194"/>
      <c r="U295" s="194"/>
      <c r="V295" s="194"/>
      <c r="W295" s="194"/>
      <c r="X295" s="194"/>
      <c r="Y295" s="194"/>
      <c r="Z295" s="194"/>
      <c r="AA295" s="194"/>
      <c r="AB295" s="194"/>
      <c r="AC295" s="194"/>
      <c r="AD295" s="194"/>
      <c r="AE295" s="194"/>
      <c r="AF295" s="194"/>
    </row>
    <row r="296" spans="1:32" x14ac:dyDescent="0.25">
      <c r="A296" s="194"/>
      <c r="D296" s="194"/>
      <c r="E296" s="194"/>
      <c r="F296" s="194"/>
      <c r="G296" s="194"/>
      <c r="H296" s="194"/>
      <c r="I296" s="194"/>
      <c r="J296" s="194"/>
      <c r="K296" s="194"/>
      <c r="L296" s="194"/>
      <c r="M296" s="194"/>
      <c r="N296" s="194"/>
      <c r="O296" s="194"/>
      <c r="P296" s="194"/>
      <c r="Q296" s="194"/>
      <c r="R296" s="194"/>
      <c r="S296" s="194"/>
      <c r="T296" s="194"/>
      <c r="U296" s="194"/>
      <c r="V296" s="194"/>
      <c r="W296" s="194"/>
      <c r="X296" s="194"/>
      <c r="Y296" s="194"/>
      <c r="Z296" s="194"/>
      <c r="AA296" s="194"/>
      <c r="AB296" s="194"/>
      <c r="AC296" s="194"/>
      <c r="AD296" s="194"/>
      <c r="AE296" s="194"/>
      <c r="AF296" s="194"/>
    </row>
    <row r="297" spans="1:32" x14ac:dyDescent="0.25">
      <c r="A297" s="194"/>
      <c r="D297" s="194"/>
      <c r="E297" s="194"/>
      <c r="F297" s="194"/>
      <c r="G297" s="194"/>
      <c r="H297" s="194"/>
      <c r="I297" s="194"/>
      <c r="J297" s="194"/>
      <c r="K297" s="194"/>
      <c r="L297" s="194"/>
      <c r="M297" s="194"/>
      <c r="N297" s="194"/>
      <c r="O297" s="194"/>
      <c r="P297" s="194"/>
      <c r="Q297" s="194"/>
      <c r="R297" s="194"/>
      <c r="S297" s="194"/>
      <c r="T297" s="194"/>
      <c r="U297" s="194"/>
      <c r="V297" s="194"/>
      <c r="W297" s="194"/>
      <c r="X297" s="194"/>
      <c r="Y297" s="194"/>
      <c r="Z297" s="194"/>
      <c r="AA297" s="194"/>
      <c r="AB297" s="194"/>
      <c r="AC297" s="194"/>
      <c r="AD297" s="194"/>
      <c r="AE297" s="194"/>
      <c r="AF297" s="194"/>
    </row>
    <row r="298" spans="1:32" x14ac:dyDescent="0.25">
      <c r="A298" s="194"/>
      <c r="D298" s="194"/>
      <c r="E298" s="194"/>
      <c r="F298" s="194"/>
      <c r="G298" s="194"/>
      <c r="H298" s="194"/>
      <c r="I298" s="194"/>
      <c r="J298" s="194"/>
      <c r="K298" s="194"/>
      <c r="L298" s="194"/>
      <c r="M298" s="194"/>
      <c r="N298" s="194"/>
      <c r="O298" s="194"/>
      <c r="P298" s="194"/>
      <c r="Q298" s="194"/>
      <c r="R298" s="194"/>
      <c r="S298" s="194"/>
      <c r="T298" s="194"/>
      <c r="U298" s="194"/>
      <c r="V298" s="194"/>
      <c r="W298" s="194"/>
      <c r="X298" s="194"/>
      <c r="Y298" s="194"/>
      <c r="Z298" s="194"/>
      <c r="AA298" s="194"/>
      <c r="AB298" s="194"/>
      <c r="AC298" s="194"/>
      <c r="AD298" s="194"/>
      <c r="AE298" s="194"/>
      <c r="AF298" s="194"/>
    </row>
    <row r="299" spans="1:32" x14ac:dyDescent="0.25">
      <c r="A299" s="194"/>
      <c r="D299" s="194"/>
      <c r="E299" s="194"/>
      <c r="F299" s="194"/>
      <c r="G299" s="194"/>
      <c r="H299" s="194"/>
      <c r="I299" s="194"/>
      <c r="J299" s="194"/>
      <c r="K299" s="194"/>
      <c r="L299" s="194"/>
      <c r="M299" s="194"/>
      <c r="N299" s="194"/>
      <c r="O299" s="194"/>
      <c r="P299" s="194"/>
      <c r="Q299" s="194"/>
      <c r="R299" s="194"/>
      <c r="S299" s="194"/>
      <c r="T299" s="194"/>
      <c r="U299" s="194"/>
      <c r="V299" s="194"/>
      <c r="W299" s="194"/>
      <c r="X299" s="194"/>
      <c r="Y299" s="194"/>
      <c r="Z299" s="194"/>
      <c r="AA299" s="194"/>
      <c r="AB299" s="194"/>
      <c r="AC299" s="194"/>
      <c r="AD299" s="194"/>
      <c r="AE299" s="194"/>
      <c r="AF299" s="194"/>
    </row>
    <row r="300" spans="1:32" x14ac:dyDescent="0.25">
      <c r="A300" s="194"/>
      <c r="D300" s="194"/>
      <c r="E300" s="194"/>
      <c r="F300" s="194"/>
      <c r="G300" s="194"/>
      <c r="H300" s="194"/>
      <c r="I300" s="194"/>
      <c r="J300" s="194"/>
      <c r="K300" s="194"/>
      <c r="L300" s="194"/>
      <c r="M300" s="194"/>
      <c r="N300" s="194"/>
      <c r="O300" s="194"/>
      <c r="P300" s="194"/>
      <c r="Q300" s="194"/>
      <c r="R300" s="194"/>
      <c r="S300" s="194"/>
      <c r="T300" s="194"/>
      <c r="U300" s="194"/>
      <c r="V300" s="194"/>
      <c r="W300" s="194"/>
      <c r="X300" s="194"/>
      <c r="Y300" s="194"/>
      <c r="Z300" s="194"/>
      <c r="AA300" s="194"/>
      <c r="AB300" s="194"/>
      <c r="AC300" s="194"/>
      <c r="AD300" s="194"/>
      <c r="AE300" s="194"/>
      <c r="AF300" s="194"/>
    </row>
    <row r="301" spans="1:32" x14ac:dyDescent="0.25">
      <c r="A301" s="194"/>
      <c r="D301" s="194"/>
      <c r="E301" s="194"/>
      <c r="F301" s="194"/>
      <c r="G301" s="194"/>
      <c r="H301" s="194"/>
      <c r="I301" s="194"/>
      <c r="J301" s="194"/>
      <c r="K301" s="194"/>
      <c r="L301" s="194"/>
      <c r="M301" s="194"/>
      <c r="N301" s="194"/>
      <c r="O301" s="194"/>
      <c r="P301" s="194"/>
      <c r="Q301" s="194"/>
      <c r="R301" s="194"/>
      <c r="S301" s="194"/>
      <c r="T301" s="194"/>
      <c r="U301" s="194"/>
      <c r="V301" s="194"/>
      <c r="W301" s="194"/>
      <c r="X301" s="194"/>
      <c r="Y301" s="194"/>
      <c r="Z301" s="194"/>
      <c r="AA301" s="194"/>
      <c r="AB301" s="194"/>
      <c r="AC301" s="194"/>
      <c r="AD301" s="194"/>
      <c r="AE301" s="194"/>
      <c r="AF301" s="194"/>
    </row>
    <row r="302" spans="1:32" x14ac:dyDescent="0.25">
      <c r="A302" s="194"/>
      <c r="D302" s="194"/>
      <c r="E302" s="194"/>
      <c r="F302" s="194"/>
      <c r="G302" s="194"/>
      <c r="H302" s="194"/>
      <c r="I302" s="194"/>
      <c r="J302" s="194"/>
      <c r="K302" s="194"/>
      <c r="L302" s="194"/>
      <c r="M302" s="194"/>
      <c r="N302" s="194"/>
      <c r="O302" s="194"/>
      <c r="P302" s="194"/>
      <c r="Q302" s="194"/>
      <c r="R302" s="194"/>
      <c r="S302" s="194"/>
      <c r="T302" s="194"/>
      <c r="U302" s="194"/>
      <c r="V302" s="194"/>
      <c r="W302" s="194"/>
      <c r="X302" s="194"/>
      <c r="Y302" s="194"/>
      <c r="Z302" s="194"/>
      <c r="AA302" s="194"/>
      <c r="AB302" s="194"/>
      <c r="AC302" s="194"/>
      <c r="AD302" s="194"/>
      <c r="AE302" s="194"/>
      <c r="AF302" s="194"/>
    </row>
    <row r="303" spans="1:32" x14ac:dyDescent="0.25">
      <c r="A303" s="194"/>
      <c r="D303" s="194"/>
      <c r="E303" s="194"/>
      <c r="F303" s="194"/>
      <c r="G303" s="194"/>
      <c r="H303" s="194"/>
      <c r="I303" s="194"/>
      <c r="J303" s="194"/>
      <c r="K303" s="194"/>
      <c r="L303" s="194"/>
      <c r="M303" s="194"/>
      <c r="N303" s="194"/>
      <c r="O303" s="194"/>
      <c r="P303" s="194"/>
      <c r="Q303" s="194"/>
      <c r="R303" s="194"/>
      <c r="S303" s="194"/>
      <c r="T303" s="194"/>
      <c r="U303" s="194"/>
      <c r="V303" s="194"/>
      <c r="W303" s="194"/>
      <c r="X303" s="194"/>
      <c r="Y303" s="194"/>
      <c r="Z303" s="194"/>
      <c r="AA303" s="194"/>
      <c r="AB303" s="194"/>
      <c r="AC303" s="194"/>
      <c r="AD303" s="194"/>
      <c r="AE303" s="194"/>
      <c r="AF303" s="194"/>
    </row>
    <row r="304" spans="1:32" x14ac:dyDescent="0.25">
      <c r="A304" s="194"/>
      <c r="D304" s="194"/>
      <c r="E304" s="194"/>
      <c r="F304" s="194"/>
      <c r="G304" s="194"/>
      <c r="H304" s="194"/>
      <c r="I304" s="194"/>
      <c r="J304" s="194"/>
      <c r="K304" s="194"/>
      <c r="L304" s="194"/>
      <c r="M304" s="194"/>
      <c r="N304" s="194"/>
      <c r="O304" s="194"/>
      <c r="P304" s="194"/>
      <c r="Q304" s="194"/>
      <c r="R304" s="194"/>
      <c r="S304" s="194"/>
      <c r="T304" s="194"/>
      <c r="U304" s="194"/>
      <c r="V304" s="194"/>
      <c r="W304" s="194"/>
      <c r="X304" s="194"/>
      <c r="Y304" s="194"/>
      <c r="Z304" s="194"/>
      <c r="AA304" s="194"/>
      <c r="AB304" s="194"/>
      <c r="AC304" s="194"/>
      <c r="AD304" s="194"/>
      <c r="AE304" s="194"/>
      <c r="AF304" s="194"/>
    </row>
    <row r="305" spans="1:32" x14ac:dyDescent="0.25">
      <c r="A305" s="194"/>
      <c r="D305" s="194"/>
      <c r="E305" s="194"/>
      <c r="F305" s="194"/>
      <c r="G305" s="194"/>
      <c r="H305" s="194"/>
      <c r="I305" s="194"/>
      <c r="J305" s="194"/>
      <c r="K305" s="194"/>
      <c r="L305" s="194"/>
      <c r="M305" s="194"/>
      <c r="N305" s="194"/>
      <c r="O305" s="194"/>
      <c r="P305" s="194"/>
      <c r="Q305" s="194"/>
      <c r="R305" s="194"/>
      <c r="S305" s="194"/>
      <c r="T305" s="194"/>
      <c r="U305" s="194"/>
      <c r="V305" s="194"/>
      <c r="W305" s="194"/>
      <c r="X305" s="194"/>
      <c r="Y305" s="194"/>
      <c r="Z305" s="194"/>
      <c r="AA305" s="194"/>
      <c r="AB305" s="194"/>
      <c r="AC305" s="194"/>
      <c r="AD305" s="194"/>
      <c r="AE305" s="194"/>
      <c r="AF305" s="194"/>
    </row>
    <row r="306" spans="1:32" x14ac:dyDescent="0.25">
      <c r="A306" s="194"/>
      <c r="D306" s="194"/>
      <c r="E306" s="194"/>
      <c r="F306" s="194"/>
      <c r="G306" s="194"/>
      <c r="H306" s="194"/>
      <c r="I306" s="194"/>
      <c r="J306" s="194"/>
      <c r="K306" s="194"/>
      <c r="L306" s="194"/>
      <c r="M306" s="194"/>
      <c r="N306" s="194"/>
      <c r="O306" s="194"/>
      <c r="P306" s="194"/>
      <c r="Q306" s="194"/>
      <c r="R306" s="194"/>
      <c r="S306" s="194"/>
      <c r="T306" s="194"/>
      <c r="U306" s="194"/>
      <c r="V306" s="194"/>
      <c r="W306" s="194"/>
      <c r="X306" s="194"/>
      <c r="Y306" s="194"/>
      <c r="Z306" s="194"/>
      <c r="AA306" s="194"/>
      <c r="AB306" s="194"/>
      <c r="AC306" s="194"/>
      <c r="AD306" s="194"/>
      <c r="AE306" s="194"/>
      <c r="AF306" s="194"/>
    </row>
    <row r="307" spans="1:32" x14ac:dyDescent="0.25">
      <c r="A307" s="194"/>
      <c r="D307" s="194"/>
      <c r="E307" s="194"/>
      <c r="F307" s="194"/>
      <c r="G307" s="194"/>
      <c r="H307" s="194"/>
      <c r="I307" s="194"/>
      <c r="J307" s="194"/>
      <c r="K307" s="194"/>
      <c r="L307" s="194"/>
      <c r="M307" s="194"/>
      <c r="N307" s="194"/>
      <c r="O307" s="194"/>
      <c r="P307" s="194"/>
      <c r="Q307" s="194"/>
      <c r="R307" s="194"/>
      <c r="S307" s="194"/>
      <c r="T307" s="194"/>
      <c r="U307" s="194"/>
      <c r="V307" s="194"/>
      <c r="W307" s="194"/>
      <c r="X307" s="194"/>
      <c r="Y307" s="194"/>
      <c r="Z307" s="194"/>
      <c r="AA307" s="194"/>
      <c r="AB307" s="194"/>
      <c r="AC307" s="194"/>
      <c r="AD307" s="194"/>
      <c r="AE307" s="194"/>
      <c r="AF307" s="194"/>
    </row>
    <row r="308" spans="1:32" x14ac:dyDescent="0.25">
      <c r="A308" s="194"/>
      <c r="D308" s="194"/>
      <c r="E308" s="194"/>
      <c r="F308" s="194"/>
      <c r="G308" s="194"/>
      <c r="H308" s="194"/>
      <c r="I308" s="194"/>
      <c r="J308" s="194"/>
      <c r="K308" s="194"/>
      <c r="L308" s="194"/>
      <c r="M308" s="194"/>
      <c r="N308" s="194"/>
      <c r="O308" s="194"/>
      <c r="P308" s="194"/>
      <c r="Q308" s="194"/>
      <c r="R308" s="194"/>
      <c r="S308" s="194"/>
      <c r="T308" s="194"/>
      <c r="U308" s="194"/>
      <c r="V308" s="194"/>
      <c r="W308" s="194"/>
      <c r="X308" s="194"/>
      <c r="Y308" s="194"/>
      <c r="Z308" s="194"/>
      <c r="AA308" s="194"/>
      <c r="AB308" s="194"/>
      <c r="AC308" s="194"/>
      <c r="AD308" s="194"/>
      <c r="AE308" s="194"/>
      <c r="AF308" s="194"/>
    </row>
    <row r="309" spans="1:32" x14ac:dyDescent="0.25">
      <c r="A309" s="194"/>
      <c r="D309" s="194"/>
      <c r="E309" s="194"/>
      <c r="F309" s="194"/>
      <c r="G309" s="194"/>
      <c r="H309" s="194"/>
      <c r="I309" s="194"/>
      <c r="J309" s="194"/>
      <c r="K309" s="194"/>
      <c r="L309" s="194"/>
      <c r="M309" s="194"/>
      <c r="N309" s="194"/>
      <c r="O309" s="194"/>
      <c r="P309" s="194"/>
      <c r="Q309" s="194"/>
      <c r="R309" s="194"/>
      <c r="S309" s="194"/>
      <c r="T309" s="194"/>
      <c r="U309" s="194"/>
      <c r="V309" s="194"/>
      <c r="W309" s="194"/>
      <c r="X309" s="194"/>
      <c r="Y309" s="194"/>
      <c r="Z309" s="194"/>
      <c r="AA309" s="194"/>
      <c r="AB309" s="194"/>
      <c r="AC309" s="194"/>
      <c r="AD309" s="194"/>
      <c r="AE309" s="194"/>
      <c r="AF309" s="194"/>
    </row>
    <row r="310" spans="1:32" x14ac:dyDescent="0.25">
      <c r="A310" s="194"/>
      <c r="D310" s="194"/>
      <c r="E310" s="194"/>
      <c r="F310" s="194"/>
      <c r="G310" s="194"/>
      <c r="H310" s="194"/>
      <c r="I310" s="194"/>
      <c r="J310" s="194"/>
      <c r="K310" s="194"/>
      <c r="L310" s="194"/>
      <c r="M310" s="194"/>
      <c r="N310" s="194"/>
      <c r="O310" s="194"/>
      <c r="P310" s="194"/>
      <c r="Q310" s="194"/>
      <c r="R310" s="194"/>
      <c r="S310" s="194"/>
      <c r="T310" s="194"/>
      <c r="U310" s="194"/>
      <c r="V310" s="194"/>
      <c r="W310" s="194"/>
      <c r="X310" s="194"/>
      <c r="Y310" s="194"/>
      <c r="Z310" s="194"/>
      <c r="AA310" s="194"/>
      <c r="AB310" s="194"/>
      <c r="AC310" s="194"/>
      <c r="AD310" s="194"/>
      <c r="AE310" s="194"/>
      <c r="AF310" s="194"/>
    </row>
    <row r="311" spans="1:32" x14ac:dyDescent="0.25">
      <c r="A311" s="194"/>
      <c r="D311" s="194"/>
      <c r="E311" s="194"/>
      <c r="F311" s="194"/>
      <c r="G311" s="194"/>
      <c r="H311" s="194"/>
      <c r="I311" s="194"/>
      <c r="J311" s="194"/>
      <c r="K311" s="194"/>
      <c r="L311" s="194"/>
      <c r="M311" s="194"/>
      <c r="N311" s="194"/>
      <c r="O311" s="194"/>
      <c r="P311" s="194"/>
      <c r="Q311" s="194"/>
      <c r="R311" s="194"/>
      <c r="S311" s="194"/>
      <c r="T311" s="194"/>
      <c r="U311" s="194"/>
      <c r="V311" s="194"/>
      <c r="W311" s="194"/>
      <c r="X311" s="194"/>
      <c r="Y311" s="194"/>
      <c r="Z311" s="194"/>
      <c r="AA311" s="194"/>
      <c r="AB311" s="194"/>
      <c r="AC311" s="194"/>
      <c r="AD311" s="194"/>
      <c r="AE311" s="194"/>
      <c r="AF311" s="194"/>
    </row>
    <row r="312" spans="1:32" x14ac:dyDescent="0.25">
      <c r="A312" s="194"/>
      <c r="B312" s="194"/>
      <c r="C312" s="194"/>
      <c r="D312" s="194"/>
      <c r="E312" s="194"/>
      <c r="F312" s="194"/>
      <c r="G312" s="194"/>
      <c r="H312" s="194"/>
      <c r="I312" s="194"/>
      <c r="J312" s="194"/>
      <c r="K312" s="194"/>
      <c r="L312" s="194"/>
      <c r="M312" s="194"/>
      <c r="N312" s="194"/>
      <c r="O312" s="194"/>
      <c r="P312" s="194"/>
      <c r="Q312" s="194"/>
      <c r="R312" s="194"/>
      <c r="S312" s="194"/>
      <c r="T312" s="194"/>
      <c r="U312" s="194"/>
      <c r="V312" s="194"/>
      <c r="W312" s="194"/>
      <c r="X312" s="194"/>
      <c r="Y312" s="194"/>
      <c r="Z312" s="194"/>
      <c r="AA312" s="194"/>
      <c r="AB312" s="194"/>
      <c r="AC312" s="194"/>
      <c r="AD312" s="194"/>
      <c r="AE312" s="194"/>
      <c r="AF312" s="194"/>
    </row>
    <row r="313" spans="1:32" x14ac:dyDescent="0.25">
      <c r="A313" s="194"/>
      <c r="B313" s="194"/>
      <c r="C313" s="194"/>
      <c r="D313" s="194"/>
      <c r="E313" s="194"/>
      <c r="F313" s="194"/>
      <c r="G313" s="194"/>
      <c r="H313" s="194"/>
      <c r="I313" s="194"/>
      <c r="J313" s="194"/>
      <c r="K313" s="194"/>
      <c r="L313" s="194"/>
      <c r="M313" s="194"/>
      <c r="N313" s="194"/>
      <c r="O313" s="194"/>
      <c r="P313" s="194"/>
      <c r="Q313" s="194"/>
      <c r="R313" s="194"/>
      <c r="S313" s="194"/>
      <c r="T313" s="194"/>
      <c r="U313" s="194"/>
      <c r="V313" s="194"/>
      <c r="W313" s="194"/>
      <c r="X313" s="194"/>
      <c r="Y313" s="194"/>
      <c r="Z313" s="194"/>
      <c r="AA313" s="194"/>
      <c r="AB313" s="194"/>
      <c r="AC313" s="194"/>
      <c r="AD313" s="194"/>
      <c r="AE313" s="194"/>
      <c r="AF313" s="194"/>
    </row>
    <row r="314" spans="1:32" x14ac:dyDescent="0.25">
      <c r="A314" s="194"/>
      <c r="B314" s="194"/>
      <c r="C314" s="194"/>
      <c r="D314" s="194"/>
      <c r="E314" s="194"/>
      <c r="F314" s="194"/>
      <c r="G314" s="194"/>
      <c r="H314" s="194"/>
      <c r="I314" s="194"/>
      <c r="J314" s="194"/>
      <c r="K314" s="194"/>
      <c r="L314" s="194"/>
      <c r="M314" s="194"/>
      <c r="N314" s="194"/>
      <c r="O314" s="194"/>
      <c r="P314" s="194"/>
      <c r="Q314" s="194"/>
      <c r="R314" s="194"/>
      <c r="S314" s="194"/>
      <c r="T314" s="194"/>
      <c r="U314" s="194"/>
      <c r="V314" s="194"/>
      <c r="W314" s="194"/>
      <c r="X314" s="194"/>
      <c r="Y314" s="194"/>
      <c r="Z314" s="194"/>
      <c r="AA314" s="194"/>
      <c r="AB314" s="194"/>
      <c r="AC314" s="194"/>
      <c r="AD314" s="194"/>
      <c r="AE314" s="194"/>
      <c r="AF314" s="194"/>
    </row>
    <row r="315" spans="1:32" x14ac:dyDescent="0.25">
      <c r="A315" s="194"/>
      <c r="B315" s="194"/>
      <c r="C315" s="194"/>
      <c r="D315" s="194"/>
      <c r="E315" s="194"/>
      <c r="F315" s="194"/>
      <c r="G315" s="194"/>
      <c r="H315" s="194"/>
      <c r="I315" s="194"/>
      <c r="J315" s="194"/>
      <c r="K315" s="194"/>
      <c r="L315" s="194"/>
      <c r="M315" s="194"/>
      <c r="N315" s="194"/>
      <c r="O315" s="194"/>
      <c r="P315" s="194"/>
      <c r="Q315" s="194"/>
      <c r="R315" s="194"/>
      <c r="S315" s="194"/>
      <c r="T315" s="194"/>
      <c r="U315" s="194"/>
      <c r="V315" s="194"/>
      <c r="W315" s="194"/>
      <c r="X315" s="194"/>
      <c r="Y315" s="194"/>
      <c r="Z315" s="194"/>
      <c r="AA315" s="194"/>
      <c r="AB315" s="194"/>
      <c r="AC315" s="194"/>
      <c r="AD315" s="194"/>
      <c r="AE315" s="194"/>
      <c r="AF315" s="194"/>
    </row>
    <row r="316" spans="1:32" x14ac:dyDescent="0.25">
      <c r="A316" s="194"/>
      <c r="B316" s="194"/>
      <c r="C316" s="194"/>
      <c r="D316" s="194"/>
      <c r="E316" s="194"/>
      <c r="F316" s="194"/>
      <c r="G316" s="194"/>
      <c r="H316" s="194"/>
      <c r="I316" s="194"/>
      <c r="J316" s="194"/>
      <c r="K316" s="194"/>
      <c r="L316" s="194"/>
      <c r="M316" s="194"/>
      <c r="N316" s="194"/>
      <c r="O316" s="194"/>
      <c r="P316" s="194"/>
      <c r="Q316" s="194"/>
      <c r="R316" s="194"/>
      <c r="S316" s="194"/>
      <c r="T316" s="194"/>
      <c r="U316" s="194"/>
      <c r="V316" s="194"/>
      <c r="W316" s="194"/>
      <c r="X316" s="194"/>
      <c r="Y316" s="194"/>
      <c r="Z316" s="194"/>
      <c r="AA316" s="194"/>
      <c r="AB316" s="194"/>
      <c r="AC316" s="194"/>
      <c r="AD316" s="194"/>
      <c r="AE316" s="194"/>
      <c r="AF316" s="194"/>
    </row>
    <row r="317" spans="1:32" x14ac:dyDescent="0.25">
      <c r="A317" s="194"/>
      <c r="B317" s="194"/>
      <c r="C317" s="194"/>
      <c r="D317" s="194"/>
      <c r="E317" s="194"/>
      <c r="F317" s="194"/>
      <c r="G317" s="194"/>
      <c r="H317" s="194"/>
      <c r="I317" s="194"/>
      <c r="J317" s="194"/>
      <c r="K317" s="194"/>
      <c r="L317" s="194"/>
      <c r="M317" s="194"/>
      <c r="N317" s="194"/>
      <c r="O317" s="194"/>
      <c r="P317" s="194"/>
      <c r="Q317" s="194"/>
      <c r="R317" s="194"/>
      <c r="S317" s="194"/>
      <c r="T317" s="194"/>
      <c r="U317" s="194"/>
      <c r="V317" s="194"/>
      <c r="W317" s="194"/>
      <c r="X317" s="194"/>
      <c r="Y317" s="194"/>
      <c r="Z317" s="194"/>
      <c r="AA317" s="194"/>
      <c r="AB317" s="194"/>
      <c r="AC317" s="194"/>
      <c r="AD317" s="194"/>
      <c r="AE317" s="194"/>
      <c r="AF317" s="194"/>
    </row>
    <row r="318" spans="1:32" x14ac:dyDescent="0.25">
      <c r="A318" s="194"/>
      <c r="B318" s="194"/>
      <c r="C318" s="194"/>
      <c r="D318" s="194"/>
      <c r="E318" s="194"/>
      <c r="F318" s="194"/>
      <c r="G318" s="194"/>
      <c r="H318" s="194"/>
      <c r="I318" s="194"/>
      <c r="J318" s="194"/>
      <c r="K318" s="194"/>
      <c r="L318" s="194"/>
      <c r="M318" s="194"/>
      <c r="N318" s="194"/>
      <c r="O318" s="194"/>
      <c r="P318" s="194"/>
      <c r="Q318" s="194"/>
      <c r="R318" s="194"/>
      <c r="S318" s="194"/>
      <c r="T318" s="194"/>
      <c r="U318" s="194"/>
      <c r="V318" s="194"/>
      <c r="W318" s="194"/>
      <c r="X318" s="194"/>
      <c r="Y318" s="194"/>
      <c r="Z318" s="194"/>
      <c r="AA318" s="194"/>
      <c r="AB318" s="194"/>
      <c r="AC318" s="194"/>
      <c r="AD318" s="194"/>
      <c r="AE318" s="194"/>
      <c r="AF318" s="194"/>
    </row>
    <row r="319" spans="1:32" x14ac:dyDescent="0.25">
      <c r="A319" s="194"/>
      <c r="B319" s="194"/>
      <c r="C319" s="194"/>
      <c r="D319" s="194"/>
      <c r="E319" s="194"/>
      <c r="F319" s="194"/>
      <c r="G319" s="194"/>
      <c r="H319" s="194"/>
      <c r="I319" s="194"/>
      <c r="J319" s="194"/>
      <c r="K319" s="194"/>
      <c r="L319" s="194"/>
      <c r="M319" s="194"/>
      <c r="N319" s="194"/>
      <c r="O319" s="194"/>
      <c r="P319" s="194"/>
      <c r="Q319" s="194"/>
      <c r="R319" s="194"/>
      <c r="S319" s="194"/>
      <c r="T319" s="194"/>
      <c r="U319" s="194"/>
      <c r="V319" s="194"/>
      <c r="W319" s="194"/>
      <c r="X319" s="194"/>
      <c r="Y319" s="194"/>
      <c r="Z319" s="194"/>
      <c r="AA319" s="194"/>
      <c r="AB319" s="194"/>
      <c r="AC319" s="194"/>
      <c r="AD319" s="194"/>
      <c r="AE319" s="194"/>
      <c r="AF319" s="194"/>
    </row>
    <row r="320" spans="1:32" x14ac:dyDescent="0.25">
      <c r="A320" s="194"/>
      <c r="B320" s="194"/>
      <c r="C320" s="194"/>
      <c r="D320" s="194"/>
      <c r="E320" s="194"/>
      <c r="F320" s="194"/>
      <c r="G320" s="194"/>
      <c r="H320" s="194"/>
      <c r="I320" s="194"/>
      <c r="J320" s="194"/>
      <c r="K320" s="194"/>
      <c r="L320" s="194"/>
      <c r="M320" s="194"/>
      <c r="N320" s="194"/>
      <c r="O320" s="194"/>
      <c r="P320" s="194"/>
      <c r="Q320" s="194"/>
      <c r="R320" s="194"/>
      <c r="S320" s="194"/>
      <c r="T320" s="194"/>
      <c r="U320" s="194"/>
      <c r="V320" s="194"/>
      <c r="W320" s="194"/>
      <c r="X320" s="194"/>
      <c r="Y320" s="194"/>
      <c r="Z320" s="194"/>
      <c r="AA320" s="194"/>
      <c r="AB320" s="194"/>
      <c r="AC320" s="194"/>
      <c r="AD320" s="194"/>
      <c r="AE320" s="194"/>
      <c r="AF320" s="194"/>
    </row>
    <row r="321" spans="1:32" x14ac:dyDescent="0.25">
      <c r="A321" s="194"/>
      <c r="B321" s="194"/>
      <c r="C321" s="194"/>
      <c r="D321" s="194"/>
      <c r="E321" s="194"/>
      <c r="F321" s="194"/>
      <c r="G321" s="194"/>
      <c r="H321" s="194"/>
      <c r="I321" s="194"/>
      <c r="J321" s="194"/>
      <c r="K321" s="194"/>
      <c r="L321" s="194"/>
      <c r="M321" s="194"/>
      <c r="N321" s="194"/>
      <c r="O321" s="194"/>
      <c r="P321" s="194"/>
      <c r="Q321" s="194"/>
      <c r="R321" s="194"/>
      <c r="S321" s="194"/>
      <c r="T321" s="194"/>
      <c r="U321" s="194"/>
      <c r="V321" s="194"/>
      <c r="W321" s="194"/>
      <c r="X321" s="194"/>
      <c r="Y321" s="194"/>
      <c r="Z321" s="194"/>
      <c r="AA321" s="194"/>
      <c r="AB321" s="194"/>
      <c r="AC321" s="194"/>
      <c r="AD321" s="194"/>
      <c r="AE321" s="194"/>
      <c r="AF321" s="194"/>
    </row>
    <row r="322" spans="1:32" x14ac:dyDescent="0.25">
      <c r="A322" s="194"/>
      <c r="B322" s="194"/>
      <c r="C322" s="194"/>
      <c r="D322" s="194"/>
      <c r="E322" s="194"/>
      <c r="F322" s="194"/>
      <c r="G322" s="194"/>
      <c r="H322" s="194"/>
      <c r="I322" s="194"/>
      <c r="J322" s="194"/>
      <c r="K322" s="194"/>
      <c r="L322" s="194"/>
      <c r="M322" s="194"/>
      <c r="N322" s="194"/>
      <c r="O322" s="194"/>
      <c r="P322" s="194"/>
      <c r="Q322" s="194"/>
      <c r="R322" s="194"/>
      <c r="S322" s="194"/>
      <c r="T322" s="194"/>
      <c r="U322" s="194"/>
      <c r="V322" s="194"/>
      <c r="W322" s="194"/>
      <c r="X322" s="194"/>
      <c r="Y322" s="194"/>
      <c r="Z322" s="194"/>
      <c r="AA322" s="194"/>
      <c r="AB322" s="194"/>
      <c r="AC322" s="194"/>
      <c r="AD322" s="194"/>
      <c r="AE322" s="194"/>
      <c r="AF322" s="194"/>
    </row>
    <row r="323" spans="1:32" x14ac:dyDescent="0.25">
      <c r="A323" s="194"/>
      <c r="B323" s="194"/>
      <c r="C323" s="194"/>
      <c r="D323" s="194"/>
      <c r="E323" s="194"/>
      <c r="F323" s="194"/>
      <c r="G323" s="194"/>
      <c r="H323" s="194"/>
      <c r="I323" s="194"/>
      <c r="J323" s="194"/>
      <c r="K323" s="194"/>
      <c r="L323" s="194"/>
      <c r="M323" s="194"/>
      <c r="N323" s="194"/>
      <c r="O323" s="194"/>
      <c r="P323" s="194"/>
      <c r="Q323" s="194"/>
      <c r="R323" s="194"/>
      <c r="S323" s="194"/>
      <c r="T323" s="194"/>
      <c r="U323" s="194"/>
      <c r="V323" s="194"/>
      <c r="W323" s="194"/>
      <c r="X323" s="194"/>
      <c r="Y323" s="194"/>
      <c r="Z323" s="194"/>
      <c r="AA323" s="194"/>
      <c r="AB323" s="194"/>
      <c r="AC323" s="194"/>
      <c r="AD323" s="194"/>
      <c r="AE323" s="194"/>
      <c r="AF323" s="194"/>
    </row>
    <row r="324" spans="1:32" x14ac:dyDescent="0.25">
      <c r="A324" s="194"/>
      <c r="B324" s="194"/>
      <c r="C324" s="194"/>
      <c r="D324" s="194"/>
      <c r="E324" s="194"/>
      <c r="F324" s="194"/>
      <c r="G324" s="194"/>
      <c r="H324" s="194"/>
      <c r="I324" s="194"/>
      <c r="J324" s="194"/>
      <c r="K324" s="194"/>
      <c r="L324" s="194"/>
      <c r="M324" s="194"/>
      <c r="N324" s="194"/>
      <c r="O324" s="194"/>
      <c r="P324" s="194"/>
      <c r="Q324" s="194"/>
      <c r="R324" s="194"/>
      <c r="S324" s="194"/>
      <c r="T324" s="194"/>
      <c r="U324" s="194"/>
      <c r="V324" s="194"/>
      <c r="W324" s="194"/>
      <c r="X324" s="194"/>
      <c r="Y324" s="194"/>
      <c r="Z324" s="194"/>
      <c r="AA324" s="194"/>
      <c r="AB324" s="194"/>
      <c r="AC324" s="194"/>
      <c r="AD324" s="194"/>
      <c r="AE324" s="194"/>
      <c r="AF324" s="194"/>
    </row>
    <row r="325" spans="1:32" x14ac:dyDescent="0.25">
      <c r="A325" s="194"/>
      <c r="B325" s="194"/>
      <c r="C325" s="194"/>
      <c r="D325" s="194"/>
      <c r="E325" s="194"/>
      <c r="F325" s="194"/>
      <c r="G325" s="194"/>
      <c r="H325" s="194"/>
      <c r="I325" s="194"/>
      <c r="J325" s="194"/>
      <c r="K325" s="194"/>
      <c r="L325" s="194"/>
      <c r="M325" s="194"/>
      <c r="N325" s="194"/>
      <c r="O325" s="194"/>
      <c r="P325" s="194"/>
      <c r="Q325" s="194"/>
      <c r="R325" s="194"/>
      <c r="S325" s="194"/>
      <c r="T325" s="194"/>
      <c r="U325" s="194"/>
      <c r="V325" s="194"/>
      <c r="W325" s="194"/>
      <c r="X325" s="194"/>
      <c r="Y325" s="194"/>
      <c r="Z325" s="194"/>
      <c r="AA325" s="194"/>
      <c r="AB325" s="194"/>
      <c r="AC325" s="194"/>
      <c r="AD325" s="194"/>
      <c r="AE325" s="194"/>
      <c r="AF325" s="194"/>
    </row>
    <row r="326" spans="1:32" x14ac:dyDescent="0.25">
      <c r="A326" s="194"/>
      <c r="B326" s="194"/>
      <c r="C326" s="194"/>
      <c r="D326" s="194"/>
      <c r="E326" s="194"/>
      <c r="F326" s="194"/>
      <c r="G326" s="194"/>
      <c r="H326" s="194"/>
      <c r="I326" s="194"/>
      <c r="J326" s="194"/>
      <c r="K326" s="194"/>
      <c r="L326" s="194"/>
      <c r="M326" s="194"/>
      <c r="N326" s="194"/>
      <c r="O326" s="194"/>
      <c r="P326" s="194"/>
      <c r="Q326" s="194"/>
      <c r="R326" s="194"/>
      <c r="S326" s="194"/>
      <c r="T326" s="194"/>
      <c r="U326" s="194"/>
      <c r="V326" s="194"/>
      <c r="W326" s="194"/>
      <c r="X326" s="194"/>
      <c r="Y326" s="194"/>
      <c r="Z326" s="194"/>
      <c r="AA326" s="194"/>
      <c r="AB326" s="194"/>
      <c r="AC326" s="194"/>
      <c r="AD326" s="194"/>
      <c r="AE326" s="194"/>
      <c r="AF326" s="194"/>
    </row>
    <row r="327" spans="1:32" x14ac:dyDescent="0.25">
      <c r="A327" s="194"/>
      <c r="B327" s="194"/>
      <c r="C327" s="194"/>
      <c r="D327" s="194"/>
      <c r="E327" s="194"/>
      <c r="F327" s="194"/>
      <c r="G327" s="194"/>
      <c r="H327" s="194"/>
      <c r="I327" s="194"/>
      <c r="J327" s="194"/>
      <c r="K327" s="194"/>
      <c r="L327" s="194"/>
      <c r="M327" s="194"/>
      <c r="N327" s="194"/>
      <c r="O327" s="194"/>
      <c r="P327" s="194"/>
      <c r="Q327" s="194"/>
      <c r="R327" s="194"/>
      <c r="S327" s="194"/>
      <c r="T327" s="194"/>
      <c r="U327" s="194"/>
      <c r="V327" s="194"/>
      <c r="W327" s="194"/>
      <c r="X327" s="194"/>
      <c r="Y327" s="194"/>
      <c r="Z327" s="194"/>
      <c r="AA327" s="194"/>
      <c r="AB327" s="194"/>
      <c r="AC327" s="194"/>
      <c r="AD327" s="194"/>
      <c r="AE327" s="194"/>
      <c r="AF327" s="194"/>
    </row>
    <row r="328" spans="1:32" x14ac:dyDescent="0.25">
      <c r="A328" s="194"/>
      <c r="B328" s="194"/>
      <c r="C328" s="194"/>
      <c r="D328" s="194"/>
      <c r="E328" s="194"/>
      <c r="F328" s="194"/>
      <c r="G328" s="194"/>
      <c r="H328" s="194"/>
      <c r="I328" s="194"/>
      <c r="J328" s="194"/>
      <c r="K328" s="194"/>
      <c r="L328" s="194"/>
      <c r="M328" s="194"/>
      <c r="N328" s="194"/>
      <c r="O328" s="194"/>
      <c r="P328" s="194"/>
      <c r="Q328" s="194"/>
      <c r="R328" s="194"/>
      <c r="S328" s="194"/>
      <c r="T328" s="194"/>
      <c r="U328" s="194"/>
      <c r="V328" s="194"/>
      <c r="W328" s="194"/>
      <c r="X328" s="194"/>
      <c r="Y328" s="194"/>
      <c r="Z328" s="194"/>
      <c r="AA328" s="194"/>
      <c r="AB328" s="194"/>
      <c r="AC328" s="194"/>
      <c r="AD328" s="194"/>
      <c r="AE328" s="194"/>
      <c r="AF328" s="194"/>
    </row>
    <row r="329" spans="1:32" x14ac:dyDescent="0.25">
      <c r="A329" s="194"/>
      <c r="B329" s="194"/>
      <c r="C329" s="194"/>
      <c r="D329" s="194"/>
      <c r="E329" s="194"/>
      <c r="F329" s="194"/>
      <c r="G329" s="194"/>
      <c r="H329" s="194"/>
      <c r="I329" s="194"/>
      <c r="J329" s="194"/>
      <c r="K329" s="194"/>
      <c r="L329" s="194"/>
      <c r="M329" s="194"/>
      <c r="N329" s="194"/>
      <c r="O329" s="194"/>
      <c r="P329" s="194"/>
      <c r="Q329" s="194"/>
      <c r="R329" s="194"/>
      <c r="S329" s="194"/>
      <c r="T329" s="194"/>
      <c r="U329" s="194"/>
      <c r="V329" s="194"/>
      <c r="W329" s="194"/>
      <c r="X329" s="194"/>
      <c r="Y329" s="194"/>
      <c r="Z329" s="194"/>
      <c r="AA329" s="194"/>
      <c r="AB329" s="194"/>
      <c r="AC329" s="194"/>
      <c r="AD329" s="194"/>
      <c r="AE329" s="194"/>
      <c r="AF329" s="194"/>
    </row>
    <row r="330" spans="1:32" x14ac:dyDescent="0.25">
      <c r="A330" s="194"/>
      <c r="B330" s="194"/>
      <c r="C330" s="194"/>
      <c r="D330" s="194"/>
      <c r="E330" s="194"/>
      <c r="F330" s="194"/>
      <c r="G330" s="194"/>
      <c r="H330" s="194"/>
      <c r="I330" s="194"/>
      <c r="J330" s="194"/>
      <c r="K330" s="194"/>
      <c r="L330" s="194"/>
      <c r="M330" s="194"/>
      <c r="N330" s="194"/>
      <c r="O330" s="194"/>
      <c r="P330" s="194"/>
      <c r="Q330" s="194"/>
      <c r="R330" s="194"/>
      <c r="S330" s="194"/>
      <c r="T330" s="194"/>
      <c r="U330" s="194"/>
      <c r="V330" s="194"/>
      <c r="W330" s="194"/>
      <c r="X330" s="194"/>
      <c r="Y330" s="194"/>
      <c r="Z330" s="194"/>
      <c r="AA330" s="194"/>
      <c r="AB330" s="194"/>
      <c r="AC330" s="194"/>
      <c r="AD330" s="194"/>
      <c r="AE330" s="194"/>
      <c r="AF330" s="194"/>
    </row>
    <row r="331" spans="1:32" x14ac:dyDescent="0.25">
      <c r="A331" s="194"/>
      <c r="B331" s="194"/>
      <c r="C331" s="194"/>
      <c r="D331" s="194"/>
      <c r="E331" s="194"/>
      <c r="F331" s="194"/>
      <c r="G331" s="194"/>
      <c r="H331" s="194"/>
      <c r="I331" s="194"/>
      <c r="J331" s="194"/>
      <c r="K331" s="194"/>
      <c r="L331" s="194"/>
      <c r="M331" s="194"/>
      <c r="N331" s="194"/>
      <c r="O331" s="194"/>
      <c r="P331" s="194"/>
      <c r="Q331" s="194"/>
      <c r="R331" s="194"/>
      <c r="S331" s="194"/>
      <c r="T331" s="194"/>
      <c r="U331" s="194"/>
      <c r="V331" s="194"/>
      <c r="W331" s="194"/>
      <c r="X331" s="194"/>
      <c r="Y331" s="194"/>
      <c r="Z331" s="194"/>
      <c r="AA331" s="194"/>
      <c r="AB331" s="194"/>
      <c r="AC331" s="194"/>
      <c r="AD331" s="194"/>
      <c r="AE331" s="194"/>
      <c r="AF331" s="194"/>
    </row>
    <row r="332" spans="1:32" x14ac:dyDescent="0.25">
      <c r="A332" s="194"/>
      <c r="B332" s="194"/>
      <c r="C332" s="194"/>
      <c r="D332" s="194"/>
      <c r="E332" s="194"/>
      <c r="F332" s="194"/>
      <c r="G332" s="194"/>
      <c r="H332" s="194"/>
      <c r="I332" s="194"/>
      <c r="J332" s="194"/>
      <c r="K332" s="194"/>
      <c r="L332" s="194"/>
      <c r="M332" s="194"/>
      <c r="N332" s="194"/>
      <c r="O332" s="194"/>
      <c r="P332" s="194"/>
      <c r="Q332" s="194"/>
      <c r="R332" s="194"/>
      <c r="S332" s="194"/>
      <c r="T332" s="194"/>
      <c r="U332" s="194"/>
      <c r="V332" s="194"/>
      <c r="W332" s="194"/>
      <c r="X332" s="194"/>
      <c r="Y332" s="194"/>
      <c r="Z332" s="194"/>
      <c r="AA332" s="194"/>
      <c r="AB332" s="194"/>
      <c r="AC332" s="194"/>
      <c r="AD332" s="194"/>
      <c r="AE332" s="194"/>
      <c r="AF332" s="194"/>
    </row>
    <row r="333" spans="1:32" x14ac:dyDescent="0.25">
      <c r="A333" s="194"/>
      <c r="B333" s="194"/>
      <c r="C333" s="194"/>
      <c r="D333" s="194"/>
      <c r="E333" s="194"/>
      <c r="F333" s="194"/>
      <c r="G333" s="194"/>
      <c r="H333" s="194"/>
      <c r="I333" s="194"/>
      <c r="J333" s="194"/>
      <c r="K333" s="194"/>
      <c r="L333" s="194"/>
      <c r="M333" s="194"/>
      <c r="N333" s="194"/>
      <c r="O333" s="194"/>
      <c r="P333" s="194"/>
      <c r="Q333" s="194"/>
      <c r="R333" s="194"/>
      <c r="S333" s="194"/>
      <c r="T333" s="194"/>
      <c r="U333" s="194"/>
      <c r="V333" s="194"/>
      <c r="W333" s="194"/>
      <c r="X333" s="194"/>
      <c r="Y333" s="194"/>
      <c r="Z333" s="194"/>
      <c r="AA333" s="194"/>
      <c r="AB333" s="194"/>
      <c r="AC333" s="194"/>
      <c r="AD333" s="194"/>
      <c r="AE333" s="194"/>
      <c r="AF333" s="194"/>
    </row>
    <row r="334" spans="1:32" x14ac:dyDescent="0.25">
      <c r="A334" s="194"/>
      <c r="B334" s="194"/>
      <c r="C334" s="194"/>
      <c r="D334" s="194"/>
      <c r="E334" s="194"/>
      <c r="F334" s="194"/>
      <c r="G334" s="194"/>
      <c r="H334" s="194"/>
      <c r="I334" s="194"/>
      <c r="J334" s="194"/>
      <c r="K334" s="194"/>
      <c r="L334" s="194"/>
      <c r="M334" s="194"/>
      <c r="N334" s="194"/>
      <c r="O334" s="194"/>
      <c r="P334" s="194"/>
      <c r="Q334" s="194"/>
      <c r="R334" s="194"/>
      <c r="S334" s="194"/>
      <c r="T334" s="194"/>
      <c r="U334" s="194"/>
      <c r="V334" s="194"/>
      <c r="W334" s="194"/>
      <c r="X334" s="194"/>
      <c r="Y334" s="194"/>
      <c r="Z334" s="194"/>
      <c r="AA334" s="194"/>
      <c r="AB334" s="194"/>
      <c r="AC334" s="194"/>
      <c r="AD334" s="194"/>
      <c r="AE334" s="194"/>
      <c r="AF334" s="194"/>
    </row>
    <row r="335" spans="1:32" x14ac:dyDescent="0.25">
      <c r="A335" s="194"/>
      <c r="B335" s="194"/>
      <c r="C335" s="194"/>
      <c r="D335" s="194"/>
      <c r="E335" s="194"/>
      <c r="F335" s="194"/>
      <c r="G335" s="194"/>
      <c r="H335" s="194"/>
      <c r="I335" s="194"/>
      <c r="J335" s="194"/>
      <c r="K335" s="194"/>
      <c r="L335" s="194"/>
      <c r="M335" s="194"/>
      <c r="N335" s="194"/>
      <c r="O335" s="194"/>
      <c r="P335" s="194"/>
      <c r="Q335" s="194"/>
      <c r="R335" s="194"/>
      <c r="S335" s="194"/>
      <c r="T335" s="194"/>
      <c r="U335" s="194"/>
      <c r="V335" s="194"/>
      <c r="W335" s="194"/>
      <c r="X335" s="194"/>
      <c r="Y335" s="194"/>
      <c r="Z335" s="194"/>
      <c r="AA335" s="194"/>
      <c r="AB335" s="194"/>
      <c r="AC335" s="194"/>
      <c r="AD335" s="194"/>
      <c r="AE335" s="194"/>
      <c r="AF335" s="194"/>
    </row>
    <row r="336" spans="1:32" x14ac:dyDescent="0.25">
      <c r="A336" s="194"/>
      <c r="B336" s="194"/>
      <c r="C336" s="194"/>
      <c r="D336" s="194"/>
      <c r="E336" s="194"/>
      <c r="F336" s="194"/>
      <c r="G336" s="194"/>
      <c r="H336" s="194"/>
      <c r="I336" s="194"/>
      <c r="J336" s="194"/>
      <c r="K336" s="194"/>
      <c r="L336" s="194"/>
      <c r="M336" s="194"/>
      <c r="N336" s="194"/>
      <c r="O336" s="194"/>
      <c r="P336" s="194"/>
      <c r="Q336" s="194"/>
      <c r="R336" s="194"/>
      <c r="S336" s="194"/>
      <c r="T336" s="194"/>
      <c r="U336" s="194"/>
      <c r="V336" s="194"/>
      <c r="W336" s="194"/>
      <c r="X336" s="194"/>
      <c r="Y336" s="194"/>
      <c r="Z336" s="194"/>
      <c r="AA336" s="194"/>
      <c r="AB336" s="194"/>
      <c r="AC336" s="194"/>
      <c r="AD336" s="194"/>
      <c r="AE336" s="194"/>
      <c r="AF336" s="194"/>
    </row>
    <row r="337" spans="1:32" x14ac:dyDescent="0.25">
      <c r="A337" s="194"/>
      <c r="B337" s="194"/>
      <c r="C337" s="194"/>
      <c r="D337" s="194"/>
      <c r="E337" s="194"/>
      <c r="F337" s="194"/>
      <c r="G337" s="194"/>
      <c r="H337" s="194"/>
      <c r="I337" s="194"/>
      <c r="J337" s="194"/>
      <c r="K337" s="194"/>
      <c r="L337" s="194"/>
      <c r="M337" s="194"/>
      <c r="N337" s="194"/>
      <c r="O337" s="194"/>
      <c r="P337" s="194"/>
      <c r="Q337" s="194"/>
      <c r="R337" s="194"/>
      <c r="S337" s="194"/>
      <c r="T337" s="194"/>
      <c r="U337" s="194"/>
      <c r="V337" s="194"/>
      <c r="W337" s="194"/>
      <c r="X337" s="194"/>
      <c r="Y337" s="194"/>
      <c r="Z337" s="194"/>
      <c r="AA337" s="194"/>
      <c r="AB337" s="194"/>
      <c r="AC337" s="194"/>
      <c r="AD337" s="194"/>
      <c r="AE337" s="194"/>
      <c r="AF337" s="194"/>
    </row>
    <row r="338" spans="1:32" x14ac:dyDescent="0.25">
      <c r="A338" s="194"/>
      <c r="B338" s="194"/>
      <c r="C338" s="194"/>
      <c r="D338" s="194"/>
      <c r="E338" s="194"/>
      <c r="F338" s="194"/>
      <c r="G338" s="194"/>
      <c r="H338" s="194"/>
      <c r="I338" s="194"/>
      <c r="J338" s="194"/>
      <c r="K338" s="194"/>
      <c r="L338" s="194"/>
      <c r="M338" s="194"/>
      <c r="N338" s="194"/>
      <c r="O338" s="194"/>
      <c r="P338" s="194"/>
      <c r="Q338" s="194"/>
      <c r="R338" s="194"/>
      <c r="S338" s="194"/>
      <c r="T338" s="194"/>
      <c r="U338" s="194"/>
      <c r="V338" s="194"/>
      <c r="W338" s="194"/>
      <c r="X338" s="194"/>
      <c r="Y338" s="194"/>
      <c r="Z338" s="194"/>
      <c r="AA338" s="194"/>
      <c r="AB338" s="194"/>
      <c r="AC338" s="194"/>
      <c r="AD338" s="194"/>
      <c r="AE338" s="194"/>
      <c r="AF338" s="194"/>
    </row>
    <row r="339" spans="1:32" x14ac:dyDescent="0.25">
      <c r="A339" s="194"/>
      <c r="B339" s="194"/>
      <c r="C339" s="194"/>
      <c r="D339" s="194"/>
      <c r="E339" s="194"/>
      <c r="F339" s="194"/>
      <c r="G339" s="194"/>
      <c r="H339" s="194"/>
      <c r="I339" s="194"/>
      <c r="J339" s="194"/>
      <c r="K339" s="194"/>
      <c r="L339" s="194"/>
      <c r="M339" s="194"/>
      <c r="N339" s="194"/>
      <c r="O339" s="194"/>
      <c r="P339" s="194"/>
      <c r="Q339" s="194"/>
      <c r="R339" s="194"/>
      <c r="S339" s="194"/>
      <c r="T339" s="194"/>
      <c r="U339" s="194"/>
      <c r="V339" s="194"/>
      <c r="W339" s="194"/>
      <c r="X339" s="194"/>
      <c r="Y339" s="194"/>
      <c r="Z339" s="194"/>
      <c r="AA339" s="194"/>
      <c r="AB339" s="194"/>
      <c r="AC339" s="194"/>
      <c r="AD339" s="194"/>
      <c r="AE339" s="194"/>
      <c r="AF339" s="194"/>
    </row>
    <row r="340" spans="1:32" x14ac:dyDescent="0.25">
      <c r="A340" s="194"/>
      <c r="B340" s="194"/>
      <c r="C340" s="194"/>
      <c r="D340" s="194"/>
      <c r="E340" s="194"/>
      <c r="F340" s="194"/>
      <c r="G340" s="194"/>
      <c r="H340" s="194"/>
      <c r="I340" s="194"/>
      <c r="J340" s="194"/>
      <c r="K340" s="194"/>
      <c r="L340" s="194"/>
      <c r="M340" s="194"/>
      <c r="N340" s="194"/>
      <c r="O340" s="194"/>
      <c r="P340" s="194"/>
      <c r="Q340" s="194"/>
      <c r="R340" s="194"/>
      <c r="S340" s="194"/>
      <c r="T340" s="194"/>
      <c r="U340" s="194"/>
      <c r="V340" s="194"/>
      <c r="W340" s="194"/>
      <c r="X340" s="194"/>
      <c r="Y340" s="194"/>
      <c r="Z340" s="194"/>
      <c r="AA340" s="194"/>
      <c r="AB340" s="194"/>
      <c r="AC340" s="194"/>
      <c r="AD340" s="194"/>
      <c r="AE340" s="194"/>
      <c r="AF340" s="194"/>
    </row>
    <row r="341" spans="1:32" x14ac:dyDescent="0.25">
      <c r="A341" s="194"/>
      <c r="B341" s="194"/>
      <c r="C341" s="194"/>
      <c r="D341" s="194"/>
      <c r="E341" s="194"/>
      <c r="F341" s="194"/>
      <c r="G341" s="194"/>
      <c r="H341" s="194"/>
      <c r="I341" s="194"/>
      <c r="J341" s="194"/>
      <c r="K341" s="194"/>
      <c r="L341" s="194"/>
      <c r="M341" s="194"/>
      <c r="N341" s="194"/>
      <c r="O341" s="194"/>
      <c r="P341" s="194"/>
      <c r="Q341" s="194"/>
      <c r="R341" s="194"/>
      <c r="S341" s="194"/>
      <c r="T341" s="194"/>
      <c r="U341" s="194"/>
      <c r="V341" s="194"/>
      <c r="W341" s="194"/>
      <c r="X341" s="194"/>
      <c r="Y341" s="194"/>
      <c r="Z341" s="194"/>
      <c r="AA341" s="194"/>
      <c r="AB341" s="194"/>
      <c r="AC341" s="194"/>
      <c r="AD341" s="194"/>
      <c r="AE341" s="194"/>
      <c r="AF341" s="194"/>
    </row>
    <row r="342" spans="1:32" x14ac:dyDescent="0.25">
      <c r="A342" s="194"/>
      <c r="B342" s="194"/>
      <c r="C342" s="194"/>
      <c r="D342" s="194"/>
      <c r="E342" s="194"/>
      <c r="F342" s="194"/>
      <c r="G342" s="194"/>
      <c r="H342" s="194"/>
      <c r="I342" s="194"/>
      <c r="J342" s="194"/>
      <c r="K342" s="194"/>
      <c r="L342" s="194"/>
      <c r="M342" s="194"/>
      <c r="N342" s="194"/>
      <c r="O342" s="194"/>
      <c r="P342" s="194"/>
      <c r="Q342" s="194"/>
      <c r="R342" s="194"/>
      <c r="S342" s="194"/>
      <c r="T342" s="194"/>
      <c r="U342" s="194"/>
      <c r="V342" s="194"/>
      <c r="W342" s="194"/>
      <c r="X342" s="194"/>
      <c r="Y342" s="194"/>
      <c r="Z342" s="194"/>
      <c r="AA342" s="194"/>
      <c r="AB342" s="194"/>
      <c r="AC342" s="194"/>
      <c r="AD342" s="194"/>
      <c r="AE342" s="194"/>
      <c r="AF342" s="194"/>
    </row>
    <row r="343" spans="1:32" x14ac:dyDescent="0.25">
      <c r="A343" s="194"/>
      <c r="B343" s="194"/>
      <c r="C343" s="194"/>
      <c r="D343" s="194"/>
      <c r="E343" s="194"/>
      <c r="F343" s="194"/>
      <c r="G343" s="194"/>
      <c r="H343" s="194"/>
      <c r="I343" s="194"/>
      <c r="J343" s="194"/>
      <c r="K343" s="194"/>
      <c r="L343" s="194"/>
      <c r="M343" s="194"/>
      <c r="N343" s="194"/>
      <c r="O343" s="194"/>
      <c r="P343" s="194"/>
      <c r="Q343" s="194"/>
      <c r="R343" s="194"/>
      <c r="S343" s="194"/>
      <c r="T343" s="194"/>
      <c r="U343" s="194"/>
      <c r="V343" s="194"/>
      <c r="W343" s="194"/>
      <c r="X343" s="194"/>
      <c r="Y343" s="194"/>
      <c r="Z343" s="194"/>
      <c r="AA343" s="194"/>
      <c r="AB343" s="194"/>
      <c r="AC343" s="194"/>
      <c r="AD343" s="194"/>
      <c r="AE343" s="194"/>
      <c r="AF343" s="194"/>
    </row>
    <row r="344" spans="1:32" x14ac:dyDescent="0.25">
      <c r="A344" s="194"/>
      <c r="B344" s="194"/>
      <c r="C344" s="194"/>
      <c r="D344" s="194"/>
      <c r="E344" s="194"/>
      <c r="F344" s="194"/>
      <c r="G344" s="194"/>
      <c r="H344" s="194"/>
      <c r="I344" s="194"/>
      <c r="J344" s="194"/>
      <c r="K344" s="194"/>
      <c r="L344" s="194"/>
      <c r="M344" s="194"/>
      <c r="N344" s="194"/>
      <c r="O344" s="194"/>
      <c r="P344" s="194"/>
      <c r="Q344" s="194"/>
      <c r="R344" s="194"/>
      <c r="S344" s="194"/>
      <c r="T344" s="194"/>
      <c r="U344" s="194"/>
      <c r="V344" s="194"/>
      <c r="W344" s="194"/>
      <c r="X344" s="194"/>
      <c r="Y344" s="194"/>
      <c r="Z344" s="194"/>
      <c r="AA344" s="194"/>
      <c r="AB344" s="194"/>
      <c r="AC344" s="194"/>
      <c r="AD344" s="194"/>
      <c r="AE344" s="194"/>
      <c r="AF344" s="194"/>
    </row>
    <row r="345" spans="1:32" x14ac:dyDescent="0.25">
      <c r="A345" s="194"/>
      <c r="B345" s="194"/>
      <c r="C345" s="194"/>
      <c r="D345" s="194"/>
      <c r="E345" s="194"/>
      <c r="F345" s="194"/>
      <c r="G345" s="194"/>
      <c r="H345" s="194"/>
      <c r="I345" s="194"/>
      <c r="J345" s="194"/>
      <c r="K345" s="194"/>
      <c r="L345" s="194"/>
      <c r="M345" s="194"/>
      <c r="N345" s="194"/>
      <c r="O345" s="194"/>
      <c r="P345" s="194"/>
      <c r="Q345" s="194"/>
      <c r="R345" s="194"/>
      <c r="S345" s="194"/>
      <c r="T345" s="194"/>
      <c r="U345" s="194"/>
      <c r="V345" s="194"/>
      <c r="W345" s="194"/>
      <c r="X345" s="194"/>
      <c r="Y345" s="194"/>
      <c r="Z345" s="194"/>
      <c r="AA345" s="194"/>
      <c r="AB345" s="194"/>
      <c r="AC345" s="194"/>
      <c r="AD345" s="194"/>
      <c r="AE345" s="194"/>
      <c r="AF345" s="194"/>
    </row>
    <row r="346" spans="1:32" x14ac:dyDescent="0.25">
      <c r="A346" s="194"/>
      <c r="B346" s="194"/>
      <c r="C346" s="194"/>
      <c r="D346" s="194"/>
      <c r="E346" s="194"/>
      <c r="F346" s="194"/>
      <c r="G346" s="194"/>
      <c r="H346" s="194"/>
      <c r="I346" s="194"/>
      <c r="J346" s="194"/>
      <c r="K346" s="194"/>
      <c r="L346" s="194"/>
      <c r="M346" s="194"/>
      <c r="N346" s="194"/>
      <c r="O346" s="194"/>
      <c r="P346" s="194"/>
      <c r="Q346" s="194"/>
      <c r="R346" s="194"/>
      <c r="S346" s="194"/>
      <c r="T346" s="194"/>
      <c r="U346" s="194"/>
      <c r="V346" s="194"/>
      <c r="W346" s="194"/>
      <c r="X346" s="194"/>
      <c r="Y346" s="194"/>
      <c r="Z346" s="194"/>
      <c r="AA346" s="194"/>
      <c r="AB346" s="194"/>
      <c r="AC346" s="194"/>
      <c r="AD346" s="194"/>
      <c r="AE346" s="194"/>
      <c r="AF346" s="194"/>
    </row>
    <row r="347" spans="1:32" x14ac:dyDescent="0.25">
      <c r="A347" s="194"/>
      <c r="B347" s="194"/>
      <c r="C347" s="194"/>
      <c r="D347" s="194"/>
      <c r="E347" s="194"/>
      <c r="F347" s="194"/>
      <c r="G347" s="194"/>
      <c r="H347" s="194"/>
      <c r="I347" s="194"/>
      <c r="J347" s="194"/>
      <c r="K347" s="194"/>
      <c r="L347" s="194"/>
      <c r="M347" s="194"/>
      <c r="N347" s="194"/>
      <c r="O347" s="194"/>
      <c r="P347" s="194"/>
      <c r="Q347" s="194"/>
      <c r="R347" s="194"/>
      <c r="S347" s="194"/>
      <c r="T347" s="194"/>
      <c r="U347" s="194"/>
      <c r="V347" s="194"/>
      <c r="W347" s="194"/>
      <c r="X347" s="194"/>
      <c r="Y347" s="194"/>
      <c r="Z347" s="194"/>
      <c r="AA347" s="194"/>
      <c r="AB347" s="194"/>
      <c r="AC347" s="194"/>
      <c r="AD347" s="194"/>
      <c r="AE347" s="194"/>
      <c r="AF347" s="194"/>
    </row>
    <row r="348" spans="1:32" x14ac:dyDescent="0.25">
      <c r="A348" s="194"/>
      <c r="B348" s="194"/>
      <c r="C348" s="194"/>
      <c r="D348" s="194"/>
      <c r="E348" s="194"/>
      <c r="F348" s="194"/>
      <c r="G348" s="194"/>
      <c r="H348" s="194"/>
      <c r="I348" s="194"/>
      <c r="J348" s="194"/>
      <c r="K348" s="194"/>
      <c r="L348" s="194"/>
      <c r="M348" s="194"/>
      <c r="N348" s="194"/>
      <c r="O348" s="194"/>
      <c r="P348" s="194"/>
      <c r="Q348" s="194"/>
      <c r="R348" s="194"/>
      <c r="S348" s="194"/>
      <c r="T348" s="194"/>
      <c r="U348" s="194"/>
      <c r="V348" s="194"/>
      <c r="W348" s="194"/>
      <c r="X348" s="194"/>
      <c r="Y348" s="194"/>
      <c r="Z348" s="194"/>
      <c r="AA348" s="194"/>
      <c r="AB348" s="194"/>
      <c r="AC348" s="194"/>
      <c r="AD348" s="194"/>
      <c r="AE348" s="194"/>
      <c r="AF348" s="194"/>
    </row>
    <row r="349" spans="1:32" x14ac:dyDescent="0.25">
      <c r="A349" s="194"/>
      <c r="B349" s="194"/>
      <c r="C349" s="194"/>
      <c r="D349" s="194"/>
      <c r="E349" s="194"/>
      <c r="F349" s="194"/>
      <c r="G349" s="194"/>
      <c r="H349" s="194"/>
      <c r="I349" s="194"/>
      <c r="J349" s="194"/>
      <c r="K349" s="194"/>
      <c r="L349" s="194"/>
      <c r="M349" s="194"/>
      <c r="N349" s="194"/>
      <c r="O349" s="194"/>
      <c r="P349" s="194"/>
      <c r="Q349" s="194"/>
      <c r="R349" s="194"/>
      <c r="S349" s="194"/>
      <c r="T349" s="194"/>
      <c r="U349" s="194"/>
      <c r="V349" s="194"/>
      <c r="W349" s="194"/>
      <c r="X349" s="194"/>
      <c r="Y349" s="194"/>
      <c r="Z349" s="194"/>
      <c r="AA349" s="194"/>
      <c r="AB349" s="194"/>
      <c r="AC349" s="194"/>
      <c r="AD349" s="194"/>
      <c r="AE349" s="194"/>
      <c r="AF349" s="194"/>
    </row>
    <row r="350" spans="1:32" x14ac:dyDescent="0.25">
      <c r="A350" s="194"/>
      <c r="B350" s="194"/>
      <c r="C350" s="194"/>
      <c r="D350" s="194"/>
      <c r="E350" s="194"/>
      <c r="F350" s="194"/>
      <c r="G350" s="194"/>
      <c r="H350" s="194"/>
      <c r="I350" s="194"/>
      <c r="J350" s="194"/>
      <c r="K350" s="194"/>
      <c r="L350" s="194"/>
      <c r="M350" s="194"/>
      <c r="N350" s="194"/>
      <c r="O350" s="194"/>
      <c r="P350" s="194"/>
      <c r="Q350" s="194"/>
      <c r="R350" s="194"/>
      <c r="S350" s="194"/>
      <c r="T350" s="194"/>
      <c r="U350" s="194"/>
      <c r="V350" s="194"/>
      <c r="W350" s="194"/>
      <c r="X350" s="194"/>
      <c r="Y350" s="194"/>
      <c r="Z350" s="194"/>
      <c r="AA350" s="194"/>
      <c r="AB350" s="194"/>
      <c r="AC350" s="194"/>
      <c r="AD350" s="194"/>
      <c r="AE350" s="194"/>
      <c r="AF350" s="194"/>
    </row>
    <row r="351" spans="1:32" x14ac:dyDescent="0.25">
      <c r="A351" s="194"/>
      <c r="B351" s="194"/>
      <c r="C351" s="194"/>
      <c r="D351" s="194"/>
      <c r="E351" s="194"/>
      <c r="F351" s="194"/>
      <c r="G351" s="194"/>
      <c r="H351" s="194"/>
      <c r="I351" s="194"/>
      <c r="J351" s="194"/>
      <c r="K351" s="194"/>
      <c r="L351" s="194"/>
      <c r="M351" s="194"/>
      <c r="N351" s="194"/>
      <c r="O351" s="194"/>
      <c r="P351" s="194"/>
      <c r="Q351" s="194"/>
      <c r="R351" s="194"/>
      <c r="S351" s="194"/>
      <c r="T351" s="194"/>
      <c r="U351" s="194"/>
      <c r="V351" s="194"/>
      <c r="W351" s="194"/>
      <c r="X351" s="194"/>
      <c r="Y351" s="194"/>
      <c r="Z351" s="194"/>
      <c r="AA351" s="194"/>
      <c r="AB351" s="194"/>
      <c r="AC351" s="194"/>
      <c r="AD351" s="194"/>
      <c r="AE351" s="194"/>
      <c r="AF351" s="194"/>
    </row>
    <row r="352" spans="1:32" x14ac:dyDescent="0.25">
      <c r="A352" s="194"/>
      <c r="B352" s="194"/>
      <c r="C352" s="194"/>
      <c r="D352" s="194"/>
      <c r="E352" s="194"/>
      <c r="F352" s="194"/>
      <c r="G352" s="194"/>
      <c r="H352" s="194"/>
      <c r="I352" s="194"/>
      <c r="J352" s="194"/>
      <c r="K352" s="194"/>
      <c r="L352" s="194"/>
      <c r="M352" s="194"/>
      <c r="N352" s="194"/>
      <c r="O352" s="194"/>
      <c r="P352" s="194"/>
      <c r="Q352" s="194"/>
      <c r="R352" s="194"/>
      <c r="S352" s="194"/>
      <c r="T352" s="194"/>
      <c r="U352" s="194"/>
      <c r="V352" s="194"/>
      <c r="W352" s="194"/>
      <c r="X352" s="194"/>
      <c r="Y352" s="194"/>
      <c r="Z352" s="194"/>
      <c r="AA352" s="194"/>
      <c r="AB352" s="194"/>
      <c r="AC352" s="194"/>
      <c r="AD352" s="194"/>
      <c r="AE352" s="194"/>
      <c r="AF352" s="194"/>
    </row>
    <row r="353" spans="1:32" x14ac:dyDescent="0.25">
      <c r="A353" s="194"/>
      <c r="B353" s="194"/>
      <c r="C353" s="194"/>
      <c r="D353" s="194"/>
      <c r="E353" s="194"/>
      <c r="F353" s="194"/>
      <c r="G353" s="194"/>
      <c r="H353" s="194"/>
      <c r="I353" s="194"/>
      <c r="J353" s="194"/>
      <c r="K353" s="194"/>
      <c r="L353" s="194"/>
      <c r="M353" s="194"/>
      <c r="N353" s="194"/>
      <c r="O353" s="194"/>
      <c r="P353" s="194"/>
      <c r="Q353" s="194"/>
      <c r="R353" s="194"/>
      <c r="S353" s="194"/>
      <c r="T353" s="194"/>
      <c r="U353" s="194"/>
      <c r="V353" s="194"/>
      <c r="W353" s="194"/>
      <c r="X353" s="194"/>
      <c r="Y353" s="194"/>
      <c r="Z353" s="194"/>
      <c r="AA353" s="194"/>
      <c r="AB353" s="194"/>
      <c r="AC353" s="194"/>
      <c r="AD353" s="194"/>
      <c r="AE353" s="194"/>
      <c r="AF353" s="194"/>
    </row>
    <row r="354" spans="1:32" x14ac:dyDescent="0.25">
      <c r="A354" s="194"/>
      <c r="B354" s="194"/>
      <c r="C354" s="194"/>
      <c r="D354" s="194"/>
      <c r="E354" s="194"/>
      <c r="F354" s="194"/>
      <c r="G354" s="194"/>
      <c r="H354" s="194"/>
      <c r="I354" s="194"/>
      <c r="J354" s="194"/>
      <c r="K354" s="194"/>
      <c r="L354" s="194"/>
      <c r="M354" s="194"/>
      <c r="N354" s="194"/>
      <c r="O354" s="194"/>
      <c r="P354" s="194"/>
      <c r="Q354" s="194"/>
      <c r="R354" s="194"/>
      <c r="S354" s="194"/>
      <c r="T354" s="194"/>
      <c r="U354" s="194"/>
      <c r="V354" s="194"/>
      <c r="W354" s="194"/>
      <c r="X354" s="194"/>
      <c r="Y354" s="194"/>
      <c r="Z354" s="194"/>
      <c r="AA354" s="194"/>
      <c r="AB354" s="194"/>
      <c r="AC354" s="194"/>
      <c r="AD354" s="194"/>
      <c r="AE354" s="194"/>
      <c r="AF354" s="194"/>
    </row>
    <row r="355" spans="1:32" x14ac:dyDescent="0.25">
      <c r="A355" s="194"/>
      <c r="B355" s="194"/>
      <c r="C355" s="194"/>
      <c r="D355" s="194"/>
      <c r="E355" s="194"/>
      <c r="F355" s="194"/>
      <c r="G355" s="194"/>
      <c r="H355" s="194"/>
      <c r="I355" s="194"/>
      <c r="J355" s="194"/>
      <c r="K355" s="194"/>
      <c r="L355" s="194"/>
      <c r="M355" s="194"/>
      <c r="N355" s="194"/>
      <c r="O355" s="194"/>
      <c r="P355" s="194"/>
      <c r="Q355" s="194"/>
      <c r="R355" s="194"/>
      <c r="S355" s="194"/>
      <c r="T355" s="194"/>
      <c r="U355" s="194"/>
      <c r="V355" s="194"/>
      <c r="W355" s="194"/>
      <c r="X355" s="194"/>
      <c r="Y355" s="194"/>
      <c r="Z355" s="194"/>
      <c r="AA355" s="194"/>
      <c r="AB355" s="194"/>
      <c r="AC355" s="194"/>
      <c r="AD355" s="194"/>
      <c r="AE355" s="194"/>
      <c r="AF355" s="194"/>
    </row>
    <row r="356" spans="1:32" x14ac:dyDescent="0.25">
      <c r="A356" s="194"/>
      <c r="B356" s="194"/>
      <c r="C356" s="194"/>
      <c r="D356" s="194"/>
      <c r="E356" s="194"/>
      <c r="F356" s="194"/>
      <c r="G356" s="194"/>
      <c r="H356" s="194"/>
      <c r="I356" s="194"/>
      <c r="J356" s="194"/>
      <c r="K356" s="194"/>
      <c r="L356" s="194"/>
      <c r="M356" s="194"/>
      <c r="N356" s="194"/>
      <c r="O356" s="194"/>
      <c r="P356" s="194"/>
      <c r="Q356" s="194"/>
      <c r="R356" s="194"/>
      <c r="S356" s="194"/>
      <c r="T356" s="194"/>
      <c r="U356" s="194"/>
      <c r="V356" s="194"/>
      <c r="W356" s="194"/>
      <c r="X356" s="194"/>
      <c r="Y356" s="194"/>
      <c r="Z356" s="194"/>
      <c r="AA356" s="194"/>
      <c r="AB356" s="194"/>
      <c r="AC356" s="194"/>
      <c r="AD356" s="194"/>
      <c r="AE356" s="194"/>
      <c r="AF356" s="194"/>
    </row>
    <row r="357" spans="1:32" x14ac:dyDescent="0.25">
      <c r="A357" s="194"/>
      <c r="B357" s="194"/>
      <c r="C357" s="194"/>
      <c r="D357" s="194"/>
      <c r="E357" s="194"/>
      <c r="F357" s="194"/>
      <c r="G357" s="194"/>
      <c r="H357" s="194"/>
      <c r="I357" s="194"/>
      <c r="J357" s="194"/>
      <c r="K357" s="194"/>
      <c r="L357" s="194"/>
      <c r="M357" s="194"/>
      <c r="N357" s="194"/>
      <c r="O357" s="194"/>
      <c r="P357" s="194"/>
      <c r="Q357" s="194"/>
      <c r="R357" s="194"/>
      <c r="S357" s="194"/>
      <c r="T357" s="194"/>
      <c r="U357" s="194"/>
      <c r="V357" s="194"/>
      <c r="W357" s="194"/>
      <c r="X357" s="194"/>
      <c r="Y357" s="194"/>
      <c r="Z357" s="194"/>
      <c r="AA357" s="194"/>
      <c r="AB357" s="194"/>
      <c r="AC357" s="194"/>
      <c r="AD357" s="194"/>
      <c r="AE357" s="194"/>
      <c r="AF357" s="194"/>
    </row>
    <row r="358" spans="1:32" x14ac:dyDescent="0.25">
      <c r="A358" s="194"/>
      <c r="B358" s="194"/>
      <c r="C358" s="194"/>
      <c r="D358" s="194"/>
      <c r="E358" s="194"/>
      <c r="F358" s="194"/>
      <c r="G358" s="194"/>
      <c r="H358" s="194"/>
      <c r="I358" s="194"/>
      <c r="J358" s="194"/>
      <c r="K358" s="194"/>
      <c r="L358" s="194"/>
      <c r="M358" s="194"/>
      <c r="N358" s="194"/>
      <c r="O358" s="194"/>
      <c r="P358" s="194"/>
      <c r="Q358" s="194"/>
      <c r="R358" s="194"/>
      <c r="S358" s="194"/>
      <c r="T358" s="194"/>
      <c r="U358" s="194"/>
      <c r="V358" s="194"/>
      <c r="W358" s="194"/>
      <c r="X358" s="194"/>
      <c r="Y358" s="194"/>
      <c r="Z358" s="194"/>
      <c r="AA358" s="194"/>
      <c r="AB358" s="194"/>
      <c r="AC358" s="194"/>
      <c r="AD358" s="194"/>
      <c r="AE358" s="194"/>
      <c r="AF358" s="194"/>
    </row>
    <row r="359" spans="1:32" x14ac:dyDescent="0.25">
      <c r="A359" s="194"/>
      <c r="B359" s="194"/>
      <c r="C359" s="194"/>
      <c r="D359" s="194"/>
      <c r="E359" s="194"/>
      <c r="F359" s="194"/>
      <c r="G359" s="194"/>
      <c r="H359" s="194"/>
      <c r="I359" s="194"/>
      <c r="J359" s="194"/>
      <c r="K359" s="194"/>
      <c r="L359" s="194"/>
      <c r="M359" s="194"/>
      <c r="N359" s="194"/>
      <c r="O359" s="194"/>
      <c r="P359" s="194"/>
      <c r="Q359" s="194"/>
      <c r="R359" s="194"/>
      <c r="S359" s="194"/>
      <c r="T359" s="194"/>
      <c r="U359" s="194"/>
      <c r="V359" s="194"/>
      <c r="W359" s="194"/>
      <c r="X359" s="194"/>
      <c r="Y359" s="194"/>
      <c r="Z359" s="194"/>
      <c r="AA359" s="194"/>
      <c r="AB359" s="194"/>
      <c r="AC359" s="194"/>
      <c r="AD359" s="194"/>
      <c r="AE359" s="194"/>
      <c r="AF359" s="194"/>
    </row>
    <row r="360" spans="1:32" x14ac:dyDescent="0.25">
      <c r="A360" s="194"/>
      <c r="B360" s="194"/>
      <c r="C360" s="194"/>
      <c r="D360" s="194"/>
      <c r="E360" s="194"/>
      <c r="F360" s="194"/>
      <c r="G360" s="194"/>
      <c r="H360" s="194"/>
      <c r="I360" s="194"/>
      <c r="J360" s="194"/>
      <c r="K360" s="194"/>
      <c r="L360" s="194"/>
      <c r="M360" s="194"/>
      <c r="N360" s="194"/>
      <c r="O360" s="194"/>
      <c r="P360" s="194"/>
      <c r="Q360" s="194"/>
      <c r="R360" s="194"/>
      <c r="S360" s="194"/>
      <c r="T360" s="194"/>
      <c r="U360" s="194"/>
      <c r="V360" s="194"/>
      <c r="W360" s="194"/>
      <c r="X360" s="194"/>
      <c r="Y360" s="194"/>
      <c r="Z360" s="194"/>
      <c r="AA360" s="194"/>
      <c r="AB360" s="194"/>
      <c r="AC360" s="194"/>
      <c r="AD360" s="194"/>
      <c r="AE360" s="194"/>
      <c r="AF360" s="194"/>
    </row>
    <row r="361" spans="1:32" x14ac:dyDescent="0.25">
      <c r="A361" s="194"/>
      <c r="B361" s="194"/>
      <c r="C361" s="194"/>
      <c r="D361" s="194"/>
      <c r="E361" s="194"/>
      <c r="F361" s="194"/>
      <c r="G361" s="194"/>
      <c r="H361" s="194"/>
      <c r="I361" s="194"/>
      <c r="J361" s="194"/>
      <c r="K361" s="194"/>
      <c r="L361" s="194"/>
      <c r="M361" s="194"/>
      <c r="N361" s="194"/>
      <c r="O361" s="194"/>
      <c r="P361" s="194"/>
      <c r="Q361" s="194"/>
      <c r="R361" s="194"/>
      <c r="S361" s="194"/>
      <c r="T361" s="194"/>
      <c r="U361" s="194"/>
      <c r="V361" s="194"/>
      <c r="W361" s="194"/>
      <c r="X361" s="194"/>
      <c r="Y361" s="194"/>
      <c r="Z361" s="194"/>
      <c r="AA361" s="194"/>
      <c r="AB361" s="194"/>
      <c r="AC361" s="194"/>
      <c r="AD361" s="194"/>
      <c r="AE361" s="194"/>
      <c r="AF361" s="194"/>
    </row>
    <row r="362" spans="1:32" x14ac:dyDescent="0.25">
      <c r="A362" s="194"/>
      <c r="B362" s="194"/>
      <c r="C362" s="194"/>
      <c r="D362" s="194"/>
      <c r="E362" s="194"/>
      <c r="F362" s="194"/>
      <c r="G362" s="194"/>
      <c r="H362" s="194"/>
      <c r="I362" s="194"/>
      <c r="J362" s="194"/>
      <c r="K362" s="194"/>
      <c r="L362" s="194"/>
      <c r="M362" s="194"/>
      <c r="N362" s="194"/>
      <c r="O362" s="194"/>
      <c r="P362" s="194"/>
      <c r="Q362" s="194"/>
      <c r="R362" s="194"/>
      <c r="S362" s="194"/>
      <c r="T362" s="194"/>
      <c r="U362" s="194"/>
      <c r="V362" s="194"/>
      <c r="W362" s="194"/>
      <c r="X362" s="194"/>
      <c r="Y362" s="194"/>
      <c r="Z362" s="194"/>
      <c r="AA362" s="194"/>
      <c r="AB362" s="194"/>
      <c r="AC362" s="194"/>
      <c r="AD362" s="194"/>
      <c r="AE362" s="194"/>
      <c r="AF362" s="194"/>
    </row>
    <row r="363" spans="1:32" x14ac:dyDescent="0.25">
      <c r="A363" s="194"/>
      <c r="B363" s="194"/>
      <c r="C363" s="194"/>
      <c r="D363" s="194"/>
      <c r="E363" s="194"/>
      <c r="F363" s="194"/>
      <c r="G363" s="194"/>
      <c r="H363" s="194"/>
      <c r="I363" s="194"/>
      <c r="J363" s="194"/>
      <c r="K363" s="194"/>
      <c r="L363" s="194"/>
      <c r="M363" s="194"/>
      <c r="N363" s="194"/>
      <c r="O363" s="194"/>
      <c r="P363" s="194"/>
      <c r="Q363" s="194"/>
      <c r="R363" s="194"/>
      <c r="S363" s="194"/>
      <c r="T363" s="194"/>
      <c r="U363" s="194"/>
      <c r="V363" s="194"/>
      <c r="W363" s="194"/>
      <c r="X363" s="194"/>
      <c r="Y363" s="194"/>
      <c r="Z363" s="194"/>
      <c r="AA363" s="194"/>
      <c r="AB363" s="194"/>
      <c r="AC363" s="194"/>
      <c r="AD363" s="194"/>
      <c r="AE363" s="194"/>
      <c r="AF363" s="194"/>
    </row>
    <row r="364" spans="1:32" x14ac:dyDescent="0.25">
      <c r="A364" s="194"/>
      <c r="B364" s="194"/>
      <c r="C364" s="194"/>
      <c r="D364" s="194"/>
      <c r="E364" s="194"/>
      <c r="F364" s="194"/>
      <c r="G364" s="194"/>
      <c r="H364" s="194"/>
      <c r="I364" s="194"/>
      <c r="J364" s="194"/>
      <c r="K364" s="194"/>
      <c r="L364" s="194"/>
      <c r="M364" s="194"/>
      <c r="N364" s="194"/>
      <c r="O364" s="194"/>
      <c r="P364" s="194"/>
      <c r="Q364" s="194"/>
      <c r="R364" s="194"/>
      <c r="S364" s="194"/>
      <c r="T364" s="194"/>
      <c r="U364" s="194"/>
      <c r="V364" s="194"/>
      <c r="W364" s="194"/>
      <c r="X364" s="194"/>
      <c r="Y364" s="194"/>
      <c r="Z364" s="194"/>
      <c r="AA364" s="194"/>
      <c r="AB364" s="194"/>
      <c r="AC364" s="194"/>
      <c r="AD364" s="194"/>
      <c r="AE364" s="194"/>
      <c r="AF364" s="194"/>
    </row>
    <row r="365" spans="1:32" x14ac:dyDescent="0.25">
      <c r="A365" s="194"/>
      <c r="B365" s="194"/>
      <c r="C365" s="194"/>
      <c r="D365" s="194"/>
      <c r="E365" s="194"/>
      <c r="F365" s="194"/>
      <c r="G365" s="194"/>
      <c r="H365" s="194"/>
      <c r="I365" s="194"/>
      <c r="J365" s="194"/>
      <c r="K365" s="194"/>
      <c r="L365" s="194"/>
      <c r="M365" s="194"/>
      <c r="N365" s="194"/>
      <c r="O365" s="194"/>
      <c r="P365" s="194"/>
      <c r="Q365" s="194"/>
      <c r="R365" s="194"/>
      <c r="S365" s="194"/>
      <c r="T365" s="194"/>
      <c r="U365" s="194"/>
      <c r="V365" s="194"/>
      <c r="W365" s="194"/>
      <c r="X365" s="194"/>
      <c r="Y365" s="194"/>
      <c r="Z365" s="194"/>
      <c r="AA365" s="194"/>
      <c r="AB365" s="194"/>
      <c r="AC365" s="194"/>
      <c r="AD365" s="194"/>
      <c r="AE365" s="194"/>
      <c r="AF365" s="194"/>
    </row>
    <row r="366" spans="1:32" x14ac:dyDescent="0.25">
      <c r="A366" s="194"/>
      <c r="B366" s="194"/>
      <c r="C366" s="194"/>
      <c r="D366" s="194"/>
      <c r="E366" s="194"/>
      <c r="F366" s="194"/>
      <c r="G366" s="194"/>
      <c r="H366" s="194"/>
      <c r="I366" s="194"/>
      <c r="J366" s="194"/>
      <c r="K366" s="194"/>
      <c r="L366" s="194"/>
      <c r="M366" s="194"/>
      <c r="N366" s="194"/>
      <c r="O366" s="194"/>
      <c r="P366" s="194"/>
      <c r="Q366" s="194"/>
      <c r="R366" s="194"/>
      <c r="S366" s="194"/>
      <c r="T366" s="194"/>
      <c r="U366" s="194"/>
      <c r="V366" s="194"/>
      <c r="W366" s="194"/>
      <c r="X366" s="194"/>
      <c r="Y366" s="194"/>
      <c r="Z366" s="194"/>
      <c r="AA366" s="194"/>
      <c r="AB366" s="194"/>
      <c r="AC366" s="194"/>
      <c r="AD366" s="194"/>
      <c r="AE366" s="194"/>
      <c r="AF366" s="194"/>
    </row>
    <row r="367" spans="1:32" x14ac:dyDescent="0.25">
      <c r="A367" s="194"/>
      <c r="B367" s="194"/>
      <c r="C367" s="194"/>
      <c r="D367" s="194"/>
      <c r="E367" s="194"/>
      <c r="F367" s="194"/>
      <c r="G367" s="194"/>
      <c r="H367" s="194"/>
      <c r="I367" s="194"/>
      <c r="J367" s="194"/>
      <c r="K367" s="194"/>
      <c r="L367" s="194"/>
      <c r="M367" s="194"/>
      <c r="N367" s="194"/>
      <c r="O367" s="194"/>
      <c r="P367" s="194"/>
      <c r="Q367" s="194"/>
      <c r="R367" s="194"/>
      <c r="S367" s="194"/>
      <c r="T367" s="194"/>
      <c r="U367" s="194"/>
      <c r="V367" s="194"/>
      <c r="W367" s="194"/>
      <c r="X367" s="194"/>
      <c r="Y367" s="194"/>
      <c r="Z367" s="194"/>
      <c r="AA367" s="194"/>
      <c r="AB367" s="194"/>
      <c r="AC367" s="194"/>
      <c r="AD367" s="194"/>
      <c r="AE367" s="194"/>
      <c r="AF367" s="194"/>
    </row>
    <row r="368" spans="1:32" x14ac:dyDescent="0.25">
      <c r="A368" s="194"/>
      <c r="B368" s="194"/>
      <c r="C368" s="194"/>
      <c r="D368" s="194"/>
      <c r="E368" s="194"/>
      <c r="F368" s="194"/>
      <c r="G368" s="194"/>
      <c r="H368" s="194"/>
      <c r="I368" s="194"/>
      <c r="J368" s="194"/>
      <c r="K368" s="194"/>
      <c r="L368" s="194"/>
      <c r="M368" s="194"/>
      <c r="N368" s="194"/>
      <c r="O368" s="194"/>
      <c r="P368" s="194"/>
      <c r="Q368" s="194"/>
      <c r="R368" s="194"/>
      <c r="S368" s="194"/>
      <c r="T368" s="194"/>
      <c r="U368" s="194"/>
      <c r="V368" s="194"/>
      <c r="W368" s="194"/>
      <c r="X368" s="194"/>
      <c r="Y368" s="194"/>
      <c r="Z368" s="194"/>
      <c r="AA368" s="194"/>
      <c r="AB368" s="194"/>
      <c r="AC368" s="194"/>
      <c r="AD368" s="194"/>
      <c r="AE368" s="194"/>
      <c r="AF368" s="194"/>
    </row>
    <row r="369" spans="1:32" x14ac:dyDescent="0.25">
      <c r="A369" s="194"/>
      <c r="B369" s="194"/>
      <c r="C369" s="194"/>
      <c r="D369" s="194"/>
      <c r="E369" s="194"/>
      <c r="F369" s="194"/>
      <c r="G369" s="194"/>
      <c r="H369" s="194"/>
      <c r="I369" s="194"/>
      <c r="J369" s="194"/>
      <c r="K369" s="194"/>
      <c r="L369" s="194"/>
      <c r="M369" s="194"/>
      <c r="N369" s="194"/>
      <c r="O369" s="194"/>
      <c r="P369" s="194"/>
      <c r="Q369" s="194"/>
      <c r="R369" s="194"/>
      <c r="S369" s="194"/>
      <c r="T369" s="194"/>
      <c r="U369" s="194"/>
      <c r="V369" s="194"/>
      <c r="W369" s="194"/>
      <c r="X369" s="194"/>
      <c r="Y369" s="194"/>
      <c r="Z369" s="194"/>
      <c r="AA369" s="194"/>
      <c r="AB369" s="194"/>
      <c r="AC369" s="194"/>
      <c r="AD369" s="194"/>
      <c r="AE369" s="194"/>
      <c r="AF369" s="194"/>
    </row>
    <row r="370" spans="1:32" x14ac:dyDescent="0.25">
      <c r="A370" s="194"/>
      <c r="B370" s="194"/>
      <c r="C370" s="194"/>
      <c r="D370" s="194"/>
      <c r="E370" s="194"/>
      <c r="F370" s="194"/>
      <c r="G370" s="194"/>
      <c r="H370" s="194"/>
      <c r="I370" s="194"/>
      <c r="J370" s="194"/>
      <c r="K370" s="194"/>
      <c r="L370" s="194"/>
      <c r="M370" s="194"/>
      <c r="N370" s="194"/>
      <c r="O370" s="194"/>
      <c r="P370" s="194"/>
      <c r="Q370" s="194"/>
      <c r="R370" s="194"/>
      <c r="S370" s="194"/>
      <c r="T370" s="194"/>
      <c r="U370" s="194"/>
      <c r="V370" s="194"/>
      <c r="W370" s="194"/>
      <c r="X370" s="194"/>
      <c r="Y370" s="194"/>
      <c r="Z370" s="194"/>
      <c r="AA370" s="194"/>
      <c r="AB370" s="194"/>
      <c r="AC370" s="194"/>
      <c r="AD370" s="194"/>
      <c r="AE370" s="194"/>
      <c r="AF370" s="194"/>
    </row>
    <row r="371" spans="1:32" x14ac:dyDescent="0.25">
      <c r="A371" s="194"/>
      <c r="B371" s="194"/>
      <c r="C371" s="194"/>
      <c r="D371" s="194"/>
      <c r="E371" s="194"/>
      <c r="F371" s="194"/>
      <c r="G371" s="194"/>
      <c r="H371" s="194"/>
      <c r="I371" s="194"/>
      <c r="J371" s="194"/>
      <c r="K371" s="194"/>
      <c r="L371" s="194"/>
      <c r="M371" s="194"/>
      <c r="N371" s="194"/>
      <c r="O371" s="194"/>
      <c r="P371" s="194"/>
      <c r="Q371" s="194"/>
      <c r="R371" s="194"/>
      <c r="S371" s="194"/>
      <c r="T371" s="194"/>
      <c r="U371" s="194"/>
      <c r="V371" s="194"/>
      <c r="W371" s="194"/>
      <c r="X371" s="194"/>
      <c r="Y371" s="194"/>
      <c r="Z371" s="194"/>
      <c r="AA371" s="194"/>
      <c r="AB371" s="194"/>
      <c r="AC371" s="194"/>
      <c r="AD371" s="194"/>
      <c r="AE371" s="194"/>
      <c r="AF371" s="194"/>
    </row>
    <row r="372" spans="1:32" x14ac:dyDescent="0.25">
      <c r="A372" s="194"/>
      <c r="B372" s="194"/>
      <c r="C372" s="194"/>
      <c r="D372" s="194"/>
      <c r="E372" s="194"/>
      <c r="F372" s="194"/>
      <c r="G372" s="194"/>
      <c r="H372" s="194"/>
      <c r="I372" s="194"/>
      <c r="J372" s="194"/>
      <c r="K372" s="194"/>
      <c r="L372" s="194"/>
      <c r="M372" s="194"/>
      <c r="N372" s="194"/>
      <c r="O372" s="194"/>
      <c r="P372" s="194"/>
      <c r="Q372" s="194"/>
      <c r="R372" s="194"/>
      <c r="S372" s="194"/>
      <c r="T372" s="194"/>
      <c r="U372" s="194"/>
      <c r="V372" s="194"/>
      <c r="W372" s="194"/>
      <c r="X372" s="194"/>
      <c r="Y372" s="194"/>
      <c r="Z372" s="194"/>
      <c r="AA372" s="194"/>
      <c r="AB372" s="194"/>
      <c r="AC372" s="194"/>
      <c r="AD372" s="194"/>
      <c r="AE372" s="194"/>
      <c r="AF372" s="194"/>
    </row>
    <row r="373" spans="1:32" x14ac:dyDescent="0.25">
      <c r="A373" s="194"/>
      <c r="B373" s="194"/>
      <c r="C373" s="194"/>
      <c r="D373" s="194"/>
      <c r="E373" s="194"/>
      <c r="F373" s="194"/>
      <c r="G373" s="194"/>
      <c r="H373" s="194"/>
      <c r="I373" s="194"/>
      <c r="J373" s="194"/>
      <c r="K373" s="194"/>
      <c r="L373" s="194"/>
      <c r="M373" s="194"/>
      <c r="N373" s="194"/>
      <c r="O373" s="194"/>
      <c r="P373" s="194"/>
      <c r="Q373" s="194"/>
      <c r="R373" s="194"/>
      <c r="S373" s="194"/>
      <c r="T373" s="194"/>
      <c r="U373" s="194"/>
      <c r="V373" s="194"/>
      <c r="W373" s="194"/>
      <c r="X373" s="194"/>
      <c r="Y373" s="194"/>
      <c r="Z373" s="194"/>
      <c r="AA373" s="194"/>
      <c r="AB373" s="194"/>
      <c r="AC373" s="194"/>
      <c r="AD373" s="194"/>
      <c r="AE373" s="194"/>
      <c r="AF373" s="194"/>
    </row>
    <row r="374" spans="1:32" x14ac:dyDescent="0.25">
      <c r="A374" s="194"/>
      <c r="B374" s="194"/>
      <c r="C374" s="194"/>
      <c r="D374" s="194"/>
      <c r="E374" s="194"/>
      <c r="F374" s="194"/>
      <c r="G374" s="194"/>
      <c r="H374" s="194"/>
      <c r="I374" s="194"/>
      <c r="J374" s="194"/>
      <c r="K374" s="194"/>
      <c r="L374" s="194"/>
      <c r="M374" s="194"/>
      <c r="N374" s="194"/>
      <c r="O374" s="194"/>
      <c r="P374" s="194"/>
      <c r="Q374" s="194"/>
      <c r="R374" s="194"/>
      <c r="S374" s="194"/>
      <c r="T374" s="194"/>
      <c r="U374" s="194"/>
      <c r="V374" s="194"/>
      <c r="W374" s="194"/>
      <c r="X374" s="194"/>
      <c r="Y374" s="194"/>
      <c r="Z374" s="194"/>
      <c r="AA374" s="194"/>
      <c r="AB374" s="194"/>
      <c r="AC374" s="194"/>
      <c r="AD374" s="194"/>
      <c r="AE374" s="194"/>
      <c r="AF374" s="194"/>
    </row>
    <row r="375" spans="1:32" x14ac:dyDescent="0.25">
      <c r="A375" s="194"/>
      <c r="B375" s="194"/>
      <c r="C375" s="194"/>
      <c r="D375" s="194"/>
      <c r="E375" s="194"/>
      <c r="F375" s="194"/>
      <c r="G375" s="194"/>
      <c r="H375" s="194"/>
      <c r="I375" s="194"/>
      <c r="J375" s="194"/>
      <c r="K375" s="194"/>
      <c r="L375" s="194"/>
      <c r="M375" s="194"/>
      <c r="N375" s="194"/>
      <c r="O375" s="194"/>
      <c r="P375" s="194"/>
      <c r="Q375" s="194"/>
      <c r="R375" s="194"/>
      <c r="S375" s="194"/>
      <c r="T375" s="194"/>
      <c r="U375" s="194"/>
      <c r="V375" s="194"/>
      <c r="W375" s="194"/>
      <c r="X375" s="194"/>
      <c r="Y375" s="194"/>
      <c r="Z375" s="194"/>
      <c r="AA375" s="194"/>
      <c r="AB375" s="194"/>
      <c r="AC375" s="194"/>
      <c r="AD375" s="194"/>
      <c r="AE375" s="194"/>
      <c r="AF375" s="194"/>
    </row>
    <row r="376" spans="1:32" x14ac:dyDescent="0.25">
      <c r="A376" s="194"/>
      <c r="B376" s="194"/>
      <c r="C376" s="194"/>
      <c r="D376" s="194"/>
      <c r="E376" s="194"/>
      <c r="F376" s="194"/>
      <c r="G376" s="194"/>
      <c r="H376" s="194"/>
      <c r="I376" s="194"/>
      <c r="J376" s="194"/>
      <c r="K376" s="194"/>
      <c r="L376" s="194"/>
      <c r="M376" s="194"/>
      <c r="N376" s="194"/>
      <c r="O376" s="194"/>
      <c r="P376" s="194"/>
      <c r="Q376" s="194"/>
      <c r="R376" s="194"/>
      <c r="S376" s="194"/>
      <c r="T376" s="194"/>
      <c r="U376" s="194"/>
      <c r="V376" s="194"/>
      <c r="W376" s="194"/>
      <c r="X376" s="194"/>
      <c r="Y376" s="194"/>
      <c r="Z376" s="194"/>
      <c r="AA376" s="194"/>
      <c r="AB376" s="194"/>
      <c r="AC376" s="194"/>
      <c r="AD376" s="194"/>
      <c r="AE376" s="194"/>
      <c r="AF376" s="194"/>
    </row>
    <row r="377" spans="1:32" x14ac:dyDescent="0.25">
      <c r="A377" s="194"/>
      <c r="B377" s="194"/>
      <c r="C377" s="194"/>
      <c r="D377" s="194"/>
      <c r="E377" s="194"/>
      <c r="F377" s="194"/>
      <c r="G377" s="194"/>
      <c r="H377" s="194"/>
      <c r="I377" s="194"/>
      <c r="J377" s="194"/>
      <c r="K377" s="194"/>
      <c r="L377" s="194"/>
      <c r="M377" s="194"/>
      <c r="N377" s="194"/>
      <c r="O377" s="194"/>
      <c r="P377" s="194"/>
      <c r="Q377" s="194"/>
      <c r="R377" s="194"/>
      <c r="S377" s="194"/>
      <c r="T377" s="194"/>
      <c r="U377" s="194"/>
      <c r="V377" s="194"/>
      <c r="W377" s="194"/>
      <c r="X377" s="194"/>
      <c r="Y377" s="194"/>
      <c r="Z377" s="194"/>
      <c r="AA377" s="194"/>
      <c r="AB377" s="194"/>
      <c r="AC377" s="194"/>
      <c r="AD377" s="194"/>
      <c r="AE377" s="194"/>
      <c r="AF377" s="194"/>
    </row>
    <row r="378" spans="1:32" x14ac:dyDescent="0.25">
      <c r="A378" s="194"/>
      <c r="B378" s="194"/>
      <c r="C378" s="194"/>
      <c r="D378" s="194"/>
      <c r="E378" s="194"/>
      <c r="F378" s="194"/>
      <c r="G378" s="194"/>
      <c r="H378" s="194"/>
      <c r="I378" s="194"/>
      <c r="J378" s="194"/>
      <c r="K378" s="194"/>
      <c r="L378" s="194"/>
      <c r="M378" s="194"/>
      <c r="N378" s="194"/>
      <c r="O378" s="194"/>
      <c r="P378" s="194"/>
      <c r="Q378" s="194"/>
      <c r="R378" s="194"/>
      <c r="S378" s="194"/>
      <c r="T378" s="194"/>
      <c r="U378" s="194"/>
      <c r="V378" s="194"/>
      <c r="W378" s="194"/>
      <c r="X378" s="194"/>
      <c r="Y378" s="194"/>
      <c r="Z378" s="194"/>
      <c r="AA378" s="194"/>
      <c r="AB378" s="194"/>
      <c r="AC378" s="194"/>
      <c r="AD378" s="194"/>
      <c r="AE378" s="194"/>
      <c r="AF378" s="194"/>
    </row>
    <row r="379" spans="1:32" x14ac:dyDescent="0.25">
      <c r="A379" s="194"/>
      <c r="B379" s="194"/>
      <c r="C379" s="194"/>
      <c r="D379" s="194"/>
      <c r="E379" s="194"/>
      <c r="F379" s="194"/>
      <c r="G379" s="194"/>
      <c r="H379" s="194"/>
      <c r="I379" s="194"/>
      <c r="J379" s="194"/>
      <c r="K379" s="194"/>
      <c r="L379" s="194"/>
      <c r="M379" s="194"/>
      <c r="N379" s="194"/>
      <c r="O379" s="194"/>
      <c r="P379" s="194"/>
      <c r="Q379" s="194"/>
      <c r="R379" s="194"/>
      <c r="S379" s="194"/>
      <c r="T379" s="194"/>
      <c r="U379" s="194"/>
      <c r="V379" s="194"/>
      <c r="W379" s="194"/>
      <c r="X379" s="194"/>
      <c r="Y379" s="194"/>
      <c r="Z379" s="194"/>
      <c r="AA379" s="194"/>
      <c r="AB379" s="194"/>
      <c r="AC379" s="194"/>
      <c r="AD379" s="194"/>
      <c r="AE379" s="194"/>
      <c r="AF379" s="194"/>
    </row>
    <row r="380" spans="1:32" x14ac:dyDescent="0.25">
      <c r="A380" s="194"/>
      <c r="B380" s="194"/>
      <c r="C380" s="194"/>
      <c r="D380" s="194"/>
      <c r="E380" s="194"/>
      <c r="F380" s="194"/>
      <c r="G380" s="194"/>
      <c r="H380" s="194"/>
      <c r="I380" s="194"/>
      <c r="J380" s="194"/>
      <c r="K380" s="194"/>
      <c r="L380" s="194"/>
      <c r="M380" s="194"/>
      <c r="N380" s="194"/>
      <c r="O380" s="194"/>
      <c r="P380" s="194"/>
      <c r="Q380" s="194"/>
      <c r="R380" s="194"/>
      <c r="S380" s="194"/>
      <c r="T380" s="194"/>
      <c r="U380" s="194"/>
      <c r="V380" s="194"/>
      <c r="W380" s="194"/>
      <c r="X380" s="194"/>
      <c r="Y380" s="194"/>
      <c r="Z380" s="194"/>
      <c r="AA380" s="194"/>
      <c r="AB380" s="194"/>
      <c r="AC380" s="194"/>
      <c r="AD380" s="194"/>
      <c r="AE380" s="194"/>
      <c r="AF380" s="194"/>
    </row>
    <row r="381" spans="1:32" x14ac:dyDescent="0.25">
      <c r="A381" s="194"/>
      <c r="B381" s="194"/>
      <c r="C381" s="194"/>
      <c r="D381" s="194"/>
      <c r="E381" s="194"/>
      <c r="F381" s="194"/>
      <c r="G381" s="194"/>
      <c r="H381" s="194"/>
      <c r="I381" s="194"/>
      <c r="J381" s="194"/>
      <c r="K381" s="194"/>
      <c r="L381" s="194"/>
      <c r="M381" s="194"/>
      <c r="N381" s="194"/>
      <c r="O381" s="194"/>
      <c r="P381" s="194"/>
      <c r="Q381" s="194"/>
      <c r="R381" s="194"/>
      <c r="S381" s="194"/>
      <c r="T381" s="194"/>
      <c r="U381" s="194"/>
      <c r="V381" s="194"/>
      <c r="W381" s="194"/>
      <c r="X381" s="194"/>
      <c r="Y381" s="194"/>
      <c r="Z381" s="194"/>
      <c r="AA381" s="194"/>
      <c r="AB381" s="194"/>
      <c r="AC381" s="194"/>
      <c r="AD381" s="194"/>
      <c r="AE381" s="194"/>
      <c r="AF381" s="194"/>
    </row>
    <row r="382" spans="1:32" x14ac:dyDescent="0.25">
      <c r="A382" s="194"/>
      <c r="B382" s="194"/>
      <c r="C382" s="194"/>
      <c r="D382" s="194"/>
      <c r="E382" s="194"/>
      <c r="F382" s="194"/>
      <c r="G382" s="194"/>
      <c r="H382" s="194"/>
      <c r="I382" s="194"/>
      <c r="J382" s="194"/>
      <c r="K382" s="194"/>
      <c r="L382" s="194"/>
      <c r="M382" s="194"/>
      <c r="N382" s="194"/>
      <c r="O382" s="194"/>
      <c r="P382" s="194"/>
      <c r="Q382" s="194"/>
      <c r="R382" s="194"/>
      <c r="S382" s="194"/>
      <c r="T382" s="194"/>
      <c r="U382" s="194"/>
      <c r="V382" s="194"/>
      <c r="W382" s="194"/>
      <c r="X382" s="194"/>
      <c r="Y382" s="194"/>
      <c r="Z382" s="194"/>
      <c r="AA382" s="194"/>
      <c r="AB382" s="194"/>
      <c r="AC382" s="194"/>
      <c r="AD382" s="194"/>
      <c r="AE382" s="194"/>
      <c r="AF382" s="194"/>
    </row>
    <row r="383" spans="1:32" x14ac:dyDescent="0.25">
      <c r="A383" s="194"/>
      <c r="B383" s="194"/>
      <c r="C383" s="194"/>
      <c r="D383" s="194"/>
      <c r="E383" s="194"/>
      <c r="F383" s="194"/>
      <c r="G383" s="194"/>
      <c r="H383" s="194"/>
      <c r="I383" s="194"/>
      <c r="J383" s="194"/>
      <c r="K383" s="194"/>
      <c r="L383" s="194"/>
      <c r="M383" s="194"/>
      <c r="N383" s="194"/>
      <c r="O383" s="194"/>
      <c r="P383" s="194"/>
      <c r="Q383" s="194"/>
      <c r="R383" s="194"/>
      <c r="S383" s="194"/>
      <c r="T383" s="194"/>
      <c r="U383" s="194"/>
      <c r="V383" s="194"/>
      <c r="W383" s="194"/>
      <c r="X383" s="194"/>
      <c r="Y383" s="194"/>
      <c r="Z383" s="194"/>
      <c r="AA383" s="194"/>
      <c r="AB383" s="194"/>
      <c r="AC383" s="194"/>
      <c r="AD383" s="194"/>
      <c r="AE383" s="194"/>
      <c r="AF383" s="194"/>
    </row>
    <row r="384" spans="1:32" x14ac:dyDescent="0.25">
      <c r="A384" s="194"/>
      <c r="B384" s="194"/>
      <c r="C384" s="194"/>
      <c r="D384" s="194"/>
      <c r="E384" s="194"/>
      <c r="F384" s="194"/>
      <c r="G384" s="194"/>
      <c r="H384" s="194"/>
      <c r="I384" s="194"/>
      <c r="J384" s="194"/>
      <c r="K384" s="194"/>
      <c r="L384" s="194"/>
      <c r="M384" s="194"/>
      <c r="N384" s="194"/>
      <c r="O384" s="194"/>
      <c r="P384" s="194"/>
      <c r="Q384" s="194"/>
      <c r="R384" s="194"/>
      <c r="S384" s="194"/>
      <c r="T384" s="194"/>
      <c r="U384" s="194"/>
      <c r="V384" s="194"/>
      <c r="W384" s="194"/>
      <c r="X384" s="194"/>
      <c r="Y384" s="194"/>
      <c r="Z384" s="194"/>
      <c r="AA384" s="194"/>
      <c r="AB384" s="194"/>
      <c r="AC384" s="194"/>
      <c r="AD384" s="194"/>
      <c r="AE384" s="194"/>
      <c r="AF384" s="194"/>
    </row>
    <row r="385" spans="1:32" x14ac:dyDescent="0.25">
      <c r="A385" s="194"/>
      <c r="B385" s="194"/>
      <c r="C385" s="194"/>
      <c r="D385" s="194"/>
      <c r="E385" s="194"/>
      <c r="F385" s="194"/>
      <c r="G385" s="194"/>
      <c r="H385" s="194"/>
      <c r="I385" s="194"/>
      <c r="J385" s="194"/>
      <c r="K385" s="194"/>
      <c r="L385" s="194"/>
      <c r="M385" s="194"/>
      <c r="N385" s="194"/>
      <c r="O385" s="194"/>
      <c r="P385" s="194"/>
      <c r="Q385" s="194"/>
      <c r="R385" s="194"/>
      <c r="S385" s="194"/>
      <c r="T385" s="194"/>
      <c r="U385" s="194"/>
      <c r="V385" s="194"/>
      <c r="W385" s="194"/>
      <c r="X385" s="194"/>
      <c r="Y385" s="194"/>
      <c r="Z385" s="194"/>
      <c r="AA385" s="194"/>
      <c r="AB385" s="194"/>
      <c r="AC385" s="194"/>
      <c r="AD385" s="194"/>
      <c r="AE385" s="194"/>
      <c r="AF385" s="194"/>
    </row>
    <row r="386" spans="1:32" x14ac:dyDescent="0.25">
      <c r="A386" s="194"/>
      <c r="B386" s="194"/>
      <c r="C386" s="194"/>
      <c r="D386" s="194"/>
      <c r="E386" s="194"/>
      <c r="F386" s="194"/>
      <c r="G386" s="194"/>
      <c r="H386" s="194"/>
      <c r="I386" s="194"/>
      <c r="J386" s="194"/>
      <c r="K386" s="194"/>
      <c r="L386" s="194"/>
      <c r="M386" s="194"/>
      <c r="N386" s="194"/>
      <c r="O386" s="194"/>
      <c r="P386" s="194"/>
      <c r="Q386" s="194"/>
      <c r="R386" s="194"/>
      <c r="S386" s="194"/>
      <c r="T386" s="194"/>
      <c r="U386" s="194"/>
      <c r="V386" s="194"/>
      <c r="W386" s="194"/>
      <c r="X386" s="194"/>
      <c r="Y386" s="194"/>
      <c r="Z386" s="194"/>
      <c r="AA386" s="194"/>
      <c r="AB386" s="194"/>
      <c r="AC386" s="194"/>
      <c r="AD386" s="194"/>
      <c r="AE386" s="194"/>
      <c r="AF386" s="194"/>
    </row>
    <row r="387" spans="1:32" x14ac:dyDescent="0.25">
      <c r="A387" s="194"/>
      <c r="B387" s="194"/>
      <c r="C387" s="194"/>
      <c r="D387" s="194"/>
      <c r="E387" s="194"/>
      <c r="F387" s="194"/>
      <c r="G387" s="194"/>
      <c r="H387" s="194"/>
      <c r="I387" s="194"/>
      <c r="J387" s="194"/>
      <c r="K387" s="194"/>
      <c r="L387" s="194"/>
      <c r="M387" s="194"/>
      <c r="N387" s="194"/>
      <c r="O387" s="194"/>
      <c r="P387" s="194"/>
      <c r="Q387" s="194"/>
      <c r="R387" s="194"/>
      <c r="S387" s="194"/>
      <c r="T387" s="194"/>
      <c r="U387" s="194"/>
      <c r="V387" s="194"/>
      <c r="W387" s="194"/>
      <c r="X387" s="194"/>
      <c r="Y387" s="194"/>
      <c r="Z387" s="194"/>
      <c r="AA387" s="194"/>
      <c r="AB387" s="194"/>
      <c r="AC387" s="194"/>
      <c r="AD387" s="194"/>
      <c r="AE387" s="194"/>
      <c r="AF387" s="194"/>
    </row>
    <row r="388" spans="1:32" x14ac:dyDescent="0.25">
      <c r="A388" s="194"/>
      <c r="B388" s="194"/>
      <c r="C388" s="194"/>
      <c r="D388" s="194"/>
      <c r="E388" s="194"/>
      <c r="F388" s="194"/>
      <c r="G388" s="194"/>
      <c r="H388" s="194"/>
      <c r="I388" s="194"/>
      <c r="J388" s="194"/>
      <c r="K388" s="194"/>
      <c r="L388" s="194"/>
      <c r="M388" s="194"/>
      <c r="N388" s="194"/>
      <c r="O388" s="194"/>
      <c r="P388" s="194"/>
      <c r="Q388" s="194"/>
      <c r="R388" s="194"/>
      <c r="S388" s="194"/>
      <c r="T388" s="194"/>
      <c r="U388" s="194"/>
      <c r="V388" s="194"/>
      <c r="W388" s="194"/>
      <c r="X388" s="194"/>
      <c r="Y388" s="194"/>
      <c r="Z388" s="194"/>
      <c r="AA388" s="194"/>
      <c r="AB388" s="194"/>
      <c r="AC388" s="194"/>
      <c r="AD388" s="194"/>
      <c r="AE388" s="194"/>
      <c r="AF388" s="194"/>
    </row>
    <row r="389" spans="1:32" x14ac:dyDescent="0.25">
      <c r="A389" s="194"/>
      <c r="B389" s="194"/>
      <c r="C389" s="194"/>
      <c r="D389" s="194"/>
      <c r="E389" s="194"/>
      <c r="F389" s="194"/>
      <c r="G389" s="194"/>
      <c r="H389" s="194"/>
      <c r="I389" s="194"/>
      <c r="J389" s="194"/>
      <c r="K389" s="194"/>
      <c r="L389" s="194"/>
      <c r="M389" s="194"/>
      <c r="N389" s="194"/>
      <c r="O389" s="194"/>
      <c r="P389" s="194"/>
      <c r="Q389" s="194"/>
      <c r="R389" s="194"/>
      <c r="S389" s="194"/>
      <c r="T389" s="194"/>
      <c r="U389" s="194"/>
      <c r="V389" s="194"/>
      <c r="W389" s="194"/>
      <c r="X389" s="194"/>
      <c r="Y389" s="194"/>
      <c r="Z389" s="194"/>
      <c r="AA389" s="194"/>
      <c r="AB389" s="194"/>
      <c r="AC389" s="194"/>
      <c r="AD389" s="194"/>
      <c r="AE389" s="194"/>
      <c r="AF389" s="194"/>
    </row>
    <row r="390" spans="1:32" x14ac:dyDescent="0.25">
      <c r="A390" s="194"/>
      <c r="B390" s="194"/>
      <c r="C390" s="194"/>
      <c r="D390" s="194"/>
      <c r="E390" s="194"/>
      <c r="F390" s="194"/>
      <c r="G390" s="194"/>
      <c r="H390" s="194"/>
      <c r="I390" s="194"/>
      <c r="J390" s="194"/>
      <c r="K390" s="194"/>
      <c r="L390" s="194"/>
      <c r="M390" s="194"/>
      <c r="N390" s="194"/>
      <c r="O390" s="194"/>
      <c r="P390" s="194"/>
      <c r="Q390" s="194"/>
      <c r="R390" s="194"/>
      <c r="S390" s="194"/>
      <c r="T390" s="194"/>
      <c r="U390" s="194"/>
      <c r="V390" s="194"/>
      <c r="W390" s="194"/>
      <c r="X390" s="194"/>
      <c r="Y390" s="194"/>
      <c r="Z390" s="194"/>
      <c r="AA390" s="194"/>
      <c r="AB390" s="194"/>
      <c r="AC390" s="194"/>
      <c r="AD390" s="194"/>
      <c r="AE390" s="194"/>
      <c r="AF390" s="194"/>
    </row>
    <row r="391" spans="1:32" x14ac:dyDescent="0.25">
      <c r="A391" s="194"/>
      <c r="B391" s="194"/>
      <c r="C391" s="194"/>
      <c r="D391" s="194"/>
      <c r="E391" s="194"/>
      <c r="F391" s="194"/>
      <c r="G391" s="194"/>
      <c r="H391" s="194"/>
      <c r="I391" s="194"/>
      <c r="J391" s="194"/>
      <c r="K391" s="194"/>
      <c r="L391" s="194"/>
      <c r="M391" s="194"/>
      <c r="N391" s="194"/>
      <c r="O391" s="194"/>
      <c r="P391" s="194"/>
      <c r="Q391" s="194"/>
      <c r="R391" s="194"/>
      <c r="S391" s="194"/>
      <c r="T391" s="194"/>
      <c r="U391" s="194"/>
      <c r="V391" s="194"/>
      <c r="W391" s="194"/>
      <c r="X391" s="194"/>
      <c r="Y391" s="194"/>
      <c r="Z391" s="194"/>
      <c r="AA391" s="194"/>
      <c r="AB391" s="194"/>
      <c r="AC391" s="194"/>
      <c r="AD391" s="194"/>
      <c r="AE391" s="194"/>
      <c r="AF391" s="194"/>
    </row>
    <row r="392" spans="1:32" x14ac:dyDescent="0.25">
      <c r="A392" s="194"/>
      <c r="B392" s="194"/>
      <c r="C392" s="194"/>
      <c r="D392" s="194"/>
      <c r="E392" s="194"/>
      <c r="F392" s="194"/>
      <c r="G392" s="194"/>
      <c r="H392" s="194"/>
      <c r="I392" s="194"/>
      <c r="J392" s="194"/>
      <c r="K392" s="194"/>
      <c r="L392" s="194"/>
      <c r="M392" s="194"/>
      <c r="N392" s="194"/>
      <c r="O392" s="194"/>
      <c r="P392" s="194"/>
      <c r="Q392" s="194"/>
      <c r="R392" s="194"/>
      <c r="S392" s="194"/>
      <c r="T392" s="194"/>
      <c r="U392" s="194"/>
      <c r="V392" s="194"/>
      <c r="W392" s="194"/>
      <c r="X392" s="194"/>
      <c r="Y392" s="194"/>
      <c r="Z392" s="194"/>
      <c r="AA392" s="194"/>
      <c r="AB392" s="194"/>
      <c r="AC392" s="194"/>
      <c r="AD392" s="194"/>
      <c r="AE392" s="194"/>
      <c r="AF392" s="194"/>
    </row>
    <row r="393" spans="1:32" x14ac:dyDescent="0.25">
      <c r="A393" s="194"/>
      <c r="B393" s="194"/>
      <c r="C393" s="194"/>
      <c r="D393" s="194"/>
      <c r="E393" s="194"/>
      <c r="F393" s="194"/>
      <c r="G393" s="194"/>
      <c r="H393" s="194"/>
      <c r="I393" s="194"/>
      <c r="J393" s="194"/>
      <c r="K393" s="194"/>
      <c r="L393" s="194"/>
      <c r="M393" s="194"/>
      <c r="N393" s="194"/>
      <c r="O393" s="194"/>
      <c r="P393" s="194"/>
      <c r="Q393" s="194"/>
      <c r="R393" s="194"/>
      <c r="S393" s="194"/>
      <c r="T393" s="194"/>
      <c r="U393" s="194"/>
      <c r="V393" s="194"/>
      <c r="W393" s="194"/>
      <c r="X393" s="194"/>
      <c r="Y393" s="194"/>
      <c r="Z393" s="194"/>
      <c r="AA393" s="194"/>
      <c r="AB393" s="194"/>
      <c r="AC393" s="194"/>
      <c r="AD393" s="194"/>
      <c r="AE393" s="194"/>
      <c r="AF393" s="194"/>
    </row>
    <row r="394" spans="1:32" x14ac:dyDescent="0.25">
      <c r="A394" s="194"/>
      <c r="B394" s="194"/>
      <c r="C394" s="194"/>
      <c r="D394" s="194"/>
      <c r="E394" s="194"/>
      <c r="F394" s="194"/>
      <c r="G394" s="194"/>
      <c r="H394" s="194"/>
      <c r="I394" s="194"/>
      <c r="J394" s="194"/>
      <c r="K394" s="194"/>
      <c r="L394" s="194"/>
      <c r="M394" s="194"/>
      <c r="N394" s="194"/>
      <c r="O394" s="194"/>
      <c r="P394" s="194"/>
      <c r="Q394" s="194"/>
      <c r="R394" s="194"/>
      <c r="S394" s="194"/>
      <c r="T394" s="194"/>
      <c r="U394" s="194"/>
      <c r="V394" s="194"/>
      <c r="W394" s="194"/>
      <c r="X394" s="194"/>
      <c r="Y394" s="194"/>
      <c r="Z394" s="194"/>
      <c r="AA394" s="194"/>
      <c r="AB394" s="194"/>
      <c r="AC394" s="194"/>
      <c r="AD394" s="194"/>
      <c r="AE394" s="194"/>
      <c r="AF394" s="194"/>
    </row>
    <row r="395" spans="1:32" x14ac:dyDescent="0.25">
      <c r="A395" s="194"/>
      <c r="B395" s="194"/>
      <c r="C395" s="194"/>
      <c r="D395" s="194"/>
      <c r="E395" s="194"/>
      <c r="F395" s="194"/>
      <c r="G395" s="194"/>
      <c r="H395" s="194"/>
      <c r="I395" s="194"/>
      <c r="J395" s="194"/>
      <c r="K395" s="194"/>
      <c r="L395" s="194"/>
      <c r="M395" s="194"/>
      <c r="N395" s="194"/>
      <c r="O395" s="194"/>
      <c r="P395" s="194"/>
      <c r="Q395" s="194"/>
      <c r="R395" s="194"/>
      <c r="S395" s="194"/>
      <c r="T395" s="194"/>
      <c r="U395" s="194"/>
      <c r="V395" s="194"/>
      <c r="W395" s="194"/>
      <c r="X395" s="194"/>
      <c r="Y395" s="194"/>
      <c r="Z395" s="194"/>
      <c r="AA395" s="194"/>
      <c r="AB395" s="194"/>
      <c r="AC395" s="194"/>
      <c r="AD395" s="194"/>
      <c r="AE395" s="194"/>
      <c r="AF395" s="194"/>
    </row>
    <row r="396" spans="1:32" x14ac:dyDescent="0.25">
      <c r="A396" s="194"/>
      <c r="B396" s="194"/>
      <c r="C396" s="194"/>
      <c r="D396" s="194"/>
      <c r="E396" s="194"/>
      <c r="F396" s="194"/>
      <c r="G396" s="194"/>
      <c r="H396" s="194"/>
      <c r="I396" s="194"/>
      <c r="J396" s="194"/>
      <c r="K396" s="194"/>
      <c r="L396" s="194"/>
      <c r="M396" s="194"/>
      <c r="N396" s="194"/>
      <c r="O396" s="194"/>
      <c r="P396" s="194"/>
      <c r="Q396" s="194"/>
      <c r="R396" s="194"/>
      <c r="S396" s="194"/>
      <c r="T396" s="194"/>
      <c r="U396" s="194"/>
      <c r="V396" s="194"/>
      <c r="W396" s="194"/>
      <c r="X396" s="194"/>
      <c r="Y396" s="194"/>
      <c r="Z396" s="194"/>
      <c r="AA396" s="194"/>
      <c r="AB396" s="194"/>
      <c r="AC396" s="194"/>
      <c r="AD396" s="194"/>
      <c r="AE396" s="194"/>
      <c r="AF396" s="194"/>
    </row>
    <row r="397" spans="1:32" x14ac:dyDescent="0.25">
      <c r="A397" s="194"/>
      <c r="B397" s="194"/>
      <c r="C397" s="194"/>
      <c r="D397" s="194"/>
      <c r="E397" s="194"/>
      <c r="F397" s="194"/>
      <c r="G397" s="194"/>
      <c r="H397" s="194"/>
      <c r="I397" s="194"/>
      <c r="J397" s="194"/>
      <c r="K397" s="194"/>
      <c r="L397" s="194"/>
      <c r="M397" s="194"/>
      <c r="N397" s="194"/>
      <c r="O397" s="194"/>
      <c r="P397" s="194"/>
      <c r="Q397" s="194"/>
      <c r="R397" s="194"/>
      <c r="S397" s="194"/>
      <c r="T397" s="194"/>
      <c r="U397" s="194"/>
      <c r="V397" s="194"/>
      <c r="W397" s="194"/>
      <c r="X397" s="194"/>
      <c r="Y397" s="194"/>
      <c r="Z397" s="194"/>
      <c r="AA397" s="194"/>
      <c r="AB397" s="194"/>
      <c r="AC397" s="194"/>
      <c r="AD397" s="194"/>
      <c r="AE397" s="194"/>
      <c r="AF397" s="194"/>
    </row>
    <row r="398" spans="1:32" x14ac:dyDescent="0.25">
      <c r="A398" s="194"/>
      <c r="B398" s="194"/>
      <c r="C398" s="194"/>
      <c r="D398" s="194"/>
      <c r="E398" s="194"/>
      <c r="F398" s="194"/>
      <c r="G398" s="194"/>
      <c r="H398" s="194"/>
      <c r="I398" s="194"/>
      <c r="J398" s="194"/>
      <c r="K398" s="194"/>
      <c r="L398" s="194"/>
      <c r="M398" s="194"/>
      <c r="N398" s="194"/>
      <c r="O398" s="194"/>
      <c r="P398" s="194"/>
      <c r="Q398" s="194"/>
      <c r="R398" s="194"/>
      <c r="S398" s="194"/>
      <c r="T398" s="194"/>
      <c r="U398" s="194"/>
      <c r="V398" s="194"/>
      <c r="W398" s="194"/>
      <c r="X398" s="194"/>
      <c r="Y398" s="194"/>
      <c r="Z398" s="194"/>
      <c r="AA398" s="194"/>
      <c r="AB398" s="194"/>
      <c r="AC398" s="194"/>
      <c r="AD398" s="194"/>
      <c r="AE398" s="194"/>
      <c r="AF398" s="194"/>
    </row>
    <row r="399" spans="1:32" x14ac:dyDescent="0.25">
      <c r="A399" s="194"/>
      <c r="B399" s="194"/>
      <c r="C399" s="194"/>
      <c r="D399" s="194"/>
      <c r="E399" s="194"/>
      <c r="F399" s="194"/>
      <c r="G399" s="194"/>
      <c r="H399" s="194"/>
      <c r="I399" s="194"/>
      <c r="J399" s="194"/>
      <c r="K399" s="194"/>
      <c r="L399" s="194"/>
      <c r="M399" s="194"/>
      <c r="N399" s="194"/>
      <c r="O399" s="194"/>
      <c r="P399" s="194"/>
      <c r="Q399" s="194"/>
      <c r="R399" s="194"/>
      <c r="S399" s="194"/>
      <c r="T399" s="194"/>
      <c r="U399" s="194"/>
      <c r="V399" s="194"/>
      <c r="W399" s="194"/>
      <c r="X399" s="194"/>
      <c r="Y399" s="194"/>
      <c r="Z399" s="194"/>
      <c r="AA399" s="194"/>
      <c r="AB399" s="194"/>
      <c r="AC399" s="194"/>
      <c r="AD399" s="194"/>
      <c r="AE399" s="194"/>
      <c r="AF399" s="194"/>
    </row>
    <row r="400" spans="1:32" x14ac:dyDescent="0.25">
      <c r="A400" s="194"/>
      <c r="B400" s="194"/>
      <c r="C400" s="194"/>
      <c r="D400" s="194"/>
      <c r="E400" s="194"/>
      <c r="F400" s="194"/>
      <c r="G400" s="194"/>
      <c r="H400" s="194"/>
      <c r="I400" s="194"/>
      <c r="J400" s="194"/>
      <c r="K400" s="194"/>
      <c r="L400" s="194"/>
      <c r="M400" s="194"/>
      <c r="N400" s="194"/>
      <c r="O400" s="194"/>
      <c r="P400" s="194"/>
      <c r="Q400" s="194"/>
      <c r="R400" s="194"/>
      <c r="S400" s="194"/>
      <c r="T400" s="194"/>
      <c r="U400" s="194"/>
      <c r="V400" s="194"/>
      <c r="W400" s="194"/>
      <c r="X400" s="194"/>
      <c r="Y400" s="194"/>
      <c r="Z400" s="194"/>
      <c r="AA400" s="194"/>
      <c r="AB400" s="194"/>
      <c r="AC400" s="194"/>
      <c r="AD400" s="194"/>
      <c r="AE400" s="194"/>
      <c r="AF400" s="194"/>
    </row>
    <row r="401" spans="1:32" x14ac:dyDescent="0.25">
      <c r="A401" s="194"/>
      <c r="B401" s="194"/>
      <c r="C401" s="194"/>
      <c r="D401" s="194"/>
      <c r="E401" s="194"/>
      <c r="F401" s="194"/>
      <c r="G401" s="194"/>
      <c r="H401" s="194"/>
      <c r="I401" s="194"/>
      <c r="J401" s="194"/>
      <c r="K401" s="194"/>
      <c r="L401" s="194"/>
      <c r="M401" s="194"/>
      <c r="N401" s="194"/>
      <c r="O401" s="194"/>
      <c r="P401" s="194"/>
      <c r="Q401" s="194"/>
      <c r="R401" s="194"/>
      <c r="S401" s="194"/>
      <c r="T401" s="194"/>
      <c r="U401" s="194"/>
      <c r="V401" s="194"/>
      <c r="W401" s="194"/>
      <c r="X401" s="194"/>
      <c r="Y401" s="194"/>
      <c r="Z401" s="194"/>
      <c r="AA401" s="194"/>
      <c r="AB401" s="194"/>
      <c r="AC401" s="194"/>
      <c r="AD401" s="194"/>
      <c r="AE401" s="194"/>
      <c r="AF401" s="194"/>
    </row>
    <row r="402" spans="1:32" x14ac:dyDescent="0.25">
      <c r="A402" s="194"/>
      <c r="B402" s="194"/>
      <c r="C402" s="194"/>
      <c r="D402" s="194"/>
      <c r="E402" s="194"/>
      <c r="F402" s="194"/>
      <c r="G402" s="194"/>
      <c r="H402" s="194"/>
      <c r="I402" s="194"/>
      <c r="J402" s="194"/>
      <c r="K402" s="194"/>
      <c r="L402" s="194"/>
      <c r="M402" s="194"/>
      <c r="N402" s="194"/>
      <c r="O402" s="194"/>
      <c r="P402" s="194"/>
      <c r="Q402" s="194"/>
      <c r="R402" s="194"/>
      <c r="S402" s="194"/>
      <c r="T402" s="194"/>
      <c r="U402" s="194"/>
      <c r="V402" s="194"/>
      <c r="W402" s="194"/>
      <c r="X402" s="194"/>
      <c r="Y402" s="194"/>
      <c r="Z402" s="194"/>
      <c r="AA402" s="194"/>
      <c r="AB402" s="194"/>
      <c r="AC402" s="194"/>
      <c r="AD402" s="194"/>
      <c r="AE402" s="194"/>
      <c r="AF402" s="194"/>
    </row>
    <row r="403" spans="1:32" x14ac:dyDescent="0.25">
      <c r="A403" s="194"/>
      <c r="B403" s="194"/>
      <c r="C403" s="194"/>
      <c r="D403" s="194"/>
      <c r="E403" s="194"/>
      <c r="F403" s="194"/>
      <c r="G403" s="194"/>
      <c r="H403" s="194"/>
      <c r="I403" s="194"/>
      <c r="J403" s="194"/>
      <c r="K403" s="194"/>
      <c r="L403" s="194"/>
      <c r="M403" s="194"/>
      <c r="N403" s="194"/>
      <c r="O403" s="194"/>
      <c r="P403" s="194"/>
      <c r="Q403" s="194"/>
      <c r="R403" s="194"/>
      <c r="S403" s="194"/>
      <c r="T403" s="194"/>
      <c r="U403" s="194"/>
      <c r="V403" s="194"/>
      <c r="W403" s="194"/>
      <c r="X403" s="194"/>
      <c r="Y403" s="194"/>
      <c r="Z403" s="194"/>
      <c r="AA403" s="194"/>
      <c r="AB403" s="194"/>
      <c r="AC403" s="194"/>
      <c r="AD403" s="194"/>
      <c r="AE403" s="194"/>
      <c r="AF403" s="194"/>
    </row>
    <row r="404" spans="1:32" x14ac:dyDescent="0.25">
      <c r="A404" s="194"/>
      <c r="B404" s="194"/>
      <c r="C404" s="194"/>
      <c r="D404" s="194"/>
      <c r="E404" s="194"/>
      <c r="F404" s="194"/>
      <c r="G404" s="194"/>
      <c r="H404" s="194"/>
      <c r="I404" s="194"/>
      <c r="J404" s="194"/>
      <c r="K404" s="194"/>
      <c r="L404" s="194"/>
      <c r="M404" s="194"/>
      <c r="N404" s="194"/>
      <c r="O404" s="194"/>
      <c r="P404" s="194"/>
      <c r="Q404" s="194"/>
      <c r="R404" s="194"/>
      <c r="S404" s="194"/>
      <c r="T404" s="194"/>
      <c r="U404" s="194"/>
      <c r="V404" s="194"/>
      <c r="W404" s="194"/>
      <c r="X404" s="194"/>
      <c r="Y404" s="194"/>
      <c r="Z404" s="194"/>
      <c r="AA404" s="194"/>
      <c r="AB404" s="194"/>
      <c r="AC404" s="194"/>
      <c r="AD404" s="194"/>
      <c r="AE404" s="194"/>
      <c r="AF404" s="194"/>
    </row>
    <row r="405" spans="1:32" x14ac:dyDescent="0.25">
      <c r="A405" s="194"/>
      <c r="B405" s="194"/>
      <c r="C405" s="194"/>
      <c r="D405" s="194"/>
      <c r="E405" s="194"/>
      <c r="F405" s="194"/>
      <c r="G405" s="194"/>
      <c r="H405" s="194"/>
      <c r="I405" s="194"/>
      <c r="J405" s="194"/>
      <c r="K405" s="194"/>
      <c r="L405" s="194"/>
      <c r="M405" s="194"/>
      <c r="N405" s="194"/>
      <c r="O405" s="194"/>
      <c r="P405" s="194"/>
      <c r="Q405" s="194"/>
      <c r="R405" s="194"/>
      <c r="S405" s="194"/>
      <c r="T405" s="194"/>
      <c r="U405" s="194"/>
      <c r="V405" s="194"/>
      <c r="W405" s="194"/>
      <c r="X405" s="194"/>
      <c r="Y405" s="194"/>
      <c r="Z405" s="194"/>
      <c r="AA405" s="194"/>
      <c r="AB405" s="194"/>
      <c r="AC405" s="194"/>
      <c r="AD405" s="194"/>
      <c r="AE405" s="194"/>
      <c r="AF405" s="194"/>
    </row>
    <row r="406" spans="1:32" x14ac:dyDescent="0.25">
      <c r="A406" s="194"/>
      <c r="B406" s="194"/>
      <c r="C406" s="194"/>
      <c r="D406" s="194"/>
      <c r="E406" s="194"/>
      <c r="F406" s="194"/>
      <c r="G406" s="194"/>
      <c r="H406" s="194"/>
      <c r="I406" s="194"/>
      <c r="J406" s="194"/>
      <c r="K406" s="194"/>
      <c r="L406" s="194"/>
      <c r="M406" s="194"/>
      <c r="N406" s="194"/>
      <c r="O406" s="194"/>
      <c r="P406" s="194"/>
      <c r="Q406" s="194"/>
      <c r="R406" s="194"/>
      <c r="S406" s="194"/>
      <c r="T406" s="194"/>
      <c r="U406" s="194"/>
      <c r="V406" s="194"/>
      <c r="W406" s="194"/>
      <c r="X406" s="194"/>
      <c r="Y406" s="194"/>
      <c r="Z406" s="194"/>
      <c r="AA406" s="194"/>
      <c r="AB406" s="194"/>
      <c r="AC406" s="194"/>
      <c r="AD406" s="194"/>
      <c r="AE406" s="194"/>
      <c r="AF406" s="194"/>
    </row>
    <row r="407" spans="1:32" x14ac:dyDescent="0.25">
      <c r="A407" s="194"/>
      <c r="B407" s="194"/>
      <c r="C407" s="194"/>
      <c r="D407" s="194"/>
      <c r="E407" s="194"/>
      <c r="F407" s="194"/>
      <c r="G407" s="194"/>
      <c r="H407" s="194"/>
      <c r="I407" s="194"/>
      <c r="J407" s="194"/>
      <c r="K407" s="194"/>
      <c r="L407" s="194"/>
      <c r="M407" s="194"/>
      <c r="N407" s="194"/>
      <c r="O407" s="194"/>
      <c r="P407" s="194"/>
      <c r="Q407" s="194"/>
      <c r="R407" s="194"/>
      <c r="S407" s="194"/>
      <c r="T407" s="194"/>
      <c r="U407" s="194"/>
      <c r="V407" s="194"/>
      <c r="W407" s="194"/>
      <c r="X407" s="194"/>
      <c r="Y407" s="194"/>
      <c r="Z407" s="194"/>
      <c r="AA407" s="194"/>
      <c r="AB407" s="194"/>
      <c r="AC407" s="194"/>
      <c r="AD407" s="194"/>
      <c r="AE407" s="194"/>
      <c r="AF407" s="194"/>
    </row>
    <row r="408" spans="1:32" x14ac:dyDescent="0.25">
      <c r="A408" s="194"/>
      <c r="B408" s="194"/>
      <c r="C408" s="194"/>
      <c r="D408" s="194"/>
      <c r="E408" s="194"/>
      <c r="F408" s="194"/>
      <c r="G408" s="194"/>
      <c r="H408" s="194"/>
      <c r="I408" s="194"/>
      <c r="J408" s="194"/>
      <c r="K408" s="194"/>
      <c r="L408" s="194"/>
      <c r="M408" s="194"/>
      <c r="N408" s="194"/>
      <c r="O408" s="194"/>
      <c r="P408" s="194"/>
      <c r="Q408" s="194"/>
      <c r="R408" s="194"/>
      <c r="S408" s="194"/>
      <c r="T408" s="194"/>
      <c r="U408" s="194"/>
      <c r="V408" s="194"/>
      <c r="W408" s="194"/>
      <c r="X408" s="194"/>
      <c r="Y408" s="194"/>
      <c r="Z408" s="194"/>
      <c r="AA408" s="194"/>
      <c r="AB408" s="194"/>
      <c r="AC408" s="194"/>
      <c r="AD408" s="194"/>
      <c r="AE408" s="194"/>
      <c r="AF408" s="194"/>
    </row>
    <row r="409" spans="1:32" x14ac:dyDescent="0.25">
      <c r="A409" s="194"/>
      <c r="B409" s="194"/>
      <c r="C409" s="194"/>
      <c r="D409" s="194"/>
      <c r="E409" s="194"/>
      <c r="F409" s="194"/>
      <c r="G409" s="194"/>
      <c r="H409" s="194"/>
      <c r="I409" s="194"/>
      <c r="J409" s="194"/>
      <c r="K409" s="194"/>
      <c r="L409" s="194"/>
      <c r="M409" s="194"/>
      <c r="N409" s="194"/>
      <c r="O409" s="194"/>
      <c r="P409" s="194"/>
      <c r="Q409" s="194"/>
      <c r="R409" s="194"/>
      <c r="S409" s="194"/>
      <c r="T409" s="194"/>
      <c r="U409" s="194"/>
      <c r="V409" s="194"/>
      <c r="W409" s="194"/>
      <c r="X409" s="194"/>
      <c r="Y409" s="194"/>
      <c r="Z409" s="194"/>
      <c r="AA409" s="194"/>
      <c r="AB409" s="194"/>
      <c r="AC409" s="194"/>
      <c r="AD409" s="194"/>
      <c r="AE409" s="194"/>
      <c r="AF409" s="194"/>
    </row>
    <row r="410" spans="1:32" x14ac:dyDescent="0.25">
      <c r="A410" s="194"/>
      <c r="B410" s="194"/>
      <c r="C410" s="194"/>
      <c r="D410" s="194"/>
      <c r="E410" s="194"/>
      <c r="F410" s="194"/>
      <c r="G410" s="194"/>
      <c r="H410" s="194"/>
      <c r="I410" s="194"/>
      <c r="J410" s="194"/>
      <c r="K410" s="194"/>
      <c r="L410" s="194"/>
      <c r="M410" s="194"/>
      <c r="N410" s="194"/>
      <c r="O410" s="194"/>
      <c r="P410" s="194"/>
      <c r="Q410" s="194"/>
      <c r="R410" s="194"/>
      <c r="S410" s="194"/>
      <c r="T410" s="194"/>
      <c r="U410" s="194"/>
      <c r="V410" s="194"/>
      <c r="W410" s="194"/>
      <c r="X410" s="194"/>
      <c r="Y410" s="194"/>
      <c r="Z410" s="194"/>
      <c r="AA410" s="194"/>
      <c r="AB410" s="194"/>
      <c r="AC410" s="194"/>
      <c r="AD410" s="194"/>
      <c r="AE410" s="194"/>
      <c r="AF410" s="194"/>
    </row>
    <row r="411" spans="1:32" x14ac:dyDescent="0.25">
      <c r="A411" s="194"/>
      <c r="B411" s="194"/>
      <c r="C411" s="194"/>
      <c r="D411" s="194"/>
      <c r="E411" s="194"/>
      <c r="F411" s="194"/>
      <c r="G411" s="194"/>
      <c r="H411" s="194"/>
      <c r="I411" s="194"/>
      <c r="J411" s="194"/>
      <c r="K411" s="194"/>
      <c r="L411" s="194"/>
      <c r="M411" s="194"/>
      <c r="N411" s="194"/>
      <c r="O411" s="194"/>
      <c r="P411" s="194"/>
      <c r="Q411" s="194"/>
      <c r="R411" s="194"/>
      <c r="S411" s="194"/>
      <c r="T411" s="194"/>
      <c r="U411" s="194"/>
      <c r="V411" s="194"/>
      <c r="W411" s="194"/>
      <c r="X411" s="194"/>
      <c r="Y411" s="194"/>
      <c r="Z411" s="194"/>
      <c r="AA411" s="194"/>
      <c r="AB411" s="194"/>
      <c r="AC411" s="194"/>
      <c r="AD411" s="194"/>
      <c r="AE411" s="194"/>
      <c r="AF411" s="194"/>
    </row>
    <row r="412" spans="1:32" x14ac:dyDescent="0.25">
      <c r="A412" s="194"/>
      <c r="B412" s="194"/>
      <c r="C412" s="194"/>
      <c r="D412" s="194"/>
      <c r="E412" s="194"/>
      <c r="F412" s="194"/>
      <c r="G412" s="194"/>
      <c r="H412" s="194"/>
      <c r="I412" s="194"/>
      <c r="J412" s="194"/>
      <c r="K412" s="194"/>
      <c r="L412" s="194"/>
      <c r="M412" s="194"/>
      <c r="N412" s="194"/>
      <c r="O412" s="194"/>
      <c r="P412" s="194"/>
      <c r="Q412" s="194"/>
      <c r="R412" s="194"/>
      <c r="S412" s="194"/>
      <c r="T412" s="194"/>
      <c r="U412" s="194"/>
      <c r="V412" s="194"/>
      <c r="W412" s="194"/>
      <c r="X412" s="194"/>
      <c r="Y412" s="194"/>
      <c r="Z412" s="194"/>
      <c r="AA412" s="194"/>
      <c r="AB412" s="194"/>
      <c r="AC412" s="194"/>
      <c r="AD412" s="194"/>
      <c r="AE412" s="194"/>
      <c r="AF412" s="194"/>
    </row>
    <row r="413" spans="1:32" x14ac:dyDescent="0.25">
      <c r="A413" s="194"/>
      <c r="B413" s="194"/>
      <c r="C413" s="194"/>
      <c r="D413" s="194"/>
      <c r="E413" s="194"/>
      <c r="F413" s="194"/>
      <c r="G413" s="194"/>
      <c r="H413" s="194"/>
      <c r="I413" s="194"/>
      <c r="J413" s="194"/>
      <c r="K413" s="194"/>
      <c r="L413" s="194"/>
      <c r="M413" s="194"/>
      <c r="N413" s="194"/>
      <c r="O413" s="194"/>
      <c r="P413" s="194"/>
      <c r="Q413" s="194"/>
      <c r="R413" s="194"/>
      <c r="S413" s="194"/>
      <c r="T413" s="194"/>
      <c r="U413" s="194"/>
      <c r="V413" s="194"/>
      <c r="W413" s="194"/>
      <c r="X413" s="194"/>
      <c r="Y413" s="194"/>
      <c r="Z413" s="194"/>
      <c r="AA413" s="194"/>
      <c r="AB413" s="194"/>
      <c r="AC413" s="194"/>
      <c r="AD413" s="194"/>
      <c r="AE413" s="194"/>
      <c r="AF413" s="194"/>
    </row>
    <row r="414" spans="1:32" x14ac:dyDescent="0.25">
      <c r="A414" s="194"/>
      <c r="B414" s="194"/>
      <c r="C414" s="194"/>
      <c r="D414" s="194"/>
      <c r="E414" s="194"/>
      <c r="F414" s="194"/>
      <c r="G414" s="194"/>
      <c r="H414" s="194"/>
      <c r="I414" s="194"/>
      <c r="J414" s="194"/>
      <c r="K414" s="194"/>
      <c r="L414" s="194"/>
      <c r="M414" s="194"/>
      <c r="N414" s="194"/>
      <c r="O414" s="194"/>
      <c r="P414" s="194"/>
      <c r="Q414" s="194"/>
      <c r="R414" s="194"/>
      <c r="S414" s="194"/>
      <c r="T414" s="194"/>
      <c r="U414" s="194"/>
      <c r="V414" s="194"/>
      <c r="W414" s="194"/>
      <c r="X414" s="194"/>
      <c r="Y414" s="194"/>
      <c r="Z414" s="194"/>
      <c r="AA414" s="194"/>
      <c r="AB414" s="194"/>
      <c r="AC414" s="194"/>
      <c r="AD414" s="194"/>
      <c r="AE414" s="194"/>
      <c r="AF414" s="194"/>
    </row>
    <row r="415" spans="1:32" x14ac:dyDescent="0.25">
      <c r="A415" s="194"/>
      <c r="B415" s="194"/>
      <c r="C415" s="194"/>
      <c r="D415" s="194"/>
      <c r="E415" s="194"/>
      <c r="F415" s="194"/>
      <c r="G415" s="194"/>
      <c r="H415" s="194"/>
      <c r="I415" s="194"/>
      <c r="J415" s="194"/>
      <c r="K415" s="194"/>
      <c r="L415" s="194"/>
      <c r="M415" s="194"/>
      <c r="N415" s="194"/>
      <c r="O415" s="194"/>
      <c r="P415" s="194"/>
      <c r="Q415" s="194"/>
      <c r="R415" s="194"/>
      <c r="S415" s="194"/>
      <c r="T415" s="194"/>
      <c r="U415" s="194"/>
      <c r="V415" s="194"/>
      <c r="W415" s="194"/>
      <c r="X415" s="194"/>
      <c r="Y415" s="194"/>
      <c r="Z415" s="194"/>
      <c r="AA415" s="194"/>
      <c r="AB415" s="194"/>
      <c r="AC415" s="194"/>
      <c r="AD415" s="194"/>
      <c r="AE415" s="194"/>
      <c r="AF415" s="194"/>
    </row>
    <row r="416" spans="1:32" x14ac:dyDescent="0.25">
      <c r="A416" s="194"/>
      <c r="B416" s="194"/>
      <c r="C416" s="194"/>
      <c r="D416" s="194"/>
      <c r="E416" s="194"/>
      <c r="F416" s="194"/>
      <c r="G416" s="194"/>
      <c r="H416" s="194"/>
      <c r="I416" s="194"/>
      <c r="J416" s="194"/>
      <c r="K416" s="194"/>
      <c r="L416" s="194"/>
      <c r="M416" s="194"/>
      <c r="N416" s="194"/>
      <c r="O416" s="194"/>
      <c r="P416" s="194"/>
      <c r="Q416" s="194"/>
      <c r="R416" s="194"/>
      <c r="S416" s="194"/>
      <c r="T416" s="194"/>
      <c r="U416" s="194"/>
      <c r="V416" s="194"/>
      <c r="W416" s="194"/>
      <c r="X416" s="194"/>
      <c r="Y416" s="194"/>
      <c r="Z416" s="194"/>
      <c r="AA416" s="194"/>
      <c r="AB416" s="194"/>
      <c r="AC416" s="194"/>
      <c r="AD416" s="194"/>
      <c r="AE416" s="194"/>
      <c r="AF416" s="194"/>
    </row>
    <row r="417" spans="1:32" x14ac:dyDescent="0.25">
      <c r="A417" s="194"/>
      <c r="B417" s="194"/>
      <c r="C417" s="194"/>
      <c r="D417" s="194"/>
      <c r="E417" s="194"/>
      <c r="F417" s="194"/>
      <c r="G417" s="194"/>
      <c r="H417" s="194"/>
      <c r="I417" s="194"/>
      <c r="J417" s="194"/>
      <c r="K417" s="194"/>
      <c r="L417" s="194"/>
      <c r="M417" s="194"/>
      <c r="N417" s="194"/>
      <c r="O417" s="194"/>
      <c r="P417" s="194"/>
      <c r="Q417" s="194"/>
      <c r="R417" s="194"/>
      <c r="S417" s="194"/>
      <c r="T417" s="194"/>
      <c r="U417" s="194"/>
      <c r="V417" s="194"/>
      <c r="W417" s="194"/>
      <c r="X417" s="194"/>
      <c r="Y417" s="194"/>
      <c r="Z417" s="194"/>
      <c r="AA417" s="194"/>
      <c r="AB417" s="194"/>
      <c r="AC417" s="194"/>
      <c r="AD417" s="194"/>
      <c r="AE417" s="194"/>
      <c r="AF417" s="194"/>
    </row>
    <row r="418" spans="1:32" x14ac:dyDescent="0.25">
      <c r="A418" s="194"/>
      <c r="B418" s="194"/>
      <c r="C418" s="194"/>
      <c r="D418" s="194"/>
      <c r="E418" s="194"/>
      <c r="F418" s="194"/>
      <c r="G418" s="194"/>
      <c r="H418" s="194"/>
      <c r="I418" s="194"/>
      <c r="J418" s="194"/>
      <c r="K418" s="194"/>
      <c r="L418" s="194"/>
      <c r="M418" s="194"/>
      <c r="N418" s="194"/>
      <c r="O418" s="194"/>
      <c r="P418" s="194"/>
      <c r="Q418" s="194"/>
      <c r="R418" s="194"/>
      <c r="S418" s="194"/>
      <c r="T418" s="194"/>
      <c r="U418" s="194"/>
      <c r="V418" s="194"/>
      <c r="W418" s="194"/>
      <c r="X418" s="194"/>
      <c r="Y418" s="194"/>
      <c r="Z418" s="194"/>
      <c r="AA418" s="194"/>
      <c r="AB418" s="194"/>
      <c r="AC418" s="194"/>
      <c r="AD418" s="194"/>
      <c r="AE418" s="194"/>
      <c r="AF418" s="194"/>
    </row>
    <row r="419" spans="1:32" x14ac:dyDescent="0.25">
      <c r="A419" s="194"/>
      <c r="B419" s="194"/>
      <c r="C419" s="194"/>
      <c r="D419" s="194"/>
      <c r="E419" s="194"/>
      <c r="F419" s="194"/>
      <c r="G419" s="194"/>
      <c r="H419" s="194"/>
      <c r="I419" s="194"/>
      <c r="J419" s="194"/>
      <c r="K419" s="194"/>
      <c r="L419" s="194"/>
      <c r="M419" s="194"/>
      <c r="N419" s="194"/>
      <c r="O419" s="194"/>
      <c r="P419" s="194"/>
      <c r="Q419" s="194"/>
      <c r="R419" s="194"/>
      <c r="S419" s="194"/>
      <c r="T419" s="194"/>
      <c r="U419" s="194"/>
      <c r="V419" s="194"/>
      <c r="W419" s="194"/>
      <c r="X419" s="194"/>
      <c r="Y419" s="194"/>
      <c r="Z419" s="194"/>
      <c r="AA419" s="194"/>
      <c r="AB419" s="194"/>
      <c r="AC419" s="194"/>
      <c r="AD419" s="194"/>
      <c r="AE419" s="194"/>
      <c r="AF419" s="194"/>
    </row>
    <row r="420" spans="1:32" x14ac:dyDescent="0.25">
      <c r="A420" s="194"/>
      <c r="B420" s="194"/>
      <c r="C420" s="194"/>
      <c r="D420" s="194"/>
      <c r="E420" s="194"/>
      <c r="F420" s="194"/>
      <c r="G420" s="194"/>
      <c r="H420" s="194"/>
      <c r="I420" s="194"/>
      <c r="J420" s="194"/>
      <c r="K420" s="194"/>
      <c r="L420" s="194"/>
      <c r="M420" s="194"/>
      <c r="N420" s="194"/>
      <c r="O420" s="194"/>
      <c r="P420" s="194"/>
      <c r="Q420" s="194"/>
      <c r="R420" s="194"/>
      <c r="S420" s="194"/>
      <c r="T420" s="194"/>
      <c r="U420" s="194"/>
      <c r="V420" s="194"/>
      <c r="W420" s="194"/>
      <c r="X420" s="194"/>
      <c r="Y420" s="194"/>
      <c r="Z420" s="194"/>
      <c r="AA420" s="194"/>
      <c r="AB420" s="194"/>
      <c r="AC420" s="194"/>
      <c r="AD420" s="194"/>
      <c r="AE420" s="194"/>
      <c r="AF420" s="194"/>
    </row>
    <row r="421" spans="1:32" x14ac:dyDescent="0.25">
      <c r="A421" s="194"/>
      <c r="B421" s="194"/>
      <c r="C421" s="194"/>
      <c r="D421" s="194"/>
      <c r="E421" s="194"/>
      <c r="F421" s="194"/>
      <c r="G421" s="194"/>
      <c r="H421" s="194"/>
      <c r="I421" s="194"/>
      <c r="J421" s="194"/>
      <c r="K421" s="194"/>
      <c r="L421" s="194"/>
      <c r="M421" s="194"/>
      <c r="N421" s="194"/>
      <c r="O421" s="194"/>
      <c r="P421" s="194"/>
      <c r="Q421" s="194"/>
      <c r="R421" s="194"/>
      <c r="S421" s="194"/>
      <c r="T421" s="194"/>
      <c r="U421" s="194"/>
      <c r="V421" s="194"/>
      <c r="W421" s="194"/>
      <c r="X421" s="194"/>
      <c r="Y421" s="194"/>
      <c r="Z421" s="194"/>
      <c r="AA421" s="194"/>
      <c r="AB421" s="194"/>
      <c r="AC421" s="194"/>
      <c r="AD421" s="194"/>
      <c r="AE421" s="194"/>
      <c r="AF421" s="194"/>
    </row>
    <row r="422" spans="1:32" x14ac:dyDescent="0.25">
      <c r="A422" s="194"/>
      <c r="B422" s="194"/>
      <c r="C422" s="194"/>
      <c r="D422" s="194"/>
      <c r="E422" s="194"/>
      <c r="F422" s="194"/>
      <c r="G422" s="194"/>
      <c r="H422" s="194"/>
      <c r="I422" s="194"/>
      <c r="J422" s="194"/>
      <c r="K422" s="194"/>
      <c r="L422" s="194"/>
      <c r="M422" s="194"/>
      <c r="N422" s="194"/>
      <c r="O422" s="194"/>
      <c r="P422" s="194"/>
      <c r="Q422" s="194"/>
      <c r="R422" s="194"/>
      <c r="S422" s="194"/>
      <c r="T422" s="194"/>
      <c r="U422" s="194"/>
      <c r="V422" s="194"/>
      <c r="W422" s="194"/>
      <c r="X422" s="194"/>
      <c r="Y422" s="194"/>
      <c r="Z422" s="194"/>
      <c r="AA422" s="194"/>
      <c r="AB422" s="194"/>
      <c r="AC422" s="194"/>
      <c r="AD422" s="194"/>
      <c r="AE422" s="194"/>
      <c r="AF422" s="194"/>
    </row>
    <row r="423" spans="1:32" x14ac:dyDescent="0.25">
      <c r="A423" s="194"/>
      <c r="B423" s="194"/>
      <c r="C423" s="194"/>
      <c r="D423" s="194"/>
      <c r="E423" s="194"/>
      <c r="F423" s="194"/>
      <c r="G423" s="194"/>
      <c r="H423" s="194"/>
      <c r="I423" s="194"/>
      <c r="J423" s="194"/>
      <c r="K423" s="194"/>
      <c r="L423" s="194"/>
      <c r="M423" s="194"/>
      <c r="N423" s="194"/>
      <c r="O423" s="194"/>
      <c r="P423" s="194"/>
      <c r="Q423" s="194"/>
      <c r="R423" s="194"/>
      <c r="S423" s="194"/>
      <c r="T423" s="194"/>
      <c r="U423" s="194"/>
      <c r="V423" s="194"/>
      <c r="W423" s="194"/>
      <c r="X423" s="194"/>
      <c r="Y423" s="194"/>
      <c r="Z423" s="194"/>
      <c r="AA423" s="194"/>
      <c r="AB423" s="194"/>
      <c r="AC423" s="194"/>
      <c r="AD423" s="194"/>
      <c r="AE423" s="194"/>
      <c r="AF423" s="194"/>
    </row>
    <row r="424" spans="1:32" x14ac:dyDescent="0.25">
      <c r="A424" s="194"/>
      <c r="B424" s="194"/>
      <c r="C424" s="194"/>
      <c r="D424" s="194"/>
      <c r="E424" s="194"/>
      <c r="F424" s="194"/>
      <c r="G424" s="194"/>
      <c r="H424" s="194"/>
      <c r="I424" s="194"/>
      <c r="J424" s="194"/>
      <c r="K424" s="194"/>
      <c r="L424" s="194"/>
      <c r="M424" s="194"/>
      <c r="N424" s="194"/>
      <c r="O424" s="194"/>
      <c r="P424" s="194"/>
      <c r="Q424" s="194"/>
      <c r="R424" s="194"/>
      <c r="S424" s="194"/>
      <c r="T424" s="194"/>
      <c r="U424" s="194"/>
      <c r="V424" s="194"/>
      <c r="W424" s="194"/>
      <c r="X424" s="194"/>
      <c r="Y424" s="194"/>
      <c r="Z424" s="194"/>
      <c r="AA424" s="194"/>
      <c r="AB424" s="194"/>
      <c r="AC424" s="194"/>
      <c r="AD424" s="194"/>
      <c r="AE424" s="194"/>
      <c r="AF424" s="194"/>
    </row>
    <row r="425" spans="1:32" x14ac:dyDescent="0.25">
      <c r="A425" s="194"/>
      <c r="B425" s="194"/>
      <c r="C425" s="194"/>
      <c r="D425" s="194"/>
      <c r="E425" s="194"/>
      <c r="F425" s="194"/>
      <c r="G425" s="194"/>
      <c r="H425" s="194"/>
      <c r="I425" s="194"/>
      <c r="J425" s="194"/>
      <c r="K425" s="194"/>
      <c r="L425" s="194"/>
      <c r="M425" s="194"/>
      <c r="N425" s="194"/>
      <c r="O425" s="194"/>
      <c r="P425" s="194"/>
      <c r="Q425" s="194"/>
      <c r="R425" s="194"/>
      <c r="S425" s="194"/>
      <c r="T425" s="194"/>
      <c r="U425" s="194"/>
      <c r="V425" s="194"/>
      <c r="W425" s="194"/>
      <c r="X425" s="194"/>
      <c r="Y425" s="194"/>
      <c r="Z425" s="194"/>
      <c r="AA425" s="194"/>
      <c r="AB425" s="194"/>
      <c r="AC425" s="194"/>
      <c r="AD425" s="194"/>
      <c r="AE425" s="194"/>
      <c r="AF425" s="194"/>
    </row>
    <row r="426" spans="1:32" x14ac:dyDescent="0.25">
      <c r="A426" s="194"/>
      <c r="B426" s="194"/>
      <c r="C426" s="194"/>
      <c r="D426" s="194"/>
      <c r="E426" s="194"/>
      <c r="F426" s="194"/>
      <c r="G426" s="194"/>
      <c r="H426" s="194"/>
      <c r="I426" s="194"/>
      <c r="J426" s="194"/>
      <c r="K426" s="194"/>
      <c r="L426" s="194"/>
      <c r="M426" s="194"/>
      <c r="N426" s="194"/>
      <c r="O426" s="194"/>
      <c r="P426" s="194"/>
      <c r="Q426" s="194"/>
      <c r="R426" s="194"/>
      <c r="S426" s="194"/>
      <c r="T426" s="194"/>
      <c r="U426" s="194"/>
      <c r="V426" s="194"/>
      <c r="W426" s="194"/>
      <c r="X426" s="194"/>
      <c r="Y426" s="194"/>
      <c r="Z426" s="194"/>
      <c r="AA426" s="194"/>
      <c r="AB426" s="194"/>
      <c r="AC426" s="194"/>
      <c r="AD426" s="194"/>
      <c r="AE426" s="194"/>
      <c r="AF426" s="194"/>
    </row>
    <row r="427" spans="1:32" x14ac:dyDescent="0.25">
      <c r="A427" s="194"/>
      <c r="B427" s="194"/>
      <c r="C427" s="194"/>
      <c r="D427" s="194"/>
      <c r="E427" s="194"/>
      <c r="F427" s="194"/>
      <c r="G427" s="194"/>
      <c r="H427" s="194"/>
      <c r="I427" s="194"/>
      <c r="J427" s="194"/>
      <c r="K427" s="194"/>
      <c r="L427" s="194"/>
      <c r="M427" s="194"/>
      <c r="N427" s="194"/>
      <c r="O427" s="194"/>
      <c r="P427" s="194"/>
      <c r="Q427" s="194"/>
      <c r="R427" s="194"/>
      <c r="S427" s="194"/>
      <c r="T427" s="194"/>
      <c r="U427" s="194"/>
      <c r="V427" s="194"/>
      <c r="W427" s="194"/>
      <c r="X427" s="194"/>
      <c r="Y427" s="194"/>
      <c r="Z427" s="194"/>
      <c r="AA427" s="194"/>
      <c r="AB427" s="194"/>
      <c r="AC427" s="194"/>
      <c r="AD427" s="194"/>
      <c r="AE427" s="194"/>
      <c r="AF427" s="194"/>
    </row>
    <row r="428" spans="1:32" x14ac:dyDescent="0.25">
      <c r="A428" s="194"/>
      <c r="B428" s="194"/>
      <c r="C428" s="194"/>
      <c r="D428" s="194"/>
      <c r="E428" s="194"/>
      <c r="F428" s="194"/>
      <c r="G428" s="194"/>
      <c r="H428" s="194"/>
      <c r="I428" s="194"/>
      <c r="J428" s="194"/>
      <c r="K428" s="194"/>
      <c r="L428" s="194"/>
      <c r="M428" s="194"/>
      <c r="N428" s="194"/>
      <c r="O428" s="194"/>
      <c r="P428" s="194"/>
      <c r="Q428" s="194"/>
      <c r="R428" s="194"/>
      <c r="S428" s="194"/>
      <c r="T428" s="194"/>
      <c r="U428" s="194"/>
      <c r="V428" s="194"/>
      <c r="W428" s="194"/>
      <c r="X428" s="194"/>
      <c r="Y428" s="194"/>
      <c r="Z428" s="194"/>
      <c r="AA428" s="194"/>
      <c r="AB428" s="194"/>
      <c r="AC428" s="194"/>
      <c r="AD428" s="194"/>
      <c r="AE428" s="194"/>
      <c r="AF428" s="194"/>
    </row>
    <row r="429" spans="1:32" x14ac:dyDescent="0.25">
      <c r="A429" s="194"/>
      <c r="B429" s="194"/>
      <c r="C429" s="194"/>
      <c r="D429" s="194"/>
      <c r="E429" s="194"/>
      <c r="F429" s="194"/>
      <c r="G429" s="194"/>
      <c r="H429" s="194"/>
      <c r="I429" s="194"/>
      <c r="J429" s="194"/>
      <c r="K429" s="194"/>
      <c r="L429" s="194"/>
      <c r="M429" s="194"/>
      <c r="N429" s="194"/>
      <c r="O429" s="194"/>
      <c r="P429" s="194"/>
      <c r="Q429" s="194"/>
      <c r="R429" s="194"/>
      <c r="S429" s="194"/>
      <c r="T429" s="194"/>
      <c r="U429" s="194"/>
      <c r="V429" s="194"/>
      <c r="W429" s="194"/>
      <c r="X429" s="194"/>
      <c r="Y429" s="194"/>
      <c r="Z429" s="194"/>
      <c r="AA429" s="194"/>
      <c r="AB429" s="194"/>
      <c r="AC429" s="194"/>
      <c r="AD429" s="194"/>
      <c r="AE429" s="194"/>
      <c r="AF429" s="194"/>
    </row>
    <row r="430" spans="1:32" x14ac:dyDescent="0.25">
      <c r="A430" s="194"/>
      <c r="B430" s="194"/>
      <c r="C430" s="194"/>
      <c r="D430" s="194"/>
      <c r="E430" s="194"/>
      <c r="F430" s="194"/>
      <c r="G430" s="194"/>
      <c r="H430" s="194"/>
      <c r="I430" s="194"/>
      <c r="J430" s="194"/>
      <c r="K430" s="194"/>
      <c r="L430" s="194"/>
      <c r="M430" s="194"/>
      <c r="N430" s="194"/>
      <c r="O430" s="194"/>
      <c r="P430" s="194"/>
      <c r="Q430" s="194"/>
      <c r="R430" s="194"/>
      <c r="S430" s="194"/>
      <c r="T430" s="194"/>
      <c r="U430" s="194"/>
      <c r="V430" s="194"/>
      <c r="W430" s="194"/>
      <c r="X430" s="194"/>
      <c r="Y430" s="194"/>
      <c r="Z430" s="194"/>
      <c r="AA430" s="194"/>
      <c r="AB430" s="194"/>
      <c r="AC430" s="194"/>
      <c r="AD430" s="194"/>
      <c r="AE430" s="194"/>
      <c r="AF430" s="194"/>
    </row>
    <row r="431" spans="1:32" x14ac:dyDescent="0.25">
      <c r="A431" s="194"/>
      <c r="B431" s="194"/>
      <c r="C431" s="194"/>
      <c r="D431" s="194"/>
      <c r="E431" s="194"/>
      <c r="F431" s="194"/>
      <c r="G431" s="194"/>
      <c r="H431" s="194"/>
      <c r="I431" s="194"/>
      <c r="J431" s="194"/>
      <c r="K431" s="194"/>
      <c r="L431" s="194"/>
      <c r="M431" s="194"/>
      <c r="N431" s="194"/>
      <c r="O431" s="194"/>
      <c r="P431" s="194"/>
      <c r="Q431" s="194"/>
      <c r="R431" s="194"/>
      <c r="S431" s="194"/>
      <c r="T431" s="194"/>
      <c r="U431" s="194"/>
      <c r="V431" s="194"/>
      <c r="W431" s="194"/>
      <c r="X431" s="194"/>
      <c r="Y431" s="194"/>
      <c r="Z431" s="194"/>
      <c r="AA431" s="194"/>
      <c r="AB431" s="194"/>
      <c r="AC431" s="194"/>
      <c r="AD431" s="194"/>
      <c r="AE431" s="194"/>
      <c r="AF431" s="194"/>
    </row>
    <row r="432" spans="1:32" x14ac:dyDescent="0.25">
      <c r="A432" s="194"/>
      <c r="B432" s="194"/>
      <c r="C432" s="194"/>
      <c r="D432" s="194"/>
      <c r="E432" s="194"/>
      <c r="F432" s="194"/>
      <c r="G432" s="194"/>
      <c r="H432" s="194"/>
      <c r="I432" s="194"/>
      <c r="J432" s="194"/>
      <c r="K432" s="194"/>
      <c r="L432" s="194"/>
      <c r="M432" s="194"/>
      <c r="N432" s="194"/>
      <c r="O432" s="194"/>
      <c r="P432" s="194"/>
      <c r="Q432" s="194"/>
      <c r="R432" s="194"/>
      <c r="S432" s="194"/>
      <c r="T432" s="194"/>
      <c r="U432" s="194"/>
      <c r="V432" s="194"/>
      <c r="W432" s="194"/>
      <c r="X432" s="194"/>
      <c r="Y432" s="194"/>
      <c r="Z432" s="194"/>
      <c r="AA432" s="194"/>
      <c r="AB432" s="194"/>
      <c r="AC432" s="194"/>
      <c r="AD432" s="194"/>
      <c r="AE432" s="194"/>
      <c r="AF432" s="194"/>
    </row>
    <row r="433" spans="1:32" x14ac:dyDescent="0.25">
      <c r="A433" s="194"/>
      <c r="B433" s="194"/>
      <c r="C433" s="194"/>
      <c r="D433" s="194"/>
      <c r="E433" s="194"/>
      <c r="F433" s="194"/>
      <c r="G433" s="194"/>
      <c r="H433" s="194"/>
      <c r="I433" s="194"/>
      <c r="J433" s="194"/>
      <c r="K433" s="194"/>
      <c r="L433" s="194"/>
      <c r="M433" s="194"/>
      <c r="N433" s="194"/>
      <c r="O433" s="194"/>
      <c r="P433" s="194"/>
      <c r="Q433" s="194"/>
      <c r="R433" s="194"/>
      <c r="S433" s="194"/>
      <c r="T433" s="194"/>
      <c r="U433" s="194"/>
      <c r="V433" s="194"/>
      <c r="W433" s="194"/>
      <c r="X433" s="194"/>
      <c r="Y433" s="194"/>
      <c r="Z433" s="194"/>
      <c r="AA433" s="194"/>
      <c r="AB433" s="194"/>
      <c r="AC433" s="194"/>
      <c r="AD433" s="194"/>
      <c r="AE433" s="194"/>
      <c r="AF433" s="194"/>
    </row>
    <row r="434" spans="1:32" x14ac:dyDescent="0.25">
      <c r="A434" s="194"/>
      <c r="B434" s="194"/>
      <c r="C434" s="194"/>
      <c r="D434" s="194"/>
      <c r="E434" s="194"/>
      <c r="F434" s="194"/>
      <c r="G434" s="194"/>
      <c r="H434" s="194"/>
      <c r="I434" s="194"/>
      <c r="J434" s="194"/>
      <c r="K434" s="194"/>
      <c r="L434" s="194"/>
      <c r="M434" s="194"/>
      <c r="N434" s="194"/>
      <c r="O434" s="194"/>
      <c r="P434" s="194"/>
      <c r="Q434" s="194"/>
      <c r="R434" s="194"/>
      <c r="S434" s="194"/>
      <c r="T434" s="194"/>
      <c r="U434" s="194"/>
      <c r="V434" s="194"/>
      <c r="W434" s="194"/>
      <c r="X434" s="194"/>
      <c r="Y434" s="194"/>
      <c r="Z434" s="194"/>
      <c r="AA434" s="194"/>
      <c r="AB434" s="194"/>
      <c r="AC434" s="194"/>
      <c r="AD434" s="194"/>
      <c r="AE434" s="194"/>
      <c r="AF434" s="194"/>
    </row>
    <row r="435" spans="1:32" x14ac:dyDescent="0.25">
      <c r="A435" s="194"/>
      <c r="B435" s="194"/>
      <c r="C435" s="194"/>
      <c r="D435" s="194"/>
      <c r="E435" s="194"/>
      <c r="F435" s="194"/>
      <c r="G435" s="194"/>
      <c r="H435" s="194"/>
      <c r="I435" s="194"/>
      <c r="J435" s="194"/>
      <c r="K435" s="194"/>
      <c r="L435" s="194"/>
      <c r="M435" s="194"/>
      <c r="N435" s="194"/>
      <c r="O435" s="194"/>
      <c r="P435" s="194"/>
      <c r="Q435" s="194"/>
      <c r="R435" s="194"/>
      <c r="S435" s="194"/>
      <c r="T435" s="194"/>
      <c r="U435" s="194"/>
      <c r="V435" s="194"/>
      <c r="W435" s="194"/>
      <c r="X435" s="194"/>
      <c r="Y435" s="194"/>
      <c r="Z435" s="194"/>
      <c r="AA435" s="194"/>
      <c r="AB435" s="194"/>
      <c r="AC435" s="194"/>
      <c r="AD435" s="194"/>
      <c r="AE435" s="194"/>
      <c r="AF435" s="194"/>
    </row>
    <row r="436" spans="1:32" x14ac:dyDescent="0.25">
      <c r="A436" s="194"/>
      <c r="B436" s="194"/>
      <c r="C436" s="194"/>
      <c r="D436" s="194"/>
      <c r="E436" s="194"/>
      <c r="F436" s="194"/>
      <c r="G436" s="194"/>
      <c r="H436" s="194"/>
      <c r="I436" s="194"/>
      <c r="J436" s="194"/>
      <c r="K436" s="194"/>
      <c r="L436" s="194"/>
      <c r="M436" s="194"/>
      <c r="N436" s="194"/>
      <c r="O436" s="194"/>
      <c r="P436" s="194"/>
      <c r="Q436" s="194"/>
      <c r="R436" s="194"/>
      <c r="S436" s="194"/>
      <c r="T436" s="194"/>
      <c r="U436" s="194"/>
      <c r="V436" s="194"/>
      <c r="W436" s="194"/>
      <c r="X436" s="194"/>
      <c r="Y436" s="194"/>
      <c r="Z436" s="194"/>
      <c r="AA436" s="194"/>
      <c r="AB436" s="194"/>
      <c r="AC436" s="194"/>
      <c r="AD436" s="194"/>
      <c r="AE436" s="194"/>
      <c r="AF436" s="194"/>
    </row>
    <row r="437" spans="1:32" x14ac:dyDescent="0.25">
      <c r="A437" s="194"/>
      <c r="B437" s="194"/>
      <c r="C437" s="194"/>
      <c r="D437" s="194"/>
      <c r="E437" s="194"/>
      <c r="F437" s="194"/>
      <c r="G437" s="194"/>
      <c r="H437" s="194"/>
      <c r="I437" s="194"/>
      <c r="J437" s="194"/>
      <c r="K437" s="194"/>
      <c r="L437" s="194"/>
      <c r="M437" s="194"/>
      <c r="N437" s="194"/>
      <c r="O437" s="194"/>
      <c r="P437" s="194"/>
      <c r="Q437" s="194"/>
      <c r="R437" s="194"/>
      <c r="S437" s="194"/>
      <c r="T437" s="194"/>
      <c r="U437" s="194"/>
      <c r="V437" s="194"/>
      <c r="W437" s="194"/>
      <c r="X437" s="194"/>
      <c r="Y437" s="194"/>
      <c r="Z437" s="194"/>
      <c r="AA437" s="194"/>
      <c r="AB437" s="194"/>
      <c r="AC437" s="194"/>
      <c r="AD437" s="194"/>
      <c r="AE437" s="194"/>
      <c r="AF437" s="194"/>
    </row>
    <row r="438" spans="1:32" x14ac:dyDescent="0.25">
      <c r="A438" s="194"/>
      <c r="B438" s="194"/>
      <c r="C438" s="194"/>
      <c r="D438" s="194"/>
      <c r="E438" s="194"/>
      <c r="F438" s="194"/>
      <c r="G438" s="194"/>
      <c r="H438" s="194"/>
      <c r="I438" s="194"/>
      <c r="J438" s="194"/>
      <c r="K438" s="194"/>
      <c r="L438" s="194"/>
      <c r="M438" s="194"/>
      <c r="N438" s="194"/>
      <c r="O438" s="194"/>
      <c r="P438" s="194"/>
      <c r="Q438" s="194"/>
      <c r="R438" s="194"/>
      <c r="S438" s="194"/>
      <c r="T438" s="194"/>
      <c r="U438" s="194"/>
      <c r="V438" s="194"/>
      <c r="W438" s="194"/>
      <c r="X438" s="194"/>
      <c r="Y438" s="194"/>
      <c r="Z438" s="194"/>
      <c r="AA438" s="194"/>
      <c r="AB438" s="194"/>
      <c r="AC438" s="194"/>
      <c r="AD438" s="194"/>
      <c r="AE438" s="194"/>
      <c r="AF438" s="194"/>
    </row>
    <row r="439" spans="1:32" x14ac:dyDescent="0.25">
      <c r="A439" s="194"/>
      <c r="B439" s="194"/>
      <c r="C439" s="194"/>
      <c r="D439" s="194"/>
      <c r="E439" s="194"/>
      <c r="F439" s="194"/>
      <c r="G439" s="194"/>
      <c r="H439" s="194"/>
      <c r="I439" s="194"/>
      <c r="J439" s="194"/>
      <c r="K439" s="194"/>
      <c r="L439" s="194"/>
      <c r="M439" s="194"/>
      <c r="N439" s="194"/>
      <c r="O439" s="194"/>
      <c r="P439" s="194"/>
      <c r="Q439" s="194"/>
      <c r="R439" s="194"/>
      <c r="S439" s="194"/>
      <c r="T439" s="194"/>
      <c r="U439" s="194"/>
      <c r="V439" s="194"/>
      <c r="W439" s="194"/>
      <c r="X439" s="194"/>
      <c r="Y439" s="194"/>
      <c r="Z439" s="194"/>
      <c r="AA439" s="194"/>
      <c r="AB439" s="194"/>
      <c r="AC439" s="194"/>
      <c r="AD439" s="194"/>
      <c r="AE439" s="194"/>
      <c r="AF439" s="194"/>
    </row>
    <row r="440" spans="1:32" x14ac:dyDescent="0.25">
      <c r="A440" s="194"/>
      <c r="B440" s="194"/>
      <c r="C440" s="194"/>
      <c r="D440" s="194"/>
      <c r="E440" s="194"/>
      <c r="F440" s="194"/>
      <c r="G440" s="194"/>
      <c r="H440" s="194"/>
      <c r="I440" s="194"/>
      <c r="J440" s="194"/>
      <c r="K440" s="194"/>
      <c r="L440" s="194"/>
      <c r="M440" s="194"/>
      <c r="N440" s="194"/>
      <c r="O440" s="194"/>
      <c r="P440" s="194"/>
      <c r="Q440" s="194"/>
      <c r="R440" s="194"/>
      <c r="S440" s="194"/>
      <c r="T440" s="194"/>
      <c r="U440" s="194"/>
      <c r="V440" s="194"/>
      <c r="W440" s="194"/>
      <c r="X440" s="194"/>
      <c r="Y440" s="194"/>
      <c r="Z440" s="194"/>
      <c r="AA440" s="194"/>
      <c r="AB440" s="194"/>
      <c r="AC440" s="194"/>
      <c r="AD440" s="194"/>
      <c r="AE440" s="194"/>
      <c r="AF440" s="194"/>
    </row>
    <row r="441" spans="1:32" x14ac:dyDescent="0.25">
      <c r="A441" s="194"/>
      <c r="B441" s="194"/>
      <c r="C441" s="194"/>
      <c r="D441" s="194"/>
      <c r="E441" s="194"/>
      <c r="F441" s="194"/>
      <c r="G441" s="194"/>
      <c r="H441" s="194"/>
      <c r="I441" s="194"/>
      <c r="J441" s="194"/>
      <c r="K441" s="194"/>
      <c r="L441" s="194"/>
      <c r="M441" s="194"/>
      <c r="N441" s="194"/>
      <c r="O441" s="194"/>
      <c r="P441" s="194"/>
      <c r="Q441" s="194"/>
      <c r="R441" s="194"/>
      <c r="S441" s="194"/>
      <c r="T441" s="194"/>
      <c r="U441" s="194"/>
      <c r="V441" s="194"/>
      <c r="W441" s="194"/>
      <c r="X441" s="194"/>
      <c r="Y441" s="194"/>
      <c r="Z441" s="194"/>
      <c r="AA441" s="194"/>
      <c r="AB441" s="194"/>
      <c r="AC441" s="194"/>
      <c r="AD441" s="194"/>
      <c r="AE441" s="194"/>
      <c r="AF441" s="194"/>
    </row>
    <row r="442" spans="1:32" x14ac:dyDescent="0.25">
      <c r="A442" s="194"/>
      <c r="B442" s="194"/>
      <c r="C442" s="194"/>
      <c r="D442" s="194"/>
      <c r="E442" s="194"/>
      <c r="F442" s="194"/>
      <c r="G442" s="194"/>
      <c r="H442" s="194"/>
      <c r="I442" s="194"/>
      <c r="J442" s="194"/>
      <c r="K442" s="194"/>
      <c r="L442" s="194"/>
      <c r="M442" s="194"/>
      <c r="N442" s="194"/>
      <c r="O442" s="194"/>
      <c r="P442" s="194"/>
      <c r="Q442" s="194"/>
      <c r="R442" s="194"/>
      <c r="S442" s="194"/>
      <c r="T442" s="194"/>
      <c r="U442" s="194"/>
      <c r="V442" s="194"/>
      <c r="W442" s="194"/>
      <c r="X442" s="194"/>
      <c r="Y442" s="194"/>
      <c r="Z442" s="194"/>
      <c r="AA442" s="194"/>
      <c r="AB442" s="194"/>
      <c r="AC442" s="194"/>
      <c r="AD442" s="194"/>
      <c r="AE442" s="194"/>
      <c r="AF442" s="194"/>
    </row>
    <row r="443" spans="1:32" x14ac:dyDescent="0.25">
      <c r="A443" s="194"/>
      <c r="B443" s="194"/>
      <c r="C443" s="194"/>
      <c r="D443" s="194"/>
      <c r="E443" s="194"/>
      <c r="F443" s="194"/>
      <c r="G443" s="194"/>
      <c r="H443" s="194"/>
      <c r="I443" s="194"/>
      <c r="J443" s="194"/>
      <c r="K443" s="194"/>
      <c r="L443" s="194"/>
      <c r="M443" s="194"/>
      <c r="N443" s="194"/>
      <c r="O443" s="194"/>
      <c r="P443" s="194"/>
      <c r="Q443" s="194"/>
      <c r="R443" s="194"/>
      <c r="S443" s="194"/>
      <c r="T443" s="194"/>
      <c r="U443" s="194"/>
      <c r="V443" s="194"/>
      <c r="W443" s="194"/>
      <c r="X443" s="194"/>
      <c r="Y443" s="194"/>
      <c r="Z443" s="194"/>
      <c r="AA443" s="194"/>
      <c r="AB443" s="194"/>
      <c r="AC443" s="194"/>
      <c r="AD443" s="194"/>
      <c r="AE443" s="194"/>
      <c r="AF443" s="194"/>
    </row>
    <row r="444" spans="1:32" x14ac:dyDescent="0.25">
      <c r="A444" s="194"/>
      <c r="B444" s="194"/>
      <c r="C444" s="194"/>
      <c r="D444" s="194"/>
      <c r="E444" s="194"/>
      <c r="F444" s="194"/>
      <c r="G444" s="194"/>
      <c r="H444" s="194"/>
      <c r="I444" s="194"/>
      <c r="J444" s="194"/>
      <c r="K444" s="194"/>
      <c r="L444" s="194"/>
      <c r="M444" s="194"/>
      <c r="N444" s="194"/>
      <c r="O444" s="194"/>
      <c r="P444" s="194"/>
      <c r="Q444" s="194"/>
      <c r="R444" s="194"/>
      <c r="S444" s="194"/>
      <c r="T444" s="194"/>
      <c r="U444" s="194"/>
      <c r="V444" s="194"/>
      <c r="W444" s="194"/>
      <c r="X444" s="194"/>
      <c r="Y444" s="194"/>
      <c r="Z444" s="194"/>
      <c r="AA444" s="194"/>
      <c r="AB444" s="194"/>
      <c r="AC444" s="194"/>
      <c r="AD444" s="194"/>
      <c r="AE444" s="194"/>
      <c r="AF444" s="194"/>
    </row>
    <row r="445" spans="1:32" x14ac:dyDescent="0.25">
      <c r="A445" s="194"/>
      <c r="B445" s="194"/>
      <c r="C445" s="194"/>
      <c r="D445" s="194"/>
      <c r="E445" s="194"/>
      <c r="F445" s="194"/>
      <c r="G445" s="194"/>
      <c r="H445" s="194"/>
      <c r="I445" s="194"/>
      <c r="J445" s="194"/>
      <c r="K445" s="194"/>
      <c r="L445" s="194"/>
      <c r="M445" s="194"/>
      <c r="N445" s="194"/>
      <c r="O445" s="194"/>
      <c r="P445" s="194"/>
      <c r="Q445" s="194"/>
      <c r="R445" s="194"/>
      <c r="S445" s="194"/>
      <c r="T445" s="194"/>
      <c r="U445" s="194"/>
      <c r="V445" s="194"/>
      <c r="W445" s="194"/>
      <c r="X445" s="194"/>
      <c r="Y445" s="194"/>
      <c r="Z445" s="194"/>
      <c r="AA445" s="194"/>
      <c r="AB445" s="194"/>
      <c r="AC445" s="194"/>
      <c r="AD445" s="194"/>
      <c r="AE445" s="194"/>
      <c r="AF445" s="194"/>
    </row>
    <row r="446" spans="1:32" x14ac:dyDescent="0.25">
      <c r="A446" s="194"/>
      <c r="B446" s="194"/>
      <c r="C446" s="194"/>
      <c r="D446" s="194"/>
      <c r="E446" s="194"/>
      <c r="F446" s="194"/>
      <c r="G446" s="194"/>
      <c r="H446" s="194"/>
      <c r="I446" s="194"/>
      <c r="J446" s="194"/>
      <c r="K446" s="194"/>
      <c r="L446" s="194"/>
      <c r="M446" s="194"/>
      <c r="N446" s="194"/>
      <c r="O446" s="194"/>
      <c r="P446" s="194"/>
      <c r="Q446" s="194"/>
      <c r="R446" s="194"/>
      <c r="S446" s="194"/>
      <c r="T446" s="194"/>
      <c r="U446" s="194"/>
      <c r="V446" s="194"/>
      <c r="W446" s="194"/>
      <c r="X446" s="194"/>
      <c r="Y446" s="194"/>
      <c r="Z446" s="194"/>
      <c r="AA446" s="194"/>
      <c r="AB446" s="194"/>
      <c r="AC446" s="194"/>
      <c r="AD446" s="194"/>
      <c r="AE446" s="194"/>
      <c r="AF446" s="194"/>
    </row>
    <row r="447" spans="1:32" x14ac:dyDescent="0.25">
      <c r="A447" s="194"/>
      <c r="B447" s="194"/>
      <c r="C447" s="194"/>
      <c r="D447" s="194"/>
      <c r="E447" s="194"/>
      <c r="F447" s="194"/>
      <c r="G447" s="194"/>
      <c r="H447" s="194"/>
      <c r="I447" s="194"/>
      <c r="J447" s="194"/>
      <c r="K447" s="194"/>
      <c r="L447" s="194"/>
      <c r="M447" s="194"/>
      <c r="N447" s="194"/>
      <c r="O447" s="194"/>
      <c r="P447" s="194"/>
      <c r="Q447" s="194"/>
      <c r="R447" s="194"/>
      <c r="S447" s="194"/>
      <c r="T447" s="194"/>
      <c r="U447" s="194"/>
      <c r="V447" s="194"/>
      <c r="W447" s="194"/>
      <c r="X447" s="194"/>
      <c r="Y447" s="194"/>
      <c r="Z447" s="194"/>
      <c r="AA447" s="194"/>
      <c r="AB447" s="194"/>
      <c r="AC447" s="194"/>
      <c r="AD447" s="194"/>
      <c r="AE447" s="194"/>
      <c r="AF447" s="194"/>
    </row>
    <row r="448" spans="1:32" x14ac:dyDescent="0.25">
      <c r="A448" s="194"/>
      <c r="B448" s="194"/>
      <c r="C448" s="194"/>
      <c r="D448" s="194"/>
      <c r="E448" s="194"/>
      <c r="F448" s="194"/>
      <c r="G448" s="194"/>
      <c r="H448" s="194"/>
      <c r="I448" s="194"/>
      <c r="J448" s="194"/>
      <c r="K448" s="194"/>
      <c r="L448" s="194"/>
      <c r="M448" s="194"/>
      <c r="N448" s="194"/>
      <c r="O448" s="194"/>
      <c r="P448" s="194"/>
      <c r="Q448" s="194"/>
      <c r="R448" s="194"/>
      <c r="S448" s="194"/>
      <c r="T448" s="194"/>
      <c r="U448" s="194"/>
      <c r="V448" s="194"/>
      <c r="W448" s="194"/>
      <c r="X448" s="194"/>
      <c r="Y448" s="194"/>
      <c r="Z448" s="194"/>
      <c r="AA448" s="194"/>
      <c r="AB448" s="194"/>
      <c r="AC448" s="194"/>
      <c r="AD448" s="194"/>
      <c r="AE448" s="194"/>
      <c r="AF448" s="194"/>
    </row>
    <row r="449" spans="1:32" x14ac:dyDescent="0.25">
      <c r="A449" s="194"/>
      <c r="B449" s="194"/>
      <c r="C449" s="194"/>
      <c r="D449" s="194"/>
      <c r="E449" s="194"/>
      <c r="F449" s="194"/>
      <c r="G449" s="194"/>
      <c r="H449" s="194"/>
      <c r="I449" s="194"/>
      <c r="J449" s="194"/>
      <c r="K449" s="194"/>
      <c r="L449" s="194"/>
      <c r="M449" s="194"/>
      <c r="N449" s="194"/>
      <c r="O449" s="194"/>
      <c r="P449" s="194"/>
      <c r="Q449" s="194"/>
      <c r="R449" s="194"/>
      <c r="S449" s="194"/>
      <c r="T449" s="194"/>
      <c r="U449" s="194"/>
      <c r="V449" s="194"/>
      <c r="W449" s="194"/>
      <c r="X449" s="194"/>
      <c r="Y449" s="194"/>
      <c r="Z449" s="194"/>
      <c r="AA449" s="194"/>
      <c r="AB449" s="194"/>
      <c r="AC449" s="194"/>
      <c r="AD449" s="194"/>
      <c r="AE449" s="194"/>
      <c r="AF449" s="194"/>
    </row>
    <row r="450" spans="1:32" x14ac:dyDescent="0.25">
      <c r="A450" s="194"/>
      <c r="B450" s="194"/>
      <c r="C450" s="194"/>
      <c r="D450" s="194"/>
      <c r="E450" s="194"/>
      <c r="F450" s="194"/>
      <c r="G450" s="194"/>
      <c r="H450" s="194"/>
      <c r="I450" s="194"/>
      <c r="J450" s="194"/>
      <c r="K450" s="194"/>
      <c r="L450" s="194"/>
      <c r="M450" s="194"/>
      <c r="N450" s="194"/>
      <c r="O450" s="194"/>
      <c r="P450" s="194"/>
      <c r="Q450" s="194"/>
      <c r="R450" s="194"/>
      <c r="S450" s="194"/>
      <c r="T450" s="194"/>
      <c r="U450" s="194"/>
      <c r="V450" s="194"/>
      <c r="W450" s="194"/>
      <c r="X450" s="194"/>
      <c r="Y450" s="194"/>
      <c r="Z450" s="194"/>
      <c r="AA450" s="194"/>
      <c r="AB450" s="194"/>
      <c r="AC450" s="194"/>
      <c r="AD450" s="194"/>
      <c r="AE450" s="194"/>
      <c r="AF450" s="194"/>
    </row>
    <row r="451" spans="1:32" x14ac:dyDescent="0.25">
      <c r="A451" s="194"/>
      <c r="B451" s="194"/>
      <c r="C451" s="194"/>
      <c r="D451" s="194"/>
      <c r="E451" s="194"/>
      <c r="F451" s="194"/>
      <c r="G451" s="194"/>
      <c r="H451" s="194"/>
      <c r="I451" s="194"/>
      <c r="J451" s="194"/>
      <c r="K451" s="194"/>
      <c r="L451" s="194"/>
      <c r="M451" s="194"/>
      <c r="N451" s="194"/>
      <c r="O451" s="194"/>
      <c r="P451" s="194"/>
      <c r="Q451" s="194"/>
      <c r="R451" s="194"/>
      <c r="S451" s="194"/>
      <c r="T451" s="194"/>
      <c r="U451" s="194"/>
      <c r="V451" s="194"/>
      <c r="W451" s="194"/>
      <c r="X451" s="194"/>
      <c r="Y451" s="194"/>
      <c r="Z451" s="194"/>
      <c r="AA451" s="194"/>
      <c r="AB451" s="194"/>
      <c r="AC451" s="194"/>
      <c r="AD451" s="194"/>
      <c r="AE451" s="194"/>
      <c r="AF451" s="194"/>
    </row>
    <row r="452" spans="1:32" x14ac:dyDescent="0.25">
      <c r="A452" s="194"/>
      <c r="B452" s="194"/>
      <c r="C452" s="194"/>
      <c r="D452" s="194"/>
      <c r="E452" s="194"/>
      <c r="F452" s="194"/>
      <c r="G452" s="194"/>
      <c r="H452" s="194"/>
      <c r="I452" s="194"/>
      <c r="J452" s="194"/>
      <c r="K452" s="194"/>
      <c r="L452" s="194"/>
      <c r="M452" s="194"/>
      <c r="N452" s="194"/>
      <c r="O452" s="194"/>
      <c r="P452" s="194"/>
      <c r="Q452" s="194"/>
      <c r="R452" s="194"/>
      <c r="S452" s="194"/>
      <c r="T452" s="194"/>
      <c r="U452" s="194"/>
      <c r="V452" s="194"/>
      <c r="W452" s="194"/>
      <c r="X452" s="194"/>
      <c r="Y452" s="194"/>
      <c r="Z452" s="194"/>
      <c r="AA452" s="194"/>
      <c r="AB452" s="194"/>
      <c r="AC452" s="194"/>
      <c r="AD452" s="194"/>
      <c r="AE452" s="194"/>
      <c r="AF452" s="194"/>
    </row>
    <row r="453" spans="1:32" x14ac:dyDescent="0.25">
      <c r="A453" s="194"/>
      <c r="B453" s="194"/>
      <c r="C453" s="194"/>
      <c r="D453" s="194"/>
      <c r="E453" s="194"/>
      <c r="F453" s="194"/>
      <c r="G453" s="194"/>
      <c r="H453" s="194"/>
      <c r="I453" s="194"/>
      <c r="J453" s="194"/>
      <c r="K453" s="194"/>
      <c r="L453" s="194"/>
      <c r="M453" s="194"/>
      <c r="N453" s="194"/>
      <c r="O453" s="194"/>
      <c r="P453" s="194"/>
      <c r="Q453" s="194"/>
      <c r="R453" s="194"/>
      <c r="S453" s="194"/>
      <c r="T453" s="194"/>
      <c r="U453" s="194"/>
      <c r="V453" s="194"/>
      <c r="W453" s="194"/>
      <c r="X453" s="194"/>
      <c r="Y453" s="194"/>
      <c r="Z453" s="194"/>
      <c r="AA453" s="194"/>
      <c r="AB453" s="194"/>
      <c r="AC453" s="194"/>
      <c r="AD453" s="194"/>
      <c r="AE453" s="194"/>
      <c r="AF453" s="194"/>
    </row>
    <row r="454" spans="1:32" x14ac:dyDescent="0.25">
      <c r="A454" s="194"/>
      <c r="B454" s="194"/>
      <c r="C454" s="194"/>
      <c r="D454" s="194"/>
      <c r="E454" s="194"/>
      <c r="F454" s="194"/>
      <c r="G454" s="194"/>
      <c r="H454" s="194"/>
      <c r="I454" s="194"/>
      <c r="J454" s="194"/>
      <c r="K454" s="194"/>
      <c r="L454" s="194"/>
      <c r="M454" s="194"/>
      <c r="N454" s="194"/>
      <c r="O454" s="194"/>
      <c r="P454" s="194"/>
      <c r="Q454" s="194"/>
      <c r="R454" s="194"/>
      <c r="S454" s="194"/>
      <c r="T454" s="194"/>
      <c r="U454" s="194"/>
      <c r="V454" s="194"/>
      <c r="W454" s="194"/>
      <c r="X454" s="194"/>
      <c r="Y454" s="194"/>
      <c r="Z454" s="194"/>
      <c r="AA454" s="194"/>
      <c r="AB454" s="194"/>
      <c r="AC454" s="194"/>
      <c r="AD454" s="194"/>
      <c r="AE454" s="194"/>
      <c r="AF454" s="194"/>
    </row>
    <row r="455" spans="1:32" x14ac:dyDescent="0.25">
      <c r="A455" s="194"/>
      <c r="B455" s="194"/>
      <c r="C455" s="194"/>
      <c r="D455" s="194"/>
      <c r="E455" s="194"/>
      <c r="F455" s="194"/>
      <c r="G455" s="194"/>
      <c r="H455" s="194"/>
      <c r="I455" s="194"/>
      <c r="J455" s="194"/>
      <c r="K455" s="194"/>
      <c r="L455" s="194"/>
      <c r="M455" s="194"/>
      <c r="N455" s="194"/>
      <c r="O455" s="194"/>
      <c r="P455" s="194"/>
      <c r="Q455" s="194"/>
      <c r="R455" s="194"/>
      <c r="S455" s="194"/>
      <c r="T455" s="194"/>
      <c r="U455" s="194"/>
      <c r="V455" s="194"/>
      <c r="W455" s="194"/>
      <c r="X455" s="194"/>
      <c r="Y455" s="194"/>
      <c r="Z455" s="194"/>
      <c r="AA455" s="194"/>
      <c r="AB455" s="194"/>
      <c r="AC455" s="194"/>
      <c r="AD455" s="194"/>
      <c r="AE455" s="194"/>
      <c r="AF455" s="194"/>
    </row>
    <row r="456" spans="1:32" x14ac:dyDescent="0.25">
      <c r="A456" s="194"/>
      <c r="B456" s="194"/>
      <c r="C456" s="194"/>
      <c r="D456" s="194"/>
      <c r="E456" s="194"/>
      <c r="F456" s="194"/>
      <c r="G456" s="194"/>
      <c r="H456" s="194"/>
      <c r="I456" s="194"/>
      <c r="J456" s="194"/>
      <c r="K456" s="194"/>
      <c r="L456" s="194"/>
      <c r="M456" s="194"/>
      <c r="N456" s="194"/>
      <c r="O456" s="194"/>
      <c r="P456" s="194"/>
      <c r="Q456" s="194"/>
      <c r="R456" s="194"/>
      <c r="S456" s="194"/>
      <c r="T456" s="194"/>
      <c r="U456" s="194"/>
      <c r="V456" s="194"/>
      <c r="W456" s="194"/>
      <c r="X456" s="194"/>
      <c r="Y456" s="194"/>
      <c r="Z456" s="194"/>
      <c r="AA456" s="194"/>
      <c r="AB456" s="194"/>
      <c r="AC456" s="194"/>
      <c r="AD456" s="194"/>
      <c r="AE456" s="194"/>
      <c r="AF456" s="194"/>
    </row>
    <row r="457" spans="1:32" x14ac:dyDescent="0.25">
      <c r="A457" s="194"/>
      <c r="B457" s="194"/>
      <c r="C457" s="194"/>
      <c r="D457" s="194"/>
      <c r="E457" s="194"/>
      <c r="F457" s="194"/>
      <c r="G457" s="194"/>
      <c r="H457" s="194"/>
      <c r="I457" s="194"/>
      <c r="J457" s="194"/>
      <c r="K457" s="194"/>
      <c r="L457" s="194"/>
      <c r="M457" s="194"/>
      <c r="N457" s="194"/>
      <c r="O457" s="194"/>
      <c r="P457" s="194"/>
      <c r="Q457" s="194"/>
      <c r="R457" s="194"/>
      <c r="S457" s="194"/>
      <c r="T457" s="194"/>
      <c r="U457" s="194"/>
      <c r="V457" s="194"/>
      <c r="W457" s="194"/>
      <c r="X457" s="194"/>
      <c r="Y457" s="194"/>
      <c r="Z457" s="194"/>
      <c r="AA457" s="194"/>
      <c r="AB457" s="194"/>
      <c r="AC457" s="194"/>
      <c r="AD457" s="194"/>
      <c r="AE457" s="194"/>
      <c r="AF457" s="194"/>
    </row>
    <row r="458" spans="1:32" x14ac:dyDescent="0.25">
      <c r="A458" s="194"/>
      <c r="B458" s="194"/>
      <c r="C458" s="194"/>
      <c r="D458" s="194"/>
      <c r="E458" s="194"/>
      <c r="F458" s="194"/>
      <c r="G458" s="194"/>
      <c r="H458" s="194"/>
      <c r="I458" s="194"/>
      <c r="J458" s="194"/>
      <c r="K458" s="194"/>
      <c r="L458" s="194"/>
      <c r="M458" s="194"/>
      <c r="N458" s="194"/>
      <c r="O458" s="194"/>
      <c r="P458" s="194"/>
      <c r="Q458" s="194"/>
      <c r="R458" s="194"/>
      <c r="S458" s="194"/>
      <c r="T458" s="194"/>
      <c r="U458" s="194"/>
      <c r="V458" s="194"/>
      <c r="W458" s="194"/>
      <c r="X458" s="194"/>
      <c r="Y458" s="194"/>
      <c r="Z458" s="194"/>
      <c r="AA458" s="194"/>
      <c r="AB458" s="194"/>
      <c r="AC458" s="194"/>
      <c r="AD458" s="194"/>
      <c r="AE458" s="194"/>
      <c r="AF458" s="194"/>
    </row>
    <row r="459" spans="1:32" x14ac:dyDescent="0.25">
      <c r="A459" s="194"/>
      <c r="B459" s="194"/>
      <c r="C459" s="194"/>
      <c r="D459" s="194"/>
      <c r="E459" s="194"/>
      <c r="F459" s="194"/>
      <c r="G459" s="194"/>
      <c r="H459" s="194"/>
      <c r="I459" s="194"/>
      <c r="J459" s="194"/>
      <c r="K459" s="194"/>
      <c r="L459" s="194"/>
      <c r="M459" s="194"/>
      <c r="N459" s="194"/>
      <c r="O459" s="194"/>
      <c r="P459" s="194"/>
      <c r="Q459" s="194"/>
      <c r="R459" s="194"/>
      <c r="S459" s="194"/>
      <c r="T459" s="194"/>
      <c r="U459" s="194"/>
      <c r="V459" s="194"/>
      <c r="W459" s="194"/>
      <c r="X459" s="194"/>
      <c r="Y459" s="194"/>
      <c r="Z459" s="194"/>
      <c r="AA459" s="194"/>
      <c r="AB459" s="194"/>
      <c r="AC459" s="194"/>
      <c r="AD459" s="194"/>
      <c r="AE459" s="194"/>
      <c r="AF459" s="194"/>
    </row>
    <row r="460" spans="1:32" x14ac:dyDescent="0.25">
      <c r="A460" s="194"/>
      <c r="B460" s="194"/>
      <c r="C460" s="194"/>
      <c r="D460" s="194"/>
      <c r="E460" s="194"/>
      <c r="F460" s="194"/>
      <c r="G460" s="194"/>
      <c r="H460" s="194"/>
      <c r="I460" s="194"/>
      <c r="J460" s="194"/>
      <c r="K460" s="194"/>
      <c r="L460" s="194"/>
      <c r="M460" s="194"/>
      <c r="N460" s="194"/>
      <c r="O460" s="194"/>
      <c r="P460" s="194"/>
      <c r="Q460" s="194"/>
      <c r="R460" s="194"/>
      <c r="S460" s="194"/>
      <c r="T460" s="194"/>
      <c r="U460" s="194"/>
      <c r="V460" s="194"/>
      <c r="W460" s="194"/>
      <c r="X460" s="194"/>
      <c r="Y460" s="194"/>
      <c r="Z460" s="194"/>
      <c r="AA460" s="194"/>
      <c r="AB460" s="194"/>
      <c r="AC460" s="194"/>
      <c r="AD460" s="194"/>
      <c r="AE460" s="194"/>
      <c r="AF460" s="194"/>
    </row>
    <row r="461" spans="1:32" x14ac:dyDescent="0.25">
      <c r="A461" s="194"/>
      <c r="B461" s="194"/>
      <c r="C461" s="194"/>
      <c r="D461" s="194"/>
      <c r="E461" s="194"/>
      <c r="F461" s="194"/>
      <c r="G461" s="194"/>
      <c r="H461" s="194"/>
      <c r="I461" s="194"/>
      <c r="J461" s="194"/>
      <c r="K461" s="194"/>
      <c r="L461" s="194"/>
      <c r="M461" s="194"/>
      <c r="N461" s="194"/>
      <c r="O461" s="194"/>
      <c r="P461" s="194"/>
      <c r="Q461" s="194"/>
      <c r="R461" s="194"/>
      <c r="S461" s="194"/>
      <c r="T461" s="194"/>
      <c r="U461" s="194"/>
      <c r="V461" s="194"/>
      <c r="W461" s="194"/>
      <c r="X461" s="194"/>
      <c r="Y461" s="194"/>
      <c r="Z461" s="194"/>
      <c r="AA461" s="194"/>
      <c r="AB461" s="194"/>
      <c r="AC461" s="194"/>
      <c r="AD461" s="194"/>
      <c r="AE461" s="194"/>
      <c r="AF461" s="194"/>
    </row>
    <row r="462" spans="1:32" x14ac:dyDescent="0.25">
      <c r="A462" s="194"/>
      <c r="B462" s="194"/>
      <c r="C462" s="194"/>
      <c r="D462" s="194"/>
      <c r="E462" s="194"/>
      <c r="F462" s="194"/>
      <c r="G462" s="194"/>
      <c r="H462" s="194"/>
      <c r="I462" s="194"/>
      <c r="J462" s="194"/>
      <c r="K462" s="194"/>
      <c r="L462" s="194"/>
      <c r="M462" s="194"/>
      <c r="N462" s="194"/>
      <c r="O462" s="194"/>
      <c r="P462" s="194"/>
      <c r="Q462" s="194"/>
      <c r="R462" s="194"/>
      <c r="S462" s="194"/>
      <c r="T462" s="194"/>
      <c r="U462" s="194"/>
      <c r="V462" s="194"/>
      <c r="W462" s="194"/>
      <c r="X462" s="194"/>
      <c r="Y462" s="194"/>
      <c r="Z462" s="194"/>
      <c r="AA462" s="194"/>
      <c r="AB462" s="194"/>
      <c r="AC462" s="194"/>
      <c r="AD462" s="194"/>
      <c r="AE462" s="194"/>
      <c r="AF462" s="194"/>
    </row>
    <row r="463" spans="1:32" x14ac:dyDescent="0.25">
      <c r="A463" s="194"/>
      <c r="B463" s="194"/>
      <c r="C463" s="194"/>
      <c r="D463" s="194"/>
      <c r="E463" s="194"/>
      <c r="F463" s="194"/>
      <c r="G463" s="194"/>
      <c r="H463" s="194"/>
      <c r="I463" s="194"/>
      <c r="J463" s="194"/>
      <c r="K463" s="194"/>
      <c r="L463" s="194"/>
      <c r="M463" s="194"/>
      <c r="N463" s="194"/>
      <c r="O463" s="194"/>
      <c r="P463" s="194"/>
      <c r="Q463" s="194"/>
      <c r="R463" s="194"/>
      <c r="S463" s="194"/>
      <c r="T463" s="194"/>
      <c r="U463" s="194"/>
      <c r="V463" s="194"/>
      <c r="W463" s="194"/>
      <c r="X463" s="194"/>
      <c r="Y463" s="194"/>
      <c r="Z463" s="194"/>
      <c r="AA463" s="194"/>
      <c r="AB463" s="194"/>
      <c r="AC463" s="194"/>
      <c r="AD463" s="194"/>
      <c r="AE463" s="194"/>
      <c r="AF463" s="194"/>
    </row>
    <row r="464" spans="1:32" x14ac:dyDescent="0.25">
      <c r="A464" s="194"/>
      <c r="B464" s="194"/>
      <c r="C464" s="194"/>
      <c r="D464" s="194"/>
      <c r="E464" s="194"/>
      <c r="F464" s="194"/>
      <c r="G464" s="194"/>
      <c r="H464" s="194"/>
      <c r="I464" s="194"/>
      <c r="J464" s="194"/>
      <c r="K464" s="194"/>
      <c r="L464" s="194"/>
      <c r="M464" s="194"/>
      <c r="N464" s="194"/>
      <c r="O464" s="194"/>
      <c r="P464" s="194"/>
      <c r="Q464" s="194"/>
      <c r="R464" s="194"/>
      <c r="S464" s="194"/>
      <c r="T464" s="194"/>
      <c r="U464" s="194"/>
      <c r="V464" s="194"/>
      <c r="W464" s="194"/>
      <c r="X464" s="194"/>
      <c r="Y464" s="194"/>
      <c r="Z464" s="194"/>
      <c r="AA464" s="194"/>
      <c r="AB464" s="194"/>
      <c r="AC464" s="194"/>
      <c r="AD464" s="194"/>
      <c r="AE464" s="194"/>
      <c r="AF464" s="194"/>
    </row>
    <row r="465" spans="1:32" x14ac:dyDescent="0.25">
      <c r="A465" s="194"/>
      <c r="B465" s="194"/>
      <c r="C465" s="194"/>
      <c r="D465" s="194"/>
      <c r="E465" s="194"/>
      <c r="F465" s="194"/>
      <c r="G465" s="194"/>
      <c r="H465" s="194"/>
      <c r="I465" s="194"/>
      <c r="J465" s="194"/>
      <c r="K465" s="194"/>
      <c r="L465" s="194"/>
      <c r="M465" s="194"/>
      <c r="N465" s="194"/>
      <c r="O465" s="194"/>
      <c r="P465" s="194"/>
      <c r="Q465" s="194"/>
      <c r="R465" s="194"/>
      <c r="S465" s="194"/>
      <c r="T465" s="194"/>
      <c r="U465" s="194"/>
      <c r="V465" s="194"/>
      <c r="W465" s="194"/>
      <c r="X465" s="194"/>
      <c r="Y465" s="194"/>
      <c r="Z465" s="194"/>
      <c r="AA465" s="194"/>
      <c r="AB465" s="194"/>
      <c r="AC465" s="194"/>
      <c r="AD465" s="194"/>
      <c r="AE465" s="194"/>
      <c r="AF465" s="194"/>
    </row>
    <row r="466" spans="1:32" x14ac:dyDescent="0.25">
      <c r="A466" s="194"/>
      <c r="B466" s="194"/>
      <c r="C466" s="194"/>
      <c r="D466" s="194"/>
      <c r="E466" s="194"/>
      <c r="F466" s="194"/>
      <c r="G466" s="194"/>
      <c r="H466" s="194"/>
      <c r="I466" s="194"/>
      <c r="J466" s="194"/>
      <c r="K466" s="194"/>
      <c r="L466" s="194"/>
      <c r="M466" s="194"/>
      <c r="N466" s="194"/>
      <c r="O466" s="194"/>
      <c r="P466" s="194"/>
      <c r="Q466" s="194"/>
      <c r="R466" s="194"/>
      <c r="S466" s="194"/>
      <c r="T466" s="194"/>
      <c r="U466" s="194"/>
      <c r="V466" s="194"/>
      <c r="W466" s="194"/>
      <c r="X466" s="194"/>
      <c r="Y466" s="194"/>
      <c r="Z466" s="194"/>
      <c r="AA466" s="194"/>
      <c r="AB466" s="194"/>
      <c r="AC466" s="194"/>
      <c r="AD466" s="194"/>
      <c r="AE466" s="194"/>
      <c r="AF466" s="194"/>
    </row>
    <row r="467" spans="1:32" x14ac:dyDescent="0.25">
      <c r="A467" s="194"/>
      <c r="B467" s="194"/>
      <c r="C467" s="194"/>
      <c r="D467" s="194"/>
      <c r="E467" s="194"/>
      <c r="F467" s="194"/>
      <c r="G467" s="194"/>
      <c r="H467" s="194"/>
      <c r="I467" s="194"/>
      <c r="J467" s="194"/>
      <c r="K467" s="194"/>
      <c r="L467" s="194"/>
      <c r="M467" s="194"/>
      <c r="N467" s="194"/>
      <c r="O467" s="194"/>
      <c r="P467" s="194"/>
      <c r="Q467" s="194"/>
      <c r="R467" s="194"/>
      <c r="S467" s="194"/>
      <c r="T467" s="194"/>
      <c r="U467" s="194"/>
      <c r="V467" s="194"/>
      <c r="W467" s="194"/>
      <c r="X467" s="194"/>
      <c r="Y467" s="194"/>
      <c r="Z467" s="194"/>
      <c r="AA467" s="194"/>
      <c r="AB467" s="194"/>
      <c r="AC467" s="194"/>
      <c r="AD467" s="194"/>
      <c r="AE467" s="194"/>
      <c r="AF467" s="194"/>
    </row>
    <row r="468" spans="1:32" x14ac:dyDescent="0.25">
      <c r="A468" s="194"/>
      <c r="B468" s="194"/>
      <c r="C468" s="194"/>
      <c r="D468" s="194"/>
      <c r="E468" s="194"/>
      <c r="F468" s="194"/>
      <c r="G468" s="194"/>
      <c r="H468" s="194"/>
      <c r="I468" s="194"/>
      <c r="J468" s="194"/>
      <c r="K468" s="194"/>
      <c r="L468" s="194"/>
      <c r="M468" s="194"/>
      <c r="N468" s="194"/>
      <c r="O468" s="194"/>
      <c r="P468" s="194"/>
      <c r="Q468" s="194"/>
      <c r="R468" s="194"/>
      <c r="S468" s="194"/>
      <c r="T468" s="194"/>
      <c r="U468" s="194"/>
      <c r="V468" s="194"/>
      <c r="W468" s="194"/>
      <c r="X468" s="194"/>
      <c r="Y468" s="194"/>
      <c r="Z468" s="194"/>
      <c r="AA468" s="194"/>
      <c r="AB468" s="194"/>
      <c r="AC468" s="194"/>
      <c r="AD468" s="194"/>
      <c r="AE468" s="194"/>
      <c r="AF468" s="194"/>
    </row>
    <row r="469" spans="1:32" x14ac:dyDescent="0.25">
      <c r="A469" s="194"/>
      <c r="B469" s="194"/>
      <c r="C469" s="194"/>
      <c r="D469" s="194"/>
      <c r="E469" s="194"/>
      <c r="F469" s="194"/>
      <c r="G469" s="194"/>
      <c r="H469" s="194"/>
      <c r="I469" s="194"/>
      <c r="J469" s="194"/>
      <c r="K469" s="194"/>
      <c r="L469" s="194"/>
      <c r="M469" s="194"/>
      <c r="N469" s="194"/>
      <c r="O469" s="194"/>
      <c r="P469" s="194"/>
      <c r="Q469" s="194"/>
      <c r="R469" s="194"/>
      <c r="S469" s="194"/>
      <c r="T469" s="194"/>
      <c r="U469" s="194"/>
      <c r="V469" s="194"/>
      <c r="W469" s="194"/>
      <c r="X469" s="194"/>
      <c r="Y469" s="194"/>
      <c r="Z469" s="194"/>
      <c r="AA469" s="194"/>
      <c r="AB469" s="194"/>
      <c r="AC469" s="194"/>
      <c r="AD469" s="194"/>
      <c r="AE469" s="194"/>
      <c r="AF469" s="194"/>
    </row>
    <row r="470" spans="1:32" x14ac:dyDescent="0.25">
      <c r="A470" s="194"/>
      <c r="B470" s="194"/>
      <c r="C470" s="194"/>
      <c r="D470" s="194"/>
      <c r="E470" s="194"/>
      <c r="F470" s="194"/>
      <c r="G470" s="194"/>
      <c r="H470" s="194"/>
      <c r="I470" s="194"/>
      <c r="J470" s="194"/>
      <c r="K470" s="194"/>
      <c r="L470" s="194"/>
      <c r="M470" s="194"/>
      <c r="N470" s="194"/>
      <c r="O470" s="194"/>
      <c r="P470" s="194"/>
      <c r="Q470" s="194"/>
      <c r="R470" s="194"/>
      <c r="S470" s="194"/>
      <c r="T470" s="194"/>
      <c r="U470" s="194"/>
      <c r="V470" s="194"/>
      <c r="W470" s="194"/>
      <c r="X470" s="194"/>
      <c r="Y470" s="194"/>
      <c r="Z470" s="194"/>
      <c r="AA470" s="194"/>
      <c r="AB470" s="194"/>
      <c r="AC470" s="194"/>
      <c r="AD470" s="194"/>
      <c r="AE470" s="194"/>
      <c r="AF470" s="194"/>
    </row>
    <row r="471" spans="1:32" x14ac:dyDescent="0.25">
      <c r="A471" s="194"/>
      <c r="B471" s="194"/>
      <c r="C471" s="194"/>
      <c r="D471" s="194"/>
      <c r="E471" s="194"/>
      <c r="F471" s="194"/>
      <c r="G471" s="194"/>
      <c r="H471" s="194"/>
      <c r="I471" s="194"/>
      <c r="J471" s="194"/>
      <c r="K471" s="194"/>
      <c r="L471" s="194"/>
      <c r="M471" s="194"/>
      <c r="N471" s="194"/>
      <c r="O471" s="194"/>
      <c r="P471" s="194"/>
      <c r="Q471" s="194"/>
      <c r="R471" s="194"/>
      <c r="S471" s="194"/>
      <c r="T471" s="194"/>
      <c r="U471" s="194"/>
      <c r="V471" s="194"/>
      <c r="W471" s="194"/>
      <c r="X471" s="194"/>
      <c r="Y471" s="194"/>
      <c r="Z471" s="194"/>
      <c r="AA471" s="194"/>
      <c r="AB471" s="194"/>
      <c r="AC471" s="194"/>
      <c r="AD471" s="194"/>
      <c r="AE471" s="194"/>
      <c r="AF471" s="194"/>
    </row>
    <row r="472" spans="1:32" x14ac:dyDescent="0.25">
      <c r="A472" s="194"/>
      <c r="B472" s="194"/>
      <c r="C472" s="194"/>
      <c r="D472" s="194"/>
      <c r="E472" s="194"/>
      <c r="F472" s="194"/>
      <c r="G472" s="194"/>
      <c r="H472" s="194"/>
      <c r="I472" s="194"/>
      <c r="J472" s="194"/>
      <c r="K472" s="194"/>
      <c r="L472" s="194"/>
      <c r="M472" s="194"/>
      <c r="N472" s="194"/>
      <c r="O472" s="194"/>
      <c r="P472" s="194"/>
      <c r="Q472" s="194"/>
      <c r="R472" s="194"/>
      <c r="S472" s="194"/>
      <c r="T472" s="194"/>
      <c r="U472" s="194"/>
      <c r="V472" s="194"/>
      <c r="W472" s="194"/>
      <c r="X472" s="194"/>
      <c r="Y472" s="194"/>
      <c r="Z472" s="194"/>
      <c r="AA472" s="194"/>
      <c r="AB472" s="194"/>
      <c r="AC472" s="194"/>
      <c r="AD472" s="194"/>
      <c r="AE472" s="194"/>
      <c r="AF472" s="194"/>
    </row>
    <row r="473" spans="1:32" x14ac:dyDescent="0.25">
      <c r="A473" s="194"/>
      <c r="B473" s="194"/>
      <c r="C473" s="194"/>
      <c r="D473" s="194"/>
      <c r="E473" s="194"/>
      <c r="F473" s="194"/>
      <c r="G473" s="194"/>
      <c r="H473" s="194"/>
      <c r="I473" s="194"/>
      <c r="J473" s="194"/>
      <c r="K473" s="194"/>
      <c r="L473" s="194"/>
      <c r="M473" s="194"/>
      <c r="N473" s="194"/>
      <c r="O473" s="194"/>
      <c r="P473" s="194"/>
      <c r="Q473" s="194"/>
      <c r="R473" s="194"/>
      <c r="S473" s="194"/>
      <c r="T473" s="194"/>
      <c r="U473" s="194"/>
      <c r="V473" s="194"/>
      <c r="W473" s="194"/>
      <c r="X473" s="194"/>
      <c r="Y473" s="194"/>
      <c r="Z473" s="194"/>
      <c r="AA473" s="194"/>
      <c r="AB473" s="194"/>
      <c r="AC473" s="194"/>
      <c r="AD473" s="194"/>
      <c r="AE473" s="194"/>
      <c r="AF473" s="194"/>
    </row>
    <row r="474" spans="1:32" x14ac:dyDescent="0.25">
      <c r="A474" s="194"/>
      <c r="B474" s="194"/>
      <c r="C474" s="194"/>
      <c r="D474" s="194"/>
      <c r="E474" s="194"/>
      <c r="F474" s="194"/>
      <c r="G474" s="194"/>
      <c r="H474" s="194"/>
      <c r="I474" s="194"/>
      <c r="J474" s="194"/>
      <c r="K474" s="194"/>
      <c r="L474" s="194"/>
      <c r="M474" s="194"/>
      <c r="N474" s="194"/>
      <c r="O474" s="194"/>
      <c r="P474" s="194"/>
      <c r="Q474" s="194"/>
      <c r="R474" s="194"/>
      <c r="S474" s="194"/>
      <c r="T474" s="194"/>
      <c r="U474" s="194"/>
      <c r="V474" s="194"/>
      <c r="W474" s="194"/>
      <c r="X474" s="194"/>
      <c r="Y474" s="194"/>
      <c r="Z474" s="194"/>
      <c r="AA474" s="194"/>
      <c r="AB474" s="194"/>
      <c r="AC474" s="194"/>
      <c r="AD474" s="194"/>
      <c r="AE474" s="194"/>
      <c r="AF474" s="194"/>
    </row>
    <row r="475" spans="1:32" x14ac:dyDescent="0.25">
      <c r="A475" s="194"/>
      <c r="B475" s="194"/>
      <c r="C475" s="194"/>
      <c r="D475" s="194"/>
      <c r="E475" s="194"/>
      <c r="F475" s="194"/>
      <c r="G475" s="194"/>
      <c r="H475" s="194"/>
      <c r="I475" s="194"/>
      <c r="J475" s="194"/>
      <c r="K475" s="194"/>
      <c r="L475" s="194"/>
      <c r="M475" s="194"/>
      <c r="N475" s="194"/>
      <c r="O475" s="194"/>
      <c r="P475" s="194"/>
      <c r="Q475" s="194"/>
      <c r="R475" s="194"/>
      <c r="S475" s="194"/>
      <c r="T475" s="194"/>
      <c r="U475" s="194"/>
      <c r="V475" s="194"/>
      <c r="W475" s="194"/>
      <c r="X475" s="194"/>
      <c r="Y475" s="194"/>
      <c r="Z475" s="194"/>
      <c r="AA475" s="194"/>
      <c r="AB475" s="194"/>
      <c r="AC475" s="194"/>
      <c r="AD475" s="194"/>
      <c r="AE475" s="194"/>
      <c r="AF475" s="194"/>
    </row>
    <row r="476" spans="1:32" x14ac:dyDescent="0.25">
      <c r="A476" s="194"/>
      <c r="B476" s="194"/>
      <c r="C476" s="194"/>
      <c r="D476" s="194"/>
      <c r="E476" s="194"/>
      <c r="F476" s="194"/>
      <c r="G476" s="194"/>
      <c r="H476" s="194"/>
      <c r="I476" s="194"/>
      <c r="J476" s="194"/>
      <c r="K476" s="194"/>
      <c r="L476" s="194"/>
      <c r="M476" s="194"/>
      <c r="N476" s="194"/>
      <c r="O476" s="194"/>
      <c r="P476" s="194"/>
      <c r="Q476" s="194"/>
      <c r="R476" s="194"/>
      <c r="S476" s="194"/>
      <c r="T476" s="194"/>
      <c r="U476" s="194"/>
      <c r="V476" s="194"/>
      <c r="W476" s="194"/>
      <c r="X476" s="194"/>
      <c r="Y476" s="194"/>
      <c r="Z476" s="194"/>
      <c r="AA476" s="194"/>
      <c r="AB476" s="194"/>
      <c r="AC476" s="194"/>
      <c r="AD476" s="194"/>
      <c r="AE476" s="194"/>
      <c r="AF476" s="194"/>
    </row>
    <row r="477" spans="1:32" x14ac:dyDescent="0.25">
      <c r="A477" s="194"/>
      <c r="B477" s="194"/>
      <c r="C477" s="194"/>
      <c r="D477" s="194"/>
      <c r="E477" s="194"/>
      <c r="F477" s="194"/>
      <c r="G477" s="194"/>
      <c r="H477" s="194"/>
      <c r="I477" s="194"/>
      <c r="J477" s="194"/>
      <c r="K477" s="194"/>
      <c r="L477" s="194"/>
      <c r="M477" s="194"/>
      <c r="N477" s="194"/>
      <c r="O477" s="194"/>
      <c r="P477" s="194"/>
      <c r="Q477" s="194"/>
      <c r="R477" s="194"/>
      <c r="S477" s="194"/>
      <c r="T477" s="194"/>
      <c r="U477" s="194"/>
      <c r="V477" s="194"/>
      <c r="W477" s="194"/>
      <c r="X477" s="194"/>
      <c r="Y477" s="194"/>
      <c r="Z477" s="194"/>
      <c r="AA477" s="194"/>
      <c r="AB477" s="194"/>
      <c r="AC477" s="194"/>
      <c r="AD477" s="194"/>
      <c r="AE477" s="194"/>
      <c r="AF477" s="194"/>
    </row>
    <row r="478" spans="1:32" x14ac:dyDescent="0.25">
      <c r="A478" s="194"/>
      <c r="B478" s="194"/>
      <c r="C478" s="194"/>
      <c r="D478" s="194"/>
      <c r="E478" s="194"/>
      <c r="F478" s="194"/>
      <c r="G478" s="194"/>
      <c r="H478" s="194"/>
      <c r="I478" s="194"/>
      <c r="J478" s="194"/>
      <c r="K478" s="194"/>
      <c r="L478" s="194"/>
      <c r="M478" s="194"/>
      <c r="N478" s="194"/>
      <c r="O478" s="194"/>
      <c r="P478" s="194"/>
      <c r="Q478" s="194"/>
      <c r="R478" s="194"/>
      <c r="S478" s="194"/>
      <c r="T478" s="194"/>
      <c r="U478" s="194"/>
      <c r="V478" s="194"/>
      <c r="W478" s="194"/>
      <c r="X478" s="194"/>
      <c r="Y478" s="194"/>
      <c r="Z478" s="194"/>
      <c r="AA478" s="194"/>
      <c r="AB478" s="194"/>
      <c r="AC478" s="194"/>
      <c r="AD478" s="194"/>
      <c r="AE478" s="194"/>
      <c r="AF478" s="194"/>
    </row>
    <row r="479" spans="1:32" x14ac:dyDescent="0.25">
      <c r="A479" s="194"/>
      <c r="B479" s="194"/>
      <c r="C479" s="194"/>
      <c r="D479" s="194"/>
      <c r="E479" s="194"/>
      <c r="F479" s="194"/>
      <c r="G479" s="194"/>
      <c r="H479" s="194"/>
      <c r="I479" s="194"/>
      <c r="J479" s="194"/>
      <c r="K479" s="194"/>
      <c r="L479" s="194"/>
      <c r="M479" s="194"/>
      <c r="N479" s="194"/>
      <c r="O479" s="194"/>
      <c r="P479" s="194"/>
      <c r="Q479" s="194"/>
      <c r="R479" s="194"/>
      <c r="S479" s="194"/>
      <c r="T479" s="194"/>
      <c r="U479" s="194"/>
      <c r="V479" s="194"/>
      <c r="W479" s="194"/>
      <c r="X479" s="194"/>
      <c r="Y479" s="194"/>
      <c r="Z479" s="194"/>
      <c r="AA479" s="194"/>
      <c r="AB479" s="194"/>
      <c r="AC479" s="194"/>
      <c r="AD479" s="194"/>
      <c r="AE479" s="194"/>
      <c r="AF479" s="194"/>
    </row>
    <row r="480" spans="1:32" x14ac:dyDescent="0.25">
      <c r="A480" s="194"/>
      <c r="B480" s="194"/>
      <c r="C480" s="194"/>
      <c r="D480" s="194"/>
      <c r="E480" s="194"/>
      <c r="F480" s="194"/>
      <c r="G480" s="194"/>
      <c r="H480" s="194"/>
      <c r="I480" s="194"/>
      <c r="J480" s="194"/>
      <c r="K480" s="194"/>
      <c r="L480" s="194"/>
      <c r="M480" s="194"/>
      <c r="N480" s="194"/>
      <c r="O480" s="194"/>
      <c r="P480" s="194"/>
      <c r="Q480" s="194"/>
      <c r="R480" s="194"/>
      <c r="S480" s="194"/>
      <c r="T480" s="194"/>
      <c r="U480" s="194"/>
      <c r="V480" s="194"/>
      <c r="W480" s="194"/>
      <c r="X480" s="194"/>
      <c r="Y480" s="194"/>
      <c r="Z480" s="194"/>
      <c r="AA480" s="194"/>
      <c r="AB480" s="194"/>
      <c r="AC480" s="194"/>
      <c r="AD480" s="194"/>
      <c r="AE480" s="194"/>
      <c r="AF480" s="194"/>
    </row>
    <row r="481" spans="1:32" x14ac:dyDescent="0.25">
      <c r="A481" s="194"/>
      <c r="B481" s="194"/>
      <c r="C481" s="194"/>
      <c r="D481" s="194"/>
      <c r="E481" s="194"/>
      <c r="F481" s="194"/>
      <c r="G481" s="194"/>
      <c r="H481" s="194"/>
      <c r="I481" s="194"/>
      <c r="J481" s="194"/>
      <c r="K481" s="194"/>
      <c r="L481" s="194"/>
      <c r="M481" s="194"/>
      <c r="N481" s="194"/>
      <c r="O481" s="194"/>
      <c r="P481" s="194"/>
      <c r="Q481" s="194"/>
      <c r="R481" s="194"/>
      <c r="S481" s="194"/>
      <c r="T481" s="194"/>
      <c r="U481" s="194"/>
      <c r="V481" s="194"/>
      <c r="W481" s="194"/>
      <c r="X481" s="194"/>
      <c r="Y481" s="194"/>
      <c r="Z481" s="194"/>
      <c r="AA481" s="194"/>
      <c r="AB481" s="194"/>
      <c r="AC481" s="194"/>
      <c r="AD481" s="194"/>
      <c r="AE481" s="194"/>
      <c r="AF481" s="194"/>
    </row>
    <row r="482" spans="1:32" x14ac:dyDescent="0.25">
      <c r="A482" s="194"/>
      <c r="B482" s="194"/>
      <c r="C482" s="194"/>
      <c r="D482" s="194"/>
      <c r="E482" s="194"/>
      <c r="F482" s="194"/>
      <c r="G482" s="194"/>
      <c r="H482" s="194"/>
      <c r="I482" s="194"/>
      <c r="J482" s="194"/>
      <c r="K482" s="194"/>
      <c r="L482" s="194"/>
      <c r="M482" s="194"/>
      <c r="N482" s="194"/>
      <c r="O482" s="194"/>
      <c r="P482" s="194"/>
      <c r="Q482" s="194"/>
      <c r="R482" s="194"/>
      <c r="S482" s="194"/>
      <c r="T482" s="194"/>
      <c r="U482" s="194"/>
      <c r="V482" s="194"/>
      <c r="W482" s="194"/>
      <c r="X482" s="194"/>
      <c r="Y482" s="194"/>
      <c r="Z482" s="194"/>
      <c r="AA482" s="194"/>
      <c r="AB482" s="194"/>
      <c r="AC482" s="194"/>
      <c r="AD482" s="194"/>
      <c r="AE482" s="194"/>
      <c r="AF482" s="194"/>
    </row>
    <row r="483" spans="1:32" x14ac:dyDescent="0.25">
      <c r="A483" s="194"/>
      <c r="B483" s="194"/>
      <c r="C483" s="194"/>
      <c r="D483" s="194"/>
      <c r="E483" s="194"/>
      <c r="F483" s="194"/>
      <c r="G483" s="194"/>
      <c r="H483" s="194"/>
      <c r="I483" s="194"/>
      <c r="J483" s="194"/>
      <c r="K483" s="194"/>
      <c r="L483" s="194"/>
      <c r="M483" s="194"/>
      <c r="N483" s="194"/>
      <c r="O483" s="194"/>
      <c r="P483" s="194"/>
      <c r="Q483" s="194"/>
      <c r="R483" s="194"/>
      <c r="S483" s="194"/>
      <c r="T483" s="194"/>
      <c r="U483" s="194"/>
      <c r="V483" s="194"/>
      <c r="W483" s="194"/>
      <c r="X483" s="194"/>
      <c r="Y483" s="194"/>
      <c r="Z483" s="194"/>
      <c r="AA483" s="194"/>
      <c r="AB483" s="194"/>
      <c r="AC483" s="194"/>
      <c r="AD483" s="194"/>
      <c r="AE483" s="194"/>
      <c r="AF483" s="194"/>
    </row>
    <row r="484" spans="1:32" x14ac:dyDescent="0.25">
      <c r="A484" s="194"/>
      <c r="B484" s="194"/>
      <c r="C484" s="194"/>
      <c r="D484" s="194"/>
      <c r="E484" s="194"/>
      <c r="F484" s="194"/>
      <c r="G484" s="194"/>
      <c r="H484" s="194"/>
      <c r="I484" s="194"/>
      <c r="J484" s="194"/>
      <c r="K484" s="194"/>
      <c r="L484" s="194"/>
      <c r="M484" s="194"/>
      <c r="N484" s="194"/>
      <c r="O484" s="194"/>
      <c r="P484" s="194"/>
      <c r="Q484" s="194"/>
      <c r="R484" s="194"/>
      <c r="S484" s="194"/>
      <c r="T484" s="194"/>
      <c r="U484" s="194"/>
      <c r="V484" s="194"/>
      <c r="W484" s="194"/>
      <c r="X484" s="194"/>
      <c r="Y484" s="194"/>
      <c r="Z484" s="194"/>
      <c r="AA484" s="194"/>
      <c r="AB484" s="194"/>
      <c r="AC484" s="194"/>
      <c r="AD484" s="194"/>
      <c r="AE484" s="194"/>
      <c r="AF484" s="194"/>
    </row>
    <row r="485" spans="1:32" x14ac:dyDescent="0.25">
      <c r="A485" s="194"/>
      <c r="B485" s="194"/>
      <c r="C485" s="194"/>
      <c r="D485" s="194"/>
      <c r="E485" s="194"/>
      <c r="F485" s="194"/>
      <c r="G485" s="194"/>
      <c r="H485" s="194"/>
      <c r="I485" s="194"/>
      <c r="J485" s="194"/>
      <c r="K485" s="194"/>
      <c r="L485" s="194"/>
      <c r="M485" s="194"/>
      <c r="N485" s="194"/>
      <c r="O485" s="194"/>
      <c r="P485" s="194"/>
      <c r="Q485" s="194"/>
      <c r="R485" s="194"/>
      <c r="S485" s="194"/>
      <c r="T485" s="194"/>
      <c r="U485" s="194"/>
      <c r="V485" s="194"/>
      <c r="W485" s="194"/>
      <c r="X485" s="194"/>
      <c r="Y485" s="194"/>
      <c r="Z485" s="194"/>
      <c r="AA485" s="194"/>
      <c r="AB485" s="194"/>
      <c r="AC485" s="194"/>
      <c r="AD485" s="194"/>
      <c r="AE485" s="194"/>
      <c r="AF485" s="194"/>
    </row>
    <row r="486" spans="1:32" x14ac:dyDescent="0.25">
      <c r="A486" s="194"/>
      <c r="B486" s="194"/>
      <c r="C486" s="194"/>
      <c r="D486" s="194"/>
      <c r="E486" s="194"/>
      <c r="F486" s="194"/>
      <c r="G486" s="194"/>
      <c r="H486" s="194"/>
      <c r="I486" s="194"/>
      <c r="J486" s="194"/>
      <c r="K486" s="194"/>
      <c r="L486" s="194"/>
      <c r="M486" s="194"/>
      <c r="N486" s="194"/>
      <c r="O486" s="194"/>
      <c r="P486" s="194"/>
      <c r="Q486" s="194"/>
      <c r="R486" s="194"/>
      <c r="S486" s="194"/>
      <c r="T486" s="194"/>
      <c r="U486" s="194"/>
      <c r="V486" s="194"/>
      <c r="W486" s="194"/>
      <c r="X486" s="194"/>
      <c r="Y486" s="194"/>
      <c r="Z486" s="194"/>
      <c r="AA486" s="194"/>
      <c r="AB486" s="194"/>
      <c r="AC486" s="194"/>
      <c r="AD486" s="194"/>
      <c r="AE486" s="194"/>
      <c r="AF486" s="194"/>
    </row>
    <row r="487" spans="1:32" x14ac:dyDescent="0.25">
      <c r="A487" s="194"/>
      <c r="B487" s="194"/>
      <c r="C487" s="194"/>
      <c r="D487" s="194"/>
      <c r="E487" s="194"/>
      <c r="F487" s="194"/>
      <c r="G487" s="194"/>
      <c r="H487" s="194"/>
      <c r="I487" s="194"/>
      <c r="J487" s="194"/>
      <c r="K487" s="194"/>
      <c r="L487" s="194"/>
      <c r="M487" s="194"/>
      <c r="N487" s="194"/>
      <c r="O487" s="194"/>
      <c r="P487" s="194"/>
      <c r="Q487" s="194"/>
      <c r="R487" s="194"/>
      <c r="S487" s="194"/>
      <c r="T487" s="194"/>
      <c r="U487" s="194"/>
      <c r="V487" s="194"/>
      <c r="W487" s="194"/>
      <c r="X487" s="194"/>
      <c r="Y487" s="194"/>
      <c r="Z487" s="194"/>
      <c r="AA487" s="194"/>
      <c r="AB487" s="194"/>
      <c r="AC487" s="194"/>
      <c r="AD487" s="194"/>
      <c r="AE487" s="194"/>
      <c r="AF487" s="194"/>
    </row>
    <row r="488" spans="1:32" x14ac:dyDescent="0.25">
      <c r="A488" s="194"/>
      <c r="B488" s="194"/>
      <c r="C488" s="194"/>
      <c r="D488" s="194"/>
      <c r="E488" s="194"/>
      <c r="F488" s="194"/>
      <c r="G488" s="194"/>
      <c r="H488" s="194"/>
      <c r="I488" s="194"/>
      <c r="J488" s="194"/>
      <c r="K488" s="194"/>
      <c r="L488" s="194"/>
      <c r="M488" s="194"/>
      <c r="N488" s="194"/>
      <c r="O488" s="194"/>
      <c r="P488" s="194"/>
      <c r="Q488" s="194"/>
      <c r="R488" s="194"/>
      <c r="S488" s="194"/>
      <c r="T488" s="194"/>
      <c r="U488" s="194"/>
      <c r="V488" s="194"/>
      <c r="W488" s="194"/>
      <c r="X488" s="194"/>
      <c r="Y488" s="194"/>
      <c r="Z488" s="194"/>
      <c r="AA488" s="194"/>
      <c r="AB488" s="194"/>
      <c r="AC488" s="194"/>
      <c r="AD488" s="194"/>
      <c r="AE488" s="194"/>
      <c r="AF488" s="194"/>
    </row>
    <row r="489" spans="1:32" x14ac:dyDescent="0.25">
      <c r="A489" s="194"/>
      <c r="B489" s="194"/>
      <c r="C489" s="194"/>
      <c r="D489" s="194"/>
      <c r="E489" s="194"/>
      <c r="F489" s="194"/>
      <c r="G489" s="194"/>
      <c r="H489" s="194"/>
      <c r="I489" s="194"/>
      <c r="J489" s="194"/>
      <c r="K489" s="194"/>
      <c r="L489" s="194"/>
      <c r="M489" s="194"/>
      <c r="N489" s="194"/>
      <c r="O489" s="194"/>
      <c r="P489" s="194"/>
      <c r="Q489" s="194"/>
      <c r="R489" s="194"/>
      <c r="S489" s="194"/>
      <c r="T489" s="194"/>
      <c r="U489" s="194"/>
      <c r="V489" s="194"/>
      <c r="W489" s="194"/>
      <c r="X489" s="194"/>
      <c r="Y489" s="194"/>
      <c r="Z489" s="194"/>
      <c r="AA489" s="194"/>
      <c r="AB489" s="194"/>
      <c r="AC489" s="194"/>
      <c r="AD489" s="194"/>
      <c r="AE489" s="194"/>
      <c r="AF489" s="194"/>
    </row>
    <row r="490" spans="1:32" x14ac:dyDescent="0.25">
      <c r="A490" s="194"/>
      <c r="B490" s="194"/>
      <c r="C490" s="194"/>
      <c r="D490" s="194"/>
      <c r="E490" s="194"/>
      <c r="F490" s="194"/>
      <c r="G490" s="194"/>
      <c r="H490" s="194"/>
      <c r="I490" s="194"/>
      <c r="J490" s="194"/>
      <c r="K490" s="194"/>
      <c r="L490" s="194"/>
      <c r="M490" s="194"/>
      <c r="N490" s="194"/>
      <c r="O490" s="194"/>
      <c r="P490" s="194"/>
      <c r="Q490" s="194"/>
      <c r="R490" s="194"/>
      <c r="S490" s="194"/>
      <c r="T490" s="194"/>
      <c r="U490" s="194"/>
      <c r="V490" s="194"/>
      <c r="W490" s="194"/>
      <c r="X490" s="194"/>
      <c r="Y490" s="194"/>
      <c r="Z490" s="194"/>
      <c r="AA490" s="194"/>
      <c r="AB490" s="194"/>
      <c r="AC490" s="194"/>
      <c r="AD490" s="194"/>
      <c r="AE490" s="194"/>
      <c r="AF490" s="194"/>
    </row>
    <row r="491" spans="1:32" x14ac:dyDescent="0.25">
      <c r="A491" s="194"/>
      <c r="B491" s="194"/>
      <c r="C491" s="194"/>
      <c r="D491" s="194"/>
      <c r="E491" s="194"/>
      <c r="F491" s="194"/>
      <c r="G491" s="194"/>
      <c r="H491" s="194"/>
      <c r="I491" s="194"/>
      <c r="J491" s="194"/>
      <c r="K491" s="194"/>
      <c r="L491" s="194"/>
      <c r="M491" s="194"/>
      <c r="N491" s="194"/>
      <c r="O491" s="194"/>
      <c r="P491" s="194"/>
      <c r="Q491" s="194"/>
      <c r="R491" s="194"/>
      <c r="S491" s="194"/>
      <c r="T491" s="194"/>
      <c r="U491" s="194"/>
      <c r="V491" s="194"/>
      <c r="W491" s="194"/>
      <c r="X491" s="194"/>
      <c r="Y491" s="194"/>
      <c r="Z491" s="194"/>
      <c r="AA491" s="194"/>
      <c r="AB491" s="194"/>
      <c r="AC491" s="194"/>
      <c r="AD491" s="194"/>
      <c r="AE491" s="194"/>
      <c r="AF491" s="194"/>
    </row>
    <row r="492" spans="1:32" x14ac:dyDescent="0.25">
      <c r="A492" s="194"/>
      <c r="B492" s="194"/>
      <c r="C492" s="194"/>
      <c r="D492" s="194"/>
      <c r="E492" s="194"/>
      <c r="F492" s="194"/>
      <c r="G492" s="194"/>
      <c r="H492" s="194"/>
      <c r="I492" s="194"/>
      <c r="J492" s="194"/>
      <c r="K492" s="194"/>
      <c r="L492" s="194"/>
      <c r="M492" s="194"/>
      <c r="N492" s="194"/>
      <c r="O492" s="194"/>
      <c r="P492" s="194"/>
      <c r="Q492" s="194"/>
      <c r="R492" s="194"/>
      <c r="S492" s="194"/>
      <c r="T492" s="194"/>
      <c r="U492" s="194"/>
      <c r="V492" s="194"/>
      <c r="W492" s="194"/>
      <c r="X492" s="194"/>
      <c r="Y492" s="194"/>
      <c r="Z492" s="194"/>
      <c r="AA492" s="194"/>
      <c r="AB492" s="194"/>
      <c r="AC492" s="194"/>
      <c r="AD492" s="194"/>
      <c r="AE492" s="194"/>
      <c r="AF492" s="194"/>
    </row>
    <row r="493" spans="1:32" x14ac:dyDescent="0.25">
      <c r="A493" s="194"/>
      <c r="B493" s="194"/>
      <c r="C493" s="194"/>
      <c r="D493" s="194"/>
      <c r="E493" s="194"/>
      <c r="F493" s="194"/>
      <c r="G493" s="194"/>
      <c r="H493" s="194"/>
      <c r="I493" s="194"/>
      <c r="J493" s="194"/>
      <c r="K493" s="194"/>
      <c r="L493" s="194"/>
      <c r="M493" s="194"/>
      <c r="N493" s="194"/>
      <c r="O493" s="194"/>
      <c r="P493" s="194"/>
      <c r="Q493" s="194"/>
      <c r="R493" s="194"/>
      <c r="S493" s="194"/>
      <c r="T493" s="194"/>
      <c r="U493" s="194"/>
      <c r="V493" s="194"/>
      <c r="W493" s="194"/>
      <c r="X493" s="194"/>
      <c r="Y493" s="194"/>
      <c r="Z493" s="194"/>
      <c r="AA493" s="194"/>
      <c r="AB493" s="194"/>
      <c r="AC493" s="194"/>
      <c r="AD493" s="194"/>
      <c r="AE493" s="194"/>
      <c r="AF493" s="194"/>
    </row>
    <row r="494" spans="1:32" x14ac:dyDescent="0.25">
      <c r="A494" s="194"/>
      <c r="B494" s="194"/>
      <c r="C494" s="194"/>
      <c r="D494" s="194"/>
      <c r="E494" s="194"/>
      <c r="F494" s="194"/>
      <c r="G494" s="194"/>
      <c r="H494" s="194"/>
      <c r="I494" s="194"/>
      <c r="J494" s="194"/>
      <c r="K494" s="194"/>
      <c r="L494" s="194"/>
      <c r="M494" s="194"/>
      <c r="N494" s="194"/>
      <c r="O494" s="194"/>
      <c r="P494" s="194"/>
      <c r="Q494" s="194"/>
      <c r="R494" s="194"/>
      <c r="S494" s="194"/>
      <c r="T494" s="194"/>
      <c r="U494" s="194"/>
      <c r="V494" s="194"/>
      <c r="W494" s="194"/>
      <c r="X494" s="194"/>
      <c r="Y494" s="194"/>
      <c r="Z494" s="194"/>
      <c r="AA494" s="194"/>
      <c r="AB494" s="194"/>
      <c r="AC494" s="194"/>
      <c r="AD494" s="194"/>
      <c r="AE494" s="194"/>
      <c r="AF494" s="194"/>
    </row>
    <row r="495" spans="1:32" x14ac:dyDescent="0.25">
      <c r="A495" s="194"/>
      <c r="B495" s="194"/>
      <c r="C495" s="194"/>
      <c r="D495" s="194"/>
      <c r="E495" s="194"/>
      <c r="F495" s="194"/>
      <c r="G495" s="194"/>
      <c r="H495" s="194"/>
      <c r="I495" s="194"/>
      <c r="J495" s="194"/>
      <c r="K495" s="194"/>
      <c r="L495" s="194"/>
      <c r="M495" s="194"/>
      <c r="N495" s="194"/>
      <c r="O495" s="194"/>
      <c r="P495" s="194"/>
      <c r="Q495" s="194"/>
      <c r="R495" s="194"/>
      <c r="S495" s="194"/>
      <c r="T495" s="194"/>
      <c r="U495" s="194"/>
      <c r="V495" s="194"/>
      <c r="W495" s="194"/>
      <c r="X495" s="194"/>
      <c r="Y495" s="194"/>
      <c r="Z495" s="194"/>
      <c r="AA495" s="194"/>
      <c r="AB495" s="194"/>
      <c r="AC495" s="194"/>
      <c r="AD495" s="194"/>
      <c r="AE495" s="194"/>
      <c r="AF495" s="194"/>
    </row>
    <row r="496" spans="1:32" x14ac:dyDescent="0.25">
      <c r="A496" s="194"/>
      <c r="B496" s="194"/>
      <c r="C496" s="194"/>
      <c r="D496" s="194"/>
      <c r="E496" s="194"/>
      <c r="F496" s="194"/>
      <c r="G496" s="194"/>
      <c r="H496" s="194"/>
      <c r="I496" s="194"/>
      <c r="J496" s="194"/>
      <c r="K496" s="194"/>
      <c r="L496" s="194"/>
      <c r="M496" s="194"/>
      <c r="N496" s="194"/>
      <c r="O496" s="194"/>
      <c r="P496" s="194"/>
      <c r="Q496" s="194"/>
      <c r="R496" s="194"/>
      <c r="S496" s="194"/>
      <c r="T496" s="194"/>
      <c r="U496" s="194"/>
      <c r="V496" s="194"/>
      <c r="W496" s="194"/>
      <c r="X496" s="194"/>
      <c r="Y496" s="194"/>
      <c r="Z496" s="194"/>
      <c r="AA496" s="194"/>
      <c r="AB496" s="194"/>
      <c r="AC496" s="194"/>
      <c r="AD496" s="194"/>
      <c r="AE496" s="194"/>
      <c r="AF496" s="194"/>
    </row>
    <row r="497" spans="1:32" x14ac:dyDescent="0.25">
      <c r="A497" s="194"/>
      <c r="B497" s="194"/>
      <c r="C497" s="194"/>
      <c r="D497" s="194"/>
      <c r="E497" s="194"/>
      <c r="F497" s="194"/>
      <c r="G497" s="194"/>
      <c r="H497" s="194"/>
      <c r="I497" s="194"/>
      <c r="J497" s="194"/>
      <c r="K497" s="194"/>
      <c r="L497" s="194"/>
      <c r="M497" s="194"/>
      <c r="N497" s="194"/>
      <c r="O497" s="194"/>
      <c r="P497" s="194"/>
      <c r="Q497" s="194"/>
      <c r="R497" s="194"/>
      <c r="S497" s="194"/>
      <c r="T497" s="194"/>
      <c r="U497" s="194"/>
      <c r="V497" s="194"/>
      <c r="W497" s="194"/>
      <c r="X497" s="194"/>
      <c r="Y497" s="194"/>
      <c r="Z497" s="194"/>
      <c r="AA497" s="194"/>
      <c r="AB497" s="194"/>
      <c r="AC497" s="194"/>
      <c r="AD497" s="194"/>
      <c r="AE497" s="194"/>
      <c r="AF497" s="194"/>
    </row>
    <row r="498" spans="1:32" x14ac:dyDescent="0.25">
      <c r="A498" s="194"/>
      <c r="B498" s="194"/>
      <c r="C498" s="194"/>
      <c r="D498" s="194"/>
      <c r="E498" s="194"/>
      <c r="F498" s="194"/>
      <c r="G498" s="194"/>
      <c r="H498" s="194"/>
      <c r="I498" s="194"/>
      <c r="J498" s="194"/>
      <c r="K498" s="194"/>
      <c r="L498" s="194"/>
      <c r="M498" s="194"/>
      <c r="N498" s="194"/>
      <c r="O498" s="194"/>
      <c r="P498" s="194"/>
      <c r="Q498" s="194"/>
      <c r="R498" s="194"/>
      <c r="S498" s="194"/>
      <c r="T498" s="194"/>
      <c r="U498" s="194"/>
      <c r="V498" s="194"/>
      <c r="W498" s="194"/>
      <c r="X498" s="194"/>
      <c r="Y498" s="194"/>
      <c r="Z498" s="194"/>
      <c r="AA498" s="194"/>
      <c r="AB498" s="194"/>
      <c r="AC498" s="194"/>
      <c r="AD498" s="194"/>
      <c r="AE498" s="194"/>
      <c r="AF498" s="194"/>
    </row>
    <row r="499" spans="1:32" x14ac:dyDescent="0.25">
      <c r="A499" s="194"/>
      <c r="B499" s="194"/>
      <c r="C499" s="194"/>
      <c r="D499" s="194"/>
      <c r="E499" s="194"/>
      <c r="F499" s="194"/>
      <c r="G499" s="194"/>
      <c r="H499" s="194"/>
      <c r="I499" s="194"/>
      <c r="J499" s="194"/>
      <c r="K499" s="194"/>
      <c r="L499" s="194"/>
      <c r="M499" s="194"/>
      <c r="N499" s="194"/>
      <c r="O499" s="194"/>
      <c r="P499" s="194"/>
      <c r="Q499" s="194"/>
      <c r="R499" s="194"/>
      <c r="S499" s="194"/>
      <c r="T499" s="194"/>
      <c r="U499" s="194"/>
      <c r="V499" s="194"/>
      <c r="W499" s="194"/>
      <c r="X499" s="194"/>
      <c r="Y499" s="194"/>
      <c r="Z499" s="194"/>
      <c r="AA499" s="194"/>
      <c r="AB499" s="194"/>
      <c r="AC499" s="194"/>
      <c r="AD499" s="194"/>
      <c r="AE499" s="194"/>
      <c r="AF499" s="194"/>
    </row>
    <row r="500" spans="1:32" x14ac:dyDescent="0.25">
      <c r="A500" s="194"/>
      <c r="B500" s="194"/>
      <c r="C500" s="194"/>
      <c r="D500" s="194"/>
      <c r="E500" s="194"/>
      <c r="F500" s="194"/>
      <c r="G500" s="194"/>
      <c r="H500" s="194"/>
      <c r="I500" s="194"/>
      <c r="J500" s="194"/>
      <c r="K500" s="194"/>
      <c r="L500" s="194"/>
      <c r="M500" s="194"/>
      <c r="N500" s="194"/>
      <c r="O500" s="194"/>
      <c r="P500" s="194"/>
      <c r="Q500" s="194"/>
      <c r="R500" s="194"/>
      <c r="S500" s="194"/>
      <c r="T500" s="194"/>
      <c r="U500" s="194"/>
      <c r="V500" s="194"/>
      <c r="W500" s="194"/>
      <c r="X500" s="194"/>
      <c r="Y500" s="194"/>
      <c r="Z500" s="194"/>
      <c r="AA500" s="194"/>
      <c r="AB500" s="194"/>
      <c r="AC500" s="194"/>
      <c r="AD500" s="194"/>
      <c r="AE500" s="194"/>
      <c r="AF500" s="194"/>
    </row>
    <row r="501" spans="1:32" x14ac:dyDescent="0.25">
      <c r="A501" s="194"/>
      <c r="B501" s="194"/>
      <c r="C501" s="194"/>
      <c r="D501" s="194"/>
      <c r="E501" s="194"/>
      <c r="F501" s="194"/>
      <c r="G501" s="194"/>
      <c r="H501" s="194"/>
      <c r="I501" s="194"/>
      <c r="J501" s="194"/>
      <c r="K501" s="194"/>
      <c r="L501" s="194"/>
      <c r="M501" s="194"/>
      <c r="N501" s="194"/>
      <c r="O501" s="194"/>
      <c r="P501" s="194"/>
      <c r="Q501" s="194"/>
      <c r="R501" s="194"/>
      <c r="S501" s="194"/>
      <c r="T501" s="194"/>
      <c r="U501" s="194"/>
      <c r="V501" s="194"/>
      <c r="W501" s="194"/>
      <c r="X501" s="194"/>
      <c r="Y501" s="194"/>
      <c r="Z501" s="194"/>
      <c r="AA501" s="194"/>
      <c r="AB501" s="194"/>
      <c r="AC501" s="194"/>
      <c r="AD501" s="194"/>
      <c r="AE501" s="194"/>
      <c r="AF501" s="194"/>
    </row>
    <row r="502" spans="1:32" x14ac:dyDescent="0.25">
      <c r="A502" s="194"/>
      <c r="B502" s="194"/>
      <c r="C502" s="194"/>
      <c r="D502" s="194"/>
      <c r="E502" s="194"/>
      <c r="F502" s="194"/>
      <c r="G502" s="194"/>
      <c r="H502" s="194"/>
      <c r="I502" s="194"/>
      <c r="J502" s="194"/>
      <c r="K502" s="194"/>
      <c r="L502" s="194"/>
      <c r="M502" s="194"/>
      <c r="N502" s="194"/>
      <c r="O502" s="194"/>
      <c r="P502" s="194"/>
      <c r="Q502" s="194"/>
      <c r="R502" s="194"/>
      <c r="S502" s="194"/>
      <c r="T502" s="194"/>
      <c r="U502" s="194"/>
      <c r="V502" s="194"/>
      <c r="W502" s="194"/>
      <c r="X502" s="194"/>
      <c r="Y502" s="194"/>
      <c r="Z502" s="194"/>
      <c r="AA502" s="194"/>
      <c r="AB502" s="194"/>
      <c r="AC502" s="194"/>
      <c r="AD502" s="194"/>
      <c r="AE502" s="194"/>
      <c r="AF502" s="194"/>
    </row>
    <row r="503" spans="1:32" x14ac:dyDescent="0.25">
      <c r="A503" s="194"/>
      <c r="B503" s="194"/>
      <c r="C503" s="194"/>
      <c r="D503" s="194"/>
      <c r="E503" s="194"/>
      <c r="F503" s="194"/>
      <c r="G503" s="194"/>
      <c r="H503" s="194"/>
      <c r="I503" s="194"/>
      <c r="J503" s="194"/>
      <c r="K503" s="194"/>
      <c r="L503" s="194"/>
      <c r="M503" s="194"/>
      <c r="N503" s="194"/>
      <c r="O503" s="194"/>
      <c r="P503" s="194"/>
      <c r="Q503" s="194"/>
      <c r="R503" s="194"/>
      <c r="S503" s="194"/>
      <c r="T503" s="194"/>
      <c r="U503" s="194"/>
      <c r="V503" s="194"/>
      <c r="W503" s="194"/>
      <c r="X503" s="194"/>
      <c r="Y503" s="194"/>
      <c r="Z503" s="194"/>
      <c r="AA503" s="194"/>
      <c r="AB503" s="194"/>
      <c r="AC503" s="194"/>
      <c r="AD503" s="194"/>
      <c r="AE503" s="194"/>
      <c r="AF503" s="194"/>
    </row>
    <row r="504" spans="1:32" x14ac:dyDescent="0.25">
      <c r="A504" s="194"/>
      <c r="B504" s="194"/>
      <c r="C504" s="194"/>
      <c r="D504" s="194"/>
      <c r="E504" s="194"/>
      <c r="F504" s="194"/>
      <c r="G504" s="194"/>
      <c r="H504" s="194"/>
      <c r="I504" s="194"/>
      <c r="J504" s="194"/>
      <c r="K504" s="194"/>
      <c r="L504" s="194"/>
      <c r="M504" s="194"/>
      <c r="N504" s="194"/>
      <c r="O504" s="194"/>
      <c r="P504" s="194"/>
      <c r="Q504" s="194"/>
      <c r="R504" s="194"/>
      <c r="S504" s="194"/>
      <c r="T504" s="194"/>
      <c r="U504" s="194"/>
      <c r="V504" s="194"/>
      <c r="W504" s="194"/>
      <c r="X504" s="194"/>
      <c r="Y504" s="194"/>
      <c r="Z504" s="194"/>
      <c r="AA504" s="194"/>
      <c r="AB504" s="194"/>
      <c r="AC504" s="194"/>
      <c r="AD504" s="194"/>
      <c r="AE504" s="194"/>
      <c r="AF504" s="194"/>
    </row>
    <row r="505" spans="1:32" x14ac:dyDescent="0.25">
      <c r="A505" s="194"/>
      <c r="B505" s="194"/>
      <c r="C505" s="194"/>
      <c r="D505" s="194"/>
      <c r="E505" s="194"/>
      <c r="F505" s="194"/>
      <c r="G505" s="194"/>
      <c r="H505" s="194"/>
      <c r="I505" s="194"/>
      <c r="J505" s="194"/>
      <c r="K505" s="194"/>
      <c r="L505" s="194"/>
      <c r="M505" s="194"/>
      <c r="N505" s="194"/>
      <c r="O505" s="194"/>
      <c r="P505" s="194"/>
      <c r="Q505" s="194"/>
      <c r="R505" s="194"/>
      <c r="S505" s="194"/>
      <c r="T505" s="194"/>
      <c r="U505" s="194"/>
      <c r="V505" s="194"/>
      <c r="W505" s="194"/>
      <c r="X505" s="194"/>
      <c r="Y505" s="194"/>
      <c r="Z505" s="194"/>
      <c r="AA505" s="194"/>
      <c r="AB505" s="194"/>
      <c r="AC505" s="194"/>
      <c r="AD505" s="194"/>
      <c r="AE505" s="194"/>
      <c r="AF505" s="194"/>
    </row>
    <row r="506" spans="1:32" x14ac:dyDescent="0.25">
      <c r="A506" s="194"/>
      <c r="B506" s="194"/>
      <c r="C506" s="194"/>
      <c r="D506" s="194"/>
      <c r="E506" s="194"/>
      <c r="F506" s="194"/>
      <c r="G506" s="194"/>
      <c r="H506" s="194"/>
      <c r="I506" s="194"/>
      <c r="J506" s="194"/>
      <c r="K506" s="194"/>
      <c r="L506" s="194"/>
      <c r="M506" s="194"/>
      <c r="N506" s="194"/>
      <c r="O506" s="194"/>
      <c r="P506" s="194"/>
      <c r="Q506" s="194"/>
      <c r="R506" s="194"/>
      <c r="S506" s="194"/>
      <c r="T506" s="194"/>
      <c r="U506" s="194"/>
      <c r="V506" s="194"/>
      <c r="W506" s="194"/>
      <c r="X506" s="194"/>
      <c r="Y506" s="194"/>
      <c r="Z506" s="194"/>
      <c r="AA506" s="194"/>
      <c r="AB506" s="194"/>
      <c r="AC506" s="194"/>
      <c r="AD506" s="194"/>
      <c r="AE506" s="194"/>
      <c r="AF506" s="194"/>
    </row>
    <row r="507" spans="1:32" x14ac:dyDescent="0.25">
      <c r="A507" s="194"/>
      <c r="B507" s="194"/>
      <c r="C507" s="194"/>
      <c r="D507" s="194"/>
      <c r="E507" s="194"/>
      <c r="F507" s="194"/>
      <c r="G507" s="194"/>
      <c r="H507" s="194"/>
      <c r="I507" s="194"/>
      <c r="J507" s="194"/>
      <c r="K507" s="194"/>
      <c r="L507" s="194"/>
      <c r="M507" s="194"/>
      <c r="N507" s="194"/>
      <c r="O507" s="194"/>
      <c r="P507" s="194"/>
      <c r="Q507" s="194"/>
      <c r="R507" s="194"/>
      <c r="S507" s="194"/>
      <c r="T507" s="194"/>
      <c r="U507" s="194"/>
      <c r="V507" s="194"/>
      <c r="W507" s="194"/>
      <c r="X507" s="194"/>
      <c r="Y507" s="194"/>
      <c r="Z507" s="194"/>
      <c r="AA507" s="194"/>
      <c r="AB507" s="194"/>
      <c r="AC507" s="194"/>
      <c r="AD507" s="194"/>
      <c r="AE507" s="194"/>
      <c r="AF507" s="194"/>
    </row>
    <row r="508" spans="1:32" x14ac:dyDescent="0.25">
      <c r="A508" s="194"/>
      <c r="B508" s="194"/>
      <c r="C508" s="194"/>
      <c r="D508" s="194"/>
      <c r="E508" s="194"/>
      <c r="F508" s="194"/>
      <c r="G508" s="194"/>
      <c r="H508" s="194"/>
      <c r="I508" s="194"/>
      <c r="J508" s="194"/>
      <c r="K508" s="194"/>
      <c r="L508" s="194"/>
      <c r="M508" s="194"/>
      <c r="N508" s="194"/>
      <c r="O508" s="194"/>
      <c r="P508" s="194"/>
      <c r="Q508" s="194"/>
      <c r="R508" s="194"/>
      <c r="S508" s="194"/>
      <c r="T508" s="194"/>
      <c r="U508" s="194"/>
      <c r="V508" s="194"/>
      <c r="W508" s="194"/>
      <c r="X508" s="194"/>
      <c r="Y508" s="194"/>
      <c r="Z508" s="194"/>
      <c r="AA508" s="194"/>
      <c r="AB508" s="194"/>
      <c r="AC508" s="194"/>
      <c r="AD508" s="194"/>
      <c r="AE508" s="194"/>
      <c r="AF508" s="194"/>
    </row>
    <row r="509" spans="1:32" x14ac:dyDescent="0.25">
      <c r="A509" s="194"/>
      <c r="B509" s="194"/>
      <c r="C509" s="194"/>
      <c r="D509" s="194"/>
      <c r="E509" s="194"/>
      <c r="F509" s="194"/>
      <c r="G509" s="194"/>
      <c r="H509" s="194"/>
      <c r="I509" s="194"/>
      <c r="J509" s="194"/>
      <c r="K509" s="194"/>
      <c r="L509" s="194"/>
      <c r="M509" s="194"/>
      <c r="N509" s="194"/>
      <c r="O509" s="194"/>
      <c r="P509" s="194"/>
      <c r="Q509" s="194"/>
      <c r="R509" s="194"/>
      <c r="S509" s="194"/>
      <c r="T509" s="194"/>
      <c r="U509" s="194"/>
      <c r="V509" s="194"/>
      <c r="W509" s="194"/>
      <c r="X509" s="194"/>
      <c r="Y509" s="194"/>
      <c r="Z509" s="194"/>
      <c r="AA509" s="194"/>
      <c r="AB509" s="194"/>
      <c r="AC509" s="194"/>
      <c r="AD509" s="194"/>
      <c r="AE509" s="194"/>
      <c r="AF509" s="194"/>
    </row>
    <row r="510" spans="1:32" x14ac:dyDescent="0.25">
      <c r="A510" s="194"/>
      <c r="B510" s="194"/>
      <c r="C510" s="194"/>
      <c r="D510" s="194"/>
      <c r="E510" s="194"/>
      <c r="F510" s="194"/>
      <c r="G510" s="194"/>
      <c r="H510" s="194"/>
      <c r="I510" s="194"/>
      <c r="J510" s="194"/>
      <c r="K510" s="194"/>
      <c r="L510" s="194"/>
      <c r="M510" s="194"/>
      <c r="N510" s="194"/>
      <c r="O510" s="194"/>
      <c r="P510" s="194"/>
      <c r="Q510" s="194"/>
      <c r="R510" s="194"/>
      <c r="S510" s="194"/>
      <c r="T510" s="194"/>
      <c r="U510" s="194"/>
      <c r="V510" s="194"/>
      <c r="W510" s="194"/>
      <c r="X510" s="194"/>
      <c r="Y510" s="194"/>
      <c r="Z510" s="194"/>
      <c r="AA510" s="194"/>
      <c r="AB510" s="194"/>
      <c r="AC510" s="194"/>
      <c r="AD510" s="194"/>
      <c r="AE510" s="194"/>
      <c r="AF510" s="194"/>
    </row>
    <row r="511" spans="1:32" x14ac:dyDescent="0.25">
      <c r="A511" s="194"/>
      <c r="B511" s="194"/>
      <c r="C511" s="194"/>
      <c r="D511" s="194"/>
      <c r="E511" s="194"/>
      <c r="F511" s="194"/>
      <c r="G511" s="194"/>
      <c r="H511" s="194"/>
      <c r="I511" s="194"/>
      <c r="J511" s="194"/>
      <c r="K511" s="194"/>
      <c r="L511" s="194"/>
      <c r="M511" s="194"/>
      <c r="N511" s="194"/>
      <c r="O511" s="194"/>
      <c r="P511" s="194"/>
      <c r="Q511" s="194"/>
      <c r="R511" s="194"/>
      <c r="S511" s="194"/>
      <c r="T511" s="194"/>
      <c r="U511" s="194"/>
      <c r="V511" s="194"/>
      <c r="W511" s="194"/>
      <c r="X511" s="194"/>
      <c r="Y511" s="194"/>
      <c r="Z511" s="194"/>
      <c r="AA511" s="194"/>
      <c r="AB511" s="194"/>
      <c r="AC511" s="194"/>
      <c r="AD511" s="194"/>
      <c r="AE511" s="194"/>
      <c r="AF511" s="194"/>
    </row>
    <row r="512" spans="1:32" x14ac:dyDescent="0.25">
      <c r="A512" s="194"/>
      <c r="B512" s="194"/>
      <c r="C512" s="194"/>
      <c r="D512" s="194"/>
      <c r="E512" s="194"/>
      <c r="F512" s="194"/>
      <c r="G512" s="194"/>
      <c r="H512" s="194"/>
      <c r="I512" s="194"/>
      <c r="J512" s="194"/>
      <c r="K512" s="194"/>
      <c r="L512" s="194"/>
      <c r="M512" s="194"/>
      <c r="N512" s="194"/>
      <c r="O512" s="194"/>
      <c r="P512" s="194"/>
      <c r="Q512" s="194"/>
      <c r="R512" s="194"/>
      <c r="S512" s="194"/>
      <c r="T512" s="194"/>
      <c r="U512" s="194"/>
      <c r="V512" s="194"/>
      <c r="W512" s="194"/>
      <c r="X512" s="194"/>
      <c r="Y512" s="194"/>
      <c r="Z512" s="194"/>
      <c r="AA512" s="194"/>
      <c r="AB512" s="194"/>
      <c r="AC512" s="194"/>
      <c r="AD512" s="194"/>
      <c r="AE512" s="194"/>
      <c r="AF512" s="194"/>
    </row>
    <row r="513" spans="1:32" x14ac:dyDescent="0.25">
      <c r="A513" s="194"/>
      <c r="B513" s="194"/>
      <c r="C513" s="194"/>
      <c r="D513" s="194"/>
      <c r="E513" s="194"/>
      <c r="F513" s="194"/>
      <c r="G513" s="194"/>
      <c r="H513" s="194"/>
      <c r="I513" s="194"/>
      <c r="J513" s="194"/>
      <c r="K513" s="194"/>
      <c r="L513" s="194"/>
      <c r="M513" s="194"/>
      <c r="N513" s="194"/>
      <c r="O513" s="194"/>
      <c r="P513" s="194"/>
      <c r="Q513" s="194"/>
      <c r="R513" s="194"/>
      <c r="S513" s="194"/>
      <c r="T513" s="194"/>
      <c r="U513" s="194"/>
      <c r="V513" s="194"/>
      <c r="W513" s="194"/>
      <c r="X513" s="194"/>
      <c r="Y513" s="194"/>
      <c r="Z513" s="194"/>
      <c r="AA513" s="194"/>
      <c r="AB513" s="194"/>
      <c r="AC513" s="194"/>
      <c r="AD513" s="194"/>
      <c r="AE513" s="194"/>
      <c r="AF513" s="194"/>
    </row>
    <row r="514" spans="1:32" x14ac:dyDescent="0.25">
      <c r="A514" s="194"/>
      <c r="B514" s="194"/>
      <c r="C514" s="194"/>
      <c r="D514" s="194"/>
      <c r="E514" s="194"/>
      <c r="F514" s="194"/>
      <c r="G514" s="194"/>
      <c r="H514" s="194"/>
      <c r="I514" s="194"/>
      <c r="J514" s="194"/>
      <c r="K514" s="194"/>
      <c r="L514" s="194"/>
      <c r="M514" s="194"/>
      <c r="N514" s="194"/>
      <c r="O514" s="194"/>
      <c r="P514" s="194"/>
      <c r="Q514" s="194"/>
      <c r="R514" s="194"/>
      <c r="S514" s="194"/>
      <c r="T514" s="194"/>
      <c r="U514" s="194"/>
      <c r="V514" s="194"/>
      <c r="W514" s="194"/>
      <c r="X514" s="194"/>
      <c r="Y514" s="194"/>
      <c r="Z514" s="194"/>
      <c r="AA514" s="194"/>
      <c r="AB514" s="194"/>
      <c r="AC514" s="194"/>
      <c r="AD514" s="194"/>
      <c r="AE514" s="194"/>
      <c r="AF514" s="194"/>
    </row>
    <row r="515" spans="1:32" x14ac:dyDescent="0.25">
      <c r="A515" s="194"/>
      <c r="B515" s="194"/>
      <c r="C515" s="194"/>
      <c r="D515" s="194"/>
      <c r="E515" s="194"/>
      <c r="F515" s="194"/>
      <c r="G515" s="194"/>
      <c r="H515" s="194"/>
      <c r="I515" s="194"/>
      <c r="J515" s="194"/>
      <c r="K515" s="194"/>
      <c r="L515" s="194"/>
      <c r="M515" s="194"/>
      <c r="N515" s="194"/>
      <c r="O515" s="194"/>
      <c r="P515" s="194"/>
      <c r="Q515" s="194"/>
      <c r="R515" s="194"/>
      <c r="S515" s="194"/>
      <c r="T515" s="194"/>
      <c r="U515" s="194"/>
      <c r="V515" s="194"/>
      <c r="W515" s="194"/>
      <c r="X515" s="194"/>
      <c r="Y515" s="194"/>
      <c r="Z515" s="194"/>
      <c r="AA515" s="194"/>
      <c r="AB515" s="194"/>
      <c r="AC515" s="194"/>
      <c r="AD515" s="194"/>
      <c r="AE515" s="194"/>
      <c r="AF515" s="194"/>
    </row>
    <row r="516" spans="1:32" x14ac:dyDescent="0.25">
      <c r="A516" s="194"/>
      <c r="B516" s="194"/>
      <c r="C516" s="194"/>
      <c r="D516" s="194"/>
      <c r="E516" s="194"/>
      <c r="F516" s="194"/>
      <c r="G516" s="194"/>
      <c r="H516" s="194"/>
      <c r="I516" s="194"/>
      <c r="J516" s="194"/>
      <c r="K516" s="194"/>
      <c r="L516" s="194"/>
      <c r="M516" s="194"/>
      <c r="N516" s="194"/>
      <c r="O516" s="194"/>
      <c r="P516" s="194"/>
      <c r="Q516" s="194"/>
      <c r="R516" s="194"/>
      <c r="S516" s="194"/>
      <c r="T516" s="194"/>
      <c r="U516" s="194"/>
      <c r="V516" s="194"/>
      <c r="W516" s="194"/>
      <c r="X516" s="194"/>
      <c r="Y516" s="194"/>
      <c r="Z516" s="194"/>
      <c r="AA516" s="194"/>
      <c r="AB516" s="194"/>
      <c r="AC516" s="194"/>
      <c r="AD516" s="194"/>
      <c r="AE516" s="194"/>
      <c r="AF516" s="194"/>
    </row>
    <row r="517" spans="1:32" x14ac:dyDescent="0.25">
      <c r="A517" s="194"/>
      <c r="B517" s="194"/>
      <c r="C517" s="194"/>
      <c r="D517" s="194"/>
      <c r="E517" s="194"/>
      <c r="F517" s="194"/>
      <c r="G517" s="194"/>
      <c r="H517" s="194"/>
      <c r="I517" s="194"/>
      <c r="J517" s="194"/>
      <c r="K517" s="194"/>
      <c r="L517" s="194"/>
      <c r="M517" s="194"/>
      <c r="N517" s="194"/>
      <c r="O517" s="194"/>
      <c r="P517" s="194"/>
      <c r="Q517" s="194"/>
      <c r="R517" s="194"/>
      <c r="S517" s="194"/>
      <c r="T517" s="194"/>
      <c r="U517" s="194"/>
      <c r="V517" s="194"/>
      <c r="W517" s="194"/>
      <c r="X517" s="194"/>
      <c r="Y517" s="194"/>
      <c r="Z517" s="194"/>
      <c r="AA517" s="194"/>
      <c r="AB517" s="194"/>
      <c r="AC517" s="194"/>
      <c r="AD517" s="194"/>
      <c r="AE517" s="194"/>
      <c r="AF517" s="194"/>
    </row>
    <row r="518" spans="1:32" x14ac:dyDescent="0.25">
      <c r="A518" s="194"/>
      <c r="B518" s="194"/>
      <c r="C518" s="194"/>
      <c r="D518" s="194"/>
      <c r="E518" s="194"/>
      <c r="F518" s="194"/>
      <c r="G518" s="194"/>
      <c r="H518" s="194"/>
      <c r="I518" s="194"/>
      <c r="J518" s="194"/>
      <c r="K518" s="194"/>
      <c r="L518" s="194"/>
      <c r="M518" s="194"/>
      <c r="N518" s="194"/>
      <c r="O518" s="194"/>
      <c r="P518" s="194"/>
      <c r="Q518" s="194"/>
      <c r="R518" s="194"/>
      <c r="S518" s="194"/>
      <c r="T518" s="194"/>
      <c r="U518" s="194"/>
      <c r="V518" s="194"/>
      <c r="W518" s="194"/>
      <c r="X518" s="194"/>
      <c r="Y518" s="194"/>
      <c r="Z518" s="194"/>
      <c r="AA518" s="194"/>
      <c r="AB518" s="194"/>
      <c r="AC518" s="194"/>
      <c r="AD518" s="194"/>
      <c r="AE518" s="194"/>
      <c r="AF518" s="194"/>
    </row>
    <row r="519" spans="1:32" x14ac:dyDescent="0.25">
      <c r="A519" s="194"/>
      <c r="B519" s="194"/>
      <c r="C519" s="194"/>
      <c r="D519" s="194"/>
      <c r="E519" s="194"/>
      <c r="F519" s="194"/>
      <c r="G519" s="194"/>
      <c r="H519" s="194"/>
      <c r="I519" s="194"/>
      <c r="J519" s="194"/>
      <c r="K519" s="194"/>
      <c r="L519" s="194"/>
      <c r="M519" s="194"/>
      <c r="N519" s="194"/>
      <c r="O519" s="194"/>
      <c r="P519" s="194"/>
      <c r="Q519" s="194"/>
      <c r="R519" s="194"/>
      <c r="S519" s="194"/>
      <c r="T519" s="194"/>
      <c r="U519" s="194"/>
      <c r="V519" s="194"/>
      <c r="W519" s="194"/>
      <c r="X519" s="194"/>
      <c r="Y519" s="194"/>
      <c r="Z519" s="194"/>
      <c r="AA519" s="194"/>
      <c r="AB519" s="194"/>
      <c r="AC519" s="194"/>
      <c r="AD519" s="194"/>
      <c r="AE519" s="194"/>
      <c r="AF519" s="194"/>
    </row>
    <row r="520" spans="1:32" x14ac:dyDescent="0.25">
      <c r="A520" s="194"/>
      <c r="B520" s="194"/>
      <c r="C520" s="194"/>
      <c r="D520" s="194"/>
      <c r="E520" s="194"/>
      <c r="F520" s="194"/>
      <c r="G520" s="194"/>
      <c r="H520" s="194"/>
      <c r="I520" s="194"/>
      <c r="J520" s="194"/>
      <c r="K520" s="194"/>
      <c r="L520" s="194"/>
      <c r="M520" s="194"/>
      <c r="N520" s="194"/>
      <c r="O520" s="194"/>
      <c r="P520" s="194"/>
      <c r="Q520" s="194"/>
      <c r="R520" s="194"/>
      <c r="S520" s="194"/>
      <c r="T520" s="194"/>
      <c r="U520" s="194"/>
      <c r="V520" s="194"/>
      <c r="W520" s="194"/>
      <c r="X520" s="194"/>
      <c r="Y520" s="194"/>
      <c r="Z520" s="194"/>
      <c r="AA520" s="194"/>
      <c r="AB520" s="194"/>
      <c r="AC520" s="194"/>
      <c r="AD520" s="194"/>
      <c r="AE520" s="194"/>
      <c r="AF520" s="194"/>
    </row>
    <row r="521" spans="1:32" x14ac:dyDescent="0.25">
      <c r="A521" s="194"/>
      <c r="B521" s="194"/>
      <c r="C521" s="194"/>
      <c r="D521" s="194"/>
      <c r="E521" s="194"/>
      <c r="F521" s="194"/>
      <c r="G521" s="194"/>
      <c r="H521" s="194"/>
      <c r="I521" s="194"/>
      <c r="J521" s="194"/>
      <c r="K521" s="194"/>
      <c r="L521" s="194"/>
      <c r="M521" s="194"/>
      <c r="N521" s="194"/>
      <c r="O521" s="194"/>
      <c r="P521" s="194"/>
      <c r="Q521" s="194"/>
      <c r="R521" s="194"/>
      <c r="S521" s="194"/>
      <c r="T521" s="194"/>
      <c r="U521" s="194"/>
      <c r="V521" s="194"/>
      <c r="W521" s="194"/>
      <c r="X521" s="194"/>
      <c r="Y521" s="194"/>
      <c r="Z521" s="194"/>
      <c r="AA521" s="194"/>
      <c r="AB521" s="194"/>
      <c r="AC521" s="194"/>
      <c r="AD521" s="194"/>
      <c r="AE521" s="194"/>
      <c r="AF521" s="194"/>
    </row>
    <row r="522" spans="1:32" x14ac:dyDescent="0.25">
      <c r="A522" s="194"/>
      <c r="B522" s="194"/>
      <c r="C522" s="194"/>
      <c r="D522" s="194"/>
      <c r="E522" s="194"/>
      <c r="F522" s="194"/>
      <c r="G522" s="194"/>
      <c r="H522" s="194"/>
      <c r="I522" s="194"/>
      <c r="J522" s="194"/>
      <c r="K522" s="194"/>
      <c r="L522" s="194"/>
      <c r="M522" s="194"/>
      <c r="N522" s="194"/>
      <c r="O522" s="194"/>
      <c r="P522" s="194"/>
      <c r="Q522" s="194"/>
      <c r="R522" s="194"/>
      <c r="S522" s="194"/>
      <c r="T522" s="194"/>
      <c r="U522" s="194"/>
      <c r="V522" s="194"/>
      <c r="W522" s="194"/>
      <c r="X522" s="194"/>
      <c r="Y522" s="194"/>
      <c r="Z522" s="194"/>
      <c r="AA522" s="194"/>
      <c r="AB522" s="194"/>
      <c r="AC522" s="194"/>
      <c r="AD522" s="194"/>
      <c r="AE522" s="194"/>
      <c r="AF522" s="194"/>
    </row>
    <row r="523" spans="1:32" x14ac:dyDescent="0.25">
      <c r="A523" s="194"/>
      <c r="B523" s="194"/>
      <c r="C523" s="194"/>
      <c r="D523" s="194"/>
      <c r="E523" s="194"/>
      <c r="F523" s="194"/>
      <c r="G523" s="194"/>
      <c r="H523" s="194"/>
      <c r="I523" s="194"/>
      <c r="J523" s="194"/>
      <c r="K523" s="194"/>
      <c r="L523" s="194"/>
      <c r="M523" s="194"/>
      <c r="N523" s="194"/>
      <c r="O523" s="194"/>
      <c r="P523" s="194"/>
      <c r="Q523" s="194"/>
      <c r="R523" s="194"/>
      <c r="S523" s="194"/>
      <c r="T523" s="194"/>
      <c r="U523" s="194"/>
      <c r="V523" s="194"/>
      <c r="W523" s="194"/>
      <c r="X523" s="194"/>
      <c r="Y523" s="194"/>
      <c r="Z523" s="194"/>
      <c r="AA523" s="194"/>
      <c r="AB523" s="194"/>
      <c r="AC523" s="194"/>
      <c r="AD523" s="194"/>
      <c r="AE523" s="194"/>
      <c r="AF523" s="194"/>
    </row>
    <row r="524" spans="1:32" x14ac:dyDescent="0.25">
      <c r="A524" s="194"/>
      <c r="B524" s="194"/>
      <c r="C524" s="194"/>
      <c r="D524" s="194"/>
      <c r="E524" s="194"/>
      <c r="F524" s="194"/>
      <c r="G524" s="194"/>
      <c r="H524" s="194"/>
      <c r="I524" s="194"/>
      <c r="J524" s="194"/>
      <c r="K524" s="194"/>
      <c r="L524" s="194"/>
      <c r="M524" s="194"/>
      <c r="N524" s="194"/>
      <c r="O524" s="194"/>
      <c r="P524" s="194"/>
      <c r="Q524" s="194"/>
      <c r="R524" s="194"/>
      <c r="S524" s="194"/>
      <c r="T524" s="194"/>
      <c r="U524" s="194"/>
      <c r="V524" s="194"/>
      <c r="W524" s="194"/>
      <c r="X524" s="194"/>
      <c r="Y524" s="194"/>
      <c r="Z524" s="194"/>
      <c r="AA524" s="194"/>
      <c r="AB524" s="194"/>
      <c r="AC524" s="194"/>
      <c r="AD524" s="194"/>
      <c r="AE524" s="194"/>
      <c r="AF524" s="194"/>
    </row>
    <row r="525" spans="1:32" x14ac:dyDescent="0.25">
      <c r="A525" s="194"/>
      <c r="B525" s="194"/>
      <c r="C525" s="194"/>
      <c r="D525" s="194"/>
      <c r="E525" s="194"/>
      <c r="F525" s="194"/>
      <c r="G525" s="194"/>
      <c r="H525" s="194"/>
      <c r="I525" s="194"/>
      <c r="J525" s="194"/>
      <c r="K525" s="194"/>
      <c r="L525" s="194"/>
      <c r="M525" s="194"/>
      <c r="N525" s="194"/>
      <c r="O525" s="194"/>
      <c r="P525" s="194"/>
      <c r="Q525" s="194"/>
      <c r="R525" s="194"/>
      <c r="S525" s="194"/>
      <c r="T525" s="194"/>
      <c r="U525" s="194"/>
      <c r="V525" s="194"/>
      <c r="W525" s="194"/>
      <c r="X525" s="194"/>
      <c r="Y525" s="194"/>
      <c r="Z525" s="194"/>
      <c r="AA525" s="194"/>
      <c r="AB525" s="194"/>
      <c r="AC525" s="194"/>
      <c r="AD525" s="194"/>
      <c r="AE525" s="194"/>
      <c r="AF525" s="194"/>
    </row>
    <row r="526" spans="1:32" x14ac:dyDescent="0.25">
      <c r="A526" s="194"/>
      <c r="B526" s="194"/>
      <c r="C526" s="194"/>
      <c r="D526" s="194"/>
      <c r="E526" s="194"/>
      <c r="F526" s="194"/>
      <c r="G526" s="194"/>
      <c r="H526" s="194"/>
      <c r="I526" s="194"/>
      <c r="J526" s="194"/>
      <c r="K526" s="194"/>
      <c r="L526" s="194"/>
      <c r="M526" s="194"/>
      <c r="N526" s="194"/>
      <c r="O526" s="194"/>
      <c r="P526" s="194"/>
      <c r="Q526" s="194"/>
      <c r="R526" s="194"/>
      <c r="S526" s="194"/>
      <c r="T526" s="194"/>
      <c r="U526" s="194"/>
      <c r="V526" s="194"/>
      <c r="W526" s="194"/>
      <c r="X526" s="194"/>
      <c r="Y526" s="194"/>
      <c r="Z526" s="194"/>
      <c r="AA526" s="194"/>
      <c r="AB526" s="194"/>
      <c r="AC526" s="194"/>
      <c r="AD526" s="194"/>
      <c r="AE526" s="194"/>
      <c r="AF526" s="194"/>
    </row>
    <row r="527" spans="1:32" x14ac:dyDescent="0.25">
      <c r="A527" s="194"/>
      <c r="B527" s="194"/>
      <c r="C527" s="194"/>
      <c r="D527" s="194"/>
      <c r="E527" s="194"/>
      <c r="F527" s="194"/>
      <c r="G527" s="194"/>
      <c r="H527" s="194"/>
      <c r="I527" s="194"/>
      <c r="J527" s="194"/>
      <c r="K527" s="194"/>
      <c r="L527" s="194"/>
      <c r="M527" s="194"/>
      <c r="N527" s="194"/>
      <c r="O527" s="194"/>
      <c r="P527" s="194"/>
      <c r="Q527" s="194"/>
      <c r="R527" s="194"/>
      <c r="S527" s="194"/>
      <c r="T527" s="194"/>
      <c r="U527" s="194"/>
      <c r="V527" s="194"/>
      <c r="W527" s="194"/>
      <c r="X527" s="194"/>
      <c r="Y527" s="194"/>
      <c r="Z527" s="194"/>
      <c r="AA527" s="194"/>
      <c r="AB527" s="194"/>
      <c r="AC527" s="194"/>
      <c r="AD527" s="194"/>
      <c r="AE527" s="194"/>
      <c r="AF527" s="194"/>
    </row>
    <row r="528" spans="1:32" x14ac:dyDescent="0.25">
      <c r="A528" s="194"/>
      <c r="B528" s="194"/>
      <c r="C528" s="194"/>
      <c r="D528" s="194"/>
      <c r="E528" s="194"/>
      <c r="F528" s="194"/>
      <c r="G528" s="194"/>
      <c r="H528" s="194"/>
      <c r="I528" s="194"/>
      <c r="J528" s="194"/>
      <c r="K528" s="194"/>
      <c r="L528" s="194"/>
      <c r="M528" s="194"/>
      <c r="N528" s="194"/>
      <c r="O528" s="194"/>
      <c r="P528" s="194"/>
      <c r="Q528" s="194"/>
      <c r="R528" s="194"/>
      <c r="S528" s="194"/>
      <c r="T528" s="194"/>
      <c r="U528" s="194"/>
      <c r="V528" s="194"/>
      <c r="W528" s="194"/>
      <c r="X528" s="194"/>
      <c r="Y528" s="194"/>
      <c r="Z528" s="194"/>
      <c r="AA528" s="194"/>
      <c r="AB528" s="194"/>
      <c r="AC528" s="194"/>
      <c r="AD528" s="194"/>
      <c r="AE528" s="194"/>
      <c r="AF528" s="194"/>
    </row>
    <row r="529" spans="1:32" x14ac:dyDescent="0.25">
      <c r="A529" s="194"/>
      <c r="B529" s="194"/>
      <c r="C529" s="194"/>
      <c r="D529" s="194"/>
      <c r="E529" s="194"/>
      <c r="F529" s="194"/>
      <c r="G529" s="194"/>
      <c r="H529" s="194"/>
      <c r="I529" s="194"/>
      <c r="J529" s="194"/>
      <c r="K529" s="194"/>
      <c r="L529" s="194"/>
      <c r="M529" s="194"/>
      <c r="N529" s="194"/>
      <c r="O529" s="194"/>
      <c r="P529" s="194"/>
      <c r="Q529" s="194"/>
      <c r="R529" s="194"/>
      <c r="S529" s="194"/>
      <c r="T529" s="194"/>
      <c r="U529" s="194"/>
      <c r="V529" s="194"/>
      <c r="W529" s="194"/>
      <c r="X529" s="194"/>
      <c r="Y529" s="194"/>
      <c r="Z529" s="194"/>
      <c r="AA529" s="194"/>
      <c r="AB529" s="194"/>
      <c r="AC529" s="194"/>
      <c r="AD529" s="194"/>
      <c r="AE529" s="194"/>
      <c r="AF529" s="194"/>
    </row>
    <row r="530" spans="1:32" x14ac:dyDescent="0.25">
      <c r="A530" s="194"/>
      <c r="B530" s="194"/>
      <c r="C530" s="194"/>
      <c r="D530" s="194"/>
      <c r="E530" s="194"/>
      <c r="F530" s="194"/>
      <c r="G530" s="194"/>
      <c r="H530" s="194"/>
      <c r="I530" s="194"/>
      <c r="J530" s="194"/>
      <c r="K530" s="194"/>
      <c r="L530" s="194"/>
      <c r="M530" s="194"/>
      <c r="N530" s="194"/>
      <c r="O530" s="194"/>
      <c r="P530" s="194"/>
      <c r="Q530" s="194"/>
      <c r="R530" s="194"/>
      <c r="S530" s="194"/>
      <c r="T530" s="194"/>
      <c r="U530" s="194"/>
      <c r="V530" s="194"/>
      <c r="W530" s="194"/>
      <c r="X530" s="194"/>
      <c r="Y530" s="194"/>
      <c r="Z530" s="194"/>
      <c r="AA530" s="194"/>
      <c r="AB530" s="194"/>
      <c r="AC530" s="194"/>
      <c r="AD530" s="194"/>
      <c r="AE530" s="194"/>
      <c r="AF530" s="194"/>
    </row>
    <row r="531" spans="1:32" x14ac:dyDescent="0.25">
      <c r="A531" s="194"/>
      <c r="B531" s="194"/>
      <c r="C531" s="194"/>
      <c r="D531" s="194"/>
      <c r="E531" s="194"/>
      <c r="F531" s="194"/>
      <c r="G531" s="194"/>
      <c r="H531" s="194"/>
      <c r="I531" s="194"/>
      <c r="J531" s="194"/>
      <c r="K531" s="194"/>
      <c r="L531" s="194"/>
      <c r="M531" s="194"/>
      <c r="N531" s="194"/>
      <c r="O531" s="194"/>
      <c r="P531" s="194"/>
      <c r="Q531" s="194"/>
      <c r="R531" s="194"/>
      <c r="S531" s="194"/>
      <c r="T531" s="194"/>
      <c r="U531" s="194"/>
      <c r="V531" s="194"/>
      <c r="W531" s="194"/>
      <c r="X531" s="194"/>
      <c r="Y531" s="194"/>
      <c r="Z531" s="194"/>
      <c r="AA531" s="194"/>
      <c r="AB531" s="194"/>
      <c r="AC531" s="194"/>
      <c r="AD531" s="194"/>
      <c r="AE531" s="194"/>
      <c r="AF531" s="194"/>
    </row>
    <row r="532" spans="1:32" x14ac:dyDescent="0.25">
      <c r="A532" s="194"/>
      <c r="B532" s="194"/>
      <c r="C532" s="194"/>
      <c r="D532" s="194"/>
      <c r="E532" s="194"/>
      <c r="F532" s="194"/>
      <c r="G532" s="194"/>
      <c r="H532" s="194"/>
      <c r="I532" s="194"/>
      <c r="J532" s="194"/>
      <c r="K532" s="194"/>
      <c r="L532" s="194"/>
      <c r="M532" s="194"/>
      <c r="N532" s="194"/>
      <c r="O532" s="194"/>
      <c r="P532" s="194"/>
      <c r="Q532" s="194"/>
      <c r="R532" s="194"/>
      <c r="S532" s="194"/>
      <c r="T532" s="194"/>
      <c r="U532" s="194"/>
      <c r="V532" s="194"/>
      <c r="W532" s="194"/>
      <c r="X532" s="194"/>
      <c r="Y532" s="194"/>
      <c r="Z532" s="194"/>
      <c r="AA532" s="194"/>
      <c r="AB532" s="194"/>
      <c r="AC532" s="194"/>
      <c r="AD532" s="194"/>
      <c r="AE532" s="194"/>
      <c r="AF532" s="194"/>
    </row>
    <row r="533" spans="1:32" x14ac:dyDescent="0.25">
      <c r="A533" s="194"/>
      <c r="B533" s="194"/>
      <c r="C533" s="194"/>
      <c r="D533" s="194"/>
      <c r="E533" s="194"/>
      <c r="F533" s="194"/>
      <c r="G533" s="194"/>
      <c r="H533" s="194"/>
      <c r="I533" s="194"/>
      <c r="J533" s="194"/>
      <c r="K533" s="194"/>
      <c r="L533" s="194"/>
      <c r="M533" s="194"/>
      <c r="N533" s="194"/>
      <c r="O533" s="194"/>
      <c r="P533" s="194"/>
      <c r="Q533" s="194"/>
      <c r="R533" s="194"/>
      <c r="S533" s="194"/>
      <c r="T533" s="194"/>
      <c r="U533" s="194"/>
      <c r="V533" s="194"/>
      <c r="W533" s="194"/>
      <c r="X533" s="194"/>
      <c r="Y533" s="194"/>
      <c r="Z533" s="194"/>
      <c r="AA533" s="194"/>
      <c r="AB533" s="194"/>
      <c r="AC533" s="194"/>
      <c r="AD533" s="194"/>
      <c r="AE533" s="194"/>
      <c r="AF533" s="194"/>
    </row>
    <row r="534" spans="1:32" x14ac:dyDescent="0.25">
      <c r="A534" s="194"/>
      <c r="B534" s="194"/>
      <c r="C534" s="194"/>
      <c r="D534" s="194"/>
      <c r="E534" s="194"/>
      <c r="F534" s="194"/>
      <c r="G534" s="194"/>
      <c r="H534" s="194"/>
      <c r="I534" s="194"/>
      <c r="J534" s="194"/>
      <c r="K534" s="194"/>
      <c r="L534" s="194"/>
      <c r="M534" s="194"/>
      <c r="N534" s="194"/>
      <c r="O534" s="194"/>
      <c r="P534" s="194"/>
      <c r="Q534" s="194"/>
      <c r="R534" s="194"/>
      <c r="S534" s="194"/>
      <c r="T534" s="194"/>
      <c r="U534" s="194"/>
      <c r="V534" s="194"/>
      <c r="W534" s="194"/>
      <c r="X534" s="194"/>
      <c r="Y534" s="194"/>
      <c r="Z534" s="194"/>
      <c r="AA534" s="194"/>
      <c r="AB534" s="194"/>
      <c r="AC534" s="194"/>
      <c r="AD534" s="194"/>
      <c r="AE534" s="194"/>
      <c r="AF534" s="194"/>
    </row>
    <row r="535" spans="1:32" x14ac:dyDescent="0.25">
      <c r="A535" s="194"/>
      <c r="B535" s="194"/>
      <c r="C535" s="194"/>
      <c r="D535" s="194"/>
      <c r="E535" s="194"/>
      <c r="F535" s="194"/>
      <c r="G535" s="194"/>
      <c r="H535" s="194"/>
      <c r="I535" s="194"/>
      <c r="J535" s="194"/>
      <c r="K535" s="194"/>
      <c r="L535" s="194"/>
      <c r="M535" s="194"/>
      <c r="N535" s="194"/>
      <c r="O535" s="194"/>
      <c r="P535" s="194"/>
      <c r="Q535" s="194"/>
      <c r="R535" s="194"/>
      <c r="S535" s="194"/>
      <c r="T535" s="194"/>
      <c r="U535" s="194"/>
      <c r="V535" s="194"/>
      <c r="W535" s="194"/>
      <c r="X535" s="194"/>
      <c r="Y535" s="194"/>
      <c r="Z535" s="194"/>
      <c r="AA535" s="194"/>
      <c r="AB535" s="194"/>
      <c r="AC535" s="194"/>
      <c r="AD535" s="194"/>
      <c r="AE535" s="194"/>
      <c r="AF535" s="194"/>
    </row>
    <row r="536" spans="1:32" x14ac:dyDescent="0.25">
      <c r="A536" s="194"/>
      <c r="B536" s="194"/>
      <c r="C536" s="194"/>
      <c r="D536" s="194"/>
      <c r="E536" s="194"/>
      <c r="F536" s="194"/>
      <c r="G536" s="194"/>
      <c r="H536" s="194"/>
      <c r="I536" s="194"/>
      <c r="J536" s="194"/>
      <c r="K536" s="194"/>
      <c r="L536" s="194"/>
      <c r="M536" s="194"/>
      <c r="N536" s="194"/>
      <c r="O536" s="194"/>
      <c r="P536" s="194"/>
      <c r="Q536" s="194"/>
      <c r="R536" s="194"/>
      <c r="S536" s="194"/>
      <c r="T536" s="194"/>
      <c r="U536" s="194"/>
      <c r="V536" s="194"/>
      <c r="W536" s="194"/>
      <c r="X536" s="194"/>
      <c r="Y536" s="194"/>
      <c r="Z536" s="194"/>
      <c r="AA536" s="194"/>
      <c r="AB536" s="194"/>
      <c r="AC536" s="194"/>
      <c r="AD536" s="194"/>
      <c r="AE536" s="194"/>
      <c r="AF536" s="194"/>
    </row>
    <row r="537" spans="1:32" x14ac:dyDescent="0.25">
      <c r="A537" s="194"/>
      <c r="B537" s="194"/>
      <c r="C537" s="194"/>
      <c r="D537" s="194"/>
      <c r="E537" s="194"/>
      <c r="F537" s="194"/>
      <c r="G537" s="194"/>
      <c r="H537" s="194"/>
      <c r="I537" s="194"/>
      <c r="J537" s="194"/>
      <c r="K537" s="194"/>
      <c r="L537" s="194"/>
      <c r="M537" s="194"/>
      <c r="N537" s="194"/>
      <c r="O537" s="194"/>
      <c r="P537" s="194"/>
      <c r="Q537" s="194"/>
      <c r="R537" s="194"/>
      <c r="S537" s="194"/>
      <c r="T537" s="194"/>
      <c r="U537" s="194"/>
      <c r="V537" s="194"/>
      <c r="W537" s="194"/>
      <c r="X537" s="194"/>
      <c r="Y537" s="194"/>
      <c r="Z537" s="194"/>
      <c r="AA537" s="194"/>
      <c r="AB537" s="194"/>
      <c r="AC537" s="194"/>
      <c r="AD537" s="194"/>
      <c r="AE537" s="194"/>
      <c r="AF537" s="194"/>
    </row>
    <row r="538" spans="1:32" x14ac:dyDescent="0.25">
      <c r="A538" s="194"/>
      <c r="B538" s="194"/>
      <c r="C538" s="194"/>
      <c r="D538" s="194"/>
      <c r="E538" s="194"/>
      <c r="F538" s="194"/>
      <c r="G538" s="194"/>
      <c r="H538" s="194"/>
      <c r="I538" s="194"/>
      <c r="J538" s="194"/>
      <c r="K538" s="194"/>
      <c r="L538" s="194"/>
      <c r="M538" s="194"/>
      <c r="N538" s="194"/>
      <c r="O538" s="194"/>
      <c r="P538" s="194"/>
      <c r="Q538" s="194"/>
      <c r="R538" s="194"/>
      <c r="S538" s="194"/>
      <c r="T538" s="194"/>
      <c r="U538" s="194"/>
      <c r="V538" s="194"/>
      <c r="W538" s="194"/>
      <c r="X538" s="194"/>
      <c r="Y538" s="194"/>
      <c r="Z538" s="194"/>
      <c r="AA538" s="194"/>
      <c r="AB538" s="194"/>
      <c r="AC538" s="194"/>
      <c r="AD538" s="194"/>
      <c r="AE538" s="194"/>
      <c r="AF538" s="194"/>
    </row>
    <row r="539" spans="1:32" x14ac:dyDescent="0.25">
      <c r="A539" s="194"/>
      <c r="B539" s="194"/>
      <c r="C539" s="194"/>
      <c r="D539" s="194"/>
      <c r="E539" s="194"/>
      <c r="F539" s="194"/>
      <c r="G539" s="194"/>
      <c r="H539" s="194"/>
      <c r="I539" s="194"/>
      <c r="J539" s="194"/>
      <c r="K539" s="194"/>
      <c r="L539" s="194"/>
      <c r="M539" s="194"/>
      <c r="N539" s="194"/>
      <c r="O539" s="194"/>
      <c r="P539" s="194"/>
      <c r="Q539" s="194"/>
      <c r="R539" s="194"/>
      <c r="S539" s="194"/>
      <c r="T539" s="194"/>
      <c r="U539" s="194"/>
      <c r="V539" s="194"/>
      <c r="W539" s="194"/>
      <c r="X539" s="194"/>
      <c r="Y539" s="194"/>
      <c r="Z539" s="194"/>
      <c r="AA539" s="194"/>
      <c r="AB539" s="194"/>
      <c r="AC539" s="194"/>
      <c r="AD539" s="194"/>
      <c r="AE539" s="194"/>
      <c r="AF539" s="194"/>
    </row>
    <row r="540" spans="1:32" x14ac:dyDescent="0.25">
      <c r="A540" s="194"/>
      <c r="B540" s="194"/>
      <c r="C540" s="194"/>
      <c r="D540" s="194"/>
      <c r="E540" s="194"/>
      <c r="F540" s="194"/>
      <c r="G540" s="194"/>
      <c r="H540" s="194"/>
      <c r="I540" s="194"/>
      <c r="J540" s="194"/>
      <c r="K540" s="194"/>
      <c r="L540" s="194"/>
      <c r="M540" s="194"/>
      <c r="N540" s="194"/>
      <c r="O540" s="194"/>
      <c r="P540" s="194"/>
      <c r="Q540" s="194"/>
      <c r="R540" s="194"/>
      <c r="S540" s="194"/>
      <c r="T540" s="194"/>
      <c r="U540" s="194"/>
      <c r="V540" s="194"/>
      <c r="W540" s="194"/>
      <c r="X540" s="194"/>
      <c r="Y540" s="194"/>
      <c r="Z540" s="194"/>
      <c r="AA540" s="194"/>
      <c r="AB540" s="194"/>
      <c r="AC540" s="194"/>
      <c r="AD540" s="194"/>
      <c r="AE540" s="194"/>
      <c r="AF540" s="194"/>
    </row>
    <row r="541" spans="1:32" x14ac:dyDescent="0.25">
      <c r="A541" s="194"/>
      <c r="B541" s="194"/>
      <c r="C541" s="194"/>
      <c r="D541" s="194"/>
      <c r="E541" s="194"/>
      <c r="F541" s="194"/>
      <c r="G541" s="194"/>
      <c r="H541" s="194"/>
      <c r="I541" s="194"/>
      <c r="J541" s="194"/>
      <c r="K541" s="194"/>
      <c r="L541" s="194"/>
      <c r="M541" s="194"/>
      <c r="N541" s="194"/>
      <c r="O541" s="194"/>
      <c r="P541" s="194"/>
      <c r="Q541" s="194"/>
      <c r="R541" s="194"/>
      <c r="S541" s="194"/>
      <c r="T541" s="194"/>
      <c r="U541" s="194"/>
      <c r="V541" s="194"/>
      <c r="W541" s="194"/>
      <c r="X541" s="194"/>
      <c r="Y541" s="194"/>
      <c r="Z541" s="194"/>
      <c r="AA541" s="194"/>
      <c r="AB541" s="194"/>
      <c r="AC541" s="194"/>
      <c r="AD541" s="194"/>
      <c r="AE541" s="194"/>
      <c r="AF541" s="194"/>
    </row>
    <row r="542" spans="1:32" x14ac:dyDescent="0.25">
      <c r="A542" s="194"/>
      <c r="B542" s="194"/>
      <c r="C542" s="194"/>
      <c r="D542" s="194"/>
      <c r="E542" s="194"/>
      <c r="F542" s="194"/>
      <c r="G542" s="194"/>
      <c r="H542" s="194"/>
      <c r="I542" s="194"/>
      <c r="J542" s="194"/>
      <c r="K542" s="194"/>
      <c r="L542" s="194"/>
      <c r="M542" s="194"/>
      <c r="N542" s="194"/>
      <c r="O542" s="194"/>
      <c r="P542" s="194"/>
      <c r="Q542" s="194"/>
      <c r="R542" s="194"/>
      <c r="S542" s="194"/>
      <c r="T542" s="194"/>
      <c r="U542" s="194"/>
      <c r="V542" s="194"/>
      <c r="W542" s="194"/>
      <c r="X542" s="194"/>
      <c r="Y542" s="194"/>
      <c r="Z542" s="194"/>
      <c r="AA542" s="194"/>
      <c r="AB542" s="194"/>
      <c r="AC542" s="194"/>
      <c r="AD542" s="194"/>
      <c r="AE542" s="194"/>
      <c r="AF542" s="194"/>
    </row>
    <row r="543" spans="1:32" x14ac:dyDescent="0.25">
      <c r="A543" s="194"/>
      <c r="B543" s="194"/>
      <c r="C543" s="194"/>
      <c r="D543" s="194"/>
      <c r="E543" s="194"/>
      <c r="F543" s="194"/>
      <c r="G543" s="194"/>
      <c r="H543" s="194"/>
      <c r="I543" s="194"/>
      <c r="J543" s="194"/>
      <c r="K543" s="194"/>
      <c r="L543" s="194"/>
      <c r="M543" s="194"/>
      <c r="N543" s="194"/>
      <c r="O543" s="194"/>
      <c r="P543" s="194"/>
      <c r="Q543" s="194"/>
      <c r="R543" s="194"/>
      <c r="S543" s="194"/>
      <c r="T543" s="194"/>
      <c r="U543" s="194"/>
      <c r="V543" s="194"/>
      <c r="W543" s="194"/>
      <c r="X543" s="194"/>
      <c r="Y543" s="194"/>
      <c r="Z543" s="194"/>
      <c r="AA543" s="194"/>
      <c r="AB543" s="194"/>
      <c r="AC543" s="194"/>
      <c r="AD543" s="194"/>
      <c r="AE543" s="194"/>
      <c r="AF543" s="194"/>
    </row>
    <row r="544" spans="1:32" x14ac:dyDescent="0.25">
      <c r="A544" s="194"/>
      <c r="B544" s="194"/>
      <c r="C544" s="194"/>
      <c r="D544" s="194"/>
      <c r="E544" s="194"/>
      <c r="F544" s="194"/>
      <c r="G544" s="194"/>
      <c r="H544" s="194"/>
      <c r="I544" s="194"/>
      <c r="J544" s="194"/>
      <c r="K544" s="194"/>
      <c r="L544" s="194"/>
      <c r="M544" s="194"/>
      <c r="N544" s="194"/>
      <c r="O544" s="194"/>
      <c r="P544" s="194"/>
      <c r="Q544" s="194"/>
      <c r="R544" s="194"/>
      <c r="S544" s="194"/>
      <c r="T544" s="194"/>
      <c r="U544" s="194"/>
      <c r="V544" s="194"/>
      <c r="W544" s="194"/>
      <c r="X544" s="194"/>
      <c r="Y544" s="194"/>
      <c r="Z544" s="194"/>
      <c r="AA544" s="194"/>
      <c r="AB544" s="194"/>
      <c r="AC544" s="194"/>
      <c r="AD544" s="194"/>
      <c r="AE544" s="194"/>
      <c r="AF544" s="194"/>
    </row>
    <row r="545" spans="1:32" x14ac:dyDescent="0.25">
      <c r="A545" s="194"/>
      <c r="B545" s="194"/>
      <c r="C545" s="194"/>
      <c r="D545" s="194"/>
      <c r="E545" s="194"/>
      <c r="F545" s="194"/>
      <c r="G545" s="194"/>
      <c r="H545" s="194"/>
      <c r="I545" s="194"/>
      <c r="J545" s="194"/>
      <c r="K545" s="194"/>
      <c r="L545" s="194"/>
      <c r="M545" s="194"/>
      <c r="N545" s="194"/>
      <c r="O545" s="194"/>
      <c r="P545" s="194"/>
      <c r="Q545" s="194"/>
      <c r="R545" s="194"/>
      <c r="S545" s="194"/>
      <c r="T545" s="194"/>
      <c r="U545" s="194"/>
      <c r="V545" s="194"/>
      <c r="W545" s="194"/>
      <c r="X545" s="194"/>
      <c r="Y545" s="194"/>
      <c r="Z545" s="194"/>
      <c r="AA545" s="194"/>
      <c r="AB545" s="194"/>
      <c r="AC545" s="194"/>
      <c r="AD545" s="194"/>
      <c r="AE545" s="194"/>
      <c r="AF545" s="194"/>
    </row>
    <row r="546" spans="1:32" x14ac:dyDescent="0.25">
      <c r="A546" s="194"/>
      <c r="B546" s="194"/>
      <c r="C546" s="194"/>
      <c r="D546" s="194"/>
      <c r="E546" s="194"/>
      <c r="F546" s="194"/>
      <c r="G546" s="194"/>
      <c r="H546" s="194"/>
      <c r="I546" s="194"/>
      <c r="J546" s="194"/>
      <c r="K546" s="194"/>
      <c r="L546" s="194"/>
      <c r="M546" s="194"/>
      <c r="N546" s="194"/>
      <c r="O546" s="194"/>
      <c r="P546" s="194"/>
      <c r="Q546" s="194"/>
      <c r="R546" s="194"/>
      <c r="S546" s="194"/>
      <c r="T546" s="194"/>
      <c r="U546" s="194"/>
      <c r="V546" s="194"/>
      <c r="W546" s="194"/>
      <c r="X546" s="194"/>
      <c r="Y546" s="194"/>
      <c r="Z546" s="194"/>
      <c r="AA546" s="194"/>
      <c r="AB546" s="194"/>
      <c r="AC546" s="194"/>
      <c r="AD546" s="194"/>
      <c r="AE546" s="194"/>
      <c r="AF546" s="194"/>
    </row>
    <row r="547" spans="1:32" x14ac:dyDescent="0.25">
      <c r="A547" s="194"/>
      <c r="B547" s="194"/>
      <c r="C547" s="194"/>
      <c r="D547" s="194"/>
      <c r="E547" s="194"/>
      <c r="F547" s="194"/>
      <c r="G547" s="194"/>
      <c r="H547" s="194"/>
      <c r="I547" s="194"/>
      <c r="J547" s="194"/>
      <c r="K547" s="194"/>
      <c r="L547" s="194"/>
      <c r="M547" s="194"/>
      <c r="N547" s="194"/>
      <c r="O547" s="194"/>
      <c r="P547" s="194"/>
      <c r="Q547" s="194"/>
      <c r="R547" s="194"/>
      <c r="S547" s="194"/>
      <c r="T547" s="194"/>
      <c r="U547" s="194"/>
      <c r="V547" s="194"/>
      <c r="W547" s="194"/>
      <c r="X547" s="194"/>
      <c r="Y547" s="194"/>
      <c r="Z547" s="194"/>
      <c r="AA547" s="194"/>
      <c r="AB547" s="194"/>
      <c r="AC547" s="194"/>
      <c r="AD547" s="194"/>
      <c r="AE547" s="194"/>
      <c r="AF547" s="194"/>
    </row>
    <row r="548" spans="1:32" x14ac:dyDescent="0.25">
      <c r="A548" s="194"/>
      <c r="B548" s="194"/>
      <c r="C548" s="194"/>
      <c r="D548" s="194"/>
      <c r="E548" s="194"/>
      <c r="F548" s="194"/>
      <c r="G548" s="194"/>
      <c r="H548" s="194"/>
      <c r="I548" s="194"/>
      <c r="J548" s="194"/>
      <c r="K548" s="194"/>
      <c r="L548" s="194"/>
      <c r="M548" s="194"/>
      <c r="N548" s="194"/>
      <c r="O548" s="194"/>
      <c r="P548" s="194"/>
      <c r="Q548" s="194"/>
      <c r="R548" s="194"/>
      <c r="S548" s="194"/>
      <c r="T548" s="194"/>
      <c r="U548" s="194"/>
      <c r="V548" s="194"/>
      <c r="W548" s="194"/>
      <c r="X548" s="194"/>
      <c r="Y548" s="194"/>
      <c r="Z548" s="194"/>
      <c r="AA548" s="194"/>
      <c r="AB548" s="194"/>
      <c r="AC548" s="194"/>
      <c r="AD548" s="194"/>
      <c r="AE548" s="194"/>
      <c r="AF548" s="194"/>
    </row>
    <row r="549" spans="1:32" x14ac:dyDescent="0.25">
      <c r="A549" s="194"/>
      <c r="B549" s="194"/>
      <c r="C549" s="194"/>
      <c r="D549" s="194"/>
      <c r="E549" s="194"/>
      <c r="F549" s="194"/>
      <c r="G549" s="194"/>
      <c r="H549" s="194"/>
      <c r="I549" s="194"/>
      <c r="J549" s="194"/>
      <c r="K549" s="194"/>
      <c r="L549" s="194"/>
      <c r="M549" s="194"/>
      <c r="N549" s="194"/>
      <c r="O549" s="194"/>
      <c r="P549" s="194"/>
      <c r="Q549" s="194"/>
      <c r="R549" s="194"/>
      <c r="S549" s="194"/>
      <c r="T549" s="194"/>
      <c r="U549" s="194"/>
      <c r="V549" s="194"/>
      <c r="W549" s="194"/>
      <c r="X549" s="194"/>
      <c r="Y549" s="194"/>
      <c r="Z549" s="194"/>
      <c r="AA549" s="194"/>
      <c r="AB549" s="194"/>
      <c r="AC549" s="194"/>
      <c r="AD549" s="194"/>
      <c r="AE549" s="194"/>
      <c r="AF549" s="194"/>
    </row>
    <row r="550" spans="1:32" x14ac:dyDescent="0.25">
      <c r="A550" s="194"/>
      <c r="B550" s="194"/>
      <c r="C550" s="194"/>
      <c r="D550" s="194"/>
      <c r="E550" s="194"/>
      <c r="F550" s="194"/>
      <c r="G550" s="194"/>
      <c r="H550" s="194"/>
      <c r="I550" s="194"/>
      <c r="J550" s="194"/>
      <c r="K550" s="194"/>
      <c r="L550" s="194"/>
      <c r="M550" s="194"/>
      <c r="N550" s="194"/>
      <c r="O550" s="194"/>
      <c r="P550" s="194"/>
      <c r="Q550" s="194"/>
      <c r="R550" s="194"/>
      <c r="S550" s="194"/>
      <c r="T550" s="194"/>
      <c r="U550" s="194"/>
      <c r="V550" s="194"/>
      <c r="W550" s="194"/>
      <c r="X550" s="194"/>
      <c r="Y550" s="194"/>
      <c r="Z550" s="194"/>
      <c r="AA550" s="194"/>
      <c r="AB550" s="194"/>
      <c r="AC550" s="194"/>
      <c r="AD550" s="194"/>
      <c r="AE550" s="194"/>
      <c r="AF550" s="194"/>
    </row>
    <row r="551" spans="1:32" x14ac:dyDescent="0.25">
      <c r="A551" s="194"/>
      <c r="B551" s="194"/>
      <c r="C551" s="194"/>
      <c r="D551" s="194"/>
      <c r="E551" s="194"/>
      <c r="F551" s="194"/>
      <c r="G551" s="194"/>
      <c r="H551" s="194"/>
      <c r="I551" s="194"/>
      <c r="J551" s="194"/>
      <c r="K551" s="194"/>
      <c r="L551" s="194"/>
      <c r="M551" s="194"/>
      <c r="N551" s="194"/>
      <c r="O551" s="194"/>
      <c r="P551" s="194"/>
      <c r="Q551" s="194"/>
      <c r="R551" s="194"/>
      <c r="S551" s="194"/>
      <c r="T551" s="194"/>
      <c r="U551" s="194"/>
      <c r="V551" s="194"/>
      <c r="W551" s="194"/>
      <c r="X551" s="194"/>
      <c r="Y551" s="194"/>
      <c r="Z551" s="194"/>
      <c r="AA551" s="194"/>
      <c r="AB551" s="194"/>
      <c r="AC551" s="194"/>
      <c r="AD551" s="194"/>
      <c r="AE551" s="194"/>
      <c r="AF551" s="194"/>
    </row>
    <row r="552" spans="1:32" x14ac:dyDescent="0.25">
      <c r="A552" s="194"/>
      <c r="B552" s="194"/>
      <c r="C552" s="194"/>
      <c r="D552" s="194"/>
      <c r="E552" s="194"/>
      <c r="F552" s="194"/>
      <c r="G552" s="194"/>
      <c r="H552" s="194"/>
      <c r="I552" s="194"/>
      <c r="J552" s="194"/>
      <c r="K552" s="194"/>
      <c r="L552" s="194"/>
      <c r="M552" s="194"/>
      <c r="N552" s="194"/>
      <c r="O552" s="194"/>
      <c r="P552" s="194"/>
      <c r="Q552" s="194"/>
      <c r="R552" s="194"/>
      <c r="S552" s="194"/>
      <c r="T552" s="194"/>
      <c r="U552" s="194"/>
      <c r="V552" s="194"/>
      <c r="W552" s="194"/>
      <c r="X552" s="194"/>
      <c r="Y552" s="194"/>
      <c r="Z552" s="194"/>
      <c r="AA552" s="194"/>
      <c r="AB552" s="194"/>
      <c r="AC552" s="194"/>
      <c r="AD552" s="194"/>
      <c r="AE552" s="194"/>
      <c r="AF552" s="194"/>
    </row>
    <row r="553" spans="1:32" x14ac:dyDescent="0.25">
      <c r="A553" s="194"/>
      <c r="B553" s="194"/>
      <c r="C553" s="194"/>
      <c r="D553" s="194"/>
      <c r="E553" s="194"/>
      <c r="F553" s="194"/>
      <c r="G553" s="194"/>
      <c r="H553" s="194"/>
      <c r="I553" s="194"/>
      <c r="J553" s="194"/>
      <c r="K553" s="194"/>
      <c r="L553" s="194"/>
      <c r="M553" s="194"/>
      <c r="N553" s="194"/>
      <c r="O553" s="194"/>
      <c r="P553" s="194"/>
      <c r="Q553" s="194"/>
      <c r="R553" s="194"/>
      <c r="S553" s="194"/>
      <c r="T553" s="194"/>
      <c r="U553" s="194"/>
      <c r="V553" s="194"/>
      <c r="W553" s="194"/>
      <c r="X553" s="194"/>
      <c r="Y553" s="194"/>
      <c r="Z553" s="194"/>
      <c r="AA553" s="194"/>
      <c r="AB553" s="194"/>
      <c r="AC553" s="194"/>
      <c r="AD553" s="194"/>
      <c r="AE553" s="194"/>
      <c r="AF553" s="194"/>
    </row>
    <row r="554" spans="1:32" x14ac:dyDescent="0.25">
      <c r="A554" s="194"/>
      <c r="B554" s="194"/>
      <c r="C554" s="194"/>
      <c r="D554" s="194"/>
      <c r="E554" s="194"/>
      <c r="F554" s="194"/>
      <c r="G554" s="194"/>
      <c r="H554" s="194"/>
      <c r="I554" s="194"/>
      <c r="J554" s="194"/>
      <c r="K554" s="194"/>
      <c r="L554" s="194"/>
      <c r="M554" s="194"/>
      <c r="N554" s="194"/>
      <c r="O554" s="194"/>
      <c r="P554" s="194"/>
      <c r="Q554" s="194"/>
      <c r="R554" s="194"/>
      <c r="S554" s="194"/>
      <c r="T554" s="194"/>
      <c r="U554" s="194"/>
      <c r="V554" s="194"/>
      <c r="W554" s="194"/>
      <c r="X554" s="194"/>
      <c r="Y554" s="194"/>
      <c r="Z554" s="194"/>
      <c r="AA554" s="194"/>
      <c r="AB554" s="194"/>
      <c r="AC554" s="194"/>
      <c r="AD554" s="194"/>
      <c r="AE554" s="194"/>
      <c r="AF554" s="194"/>
    </row>
    <row r="555" spans="1:32" x14ac:dyDescent="0.25">
      <c r="A555" s="194"/>
      <c r="B555" s="194"/>
      <c r="C555" s="194"/>
      <c r="D555" s="194"/>
      <c r="E555" s="194"/>
      <c r="F555" s="194"/>
      <c r="G555" s="194"/>
      <c r="H555" s="194"/>
      <c r="I555" s="194"/>
      <c r="J555" s="194"/>
      <c r="K555" s="194"/>
      <c r="L555" s="194"/>
      <c r="M555" s="194"/>
      <c r="N555" s="194"/>
      <c r="O555" s="194"/>
      <c r="P555" s="194"/>
      <c r="Q555" s="194"/>
      <c r="R555" s="194"/>
      <c r="S555" s="194"/>
      <c r="T555" s="194"/>
      <c r="U555" s="194"/>
      <c r="V555" s="194"/>
      <c r="W555" s="194"/>
      <c r="X555" s="194"/>
      <c r="Y555" s="194"/>
      <c r="Z555" s="194"/>
      <c r="AA555" s="194"/>
      <c r="AB555" s="194"/>
      <c r="AC555" s="194"/>
      <c r="AD555" s="194"/>
      <c r="AE555" s="194"/>
      <c r="AF555" s="194"/>
    </row>
    <row r="556" spans="1:32" x14ac:dyDescent="0.25">
      <c r="A556" s="194"/>
      <c r="B556" s="194"/>
      <c r="C556" s="194"/>
      <c r="D556" s="194"/>
      <c r="E556" s="194"/>
      <c r="F556" s="194"/>
      <c r="G556" s="194"/>
      <c r="H556" s="194"/>
      <c r="I556" s="194"/>
      <c r="J556" s="194"/>
      <c r="K556" s="194"/>
      <c r="L556" s="194"/>
      <c r="M556" s="194"/>
      <c r="N556" s="194"/>
      <c r="O556" s="194"/>
      <c r="P556" s="194"/>
      <c r="Q556" s="194"/>
      <c r="R556" s="194"/>
      <c r="S556" s="194"/>
      <c r="T556" s="194"/>
      <c r="U556" s="194"/>
      <c r="V556" s="194"/>
      <c r="W556" s="194"/>
      <c r="X556" s="194"/>
      <c r="Y556" s="194"/>
      <c r="Z556" s="194"/>
      <c r="AA556" s="194"/>
      <c r="AB556" s="194"/>
      <c r="AC556" s="194"/>
      <c r="AD556" s="194"/>
      <c r="AE556" s="194"/>
      <c r="AF556" s="194"/>
    </row>
    <row r="557" spans="1:32" x14ac:dyDescent="0.25">
      <c r="A557" s="194"/>
      <c r="B557" s="194"/>
      <c r="C557" s="194"/>
      <c r="D557" s="194"/>
      <c r="E557" s="194"/>
      <c r="F557" s="194"/>
      <c r="G557" s="194"/>
      <c r="H557" s="194"/>
      <c r="I557" s="194"/>
      <c r="J557" s="194"/>
      <c r="K557" s="194"/>
      <c r="L557" s="194"/>
      <c r="M557" s="194"/>
      <c r="N557" s="194"/>
      <c r="O557" s="194"/>
      <c r="P557" s="194"/>
      <c r="Q557" s="194"/>
      <c r="R557" s="194"/>
      <c r="S557" s="194"/>
      <c r="T557" s="194"/>
      <c r="U557" s="194"/>
      <c r="V557" s="194"/>
      <c r="W557" s="194"/>
      <c r="X557" s="194"/>
      <c r="Y557" s="194"/>
      <c r="Z557" s="194"/>
      <c r="AA557" s="194"/>
      <c r="AB557" s="194"/>
      <c r="AC557" s="194"/>
      <c r="AD557" s="194"/>
      <c r="AE557" s="194"/>
      <c r="AF557" s="194"/>
    </row>
    <row r="558" spans="1:32" x14ac:dyDescent="0.25">
      <c r="A558" s="194"/>
      <c r="B558" s="194"/>
      <c r="C558" s="194"/>
      <c r="D558" s="194"/>
      <c r="E558" s="194"/>
      <c r="F558" s="194"/>
      <c r="G558" s="194"/>
      <c r="H558" s="194"/>
      <c r="I558" s="194"/>
      <c r="J558" s="194"/>
      <c r="K558" s="194"/>
      <c r="L558" s="194"/>
      <c r="M558" s="194"/>
      <c r="N558" s="194"/>
      <c r="O558" s="194"/>
      <c r="P558" s="194"/>
      <c r="Q558" s="194"/>
      <c r="R558" s="194"/>
      <c r="S558" s="194"/>
      <c r="T558" s="194"/>
      <c r="U558" s="194"/>
      <c r="V558" s="194"/>
      <c r="W558" s="194"/>
      <c r="X558" s="194"/>
      <c r="Y558" s="194"/>
      <c r="Z558" s="194"/>
      <c r="AA558" s="194"/>
      <c r="AB558" s="194"/>
      <c r="AC558" s="194"/>
      <c r="AD558" s="194"/>
      <c r="AE558" s="194"/>
      <c r="AF558" s="194"/>
    </row>
    <row r="559" spans="1:32" x14ac:dyDescent="0.25">
      <c r="A559" s="194"/>
      <c r="B559" s="194"/>
      <c r="C559" s="194"/>
      <c r="D559" s="194"/>
      <c r="E559" s="194"/>
      <c r="F559" s="194"/>
      <c r="G559" s="194"/>
      <c r="H559" s="194"/>
      <c r="I559" s="194"/>
      <c r="J559" s="194"/>
      <c r="K559" s="194"/>
      <c r="L559" s="194"/>
      <c r="M559" s="194"/>
      <c r="N559" s="194"/>
      <c r="O559" s="194"/>
      <c r="P559" s="194"/>
      <c r="Q559" s="194"/>
      <c r="R559" s="194"/>
      <c r="S559" s="194"/>
      <c r="T559" s="194"/>
      <c r="U559" s="194"/>
      <c r="V559" s="194"/>
      <c r="W559" s="194"/>
      <c r="X559" s="194"/>
      <c r="Y559" s="194"/>
      <c r="Z559" s="194"/>
      <c r="AA559" s="194"/>
      <c r="AB559" s="194"/>
      <c r="AC559" s="194"/>
      <c r="AD559" s="194"/>
      <c r="AE559" s="194"/>
      <c r="AF559" s="194"/>
    </row>
    <row r="560" spans="1:32" x14ac:dyDescent="0.25">
      <c r="A560" s="194"/>
      <c r="B560" s="194"/>
      <c r="C560" s="194"/>
      <c r="D560" s="194"/>
      <c r="E560" s="194"/>
      <c r="F560" s="194"/>
      <c r="G560" s="194"/>
      <c r="H560" s="194"/>
      <c r="I560" s="194"/>
      <c r="J560" s="194"/>
      <c r="K560" s="194"/>
      <c r="L560" s="194"/>
      <c r="M560" s="194"/>
      <c r="N560" s="194"/>
      <c r="O560" s="194"/>
      <c r="P560" s="194"/>
      <c r="Q560" s="194"/>
      <c r="R560" s="194"/>
      <c r="S560" s="194"/>
      <c r="T560" s="194"/>
      <c r="U560" s="194"/>
      <c r="V560" s="194"/>
      <c r="W560" s="194"/>
      <c r="X560" s="194"/>
      <c r="Y560" s="194"/>
      <c r="Z560" s="194"/>
      <c r="AA560" s="194"/>
      <c r="AB560" s="194"/>
      <c r="AC560" s="194"/>
      <c r="AD560" s="194"/>
      <c r="AE560" s="194"/>
      <c r="AF560" s="194"/>
    </row>
    <row r="561" spans="1:32" x14ac:dyDescent="0.25">
      <c r="A561" s="194"/>
      <c r="B561" s="194"/>
      <c r="C561" s="194"/>
      <c r="D561" s="194"/>
      <c r="E561" s="194"/>
      <c r="F561" s="194"/>
      <c r="G561" s="194"/>
      <c r="H561" s="194"/>
      <c r="I561" s="194"/>
      <c r="J561" s="194"/>
      <c r="K561" s="194"/>
      <c r="L561" s="194"/>
      <c r="M561" s="194"/>
      <c r="N561" s="194"/>
      <c r="O561" s="194"/>
      <c r="P561" s="194"/>
      <c r="Q561" s="194"/>
      <c r="R561" s="194"/>
      <c r="S561" s="194"/>
      <c r="T561" s="194"/>
      <c r="U561" s="194"/>
      <c r="V561" s="194"/>
      <c r="W561" s="194"/>
      <c r="X561" s="194"/>
      <c r="Y561" s="194"/>
      <c r="Z561" s="194"/>
      <c r="AA561" s="194"/>
      <c r="AB561" s="194"/>
      <c r="AC561" s="194"/>
      <c r="AD561" s="194"/>
      <c r="AE561" s="194"/>
      <c r="AF561" s="194"/>
    </row>
    <row r="562" spans="1:32" x14ac:dyDescent="0.25">
      <c r="A562" s="194"/>
      <c r="B562" s="194"/>
      <c r="C562" s="194"/>
      <c r="D562" s="194"/>
      <c r="E562" s="194"/>
      <c r="F562" s="194"/>
      <c r="G562" s="194"/>
      <c r="H562" s="194"/>
      <c r="I562" s="194"/>
      <c r="J562" s="194"/>
      <c r="K562" s="194"/>
      <c r="L562" s="194"/>
      <c r="M562" s="194"/>
      <c r="N562" s="194"/>
      <c r="O562" s="194"/>
      <c r="P562" s="194"/>
      <c r="Q562" s="194"/>
      <c r="R562" s="194"/>
      <c r="S562" s="194"/>
      <c r="T562" s="194"/>
      <c r="U562" s="194"/>
      <c r="V562" s="194"/>
      <c r="W562" s="194"/>
      <c r="X562" s="194"/>
      <c r="Y562" s="194"/>
      <c r="Z562" s="194"/>
      <c r="AA562" s="194"/>
      <c r="AB562" s="194"/>
      <c r="AC562" s="194"/>
      <c r="AD562" s="194"/>
      <c r="AE562" s="194"/>
      <c r="AF562" s="194"/>
    </row>
    <row r="563" spans="1:32" x14ac:dyDescent="0.25">
      <c r="A563" s="194"/>
      <c r="B563" s="194"/>
      <c r="C563" s="194"/>
      <c r="D563" s="194"/>
      <c r="E563" s="194"/>
      <c r="F563" s="194"/>
      <c r="G563" s="194"/>
      <c r="H563" s="194"/>
      <c r="I563" s="194"/>
      <c r="J563" s="194"/>
      <c r="K563" s="194"/>
      <c r="L563" s="194"/>
      <c r="M563" s="194"/>
      <c r="N563" s="194"/>
      <c r="O563" s="194"/>
      <c r="P563" s="194"/>
      <c r="Q563" s="194"/>
      <c r="R563" s="194"/>
      <c r="S563" s="194"/>
      <c r="T563" s="194"/>
      <c r="U563" s="194"/>
      <c r="V563" s="194"/>
      <c r="W563" s="194"/>
      <c r="X563" s="194"/>
      <c r="Y563" s="194"/>
      <c r="Z563" s="194"/>
      <c r="AA563" s="194"/>
      <c r="AB563" s="194"/>
      <c r="AC563" s="194"/>
      <c r="AD563" s="194"/>
      <c r="AE563" s="194"/>
      <c r="AF563" s="194"/>
    </row>
    <row r="564" spans="1:32" x14ac:dyDescent="0.25">
      <c r="A564" s="194"/>
      <c r="B564" s="194"/>
      <c r="C564" s="194"/>
      <c r="D564" s="194"/>
      <c r="E564" s="194"/>
      <c r="F564" s="194"/>
      <c r="G564" s="194"/>
      <c r="H564" s="194"/>
      <c r="I564" s="194"/>
      <c r="J564" s="194"/>
      <c r="K564" s="194"/>
      <c r="L564" s="194"/>
      <c r="M564" s="194"/>
      <c r="N564" s="194"/>
      <c r="O564" s="194"/>
      <c r="P564" s="194"/>
      <c r="Q564" s="194"/>
      <c r="R564" s="194"/>
      <c r="S564" s="194"/>
      <c r="T564" s="194"/>
      <c r="U564" s="194"/>
      <c r="V564" s="194"/>
      <c r="W564" s="194"/>
      <c r="X564" s="194"/>
      <c r="Y564" s="194"/>
      <c r="Z564" s="194"/>
      <c r="AA564" s="194"/>
      <c r="AB564" s="194"/>
      <c r="AC564" s="194"/>
      <c r="AD564" s="194"/>
      <c r="AE564" s="194"/>
      <c r="AF564" s="194"/>
    </row>
    <row r="565" spans="1:32" x14ac:dyDescent="0.25">
      <c r="A565" s="194"/>
      <c r="B565" s="194"/>
      <c r="C565" s="194"/>
      <c r="D565" s="194"/>
      <c r="E565" s="194"/>
      <c r="F565" s="194"/>
      <c r="G565" s="194"/>
      <c r="H565" s="194"/>
      <c r="I565" s="194"/>
      <c r="J565" s="194"/>
      <c r="K565" s="194"/>
      <c r="L565" s="194"/>
      <c r="M565" s="194"/>
      <c r="N565" s="194"/>
      <c r="O565" s="194"/>
      <c r="P565" s="194"/>
      <c r="Q565" s="194"/>
      <c r="R565" s="194"/>
      <c r="S565" s="194"/>
      <c r="T565" s="194"/>
      <c r="U565" s="194"/>
      <c r="V565" s="194"/>
      <c r="W565" s="194"/>
      <c r="X565" s="194"/>
      <c r="Y565" s="194"/>
      <c r="Z565" s="194"/>
      <c r="AA565" s="194"/>
      <c r="AB565" s="194"/>
      <c r="AC565" s="194"/>
      <c r="AD565" s="194"/>
      <c r="AE565" s="194"/>
      <c r="AF565" s="194"/>
    </row>
    <row r="566" spans="1:32" x14ac:dyDescent="0.25">
      <c r="A566" s="194"/>
      <c r="B566" s="194"/>
      <c r="C566" s="194"/>
      <c r="D566" s="194"/>
      <c r="E566" s="194"/>
      <c r="F566" s="194"/>
      <c r="G566" s="194"/>
      <c r="H566" s="194"/>
      <c r="I566" s="194"/>
      <c r="J566" s="194"/>
      <c r="K566" s="194"/>
      <c r="L566" s="194"/>
      <c r="M566" s="194"/>
      <c r="N566" s="194"/>
      <c r="O566" s="194"/>
      <c r="P566" s="194"/>
      <c r="Q566" s="194"/>
      <c r="R566" s="194"/>
      <c r="S566" s="194"/>
      <c r="T566" s="194"/>
      <c r="U566" s="194"/>
      <c r="V566" s="194"/>
      <c r="W566" s="194"/>
      <c r="X566" s="194"/>
      <c r="Y566" s="194"/>
      <c r="Z566" s="194"/>
      <c r="AA566" s="194"/>
      <c r="AB566" s="194"/>
      <c r="AC566" s="194"/>
      <c r="AD566" s="194"/>
      <c r="AE566" s="194"/>
      <c r="AF566" s="194"/>
    </row>
    <row r="567" spans="1:32" x14ac:dyDescent="0.25">
      <c r="A567" s="194"/>
      <c r="B567" s="194"/>
      <c r="C567" s="194"/>
      <c r="D567" s="194"/>
      <c r="E567" s="194"/>
      <c r="F567" s="194"/>
      <c r="G567" s="194"/>
      <c r="H567" s="194"/>
      <c r="I567" s="194"/>
      <c r="J567" s="194"/>
      <c r="K567" s="194"/>
      <c r="L567" s="194"/>
      <c r="M567" s="194"/>
      <c r="N567" s="194"/>
      <c r="O567" s="194"/>
      <c r="P567" s="194"/>
      <c r="Q567" s="194"/>
      <c r="R567" s="194"/>
      <c r="S567" s="194"/>
      <c r="T567" s="194"/>
      <c r="U567" s="194"/>
      <c r="V567" s="194"/>
      <c r="W567" s="194"/>
      <c r="X567" s="194"/>
      <c r="Y567" s="194"/>
      <c r="Z567" s="194"/>
      <c r="AA567" s="194"/>
      <c r="AB567" s="194"/>
      <c r="AC567" s="194"/>
      <c r="AD567" s="194"/>
      <c r="AE567" s="194"/>
      <c r="AF567" s="194"/>
    </row>
    <row r="568" spans="1:32" x14ac:dyDescent="0.25">
      <c r="A568" s="194"/>
      <c r="B568" s="194"/>
      <c r="C568" s="194"/>
      <c r="D568" s="194"/>
      <c r="E568" s="194"/>
      <c r="F568" s="194"/>
      <c r="G568" s="194"/>
      <c r="H568" s="194"/>
      <c r="I568" s="194"/>
      <c r="J568" s="194"/>
      <c r="K568" s="194"/>
      <c r="L568" s="194"/>
      <c r="M568" s="194"/>
      <c r="N568" s="194"/>
      <c r="O568" s="194"/>
      <c r="P568" s="194"/>
      <c r="Q568" s="194"/>
      <c r="R568" s="194"/>
      <c r="S568" s="194"/>
      <c r="T568" s="194"/>
      <c r="U568" s="194"/>
      <c r="V568" s="194"/>
      <c r="W568" s="194"/>
      <c r="X568" s="194"/>
      <c r="Y568" s="194"/>
      <c r="Z568" s="194"/>
      <c r="AA568" s="194"/>
      <c r="AB568" s="194"/>
      <c r="AC568" s="194"/>
      <c r="AD568" s="194"/>
      <c r="AE568" s="194"/>
      <c r="AF568" s="194"/>
    </row>
    <row r="569" spans="1:32" x14ac:dyDescent="0.25">
      <c r="A569" s="194"/>
      <c r="B569" s="194"/>
      <c r="C569" s="194"/>
      <c r="D569" s="194"/>
      <c r="E569" s="194"/>
      <c r="F569" s="194"/>
      <c r="G569" s="194"/>
      <c r="H569" s="194"/>
      <c r="I569" s="194"/>
      <c r="J569" s="194"/>
      <c r="K569" s="194"/>
      <c r="L569" s="194"/>
      <c r="M569" s="194"/>
      <c r="N569" s="194"/>
      <c r="O569" s="194"/>
      <c r="P569" s="194"/>
      <c r="Q569" s="194"/>
      <c r="R569" s="194"/>
      <c r="S569" s="194"/>
      <c r="T569" s="194"/>
      <c r="U569" s="194"/>
      <c r="V569" s="194"/>
      <c r="W569" s="194"/>
      <c r="X569" s="194"/>
      <c r="Y569" s="194"/>
      <c r="Z569" s="194"/>
      <c r="AA569" s="194"/>
      <c r="AB569" s="194"/>
      <c r="AC569" s="194"/>
      <c r="AD569" s="194"/>
      <c r="AE569" s="194"/>
      <c r="AF569" s="194"/>
    </row>
    <row r="570" spans="1:32" x14ac:dyDescent="0.25">
      <c r="A570" s="194"/>
      <c r="B570" s="194"/>
      <c r="C570" s="194"/>
      <c r="D570" s="194"/>
      <c r="E570" s="194"/>
      <c r="F570" s="194"/>
      <c r="G570" s="194"/>
      <c r="H570" s="194"/>
      <c r="I570" s="194"/>
      <c r="J570" s="194"/>
      <c r="K570" s="194"/>
      <c r="L570" s="194"/>
      <c r="M570" s="194"/>
      <c r="N570" s="194"/>
      <c r="O570" s="194"/>
      <c r="P570" s="194"/>
      <c r="Q570" s="194"/>
      <c r="R570" s="194"/>
      <c r="S570" s="194"/>
      <c r="T570" s="194"/>
      <c r="U570" s="194"/>
      <c r="V570" s="194"/>
      <c r="W570" s="194"/>
      <c r="X570" s="194"/>
      <c r="Y570" s="194"/>
      <c r="Z570" s="194"/>
      <c r="AA570" s="194"/>
      <c r="AB570" s="194"/>
      <c r="AC570" s="194"/>
      <c r="AD570" s="194"/>
      <c r="AE570" s="194"/>
      <c r="AF570" s="194"/>
    </row>
    <row r="571" spans="1:32" x14ac:dyDescent="0.25">
      <c r="A571" s="194"/>
      <c r="B571" s="194"/>
      <c r="C571" s="194"/>
      <c r="D571" s="194"/>
      <c r="E571" s="194"/>
      <c r="F571" s="194"/>
      <c r="G571" s="194"/>
      <c r="H571" s="194"/>
      <c r="I571" s="194"/>
      <c r="J571" s="194"/>
      <c r="K571" s="194"/>
      <c r="L571" s="194"/>
      <c r="M571" s="194"/>
      <c r="N571" s="194"/>
      <c r="O571" s="194"/>
      <c r="P571" s="194"/>
      <c r="Q571" s="194"/>
      <c r="R571" s="194"/>
      <c r="S571" s="194"/>
      <c r="T571" s="194"/>
      <c r="U571" s="194"/>
      <c r="V571" s="194"/>
      <c r="W571" s="194"/>
      <c r="X571" s="194"/>
      <c r="Y571" s="194"/>
      <c r="Z571" s="194"/>
      <c r="AA571" s="194"/>
      <c r="AB571" s="194"/>
      <c r="AC571" s="194"/>
      <c r="AD571" s="194"/>
      <c r="AE571" s="194"/>
      <c r="AF571" s="194"/>
    </row>
    <row r="572" spans="1:32" x14ac:dyDescent="0.25">
      <c r="A572" s="194"/>
      <c r="B572" s="194"/>
      <c r="C572" s="194"/>
      <c r="D572" s="194"/>
      <c r="E572" s="194"/>
      <c r="F572" s="194"/>
      <c r="G572" s="194"/>
      <c r="H572" s="194"/>
      <c r="I572" s="194"/>
      <c r="J572" s="194"/>
      <c r="K572" s="194"/>
      <c r="L572" s="194"/>
      <c r="M572" s="194"/>
      <c r="N572" s="194"/>
      <c r="O572" s="194"/>
      <c r="P572" s="194"/>
      <c r="Q572" s="194"/>
      <c r="R572" s="194"/>
      <c r="S572" s="194"/>
      <c r="T572" s="194"/>
      <c r="U572" s="194"/>
      <c r="V572" s="194"/>
      <c r="W572" s="194"/>
      <c r="X572" s="194"/>
      <c r="Y572" s="194"/>
      <c r="Z572" s="194"/>
      <c r="AA572" s="194"/>
      <c r="AB572" s="194"/>
      <c r="AC572" s="194"/>
      <c r="AD572" s="194"/>
      <c r="AE572" s="194"/>
      <c r="AF572" s="194"/>
    </row>
    <row r="573" spans="1:32" x14ac:dyDescent="0.25">
      <c r="A573" s="194"/>
      <c r="B573" s="194"/>
      <c r="C573" s="194"/>
      <c r="D573" s="194"/>
      <c r="E573" s="194"/>
      <c r="F573" s="194"/>
      <c r="G573" s="194"/>
      <c r="H573" s="194"/>
      <c r="I573" s="194"/>
      <c r="J573" s="194"/>
      <c r="K573" s="194"/>
      <c r="L573" s="194"/>
      <c r="M573" s="194"/>
      <c r="N573" s="194"/>
      <c r="O573" s="194"/>
      <c r="P573" s="194"/>
      <c r="Q573" s="194"/>
      <c r="R573" s="194"/>
      <c r="S573" s="194"/>
      <c r="T573" s="194"/>
      <c r="U573" s="194"/>
      <c r="V573" s="194"/>
      <c r="W573" s="194"/>
      <c r="X573" s="194"/>
      <c r="Y573" s="194"/>
      <c r="Z573" s="194"/>
      <c r="AA573" s="194"/>
      <c r="AB573" s="194"/>
      <c r="AC573" s="194"/>
      <c r="AD573" s="194"/>
      <c r="AE573" s="194"/>
      <c r="AF573" s="194"/>
    </row>
    <row r="574" spans="1:32" x14ac:dyDescent="0.25">
      <c r="A574" s="194"/>
      <c r="B574" s="194"/>
      <c r="C574" s="194"/>
      <c r="D574" s="194"/>
      <c r="E574" s="194"/>
      <c r="F574" s="194"/>
      <c r="G574" s="194"/>
      <c r="H574" s="194"/>
      <c r="I574" s="194"/>
      <c r="J574" s="194"/>
      <c r="K574" s="194"/>
      <c r="L574" s="194"/>
      <c r="M574" s="194"/>
      <c r="N574" s="194"/>
      <c r="O574" s="194"/>
      <c r="P574" s="194"/>
      <c r="Q574" s="194"/>
      <c r="R574" s="194"/>
      <c r="S574" s="194"/>
      <c r="T574" s="194"/>
      <c r="U574" s="194"/>
      <c r="V574" s="194"/>
      <c r="W574" s="194"/>
      <c r="X574" s="194"/>
      <c r="Y574" s="194"/>
      <c r="Z574" s="194"/>
      <c r="AA574" s="194"/>
      <c r="AB574" s="194"/>
      <c r="AC574" s="194"/>
      <c r="AD574" s="194"/>
      <c r="AE574" s="194"/>
      <c r="AF574" s="194"/>
    </row>
    <row r="575" spans="1:32" x14ac:dyDescent="0.25">
      <c r="A575" s="194"/>
      <c r="B575" s="194"/>
      <c r="C575" s="194"/>
      <c r="D575" s="194"/>
      <c r="E575" s="194"/>
      <c r="F575" s="194"/>
      <c r="G575" s="194"/>
      <c r="H575" s="194"/>
      <c r="I575" s="194"/>
      <c r="J575" s="194"/>
      <c r="K575" s="194"/>
      <c r="L575" s="194"/>
      <c r="M575" s="194"/>
      <c r="N575" s="194"/>
      <c r="O575" s="194"/>
      <c r="P575" s="194"/>
      <c r="Q575" s="194"/>
      <c r="R575" s="194"/>
      <c r="S575" s="194"/>
      <c r="T575" s="194"/>
      <c r="U575" s="194"/>
      <c r="V575" s="194"/>
      <c r="W575" s="194"/>
      <c r="X575" s="194"/>
      <c r="Y575" s="194"/>
      <c r="Z575" s="194"/>
      <c r="AA575" s="194"/>
      <c r="AB575" s="194"/>
      <c r="AC575" s="194"/>
      <c r="AD575" s="194"/>
      <c r="AE575" s="194"/>
      <c r="AF575" s="194"/>
    </row>
    <row r="576" spans="1:32" x14ac:dyDescent="0.25">
      <c r="A576" s="194"/>
      <c r="B576" s="194"/>
      <c r="C576" s="194"/>
      <c r="D576" s="194"/>
      <c r="E576" s="194"/>
      <c r="F576" s="194"/>
      <c r="G576" s="194"/>
      <c r="H576" s="194"/>
      <c r="I576" s="194"/>
      <c r="J576" s="194"/>
      <c r="K576" s="194"/>
      <c r="L576" s="194"/>
      <c r="M576" s="194"/>
      <c r="N576" s="194"/>
      <c r="O576" s="194"/>
      <c r="P576" s="194"/>
      <c r="Q576" s="194"/>
      <c r="R576" s="194"/>
      <c r="S576" s="194"/>
      <c r="T576" s="194"/>
      <c r="U576" s="194"/>
      <c r="V576" s="194"/>
      <c r="W576" s="194"/>
      <c r="X576" s="194"/>
      <c r="Y576" s="194"/>
      <c r="Z576" s="194"/>
      <c r="AA576" s="194"/>
      <c r="AB576" s="194"/>
      <c r="AC576" s="194"/>
      <c r="AD576" s="194"/>
      <c r="AE576" s="194"/>
      <c r="AF576" s="194"/>
    </row>
    <row r="577" spans="1:32" x14ac:dyDescent="0.25">
      <c r="A577" s="194"/>
      <c r="B577" s="194"/>
      <c r="C577" s="194"/>
      <c r="D577" s="194"/>
      <c r="E577" s="194"/>
      <c r="F577" s="194"/>
      <c r="G577" s="194"/>
      <c r="H577" s="194"/>
      <c r="I577" s="194"/>
      <c r="J577" s="194"/>
      <c r="K577" s="194"/>
      <c r="L577" s="194"/>
      <c r="M577" s="194"/>
      <c r="N577" s="194"/>
      <c r="O577" s="194"/>
      <c r="P577" s="194"/>
      <c r="Q577" s="194"/>
      <c r="R577" s="194"/>
      <c r="S577" s="194"/>
      <c r="T577" s="194"/>
      <c r="U577" s="194"/>
      <c r="V577" s="194"/>
      <c r="W577" s="194"/>
      <c r="X577" s="194"/>
      <c r="Y577" s="194"/>
      <c r="Z577" s="194"/>
      <c r="AA577" s="194"/>
      <c r="AB577" s="194"/>
      <c r="AC577" s="194"/>
      <c r="AD577" s="194"/>
      <c r="AE577" s="194"/>
      <c r="AF577" s="194"/>
    </row>
    <row r="578" spans="1:32" x14ac:dyDescent="0.25">
      <c r="A578" s="194"/>
      <c r="B578" s="194"/>
      <c r="C578" s="194"/>
      <c r="D578" s="194"/>
      <c r="E578" s="194"/>
      <c r="F578" s="194"/>
      <c r="G578" s="194"/>
      <c r="H578" s="194"/>
      <c r="I578" s="194"/>
      <c r="J578" s="194"/>
      <c r="K578" s="194"/>
      <c r="L578" s="194"/>
      <c r="M578" s="194"/>
      <c r="N578" s="194"/>
      <c r="O578" s="194"/>
      <c r="P578" s="194"/>
      <c r="Q578" s="194"/>
      <c r="R578" s="194"/>
      <c r="S578" s="194"/>
      <c r="T578" s="194"/>
      <c r="U578" s="194"/>
      <c r="V578" s="194"/>
      <c r="W578" s="194"/>
      <c r="X578" s="194"/>
      <c r="Y578" s="194"/>
      <c r="Z578" s="194"/>
      <c r="AA578" s="194"/>
      <c r="AB578" s="194"/>
      <c r="AC578" s="194"/>
      <c r="AD578" s="194"/>
      <c r="AE578" s="194"/>
      <c r="AF578" s="194"/>
    </row>
    <row r="579" spans="1:32" x14ac:dyDescent="0.25">
      <c r="A579" s="194"/>
      <c r="B579" s="194"/>
      <c r="C579" s="194"/>
      <c r="D579" s="194"/>
      <c r="E579" s="194"/>
      <c r="F579" s="194"/>
      <c r="G579" s="194"/>
      <c r="H579" s="194"/>
      <c r="I579" s="194"/>
      <c r="J579" s="194"/>
      <c r="K579" s="194"/>
      <c r="L579" s="194"/>
      <c r="M579" s="194"/>
      <c r="N579" s="194"/>
      <c r="O579" s="194"/>
      <c r="P579" s="194"/>
      <c r="Q579" s="194"/>
      <c r="R579" s="194"/>
      <c r="S579" s="194"/>
      <c r="T579" s="194"/>
      <c r="U579" s="194"/>
      <c r="V579" s="194"/>
      <c r="W579" s="194"/>
      <c r="X579" s="194"/>
      <c r="Y579" s="194"/>
      <c r="Z579" s="194"/>
      <c r="AA579" s="194"/>
      <c r="AB579" s="194"/>
      <c r="AC579" s="194"/>
      <c r="AD579" s="194"/>
      <c r="AE579" s="194"/>
      <c r="AF579" s="194"/>
    </row>
    <row r="580" spans="1:32" x14ac:dyDescent="0.25">
      <c r="A580" s="194"/>
      <c r="B580" s="194"/>
      <c r="C580" s="194"/>
      <c r="D580" s="194"/>
      <c r="E580" s="194"/>
      <c r="F580" s="194"/>
      <c r="G580" s="194"/>
      <c r="H580" s="194"/>
      <c r="I580" s="194"/>
      <c r="J580" s="194"/>
      <c r="K580" s="194"/>
      <c r="L580" s="194"/>
      <c r="M580" s="194"/>
      <c r="N580" s="194"/>
      <c r="O580" s="194"/>
      <c r="P580" s="194"/>
      <c r="Q580" s="194"/>
      <c r="R580" s="194"/>
      <c r="S580" s="194"/>
      <c r="T580" s="194"/>
      <c r="U580" s="194"/>
      <c r="V580" s="194"/>
      <c r="W580" s="194"/>
      <c r="X580" s="194"/>
      <c r="Y580" s="194"/>
      <c r="Z580" s="194"/>
      <c r="AA580" s="194"/>
      <c r="AB580" s="194"/>
      <c r="AC580" s="194"/>
      <c r="AD580" s="194"/>
      <c r="AE580" s="194"/>
      <c r="AF580" s="194"/>
    </row>
    <row r="581" spans="1:32" x14ac:dyDescent="0.25">
      <c r="A581" s="194"/>
      <c r="B581" s="194"/>
      <c r="C581" s="194"/>
      <c r="D581" s="194"/>
      <c r="E581" s="194"/>
      <c r="F581" s="194"/>
      <c r="G581" s="194"/>
      <c r="H581" s="194"/>
      <c r="I581" s="194"/>
      <c r="J581" s="194"/>
      <c r="K581" s="194"/>
      <c r="L581" s="194"/>
      <c r="M581" s="194"/>
      <c r="N581" s="194"/>
      <c r="O581" s="194"/>
      <c r="P581" s="194"/>
      <c r="Q581" s="194"/>
      <c r="R581" s="194"/>
      <c r="S581" s="194"/>
      <c r="T581" s="194"/>
      <c r="U581" s="194"/>
      <c r="V581" s="194"/>
      <c r="W581" s="194"/>
      <c r="X581" s="194"/>
      <c r="Y581" s="194"/>
      <c r="Z581" s="194"/>
      <c r="AA581" s="194"/>
      <c r="AB581" s="194"/>
      <c r="AC581" s="194"/>
      <c r="AD581" s="194"/>
      <c r="AE581" s="194"/>
      <c r="AF581" s="194"/>
    </row>
    <row r="582" spans="1:32" x14ac:dyDescent="0.25">
      <c r="A582" s="194"/>
      <c r="B582" s="194"/>
      <c r="C582" s="194"/>
      <c r="D582" s="194"/>
      <c r="E582" s="194"/>
      <c r="F582" s="194"/>
      <c r="G582" s="194"/>
      <c r="H582" s="194"/>
      <c r="I582" s="194"/>
      <c r="J582" s="194"/>
      <c r="K582" s="194"/>
      <c r="L582" s="194"/>
      <c r="M582" s="194"/>
      <c r="N582" s="194"/>
      <c r="O582" s="194"/>
      <c r="P582" s="194"/>
      <c r="Q582" s="194"/>
      <c r="R582" s="194"/>
      <c r="S582" s="194"/>
      <c r="T582" s="194"/>
      <c r="U582" s="194"/>
      <c r="V582" s="194"/>
      <c r="W582" s="194"/>
      <c r="X582" s="194"/>
      <c r="Y582" s="194"/>
      <c r="Z582" s="194"/>
      <c r="AA582" s="194"/>
      <c r="AB582" s="194"/>
      <c r="AC582" s="194"/>
      <c r="AD582" s="194"/>
      <c r="AE582" s="194"/>
      <c r="AF582" s="194"/>
    </row>
    <row r="583" spans="1:32" x14ac:dyDescent="0.25">
      <c r="A583" s="194"/>
      <c r="B583" s="194"/>
      <c r="C583" s="194"/>
      <c r="D583" s="194"/>
      <c r="E583" s="194"/>
      <c r="F583" s="194"/>
      <c r="G583" s="194"/>
      <c r="H583" s="194"/>
      <c r="I583" s="194"/>
      <c r="J583" s="194"/>
      <c r="K583" s="194"/>
      <c r="L583" s="194"/>
      <c r="M583" s="194"/>
      <c r="N583" s="194"/>
      <c r="O583" s="194"/>
      <c r="P583" s="194"/>
      <c r="Q583" s="194"/>
      <c r="R583" s="194"/>
      <c r="S583" s="194"/>
      <c r="T583" s="194"/>
      <c r="U583" s="194"/>
      <c r="V583" s="194"/>
      <c r="W583" s="194"/>
      <c r="X583" s="194"/>
      <c r="Y583" s="194"/>
      <c r="Z583" s="194"/>
      <c r="AA583" s="194"/>
      <c r="AB583" s="194"/>
      <c r="AC583" s="194"/>
      <c r="AD583" s="194"/>
      <c r="AE583" s="194"/>
      <c r="AF583" s="194"/>
    </row>
    <row r="584" spans="1:32" x14ac:dyDescent="0.25">
      <c r="A584" s="194"/>
      <c r="B584" s="194"/>
      <c r="C584" s="194"/>
      <c r="D584" s="194"/>
      <c r="E584" s="194"/>
      <c r="F584" s="194"/>
      <c r="G584" s="194"/>
      <c r="H584" s="194"/>
      <c r="I584" s="194"/>
      <c r="J584" s="194"/>
      <c r="K584" s="194"/>
      <c r="L584" s="194"/>
      <c r="M584" s="194"/>
      <c r="N584" s="194"/>
      <c r="O584" s="194"/>
      <c r="P584" s="194"/>
      <c r="Q584" s="194"/>
      <c r="R584" s="194"/>
      <c r="S584" s="194"/>
      <c r="T584" s="194"/>
      <c r="U584" s="194"/>
      <c r="V584" s="194"/>
      <c r="W584" s="194"/>
      <c r="X584" s="194"/>
      <c r="Y584" s="194"/>
      <c r="Z584" s="194"/>
      <c r="AA584" s="194"/>
      <c r="AB584" s="194"/>
      <c r="AC584" s="194"/>
      <c r="AD584" s="194"/>
      <c r="AE584" s="194"/>
      <c r="AF584" s="194"/>
    </row>
    <row r="585" spans="1:32" x14ac:dyDescent="0.25">
      <c r="A585" s="194"/>
      <c r="B585" s="194"/>
      <c r="C585" s="194"/>
      <c r="D585" s="194"/>
      <c r="E585" s="194"/>
      <c r="F585" s="194"/>
      <c r="G585" s="194"/>
      <c r="H585" s="194"/>
      <c r="I585" s="194"/>
      <c r="J585" s="194"/>
      <c r="K585" s="194"/>
      <c r="L585" s="194"/>
      <c r="M585" s="194"/>
      <c r="N585" s="194"/>
      <c r="O585" s="194"/>
      <c r="P585" s="194"/>
      <c r="Q585" s="194"/>
      <c r="R585" s="194"/>
      <c r="S585" s="194"/>
      <c r="T585" s="194"/>
      <c r="U585" s="194"/>
      <c r="V585" s="194"/>
      <c r="W585" s="194"/>
      <c r="X585" s="194"/>
      <c r="Y585" s="194"/>
      <c r="Z585" s="194"/>
      <c r="AA585" s="194"/>
      <c r="AB585" s="194"/>
      <c r="AC585" s="194"/>
      <c r="AD585" s="194"/>
      <c r="AE585" s="194"/>
      <c r="AF585" s="194"/>
    </row>
    <row r="586" spans="1:32" x14ac:dyDescent="0.25">
      <c r="A586" s="194"/>
      <c r="B586" s="194"/>
      <c r="C586" s="194"/>
      <c r="D586" s="194"/>
      <c r="E586" s="194"/>
      <c r="F586" s="194"/>
      <c r="G586" s="194"/>
      <c r="H586" s="194"/>
      <c r="I586" s="194"/>
      <c r="J586" s="194"/>
      <c r="K586" s="194"/>
      <c r="L586" s="194"/>
      <c r="M586" s="194"/>
      <c r="N586" s="194"/>
      <c r="O586" s="194"/>
      <c r="P586" s="194"/>
      <c r="Q586" s="194"/>
      <c r="R586" s="194"/>
      <c r="S586" s="194"/>
      <c r="T586" s="194"/>
      <c r="U586" s="194"/>
      <c r="V586" s="194"/>
      <c r="W586" s="194"/>
      <c r="X586" s="194"/>
      <c r="Y586" s="194"/>
      <c r="Z586" s="194"/>
      <c r="AA586" s="194"/>
      <c r="AB586" s="194"/>
      <c r="AC586" s="194"/>
      <c r="AD586" s="194"/>
      <c r="AE586" s="194"/>
      <c r="AF586" s="194"/>
    </row>
    <row r="587" spans="1:32" x14ac:dyDescent="0.25">
      <c r="A587" s="194"/>
      <c r="B587" s="194"/>
      <c r="C587" s="194"/>
      <c r="D587" s="194"/>
      <c r="E587" s="194"/>
      <c r="F587" s="194"/>
      <c r="G587" s="194"/>
      <c r="H587" s="194"/>
      <c r="I587" s="194"/>
      <c r="J587" s="194"/>
      <c r="K587" s="194"/>
      <c r="L587" s="194"/>
      <c r="M587" s="194"/>
      <c r="N587" s="194"/>
      <c r="O587" s="194"/>
      <c r="P587" s="194"/>
      <c r="Q587" s="194"/>
      <c r="R587" s="194"/>
      <c r="S587" s="194"/>
      <c r="T587" s="194"/>
      <c r="U587" s="194"/>
      <c r="V587" s="194"/>
      <c r="W587" s="194"/>
      <c r="X587" s="194"/>
      <c r="Y587" s="194"/>
      <c r="Z587" s="194"/>
      <c r="AA587" s="194"/>
      <c r="AB587" s="194"/>
      <c r="AC587" s="194"/>
      <c r="AD587" s="194"/>
      <c r="AE587" s="194"/>
      <c r="AF587" s="194"/>
    </row>
    <row r="588" spans="1:32" x14ac:dyDescent="0.25">
      <c r="A588" s="194"/>
      <c r="B588" s="194"/>
      <c r="C588" s="194"/>
      <c r="D588" s="194"/>
      <c r="E588" s="194"/>
      <c r="F588" s="194"/>
      <c r="G588" s="194"/>
      <c r="H588" s="194"/>
      <c r="I588" s="194"/>
      <c r="J588" s="194"/>
      <c r="K588" s="194"/>
      <c r="L588" s="194"/>
      <c r="M588" s="194"/>
      <c r="N588" s="194"/>
      <c r="O588" s="194"/>
      <c r="P588" s="194"/>
      <c r="Q588" s="194"/>
      <c r="R588" s="194"/>
      <c r="S588" s="194"/>
      <c r="T588" s="194"/>
      <c r="U588" s="194"/>
      <c r="V588" s="194"/>
      <c r="W588" s="194"/>
      <c r="X588" s="194"/>
      <c r="Y588" s="194"/>
      <c r="Z588" s="194"/>
      <c r="AA588" s="194"/>
      <c r="AB588" s="194"/>
      <c r="AC588" s="194"/>
      <c r="AD588" s="194"/>
      <c r="AE588" s="194"/>
      <c r="AF588" s="194"/>
    </row>
    <row r="589" spans="1:32" x14ac:dyDescent="0.25">
      <c r="A589" s="194"/>
      <c r="B589" s="194"/>
      <c r="C589" s="194"/>
      <c r="D589" s="194"/>
      <c r="E589" s="194"/>
      <c r="F589" s="194"/>
      <c r="G589" s="194"/>
      <c r="H589" s="194"/>
      <c r="I589" s="194"/>
      <c r="J589" s="194"/>
      <c r="K589" s="194"/>
      <c r="L589" s="194"/>
      <c r="M589" s="194"/>
      <c r="N589" s="194"/>
      <c r="O589" s="194"/>
      <c r="P589" s="194"/>
      <c r="Q589" s="194"/>
      <c r="R589" s="194"/>
      <c r="S589" s="194"/>
      <c r="T589" s="194"/>
      <c r="U589" s="194"/>
      <c r="V589" s="194"/>
      <c r="W589" s="194"/>
      <c r="X589" s="194"/>
      <c r="Y589" s="194"/>
      <c r="Z589" s="194"/>
      <c r="AA589" s="194"/>
      <c r="AB589" s="194"/>
      <c r="AC589" s="194"/>
      <c r="AD589" s="194"/>
      <c r="AE589" s="194"/>
      <c r="AF589" s="194"/>
    </row>
    <row r="590" spans="1:32" x14ac:dyDescent="0.25">
      <c r="A590" s="194"/>
      <c r="B590" s="194"/>
      <c r="C590" s="194"/>
      <c r="D590" s="194"/>
      <c r="E590" s="194"/>
      <c r="F590" s="194"/>
      <c r="G590" s="194"/>
      <c r="H590" s="194"/>
      <c r="I590" s="194"/>
      <c r="J590" s="194"/>
      <c r="K590" s="194"/>
      <c r="L590" s="194"/>
      <c r="M590" s="194"/>
      <c r="N590" s="194"/>
      <c r="O590" s="194"/>
      <c r="P590" s="194"/>
      <c r="Q590" s="194"/>
      <c r="R590" s="194"/>
      <c r="S590" s="194"/>
      <c r="T590" s="194"/>
      <c r="U590" s="194"/>
      <c r="V590" s="194"/>
      <c r="W590" s="194"/>
      <c r="X590" s="194"/>
      <c r="Y590" s="194"/>
      <c r="Z590" s="194"/>
      <c r="AA590" s="194"/>
      <c r="AB590" s="194"/>
      <c r="AC590" s="194"/>
      <c r="AD590" s="194"/>
      <c r="AE590" s="194"/>
      <c r="AF590" s="194"/>
    </row>
    <row r="591" spans="1:32" x14ac:dyDescent="0.25">
      <c r="A591" s="194"/>
      <c r="B591" s="194"/>
      <c r="C591" s="194"/>
      <c r="D591" s="194"/>
      <c r="E591" s="194"/>
      <c r="F591" s="194"/>
      <c r="G591" s="194"/>
      <c r="H591" s="194"/>
      <c r="I591" s="194"/>
      <c r="J591" s="194"/>
      <c r="K591" s="194"/>
      <c r="L591" s="194"/>
      <c r="M591" s="194"/>
      <c r="N591" s="194"/>
      <c r="O591" s="194"/>
      <c r="P591" s="194"/>
      <c r="Q591" s="194"/>
      <c r="R591" s="194"/>
      <c r="S591" s="194"/>
      <c r="T591" s="194"/>
      <c r="U591" s="194"/>
      <c r="V591" s="194"/>
      <c r="W591" s="194"/>
      <c r="X591" s="194"/>
      <c r="Y591" s="194"/>
      <c r="Z591" s="194"/>
      <c r="AA591" s="194"/>
      <c r="AB591" s="194"/>
      <c r="AC591" s="194"/>
      <c r="AD591" s="194"/>
      <c r="AE591" s="194"/>
      <c r="AF591" s="194"/>
    </row>
    <row r="592" spans="1:32" x14ac:dyDescent="0.25">
      <c r="A592" s="194"/>
      <c r="B592" s="194"/>
      <c r="C592" s="194"/>
      <c r="D592" s="194"/>
      <c r="E592" s="194"/>
      <c r="F592" s="194"/>
      <c r="G592" s="194"/>
      <c r="H592" s="194"/>
      <c r="I592" s="194"/>
      <c r="J592" s="194"/>
      <c r="K592" s="194"/>
      <c r="L592" s="194"/>
      <c r="M592" s="194"/>
      <c r="N592" s="194"/>
      <c r="O592" s="194"/>
      <c r="P592" s="194"/>
      <c r="Q592" s="194"/>
      <c r="R592" s="194"/>
      <c r="S592" s="194"/>
      <c r="T592" s="194"/>
      <c r="U592" s="194"/>
      <c r="V592" s="194"/>
      <c r="W592" s="194"/>
      <c r="X592" s="194"/>
      <c r="Y592" s="194"/>
      <c r="Z592" s="194"/>
      <c r="AA592" s="194"/>
      <c r="AB592" s="194"/>
      <c r="AC592" s="194"/>
      <c r="AD592" s="194"/>
      <c r="AE592" s="194"/>
      <c r="AF592" s="194"/>
    </row>
    <row r="593" spans="1:32" x14ac:dyDescent="0.25">
      <c r="A593" s="194"/>
      <c r="B593" s="194"/>
      <c r="C593" s="194"/>
      <c r="D593" s="194"/>
      <c r="E593" s="194"/>
      <c r="F593" s="194"/>
      <c r="G593" s="194"/>
      <c r="H593" s="194"/>
      <c r="I593" s="194"/>
      <c r="J593" s="194"/>
      <c r="K593" s="194"/>
      <c r="L593" s="194"/>
      <c r="M593" s="194"/>
      <c r="N593" s="194"/>
      <c r="O593" s="194"/>
      <c r="P593" s="194"/>
      <c r="Q593" s="194"/>
      <c r="R593" s="194"/>
      <c r="S593" s="194"/>
      <c r="T593" s="194"/>
      <c r="U593" s="194"/>
      <c r="V593" s="194"/>
      <c r="W593" s="194"/>
      <c r="X593" s="194"/>
      <c r="Y593" s="194"/>
      <c r="Z593" s="194"/>
      <c r="AA593" s="194"/>
      <c r="AB593" s="194"/>
      <c r="AC593" s="194"/>
      <c r="AD593" s="194"/>
      <c r="AE593" s="194"/>
      <c r="AF593" s="194"/>
    </row>
    <row r="594" spans="1:32" x14ac:dyDescent="0.25">
      <c r="A594" s="194"/>
      <c r="B594" s="194"/>
      <c r="C594" s="194"/>
      <c r="D594" s="194"/>
      <c r="E594" s="194"/>
      <c r="F594" s="194"/>
      <c r="G594" s="194"/>
      <c r="H594" s="194"/>
      <c r="I594" s="194"/>
      <c r="J594" s="194"/>
      <c r="K594" s="194"/>
      <c r="L594" s="194"/>
      <c r="M594" s="194"/>
      <c r="N594" s="194"/>
      <c r="O594" s="194"/>
      <c r="P594" s="194"/>
      <c r="Q594" s="194"/>
      <c r="R594" s="194"/>
      <c r="S594" s="194"/>
      <c r="T594" s="194"/>
      <c r="U594" s="194"/>
      <c r="V594" s="194"/>
      <c r="W594" s="194"/>
      <c r="X594" s="194"/>
      <c r="Y594" s="194"/>
      <c r="Z594" s="194"/>
      <c r="AA594" s="194"/>
      <c r="AB594" s="194"/>
      <c r="AC594" s="194"/>
      <c r="AD594" s="194"/>
      <c r="AE594" s="194"/>
      <c r="AF594" s="194"/>
    </row>
    <row r="595" spans="1:32" x14ac:dyDescent="0.25">
      <c r="A595" s="194"/>
      <c r="B595" s="194"/>
      <c r="C595" s="194"/>
      <c r="D595" s="194"/>
      <c r="E595" s="194"/>
      <c r="F595" s="194"/>
      <c r="G595" s="194"/>
      <c r="H595" s="194"/>
      <c r="I595" s="194"/>
      <c r="J595" s="194"/>
      <c r="K595" s="194"/>
      <c r="L595" s="194"/>
      <c r="M595" s="194"/>
      <c r="N595" s="194"/>
      <c r="O595" s="194"/>
      <c r="P595" s="194"/>
      <c r="Q595" s="194"/>
      <c r="R595" s="194"/>
      <c r="S595" s="194"/>
      <c r="T595" s="194"/>
      <c r="U595" s="194"/>
      <c r="V595" s="194"/>
      <c r="W595" s="194"/>
      <c r="X595" s="194"/>
      <c r="Y595" s="194"/>
      <c r="Z595" s="194"/>
      <c r="AA595" s="194"/>
      <c r="AB595" s="194"/>
      <c r="AC595" s="194"/>
      <c r="AD595" s="194"/>
      <c r="AE595" s="194"/>
      <c r="AF595" s="194"/>
    </row>
    <row r="596" spans="1:32" x14ac:dyDescent="0.25">
      <c r="A596" s="194"/>
      <c r="B596" s="194"/>
      <c r="C596" s="194"/>
      <c r="D596" s="194"/>
      <c r="E596" s="194"/>
      <c r="F596" s="194"/>
      <c r="G596" s="194"/>
      <c r="H596" s="194"/>
      <c r="I596" s="194"/>
      <c r="J596" s="194"/>
      <c r="K596" s="194"/>
      <c r="L596" s="194"/>
      <c r="M596" s="194"/>
      <c r="N596" s="194"/>
      <c r="O596" s="194"/>
      <c r="P596" s="194"/>
      <c r="Q596" s="194"/>
      <c r="R596" s="194"/>
      <c r="S596" s="194"/>
      <c r="T596" s="194"/>
      <c r="U596" s="194"/>
      <c r="V596" s="194"/>
      <c r="W596" s="194"/>
      <c r="X596" s="194"/>
      <c r="Y596" s="194"/>
      <c r="Z596" s="194"/>
      <c r="AA596" s="194"/>
      <c r="AB596" s="194"/>
      <c r="AC596" s="194"/>
      <c r="AD596" s="194"/>
      <c r="AE596" s="194"/>
      <c r="AF596" s="194"/>
    </row>
    <row r="597" spans="1:32" x14ac:dyDescent="0.25">
      <c r="A597" s="194"/>
      <c r="B597" s="194"/>
      <c r="C597" s="194"/>
      <c r="D597" s="194"/>
      <c r="E597" s="194"/>
      <c r="F597" s="194"/>
      <c r="G597" s="194"/>
      <c r="H597" s="194"/>
      <c r="I597" s="194"/>
      <c r="J597" s="194"/>
      <c r="K597" s="194"/>
      <c r="L597" s="194"/>
      <c r="M597" s="194"/>
      <c r="N597" s="194"/>
      <c r="O597" s="194"/>
      <c r="P597" s="194"/>
      <c r="Q597" s="194"/>
      <c r="R597" s="194"/>
      <c r="S597" s="194"/>
      <c r="T597" s="194"/>
      <c r="U597" s="194"/>
      <c r="V597" s="194"/>
      <c r="W597" s="194"/>
      <c r="X597" s="194"/>
      <c r="Y597" s="194"/>
      <c r="Z597" s="194"/>
      <c r="AA597" s="194"/>
      <c r="AB597" s="194"/>
      <c r="AC597" s="194"/>
      <c r="AD597" s="194"/>
      <c r="AE597" s="194"/>
      <c r="AF597" s="194"/>
    </row>
    <row r="598" spans="1:32" x14ac:dyDescent="0.25">
      <c r="A598" s="194"/>
      <c r="B598" s="194"/>
      <c r="C598" s="194"/>
      <c r="D598" s="194"/>
      <c r="E598" s="194"/>
      <c r="F598" s="194"/>
      <c r="G598" s="194"/>
      <c r="H598" s="194"/>
      <c r="I598" s="194"/>
      <c r="J598" s="194"/>
      <c r="K598" s="194"/>
      <c r="L598" s="194"/>
      <c r="M598" s="194"/>
      <c r="N598" s="194"/>
      <c r="O598" s="194"/>
      <c r="P598" s="194"/>
      <c r="Q598" s="194"/>
      <c r="R598" s="194"/>
      <c r="S598" s="194"/>
      <c r="T598" s="194"/>
      <c r="U598" s="194"/>
      <c r="V598" s="194"/>
      <c r="W598" s="194"/>
      <c r="X598" s="194"/>
      <c r="Y598" s="194"/>
      <c r="Z598" s="194"/>
      <c r="AA598" s="194"/>
      <c r="AB598" s="194"/>
      <c r="AC598" s="194"/>
      <c r="AD598" s="194"/>
      <c r="AE598" s="194"/>
      <c r="AF598" s="194"/>
    </row>
    <row r="599" spans="1:32" x14ac:dyDescent="0.25">
      <c r="A599" s="194"/>
      <c r="B599" s="194"/>
      <c r="C599" s="194"/>
      <c r="D599" s="194"/>
      <c r="E599" s="194"/>
      <c r="F599" s="194"/>
      <c r="G599" s="194"/>
      <c r="H599" s="194"/>
      <c r="I599" s="194"/>
      <c r="J599" s="194"/>
      <c r="K599" s="194"/>
      <c r="L599" s="194"/>
      <c r="M599" s="194"/>
      <c r="N599" s="194"/>
      <c r="O599" s="194"/>
      <c r="P599" s="194"/>
      <c r="Q599" s="194"/>
      <c r="R599" s="194"/>
      <c r="S599" s="194"/>
      <c r="T599" s="194"/>
      <c r="U599" s="194"/>
      <c r="V599" s="194"/>
      <c r="W599" s="194"/>
      <c r="X599" s="194"/>
      <c r="Y599" s="194"/>
      <c r="Z599" s="194"/>
      <c r="AA599" s="194"/>
      <c r="AB599" s="194"/>
      <c r="AC599" s="194"/>
      <c r="AD599" s="194"/>
      <c r="AE599" s="194"/>
      <c r="AF599" s="194"/>
    </row>
    <row r="600" spans="1:32" x14ac:dyDescent="0.25">
      <c r="A600" s="194"/>
      <c r="B600" s="194"/>
      <c r="C600" s="194"/>
      <c r="D600" s="194"/>
      <c r="E600" s="194"/>
      <c r="F600" s="194"/>
      <c r="G600" s="194"/>
      <c r="H600" s="194"/>
      <c r="I600" s="194"/>
      <c r="J600" s="194"/>
      <c r="K600" s="194"/>
      <c r="L600" s="194"/>
      <c r="M600" s="194"/>
      <c r="N600" s="194"/>
      <c r="O600" s="194"/>
      <c r="P600" s="194"/>
      <c r="Q600" s="194"/>
      <c r="R600" s="194"/>
      <c r="S600" s="194"/>
      <c r="T600" s="194"/>
      <c r="U600" s="194"/>
      <c r="V600" s="194"/>
      <c r="W600" s="194"/>
      <c r="X600" s="194"/>
      <c r="Y600" s="194"/>
      <c r="Z600" s="194"/>
      <c r="AA600" s="194"/>
      <c r="AB600" s="194"/>
      <c r="AC600" s="194"/>
      <c r="AD600" s="194"/>
      <c r="AE600" s="194"/>
      <c r="AF600" s="194"/>
    </row>
    <row r="601" spans="1:32" x14ac:dyDescent="0.25">
      <c r="A601" s="194"/>
      <c r="B601" s="194"/>
      <c r="C601" s="194"/>
      <c r="D601" s="194"/>
      <c r="E601" s="194"/>
      <c r="F601" s="194"/>
      <c r="G601" s="194"/>
      <c r="H601" s="194"/>
      <c r="I601" s="194"/>
      <c r="J601" s="194"/>
      <c r="K601" s="194"/>
      <c r="L601" s="194"/>
      <c r="M601" s="194"/>
      <c r="N601" s="194"/>
      <c r="O601" s="194"/>
      <c r="P601" s="194"/>
      <c r="Q601" s="194"/>
      <c r="R601" s="194"/>
      <c r="S601" s="194"/>
      <c r="T601" s="194"/>
      <c r="U601" s="194"/>
      <c r="V601" s="194"/>
      <c r="W601" s="194"/>
      <c r="X601" s="194"/>
      <c r="Y601" s="194"/>
      <c r="Z601" s="194"/>
      <c r="AA601" s="194"/>
      <c r="AB601" s="194"/>
      <c r="AC601" s="194"/>
      <c r="AD601" s="194"/>
      <c r="AE601" s="194"/>
      <c r="AF601" s="194"/>
    </row>
    <row r="602" spans="1:32" x14ac:dyDescent="0.25">
      <c r="A602" s="194"/>
      <c r="B602" s="194"/>
      <c r="C602" s="194"/>
      <c r="D602" s="194"/>
      <c r="E602" s="194"/>
      <c r="F602" s="194"/>
      <c r="G602" s="194"/>
      <c r="H602" s="194"/>
      <c r="I602" s="194"/>
      <c r="J602" s="194"/>
      <c r="K602" s="194"/>
      <c r="L602" s="194"/>
      <c r="M602" s="194"/>
      <c r="N602" s="194"/>
      <c r="O602" s="194"/>
      <c r="P602" s="194"/>
      <c r="Q602" s="194"/>
      <c r="R602" s="194"/>
      <c r="S602" s="194"/>
      <c r="T602" s="194"/>
      <c r="U602" s="194"/>
      <c r="V602" s="194"/>
      <c r="W602" s="194"/>
      <c r="X602" s="194"/>
      <c r="Y602" s="194"/>
      <c r="Z602" s="194"/>
      <c r="AA602" s="194"/>
      <c r="AB602" s="194"/>
      <c r="AC602" s="194"/>
      <c r="AD602" s="194"/>
      <c r="AE602" s="194"/>
      <c r="AF602" s="194"/>
    </row>
    <row r="603" spans="1:32" x14ac:dyDescent="0.25">
      <c r="A603" s="194"/>
      <c r="B603" s="194"/>
      <c r="C603" s="194"/>
      <c r="D603" s="194"/>
      <c r="E603" s="194"/>
      <c r="F603" s="194"/>
      <c r="G603" s="194"/>
      <c r="H603" s="194"/>
      <c r="I603" s="194"/>
      <c r="J603" s="194"/>
      <c r="K603" s="194"/>
      <c r="L603" s="194"/>
      <c r="M603" s="194"/>
      <c r="N603" s="194"/>
      <c r="O603" s="194"/>
      <c r="P603" s="194"/>
      <c r="Q603" s="194"/>
      <c r="R603" s="194"/>
      <c r="S603" s="194"/>
      <c r="T603" s="194"/>
      <c r="U603" s="194"/>
      <c r="V603" s="194"/>
      <c r="W603" s="194"/>
      <c r="X603" s="194"/>
      <c r="Y603" s="194"/>
      <c r="Z603" s="194"/>
      <c r="AA603" s="194"/>
      <c r="AB603" s="194"/>
      <c r="AC603" s="194"/>
      <c r="AD603" s="194"/>
      <c r="AE603" s="194"/>
      <c r="AF603" s="194"/>
    </row>
    <row r="604" spans="1:32" x14ac:dyDescent="0.25">
      <c r="A604" s="194"/>
      <c r="B604" s="194"/>
      <c r="C604" s="194"/>
      <c r="D604" s="194"/>
      <c r="E604" s="194"/>
      <c r="F604" s="194"/>
      <c r="G604" s="194"/>
      <c r="H604" s="194"/>
      <c r="I604" s="194"/>
      <c r="J604" s="194"/>
      <c r="K604" s="194"/>
      <c r="L604" s="194"/>
      <c r="M604" s="194"/>
      <c r="N604" s="194"/>
      <c r="O604" s="194"/>
      <c r="P604" s="194"/>
      <c r="Q604" s="194"/>
      <c r="R604" s="194"/>
      <c r="S604" s="194"/>
      <c r="T604" s="194"/>
      <c r="U604" s="194"/>
      <c r="V604" s="194"/>
      <c r="W604" s="194"/>
      <c r="X604" s="194"/>
      <c r="Y604" s="194"/>
      <c r="Z604" s="194"/>
      <c r="AA604" s="194"/>
      <c r="AB604" s="194"/>
      <c r="AC604" s="194"/>
      <c r="AD604" s="194"/>
      <c r="AE604" s="194"/>
      <c r="AF604" s="194"/>
    </row>
    <row r="605" spans="1:32" x14ac:dyDescent="0.25">
      <c r="A605" s="194"/>
      <c r="B605" s="194"/>
      <c r="C605" s="194"/>
      <c r="D605" s="194"/>
      <c r="E605" s="194"/>
      <c r="F605" s="194"/>
      <c r="G605" s="194"/>
      <c r="H605" s="194"/>
      <c r="I605" s="194"/>
      <c r="J605" s="194"/>
      <c r="K605" s="194"/>
      <c r="L605" s="194"/>
      <c r="M605" s="194"/>
      <c r="N605" s="194"/>
      <c r="O605" s="194"/>
      <c r="P605" s="194"/>
      <c r="Q605" s="194"/>
      <c r="R605" s="194"/>
      <c r="S605" s="194"/>
      <c r="T605" s="194"/>
      <c r="U605" s="194"/>
      <c r="V605" s="194"/>
      <c r="W605" s="194"/>
      <c r="X605" s="194"/>
      <c r="Y605" s="194"/>
      <c r="Z605" s="194"/>
      <c r="AA605" s="194"/>
      <c r="AB605" s="194"/>
      <c r="AC605" s="194"/>
      <c r="AD605" s="194"/>
      <c r="AE605" s="194"/>
      <c r="AF605" s="194"/>
    </row>
    <row r="606" spans="1:32" x14ac:dyDescent="0.25">
      <c r="A606" s="194"/>
      <c r="B606" s="194"/>
      <c r="C606" s="194"/>
      <c r="D606" s="194"/>
      <c r="E606" s="194"/>
      <c r="F606" s="194"/>
      <c r="G606" s="194"/>
      <c r="H606" s="194"/>
      <c r="I606" s="194"/>
      <c r="J606" s="194"/>
      <c r="K606" s="194"/>
      <c r="L606" s="194"/>
      <c r="M606" s="194"/>
      <c r="N606" s="194"/>
      <c r="O606" s="194"/>
      <c r="P606" s="194"/>
      <c r="Q606" s="194"/>
      <c r="R606" s="194"/>
      <c r="S606" s="194"/>
      <c r="T606" s="194"/>
      <c r="U606" s="194"/>
      <c r="V606" s="194"/>
      <c r="W606" s="194"/>
      <c r="X606" s="194"/>
      <c r="Y606" s="194"/>
      <c r="Z606" s="194"/>
      <c r="AA606" s="194"/>
      <c r="AB606" s="194"/>
      <c r="AC606" s="194"/>
      <c r="AD606" s="194"/>
      <c r="AE606" s="194"/>
      <c r="AF606" s="194"/>
    </row>
    <row r="607" spans="1:32" x14ac:dyDescent="0.25">
      <c r="A607" s="194"/>
      <c r="B607" s="194"/>
      <c r="C607" s="194"/>
      <c r="D607" s="194"/>
      <c r="E607" s="194"/>
      <c r="F607" s="194"/>
      <c r="G607" s="194"/>
      <c r="H607" s="194"/>
      <c r="I607" s="194"/>
      <c r="J607" s="194"/>
      <c r="K607" s="194"/>
      <c r="L607" s="194"/>
      <c r="M607" s="194"/>
      <c r="N607" s="194"/>
      <c r="O607" s="194"/>
      <c r="P607" s="194"/>
      <c r="Q607" s="194"/>
      <c r="R607" s="194"/>
      <c r="S607" s="194"/>
      <c r="T607" s="194"/>
      <c r="U607" s="194"/>
      <c r="V607" s="194"/>
      <c r="W607" s="194"/>
      <c r="X607" s="194"/>
      <c r="Y607" s="194"/>
      <c r="Z607" s="194"/>
      <c r="AA607" s="194"/>
      <c r="AB607" s="194"/>
      <c r="AC607" s="194"/>
      <c r="AD607" s="194"/>
      <c r="AE607" s="194"/>
      <c r="AF607" s="194"/>
    </row>
    <row r="608" spans="1:32" x14ac:dyDescent="0.25">
      <c r="A608" s="194"/>
      <c r="B608" s="194"/>
      <c r="C608" s="194"/>
      <c r="D608" s="194"/>
      <c r="E608" s="194"/>
      <c r="F608" s="194"/>
      <c r="G608" s="194"/>
      <c r="H608" s="194"/>
      <c r="I608" s="194"/>
      <c r="J608" s="194"/>
      <c r="K608" s="194"/>
      <c r="L608" s="194"/>
      <c r="M608" s="194"/>
      <c r="N608" s="194"/>
      <c r="O608" s="194"/>
      <c r="P608" s="194"/>
      <c r="Q608" s="194"/>
      <c r="R608" s="194"/>
      <c r="S608" s="194"/>
      <c r="T608" s="194"/>
      <c r="U608" s="194"/>
      <c r="V608" s="194"/>
      <c r="W608" s="194"/>
      <c r="X608" s="194"/>
      <c r="Y608" s="194"/>
      <c r="Z608" s="194"/>
      <c r="AA608" s="194"/>
      <c r="AB608" s="194"/>
      <c r="AC608" s="194"/>
      <c r="AD608" s="194"/>
      <c r="AE608" s="194"/>
      <c r="AF608" s="194"/>
    </row>
    <row r="609" spans="1:32" x14ac:dyDescent="0.25">
      <c r="A609" s="194"/>
      <c r="B609" s="194"/>
      <c r="C609" s="194"/>
      <c r="D609" s="194"/>
      <c r="E609" s="194"/>
      <c r="F609" s="194"/>
      <c r="G609" s="194"/>
      <c r="H609" s="194"/>
      <c r="I609" s="194"/>
      <c r="J609" s="194"/>
      <c r="K609" s="194"/>
      <c r="L609" s="194"/>
      <c r="M609" s="194"/>
      <c r="N609" s="194"/>
      <c r="O609" s="194"/>
      <c r="P609" s="194"/>
      <c r="Q609" s="194"/>
      <c r="R609" s="194"/>
      <c r="S609" s="194"/>
      <c r="T609" s="194"/>
      <c r="U609" s="194"/>
      <c r="V609" s="194"/>
      <c r="W609" s="194"/>
      <c r="X609" s="194"/>
      <c r="Y609" s="194"/>
      <c r="Z609" s="194"/>
      <c r="AA609" s="194"/>
      <c r="AB609" s="194"/>
      <c r="AC609" s="194"/>
      <c r="AD609" s="194"/>
      <c r="AE609" s="194"/>
      <c r="AF609" s="194"/>
    </row>
    <row r="610" spans="1:32" x14ac:dyDescent="0.25">
      <c r="A610" s="194"/>
      <c r="B610" s="194"/>
      <c r="C610" s="194"/>
      <c r="D610" s="194"/>
      <c r="E610" s="194"/>
      <c r="F610" s="194"/>
      <c r="G610" s="194"/>
      <c r="H610" s="194"/>
      <c r="I610" s="194"/>
      <c r="J610" s="194"/>
      <c r="K610" s="194"/>
      <c r="L610" s="194"/>
      <c r="M610" s="194"/>
      <c r="N610" s="194"/>
      <c r="O610" s="194"/>
      <c r="P610" s="194"/>
      <c r="Q610" s="194"/>
      <c r="R610" s="194"/>
      <c r="S610" s="194"/>
      <c r="T610" s="194"/>
      <c r="U610" s="194"/>
      <c r="V610" s="194"/>
      <c r="W610" s="194"/>
      <c r="X610" s="194"/>
      <c r="Y610" s="194"/>
      <c r="Z610" s="194"/>
      <c r="AA610" s="194"/>
      <c r="AB610" s="194"/>
      <c r="AC610" s="194"/>
      <c r="AD610" s="194"/>
      <c r="AE610" s="194"/>
      <c r="AF610" s="194"/>
    </row>
    <row r="611" spans="1:32" x14ac:dyDescent="0.25">
      <c r="A611" s="194"/>
      <c r="B611" s="194"/>
      <c r="C611" s="194"/>
      <c r="D611" s="194"/>
      <c r="E611" s="194"/>
      <c r="F611" s="194"/>
      <c r="G611" s="194"/>
      <c r="H611" s="194"/>
      <c r="I611" s="194"/>
      <c r="J611" s="194"/>
      <c r="K611" s="194"/>
      <c r="L611" s="194"/>
      <c r="M611" s="194"/>
      <c r="N611" s="194"/>
      <c r="O611" s="194"/>
      <c r="P611" s="194"/>
      <c r="Q611" s="194"/>
      <c r="R611" s="194"/>
      <c r="S611" s="194"/>
      <c r="T611" s="194"/>
      <c r="U611" s="194"/>
      <c r="V611" s="194"/>
      <c r="W611" s="194"/>
      <c r="X611" s="194"/>
      <c r="Y611" s="194"/>
      <c r="Z611" s="194"/>
      <c r="AA611" s="194"/>
      <c r="AB611" s="194"/>
      <c r="AC611" s="194"/>
      <c r="AD611" s="194"/>
      <c r="AE611" s="194"/>
      <c r="AF611" s="194"/>
    </row>
    <row r="612" spans="1:32" x14ac:dyDescent="0.25">
      <c r="A612" s="194"/>
      <c r="B612" s="194"/>
      <c r="C612" s="194"/>
      <c r="D612" s="194"/>
      <c r="E612" s="194"/>
      <c r="F612" s="194"/>
      <c r="G612" s="194"/>
      <c r="H612" s="194"/>
      <c r="I612" s="194"/>
      <c r="J612" s="194"/>
      <c r="K612" s="194"/>
      <c r="L612" s="194"/>
      <c r="M612" s="194"/>
      <c r="N612" s="194"/>
      <c r="O612" s="194"/>
      <c r="P612" s="194"/>
      <c r="Q612" s="194"/>
      <c r="R612" s="194"/>
      <c r="S612" s="194"/>
      <c r="T612" s="194"/>
      <c r="U612" s="194"/>
      <c r="V612" s="194"/>
      <c r="W612" s="194"/>
      <c r="X612" s="194"/>
      <c r="Y612" s="194"/>
      <c r="Z612" s="194"/>
      <c r="AA612" s="194"/>
      <c r="AB612" s="194"/>
      <c r="AC612" s="194"/>
      <c r="AD612" s="194"/>
      <c r="AE612" s="194"/>
      <c r="AF612" s="194"/>
    </row>
    <row r="613" spans="1:32" x14ac:dyDescent="0.25">
      <c r="A613" s="194"/>
      <c r="B613" s="194"/>
      <c r="C613" s="194"/>
      <c r="D613" s="194"/>
      <c r="E613" s="194"/>
      <c r="F613" s="194"/>
      <c r="G613" s="194"/>
      <c r="H613" s="194"/>
      <c r="I613" s="194"/>
      <c r="J613" s="194"/>
      <c r="K613" s="194"/>
      <c r="L613" s="194"/>
      <c r="M613" s="194"/>
      <c r="N613" s="194"/>
      <c r="O613" s="194"/>
      <c r="P613" s="194"/>
      <c r="Q613" s="194"/>
      <c r="R613" s="194"/>
      <c r="S613" s="194"/>
      <c r="T613" s="194"/>
      <c r="U613" s="194"/>
      <c r="V613" s="194"/>
      <c r="W613" s="194"/>
      <c r="X613" s="194"/>
      <c r="Y613" s="194"/>
      <c r="Z613" s="194"/>
      <c r="AA613" s="194"/>
      <c r="AB613" s="194"/>
      <c r="AC613" s="194"/>
      <c r="AD613" s="194"/>
      <c r="AE613" s="194"/>
      <c r="AF613" s="194"/>
    </row>
    <row r="614" spans="1:32" x14ac:dyDescent="0.25">
      <c r="A614" s="194"/>
      <c r="B614" s="194"/>
      <c r="C614" s="194"/>
      <c r="D614" s="194"/>
      <c r="E614" s="194"/>
      <c r="F614" s="194"/>
      <c r="G614" s="194"/>
      <c r="H614" s="194"/>
      <c r="I614" s="194"/>
      <c r="J614" s="194"/>
      <c r="K614" s="194"/>
      <c r="L614" s="194"/>
      <c r="M614" s="194"/>
      <c r="N614" s="194"/>
      <c r="O614" s="194"/>
      <c r="P614" s="194"/>
      <c r="Q614" s="194"/>
      <c r="R614" s="194"/>
      <c r="S614" s="194"/>
      <c r="T614" s="194"/>
      <c r="U614" s="194"/>
      <c r="V614" s="194"/>
      <c r="W614" s="194"/>
      <c r="X614" s="194"/>
      <c r="Y614" s="194"/>
      <c r="Z614" s="194"/>
      <c r="AA614" s="194"/>
      <c r="AB614" s="194"/>
      <c r="AC614" s="194"/>
      <c r="AD614" s="194"/>
      <c r="AE614" s="194"/>
      <c r="AF614" s="194"/>
    </row>
    <row r="615" spans="1:32" x14ac:dyDescent="0.25">
      <c r="A615" s="194"/>
      <c r="B615" s="194"/>
      <c r="C615" s="194"/>
      <c r="D615" s="194"/>
      <c r="E615" s="194"/>
      <c r="F615" s="194"/>
      <c r="G615" s="194"/>
      <c r="H615" s="194"/>
      <c r="I615" s="194"/>
      <c r="J615" s="194"/>
      <c r="K615" s="194"/>
      <c r="L615" s="194"/>
      <c r="M615" s="194"/>
      <c r="N615" s="194"/>
      <c r="O615" s="194"/>
      <c r="P615" s="194"/>
      <c r="Q615" s="194"/>
      <c r="R615" s="194"/>
      <c r="S615" s="194"/>
      <c r="T615" s="194"/>
      <c r="U615" s="194"/>
      <c r="V615" s="194"/>
      <c r="W615" s="194"/>
      <c r="X615" s="194"/>
      <c r="Y615" s="194"/>
      <c r="Z615" s="194"/>
      <c r="AA615" s="194"/>
      <c r="AB615" s="194"/>
      <c r="AC615" s="194"/>
      <c r="AD615" s="194"/>
      <c r="AE615" s="194"/>
      <c r="AF615" s="194"/>
    </row>
    <row r="616" spans="1:32" x14ac:dyDescent="0.25">
      <c r="A616" s="194"/>
      <c r="B616" s="194"/>
      <c r="C616" s="194"/>
      <c r="D616" s="194"/>
      <c r="E616" s="194"/>
      <c r="F616" s="194"/>
      <c r="G616" s="194"/>
      <c r="H616" s="194"/>
      <c r="I616" s="194"/>
      <c r="J616" s="194"/>
      <c r="K616" s="194"/>
      <c r="L616" s="194"/>
      <c r="M616" s="194"/>
      <c r="N616" s="194"/>
      <c r="O616" s="194"/>
      <c r="P616" s="194"/>
      <c r="Q616" s="194"/>
      <c r="R616" s="194"/>
      <c r="S616" s="194"/>
      <c r="T616" s="194"/>
      <c r="U616" s="194"/>
      <c r="V616" s="194"/>
      <c r="W616" s="194"/>
      <c r="X616" s="194"/>
      <c r="Y616" s="194"/>
      <c r="Z616" s="194"/>
      <c r="AA616" s="194"/>
      <c r="AB616" s="194"/>
      <c r="AC616" s="194"/>
      <c r="AD616" s="194"/>
      <c r="AE616" s="194"/>
      <c r="AF616" s="194"/>
    </row>
    <row r="617" spans="1:32" x14ac:dyDescent="0.25">
      <c r="A617" s="194"/>
      <c r="B617" s="194"/>
      <c r="C617" s="194"/>
      <c r="D617" s="194"/>
      <c r="E617" s="194"/>
      <c r="F617" s="194"/>
      <c r="G617" s="194"/>
      <c r="H617" s="194"/>
      <c r="I617" s="194"/>
      <c r="J617" s="194"/>
      <c r="K617" s="194"/>
      <c r="L617" s="194"/>
      <c r="M617" s="194"/>
      <c r="N617" s="194"/>
      <c r="O617" s="194"/>
      <c r="P617" s="194"/>
      <c r="Q617" s="194"/>
      <c r="R617" s="194"/>
      <c r="S617" s="194"/>
      <c r="T617" s="194"/>
      <c r="U617" s="194"/>
      <c r="V617" s="194"/>
      <c r="W617" s="194"/>
      <c r="X617" s="194"/>
      <c r="Y617" s="194"/>
      <c r="Z617" s="194"/>
      <c r="AA617" s="194"/>
      <c r="AB617" s="194"/>
      <c r="AC617" s="194"/>
      <c r="AD617" s="194"/>
      <c r="AE617" s="194"/>
      <c r="AF617" s="194"/>
    </row>
    <row r="618" spans="1:32" x14ac:dyDescent="0.25">
      <c r="A618" s="194"/>
      <c r="B618" s="194"/>
      <c r="C618" s="194"/>
      <c r="D618" s="194"/>
      <c r="E618" s="194"/>
      <c r="F618" s="194"/>
      <c r="G618" s="194"/>
      <c r="H618" s="194"/>
      <c r="I618" s="194"/>
      <c r="J618" s="194"/>
      <c r="K618" s="194"/>
      <c r="L618" s="194"/>
      <c r="M618" s="194"/>
      <c r="N618" s="194"/>
      <c r="O618" s="194"/>
      <c r="P618" s="194"/>
      <c r="Q618" s="194"/>
      <c r="R618" s="194"/>
      <c r="S618" s="194"/>
      <c r="T618" s="194"/>
      <c r="U618" s="194"/>
      <c r="V618" s="194"/>
      <c r="W618" s="194"/>
      <c r="X618" s="194"/>
      <c r="Y618" s="194"/>
      <c r="Z618" s="194"/>
      <c r="AA618" s="194"/>
      <c r="AB618" s="194"/>
      <c r="AC618" s="194"/>
      <c r="AD618" s="194"/>
      <c r="AE618" s="194"/>
      <c r="AF618" s="194"/>
    </row>
    <row r="619" spans="1:32" x14ac:dyDescent="0.25">
      <c r="A619" s="194"/>
      <c r="B619" s="194"/>
      <c r="C619" s="194"/>
      <c r="D619" s="194"/>
      <c r="E619" s="194"/>
      <c r="F619" s="194"/>
      <c r="G619" s="194"/>
      <c r="H619" s="194"/>
      <c r="I619" s="194"/>
      <c r="J619" s="194"/>
      <c r="K619" s="194"/>
      <c r="L619" s="194"/>
      <c r="M619" s="194"/>
      <c r="N619" s="194"/>
      <c r="O619" s="194"/>
      <c r="P619" s="194"/>
      <c r="Q619" s="194"/>
      <c r="R619" s="194"/>
      <c r="S619" s="194"/>
      <c r="T619" s="194"/>
      <c r="U619" s="194"/>
      <c r="V619" s="194"/>
      <c r="W619" s="194"/>
      <c r="X619" s="194"/>
      <c r="Y619" s="194"/>
      <c r="Z619" s="194"/>
      <c r="AA619" s="194"/>
      <c r="AB619" s="194"/>
      <c r="AC619" s="194"/>
      <c r="AD619" s="194"/>
      <c r="AE619" s="194"/>
      <c r="AF619" s="194"/>
    </row>
    <row r="620" spans="1:32" x14ac:dyDescent="0.25">
      <c r="A620" s="194"/>
      <c r="B620" s="194"/>
      <c r="C620" s="194"/>
      <c r="D620" s="194"/>
      <c r="E620" s="194"/>
      <c r="F620" s="194"/>
      <c r="G620" s="194"/>
      <c r="H620" s="194"/>
      <c r="I620" s="194"/>
      <c r="J620" s="194"/>
      <c r="K620" s="194"/>
      <c r="L620" s="194"/>
      <c r="M620" s="194"/>
      <c r="N620" s="194"/>
      <c r="O620" s="194"/>
      <c r="P620" s="194"/>
      <c r="Q620" s="194"/>
      <c r="R620" s="194"/>
      <c r="S620" s="194"/>
      <c r="T620" s="194"/>
      <c r="U620" s="194"/>
      <c r="V620" s="194"/>
      <c r="W620" s="194"/>
      <c r="X620" s="194"/>
      <c r="Y620" s="194"/>
      <c r="Z620" s="194"/>
      <c r="AA620" s="194"/>
      <c r="AB620" s="194"/>
      <c r="AC620" s="194"/>
      <c r="AD620" s="194"/>
      <c r="AE620" s="194"/>
      <c r="AF620" s="194"/>
    </row>
    <row r="621" spans="1:32" x14ac:dyDescent="0.25">
      <c r="A621" s="194"/>
      <c r="B621" s="194"/>
      <c r="C621" s="194"/>
      <c r="D621" s="194"/>
      <c r="E621" s="194"/>
      <c r="F621" s="194"/>
      <c r="G621" s="194"/>
      <c r="H621" s="194"/>
      <c r="I621" s="194"/>
      <c r="J621" s="194"/>
      <c r="K621" s="194"/>
      <c r="L621" s="194"/>
      <c r="M621" s="194"/>
      <c r="N621" s="194"/>
      <c r="O621" s="194"/>
      <c r="P621" s="194"/>
      <c r="Q621" s="194"/>
      <c r="R621" s="194"/>
      <c r="S621" s="194"/>
      <c r="T621" s="194"/>
      <c r="U621" s="194"/>
      <c r="V621" s="194"/>
      <c r="W621" s="194"/>
      <c r="X621" s="194"/>
      <c r="Y621" s="194"/>
      <c r="Z621" s="194"/>
      <c r="AA621" s="194"/>
      <c r="AB621" s="194"/>
      <c r="AC621" s="194"/>
      <c r="AD621" s="194"/>
      <c r="AE621" s="194"/>
      <c r="AF621" s="194"/>
    </row>
    <row r="622" spans="1:32" x14ac:dyDescent="0.25">
      <c r="A622" s="194"/>
      <c r="B622" s="194"/>
      <c r="C622" s="194"/>
      <c r="D622" s="194"/>
      <c r="E622" s="194"/>
      <c r="F622" s="194"/>
      <c r="G622" s="194"/>
      <c r="H622" s="194"/>
      <c r="I622" s="194"/>
      <c r="J622" s="194"/>
      <c r="K622" s="194"/>
      <c r="L622" s="194"/>
      <c r="M622" s="194"/>
      <c r="N622" s="194"/>
      <c r="O622" s="194"/>
      <c r="P622" s="194"/>
      <c r="Q622" s="194"/>
      <c r="R622" s="194"/>
      <c r="S622" s="194"/>
      <c r="T622" s="194"/>
      <c r="U622" s="194"/>
      <c r="V622" s="194"/>
      <c r="W622" s="194"/>
      <c r="X622" s="194"/>
      <c r="Y622" s="194"/>
      <c r="Z622" s="194"/>
      <c r="AA622" s="194"/>
      <c r="AB622" s="194"/>
      <c r="AC622" s="194"/>
      <c r="AD622" s="194"/>
      <c r="AE622" s="194"/>
      <c r="AF622" s="194"/>
    </row>
    <row r="623" spans="1:32" x14ac:dyDescent="0.25">
      <c r="A623" s="194"/>
      <c r="B623" s="194"/>
      <c r="C623" s="194"/>
      <c r="D623" s="194"/>
      <c r="E623" s="194"/>
      <c r="F623" s="194"/>
      <c r="G623" s="194"/>
      <c r="H623" s="194"/>
      <c r="I623" s="194"/>
      <c r="J623" s="194"/>
      <c r="K623" s="194"/>
      <c r="L623" s="194"/>
      <c r="M623" s="194"/>
      <c r="N623" s="194"/>
      <c r="O623" s="194"/>
      <c r="P623" s="194"/>
      <c r="Q623" s="194"/>
      <c r="R623" s="194"/>
      <c r="S623" s="194"/>
      <c r="T623" s="194"/>
      <c r="U623" s="194"/>
      <c r="V623" s="194"/>
      <c r="W623" s="194"/>
      <c r="X623" s="194"/>
      <c r="Y623" s="194"/>
      <c r="Z623" s="194"/>
      <c r="AA623" s="194"/>
      <c r="AB623" s="194"/>
      <c r="AC623" s="194"/>
      <c r="AD623" s="194"/>
      <c r="AE623" s="194"/>
      <c r="AF623" s="194"/>
    </row>
    <row r="624" spans="1:32" x14ac:dyDescent="0.25">
      <c r="A624" s="194"/>
      <c r="B624" s="194"/>
      <c r="C624" s="194"/>
      <c r="D624" s="194"/>
      <c r="E624" s="194"/>
      <c r="F624" s="194"/>
      <c r="G624" s="194"/>
      <c r="H624" s="194"/>
      <c r="I624" s="194"/>
      <c r="J624" s="194"/>
      <c r="K624" s="194"/>
      <c r="L624" s="194"/>
      <c r="M624" s="194"/>
      <c r="N624" s="194"/>
      <c r="O624" s="194"/>
      <c r="P624" s="194"/>
      <c r="Q624" s="194"/>
      <c r="R624" s="194"/>
      <c r="S624" s="194"/>
      <c r="T624" s="194"/>
      <c r="U624" s="194"/>
      <c r="V624" s="194"/>
      <c r="W624" s="194"/>
      <c r="X624" s="194"/>
      <c r="Y624" s="194"/>
      <c r="Z624" s="194"/>
      <c r="AA624" s="194"/>
      <c r="AB624" s="194"/>
      <c r="AC624" s="194"/>
      <c r="AD624" s="194"/>
      <c r="AE624" s="194"/>
      <c r="AF624" s="194"/>
    </row>
    <row r="625" spans="1:32" x14ac:dyDescent="0.25">
      <c r="A625" s="194"/>
      <c r="B625" s="194"/>
      <c r="C625" s="194"/>
      <c r="D625" s="194"/>
      <c r="E625" s="194"/>
      <c r="F625" s="194"/>
      <c r="G625" s="194"/>
      <c r="H625" s="194"/>
      <c r="I625" s="194"/>
      <c r="J625" s="194"/>
      <c r="K625" s="194"/>
      <c r="L625" s="194"/>
      <c r="M625" s="194"/>
      <c r="N625" s="194"/>
      <c r="O625" s="194"/>
      <c r="P625" s="194"/>
      <c r="Q625" s="194"/>
      <c r="R625" s="194"/>
      <c r="S625" s="194"/>
      <c r="T625" s="194"/>
      <c r="U625" s="194"/>
      <c r="V625" s="194"/>
      <c r="W625" s="194"/>
      <c r="X625" s="194"/>
      <c r="Y625" s="194"/>
      <c r="Z625" s="194"/>
      <c r="AA625" s="194"/>
      <c r="AB625" s="194"/>
      <c r="AC625" s="194"/>
      <c r="AD625" s="194"/>
      <c r="AE625" s="194"/>
      <c r="AF625" s="194"/>
    </row>
    <row r="626" spans="1:32" x14ac:dyDescent="0.25">
      <c r="A626" s="194"/>
      <c r="B626" s="194"/>
      <c r="C626" s="194"/>
      <c r="D626" s="194"/>
      <c r="E626" s="194"/>
      <c r="F626" s="194"/>
      <c r="G626" s="194"/>
      <c r="H626" s="194"/>
      <c r="I626" s="194"/>
      <c r="J626" s="194"/>
      <c r="K626" s="194"/>
      <c r="L626" s="194"/>
      <c r="M626" s="194"/>
      <c r="N626" s="194"/>
      <c r="O626" s="194"/>
      <c r="P626" s="194"/>
      <c r="Q626" s="194"/>
      <c r="R626" s="194"/>
      <c r="S626" s="194"/>
      <c r="T626" s="194"/>
      <c r="U626" s="194"/>
      <c r="V626" s="194"/>
      <c r="W626" s="194"/>
      <c r="X626" s="194"/>
      <c r="Y626" s="194"/>
      <c r="Z626" s="194"/>
      <c r="AA626" s="194"/>
      <c r="AB626" s="194"/>
      <c r="AC626" s="194"/>
      <c r="AD626" s="194"/>
      <c r="AE626" s="194"/>
      <c r="AF626" s="194"/>
    </row>
    <row r="627" spans="1:32" x14ac:dyDescent="0.25">
      <c r="A627" s="194"/>
      <c r="B627" s="194"/>
      <c r="C627" s="194"/>
      <c r="D627" s="194"/>
      <c r="E627" s="194"/>
      <c r="F627" s="194"/>
      <c r="G627" s="194"/>
      <c r="H627" s="194"/>
      <c r="I627" s="194"/>
      <c r="J627" s="194"/>
      <c r="K627" s="194"/>
      <c r="L627" s="194"/>
      <c r="M627" s="194"/>
      <c r="N627" s="194"/>
      <c r="O627" s="194"/>
      <c r="P627" s="194"/>
      <c r="Q627" s="194"/>
      <c r="R627" s="194"/>
      <c r="S627" s="194"/>
      <c r="T627" s="194"/>
      <c r="U627" s="194"/>
      <c r="V627" s="194"/>
      <c r="W627" s="194"/>
      <c r="X627" s="194"/>
      <c r="Y627" s="194"/>
      <c r="Z627" s="194"/>
      <c r="AA627" s="194"/>
      <c r="AB627" s="194"/>
      <c r="AC627" s="194"/>
      <c r="AD627" s="194"/>
      <c r="AE627" s="194"/>
      <c r="AF627" s="194"/>
    </row>
    <row r="628" spans="1:32" x14ac:dyDescent="0.25">
      <c r="A628" s="194"/>
      <c r="B628" s="194"/>
      <c r="C628" s="194"/>
      <c r="D628" s="194"/>
      <c r="E628" s="194"/>
      <c r="F628" s="194"/>
      <c r="G628" s="194"/>
      <c r="H628" s="194"/>
      <c r="I628" s="194"/>
      <c r="J628" s="194"/>
      <c r="K628" s="194"/>
      <c r="L628" s="194"/>
      <c r="M628" s="194"/>
      <c r="N628" s="194"/>
      <c r="O628" s="194"/>
      <c r="P628" s="194"/>
      <c r="Q628" s="194"/>
      <c r="R628" s="194"/>
      <c r="S628" s="194"/>
      <c r="T628" s="194"/>
      <c r="U628" s="194"/>
      <c r="V628" s="194"/>
      <c r="W628" s="194"/>
      <c r="X628" s="194"/>
      <c r="Y628" s="194"/>
      <c r="Z628" s="194"/>
      <c r="AA628" s="194"/>
      <c r="AB628" s="194"/>
      <c r="AC628" s="194"/>
      <c r="AD628" s="194"/>
      <c r="AE628" s="194"/>
      <c r="AF628" s="194"/>
    </row>
    <row r="629" spans="1:32" x14ac:dyDescent="0.25">
      <c r="A629" s="194"/>
      <c r="B629" s="194"/>
      <c r="C629" s="194"/>
      <c r="D629" s="194"/>
      <c r="E629" s="194"/>
      <c r="F629" s="194"/>
      <c r="G629" s="194"/>
      <c r="H629" s="194"/>
      <c r="I629" s="194"/>
      <c r="J629" s="194"/>
      <c r="K629" s="194"/>
      <c r="L629" s="194"/>
      <c r="M629" s="194"/>
      <c r="N629" s="194"/>
      <c r="O629" s="194"/>
      <c r="P629" s="194"/>
      <c r="Q629" s="194"/>
      <c r="R629" s="194"/>
      <c r="S629" s="194"/>
      <c r="T629" s="194"/>
      <c r="U629" s="194"/>
      <c r="V629" s="194"/>
      <c r="W629" s="194"/>
      <c r="X629" s="194"/>
      <c r="Y629" s="194"/>
      <c r="Z629" s="194"/>
      <c r="AA629" s="194"/>
      <c r="AB629" s="194"/>
      <c r="AC629" s="194"/>
      <c r="AD629" s="194"/>
      <c r="AE629" s="194"/>
      <c r="AF629" s="194"/>
    </row>
    <row r="630" spans="1:32" x14ac:dyDescent="0.25">
      <c r="A630" s="194"/>
      <c r="B630" s="194"/>
      <c r="C630" s="194"/>
      <c r="D630" s="194"/>
      <c r="E630" s="194"/>
      <c r="F630" s="194"/>
      <c r="G630" s="194"/>
      <c r="H630" s="194"/>
      <c r="I630" s="194"/>
      <c r="J630" s="194"/>
      <c r="K630" s="194"/>
      <c r="L630" s="194"/>
      <c r="M630" s="194"/>
      <c r="N630" s="194"/>
      <c r="O630" s="194"/>
      <c r="P630" s="194"/>
      <c r="Q630" s="194"/>
      <c r="R630" s="194"/>
      <c r="S630" s="194"/>
      <c r="T630" s="194"/>
      <c r="U630" s="194"/>
      <c r="V630" s="194"/>
      <c r="W630" s="194"/>
      <c r="X630" s="194"/>
      <c r="Y630" s="194"/>
      <c r="Z630" s="194"/>
      <c r="AA630" s="194"/>
      <c r="AB630" s="194"/>
      <c r="AC630" s="194"/>
      <c r="AD630" s="194"/>
      <c r="AE630" s="194"/>
      <c r="AF630" s="194"/>
    </row>
    <row r="631" spans="1:32" x14ac:dyDescent="0.25">
      <c r="A631" s="194"/>
      <c r="B631" s="194"/>
      <c r="C631" s="194"/>
      <c r="D631" s="194"/>
      <c r="E631" s="194"/>
      <c r="F631" s="194"/>
      <c r="G631" s="194"/>
      <c r="H631" s="194"/>
      <c r="I631" s="194"/>
      <c r="J631" s="194"/>
      <c r="K631" s="194"/>
      <c r="L631" s="194"/>
      <c r="M631" s="194"/>
      <c r="N631" s="194"/>
      <c r="O631" s="194"/>
      <c r="P631" s="194"/>
      <c r="Q631" s="194"/>
      <c r="R631" s="194"/>
      <c r="S631" s="194"/>
      <c r="T631" s="194"/>
      <c r="U631" s="194"/>
      <c r="V631" s="194"/>
      <c r="W631" s="194"/>
      <c r="X631" s="194"/>
      <c r="Y631" s="194"/>
      <c r="Z631" s="194"/>
      <c r="AA631" s="194"/>
      <c r="AB631" s="194"/>
      <c r="AC631" s="194"/>
      <c r="AD631" s="194"/>
      <c r="AE631" s="194"/>
      <c r="AF631" s="194"/>
    </row>
    <row r="632" spans="1:32" x14ac:dyDescent="0.25">
      <c r="A632" s="194"/>
      <c r="B632" s="194"/>
      <c r="C632" s="194"/>
      <c r="D632" s="194"/>
      <c r="E632" s="194"/>
      <c r="F632" s="194"/>
      <c r="G632" s="194"/>
      <c r="H632" s="194"/>
      <c r="I632" s="194"/>
      <c r="J632" s="194"/>
      <c r="K632" s="194"/>
      <c r="L632" s="194"/>
      <c r="M632" s="194"/>
      <c r="N632" s="194"/>
      <c r="O632" s="194"/>
      <c r="P632" s="194"/>
      <c r="Q632" s="194"/>
      <c r="R632" s="194"/>
      <c r="S632" s="194"/>
      <c r="T632" s="194"/>
      <c r="U632" s="194"/>
      <c r="V632" s="194"/>
      <c r="W632" s="194"/>
      <c r="X632" s="194"/>
      <c r="Y632" s="194"/>
      <c r="Z632" s="194"/>
      <c r="AA632" s="194"/>
      <c r="AB632" s="194"/>
      <c r="AC632" s="194"/>
      <c r="AD632" s="194"/>
      <c r="AE632" s="194"/>
      <c r="AF632" s="194"/>
    </row>
    <row r="633" spans="1:32" x14ac:dyDescent="0.25">
      <c r="A633" s="194"/>
      <c r="B633" s="194"/>
      <c r="C633" s="194"/>
      <c r="D633" s="194"/>
      <c r="E633" s="194"/>
      <c r="F633" s="194"/>
      <c r="G633" s="194"/>
      <c r="H633" s="194"/>
      <c r="I633" s="194"/>
      <c r="J633" s="194"/>
      <c r="K633" s="194"/>
      <c r="L633" s="194"/>
      <c r="M633" s="194"/>
      <c r="N633" s="194"/>
      <c r="O633" s="194"/>
      <c r="P633" s="194"/>
      <c r="Q633" s="194"/>
      <c r="R633" s="194"/>
      <c r="S633" s="194"/>
      <c r="T633" s="194"/>
      <c r="U633" s="194"/>
      <c r="V633" s="194"/>
      <c r="W633" s="194"/>
      <c r="X633" s="194"/>
      <c r="Y633" s="194"/>
      <c r="Z633" s="194"/>
      <c r="AA633" s="194"/>
      <c r="AB633" s="194"/>
      <c r="AC633" s="194"/>
      <c r="AD633" s="194"/>
      <c r="AE633" s="194"/>
      <c r="AF633" s="194"/>
    </row>
    <row r="634" spans="1:32" x14ac:dyDescent="0.25">
      <c r="A634" s="194"/>
      <c r="B634" s="194"/>
      <c r="C634" s="194"/>
      <c r="D634" s="194"/>
      <c r="E634" s="194"/>
      <c r="F634" s="194"/>
      <c r="G634" s="194"/>
      <c r="H634" s="194"/>
      <c r="I634" s="194"/>
      <c r="J634" s="194"/>
      <c r="K634" s="194"/>
      <c r="L634" s="194"/>
      <c r="M634" s="194"/>
      <c r="N634" s="194"/>
      <c r="O634" s="194"/>
      <c r="P634" s="194"/>
      <c r="Q634" s="194"/>
      <c r="R634" s="194"/>
      <c r="S634" s="194"/>
      <c r="T634" s="194"/>
      <c r="U634" s="194"/>
      <c r="V634" s="194"/>
      <c r="W634" s="194"/>
      <c r="X634" s="194"/>
      <c r="Y634" s="194"/>
      <c r="Z634" s="194"/>
      <c r="AA634" s="194"/>
      <c r="AB634" s="194"/>
      <c r="AC634" s="194"/>
      <c r="AD634" s="194"/>
      <c r="AE634" s="194"/>
      <c r="AF634" s="194"/>
    </row>
    <row r="635" spans="1:32" x14ac:dyDescent="0.25">
      <c r="A635" s="194"/>
      <c r="B635" s="194"/>
      <c r="C635" s="194"/>
      <c r="D635" s="194"/>
      <c r="E635" s="194"/>
      <c r="F635" s="194"/>
      <c r="G635" s="194"/>
      <c r="H635" s="194"/>
      <c r="I635" s="194"/>
      <c r="J635" s="194"/>
      <c r="K635" s="194"/>
      <c r="L635" s="194"/>
      <c r="M635" s="194"/>
      <c r="N635" s="194"/>
      <c r="O635" s="194"/>
      <c r="P635" s="194"/>
      <c r="Q635" s="194"/>
      <c r="R635" s="194"/>
      <c r="S635" s="194"/>
      <c r="T635" s="194"/>
      <c r="U635" s="194"/>
      <c r="V635" s="194"/>
      <c r="W635" s="194"/>
      <c r="X635" s="194"/>
      <c r="Y635" s="194"/>
      <c r="Z635" s="194"/>
      <c r="AA635" s="194"/>
      <c r="AB635" s="194"/>
      <c r="AC635" s="194"/>
      <c r="AD635" s="194"/>
      <c r="AE635" s="194"/>
      <c r="AF635" s="194"/>
    </row>
    <row r="636" spans="1:32" x14ac:dyDescent="0.25">
      <c r="A636" s="194"/>
      <c r="B636" s="194"/>
      <c r="C636" s="194"/>
      <c r="D636" s="194"/>
      <c r="E636" s="194"/>
      <c r="F636" s="194"/>
      <c r="G636" s="194"/>
      <c r="H636" s="194"/>
      <c r="I636" s="194"/>
      <c r="J636" s="194"/>
      <c r="K636" s="194"/>
      <c r="L636" s="194"/>
      <c r="M636" s="194"/>
      <c r="N636" s="194"/>
      <c r="O636" s="194"/>
      <c r="P636" s="194"/>
      <c r="Q636" s="194"/>
      <c r="R636" s="194"/>
      <c r="S636" s="194"/>
      <c r="T636" s="194"/>
      <c r="U636" s="194"/>
      <c r="V636" s="194"/>
      <c r="W636" s="194"/>
      <c r="X636" s="194"/>
      <c r="Y636" s="194"/>
      <c r="Z636" s="194"/>
      <c r="AA636" s="194"/>
      <c r="AB636" s="194"/>
      <c r="AC636" s="194"/>
      <c r="AD636" s="194"/>
      <c r="AE636" s="194"/>
      <c r="AF636" s="194"/>
    </row>
    <row r="637" spans="1:32" x14ac:dyDescent="0.25">
      <c r="A637" s="194"/>
      <c r="B637" s="194"/>
      <c r="C637" s="194"/>
      <c r="D637" s="194"/>
      <c r="E637" s="194"/>
      <c r="F637" s="194"/>
      <c r="G637" s="194"/>
      <c r="H637" s="194"/>
      <c r="I637" s="194"/>
      <c r="J637" s="194"/>
      <c r="K637" s="194"/>
      <c r="L637" s="194"/>
      <c r="M637" s="194"/>
      <c r="N637" s="194"/>
      <c r="O637" s="194"/>
      <c r="P637" s="194"/>
      <c r="Q637" s="194"/>
      <c r="R637" s="194"/>
      <c r="S637" s="194"/>
      <c r="T637" s="194"/>
      <c r="U637" s="194"/>
      <c r="V637" s="194"/>
      <c r="W637" s="194"/>
      <c r="X637" s="194"/>
      <c r="Y637" s="194"/>
      <c r="Z637" s="194"/>
      <c r="AA637" s="194"/>
      <c r="AB637" s="194"/>
      <c r="AC637" s="194"/>
      <c r="AD637" s="194"/>
      <c r="AE637" s="194"/>
      <c r="AF637" s="194"/>
    </row>
    <row r="638" spans="1:32" x14ac:dyDescent="0.25">
      <c r="A638" s="194"/>
      <c r="B638" s="194"/>
      <c r="C638" s="194"/>
      <c r="D638" s="194"/>
      <c r="E638" s="194"/>
      <c r="F638" s="194"/>
      <c r="G638" s="194"/>
      <c r="H638" s="194"/>
      <c r="I638" s="194"/>
      <c r="J638" s="194"/>
      <c r="K638" s="194"/>
      <c r="L638" s="194"/>
      <c r="M638" s="194"/>
      <c r="N638" s="194"/>
      <c r="O638" s="194"/>
      <c r="P638" s="194"/>
      <c r="Q638" s="194"/>
      <c r="R638" s="194"/>
      <c r="S638" s="194"/>
      <c r="T638" s="194"/>
      <c r="U638" s="194"/>
      <c r="V638" s="194"/>
      <c r="W638" s="194"/>
      <c r="X638" s="194"/>
      <c r="Y638" s="194"/>
      <c r="Z638" s="194"/>
      <c r="AA638" s="194"/>
      <c r="AB638" s="194"/>
      <c r="AC638" s="194"/>
      <c r="AD638" s="194"/>
      <c r="AE638" s="194"/>
      <c r="AF638" s="194"/>
    </row>
    <row r="639" spans="1:32" x14ac:dyDescent="0.25">
      <c r="A639" s="194"/>
      <c r="B639" s="194"/>
      <c r="C639" s="194"/>
      <c r="D639" s="194"/>
      <c r="E639" s="194"/>
      <c r="F639" s="194"/>
      <c r="G639" s="194"/>
      <c r="H639" s="194"/>
      <c r="I639" s="194"/>
      <c r="J639" s="194"/>
      <c r="K639" s="194"/>
      <c r="L639" s="194"/>
      <c r="M639" s="194"/>
      <c r="N639" s="194"/>
      <c r="O639" s="194"/>
      <c r="P639" s="194"/>
      <c r="Q639" s="194"/>
      <c r="R639" s="194"/>
      <c r="S639" s="194"/>
      <c r="T639" s="194"/>
      <c r="U639" s="194"/>
      <c r="V639" s="194"/>
      <c r="W639" s="194"/>
      <c r="X639" s="194"/>
      <c r="Y639" s="194"/>
      <c r="Z639" s="194"/>
      <c r="AA639" s="194"/>
      <c r="AB639" s="194"/>
      <c r="AC639" s="194"/>
      <c r="AD639" s="194"/>
      <c r="AE639" s="194"/>
      <c r="AF639" s="194"/>
    </row>
    <row r="640" spans="1:32" x14ac:dyDescent="0.25">
      <c r="A640" s="194"/>
      <c r="B640" s="194"/>
      <c r="C640" s="194"/>
      <c r="D640" s="194"/>
      <c r="E640" s="194"/>
      <c r="F640" s="194"/>
      <c r="G640" s="194"/>
      <c r="H640" s="194"/>
      <c r="I640" s="194"/>
      <c r="J640" s="194"/>
      <c r="K640" s="194"/>
      <c r="L640" s="194"/>
      <c r="M640" s="194"/>
      <c r="N640" s="194"/>
      <c r="O640" s="194"/>
      <c r="P640" s="194"/>
      <c r="Q640" s="194"/>
      <c r="R640" s="194"/>
      <c r="S640" s="194"/>
      <c r="T640" s="194"/>
      <c r="U640" s="194"/>
      <c r="V640" s="194"/>
      <c r="W640" s="194"/>
      <c r="X640" s="194"/>
      <c r="Y640" s="194"/>
      <c r="Z640" s="194"/>
      <c r="AA640" s="194"/>
      <c r="AB640" s="194"/>
      <c r="AC640" s="194"/>
      <c r="AD640" s="194"/>
      <c r="AE640" s="194"/>
      <c r="AF640" s="194"/>
    </row>
    <row r="641" spans="1:32" x14ac:dyDescent="0.25">
      <c r="A641" s="194"/>
      <c r="B641" s="194"/>
      <c r="C641" s="194"/>
      <c r="D641" s="194"/>
      <c r="E641" s="194"/>
      <c r="F641" s="194"/>
      <c r="G641" s="194"/>
      <c r="H641" s="194"/>
      <c r="I641" s="194"/>
      <c r="J641" s="194"/>
      <c r="K641" s="194"/>
      <c r="L641" s="194"/>
      <c r="M641" s="194"/>
      <c r="N641" s="194"/>
      <c r="O641" s="194"/>
      <c r="P641" s="194"/>
      <c r="Q641" s="194"/>
      <c r="R641" s="194"/>
      <c r="S641" s="194"/>
      <c r="T641" s="194"/>
      <c r="U641" s="194"/>
      <c r="V641" s="194"/>
      <c r="W641" s="194"/>
      <c r="X641" s="194"/>
      <c r="Y641" s="194"/>
      <c r="Z641" s="194"/>
      <c r="AA641" s="194"/>
      <c r="AB641" s="194"/>
      <c r="AC641" s="194"/>
      <c r="AD641" s="194"/>
      <c r="AE641" s="194"/>
      <c r="AF641" s="194"/>
    </row>
    <row r="642" spans="1:32" x14ac:dyDescent="0.25">
      <c r="A642" s="194"/>
      <c r="B642" s="194"/>
      <c r="C642" s="194"/>
      <c r="D642" s="194"/>
      <c r="E642" s="194"/>
      <c r="F642" s="194"/>
      <c r="G642" s="194"/>
      <c r="H642" s="194"/>
      <c r="I642" s="194"/>
      <c r="J642" s="194"/>
      <c r="K642" s="194"/>
      <c r="L642" s="194"/>
      <c r="M642" s="194"/>
      <c r="N642" s="194"/>
      <c r="O642" s="194"/>
      <c r="P642" s="194"/>
      <c r="Q642" s="194"/>
      <c r="R642" s="194"/>
      <c r="S642" s="194"/>
      <c r="T642" s="194"/>
      <c r="U642" s="194"/>
      <c r="V642" s="194"/>
      <c r="W642" s="194"/>
      <c r="X642" s="194"/>
      <c r="Y642" s="194"/>
      <c r="Z642" s="194"/>
      <c r="AA642" s="194"/>
      <c r="AB642" s="194"/>
      <c r="AC642" s="194"/>
      <c r="AD642" s="194"/>
      <c r="AE642" s="194"/>
      <c r="AF642" s="194"/>
    </row>
    <row r="643" spans="1:32" x14ac:dyDescent="0.25">
      <c r="A643" s="194"/>
      <c r="B643" s="194"/>
      <c r="C643" s="194"/>
      <c r="D643" s="194"/>
      <c r="E643" s="194"/>
      <c r="F643" s="194"/>
      <c r="G643" s="194"/>
      <c r="H643" s="194"/>
      <c r="I643" s="194"/>
      <c r="J643" s="194"/>
      <c r="K643" s="194"/>
      <c r="L643" s="194"/>
      <c r="M643" s="194"/>
      <c r="N643" s="194"/>
      <c r="O643" s="194"/>
      <c r="P643" s="194"/>
      <c r="Q643" s="194"/>
      <c r="R643" s="194"/>
      <c r="S643" s="194"/>
      <c r="T643" s="194"/>
      <c r="U643" s="194"/>
      <c r="V643" s="194"/>
      <c r="W643" s="194"/>
      <c r="X643" s="194"/>
      <c r="Y643" s="194"/>
      <c r="Z643" s="194"/>
      <c r="AA643" s="194"/>
      <c r="AB643" s="194"/>
      <c r="AC643" s="194"/>
      <c r="AD643" s="194"/>
      <c r="AE643" s="194"/>
      <c r="AF643" s="194"/>
    </row>
    <row r="644" spans="1:32" x14ac:dyDescent="0.25">
      <c r="A644" s="194"/>
      <c r="B644" s="194"/>
      <c r="C644" s="194"/>
      <c r="D644" s="194"/>
      <c r="E644" s="194"/>
      <c r="F644" s="194"/>
      <c r="G644" s="194"/>
      <c r="H644" s="194"/>
      <c r="I644" s="194"/>
      <c r="J644" s="194"/>
      <c r="K644" s="194"/>
      <c r="L644" s="194"/>
      <c r="M644" s="194"/>
      <c r="N644" s="194"/>
      <c r="O644" s="194"/>
      <c r="P644" s="194"/>
      <c r="Q644" s="194"/>
      <c r="R644" s="194"/>
      <c r="S644" s="194"/>
      <c r="T644" s="194"/>
      <c r="U644" s="194"/>
      <c r="V644" s="194"/>
      <c r="W644" s="194"/>
      <c r="X644" s="194"/>
      <c r="Y644" s="194"/>
      <c r="Z644" s="194"/>
      <c r="AA644" s="194"/>
      <c r="AB644" s="194"/>
      <c r="AC644" s="194"/>
      <c r="AD644" s="194"/>
      <c r="AE644" s="194"/>
      <c r="AF644" s="194"/>
    </row>
    <row r="645" spans="1:32" x14ac:dyDescent="0.25">
      <c r="A645" s="194"/>
      <c r="B645" s="194"/>
      <c r="C645" s="194"/>
      <c r="D645" s="194"/>
      <c r="E645" s="194"/>
      <c r="F645" s="194"/>
      <c r="G645" s="194"/>
      <c r="H645" s="194"/>
      <c r="I645" s="194"/>
      <c r="J645" s="194"/>
      <c r="K645" s="194"/>
      <c r="L645" s="194"/>
      <c r="M645" s="194"/>
      <c r="N645" s="194"/>
      <c r="O645" s="194"/>
      <c r="P645" s="194"/>
      <c r="Q645" s="194"/>
      <c r="R645" s="194"/>
      <c r="S645" s="194"/>
      <c r="T645" s="194"/>
      <c r="U645" s="194"/>
      <c r="V645" s="194"/>
      <c r="W645" s="194"/>
      <c r="X645" s="194"/>
      <c r="Y645" s="194"/>
      <c r="Z645" s="194"/>
      <c r="AA645" s="194"/>
      <c r="AB645" s="194"/>
      <c r="AC645" s="194"/>
      <c r="AD645" s="194"/>
      <c r="AE645" s="194"/>
      <c r="AF645" s="194"/>
    </row>
    <row r="646" spans="1:32" x14ac:dyDescent="0.25">
      <c r="A646" s="194"/>
      <c r="B646" s="194"/>
      <c r="C646" s="194"/>
      <c r="D646" s="194"/>
      <c r="E646" s="194"/>
      <c r="F646" s="194"/>
      <c r="G646" s="194"/>
      <c r="H646" s="194"/>
      <c r="I646" s="194"/>
      <c r="J646" s="194"/>
      <c r="K646" s="194"/>
      <c r="L646" s="194"/>
      <c r="M646" s="194"/>
      <c r="N646" s="194"/>
      <c r="O646" s="194"/>
      <c r="P646" s="194"/>
      <c r="Q646" s="194"/>
      <c r="R646" s="194"/>
      <c r="S646" s="194"/>
      <c r="T646" s="194"/>
      <c r="U646" s="194"/>
      <c r="V646" s="194"/>
      <c r="W646" s="194"/>
      <c r="X646" s="194"/>
      <c r="Y646" s="194"/>
      <c r="Z646" s="194"/>
      <c r="AA646" s="194"/>
      <c r="AB646" s="194"/>
      <c r="AC646" s="194"/>
      <c r="AD646" s="194"/>
      <c r="AE646" s="194"/>
      <c r="AF646" s="194"/>
    </row>
    <row r="647" spans="1:32" x14ac:dyDescent="0.25">
      <c r="A647" s="194"/>
      <c r="B647" s="194"/>
      <c r="C647" s="194"/>
      <c r="D647" s="194"/>
      <c r="E647" s="194"/>
      <c r="F647" s="194"/>
      <c r="G647" s="194"/>
      <c r="H647" s="194"/>
      <c r="I647" s="194"/>
      <c r="J647" s="194"/>
      <c r="K647" s="194"/>
      <c r="L647" s="194"/>
      <c r="M647" s="194"/>
      <c r="N647" s="194"/>
      <c r="O647" s="194"/>
      <c r="P647" s="194"/>
      <c r="Q647" s="194"/>
      <c r="R647" s="194"/>
      <c r="S647" s="194"/>
      <c r="T647" s="194"/>
      <c r="U647" s="194"/>
      <c r="V647" s="194"/>
      <c r="W647" s="194"/>
      <c r="X647" s="194"/>
      <c r="Y647" s="194"/>
      <c r="Z647" s="194"/>
      <c r="AA647" s="194"/>
      <c r="AB647" s="194"/>
      <c r="AC647" s="194"/>
      <c r="AD647" s="194"/>
      <c r="AE647" s="194"/>
      <c r="AF647" s="194"/>
    </row>
    <row r="648" spans="1:32" x14ac:dyDescent="0.25">
      <c r="A648" s="194"/>
      <c r="B648" s="194"/>
      <c r="C648" s="194"/>
      <c r="D648" s="194"/>
      <c r="E648" s="194"/>
      <c r="F648" s="194"/>
      <c r="G648" s="194"/>
      <c r="H648" s="194"/>
      <c r="I648" s="194"/>
      <c r="J648" s="194"/>
      <c r="K648" s="194"/>
      <c r="L648" s="194"/>
      <c r="M648" s="194"/>
      <c r="N648" s="194"/>
      <c r="O648" s="194"/>
      <c r="P648" s="194"/>
      <c r="Q648" s="194"/>
      <c r="R648" s="194"/>
      <c r="S648" s="194"/>
      <c r="T648" s="194"/>
      <c r="U648" s="194"/>
      <c r="V648" s="194"/>
      <c r="W648" s="194"/>
      <c r="X648" s="194"/>
      <c r="Y648" s="194"/>
      <c r="Z648" s="194"/>
      <c r="AA648" s="194"/>
      <c r="AB648" s="194"/>
      <c r="AC648" s="194"/>
      <c r="AD648" s="194"/>
      <c r="AE648" s="194"/>
      <c r="AF648" s="194"/>
    </row>
    <row r="649" spans="1:32" x14ac:dyDescent="0.25">
      <c r="A649" s="194"/>
      <c r="B649" s="194"/>
      <c r="C649" s="194"/>
      <c r="D649" s="194"/>
      <c r="E649" s="194"/>
      <c r="F649" s="194"/>
      <c r="G649" s="194"/>
      <c r="H649" s="194"/>
      <c r="I649" s="194"/>
      <c r="J649" s="194"/>
      <c r="K649" s="194"/>
      <c r="L649" s="194"/>
      <c r="M649" s="194"/>
      <c r="N649" s="194"/>
      <c r="O649" s="194"/>
      <c r="P649" s="194"/>
      <c r="Q649" s="194"/>
      <c r="R649" s="194"/>
      <c r="S649" s="194"/>
      <c r="T649" s="194"/>
      <c r="U649" s="194"/>
      <c r="V649" s="194"/>
      <c r="W649" s="194"/>
      <c r="X649" s="194"/>
      <c r="Y649" s="194"/>
      <c r="Z649" s="194"/>
      <c r="AA649" s="194"/>
      <c r="AB649" s="194"/>
      <c r="AC649" s="194"/>
      <c r="AD649" s="194"/>
      <c r="AE649" s="194"/>
      <c r="AF649" s="194"/>
    </row>
    <row r="650" spans="1:32" x14ac:dyDescent="0.25">
      <c r="A650" s="194"/>
      <c r="B650" s="194"/>
      <c r="C650" s="194"/>
      <c r="D650" s="194"/>
      <c r="E650" s="194"/>
      <c r="F650" s="194"/>
      <c r="G650" s="194"/>
      <c r="H650" s="194"/>
      <c r="I650" s="194"/>
      <c r="J650" s="194"/>
      <c r="K650" s="194"/>
      <c r="L650" s="194"/>
      <c r="M650" s="194"/>
      <c r="N650" s="194"/>
      <c r="O650" s="194"/>
      <c r="P650" s="194"/>
      <c r="Q650" s="194"/>
      <c r="R650" s="194"/>
      <c r="S650" s="194"/>
      <c r="T650" s="194"/>
      <c r="U650" s="194"/>
      <c r="V650" s="194"/>
      <c r="W650" s="194"/>
      <c r="X650" s="194"/>
      <c r="Y650" s="194"/>
      <c r="Z650" s="194"/>
      <c r="AA650" s="194"/>
      <c r="AB650" s="194"/>
      <c r="AC650" s="194"/>
      <c r="AD650" s="194"/>
      <c r="AE650" s="194"/>
      <c r="AF650" s="194"/>
    </row>
    <row r="651" spans="1:32" x14ac:dyDescent="0.25">
      <c r="A651" s="194"/>
      <c r="B651" s="194"/>
      <c r="C651" s="194"/>
      <c r="D651" s="194"/>
      <c r="E651" s="194"/>
      <c r="F651" s="194"/>
      <c r="G651" s="194"/>
      <c r="H651" s="194"/>
      <c r="I651" s="194"/>
      <c r="J651" s="194"/>
      <c r="K651" s="194"/>
      <c r="L651" s="194"/>
      <c r="M651" s="194"/>
      <c r="N651" s="194"/>
      <c r="O651" s="194"/>
      <c r="P651" s="194"/>
      <c r="Q651" s="194"/>
      <c r="R651" s="194"/>
      <c r="S651" s="194"/>
      <c r="T651" s="194"/>
      <c r="U651" s="194"/>
      <c r="V651" s="194"/>
      <c r="W651" s="194"/>
      <c r="X651" s="194"/>
      <c r="Y651" s="194"/>
      <c r="Z651" s="194"/>
      <c r="AA651" s="194"/>
      <c r="AB651" s="194"/>
      <c r="AC651" s="194"/>
      <c r="AD651" s="194"/>
      <c r="AE651" s="194"/>
      <c r="AF651" s="194"/>
    </row>
    <row r="652" spans="1:32" x14ac:dyDescent="0.25">
      <c r="A652" s="194"/>
      <c r="B652" s="194"/>
      <c r="C652" s="194"/>
      <c r="D652" s="194"/>
      <c r="E652" s="194"/>
      <c r="F652" s="194"/>
      <c r="G652" s="194"/>
      <c r="H652" s="194"/>
      <c r="I652" s="194"/>
      <c r="J652" s="194"/>
      <c r="K652" s="194"/>
      <c r="L652" s="194"/>
      <c r="M652" s="194"/>
      <c r="N652" s="194"/>
      <c r="O652" s="194"/>
      <c r="P652" s="194"/>
      <c r="Q652" s="194"/>
      <c r="R652" s="194"/>
      <c r="S652" s="194"/>
      <c r="T652" s="194"/>
      <c r="U652" s="194"/>
      <c r="V652" s="194"/>
      <c r="W652" s="194"/>
      <c r="X652" s="194"/>
      <c r="Y652" s="194"/>
      <c r="Z652" s="194"/>
      <c r="AA652" s="194"/>
      <c r="AB652" s="194"/>
      <c r="AC652" s="194"/>
      <c r="AD652" s="194"/>
      <c r="AE652" s="194"/>
      <c r="AF652" s="194"/>
    </row>
    <row r="653" spans="1:32" x14ac:dyDescent="0.25">
      <c r="A653" s="194"/>
      <c r="B653" s="194"/>
      <c r="C653" s="194"/>
      <c r="D653" s="194"/>
      <c r="E653" s="194"/>
      <c r="F653" s="194"/>
      <c r="G653" s="194"/>
      <c r="H653" s="194"/>
      <c r="I653" s="194"/>
      <c r="J653" s="194"/>
      <c r="K653" s="194"/>
      <c r="L653" s="194"/>
      <c r="M653" s="194"/>
      <c r="N653" s="194"/>
      <c r="O653" s="194"/>
      <c r="P653" s="194"/>
      <c r="Q653" s="194"/>
      <c r="R653" s="194"/>
      <c r="S653" s="194"/>
      <c r="T653" s="194"/>
      <c r="U653" s="194"/>
      <c r="V653" s="194"/>
      <c r="W653" s="194"/>
      <c r="X653" s="194"/>
      <c r="Y653" s="194"/>
      <c r="Z653" s="194"/>
      <c r="AA653" s="194"/>
      <c r="AB653" s="194"/>
      <c r="AC653" s="194"/>
      <c r="AD653" s="194"/>
      <c r="AE653" s="194"/>
      <c r="AF653" s="194"/>
    </row>
    <row r="654" spans="1:32" x14ac:dyDescent="0.25">
      <c r="A654" s="194"/>
      <c r="B654" s="194"/>
      <c r="C654" s="194"/>
      <c r="D654" s="194"/>
      <c r="E654" s="194"/>
      <c r="F654" s="194"/>
      <c r="G654" s="194"/>
      <c r="H654" s="194"/>
      <c r="I654" s="194"/>
      <c r="J654" s="194"/>
      <c r="K654" s="194"/>
      <c r="L654" s="194"/>
      <c r="M654" s="194"/>
      <c r="N654" s="194"/>
      <c r="O654" s="194"/>
      <c r="P654" s="194"/>
      <c r="Q654" s="194"/>
      <c r="R654" s="194"/>
      <c r="S654" s="194"/>
      <c r="T654" s="194"/>
      <c r="U654" s="194"/>
      <c r="V654" s="194"/>
      <c r="W654" s="194"/>
      <c r="X654" s="194"/>
      <c r="Y654" s="194"/>
      <c r="Z654" s="194"/>
      <c r="AA654" s="194"/>
      <c r="AB654" s="194"/>
      <c r="AC654" s="194"/>
      <c r="AD654" s="194"/>
      <c r="AE654" s="194"/>
      <c r="AF654" s="194"/>
    </row>
    <row r="655" spans="1:32" x14ac:dyDescent="0.25">
      <c r="A655" s="194"/>
      <c r="B655" s="194"/>
      <c r="C655" s="194"/>
      <c r="D655" s="194"/>
      <c r="E655" s="194"/>
      <c r="F655" s="194"/>
      <c r="G655" s="194"/>
      <c r="H655" s="194"/>
      <c r="I655" s="194"/>
      <c r="J655" s="194"/>
      <c r="K655" s="194"/>
      <c r="L655" s="194"/>
      <c r="M655" s="194"/>
      <c r="N655" s="194"/>
      <c r="O655" s="194"/>
      <c r="P655" s="194"/>
      <c r="Q655" s="194"/>
      <c r="R655" s="194"/>
      <c r="S655" s="194"/>
      <c r="T655" s="194"/>
      <c r="U655" s="194"/>
      <c r="V655" s="194"/>
      <c r="W655" s="194"/>
      <c r="X655" s="194"/>
      <c r="Y655" s="194"/>
      <c r="Z655" s="194"/>
      <c r="AA655" s="194"/>
      <c r="AB655" s="194"/>
      <c r="AC655" s="194"/>
      <c r="AD655" s="194"/>
      <c r="AE655" s="194"/>
      <c r="AF655" s="194"/>
    </row>
    <row r="656" spans="1:32" x14ac:dyDescent="0.25">
      <c r="A656" s="194"/>
      <c r="B656" s="194"/>
      <c r="C656" s="194"/>
      <c r="D656" s="194"/>
      <c r="E656" s="194"/>
      <c r="F656" s="194"/>
      <c r="G656" s="194"/>
      <c r="H656" s="194"/>
      <c r="I656" s="194"/>
      <c r="J656" s="194"/>
      <c r="K656" s="194"/>
      <c r="L656" s="194"/>
      <c r="M656" s="194"/>
      <c r="N656" s="194"/>
      <c r="O656" s="194"/>
      <c r="P656" s="194"/>
      <c r="Q656" s="194"/>
      <c r="R656" s="194"/>
      <c r="S656" s="194"/>
      <c r="T656" s="194"/>
      <c r="U656" s="194"/>
      <c r="V656" s="194"/>
      <c r="W656" s="194"/>
      <c r="X656" s="194"/>
      <c r="Y656" s="194"/>
      <c r="Z656" s="194"/>
      <c r="AA656" s="194"/>
      <c r="AB656" s="194"/>
      <c r="AC656" s="194"/>
      <c r="AD656" s="194"/>
      <c r="AE656" s="194"/>
      <c r="AF656" s="194"/>
    </row>
    <row r="657" spans="1:32" x14ac:dyDescent="0.25">
      <c r="A657" s="194"/>
      <c r="B657" s="194"/>
      <c r="C657" s="194"/>
      <c r="D657" s="194"/>
      <c r="E657" s="194"/>
      <c r="F657" s="194"/>
      <c r="G657" s="194"/>
      <c r="H657" s="194"/>
      <c r="I657" s="194"/>
      <c r="J657" s="194"/>
      <c r="K657" s="194"/>
      <c r="L657" s="194"/>
      <c r="M657" s="194"/>
      <c r="N657" s="194"/>
      <c r="O657" s="194"/>
      <c r="P657" s="194"/>
      <c r="Q657" s="194"/>
      <c r="R657" s="194"/>
      <c r="S657" s="194"/>
      <c r="T657" s="194"/>
      <c r="U657" s="194"/>
      <c r="V657" s="194"/>
      <c r="W657" s="194"/>
      <c r="X657" s="194"/>
      <c r="Y657" s="194"/>
      <c r="Z657" s="194"/>
      <c r="AA657" s="194"/>
      <c r="AB657" s="194"/>
      <c r="AC657" s="194"/>
      <c r="AD657" s="194"/>
      <c r="AE657" s="194"/>
      <c r="AF657" s="194"/>
    </row>
    <row r="658" spans="1:32" x14ac:dyDescent="0.25">
      <c r="A658" s="194"/>
      <c r="B658" s="194"/>
      <c r="C658" s="194"/>
      <c r="D658" s="194"/>
      <c r="E658" s="194"/>
      <c r="F658" s="194"/>
      <c r="G658" s="194"/>
      <c r="H658" s="194"/>
      <c r="I658" s="194"/>
      <c r="J658" s="194"/>
      <c r="K658" s="194"/>
      <c r="L658" s="194"/>
      <c r="M658" s="194"/>
      <c r="N658" s="194"/>
      <c r="O658" s="194"/>
      <c r="P658" s="194"/>
      <c r="Q658" s="194"/>
      <c r="R658" s="194"/>
      <c r="S658" s="194"/>
      <c r="T658" s="194"/>
      <c r="U658" s="194"/>
      <c r="V658" s="194"/>
      <c r="W658" s="194"/>
      <c r="X658" s="194"/>
      <c r="Y658" s="194"/>
      <c r="Z658" s="194"/>
      <c r="AA658" s="194"/>
      <c r="AB658" s="194"/>
      <c r="AC658" s="194"/>
      <c r="AD658" s="194"/>
      <c r="AE658" s="194"/>
      <c r="AF658" s="194"/>
    </row>
    <row r="659" spans="1:32" x14ac:dyDescent="0.25">
      <c r="A659" s="194"/>
      <c r="B659" s="194"/>
      <c r="C659" s="194"/>
      <c r="D659" s="194"/>
      <c r="E659" s="194"/>
      <c r="F659" s="194"/>
      <c r="G659" s="194"/>
      <c r="H659" s="194"/>
      <c r="I659" s="194"/>
      <c r="J659" s="194"/>
      <c r="K659" s="194"/>
      <c r="L659" s="194"/>
      <c r="M659" s="194"/>
      <c r="N659" s="194"/>
      <c r="O659" s="194"/>
      <c r="P659" s="194"/>
      <c r="Q659" s="194"/>
      <c r="R659" s="194"/>
      <c r="S659" s="194"/>
      <c r="T659" s="194"/>
      <c r="U659" s="194"/>
      <c r="V659" s="194"/>
      <c r="W659" s="194"/>
      <c r="X659" s="194"/>
      <c r="Y659" s="194"/>
      <c r="Z659" s="194"/>
      <c r="AA659" s="194"/>
      <c r="AB659" s="194"/>
      <c r="AC659" s="194"/>
      <c r="AD659" s="194"/>
      <c r="AE659" s="194"/>
      <c r="AF659" s="194"/>
    </row>
    <row r="660" spans="1:32" x14ac:dyDescent="0.25">
      <c r="A660" s="194"/>
      <c r="B660" s="194"/>
      <c r="C660" s="194"/>
      <c r="D660" s="194"/>
      <c r="E660" s="194"/>
      <c r="F660" s="194"/>
      <c r="G660" s="194"/>
      <c r="H660" s="194"/>
      <c r="I660" s="194"/>
      <c r="J660" s="194"/>
      <c r="K660" s="194"/>
      <c r="L660" s="194"/>
      <c r="M660" s="194"/>
      <c r="N660" s="194"/>
      <c r="O660" s="194"/>
      <c r="P660" s="194"/>
      <c r="Q660" s="194"/>
      <c r="R660" s="194"/>
      <c r="S660" s="194"/>
      <c r="T660" s="194"/>
      <c r="U660" s="194"/>
      <c r="V660" s="194"/>
      <c r="W660" s="194"/>
      <c r="X660" s="194"/>
      <c r="Y660" s="194"/>
      <c r="Z660" s="194"/>
      <c r="AA660" s="194"/>
      <c r="AB660" s="194"/>
      <c r="AC660" s="194"/>
      <c r="AD660" s="194"/>
      <c r="AE660" s="194"/>
      <c r="AF660" s="194"/>
    </row>
    <row r="661" spans="1:32" x14ac:dyDescent="0.25">
      <c r="A661" s="194"/>
      <c r="B661" s="194"/>
      <c r="C661" s="194"/>
      <c r="D661" s="194"/>
      <c r="E661" s="194"/>
      <c r="F661" s="194"/>
      <c r="G661" s="194"/>
      <c r="H661" s="194"/>
      <c r="I661" s="194"/>
      <c r="J661" s="194"/>
      <c r="K661" s="194"/>
      <c r="L661" s="194"/>
      <c r="M661" s="194"/>
      <c r="N661" s="194"/>
      <c r="O661" s="194"/>
      <c r="P661" s="194"/>
      <c r="Q661" s="194"/>
      <c r="R661" s="194"/>
      <c r="S661" s="194"/>
      <c r="T661" s="194"/>
      <c r="U661" s="194"/>
      <c r="V661" s="194"/>
      <c r="W661" s="194"/>
      <c r="X661" s="194"/>
      <c r="Y661" s="194"/>
      <c r="Z661" s="194"/>
      <c r="AA661" s="194"/>
      <c r="AB661" s="194"/>
      <c r="AC661" s="194"/>
      <c r="AD661" s="194"/>
      <c r="AE661" s="194"/>
      <c r="AF661" s="194"/>
    </row>
    <row r="662" spans="1:32" x14ac:dyDescent="0.25">
      <c r="A662" s="194"/>
      <c r="B662" s="194"/>
      <c r="C662" s="194"/>
      <c r="D662" s="194"/>
      <c r="E662" s="194"/>
      <c r="F662" s="194"/>
      <c r="G662" s="194"/>
      <c r="H662" s="194"/>
      <c r="I662" s="194"/>
      <c r="J662" s="194"/>
      <c r="K662" s="194"/>
      <c r="L662" s="194"/>
      <c r="M662" s="194"/>
      <c r="N662" s="194"/>
      <c r="O662" s="194"/>
      <c r="P662" s="194"/>
      <c r="Q662" s="194"/>
      <c r="R662" s="194"/>
      <c r="S662" s="194"/>
      <c r="T662" s="194"/>
      <c r="U662" s="194"/>
      <c r="V662" s="194"/>
      <c r="W662" s="194"/>
      <c r="X662" s="194"/>
      <c r="Y662" s="194"/>
      <c r="Z662" s="194"/>
      <c r="AA662" s="194"/>
      <c r="AB662" s="194"/>
      <c r="AC662" s="194"/>
      <c r="AD662" s="194"/>
      <c r="AE662" s="194"/>
      <c r="AF662" s="194"/>
    </row>
    <row r="663" spans="1:32" x14ac:dyDescent="0.25">
      <c r="A663" s="194"/>
      <c r="B663" s="194"/>
      <c r="C663" s="194"/>
      <c r="D663" s="194"/>
      <c r="E663" s="194"/>
      <c r="F663" s="194"/>
      <c r="G663" s="194"/>
      <c r="H663" s="194"/>
      <c r="I663" s="194"/>
      <c r="J663" s="194"/>
      <c r="K663" s="194"/>
      <c r="L663" s="194"/>
      <c r="M663" s="194"/>
      <c r="N663" s="194"/>
      <c r="O663" s="194"/>
      <c r="P663" s="194"/>
      <c r="Q663" s="194"/>
      <c r="R663" s="194"/>
      <c r="S663" s="194"/>
      <c r="T663" s="194"/>
      <c r="U663" s="194"/>
      <c r="V663" s="194"/>
      <c r="W663" s="194"/>
      <c r="X663" s="194"/>
      <c r="Y663" s="194"/>
      <c r="Z663" s="194"/>
      <c r="AA663" s="194"/>
      <c r="AB663" s="194"/>
      <c r="AC663" s="194"/>
      <c r="AD663" s="194"/>
      <c r="AE663" s="194"/>
      <c r="AF663" s="194"/>
    </row>
    <row r="664" spans="1:32" x14ac:dyDescent="0.25">
      <c r="A664" s="194"/>
      <c r="B664" s="194"/>
      <c r="C664" s="194"/>
      <c r="D664" s="194"/>
      <c r="E664" s="194"/>
      <c r="F664" s="194"/>
      <c r="G664" s="194"/>
      <c r="H664" s="194"/>
      <c r="I664" s="194"/>
      <c r="J664" s="194"/>
      <c r="K664" s="194"/>
      <c r="L664" s="194"/>
      <c r="M664" s="194"/>
      <c r="N664" s="194"/>
      <c r="O664" s="194"/>
      <c r="P664" s="194"/>
      <c r="Q664" s="194"/>
      <c r="R664" s="194"/>
      <c r="S664" s="194"/>
      <c r="T664" s="194"/>
      <c r="U664" s="194"/>
      <c r="V664" s="194"/>
      <c r="W664" s="194"/>
      <c r="X664" s="194"/>
      <c r="Y664" s="194"/>
      <c r="Z664" s="194"/>
      <c r="AA664" s="194"/>
      <c r="AB664" s="194"/>
      <c r="AC664" s="194"/>
      <c r="AD664" s="194"/>
      <c r="AE664" s="194"/>
      <c r="AF664" s="194"/>
    </row>
    <row r="665" spans="1:32" x14ac:dyDescent="0.25">
      <c r="A665" s="194"/>
      <c r="B665" s="194"/>
      <c r="C665" s="194"/>
      <c r="D665" s="194"/>
      <c r="E665" s="194"/>
      <c r="F665" s="194"/>
      <c r="G665" s="194"/>
      <c r="H665" s="194"/>
      <c r="I665" s="194"/>
      <c r="J665" s="194"/>
      <c r="K665" s="194"/>
      <c r="L665" s="194"/>
      <c r="M665" s="194"/>
      <c r="N665" s="194"/>
      <c r="O665" s="194"/>
      <c r="P665" s="194"/>
      <c r="Q665" s="194"/>
      <c r="R665" s="194"/>
      <c r="S665" s="194"/>
      <c r="T665" s="194"/>
      <c r="U665" s="194"/>
      <c r="V665" s="194"/>
      <c r="W665" s="194"/>
      <c r="X665" s="194"/>
      <c r="Y665" s="194"/>
      <c r="Z665" s="194"/>
      <c r="AA665" s="194"/>
      <c r="AB665" s="194"/>
      <c r="AC665" s="194"/>
      <c r="AD665" s="194"/>
      <c r="AE665" s="194"/>
      <c r="AF665" s="194"/>
    </row>
    <row r="666" spans="1:32" x14ac:dyDescent="0.25">
      <c r="A666" s="194"/>
      <c r="B666" s="194"/>
      <c r="C666" s="194"/>
      <c r="D666" s="194"/>
      <c r="E666" s="194"/>
      <c r="F666" s="194"/>
      <c r="G666" s="194"/>
      <c r="H666" s="194"/>
      <c r="I666" s="194"/>
      <c r="J666" s="194"/>
      <c r="K666" s="194"/>
      <c r="L666" s="194"/>
      <c r="M666" s="194"/>
      <c r="N666" s="194"/>
      <c r="O666" s="194"/>
      <c r="P666" s="194"/>
      <c r="Q666" s="194"/>
      <c r="R666" s="194"/>
      <c r="S666" s="194"/>
      <c r="T666" s="194"/>
      <c r="U666" s="194"/>
      <c r="V666" s="194"/>
      <c r="W666" s="194"/>
      <c r="X666" s="194"/>
      <c r="Y666" s="194"/>
      <c r="Z666" s="194"/>
      <c r="AA666" s="194"/>
      <c r="AB666" s="194"/>
      <c r="AC666" s="194"/>
      <c r="AD666" s="194"/>
      <c r="AE666" s="194"/>
      <c r="AF666" s="194"/>
    </row>
    <row r="667" spans="1:32" x14ac:dyDescent="0.25">
      <c r="A667" s="194"/>
      <c r="B667" s="194"/>
      <c r="C667" s="194"/>
      <c r="D667" s="194"/>
      <c r="E667" s="194"/>
      <c r="F667" s="194"/>
      <c r="G667" s="194"/>
      <c r="H667" s="194"/>
      <c r="I667" s="194"/>
      <c r="J667" s="194"/>
      <c r="K667" s="194"/>
      <c r="L667" s="194"/>
      <c r="M667" s="194"/>
      <c r="N667" s="194"/>
      <c r="O667" s="194"/>
      <c r="P667" s="194"/>
      <c r="Q667" s="194"/>
      <c r="R667" s="194"/>
      <c r="S667" s="194"/>
      <c r="T667" s="194"/>
      <c r="U667" s="194"/>
      <c r="V667" s="194"/>
      <c r="W667" s="194"/>
      <c r="X667" s="194"/>
      <c r="Y667" s="194"/>
      <c r="Z667" s="194"/>
      <c r="AA667" s="194"/>
      <c r="AB667" s="194"/>
      <c r="AC667" s="194"/>
      <c r="AD667" s="194"/>
      <c r="AE667" s="194"/>
      <c r="AF667" s="194"/>
    </row>
    <row r="668" spans="1:32" x14ac:dyDescent="0.25">
      <c r="A668" s="194"/>
      <c r="B668" s="194"/>
      <c r="C668" s="194"/>
      <c r="D668" s="194"/>
      <c r="E668" s="194"/>
      <c r="F668" s="194"/>
      <c r="G668" s="194"/>
      <c r="H668" s="194"/>
      <c r="I668" s="194"/>
      <c r="J668" s="194"/>
      <c r="K668" s="194"/>
      <c r="L668" s="194"/>
      <c r="M668" s="194"/>
      <c r="N668" s="194"/>
      <c r="O668" s="194"/>
      <c r="P668" s="194"/>
      <c r="Q668" s="194"/>
      <c r="R668" s="194"/>
      <c r="S668" s="194"/>
      <c r="T668" s="194"/>
      <c r="U668" s="194"/>
      <c r="V668" s="194"/>
      <c r="W668" s="194"/>
      <c r="X668" s="194"/>
      <c r="Y668" s="194"/>
      <c r="Z668" s="194"/>
      <c r="AA668" s="194"/>
      <c r="AB668" s="194"/>
      <c r="AC668" s="194"/>
      <c r="AD668" s="194"/>
      <c r="AE668" s="194"/>
      <c r="AF668" s="194"/>
    </row>
    <row r="669" spans="1:32" x14ac:dyDescent="0.25">
      <c r="A669" s="194"/>
      <c r="B669" s="194"/>
      <c r="C669" s="194"/>
      <c r="D669" s="194"/>
      <c r="E669" s="194"/>
      <c r="F669" s="194"/>
      <c r="G669" s="194"/>
      <c r="H669" s="194"/>
      <c r="I669" s="194"/>
      <c r="J669" s="194"/>
      <c r="K669" s="194"/>
      <c r="L669" s="194"/>
      <c r="M669" s="194"/>
      <c r="N669" s="194"/>
      <c r="O669" s="194"/>
      <c r="P669" s="194"/>
      <c r="Q669" s="194"/>
      <c r="R669" s="194"/>
      <c r="S669" s="194"/>
      <c r="T669" s="194"/>
      <c r="U669" s="194"/>
      <c r="V669" s="194"/>
      <c r="W669" s="194"/>
      <c r="X669" s="194"/>
      <c r="Y669" s="194"/>
      <c r="Z669" s="194"/>
      <c r="AA669" s="194"/>
      <c r="AB669" s="194"/>
      <c r="AC669" s="194"/>
      <c r="AD669" s="194"/>
      <c r="AE669" s="194"/>
      <c r="AF669" s="194"/>
    </row>
    <row r="670" spans="1:32" x14ac:dyDescent="0.25">
      <c r="A670" s="194"/>
      <c r="B670" s="194"/>
      <c r="C670" s="194"/>
      <c r="D670" s="194"/>
      <c r="E670" s="194"/>
      <c r="F670" s="194"/>
      <c r="G670" s="194"/>
      <c r="H670" s="194"/>
      <c r="I670" s="194"/>
      <c r="J670" s="194"/>
      <c r="K670" s="194"/>
      <c r="L670" s="194"/>
      <c r="M670" s="194"/>
      <c r="N670" s="194"/>
      <c r="O670" s="194"/>
      <c r="P670" s="194"/>
      <c r="Q670" s="194"/>
      <c r="R670" s="194"/>
      <c r="S670" s="194"/>
      <c r="T670" s="194"/>
      <c r="U670" s="194"/>
      <c r="V670" s="194"/>
      <c r="W670" s="194"/>
      <c r="X670" s="194"/>
      <c r="Y670" s="194"/>
      <c r="Z670" s="194"/>
      <c r="AA670" s="194"/>
      <c r="AB670" s="194"/>
      <c r="AC670" s="194"/>
      <c r="AD670" s="194"/>
      <c r="AE670" s="194"/>
      <c r="AF670" s="194"/>
    </row>
    <row r="671" spans="1:32" x14ac:dyDescent="0.25">
      <c r="A671" s="194"/>
      <c r="B671" s="194"/>
      <c r="C671" s="194"/>
      <c r="D671" s="194"/>
      <c r="E671" s="194"/>
      <c r="F671" s="194"/>
      <c r="G671" s="194"/>
      <c r="H671" s="194"/>
      <c r="I671" s="194"/>
      <c r="J671" s="194"/>
      <c r="K671" s="194"/>
      <c r="L671" s="194"/>
      <c r="M671" s="194"/>
      <c r="N671" s="194"/>
      <c r="O671" s="194"/>
      <c r="P671" s="194"/>
      <c r="Q671" s="194"/>
      <c r="R671" s="194"/>
      <c r="S671" s="194"/>
      <c r="T671" s="194"/>
      <c r="U671" s="194"/>
      <c r="V671" s="194"/>
      <c r="W671" s="194"/>
      <c r="X671" s="194"/>
      <c r="Y671" s="194"/>
      <c r="Z671" s="194"/>
      <c r="AA671" s="194"/>
      <c r="AB671" s="194"/>
      <c r="AC671" s="194"/>
      <c r="AD671" s="194"/>
      <c r="AE671" s="194"/>
      <c r="AF671" s="194"/>
    </row>
    <row r="672" spans="1:32" x14ac:dyDescent="0.25">
      <c r="A672" s="194"/>
      <c r="B672" s="194"/>
      <c r="C672" s="194"/>
      <c r="D672" s="194"/>
      <c r="E672" s="194"/>
      <c r="F672" s="194"/>
      <c r="G672" s="194"/>
      <c r="H672" s="194"/>
      <c r="I672" s="194"/>
      <c r="J672" s="194"/>
      <c r="K672" s="194"/>
      <c r="L672" s="194"/>
      <c r="M672" s="194"/>
      <c r="N672" s="194"/>
      <c r="O672" s="194"/>
      <c r="P672" s="194"/>
      <c r="Q672" s="194"/>
      <c r="R672" s="194"/>
      <c r="S672" s="194"/>
      <c r="T672" s="194"/>
      <c r="U672" s="194"/>
      <c r="V672" s="194"/>
      <c r="W672" s="194"/>
      <c r="X672" s="194"/>
      <c r="Y672" s="194"/>
      <c r="Z672" s="194"/>
      <c r="AA672" s="194"/>
      <c r="AB672" s="194"/>
      <c r="AC672" s="194"/>
      <c r="AD672" s="194"/>
      <c r="AE672" s="194"/>
      <c r="AF672" s="194"/>
    </row>
    <row r="673" spans="1:32" x14ac:dyDescent="0.25">
      <c r="A673" s="194"/>
      <c r="B673" s="194"/>
      <c r="C673" s="194"/>
      <c r="D673" s="194"/>
      <c r="E673" s="194"/>
      <c r="F673" s="194"/>
      <c r="G673" s="194"/>
      <c r="H673" s="194"/>
      <c r="I673" s="194"/>
      <c r="J673" s="194"/>
      <c r="K673" s="194"/>
      <c r="L673" s="194"/>
      <c r="M673" s="194"/>
      <c r="N673" s="194"/>
      <c r="O673" s="194"/>
      <c r="P673" s="194"/>
      <c r="Q673" s="194"/>
      <c r="R673" s="194"/>
      <c r="S673" s="194"/>
      <c r="T673" s="194"/>
      <c r="U673" s="194"/>
      <c r="V673" s="194"/>
      <c r="W673" s="194"/>
      <c r="X673" s="194"/>
      <c r="Y673" s="194"/>
      <c r="Z673" s="194"/>
      <c r="AA673" s="194"/>
      <c r="AB673" s="194"/>
      <c r="AC673" s="194"/>
      <c r="AD673" s="194"/>
      <c r="AE673" s="194"/>
      <c r="AF673" s="194"/>
    </row>
    <row r="674" spans="1:32" x14ac:dyDescent="0.25">
      <c r="A674" s="194"/>
      <c r="B674" s="194"/>
      <c r="C674" s="194"/>
      <c r="D674" s="194"/>
      <c r="E674" s="194"/>
      <c r="F674" s="194"/>
      <c r="G674" s="194"/>
      <c r="H674" s="194"/>
      <c r="I674" s="194"/>
      <c r="J674" s="194"/>
      <c r="K674" s="194"/>
      <c r="L674" s="194"/>
      <c r="M674" s="194"/>
      <c r="N674" s="194"/>
      <c r="O674" s="194"/>
      <c r="P674" s="194"/>
      <c r="Q674" s="194"/>
      <c r="R674" s="194"/>
      <c r="S674" s="194"/>
      <c r="T674" s="194"/>
      <c r="U674" s="194"/>
      <c r="V674" s="194"/>
      <c r="W674" s="194"/>
      <c r="X674" s="194"/>
      <c r="Y674" s="194"/>
      <c r="Z674" s="194"/>
      <c r="AA674" s="194"/>
      <c r="AB674" s="194"/>
      <c r="AC674" s="194"/>
      <c r="AD674" s="194"/>
      <c r="AE674" s="194"/>
      <c r="AF674" s="194"/>
    </row>
    <row r="675" spans="1:32" x14ac:dyDescent="0.25">
      <c r="A675" s="194"/>
      <c r="B675" s="194"/>
      <c r="C675" s="194"/>
      <c r="D675" s="194"/>
      <c r="E675" s="194"/>
      <c r="F675" s="194"/>
      <c r="G675" s="194"/>
      <c r="H675" s="194"/>
      <c r="I675" s="194"/>
      <c r="J675" s="194"/>
      <c r="K675" s="194"/>
      <c r="L675" s="194"/>
      <c r="M675" s="194"/>
      <c r="N675" s="194"/>
      <c r="O675" s="194"/>
      <c r="P675" s="194"/>
      <c r="Q675" s="194"/>
      <c r="R675" s="194"/>
      <c r="S675" s="194"/>
      <c r="T675" s="194"/>
      <c r="U675" s="194"/>
      <c r="V675" s="194"/>
      <c r="W675" s="194"/>
      <c r="X675" s="194"/>
      <c r="Y675" s="194"/>
      <c r="Z675" s="194"/>
      <c r="AA675" s="194"/>
      <c r="AB675" s="194"/>
      <c r="AC675" s="194"/>
      <c r="AD675" s="194"/>
      <c r="AE675" s="194"/>
      <c r="AF675" s="194"/>
    </row>
    <row r="676" spans="1:32" x14ac:dyDescent="0.25">
      <c r="A676" s="194"/>
      <c r="B676" s="194"/>
      <c r="C676" s="194"/>
      <c r="D676" s="194"/>
      <c r="E676" s="194"/>
      <c r="F676" s="194"/>
      <c r="G676" s="194"/>
      <c r="H676" s="194"/>
      <c r="I676" s="194"/>
      <c r="J676" s="194"/>
      <c r="K676" s="194"/>
      <c r="L676" s="194"/>
      <c r="M676" s="194"/>
      <c r="N676" s="194"/>
      <c r="O676" s="194"/>
      <c r="P676" s="194"/>
      <c r="Q676" s="194"/>
      <c r="R676" s="194"/>
      <c r="S676" s="194"/>
      <c r="T676" s="194"/>
      <c r="U676" s="194"/>
      <c r="V676" s="194"/>
      <c r="W676" s="194"/>
      <c r="X676" s="194"/>
      <c r="Y676" s="194"/>
      <c r="Z676" s="194"/>
      <c r="AA676" s="194"/>
      <c r="AB676" s="194"/>
      <c r="AC676" s="194"/>
      <c r="AD676" s="194"/>
      <c r="AE676" s="194"/>
      <c r="AF676" s="194"/>
    </row>
    <row r="677" spans="1:32" x14ac:dyDescent="0.25">
      <c r="A677" s="194"/>
      <c r="B677" s="194"/>
      <c r="C677" s="194"/>
      <c r="D677" s="194"/>
      <c r="E677" s="194"/>
      <c r="F677" s="194"/>
      <c r="G677" s="194"/>
      <c r="H677" s="194"/>
      <c r="I677" s="194"/>
      <c r="J677" s="194"/>
      <c r="K677" s="194"/>
      <c r="L677" s="194"/>
      <c r="M677" s="194"/>
      <c r="N677" s="194"/>
      <c r="O677" s="194"/>
      <c r="P677" s="194"/>
      <c r="Q677" s="194"/>
      <c r="R677" s="194"/>
      <c r="S677" s="194"/>
      <c r="T677" s="194"/>
      <c r="U677" s="194"/>
      <c r="V677" s="194"/>
      <c r="W677" s="194"/>
      <c r="X677" s="194"/>
      <c r="Y677" s="194"/>
      <c r="Z677" s="194"/>
      <c r="AA677" s="194"/>
      <c r="AB677" s="194"/>
      <c r="AC677" s="194"/>
      <c r="AD677" s="194"/>
      <c r="AE677" s="194"/>
      <c r="AF677" s="194"/>
    </row>
    <row r="678" spans="1:32" x14ac:dyDescent="0.25">
      <c r="A678" s="194"/>
      <c r="B678" s="194"/>
      <c r="C678" s="194"/>
      <c r="D678" s="194"/>
      <c r="E678" s="194"/>
      <c r="F678" s="194"/>
      <c r="G678" s="194"/>
      <c r="H678" s="194"/>
      <c r="I678" s="194"/>
      <c r="J678" s="194"/>
      <c r="K678" s="194"/>
      <c r="L678" s="194"/>
      <c r="M678" s="194"/>
      <c r="N678" s="194"/>
      <c r="O678" s="194"/>
      <c r="P678" s="194"/>
      <c r="Q678" s="194"/>
      <c r="R678" s="194"/>
      <c r="S678" s="194"/>
      <c r="T678" s="194"/>
      <c r="U678" s="194"/>
      <c r="V678" s="194"/>
      <c r="W678" s="194"/>
      <c r="X678" s="194"/>
      <c r="Y678" s="194"/>
      <c r="Z678" s="194"/>
      <c r="AA678" s="194"/>
      <c r="AB678" s="194"/>
      <c r="AC678" s="194"/>
      <c r="AD678" s="194"/>
      <c r="AE678" s="194"/>
      <c r="AF678" s="194"/>
    </row>
    <row r="679" spans="1:32" x14ac:dyDescent="0.25">
      <c r="A679" s="194"/>
      <c r="B679" s="194"/>
      <c r="C679" s="194"/>
      <c r="D679" s="194"/>
      <c r="E679" s="194"/>
      <c r="F679" s="194"/>
      <c r="G679" s="194"/>
      <c r="H679" s="194"/>
      <c r="I679" s="194"/>
      <c r="J679" s="194"/>
      <c r="K679" s="194"/>
      <c r="L679" s="194"/>
      <c r="M679" s="194"/>
      <c r="N679" s="194"/>
      <c r="O679" s="194"/>
      <c r="P679" s="194"/>
      <c r="Q679" s="194"/>
      <c r="R679" s="194"/>
      <c r="S679" s="194"/>
      <c r="T679" s="194"/>
      <c r="U679" s="194"/>
      <c r="V679" s="194"/>
      <c r="W679" s="194"/>
      <c r="X679" s="194"/>
      <c r="Y679" s="194"/>
      <c r="Z679" s="194"/>
      <c r="AA679" s="194"/>
      <c r="AB679" s="194"/>
      <c r="AC679" s="194"/>
      <c r="AD679" s="194"/>
      <c r="AE679" s="194"/>
      <c r="AF679" s="194"/>
    </row>
    <row r="680" spans="1:32" x14ac:dyDescent="0.25">
      <c r="A680" s="194"/>
      <c r="B680" s="194"/>
      <c r="C680" s="194"/>
      <c r="D680" s="194"/>
      <c r="E680" s="194"/>
      <c r="F680" s="194"/>
      <c r="G680" s="194"/>
      <c r="H680" s="194"/>
      <c r="I680" s="194"/>
      <c r="J680" s="194"/>
      <c r="K680" s="194"/>
      <c r="L680" s="194"/>
      <c r="M680" s="194"/>
      <c r="N680" s="194"/>
      <c r="O680" s="194"/>
      <c r="P680" s="194"/>
      <c r="Q680" s="194"/>
      <c r="R680" s="194"/>
      <c r="S680" s="194"/>
      <c r="T680" s="194"/>
      <c r="U680" s="194"/>
      <c r="V680" s="194"/>
      <c r="W680" s="194"/>
      <c r="X680" s="194"/>
      <c r="Y680" s="194"/>
      <c r="Z680" s="194"/>
      <c r="AA680" s="194"/>
      <c r="AB680" s="194"/>
      <c r="AC680" s="194"/>
      <c r="AD680" s="194"/>
      <c r="AE680" s="194"/>
      <c r="AF680" s="194"/>
    </row>
    <row r="681" spans="1:32" x14ac:dyDescent="0.25">
      <c r="A681" s="194"/>
      <c r="B681" s="194"/>
      <c r="C681" s="194"/>
      <c r="D681" s="194"/>
      <c r="E681" s="194"/>
      <c r="F681" s="194"/>
      <c r="G681" s="194"/>
      <c r="H681" s="194"/>
      <c r="I681" s="194"/>
      <c r="J681" s="194"/>
      <c r="K681" s="194"/>
      <c r="L681" s="194"/>
      <c r="M681" s="194"/>
      <c r="N681" s="194"/>
      <c r="O681" s="194"/>
      <c r="P681" s="194"/>
      <c r="Q681" s="194"/>
      <c r="R681" s="194"/>
      <c r="S681" s="194"/>
      <c r="T681" s="194"/>
      <c r="U681" s="194"/>
      <c r="V681" s="194"/>
      <c r="W681" s="194"/>
      <c r="X681" s="194"/>
      <c r="Y681" s="194"/>
      <c r="Z681" s="194"/>
      <c r="AA681" s="194"/>
      <c r="AB681" s="194"/>
      <c r="AC681" s="194"/>
      <c r="AD681" s="194"/>
      <c r="AE681" s="194"/>
      <c r="AF681" s="194"/>
    </row>
    <row r="682" spans="1:32" x14ac:dyDescent="0.25">
      <c r="A682" s="194"/>
      <c r="B682" s="194"/>
      <c r="C682" s="194"/>
      <c r="D682" s="194"/>
      <c r="E682" s="194"/>
      <c r="F682" s="194"/>
      <c r="G682" s="194"/>
      <c r="H682" s="194"/>
      <c r="I682" s="194"/>
      <c r="J682" s="194"/>
      <c r="K682" s="194"/>
      <c r="L682" s="194"/>
      <c r="M682" s="194"/>
      <c r="N682" s="194"/>
      <c r="O682" s="194"/>
      <c r="P682" s="194"/>
      <c r="Q682" s="194"/>
      <c r="R682" s="194"/>
      <c r="S682" s="194"/>
      <c r="T682" s="194"/>
      <c r="U682" s="194"/>
      <c r="V682" s="194"/>
      <c r="W682" s="194"/>
      <c r="X682" s="194"/>
      <c r="Y682" s="194"/>
      <c r="Z682" s="194"/>
      <c r="AA682" s="194"/>
      <c r="AB682" s="194"/>
      <c r="AC682" s="194"/>
      <c r="AD682" s="194"/>
      <c r="AE682" s="194"/>
      <c r="AF682" s="194"/>
    </row>
    <row r="683" spans="1:32" x14ac:dyDescent="0.25">
      <c r="A683" s="194"/>
      <c r="B683" s="194"/>
      <c r="C683" s="194"/>
      <c r="D683" s="194"/>
      <c r="E683" s="194"/>
      <c r="F683" s="194"/>
      <c r="G683" s="194"/>
      <c r="H683" s="194"/>
      <c r="I683" s="194"/>
      <c r="J683" s="194"/>
      <c r="K683" s="194"/>
      <c r="L683" s="194"/>
      <c r="M683" s="194"/>
      <c r="N683" s="194"/>
      <c r="O683" s="194"/>
      <c r="P683" s="194"/>
      <c r="Q683" s="194"/>
      <c r="R683" s="194"/>
      <c r="S683" s="194"/>
      <c r="T683" s="194"/>
      <c r="U683" s="194"/>
      <c r="V683" s="194"/>
      <c r="W683" s="194"/>
      <c r="X683" s="194"/>
      <c r="Y683" s="194"/>
      <c r="Z683" s="194"/>
      <c r="AA683" s="194"/>
      <c r="AB683" s="194"/>
      <c r="AC683" s="194"/>
      <c r="AD683" s="194"/>
      <c r="AE683" s="194"/>
      <c r="AF683" s="194"/>
    </row>
    <row r="684" spans="1:32" x14ac:dyDescent="0.25">
      <c r="A684" s="194"/>
      <c r="B684" s="194"/>
      <c r="C684" s="194"/>
      <c r="D684" s="194"/>
      <c r="E684" s="194"/>
      <c r="F684" s="194"/>
      <c r="G684" s="194"/>
      <c r="H684" s="194"/>
      <c r="I684" s="194"/>
      <c r="J684" s="194"/>
      <c r="K684" s="194"/>
      <c r="L684" s="194"/>
      <c r="M684" s="194"/>
      <c r="N684" s="194"/>
      <c r="O684" s="194"/>
      <c r="P684" s="194"/>
      <c r="Q684" s="194"/>
      <c r="R684" s="194"/>
      <c r="S684" s="194"/>
      <c r="T684" s="194"/>
      <c r="U684" s="194"/>
      <c r="V684" s="194"/>
      <c r="W684" s="194"/>
      <c r="X684" s="194"/>
      <c r="Y684" s="194"/>
      <c r="Z684" s="194"/>
      <c r="AA684" s="194"/>
      <c r="AB684" s="194"/>
      <c r="AC684" s="194"/>
      <c r="AD684" s="194"/>
      <c r="AE684" s="194"/>
      <c r="AF684" s="194"/>
    </row>
    <row r="685" spans="1:32" x14ac:dyDescent="0.25">
      <c r="A685" s="194"/>
      <c r="B685" s="194"/>
      <c r="C685" s="194"/>
      <c r="D685" s="194"/>
      <c r="E685" s="194"/>
      <c r="F685" s="194"/>
      <c r="G685" s="194"/>
      <c r="H685" s="194"/>
      <c r="I685" s="194"/>
      <c r="J685" s="194"/>
      <c r="K685" s="194"/>
      <c r="L685" s="194"/>
      <c r="M685" s="194"/>
      <c r="N685" s="194"/>
      <c r="O685" s="194"/>
      <c r="P685" s="194"/>
      <c r="Q685" s="194"/>
      <c r="R685" s="194"/>
      <c r="S685" s="194"/>
      <c r="T685" s="194"/>
      <c r="U685" s="194"/>
      <c r="V685" s="194"/>
      <c r="W685" s="194"/>
      <c r="X685" s="194"/>
      <c r="Y685" s="194"/>
      <c r="Z685" s="194"/>
      <c r="AA685" s="194"/>
      <c r="AB685" s="194"/>
      <c r="AC685" s="194"/>
      <c r="AD685" s="194"/>
      <c r="AE685" s="194"/>
      <c r="AF685" s="194"/>
    </row>
    <row r="686" spans="1:32" x14ac:dyDescent="0.25">
      <c r="A686" s="194"/>
      <c r="B686" s="194"/>
      <c r="C686" s="194"/>
      <c r="D686" s="194"/>
      <c r="E686" s="194"/>
      <c r="F686" s="194"/>
      <c r="G686" s="194"/>
      <c r="H686" s="194"/>
      <c r="I686" s="194"/>
      <c r="J686" s="194"/>
      <c r="K686" s="194"/>
      <c r="L686" s="194"/>
      <c r="M686" s="194"/>
      <c r="N686" s="194"/>
      <c r="O686" s="194"/>
      <c r="P686" s="194"/>
      <c r="Q686" s="194"/>
      <c r="R686" s="194"/>
      <c r="S686" s="194"/>
      <c r="T686" s="194"/>
      <c r="U686" s="194"/>
      <c r="V686" s="194"/>
      <c r="W686" s="194"/>
      <c r="X686" s="194"/>
      <c r="Y686" s="194"/>
      <c r="Z686" s="194"/>
      <c r="AA686" s="194"/>
      <c r="AB686" s="194"/>
      <c r="AC686" s="194"/>
      <c r="AD686" s="194"/>
      <c r="AE686" s="194"/>
      <c r="AF686" s="194"/>
    </row>
    <row r="687" spans="1:32" x14ac:dyDescent="0.25">
      <c r="A687" s="194"/>
      <c r="B687" s="194"/>
      <c r="C687" s="194"/>
      <c r="D687" s="194"/>
      <c r="E687" s="194"/>
      <c r="F687" s="194"/>
      <c r="G687" s="194"/>
      <c r="H687" s="194"/>
      <c r="I687" s="194"/>
      <c r="J687" s="194"/>
      <c r="K687" s="194"/>
      <c r="L687" s="194"/>
      <c r="M687" s="194"/>
      <c r="N687" s="194"/>
      <c r="O687" s="194"/>
      <c r="P687" s="194"/>
      <c r="Q687" s="194"/>
      <c r="R687" s="194"/>
      <c r="S687" s="194"/>
      <c r="T687" s="194"/>
      <c r="U687" s="194"/>
      <c r="V687" s="194"/>
      <c r="W687" s="194"/>
      <c r="X687" s="194"/>
      <c r="Y687" s="194"/>
      <c r="Z687" s="194"/>
      <c r="AA687" s="194"/>
      <c r="AB687" s="194"/>
      <c r="AC687" s="194"/>
      <c r="AD687" s="194"/>
      <c r="AE687" s="194"/>
      <c r="AF687" s="194"/>
    </row>
    <row r="688" spans="1:32" x14ac:dyDescent="0.25">
      <c r="A688" s="194"/>
      <c r="B688" s="194"/>
      <c r="C688" s="194"/>
      <c r="D688" s="194"/>
      <c r="E688" s="194"/>
      <c r="F688" s="194"/>
      <c r="G688" s="194"/>
      <c r="H688" s="194"/>
      <c r="I688" s="194"/>
      <c r="J688" s="194"/>
      <c r="K688" s="194"/>
      <c r="L688" s="194"/>
      <c r="M688" s="194"/>
      <c r="N688" s="194"/>
      <c r="O688" s="194"/>
      <c r="P688" s="194"/>
      <c r="Q688" s="194"/>
      <c r="R688" s="194"/>
      <c r="S688" s="194"/>
      <c r="T688" s="194"/>
      <c r="U688" s="194"/>
      <c r="V688" s="194"/>
      <c r="W688" s="194"/>
      <c r="X688" s="194"/>
      <c r="Y688" s="194"/>
      <c r="Z688" s="194"/>
      <c r="AA688" s="194"/>
      <c r="AB688" s="194"/>
      <c r="AC688" s="194"/>
      <c r="AD688" s="194"/>
      <c r="AE688" s="194"/>
      <c r="AF688" s="194"/>
    </row>
    <row r="689" spans="1:32" x14ac:dyDescent="0.25">
      <c r="A689" s="194"/>
      <c r="B689" s="194"/>
      <c r="C689" s="194"/>
      <c r="D689" s="194"/>
      <c r="E689" s="194"/>
      <c r="F689" s="194"/>
      <c r="G689" s="194"/>
      <c r="H689" s="194"/>
      <c r="I689" s="194"/>
      <c r="J689" s="194"/>
      <c r="K689" s="194"/>
      <c r="L689" s="194"/>
      <c r="M689" s="194"/>
      <c r="N689" s="194"/>
      <c r="O689" s="194"/>
      <c r="P689" s="194"/>
      <c r="Q689" s="194"/>
      <c r="R689" s="194"/>
      <c r="S689" s="194"/>
      <c r="T689" s="194"/>
      <c r="U689" s="194"/>
      <c r="V689" s="194"/>
      <c r="W689" s="194"/>
      <c r="X689" s="194"/>
      <c r="Y689" s="194"/>
      <c r="Z689" s="194"/>
      <c r="AA689" s="194"/>
      <c r="AB689" s="194"/>
      <c r="AC689" s="194"/>
      <c r="AD689" s="194"/>
      <c r="AE689" s="194"/>
      <c r="AF689" s="194"/>
    </row>
    <row r="690" spans="1:32" x14ac:dyDescent="0.25">
      <c r="A690" s="194"/>
      <c r="B690" s="194"/>
      <c r="C690" s="194"/>
      <c r="D690" s="194"/>
      <c r="E690" s="194"/>
      <c r="F690" s="194"/>
      <c r="G690" s="194"/>
      <c r="H690" s="194"/>
      <c r="I690" s="194"/>
      <c r="J690" s="194"/>
      <c r="K690" s="194"/>
      <c r="L690" s="194"/>
      <c r="M690" s="194"/>
      <c r="N690" s="194"/>
      <c r="O690" s="194"/>
      <c r="P690" s="194"/>
      <c r="Q690" s="194"/>
      <c r="R690" s="194"/>
      <c r="S690" s="194"/>
      <c r="T690" s="194"/>
      <c r="U690" s="194"/>
      <c r="V690" s="194"/>
      <c r="W690" s="194"/>
      <c r="X690" s="194"/>
      <c r="Y690" s="194"/>
      <c r="Z690" s="194"/>
      <c r="AA690" s="194"/>
      <c r="AB690" s="194"/>
      <c r="AC690" s="194"/>
      <c r="AD690" s="194"/>
      <c r="AE690" s="194"/>
      <c r="AF690" s="194"/>
    </row>
    <row r="691" spans="1:32" x14ac:dyDescent="0.25">
      <c r="A691" s="194"/>
      <c r="B691" s="194"/>
      <c r="C691" s="194"/>
      <c r="D691" s="194"/>
      <c r="E691" s="194"/>
      <c r="F691" s="194"/>
      <c r="G691" s="194"/>
      <c r="H691" s="194"/>
      <c r="I691" s="194"/>
      <c r="J691" s="194"/>
      <c r="K691" s="194"/>
      <c r="L691" s="194"/>
      <c r="M691" s="194"/>
      <c r="N691" s="194"/>
      <c r="O691" s="194"/>
      <c r="P691" s="194"/>
      <c r="Q691" s="194"/>
      <c r="R691" s="194"/>
      <c r="S691" s="194"/>
      <c r="T691" s="194"/>
      <c r="U691" s="194"/>
      <c r="V691" s="194"/>
      <c r="W691" s="194"/>
      <c r="X691" s="194"/>
      <c r="Y691" s="194"/>
      <c r="Z691" s="194"/>
      <c r="AA691" s="194"/>
      <c r="AB691" s="194"/>
      <c r="AC691" s="194"/>
      <c r="AD691" s="194"/>
      <c r="AE691" s="194"/>
      <c r="AF691" s="194"/>
    </row>
    <row r="692" spans="1:32" x14ac:dyDescent="0.25">
      <c r="A692" s="194"/>
      <c r="B692" s="194"/>
      <c r="C692" s="194"/>
      <c r="D692" s="194"/>
      <c r="E692" s="194"/>
      <c r="F692" s="194"/>
      <c r="G692" s="194"/>
      <c r="H692" s="194"/>
      <c r="I692" s="194"/>
      <c r="J692" s="194"/>
      <c r="K692" s="194"/>
      <c r="L692" s="194"/>
      <c r="M692" s="194"/>
      <c r="N692" s="194"/>
      <c r="O692" s="194"/>
      <c r="P692" s="194"/>
      <c r="Q692" s="194"/>
      <c r="R692" s="194"/>
      <c r="S692" s="194"/>
      <c r="T692" s="194"/>
      <c r="U692" s="194"/>
      <c r="V692" s="194"/>
      <c r="W692" s="194"/>
      <c r="X692" s="194"/>
      <c r="Y692" s="194"/>
      <c r="Z692" s="194"/>
      <c r="AA692" s="194"/>
      <c r="AB692" s="194"/>
      <c r="AC692" s="194"/>
      <c r="AD692" s="194"/>
      <c r="AE692" s="194"/>
      <c r="AF692" s="194"/>
    </row>
    <row r="693" spans="1:32" x14ac:dyDescent="0.25">
      <c r="A693" s="194"/>
      <c r="B693" s="194"/>
      <c r="C693" s="194"/>
      <c r="D693" s="194"/>
      <c r="E693" s="194"/>
      <c r="F693" s="194"/>
      <c r="G693" s="194"/>
      <c r="H693" s="194"/>
      <c r="I693" s="194"/>
      <c r="J693" s="194"/>
      <c r="K693" s="194"/>
      <c r="L693" s="194"/>
      <c r="M693" s="194"/>
      <c r="N693" s="194"/>
      <c r="O693" s="194"/>
      <c r="P693" s="194"/>
      <c r="Q693" s="194"/>
      <c r="R693" s="194"/>
      <c r="S693" s="194"/>
      <c r="T693" s="194"/>
      <c r="U693" s="194"/>
      <c r="V693" s="194"/>
      <c r="W693" s="194"/>
      <c r="X693" s="194"/>
      <c r="Y693" s="194"/>
      <c r="Z693" s="194"/>
      <c r="AA693" s="194"/>
      <c r="AB693" s="194"/>
      <c r="AC693" s="194"/>
      <c r="AD693" s="194"/>
      <c r="AE693" s="194"/>
      <c r="AF693" s="194"/>
    </row>
    <row r="694" spans="1:32" x14ac:dyDescent="0.25">
      <c r="A694" s="194"/>
      <c r="B694" s="194"/>
      <c r="C694" s="194"/>
      <c r="D694" s="194"/>
      <c r="E694" s="194"/>
      <c r="F694" s="194"/>
      <c r="G694" s="194"/>
      <c r="H694" s="194"/>
      <c r="I694" s="194"/>
      <c r="J694" s="194"/>
      <c r="K694" s="194"/>
      <c r="L694" s="194"/>
      <c r="M694" s="194"/>
      <c r="N694" s="194"/>
      <c r="O694" s="194"/>
      <c r="P694" s="194"/>
      <c r="Q694" s="194"/>
      <c r="R694" s="194"/>
      <c r="S694" s="194"/>
      <c r="T694" s="194"/>
      <c r="U694" s="194"/>
      <c r="V694" s="194"/>
      <c r="W694" s="194"/>
      <c r="X694" s="194"/>
      <c r="Y694" s="194"/>
      <c r="Z694" s="194"/>
      <c r="AA694" s="194"/>
      <c r="AB694" s="194"/>
      <c r="AC694" s="194"/>
      <c r="AD694" s="194"/>
      <c r="AE694" s="194"/>
      <c r="AF694" s="194"/>
    </row>
    <row r="695" spans="1:32" x14ac:dyDescent="0.25">
      <c r="A695" s="194"/>
      <c r="B695" s="194"/>
      <c r="C695" s="194"/>
      <c r="D695" s="194"/>
      <c r="E695" s="194"/>
      <c r="F695" s="194"/>
      <c r="G695" s="194"/>
      <c r="H695" s="194"/>
      <c r="I695" s="194"/>
      <c r="J695" s="194"/>
      <c r="K695" s="194"/>
      <c r="L695" s="194"/>
      <c r="M695" s="194"/>
      <c r="N695" s="194"/>
      <c r="O695" s="194"/>
      <c r="P695" s="194"/>
      <c r="Q695" s="194"/>
      <c r="R695" s="194"/>
      <c r="S695" s="194"/>
      <c r="T695" s="194"/>
      <c r="U695" s="194"/>
      <c r="V695" s="194"/>
      <c r="W695" s="194"/>
      <c r="X695" s="194"/>
      <c r="Y695" s="194"/>
      <c r="Z695" s="194"/>
      <c r="AA695" s="194"/>
      <c r="AB695" s="194"/>
      <c r="AC695" s="194"/>
      <c r="AD695" s="194"/>
      <c r="AE695" s="194"/>
      <c r="AF695" s="194"/>
    </row>
    <row r="696" spans="1:32" x14ac:dyDescent="0.25">
      <c r="A696" s="194"/>
      <c r="B696" s="194"/>
      <c r="C696" s="194"/>
      <c r="D696" s="194"/>
      <c r="E696" s="194"/>
      <c r="F696" s="194"/>
      <c r="G696" s="194"/>
      <c r="H696" s="194"/>
      <c r="I696" s="194"/>
      <c r="J696" s="194"/>
      <c r="K696" s="194"/>
      <c r="L696" s="194"/>
      <c r="M696" s="194"/>
      <c r="N696" s="194"/>
      <c r="O696" s="194"/>
      <c r="P696" s="194"/>
      <c r="Q696" s="194"/>
      <c r="R696" s="194"/>
      <c r="S696" s="194"/>
      <c r="T696" s="194"/>
      <c r="U696" s="194"/>
      <c r="V696" s="194"/>
      <c r="W696" s="194"/>
      <c r="X696" s="194"/>
      <c r="Y696" s="194"/>
      <c r="Z696" s="194"/>
      <c r="AA696" s="194"/>
      <c r="AB696" s="194"/>
      <c r="AC696" s="194"/>
      <c r="AD696" s="194"/>
      <c r="AE696" s="194"/>
      <c r="AF696" s="194"/>
    </row>
    <row r="697" spans="1:32" x14ac:dyDescent="0.25">
      <c r="A697" s="194"/>
      <c r="B697" s="194"/>
      <c r="C697" s="194"/>
      <c r="D697" s="194"/>
      <c r="E697" s="194"/>
      <c r="F697" s="194"/>
      <c r="G697" s="194"/>
      <c r="H697" s="194"/>
      <c r="I697" s="194"/>
      <c r="J697" s="194"/>
      <c r="K697" s="194"/>
      <c r="L697" s="194"/>
      <c r="M697" s="194"/>
      <c r="N697" s="194"/>
      <c r="O697" s="194"/>
      <c r="P697" s="194"/>
      <c r="Q697" s="194"/>
      <c r="R697" s="194"/>
      <c r="S697" s="194"/>
      <c r="T697" s="194"/>
      <c r="U697" s="194"/>
      <c r="V697" s="194"/>
      <c r="W697" s="194"/>
      <c r="X697" s="194"/>
      <c r="Y697" s="194"/>
      <c r="Z697" s="194"/>
      <c r="AA697" s="194"/>
      <c r="AB697" s="194"/>
      <c r="AC697" s="194"/>
      <c r="AD697" s="194"/>
      <c r="AE697" s="194"/>
      <c r="AF697" s="194"/>
    </row>
    <row r="698" spans="1:32" x14ac:dyDescent="0.25">
      <c r="A698" s="194"/>
      <c r="B698" s="194"/>
      <c r="C698" s="194"/>
      <c r="D698" s="194"/>
      <c r="E698" s="194"/>
      <c r="F698" s="194"/>
      <c r="G698" s="194"/>
      <c r="H698" s="194"/>
      <c r="I698" s="194"/>
      <c r="J698" s="194"/>
      <c r="K698" s="194"/>
      <c r="L698" s="194"/>
      <c r="M698" s="194"/>
      <c r="N698" s="194"/>
      <c r="O698" s="194"/>
      <c r="P698" s="194"/>
      <c r="Q698" s="194"/>
      <c r="R698" s="194"/>
      <c r="S698" s="194"/>
      <c r="T698" s="194"/>
      <c r="U698" s="194"/>
      <c r="V698" s="194"/>
      <c r="W698" s="194"/>
      <c r="X698" s="194"/>
      <c r="Y698" s="194"/>
      <c r="Z698" s="194"/>
      <c r="AA698" s="194"/>
      <c r="AB698" s="194"/>
      <c r="AC698" s="194"/>
      <c r="AD698" s="194"/>
      <c r="AE698" s="194"/>
      <c r="AF698" s="194"/>
    </row>
    <row r="699" spans="1:32" x14ac:dyDescent="0.25">
      <c r="A699" s="194"/>
      <c r="B699" s="194"/>
      <c r="C699" s="194"/>
      <c r="D699" s="194"/>
      <c r="E699" s="194"/>
      <c r="F699" s="194"/>
      <c r="G699" s="194"/>
      <c r="H699" s="194"/>
      <c r="I699" s="194"/>
      <c r="J699" s="194"/>
      <c r="K699" s="194"/>
      <c r="L699" s="194"/>
      <c r="M699" s="194"/>
      <c r="N699" s="194"/>
      <c r="O699" s="194"/>
      <c r="P699" s="194"/>
      <c r="Q699" s="194"/>
      <c r="R699" s="194"/>
      <c r="S699" s="194"/>
      <c r="T699" s="194"/>
      <c r="U699" s="194"/>
      <c r="V699" s="194"/>
      <c r="W699" s="194"/>
      <c r="X699" s="194"/>
      <c r="Y699" s="194"/>
      <c r="Z699" s="194"/>
      <c r="AA699" s="194"/>
      <c r="AB699" s="194"/>
      <c r="AC699" s="194"/>
      <c r="AD699" s="194"/>
      <c r="AE699" s="194"/>
      <c r="AF699" s="194"/>
    </row>
    <row r="700" spans="1:32" x14ac:dyDescent="0.25">
      <c r="A700" s="194"/>
      <c r="B700" s="194"/>
      <c r="C700" s="194"/>
      <c r="D700" s="194"/>
      <c r="E700" s="194"/>
      <c r="F700" s="194"/>
      <c r="G700" s="194"/>
      <c r="H700" s="194"/>
      <c r="I700" s="194"/>
      <c r="J700" s="194"/>
      <c r="K700" s="194"/>
      <c r="L700" s="194"/>
      <c r="M700" s="194"/>
      <c r="N700" s="194"/>
      <c r="O700" s="194"/>
      <c r="P700" s="194"/>
      <c r="Q700" s="194"/>
      <c r="R700" s="194"/>
      <c r="S700" s="194"/>
      <c r="T700" s="194"/>
      <c r="U700" s="194"/>
      <c r="V700" s="194"/>
      <c r="W700" s="194"/>
      <c r="X700" s="194"/>
      <c r="Y700" s="194"/>
      <c r="Z700" s="194"/>
      <c r="AA700" s="194"/>
      <c r="AB700" s="194"/>
      <c r="AC700" s="194"/>
      <c r="AD700" s="194"/>
      <c r="AE700" s="194"/>
      <c r="AF700" s="194"/>
    </row>
    <row r="701" spans="1:32" x14ac:dyDescent="0.25">
      <c r="A701" s="194"/>
      <c r="B701" s="194"/>
      <c r="C701" s="194"/>
      <c r="D701" s="194"/>
      <c r="E701" s="194"/>
      <c r="F701" s="194"/>
      <c r="G701" s="194"/>
      <c r="H701" s="194"/>
      <c r="I701" s="194"/>
      <c r="J701" s="194"/>
      <c r="K701" s="194"/>
      <c r="L701" s="194"/>
      <c r="M701" s="194"/>
      <c r="N701" s="194"/>
      <c r="O701" s="194"/>
      <c r="P701" s="194"/>
      <c r="Q701" s="194"/>
      <c r="R701" s="194"/>
      <c r="S701" s="194"/>
      <c r="T701" s="194"/>
      <c r="U701" s="194"/>
      <c r="V701" s="194"/>
      <c r="W701" s="194"/>
      <c r="X701" s="194"/>
      <c r="Y701" s="194"/>
      <c r="Z701" s="194"/>
      <c r="AA701" s="194"/>
      <c r="AB701" s="194"/>
      <c r="AC701" s="194"/>
      <c r="AD701" s="194"/>
      <c r="AE701" s="194"/>
      <c r="AF701" s="194"/>
    </row>
    <row r="702" spans="1:32" x14ac:dyDescent="0.25">
      <c r="A702" s="194"/>
      <c r="B702" s="194"/>
      <c r="C702" s="194"/>
      <c r="D702" s="194"/>
      <c r="E702" s="194"/>
      <c r="F702" s="194"/>
      <c r="G702" s="194"/>
      <c r="H702" s="194"/>
      <c r="I702" s="194"/>
      <c r="J702" s="194"/>
      <c r="K702" s="194"/>
      <c r="L702" s="194"/>
      <c r="M702" s="194"/>
      <c r="N702" s="194"/>
      <c r="O702" s="194"/>
      <c r="P702" s="194"/>
      <c r="Q702" s="194"/>
      <c r="R702" s="194"/>
      <c r="S702" s="194"/>
      <c r="T702" s="194"/>
      <c r="U702" s="194"/>
      <c r="V702" s="194"/>
      <c r="W702" s="194"/>
      <c r="X702" s="194"/>
      <c r="Y702" s="194"/>
      <c r="Z702" s="194"/>
      <c r="AA702" s="194"/>
      <c r="AB702" s="194"/>
      <c r="AC702" s="194"/>
      <c r="AD702" s="194"/>
      <c r="AE702" s="194"/>
      <c r="AF702" s="194"/>
    </row>
    <row r="703" spans="1:32" x14ac:dyDescent="0.25">
      <c r="A703" s="194"/>
      <c r="B703" s="194"/>
      <c r="C703" s="194"/>
      <c r="D703" s="194"/>
      <c r="E703" s="194"/>
      <c r="F703" s="194"/>
      <c r="G703" s="194"/>
      <c r="H703" s="194"/>
      <c r="I703" s="194"/>
      <c r="J703" s="194"/>
      <c r="K703" s="194"/>
      <c r="L703" s="194"/>
      <c r="M703" s="194"/>
      <c r="N703" s="194"/>
      <c r="O703" s="194"/>
      <c r="P703" s="194"/>
      <c r="Q703" s="194"/>
      <c r="R703" s="194"/>
      <c r="S703" s="194"/>
      <c r="T703" s="194"/>
      <c r="U703" s="194"/>
      <c r="V703" s="194"/>
      <c r="W703" s="194"/>
      <c r="X703" s="194"/>
      <c r="Y703" s="194"/>
      <c r="Z703" s="194"/>
      <c r="AA703" s="194"/>
      <c r="AB703" s="194"/>
      <c r="AC703" s="194"/>
      <c r="AD703" s="194"/>
      <c r="AE703" s="194"/>
      <c r="AF703" s="194"/>
    </row>
    <row r="704" spans="1:32" x14ac:dyDescent="0.25">
      <c r="A704" s="194"/>
      <c r="B704" s="194"/>
      <c r="C704" s="194"/>
      <c r="D704" s="194"/>
      <c r="E704" s="194"/>
      <c r="F704" s="194"/>
      <c r="G704" s="194"/>
      <c r="H704" s="194"/>
      <c r="I704" s="194"/>
      <c r="J704" s="194"/>
      <c r="K704" s="194"/>
      <c r="L704" s="194"/>
      <c r="M704" s="194"/>
      <c r="N704" s="194"/>
      <c r="O704" s="194"/>
      <c r="P704" s="194"/>
      <c r="Q704" s="194"/>
      <c r="R704" s="194"/>
      <c r="S704" s="194"/>
      <c r="T704" s="194"/>
      <c r="U704" s="194"/>
      <c r="V704" s="194"/>
      <c r="W704" s="194"/>
      <c r="X704" s="194"/>
      <c r="Y704" s="194"/>
      <c r="Z704" s="194"/>
      <c r="AA704" s="194"/>
      <c r="AB704" s="194"/>
      <c r="AC704" s="194"/>
      <c r="AD704" s="194"/>
      <c r="AE704" s="194"/>
      <c r="AF704" s="194"/>
    </row>
    <row r="705" spans="1:32" x14ac:dyDescent="0.25">
      <c r="A705" s="194"/>
      <c r="B705" s="194"/>
      <c r="C705" s="194"/>
      <c r="D705" s="194"/>
      <c r="E705" s="194"/>
      <c r="F705" s="194"/>
      <c r="G705" s="194"/>
      <c r="H705" s="194"/>
      <c r="I705" s="194"/>
      <c r="J705" s="194"/>
      <c r="K705" s="194"/>
      <c r="L705" s="194"/>
      <c r="M705" s="194"/>
      <c r="N705" s="194"/>
      <c r="O705" s="194"/>
      <c r="P705" s="194"/>
      <c r="Q705" s="194"/>
      <c r="R705" s="194"/>
      <c r="S705" s="194"/>
      <c r="T705" s="194"/>
      <c r="U705" s="194"/>
      <c r="V705" s="194"/>
      <c r="W705" s="194"/>
      <c r="X705" s="194"/>
      <c r="Y705" s="194"/>
      <c r="Z705" s="194"/>
      <c r="AA705" s="194"/>
      <c r="AB705" s="194"/>
      <c r="AC705" s="194"/>
      <c r="AD705" s="194"/>
      <c r="AE705" s="194"/>
      <c r="AF705" s="194"/>
    </row>
    <row r="706" spans="1:32" x14ac:dyDescent="0.25">
      <c r="A706" s="194"/>
      <c r="B706" s="194"/>
      <c r="C706" s="194"/>
      <c r="D706" s="194"/>
      <c r="E706" s="194"/>
      <c r="F706" s="194"/>
      <c r="G706" s="194"/>
      <c r="H706" s="194"/>
      <c r="I706" s="194"/>
      <c r="J706" s="194"/>
      <c r="K706" s="194"/>
      <c r="L706" s="194"/>
      <c r="M706" s="194"/>
      <c r="N706" s="194"/>
      <c r="O706" s="194"/>
      <c r="P706" s="194"/>
      <c r="Q706" s="194"/>
      <c r="R706" s="194"/>
      <c r="S706" s="194"/>
      <c r="T706" s="194"/>
      <c r="U706" s="194"/>
      <c r="V706" s="194"/>
      <c r="W706" s="194"/>
      <c r="X706" s="194"/>
      <c r="Y706" s="194"/>
      <c r="Z706" s="194"/>
      <c r="AA706" s="194"/>
      <c r="AB706" s="194"/>
      <c r="AC706" s="194"/>
      <c r="AD706" s="194"/>
      <c r="AE706" s="194"/>
      <c r="AF706" s="194"/>
    </row>
    <row r="707" spans="1:32" x14ac:dyDescent="0.25">
      <c r="A707" s="194"/>
      <c r="B707" s="194"/>
      <c r="C707" s="194"/>
      <c r="D707" s="194"/>
      <c r="E707" s="194"/>
      <c r="F707" s="194"/>
      <c r="G707" s="194"/>
      <c r="H707" s="194"/>
      <c r="I707" s="194"/>
      <c r="J707" s="194"/>
      <c r="K707" s="194"/>
      <c r="L707" s="194"/>
      <c r="M707" s="194"/>
      <c r="N707" s="194"/>
      <c r="O707" s="194"/>
      <c r="P707" s="194"/>
      <c r="Q707" s="194"/>
      <c r="R707" s="194"/>
      <c r="S707" s="194"/>
      <c r="T707" s="194"/>
      <c r="U707" s="194"/>
      <c r="V707" s="194"/>
      <c r="W707" s="194"/>
      <c r="X707" s="194"/>
      <c r="Y707" s="194"/>
      <c r="Z707" s="194"/>
      <c r="AA707" s="194"/>
      <c r="AB707" s="194"/>
      <c r="AC707" s="194"/>
      <c r="AD707" s="194"/>
      <c r="AE707" s="194"/>
      <c r="AF707" s="194"/>
    </row>
    <row r="708" spans="1:32" x14ac:dyDescent="0.25">
      <c r="A708" s="194"/>
      <c r="B708" s="194"/>
      <c r="C708" s="194"/>
      <c r="D708" s="194"/>
      <c r="E708" s="194"/>
      <c r="F708" s="194"/>
      <c r="G708" s="194"/>
      <c r="H708" s="194"/>
      <c r="I708" s="194"/>
      <c r="J708" s="194"/>
      <c r="K708" s="194"/>
      <c r="L708" s="194"/>
      <c r="M708" s="194"/>
      <c r="N708" s="194"/>
      <c r="O708" s="194"/>
      <c r="P708" s="194"/>
      <c r="Q708" s="194"/>
      <c r="R708" s="194"/>
      <c r="S708" s="194"/>
      <c r="T708" s="194"/>
      <c r="U708" s="194"/>
      <c r="V708" s="194"/>
      <c r="W708" s="194"/>
      <c r="X708" s="194"/>
      <c r="Y708" s="194"/>
      <c r="Z708" s="194"/>
      <c r="AA708" s="194"/>
      <c r="AB708" s="194"/>
      <c r="AC708" s="194"/>
      <c r="AD708" s="194"/>
      <c r="AE708" s="194"/>
      <c r="AF708" s="194"/>
    </row>
    <row r="709" spans="1:32" x14ac:dyDescent="0.25">
      <c r="A709" s="194"/>
      <c r="B709" s="194"/>
      <c r="C709" s="194"/>
      <c r="D709" s="194"/>
      <c r="E709" s="194"/>
      <c r="F709" s="194"/>
      <c r="G709" s="194"/>
      <c r="H709" s="194"/>
      <c r="I709" s="194"/>
      <c r="J709" s="194"/>
      <c r="K709" s="194"/>
      <c r="L709" s="194"/>
      <c r="M709" s="194"/>
      <c r="N709" s="194"/>
      <c r="O709" s="194"/>
      <c r="P709" s="194"/>
      <c r="Q709" s="194"/>
      <c r="R709" s="194"/>
      <c r="S709" s="194"/>
      <c r="T709" s="194"/>
      <c r="U709" s="194"/>
      <c r="V709" s="194"/>
      <c r="W709" s="194"/>
      <c r="X709" s="194"/>
      <c r="Y709" s="194"/>
      <c r="Z709" s="194"/>
      <c r="AA709" s="194"/>
      <c r="AB709" s="194"/>
      <c r="AC709" s="194"/>
      <c r="AD709" s="194"/>
      <c r="AE709" s="194"/>
      <c r="AF709" s="194"/>
    </row>
    <row r="710" spans="1:32" x14ac:dyDescent="0.25">
      <c r="A710" s="194"/>
      <c r="B710" s="194"/>
      <c r="C710" s="194"/>
      <c r="D710" s="194"/>
      <c r="E710" s="194"/>
      <c r="F710" s="194"/>
      <c r="G710" s="194"/>
      <c r="H710" s="194"/>
      <c r="I710" s="194"/>
      <c r="J710" s="194"/>
      <c r="K710" s="194"/>
      <c r="L710" s="194"/>
      <c r="M710" s="194"/>
      <c r="N710" s="194"/>
      <c r="O710" s="194"/>
      <c r="P710" s="194"/>
      <c r="Q710" s="194"/>
      <c r="R710" s="194"/>
      <c r="S710" s="194"/>
      <c r="T710" s="194"/>
      <c r="U710" s="194"/>
      <c r="V710" s="194"/>
      <c r="W710" s="194"/>
      <c r="X710" s="194"/>
      <c r="Y710" s="194"/>
      <c r="Z710" s="194"/>
      <c r="AA710" s="194"/>
      <c r="AB710" s="194"/>
      <c r="AC710" s="194"/>
      <c r="AD710" s="194"/>
      <c r="AE710" s="194"/>
      <c r="AF710" s="194"/>
    </row>
    <row r="711" spans="1:32" x14ac:dyDescent="0.25">
      <c r="A711" s="194"/>
      <c r="B711" s="194"/>
      <c r="C711" s="194"/>
      <c r="D711" s="194"/>
      <c r="E711" s="194"/>
      <c r="F711" s="194"/>
      <c r="G711" s="194"/>
      <c r="H711" s="194"/>
      <c r="I711" s="194"/>
      <c r="J711" s="194"/>
      <c r="K711" s="194"/>
      <c r="L711" s="194"/>
      <c r="M711" s="194"/>
      <c r="N711" s="194"/>
      <c r="O711" s="194"/>
      <c r="P711" s="194"/>
      <c r="Q711" s="194"/>
      <c r="R711" s="194"/>
      <c r="S711" s="194"/>
      <c r="T711" s="194"/>
      <c r="U711" s="194"/>
      <c r="V711" s="194"/>
      <c r="W711" s="194"/>
      <c r="X711" s="194"/>
      <c r="Y711" s="194"/>
      <c r="Z711" s="194"/>
      <c r="AA711" s="194"/>
      <c r="AB711" s="194"/>
      <c r="AC711" s="194"/>
      <c r="AD711" s="194"/>
      <c r="AE711" s="194"/>
      <c r="AF711" s="194"/>
    </row>
    <row r="712" spans="1:32" x14ac:dyDescent="0.25">
      <c r="A712" s="194"/>
      <c r="B712" s="194"/>
      <c r="C712" s="194"/>
      <c r="D712" s="194"/>
      <c r="E712" s="194"/>
      <c r="F712" s="194"/>
      <c r="G712" s="194"/>
      <c r="H712" s="194"/>
      <c r="I712" s="194"/>
      <c r="J712" s="194"/>
      <c r="K712" s="194"/>
      <c r="L712" s="194"/>
      <c r="M712" s="194"/>
      <c r="N712" s="194"/>
      <c r="O712" s="194"/>
      <c r="P712" s="194"/>
      <c r="Q712" s="194"/>
      <c r="R712" s="194"/>
      <c r="S712" s="194"/>
      <c r="T712" s="194"/>
      <c r="U712" s="194"/>
      <c r="V712" s="194"/>
      <c r="W712" s="194"/>
      <c r="X712" s="194"/>
      <c r="Y712" s="194"/>
      <c r="Z712" s="194"/>
      <c r="AA712" s="194"/>
      <c r="AB712" s="194"/>
      <c r="AC712" s="194"/>
      <c r="AD712" s="194"/>
      <c r="AE712" s="194"/>
      <c r="AF712" s="194"/>
    </row>
    <row r="713" spans="1:32" x14ac:dyDescent="0.25">
      <c r="A713" s="194"/>
      <c r="B713" s="194"/>
      <c r="C713" s="194"/>
      <c r="D713" s="194"/>
      <c r="E713" s="194"/>
      <c r="F713" s="194"/>
      <c r="G713" s="194"/>
      <c r="H713" s="194"/>
      <c r="I713" s="194"/>
      <c r="J713" s="194"/>
      <c r="K713" s="194"/>
      <c r="L713" s="194"/>
      <c r="M713" s="194"/>
      <c r="N713" s="194"/>
      <c r="O713" s="194"/>
      <c r="P713" s="194"/>
      <c r="Q713" s="194"/>
      <c r="R713" s="194"/>
      <c r="S713" s="194"/>
      <c r="T713" s="194"/>
      <c r="U713" s="194"/>
      <c r="V713" s="194"/>
      <c r="W713" s="194"/>
      <c r="X713" s="194"/>
      <c r="Y713" s="194"/>
      <c r="Z713" s="194"/>
      <c r="AA713" s="194"/>
      <c r="AB713" s="194"/>
      <c r="AC713" s="194"/>
      <c r="AD713" s="194"/>
      <c r="AE713" s="194"/>
      <c r="AF713" s="194"/>
    </row>
    <row r="714" spans="1:32" x14ac:dyDescent="0.25">
      <c r="A714" s="194"/>
      <c r="B714" s="194"/>
      <c r="C714" s="194"/>
      <c r="D714" s="194"/>
      <c r="E714" s="194"/>
      <c r="F714" s="194"/>
      <c r="G714" s="194"/>
      <c r="H714" s="194"/>
      <c r="I714" s="194"/>
      <c r="J714" s="194"/>
      <c r="K714" s="194"/>
      <c r="L714" s="194"/>
      <c r="M714" s="194"/>
      <c r="N714" s="194"/>
      <c r="O714" s="194"/>
      <c r="P714" s="194"/>
      <c r="Q714" s="194"/>
      <c r="R714" s="194"/>
      <c r="S714" s="194"/>
      <c r="T714" s="194"/>
      <c r="U714" s="194"/>
      <c r="V714" s="194"/>
      <c r="W714" s="194"/>
      <c r="X714" s="194"/>
      <c r="Y714" s="194"/>
      <c r="Z714" s="194"/>
      <c r="AA714" s="194"/>
      <c r="AB714" s="194"/>
      <c r="AC714" s="194"/>
      <c r="AD714" s="194"/>
      <c r="AE714" s="194"/>
      <c r="AF714" s="194"/>
    </row>
    <row r="715" spans="1:32" x14ac:dyDescent="0.25">
      <c r="A715" s="194"/>
      <c r="B715" s="194"/>
      <c r="C715" s="194"/>
      <c r="D715" s="194"/>
      <c r="E715" s="194"/>
      <c r="F715" s="194"/>
      <c r="G715" s="194"/>
      <c r="H715" s="194"/>
      <c r="I715" s="194"/>
      <c r="J715" s="194"/>
      <c r="K715" s="194"/>
      <c r="L715" s="194"/>
      <c r="M715" s="194"/>
      <c r="N715" s="194"/>
      <c r="O715" s="194"/>
      <c r="P715" s="194"/>
      <c r="Q715" s="194"/>
      <c r="R715" s="194"/>
      <c r="S715" s="194"/>
      <c r="T715" s="194"/>
      <c r="U715" s="194"/>
      <c r="V715" s="194"/>
      <c r="W715" s="194"/>
      <c r="X715" s="194"/>
      <c r="Y715" s="194"/>
      <c r="Z715" s="194"/>
      <c r="AA715" s="194"/>
      <c r="AB715" s="194"/>
      <c r="AC715" s="194"/>
      <c r="AD715" s="194"/>
      <c r="AE715" s="194"/>
      <c r="AF715" s="194"/>
    </row>
    <row r="716" spans="1:32" x14ac:dyDescent="0.25">
      <c r="A716" s="194"/>
      <c r="B716" s="194"/>
      <c r="C716" s="194"/>
      <c r="D716" s="194"/>
      <c r="E716" s="194"/>
      <c r="F716" s="194"/>
      <c r="G716" s="194"/>
      <c r="H716" s="194"/>
      <c r="I716" s="194"/>
      <c r="J716" s="194"/>
      <c r="K716" s="194"/>
      <c r="L716" s="194"/>
      <c r="M716" s="194"/>
      <c r="N716" s="194"/>
      <c r="O716" s="194"/>
      <c r="P716" s="194"/>
      <c r="Q716" s="194"/>
      <c r="R716" s="194"/>
      <c r="S716" s="194"/>
      <c r="T716" s="194"/>
      <c r="U716" s="194"/>
      <c r="V716" s="194"/>
      <c r="W716" s="194"/>
      <c r="X716" s="194"/>
      <c r="Y716" s="194"/>
      <c r="Z716" s="194"/>
      <c r="AA716" s="194"/>
      <c r="AB716" s="194"/>
      <c r="AC716" s="194"/>
      <c r="AD716" s="194"/>
      <c r="AE716" s="194"/>
      <c r="AF716" s="194"/>
    </row>
    <row r="717" spans="1:32" x14ac:dyDescent="0.25">
      <c r="A717" s="194"/>
      <c r="B717" s="194"/>
      <c r="C717" s="194"/>
      <c r="D717" s="194"/>
      <c r="E717" s="194"/>
      <c r="F717" s="194"/>
      <c r="G717" s="194"/>
      <c r="H717" s="194"/>
      <c r="I717" s="194"/>
      <c r="J717" s="194"/>
      <c r="K717" s="194"/>
      <c r="L717" s="194"/>
      <c r="M717" s="194"/>
      <c r="N717" s="194"/>
      <c r="O717" s="194"/>
      <c r="P717" s="194"/>
      <c r="Q717" s="194"/>
      <c r="R717" s="194"/>
      <c r="S717" s="194"/>
      <c r="T717" s="194"/>
      <c r="U717" s="194"/>
      <c r="V717" s="194"/>
      <c r="W717" s="194"/>
      <c r="X717" s="194"/>
      <c r="Y717" s="194"/>
      <c r="Z717" s="194"/>
      <c r="AA717" s="194"/>
      <c r="AB717" s="194"/>
      <c r="AC717" s="194"/>
      <c r="AD717" s="194"/>
      <c r="AE717" s="194"/>
      <c r="AF717" s="194"/>
    </row>
    <row r="718" spans="1:32" x14ac:dyDescent="0.25">
      <c r="A718" s="194"/>
      <c r="B718" s="194"/>
      <c r="C718" s="194"/>
      <c r="D718" s="194"/>
      <c r="E718" s="194"/>
      <c r="F718" s="194"/>
      <c r="G718" s="194"/>
      <c r="H718" s="194"/>
      <c r="I718" s="194"/>
      <c r="J718" s="194"/>
      <c r="K718" s="194"/>
      <c r="L718" s="194"/>
      <c r="M718" s="194"/>
      <c r="N718" s="194"/>
      <c r="O718" s="194"/>
      <c r="P718" s="194"/>
      <c r="Q718" s="194"/>
      <c r="R718" s="194"/>
      <c r="S718" s="194"/>
      <c r="T718" s="194"/>
      <c r="U718" s="194"/>
      <c r="V718" s="194"/>
      <c r="W718" s="194"/>
      <c r="X718" s="194"/>
      <c r="Y718" s="194"/>
      <c r="Z718" s="194"/>
      <c r="AA718" s="194"/>
      <c r="AB718" s="194"/>
      <c r="AC718" s="194"/>
      <c r="AD718" s="194"/>
      <c r="AE718" s="194"/>
      <c r="AF718" s="194"/>
    </row>
    <row r="719" spans="1:32" x14ac:dyDescent="0.25">
      <c r="A719" s="194"/>
      <c r="B719" s="194"/>
      <c r="C719" s="194"/>
      <c r="D719" s="194"/>
      <c r="E719" s="194"/>
      <c r="F719" s="194"/>
      <c r="G719" s="194"/>
      <c r="H719" s="194"/>
      <c r="I719" s="194"/>
      <c r="J719" s="194"/>
      <c r="K719" s="194"/>
      <c r="L719" s="194"/>
      <c r="M719" s="194"/>
      <c r="N719" s="194"/>
      <c r="O719" s="194"/>
      <c r="P719" s="194"/>
      <c r="Q719" s="194"/>
      <c r="R719" s="194"/>
      <c r="S719" s="194"/>
      <c r="T719" s="194"/>
      <c r="U719" s="194"/>
      <c r="V719" s="194"/>
      <c r="W719" s="194"/>
      <c r="X719" s="194"/>
      <c r="Y719" s="194"/>
      <c r="Z719" s="194"/>
      <c r="AA719" s="194"/>
      <c r="AB719" s="194"/>
      <c r="AC719" s="194"/>
      <c r="AD719" s="194"/>
      <c r="AE719" s="194"/>
      <c r="AF719" s="194"/>
    </row>
    <row r="720" spans="1:32" x14ac:dyDescent="0.25">
      <c r="A720" s="194"/>
      <c r="B720" s="194"/>
      <c r="C720" s="194"/>
      <c r="D720" s="194"/>
      <c r="E720" s="194"/>
      <c r="F720" s="194"/>
      <c r="G720" s="194"/>
      <c r="H720" s="194"/>
      <c r="I720" s="194"/>
      <c r="J720" s="194"/>
      <c r="K720" s="194"/>
      <c r="L720" s="194"/>
      <c r="M720" s="194"/>
      <c r="N720" s="194"/>
      <c r="O720" s="194"/>
      <c r="P720" s="194"/>
      <c r="Q720" s="194"/>
      <c r="R720" s="194"/>
      <c r="S720" s="194"/>
      <c r="T720" s="194"/>
      <c r="U720" s="194"/>
      <c r="V720" s="194"/>
      <c r="W720" s="194"/>
      <c r="X720" s="194"/>
      <c r="Y720" s="194"/>
      <c r="Z720" s="194"/>
      <c r="AA720" s="194"/>
      <c r="AB720" s="194"/>
      <c r="AC720" s="194"/>
      <c r="AD720" s="194"/>
      <c r="AE720" s="194"/>
      <c r="AF720" s="194"/>
    </row>
    <row r="721" spans="1:32" x14ac:dyDescent="0.25">
      <c r="A721" s="194"/>
      <c r="B721" s="194"/>
      <c r="C721" s="194"/>
      <c r="D721" s="194"/>
      <c r="E721" s="194"/>
      <c r="F721" s="194"/>
      <c r="G721" s="194"/>
      <c r="H721" s="194"/>
      <c r="I721" s="194"/>
      <c r="J721" s="194"/>
      <c r="K721" s="194"/>
      <c r="L721" s="194"/>
      <c r="M721" s="194"/>
      <c r="N721" s="194"/>
      <c r="O721" s="194"/>
      <c r="P721" s="194"/>
      <c r="Q721" s="194"/>
      <c r="R721" s="194"/>
      <c r="S721" s="194"/>
      <c r="T721" s="194"/>
      <c r="U721" s="194"/>
      <c r="V721" s="194"/>
      <c r="W721" s="194"/>
      <c r="X721" s="194"/>
      <c r="Y721" s="194"/>
      <c r="Z721" s="194"/>
      <c r="AA721" s="194"/>
      <c r="AB721" s="194"/>
      <c r="AC721" s="194"/>
      <c r="AD721" s="194"/>
      <c r="AE721" s="194"/>
      <c r="AF721" s="194"/>
    </row>
    <row r="722" spans="1:32" x14ac:dyDescent="0.25">
      <c r="A722" s="194"/>
      <c r="B722" s="194"/>
      <c r="C722" s="194"/>
      <c r="D722" s="194"/>
      <c r="E722" s="194"/>
      <c r="F722" s="194"/>
      <c r="G722" s="194"/>
      <c r="H722" s="194"/>
      <c r="I722" s="194"/>
      <c r="J722" s="194"/>
      <c r="K722" s="194"/>
      <c r="L722" s="194"/>
      <c r="M722" s="194"/>
      <c r="N722" s="194"/>
      <c r="O722" s="194"/>
      <c r="P722" s="194"/>
      <c r="Q722" s="194"/>
      <c r="R722" s="194"/>
      <c r="S722" s="194"/>
      <c r="T722" s="194"/>
      <c r="U722" s="194"/>
      <c r="V722" s="194"/>
      <c r="W722" s="194"/>
      <c r="X722" s="194"/>
      <c r="Y722" s="194"/>
      <c r="Z722" s="194"/>
      <c r="AA722" s="194"/>
      <c r="AB722" s="194"/>
      <c r="AC722" s="194"/>
      <c r="AD722" s="194"/>
      <c r="AE722" s="194"/>
      <c r="AF722" s="194"/>
    </row>
    <row r="723" spans="1:32" x14ac:dyDescent="0.25">
      <c r="A723" s="194"/>
      <c r="B723" s="194"/>
      <c r="C723" s="194"/>
      <c r="D723" s="194"/>
      <c r="E723" s="194"/>
      <c r="F723" s="194"/>
      <c r="G723" s="194"/>
      <c r="H723" s="194"/>
      <c r="I723" s="194"/>
      <c r="J723" s="194"/>
      <c r="K723" s="194"/>
      <c r="L723" s="194"/>
      <c r="M723" s="194"/>
      <c r="N723" s="194"/>
      <c r="O723" s="194"/>
      <c r="P723" s="194"/>
      <c r="Q723" s="194"/>
      <c r="R723" s="194"/>
      <c r="S723" s="194"/>
      <c r="T723" s="194"/>
      <c r="U723" s="194"/>
      <c r="V723" s="194"/>
      <c r="W723" s="194"/>
      <c r="X723" s="194"/>
      <c r="Y723" s="194"/>
      <c r="Z723" s="194"/>
      <c r="AA723" s="194"/>
      <c r="AB723" s="194"/>
      <c r="AC723" s="194"/>
      <c r="AD723" s="194"/>
      <c r="AE723" s="194"/>
      <c r="AF723" s="194"/>
    </row>
    <row r="724" spans="1:32" x14ac:dyDescent="0.25">
      <c r="A724" s="194"/>
      <c r="B724" s="194"/>
      <c r="C724" s="194"/>
      <c r="D724" s="194"/>
      <c r="E724" s="194"/>
      <c r="F724" s="194"/>
      <c r="G724" s="194"/>
      <c r="H724" s="194"/>
      <c r="I724" s="194"/>
      <c r="J724" s="194"/>
      <c r="K724" s="194"/>
      <c r="L724" s="194"/>
      <c r="M724" s="194"/>
      <c r="N724" s="194"/>
      <c r="O724" s="194"/>
      <c r="P724" s="194"/>
      <c r="Q724" s="194"/>
      <c r="R724" s="194"/>
      <c r="S724" s="194"/>
      <c r="T724" s="194"/>
      <c r="U724" s="194"/>
      <c r="V724" s="194"/>
      <c r="W724" s="194"/>
      <c r="X724" s="194"/>
      <c r="Y724" s="194"/>
      <c r="Z724" s="194"/>
      <c r="AA724" s="194"/>
      <c r="AB724" s="194"/>
      <c r="AC724" s="194"/>
      <c r="AD724" s="194"/>
      <c r="AE724" s="194"/>
      <c r="AF724" s="194"/>
    </row>
    <row r="725" spans="1:32" x14ac:dyDescent="0.25">
      <c r="A725" s="194"/>
      <c r="B725" s="194"/>
      <c r="C725" s="194"/>
      <c r="D725" s="194"/>
      <c r="E725" s="194"/>
      <c r="F725" s="194"/>
      <c r="G725" s="194"/>
      <c r="H725" s="194"/>
      <c r="I725" s="194"/>
      <c r="J725" s="194"/>
      <c r="K725" s="194"/>
      <c r="L725" s="194"/>
      <c r="M725" s="194"/>
      <c r="N725" s="194"/>
      <c r="O725" s="194"/>
      <c r="P725" s="194"/>
      <c r="Q725" s="194"/>
      <c r="R725" s="194"/>
      <c r="S725" s="194"/>
      <c r="T725" s="194"/>
      <c r="U725" s="194"/>
      <c r="V725" s="194"/>
      <c r="W725" s="194"/>
      <c r="X725" s="194"/>
      <c r="Y725" s="194"/>
      <c r="Z725" s="194"/>
      <c r="AA725" s="194"/>
      <c r="AB725" s="194"/>
      <c r="AC725" s="194"/>
      <c r="AD725" s="194"/>
      <c r="AE725" s="194"/>
      <c r="AF725" s="194"/>
    </row>
    <row r="726" spans="1:32" x14ac:dyDescent="0.25">
      <c r="A726" s="194"/>
      <c r="B726" s="194"/>
      <c r="C726" s="194"/>
      <c r="D726" s="194"/>
      <c r="E726" s="194"/>
      <c r="F726" s="194"/>
      <c r="G726" s="194"/>
      <c r="H726" s="194"/>
      <c r="I726" s="194"/>
      <c r="J726" s="194"/>
      <c r="K726" s="194"/>
      <c r="L726" s="194"/>
      <c r="M726" s="194"/>
      <c r="N726" s="194"/>
      <c r="O726" s="194"/>
      <c r="P726" s="194"/>
      <c r="Q726" s="194"/>
      <c r="R726" s="194"/>
      <c r="S726" s="194"/>
      <c r="T726" s="194"/>
      <c r="U726" s="194"/>
      <c r="V726" s="194"/>
      <c r="W726" s="194"/>
      <c r="X726" s="194"/>
      <c r="Y726" s="194"/>
      <c r="Z726" s="194"/>
      <c r="AA726" s="194"/>
      <c r="AB726" s="194"/>
      <c r="AC726" s="194"/>
      <c r="AD726" s="194"/>
      <c r="AE726" s="194"/>
      <c r="AF726" s="194"/>
    </row>
    <row r="727" spans="1:32" x14ac:dyDescent="0.25">
      <c r="A727" s="194"/>
      <c r="B727" s="194"/>
      <c r="C727" s="194"/>
      <c r="D727" s="194"/>
      <c r="E727" s="194"/>
      <c r="F727" s="194"/>
      <c r="G727" s="194"/>
      <c r="H727" s="194"/>
      <c r="I727" s="194"/>
      <c r="J727" s="194"/>
      <c r="K727" s="194"/>
      <c r="L727" s="194"/>
      <c r="M727" s="194"/>
      <c r="N727" s="194"/>
      <c r="O727" s="194"/>
      <c r="P727" s="194"/>
      <c r="Q727" s="194"/>
      <c r="R727" s="194"/>
      <c r="S727" s="194"/>
      <c r="T727" s="194"/>
      <c r="U727" s="194"/>
      <c r="V727" s="194"/>
      <c r="W727" s="194"/>
      <c r="X727" s="194"/>
      <c r="Y727" s="194"/>
      <c r="Z727" s="194"/>
      <c r="AA727" s="194"/>
      <c r="AB727" s="194"/>
      <c r="AC727" s="194"/>
      <c r="AD727" s="194"/>
      <c r="AE727" s="194"/>
      <c r="AF727" s="194"/>
    </row>
    <row r="728" spans="1:32" x14ac:dyDescent="0.25">
      <c r="A728" s="194"/>
      <c r="B728" s="194"/>
      <c r="C728" s="194"/>
      <c r="D728" s="194"/>
      <c r="E728" s="194"/>
      <c r="F728" s="194"/>
      <c r="G728" s="194"/>
      <c r="H728" s="194"/>
      <c r="I728" s="194"/>
      <c r="J728" s="194"/>
      <c r="K728" s="194"/>
      <c r="L728" s="194"/>
      <c r="M728" s="194"/>
      <c r="N728" s="194"/>
      <c r="O728" s="194"/>
      <c r="P728" s="194"/>
      <c r="Q728" s="194"/>
      <c r="R728" s="194"/>
      <c r="S728" s="194"/>
      <c r="T728" s="194"/>
      <c r="U728" s="194"/>
      <c r="V728" s="194"/>
      <c r="W728" s="194"/>
      <c r="X728" s="194"/>
      <c r="Y728" s="194"/>
      <c r="Z728" s="194"/>
      <c r="AA728" s="194"/>
      <c r="AB728" s="194"/>
      <c r="AC728" s="194"/>
      <c r="AD728" s="194"/>
      <c r="AE728" s="194"/>
      <c r="AF728" s="194"/>
    </row>
    <row r="729" spans="1:32" x14ac:dyDescent="0.25">
      <c r="A729" s="194"/>
      <c r="B729" s="194"/>
      <c r="C729" s="194"/>
      <c r="D729" s="194"/>
      <c r="E729" s="194"/>
      <c r="F729" s="194"/>
      <c r="G729" s="194"/>
      <c r="H729" s="194"/>
      <c r="I729" s="194"/>
      <c r="J729" s="194"/>
      <c r="K729" s="194"/>
      <c r="L729" s="194"/>
      <c r="M729" s="194"/>
      <c r="N729" s="194"/>
      <c r="O729" s="194"/>
      <c r="P729" s="194"/>
      <c r="Q729" s="194"/>
      <c r="R729" s="194"/>
      <c r="S729" s="194"/>
      <c r="T729" s="194"/>
      <c r="U729" s="194"/>
      <c r="V729" s="194"/>
      <c r="W729" s="194"/>
      <c r="X729" s="194"/>
      <c r="Y729" s="194"/>
      <c r="Z729" s="194"/>
      <c r="AA729" s="194"/>
      <c r="AB729" s="194"/>
      <c r="AC729" s="194"/>
      <c r="AD729" s="194"/>
      <c r="AE729" s="194"/>
      <c r="AF729" s="194"/>
    </row>
    <row r="730" spans="1:32" x14ac:dyDescent="0.25">
      <c r="A730" s="194"/>
      <c r="B730" s="194"/>
      <c r="C730" s="194"/>
      <c r="D730" s="194"/>
      <c r="E730" s="194"/>
      <c r="F730" s="194"/>
      <c r="G730" s="194"/>
      <c r="H730" s="194"/>
      <c r="I730" s="194"/>
      <c r="J730" s="194"/>
      <c r="K730" s="194"/>
      <c r="L730" s="194"/>
      <c r="M730" s="194"/>
      <c r="N730" s="194"/>
      <c r="O730" s="194"/>
      <c r="P730" s="194"/>
      <c r="Q730" s="194"/>
      <c r="R730" s="194"/>
      <c r="S730" s="194"/>
      <c r="T730" s="194"/>
      <c r="U730" s="194"/>
      <c r="V730" s="194"/>
      <c r="W730" s="194"/>
      <c r="X730" s="194"/>
      <c r="Y730" s="194"/>
      <c r="Z730" s="194"/>
      <c r="AA730" s="194"/>
      <c r="AB730" s="194"/>
      <c r="AC730" s="194"/>
      <c r="AD730" s="194"/>
      <c r="AE730" s="194"/>
      <c r="AF730" s="194"/>
    </row>
    <row r="731" spans="1:32" x14ac:dyDescent="0.25">
      <c r="A731" s="194"/>
      <c r="B731" s="194"/>
      <c r="C731" s="194"/>
      <c r="D731" s="194"/>
      <c r="E731" s="194"/>
      <c r="F731" s="194"/>
      <c r="G731" s="194"/>
      <c r="H731" s="194"/>
      <c r="I731" s="194"/>
      <c r="J731" s="194"/>
      <c r="K731" s="194"/>
      <c r="L731" s="194"/>
      <c r="M731" s="194"/>
      <c r="N731" s="194"/>
      <c r="O731" s="194"/>
      <c r="P731" s="194"/>
      <c r="Q731" s="194"/>
      <c r="R731" s="194"/>
      <c r="S731" s="194"/>
      <c r="T731" s="194"/>
      <c r="U731" s="194"/>
      <c r="V731" s="194"/>
      <c r="W731" s="194"/>
      <c r="X731" s="194"/>
      <c r="Y731" s="194"/>
      <c r="Z731" s="194"/>
      <c r="AA731" s="194"/>
      <c r="AB731" s="194"/>
      <c r="AC731" s="194"/>
      <c r="AD731" s="194"/>
      <c r="AE731" s="194"/>
      <c r="AF731" s="194"/>
    </row>
    <row r="732" spans="1:32" x14ac:dyDescent="0.25">
      <c r="A732" s="194"/>
      <c r="B732" s="194"/>
      <c r="C732" s="194"/>
      <c r="D732" s="194"/>
      <c r="E732" s="194"/>
      <c r="F732" s="194"/>
      <c r="G732" s="194"/>
      <c r="H732" s="194"/>
      <c r="I732" s="194"/>
      <c r="J732" s="194"/>
      <c r="K732" s="194"/>
      <c r="L732" s="194"/>
      <c r="M732" s="194"/>
      <c r="N732" s="194"/>
      <c r="O732" s="194"/>
      <c r="P732" s="194"/>
      <c r="Q732" s="194"/>
      <c r="R732" s="194"/>
      <c r="S732" s="194"/>
      <c r="T732" s="194"/>
      <c r="U732" s="194"/>
      <c r="V732" s="194"/>
      <c r="W732" s="194"/>
      <c r="X732" s="194"/>
      <c r="Y732" s="194"/>
      <c r="Z732" s="194"/>
      <c r="AA732" s="194"/>
      <c r="AB732" s="194"/>
      <c r="AC732" s="194"/>
      <c r="AD732" s="194"/>
      <c r="AE732" s="194"/>
      <c r="AF732" s="194"/>
    </row>
    <row r="733" spans="1:32" x14ac:dyDescent="0.25">
      <c r="A733" s="194"/>
      <c r="B733" s="194"/>
      <c r="C733" s="194"/>
      <c r="D733" s="194"/>
      <c r="E733" s="194"/>
      <c r="F733" s="194"/>
      <c r="G733" s="194"/>
      <c r="H733" s="194"/>
      <c r="I733" s="194"/>
      <c r="J733" s="194"/>
      <c r="K733" s="194"/>
      <c r="L733" s="194"/>
      <c r="M733" s="194"/>
      <c r="N733" s="194"/>
      <c r="O733" s="194"/>
      <c r="P733" s="194"/>
      <c r="Q733" s="194"/>
      <c r="R733" s="194"/>
      <c r="S733" s="194"/>
      <c r="T733" s="194"/>
      <c r="U733" s="194"/>
      <c r="V733" s="194"/>
      <c r="W733" s="194"/>
      <c r="X733" s="194"/>
      <c r="Y733" s="194"/>
      <c r="Z733" s="194"/>
      <c r="AA733" s="194"/>
      <c r="AB733" s="194"/>
      <c r="AC733" s="194"/>
      <c r="AD733" s="194"/>
      <c r="AE733" s="194"/>
      <c r="AF733" s="194"/>
    </row>
    <row r="734" spans="1:32" x14ac:dyDescent="0.25">
      <c r="A734" s="194"/>
      <c r="B734" s="194"/>
      <c r="C734" s="194"/>
      <c r="D734" s="194"/>
      <c r="E734" s="194"/>
      <c r="F734" s="194"/>
      <c r="G734" s="194"/>
      <c r="H734" s="194"/>
      <c r="I734" s="194"/>
      <c r="J734" s="194"/>
      <c r="K734" s="194"/>
      <c r="L734" s="194"/>
      <c r="M734" s="194"/>
      <c r="N734" s="194"/>
      <c r="O734" s="194"/>
      <c r="P734" s="194"/>
      <c r="Q734" s="194"/>
      <c r="R734" s="194"/>
      <c r="S734" s="194"/>
      <c r="T734" s="194"/>
      <c r="U734" s="194"/>
      <c r="V734" s="194"/>
      <c r="W734" s="194"/>
      <c r="X734" s="194"/>
      <c r="Y734" s="194"/>
      <c r="Z734" s="194"/>
      <c r="AA734" s="194"/>
      <c r="AB734" s="194"/>
      <c r="AC734" s="194"/>
      <c r="AD734" s="194"/>
      <c r="AE734" s="194"/>
      <c r="AF734" s="194"/>
    </row>
    <row r="735" spans="1:32" x14ac:dyDescent="0.25">
      <c r="A735" s="194"/>
      <c r="B735" s="194"/>
      <c r="C735" s="194"/>
      <c r="D735" s="194"/>
      <c r="E735" s="194"/>
      <c r="F735" s="194"/>
      <c r="G735" s="194"/>
      <c r="H735" s="194"/>
      <c r="I735" s="194"/>
      <c r="J735" s="194"/>
      <c r="K735" s="194"/>
      <c r="L735" s="194"/>
      <c r="M735" s="194"/>
      <c r="N735" s="194"/>
      <c r="O735" s="194"/>
      <c r="P735" s="194"/>
      <c r="Q735" s="194"/>
      <c r="R735" s="194"/>
      <c r="S735" s="194"/>
      <c r="T735" s="194"/>
      <c r="U735" s="194"/>
      <c r="V735" s="194"/>
      <c r="W735" s="194"/>
      <c r="X735" s="194"/>
      <c r="Y735" s="194"/>
      <c r="Z735" s="194"/>
      <c r="AA735" s="194"/>
      <c r="AB735" s="194"/>
      <c r="AC735" s="194"/>
      <c r="AD735" s="194"/>
      <c r="AE735" s="194"/>
      <c r="AF735" s="194"/>
    </row>
    <row r="736" spans="1:32" x14ac:dyDescent="0.25">
      <c r="A736" s="194"/>
      <c r="B736" s="194"/>
      <c r="C736" s="194"/>
      <c r="D736" s="194"/>
      <c r="E736" s="194"/>
      <c r="F736" s="194"/>
      <c r="G736" s="194"/>
      <c r="H736" s="194"/>
      <c r="I736" s="194"/>
      <c r="J736" s="194"/>
      <c r="K736" s="194"/>
      <c r="L736" s="194"/>
      <c r="M736" s="194"/>
      <c r="N736" s="194"/>
      <c r="O736" s="194"/>
      <c r="P736" s="194"/>
      <c r="Q736" s="194"/>
      <c r="R736" s="194"/>
      <c r="S736" s="194"/>
      <c r="T736" s="194"/>
      <c r="U736" s="194"/>
      <c r="V736" s="194"/>
      <c r="W736" s="194"/>
      <c r="X736" s="194"/>
      <c r="Y736" s="194"/>
      <c r="Z736" s="194"/>
      <c r="AA736" s="194"/>
      <c r="AB736" s="194"/>
      <c r="AC736" s="194"/>
      <c r="AD736" s="194"/>
      <c r="AE736" s="194"/>
      <c r="AF736" s="194"/>
    </row>
    <row r="737" spans="1:32" x14ac:dyDescent="0.25">
      <c r="A737" s="194"/>
      <c r="B737" s="194"/>
      <c r="C737" s="194"/>
      <c r="D737" s="194"/>
      <c r="E737" s="194"/>
      <c r="F737" s="194"/>
      <c r="G737" s="194"/>
      <c r="H737" s="194"/>
      <c r="I737" s="194"/>
      <c r="J737" s="194"/>
      <c r="K737" s="194"/>
      <c r="L737" s="194"/>
      <c r="M737" s="194"/>
      <c r="N737" s="194"/>
      <c r="O737" s="194"/>
      <c r="P737" s="194"/>
      <c r="Q737" s="194"/>
      <c r="R737" s="194"/>
      <c r="S737" s="194"/>
      <c r="T737" s="194"/>
      <c r="U737" s="194"/>
      <c r="V737" s="194"/>
      <c r="W737" s="194"/>
      <c r="X737" s="194"/>
      <c r="Y737" s="194"/>
      <c r="Z737" s="194"/>
      <c r="AA737" s="194"/>
      <c r="AB737" s="194"/>
      <c r="AC737" s="194"/>
      <c r="AD737" s="194"/>
      <c r="AE737" s="194"/>
      <c r="AF737" s="194"/>
    </row>
    <row r="738" spans="1:32" x14ac:dyDescent="0.25">
      <c r="A738" s="194"/>
      <c r="B738" s="194"/>
      <c r="C738" s="194"/>
      <c r="D738" s="194"/>
      <c r="E738" s="194"/>
      <c r="F738" s="194"/>
      <c r="G738" s="194"/>
      <c r="H738" s="194"/>
      <c r="I738" s="194"/>
      <c r="J738" s="194"/>
      <c r="K738" s="194"/>
      <c r="L738" s="194"/>
      <c r="M738" s="194"/>
      <c r="N738" s="194"/>
      <c r="O738" s="194"/>
      <c r="P738" s="194"/>
      <c r="Q738" s="194"/>
      <c r="R738" s="194"/>
      <c r="S738" s="194"/>
      <c r="T738" s="194"/>
      <c r="U738" s="194"/>
      <c r="V738" s="194"/>
      <c r="W738" s="194"/>
      <c r="X738" s="194"/>
      <c r="Y738" s="194"/>
      <c r="Z738" s="194"/>
      <c r="AA738" s="194"/>
      <c r="AB738" s="194"/>
      <c r="AC738" s="194"/>
      <c r="AD738" s="194"/>
      <c r="AE738" s="194"/>
      <c r="AF738" s="194"/>
    </row>
    <row r="739" spans="1:32" x14ac:dyDescent="0.25">
      <c r="A739" s="194"/>
      <c r="B739" s="194"/>
      <c r="C739" s="194"/>
      <c r="D739" s="194"/>
      <c r="E739" s="194"/>
      <c r="F739" s="194"/>
      <c r="G739" s="194"/>
      <c r="H739" s="194"/>
      <c r="I739" s="194"/>
      <c r="J739" s="194"/>
      <c r="K739" s="194"/>
      <c r="L739" s="194"/>
      <c r="M739" s="194"/>
      <c r="N739" s="194"/>
      <c r="O739" s="194"/>
      <c r="P739" s="194"/>
      <c r="Q739" s="194"/>
      <c r="R739" s="194"/>
      <c r="S739" s="194"/>
      <c r="T739" s="194"/>
      <c r="U739" s="194"/>
      <c r="V739" s="194"/>
      <c r="W739" s="194"/>
      <c r="X739" s="194"/>
      <c r="Y739" s="194"/>
      <c r="Z739" s="194"/>
      <c r="AA739" s="194"/>
      <c r="AB739" s="194"/>
      <c r="AC739" s="194"/>
      <c r="AD739" s="194"/>
      <c r="AE739" s="194"/>
      <c r="AF739" s="194"/>
    </row>
    <row r="740" spans="1:32" x14ac:dyDescent="0.25">
      <c r="A740" s="194"/>
      <c r="B740" s="194"/>
      <c r="C740" s="194"/>
      <c r="D740" s="194"/>
      <c r="E740" s="194"/>
      <c r="F740" s="194"/>
      <c r="G740" s="194"/>
      <c r="H740" s="194"/>
      <c r="I740" s="194"/>
      <c r="J740" s="194"/>
      <c r="K740" s="194"/>
      <c r="L740" s="194"/>
      <c r="M740" s="194"/>
      <c r="N740" s="194"/>
      <c r="O740" s="194"/>
      <c r="P740" s="194"/>
      <c r="Q740" s="194"/>
      <c r="R740" s="194"/>
      <c r="S740" s="194"/>
      <c r="T740" s="194"/>
      <c r="U740" s="194"/>
      <c r="V740" s="194"/>
      <c r="W740" s="194"/>
      <c r="X740" s="194"/>
      <c r="Y740" s="194"/>
      <c r="Z740" s="194"/>
      <c r="AA740" s="194"/>
      <c r="AB740" s="194"/>
      <c r="AC740" s="194"/>
      <c r="AD740" s="194"/>
      <c r="AE740" s="194"/>
      <c r="AF740" s="194"/>
    </row>
    <row r="741" spans="1:32" x14ac:dyDescent="0.25">
      <c r="A741" s="194"/>
      <c r="B741" s="194"/>
      <c r="C741" s="194"/>
      <c r="D741" s="194"/>
      <c r="E741" s="194"/>
      <c r="F741" s="194"/>
      <c r="G741" s="194"/>
      <c r="H741" s="194"/>
      <c r="I741" s="194"/>
      <c r="J741" s="194"/>
      <c r="K741" s="194"/>
      <c r="L741" s="194"/>
      <c r="M741" s="194"/>
      <c r="N741" s="194"/>
      <c r="O741" s="194"/>
      <c r="P741" s="194"/>
      <c r="Q741" s="194"/>
      <c r="R741" s="194"/>
      <c r="S741" s="194"/>
      <c r="T741" s="194"/>
      <c r="U741" s="194"/>
      <c r="V741" s="194"/>
      <c r="W741" s="194"/>
      <c r="X741" s="194"/>
      <c r="Y741" s="194"/>
      <c r="Z741" s="194"/>
      <c r="AA741" s="194"/>
      <c r="AB741" s="194"/>
      <c r="AC741" s="194"/>
      <c r="AD741" s="194"/>
      <c r="AE741" s="194"/>
      <c r="AF741" s="194"/>
    </row>
    <row r="742" spans="1:32" x14ac:dyDescent="0.25">
      <c r="A742" s="194"/>
      <c r="B742" s="194"/>
      <c r="C742" s="194"/>
      <c r="D742" s="194"/>
      <c r="E742" s="194"/>
      <c r="F742" s="194"/>
      <c r="G742" s="194"/>
      <c r="H742" s="194"/>
      <c r="I742" s="194"/>
      <c r="J742" s="194"/>
      <c r="K742" s="194"/>
      <c r="L742" s="194"/>
      <c r="M742" s="194"/>
      <c r="N742" s="194"/>
      <c r="O742" s="194"/>
      <c r="P742" s="194"/>
      <c r="Q742" s="194"/>
      <c r="R742" s="194"/>
      <c r="S742" s="194"/>
      <c r="T742" s="194"/>
      <c r="U742" s="194"/>
      <c r="V742" s="194"/>
      <c r="W742" s="194"/>
      <c r="X742" s="194"/>
      <c r="Y742" s="194"/>
      <c r="Z742" s="194"/>
      <c r="AA742" s="194"/>
      <c r="AB742" s="194"/>
      <c r="AC742" s="194"/>
      <c r="AD742" s="194"/>
      <c r="AE742" s="194"/>
      <c r="AF742" s="194"/>
    </row>
    <row r="743" spans="1:32" x14ac:dyDescent="0.25">
      <c r="A743" s="194"/>
      <c r="B743" s="194"/>
      <c r="C743" s="194"/>
      <c r="D743" s="194"/>
      <c r="E743" s="194"/>
      <c r="F743" s="194"/>
      <c r="G743" s="194"/>
      <c r="H743" s="194"/>
      <c r="I743" s="194"/>
      <c r="J743" s="194"/>
      <c r="K743" s="194"/>
      <c r="L743" s="194"/>
      <c r="M743" s="194"/>
      <c r="N743" s="194"/>
      <c r="O743" s="194"/>
      <c r="P743" s="194"/>
      <c r="Q743" s="194"/>
      <c r="R743" s="194"/>
      <c r="S743" s="194"/>
      <c r="T743" s="194"/>
      <c r="U743" s="194"/>
      <c r="V743" s="194"/>
      <c r="W743" s="194"/>
      <c r="X743" s="194"/>
      <c r="Y743" s="194"/>
      <c r="Z743" s="194"/>
      <c r="AA743" s="194"/>
      <c r="AB743" s="194"/>
      <c r="AC743" s="194"/>
      <c r="AD743" s="194"/>
      <c r="AE743" s="194"/>
      <c r="AF743" s="194"/>
    </row>
    <row r="744" spans="1:32" x14ac:dyDescent="0.25">
      <c r="A744" s="194"/>
      <c r="B744" s="194"/>
      <c r="C744" s="194"/>
      <c r="D744" s="194"/>
      <c r="E744" s="194"/>
      <c r="F744" s="194"/>
      <c r="G744" s="194"/>
      <c r="H744" s="194"/>
      <c r="I744" s="194"/>
      <c r="J744" s="194"/>
      <c r="K744" s="194"/>
      <c r="L744" s="194"/>
      <c r="M744" s="194"/>
      <c r="N744" s="194"/>
      <c r="O744" s="194"/>
      <c r="P744" s="194"/>
      <c r="Q744" s="194"/>
      <c r="R744" s="194"/>
      <c r="S744" s="194"/>
      <c r="T744" s="194"/>
      <c r="U744" s="194"/>
      <c r="V744" s="194"/>
      <c r="W744" s="194"/>
      <c r="X744" s="194"/>
      <c r="Y744" s="194"/>
      <c r="Z744" s="194"/>
      <c r="AA744" s="194"/>
      <c r="AB744" s="194"/>
      <c r="AC744" s="194"/>
      <c r="AD744" s="194"/>
      <c r="AE744" s="194"/>
      <c r="AF744" s="194"/>
    </row>
    <row r="745" spans="1:32" x14ac:dyDescent="0.25">
      <c r="A745" s="194"/>
      <c r="B745" s="194"/>
      <c r="C745" s="194"/>
      <c r="D745" s="194"/>
      <c r="E745" s="194"/>
      <c r="F745" s="194"/>
      <c r="G745" s="194"/>
      <c r="H745" s="194"/>
      <c r="I745" s="194"/>
      <c r="J745" s="194"/>
      <c r="K745" s="194"/>
      <c r="L745" s="194"/>
      <c r="M745" s="194"/>
      <c r="N745" s="194"/>
      <c r="O745" s="194"/>
      <c r="P745" s="194"/>
      <c r="Q745" s="194"/>
      <c r="R745" s="194"/>
      <c r="S745" s="194"/>
      <c r="T745" s="194"/>
      <c r="U745" s="194"/>
      <c r="V745" s="194"/>
      <c r="W745" s="194"/>
      <c r="X745" s="194"/>
      <c r="Y745" s="194"/>
      <c r="Z745" s="194"/>
      <c r="AA745" s="194"/>
      <c r="AB745" s="194"/>
      <c r="AC745" s="194"/>
      <c r="AD745" s="194"/>
      <c r="AE745" s="194"/>
      <c r="AF745" s="194"/>
    </row>
    <row r="746" spans="1:32" x14ac:dyDescent="0.25">
      <c r="A746" s="194"/>
      <c r="B746" s="194"/>
      <c r="C746" s="194"/>
      <c r="D746" s="194"/>
      <c r="E746" s="194"/>
      <c r="F746" s="194"/>
      <c r="G746" s="194"/>
      <c r="H746" s="194"/>
      <c r="I746" s="194"/>
      <c r="J746" s="194"/>
      <c r="K746" s="194"/>
      <c r="L746" s="194"/>
      <c r="M746" s="194"/>
      <c r="N746" s="194"/>
      <c r="O746" s="194"/>
      <c r="P746" s="194"/>
      <c r="Q746" s="194"/>
      <c r="R746" s="194"/>
      <c r="S746" s="194"/>
      <c r="T746" s="194"/>
      <c r="U746" s="194"/>
      <c r="V746" s="194"/>
      <c r="W746" s="194"/>
      <c r="X746" s="194"/>
      <c r="Y746" s="194"/>
      <c r="Z746" s="194"/>
      <c r="AA746" s="194"/>
      <c r="AB746" s="194"/>
      <c r="AC746" s="194"/>
      <c r="AD746" s="194"/>
      <c r="AE746" s="194"/>
      <c r="AF746" s="194"/>
    </row>
    <row r="747" spans="1:32" x14ac:dyDescent="0.25">
      <c r="A747" s="194"/>
      <c r="B747" s="194"/>
      <c r="C747" s="194"/>
      <c r="D747" s="194"/>
      <c r="E747" s="194"/>
      <c r="F747" s="194"/>
      <c r="G747" s="194"/>
      <c r="H747" s="194"/>
      <c r="I747" s="194"/>
      <c r="J747" s="194"/>
      <c r="K747" s="194"/>
      <c r="L747" s="194"/>
      <c r="M747" s="194"/>
      <c r="N747" s="194"/>
      <c r="O747" s="194"/>
      <c r="P747" s="194"/>
      <c r="Q747" s="194"/>
      <c r="R747" s="194"/>
      <c r="S747" s="194"/>
      <c r="T747" s="194"/>
      <c r="U747" s="194"/>
      <c r="V747" s="194"/>
      <c r="W747" s="194"/>
      <c r="X747" s="194"/>
      <c r="Y747" s="194"/>
      <c r="Z747" s="194"/>
      <c r="AA747" s="194"/>
      <c r="AB747" s="194"/>
      <c r="AC747" s="194"/>
      <c r="AD747" s="194"/>
      <c r="AE747" s="194"/>
      <c r="AF747" s="194"/>
    </row>
    <row r="748" spans="1:32" x14ac:dyDescent="0.25">
      <c r="A748" s="194"/>
      <c r="B748" s="194"/>
      <c r="C748" s="194"/>
      <c r="D748" s="194"/>
      <c r="E748" s="194"/>
      <c r="F748" s="194"/>
      <c r="G748" s="194"/>
      <c r="H748" s="194"/>
      <c r="I748" s="194"/>
      <c r="J748" s="194"/>
      <c r="K748" s="194"/>
      <c r="L748" s="194"/>
      <c r="M748" s="194"/>
      <c r="N748" s="194"/>
      <c r="O748" s="194"/>
      <c r="P748" s="194"/>
      <c r="Q748" s="194"/>
      <c r="R748" s="194"/>
      <c r="S748" s="194"/>
      <c r="T748" s="194"/>
      <c r="U748" s="194"/>
      <c r="V748" s="194"/>
      <c r="W748" s="194"/>
      <c r="X748" s="194"/>
      <c r="Y748" s="194"/>
      <c r="Z748" s="194"/>
      <c r="AA748" s="194"/>
      <c r="AB748" s="194"/>
      <c r="AC748" s="194"/>
      <c r="AD748" s="194"/>
      <c r="AE748" s="194"/>
      <c r="AF748" s="194"/>
    </row>
    <row r="749" spans="1:32" x14ac:dyDescent="0.25">
      <c r="A749" s="194"/>
      <c r="B749" s="194"/>
      <c r="C749" s="194"/>
      <c r="D749" s="194"/>
      <c r="E749" s="194"/>
      <c r="F749" s="194"/>
      <c r="G749" s="194"/>
      <c r="H749" s="194"/>
      <c r="I749" s="194"/>
      <c r="J749" s="194"/>
      <c r="K749" s="194"/>
      <c r="L749" s="194"/>
      <c r="M749" s="194"/>
      <c r="N749" s="194"/>
      <c r="O749" s="194"/>
      <c r="P749" s="194"/>
      <c r="Q749" s="194"/>
      <c r="R749" s="194"/>
      <c r="S749" s="194"/>
      <c r="T749" s="194"/>
      <c r="U749" s="194"/>
      <c r="V749" s="194"/>
      <c r="W749" s="194"/>
      <c r="X749" s="194"/>
      <c r="Y749" s="194"/>
      <c r="Z749" s="194"/>
      <c r="AA749" s="194"/>
      <c r="AB749" s="194"/>
      <c r="AC749" s="194"/>
      <c r="AD749" s="194"/>
      <c r="AE749" s="194"/>
      <c r="AF749" s="194"/>
    </row>
    <row r="750" spans="1:32" x14ac:dyDescent="0.25">
      <c r="A750" s="194"/>
      <c r="B750" s="194"/>
      <c r="C750" s="194"/>
      <c r="D750" s="194"/>
      <c r="E750" s="194"/>
      <c r="F750" s="194"/>
      <c r="G750" s="194"/>
      <c r="H750" s="194"/>
      <c r="I750" s="194"/>
      <c r="J750" s="194"/>
      <c r="K750" s="194"/>
      <c r="L750" s="194"/>
      <c r="M750" s="194"/>
      <c r="N750" s="194"/>
      <c r="O750" s="194"/>
      <c r="P750" s="194"/>
      <c r="Q750" s="194"/>
      <c r="R750" s="194"/>
      <c r="S750" s="194"/>
      <c r="T750" s="194"/>
      <c r="U750" s="194"/>
      <c r="V750" s="194"/>
      <c r="W750" s="194"/>
      <c r="X750" s="194"/>
      <c r="Y750" s="194"/>
      <c r="Z750" s="194"/>
      <c r="AA750" s="194"/>
      <c r="AB750" s="194"/>
      <c r="AC750" s="194"/>
      <c r="AD750" s="194"/>
      <c r="AE750" s="194"/>
      <c r="AF750" s="194"/>
    </row>
    <row r="751" spans="1:32" x14ac:dyDescent="0.25">
      <c r="A751" s="194"/>
      <c r="B751" s="194"/>
      <c r="C751" s="194"/>
      <c r="D751" s="194"/>
      <c r="E751" s="194"/>
      <c r="F751" s="194"/>
      <c r="G751" s="194"/>
      <c r="H751" s="194"/>
      <c r="I751" s="194"/>
      <c r="J751" s="194"/>
      <c r="K751" s="194"/>
      <c r="L751" s="194"/>
      <c r="M751" s="194"/>
      <c r="N751" s="194"/>
      <c r="O751" s="194"/>
      <c r="P751" s="194"/>
      <c r="Q751" s="194"/>
      <c r="R751" s="194"/>
      <c r="S751" s="194"/>
      <c r="T751" s="194"/>
      <c r="U751" s="194"/>
      <c r="V751" s="194"/>
      <c r="W751" s="194"/>
      <c r="X751" s="194"/>
      <c r="Y751" s="194"/>
      <c r="Z751" s="194"/>
      <c r="AA751" s="194"/>
      <c r="AB751" s="194"/>
      <c r="AC751" s="194"/>
      <c r="AD751" s="194"/>
      <c r="AE751" s="194"/>
      <c r="AF751" s="194"/>
    </row>
    <row r="752" spans="1:32" x14ac:dyDescent="0.25">
      <c r="A752" s="194"/>
      <c r="B752" s="194"/>
      <c r="C752" s="194"/>
      <c r="D752" s="194"/>
      <c r="E752" s="194"/>
      <c r="F752" s="194"/>
      <c r="G752" s="194"/>
      <c r="H752" s="194"/>
      <c r="I752" s="194"/>
      <c r="J752" s="194"/>
      <c r="K752" s="194"/>
      <c r="L752" s="194"/>
      <c r="M752" s="194"/>
      <c r="N752" s="194"/>
      <c r="O752" s="194"/>
      <c r="P752" s="194"/>
      <c r="Q752" s="194"/>
      <c r="R752" s="194"/>
      <c r="S752" s="194"/>
      <c r="T752" s="194"/>
      <c r="U752" s="194"/>
      <c r="V752" s="194"/>
      <c r="W752" s="194"/>
      <c r="X752" s="194"/>
      <c r="Y752" s="194"/>
      <c r="Z752" s="194"/>
      <c r="AA752" s="194"/>
      <c r="AB752" s="194"/>
      <c r="AC752" s="194"/>
      <c r="AD752" s="194"/>
      <c r="AE752" s="194"/>
      <c r="AF752" s="194"/>
    </row>
    <row r="753" spans="1:32" x14ac:dyDescent="0.25">
      <c r="A753" s="194"/>
      <c r="B753" s="194"/>
      <c r="C753" s="194"/>
      <c r="D753" s="194"/>
      <c r="E753" s="194"/>
      <c r="F753" s="194"/>
      <c r="G753" s="194"/>
      <c r="H753" s="194"/>
      <c r="I753" s="194"/>
      <c r="J753" s="194"/>
      <c r="K753" s="194"/>
      <c r="L753" s="194"/>
      <c r="M753" s="194"/>
      <c r="N753" s="194"/>
      <c r="O753" s="194"/>
      <c r="P753" s="194"/>
      <c r="Q753" s="194"/>
      <c r="R753" s="194"/>
      <c r="S753" s="194"/>
      <c r="T753" s="194"/>
      <c r="U753" s="194"/>
      <c r="V753" s="194"/>
      <c r="W753" s="194"/>
      <c r="X753" s="194"/>
      <c r="Y753" s="194"/>
      <c r="Z753" s="194"/>
      <c r="AA753" s="194"/>
      <c r="AB753" s="194"/>
      <c r="AC753" s="194"/>
      <c r="AD753" s="194"/>
      <c r="AE753" s="194"/>
      <c r="AF753" s="194"/>
    </row>
    <row r="754" spans="1:32" x14ac:dyDescent="0.25">
      <c r="A754" s="194"/>
      <c r="B754" s="194"/>
      <c r="C754" s="194"/>
      <c r="D754" s="194"/>
      <c r="E754" s="194"/>
      <c r="F754" s="194"/>
      <c r="G754" s="194"/>
      <c r="H754" s="194"/>
      <c r="I754" s="194"/>
      <c r="J754" s="194"/>
      <c r="K754" s="194"/>
      <c r="L754" s="194"/>
      <c r="M754" s="194"/>
      <c r="N754" s="194"/>
      <c r="O754" s="194"/>
      <c r="P754" s="194"/>
      <c r="Q754" s="194"/>
      <c r="R754" s="194"/>
      <c r="S754" s="194"/>
      <c r="T754" s="194"/>
      <c r="U754" s="194"/>
      <c r="V754" s="194"/>
      <c r="W754" s="194"/>
      <c r="X754" s="194"/>
      <c r="Y754" s="194"/>
      <c r="Z754" s="194"/>
      <c r="AA754" s="194"/>
      <c r="AB754" s="194"/>
      <c r="AC754" s="194"/>
      <c r="AD754" s="194"/>
      <c r="AE754" s="194"/>
      <c r="AF754" s="194"/>
    </row>
    <row r="755" spans="1:32" x14ac:dyDescent="0.25">
      <c r="A755" s="194"/>
      <c r="B755" s="194"/>
      <c r="C755" s="194"/>
      <c r="D755" s="194"/>
      <c r="E755" s="194"/>
      <c r="F755" s="194"/>
      <c r="G755" s="194"/>
      <c r="H755" s="194"/>
      <c r="I755" s="194"/>
      <c r="J755" s="194"/>
      <c r="K755" s="194"/>
      <c r="L755" s="194"/>
      <c r="M755" s="194"/>
      <c r="N755" s="194"/>
      <c r="O755" s="194"/>
      <c r="P755" s="194"/>
      <c r="Q755" s="194"/>
      <c r="R755" s="194"/>
      <c r="S755" s="194"/>
      <c r="T755" s="194"/>
      <c r="U755" s="194"/>
      <c r="V755" s="194"/>
      <c r="W755" s="194"/>
      <c r="X755" s="194"/>
      <c r="Y755" s="194"/>
      <c r="Z755" s="194"/>
      <c r="AA755" s="194"/>
      <c r="AB755" s="194"/>
      <c r="AC755" s="194"/>
      <c r="AD755" s="194"/>
      <c r="AE755" s="194"/>
      <c r="AF755" s="194"/>
    </row>
    <row r="756" spans="1:32" x14ac:dyDescent="0.25">
      <c r="A756" s="194"/>
      <c r="B756" s="194"/>
      <c r="C756" s="194"/>
      <c r="D756" s="194"/>
      <c r="E756" s="194"/>
      <c r="F756" s="194"/>
      <c r="G756" s="194"/>
      <c r="H756" s="194"/>
      <c r="I756" s="194"/>
      <c r="J756" s="194"/>
      <c r="K756" s="194"/>
      <c r="L756" s="194"/>
      <c r="M756" s="194"/>
      <c r="N756" s="194"/>
      <c r="O756" s="194"/>
      <c r="P756" s="194"/>
      <c r="Q756" s="194"/>
      <c r="R756" s="194"/>
      <c r="S756" s="194"/>
      <c r="T756" s="194"/>
      <c r="U756" s="194"/>
      <c r="V756" s="194"/>
      <c r="W756" s="194"/>
      <c r="X756" s="194"/>
      <c r="Y756" s="194"/>
      <c r="Z756" s="194"/>
      <c r="AA756" s="194"/>
      <c r="AB756" s="194"/>
      <c r="AC756" s="194"/>
      <c r="AD756" s="194"/>
      <c r="AE756" s="194"/>
      <c r="AF756" s="194"/>
    </row>
    <row r="757" spans="1:32" x14ac:dyDescent="0.25">
      <c r="A757" s="194"/>
      <c r="B757" s="194"/>
      <c r="C757" s="194"/>
      <c r="D757" s="194"/>
      <c r="E757" s="194"/>
      <c r="F757" s="194"/>
      <c r="G757" s="194"/>
      <c r="H757" s="194"/>
      <c r="I757" s="194"/>
      <c r="J757" s="194"/>
      <c r="K757" s="194"/>
      <c r="L757" s="194"/>
      <c r="M757" s="194"/>
      <c r="N757" s="194"/>
      <c r="O757" s="194"/>
      <c r="P757" s="194"/>
      <c r="Q757" s="194"/>
      <c r="R757" s="194"/>
      <c r="S757" s="194"/>
      <c r="T757" s="194"/>
      <c r="U757" s="194"/>
      <c r="V757" s="194"/>
      <c r="W757" s="194"/>
      <c r="X757" s="194"/>
      <c r="Y757" s="194"/>
      <c r="Z757" s="194"/>
      <c r="AA757" s="194"/>
      <c r="AB757" s="194"/>
      <c r="AC757" s="194"/>
      <c r="AD757" s="194"/>
      <c r="AE757" s="194"/>
      <c r="AF757" s="194"/>
    </row>
    <row r="758" spans="1:32" x14ac:dyDescent="0.25">
      <c r="A758" s="194"/>
      <c r="B758" s="194"/>
      <c r="C758" s="194"/>
      <c r="D758" s="194"/>
      <c r="E758" s="194"/>
      <c r="F758" s="194"/>
      <c r="G758" s="194"/>
      <c r="H758" s="194"/>
      <c r="I758" s="194"/>
      <c r="J758" s="194"/>
      <c r="K758" s="194"/>
      <c r="L758" s="194"/>
      <c r="M758" s="194"/>
      <c r="N758" s="194"/>
      <c r="O758" s="194"/>
      <c r="P758" s="194"/>
      <c r="Q758" s="194"/>
      <c r="R758" s="194"/>
      <c r="S758" s="194"/>
      <c r="T758" s="194"/>
      <c r="U758" s="194"/>
      <c r="V758" s="194"/>
      <c r="W758" s="194"/>
      <c r="X758" s="194"/>
      <c r="Y758" s="194"/>
      <c r="Z758" s="194"/>
      <c r="AA758" s="194"/>
      <c r="AB758" s="194"/>
      <c r="AC758" s="194"/>
      <c r="AD758" s="194"/>
      <c r="AE758" s="194"/>
      <c r="AF758" s="194"/>
    </row>
    <row r="759" spans="1:32" x14ac:dyDescent="0.25">
      <c r="A759" s="194"/>
      <c r="B759" s="194"/>
      <c r="C759" s="194"/>
      <c r="D759" s="194"/>
      <c r="E759" s="194"/>
      <c r="F759" s="194"/>
      <c r="G759" s="194"/>
      <c r="H759" s="194"/>
      <c r="I759" s="194"/>
      <c r="J759" s="194"/>
      <c r="K759" s="194"/>
      <c r="L759" s="194"/>
      <c r="M759" s="194"/>
      <c r="N759" s="194"/>
      <c r="O759" s="194"/>
      <c r="P759" s="194"/>
      <c r="Q759" s="194"/>
      <c r="R759" s="194"/>
      <c r="S759" s="194"/>
      <c r="T759" s="194"/>
      <c r="U759" s="194"/>
      <c r="V759" s="194"/>
      <c r="W759" s="194"/>
      <c r="X759" s="194"/>
      <c r="Y759" s="194"/>
      <c r="Z759" s="194"/>
      <c r="AA759" s="194"/>
      <c r="AB759" s="194"/>
      <c r="AC759" s="194"/>
      <c r="AD759" s="194"/>
      <c r="AE759" s="194"/>
      <c r="AF759" s="194"/>
    </row>
    <row r="760" spans="1:32" x14ac:dyDescent="0.25">
      <c r="A760" s="194"/>
      <c r="B760" s="194"/>
      <c r="C760" s="194"/>
      <c r="D760" s="194"/>
      <c r="E760" s="194"/>
      <c r="F760" s="194"/>
      <c r="G760" s="194"/>
      <c r="H760" s="194"/>
      <c r="I760" s="194"/>
      <c r="J760" s="194"/>
      <c r="K760" s="194"/>
      <c r="L760" s="194"/>
      <c r="M760" s="194"/>
      <c r="N760" s="194"/>
      <c r="O760" s="194"/>
      <c r="P760" s="194"/>
      <c r="Q760" s="194"/>
      <c r="R760" s="194"/>
      <c r="S760" s="194"/>
      <c r="T760" s="194"/>
      <c r="U760" s="194"/>
      <c r="V760" s="194"/>
      <c r="W760" s="194"/>
      <c r="X760" s="194"/>
      <c r="Y760" s="194"/>
      <c r="Z760" s="194"/>
      <c r="AA760" s="194"/>
      <c r="AB760" s="194"/>
      <c r="AC760" s="194"/>
      <c r="AD760" s="194"/>
      <c r="AE760" s="194"/>
      <c r="AF760" s="194"/>
    </row>
    <row r="761" spans="1:32" x14ac:dyDescent="0.25">
      <c r="A761" s="194"/>
      <c r="B761" s="194"/>
      <c r="C761" s="194"/>
      <c r="D761" s="194"/>
      <c r="E761" s="194"/>
      <c r="F761" s="194"/>
      <c r="G761" s="194"/>
      <c r="H761" s="194"/>
      <c r="I761" s="194"/>
      <c r="J761" s="194"/>
      <c r="K761" s="194"/>
      <c r="L761" s="194"/>
      <c r="M761" s="194"/>
      <c r="N761" s="194"/>
      <c r="O761" s="194"/>
      <c r="P761" s="194"/>
      <c r="Q761" s="194"/>
      <c r="R761" s="194"/>
      <c r="S761" s="194"/>
      <c r="T761" s="194"/>
      <c r="U761" s="194"/>
      <c r="V761" s="194"/>
      <c r="W761" s="194"/>
      <c r="X761" s="194"/>
      <c r="Y761" s="194"/>
      <c r="Z761" s="194"/>
      <c r="AA761" s="194"/>
      <c r="AB761" s="194"/>
      <c r="AC761" s="194"/>
      <c r="AD761" s="194"/>
      <c r="AE761" s="194"/>
      <c r="AF761" s="194"/>
    </row>
    <row r="762" spans="1:32" x14ac:dyDescent="0.25">
      <c r="A762" s="194"/>
      <c r="B762" s="194"/>
      <c r="C762" s="194"/>
      <c r="D762" s="194"/>
      <c r="E762" s="194"/>
      <c r="F762" s="194"/>
      <c r="G762" s="194"/>
      <c r="H762" s="194"/>
      <c r="I762" s="194"/>
      <c r="J762" s="194"/>
      <c r="K762" s="194"/>
      <c r="L762" s="194"/>
      <c r="M762" s="194"/>
      <c r="N762" s="194"/>
      <c r="O762" s="194"/>
      <c r="P762" s="194"/>
      <c r="Q762" s="194"/>
      <c r="R762" s="194"/>
      <c r="S762" s="194"/>
      <c r="T762" s="194"/>
      <c r="U762" s="194"/>
      <c r="V762" s="194"/>
      <c r="W762" s="194"/>
      <c r="X762" s="194"/>
      <c r="Y762" s="194"/>
      <c r="Z762" s="194"/>
      <c r="AA762" s="194"/>
      <c r="AB762" s="194"/>
      <c r="AC762" s="194"/>
      <c r="AD762" s="194"/>
      <c r="AE762" s="194"/>
      <c r="AF762" s="194"/>
    </row>
    <row r="763" spans="1:32" x14ac:dyDescent="0.25">
      <c r="A763" s="194"/>
      <c r="B763" s="194"/>
      <c r="C763" s="194"/>
      <c r="D763" s="194"/>
      <c r="E763" s="194"/>
      <c r="F763" s="194"/>
      <c r="G763" s="194"/>
      <c r="H763" s="194"/>
      <c r="I763" s="194"/>
      <c r="J763" s="194"/>
      <c r="K763" s="194"/>
      <c r="L763" s="194"/>
      <c r="M763" s="194"/>
      <c r="N763" s="194"/>
      <c r="O763" s="194"/>
      <c r="P763" s="194"/>
      <c r="Q763" s="194"/>
      <c r="R763" s="194"/>
      <c r="S763" s="194"/>
      <c r="T763" s="194"/>
      <c r="U763" s="194"/>
      <c r="V763" s="194"/>
      <c r="W763" s="194"/>
      <c r="X763" s="194"/>
      <c r="Y763" s="194"/>
      <c r="Z763" s="194"/>
      <c r="AA763" s="194"/>
      <c r="AB763" s="194"/>
      <c r="AC763" s="194"/>
      <c r="AD763" s="194"/>
      <c r="AE763" s="194"/>
      <c r="AF763" s="194"/>
    </row>
    <row r="764" spans="1:32" x14ac:dyDescent="0.25">
      <c r="A764" s="194"/>
      <c r="B764" s="194"/>
      <c r="C764" s="194"/>
      <c r="D764" s="194"/>
      <c r="E764" s="194"/>
      <c r="F764" s="194"/>
      <c r="G764" s="194"/>
      <c r="H764" s="194"/>
      <c r="I764" s="194"/>
      <c r="J764" s="194"/>
      <c r="K764" s="194"/>
      <c r="L764" s="194"/>
      <c r="M764" s="194"/>
      <c r="N764" s="194"/>
      <c r="O764" s="194"/>
      <c r="P764" s="194"/>
      <c r="Q764" s="194"/>
      <c r="R764" s="194"/>
      <c r="S764" s="194"/>
      <c r="T764" s="194"/>
      <c r="U764" s="194"/>
      <c r="V764" s="194"/>
      <c r="W764" s="194"/>
      <c r="X764" s="194"/>
      <c r="Y764" s="194"/>
      <c r="Z764" s="194"/>
      <c r="AA764" s="194"/>
      <c r="AB764" s="194"/>
      <c r="AC764" s="194"/>
      <c r="AD764" s="194"/>
      <c r="AE764" s="194"/>
      <c r="AF764" s="194"/>
    </row>
    <row r="765" spans="1:32" x14ac:dyDescent="0.25">
      <c r="A765" s="194"/>
      <c r="B765" s="194"/>
      <c r="C765" s="194"/>
      <c r="D765" s="194"/>
      <c r="E765" s="194"/>
      <c r="F765" s="194"/>
      <c r="G765" s="194"/>
      <c r="H765" s="194"/>
      <c r="I765" s="194"/>
      <c r="J765" s="194"/>
      <c r="K765" s="194"/>
      <c r="L765" s="194"/>
      <c r="M765" s="194"/>
      <c r="N765" s="194"/>
      <c r="O765" s="194"/>
      <c r="P765" s="194"/>
      <c r="Q765" s="194"/>
      <c r="R765" s="194"/>
      <c r="S765" s="194"/>
      <c r="T765" s="194"/>
      <c r="U765" s="194"/>
      <c r="V765" s="194"/>
      <c r="W765" s="194"/>
      <c r="X765" s="194"/>
      <c r="Y765" s="194"/>
      <c r="Z765" s="194"/>
      <c r="AA765" s="194"/>
      <c r="AB765" s="194"/>
      <c r="AC765" s="194"/>
      <c r="AD765" s="194"/>
      <c r="AE765" s="194"/>
      <c r="AF765" s="194"/>
    </row>
    <row r="766" spans="1:32" x14ac:dyDescent="0.25">
      <c r="A766" s="194"/>
      <c r="B766" s="194"/>
      <c r="C766" s="194"/>
      <c r="D766" s="194"/>
      <c r="E766" s="194"/>
      <c r="F766" s="194"/>
      <c r="G766" s="194"/>
      <c r="H766" s="194"/>
      <c r="I766" s="194"/>
      <c r="J766" s="194"/>
      <c r="K766" s="194"/>
      <c r="L766" s="194"/>
      <c r="M766" s="194"/>
      <c r="N766" s="194"/>
      <c r="O766" s="194"/>
      <c r="P766" s="194"/>
      <c r="Q766" s="194"/>
      <c r="R766" s="194"/>
      <c r="S766" s="194"/>
      <c r="T766" s="194"/>
      <c r="U766" s="194"/>
      <c r="V766" s="194"/>
      <c r="W766" s="194"/>
      <c r="X766" s="194"/>
      <c r="Y766" s="194"/>
      <c r="Z766" s="194"/>
      <c r="AA766" s="194"/>
      <c r="AB766" s="194"/>
      <c r="AC766" s="194"/>
      <c r="AD766" s="194"/>
      <c r="AE766" s="194"/>
      <c r="AF766" s="194"/>
    </row>
    <row r="767" spans="1:32" x14ac:dyDescent="0.25">
      <c r="A767" s="194"/>
      <c r="B767" s="194"/>
      <c r="C767" s="194"/>
      <c r="D767" s="194"/>
      <c r="E767" s="194"/>
      <c r="F767" s="194"/>
      <c r="G767" s="194"/>
      <c r="H767" s="194"/>
      <c r="I767" s="194"/>
      <c r="J767" s="194"/>
      <c r="K767" s="194"/>
      <c r="L767" s="194"/>
      <c r="M767" s="194"/>
      <c r="N767" s="194"/>
      <c r="O767" s="194"/>
      <c r="P767" s="194"/>
      <c r="Q767" s="194"/>
      <c r="R767" s="194"/>
      <c r="S767" s="194"/>
      <c r="T767" s="194"/>
      <c r="U767" s="194"/>
      <c r="V767" s="194"/>
      <c r="W767" s="194"/>
      <c r="X767" s="194"/>
      <c r="Y767" s="194"/>
      <c r="Z767" s="194"/>
      <c r="AA767" s="194"/>
      <c r="AB767" s="194"/>
      <c r="AC767" s="194"/>
      <c r="AD767" s="194"/>
      <c r="AE767" s="194"/>
      <c r="AF767" s="194"/>
    </row>
    <row r="768" spans="1:32" x14ac:dyDescent="0.25">
      <c r="A768" s="194"/>
      <c r="B768" s="194"/>
      <c r="C768" s="194"/>
      <c r="D768" s="194"/>
      <c r="E768" s="194"/>
      <c r="F768" s="194"/>
      <c r="G768" s="194"/>
      <c r="H768" s="194"/>
      <c r="I768" s="194"/>
      <c r="J768" s="194"/>
      <c r="K768" s="194"/>
      <c r="L768" s="194"/>
      <c r="M768" s="194"/>
      <c r="N768" s="194"/>
      <c r="O768" s="194"/>
      <c r="P768" s="194"/>
      <c r="Q768" s="194"/>
      <c r="R768" s="194"/>
      <c r="S768" s="194"/>
      <c r="T768" s="194"/>
      <c r="U768" s="194"/>
      <c r="V768" s="194"/>
      <c r="W768" s="194"/>
      <c r="X768" s="194"/>
      <c r="Y768" s="194"/>
      <c r="Z768" s="194"/>
      <c r="AA768" s="194"/>
      <c r="AB768" s="194"/>
      <c r="AC768" s="194"/>
      <c r="AD768" s="194"/>
      <c r="AE768" s="194"/>
      <c r="AF768" s="194"/>
    </row>
    <row r="769" spans="1:32" x14ac:dyDescent="0.25">
      <c r="A769" s="194"/>
      <c r="B769" s="194"/>
      <c r="C769" s="194"/>
      <c r="D769" s="194"/>
      <c r="E769" s="194"/>
      <c r="F769" s="194"/>
      <c r="G769" s="194"/>
      <c r="H769" s="194"/>
      <c r="I769" s="194"/>
      <c r="J769" s="194"/>
      <c r="K769" s="194"/>
      <c r="L769" s="194"/>
      <c r="M769" s="194"/>
      <c r="N769" s="194"/>
      <c r="O769" s="194"/>
      <c r="P769" s="194"/>
      <c r="Q769" s="194"/>
      <c r="R769" s="194"/>
      <c r="S769" s="194"/>
      <c r="T769" s="194"/>
      <c r="U769" s="194"/>
      <c r="V769" s="194"/>
      <c r="W769" s="194"/>
      <c r="X769" s="194"/>
      <c r="Y769" s="194"/>
      <c r="Z769" s="194"/>
      <c r="AA769" s="194"/>
      <c r="AB769" s="194"/>
      <c r="AC769" s="194"/>
      <c r="AD769" s="194"/>
      <c r="AE769" s="194"/>
      <c r="AF769" s="194"/>
    </row>
    <row r="770" spans="1:32" x14ac:dyDescent="0.25">
      <c r="A770" s="194"/>
      <c r="B770" s="194"/>
      <c r="C770" s="194"/>
      <c r="D770" s="194"/>
      <c r="E770" s="194"/>
      <c r="F770" s="194"/>
      <c r="G770" s="194"/>
      <c r="H770" s="194"/>
      <c r="I770" s="194"/>
      <c r="J770" s="194"/>
      <c r="K770" s="194"/>
      <c r="L770" s="194"/>
      <c r="M770" s="194"/>
      <c r="N770" s="194"/>
      <c r="O770" s="194"/>
      <c r="P770" s="194"/>
      <c r="Q770" s="194"/>
      <c r="R770" s="194"/>
      <c r="S770" s="194"/>
      <c r="T770" s="194"/>
      <c r="U770" s="194"/>
      <c r="V770" s="194"/>
      <c r="W770" s="194"/>
      <c r="X770" s="194"/>
      <c r="Y770" s="194"/>
      <c r="Z770" s="194"/>
      <c r="AA770" s="194"/>
      <c r="AB770" s="194"/>
      <c r="AC770" s="194"/>
      <c r="AD770" s="194"/>
      <c r="AE770" s="194"/>
      <c r="AF770" s="194"/>
    </row>
    <row r="771" spans="1:32" x14ac:dyDescent="0.25">
      <c r="A771" s="194"/>
      <c r="B771" s="194"/>
      <c r="C771" s="194"/>
      <c r="D771" s="194"/>
      <c r="E771" s="194"/>
      <c r="F771" s="194"/>
      <c r="G771" s="194"/>
      <c r="H771" s="194"/>
      <c r="I771" s="194"/>
      <c r="J771" s="194"/>
      <c r="K771" s="194"/>
      <c r="L771" s="194"/>
      <c r="M771" s="194"/>
      <c r="N771" s="194"/>
      <c r="O771" s="194"/>
      <c r="P771" s="194"/>
      <c r="Q771" s="194"/>
      <c r="R771" s="194"/>
      <c r="S771" s="194"/>
      <c r="T771" s="194"/>
      <c r="U771" s="194"/>
      <c r="V771" s="194"/>
      <c r="W771" s="194"/>
      <c r="X771" s="194"/>
      <c r="Y771" s="194"/>
      <c r="Z771" s="194"/>
      <c r="AA771" s="194"/>
      <c r="AB771" s="194"/>
      <c r="AC771" s="194"/>
      <c r="AD771" s="194"/>
      <c r="AE771" s="194"/>
      <c r="AF771" s="194"/>
    </row>
    <row r="772" spans="1:32" x14ac:dyDescent="0.25">
      <c r="A772" s="194"/>
      <c r="B772" s="194"/>
      <c r="C772" s="194"/>
      <c r="D772" s="194"/>
      <c r="E772" s="194"/>
      <c r="F772" s="194"/>
      <c r="G772" s="194"/>
      <c r="H772" s="194"/>
      <c r="I772" s="194"/>
      <c r="J772" s="194"/>
      <c r="K772" s="194"/>
      <c r="L772" s="194"/>
      <c r="M772" s="194"/>
      <c r="N772" s="194"/>
      <c r="O772" s="194"/>
      <c r="P772" s="194"/>
      <c r="Q772" s="194"/>
      <c r="R772" s="194"/>
      <c r="S772" s="194"/>
      <c r="T772" s="194"/>
      <c r="U772" s="194"/>
      <c r="V772" s="194"/>
      <c r="W772" s="194"/>
      <c r="X772" s="194"/>
      <c r="Y772" s="194"/>
      <c r="Z772" s="194"/>
      <c r="AA772" s="194"/>
      <c r="AB772" s="194"/>
      <c r="AC772" s="194"/>
      <c r="AD772" s="194"/>
      <c r="AE772" s="194"/>
      <c r="AF772" s="194"/>
    </row>
    <row r="773" spans="1:32" x14ac:dyDescent="0.25">
      <c r="A773" s="194"/>
      <c r="B773" s="194"/>
      <c r="C773" s="194"/>
      <c r="D773" s="194"/>
      <c r="E773" s="194"/>
      <c r="F773" s="194"/>
      <c r="G773" s="194"/>
      <c r="H773" s="194"/>
      <c r="I773" s="194"/>
      <c r="J773" s="194"/>
      <c r="K773" s="194"/>
      <c r="L773" s="194"/>
      <c r="M773" s="194"/>
      <c r="N773" s="194"/>
      <c r="O773" s="194"/>
      <c r="P773" s="194"/>
      <c r="Q773" s="194"/>
      <c r="R773" s="194"/>
      <c r="S773" s="194"/>
      <c r="T773" s="194"/>
      <c r="U773" s="194"/>
      <c r="V773" s="194"/>
      <c r="W773" s="194"/>
      <c r="X773" s="194"/>
      <c r="Y773" s="194"/>
      <c r="Z773" s="194"/>
      <c r="AA773" s="194"/>
      <c r="AB773" s="194"/>
      <c r="AC773" s="194"/>
      <c r="AD773" s="194"/>
      <c r="AE773" s="194"/>
      <c r="AF773" s="194"/>
    </row>
    <row r="774" spans="1:32" x14ac:dyDescent="0.25">
      <c r="A774" s="194"/>
      <c r="B774" s="194"/>
      <c r="C774" s="194"/>
      <c r="D774" s="194"/>
      <c r="E774" s="194"/>
      <c r="F774" s="194"/>
      <c r="G774" s="194"/>
      <c r="H774" s="194"/>
      <c r="I774" s="194"/>
      <c r="J774" s="194"/>
      <c r="K774" s="194"/>
      <c r="L774" s="194"/>
      <c r="M774" s="194"/>
      <c r="N774" s="194"/>
      <c r="O774" s="194"/>
      <c r="P774" s="194"/>
      <c r="Q774" s="194"/>
      <c r="R774" s="194"/>
      <c r="S774" s="194"/>
      <c r="T774" s="194"/>
      <c r="U774" s="194"/>
      <c r="V774" s="194"/>
      <c r="W774" s="194"/>
      <c r="X774" s="194"/>
      <c r="Y774" s="194"/>
      <c r="Z774" s="194"/>
      <c r="AA774" s="194"/>
      <c r="AB774" s="194"/>
      <c r="AC774" s="194"/>
      <c r="AD774" s="194"/>
      <c r="AE774" s="194"/>
      <c r="AF774" s="194"/>
    </row>
    <row r="775" spans="1:32" x14ac:dyDescent="0.25">
      <c r="A775" s="194"/>
      <c r="B775" s="194"/>
      <c r="C775" s="194"/>
      <c r="D775" s="194"/>
      <c r="E775" s="194"/>
      <c r="F775" s="194"/>
      <c r="G775" s="194"/>
      <c r="H775" s="194"/>
      <c r="I775" s="194"/>
      <c r="J775" s="194"/>
      <c r="K775" s="194"/>
      <c r="L775" s="194"/>
      <c r="M775" s="194"/>
      <c r="N775" s="194"/>
      <c r="O775" s="194"/>
      <c r="P775" s="194"/>
      <c r="Q775" s="194"/>
      <c r="R775" s="194"/>
      <c r="S775" s="194"/>
      <c r="T775" s="194"/>
      <c r="U775" s="194"/>
      <c r="V775" s="194"/>
      <c r="W775" s="194"/>
      <c r="X775" s="194"/>
      <c r="Y775" s="194"/>
      <c r="Z775" s="194"/>
      <c r="AA775" s="194"/>
      <c r="AB775" s="194"/>
      <c r="AC775" s="194"/>
      <c r="AD775" s="194"/>
      <c r="AE775" s="194"/>
      <c r="AF775" s="194"/>
    </row>
    <row r="776" spans="1:32" x14ac:dyDescent="0.25">
      <c r="A776" s="194"/>
      <c r="B776" s="194"/>
      <c r="C776" s="194"/>
      <c r="D776" s="194"/>
      <c r="E776" s="194"/>
      <c r="F776" s="194"/>
      <c r="G776" s="194"/>
      <c r="H776" s="194"/>
      <c r="I776" s="194"/>
      <c r="J776" s="194"/>
      <c r="K776" s="194"/>
      <c r="L776" s="194"/>
      <c r="M776" s="194"/>
      <c r="N776" s="194"/>
      <c r="O776" s="194"/>
      <c r="P776" s="194"/>
      <c r="Q776" s="194"/>
      <c r="R776" s="194"/>
      <c r="S776" s="194"/>
      <c r="T776" s="194"/>
      <c r="U776" s="194"/>
      <c r="V776" s="194"/>
      <c r="W776" s="194"/>
      <c r="X776" s="194"/>
      <c r="Y776" s="194"/>
      <c r="Z776" s="194"/>
      <c r="AA776" s="194"/>
      <c r="AB776" s="194"/>
      <c r="AC776" s="194"/>
      <c r="AD776" s="194"/>
      <c r="AE776" s="194"/>
      <c r="AF776" s="194"/>
    </row>
    <row r="777" spans="1:32" x14ac:dyDescent="0.25">
      <c r="A777" s="194"/>
      <c r="B777" s="194"/>
      <c r="C777" s="194"/>
      <c r="D777" s="194"/>
      <c r="E777" s="194"/>
      <c r="F777" s="194"/>
      <c r="G777" s="194"/>
      <c r="H777" s="194"/>
      <c r="I777" s="194"/>
      <c r="J777" s="194"/>
      <c r="K777" s="194"/>
      <c r="L777" s="194"/>
      <c r="M777" s="194"/>
      <c r="N777" s="194"/>
      <c r="O777" s="194"/>
      <c r="P777" s="194"/>
      <c r="Q777" s="194"/>
      <c r="R777" s="194"/>
      <c r="S777" s="194"/>
      <c r="T777" s="194"/>
      <c r="U777" s="194"/>
      <c r="V777" s="194"/>
      <c r="W777" s="194"/>
      <c r="X777" s="194"/>
      <c r="Y777" s="194"/>
      <c r="Z777" s="194"/>
      <c r="AA777" s="194"/>
      <c r="AB777" s="194"/>
      <c r="AC777" s="194"/>
      <c r="AD777" s="194"/>
      <c r="AE777" s="194"/>
      <c r="AF777" s="194"/>
    </row>
    <row r="778" spans="1:32" x14ac:dyDescent="0.25">
      <c r="A778" s="194"/>
      <c r="B778" s="194"/>
      <c r="C778" s="194"/>
      <c r="D778" s="194"/>
      <c r="E778" s="194"/>
      <c r="F778" s="194"/>
      <c r="G778" s="194"/>
      <c r="H778" s="194"/>
      <c r="I778" s="194"/>
      <c r="J778" s="194"/>
      <c r="K778" s="194"/>
      <c r="L778" s="194"/>
      <c r="M778" s="194"/>
      <c r="N778" s="194"/>
      <c r="O778" s="194"/>
      <c r="P778" s="194"/>
      <c r="Q778" s="194"/>
      <c r="R778" s="194"/>
      <c r="S778" s="194"/>
      <c r="T778" s="194"/>
      <c r="U778" s="194"/>
      <c r="V778" s="194"/>
      <c r="W778" s="194"/>
      <c r="X778" s="194"/>
      <c r="Y778" s="194"/>
      <c r="Z778" s="194"/>
      <c r="AA778" s="194"/>
      <c r="AB778" s="194"/>
      <c r="AC778" s="194"/>
      <c r="AD778" s="194"/>
      <c r="AE778" s="194"/>
      <c r="AF778" s="194"/>
    </row>
    <row r="779" spans="1:32" x14ac:dyDescent="0.25">
      <c r="A779" s="194"/>
      <c r="B779" s="194"/>
      <c r="C779" s="194"/>
      <c r="D779" s="194"/>
      <c r="E779" s="194"/>
      <c r="F779" s="194"/>
      <c r="G779" s="194"/>
      <c r="H779" s="194"/>
      <c r="I779" s="194"/>
      <c r="J779" s="194"/>
      <c r="K779" s="194"/>
      <c r="L779" s="194"/>
      <c r="M779" s="194"/>
      <c r="N779" s="194"/>
      <c r="O779" s="194"/>
      <c r="P779" s="194"/>
      <c r="Q779" s="194"/>
      <c r="R779" s="194"/>
      <c r="S779" s="194"/>
      <c r="T779" s="194"/>
      <c r="U779" s="194"/>
      <c r="V779" s="194"/>
      <c r="W779" s="194"/>
      <c r="X779" s="194"/>
      <c r="Y779" s="194"/>
      <c r="Z779" s="194"/>
      <c r="AA779" s="194"/>
      <c r="AB779" s="194"/>
      <c r="AC779" s="194"/>
      <c r="AD779" s="194"/>
      <c r="AE779" s="194"/>
      <c r="AF779" s="194"/>
    </row>
    <row r="780" spans="1:32" x14ac:dyDescent="0.25">
      <c r="A780" s="194"/>
      <c r="B780" s="194"/>
      <c r="C780" s="194"/>
      <c r="D780" s="194"/>
      <c r="E780" s="194"/>
      <c r="F780" s="194"/>
      <c r="G780" s="194"/>
      <c r="H780" s="194"/>
      <c r="I780" s="194"/>
      <c r="J780" s="194"/>
      <c r="K780" s="194"/>
      <c r="L780" s="194"/>
      <c r="M780" s="194"/>
      <c r="N780" s="194"/>
      <c r="O780" s="194"/>
      <c r="P780" s="194"/>
      <c r="Q780" s="194"/>
      <c r="R780" s="194"/>
      <c r="S780" s="194"/>
      <c r="T780" s="194"/>
      <c r="U780" s="194"/>
      <c r="V780" s="194"/>
      <c r="W780" s="194"/>
      <c r="X780" s="194"/>
      <c r="Y780" s="194"/>
      <c r="Z780" s="194"/>
      <c r="AA780" s="194"/>
      <c r="AB780" s="194"/>
      <c r="AC780" s="194"/>
      <c r="AD780" s="194"/>
      <c r="AE780" s="194"/>
      <c r="AF780" s="194"/>
    </row>
    <row r="781" spans="1:32" x14ac:dyDescent="0.25">
      <c r="A781" s="194"/>
      <c r="B781" s="194"/>
      <c r="C781" s="194"/>
      <c r="D781" s="194"/>
      <c r="E781" s="194"/>
      <c r="F781" s="194"/>
      <c r="G781" s="194"/>
      <c r="H781" s="194"/>
      <c r="I781" s="194"/>
      <c r="J781" s="194"/>
      <c r="K781" s="194"/>
      <c r="L781" s="194"/>
      <c r="M781" s="194"/>
      <c r="N781" s="194"/>
      <c r="O781" s="194"/>
      <c r="P781" s="194"/>
      <c r="Q781" s="194"/>
      <c r="R781" s="194"/>
      <c r="S781" s="194"/>
      <c r="T781" s="194"/>
      <c r="U781" s="194"/>
      <c r="V781" s="194"/>
      <c r="W781" s="194"/>
      <c r="X781" s="194"/>
      <c r="Y781" s="194"/>
      <c r="Z781" s="194"/>
      <c r="AA781" s="194"/>
      <c r="AB781" s="194"/>
      <c r="AC781" s="194"/>
      <c r="AD781" s="194"/>
      <c r="AE781" s="194"/>
      <c r="AF781" s="194"/>
    </row>
    <row r="782" spans="1:32" x14ac:dyDescent="0.25">
      <c r="A782" s="194"/>
      <c r="B782" s="194"/>
      <c r="C782" s="194"/>
      <c r="D782" s="194"/>
      <c r="E782" s="194"/>
      <c r="F782" s="194"/>
      <c r="G782" s="194"/>
      <c r="H782" s="194"/>
      <c r="I782" s="194"/>
      <c r="J782" s="194"/>
      <c r="K782" s="194"/>
      <c r="L782" s="194"/>
      <c r="M782" s="194"/>
      <c r="N782" s="194"/>
      <c r="O782" s="194"/>
      <c r="P782" s="194"/>
      <c r="Q782" s="194"/>
      <c r="R782" s="194"/>
      <c r="S782" s="194"/>
      <c r="T782" s="194"/>
      <c r="U782" s="194"/>
      <c r="V782" s="194"/>
      <c r="W782" s="194"/>
      <c r="X782" s="194"/>
      <c r="Y782" s="194"/>
      <c r="Z782" s="194"/>
      <c r="AA782" s="194"/>
      <c r="AB782" s="194"/>
      <c r="AC782" s="194"/>
      <c r="AD782" s="194"/>
      <c r="AE782" s="194"/>
      <c r="AF782" s="194"/>
    </row>
    <row r="783" spans="1:32" x14ac:dyDescent="0.25">
      <c r="A783" s="194"/>
      <c r="B783" s="194"/>
      <c r="C783" s="194"/>
      <c r="D783" s="194"/>
      <c r="E783" s="194"/>
      <c r="F783" s="194"/>
      <c r="G783" s="194"/>
      <c r="H783" s="194"/>
      <c r="I783" s="194"/>
      <c r="J783" s="194"/>
      <c r="K783" s="194"/>
      <c r="L783" s="194"/>
      <c r="M783" s="194"/>
      <c r="N783" s="194"/>
      <c r="O783" s="194"/>
      <c r="P783" s="194"/>
      <c r="Q783" s="194"/>
      <c r="R783" s="194"/>
      <c r="S783" s="194"/>
      <c r="T783" s="194"/>
      <c r="U783" s="194"/>
      <c r="V783" s="194"/>
      <c r="W783" s="194"/>
      <c r="X783" s="194"/>
      <c r="Y783" s="194"/>
      <c r="Z783" s="194"/>
      <c r="AA783" s="194"/>
      <c r="AB783" s="194"/>
      <c r="AC783" s="194"/>
      <c r="AD783" s="194"/>
      <c r="AE783" s="194"/>
      <c r="AF783" s="194"/>
    </row>
    <row r="784" spans="1:32" x14ac:dyDescent="0.25">
      <c r="A784" s="194"/>
      <c r="B784" s="194"/>
      <c r="C784" s="194"/>
      <c r="D784" s="194"/>
      <c r="E784" s="194"/>
      <c r="F784" s="194"/>
      <c r="G784" s="194"/>
      <c r="H784" s="194"/>
      <c r="I784" s="194"/>
      <c r="J784" s="194"/>
      <c r="K784" s="194"/>
      <c r="L784" s="194"/>
      <c r="M784" s="194"/>
      <c r="N784" s="194"/>
      <c r="O784" s="194"/>
      <c r="P784" s="194"/>
      <c r="Q784" s="194"/>
      <c r="R784" s="194"/>
      <c r="S784" s="194"/>
      <c r="T784" s="194"/>
      <c r="U784" s="194"/>
      <c r="V784" s="194"/>
      <c r="W784" s="194"/>
      <c r="X784" s="194"/>
      <c r="Y784" s="194"/>
      <c r="Z784" s="194"/>
      <c r="AA784" s="194"/>
      <c r="AB784" s="194"/>
      <c r="AC784" s="194"/>
      <c r="AD784" s="194"/>
      <c r="AE784" s="194"/>
      <c r="AF784" s="194"/>
    </row>
    <row r="785" spans="1:32" x14ac:dyDescent="0.25">
      <c r="A785" s="194"/>
      <c r="B785" s="194"/>
      <c r="C785" s="194"/>
      <c r="D785" s="194"/>
      <c r="E785" s="194"/>
      <c r="F785" s="194"/>
      <c r="G785" s="194"/>
      <c r="H785" s="194"/>
      <c r="I785" s="194"/>
      <c r="J785" s="194"/>
      <c r="K785" s="194"/>
      <c r="L785" s="194"/>
      <c r="M785" s="194"/>
      <c r="N785" s="194"/>
      <c r="O785" s="194"/>
      <c r="P785" s="194"/>
      <c r="Q785" s="194"/>
      <c r="R785" s="194"/>
      <c r="S785" s="194"/>
      <c r="T785" s="194"/>
      <c r="U785" s="194"/>
      <c r="V785" s="194"/>
      <c r="W785" s="194"/>
      <c r="X785" s="194"/>
      <c r="Y785" s="194"/>
      <c r="Z785" s="194"/>
      <c r="AA785" s="194"/>
      <c r="AB785" s="194"/>
      <c r="AC785" s="194"/>
      <c r="AD785" s="194"/>
      <c r="AE785" s="194"/>
      <c r="AF785" s="194"/>
    </row>
    <row r="786" spans="1:32" x14ac:dyDescent="0.25">
      <c r="A786" s="194"/>
      <c r="B786" s="194"/>
      <c r="C786" s="194"/>
      <c r="D786" s="194"/>
      <c r="E786" s="194"/>
      <c r="F786" s="194"/>
      <c r="G786" s="194"/>
      <c r="H786" s="194"/>
      <c r="I786" s="194"/>
      <c r="J786" s="194"/>
      <c r="K786" s="194"/>
      <c r="L786" s="194"/>
      <c r="M786" s="194"/>
      <c r="N786" s="194"/>
      <c r="O786" s="194"/>
      <c r="P786" s="194"/>
      <c r="Q786" s="194"/>
      <c r="R786" s="194"/>
      <c r="S786" s="194"/>
      <c r="T786" s="194"/>
      <c r="U786" s="194"/>
      <c r="V786" s="194"/>
      <c r="W786" s="194"/>
      <c r="X786" s="194"/>
      <c r="Y786" s="194"/>
      <c r="Z786" s="194"/>
      <c r="AA786" s="194"/>
      <c r="AB786" s="194"/>
      <c r="AC786" s="194"/>
      <c r="AD786" s="194"/>
      <c r="AE786" s="194"/>
      <c r="AF786" s="194"/>
    </row>
    <row r="787" spans="1:32" x14ac:dyDescent="0.25">
      <c r="A787" s="194"/>
      <c r="B787" s="194"/>
      <c r="C787" s="194"/>
      <c r="D787" s="194"/>
      <c r="E787" s="194"/>
      <c r="F787" s="194"/>
      <c r="G787" s="194"/>
      <c r="H787" s="194"/>
      <c r="I787" s="194"/>
      <c r="J787" s="194"/>
      <c r="K787" s="194"/>
      <c r="L787" s="194"/>
      <c r="M787" s="194"/>
      <c r="N787" s="194"/>
      <c r="O787" s="194"/>
      <c r="P787" s="194"/>
      <c r="Q787" s="194"/>
      <c r="R787" s="194"/>
      <c r="S787" s="194"/>
      <c r="T787" s="194"/>
      <c r="U787" s="194"/>
      <c r="V787" s="194"/>
      <c r="W787" s="194"/>
      <c r="X787" s="194"/>
      <c r="Y787" s="194"/>
      <c r="Z787" s="194"/>
      <c r="AA787" s="194"/>
      <c r="AB787" s="194"/>
      <c r="AC787" s="194"/>
      <c r="AD787" s="194"/>
      <c r="AE787" s="194"/>
      <c r="AF787" s="194"/>
    </row>
    <row r="788" spans="1:32" x14ac:dyDescent="0.25">
      <c r="A788" s="194"/>
      <c r="B788" s="194"/>
      <c r="C788" s="194"/>
      <c r="D788" s="194"/>
      <c r="E788" s="194"/>
      <c r="F788" s="194"/>
      <c r="G788" s="194"/>
      <c r="H788" s="194"/>
      <c r="I788" s="194"/>
      <c r="J788" s="194"/>
      <c r="K788" s="194"/>
      <c r="L788" s="194"/>
      <c r="M788" s="194"/>
      <c r="N788" s="194"/>
      <c r="O788" s="194"/>
      <c r="P788" s="194"/>
      <c r="Q788" s="194"/>
      <c r="R788" s="194"/>
      <c r="S788" s="194"/>
      <c r="T788" s="194"/>
      <c r="U788" s="194"/>
      <c r="V788" s="194"/>
      <c r="W788" s="194"/>
      <c r="X788" s="194"/>
      <c r="Y788" s="194"/>
      <c r="Z788" s="194"/>
      <c r="AA788" s="194"/>
      <c r="AB788" s="194"/>
      <c r="AC788" s="194"/>
      <c r="AD788" s="194"/>
      <c r="AE788" s="194"/>
      <c r="AF788" s="194"/>
    </row>
    <row r="789" spans="1:32" x14ac:dyDescent="0.25">
      <c r="A789" s="194"/>
      <c r="B789" s="194"/>
      <c r="C789" s="194"/>
      <c r="D789" s="194"/>
      <c r="E789" s="194"/>
      <c r="F789" s="194"/>
      <c r="G789" s="194"/>
      <c r="H789" s="194"/>
      <c r="I789" s="194"/>
      <c r="J789" s="194"/>
      <c r="K789" s="194"/>
      <c r="L789" s="194"/>
      <c r="M789" s="194"/>
      <c r="N789" s="194"/>
      <c r="O789" s="194"/>
      <c r="P789" s="194"/>
      <c r="Q789" s="194"/>
      <c r="R789" s="194"/>
      <c r="S789" s="194"/>
      <c r="T789" s="194"/>
      <c r="U789" s="194"/>
      <c r="V789" s="194"/>
      <c r="W789" s="194"/>
      <c r="X789" s="194"/>
      <c r="Y789" s="194"/>
      <c r="Z789" s="194"/>
      <c r="AA789" s="194"/>
      <c r="AB789" s="194"/>
      <c r="AC789" s="194"/>
      <c r="AD789" s="194"/>
      <c r="AE789" s="194"/>
      <c r="AF789" s="194"/>
    </row>
    <row r="790" spans="1:32" x14ac:dyDescent="0.25">
      <c r="A790" s="194"/>
      <c r="B790" s="194"/>
      <c r="C790" s="194"/>
      <c r="D790" s="194"/>
      <c r="E790" s="194"/>
      <c r="F790" s="194"/>
      <c r="G790" s="194"/>
      <c r="H790" s="194"/>
      <c r="I790" s="194"/>
      <c r="J790" s="194"/>
      <c r="K790" s="194"/>
      <c r="L790" s="194"/>
      <c r="M790" s="194"/>
      <c r="N790" s="194"/>
      <c r="O790" s="194"/>
      <c r="P790" s="194"/>
      <c r="Q790" s="194"/>
      <c r="R790" s="194"/>
      <c r="S790" s="194"/>
      <c r="T790" s="194"/>
      <c r="U790" s="194"/>
      <c r="V790" s="194"/>
      <c r="W790" s="194"/>
      <c r="X790" s="194"/>
      <c r="Y790" s="194"/>
      <c r="Z790" s="194"/>
      <c r="AA790" s="194"/>
      <c r="AB790" s="194"/>
      <c r="AC790" s="194"/>
      <c r="AD790" s="194"/>
      <c r="AE790" s="194"/>
      <c r="AF790" s="194"/>
    </row>
    <row r="791" spans="1:32" x14ac:dyDescent="0.25">
      <c r="A791" s="194"/>
      <c r="B791" s="194"/>
      <c r="C791" s="194"/>
      <c r="D791" s="194"/>
      <c r="E791" s="194"/>
      <c r="F791" s="194"/>
      <c r="G791" s="194"/>
      <c r="H791" s="194"/>
      <c r="I791" s="194"/>
      <c r="J791" s="194"/>
      <c r="K791" s="194"/>
      <c r="L791" s="194"/>
      <c r="M791" s="194"/>
      <c r="N791" s="194"/>
      <c r="O791" s="194"/>
      <c r="P791" s="194"/>
      <c r="Q791" s="194"/>
      <c r="R791" s="194"/>
      <c r="S791" s="194"/>
      <c r="T791" s="194"/>
      <c r="U791" s="194"/>
      <c r="V791" s="194"/>
      <c r="W791" s="194"/>
      <c r="X791" s="194"/>
      <c r="Y791" s="194"/>
      <c r="Z791" s="194"/>
      <c r="AA791" s="194"/>
      <c r="AB791" s="194"/>
      <c r="AC791" s="194"/>
      <c r="AD791" s="194"/>
      <c r="AE791" s="194"/>
      <c r="AF791" s="194"/>
    </row>
    <row r="792" spans="1:32" x14ac:dyDescent="0.25">
      <c r="A792" s="194"/>
      <c r="B792" s="194"/>
      <c r="C792" s="194"/>
      <c r="D792" s="194"/>
      <c r="E792" s="194"/>
      <c r="F792" s="194"/>
      <c r="G792" s="194"/>
      <c r="H792" s="194"/>
      <c r="I792" s="194"/>
      <c r="J792" s="194"/>
      <c r="K792" s="194"/>
      <c r="L792" s="194"/>
      <c r="M792" s="194"/>
      <c r="N792" s="194"/>
      <c r="O792" s="194"/>
      <c r="P792" s="194"/>
      <c r="Q792" s="194"/>
      <c r="R792" s="194"/>
      <c r="S792" s="194"/>
      <c r="T792" s="194"/>
      <c r="U792" s="194"/>
      <c r="V792" s="194"/>
      <c r="W792" s="194"/>
      <c r="X792" s="194"/>
      <c r="Y792" s="194"/>
      <c r="Z792" s="194"/>
      <c r="AA792" s="194"/>
      <c r="AB792" s="194"/>
      <c r="AC792" s="194"/>
      <c r="AD792" s="194"/>
      <c r="AE792" s="194"/>
      <c r="AF792" s="194"/>
    </row>
    <row r="793" spans="1:32" x14ac:dyDescent="0.25">
      <c r="A793" s="194"/>
      <c r="B793" s="194"/>
      <c r="C793" s="194"/>
      <c r="D793" s="194"/>
      <c r="E793" s="194"/>
      <c r="F793" s="194"/>
      <c r="G793" s="194"/>
      <c r="H793" s="194"/>
      <c r="I793" s="194"/>
      <c r="J793" s="194"/>
      <c r="K793" s="194"/>
      <c r="L793" s="194"/>
      <c r="M793" s="194"/>
      <c r="N793" s="194"/>
      <c r="O793" s="194"/>
      <c r="P793" s="194"/>
      <c r="Q793" s="194"/>
      <c r="R793" s="194"/>
      <c r="S793" s="194"/>
      <c r="T793" s="194"/>
      <c r="U793" s="194"/>
      <c r="V793" s="194"/>
      <c r="W793" s="194"/>
      <c r="X793" s="194"/>
      <c r="Y793" s="194"/>
      <c r="Z793" s="194"/>
      <c r="AA793" s="194"/>
      <c r="AB793" s="194"/>
      <c r="AC793" s="194"/>
      <c r="AD793" s="194"/>
      <c r="AE793" s="194"/>
      <c r="AF793" s="194"/>
    </row>
    <row r="794" spans="1:32" x14ac:dyDescent="0.25">
      <c r="A794" s="194"/>
      <c r="B794" s="194"/>
      <c r="C794" s="194"/>
      <c r="D794" s="194"/>
      <c r="E794" s="194"/>
      <c r="F794" s="194"/>
      <c r="G794" s="194"/>
      <c r="H794" s="194"/>
      <c r="I794" s="194"/>
      <c r="J794" s="194"/>
      <c r="K794" s="194"/>
      <c r="L794" s="194"/>
      <c r="M794" s="194"/>
      <c r="N794" s="194"/>
      <c r="O794" s="194"/>
      <c r="P794" s="194"/>
      <c r="Q794" s="194"/>
      <c r="R794" s="194"/>
      <c r="S794" s="194"/>
      <c r="T794" s="194"/>
      <c r="U794" s="194"/>
      <c r="V794" s="194"/>
      <c r="W794" s="194"/>
      <c r="X794" s="194"/>
      <c r="Y794" s="194"/>
      <c r="Z794" s="194"/>
      <c r="AA794" s="194"/>
      <c r="AB794" s="194"/>
      <c r="AC794" s="194"/>
      <c r="AD794" s="194"/>
      <c r="AE794" s="194"/>
      <c r="AF794" s="194"/>
    </row>
    <row r="795" spans="1:32" x14ac:dyDescent="0.25">
      <c r="A795" s="194"/>
      <c r="B795" s="194"/>
      <c r="C795" s="194"/>
      <c r="D795" s="194"/>
      <c r="E795" s="194"/>
      <c r="F795" s="194"/>
      <c r="G795" s="194"/>
      <c r="H795" s="194"/>
      <c r="I795" s="194"/>
      <c r="J795" s="194"/>
      <c r="K795" s="194"/>
      <c r="L795" s="194"/>
      <c r="M795" s="194"/>
      <c r="N795" s="194"/>
      <c r="O795" s="194"/>
      <c r="P795" s="194"/>
      <c r="Q795" s="194"/>
      <c r="R795" s="194"/>
      <c r="S795" s="194"/>
      <c r="T795" s="194"/>
      <c r="U795" s="194"/>
      <c r="V795" s="194"/>
      <c r="W795" s="194"/>
      <c r="X795" s="194"/>
      <c r="Y795" s="194"/>
      <c r="Z795" s="194"/>
      <c r="AA795" s="194"/>
      <c r="AB795" s="194"/>
      <c r="AC795" s="194"/>
      <c r="AD795" s="194"/>
      <c r="AE795" s="194"/>
      <c r="AF795" s="194"/>
    </row>
    <row r="796" spans="1:32" x14ac:dyDescent="0.25">
      <c r="A796" s="194"/>
      <c r="B796" s="194"/>
      <c r="C796" s="194"/>
      <c r="D796" s="194"/>
      <c r="E796" s="194"/>
      <c r="F796" s="194"/>
      <c r="G796" s="194"/>
      <c r="H796" s="194"/>
      <c r="I796" s="194"/>
      <c r="J796" s="194"/>
      <c r="K796" s="194"/>
      <c r="L796" s="194"/>
      <c r="M796" s="194"/>
      <c r="N796" s="194"/>
      <c r="O796" s="194"/>
      <c r="P796" s="194"/>
      <c r="Q796" s="194"/>
      <c r="R796" s="194"/>
      <c r="S796" s="194"/>
      <c r="T796" s="194"/>
      <c r="U796" s="194"/>
      <c r="V796" s="194"/>
      <c r="W796" s="194"/>
      <c r="X796" s="194"/>
      <c r="Y796" s="194"/>
      <c r="Z796" s="194"/>
      <c r="AA796" s="194"/>
      <c r="AB796" s="194"/>
      <c r="AC796" s="194"/>
      <c r="AD796" s="194"/>
      <c r="AE796" s="194"/>
      <c r="AF796" s="194"/>
    </row>
    <row r="797" spans="1:32" x14ac:dyDescent="0.25">
      <c r="A797" s="194"/>
      <c r="B797" s="194"/>
      <c r="C797" s="194"/>
      <c r="D797" s="194"/>
      <c r="E797" s="194"/>
      <c r="F797" s="194"/>
      <c r="G797" s="194"/>
      <c r="H797" s="194"/>
      <c r="I797" s="194"/>
      <c r="J797" s="194"/>
      <c r="K797" s="194"/>
      <c r="L797" s="194"/>
      <c r="M797" s="194"/>
      <c r="N797" s="194"/>
      <c r="O797" s="194"/>
      <c r="P797" s="194"/>
      <c r="Q797" s="194"/>
      <c r="R797" s="194"/>
      <c r="S797" s="194"/>
      <c r="T797" s="194"/>
      <c r="U797" s="194"/>
      <c r="V797" s="194"/>
      <c r="W797" s="194"/>
      <c r="X797" s="194"/>
      <c r="Y797" s="194"/>
      <c r="Z797" s="194"/>
      <c r="AA797" s="194"/>
      <c r="AB797" s="194"/>
      <c r="AC797" s="194"/>
      <c r="AD797" s="194"/>
      <c r="AE797" s="194"/>
      <c r="AF797" s="194"/>
    </row>
    <row r="798" spans="1:32" x14ac:dyDescent="0.25">
      <c r="A798" s="194"/>
      <c r="B798" s="194"/>
      <c r="C798" s="194"/>
      <c r="D798" s="194"/>
      <c r="E798" s="194"/>
      <c r="F798" s="194"/>
      <c r="G798" s="194"/>
      <c r="H798" s="194"/>
      <c r="I798" s="194"/>
      <c r="J798" s="194"/>
      <c r="K798" s="194"/>
      <c r="L798" s="194"/>
      <c r="M798" s="194"/>
      <c r="N798" s="194"/>
      <c r="O798" s="194"/>
      <c r="P798" s="194"/>
      <c r="Q798" s="194"/>
      <c r="R798" s="194"/>
      <c r="S798" s="194"/>
      <c r="T798" s="194"/>
      <c r="U798" s="194"/>
      <c r="V798" s="194"/>
      <c r="W798" s="194"/>
      <c r="X798" s="194"/>
      <c r="Y798" s="194"/>
      <c r="Z798" s="194"/>
      <c r="AA798" s="194"/>
      <c r="AB798" s="194"/>
      <c r="AC798" s="194"/>
      <c r="AD798" s="194"/>
      <c r="AE798" s="194"/>
      <c r="AF798" s="194"/>
    </row>
    <row r="799" spans="1:32" x14ac:dyDescent="0.25">
      <c r="A799" s="194"/>
      <c r="B799" s="194"/>
      <c r="C799" s="194"/>
      <c r="D799" s="194"/>
      <c r="E799" s="194"/>
      <c r="F799" s="194"/>
      <c r="G799" s="194"/>
      <c r="H799" s="194"/>
      <c r="I799" s="194"/>
      <c r="J799" s="194"/>
      <c r="K799" s="194"/>
      <c r="L799" s="194"/>
      <c r="M799" s="194"/>
      <c r="N799" s="194"/>
      <c r="O799" s="194"/>
      <c r="P799" s="194"/>
      <c r="Q799" s="194"/>
      <c r="R799" s="194"/>
      <c r="S799" s="194"/>
      <c r="T799" s="194"/>
      <c r="U799" s="194"/>
      <c r="V799" s="194"/>
      <c r="W799" s="194"/>
      <c r="X799" s="194"/>
      <c r="Y799" s="194"/>
      <c r="Z799" s="194"/>
      <c r="AA799" s="194"/>
      <c r="AB799" s="194"/>
      <c r="AC799" s="194"/>
      <c r="AD799" s="194"/>
      <c r="AE799" s="194"/>
      <c r="AF799" s="194"/>
    </row>
    <row r="800" spans="1:32" x14ac:dyDescent="0.25">
      <c r="A800" s="194"/>
      <c r="B800" s="194"/>
      <c r="C800" s="194"/>
      <c r="D800" s="194"/>
      <c r="E800" s="194"/>
      <c r="F800" s="194"/>
      <c r="G800" s="194"/>
      <c r="H800" s="194"/>
      <c r="I800" s="194"/>
      <c r="J800" s="194"/>
      <c r="K800" s="194"/>
      <c r="L800" s="194"/>
      <c r="M800" s="194"/>
      <c r="N800" s="194"/>
      <c r="O800" s="194"/>
      <c r="P800" s="194"/>
      <c r="Q800" s="194"/>
      <c r="R800" s="194"/>
      <c r="S800" s="194"/>
      <c r="T800" s="194"/>
      <c r="U800" s="194"/>
      <c r="V800" s="194"/>
      <c r="W800" s="194"/>
      <c r="X800" s="194"/>
      <c r="Y800" s="194"/>
      <c r="Z800" s="194"/>
      <c r="AA800" s="194"/>
      <c r="AB800" s="194"/>
      <c r="AC800" s="194"/>
      <c r="AD800" s="194"/>
      <c r="AE800" s="194"/>
      <c r="AF800" s="194"/>
    </row>
    <row r="801" spans="1:32" x14ac:dyDescent="0.25">
      <c r="A801" s="194"/>
      <c r="B801" s="194"/>
      <c r="C801" s="194"/>
      <c r="D801" s="194"/>
      <c r="E801" s="194"/>
      <c r="F801" s="194"/>
      <c r="G801" s="194"/>
      <c r="H801" s="194"/>
      <c r="I801" s="194"/>
      <c r="J801" s="194"/>
      <c r="K801" s="194"/>
      <c r="L801" s="194"/>
      <c r="M801" s="194"/>
      <c r="N801" s="194"/>
      <c r="O801" s="194"/>
      <c r="P801" s="194"/>
      <c r="Q801" s="194"/>
      <c r="R801" s="194"/>
      <c r="S801" s="194"/>
      <c r="T801" s="194"/>
      <c r="U801" s="194"/>
      <c r="V801" s="194"/>
      <c r="W801" s="194"/>
      <c r="X801" s="194"/>
      <c r="Y801" s="194"/>
      <c r="Z801" s="194"/>
      <c r="AA801" s="194"/>
      <c r="AB801" s="194"/>
      <c r="AC801" s="194"/>
      <c r="AD801" s="194"/>
      <c r="AE801" s="194"/>
      <c r="AF801" s="194"/>
    </row>
    <row r="802" spans="1:32" x14ac:dyDescent="0.25">
      <c r="A802" s="194"/>
      <c r="B802" s="194"/>
      <c r="C802" s="194"/>
      <c r="D802" s="194"/>
      <c r="E802" s="194"/>
      <c r="F802" s="194"/>
      <c r="G802" s="194"/>
      <c r="H802" s="194"/>
      <c r="I802" s="194"/>
      <c r="J802" s="194"/>
      <c r="K802" s="194"/>
      <c r="L802" s="194"/>
      <c r="M802" s="194"/>
      <c r="N802" s="194"/>
      <c r="O802" s="194"/>
      <c r="P802" s="194"/>
      <c r="Q802" s="194"/>
      <c r="R802" s="194"/>
      <c r="S802" s="194"/>
      <c r="T802" s="194"/>
      <c r="U802" s="194"/>
      <c r="V802" s="194"/>
      <c r="W802" s="194"/>
      <c r="X802" s="194"/>
      <c r="Y802" s="194"/>
      <c r="Z802" s="194"/>
      <c r="AA802" s="194"/>
      <c r="AB802" s="194"/>
      <c r="AC802" s="194"/>
      <c r="AD802" s="194"/>
      <c r="AE802" s="194"/>
      <c r="AF802" s="194"/>
    </row>
    <row r="803" spans="1:32" x14ac:dyDescent="0.25">
      <c r="A803" s="194"/>
      <c r="B803" s="194"/>
      <c r="C803" s="194"/>
      <c r="D803" s="194"/>
      <c r="E803" s="194"/>
      <c r="F803" s="194"/>
      <c r="G803" s="194"/>
      <c r="H803" s="194"/>
      <c r="I803" s="194"/>
      <c r="J803" s="194"/>
      <c r="K803" s="194"/>
      <c r="L803" s="194"/>
      <c r="M803" s="194"/>
      <c r="N803" s="194"/>
      <c r="O803" s="194"/>
      <c r="P803" s="194"/>
      <c r="Q803" s="194"/>
      <c r="R803" s="194"/>
      <c r="S803" s="194"/>
      <c r="T803" s="194"/>
      <c r="U803" s="194"/>
      <c r="V803" s="194"/>
      <c r="W803" s="194"/>
      <c r="X803" s="194"/>
      <c r="Y803" s="194"/>
      <c r="Z803" s="194"/>
      <c r="AA803" s="194"/>
      <c r="AB803" s="194"/>
      <c r="AC803" s="194"/>
      <c r="AD803" s="194"/>
      <c r="AE803" s="194"/>
      <c r="AF803" s="194"/>
    </row>
    <row r="804" spans="1:32" x14ac:dyDescent="0.25">
      <c r="A804" s="194"/>
      <c r="B804" s="194"/>
      <c r="C804" s="194"/>
      <c r="D804" s="194"/>
      <c r="E804" s="194"/>
      <c r="F804" s="194"/>
      <c r="G804" s="194"/>
      <c r="H804" s="194"/>
      <c r="I804" s="194"/>
      <c r="J804" s="194"/>
      <c r="K804" s="194"/>
      <c r="L804" s="194"/>
      <c r="M804" s="194"/>
      <c r="N804" s="194"/>
      <c r="O804" s="194"/>
      <c r="P804" s="194"/>
      <c r="Q804" s="194"/>
      <c r="R804" s="194"/>
      <c r="S804" s="194"/>
      <c r="T804" s="194"/>
      <c r="U804" s="194"/>
      <c r="V804" s="194"/>
      <c r="W804" s="194"/>
      <c r="X804" s="194"/>
      <c r="Y804" s="194"/>
      <c r="Z804" s="194"/>
      <c r="AA804" s="194"/>
      <c r="AB804" s="194"/>
      <c r="AC804" s="194"/>
      <c r="AD804" s="194"/>
      <c r="AE804" s="194"/>
      <c r="AF804" s="194"/>
    </row>
    <row r="805" spans="1:32" x14ac:dyDescent="0.25">
      <c r="A805" s="194"/>
      <c r="B805" s="194"/>
      <c r="C805" s="194"/>
      <c r="D805" s="194"/>
      <c r="E805" s="194"/>
      <c r="F805" s="194"/>
      <c r="G805" s="194"/>
      <c r="H805" s="194"/>
      <c r="I805" s="194"/>
      <c r="J805" s="194"/>
      <c r="K805" s="194"/>
      <c r="L805" s="194"/>
      <c r="M805" s="194"/>
      <c r="N805" s="194"/>
      <c r="O805" s="194"/>
      <c r="P805" s="194"/>
      <c r="Q805" s="194"/>
      <c r="R805" s="194"/>
      <c r="S805" s="194"/>
      <c r="T805" s="194"/>
      <c r="U805" s="194"/>
      <c r="V805" s="194"/>
      <c r="W805" s="194"/>
      <c r="X805" s="194"/>
      <c r="Y805" s="194"/>
      <c r="Z805" s="194"/>
      <c r="AA805" s="194"/>
      <c r="AB805" s="194"/>
      <c r="AC805" s="194"/>
      <c r="AD805" s="194"/>
      <c r="AE805" s="194"/>
      <c r="AF805" s="194"/>
    </row>
    <row r="806" spans="1:32" x14ac:dyDescent="0.25">
      <c r="A806" s="194"/>
      <c r="B806" s="194"/>
      <c r="C806" s="194"/>
      <c r="D806" s="194"/>
      <c r="E806" s="194"/>
      <c r="F806" s="194"/>
      <c r="G806" s="194"/>
      <c r="H806" s="194"/>
      <c r="I806" s="194"/>
      <c r="J806" s="194"/>
      <c r="K806" s="194"/>
      <c r="L806" s="194"/>
      <c r="M806" s="194"/>
      <c r="N806" s="194"/>
      <c r="O806" s="194"/>
      <c r="P806" s="194"/>
      <c r="Q806" s="194"/>
      <c r="R806" s="194"/>
      <c r="S806" s="194"/>
      <c r="T806" s="194"/>
      <c r="U806" s="194"/>
      <c r="V806" s="194"/>
      <c r="W806" s="194"/>
      <c r="X806" s="194"/>
      <c r="Y806" s="194"/>
      <c r="Z806" s="194"/>
      <c r="AA806" s="194"/>
      <c r="AB806" s="194"/>
      <c r="AC806" s="194"/>
      <c r="AD806" s="194"/>
      <c r="AE806" s="194"/>
      <c r="AF806" s="194"/>
    </row>
    <row r="807" spans="1:32" x14ac:dyDescent="0.25">
      <c r="A807" s="194"/>
      <c r="B807" s="194"/>
      <c r="C807" s="194"/>
      <c r="D807" s="194"/>
      <c r="E807" s="194"/>
      <c r="F807" s="194"/>
      <c r="G807" s="194"/>
      <c r="H807" s="194"/>
      <c r="I807" s="194"/>
      <c r="J807" s="194"/>
      <c r="K807" s="194"/>
      <c r="L807" s="194"/>
      <c r="M807" s="194"/>
      <c r="N807" s="194"/>
      <c r="O807" s="194"/>
      <c r="P807" s="194"/>
      <c r="Q807" s="194"/>
      <c r="R807" s="194"/>
      <c r="S807" s="194"/>
      <c r="T807" s="194"/>
      <c r="U807" s="194"/>
      <c r="V807" s="194"/>
      <c r="W807" s="194"/>
      <c r="X807" s="194"/>
      <c r="Y807" s="194"/>
      <c r="Z807" s="194"/>
      <c r="AA807" s="194"/>
      <c r="AB807" s="194"/>
      <c r="AC807" s="194"/>
      <c r="AD807" s="194"/>
      <c r="AE807" s="194"/>
      <c r="AF807" s="194"/>
    </row>
    <row r="808" spans="1:32" x14ac:dyDescent="0.25">
      <c r="A808" s="194"/>
      <c r="B808" s="194"/>
      <c r="C808" s="194"/>
      <c r="D808" s="194"/>
      <c r="E808" s="194"/>
      <c r="F808" s="194"/>
      <c r="G808" s="194"/>
      <c r="H808" s="194"/>
      <c r="I808" s="194"/>
      <c r="J808" s="194"/>
      <c r="K808" s="194"/>
      <c r="L808" s="194"/>
      <c r="M808" s="194"/>
      <c r="N808" s="194"/>
      <c r="O808" s="194"/>
      <c r="P808" s="194"/>
      <c r="Q808" s="194"/>
      <c r="R808" s="194"/>
      <c r="S808" s="194"/>
      <c r="T808" s="194"/>
      <c r="U808" s="194"/>
      <c r="V808" s="194"/>
      <c r="W808" s="194"/>
      <c r="X808" s="194"/>
      <c r="Y808" s="194"/>
      <c r="Z808" s="194"/>
      <c r="AA808" s="194"/>
      <c r="AB808" s="194"/>
      <c r="AC808" s="194"/>
      <c r="AD808" s="194"/>
      <c r="AE808" s="194"/>
      <c r="AF808" s="194"/>
    </row>
    <row r="809" spans="1:32" x14ac:dyDescent="0.25">
      <c r="A809" s="194"/>
      <c r="B809" s="194"/>
      <c r="C809" s="194"/>
      <c r="D809" s="194"/>
      <c r="E809" s="194"/>
      <c r="F809" s="194"/>
      <c r="G809" s="194"/>
      <c r="H809" s="194"/>
      <c r="I809" s="194"/>
      <c r="J809" s="194"/>
      <c r="K809" s="194"/>
      <c r="L809" s="194"/>
      <c r="M809" s="194"/>
      <c r="N809" s="194"/>
      <c r="O809" s="194"/>
      <c r="P809" s="194"/>
      <c r="Q809" s="194"/>
      <c r="R809" s="194"/>
      <c r="S809" s="194"/>
      <c r="T809" s="194"/>
      <c r="U809" s="194"/>
      <c r="V809" s="194"/>
      <c r="W809" s="194"/>
      <c r="X809" s="194"/>
      <c r="Y809" s="194"/>
      <c r="Z809" s="194"/>
      <c r="AA809" s="194"/>
      <c r="AB809" s="194"/>
      <c r="AC809" s="194"/>
      <c r="AD809" s="194"/>
      <c r="AE809" s="194"/>
      <c r="AF809" s="194"/>
    </row>
    <row r="810" spans="1:32" x14ac:dyDescent="0.25">
      <c r="A810" s="194"/>
      <c r="B810" s="194"/>
      <c r="C810" s="194"/>
      <c r="D810" s="194"/>
      <c r="E810" s="194"/>
      <c r="F810" s="194"/>
      <c r="G810" s="194"/>
      <c r="H810" s="194"/>
      <c r="I810" s="194"/>
      <c r="J810" s="194"/>
      <c r="K810" s="194"/>
      <c r="L810" s="194"/>
      <c r="M810" s="194"/>
      <c r="N810" s="194"/>
      <c r="O810" s="194"/>
      <c r="P810" s="194"/>
      <c r="Q810" s="194"/>
      <c r="R810" s="194"/>
      <c r="S810" s="194"/>
      <c r="T810" s="194"/>
      <c r="U810" s="194"/>
      <c r="V810" s="194"/>
      <c r="W810" s="194"/>
      <c r="X810" s="194"/>
      <c r="Y810" s="194"/>
      <c r="Z810" s="194"/>
      <c r="AA810" s="194"/>
      <c r="AB810" s="194"/>
      <c r="AC810" s="194"/>
      <c r="AD810" s="194"/>
      <c r="AE810" s="194"/>
      <c r="AF810" s="194"/>
    </row>
    <row r="811" spans="1:32" x14ac:dyDescent="0.25">
      <c r="A811" s="194"/>
      <c r="B811" s="194"/>
      <c r="C811" s="194"/>
      <c r="D811" s="194"/>
      <c r="E811" s="194"/>
      <c r="F811" s="194"/>
      <c r="G811" s="194"/>
      <c r="H811" s="194"/>
      <c r="I811" s="194"/>
      <c r="J811" s="194"/>
      <c r="K811" s="194"/>
      <c r="L811" s="194"/>
      <c r="M811" s="194"/>
      <c r="N811" s="194"/>
      <c r="O811" s="194"/>
      <c r="P811" s="194"/>
      <c r="Q811" s="194"/>
      <c r="R811" s="194"/>
      <c r="S811" s="194"/>
      <c r="T811" s="194"/>
      <c r="U811" s="194"/>
      <c r="V811" s="194"/>
      <c r="W811" s="194"/>
      <c r="X811" s="194"/>
      <c r="Y811" s="194"/>
      <c r="Z811" s="194"/>
      <c r="AA811" s="194"/>
      <c r="AB811" s="194"/>
      <c r="AC811" s="194"/>
      <c r="AD811" s="194"/>
      <c r="AE811" s="194"/>
      <c r="AF811" s="194"/>
    </row>
    <row r="812" spans="1:32" x14ac:dyDescent="0.25">
      <c r="A812" s="194"/>
      <c r="B812" s="194"/>
      <c r="C812" s="194"/>
      <c r="D812" s="194"/>
      <c r="E812" s="194"/>
      <c r="F812" s="194"/>
      <c r="G812" s="194"/>
      <c r="H812" s="194"/>
      <c r="I812" s="194"/>
      <c r="J812" s="194"/>
      <c r="K812" s="194"/>
      <c r="L812" s="194"/>
      <c r="M812" s="194"/>
      <c r="N812" s="194"/>
      <c r="O812" s="194"/>
      <c r="P812" s="194"/>
      <c r="Q812" s="194"/>
      <c r="R812" s="194"/>
      <c r="S812" s="194"/>
      <c r="T812" s="194"/>
      <c r="U812" s="194"/>
      <c r="V812" s="194"/>
      <c r="W812" s="194"/>
      <c r="X812" s="194"/>
      <c r="Y812" s="194"/>
      <c r="Z812" s="194"/>
      <c r="AA812" s="194"/>
      <c r="AB812" s="194"/>
      <c r="AC812" s="194"/>
      <c r="AD812" s="194"/>
      <c r="AE812" s="194"/>
      <c r="AF812" s="194"/>
    </row>
    <row r="813" spans="1:32" x14ac:dyDescent="0.25">
      <c r="A813" s="194"/>
      <c r="B813" s="194"/>
      <c r="C813" s="194"/>
      <c r="D813" s="194"/>
      <c r="E813" s="194"/>
      <c r="F813" s="194"/>
      <c r="G813" s="194"/>
      <c r="H813" s="194"/>
      <c r="I813" s="194"/>
      <c r="J813" s="194"/>
      <c r="K813" s="194"/>
      <c r="L813" s="194"/>
      <c r="M813" s="194"/>
      <c r="N813" s="194"/>
      <c r="O813" s="194"/>
      <c r="P813" s="194"/>
      <c r="Q813" s="194"/>
      <c r="R813" s="194"/>
      <c r="S813" s="194"/>
      <c r="T813" s="194"/>
      <c r="U813" s="194"/>
      <c r="V813" s="194"/>
      <c r="W813" s="194"/>
      <c r="X813" s="194"/>
      <c r="Y813" s="194"/>
      <c r="Z813" s="194"/>
      <c r="AA813" s="194"/>
      <c r="AB813" s="194"/>
      <c r="AC813" s="194"/>
      <c r="AD813" s="194"/>
      <c r="AE813" s="194"/>
      <c r="AF813" s="194"/>
    </row>
    <row r="814" spans="1:32" x14ac:dyDescent="0.25">
      <c r="A814" s="194"/>
      <c r="B814" s="194"/>
      <c r="C814" s="194"/>
      <c r="D814" s="194"/>
      <c r="E814" s="194"/>
      <c r="F814" s="194"/>
      <c r="G814" s="194"/>
      <c r="H814" s="194"/>
      <c r="I814" s="194"/>
      <c r="J814" s="194"/>
      <c r="K814" s="194"/>
      <c r="L814" s="194"/>
      <c r="M814" s="194"/>
      <c r="N814" s="194"/>
      <c r="O814" s="194"/>
      <c r="P814" s="194"/>
      <c r="Q814" s="194"/>
      <c r="R814" s="194"/>
      <c r="S814" s="194"/>
      <c r="T814" s="194"/>
      <c r="U814" s="194"/>
      <c r="V814" s="194"/>
      <c r="W814" s="194"/>
      <c r="X814" s="194"/>
      <c r="Y814" s="194"/>
      <c r="Z814" s="194"/>
      <c r="AA814" s="194"/>
      <c r="AB814" s="194"/>
      <c r="AC814" s="194"/>
      <c r="AD814" s="194"/>
      <c r="AE814" s="194"/>
      <c r="AF814" s="194"/>
    </row>
    <row r="815" spans="1:32" x14ac:dyDescent="0.25">
      <c r="A815" s="194"/>
      <c r="B815" s="194"/>
      <c r="C815" s="194"/>
      <c r="D815" s="194"/>
      <c r="E815" s="194"/>
      <c r="F815" s="194"/>
      <c r="G815" s="194"/>
      <c r="H815" s="194"/>
      <c r="I815" s="194"/>
      <c r="J815" s="194"/>
      <c r="K815" s="194"/>
      <c r="L815" s="194"/>
      <c r="M815" s="194"/>
      <c r="N815" s="194"/>
      <c r="O815" s="194"/>
      <c r="P815" s="194"/>
      <c r="Q815" s="194"/>
      <c r="R815" s="194"/>
      <c r="S815" s="194"/>
      <c r="T815" s="194"/>
      <c r="U815" s="194"/>
      <c r="V815" s="194"/>
      <c r="W815" s="194"/>
      <c r="X815" s="194"/>
      <c r="Y815" s="194"/>
      <c r="Z815" s="194"/>
      <c r="AA815" s="194"/>
      <c r="AB815" s="194"/>
      <c r="AC815" s="194"/>
      <c r="AD815" s="194"/>
      <c r="AE815" s="194"/>
      <c r="AF815" s="194"/>
    </row>
    <row r="816" spans="1:32" x14ac:dyDescent="0.25">
      <c r="A816" s="194"/>
      <c r="B816" s="194"/>
      <c r="C816" s="194"/>
      <c r="D816" s="194"/>
      <c r="E816" s="194"/>
      <c r="F816" s="194"/>
      <c r="G816" s="194"/>
      <c r="H816" s="194"/>
      <c r="I816" s="194"/>
      <c r="J816" s="194"/>
      <c r="K816" s="194"/>
      <c r="L816" s="194"/>
      <c r="M816" s="194"/>
      <c r="N816" s="194"/>
      <c r="O816" s="194"/>
      <c r="P816" s="194"/>
      <c r="Q816" s="194"/>
      <c r="R816" s="194"/>
      <c r="S816" s="194"/>
      <c r="T816" s="194"/>
      <c r="U816" s="194"/>
      <c r="V816" s="194"/>
      <c r="W816" s="194"/>
      <c r="X816" s="194"/>
      <c r="Y816" s="194"/>
      <c r="Z816" s="194"/>
      <c r="AA816" s="194"/>
      <c r="AB816" s="194"/>
      <c r="AC816" s="194"/>
      <c r="AD816" s="194"/>
      <c r="AE816" s="194"/>
      <c r="AF816" s="194"/>
    </row>
    <row r="817" spans="1:32" x14ac:dyDescent="0.25">
      <c r="A817" s="194"/>
      <c r="B817" s="194"/>
      <c r="C817" s="194"/>
      <c r="D817" s="194"/>
      <c r="E817" s="194"/>
      <c r="F817" s="194"/>
      <c r="G817" s="194"/>
      <c r="H817" s="194"/>
      <c r="I817" s="194"/>
      <c r="J817" s="194"/>
      <c r="K817" s="194"/>
      <c r="L817" s="194"/>
      <c r="M817" s="194"/>
      <c r="N817" s="194"/>
      <c r="O817" s="194"/>
      <c r="P817" s="194"/>
      <c r="Q817" s="194"/>
      <c r="R817" s="194"/>
      <c r="S817" s="194"/>
      <c r="T817" s="194"/>
      <c r="U817" s="194"/>
      <c r="V817" s="194"/>
      <c r="W817" s="194"/>
      <c r="X817" s="194"/>
      <c r="Y817" s="194"/>
      <c r="Z817" s="194"/>
      <c r="AA817" s="194"/>
      <c r="AB817" s="194"/>
      <c r="AC817" s="194"/>
      <c r="AD817" s="194"/>
      <c r="AE817" s="194"/>
      <c r="AF817" s="194"/>
    </row>
    <row r="818" spans="1:32" x14ac:dyDescent="0.25">
      <c r="A818" s="194"/>
      <c r="B818" s="194"/>
      <c r="C818" s="194"/>
      <c r="D818" s="194"/>
      <c r="E818" s="194"/>
      <c r="F818" s="194"/>
      <c r="G818" s="194"/>
      <c r="H818" s="194"/>
      <c r="I818" s="194"/>
      <c r="J818" s="194"/>
      <c r="K818" s="194"/>
      <c r="L818" s="194"/>
      <c r="M818" s="194"/>
      <c r="N818" s="194"/>
      <c r="O818" s="194"/>
      <c r="P818" s="194"/>
      <c r="Q818" s="194"/>
      <c r="R818" s="194"/>
      <c r="S818" s="194"/>
      <c r="T818" s="194"/>
      <c r="U818" s="194"/>
      <c r="V818" s="194"/>
      <c r="W818" s="194"/>
      <c r="X818" s="194"/>
      <c r="Y818" s="194"/>
      <c r="Z818" s="194"/>
      <c r="AA818" s="194"/>
      <c r="AB818" s="194"/>
      <c r="AC818" s="194"/>
      <c r="AD818" s="194"/>
      <c r="AE818" s="194"/>
      <c r="AF818" s="194"/>
    </row>
    <row r="819" spans="1:32" x14ac:dyDescent="0.25">
      <c r="A819" s="194"/>
      <c r="B819" s="194"/>
      <c r="C819" s="194"/>
      <c r="D819" s="194"/>
      <c r="E819" s="194"/>
      <c r="F819" s="194"/>
      <c r="G819" s="194"/>
      <c r="H819" s="194"/>
      <c r="I819" s="194"/>
      <c r="J819" s="194"/>
      <c r="K819" s="194"/>
      <c r="L819" s="194"/>
      <c r="M819" s="194"/>
      <c r="N819" s="194"/>
      <c r="O819" s="194"/>
      <c r="P819" s="194"/>
      <c r="Q819" s="194"/>
      <c r="R819" s="194"/>
      <c r="S819" s="194"/>
      <c r="T819" s="194"/>
      <c r="U819" s="194"/>
      <c r="V819" s="194"/>
      <c r="W819" s="194"/>
      <c r="X819" s="194"/>
      <c r="Y819" s="194"/>
      <c r="Z819" s="194"/>
      <c r="AA819" s="194"/>
      <c r="AB819" s="194"/>
      <c r="AC819" s="194"/>
      <c r="AD819" s="194"/>
      <c r="AE819" s="194"/>
      <c r="AF819" s="194"/>
    </row>
    <row r="820" spans="1:32" x14ac:dyDescent="0.25">
      <c r="A820" s="194"/>
      <c r="B820" s="194"/>
      <c r="C820" s="194"/>
      <c r="D820" s="194"/>
      <c r="E820" s="194"/>
      <c r="F820" s="194"/>
      <c r="G820" s="194"/>
      <c r="H820" s="194"/>
      <c r="I820" s="194"/>
      <c r="J820" s="194"/>
      <c r="K820" s="194"/>
      <c r="L820" s="194"/>
      <c r="M820" s="194"/>
      <c r="N820" s="194"/>
      <c r="O820" s="194"/>
      <c r="P820" s="194"/>
      <c r="Q820" s="194"/>
      <c r="R820" s="194"/>
      <c r="S820" s="194"/>
      <c r="T820" s="194"/>
      <c r="U820" s="194"/>
      <c r="V820" s="194"/>
      <c r="W820" s="194"/>
      <c r="X820" s="194"/>
      <c r="Y820" s="194"/>
      <c r="Z820" s="194"/>
      <c r="AA820" s="194"/>
      <c r="AB820" s="194"/>
      <c r="AC820" s="194"/>
      <c r="AD820" s="194"/>
      <c r="AE820" s="194"/>
      <c r="AF820" s="194"/>
    </row>
    <row r="821" spans="1:32" x14ac:dyDescent="0.25">
      <c r="A821" s="194"/>
      <c r="B821" s="194"/>
      <c r="C821" s="194"/>
      <c r="D821" s="194"/>
      <c r="E821" s="194"/>
      <c r="F821" s="194"/>
      <c r="G821" s="194"/>
      <c r="H821" s="194"/>
      <c r="I821" s="194"/>
      <c r="J821" s="194"/>
      <c r="K821" s="194"/>
      <c r="L821" s="194"/>
      <c r="M821" s="194"/>
      <c r="N821" s="194"/>
      <c r="O821" s="194"/>
      <c r="P821" s="194"/>
      <c r="Q821" s="194"/>
      <c r="R821" s="194"/>
      <c r="S821" s="194"/>
      <c r="T821" s="194"/>
      <c r="U821" s="194"/>
      <c r="V821" s="194"/>
      <c r="W821" s="194"/>
      <c r="X821" s="194"/>
      <c r="Y821" s="194"/>
      <c r="Z821" s="194"/>
      <c r="AA821" s="194"/>
      <c r="AB821" s="194"/>
      <c r="AC821" s="194"/>
      <c r="AD821" s="194"/>
      <c r="AE821" s="194"/>
      <c r="AF821" s="194"/>
    </row>
    <row r="822" spans="1:32" x14ac:dyDescent="0.25">
      <c r="A822" s="194"/>
      <c r="B822" s="194"/>
      <c r="C822" s="194"/>
      <c r="D822" s="194"/>
      <c r="E822" s="194"/>
      <c r="F822" s="194"/>
      <c r="G822" s="194"/>
      <c r="H822" s="194"/>
      <c r="I822" s="194"/>
      <c r="J822" s="194"/>
      <c r="K822" s="194"/>
      <c r="L822" s="194"/>
      <c r="M822" s="194"/>
      <c r="N822" s="194"/>
      <c r="O822" s="194"/>
      <c r="P822" s="194"/>
      <c r="Q822" s="194"/>
      <c r="R822" s="194"/>
      <c r="S822" s="194"/>
      <c r="T822" s="194"/>
      <c r="U822" s="194"/>
      <c r="V822" s="194"/>
      <c r="W822" s="194"/>
      <c r="X822" s="194"/>
      <c r="Y822" s="194"/>
      <c r="Z822" s="194"/>
      <c r="AA822" s="194"/>
      <c r="AB822" s="194"/>
      <c r="AC822" s="194"/>
      <c r="AD822" s="194"/>
      <c r="AE822" s="194"/>
      <c r="AF822" s="194"/>
    </row>
    <row r="823" spans="1:32" x14ac:dyDescent="0.25">
      <c r="A823" s="194"/>
      <c r="B823" s="194"/>
      <c r="C823" s="194"/>
      <c r="D823" s="194"/>
      <c r="E823" s="194"/>
      <c r="F823" s="194"/>
      <c r="G823" s="194"/>
      <c r="H823" s="194"/>
      <c r="I823" s="194"/>
      <c r="J823" s="194"/>
      <c r="K823" s="194"/>
      <c r="L823" s="194"/>
      <c r="M823" s="194"/>
      <c r="N823" s="194"/>
      <c r="O823" s="194"/>
      <c r="P823" s="194"/>
      <c r="Q823" s="194"/>
      <c r="R823" s="194"/>
      <c r="S823" s="194"/>
      <c r="T823" s="194"/>
      <c r="U823" s="194"/>
      <c r="V823" s="194"/>
      <c r="W823" s="194"/>
      <c r="X823" s="194"/>
      <c r="Y823" s="194"/>
      <c r="Z823" s="194"/>
      <c r="AA823" s="194"/>
      <c r="AB823" s="194"/>
      <c r="AC823" s="194"/>
      <c r="AD823" s="194"/>
      <c r="AE823" s="194"/>
      <c r="AF823" s="194"/>
    </row>
    <row r="824" spans="1:32" x14ac:dyDescent="0.25">
      <c r="A824" s="194"/>
      <c r="B824" s="194"/>
      <c r="C824" s="194"/>
      <c r="D824" s="194"/>
      <c r="E824" s="194"/>
      <c r="F824" s="194"/>
      <c r="G824" s="194"/>
      <c r="H824" s="194"/>
      <c r="I824" s="194"/>
      <c r="J824" s="194"/>
      <c r="K824" s="194"/>
      <c r="L824" s="194"/>
      <c r="M824" s="194"/>
      <c r="N824" s="194"/>
      <c r="O824" s="194"/>
      <c r="P824" s="194"/>
      <c r="Q824" s="194"/>
      <c r="R824" s="194"/>
      <c r="S824" s="194"/>
      <c r="T824" s="194"/>
      <c r="U824" s="194"/>
      <c r="V824" s="194"/>
      <c r="W824" s="194"/>
      <c r="X824" s="194"/>
      <c r="Y824" s="194"/>
      <c r="Z824" s="194"/>
      <c r="AA824" s="194"/>
      <c r="AB824" s="194"/>
      <c r="AC824" s="194"/>
      <c r="AD824" s="194"/>
      <c r="AE824" s="194"/>
      <c r="AF824" s="194"/>
    </row>
    <row r="825" spans="1:32" x14ac:dyDescent="0.25">
      <c r="A825" s="194"/>
      <c r="B825" s="194"/>
      <c r="C825" s="194"/>
      <c r="D825" s="194"/>
      <c r="E825" s="194"/>
      <c r="F825" s="194"/>
      <c r="G825" s="194"/>
      <c r="H825" s="194"/>
      <c r="I825" s="194"/>
      <c r="J825" s="194"/>
      <c r="K825" s="194"/>
      <c r="L825" s="194"/>
      <c r="M825" s="194"/>
      <c r="N825" s="194"/>
      <c r="O825" s="194"/>
      <c r="P825" s="194"/>
      <c r="Q825" s="194"/>
      <c r="R825" s="194"/>
      <c r="S825" s="194"/>
      <c r="T825" s="194"/>
      <c r="U825" s="194"/>
      <c r="V825" s="194"/>
      <c r="W825" s="194"/>
      <c r="X825" s="194"/>
      <c r="Y825" s="194"/>
      <c r="Z825" s="194"/>
      <c r="AA825" s="194"/>
      <c r="AB825" s="194"/>
      <c r="AC825" s="194"/>
      <c r="AD825" s="194"/>
      <c r="AE825" s="194"/>
      <c r="AF825" s="194"/>
    </row>
    <row r="826" spans="1:32" x14ac:dyDescent="0.25">
      <c r="A826" s="194"/>
      <c r="B826" s="194"/>
      <c r="C826" s="194"/>
      <c r="D826" s="194"/>
      <c r="E826" s="194"/>
      <c r="F826" s="194"/>
      <c r="G826" s="194"/>
      <c r="H826" s="194"/>
      <c r="I826" s="194"/>
      <c r="J826" s="194"/>
      <c r="K826" s="194"/>
      <c r="L826" s="194"/>
      <c r="M826" s="194"/>
      <c r="N826" s="194"/>
      <c r="O826" s="194"/>
      <c r="P826" s="194"/>
      <c r="Q826" s="194"/>
      <c r="R826" s="194"/>
      <c r="S826" s="194"/>
      <c r="T826" s="194"/>
      <c r="U826" s="194"/>
      <c r="V826" s="194"/>
      <c r="W826" s="194"/>
      <c r="X826" s="194"/>
      <c r="Y826" s="194"/>
      <c r="Z826" s="194"/>
      <c r="AA826" s="194"/>
      <c r="AB826" s="194"/>
      <c r="AC826" s="194"/>
      <c r="AD826" s="194"/>
      <c r="AE826" s="194"/>
      <c r="AF826" s="194"/>
    </row>
    <row r="827" spans="1:32" x14ac:dyDescent="0.25">
      <c r="A827" s="194"/>
      <c r="B827" s="194"/>
      <c r="C827" s="194"/>
      <c r="D827" s="194"/>
      <c r="E827" s="194"/>
      <c r="F827" s="194"/>
      <c r="G827" s="194"/>
      <c r="H827" s="194"/>
      <c r="I827" s="194"/>
      <c r="J827" s="194"/>
      <c r="K827" s="194"/>
      <c r="L827" s="194"/>
      <c r="M827" s="194"/>
      <c r="N827" s="194"/>
      <c r="O827" s="194"/>
      <c r="P827" s="194"/>
      <c r="Q827" s="194"/>
      <c r="R827" s="194"/>
      <c r="S827" s="194"/>
      <c r="T827" s="194"/>
      <c r="U827" s="194"/>
      <c r="V827" s="194"/>
      <c r="W827" s="194"/>
      <c r="X827" s="194"/>
      <c r="Y827" s="194"/>
      <c r="Z827" s="194"/>
      <c r="AA827" s="194"/>
      <c r="AB827" s="194"/>
      <c r="AC827" s="194"/>
      <c r="AD827" s="194"/>
      <c r="AE827" s="194"/>
      <c r="AF827" s="194"/>
    </row>
    <row r="828" spans="1:32" x14ac:dyDescent="0.25">
      <c r="A828" s="194"/>
      <c r="B828" s="194"/>
      <c r="C828" s="194"/>
      <c r="D828" s="194"/>
      <c r="E828" s="194"/>
      <c r="F828" s="194"/>
      <c r="G828" s="194"/>
      <c r="H828" s="194"/>
      <c r="I828" s="194"/>
      <c r="J828" s="194"/>
      <c r="K828" s="194"/>
      <c r="L828" s="194"/>
      <c r="M828" s="194"/>
      <c r="N828" s="194"/>
      <c r="O828" s="194"/>
      <c r="P828" s="194"/>
      <c r="Q828" s="194"/>
      <c r="R828" s="194"/>
      <c r="S828" s="194"/>
      <c r="T828" s="194"/>
      <c r="U828" s="194"/>
      <c r="V828" s="194"/>
      <c r="W828" s="194"/>
      <c r="X828" s="194"/>
      <c r="Y828" s="194"/>
      <c r="Z828" s="194"/>
      <c r="AA828" s="194"/>
      <c r="AB828" s="194"/>
      <c r="AC828" s="194"/>
      <c r="AD828" s="194"/>
      <c r="AE828" s="194"/>
      <c r="AF828" s="194"/>
    </row>
    <row r="829" spans="1:32" x14ac:dyDescent="0.25">
      <c r="A829" s="194"/>
      <c r="B829" s="194"/>
      <c r="C829" s="194"/>
      <c r="D829" s="194"/>
      <c r="E829" s="194"/>
      <c r="F829" s="194"/>
      <c r="G829" s="194"/>
      <c r="H829" s="194"/>
      <c r="I829" s="194"/>
      <c r="J829" s="194"/>
      <c r="K829" s="194"/>
      <c r="L829" s="194"/>
      <c r="M829" s="194"/>
      <c r="N829" s="194"/>
      <c r="O829" s="194"/>
      <c r="P829" s="194"/>
      <c r="Q829" s="194"/>
      <c r="R829" s="194"/>
      <c r="S829" s="194"/>
      <c r="T829" s="194"/>
      <c r="U829" s="194"/>
      <c r="V829" s="194"/>
      <c r="W829" s="194"/>
      <c r="X829" s="194"/>
      <c r="Y829" s="194"/>
      <c r="Z829" s="194"/>
      <c r="AA829" s="194"/>
      <c r="AB829" s="194"/>
      <c r="AC829" s="194"/>
      <c r="AD829" s="194"/>
      <c r="AE829" s="194"/>
      <c r="AF829" s="194"/>
    </row>
    <row r="830" spans="1:32" x14ac:dyDescent="0.25">
      <c r="A830" s="194"/>
      <c r="B830" s="194"/>
      <c r="C830" s="194"/>
      <c r="D830" s="194"/>
      <c r="E830" s="194"/>
      <c r="F830" s="194"/>
      <c r="G830" s="194"/>
      <c r="H830" s="194"/>
      <c r="I830" s="194"/>
      <c r="J830" s="194"/>
      <c r="K830" s="194"/>
      <c r="L830" s="194"/>
      <c r="M830" s="194"/>
      <c r="N830" s="194"/>
      <c r="O830" s="194"/>
      <c r="P830" s="194"/>
      <c r="Q830" s="194"/>
      <c r="R830" s="194"/>
      <c r="S830" s="194"/>
      <c r="T830" s="194"/>
      <c r="U830" s="194"/>
      <c r="V830" s="194"/>
      <c r="W830" s="194"/>
      <c r="X830" s="194"/>
      <c r="Y830" s="194"/>
      <c r="Z830" s="194"/>
      <c r="AA830" s="194"/>
      <c r="AB830" s="194"/>
      <c r="AC830" s="194"/>
      <c r="AD830" s="194"/>
      <c r="AE830" s="194"/>
      <c r="AF830" s="194"/>
    </row>
    <row r="831" spans="1:32" x14ac:dyDescent="0.25">
      <c r="A831" s="194"/>
      <c r="B831" s="194"/>
      <c r="C831" s="194"/>
      <c r="D831" s="194"/>
      <c r="E831" s="194"/>
      <c r="F831" s="194"/>
      <c r="G831" s="194"/>
      <c r="H831" s="194"/>
      <c r="I831" s="194"/>
      <c r="J831" s="194"/>
      <c r="K831" s="194"/>
      <c r="L831" s="194"/>
      <c r="M831" s="194"/>
      <c r="N831" s="194"/>
      <c r="O831" s="194"/>
      <c r="P831" s="194"/>
      <c r="Q831" s="194"/>
      <c r="R831" s="194"/>
      <c r="S831" s="194"/>
      <c r="T831" s="194"/>
      <c r="U831" s="194"/>
      <c r="V831" s="194"/>
      <c r="W831" s="194"/>
      <c r="X831" s="194"/>
      <c r="Y831" s="194"/>
      <c r="Z831" s="194"/>
      <c r="AA831" s="194"/>
      <c r="AB831" s="194"/>
      <c r="AC831" s="194"/>
      <c r="AD831" s="194"/>
      <c r="AE831" s="194"/>
      <c r="AF831" s="194"/>
    </row>
    <row r="832" spans="1:32" x14ac:dyDescent="0.25">
      <c r="A832" s="194"/>
      <c r="B832" s="194"/>
      <c r="C832" s="194"/>
      <c r="D832" s="194"/>
      <c r="E832" s="194"/>
      <c r="F832" s="194"/>
      <c r="G832" s="194"/>
      <c r="H832" s="194"/>
      <c r="I832" s="194"/>
      <c r="J832" s="194"/>
      <c r="K832" s="194"/>
      <c r="L832" s="194"/>
      <c r="M832" s="194"/>
      <c r="N832" s="194"/>
      <c r="O832" s="194"/>
      <c r="P832" s="194"/>
      <c r="Q832" s="194"/>
      <c r="R832" s="194"/>
      <c r="S832" s="194"/>
      <c r="T832" s="194"/>
      <c r="U832" s="194"/>
      <c r="V832" s="194"/>
      <c r="W832" s="194"/>
      <c r="X832" s="194"/>
      <c r="Y832" s="194"/>
      <c r="Z832" s="194"/>
      <c r="AA832" s="194"/>
      <c r="AB832" s="194"/>
      <c r="AC832" s="194"/>
      <c r="AD832" s="194"/>
      <c r="AE832" s="194"/>
      <c r="AF832" s="194"/>
    </row>
    <row r="833" spans="1:32" x14ac:dyDescent="0.25">
      <c r="A833" s="194"/>
      <c r="B833" s="194"/>
      <c r="C833" s="194"/>
      <c r="D833" s="194"/>
      <c r="E833" s="194"/>
      <c r="F833" s="194"/>
      <c r="G833" s="194"/>
      <c r="H833" s="194"/>
      <c r="I833" s="194"/>
      <c r="J833" s="194"/>
      <c r="K833" s="194"/>
      <c r="L833" s="194"/>
      <c r="M833" s="194"/>
      <c r="N833" s="194"/>
      <c r="O833" s="194"/>
      <c r="P833" s="194"/>
      <c r="Q833" s="194"/>
      <c r="R833" s="194"/>
      <c r="S833" s="194"/>
      <c r="T833" s="194"/>
      <c r="U833" s="194"/>
      <c r="V833" s="194"/>
      <c r="W833" s="194"/>
      <c r="X833" s="194"/>
      <c r="Y833" s="194"/>
      <c r="Z833" s="194"/>
      <c r="AA833" s="194"/>
      <c r="AB833" s="194"/>
      <c r="AC833" s="194"/>
      <c r="AD833" s="194"/>
      <c r="AE833" s="194"/>
      <c r="AF833" s="194"/>
    </row>
    <row r="834" spans="1:32" x14ac:dyDescent="0.25">
      <c r="A834" s="194"/>
      <c r="B834" s="194"/>
      <c r="C834" s="194"/>
      <c r="D834" s="194"/>
      <c r="E834" s="194"/>
      <c r="F834" s="194"/>
      <c r="G834" s="194"/>
      <c r="H834" s="194"/>
      <c r="I834" s="194"/>
      <c r="J834" s="194"/>
      <c r="K834" s="194"/>
      <c r="L834" s="194"/>
      <c r="M834" s="194"/>
      <c r="N834" s="194"/>
      <c r="O834" s="194"/>
      <c r="P834" s="194"/>
      <c r="Q834" s="194"/>
      <c r="R834" s="194"/>
      <c r="S834" s="194"/>
      <c r="T834" s="194"/>
      <c r="U834" s="194"/>
      <c r="V834" s="194"/>
      <c r="W834" s="194"/>
      <c r="X834" s="194"/>
      <c r="Y834" s="194"/>
      <c r="Z834" s="194"/>
      <c r="AA834" s="194"/>
      <c r="AB834" s="194"/>
      <c r="AC834" s="194"/>
      <c r="AD834" s="194"/>
      <c r="AE834" s="194"/>
      <c r="AF834" s="194"/>
    </row>
    <row r="835" spans="1:32" x14ac:dyDescent="0.25">
      <c r="A835" s="194"/>
      <c r="B835" s="194"/>
      <c r="C835" s="194"/>
      <c r="D835" s="194"/>
      <c r="E835" s="194"/>
      <c r="F835" s="194"/>
      <c r="G835" s="194"/>
      <c r="H835" s="194"/>
      <c r="I835" s="194"/>
      <c r="J835" s="194"/>
      <c r="K835" s="194"/>
      <c r="L835" s="194"/>
      <c r="M835" s="194"/>
      <c r="N835" s="194"/>
      <c r="O835" s="194"/>
      <c r="P835" s="194"/>
      <c r="Q835" s="194"/>
      <c r="R835" s="194"/>
      <c r="S835" s="194"/>
      <c r="T835" s="194"/>
      <c r="U835" s="194"/>
      <c r="V835" s="194"/>
      <c r="W835" s="194"/>
      <c r="X835" s="194"/>
      <c r="Y835" s="194"/>
      <c r="Z835" s="194"/>
      <c r="AA835" s="194"/>
      <c r="AB835" s="194"/>
      <c r="AC835" s="194"/>
      <c r="AD835" s="194"/>
      <c r="AE835" s="194"/>
      <c r="AF835" s="194"/>
    </row>
    <row r="836" spans="1:32" x14ac:dyDescent="0.25">
      <c r="A836" s="194"/>
      <c r="B836" s="194"/>
      <c r="C836" s="194"/>
      <c r="D836" s="194"/>
      <c r="E836" s="194"/>
      <c r="F836" s="194"/>
      <c r="G836" s="194"/>
      <c r="H836" s="194"/>
      <c r="I836" s="194"/>
      <c r="J836" s="194"/>
      <c r="K836" s="194"/>
      <c r="L836" s="194"/>
      <c r="M836" s="194"/>
      <c r="N836" s="194"/>
      <c r="O836" s="194"/>
      <c r="P836" s="194"/>
      <c r="Q836" s="194"/>
      <c r="R836" s="194"/>
      <c r="S836" s="194"/>
      <c r="T836" s="194"/>
      <c r="U836" s="194"/>
      <c r="V836" s="194"/>
      <c r="W836" s="194"/>
      <c r="X836" s="194"/>
      <c r="Y836" s="194"/>
      <c r="Z836" s="194"/>
      <c r="AA836" s="194"/>
      <c r="AB836" s="194"/>
      <c r="AC836" s="194"/>
      <c r="AD836" s="194"/>
      <c r="AE836" s="194"/>
      <c r="AF836" s="194"/>
    </row>
    <row r="837" spans="1:32" x14ac:dyDescent="0.25">
      <c r="A837" s="194"/>
      <c r="B837" s="194"/>
      <c r="C837" s="194"/>
      <c r="D837" s="194"/>
      <c r="E837" s="194"/>
      <c r="F837" s="194"/>
      <c r="G837" s="194"/>
      <c r="H837" s="194"/>
      <c r="I837" s="194"/>
      <c r="J837" s="194"/>
      <c r="K837" s="194"/>
      <c r="L837" s="194"/>
      <c r="M837" s="194"/>
      <c r="N837" s="194"/>
      <c r="O837" s="194"/>
      <c r="P837" s="194"/>
      <c r="Q837" s="194"/>
      <c r="R837" s="194"/>
      <c r="S837" s="194"/>
      <c r="T837" s="194"/>
      <c r="U837" s="194"/>
      <c r="V837" s="194"/>
      <c r="W837" s="194"/>
      <c r="X837" s="194"/>
      <c r="Y837" s="194"/>
      <c r="Z837" s="194"/>
      <c r="AA837" s="194"/>
      <c r="AB837" s="194"/>
      <c r="AC837" s="194"/>
      <c r="AD837" s="194"/>
      <c r="AE837" s="194"/>
      <c r="AF837" s="194"/>
    </row>
    <row r="838" spans="1:32" x14ac:dyDescent="0.25">
      <c r="A838" s="194"/>
      <c r="B838" s="194"/>
      <c r="C838" s="194"/>
      <c r="D838" s="194"/>
      <c r="E838" s="194"/>
      <c r="F838" s="194"/>
      <c r="G838" s="194"/>
      <c r="H838" s="194"/>
      <c r="I838" s="194"/>
      <c r="J838" s="194"/>
      <c r="K838" s="194"/>
      <c r="L838" s="194"/>
      <c r="M838" s="194"/>
      <c r="N838" s="194"/>
      <c r="O838" s="194"/>
      <c r="P838" s="194"/>
      <c r="Q838" s="194"/>
      <c r="R838" s="194"/>
      <c r="S838" s="194"/>
      <c r="T838" s="194"/>
      <c r="U838" s="194"/>
      <c r="V838" s="194"/>
      <c r="W838" s="194"/>
      <c r="X838" s="194"/>
      <c r="Y838" s="194"/>
      <c r="Z838" s="194"/>
      <c r="AA838" s="194"/>
      <c r="AB838" s="194"/>
      <c r="AC838" s="194"/>
      <c r="AD838" s="194"/>
      <c r="AE838" s="194"/>
      <c r="AF838" s="194"/>
    </row>
    <row r="839" spans="1:32" x14ac:dyDescent="0.25">
      <c r="A839" s="194"/>
      <c r="B839" s="194"/>
      <c r="C839" s="194"/>
      <c r="D839" s="194"/>
      <c r="E839" s="194"/>
      <c r="F839" s="194"/>
      <c r="G839" s="194"/>
      <c r="H839" s="194"/>
      <c r="I839" s="194"/>
      <c r="J839" s="194"/>
      <c r="K839" s="194"/>
      <c r="L839" s="194"/>
      <c r="M839" s="194"/>
      <c r="N839" s="194"/>
      <c r="O839" s="194"/>
      <c r="P839" s="194"/>
      <c r="Q839" s="194"/>
      <c r="R839" s="194"/>
      <c r="S839" s="194"/>
      <c r="T839" s="194"/>
      <c r="U839" s="194"/>
      <c r="V839" s="194"/>
      <c r="W839" s="194"/>
      <c r="X839" s="194"/>
      <c r="Y839" s="194"/>
      <c r="Z839" s="194"/>
      <c r="AA839" s="194"/>
      <c r="AB839" s="194"/>
      <c r="AC839" s="194"/>
      <c r="AD839" s="194"/>
      <c r="AE839" s="194"/>
      <c r="AF839" s="194"/>
    </row>
    <row r="840" spans="1:32" x14ac:dyDescent="0.25">
      <c r="A840" s="194"/>
      <c r="B840" s="194"/>
      <c r="C840" s="194"/>
      <c r="D840" s="194"/>
      <c r="E840" s="194"/>
      <c r="F840" s="194"/>
      <c r="G840" s="194"/>
      <c r="H840" s="194"/>
      <c r="I840" s="194"/>
      <c r="J840" s="194"/>
      <c r="K840" s="194"/>
      <c r="L840" s="194"/>
      <c r="M840" s="194"/>
      <c r="N840" s="194"/>
      <c r="O840" s="194"/>
      <c r="P840" s="194"/>
      <c r="Q840" s="194"/>
      <c r="R840" s="194"/>
      <c r="S840" s="194"/>
      <c r="T840" s="194"/>
      <c r="U840" s="194"/>
      <c r="V840" s="194"/>
      <c r="W840" s="194"/>
      <c r="X840" s="194"/>
      <c r="Y840" s="194"/>
      <c r="Z840" s="194"/>
      <c r="AA840" s="194"/>
      <c r="AB840" s="194"/>
      <c r="AC840" s="194"/>
      <c r="AD840" s="194"/>
      <c r="AE840" s="194"/>
      <c r="AF840" s="194"/>
    </row>
    <row r="841" spans="1:32" x14ac:dyDescent="0.25">
      <c r="A841" s="194"/>
      <c r="B841" s="194"/>
      <c r="C841" s="194"/>
      <c r="D841" s="194"/>
      <c r="E841" s="194"/>
      <c r="F841" s="194"/>
      <c r="G841" s="194"/>
      <c r="H841" s="194"/>
      <c r="I841" s="194"/>
      <c r="J841" s="194"/>
      <c r="K841" s="194"/>
      <c r="L841" s="194"/>
      <c r="M841" s="194"/>
      <c r="N841" s="194"/>
      <c r="O841" s="194"/>
      <c r="P841" s="194"/>
      <c r="Q841" s="194"/>
      <c r="R841" s="194"/>
      <c r="S841" s="194"/>
      <c r="T841" s="194"/>
      <c r="U841" s="194"/>
      <c r="V841" s="194"/>
      <c r="W841" s="194"/>
      <c r="X841" s="194"/>
      <c r="Y841" s="194"/>
      <c r="Z841" s="194"/>
      <c r="AA841" s="194"/>
      <c r="AB841" s="194"/>
      <c r="AC841" s="194"/>
      <c r="AD841" s="194"/>
      <c r="AE841" s="194"/>
      <c r="AF841" s="194"/>
    </row>
    <row r="842" spans="1:32" x14ac:dyDescent="0.25">
      <c r="A842" s="194"/>
      <c r="B842" s="194"/>
      <c r="C842" s="194"/>
      <c r="D842" s="194"/>
      <c r="E842" s="194"/>
      <c r="F842" s="194"/>
      <c r="G842" s="194"/>
      <c r="H842" s="194"/>
      <c r="I842" s="194"/>
      <c r="J842" s="194"/>
      <c r="K842" s="194"/>
      <c r="L842" s="194"/>
      <c r="M842" s="194"/>
      <c r="N842" s="194"/>
      <c r="O842" s="194"/>
      <c r="P842" s="194"/>
      <c r="Q842" s="194"/>
      <c r="R842" s="194"/>
      <c r="S842" s="194"/>
      <c r="T842" s="194"/>
      <c r="U842" s="194"/>
      <c r="V842" s="194"/>
      <c r="W842" s="194"/>
      <c r="X842" s="194"/>
      <c r="Y842" s="194"/>
      <c r="Z842" s="194"/>
      <c r="AA842" s="194"/>
      <c r="AB842" s="194"/>
      <c r="AC842" s="194"/>
      <c r="AD842" s="194"/>
      <c r="AE842" s="194"/>
      <c r="AF842" s="194"/>
    </row>
    <row r="843" spans="1:32" x14ac:dyDescent="0.25">
      <c r="A843" s="194"/>
      <c r="B843" s="194"/>
      <c r="C843" s="194"/>
      <c r="D843" s="194"/>
      <c r="E843" s="194"/>
      <c r="F843" s="194"/>
      <c r="G843" s="194"/>
      <c r="H843" s="194"/>
      <c r="I843" s="194"/>
      <c r="J843" s="194"/>
      <c r="K843" s="194"/>
      <c r="L843" s="194"/>
      <c r="M843" s="194"/>
      <c r="N843" s="194"/>
      <c r="O843" s="194"/>
      <c r="P843" s="194"/>
      <c r="Q843" s="194"/>
      <c r="R843" s="194"/>
      <c r="S843" s="194"/>
      <c r="T843" s="194"/>
      <c r="U843" s="194"/>
      <c r="V843" s="194"/>
      <c r="W843" s="194"/>
      <c r="X843" s="194"/>
      <c r="Y843" s="194"/>
      <c r="Z843" s="194"/>
      <c r="AA843" s="194"/>
      <c r="AB843" s="194"/>
      <c r="AC843" s="194"/>
      <c r="AD843" s="194"/>
      <c r="AE843" s="194"/>
      <c r="AF843" s="194"/>
    </row>
    <row r="844" spans="1:32" x14ac:dyDescent="0.25">
      <c r="A844" s="194"/>
      <c r="B844" s="194"/>
      <c r="C844" s="194"/>
      <c r="D844" s="194"/>
      <c r="E844" s="194"/>
      <c r="F844" s="194"/>
      <c r="G844" s="194"/>
      <c r="H844" s="194"/>
      <c r="I844" s="194"/>
      <c r="J844" s="194"/>
      <c r="K844" s="194"/>
      <c r="L844" s="194"/>
      <c r="M844" s="194"/>
      <c r="N844" s="194"/>
      <c r="O844" s="194"/>
      <c r="P844" s="194"/>
      <c r="Q844" s="194"/>
      <c r="R844" s="194"/>
      <c r="S844" s="194"/>
      <c r="T844" s="194"/>
      <c r="U844" s="194"/>
      <c r="V844" s="194"/>
      <c r="W844" s="194"/>
      <c r="X844" s="194"/>
      <c r="Y844" s="194"/>
      <c r="Z844" s="194"/>
      <c r="AA844" s="194"/>
      <c r="AB844" s="194"/>
      <c r="AC844" s="194"/>
      <c r="AD844" s="194"/>
      <c r="AE844" s="194"/>
      <c r="AF844" s="194"/>
    </row>
    <row r="845" spans="1:32" x14ac:dyDescent="0.25">
      <c r="A845" s="194"/>
      <c r="B845" s="194"/>
      <c r="C845" s="194"/>
      <c r="D845" s="194"/>
      <c r="E845" s="194"/>
      <c r="F845" s="194"/>
      <c r="G845" s="194"/>
      <c r="H845" s="194"/>
      <c r="I845" s="194"/>
      <c r="J845" s="194"/>
      <c r="K845" s="194"/>
      <c r="L845" s="194"/>
      <c r="M845" s="194"/>
      <c r="N845" s="194"/>
      <c r="O845" s="194"/>
      <c r="P845" s="194"/>
      <c r="Q845" s="194"/>
      <c r="R845" s="194"/>
      <c r="S845" s="194"/>
      <c r="T845" s="194"/>
      <c r="U845" s="194"/>
      <c r="V845" s="194"/>
      <c r="W845" s="194"/>
      <c r="X845" s="194"/>
      <c r="Y845" s="194"/>
      <c r="Z845" s="194"/>
      <c r="AA845" s="194"/>
      <c r="AB845" s="194"/>
      <c r="AC845" s="194"/>
      <c r="AD845" s="194"/>
      <c r="AE845" s="194"/>
      <c r="AF845" s="194"/>
    </row>
    <row r="846" spans="1:32" x14ac:dyDescent="0.25">
      <c r="A846" s="194"/>
      <c r="B846" s="194"/>
      <c r="C846" s="194"/>
      <c r="D846" s="194"/>
      <c r="E846" s="194"/>
      <c r="F846" s="194"/>
      <c r="G846" s="194"/>
      <c r="H846" s="194"/>
      <c r="I846" s="194"/>
      <c r="J846" s="194"/>
      <c r="K846" s="194"/>
      <c r="L846" s="194"/>
      <c r="M846" s="194"/>
      <c r="N846" s="194"/>
      <c r="O846" s="194"/>
      <c r="P846" s="194"/>
      <c r="Q846" s="194"/>
      <c r="R846" s="194"/>
      <c r="S846" s="194"/>
      <c r="T846" s="194"/>
      <c r="U846" s="194"/>
      <c r="V846" s="194"/>
      <c r="W846" s="194"/>
      <c r="X846" s="194"/>
      <c r="Y846" s="194"/>
      <c r="Z846" s="194"/>
      <c r="AA846" s="194"/>
      <c r="AB846" s="194"/>
      <c r="AC846" s="194"/>
      <c r="AD846" s="194"/>
      <c r="AE846" s="194"/>
      <c r="AF846" s="194"/>
    </row>
    <row r="847" spans="1:32" x14ac:dyDescent="0.25">
      <c r="A847" s="194"/>
      <c r="B847" s="194"/>
      <c r="C847" s="194"/>
      <c r="D847" s="194"/>
      <c r="E847" s="194"/>
      <c r="F847" s="194"/>
      <c r="G847" s="194"/>
      <c r="H847" s="194"/>
      <c r="I847" s="194"/>
      <c r="J847" s="194"/>
      <c r="K847" s="194"/>
      <c r="L847" s="194"/>
      <c r="M847" s="194"/>
      <c r="N847" s="194"/>
      <c r="O847" s="194"/>
      <c r="P847" s="194"/>
      <c r="Q847" s="194"/>
      <c r="R847" s="194"/>
      <c r="S847" s="194"/>
      <c r="T847" s="194"/>
      <c r="U847" s="194"/>
      <c r="V847" s="194"/>
      <c r="W847" s="194"/>
      <c r="X847" s="194"/>
      <c r="Y847" s="194"/>
      <c r="Z847" s="194"/>
      <c r="AA847" s="194"/>
      <c r="AB847" s="194"/>
      <c r="AC847" s="194"/>
      <c r="AD847" s="194"/>
      <c r="AE847" s="194"/>
      <c r="AF847" s="194"/>
    </row>
    <row r="848" spans="1:32" x14ac:dyDescent="0.25">
      <c r="A848" s="194"/>
      <c r="B848" s="194"/>
      <c r="C848" s="194"/>
      <c r="D848" s="194"/>
      <c r="E848" s="194"/>
      <c r="F848" s="194"/>
      <c r="G848" s="194"/>
      <c r="H848" s="194"/>
      <c r="I848" s="194"/>
      <c r="J848" s="194"/>
      <c r="K848" s="194"/>
      <c r="L848" s="194"/>
      <c r="M848" s="194"/>
      <c r="N848" s="194"/>
      <c r="O848" s="194"/>
      <c r="P848" s="194"/>
      <c r="Q848" s="194"/>
      <c r="R848" s="194"/>
      <c r="S848" s="194"/>
      <c r="T848" s="194"/>
      <c r="U848" s="194"/>
      <c r="V848" s="194"/>
      <c r="W848" s="194"/>
      <c r="X848" s="194"/>
      <c r="Y848" s="194"/>
      <c r="Z848" s="194"/>
      <c r="AA848" s="194"/>
      <c r="AB848" s="194"/>
      <c r="AC848" s="194"/>
      <c r="AD848" s="194"/>
      <c r="AE848" s="194"/>
      <c r="AF848" s="194"/>
    </row>
    <row r="849" spans="1:32" x14ac:dyDescent="0.25">
      <c r="A849" s="194"/>
      <c r="B849" s="194"/>
      <c r="C849" s="194"/>
      <c r="D849" s="194"/>
      <c r="E849" s="194"/>
      <c r="F849" s="194"/>
      <c r="G849" s="194"/>
      <c r="H849" s="194"/>
      <c r="I849" s="194"/>
      <c r="J849" s="194"/>
      <c r="K849" s="194"/>
      <c r="L849" s="194"/>
      <c r="M849" s="194"/>
      <c r="N849" s="194"/>
      <c r="O849" s="194"/>
      <c r="P849" s="194"/>
      <c r="Q849" s="194"/>
      <c r="R849" s="194"/>
      <c r="S849" s="194"/>
      <c r="T849" s="194"/>
      <c r="U849" s="194"/>
      <c r="V849" s="194"/>
      <c r="W849" s="194"/>
      <c r="X849" s="194"/>
      <c r="Y849" s="194"/>
      <c r="Z849" s="194"/>
      <c r="AA849" s="194"/>
      <c r="AB849" s="194"/>
      <c r="AC849" s="194"/>
      <c r="AD849" s="194"/>
      <c r="AE849" s="194"/>
      <c r="AF849" s="194"/>
    </row>
    <row r="850" spans="1:32" x14ac:dyDescent="0.25">
      <c r="A850" s="194"/>
      <c r="B850" s="194"/>
      <c r="C850" s="194"/>
      <c r="D850" s="194"/>
      <c r="E850" s="194"/>
      <c r="F850" s="194"/>
      <c r="G850" s="194"/>
      <c r="H850" s="194"/>
      <c r="I850" s="194"/>
      <c r="J850" s="194"/>
      <c r="K850" s="194"/>
      <c r="L850" s="194"/>
      <c r="M850" s="194"/>
      <c r="N850" s="194"/>
      <c r="O850" s="194"/>
      <c r="P850" s="194"/>
      <c r="Q850" s="194"/>
      <c r="R850" s="194"/>
      <c r="S850" s="194"/>
      <c r="T850" s="194"/>
      <c r="U850" s="194"/>
      <c r="V850" s="194"/>
      <c r="W850" s="194"/>
      <c r="X850" s="194"/>
      <c r="Y850" s="194"/>
      <c r="Z850" s="194"/>
      <c r="AA850" s="194"/>
      <c r="AB850" s="194"/>
      <c r="AC850" s="194"/>
      <c r="AD850" s="194"/>
      <c r="AE850" s="194"/>
      <c r="AF850" s="194"/>
    </row>
    <row r="851" spans="1:32" x14ac:dyDescent="0.25">
      <c r="A851" s="194"/>
      <c r="B851" s="194"/>
      <c r="C851" s="194"/>
      <c r="D851" s="194"/>
      <c r="E851" s="194"/>
      <c r="F851" s="194"/>
      <c r="G851" s="194"/>
      <c r="H851" s="194"/>
      <c r="I851" s="194"/>
      <c r="J851" s="194"/>
      <c r="K851" s="194"/>
      <c r="L851" s="194"/>
      <c r="M851" s="194"/>
      <c r="N851" s="194"/>
      <c r="O851" s="194"/>
      <c r="P851" s="194"/>
      <c r="Q851" s="194"/>
      <c r="R851" s="194"/>
      <c r="S851" s="194"/>
      <c r="T851" s="194"/>
      <c r="U851" s="194"/>
      <c r="V851" s="194"/>
      <c r="W851" s="194"/>
      <c r="X851" s="194"/>
      <c r="Y851" s="194"/>
      <c r="Z851" s="194"/>
      <c r="AA851" s="194"/>
      <c r="AB851" s="194"/>
      <c r="AC851" s="194"/>
      <c r="AD851" s="194"/>
      <c r="AE851" s="194"/>
      <c r="AF851" s="194"/>
    </row>
    <row r="852" spans="1:32" x14ac:dyDescent="0.25">
      <c r="A852" s="194"/>
      <c r="B852" s="194"/>
      <c r="C852" s="194"/>
      <c r="D852" s="194"/>
      <c r="E852" s="194"/>
      <c r="F852" s="194"/>
      <c r="G852" s="194"/>
      <c r="H852" s="194"/>
      <c r="I852" s="194"/>
      <c r="J852" s="194"/>
      <c r="K852" s="194"/>
      <c r="L852" s="194"/>
      <c r="M852" s="194"/>
      <c r="N852" s="194"/>
      <c r="O852" s="194"/>
      <c r="P852" s="194"/>
      <c r="Q852" s="194"/>
      <c r="R852" s="194"/>
      <c r="S852" s="194"/>
      <c r="T852" s="194"/>
      <c r="U852" s="194"/>
      <c r="V852" s="194"/>
      <c r="W852" s="194"/>
      <c r="X852" s="194"/>
      <c r="Y852" s="194"/>
      <c r="Z852" s="194"/>
      <c r="AA852" s="194"/>
      <c r="AB852" s="194"/>
      <c r="AC852" s="194"/>
      <c r="AD852" s="194"/>
      <c r="AE852" s="194"/>
      <c r="AF852" s="194"/>
    </row>
    <row r="853" spans="1:32" x14ac:dyDescent="0.25">
      <c r="A853" s="194"/>
      <c r="B853" s="194"/>
      <c r="C853" s="194"/>
      <c r="D853" s="194"/>
      <c r="E853" s="194"/>
      <c r="F853" s="194"/>
      <c r="G853" s="194"/>
      <c r="H853" s="194"/>
      <c r="I853" s="194"/>
      <c r="J853" s="194"/>
      <c r="K853" s="194"/>
      <c r="L853" s="194"/>
      <c r="M853" s="194"/>
      <c r="N853" s="194"/>
      <c r="O853" s="194"/>
      <c r="P853" s="194"/>
      <c r="Q853" s="194"/>
      <c r="R853" s="194"/>
      <c r="S853" s="194"/>
      <c r="T853" s="194"/>
      <c r="U853" s="194"/>
      <c r="V853" s="194"/>
      <c r="W853" s="194"/>
      <c r="X853" s="194"/>
      <c r="Y853" s="194"/>
      <c r="Z853" s="194"/>
      <c r="AA853" s="194"/>
      <c r="AB853" s="194"/>
      <c r="AC853" s="194"/>
      <c r="AD853" s="194"/>
      <c r="AE853" s="194"/>
      <c r="AF853" s="194"/>
    </row>
    <row r="854" spans="1:32" x14ac:dyDescent="0.25">
      <c r="A854" s="194"/>
      <c r="B854" s="194"/>
      <c r="C854" s="194"/>
      <c r="D854" s="194"/>
      <c r="E854" s="194"/>
      <c r="F854" s="194"/>
      <c r="G854" s="194"/>
      <c r="H854" s="194"/>
      <c r="I854" s="194"/>
      <c r="J854" s="194"/>
      <c r="K854" s="194"/>
      <c r="L854" s="194"/>
      <c r="M854" s="194"/>
      <c r="N854" s="194"/>
      <c r="O854" s="194"/>
      <c r="P854" s="194"/>
      <c r="Q854" s="194"/>
      <c r="R854" s="194"/>
      <c r="S854" s="194"/>
      <c r="T854" s="194"/>
      <c r="U854" s="194"/>
      <c r="V854" s="194"/>
      <c r="W854" s="194"/>
      <c r="X854" s="194"/>
      <c r="Y854" s="194"/>
      <c r="Z854" s="194"/>
      <c r="AA854" s="194"/>
      <c r="AB854" s="194"/>
      <c r="AC854" s="194"/>
      <c r="AD854" s="194"/>
      <c r="AE854" s="194"/>
      <c r="AF854" s="194"/>
    </row>
    <row r="855" spans="1:32" x14ac:dyDescent="0.25">
      <c r="A855" s="194"/>
      <c r="B855" s="194"/>
      <c r="C855" s="194"/>
      <c r="D855" s="194"/>
      <c r="E855" s="194"/>
      <c r="F855" s="194"/>
      <c r="G855" s="194"/>
      <c r="H855" s="194"/>
      <c r="I855" s="194"/>
      <c r="J855" s="194"/>
      <c r="K855" s="194"/>
      <c r="L855" s="194"/>
      <c r="M855" s="194"/>
      <c r="N855" s="194"/>
      <c r="O855" s="194"/>
      <c r="P855" s="194"/>
      <c r="Q855" s="194"/>
      <c r="R855" s="194"/>
      <c r="S855" s="194"/>
      <c r="T855" s="194"/>
      <c r="U855" s="194"/>
      <c r="V855" s="194"/>
      <c r="W855" s="194"/>
      <c r="X855" s="194"/>
      <c r="Y855" s="194"/>
      <c r="Z855" s="194"/>
      <c r="AA855" s="194"/>
      <c r="AB855" s="194"/>
      <c r="AC855" s="194"/>
      <c r="AD855" s="194"/>
      <c r="AE855" s="194"/>
      <c r="AF855" s="194"/>
    </row>
    <row r="856" spans="1:32" x14ac:dyDescent="0.25">
      <c r="A856" s="194"/>
      <c r="B856" s="194"/>
      <c r="C856" s="194"/>
      <c r="D856" s="194"/>
      <c r="E856" s="194"/>
      <c r="F856" s="194"/>
      <c r="G856" s="194"/>
      <c r="H856" s="194"/>
      <c r="I856" s="194"/>
      <c r="J856" s="194"/>
      <c r="K856" s="194"/>
      <c r="L856" s="194"/>
      <c r="M856" s="194"/>
      <c r="N856" s="194"/>
      <c r="O856" s="194"/>
      <c r="P856" s="194"/>
      <c r="Q856" s="194"/>
      <c r="R856" s="194"/>
      <c r="S856" s="194"/>
      <c r="T856" s="194"/>
      <c r="U856" s="194"/>
      <c r="V856" s="194"/>
      <c r="W856" s="194"/>
      <c r="X856" s="194"/>
      <c r="Y856" s="194"/>
      <c r="Z856" s="194"/>
      <c r="AA856" s="194"/>
      <c r="AB856" s="194"/>
      <c r="AC856" s="194"/>
      <c r="AD856" s="194"/>
      <c r="AE856" s="194"/>
      <c r="AF856" s="194"/>
    </row>
    <row r="857" spans="1:32" x14ac:dyDescent="0.25">
      <c r="A857" s="194"/>
      <c r="B857" s="194"/>
      <c r="C857" s="194"/>
      <c r="D857" s="194"/>
      <c r="E857" s="194"/>
      <c r="F857" s="194"/>
      <c r="G857" s="194"/>
      <c r="H857" s="194"/>
      <c r="I857" s="194"/>
      <c r="J857" s="194"/>
      <c r="K857" s="194"/>
      <c r="L857" s="194"/>
      <c r="M857" s="194"/>
      <c r="N857" s="194"/>
      <c r="O857" s="194"/>
      <c r="P857" s="194"/>
      <c r="Q857" s="194"/>
      <c r="R857" s="194"/>
      <c r="S857" s="194"/>
      <c r="T857" s="194"/>
      <c r="U857" s="194"/>
      <c r="V857" s="194"/>
      <c r="W857" s="194"/>
      <c r="X857" s="194"/>
      <c r="Y857" s="194"/>
      <c r="Z857" s="194"/>
      <c r="AA857" s="194"/>
      <c r="AB857" s="194"/>
      <c r="AC857" s="194"/>
      <c r="AD857" s="194"/>
      <c r="AE857" s="194"/>
      <c r="AF857" s="194"/>
    </row>
    <row r="858" spans="1:32" x14ac:dyDescent="0.25">
      <c r="A858" s="194"/>
      <c r="B858" s="194"/>
      <c r="C858" s="194"/>
      <c r="D858" s="194"/>
      <c r="E858" s="194"/>
      <c r="F858" s="194"/>
      <c r="G858" s="194"/>
      <c r="H858" s="194"/>
      <c r="I858" s="194"/>
      <c r="J858" s="194"/>
      <c r="K858" s="194"/>
      <c r="L858" s="194"/>
      <c r="M858" s="194"/>
      <c r="N858" s="194"/>
      <c r="O858" s="194"/>
      <c r="P858" s="194"/>
      <c r="Q858" s="194"/>
      <c r="R858" s="194"/>
      <c r="S858" s="194"/>
      <c r="T858" s="194"/>
      <c r="U858" s="194"/>
      <c r="V858" s="194"/>
      <c r="W858" s="194"/>
      <c r="X858" s="194"/>
      <c r="Y858" s="194"/>
      <c r="Z858" s="194"/>
      <c r="AA858" s="194"/>
      <c r="AB858" s="194"/>
      <c r="AC858" s="194"/>
      <c r="AD858" s="194"/>
      <c r="AE858" s="194"/>
      <c r="AF858" s="194"/>
    </row>
    <row r="859" spans="1:32" x14ac:dyDescent="0.25">
      <c r="A859" s="194"/>
      <c r="B859" s="194"/>
      <c r="C859" s="194"/>
      <c r="D859" s="194"/>
      <c r="E859" s="194"/>
      <c r="F859" s="194"/>
      <c r="G859" s="194"/>
      <c r="H859" s="194"/>
      <c r="I859" s="194"/>
      <c r="J859" s="194"/>
      <c r="K859" s="194"/>
      <c r="L859" s="194"/>
      <c r="M859" s="194"/>
      <c r="N859" s="194"/>
      <c r="O859" s="194"/>
      <c r="P859" s="194"/>
      <c r="Q859" s="194"/>
      <c r="R859" s="194"/>
      <c r="S859" s="194"/>
      <c r="T859" s="194"/>
      <c r="U859" s="194"/>
      <c r="V859" s="194"/>
      <c r="W859" s="194"/>
      <c r="X859" s="194"/>
      <c r="Y859" s="194"/>
      <c r="Z859" s="194"/>
      <c r="AA859" s="194"/>
      <c r="AB859" s="194"/>
      <c r="AC859" s="194"/>
      <c r="AD859" s="194"/>
      <c r="AE859" s="194"/>
      <c r="AF859" s="194"/>
    </row>
    <row r="860" spans="1:32" x14ac:dyDescent="0.25">
      <c r="A860" s="194"/>
      <c r="B860" s="194"/>
      <c r="C860" s="194"/>
      <c r="D860" s="194"/>
      <c r="E860" s="194"/>
      <c r="F860" s="194"/>
      <c r="G860" s="194"/>
      <c r="H860" s="194"/>
      <c r="I860" s="194"/>
      <c r="J860" s="194"/>
      <c r="K860" s="194"/>
      <c r="L860" s="194"/>
      <c r="M860" s="194"/>
      <c r="N860" s="194"/>
      <c r="O860" s="194"/>
      <c r="P860" s="194"/>
      <c r="Q860" s="194"/>
      <c r="R860" s="194"/>
      <c r="S860" s="194"/>
      <c r="T860" s="194"/>
      <c r="U860" s="194"/>
      <c r="V860" s="194"/>
      <c r="W860" s="194"/>
      <c r="X860" s="194"/>
      <c r="Y860" s="194"/>
      <c r="Z860" s="194"/>
      <c r="AA860" s="194"/>
      <c r="AB860" s="194"/>
      <c r="AC860" s="194"/>
      <c r="AD860" s="194"/>
      <c r="AE860" s="194"/>
      <c r="AF860" s="194"/>
    </row>
    <row r="861" spans="1:32" x14ac:dyDescent="0.25">
      <c r="A861" s="194"/>
      <c r="B861" s="194"/>
      <c r="C861" s="194"/>
      <c r="D861" s="194"/>
      <c r="E861" s="194"/>
      <c r="F861" s="194"/>
      <c r="G861" s="194"/>
      <c r="H861" s="194"/>
      <c r="I861" s="194"/>
      <c r="J861" s="194"/>
      <c r="K861" s="194"/>
      <c r="L861" s="194"/>
      <c r="M861" s="194"/>
      <c r="N861" s="194"/>
      <c r="O861" s="194"/>
      <c r="P861" s="194"/>
      <c r="Q861" s="194"/>
      <c r="R861" s="194"/>
      <c r="S861" s="194"/>
      <c r="T861" s="194"/>
      <c r="U861" s="194"/>
      <c r="V861" s="194"/>
      <c r="W861" s="194"/>
      <c r="X861" s="194"/>
      <c r="Y861" s="194"/>
      <c r="Z861" s="194"/>
      <c r="AA861" s="194"/>
      <c r="AB861" s="194"/>
      <c r="AC861" s="194"/>
      <c r="AD861" s="194"/>
      <c r="AE861" s="194"/>
      <c r="AF861" s="194"/>
    </row>
    <row r="862" spans="1:32" x14ac:dyDescent="0.25">
      <c r="A862" s="194"/>
      <c r="B862" s="194"/>
      <c r="C862" s="194"/>
      <c r="D862" s="194"/>
      <c r="E862" s="194"/>
      <c r="F862" s="194"/>
      <c r="G862" s="194"/>
      <c r="H862" s="194"/>
      <c r="I862" s="194"/>
      <c r="J862" s="194"/>
      <c r="K862" s="194"/>
      <c r="L862" s="194"/>
      <c r="M862" s="194"/>
      <c r="N862" s="194"/>
      <c r="O862" s="194"/>
      <c r="P862" s="194"/>
      <c r="Q862" s="194"/>
      <c r="R862" s="194"/>
      <c r="S862" s="194"/>
      <c r="T862" s="194"/>
      <c r="U862" s="194"/>
      <c r="V862" s="194"/>
      <c r="W862" s="194"/>
      <c r="X862" s="194"/>
      <c r="Y862" s="194"/>
      <c r="Z862" s="194"/>
      <c r="AA862" s="194"/>
      <c r="AB862" s="194"/>
      <c r="AC862" s="194"/>
      <c r="AD862" s="194"/>
      <c r="AE862" s="194"/>
      <c r="AF862" s="194"/>
    </row>
    <row r="863" spans="1:32" x14ac:dyDescent="0.25">
      <c r="A863" s="194"/>
      <c r="B863" s="194"/>
      <c r="C863" s="194"/>
      <c r="D863" s="194"/>
      <c r="E863" s="194"/>
      <c r="F863" s="194"/>
      <c r="G863" s="194"/>
      <c r="H863" s="194"/>
      <c r="I863" s="194"/>
      <c r="J863" s="194"/>
      <c r="K863" s="194"/>
      <c r="L863" s="194"/>
      <c r="M863" s="194"/>
      <c r="N863" s="194"/>
      <c r="O863" s="194"/>
      <c r="P863" s="194"/>
      <c r="Q863" s="194"/>
      <c r="R863" s="194"/>
      <c r="S863" s="194"/>
      <c r="T863" s="194"/>
      <c r="U863" s="194"/>
      <c r="V863" s="194"/>
      <c r="W863" s="194"/>
      <c r="X863" s="194"/>
      <c r="Y863" s="194"/>
      <c r="Z863" s="194"/>
      <c r="AA863" s="194"/>
      <c r="AB863" s="194"/>
      <c r="AC863" s="194"/>
      <c r="AD863" s="194"/>
      <c r="AE863" s="194"/>
      <c r="AF863" s="194"/>
    </row>
    <row r="864" spans="1:32" x14ac:dyDescent="0.25">
      <c r="A864" s="194"/>
      <c r="B864" s="194"/>
      <c r="C864" s="194"/>
      <c r="D864" s="194"/>
      <c r="E864" s="194"/>
      <c r="F864" s="194"/>
      <c r="G864" s="194"/>
      <c r="H864" s="194"/>
      <c r="I864" s="194"/>
      <c r="J864" s="194"/>
      <c r="K864" s="194"/>
      <c r="L864" s="194"/>
      <c r="M864" s="194"/>
      <c r="N864" s="194"/>
      <c r="O864" s="194"/>
      <c r="P864" s="194"/>
      <c r="Q864" s="194"/>
      <c r="R864" s="194"/>
      <c r="S864" s="194"/>
      <c r="T864" s="194"/>
      <c r="U864" s="194"/>
      <c r="V864" s="194"/>
      <c r="W864" s="194"/>
      <c r="X864" s="194"/>
      <c r="Y864" s="194"/>
      <c r="Z864" s="194"/>
      <c r="AA864" s="194"/>
      <c r="AB864" s="194"/>
      <c r="AC864" s="194"/>
      <c r="AD864" s="194"/>
      <c r="AE864" s="194"/>
      <c r="AF864" s="194"/>
    </row>
    <row r="865" spans="1:32" x14ac:dyDescent="0.25">
      <c r="A865" s="194"/>
      <c r="B865" s="194"/>
      <c r="C865" s="194"/>
      <c r="D865" s="194"/>
      <c r="E865" s="194"/>
      <c r="F865" s="194"/>
      <c r="G865" s="194"/>
      <c r="H865" s="194"/>
      <c r="I865" s="194"/>
      <c r="J865" s="194"/>
      <c r="K865" s="194"/>
      <c r="L865" s="194"/>
      <c r="M865" s="194"/>
      <c r="N865" s="194"/>
      <c r="O865" s="194"/>
      <c r="P865" s="194"/>
      <c r="Q865" s="194"/>
      <c r="R865" s="194"/>
      <c r="S865" s="194"/>
      <c r="T865" s="194"/>
      <c r="U865" s="194"/>
      <c r="V865" s="194"/>
      <c r="W865" s="194"/>
      <c r="X865" s="194"/>
      <c r="Y865" s="194"/>
      <c r="Z865" s="194"/>
      <c r="AA865" s="194"/>
      <c r="AB865" s="194"/>
      <c r="AC865" s="194"/>
      <c r="AD865" s="194"/>
      <c r="AE865" s="194"/>
      <c r="AF865" s="194"/>
    </row>
    <row r="866" spans="1:32" x14ac:dyDescent="0.25">
      <c r="A866" s="194"/>
      <c r="B866" s="194"/>
      <c r="C866" s="194"/>
      <c r="D866" s="194"/>
      <c r="E866" s="194"/>
      <c r="F866" s="194"/>
      <c r="G866" s="194"/>
      <c r="H866" s="194"/>
      <c r="I866" s="194"/>
      <c r="J866" s="194"/>
      <c r="K866" s="194"/>
      <c r="L866" s="194"/>
      <c r="M866" s="194"/>
      <c r="N866" s="194"/>
      <c r="O866" s="194"/>
      <c r="P866" s="194"/>
      <c r="Q866" s="194"/>
      <c r="R866" s="194"/>
      <c r="S866" s="194"/>
      <c r="T866" s="194"/>
      <c r="U866" s="194"/>
      <c r="V866" s="194"/>
      <c r="W866" s="194"/>
      <c r="X866" s="194"/>
      <c r="Y866" s="194"/>
      <c r="Z866" s="194"/>
      <c r="AA866" s="194"/>
      <c r="AB866" s="194"/>
      <c r="AC866" s="194"/>
      <c r="AD866" s="194"/>
      <c r="AE866" s="194"/>
      <c r="AF866" s="194"/>
    </row>
    <row r="867" spans="1:32" x14ac:dyDescent="0.25">
      <c r="A867" s="194"/>
      <c r="B867" s="194"/>
      <c r="C867" s="194"/>
      <c r="D867" s="194"/>
      <c r="E867" s="194"/>
      <c r="F867" s="194"/>
      <c r="G867" s="194"/>
      <c r="H867" s="194"/>
      <c r="I867" s="194"/>
      <c r="J867" s="194"/>
      <c r="K867" s="194"/>
      <c r="L867" s="194"/>
      <c r="M867" s="194"/>
      <c r="N867" s="194"/>
      <c r="O867" s="194"/>
      <c r="P867" s="194"/>
      <c r="Q867" s="194"/>
      <c r="R867" s="194"/>
      <c r="S867" s="194"/>
      <c r="T867" s="194"/>
      <c r="U867" s="194"/>
      <c r="V867" s="194"/>
      <c r="W867" s="194"/>
      <c r="X867" s="194"/>
      <c r="Y867" s="194"/>
      <c r="Z867" s="194"/>
      <c r="AA867" s="194"/>
      <c r="AB867" s="194"/>
      <c r="AC867" s="194"/>
      <c r="AD867" s="194"/>
      <c r="AE867" s="194"/>
      <c r="AF867" s="194"/>
    </row>
    <row r="868" spans="1:32" x14ac:dyDescent="0.25">
      <c r="A868" s="194"/>
      <c r="B868" s="194"/>
      <c r="C868" s="194"/>
      <c r="D868" s="194"/>
      <c r="E868" s="194"/>
      <c r="F868" s="194"/>
      <c r="G868" s="194"/>
      <c r="H868" s="194"/>
      <c r="I868" s="194"/>
      <c r="J868" s="194"/>
      <c r="K868" s="194"/>
      <c r="L868" s="194"/>
      <c r="M868" s="194"/>
      <c r="N868" s="194"/>
      <c r="O868" s="194"/>
      <c r="P868" s="194"/>
      <c r="Q868" s="194"/>
      <c r="R868" s="194"/>
      <c r="S868" s="194"/>
      <c r="T868" s="194"/>
      <c r="U868" s="194"/>
      <c r="V868" s="194"/>
      <c r="W868" s="194"/>
      <c r="X868" s="194"/>
      <c r="Y868" s="194"/>
      <c r="Z868" s="194"/>
      <c r="AA868" s="194"/>
      <c r="AB868" s="194"/>
      <c r="AC868" s="194"/>
      <c r="AD868" s="194"/>
      <c r="AE868" s="194"/>
      <c r="AF868" s="194"/>
    </row>
    <row r="869" spans="1:32" x14ac:dyDescent="0.25">
      <c r="A869" s="194"/>
      <c r="B869" s="194"/>
      <c r="C869" s="194"/>
      <c r="D869" s="194"/>
      <c r="E869" s="194"/>
      <c r="F869" s="194"/>
      <c r="G869" s="194"/>
      <c r="H869" s="194"/>
      <c r="I869" s="194"/>
      <c r="J869" s="194"/>
      <c r="K869" s="194"/>
      <c r="L869" s="194"/>
      <c r="M869" s="194"/>
      <c r="N869" s="194"/>
      <c r="O869" s="194"/>
      <c r="P869" s="194"/>
      <c r="Q869" s="194"/>
      <c r="R869" s="194"/>
      <c r="S869" s="194"/>
      <c r="T869" s="194"/>
      <c r="U869" s="194"/>
      <c r="V869" s="194"/>
      <c r="W869" s="194"/>
      <c r="X869" s="194"/>
      <c r="Y869" s="194"/>
      <c r="Z869" s="194"/>
      <c r="AA869" s="194"/>
      <c r="AB869" s="194"/>
      <c r="AC869" s="194"/>
      <c r="AD869" s="194"/>
      <c r="AE869" s="194"/>
      <c r="AF869" s="194"/>
    </row>
    <row r="870" spans="1:32" x14ac:dyDescent="0.25">
      <c r="A870" s="194"/>
      <c r="B870" s="194"/>
      <c r="C870" s="194"/>
      <c r="D870" s="194"/>
      <c r="E870" s="194"/>
      <c r="F870" s="194"/>
      <c r="G870" s="194"/>
      <c r="H870" s="194"/>
      <c r="I870" s="194"/>
      <c r="J870" s="194"/>
      <c r="K870" s="194"/>
      <c r="L870" s="194"/>
      <c r="M870" s="194"/>
      <c r="N870" s="194"/>
      <c r="O870" s="194"/>
      <c r="P870" s="194"/>
      <c r="Q870" s="194"/>
      <c r="R870" s="194"/>
      <c r="S870" s="194"/>
      <c r="T870" s="194"/>
      <c r="U870" s="194"/>
      <c r="V870" s="194"/>
      <c r="W870" s="194"/>
      <c r="X870" s="194"/>
      <c r="Y870" s="194"/>
      <c r="Z870" s="194"/>
      <c r="AA870" s="194"/>
      <c r="AB870" s="194"/>
      <c r="AC870" s="194"/>
      <c r="AD870" s="194"/>
      <c r="AE870" s="194"/>
      <c r="AF870" s="194"/>
    </row>
    <row r="871" spans="1:32" x14ac:dyDescent="0.25">
      <c r="A871" s="194"/>
      <c r="B871" s="194"/>
      <c r="C871" s="194"/>
      <c r="D871" s="194"/>
      <c r="E871" s="194"/>
      <c r="F871" s="194"/>
      <c r="G871" s="194"/>
      <c r="H871" s="194"/>
      <c r="I871" s="194"/>
      <c r="J871" s="194"/>
      <c r="K871" s="194"/>
      <c r="L871" s="194"/>
      <c r="M871" s="194"/>
      <c r="N871" s="194"/>
      <c r="O871" s="194"/>
      <c r="P871" s="194"/>
      <c r="Q871" s="194"/>
      <c r="R871" s="194"/>
      <c r="S871" s="194"/>
      <c r="T871" s="194"/>
      <c r="U871" s="194"/>
      <c r="V871" s="194"/>
      <c r="W871" s="194"/>
      <c r="X871" s="194"/>
      <c r="Y871" s="194"/>
      <c r="Z871" s="194"/>
      <c r="AA871" s="194"/>
      <c r="AB871" s="194"/>
      <c r="AC871" s="194"/>
      <c r="AD871" s="194"/>
      <c r="AE871" s="194"/>
      <c r="AF871" s="194"/>
    </row>
    <row r="872" spans="1:32" x14ac:dyDescent="0.25">
      <c r="A872" s="194"/>
      <c r="B872" s="194"/>
      <c r="C872" s="194"/>
      <c r="D872" s="194"/>
      <c r="E872" s="194"/>
      <c r="F872" s="194"/>
      <c r="G872" s="194"/>
      <c r="H872" s="194"/>
      <c r="I872" s="194"/>
      <c r="J872" s="194"/>
      <c r="K872" s="194"/>
      <c r="L872" s="194"/>
      <c r="M872" s="194"/>
      <c r="N872" s="194"/>
      <c r="O872" s="194"/>
      <c r="P872" s="194"/>
      <c r="Q872" s="194"/>
      <c r="R872" s="194"/>
      <c r="S872" s="194"/>
      <c r="T872" s="194"/>
      <c r="U872" s="194"/>
      <c r="V872" s="194"/>
      <c r="W872" s="194"/>
      <c r="X872" s="194"/>
      <c r="Y872" s="194"/>
      <c r="Z872" s="194"/>
      <c r="AA872" s="194"/>
      <c r="AB872" s="194"/>
      <c r="AC872" s="194"/>
      <c r="AD872" s="194"/>
      <c r="AE872" s="194"/>
      <c r="AF872" s="194"/>
    </row>
    <row r="873" spans="1:32" x14ac:dyDescent="0.25">
      <c r="A873" s="194"/>
      <c r="B873" s="194"/>
      <c r="C873" s="194"/>
      <c r="D873" s="194"/>
      <c r="E873" s="194"/>
      <c r="F873" s="194"/>
      <c r="G873" s="194"/>
      <c r="H873" s="194"/>
      <c r="I873" s="194"/>
      <c r="J873" s="194"/>
      <c r="K873" s="194"/>
      <c r="L873" s="194"/>
      <c r="M873" s="194"/>
      <c r="N873" s="194"/>
      <c r="O873" s="194"/>
      <c r="P873" s="194"/>
      <c r="Q873" s="194"/>
      <c r="R873" s="194"/>
      <c r="S873" s="194"/>
      <c r="T873" s="194"/>
      <c r="U873" s="194"/>
      <c r="V873" s="194"/>
      <c r="W873" s="194"/>
      <c r="X873" s="194"/>
      <c r="Y873" s="194"/>
      <c r="Z873" s="194"/>
      <c r="AA873" s="194"/>
      <c r="AB873" s="194"/>
      <c r="AC873" s="194"/>
      <c r="AD873" s="194"/>
      <c r="AE873" s="194"/>
      <c r="AF873" s="194"/>
    </row>
    <row r="874" spans="1:32" x14ac:dyDescent="0.25">
      <c r="A874" s="194"/>
      <c r="B874" s="194"/>
      <c r="C874" s="194"/>
      <c r="D874" s="194"/>
      <c r="E874" s="194"/>
      <c r="F874" s="194"/>
      <c r="G874" s="194"/>
      <c r="H874" s="194"/>
      <c r="I874" s="194"/>
      <c r="J874" s="194"/>
      <c r="K874" s="194"/>
      <c r="L874" s="194"/>
      <c r="M874" s="194"/>
      <c r="N874" s="194"/>
      <c r="O874" s="194"/>
      <c r="P874" s="194"/>
      <c r="Q874" s="194"/>
      <c r="R874" s="194"/>
      <c r="S874" s="194"/>
      <c r="T874" s="194"/>
      <c r="U874" s="194"/>
      <c r="V874" s="194"/>
      <c r="W874" s="194"/>
      <c r="X874" s="194"/>
      <c r="Y874" s="194"/>
      <c r="Z874" s="194"/>
      <c r="AA874" s="194"/>
      <c r="AB874" s="194"/>
      <c r="AC874" s="194"/>
      <c r="AD874" s="194"/>
      <c r="AE874" s="194"/>
      <c r="AF874" s="194"/>
    </row>
    <row r="875" spans="1:32" x14ac:dyDescent="0.25">
      <c r="A875" s="194"/>
      <c r="B875" s="194"/>
      <c r="C875" s="194"/>
      <c r="D875" s="194"/>
      <c r="E875" s="194"/>
      <c r="F875" s="194"/>
      <c r="G875" s="194"/>
      <c r="H875" s="194"/>
      <c r="I875" s="194"/>
      <c r="J875" s="194"/>
      <c r="K875" s="194"/>
      <c r="L875" s="194"/>
      <c r="M875" s="194"/>
      <c r="N875" s="194"/>
      <c r="O875" s="194"/>
      <c r="P875" s="194"/>
      <c r="Q875" s="194"/>
      <c r="R875" s="194"/>
      <c r="S875" s="194"/>
      <c r="T875" s="194"/>
      <c r="U875" s="194"/>
      <c r="V875" s="194"/>
      <c r="W875" s="194"/>
      <c r="X875" s="194"/>
      <c r="Y875" s="194"/>
      <c r="Z875" s="194"/>
      <c r="AA875" s="194"/>
      <c r="AB875" s="194"/>
      <c r="AC875" s="194"/>
      <c r="AD875" s="194"/>
      <c r="AE875" s="194"/>
      <c r="AF875" s="194"/>
    </row>
    <row r="876" spans="1:32" x14ac:dyDescent="0.25">
      <c r="A876" s="194"/>
      <c r="B876" s="194"/>
      <c r="C876" s="194"/>
      <c r="D876" s="194"/>
      <c r="E876" s="194"/>
      <c r="F876" s="194"/>
      <c r="G876" s="194"/>
      <c r="H876" s="194"/>
      <c r="I876" s="194"/>
      <c r="J876" s="194"/>
      <c r="K876" s="194"/>
      <c r="L876" s="194"/>
      <c r="M876" s="194"/>
      <c r="N876" s="194"/>
      <c r="O876" s="194"/>
      <c r="P876" s="194"/>
      <c r="Q876" s="194"/>
      <c r="R876" s="194"/>
      <c r="S876" s="194"/>
      <c r="T876" s="194"/>
      <c r="U876" s="194"/>
      <c r="V876" s="194"/>
      <c r="W876" s="194"/>
      <c r="X876" s="194"/>
      <c r="Y876" s="194"/>
      <c r="Z876" s="194"/>
      <c r="AA876" s="194"/>
      <c r="AB876" s="194"/>
      <c r="AC876" s="194"/>
      <c r="AD876" s="194"/>
      <c r="AE876" s="194"/>
      <c r="AF876" s="194"/>
    </row>
    <row r="877" spans="1:32" x14ac:dyDescent="0.25">
      <c r="A877" s="194"/>
      <c r="B877" s="194"/>
      <c r="C877" s="194"/>
      <c r="D877" s="194"/>
      <c r="E877" s="194"/>
      <c r="F877" s="194"/>
      <c r="G877" s="194"/>
      <c r="H877" s="194"/>
      <c r="I877" s="194"/>
      <c r="J877" s="194"/>
      <c r="K877" s="194"/>
      <c r="L877" s="194"/>
      <c r="M877" s="194"/>
      <c r="N877" s="194"/>
      <c r="O877" s="194"/>
      <c r="P877" s="194"/>
      <c r="Q877" s="194"/>
      <c r="R877" s="194"/>
      <c r="S877" s="194"/>
      <c r="T877" s="194"/>
      <c r="U877" s="194"/>
      <c r="V877" s="194"/>
      <c r="W877" s="194"/>
      <c r="X877" s="194"/>
      <c r="Y877" s="194"/>
      <c r="Z877" s="194"/>
      <c r="AA877" s="194"/>
      <c r="AB877" s="194"/>
      <c r="AC877" s="194"/>
      <c r="AD877" s="194"/>
      <c r="AE877" s="194"/>
      <c r="AF877" s="194"/>
    </row>
    <row r="878" spans="1:32" x14ac:dyDescent="0.25">
      <c r="A878" s="194"/>
      <c r="B878" s="194"/>
      <c r="C878" s="194"/>
      <c r="D878" s="194"/>
      <c r="E878" s="194"/>
      <c r="F878" s="194"/>
      <c r="G878" s="194"/>
      <c r="H878" s="194"/>
      <c r="I878" s="194"/>
      <c r="J878" s="194"/>
      <c r="K878" s="194"/>
      <c r="L878" s="194"/>
      <c r="M878" s="194"/>
      <c r="N878" s="194"/>
      <c r="O878" s="194"/>
      <c r="P878" s="194"/>
      <c r="Q878" s="194"/>
      <c r="R878" s="194"/>
      <c r="S878" s="194"/>
      <c r="T878" s="194"/>
      <c r="U878" s="194"/>
      <c r="V878" s="194"/>
      <c r="W878" s="194"/>
      <c r="X878" s="194"/>
      <c r="Y878" s="194"/>
      <c r="Z878" s="194"/>
      <c r="AA878" s="194"/>
      <c r="AB878" s="194"/>
      <c r="AC878" s="194"/>
      <c r="AD878" s="194"/>
      <c r="AE878" s="194"/>
      <c r="AF878" s="194"/>
    </row>
    <row r="879" spans="1:32" x14ac:dyDescent="0.25">
      <c r="A879" s="194"/>
      <c r="B879" s="194"/>
      <c r="C879" s="194"/>
      <c r="D879" s="194"/>
      <c r="E879" s="194"/>
      <c r="F879" s="194"/>
      <c r="G879" s="194"/>
      <c r="H879" s="194"/>
      <c r="I879" s="194"/>
      <c r="J879" s="194"/>
      <c r="K879" s="194"/>
      <c r="L879" s="194"/>
      <c r="M879" s="194"/>
      <c r="N879" s="194"/>
      <c r="O879" s="194"/>
      <c r="P879" s="194"/>
      <c r="Q879" s="194"/>
      <c r="R879" s="194"/>
      <c r="S879" s="194"/>
      <c r="T879" s="194"/>
      <c r="U879" s="194"/>
      <c r="V879" s="194"/>
      <c r="W879" s="194"/>
      <c r="X879" s="194"/>
      <c r="Y879" s="194"/>
      <c r="Z879" s="194"/>
      <c r="AA879" s="194"/>
      <c r="AB879" s="194"/>
      <c r="AC879" s="194"/>
      <c r="AD879" s="194"/>
      <c r="AE879" s="194"/>
      <c r="AF879" s="194"/>
    </row>
    <row r="880" spans="1:32" x14ac:dyDescent="0.25">
      <c r="A880" s="194"/>
      <c r="B880" s="194"/>
      <c r="C880" s="194"/>
      <c r="D880" s="194"/>
      <c r="E880" s="194"/>
      <c r="F880" s="194"/>
      <c r="G880" s="194"/>
      <c r="H880" s="194"/>
      <c r="I880" s="194"/>
      <c r="J880" s="194"/>
      <c r="K880" s="194"/>
      <c r="L880" s="194"/>
      <c r="M880" s="194"/>
      <c r="N880" s="194"/>
      <c r="O880" s="194"/>
      <c r="P880" s="194"/>
      <c r="Q880" s="194"/>
      <c r="R880" s="194"/>
      <c r="S880" s="194"/>
      <c r="T880" s="194"/>
      <c r="U880" s="194"/>
      <c r="V880" s="194"/>
      <c r="W880" s="194"/>
      <c r="X880" s="194"/>
      <c r="Y880" s="194"/>
      <c r="Z880" s="194"/>
      <c r="AA880" s="194"/>
      <c r="AB880" s="194"/>
      <c r="AC880" s="194"/>
      <c r="AD880" s="194"/>
      <c r="AE880" s="194"/>
      <c r="AF880" s="194"/>
    </row>
    <row r="881" spans="1:32" x14ac:dyDescent="0.25">
      <c r="A881" s="194"/>
      <c r="B881" s="194"/>
      <c r="C881" s="194"/>
      <c r="D881" s="194"/>
      <c r="E881" s="194"/>
      <c r="F881" s="194"/>
      <c r="G881" s="194"/>
      <c r="H881" s="194"/>
      <c r="I881" s="194"/>
      <c r="J881" s="194"/>
      <c r="K881" s="194"/>
      <c r="L881" s="194"/>
      <c r="M881" s="194"/>
      <c r="N881" s="194"/>
      <c r="O881" s="194"/>
      <c r="P881" s="194"/>
      <c r="Q881" s="194"/>
      <c r="R881" s="194"/>
      <c r="S881" s="194"/>
      <c r="T881" s="194"/>
      <c r="U881" s="194"/>
      <c r="V881" s="194"/>
      <c r="W881" s="194"/>
      <c r="X881" s="194"/>
      <c r="Y881" s="194"/>
      <c r="Z881" s="194"/>
      <c r="AA881" s="194"/>
      <c r="AB881" s="194"/>
      <c r="AC881" s="194"/>
      <c r="AD881" s="194"/>
      <c r="AE881" s="194"/>
      <c r="AF881" s="194"/>
    </row>
    <row r="882" spans="1:32" x14ac:dyDescent="0.25">
      <c r="A882" s="194"/>
      <c r="B882" s="194"/>
      <c r="C882" s="194"/>
      <c r="D882" s="194"/>
      <c r="E882" s="194"/>
      <c r="F882" s="194"/>
      <c r="G882" s="194"/>
      <c r="H882" s="194"/>
      <c r="I882" s="194"/>
      <c r="J882" s="194"/>
      <c r="K882" s="194"/>
      <c r="L882" s="194"/>
      <c r="M882" s="194"/>
      <c r="N882" s="194"/>
      <c r="O882" s="194"/>
      <c r="P882" s="194"/>
      <c r="Q882" s="194"/>
      <c r="R882" s="194"/>
      <c r="S882" s="194"/>
      <c r="T882" s="194"/>
      <c r="U882" s="194"/>
      <c r="V882" s="194"/>
      <c r="W882" s="194"/>
      <c r="X882" s="194"/>
      <c r="Y882" s="194"/>
      <c r="Z882" s="194"/>
      <c r="AA882" s="194"/>
      <c r="AB882" s="194"/>
      <c r="AC882" s="194"/>
      <c r="AD882" s="194"/>
      <c r="AE882" s="194"/>
      <c r="AF882" s="194"/>
    </row>
    <row r="883" spans="1:32" x14ac:dyDescent="0.25">
      <c r="A883" s="194"/>
      <c r="B883" s="194"/>
      <c r="C883" s="194"/>
      <c r="D883" s="194"/>
      <c r="E883" s="194"/>
      <c r="F883" s="194"/>
      <c r="G883" s="194"/>
      <c r="H883" s="194"/>
      <c r="I883" s="194"/>
      <c r="J883" s="194"/>
      <c r="K883" s="194"/>
      <c r="L883" s="194"/>
      <c r="M883" s="194"/>
      <c r="N883" s="194"/>
      <c r="O883" s="194"/>
      <c r="P883" s="194"/>
      <c r="Q883" s="194"/>
      <c r="R883" s="194"/>
      <c r="S883" s="194"/>
      <c r="T883" s="194"/>
      <c r="U883" s="194"/>
      <c r="V883" s="194"/>
      <c r="W883" s="194"/>
      <c r="X883" s="194"/>
      <c r="Y883" s="194"/>
      <c r="Z883" s="194"/>
      <c r="AA883" s="194"/>
      <c r="AB883" s="194"/>
      <c r="AC883" s="194"/>
      <c r="AD883" s="194"/>
      <c r="AE883" s="194"/>
      <c r="AF883" s="194"/>
    </row>
    <row r="884" spans="1:32" x14ac:dyDescent="0.25">
      <c r="A884" s="194"/>
      <c r="B884" s="194"/>
      <c r="C884" s="194"/>
      <c r="D884" s="194"/>
      <c r="E884" s="194"/>
      <c r="F884" s="194"/>
      <c r="G884" s="194"/>
      <c r="H884" s="194"/>
      <c r="I884" s="194"/>
      <c r="J884" s="194"/>
      <c r="K884" s="194"/>
      <c r="L884" s="194"/>
      <c r="M884" s="194"/>
      <c r="N884" s="194"/>
      <c r="O884" s="194"/>
      <c r="P884" s="194"/>
      <c r="Q884" s="194"/>
      <c r="R884" s="194"/>
      <c r="S884" s="194"/>
      <c r="T884" s="194"/>
      <c r="U884" s="194"/>
      <c r="V884" s="194"/>
      <c r="W884" s="194"/>
      <c r="X884" s="194"/>
      <c r="Y884" s="194"/>
      <c r="Z884" s="194"/>
      <c r="AA884" s="194"/>
      <c r="AB884" s="194"/>
      <c r="AC884" s="194"/>
      <c r="AD884" s="194"/>
      <c r="AE884" s="194"/>
      <c r="AF884" s="194"/>
    </row>
    <row r="885" spans="1:32" x14ac:dyDescent="0.25">
      <c r="A885" s="194"/>
      <c r="B885" s="194"/>
      <c r="C885" s="194"/>
      <c r="D885" s="194"/>
      <c r="E885" s="194"/>
      <c r="F885" s="194"/>
      <c r="G885" s="194"/>
      <c r="H885" s="194"/>
      <c r="I885" s="194"/>
      <c r="J885" s="194"/>
      <c r="K885" s="194"/>
      <c r="L885" s="194"/>
      <c r="M885" s="194"/>
      <c r="N885" s="194"/>
      <c r="O885" s="194"/>
      <c r="P885" s="194"/>
      <c r="Q885" s="194"/>
      <c r="R885" s="194"/>
      <c r="S885" s="194"/>
      <c r="T885" s="194"/>
      <c r="U885" s="194"/>
      <c r="V885" s="194"/>
      <c r="W885" s="194"/>
      <c r="X885" s="194"/>
      <c r="Y885" s="194"/>
      <c r="Z885" s="194"/>
      <c r="AA885" s="194"/>
      <c r="AB885" s="194"/>
      <c r="AC885" s="194"/>
      <c r="AD885" s="194"/>
      <c r="AE885" s="194"/>
      <c r="AF885" s="194"/>
    </row>
    <row r="886" spans="1:32" x14ac:dyDescent="0.25">
      <c r="A886" s="194"/>
      <c r="B886" s="194"/>
      <c r="C886" s="194"/>
      <c r="D886" s="194"/>
      <c r="E886" s="194"/>
      <c r="F886" s="194"/>
      <c r="G886" s="194"/>
      <c r="H886" s="194"/>
      <c r="I886" s="194"/>
      <c r="J886" s="194"/>
      <c r="K886" s="194"/>
      <c r="L886" s="194"/>
      <c r="M886" s="194"/>
      <c r="N886" s="194"/>
      <c r="O886" s="194"/>
      <c r="P886" s="194"/>
      <c r="Q886" s="194"/>
      <c r="R886" s="194"/>
      <c r="S886" s="194"/>
      <c r="T886" s="194"/>
      <c r="U886" s="194"/>
      <c r="V886" s="194"/>
      <c r="W886" s="194"/>
      <c r="X886" s="194"/>
      <c r="Y886" s="194"/>
      <c r="Z886" s="194"/>
      <c r="AA886" s="194"/>
      <c r="AB886" s="194"/>
      <c r="AC886" s="194"/>
      <c r="AD886" s="194"/>
      <c r="AE886" s="194"/>
      <c r="AF886" s="194"/>
    </row>
    <row r="887" spans="1:32" x14ac:dyDescent="0.25">
      <c r="A887" s="194"/>
      <c r="B887" s="194"/>
      <c r="C887" s="194"/>
      <c r="D887" s="194"/>
      <c r="E887" s="194"/>
      <c r="F887" s="194"/>
      <c r="G887" s="194"/>
      <c r="H887" s="194"/>
      <c r="I887" s="194"/>
      <c r="J887" s="194"/>
      <c r="K887" s="194"/>
      <c r="L887" s="194"/>
      <c r="M887" s="194"/>
      <c r="N887" s="194"/>
      <c r="O887" s="194"/>
      <c r="P887" s="194"/>
      <c r="Q887" s="194"/>
      <c r="R887" s="194"/>
      <c r="S887" s="194"/>
      <c r="T887" s="194"/>
      <c r="U887" s="194"/>
      <c r="V887" s="194"/>
      <c r="W887" s="194"/>
      <c r="X887" s="194"/>
      <c r="Y887" s="194"/>
      <c r="Z887" s="194"/>
      <c r="AA887" s="194"/>
      <c r="AB887" s="194"/>
      <c r="AC887" s="194"/>
      <c r="AD887" s="194"/>
      <c r="AE887" s="194"/>
      <c r="AF887" s="194"/>
    </row>
    <row r="888" spans="1:32" x14ac:dyDescent="0.25">
      <c r="A888" s="194"/>
      <c r="B888" s="194"/>
      <c r="C888" s="194"/>
      <c r="D888" s="194"/>
      <c r="E888" s="194"/>
      <c r="F888" s="194"/>
      <c r="G888" s="194"/>
      <c r="H888" s="194"/>
      <c r="I888" s="194"/>
      <c r="J888" s="194"/>
      <c r="K888" s="194"/>
      <c r="L888" s="194"/>
      <c r="M888" s="194"/>
      <c r="N888" s="194"/>
      <c r="O888" s="194"/>
      <c r="P888" s="194"/>
      <c r="Q888" s="194"/>
      <c r="R888" s="194"/>
      <c r="S888" s="194"/>
      <c r="T888" s="194"/>
      <c r="U888" s="194"/>
      <c r="V888" s="194"/>
      <c r="W888" s="194"/>
      <c r="X888" s="194"/>
      <c r="Y888" s="194"/>
      <c r="Z888" s="194"/>
      <c r="AA888" s="194"/>
      <c r="AB888" s="194"/>
      <c r="AC888" s="194"/>
      <c r="AD888" s="194"/>
      <c r="AE888" s="194"/>
      <c r="AF888" s="194"/>
    </row>
    <row r="889" spans="1:32" x14ac:dyDescent="0.25">
      <c r="A889" s="194"/>
      <c r="B889" s="194"/>
      <c r="C889" s="194"/>
      <c r="D889" s="194"/>
      <c r="E889" s="194"/>
      <c r="F889" s="194"/>
      <c r="G889" s="194"/>
      <c r="H889" s="194"/>
      <c r="I889" s="194"/>
      <c r="J889" s="194"/>
      <c r="K889" s="194"/>
      <c r="L889" s="194"/>
      <c r="M889" s="194"/>
      <c r="N889" s="194"/>
      <c r="O889" s="194"/>
      <c r="P889" s="194"/>
      <c r="Q889" s="194"/>
      <c r="R889" s="194"/>
      <c r="S889" s="194"/>
      <c r="T889" s="194"/>
      <c r="U889" s="194"/>
      <c r="V889" s="194"/>
      <c r="W889" s="194"/>
      <c r="X889" s="194"/>
      <c r="Y889" s="194"/>
      <c r="Z889" s="194"/>
      <c r="AA889" s="194"/>
      <c r="AB889" s="194"/>
      <c r="AC889" s="194"/>
      <c r="AD889" s="194"/>
      <c r="AE889" s="194"/>
      <c r="AF889" s="194"/>
    </row>
    <row r="890" spans="1:32" x14ac:dyDescent="0.25">
      <c r="A890" s="194"/>
      <c r="B890" s="194"/>
      <c r="C890" s="194"/>
      <c r="D890" s="194"/>
      <c r="E890" s="194"/>
      <c r="F890" s="194"/>
      <c r="G890" s="194"/>
      <c r="H890" s="194"/>
      <c r="I890" s="194"/>
      <c r="J890" s="194"/>
      <c r="K890" s="194"/>
      <c r="L890" s="194"/>
      <c r="M890" s="194"/>
      <c r="N890" s="194"/>
      <c r="O890" s="194"/>
      <c r="P890" s="194"/>
      <c r="Q890" s="194"/>
      <c r="R890" s="194"/>
      <c r="S890" s="194"/>
      <c r="T890" s="194"/>
      <c r="U890" s="194"/>
      <c r="V890" s="194"/>
      <c r="W890" s="194"/>
      <c r="X890" s="194"/>
      <c r="Y890" s="194"/>
      <c r="Z890" s="194"/>
      <c r="AA890" s="194"/>
      <c r="AB890" s="194"/>
      <c r="AC890" s="194"/>
      <c r="AD890" s="194"/>
      <c r="AE890" s="194"/>
      <c r="AF890" s="194"/>
    </row>
    <row r="891" spans="1:32" x14ac:dyDescent="0.25">
      <c r="A891" s="194"/>
      <c r="B891" s="194"/>
      <c r="C891" s="194"/>
      <c r="D891" s="194"/>
      <c r="E891" s="194"/>
      <c r="F891" s="194"/>
      <c r="G891" s="194"/>
      <c r="H891" s="194"/>
      <c r="I891" s="194"/>
      <c r="J891" s="194"/>
      <c r="K891" s="194"/>
      <c r="L891" s="194"/>
      <c r="M891" s="194"/>
      <c r="N891" s="194"/>
      <c r="O891" s="194"/>
      <c r="P891" s="194"/>
      <c r="Q891" s="194"/>
      <c r="R891" s="194"/>
      <c r="S891" s="194"/>
      <c r="T891" s="194"/>
      <c r="U891" s="194"/>
      <c r="V891" s="194"/>
      <c r="W891" s="194"/>
      <c r="X891" s="194"/>
      <c r="Y891" s="194"/>
      <c r="Z891" s="194"/>
      <c r="AA891" s="194"/>
      <c r="AB891" s="194"/>
      <c r="AC891" s="194"/>
      <c r="AD891" s="194"/>
      <c r="AE891" s="194"/>
      <c r="AF891" s="194"/>
    </row>
    <row r="892" spans="1:32" x14ac:dyDescent="0.25">
      <c r="A892" s="194"/>
      <c r="B892" s="194"/>
      <c r="C892" s="194"/>
      <c r="D892" s="194"/>
      <c r="E892" s="194"/>
      <c r="F892" s="194"/>
      <c r="G892" s="194"/>
      <c r="H892" s="194"/>
      <c r="I892" s="194"/>
      <c r="J892" s="194"/>
      <c r="K892" s="194"/>
      <c r="L892" s="194"/>
      <c r="M892" s="194"/>
      <c r="N892" s="194"/>
      <c r="O892" s="194"/>
      <c r="P892" s="194"/>
      <c r="Q892" s="194"/>
      <c r="R892" s="194"/>
      <c r="S892" s="194"/>
      <c r="T892" s="194"/>
      <c r="U892" s="194"/>
      <c r="V892" s="194"/>
      <c r="W892" s="194"/>
      <c r="X892" s="194"/>
      <c r="Y892" s="194"/>
      <c r="Z892" s="194"/>
      <c r="AA892" s="194"/>
      <c r="AB892" s="194"/>
      <c r="AC892" s="194"/>
      <c r="AD892" s="194"/>
      <c r="AE892" s="194"/>
      <c r="AF892" s="194"/>
    </row>
    <row r="893" spans="1:32" x14ac:dyDescent="0.25">
      <c r="A893" s="194"/>
      <c r="B893" s="194"/>
      <c r="C893" s="194"/>
      <c r="D893" s="194"/>
      <c r="E893" s="194"/>
      <c r="F893" s="194"/>
      <c r="G893" s="194"/>
      <c r="H893" s="194"/>
      <c r="I893" s="194"/>
      <c r="J893" s="194"/>
      <c r="K893" s="194"/>
      <c r="L893" s="194"/>
      <c r="M893" s="194"/>
      <c r="N893" s="194"/>
      <c r="O893" s="194"/>
      <c r="P893" s="194"/>
      <c r="Q893" s="194"/>
      <c r="R893" s="194"/>
      <c r="S893" s="194"/>
      <c r="T893" s="194"/>
      <c r="U893" s="194"/>
      <c r="V893" s="194"/>
      <c r="W893" s="194"/>
      <c r="X893" s="194"/>
      <c r="Y893" s="194"/>
      <c r="Z893" s="194"/>
      <c r="AA893" s="194"/>
      <c r="AB893" s="194"/>
      <c r="AC893" s="194"/>
      <c r="AD893" s="194"/>
      <c r="AE893" s="194"/>
      <c r="AF893" s="194"/>
    </row>
    <row r="894" spans="1:32" x14ac:dyDescent="0.25">
      <c r="A894" s="194"/>
      <c r="B894" s="194"/>
      <c r="C894" s="194"/>
      <c r="D894" s="194"/>
      <c r="E894" s="194"/>
      <c r="F894" s="194"/>
      <c r="G894" s="194"/>
      <c r="H894" s="194"/>
      <c r="I894" s="194"/>
      <c r="J894" s="194"/>
      <c r="K894" s="194"/>
      <c r="L894" s="194"/>
      <c r="M894" s="194"/>
      <c r="N894" s="194"/>
      <c r="O894" s="194"/>
      <c r="P894" s="194"/>
      <c r="Q894" s="194"/>
      <c r="R894" s="194"/>
      <c r="S894" s="194"/>
      <c r="T894" s="194"/>
      <c r="U894" s="194"/>
      <c r="V894" s="194"/>
      <c r="W894" s="194"/>
      <c r="X894" s="194"/>
      <c r="Y894" s="194"/>
      <c r="Z894" s="194"/>
      <c r="AA894" s="194"/>
      <c r="AB894" s="194"/>
      <c r="AC894" s="194"/>
      <c r="AD894" s="194"/>
      <c r="AE894" s="194"/>
      <c r="AF894" s="194"/>
    </row>
    <row r="895" spans="1:32" x14ac:dyDescent="0.25">
      <c r="A895" s="194"/>
      <c r="B895" s="194"/>
      <c r="C895" s="194"/>
      <c r="D895" s="194"/>
      <c r="E895" s="194"/>
      <c r="F895" s="194"/>
      <c r="G895" s="194"/>
      <c r="H895" s="194"/>
      <c r="I895" s="194"/>
      <c r="J895" s="194"/>
      <c r="K895" s="194"/>
      <c r="L895" s="194"/>
      <c r="M895" s="194"/>
      <c r="N895" s="194"/>
      <c r="O895" s="194"/>
      <c r="P895" s="194"/>
      <c r="Q895" s="194"/>
      <c r="R895" s="194"/>
      <c r="S895" s="194"/>
      <c r="T895" s="194"/>
      <c r="U895" s="194"/>
      <c r="V895" s="194"/>
      <c r="W895" s="194"/>
      <c r="X895" s="194"/>
      <c r="Y895" s="194"/>
      <c r="Z895" s="194"/>
      <c r="AA895" s="194"/>
      <c r="AB895" s="194"/>
      <c r="AC895" s="194"/>
      <c r="AD895" s="194"/>
      <c r="AE895" s="194"/>
      <c r="AF895" s="194"/>
    </row>
    <row r="896" spans="1:32" x14ac:dyDescent="0.25">
      <c r="A896" s="194"/>
      <c r="B896" s="194"/>
      <c r="C896" s="194"/>
      <c r="D896" s="194"/>
      <c r="E896" s="194"/>
      <c r="F896" s="194"/>
      <c r="G896" s="194"/>
      <c r="H896" s="194"/>
      <c r="I896" s="194"/>
      <c r="J896" s="194"/>
      <c r="K896" s="194"/>
      <c r="L896" s="194"/>
      <c r="M896" s="194"/>
      <c r="N896" s="194"/>
      <c r="O896" s="194"/>
      <c r="P896" s="194"/>
      <c r="Q896" s="194"/>
      <c r="R896" s="194"/>
      <c r="S896" s="194"/>
      <c r="T896" s="194"/>
      <c r="U896" s="194"/>
      <c r="V896" s="194"/>
      <c r="W896" s="194"/>
      <c r="X896" s="194"/>
      <c r="Y896" s="194"/>
      <c r="Z896" s="194"/>
      <c r="AA896" s="194"/>
      <c r="AB896" s="194"/>
      <c r="AC896" s="194"/>
      <c r="AD896" s="194"/>
      <c r="AE896" s="194"/>
      <c r="AF896" s="194"/>
    </row>
    <row r="897" spans="1:32" x14ac:dyDescent="0.25">
      <c r="A897" s="194"/>
      <c r="B897" s="194"/>
      <c r="C897" s="194"/>
      <c r="D897" s="194"/>
      <c r="E897" s="194"/>
      <c r="F897" s="194"/>
      <c r="G897" s="194"/>
      <c r="H897" s="194"/>
      <c r="I897" s="194"/>
      <c r="J897" s="194"/>
      <c r="K897" s="194"/>
      <c r="L897" s="194"/>
      <c r="M897" s="194"/>
      <c r="N897" s="194"/>
      <c r="O897" s="194"/>
      <c r="P897" s="194"/>
      <c r="Q897" s="194"/>
      <c r="R897" s="194"/>
      <c r="S897" s="194"/>
      <c r="T897" s="194"/>
      <c r="U897" s="194"/>
      <c r="V897" s="194"/>
      <c r="W897" s="194"/>
      <c r="X897" s="194"/>
      <c r="Y897" s="194"/>
      <c r="Z897" s="194"/>
      <c r="AA897" s="194"/>
      <c r="AB897" s="194"/>
      <c r="AC897" s="194"/>
      <c r="AD897" s="194"/>
      <c r="AE897" s="194"/>
      <c r="AF897" s="194"/>
    </row>
    <row r="898" spans="1:32" x14ac:dyDescent="0.25">
      <c r="A898" s="194"/>
      <c r="B898" s="194"/>
      <c r="C898" s="194"/>
      <c r="D898" s="194"/>
      <c r="E898" s="194"/>
      <c r="F898" s="194"/>
      <c r="G898" s="194"/>
      <c r="H898" s="194"/>
      <c r="I898" s="194"/>
      <c r="J898" s="194"/>
      <c r="K898" s="194"/>
      <c r="L898" s="194"/>
      <c r="M898" s="194"/>
      <c r="N898" s="194"/>
      <c r="O898" s="194"/>
      <c r="P898" s="194"/>
      <c r="Q898" s="194"/>
      <c r="R898" s="194"/>
      <c r="S898" s="194"/>
      <c r="T898" s="194"/>
      <c r="U898" s="194"/>
      <c r="V898" s="194"/>
      <c r="W898" s="194"/>
      <c r="X898" s="194"/>
      <c r="Y898" s="194"/>
      <c r="Z898" s="194"/>
      <c r="AA898" s="194"/>
      <c r="AB898" s="194"/>
      <c r="AC898" s="194"/>
      <c r="AD898" s="194"/>
      <c r="AE898" s="194"/>
      <c r="AF898" s="194"/>
    </row>
    <row r="899" spans="1:32" x14ac:dyDescent="0.25">
      <c r="A899" s="194"/>
      <c r="B899" s="194"/>
      <c r="C899" s="194"/>
      <c r="D899" s="194"/>
      <c r="E899" s="194"/>
      <c r="F899" s="194"/>
      <c r="G899" s="194"/>
      <c r="H899" s="194"/>
      <c r="I899" s="194"/>
      <c r="J899" s="194"/>
      <c r="K899" s="194"/>
      <c r="L899" s="194"/>
      <c r="M899" s="194"/>
      <c r="N899" s="194"/>
      <c r="O899" s="194"/>
      <c r="P899" s="194"/>
      <c r="Q899" s="194"/>
      <c r="R899" s="194"/>
      <c r="S899" s="194"/>
      <c r="T899" s="194"/>
      <c r="U899" s="194"/>
      <c r="V899" s="194"/>
      <c r="W899" s="194"/>
      <c r="X899" s="194"/>
      <c r="Y899" s="194"/>
      <c r="Z899" s="194"/>
      <c r="AA899" s="194"/>
      <c r="AB899" s="194"/>
      <c r="AC899" s="194"/>
      <c r="AD899" s="194"/>
      <c r="AE899" s="194"/>
      <c r="AF899" s="194"/>
    </row>
    <row r="900" spans="1:32" x14ac:dyDescent="0.25">
      <c r="A900" s="194"/>
      <c r="B900" s="194"/>
      <c r="C900" s="194"/>
      <c r="D900" s="194"/>
      <c r="E900" s="194"/>
      <c r="F900" s="194"/>
      <c r="G900" s="194"/>
      <c r="H900" s="194"/>
      <c r="I900" s="194"/>
      <c r="J900" s="194"/>
      <c r="K900" s="194"/>
      <c r="L900" s="194"/>
      <c r="M900" s="194"/>
      <c r="N900" s="194"/>
      <c r="O900" s="194"/>
      <c r="P900" s="194"/>
      <c r="Q900" s="194"/>
      <c r="R900" s="194"/>
      <c r="S900" s="194"/>
      <c r="T900" s="194"/>
      <c r="U900" s="194"/>
      <c r="V900" s="194"/>
      <c r="W900" s="194"/>
      <c r="X900" s="194"/>
      <c r="Y900" s="194"/>
      <c r="Z900" s="194"/>
      <c r="AA900" s="194"/>
      <c r="AB900" s="194"/>
      <c r="AC900" s="194"/>
      <c r="AD900" s="194"/>
      <c r="AE900" s="194"/>
      <c r="AF900" s="194"/>
    </row>
    <row r="901" spans="1:32" x14ac:dyDescent="0.25">
      <c r="A901" s="194"/>
      <c r="B901" s="194"/>
      <c r="C901" s="194"/>
      <c r="D901" s="194"/>
      <c r="E901" s="194"/>
      <c r="F901" s="194"/>
      <c r="G901" s="194"/>
      <c r="H901" s="194"/>
      <c r="I901" s="194"/>
      <c r="J901" s="194"/>
      <c r="K901" s="194"/>
      <c r="L901" s="194"/>
      <c r="M901" s="194"/>
      <c r="N901" s="194"/>
      <c r="O901" s="194"/>
      <c r="P901" s="194"/>
      <c r="Q901" s="194"/>
      <c r="R901" s="194"/>
      <c r="S901" s="194"/>
      <c r="T901" s="194"/>
      <c r="U901" s="194"/>
      <c r="V901" s="194"/>
      <c r="W901" s="194"/>
      <c r="X901" s="194"/>
      <c r="Y901" s="194"/>
      <c r="Z901" s="194"/>
      <c r="AA901" s="194"/>
      <c r="AB901" s="194"/>
      <c r="AC901" s="194"/>
      <c r="AD901" s="194"/>
      <c r="AE901" s="194"/>
      <c r="AF901" s="194"/>
    </row>
    <row r="902" spans="1:32" x14ac:dyDescent="0.25">
      <c r="A902" s="194"/>
      <c r="B902" s="194"/>
      <c r="C902" s="194"/>
      <c r="D902" s="194"/>
      <c r="E902" s="194"/>
      <c r="F902" s="194"/>
      <c r="G902" s="194"/>
      <c r="H902" s="194"/>
      <c r="I902" s="194"/>
      <c r="J902" s="194"/>
      <c r="K902" s="194"/>
      <c r="L902" s="194"/>
      <c r="M902" s="194"/>
      <c r="N902" s="194"/>
      <c r="O902" s="194"/>
      <c r="P902" s="194"/>
      <c r="Q902" s="194"/>
      <c r="R902" s="194"/>
      <c r="S902" s="194"/>
      <c r="T902" s="194"/>
      <c r="U902" s="194"/>
      <c r="V902" s="194"/>
      <c r="W902" s="194"/>
      <c r="X902" s="194"/>
      <c r="Y902" s="194"/>
      <c r="Z902" s="194"/>
      <c r="AA902" s="194"/>
      <c r="AB902" s="194"/>
      <c r="AC902" s="194"/>
      <c r="AD902" s="194"/>
      <c r="AE902" s="194"/>
      <c r="AF902" s="194"/>
    </row>
    <row r="903" spans="1:32" x14ac:dyDescent="0.25">
      <c r="A903" s="194"/>
      <c r="B903" s="194"/>
      <c r="C903" s="194"/>
      <c r="D903" s="194"/>
      <c r="E903" s="194"/>
      <c r="F903" s="194"/>
      <c r="G903" s="194"/>
      <c r="H903" s="194"/>
      <c r="I903" s="194"/>
      <c r="J903" s="194"/>
      <c r="K903" s="194"/>
      <c r="L903" s="194"/>
      <c r="M903" s="194"/>
      <c r="N903" s="194"/>
      <c r="O903" s="194"/>
      <c r="P903" s="194"/>
      <c r="Q903" s="194"/>
      <c r="R903" s="194"/>
      <c r="S903" s="194"/>
      <c r="T903" s="194"/>
      <c r="U903" s="194"/>
      <c r="V903" s="194"/>
      <c r="W903" s="194"/>
      <c r="X903" s="194"/>
      <c r="Y903" s="194"/>
      <c r="Z903" s="194"/>
      <c r="AA903" s="194"/>
      <c r="AB903" s="194"/>
      <c r="AC903" s="194"/>
      <c r="AD903" s="194"/>
      <c r="AE903" s="194"/>
      <c r="AF903" s="194"/>
    </row>
    <row r="904" spans="1:32" x14ac:dyDescent="0.25">
      <c r="A904" s="194"/>
      <c r="B904" s="194"/>
      <c r="C904" s="194"/>
      <c r="D904" s="194"/>
      <c r="E904" s="194"/>
      <c r="F904" s="194"/>
      <c r="G904" s="194"/>
      <c r="H904" s="194"/>
      <c r="I904" s="194"/>
      <c r="J904" s="194"/>
      <c r="K904" s="194"/>
      <c r="L904" s="194"/>
      <c r="M904" s="194"/>
      <c r="N904" s="194"/>
      <c r="O904" s="194"/>
      <c r="P904" s="194"/>
      <c r="Q904" s="194"/>
      <c r="R904" s="194"/>
      <c r="S904" s="194"/>
      <c r="T904" s="194"/>
      <c r="U904" s="194"/>
      <c r="V904" s="194"/>
      <c r="W904" s="194"/>
      <c r="X904" s="194"/>
      <c r="Y904" s="194"/>
      <c r="Z904" s="194"/>
      <c r="AA904" s="194"/>
      <c r="AB904" s="194"/>
      <c r="AC904" s="194"/>
      <c r="AD904" s="194"/>
      <c r="AE904" s="194"/>
      <c r="AF904" s="194"/>
    </row>
    <row r="905" spans="1:32" x14ac:dyDescent="0.25">
      <c r="A905" s="194"/>
      <c r="B905" s="194"/>
      <c r="C905" s="194"/>
      <c r="D905" s="194"/>
      <c r="E905" s="194"/>
      <c r="F905" s="194"/>
      <c r="G905" s="194"/>
      <c r="H905" s="194"/>
      <c r="I905" s="194"/>
      <c r="J905" s="194"/>
      <c r="K905" s="194"/>
      <c r="L905" s="194"/>
      <c r="M905" s="194"/>
      <c r="N905" s="194"/>
      <c r="O905" s="194"/>
      <c r="P905" s="194"/>
      <c r="Q905" s="194"/>
      <c r="R905" s="194"/>
      <c r="S905" s="194"/>
      <c r="T905" s="194"/>
      <c r="U905" s="194"/>
      <c r="V905" s="194"/>
      <c r="W905" s="194"/>
      <c r="X905" s="194"/>
      <c r="Y905" s="194"/>
      <c r="Z905" s="194"/>
      <c r="AA905" s="194"/>
      <c r="AB905" s="194"/>
      <c r="AC905" s="194"/>
      <c r="AD905" s="194"/>
      <c r="AE905" s="194"/>
      <c r="AF905" s="194"/>
    </row>
    <row r="906" spans="1:32" x14ac:dyDescent="0.25">
      <c r="A906" s="194"/>
      <c r="B906" s="194"/>
      <c r="C906" s="194"/>
      <c r="D906" s="194"/>
      <c r="E906" s="194"/>
      <c r="F906" s="194"/>
      <c r="G906" s="194"/>
      <c r="H906" s="194"/>
      <c r="I906" s="194"/>
      <c r="J906" s="194"/>
      <c r="K906" s="194"/>
      <c r="L906" s="194"/>
      <c r="M906" s="194"/>
      <c r="N906" s="194"/>
      <c r="O906" s="194"/>
      <c r="P906" s="194"/>
      <c r="Q906" s="194"/>
      <c r="R906" s="194"/>
      <c r="S906" s="194"/>
      <c r="T906" s="194"/>
      <c r="U906" s="194"/>
      <c r="V906" s="194"/>
      <c r="W906" s="194"/>
      <c r="X906" s="194"/>
      <c r="Y906" s="194"/>
      <c r="Z906" s="194"/>
      <c r="AA906" s="194"/>
      <c r="AB906" s="194"/>
      <c r="AC906" s="194"/>
      <c r="AD906" s="194"/>
      <c r="AE906" s="194"/>
      <c r="AF906" s="194"/>
    </row>
    <row r="907" spans="1:32" x14ac:dyDescent="0.25">
      <c r="A907" s="194"/>
      <c r="B907" s="194"/>
      <c r="C907" s="194"/>
      <c r="D907" s="194"/>
      <c r="E907" s="194"/>
      <c r="F907" s="194"/>
      <c r="G907" s="194"/>
      <c r="H907" s="194"/>
      <c r="I907" s="194"/>
      <c r="J907" s="194"/>
      <c r="K907" s="194"/>
      <c r="L907" s="194"/>
      <c r="M907" s="194"/>
      <c r="N907" s="194"/>
      <c r="O907" s="194"/>
      <c r="P907" s="194"/>
      <c r="Q907" s="194"/>
      <c r="R907" s="194"/>
      <c r="S907" s="194"/>
      <c r="T907" s="194"/>
      <c r="U907" s="194"/>
      <c r="V907" s="194"/>
      <c r="W907" s="194"/>
      <c r="X907" s="194"/>
      <c r="Y907" s="194"/>
      <c r="Z907" s="194"/>
      <c r="AA907" s="194"/>
      <c r="AB907" s="194"/>
      <c r="AC907" s="194"/>
      <c r="AD907" s="194"/>
      <c r="AE907" s="194"/>
      <c r="AF907" s="194"/>
    </row>
    <row r="908" spans="1:32" x14ac:dyDescent="0.25">
      <c r="A908" s="194"/>
      <c r="B908" s="194"/>
      <c r="C908" s="194"/>
      <c r="D908" s="194"/>
      <c r="E908" s="194"/>
      <c r="F908" s="194"/>
      <c r="G908" s="194"/>
      <c r="H908" s="194"/>
      <c r="I908" s="194"/>
      <c r="J908" s="194"/>
      <c r="K908" s="194"/>
      <c r="L908" s="194"/>
      <c r="M908" s="194"/>
      <c r="N908" s="194"/>
      <c r="O908" s="194"/>
      <c r="P908" s="194"/>
      <c r="Q908" s="194"/>
      <c r="R908" s="194"/>
      <c r="S908" s="194"/>
      <c r="T908" s="194"/>
      <c r="U908" s="194"/>
      <c r="V908" s="194"/>
      <c r="W908" s="194"/>
      <c r="X908" s="194"/>
      <c r="Y908" s="194"/>
      <c r="Z908" s="194"/>
      <c r="AA908" s="194"/>
      <c r="AB908" s="194"/>
      <c r="AC908" s="194"/>
      <c r="AD908" s="194"/>
      <c r="AE908" s="194"/>
      <c r="AF908" s="194"/>
    </row>
    <row r="909" spans="1:32" x14ac:dyDescent="0.25">
      <c r="A909" s="194"/>
      <c r="B909" s="194"/>
      <c r="C909" s="194"/>
      <c r="D909" s="194"/>
      <c r="E909" s="194"/>
      <c r="F909" s="194"/>
      <c r="G909" s="194"/>
      <c r="H909" s="194"/>
      <c r="I909" s="194"/>
      <c r="J909" s="194"/>
      <c r="K909" s="194"/>
      <c r="L909" s="194"/>
      <c r="M909" s="194"/>
      <c r="N909" s="194"/>
      <c r="O909" s="194"/>
      <c r="P909" s="194"/>
      <c r="Q909" s="194"/>
      <c r="R909" s="194"/>
      <c r="S909" s="194"/>
      <c r="T909" s="194"/>
      <c r="U909" s="194"/>
      <c r="V909" s="194"/>
      <c r="W909" s="194"/>
      <c r="X909" s="194"/>
      <c r="Y909" s="194"/>
      <c r="Z909" s="194"/>
      <c r="AA909" s="194"/>
      <c r="AB909" s="194"/>
      <c r="AC909" s="194"/>
      <c r="AD909" s="194"/>
      <c r="AE909" s="194"/>
      <c r="AF909" s="194"/>
    </row>
    <row r="910" spans="1:32" x14ac:dyDescent="0.25">
      <c r="A910" s="194"/>
      <c r="B910" s="194"/>
      <c r="C910" s="194"/>
      <c r="D910" s="194"/>
      <c r="E910" s="194"/>
      <c r="F910" s="194"/>
      <c r="G910" s="194"/>
      <c r="H910" s="194"/>
      <c r="I910" s="194"/>
      <c r="J910" s="194"/>
      <c r="K910" s="194"/>
      <c r="L910" s="194"/>
      <c r="M910" s="194"/>
      <c r="N910" s="194"/>
      <c r="O910" s="194"/>
      <c r="P910" s="194"/>
      <c r="Q910" s="194"/>
      <c r="R910" s="194"/>
      <c r="S910" s="194"/>
      <c r="T910" s="194"/>
      <c r="U910" s="194"/>
      <c r="V910" s="194"/>
      <c r="W910" s="194"/>
      <c r="X910" s="194"/>
      <c r="Y910" s="194"/>
      <c r="Z910" s="194"/>
      <c r="AA910" s="194"/>
      <c r="AB910" s="194"/>
      <c r="AC910" s="194"/>
      <c r="AD910" s="194"/>
      <c r="AE910" s="194"/>
      <c r="AF910" s="194"/>
    </row>
    <row r="911" spans="1:32" x14ac:dyDescent="0.25">
      <c r="A911" s="194"/>
      <c r="B911" s="194"/>
      <c r="C911" s="194"/>
      <c r="D911" s="194"/>
      <c r="E911" s="194"/>
      <c r="F911" s="194"/>
      <c r="G911" s="194"/>
      <c r="H911" s="194"/>
      <c r="I911" s="194"/>
      <c r="J911" s="194"/>
      <c r="K911" s="194"/>
      <c r="L911" s="194"/>
      <c r="M911" s="194"/>
      <c r="N911" s="194"/>
      <c r="O911" s="194"/>
      <c r="P911" s="194"/>
      <c r="Q911" s="194"/>
      <c r="R911" s="194"/>
      <c r="S911" s="194"/>
      <c r="T911" s="194"/>
      <c r="U911" s="194"/>
      <c r="V911" s="194"/>
      <c r="W911" s="194"/>
      <c r="X911" s="194"/>
      <c r="Y911" s="194"/>
      <c r="Z911" s="194"/>
      <c r="AA911" s="194"/>
      <c r="AB911" s="194"/>
      <c r="AC911" s="194"/>
      <c r="AD911" s="194"/>
      <c r="AE911" s="194"/>
      <c r="AF911" s="194"/>
    </row>
    <row r="912" spans="1:32" x14ac:dyDescent="0.25">
      <c r="A912" s="194"/>
      <c r="B912" s="194"/>
      <c r="C912" s="194"/>
      <c r="D912" s="194"/>
      <c r="E912" s="194"/>
      <c r="F912" s="194"/>
      <c r="G912" s="194"/>
      <c r="H912" s="194"/>
      <c r="I912" s="194"/>
      <c r="J912" s="194"/>
      <c r="K912" s="194"/>
      <c r="L912" s="194"/>
      <c r="M912" s="194"/>
      <c r="N912" s="194"/>
      <c r="O912" s="194"/>
      <c r="P912" s="194"/>
      <c r="Q912" s="194"/>
      <c r="R912" s="194"/>
      <c r="S912" s="194"/>
      <c r="T912" s="194"/>
      <c r="U912" s="194"/>
      <c r="V912" s="194"/>
      <c r="W912" s="194"/>
      <c r="X912" s="194"/>
      <c r="Y912" s="194"/>
      <c r="Z912" s="194"/>
      <c r="AA912" s="194"/>
      <c r="AB912" s="194"/>
      <c r="AC912" s="194"/>
      <c r="AD912" s="194"/>
      <c r="AE912" s="194"/>
      <c r="AF912" s="194"/>
    </row>
    <row r="913" spans="1:32" x14ac:dyDescent="0.25">
      <c r="A913" s="194"/>
      <c r="B913" s="194"/>
      <c r="C913" s="194"/>
      <c r="D913" s="194"/>
      <c r="E913" s="194"/>
      <c r="F913" s="194"/>
      <c r="G913" s="194"/>
      <c r="H913" s="194"/>
      <c r="I913" s="194"/>
      <c r="J913" s="194"/>
      <c r="K913" s="194"/>
      <c r="L913" s="194"/>
      <c r="M913" s="194"/>
      <c r="N913" s="194"/>
      <c r="O913" s="194"/>
      <c r="P913" s="194"/>
      <c r="Q913" s="194"/>
      <c r="R913" s="194"/>
      <c r="S913" s="194"/>
      <c r="T913" s="194"/>
      <c r="U913" s="194"/>
      <c r="V913" s="194"/>
      <c r="W913" s="194"/>
      <c r="X913" s="194"/>
      <c r="Y913" s="194"/>
      <c r="Z913" s="194"/>
      <c r="AA913" s="194"/>
      <c r="AB913" s="194"/>
      <c r="AC913" s="194"/>
      <c r="AD913" s="194"/>
      <c r="AE913" s="194"/>
      <c r="AF913" s="194"/>
    </row>
    <row r="914" spans="1:32" x14ac:dyDescent="0.25">
      <c r="A914" s="194"/>
      <c r="B914" s="194"/>
      <c r="C914" s="194"/>
      <c r="D914" s="194"/>
      <c r="E914" s="194"/>
      <c r="F914" s="194"/>
      <c r="G914" s="194"/>
      <c r="H914" s="194"/>
      <c r="I914" s="194"/>
      <c r="J914" s="194"/>
      <c r="K914" s="194"/>
      <c r="L914" s="194"/>
      <c r="M914" s="194"/>
      <c r="N914" s="194"/>
      <c r="O914" s="194"/>
      <c r="P914" s="194"/>
      <c r="Q914" s="194"/>
      <c r="R914" s="194"/>
      <c r="S914" s="194"/>
      <c r="T914" s="194"/>
      <c r="U914" s="194"/>
      <c r="V914" s="194"/>
      <c r="W914" s="194"/>
      <c r="X914" s="194"/>
      <c r="Y914" s="194"/>
      <c r="Z914" s="194"/>
      <c r="AA914" s="194"/>
      <c r="AB914" s="194"/>
      <c r="AC914" s="194"/>
      <c r="AD914" s="194"/>
      <c r="AE914" s="194"/>
      <c r="AF914" s="194"/>
    </row>
    <row r="915" spans="1:32" x14ac:dyDescent="0.25">
      <c r="A915" s="194"/>
      <c r="B915" s="194"/>
      <c r="C915" s="194"/>
      <c r="D915" s="194"/>
      <c r="E915" s="194"/>
      <c r="F915" s="194"/>
      <c r="G915" s="194"/>
      <c r="H915" s="194"/>
      <c r="I915" s="194"/>
      <c r="J915" s="194"/>
      <c r="K915" s="194"/>
      <c r="L915" s="194"/>
      <c r="M915" s="194"/>
      <c r="N915" s="194"/>
      <c r="O915" s="194"/>
      <c r="P915" s="194"/>
      <c r="Q915" s="194"/>
      <c r="R915" s="194"/>
      <c r="S915" s="194"/>
      <c r="T915" s="194"/>
      <c r="U915" s="194"/>
      <c r="V915" s="194"/>
      <c r="W915" s="194"/>
      <c r="X915" s="194"/>
      <c r="Y915" s="194"/>
      <c r="Z915" s="194"/>
      <c r="AA915" s="194"/>
      <c r="AB915" s="194"/>
      <c r="AC915" s="194"/>
      <c r="AD915" s="194"/>
      <c r="AE915" s="194"/>
      <c r="AF915" s="194"/>
    </row>
    <row r="916" spans="1:32" x14ac:dyDescent="0.25">
      <c r="A916" s="194"/>
      <c r="B916" s="194"/>
      <c r="C916" s="194"/>
      <c r="D916" s="194"/>
      <c r="E916" s="194"/>
      <c r="F916" s="194"/>
      <c r="G916" s="194"/>
      <c r="H916" s="194"/>
      <c r="I916" s="194"/>
      <c r="J916" s="194"/>
      <c r="K916" s="194"/>
      <c r="L916" s="194"/>
      <c r="M916" s="194"/>
      <c r="N916" s="194"/>
      <c r="O916" s="194"/>
      <c r="P916" s="194"/>
      <c r="Q916" s="194"/>
      <c r="R916" s="194"/>
      <c r="S916" s="194"/>
      <c r="T916" s="194"/>
      <c r="U916" s="194"/>
      <c r="V916" s="194"/>
      <c r="W916" s="194"/>
      <c r="X916" s="194"/>
      <c r="Y916" s="194"/>
      <c r="Z916" s="194"/>
      <c r="AA916" s="194"/>
      <c r="AB916" s="194"/>
      <c r="AC916" s="194"/>
      <c r="AD916" s="194"/>
      <c r="AE916" s="194"/>
      <c r="AF916" s="194"/>
    </row>
    <row r="917" spans="1:32" x14ac:dyDescent="0.25">
      <c r="A917" s="194"/>
      <c r="B917" s="194"/>
      <c r="C917" s="194"/>
      <c r="D917" s="194"/>
      <c r="E917" s="194"/>
      <c r="F917" s="194"/>
      <c r="G917" s="194"/>
      <c r="H917" s="194"/>
      <c r="I917" s="194"/>
      <c r="J917" s="194"/>
      <c r="K917" s="194"/>
      <c r="L917" s="194"/>
      <c r="M917" s="194"/>
      <c r="N917" s="194"/>
      <c r="O917" s="194"/>
      <c r="P917" s="194"/>
      <c r="Q917" s="194"/>
      <c r="R917" s="194"/>
      <c r="S917" s="194"/>
      <c r="T917" s="194"/>
      <c r="U917" s="194"/>
      <c r="V917" s="194"/>
      <c r="W917" s="194"/>
      <c r="X917" s="194"/>
      <c r="Y917" s="194"/>
      <c r="Z917" s="194"/>
      <c r="AA917" s="194"/>
      <c r="AB917" s="194"/>
      <c r="AC917" s="194"/>
      <c r="AD917" s="194"/>
      <c r="AE917" s="194"/>
      <c r="AF917" s="194"/>
    </row>
    <row r="918" spans="1:32" x14ac:dyDescent="0.25">
      <c r="A918" s="194"/>
      <c r="B918" s="194"/>
      <c r="C918" s="194"/>
      <c r="D918" s="194"/>
      <c r="E918" s="194"/>
      <c r="F918" s="194"/>
      <c r="G918" s="194"/>
      <c r="H918" s="194"/>
      <c r="I918" s="194"/>
      <c r="J918" s="194"/>
      <c r="K918" s="194"/>
      <c r="L918" s="194"/>
      <c r="M918" s="194"/>
      <c r="N918" s="194"/>
      <c r="O918" s="194"/>
      <c r="P918" s="194"/>
      <c r="Q918" s="194"/>
      <c r="R918" s="194"/>
      <c r="S918" s="194"/>
      <c r="T918" s="194"/>
      <c r="U918" s="194"/>
      <c r="V918" s="194"/>
      <c r="W918" s="194"/>
      <c r="X918" s="194"/>
      <c r="Y918" s="194"/>
      <c r="Z918" s="194"/>
      <c r="AA918" s="194"/>
      <c r="AB918" s="194"/>
      <c r="AC918" s="194"/>
      <c r="AD918" s="194"/>
      <c r="AE918" s="194"/>
      <c r="AF918" s="194"/>
    </row>
    <row r="919" spans="1:32" x14ac:dyDescent="0.25">
      <c r="A919" s="194"/>
      <c r="B919" s="194"/>
      <c r="C919" s="194"/>
      <c r="D919" s="194"/>
      <c r="E919" s="194"/>
      <c r="F919" s="194"/>
      <c r="G919" s="194"/>
      <c r="H919" s="194"/>
      <c r="I919" s="194"/>
      <c r="J919" s="194"/>
      <c r="K919" s="194"/>
      <c r="L919" s="194"/>
      <c r="M919" s="194"/>
      <c r="N919" s="194"/>
      <c r="O919" s="194"/>
      <c r="P919" s="194"/>
      <c r="Q919" s="194"/>
      <c r="R919" s="194"/>
      <c r="S919" s="194"/>
      <c r="T919" s="194"/>
      <c r="U919" s="194"/>
      <c r="V919" s="194"/>
      <c r="W919" s="194"/>
      <c r="X919" s="194"/>
      <c r="Y919" s="194"/>
      <c r="Z919" s="194"/>
      <c r="AA919" s="194"/>
      <c r="AB919" s="194"/>
      <c r="AC919" s="194"/>
      <c r="AD919" s="194"/>
      <c r="AE919" s="194"/>
      <c r="AF919" s="194"/>
    </row>
    <row r="920" spans="1:32" x14ac:dyDescent="0.25">
      <c r="A920" s="194"/>
      <c r="B920" s="194"/>
      <c r="C920" s="194"/>
      <c r="D920" s="194"/>
      <c r="E920" s="194"/>
      <c r="F920" s="194"/>
      <c r="G920" s="194"/>
      <c r="H920" s="194"/>
      <c r="I920" s="194"/>
      <c r="J920" s="194"/>
      <c r="K920" s="194"/>
      <c r="L920" s="194"/>
      <c r="M920" s="194"/>
      <c r="N920" s="194"/>
      <c r="O920" s="194"/>
      <c r="P920" s="194"/>
      <c r="Q920" s="194"/>
      <c r="R920" s="194"/>
      <c r="S920" s="194"/>
      <c r="T920" s="194"/>
      <c r="U920" s="194"/>
      <c r="V920" s="194"/>
      <c r="W920" s="194"/>
      <c r="X920" s="194"/>
      <c r="Y920" s="194"/>
      <c r="Z920" s="194"/>
      <c r="AA920" s="194"/>
      <c r="AB920" s="194"/>
      <c r="AC920" s="194"/>
      <c r="AD920" s="194"/>
      <c r="AE920" s="194"/>
      <c r="AF920" s="194"/>
    </row>
    <row r="921" spans="1:32" x14ac:dyDescent="0.25">
      <c r="A921" s="194"/>
      <c r="B921" s="194"/>
      <c r="C921" s="194"/>
      <c r="D921" s="194"/>
      <c r="E921" s="194"/>
      <c r="F921" s="194"/>
      <c r="G921" s="194"/>
      <c r="H921" s="194"/>
      <c r="I921" s="194"/>
      <c r="J921" s="194"/>
      <c r="K921" s="194"/>
      <c r="L921" s="194"/>
      <c r="M921" s="194"/>
      <c r="N921" s="194"/>
      <c r="O921" s="194"/>
      <c r="P921" s="194"/>
      <c r="Q921" s="194"/>
      <c r="R921" s="194"/>
      <c r="S921" s="194"/>
      <c r="T921" s="194"/>
      <c r="U921" s="194"/>
      <c r="V921" s="194"/>
      <c r="W921" s="194"/>
      <c r="X921" s="194"/>
      <c r="Y921" s="194"/>
      <c r="Z921" s="194"/>
      <c r="AA921" s="194"/>
      <c r="AB921" s="194"/>
      <c r="AC921" s="194"/>
      <c r="AD921" s="194"/>
      <c r="AE921" s="194"/>
      <c r="AF921" s="194"/>
    </row>
    <row r="922" spans="1:32" x14ac:dyDescent="0.25">
      <c r="A922" s="194"/>
      <c r="B922" s="194"/>
      <c r="C922" s="194"/>
      <c r="D922" s="194"/>
      <c r="E922" s="194"/>
      <c r="F922" s="194"/>
      <c r="G922" s="194"/>
      <c r="H922" s="194"/>
      <c r="I922" s="194"/>
      <c r="J922" s="194"/>
      <c r="K922" s="194"/>
      <c r="L922" s="194"/>
      <c r="M922" s="194"/>
      <c r="N922" s="194"/>
      <c r="O922" s="194"/>
      <c r="P922" s="194"/>
      <c r="Q922" s="194"/>
      <c r="R922" s="194"/>
      <c r="S922" s="194"/>
      <c r="T922" s="194"/>
      <c r="U922" s="194"/>
      <c r="V922" s="194"/>
      <c r="W922" s="194"/>
      <c r="X922" s="194"/>
      <c r="Y922" s="194"/>
      <c r="Z922" s="194"/>
      <c r="AA922" s="194"/>
      <c r="AB922" s="194"/>
      <c r="AC922" s="194"/>
      <c r="AD922" s="194"/>
      <c r="AE922" s="194"/>
      <c r="AF922" s="194"/>
    </row>
    <row r="923" spans="1:32" x14ac:dyDescent="0.25">
      <c r="A923" s="194"/>
      <c r="B923" s="194"/>
      <c r="C923" s="194"/>
      <c r="D923" s="194"/>
      <c r="E923" s="194"/>
      <c r="F923" s="194"/>
      <c r="G923" s="194"/>
      <c r="H923" s="194"/>
      <c r="I923" s="194"/>
      <c r="J923" s="194"/>
      <c r="K923" s="194"/>
      <c r="L923" s="194"/>
      <c r="M923" s="194"/>
      <c r="N923" s="194"/>
      <c r="O923" s="194"/>
      <c r="P923" s="194"/>
      <c r="Q923" s="194"/>
      <c r="R923" s="194"/>
      <c r="S923" s="194"/>
      <c r="T923" s="194"/>
      <c r="U923" s="194"/>
      <c r="V923" s="194"/>
      <c r="W923" s="194"/>
      <c r="X923" s="194"/>
      <c r="Y923" s="194"/>
      <c r="Z923" s="194"/>
      <c r="AA923" s="194"/>
      <c r="AB923" s="194"/>
      <c r="AC923" s="194"/>
      <c r="AD923" s="194"/>
      <c r="AE923" s="194"/>
      <c r="AF923" s="194"/>
    </row>
    <row r="924" spans="1:32" x14ac:dyDescent="0.25">
      <c r="A924" s="194"/>
      <c r="B924" s="194"/>
      <c r="C924" s="194"/>
      <c r="D924" s="194"/>
      <c r="E924" s="194"/>
      <c r="F924" s="194"/>
      <c r="G924" s="194"/>
      <c r="H924" s="194"/>
      <c r="I924" s="194"/>
      <c r="J924" s="194"/>
      <c r="K924" s="194"/>
      <c r="L924" s="194"/>
      <c r="M924" s="194"/>
      <c r="N924" s="194"/>
      <c r="O924" s="194"/>
      <c r="P924" s="194"/>
      <c r="Q924" s="194"/>
      <c r="R924" s="194"/>
      <c r="S924" s="194"/>
      <c r="T924" s="194"/>
      <c r="U924" s="194"/>
      <c r="V924" s="194"/>
      <c r="W924" s="194"/>
      <c r="X924" s="194"/>
      <c r="Y924" s="194"/>
      <c r="Z924" s="194"/>
      <c r="AA924" s="194"/>
      <c r="AB924" s="194"/>
      <c r="AC924" s="194"/>
      <c r="AD924" s="194"/>
      <c r="AE924" s="194"/>
      <c r="AF924" s="194"/>
    </row>
    <row r="925" spans="1:32" x14ac:dyDescent="0.25">
      <c r="A925" s="194"/>
      <c r="B925" s="194"/>
      <c r="C925" s="194"/>
      <c r="D925" s="194"/>
      <c r="E925" s="194"/>
      <c r="F925" s="194"/>
      <c r="G925" s="194"/>
      <c r="H925" s="194"/>
      <c r="I925" s="194"/>
      <c r="J925" s="194"/>
      <c r="K925" s="194"/>
      <c r="L925" s="194"/>
      <c r="M925" s="194"/>
      <c r="N925" s="194"/>
      <c r="O925" s="194"/>
      <c r="P925" s="194"/>
      <c r="Q925" s="194"/>
      <c r="R925" s="194"/>
      <c r="S925" s="194"/>
      <c r="T925" s="194"/>
      <c r="U925" s="194"/>
      <c r="V925" s="194"/>
      <c r="W925" s="194"/>
      <c r="X925" s="194"/>
      <c r="Y925" s="194"/>
      <c r="Z925" s="194"/>
      <c r="AA925" s="194"/>
      <c r="AB925" s="194"/>
      <c r="AC925" s="194"/>
      <c r="AD925" s="194"/>
      <c r="AE925" s="194"/>
      <c r="AF925" s="194"/>
    </row>
    <row r="926" spans="1:32" x14ac:dyDescent="0.25">
      <c r="A926" s="194"/>
      <c r="B926" s="194"/>
      <c r="C926" s="194"/>
      <c r="D926" s="194"/>
      <c r="E926" s="194"/>
      <c r="F926" s="194"/>
      <c r="G926" s="194"/>
      <c r="H926" s="194"/>
      <c r="I926" s="194"/>
      <c r="J926" s="194"/>
      <c r="K926" s="194"/>
      <c r="L926" s="194"/>
      <c r="M926" s="194"/>
      <c r="N926" s="194"/>
      <c r="O926" s="194"/>
      <c r="P926" s="194"/>
      <c r="Q926" s="194"/>
      <c r="R926" s="194"/>
      <c r="S926" s="194"/>
      <c r="T926" s="194"/>
      <c r="U926" s="194"/>
      <c r="V926" s="194"/>
      <c r="W926" s="194"/>
      <c r="X926" s="194"/>
      <c r="Y926" s="194"/>
      <c r="Z926" s="194"/>
      <c r="AA926" s="194"/>
      <c r="AB926" s="194"/>
      <c r="AC926" s="194"/>
      <c r="AD926" s="194"/>
      <c r="AE926" s="194"/>
      <c r="AF926" s="194"/>
    </row>
    <row r="927" spans="1:32" x14ac:dyDescent="0.25">
      <c r="A927" s="194"/>
      <c r="B927" s="194"/>
      <c r="C927" s="194"/>
      <c r="D927" s="194"/>
      <c r="E927" s="194"/>
      <c r="F927" s="194"/>
      <c r="G927" s="194"/>
      <c r="H927" s="194"/>
      <c r="I927" s="194"/>
      <c r="J927" s="194"/>
      <c r="K927" s="194"/>
      <c r="L927" s="194"/>
      <c r="M927" s="194"/>
      <c r="N927" s="194"/>
      <c r="O927" s="194"/>
      <c r="P927" s="194"/>
      <c r="Q927" s="194"/>
      <c r="R927" s="194"/>
      <c r="S927" s="194"/>
      <c r="T927" s="194"/>
      <c r="U927" s="194"/>
      <c r="V927" s="194"/>
      <c r="W927" s="194"/>
      <c r="X927" s="194"/>
      <c r="Y927" s="194"/>
      <c r="Z927" s="194"/>
      <c r="AA927" s="194"/>
      <c r="AB927" s="194"/>
      <c r="AC927" s="194"/>
      <c r="AD927" s="194"/>
      <c r="AE927" s="194"/>
      <c r="AF927" s="194"/>
    </row>
    <row r="928" spans="1:32" x14ac:dyDescent="0.25">
      <c r="A928" s="194"/>
      <c r="B928" s="194"/>
      <c r="C928" s="194"/>
      <c r="D928" s="194"/>
      <c r="E928" s="194"/>
      <c r="F928" s="194"/>
      <c r="G928" s="194"/>
      <c r="H928" s="194"/>
      <c r="I928" s="194"/>
      <c r="J928" s="194"/>
      <c r="K928" s="194"/>
      <c r="L928" s="194"/>
      <c r="M928" s="194"/>
      <c r="N928" s="194"/>
      <c r="O928" s="194"/>
      <c r="P928" s="194"/>
      <c r="Q928" s="194"/>
      <c r="R928" s="194"/>
      <c r="S928" s="194"/>
      <c r="T928" s="194"/>
      <c r="U928" s="194"/>
      <c r="V928" s="194"/>
      <c r="W928" s="194"/>
      <c r="X928" s="194"/>
      <c r="Y928" s="194"/>
      <c r="Z928" s="194"/>
      <c r="AA928" s="194"/>
      <c r="AB928" s="194"/>
      <c r="AC928" s="194"/>
      <c r="AD928" s="194"/>
      <c r="AE928" s="194"/>
      <c r="AF928" s="194"/>
    </row>
    <row r="929" spans="1:32" x14ac:dyDescent="0.25">
      <c r="A929" s="194"/>
      <c r="B929" s="194"/>
      <c r="C929" s="194"/>
      <c r="D929" s="194"/>
      <c r="E929" s="194"/>
      <c r="F929" s="194"/>
      <c r="G929" s="194"/>
      <c r="H929" s="194"/>
      <c r="I929" s="194"/>
      <c r="J929" s="194"/>
      <c r="K929" s="194"/>
      <c r="L929" s="194"/>
      <c r="M929" s="194"/>
      <c r="N929" s="194"/>
      <c r="O929" s="194"/>
      <c r="P929" s="194"/>
      <c r="Q929" s="194"/>
      <c r="R929" s="194"/>
      <c r="S929" s="194"/>
      <c r="T929" s="194"/>
      <c r="U929" s="194"/>
      <c r="V929" s="194"/>
      <c r="W929" s="194"/>
      <c r="X929" s="194"/>
      <c r="Y929" s="194"/>
      <c r="Z929" s="194"/>
      <c r="AA929" s="194"/>
      <c r="AB929" s="194"/>
      <c r="AC929" s="194"/>
      <c r="AD929" s="194"/>
      <c r="AE929" s="194"/>
      <c r="AF929" s="194"/>
    </row>
    <row r="930" spans="1:32" x14ac:dyDescent="0.25">
      <c r="A930" s="194"/>
      <c r="B930" s="194"/>
      <c r="C930" s="194"/>
      <c r="D930" s="194"/>
      <c r="E930" s="194"/>
      <c r="F930" s="194"/>
      <c r="G930" s="194"/>
      <c r="H930" s="194"/>
      <c r="I930" s="194"/>
      <c r="J930" s="194"/>
      <c r="K930" s="194"/>
      <c r="L930" s="194"/>
      <c r="M930" s="194"/>
      <c r="N930" s="194"/>
      <c r="O930" s="194"/>
      <c r="P930" s="194"/>
      <c r="Q930" s="194"/>
      <c r="R930" s="194"/>
      <c r="S930" s="194"/>
      <c r="T930" s="194"/>
      <c r="U930" s="194"/>
      <c r="V930" s="194"/>
      <c r="W930" s="194"/>
      <c r="X930" s="194"/>
      <c r="Y930" s="194"/>
      <c r="Z930" s="194"/>
      <c r="AA930" s="194"/>
      <c r="AB930" s="194"/>
      <c r="AC930" s="194"/>
      <c r="AD930" s="194"/>
      <c r="AE930" s="194"/>
      <c r="AF930" s="194"/>
    </row>
    <row r="931" spans="1:32" x14ac:dyDescent="0.25">
      <c r="A931" s="194"/>
      <c r="B931" s="194"/>
      <c r="C931" s="194"/>
      <c r="D931" s="194"/>
      <c r="E931" s="194"/>
      <c r="F931" s="194"/>
      <c r="G931" s="194"/>
      <c r="H931" s="194"/>
      <c r="I931" s="194"/>
      <c r="J931" s="194"/>
      <c r="K931" s="194"/>
      <c r="L931" s="194"/>
      <c r="M931" s="194"/>
      <c r="N931" s="194"/>
      <c r="O931" s="194"/>
      <c r="P931" s="194"/>
      <c r="Q931" s="194"/>
      <c r="R931" s="194"/>
      <c r="S931" s="194"/>
      <c r="T931" s="194"/>
      <c r="U931" s="194"/>
      <c r="V931" s="194"/>
      <c r="W931" s="194"/>
      <c r="X931" s="194"/>
      <c r="Y931" s="194"/>
      <c r="Z931" s="194"/>
      <c r="AA931" s="194"/>
      <c r="AB931" s="194"/>
      <c r="AC931" s="194"/>
      <c r="AD931" s="194"/>
      <c r="AE931" s="194"/>
      <c r="AF931" s="194"/>
    </row>
    <row r="932" spans="1:32" x14ac:dyDescent="0.25">
      <c r="A932" s="194"/>
      <c r="B932" s="194"/>
      <c r="C932" s="194"/>
      <c r="D932" s="194"/>
      <c r="E932" s="194"/>
      <c r="F932" s="194"/>
      <c r="G932" s="194"/>
      <c r="H932" s="194"/>
      <c r="I932" s="194"/>
      <c r="J932" s="194"/>
      <c r="K932" s="194"/>
      <c r="L932" s="194"/>
      <c r="M932" s="194"/>
      <c r="N932" s="194"/>
      <c r="O932" s="194"/>
      <c r="P932" s="194"/>
      <c r="Q932" s="194"/>
      <c r="R932" s="194"/>
      <c r="S932" s="194"/>
      <c r="T932" s="194"/>
      <c r="U932" s="194"/>
      <c r="V932" s="194"/>
      <c r="W932" s="194"/>
      <c r="X932" s="194"/>
      <c r="Y932" s="194"/>
      <c r="Z932" s="194"/>
      <c r="AA932" s="194"/>
      <c r="AB932" s="194"/>
      <c r="AC932" s="194"/>
      <c r="AD932" s="194"/>
      <c r="AE932" s="194"/>
      <c r="AF932" s="194"/>
    </row>
    <row r="933" spans="1:32" x14ac:dyDescent="0.25">
      <c r="A933" s="194"/>
      <c r="B933" s="194"/>
      <c r="C933" s="194"/>
      <c r="D933" s="194"/>
      <c r="E933" s="194"/>
      <c r="F933" s="194"/>
      <c r="G933" s="194"/>
      <c r="H933" s="194"/>
      <c r="I933" s="194"/>
      <c r="J933" s="194"/>
      <c r="K933" s="194"/>
      <c r="L933" s="194"/>
      <c r="M933" s="194"/>
      <c r="N933" s="194"/>
      <c r="O933" s="194"/>
      <c r="P933" s="194"/>
      <c r="Q933" s="194"/>
      <c r="R933" s="194"/>
      <c r="S933" s="194"/>
      <c r="T933" s="194"/>
      <c r="U933" s="194"/>
      <c r="V933" s="194"/>
      <c r="W933" s="194"/>
      <c r="X933" s="194"/>
      <c r="Y933" s="194"/>
      <c r="Z933" s="194"/>
      <c r="AA933" s="194"/>
      <c r="AB933" s="194"/>
      <c r="AC933" s="194"/>
      <c r="AD933" s="194"/>
      <c r="AE933" s="194"/>
      <c r="AF933" s="194"/>
    </row>
    <row r="934" spans="1:32" x14ac:dyDescent="0.25">
      <c r="A934" s="194"/>
      <c r="B934" s="194"/>
      <c r="C934" s="194"/>
      <c r="D934" s="194"/>
      <c r="E934" s="194"/>
      <c r="F934" s="194"/>
      <c r="G934" s="194"/>
      <c r="H934" s="194"/>
      <c r="I934" s="194"/>
      <c r="J934" s="194"/>
      <c r="K934" s="194"/>
      <c r="L934" s="194"/>
      <c r="M934" s="194"/>
      <c r="N934" s="194"/>
      <c r="O934" s="194"/>
      <c r="P934" s="194"/>
      <c r="Q934" s="194"/>
      <c r="R934" s="194"/>
      <c r="S934" s="194"/>
      <c r="T934" s="194"/>
      <c r="U934" s="194"/>
      <c r="V934" s="194"/>
      <c r="W934" s="194"/>
      <c r="X934" s="194"/>
      <c r="Y934" s="194"/>
      <c r="Z934" s="194"/>
      <c r="AA934" s="194"/>
      <c r="AB934" s="194"/>
      <c r="AC934" s="194"/>
      <c r="AD934" s="194"/>
      <c r="AE934" s="194"/>
      <c r="AF934" s="194"/>
    </row>
    <row r="935" spans="1:32" x14ac:dyDescent="0.25">
      <c r="A935" s="194"/>
      <c r="B935" s="194"/>
      <c r="C935" s="194"/>
      <c r="D935" s="194"/>
      <c r="E935" s="194"/>
      <c r="F935" s="194"/>
      <c r="G935" s="194"/>
      <c r="H935" s="194"/>
      <c r="I935" s="194"/>
      <c r="J935" s="194"/>
      <c r="K935" s="194"/>
      <c r="L935" s="194"/>
      <c r="M935" s="194"/>
      <c r="N935" s="194"/>
      <c r="O935" s="194"/>
      <c r="P935" s="194"/>
      <c r="Q935" s="194"/>
      <c r="R935" s="194"/>
      <c r="S935" s="194"/>
      <c r="T935" s="194"/>
      <c r="U935" s="194"/>
      <c r="V935" s="194"/>
      <c r="W935" s="194"/>
      <c r="X935" s="194"/>
      <c r="Y935" s="194"/>
      <c r="Z935" s="194"/>
      <c r="AA935" s="194"/>
      <c r="AB935" s="194"/>
      <c r="AC935" s="194"/>
      <c r="AD935" s="194"/>
      <c r="AE935" s="194"/>
      <c r="AF935" s="194"/>
    </row>
    <row r="936" spans="1:32" x14ac:dyDescent="0.25">
      <c r="A936" s="194"/>
      <c r="B936" s="194"/>
      <c r="C936" s="194"/>
      <c r="D936" s="194"/>
      <c r="E936" s="194"/>
      <c r="F936" s="194"/>
      <c r="G936" s="194"/>
      <c r="H936" s="194"/>
      <c r="I936" s="194"/>
      <c r="J936" s="194"/>
      <c r="K936" s="194"/>
      <c r="L936" s="194"/>
      <c r="M936" s="194"/>
      <c r="N936" s="194"/>
      <c r="O936" s="194"/>
      <c r="P936" s="194"/>
      <c r="Q936" s="194"/>
      <c r="R936" s="194"/>
      <c r="S936" s="194"/>
      <c r="T936" s="194"/>
      <c r="U936" s="194"/>
      <c r="V936" s="194"/>
      <c r="W936" s="194"/>
      <c r="X936" s="194"/>
      <c r="Y936" s="194"/>
      <c r="Z936" s="194"/>
      <c r="AA936" s="194"/>
      <c r="AB936" s="194"/>
      <c r="AC936" s="194"/>
      <c r="AD936" s="194"/>
      <c r="AE936" s="194"/>
      <c r="AF936" s="194"/>
    </row>
    <row r="937" spans="1:32" x14ac:dyDescent="0.25">
      <c r="A937" s="194"/>
      <c r="B937" s="194"/>
      <c r="C937" s="194"/>
      <c r="D937" s="194"/>
      <c r="E937" s="194"/>
      <c r="F937" s="194"/>
      <c r="G937" s="194"/>
      <c r="H937" s="194"/>
      <c r="I937" s="194"/>
      <c r="J937" s="194"/>
      <c r="K937" s="194"/>
      <c r="L937" s="194"/>
      <c r="M937" s="194"/>
      <c r="N937" s="194"/>
      <c r="O937" s="194"/>
      <c r="P937" s="194"/>
      <c r="Q937" s="194"/>
      <c r="R937" s="194"/>
      <c r="S937" s="194"/>
      <c r="T937" s="194"/>
      <c r="U937" s="194"/>
      <c r="V937" s="194"/>
      <c r="W937" s="194"/>
      <c r="X937" s="194"/>
      <c r="Y937" s="194"/>
      <c r="Z937" s="194"/>
      <c r="AA937" s="194"/>
      <c r="AB937" s="194"/>
      <c r="AC937" s="194"/>
      <c r="AD937" s="194"/>
      <c r="AE937" s="194"/>
      <c r="AF937" s="194"/>
    </row>
    <row r="938" spans="1:32" x14ac:dyDescent="0.25">
      <c r="A938" s="194"/>
      <c r="B938" s="194"/>
      <c r="C938" s="194"/>
      <c r="D938" s="194"/>
      <c r="E938" s="194"/>
      <c r="F938" s="194"/>
      <c r="G938" s="194"/>
      <c r="H938" s="194"/>
      <c r="I938" s="194"/>
      <c r="J938" s="194"/>
      <c r="K938" s="194"/>
      <c r="L938" s="194"/>
      <c r="M938" s="194"/>
      <c r="N938" s="194"/>
      <c r="O938" s="194"/>
      <c r="P938" s="194"/>
      <c r="Q938" s="194"/>
      <c r="R938" s="194"/>
      <c r="S938" s="194"/>
      <c r="T938" s="194"/>
      <c r="U938" s="194"/>
      <c r="V938" s="194"/>
      <c r="W938" s="194"/>
      <c r="X938" s="194"/>
      <c r="Y938" s="194"/>
      <c r="Z938" s="194"/>
      <c r="AA938" s="194"/>
      <c r="AB938" s="194"/>
      <c r="AC938" s="194"/>
      <c r="AD938" s="194"/>
      <c r="AE938" s="194"/>
      <c r="AF938" s="194"/>
    </row>
    <row r="939" spans="1:32" x14ac:dyDescent="0.25">
      <c r="A939" s="194"/>
      <c r="B939" s="194"/>
      <c r="C939" s="194"/>
      <c r="D939" s="194"/>
      <c r="E939" s="194"/>
      <c r="F939" s="194"/>
      <c r="G939" s="194"/>
      <c r="H939" s="194"/>
      <c r="I939" s="194"/>
      <c r="J939" s="194"/>
      <c r="K939" s="194"/>
      <c r="L939" s="194"/>
      <c r="M939" s="194"/>
      <c r="N939" s="194"/>
      <c r="O939" s="194"/>
      <c r="P939" s="194"/>
      <c r="Q939" s="194"/>
      <c r="R939" s="194"/>
      <c r="S939" s="194"/>
      <c r="T939" s="194"/>
      <c r="U939" s="194"/>
      <c r="V939" s="194"/>
      <c r="W939" s="194"/>
      <c r="X939" s="194"/>
      <c r="Y939" s="194"/>
      <c r="Z939" s="194"/>
      <c r="AA939" s="194"/>
      <c r="AB939" s="194"/>
      <c r="AC939" s="194"/>
      <c r="AD939" s="194"/>
      <c r="AE939" s="194"/>
      <c r="AF939" s="194"/>
    </row>
    <row r="940" spans="1:32" x14ac:dyDescent="0.25">
      <c r="A940" s="194"/>
      <c r="B940" s="194"/>
      <c r="C940" s="194"/>
      <c r="D940" s="194"/>
      <c r="E940" s="194"/>
      <c r="F940" s="194"/>
      <c r="G940" s="194"/>
      <c r="H940" s="194"/>
      <c r="I940" s="194"/>
      <c r="J940" s="194"/>
      <c r="K940" s="194"/>
      <c r="L940" s="194"/>
      <c r="M940" s="194"/>
      <c r="N940" s="194"/>
      <c r="O940" s="194"/>
      <c r="P940" s="194"/>
      <c r="Q940" s="194"/>
      <c r="R940" s="194"/>
      <c r="S940" s="194"/>
      <c r="T940" s="194"/>
      <c r="U940" s="194"/>
      <c r="V940" s="194"/>
      <c r="W940" s="194"/>
      <c r="X940" s="194"/>
      <c r="Y940" s="194"/>
      <c r="Z940" s="194"/>
      <c r="AA940" s="194"/>
      <c r="AB940" s="194"/>
      <c r="AC940" s="194"/>
      <c r="AD940" s="194"/>
      <c r="AE940" s="194"/>
      <c r="AF940" s="194"/>
    </row>
    <row r="941" spans="1:32" x14ac:dyDescent="0.25">
      <c r="A941" s="194"/>
      <c r="B941" s="194"/>
      <c r="C941" s="194"/>
      <c r="D941" s="194"/>
      <c r="E941" s="194"/>
      <c r="F941" s="194"/>
      <c r="G941" s="194"/>
      <c r="H941" s="194"/>
      <c r="I941" s="194"/>
      <c r="J941" s="194"/>
      <c r="K941" s="194"/>
      <c r="L941" s="194"/>
      <c r="M941" s="194"/>
      <c r="N941" s="194"/>
      <c r="O941" s="194"/>
      <c r="P941" s="194"/>
      <c r="Q941" s="194"/>
      <c r="R941" s="194"/>
      <c r="S941" s="194"/>
      <c r="T941" s="194"/>
      <c r="U941" s="194"/>
      <c r="V941" s="194"/>
      <c r="W941" s="194"/>
      <c r="X941" s="194"/>
      <c r="Y941" s="194"/>
      <c r="Z941" s="194"/>
      <c r="AA941" s="194"/>
      <c r="AB941" s="194"/>
      <c r="AC941" s="194"/>
      <c r="AD941" s="194"/>
      <c r="AE941" s="194"/>
      <c r="AF941" s="194"/>
    </row>
    <row r="942" spans="1:32" x14ac:dyDescent="0.25">
      <c r="A942" s="194"/>
      <c r="B942" s="194"/>
      <c r="C942" s="194"/>
      <c r="D942" s="194"/>
      <c r="E942" s="194"/>
      <c r="F942" s="194"/>
      <c r="G942" s="194"/>
      <c r="H942" s="194"/>
      <c r="I942" s="194"/>
      <c r="J942" s="194"/>
      <c r="K942" s="194"/>
      <c r="L942" s="194"/>
      <c r="M942" s="194"/>
      <c r="N942" s="194"/>
      <c r="O942" s="194"/>
      <c r="P942" s="194"/>
      <c r="Q942" s="194"/>
      <c r="R942" s="194"/>
      <c r="S942" s="194"/>
      <c r="T942" s="194"/>
      <c r="U942" s="194"/>
      <c r="V942" s="194"/>
      <c r="W942" s="194"/>
      <c r="X942" s="194"/>
      <c r="Y942" s="194"/>
      <c r="Z942" s="194"/>
      <c r="AA942" s="194"/>
      <c r="AB942" s="194"/>
      <c r="AC942" s="194"/>
      <c r="AD942" s="194"/>
      <c r="AE942" s="194"/>
      <c r="AF942" s="194"/>
    </row>
    <row r="943" spans="1:32" x14ac:dyDescent="0.25">
      <c r="A943" s="194"/>
      <c r="B943" s="194"/>
      <c r="C943" s="194"/>
      <c r="D943" s="194"/>
      <c r="E943" s="194"/>
      <c r="F943" s="194"/>
      <c r="G943" s="194"/>
      <c r="H943" s="194"/>
      <c r="I943" s="194"/>
      <c r="J943" s="194"/>
      <c r="K943" s="194"/>
      <c r="L943" s="194"/>
      <c r="M943" s="194"/>
      <c r="N943" s="194"/>
      <c r="O943" s="194"/>
      <c r="P943" s="194"/>
      <c r="Q943" s="194"/>
      <c r="R943" s="194"/>
      <c r="S943" s="194"/>
      <c r="T943" s="194"/>
      <c r="U943" s="194"/>
      <c r="V943" s="194"/>
      <c r="W943" s="194"/>
      <c r="X943" s="194"/>
      <c r="Y943" s="194"/>
      <c r="Z943" s="194"/>
      <c r="AA943" s="194"/>
      <c r="AB943" s="194"/>
      <c r="AC943" s="194"/>
      <c r="AD943" s="194"/>
      <c r="AE943" s="194"/>
      <c r="AF943" s="194"/>
    </row>
    <row r="944" spans="1:32" x14ac:dyDescent="0.25">
      <c r="A944" s="194"/>
      <c r="B944" s="194"/>
      <c r="C944" s="194"/>
      <c r="D944" s="194"/>
      <c r="E944" s="194"/>
      <c r="F944" s="194"/>
      <c r="G944" s="194"/>
      <c r="H944" s="194"/>
      <c r="I944" s="194"/>
      <c r="J944" s="194"/>
      <c r="K944" s="194"/>
      <c r="L944" s="194"/>
      <c r="M944" s="194"/>
      <c r="N944" s="194"/>
      <c r="O944" s="194"/>
      <c r="P944" s="194"/>
      <c r="Q944" s="194"/>
      <c r="R944" s="194"/>
      <c r="S944" s="194"/>
      <c r="T944" s="194"/>
      <c r="U944" s="194"/>
      <c r="V944" s="194"/>
      <c r="W944" s="194"/>
      <c r="X944" s="194"/>
      <c r="Y944" s="194"/>
      <c r="Z944" s="194"/>
      <c r="AA944" s="194"/>
      <c r="AB944" s="194"/>
      <c r="AC944" s="194"/>
      <c r="AD944" s="194"/>
      <c r="AE944" s="194"/>
      <c r="AF944" s="194"/>
    </row>
    <row r="945" spans="1:32" x14ac:dyDescent="0.25">
      <c r="A945" s="194"/>
      <c r="B945" s="194"/>
      <c r="C945" s="194"/>
      <c r="D945" s="194"/>
      <c r="E945" s="194"/>
      <c r="F945" s="194"/>
      <c r="G945" s="194"/>
      <c r="H945" s="194"/>
      <c r="I945" s="194"/>
      <c r="J945" s="194"/>
      <c r="K945" s="194"/>
      <c r="L945" s="194"/>
      <c r="M945" s="194"/>
      <c r="N945" s="194"/>
      <c r="O945" s="194"/>
      <c r="P945" s="194"/>
      <c r="Q945" s="194"/>
      <c r="R945" s="194"/>
      <c r="S945" s="194"/>
      <c r="T945" s="194"/>
      <c r="U945" s="194"/>
      <c r="V945" s="194"/>
      <c r="W945" s="194"/>
      <c r="X945" s="194"/>
      <c r="Y945" s="194"/>
      <c r="Z945" s="194"/>
      <c r="AA945" s="194"/>
      <c r="AB945" s="194"/>
      <c r="AC945" s="194"/>
      <c r="AD945" s="194"/>
      <c r="AE945" s="194"/>
      <c r="AF945" s="194"/>
    </row>
    <row r="946" spans="1:32" x14ac:dyDescent="0.25">
      <c r="A946" s="194"/>
      <c r="B946" s="194"/>
      <c r="C946" s="194"/>
      <c r="D946" s="194"/>
      <c r="E946" s="194"/>
      <c r="F946" s="194"/>
      <c r="G946" s="194"/>
      <c r="H946" s="194"/>
      <c r="I946" s="194"/>
      <c r="J946" s="194"/>
      <c r="K946" s="194"/>
      <c r="L946" s="194"/>
      <c r="M946" s="194"/>
      <c r="N946" s="194"/>
      <c r="O946" s="194"/>
      <c r="P946" s="194"/>
      <c r="Q946" s="194"/>
      <c r="R946" s="194"/>
      <c r="S946" s="194"/>
      <c r="T946" s="194"/>
      <c r="U946" s="194"/>
      <c r="V946" s="194"/>
      <c r="W946" s="194"/>
      <c r="X946" s="194"/>
      <c r="Y946" s="194"/>
      <c r="Z946" s="194"/>
      <c r="AA946" s="194"/>
      <c r="AB946" s="194"/>
      <c r="AC946" s="194"/>
      <c r="AD946" s="194"/>
      <c r="AE946" s="194"/>
      <c r="AF946" s="194"/>
    </row>
    <row r="947" spans="1:32" x14ac:dyDescent="0.25">
      <c r="A947" s="194"/>
      <c r="B947" s="194"/>
      <c r="C947" s="194"/>
      <c r="D947" s="194"/>
      <c r="E947" s="194"/>
      <c r="F947" s="194"/>
      <c r="G947" s="194"/>
      <c r="H947" s="194"/>
      <c r="I947" s="194"/>
      <c r="J947" s="194"/>
      <c r="K947" s="194"/>
      <c r="L947" s="194"/>
      <c r="M947" s="194"/>
      <c r="N947" s="194"/>
      <c r="O947" s="194"/>
      <c r="P947" s="194"/>
      <c r="Q947" s="194"/>
      <c r="R947" s="194"/>
      <c r="S947" s="194"/>
      <c r="T947" s="194"/>
      <c r="U947" s="194"/>
      <c r="V947" s="194"/>
      <c r="W947" s="194"/>
      <c r="X947" s="194"/>
      <c r="Y947" s="194"/>
      <c r="Z947" s="194"/>
      <c r="AA947" s="194"/>
      <c r="AB947" s="194"/>
      <c r="AC947" s="194"/>
      <c r="AD947" s="194"/>
      <c r="AE947" s="194"/>
      <c r="AF947" s="194"/>
    </row>
    <row r="948" spans="1:32" x14ac:dyDescent="0.25">
      <c r="A948" s="194"/>
      <c r="B948" s="194"/>
      <c r="C948" s="194"/>
      <c r="D948" s="194"/>
      <c r="E948" s="194"/>
      <c r="F948" s="194"/>
      <c r="G948" s="194"/>
      <c r="H948" s="194"/>
      <c r="I948" s="194"/>
      <c r="J948" s="194"/>
      <c r="K948" s="194"/>
      <c r="L948" s="194"/>
      <c r="M948" s="194"/>
      <c r="N948" s="194"/>
      <c r="O948" s="194"/>
      <c r="P948" s="194"/>
      <c r="Q948" s="194"/>
      <c r="R948" s="194"/>
      <c r="S948" s="194"/>
      <c r="T948" s="194"/>
      <c r="U948" s="194"/>
      <c r="V948" s="194"/>
      <c r="W948" s="194"/>
      <c r="X948" s="194"/>
      <c r="Y948" s="194"/>
      <c r="Z948" s="194"/>
      <c r="AA948" s="194"/>
      <c r="AB948" s="194"/>
      <c r="AC948" s="194"/>
      <c r="AD948" s="194"/>
      <c r="AE948" s="194"/>
      <c r="AF948" s="194"/>
    </row>
    <row r="949" spans="1:32" x14ac:dyDescent="0.25">
      <c r="A949" s="194"/>
      <c r="B949" s="194"/>
      <c r="C949" s="194"/>
      <c r="D949" s="194"/>
      <c r="E949" s="194"/>
      <c r="F949" s="194"/>
      <c r="G949" s="194"/>
      <c r="H949" s="194"/>
      <c r="I949" s="194"/>
      <c r="J949" s="194"/>
      <c r="K949" s="194"/>
      <c r="L949" s="194"/>
      <c r="M949" s="194"/>
      <c r="N949" s="194"/>
      <c r="O949" s="194"/>
      <c r="P949" s="194"/>
      <c r="Q949" s="194"/>
      <c r="R949" s="194"/>
      <c r="S949" s="194"/>
      <c r="T949" s="194"/>
      <c r="U949" s="194"/>
      <c r="V949" s="194"/>
      <c r="W949" s="194"/>
      <c r="X949" s="194"/>
      <c r="Y949" s="194"/>
      <c r="Z949" s="194"/>
      <c r="AA949" s="194"/>
      <c r="AB949" s="194"/>
      <c r="AC949" s="194"/>
      <c r="AD949" s="194"/>
      <c r="AE949" s="194"/>
      <c r="AF949" s="194"/>
    </row>
    <row r="950" spans="1:32" x14ac:dyDescent="0.25">
      <c r="A950" s="194"/>
      <c r="B950" s="194"/>
      <c r="C950" s="194"/>
      <c r="D950" s="194"/>
      <c r="E950" s="194"/>
      <c r="F950" s="194"/>
      <c r="G950" s="194"/>
      <c r="H950" s="194"/>
      <c r="I950" s="194"/>
      <c r="J950" s="194"/>
      <c r="K950" s="194"/>
      <c r="L950" s="194"/>
      <c r="M950" s="194"/>
      <c r="N950" s="194"/>
      <c r="O950" s="194"/>
      <c r="P950" s="194"/>
      <c r="Q950" s="194"/>
      <c r="R950" s="194"/>
      <c r="S950" s="194"/>
      <c r="T950" s="194"/>
      <c r="U950" s="194"/>
      <c r="V950" s="194"/>
      <c r="W950" s="194"/>
      <c r="X950" s="194"/>
      <c r="Y950" s="194"/>
      <c r="Z950" s="194"/>
      <c r="AA950" s="194"/>
      <c r="AB950" s="194"/>
      <c r="AC950" s="194"/>
      <c r="AD950" s="194"/>
      <c r="AE950" s="194"/>
      <c r="AF950" s="194"/>
    </row>
    <row r="951" spans="1:32" x14ac:dyDescent="0.25">
      <c r="A951" s="194"/>
      <c r="B951" s="194"/>
      <c r="C951" s="194"/>
      <c r="D951" s="194"/>
      <c r="E951" s="194"/>
      <c r="F951" s="194"/>
      <c r="G951" s="194"/>
      <c r="H951" s="194"/>
      <c r="I951" s="194"/>
      <c r="J951" s="194"/>
      <c r="K951" s="194"/>
      <c r="L951" s="194"/>
      <c r="M951" s="194"/>
      <c r="N951" s="194"/>
      <c r="O951" s="194"/>
      <c r="P951" s="194"/>
      <c r="Q951" s="194"/>
      <c r="R951" s="194"/>
      <c r="S951" s="194"/>
      <c r="T951" s="194"/>
      <c r="U951" s="194"/>
      <c r="V951" s="194"/>
      <c r="W951" s="194"/>
      <c r="X951" s="194"/>
      <c r="Y951" s="194"/>
      <c r="Z951" s="194"/>
      <c r="AA951" s="194"/>
      <c r="AB951" s="194"/>
      <c r="AC951" s="194"/>
      <c r="AD951" s="194"/>
      <c r="AE951" s="194"/>
      <c r="AF951" s="194"/>
    </row>
    <row r="952" spans="1:32" x14ac:dyDescent="0.25">
      <c r="A952" s="194"/>
      <c r="B952" s="194"/>
      <c r="C952" s="194"/>
      <c r="D952" s="194"/>
      <c r="E952" s="194"/>
      <c r="F952" s="194"/>
      <c r="G952" s="194"/>
      <c r="H952" s="194"/>
      <c r="I952" s="194"/>
      <c r="J952" s="194"/>
      <c r="K952" s="194"/>
      <c r="L952" s="194"/>
      <c r="M952" s="194"/>
      <c r="N952" s="194"/>
      <c r="O952" s="194"/>
      <c r="P952" s="194"/>
      <c r="Q952" s="194"/>
      <c r="R952" s="194"/>
      <c r="S952" s="194"/>
      <c r="T952" s="194"/>
      <c r="U952" s="194"/>
      <c r="V952" s="194"/>
      <c r="W952" s="194"/>
      <c r="X952" s="194"/>
      <c r="Y952" s="194"/>
      <c r="Z952" s="194"/>
      <c r="AA952" s="194"/>
      <c r="AB952" s="194"/>
      <c r="AC952" s="194"/>
      <c r="AD952" s="194"/>
      <c r="AE952" s="194"/>
      <c r="AF952" s="194"/>
    </row>
    <row r="953" spans="1:32" x14ac:dyDescent="0.25">
      <c r="A953" s="194"/>
      <c r="B953" s="194"/>
      <c r="C953" s="194"/>
      <c r="D953" s="194"/>
      <c r="E953" s="194"/>
      <c r="F953" s="194"/>
      <c r="G953" s="194"/>
      <c r="H953" s="194"/>
      <c r="I953" s="194"/>
      <c r="J953" s="194"/>
      <c r="K953" s="194"/>
      <c r="L953" s="194"/>
      <c r="M953" s="194"/>
      <c r="N953" s="194"/>
      <c r="O953" s="194"/>
      <c r="P953" s="194"/>
      <c r="Q953" s="194"/>
      <c r="R953" s="194"/>
      <c r="S953" s="194"/>
      <c r="T953" s="194"/>
      <c r="U953" s="194"/>
      <c r="V953" s="194"/>
      <c r="W953" s="194"/>
      <c r="X953" s="194"/>
      <c r="Y953" s="194"/>
      <c r="Z953" s="194"/>
      <c r="AA953" s="194"/>
      <c r="AB953" s="194"/>
      <c r="AC953" s="194"/>
      <c r="AD953" s="194"/>
      <c r="AE953" s="194"/>
      <c r="AF953" s="194"/>
    </row>
    <row r="954" spans="1:32" x14ac:dyDescent="0.25">
      <c r="A954" s="194"/>
      <c r="B954" s="194"/>
      <c r="C954" s="194"/>
      <c r="D954" s="194"/>
      <c r="E954" s="194"/>
      <c r="F954" s="194"/>
      <c r="G954" s="194"/>
      <c r="H954" s="194"/>
      <c r="I954" s="194"/>
      <c r="J954" s="194"/>
      <c r="K954" s="194"/>
      <c r="L954" s="194"/>
      <c r="M954" s="194"/>
      <c r="N954" s="194"/>
      <c r="O954" s="194"/>
      <c r="P954" s="194"/>
      <c r="Q954" s="194"/>
      <c r="R954" s="194"/>
      <c r="S954" s="194"/>
      <c r="T954" s="194"/>
      <c r="U954" s="194"/>
      <c r="V954" s="194"/>
      <c r="W954" s="194"/>
      <c r="X954" s="194"/>
      <c r="Y954" s="194"/>
      <c r="Z954" s="194"/>
      <c r="AA954" s="194"/>
      <c r="AB954" s="194"/>
      <c r="AC954" s="194"/>
      <c r="AD954" s="194"/>
      <c r="AE954" s="194"/>
      <c r="AF954" s="194"/>
    </row>
    <row r="955" spans="1:32" x14ac:dyDescent="0.25">
      <c r="A955" s="194"/>
      <c r="B955" s="194"/>
      <c r="C955" s="194"/>
      <c r="D955" s="194"/>
      <c r="E955" s="194"/>
      <c r="F955" s="194"/>
      <c r="G955" s="194"/>
      <c r="H955" s="194"/>
      <c r="I955" s="194"/>
      <c r="J955" s="194"/>
      <c r="K955" s="194"/>
      <c r="L955" s="194"/>
      <c r="M955" s="194"/>
      <c r="N955" s="194"/>
      <c r="O955" s="194"/>
      <c r="P955" s="194"/>
      <c r="Q955" s="194"/>
      <c r="R955" s="194"/>
      <c r="S955" s="194"/>
      <c r="T955" s="194"/>
      <c r="U955" s="194"/>
      <c r="V955" s="194"/>
      <c r="W955" s="194"/>
      <c r="X955" s="194"/>
      <c r="Y955" s="194"/>
      <c r="Z955" s="194"/>
      <c r="AA955" s="194"/>
      <c r="AB955" s="194"/>
      <c r="AC955" s="194"/>
      <c r="AD955" s="194"/>
      <c r="AE955" s="194"/>
      <c r="AF955" s="194"/>
    </row>
    <row r="956" spans="1:32" x14ac:dyDescent="0.25">
      <c r="A956" s="194"/>
      <c r="B956" s="194"/>
      <c r="C956" s="194"/>
      <c r="D956" s="194"/>
      <c r="E956" s="194"/>
      <c r="F956" s="194"/>
      <c r="G956" s="194"/>
      <c r="H956" s="194"/>
      <c r="I956" s="194"/>
      <c r="J956" s="194"/>
      <c r="K956" s="194"/>
      <c r="L956" s="194"/>
      <c r="M956" s="194"/>
      <c r="N956" s="194"/>
      <c r="O956" s="194"/>
      <c r="P956" s="194"/>
      <c r="Q956" s="194"/>
      <c r="R956" s="194"/>
      <c r="S956" s="194"/>
      <c r="T956" s="194"/>
      <c r="U956" s="194"/>
      <c r="V956" s="194"/>
      <c r="W956" s="194"/>
      <c r="X956" s="194"/>
      <c r="Y956" s="194"/>
      <c r="Z956" s="194"/>
      <c r="AA956" s="194"/>
      <c r="AB956" s="194"/>
      <c r="AC956" s="194"/>
      <c r="AD956" s="194"/>
      <c r="AE956" s="194"/>
      <c r="AF956" s="194"/>
    </row>
    <row r="957" spans="1:32" x14ac:dyDescent="0.25">
      <c r="A957" s="194"/>
      <c r="B957" s="194"/>
      <c r="C957" s="194"/>
      <c r="D957" s="194"/>
      <c r="E957" s="194"/>
      <c r="F957" s="194"/>
      <c r="G957" s="194"/>
      <c r="H957" s="194"/>
      <c r="I957" s="194"/>
      <c r="J957" s="194"/>
      <c r="K957" s="194"/>
      <c r="L957" s="194"/>
      <c r="M957" s="194"/>
      <c r="N957" s="194"/>
      <c r="O957" s="194"/>
      <c r="P957" s="194"/>
      <c r="Q957" s="194"/>
      <c r="R957" s="194"/>
      <c r="S957" s="194"/>
      <c r="T957" s="194"/>
      <c r="U957" s="194"/>
      <c r="V957" s="194"/>
      <c r="W957" s="194"/>
      <c r="X957" s="194"/>
      <c r="Y957" s="194"/>
      <c r="Z957" s="194"/>
      <c r="AA957" s="194"/>
      <c r="AB957" s="194"/>
      <c r="AC957" s="194"/>
      <c r="AD957" s="194"/>
      <c r="AE957" s="194"/>
      <c r="AF957" s="194"/>
    </row>
    <row r="958" spans="1:32" x14ac:dyDescent="0.25">
      <c r="A958" s="194"/>
      <c r="B958" s="194"/>
      <c r="C958" s="194"/>
      <c r="D958" s="194"/>
      <c r="E958" s="194"/>
      <c r="F958" s="194"/>
      <c r="G958" s="194"/>
      <c r="H958" s="194"/>
      <c r="I958" s="194"/>
      <c r="J958" s="194"/>
      <c r="K958" s="194"/>
      <c r="L958" s="194"/>
      <c r="M958" s="194"/>
      <c r="N958" s="194"/>
      <c r="O958" s="194"/>
      <c r="P958" s="194"/>
      <c r="Q958" s="194"/>
      <c r="R958" s="194"/>
      <c r="S958" s="194"/>
      <c r="T958" s="194"/>
      <c r="U958" s="194"/>
      <c r="V958" s="194"/>
      <c r="W958" s="194"/>
      <c r="X958" s="194"/>
      <c r="Y958" s="194"/>
      <c r="Z958" s="194"/>
      <c r="AA958" s="194"/>
      <c r="AB958" s="194"/>
      <c r="AC958" s="194"/>
      <c r="AD958" s="194"/>
      <c r="AE958" s="194"/>
      <c r="AF958" s="194"/>
    </row>
    <row r="959" spans="1:32" x14ac:dyDescent="0.25">
      <c r="A959" s="194"/>
      <c r="B959" s="194"/>
      <c r="C959" s="194"/>
      <c r="D959" s="194"/>
      <c r="E959" s="194"/>
      <c r="F959" s="194"/>
      <c r="G959" s="194"/>
      <c r="H959" s="194"/>
      <c r="I959" s="194"/>
      <c r="J959" s="194"/>
      <c r="K959" s="194"/>
      <c r="L959" s="194"/>
      <c r="M959" s="194"/>
      <c r="N959" s="194"/>
      <c r="O959" s="194"/>
      <c r="P959" s="194"/>
      <c r="Q959" s="194"/>
      <c r="R959" s="194"/>
      <c r="S959" s="194"/>
      <c r="T959" s="194"/>
      <c r="U959" s="194"/>
      <c r="V959" s="194"/>
      <c r="W959" s="194"/>
      <c r="X959" s="194"/>
      <c r="Y959" s="194"/>
      <c r="Z959" s="194"/>
      <c r="AA959" s="194"/>
      <c r="AB959" s="194"/>
      <c r="AC959" s="194"/>
      <c r="AD959" s="194"/>
      <c r="AE959" s="194"/>
      <c r="AF959" s="194"/>
    </row>
    <row r="960" spans="1:32" x14ac:dyDescent="0.25">
      <c r="A960" s="194"/>
      <c r="B960" s="194"/>
      <c r="C960" s="194"/>
      <c r="D960" s="194"/>
      <c r="E960" s="194"/>
      <c r="F960" s="194"/>
      <c r="G960" s="194"/>
      <c r="H960" s="194"/>
      <c r="I960" s="194"/>
      <c r="J960" s="194"/>
      <c r="K960" s="194"/>
      <c r="L960" s="194"/>
      <c r="M960" s="194"/>
      <c r="N960" s="194"/>
      <c r="O960" s="194"/>
      <c r="P960" s="194"/>
      <c r="Q960" s="194"/>
      <c r="R960" s="194"/>
      <c r="S960" s="194"/>
      <c r="T960" s="194"/>
      <c r="U960" s="194"/>
      <c r="V960" s="194"/>
      <c r="W960" s="194"/>
      <c r="X960" s="194"/>
      <c r="Y960" s="194"/>
      <c r="Z960" s="194"/>
      <c r="AA960" s="194"/>
      <c r="AB960" s="194"/>
      <c r="AC960" s="194"/>
      <c r="AD960" s="194"/>
      <c r="AE960" s="194"/>
      <c r="AF960" s="194"/>
    </row>
    <row r="961" spans="1:32" x14ac:dyDescent="0.25">
      <c r="A961" s="194"/>
      <c r="B961" s="194"/>
      <c r="C961" s="194"/>
      <c r="D961" s="194"/>
      <c r="E961" s="194"/>
      <c r="F961" s="194"/>
      <c r="G961" s="194"/>
      <c r="H961" s="194"/>
      <c r="I961" s="194"/>
      <c r="J961" s="194"/>
      <c r="K961" s="194"/>
      <c r="L961" s="194"/>
      <c r="M961" s="194"/>
      <c r="N961" s="194"/>
      <c r="O961" s="194"/>
      <c r="P961" s="194"/>
      <c r="Q961" s="194"/>
      <c r="R961" s="194"/>
      <c r="S961" s="194"/>
      <c r="T961" s="194"/>
      <c r="U961" s="194"/>
      <c r="V961" s="194"/>
      <c r="W961" s="194"/>
      <c r="X961" s="194"/>
      <c r="Y961" s="194"/>
      <c r="Z961" s="194"/>
      <c r="AA961" s="194"/>
      <c r="AB961" s="194"/>
      <c r="AC961" s="194"/>
      <c r="AD961" s="194"/>
      <c r="AE961" s="194"/>
      <c r="AF961" s="194"/>
    </row>
    <row r="962" spans="1:32" x14ac:dyDescent="0.25">
      <c r="A962" s="194"/>
      <c r="B962" s="194"/>
      <c r="C962" s="194"/>
      <c r="D962" s="194"/>
      <c r="E962" s="194"/>
      <c r="F962" s="194"/>
      <c r="G962" s="194"/>
      <c r="H962" s="194"/>
      <c r="I962" s="194"/>
      <c r="J962" s="194"/>
      <c r="K962" s="194"/>
      <c r="L962" s="194"/>
      <c r="M962" s="194"/>
      <c r="N962" s="194"/>
      <c r="O962" s="194"/>
      <c r="P962" s="194"/>
      <c r="Q962" s="194"/>
      <c r="R962" s="194"/>
      <c r="S962" s="194"/>
      <c r="T962" s="194"/>
      <c r="U962" s="194"/>
      <c r="V962" s="194"/>
      <c r="W962" s="194"/>
      <c r="X962" s="194"/>
      <c r="Y962" s="194"/>
      <c r="Z962" s="194"/>
      <c r="AA962" s="194"/>
      <c r="AB962" s="194"/>
      <c r="AC962" s="194"/>
      <c r="AD962" s="194"/>
      <c r="AE962" s="194"/>
      <c r="AF962" s="194"/>
    </row>
    <row r="963" spans="1:32" x14ac:dyDescent="0.25">
      <c r="A963" s="194"/>
      <c r="B963" s="194"/>
      <c r="C963" s="194"/>
      <c r="D963" s="194"/>
      <c r="E963" s="194"/>
      <c r="F963" s="194"/>
      <c r="G963" s="194"/>
      <c r="H963" s="194"/>
      <c r="I963" s="194"/>
      <c r="J963" s="194"/>
      <c r="K963" s="194"/>
      <c r="L963" s="194"/>
      <c r="M963" s="194"/>
      <c r="N963" s="194"/>
      <c r="O963" s="194"/>
      <c r="P963" s="194"/>
      <c r="Q963" s="194"/>
      <c r="R963" s="194"/>
      <c r="S963" s="194"/>
      <c r="T963" s="194"/>
      <c r="U963" s="194"/>
      <c r="V963" s="194"/>
      <c r="W963" s="194"/>
      <c r="X963" s="194"/>
      <c r="Y963" s="194"/>
      <c r="Z963" s="194"/>
      <c r="AA963" s="194"/>
      <c r="AB963" s="194"/>
      <c r="AC963" s="194"/>
      <c r="AD963" s="194"/>
      <c r="AE963" s="194"/>
      <c r="AF963" s="194"/>
    </row>
    <row r="964" spans="1:32" x14ac:dyDescent="0.25">
      <c r="A964" s="194"/>
      <c r="B964" s="194"/>
      <c r="C964" s="194"/>
      <c r="D964" s="194"/>
      <c r="E964" s="194"/>
      <c r="F964" s="194"/>
      <c r="G964" s="194"/>
      <c r="H964" s="194"/>
      <c r="I964" s="194"/>
      <c r="J964" s="194"/>
      <c r="K964" s="194"/>
      <c r="L964" s="194"/>
      <c r="M964" s="194"/>
      <c r="N964" s="194"/>
      <c r="O964" s="194"/>
      <c r="P964" s="194"/>
      <c r="Q964" s="194"/>
      <c r="R964" s="194"/>
      <c r="S964" s="194"/>
      <c r="T964" s="194"/>
      <c r="U964" s="194"/>
      <c r="V964" s="194"/>
      <c r="W964" s="194"/>
      <c r="X964" s="194"/>
      <c r="Y964" s="194"/>
      <c r="Z964" s="194"/>
      <c r="AA964" s="194"/>
      <c r="AB964" s="194"/>
      <c r="AC964" s="194"/>
      <c r="AD964" s="194"/>
      <c r="AE964" s="194"/>
      <c r="AF964" s="194"/>
    </row>
    <row r="965" spans="1:32" x14ac:dyDescent="0.25">
      <c r="A965" s="194"/>
      <c r="B965" s="194"/>
      <c r="C965" s="194"/>
      <c r="D965" s="194"/>
      <c r="E965" s="194"/>
      <c r="F965" s="194"/>
      <c r="G965" s="194"/>
      <c r="H965" s="194"/>
      <c r="I965" s="194"/>
      <c r="J965" s="194"/>
      <c r="K965" s="194"/>
      <c r="L965" s="194"/>
      <c r="M965" s="194"/>
      <c r="N965" s="194"/>
      <c r="O965" s="194"/>
      <c r="P965" s="194"/>
      <c r="Q965" s="194"/>
      <c r="R965" s="194"/>
      <c r="S965" s="194"/>
      <c r="T965" s="194"/>
      <c r="U965" s="194"/>
      <c r="V965" s="194"/>
      <c r="W965" s="194"/>
      <c r="X965" s="194"/>
      <c r="Y965" s="194"/>
      <c r="Z965" s="194"/>
      <c r="AA965" s="194"/>
      <c r="AB965" s="194"/>
      <c r="AC965" s="194"/>
      <c r="AD965" s="194"/>
      <c r="AE965" s="194"/>
      <c r="AF965" s="194"/>
    </row>
    <row r="966" spans="1:32" x14ac:dyDescent="0.25">
      <c r="A966" s="194"/>
      <c r="B966" s="194"/>
      <c r="C966" s="194"/>
      <c r="D966" s="194"/>
      <c r="E966" s="194"/>
      <c r="F966" s="194"/>
      <c r="G966" s="194"/>
      <c r="H966" s="194"/>
      <c r="I966" s="194"/>
      <c r="J966" s="194"/>
      <c r="K966" s="194"/>
      <c r="L966" s="194"/>
      <c r="M966" s="194"/>
      <c r="N966" s="194"/>
      <c r="O966" s="194"/>
      <c r="P966" s="194"/>
      <c r="Q966" s="194"/>
      <c r="R966" s="194"/>
      <c r="S966" s="194"/>
      <c r="T966" s="194"/>
      <c r="U966" s="194"/>
      <c r="V966" s="194"/>
      <c r="W966" s="194"/>
      <c r="X966" s="194"/>
      <c r="Y966" s="194"/>
      <c r="Z966" s="194"/>
      <c r="AA966" s="194"/>
      <c r="AB966" s="194"/>
      <c r="AC966" s="194"/>
      <c r="AD966" s="194"/>
      <c r="AE966" s="194"/>
      <c r="AF966" s="194"/>
    </row>
    <row r="967" spans="1:32" x14ac:dyDescent="0.25">
      <c r="A967" s="194"/>
      <c r="B967" s="194"/>
      <c r="C967" s="194"/>
      <c r="D967" s="194"/>
      <c r="E967" s="194"/>
      <c r="F967" s="194"/>
      <c r="G967" s="194"/>
      <c r="H967" s="194"/>
      <c r="I967" s="194"/>
      <c r="J967" s="194"/>
      <c r="K967" s="194"/>
      <c r="L967" s="194"/>
      <c r="M967" s="194"/>
      <c r="N967" s="194"/>
      <c r="O967" s="194"/>
      <c r="P967" s="194"/>
      <c r="Q967" s="194"/>
      <c r="R967" s="194"/>
      <c r="S967" s="194"/>
      <c r="T967" s="194"/>
      <c r="U967" s="194"/>
      <c r="V967" s="194"/>
      <c r="W967" s="194"/>
      <c r="X967" s="194"/>
      <c r="Y967" s="194"/>
      <c r="Z967" s="194"/>
      <c r="AA967" s="194"/>
      <c r="AB967" s="194"/>
      <c r="AC967" s="194"/>
      <c r="AD967" s="194"/>
      <c r="AE967" s="194"/>
      <c r="AF967" s="194"/>
    </row>
    <row r="968" spans="1:32" x14ac:dyDescent="0.25">
      <c r="A968" s="194"/>
      <c r="B968" s="194"/>
      <c r="C968" s="194"/>
      <c r="D968" s="194"/>
      <c r="E968" s="194"/>
      <c r="F968" s="194"/>
      <c r="G968" s="194"/>
      <c r="H968" s="194"/>
      <c r="I968" s="194"/>
      <c r="J968" s="194"/>
      <c r="K968" s="194"/>
      <c r="L968" s="194"/>
      <c r="M968" s="194"/>
      <c r="N968" s="194"/>
      <c r="O968" s="194"/>
      <c r="P968" s="194"/>
      <c r="Q968" s="194"/>
      <c r="R968" s="194"/>
      <c r="S968" s="194"/>
      <c r="T968" s="194"/>
      <c r="U968" s="194"/>
      <c r="V968" s="194"/>
      <c r="W968" s="194"/>
      <c r="X968" s="194"/>
      <c r="Y968" s="194"/>
      <c r="Z968" s="194"/>
      <c r="AA968" s="194"/>
      <c r="AB968" s="194"/>
      <c r="AC968" s="194"/>
      <c r="AD968" s="194"/>
      <c r="AE968" s="194"/>
      <c r="AF968" s="194"/>
    </row>
    <row r="969" spans="1:32" x14ac:dyDescent="0.25">
      <c r="A969" s="194"/>
      <c r="B969" s="194"/>
      <c r="C969" s="194"/>
      <c r="D969" s="194"/>
      <c r="E969" s="194"/>
      <c r="F969" s="194"/>
      <c r="G969" s="194"/>
      <c r="H969" s="194"/>
      <c r="I969" s="194"/>
      <c r="J969" s="194"/>
      <c r="K969" s="194"/>
      <c r="L969" s="194"/>
      <c r="M969" s="194"/>
      <c r="N969" s="194"/>
      <c r="O969" s="194"/>
      <c r="P969" s="194"/>
      <c r="Q969" s="194"/>
      <c r="R969" s="194"/>
      <c r="S969" s="194"/>
      <c r="T969" s="194"/>
      <c r="U969" s="194"/>
      <c r="V969" s="194"/>
      <c r="W969" s="194"/>
      <c r="X969" s="194"/>
      <c r="Y969" s="194"/>
      <c r="Z969" s="194"/>
      <c r="AA969" s="194"/>
      <c r="AB969" s="194"/>
      <c r="AC969" s="194"/>
      <c r="AD969" s="194"/>
      <c r="AE969" s="194"/>
      <c r="AF969" s="194"/>
    </row>
    <row r="970" spans="1:32" x14ac:dyDescent="0.25">
      <c r="A970" s="194"/>
      <c r="B970" s="194"/>
      <c r="C970" s="194"/>
      <c r="D970" s="194"/>
      <c r="E970" s="194"/>
      <c r="F970" s="194"/>
      <c r="G970" s="194"/>
      <c r="H970" s="194"/>
      <c r="I970" s="194"/>
      <c r="J970" s="194"/>
      <c r="K970" s="194"/>
      <c r="L970" s="194"/>
      <c r="M970" s="194"/>
      <c r="N970" s="194"/>
      <c r="O970" s="194"/>
      <c r="P970" s="194"/>
      <c r="Q970" s="194"/>
      <c r="R970" s="194"/>
      <c r="S970" s="194"/>
      <c r="T970" s="194"/>
      <c r="U970" s="194"/>
      <c r="V970" s="194"/>
      <c r="W970" s="194"/>
      <c r="X970" s="194"/>
      <c r="Y970" s="194"/>
      <c r="Z970" s="194"/>
      <c r="AA970" s="194"/>
      <c r="AB970" s="194"/>
      <c r="AC970" s="194"/>
      <c r="AD970" s="194"/>
      <c r="AE970" s="194"/>
      <c r="AF970" s="194"/>
    </row>
    <row r="971" spans="1:32" x14ac:dyDescent="0.25">
      <c r="A971" s="194"/>
      <c r="B971" s="194"/>
      <c r="C971" s="194"/>
      <c r="D971" s="194"/>
      <c r="E971" s="194"/>
      <c r="F971" s="194"/>
      <c r="G971" s="194"/>
      <c r="H971" s="194"/>
      <c r="I971" s="194"/>
      <c r="J971" s="194"/>
      <c r="K971" s="194"/>
      <c r="L971" s="194"/>
      <c r="M971" s="194"/>
      <c r="N971" s="194"/>
      <c r="O971" s="194"/>
      <c r="P971" s="194"/>
      <c r="Q971" s="194"/>
      <c r="R971" s="194"/>
      <c r="S971" s="194"/>
      <c r="T971" s="194"/>
      <c r="U971" s="194"/>
      <c r="V971" s="194"/>
      <c r="W971" s="194"/>
      <c r="X971" s="194"/>
      <c r="Y971" s="194"/>
      <c r="Z971" s="194"/>
      <c r="AA971" s="194"/>
      <c r="AB971" s="194"/>
      <c r="AC971" s="194"/>
      <c r="AD971" s="194"/>
      <c r="AE971" s="194"/>
      <c r="AF971" s="194"/>
    </row>
    <row r="972" spans="1:32" x14ac:dyDescent="0.25">
      <c r="A972" s="194"/>
      <c r="B972" s="194"/>
      <c r="C972" s="194"/>
      <c r="D972" s="194"/>
      <c r="E972" s="194"/>
      <c r="F972" s="194"/>
      <c r="G972" s="194"/>
      <c r="H972" s="194"/>
      <c r="I972" s="194"/>
      <c r="J972" s="194"/>
      <c r="K972" s="194"/>
      <c r="L972" s="194"/>
      <c r="M972" s="194"/>
      <c r="N972" s="194"/>
      <c r="O972" s="194"/>
      <c r="P972" s="194"/>
      <c r="Q972" s="194"/>
      <c r="R972" s="194"/>
      <c r="S972" s="194"/>
      <c r="T972" s="194"/>
      <c r="U972" s="194"/>
      <c r="V972" s="194"/>
      <c r="W972" s="194"/>
      <c r="X972" s="194"/>
      <c r="Y972" s="194"/>
      <c r="Z972" s="194"/>
      <c r="AA972" s="194"/>
      <c r="AB972" s="194"/>
      <c r="AC972" s="194"/>
      <c r="AD972" s="194"/>
      <c r="AE972" s="194"/>
      <c r="AF972" s="194"/>
    </row>
    <row r="973" spans="1:32" x14ac:dyDescent="0.25">
      <c r="A973" s="194"/>
      <c r="B973" s="194"/>
      <c r="C973" s="194"/>
      <c r="D973" s="194"/>
      <c r="E973" s="194"/>
      <c r="F973" s="194"/>
      <c r="G973" s="194"/>
      <c r="H973" s="194"/>
      <c r="I973" s="194"/>
      <c r="J973" s="194"/>
      <c r="K973" s="194"/>
      <c r="L973" s="194"/>
      <c r="M973" s="194"/>
      <c r="N973" s="194"/>
      <c r="O973" s="194"/>
      <c r="P973" s="194"/>
      <c r="Q973" s="194"/>
      <c r="R973" s="194"/>
      <c r="S973" s="194"/>
      <c r="T973" s="194"/>
      <c r="U973" s="194"/>
      <c r="V973" s="194"/>
      <c r="W973" s="194"/>
      <c r="X973" s="194"/>
      <c r="Y973" s="194"/>
      <c r="Z973" s="194"/>
      <c r="AA973" s="194"/>
      <c r="AB973" s="194"/>
      <c r="AC973" s="194"/>
      <c r="AD973" s="194"/>
      <c r="AE973" s="194"/>
      <c r="AF973" s="194"/>
    </row>
    <row r="974" spans="1:32" x14ac:dyDescent="0.25">
      <c r="A974" s="194"/>
      <c r="B974" s="194"/>
      <c r="C974" s="194"/>
      <c r="D974" s="194"/>
      <c r="E974" s="194"/>
      <c r="F974" s="194"/>
      <c r="G974" s="194"/>
      <c r="H974" s="194"/>
      <c r="I974" s="194"/>
      <c r="J974" s="194"/>
      <c r="K974" s="194"/>
      <c r="L974" s="194"/>
      <c r="M974" s="194"/>
      <c r="N974" s="194"/>
      <c r="O974" s="194"/>
      <c r="P974" s="194"/>
      <c r="Q974" s="194"/>
      <c r="R974" s="194"/>
      <c r="S974" s="194"/>
      <c r="T974" s="194"/>
      <c r="U974" s="194"/>
      <c r="V974" s="194"/>
      <c r="W974" s="194"/>
      <c r="X974" s="194"/>
      <c r="Y974" s="194"/>
      <c r="Z974" s="194"/>
      <c r="AA974" s="194"/>
      <c r="AB974" s="194"/>
      <c r="AC974" s="194"/>
      <c r="AD974" s="194"/>
      <c r="AE974" s="194"/>
      <c r="AF974" s="194"/>
    </row>
    <row r="975" spans="1:32" x14ac:dyDescent="0.25">
      <c r="A975" s="194"/>
      <c r="B975" s="194"/>
      <c r="C975" s="194"/>
      <c r="D975" s="194"/>
      <c r="E975" s="194"/>
      <c r="F975" s="194"/>
      <c r="G975" s="194"/>
      <c r="H975" s="194"/>
      <c r="I975" s="194"/>
      <c r="J975" s="194"/>
      <c r="K975" s="194"/>
      <c r="L975" s="194"/>
      <c r="M975" s="194"/>
      <c r="N975" s="194"/>
      <c r="O975" s="194"/>
      <c r="P975" s="194"/>
      <c r="Q975" s="194"/>
      <c r="R975" s="194"/>
      <c r="S975" s="194"/>
      <c r="T975" s="194"/>
      <c r="U975" s="194"/>
      <c r="V975" s="194"/>
      <c r="W975" s="194"/>
      <c r="X975" s="194"/>
      <c r="Y975" s="194"/>
      <c r="Z975" s="194"/>
      <c r="AA975" s="194"/>
      <c r="AB975" s="194"/>
      <c r="AC975" s="194"/>
      <c r="AD975" s="194"/>
      <c r="AE975" s="194"/>
      <c r="AF975" s="194"/>
    </row>
    <row r="976" spans="1:32" x14ac:dyDescent="0.25">
      <c r="A976" s="194"/>
      <c r="B976" s="194"/>
      <c r="C976" s="194"/>
      <c r="D976" s="194"/>
      <c r="E976" s="194"/>
      <c r="F976" s="194"/>
      <c r="G976" s="194"/>
      <c r="H976" s="194"/>
      <c r="I976" s="194"/>
      <c r="J976" s="194"/>
      <c r="K976" s="194"/>
      <c r="L976" s="194"/>
      <c r="M976" s="194"/>
      <c r="N976" s="194"/>
      <c r="O976" s="194"/>
      <c r="P976" s="194"/>
      <c r="Q976" s="194"/>
      <c r="R976" s="194"/>
      <c r="S976" s="194"/>
      <c r="T976" s="194"/>
      <c r="U976" s="194"/>
      <c r="V976" s="194"/>
      <c r="W976" s="194"/>
      <c r="X976" s="194"/>
      <c r="Y976" s="194"/>
      <c r="Z976" s="194"/>
      <c r="AA976" s="194"/>
      <c r="AB976" s="194"/>
      <c r="AC976" s="194"/>
      <c r="AD976" s="194"/>
      <c r="AE976" s="194"/>
      <c r="AF976" s="194"/>
    </row>
    <row r="977" spans="1:32" x14ac:dyDescent="0.25">
      <c r="A977" s="194"/>
      <c r="B977" s="194"/>
      <c r="C977" s="194"/>
      <c r="D977" s="194"/>
      <c r="E977" s="194"/>
      <c r="F977" s="194"/>
      <c r="G977" s="194"/>
      <c r="H977" s="194"/>
      <c r="I977" s="194"/>
      <c r="J977" s="194"/>
      <c r="K977" s="194"/>
      <c r="L977" s="194"/>
      <c r="M977" s="194"/>
      <c r="N977" s="194"/>
      <c r="O977" s="194"/>
      <c r="P977" s="194"/>
      <c r="Q977" s="194"/>
      <c r="R977" s="194"/>
      <c r="S977" s="194"/>
      <c r="T977" s="194"/>
      <c r="U977" s="194"/>
      <c r="V977" s="194"/>
      <c r="W977" s="194"/>
      <c r="X977" s="194"/>
      <c r="Y977" s="194"/>
      <c r="Z977" s="194"/>
      <c r="AA977" s="194"/>
      <c r="AB977" s="194"/>
      <c r="AC977" s="194"/>
      <c r="AD977" s="194"/>
      <c r="AE977" s="194"/>
      <c r="AF977" s="194"/>
    </row>
    <row r="978" spans="1:32" x14ac:dyDescent="0.25">
      <c r="A978" s="194"/>
      <c r="B978" s="194"/>
      <c r="C978" s="194"/>
      <c r="D978" s="194"/>
      <c r="E978" s="194"/>
      <c r="F978" s="194"/>
      <c r="G978" s="194"/>
      <c r="H978" s="194"/>
      <c r="I978" s="194"/>
      <c r="J978" s="194"/>
      <c r="K978" s="194"/>
      <c r="L978" s="194"/>
      <c r="M978" s="194"/>
      <c r="N978" s="194"/>
      <c r="O978" s="194"/>
      <c r="P978" s="194"/>
      <c r="Q978" s="194"/>
      <c r="R978" s="194"/>
      <c r="S978" s="194"/>
      <c r="T978" s="194"/>
      <c r="U978" s="194"/>
      <c r="V978" s="194"/>
      <c r="W978" s="194"/>
      <c r="X978" s="194"/>
      <c r="Y978" s="194"/>
      <c r="Z978" s="194"/>
      <c r="AA978" s="194"/>
      <c r="AB978" s="194"/>
      <c r="AC978" s="194"/>
      <c r="AD978" s="194"/>
      <c r="AE978" s="194"/>
      <c r="AF978" s="194"/>
    </row>
    <row r="979" spans="1:32" x14ac:dyDescent="0.25">
      <c r="A979" s="194"/>
      <c r="B979" s="194"/>
      <c r="C979" s="194"/>
      <c r="D979" s="194"/>
      <c r="E979" s="194"/>
      <c r="F979" s="194"/>
      <c r="G979" s="194"/>
      <c r="H979" s="194"/>
      <c r="I979" s="194"/>
      <c r="J979" s="194"/>
      <c r="K979" s="194"/>
      <c r="L979" s="194"/>
      <c r="M979" s="194"/>
      <c r="N979" s="194"/>
      <c r="O979" s="194"/>
      <c r="P979" s="194"/>
      <c r="Q979" s="194"/>
      <c r="R979" s="194"/>
      <c r="S979" s="194"/>
      <c r="T979" s="194"/>
      <c r="U979" s="194"/>
      <c r="V979" s="194"/>
      <c r="W979" s="194"/>
      <c r="X979" s="194"/>
      <c r="Y979" s="194"/>
      <c r="Z979" s="194"/>
      <c r="AA979" s="194"/>
      <c r="AB979" s="194"/>
      <c r="AC979" s="194"/>
      <c r="AD979" s="194"/>
      <c r="AE979" s="194"/>
      <c r="AF979" s="194"/>
    </row>
    <row r="980" spans="1:32" x14ac:dyDescent="0.25">
      <c r="A980" s="194"/>
      <c r="B980" s="194"/>
      <c r="C980" s="194"/>
      <c r="D980" s="194"/>
      <c r="E980" s="194"/>
      <c r="F980" s="194"/>
      <c r="G980" s="194"/>
      <c r="H980" s="194"/>
      <c r="I980" s="194"/>
      <c r="J980" s="194"/>
      <c r="K980" s="194"/>
      <c r="L980" s="194"/>
      <c r="M980" s="194"/>
      <c r="N980" s="194"/>
      <c r="O980" s="194"/>
      <c r="P980" s="194"/>
      <c r="Q980" s="194"/>
      <c r="R980" s="194"/>
      <c r="S980" s="194"/>
      <c r="T980" s="194"/>
      <c r="U980" s="194"/>
      <c r="V980" s="194"/>
      <c r="W980" s="194"/>
      <c r="X980" s="194"/>
      <c r="Y980" s="194"/>
      <c r="Z980" s="194"/>
      <c r="AA980" s="194"/>
      <c r="AB980" s="194"/>
      <c r="AC980" s="194"/>
      <c r="AD980" s="194"/>
      <c r="AE980" s="194"/>
      <c r="AF980" s="194"/>
    </row>
    <row r="981" spans="1:32" x14ac:dyDescent="0.25">
      <c r="A981" s="194"/>
      <c r="B981" s="194"/>
      <c r="C981" s="194"/>
      <c r="D981" s="194"/>
      <c r="E981" s="194"/>
      <c r="F981" s="194"/>
      <c r="G981" s="194"/>
      <c r="H981" s="194"/>
      <c r="I981" s="194"/>
      <c r="J981" s="194"/>
      <c r="K981" s="194"/>
      <c r="L981" s="194"/>
      <c r="M981" s="194"/>
      <c r="N981" s="194"/>
      <c r="O981" s="194"/>
      <c r="P981" s="194"/>
      <c r="Q981" s="194"/>
      <c r="R981" s="194"/>
      <c r="S981" s="194"/>
      <c r="T981" s="194"/>
      <c r="U981" s="194"/>
      <c r="V981" s="194"/>
      <c r="W981" s="194"/>
      <c r="X981" s="194"/>
      <c r="Y981" s="194"/>
      <c r="Z981" s="194"/>
      <c r="AA981" s="194"/>
      <c r="AB981" s="194"/>
      <c r="AC981" s="194"/>
      <c r="AD981" s="194"/>
      <c r="AE981" s="194"/>
      <c r="AF981" s="194"/>
    </row>
    <row r="982" spans="1:32" x14ac:dyDescent="0.25">
      <c r="A982" s="194"/>
      <c r="B982" s="194"/>
      <c r="C982" s="194"/>
      <c r="D982" s="194"/>
      <c r="E982" s="194"/>
      <c r="F982" s="194"/>
      <c r="G982" s="194"/>
      <c r="H982" s="194"/>
      <c r="I982" s="194"/>
      <c r="J982" s="194"/>
      <c r="K982" s="194"/>
      <c r="L982" s="194"/>
      <c r="M982" s="194"/>
      <c r="N982" s="194"/>
      <c r="O982" s="194"/>
      <c r="P982" s="194"/>
      <c r="Q982" s="194"/>
      <c r="R982" s="194"/>
      <c r="S982" s="194"/>
      <c r="T982" s="194"/>
      <c r="U982" s="194"/>
      <c r="V982" s="194"/>
      <c r="W982" s="194"/>
      <c r="X982" s="194"/>
      <c r="Y982" s="194"/>
      <c r="Z982" s="194"/>
      <c r="AA982" s="194"/>
      <c r="AB982" s="194"/>
      <c r="AC982" s="194"/>
      <c r="AD982" s="194"/>
      <c r="AE982" s="194"/>
      <c r="AF982" s="194"/>
    </row>
    <row r="983" spans="1:32" x14ac:dyDescent="0.25">
      <c r="A983" s="194"/>
      <c r="B983" s="194"/>
      <c r="C983" s="194"/>
      <c r="D983" s="194"/>
      <c r="E983" s="194"/>
      <c r="F983" s="194"/>
      <c r="G983" s="194"/>
      <c r="H983" s="194"/>
      <c r="I983" s="194"/>
      <c r="J983" s="194"/>
      <c r="K983" s="194"/>
      <c r="L983" s="194"/>
      <c r="M983" s="194"/>
      <c r="N983" s="194"/>
      <c r="O983" s="194"/>
      <c r="P983" s="194"/>
      <c r="Q983" s="194"/>
      <c r="R983" s="194"/>
      <c r="S983" s="194"/>
      <c r="T983" s="194"/>
      <c r="U983" s="194"/>
      <c r="V983" s="194"/>
      <c r="W983" s="194"/>
      <c r="X983" s="194"/>
      <c r="Y983" s="194"/>
      <c r="Z983" s="194"/>
      <c r="AA983" s="194"/>
      <c r="AB983" s="194"/>
      <c r="AC983" s="194"/>
      <c r="AD983" s="194"/>
      <c r="AE983" s="194"/>
      <c r="AF983" s="194"/>
    </row>
    <row r="984" spans="1:32" x14ac:dyDescent="0.25">
      <c r="A984" s="194"/>
      <c r="B984" s="194"/>
      <c r="C984" s="194"/>
      <c r="D984" s="194"/>
      <c r="E984" s="194"/>
      <c r="F984" s="194"/>
      <c r="G984" s="194"/>
      <c r="H984" s="194"/>
      <c r="I984" s="194"/>
      <c r="J984" s="194"/>
      <c r="K984" s="194"/>
      <c r="L984" s="194"/>
      <c r="M984" s="194"/>
      <c r="N984" s="194"/>
      <c r="O984" s="194"/>
      <c r="P984" s="194"/>
      <c r="Q984" s="194"/>
      <c r="R984" s="194"/>
      <c r="S984" s="194"/>
      <c r="T984" s="194"/>
      <c r="U984" s="194"/>
      <c r="V984" s="194"/>
      <c r="W984" s="194"/>
      <c r="X984" s="194"/>
      <c r="Y984" s="194"/>
      <c r="Z984" s="194"/>
      <c r="AA984" s="194"/>
      <c r="AB984" s="194"/>
      <c r="AC984" s="194"/>
      <c r="AD984" s="194"/>
      <c r="AE984" s="194"/>
      <c r="AF984" s="194"/>
    </row>
    <row r="985" spans="1:32" x14ac:dyDescent="0.25">
      <c r="A985" s="194"/>
      <c r="B985" s="194"/>
      <c r="C985" s="194"/>
      <c r="D985" s="194"/>
      <c r="E985" s="194"/>
      <c r="F985" s="194"/>
      <c r="G985" s="194"/>
      <c r="H985" s="194"/>
      <c r="I985" s="194"/>
      <c r="J985" s="194"/>
      <c r="K985" s="194"/>
      <c r="L985" s="194"/>
      <c r="M985" s="194"/>
      <c r="N985" s="194"/>
      <c r="O985" s="194"/>
      <c r="P985" s="194"/>
      <c r="Q985" s="194"/>
      <c r="R985" s="194"/>
      <c r="S985" s="194"/>
      <c r="T985" s="194"/>
      <c r="U985" s="194"/>
      <c r="V985" s="194"/>
      <c r="W985" s="194"/>
      <c r="X985" s="194"/>
      <c r="Y985" s="194"/>
      <c r="Z985" s="194"/>
      <c r="AA985" s="194"/>
      <c r="AB985" s="194"/>
      <c r="AC985" s="194"/>
      <c r="AD985" s="194"/>
      <c r="AE985" s="194"/>
      <c r="AF985" s="194"/>
    </row>
    <row r="986" spans="1:32" x14ac:dyDescent="0.25">
      <c r="A986" s="194"/>
      <c r="B986" s="194"/>
      <c r="C986" s="194"/>
      <c r="D986" s="194"/>
      <c r="E986" s="194"/>
      <c r="F986" s="194"/>
      <c r="G986" s="194"/>
      <c r="H986" s="194"/>
      <c r="I986" s="194"/>
      <c r="J986" s="194"/>
      <c r="K986" s="194"/>
      <c r="L986" s="194"/>
      <c r="M986" s="194"/>
      <c r="N986" s="194"/>
      <c r="O986" s="194"/>
      <c r="P986" s="194"/>
      <c r="Q986" s="194"/>
      <c r="R986" s="194"/>
      <c r="S986" s="194"/>
      <c r="T986" s="194"/>
      <c r="U986" s="194"/>
      <c r="V986" s="194"/>
      <c r="W986" s="194"/>
      <c r="X986" s="194"/>
      <c r="Y986" s="194"/>
      <c r="Z986" s="194"/>
      <c r="AA986" s="194"/>
      <c r="AB986" s="194"/>
      <c r="AC986" s="194"/>
      <c r="AD986" s="194"/>
      <c r="AE986" s="194"/>
      <c r="AF986" s="194"/>
    </row>
    <row r="987" spans="1:32" x14ac:dyDescent="0.25">
      <c r="A987" s="194"/>
      <c r="B987" s="194"/>
      <c r="C987" s="194"/>
      <c r="D987" s="194"/>
      <c r="E987" s="194"/>
      <c r="F987" s="194"/>
      <c r="G987" s="194"/>
      <c r="H987" s="194"/>
      <c r="I987" s="194"/>
      <c r="J987" s="194"/>
      <c r="K987" s="194"/>
      <c r="L987" s="194"/>
      <c r="M987" s="194"/>
      <c r="N987" s="194"/>
      <c r="O987" s="194"/>
      <c r="P987" s="194"/>
      <c r="Q987" s="194"/>
      <c r="R987" s="194"/>
      <c r="S987" s="194"/>
      <c r="T987" s="194"/>
      <c r="U987" s="194"/>
      <c r="V987" s="194"/>
      <c r="W987" s="194"/>
      <c r="X987" s="194"/>
      <c r="Y987" s="194"/>
      <c r="Z987" s="194"/>
      <c r="AA987" s="194"/>
      <c r="AB987" s="194"/>
      <c r="AC987" s="194"/>
      <c r="AD987" s="194"/>
      <c r="AE987" s="194"/>
      <c r="AF987" s="194"/>
    </row>
    <row r="988" spans="1:32" x14ac:dyDescent="0.25">
      <c r="A988" s="194"/>
      <c r="B988" s="194"/>
      <c r="C988" s="194"/>
      <c r="D988" s="194"/>
      <c r="E988" s="194"/>
      <c r="F988" s="194"/>
      <c r="G988" s="194"/>
      <c r="H988" s="194"/>
      <c r="I988" s="194"/>
      <c r="J988" s="194"/>
      <c r="K988" s="194"/>
      <c r="L988" s="194"/>
      <c r="M988" s="194"/>
      <c r="N988" s="194"/>
      <c r="O988" s="194"/>
      <c r="P988" s="194"/>
      <c r="Q988" s="194"/>
      <c r="R988" s="194"/>
      <c r="S988" s="194"/>
      <c r="T988" s="194"/>
      <c r="U988" s="194"/>
      <c r="V988" s="194"/>
      <c r="W988" s="194"/>
      <c r="X988" s="194"/>
      <c r="Y988" s="194"/>
      <c r="Z988" s="194"/>
      <c r="AA988" s="194"/>
      <c r="AB988" s="194"/>
      <c r="AC988" s="194"/>
      <c r="AD988" s="194"/>
      <c r="AE988" s="194"/>
      <c r="AF988" s="194"/>
    </row>
    <row r="989" spans="1:32" x14ac:dyDescent="0.25">
      <c r="A989" s="194"/>
      <c r="B989" s="194"/>
      <c r="C989" s="194"/>
      <c r="D989" s="194"/>
      <c r="E989" s="194"/>
      <c r="F989" s="194"/>
      <c r="G989" s="194"/>
      <c r="H989" s="194"/>
      <c r="I989" s="194"/>
      <c r="J989" s="194"/>
      <c r="K989" s="194"/>
      <c r="L989" s="194"/>
      <c r="M989" s="194"/>
      <c r="N989" s="194"/>
      <c r="O989" s="194"/>
      <c r="P989" s="194"/>
      <c r="Q989" s="194"/>
      <c r="R989" s="194"/>
      <c r="S989" s="194"/>
      <c r="T989" s="194"/>
      <c r="U989" s="194"/>
      <c r="V989" s="194"/>
      <c r="W989" s="194"/>
      <c r="X989" s="194"/>
      <c r="Y989" s="194"/>
      <c r="Z989" s="194"/>
      <c r="AA989" s="194"/>
      <c r="AB989" s="194"/>
      <c r="AC989" s="194"/>
      <c r="AD989" s="194"/>
      <c r="AE989" s="194"/>
      <c r="AF989" s="194"/>
    </row>
    <row r="990" spans="1:32" x14ac:dyDescent="0.25">
      <c r="A990" s="194"/>
      <c r="B990" s="194"/>
      <c r="C990" s="194"/>
      <c r="D990" s="194"/>
      <c r="E990" s="194"/>
      <c r="F990" s="194"/>
      <c r="G990" s="194"/>
      <c r="H990" s="194"/>
      <c r="I990" s="194"/>
      <c r="J990" s="194"/>
      <c r="K990" s="194"/>
      <c r="L990" s="194"/>
      <c r="M990" s="194"/>
      <c r="N990" s="194"/>
      <c r="O990" s="194"/>
      <c r="P990" s="194"/>
      <c r="Q990" s="194"/>
      <c r="R990" s="194"/>
      <c r="S990" s="194"/>
      <c r="T990" s="194"/>
      <c r="U990" s="194"/>
      <c r="V990" s="194"/>
      <c r="W990" s="194"/>
      <c r="X990" s="194"/>
      <c r="Y990" s="194"/>
      <c r="Z990" s="194"/>
      <c r="AA990" s="194"/>
      <c r="AB990" s="194"/>
      <c r="AC990" s="194"/>
      <c r="AD990" s="194"/>
      <c r="AE990" s="194"/>
      <c r="AF990" s="194"/>
    </row>
    <row r="991" spans="1:32" x14ac:dyDescent="0.25">
      <c r="A991" s="194"/>
      <c r="B991" s="194"/>
      <c r="C991" s="194"/>
      <c r="D991" s="194"/>
      <c r="E991" s="194"/>
      <c r="F991" s="194"/>
      <c r="G991" s="194"/>
      <c r="H991" s="194"/>
      <c r="I991" s="194"/>
      <c r="J991" s="194"/>
      <c r="K991" s="194"/>
      <c r="L991" s="194"/>
      <c r="M991" s="194"/>
      <c r="N991" s="194"/>
      <c r="O991" s="194"/>
      <c r="P991" s="194"/>
      <c r="Q991" s="194"/>
      <c r="R991" s="194"/>
      <c r="S991" s="194"/>
      <c r="T991" s="194"/>
      <c r="U991" s="194"/>
      <c r="V991" s="194"/>
      <c r="W991" s="194"/>
      <c r="X991" s="194"/>
      <c r="Y991" s="194"/>
      <c r="Z991" s="194"/>
      <c r="AA991" s="194"/>
      <c r="AB991" s="194"/>
      <c r="AC991" s="194"/>
      <c r="AD991" s="194"/>
      <c r="AE991" s="194"/>
      <c r="AF991" s="194"/>
    </row>
    <row r="992" spans="1:32" x14ac:dyDescent="0.25">
      <c r="A992" s="194"/>
      <c r="B992" s="194"/>
      <c r="C992" s="194"/>
      <c r="D992" s="194"/>
      <c r="E992" s="194"/>
      <c r="F992" s="194"/>
      <c r="G992" s="194"/>
      <c r="H992" s="194"/>
      <c r="I992" s="194"/>
      <c r="J992" s="194"/>
      <c r="K992" s="194"/>
      <c r="L992" s="194"/>
      <c r="M992" s="194"/>
      <c r="N992" s="194"/>
      <c r="O992" s="194"/>
      <c r="P992" s="194"/>
      <c r="Q992" s="194"/>
      <c r="R992" s="194"/>
      <c r="S992" s="194"/>
      <c r="T992" s="194"/>
      <c r="U992" s="194"/>
      <c r="V992" s="194"/>
      <c r="W992" s="194"/>
      <c r="X992" s="194"/>
      <c r="Y992" s="194"/>
      <c r="Z992" s="194"/>
      <c r="AA992" s="194"/>
      <c r="AB992" s="194"/>
      <c r="AC992" s="194"/>
      <c r="AD992" s="194"/>
      <c r="AE992" s="194"/>
      <c r="AF992" s="194"/>
    </row>
    <row r="993" spans="1:32" x14ac:dyDescent="0.25">
      <c r="A993" s="194"/>
      <c r="B993" s="194"/>
      <c r="C993" s="194"/>
      <c r="D993" s="194"/>
      <c r="E993" s="194"/>
      <c r="F993" s="194"/>
      <c r="G993" s="194"/>
      <c r="H993" s="194"/>
      <c r="I993" s="194"/>
      <c r="J993" s="194"/>
      <c r="K993" s="194"/>
      <c r="L993" s="194"/>
      <c r="M993" s="194"/>
      <c r="N993" s="194"/>
      <c r="O993" s="194"/>
      <c r="P993" s="194"/>
      <c r="Q993" s="194"/>
      <c r="R993" s="194"/>
      <c r="S993" s="194"/>
      <c r="T993" s="194"/>
      <c r="U993" s="194"/>
      <c r="V993" s="194"/>
      <c r="W993" s="194"/>
      <c r="X993" s="194"/>
      <c r="Y993" s="194"/>
      <c r="Z993" s="194"/>
      <c r="AA993" s="194"/>
      <c r="AB993" s="194"/>
      <c r="AC993" s="194"/>
      <c r="AD993" s="194"/>
      <c r="AE993" s="194"/>
      <c r="AF993" s="194"/>
    </row>
    <row r="994" spans="1:32" x14ac:dyDescent="0.25">
      <c r="A994" s="194"/>
      <c r="B994" s="194"/>
      <c r="C994" s="194"/>
      <c r="D994" s="194"/>
      <c r="E994" s="194"/>
      <c r="F994" s="194"/>
      <c r="G994" s="194"/>
      <c r="H994" s="194"/>
      <c r="I994" s="194"/>
      <c r="J994" s="194"/>
      <c r="K994" s="194"/>
      <c r="L994" s="194"/>
      <c r="M994" s="194"/>
      <c r="N994" s="194"/>
      <c r="O994" s="194"/>
      <c r="P994" s="194"/>
      <c r="Q994" s="194"/>
      <c r="R994" s="194"/>
      <c r="S994" s="194"/>
      <c r="T994" s="194"/>
      <c r="U994" s="194"/>
      <c r="V994" s="194"/>
      <c r="W994" s="194"/>
      <c r="X994" s="194"/>
      <c r="Y994" s="194"/>
      <c r="Z994" s="194"/>
      <c r="AA994" s="194"/>
      <c r="AB994" s="194"/>
      <c r="AC994" s="194"/>
      <c r="AD994" s="194"/>
      <c r="AE994" s="194"/>
      <c r="AF994" s="194"/>
    </row>
    <row r="995" spans="1:32" x14ac:dyDescent="0.25">
      <c r="A995" s="194"/>
      <c r="B995" s="194"/>
      <c r="C995" s="194"/>
      <c r="D995" s="194"/>
      <c r="E995" s="194"/>
      <c r="F995" s="194"/>
      <c r="G995" s="194"/>
      <c r="H995" s="194"/>
      <c r="I995" s="194"/>
      <c r="J995" s="194"/>
      <c r="K995" s="194"/>
      <c r="L995" s="194"/>
      <c r="M995" s="194"/>
      <c r="N995" s="194"/>
      <c r="O995" s="194"/>
      <c r="P995" s="194"/>
      <c r="Q995" s="194"/>
      <c r="R995" s="194"/>
      <c r="S995" s="194"/>
      <c r="T995" s="194"/>
      <c r="U995" s="194"/>
      <c r="V995" s="194"/>
      <c r="W995" s="194"/>
      <c r="X995" s="194"/>
      <c r="Y995" s="194"/>
      <c r="Z995" s="194"/>
      <c r="AA995" s="194"/>
      <c r="AB995" s="194"/>
      <c r="AC995" s="194"/>
      <c r="AD995" s="194"/>
      <c r="AE995" s="194"/>
      <c r="AF995" s="194"/>
    </row>
    <row r="996" spans="1:32" x14ac:dyDescent="0.25">
      <c r="A996" s="194"/>
      <c r="B996" s="194"/>
      <c r="C996" s="194"/>
      <c r="D996" s="194"/>
      <c r="E996" s="194"/>
      <c r="F996" s="194"/>
      <c r="G996" s="194"/>
      <c r="H996" s="194"/>
      <c r="I996" s="194"/>
      <c r="J996" s="194"/>
      <c r="K996" s="194"/>
      <c r="L996" s="194"/>
      <c r="M996" s="194"/>
      <c r="N996" s="194"/>
      <c r="O996" s="194"/>
      <c r="P996" s="194"/>
      <c r="Q996" s="194"/>
      <c r="R996" s="194"/>
      <c r="S996" s="194"/>
      <c r="T996" s="194"/>
      <c r="U996" s="194"/>
      <c r="V996" s="194"/>
      <c r="W996" s="194"/>
      <c r="X996" s="194"/>
      <c r="Y996" s="194"/>
      <c r="Z996" s="194"/>
      <c r="AA996" s="194"/>
      <c r="AB996" s="194"/>
      <c r="AC996" s="194"/>
      <c r="AD996" s="194"/>
      <c r="AE996" s="194"/>
      <c r="AF996" s="194"/>
    </row>
    <row r="997" spans="1:32" x14ac:dyDescent="0.25">
      <c r="A997" s="194"/>
      <c r="B997" s="194"/>
      <c r="C997" s="194"/>
      <c r="D997" s="194"/>
      <c r="E997" s="194"/>
      <c r="F997" s="194"/>
      <c r="G997" s="194"/>
      <c r="H997" s="194"/>
      <c r="I997" s="194"/>
      <c r="J997" s="194"/>
      <c r="K997" s="194"/>
      <c r="L997" s="194"/>
      <c r="M997" s="194"/>
      <c r="N997" s="194"/>
      <c r="O997" s="194"/>
      <c r="P997" s="194"/>
      <c r="Q997" s="194"/>
      <c r="R997" s="194"/>
      <c r="S997" s="194"/>
      <c r="T997" s="194"/>
      <c r="U997" s="194"/>
      <c r="V997" s="194"/>
      <c r="W997" s="194"/>
      <c r="X997" s="194"/>
      <c r="Y997" s="194"/>
      <c r="Z997" s="194"/>
      <c r="AA997" s="194"/>
      <c r="AB997" s="194"/>
      <c r="AC997" s="194"/>
      <c r="AD997" s="194"/>
      <c r="AE997" s="194"/>
      <c r="AF997" s="194"/>
    </row>
    <row r="998" spans="1:32" x14ac:dyDescent="0.25">
      <c r="A998" s="194"/>
      <c r="B998" s="194"/>
      <c r="C998" s="194"/>
      <c r="D998" s="194"/>
      <c r="E998" s="194"/>
      <c r="F998" s="194"/>
      <c r="G998" s="194"/>
      <c r="H998" s="194"/>
      <c r="I998" s="194"/>
      <c r="J998" s="194"/>
      <c r="K998" s="194"/>
      <c r="L998" s="194"/>
      <c r="M998" s="194"/>
      <c r="N998" s="194"/>
      <c r="O998" s="194"/>
      <c r="P998" s="194"/>
      <c r="Q998" s="194"/>
      <c r="R998" s="194"/>
      <c r="S998" s="194"/>
      <c r="T998" s="194"/>
      <c r="U998" s="194"/>
      <c r="V998" s="194"/>
      <c r="W998" s="194"/>
      <c r="X998" s="194"/>
      <c r="Y998" s="194"/>
      <c r="Z998" s="194"/>
      <c r="AA998" s="194"/>
      <c r="AB998" s="194"/>
      <c r="AC998" s="194"/>
      <c r="AD998" s="194"/>
      <c r="AE998" s="194"/>
      <c r="AF998" s="194"/>
    </row>
    <row r="999" spans="1:32" x14ac:dyDescent="0.25">
      <c r="A999" s="194"/>
      <c r="B999" s="194"/>
      <c r="C999" s="194"/>
      <c r="D999" s="194"/>
      <c r="E999" s="194"/>
      <c r="F999" s="194"/>
      <c r="G999" s="194"/>
      <c r="H999" s="194"/>
      <c r="I999" s="194"/>
      <c r="J999" s="194"/>
      <c r="K999" s="194"/>
      <c r="L999" s="194"/>
      <c r="M999" s="194"/>
      <c r="N999" s="194"/>
      <c r="O999" s="194"/>
      <c r="P999" s="194"/>
      <c r="Q999" s="194"/>
      <c r="R999" s="194"/>
      <c r="S999" s="194"/>
      <c r="T999" s="194"/>
      <c r="U999" s="194"/>
      <c r="V999" s="194"/>
      <c r="W999" s="194"/>
      <c r="X999" s="194"/>
      <c r="Y999" s="194"/>
      <c r="Z999" s="194"/>
      <c r="AA999" s="194"/>
      <c r="AB999" s="194"/>
      <c r="AC999" s="194"/>
      <c r="AD999" s="194"/>
      <c r="AE999" s="194"/>
      <c r="AF999" s="194"/>
    </row>
    <row r="1000" spans="1:32" x14ac:dyDescent="0.25">
      <c r="A1000" s="194"/>
      <c r="B1000" s="194"/>
      <c r="C1000" s="194"/>
      <c r="D1000" s="194"/>
      <c r="E1000" s="194"/>
      <c r="F1000" s="194"/>
      <c r="G1000" s="194"/>
      <c r="H1000" s="194"/>
      <c r="I1000" s="194"/>
      <c r="J1000" s="194"/>
      <c r="K1000" s="194"/>
      <c r="L1000" s="194"/>
      <c r="M1000" s="194"/>
      <c r="N1000" s="194"/>
      <c r="O1000" s="194"/>
      <c r="P1000" s="194"/>
      <c r="Q1000" s="194"/>
      <c r="R1000" s="194"/>
      <c r="S1000" s="194"/>
      <c r="T1000" s="194"/>
      <c r="U1000" s="194"/>
      <c r="V1000" s="194"/>
      <c r="W1000" s="194"/>
      <c r="X1000" s="194"/>
      <c r="Y1000" s="194"/>
      <c r="Z1000" s="194"/>
      <c r="AA1000" s="194"/>
      <c r="AB1000" s="194"/>
      <c r="AC1000" s="194"/>
      <c r="AD1000" s="194"/>
      <c r="AE1000" s="194"/>
      <c r="AF1000" s="194"/>
    </row>
    <row r="1001" spans="1:32" x14ac:dyDescent="0.25">
      <c r="A1001" s="194"/>
      <c r="B1001" s="194"/>
      <c r="C1001" s="194"/>
      <c r="D1001" s="194"/>
      <c r="E1001" s="194"/>
      <c r="F1001" s="194"/>
      <c r="G1001" s="194"/>
      <c r="H1001" s="194"/>
      <c r="I1001" s="194"/>
      <c r="J1001" s="194"/>
      <c r="K1001" s="194"/>
      <c r="L1001" s="194"/>
      <c r="M1001" s="194"/>
      <c r="N1001" s="194"/>
      <c r="O1001" s="194"/>
      <c r="P1001" s="194"/>
      <c r="Q1001" s="194"/>
      <c r="R1001" s="194"/>
      <c r="S1001" s="194"/>
      <c r="T1001" s="194"/>
      <c r="U1001" s="194"/>
      <c r="V1001" s="194"/>
      <c r="W1001" s="194"/>
      <c r="X1001" s="194"/>
      <c r="Y1001" s="194"/>
      <c r="Z1001" s="194"/>
      <c r="AA1001" s="194"/>
      <c r="AB1001" s="194"/>
      <c r="AC1001" s="194"/>
      <c r="AD1001" s="194"/>
      <c r="AE1001" s="194"/>
      <c r="AF1001" s="194"/>
    </row>
    <row r="1002" spans="1:32" x14ac:dyDescent="0.25">
      <c r="A1002" s="194"/>
      <c r="B1002" s="194"/>
      <c r="C1002" s="194"/>
      <c r="D1002" s="194"/>
      <c r="E1002" s="194"/>
      <c r="F1002" s="194"/>
      <c r="G1002" s="194"/>
      <c r="H1002" s="194"/>
      <c r="I1002" s="194"/>
      <c r="J1002" s="194"/>
      <c r="K1002" s="194"/>
      <c r="L1002" s="194"/>
      <c r="M1002" s="194"/>
      <c r="N1002" s="194"/>
      <c r="O1002" s="194"/>
      <c r="P1002" s="194"/>
      <c r="Q1002" s="194"/>
      <c r="R1002" s="194"/>
      <c r="S1002" s="194"/>
      <c r="T1002" s="194"/>
      <c r="U1002" s="194"/>
      <c r="V1002" s="194"/>
      <c r="W1002" s="194"/>
      <c r="X1002" s="194"/>
      <c r="Y1002" s="194"/>
      <c r="Z1002" s="194"/>
      <c r="AA1002" s="194"/>
      <c r="AB1002" s="194"/>
      <c r="AC1002" s="194"/>
      <c r="AD1002" s="194"/>
      <c r="AE1002" s="194"/>
      <c r="AF1002" s="194"/>
    </row>
    <row r="1003" spans="1:32" x14ac:dyDescent="0.25">
      <c r="A1003" s="194"/>
      <c r="B1003" s="194"/>
      <c r="C1003" s="194"/>
      <c r="D1003" s="194"/>
      <c r="E1003" s="194"/>
      <c r="F1003" s="194"/>
      <c r="G1003" s="194"/>
      <c r="H1003" s="194"/>
      <c r="I1003" s="194"/>
      <c r="J1003" s="194"/>
      <c r="K1003" s="194"/>
      <c r="L1003" s="194"/>
      <c r="M1003" s="194"/>
      <c r="N1003" s="194"/>
      <c r="O1003" s="194"/>
      <c r="P1003" s="194"/>
      <c r="Q1003" s="194"/>
      <c r="R1003" s="194"/>
      <c r="S1003" s="194"/>
      <c r="T1003" s="194"/>
      <c r="U1003" s="194"/>
      <c r="V1003" s="194"/>
      <c r="W1003" s="194"/>
      <c r="X1003" s="194"/>
      <c r="Y1003" s="194"/>
      <c r="Z1003" s="194"/>
      <c r="AA1003" s="194"/>
      <c r="AB1003" s="194"/>
      <c r="AC1003" s="194"/>
      <c r="AD1003" s="194"/>
      <c r="AE1003" s="194"/>
      <c r="AF1003" s="194"/>
    </row>
    <row r="1004" spans="1:32" x14ac:dyDescent="0.25">
      <c r="A1004" s="194"/>
      <c r="B1004" s="194"/>
      <c r="C1004" s="194"/>
      <c r="D1004" s="194"/>
      <c r="E1004" s="194"/>
      <c r="F1004" s="194"/>
      <c r="G1004" s="194"/>
      <c r="H1004" s="194"/>
      <c r="I1004" s="194"/>
      <c r="J1004" s="194"/>
      <c r="K1004" s="194"/>
      <c r="L1004" s="194"/>
      <c r="M1004" s="194"/>
      <c r="N1004" s="194"/>
      <c r="O1004" s="194"/>
      <c r="P1004" s="194"/>
      <c r="Q1004" s="194"/>
      <c r="R1004" s="194"/>
      <c r="S1004" s="194"/>
      <c r="T1004" s="194"/>
      <c r="U1004" s="194"/>
      <c r="V1004" s="194"/>
      <c r="W1004" s="194"/>
      <c r="X1004" s="194"/>
      <c r="Y1004" s="194"/>
      <c r="Z1004" s="194"/>
      <c r="AA1004" s="194"/>
      <c r="AB1004" s="194"/>
      <c r="AC1004" s="194"/>
      <c r="AD1004" s="194"/>
      <c r="AE1004" s="194"/>
      <c r="AF1004" s="194"/>
    </row>
    <row r="1005" spans="1:32" x14ac:dyDescent="0.25">
      <c r="A1005" s="194"/>
      <c r="B1005" s="194"/>
      <c r="C1005" s="194"/>
      <c r="D1005" s="194"/>
      <c r="E1005" s="194"/>
      <c r="F1005" s="194"/>
      <c r="G1005" s="194"/>
      <c r="H1005" s="194"/>
      <c r="I1005" s="194"/>
      <c r="J1005" s="194"/>
      <c r="K1005" s="194"/>
      <c r="L1005" s="194"/>
      <c r="M1005" s="194"/>
      <c r="N1005" s="194"/>
      <c r="O1005" s="194"/>
      <c r="P1005" s="194"/>
      <c r="Q1005" s="194"/>
      <c r="R1005" s="194"/>
      <c r="S1005" s="194"/>
      <c r="T1005" s="194"/>
      <c r="U1005" s="194"/>
      <c r="V1005" s="194"/>
      <c r="W1005" s="194"/>
      <c r="X1005" s="194"/>
      <c r="Y1005" s="194"/>
      <c r="Z1005" s="194"/>
      <c r="AA1005" s="194"/>
      <c r="AB1005" s="194"/>
      <c r="AC1005" s="194"/>
      <c r="AD1005" s="194"/>
      <c r="AE1005" s="194"/>
      <c r="AF1005" s="194"/>
    </row>
    <row r="1006" spans="1:32" x14ac:dyDescent="0.25">
      <c r="A1006" s="194"/>
      <c r="B1006" s="194"/>
      <c r="C1006" s="194"/>
      <c r="D1006" s="194"/>
      <c r="E1006" s="194"/>
      <c r="F1006" s="194"/>
      <c r="G1006" s="194"/>
      <c r="H1006" s="194"/>
      <c r="I1006" s="194"/>
      <c r="J1006" s="194"/>
      <c r="K1006" s="194"/>
      <c r="L1006" s="194"/>
      <c r="M1006" s="194"/>
      <c r="N1006" s="194"/>
      <c r="O1006" s="194"/>
      <c r="P1006" s="194"/>
      <c r="Q1006" s="194"/>
      <c r="R1006" s="194"/>
      <c r="S1006" s="194"/>
      <c r="T1006" s="194"/>
      <c r="U1006" s="194"/>
      <c r="V1006" s="194"/>
      <c r="W1006" s="194"/>
      <c r="X1006" s="194"/>
      <c r="Y1006" s="194"/>
      <c r="Z1006" s="194"/>
      <c r="AA1006" s="194"/>
      <c r="AB1006" s="194"/>
      <c r="AC1006" s="194"/>
      <c r="AD1006" s="194"/>
      <c r="AE1006" s="194"/>
      <c r="AF1006" s="194"/>
    </row>
    <row r="1007" spans="1:32" x14ac:dyDescent="0.25">
      <c r="A1007" s="194"/>
      <c r="B1007" s="194"/>
      <c r="C1007" s="194"/>
      <c r="D1007" s="194"/>
      <c r="E1007" s="194"/>
      <c r="F1007" s="194"/>
      <c r="G1007" s="194"/>
      <c r="H1007" s="194"/>
      <c r="I1007" s="194"/>
      <c r="J1007" s="194"/>
      <c r="K1007" s="194"/>
      <c r="L1007" s="194"/>
      <c r="M1007" s="194"/>
      <c r="N1007" s="194"/>
      <c r="O1007" s="194"/>
      <c r="P1007" s="194"/>
      <c r="Q1007" s="194"/>
      <c r="R1007" s="194"/>
      <c r="S1007" s="194"/>
      <c r="T1007" s="194"/>
      <c r="U1007" s="194"/>
      <c r="V1007" s="194"/>
      <c r="W1007" s="194"/>
      <c r="X1007" s="194"/>
      <c r="Y1007" s="194"/>
      <c r="Z1007" s="194"/>
      <c r="AA1007" s="194"/>
      <c r="AB1007" s="194"/>
      <c r="AC1007" s="194"/>
      <c r="AD1007" s="194"/>
      <c r="AE1007" s="194"/>
      <c r="AF1007" s="194"/>
    </row>
    <row r="1008" spans="1:32" x14ac:dyDescent="0.25">
      <c r="A1008" s="194"/>
      <c r="B1008" s="194"/>
      <c r="C1008" s="194"/>
      <c r="D1008" s="194"/>
      <c r="E1008" s="194"/>
      <c r="F1008" s="194"/>
      <c r="G1008" s="194"/>
      <c r="H1008" s="194"/>
      <c r="I1008" s="194"/>
      <c r="J1008" s="194"/>
      <c r="K1008" s="194"/>
      <c r="L1008" s="194"/>
      <c r="M1008" s="194"/>
      <c r="N1008" s="194"/>
      <c r="O1008" s="194"/>
      <c r="P1008" s="194"/>
      <c r="Q1008" s="194"/>
      <c r="R1008" s="194"/>
      <c r="S1008" s="194"/>
      <c r="T1008" s="194"/>
      <c r="U1008" s="194"/>
      <c r="V1008" s="194"/>
      <c r="W1008" s="194"/>
      <c r="X1008" s="194"/>
      <c r="Y1008" s="194"/>
      <c r="Z1008" s="194"/>
      <c r="AA1008" s="194"/>
      <c r="AB1008" s="194"/>
      <c r="AC1008" s="194"/>
      <c r="AD1008" s="194"/>
      <c r="AE1008" s="194"/>
      <c r="AF1008" s="194"/>
    </row>
    <row r="1009" spans="1:32" x14ac:dyDescent="0.25">
      <c r="A1009" s="194"/>
      <c r="B1009" s="194"/>
      <c r="C1009" s="194"/>
      <c r="D1009" s="194"/>
      <c r="E1009" s="194"/>
      <c r="F1009" s="194"/>
      <c r="G1009" s="194"/>
      <c r="H1009" s="194"/>
      <c r="I1009" s="194"/>
      <c r="J1009" s="194"/>
      <c r="K1009" s="194"/>
      <c r="L1009" s="194"/>
      <c r="M1009" s="194"/>
      <c r="N1009" s="194"/>
      <c r="O1009" s="194"/>
      <c r="P1009" s="194"/>
      <c r="Q1009" s="194"/>
      <c r="R1009" s="194"/>
      <c r="S1009" s="194"/>
      <c r="T1009" s="194"/>
      <c r="U1009" s="194"/>
      <c r="V1009" s="194"/>
      <c r="W1009" s="194"/>
      <c r="X1009" s="194"/>
      <c r="Y1009" s="194"/>
      <c r="Z1009" s="194"/>
      <c r="AA1009" s="194"/>
      <c r="AB1009" s="194"/>
      <c r="AC1009" s="194"/>
      <c r="AD1009" s="194"/>
      <c r="AE1009" s="194"/>
      <c r="AF1009" s="194"/>
    </row>
    <row r="1010" spans="1:32" x14ac:dyDescent="0.25">
      <c r="A1010" s="194"/>
      <c r="B1010" s="194"/>
      <c r="C1010" s="194"/>
      <c r="D1010" s="194"/>
      <c r="E1010" s="194"/>
      <c r="F1010" s="194"/>
      <c r="G1010" s="194"/>
      <c r="H1010" s="194"/>
      <c r="I1010" s="194"/>
      <c r="J1010" s="194"/>
      <c r="K1010" s="194"/>
      <c r="L1010" s="194"/>
      <c r="M1010" s="194"/>
      <c r="N1010" s="194"/>
      <c r="O1010" s="194"/>
      <c r="P1010" s="194"/>
      <c r="Q1010" s="194"/>
      <c r="R1010" s="194"/>
      <c r="S1010" s="194"/>
      <c r="T1010" s="194"/>
      <c r="U1010" s="194"/>
      <c r="V1010" s="194"/>
      <c r="W1010" s="194"/>
      <c r="X1010" s="194"/>
      <c r="Y1010" s="194"/>
      <c r="Z1010" s="194"/>
      <c r="AA1010" s="194"/>
      <c r="AB1010" s="194"/>
      <c r="AC1010" s="194"/>
      <c r="AD1010" s="194"/>
      <c r="AE1010" s="194"/>
      <c r="AF1010" s="194"/>
    </row>
    <row r="1011" spans="1:32" x14ac:dyDescent="0.25">
      <c r="A1011" s="194"/>
      <c r="B1011" s="194"/>
      <c r="C1011" s="194"/>
      <c r="D1011" s="194"/>
      <c r="E1011" s="194"/>
      <c r="F1011" s="194"/>
      <c r="G1011" s="194"/>
      <c r="H1011" s="194"/>
      <c r="I1011" s="194"/>
      <c r="J1011" s="194"/>
      <c r="K1011" s="194"/>
      <c r="L1011" s="194"/>
      <c r="M1011" s="194"/>
      <c r="N1011" s="194"/>
      <c r="O1011" s="194"/>
      <c r="P1011" s="194"/>
      <c r="Q1011" s="194"/>
      <c r="R1011" s="194"/>
      <c r="S1011" s="194"/>
      <c r="T1011" s="194"/>
      <c r="U1011" s="194"/>
      <c r="V1011" s="194"/>
      <c r="W1011" s="194"/>
      <c r="X1011" s="194"/>
      <c r="Y1011" s="194"/>
      <c r="Z1011" s="194"/>
      <c r="AA1011" s="194"/>
      <c r="AB1011" s="194"/>
      <c r="AC1011" s="194"/>
      <c r="AD1011" s="194"/>
      <c r="AE1011" s="194"/>
      <c r="AF1011" s="194"/>
    </row>
    <row r="1012" spans="1:32" x14ac:dyDescent="0.25">
      <c r="A1012" s="194"/>
      <c r="B1012" s="194"/>
      <c r="C1012" s="194"/>
      <c r="D1012" s="194"/>
      <c r="E1012" s="194"/>
      <c r="F1012" s="194"/>
      <c r="G1012" s="194"/>
      <c r="H1012" s="194"/>
      <c r="I1012" s="194"/>
      <c r="J1012" s="194"/>
      <c r="K1012" s="194"/>
      <c r="L1012" s="194"/>
      <c r="M1012" s="194"/>
      <c r="N1012" s="194"/>
      <c r="O1012" s="194"/>
      <c r="P1012" s="194"/>
      <c r="Q1012" s="194"/>
      <c r="R1012" s="194"/>
      <c r="S1012" s="194"/>
      <c r="T1012" s="194"/>
      <c r="U1012" s="194"/>
      <c r="V1012" s="194"/>
      <c r="W1012" s="194"/>
      <c r="X1012" s="194"/>
      <c r="Y1012" s="194"/>
      <c r="Z1012" s="194"/>
      <c r="AA1012" s="194"/>
      <c r="AB1012" s="194"/>
      <c r="AC1012" s="194"/>
      <c r="AD1012" s="194"/>
      <c r="AE1012" s="194"/>
      <c r="AF1012" s="194"/>
    </row>
    <row r="1013" spans="1:32" x14ac:dyDescent="0.25">
      <c r="A1013" s="194"/>
      <c r="B1013" s="194"/>
      <c r="C1013" s="194"/>
      <c r="D1013" s="194"/>
      <c r="E1013" s="194"/>
      <c r="F1013" s="194"/>
      <c r="G1013" s="194"/>
      <c r="H1013" s="194"/>
      <c r="I1013" s="194"/>
      <c r="J1013" s="194"/>
      <c r="K1013" s="194"/>
      <c r="L1013" s="194"/>
      <c r="M1013" s="194"/>
      <c r="N1013" s="194"/>
      <c r="O1013" s="194"/>
      <c r="P1013" s="194"/>
      <c r="Q1013" s="194"/>
      <c r="R1013" s="194"/>
      <c r="S1013" s="194"/>
      <c r="T1013" s="194"/>
      <c r="U1013" s="194"/>
      <c r="V1013" s="194"/>
      <c r="W1013" s="194"/>
      <c r="X1013" s="194"/>
      <c r="Y1013" s="194"/>
      <c r="Z1013" s="194"/>
      <c r="AA1013" s="194"/>
      <c r="AB1013" s="194"/>
      <c r="AC1013" s="194"/>
      <c r="AD1013" s="194"/>
      <c r="AE1013" s="194"/>
      <c r="AF1013" s="194"/>
    </row>
    <row r="1014" spans="1:32" x14ac:dyDescent="0.25">
      <c r="A1014" s="194"/>
      <c r="B1014" s="194"/>
      <c r="C1014" s="194"/>
      <c r="D1014" s="194"/>
      <c r="E1014" s="194"/>
      <c r="F1014" s="194"/>
      <c r="G1014" s="194"/>
      <c r="H1014" s="194"/>
      <c r="I1014" s="194"/>
      <c r="J1014" s="194"/>
      <c r="K1014" s="194"/>
      <c r="L1014" s="194"/>
      <c r="M1014" s="194"/>
      <c r="N1014" s="194"/>
      <c r="O1014" s="194"/>
      <c r="P1014" s="194"/>
      <c r="Q1014" s="194"/>
      <c r="R1014" s="194"/>
      <c r="S1014" s="194"/>
      <c r="T1014" s="194"/>
      <c r="U1014" s="194"/>
      <c r="V1014" s="194"/>
      <c r="W1014" s="194"/>
      <c r="X1014" s="194"/>
      <c r="Y1014" s="194"/>
      <c r="Z1014" s="194"/>
      <c r="AA1014" s="194"/>
      <c r="AB1014" s="194"/>
      <c r="AC1014" s="194"/>
      <c r="AD1014" s="194"/>
      <c r="AE1014" s="194"/>
      <c r="AF1014" s="194"/>
    </row>
    <row r="1015" spans="1:32" x14ac:dyDescent="0.25">
      <c r="A1015" s="194"/>
      <c r="B1015" s="194"/>
      <c r="C1015" s="194"/>
      <c r="D1015" s="194"/>
      <c r="E1015" s="194"/>
      <c r="F1015" s="194"/>
      <c r="G1015" s="194"/>
      <c r="H1015" s="194"/>
      <c r="I1015" s="194"/>
      <c r="J1015" s="194"/>
      <c r="K1015" s="194"/>
      <c r="L1015" s="194"/>
      <c r="M1015" s="194"/>
      <c r="N1015" s="194"/>
      <c r="O1015" s="194"/>
      <c r="P1015" s="194"/>
      <c r="Q1015" s="194"/>
      <c r="R1015" s="194"/>
      <c r="S1015" s="194"/>
      <c r="T1015" s="194"/>
      <c r="U1015" s="194"/>
      <c r="V1015" s="194"/>
      <c r="W1015" s="194"/>
      <c r="X1015" s="194"/>
      <c r="Y1015" s="194"/>
      <c r="Z1015" s="194"/>
      <c r="AA1015" s="194"/>
      <c r="AB1015" s="194"/>
      <c r="AC1015" s="194"/>
      <c r="AD1015" s="194"/>
      <c r="AE1015" s="194"/>
      <c r="AF1015" s="194"/>
    </row>
    <row r="1016" spans="1:32" x14ac:dyDescent="0.25">
      <c r="A1016" s="194"/>
      <c r="B1016" s="194"/>
      <c r="C1016" s="194"/>
      <c r="D1016" s="194"/>
      <c r="E1016" s="194"/>
      <c r="F1016" s="194"/>
      <c r="G1016" s="194"/>
      <c r="H1016" s="194"/>
      <c r="I1016" s="194"/>
      <c r="J1016" s="194"/>
      <c r="K1016" s="194"/>
      <c r="L1016" s="194"/>
      <c r="M1016" s="194"/>
      <c r="N1016" s="194"/>
      <c r="O1016" s="194"/>
      <c r="P1016" s="194"/>
      <c r="Q1016" s="194"/>
      <c r="R1016" s="194"/>
      <c r="S1016" s="194"/>
      <c r="T1016" s="194"/>
      <c r="U1016" s="194"/>
      <c r="V1016" s="194"/>
      <c r="W1016" s="194"/>
      <c r="X1016" s="194"/>
      <c r="Y1016" s="194"/>
      <c r="Z1016" s="194"/>
      <c r="AA1016" s="194"/>
      <c r="AB1016" s="194"/>
      <c r="AC1016" s="194"/>
      <c r="AD1016" s="194"/>
      <c r="AE1016" s="194"/>
      <c r="AF1016" s="194"/>
    </row>
    <row r="1017" spans="1:32" x14ac:dyDescent="0.25">
      <c r="A1017" s="194"/>
      <c r="B1017" s="194"/>
      <c r="C1017" s="194"/>
      <c r="D1017" s="194"/>
      <c r="E1017" s="194"/>
      <c r="F1017" s="194"/>
      <c r="G1017" s="194"/>
      <c r="H1017" s="194"/>
      <c r="I1017" s="194"/>
      <c r="J1017" s="194"/>
      <c r="K1017" s="194"/>
      <c r="L1017" s="194"/>
      <c r="M1017" s="194"/>
      <c r="N1017" s="194"/>
      <c r="O1017" s="194"/>
      <c r="P1017" s="194"/>
      <c r="Q1017" s="194"/>
      <c r="R1017" s="194"/>
      <c r="S1017" s="194"/>
      <c r="T1017" s="194"/>
      <c r="U1017" s="194"/>
      <c r="V1017" s="194"/>
      <c r="W1017" s="194"/>
      <c r="X1017" s="194"/>
      <c r="Y1017" s="194"/>
      <c r="Z1017" s="194"/>
      <c r="AA1017" s="194"/>
      <c r="AB1017" s="194"/>
      <c r="AC1017" s="194"/>
      <c r="AD1017" s="194"/>
      <c r="AE1017" s="194"/>
      <c r="AF1017" s="194"/>
    </row>
    <row r="1018" spans="1:32" x14ac:dyDescent="0.25">
      <c r="A1018" s="194"/>
      <c r="B1018" s="194"/>
      <c r="C1018" s="194"/>
      <c r="D1018" s="194"/>
      <c r="E1018" s="194"/>
      <c r="F1018" s="194"/>
      <c r="G1018" s="194"/>
      <c r="H1018" s="194"/>
      <c r="I1018" s="194"/>
      <c r="J1018" s="194"/>
      <c r="K1018" s="194"/>
      <c r="L1018" s="194"/>
      <c r="M1018" s="194"/>
      <c r="N1018" s="194"/>
      <c r="O1018" s="194"/>
      <c r="P1018" s="194"/>
      <c r="Q1018" s="194"/>
      <c r="R1018" s="194"/>
      <c r="S1018" s="194"/>
      <c r="T1018" s="194"/>
      <c r="U1018" s="194"/>
      <c r="V1018" s="194"/>
      <c r="W1018" s="194"/>
      <c r="X1018" s="194"/>
      <c r="Y1018" s="194"/>
      <c r="Z1018" s="194"/>
      <c r="AA1018" s="194"/>
      <c r="AB1018" s="194"/>
      <c r="AC1018" s="194"/>
      <c r="AD1018" s="194"/>
      <c r="AE1018" s="194"/>
      <c r="AF1018" s="194"/>
    </row>
    <row r="1019" spans="1:32" x14ac:dyDescent="0.25">
      <c r="A1019" s="194"/>
      <c r="B1019" s="194"/>
      <c r="C1019" s="194"/>
      <c r="D1019" s="194"/>
      <c r="E1019" s="194"/>
      <c r="F1019" s="194"/>
      <c r="G1019" s="194"/>
      <c r="H1019" s="194"/>
      <c r="I1019" s="194"/>
      <c r="J1019" s="194"/>
      <c r="K1019" s="194"/>
      <c r="L1019" s="194"/>
      <c r="M1019" s="194"/>
      <c r="N1019" s="194"/>
      <c r="O1019" s="194"/>
      <c r="P1019" s="194"/>
      <c r="Q1019" s="194"/>
      <c r="R1019" s="194"/>
      <c r="S1019" s="194"/>
      <c r="T1019" s="194"/>
      <c r="U1019" s="194"/>
      <c r="V1019" s="194"/>
      <c r="W1019" s="194"/>
      <c r="X1019" s="194"/>
      <c r="Y1019" s="194"/>
      <c r="Z1019" s="194"/>
      <c r="AA1019" s="194"/>
      <c r="AB1019" s="194"/>
      <c r="AC1019" s="194"/>
      <c r="AD1019" s="194"/>
      <c r="AE1019" s="194"/>
      <c r="AF1019" s="194"/>
    </row>
    <row r="1020" spans="1:32" x14ac:dyDescent="0.25">
      <c r="A1020" s="194"/>
      <c r="B1020" s="194"/>
      <c r="C1020" s="194"/>
      <c r="D1020" s="194"/>
      <c r="E1020" s="194"/>
      <c r="F1020" s="194"/>
      <c r="G1020" s="194"/>
      <c r="H1020" s="194"/>
      <c r="I1020" s="194"/>
      <c r="J1020" s="194"/>
      <c r="K1020" s="194"/>
      <c r="L1020" s="194"/>
      <c r="M1020" s="194"/>
      <c r="N1020" s="194"/>
      <c r="O1020" s="194"/>
      <c r="P1020" s="194"/>
      <c r="Q1020" s="194"/>
      <c r="R1020" s="194"/>
      <c r="S1020" s="194"/>
      <c r="T1020" s="194"/>
      <c r="U1020" s="194"/>
      <c r="V1020" s="194"/>
      <c r="W1020" s="194"/>
      <c r="X1020" s="194"/>
      <c r="Y1020" s="194"/>
      <c r="Z1020" s="194"/>
      <c r="AA1020" s="194"/>
      <c r="AB1020" s="194"/>
      <c r="AC1020" s="194"/>
      <c r="AD1020" s="194"/>
      <c r="AE1020" s="194"/>
      <c r="AF1020" s="194"/>
    </row>
    <row r="1021" spans="1:32" x14ac:dyDescent="0.25">
      <c r="A1021" s="194"/>
      <c r="B1021" s="194"/>
      <c r="C1021" s="194"/>
      <c r="D1021" s="194"/>
      <c r="E1021" s="194"/>
      <c r="F1021" s="194"/>
      <c r="G1021" s="194"/>
      <c r="H1021" s="194"/>
      <c r="I1021" s="194"/>
      <c r="J1021" s="194"/>
      <c r="K1021" s="194"/>
      <c r="L1021" s="194"/>
      <c r="M1021" s="194"/>
      <c r="N1021" s="194"/>
      <c r="O1021" s="194"/>
      <c r="P1021" s="194"/>
      <c r="Q1021" s="194"/>
      <c r="R1021" s="194"/>
      <c r="S1021" s="194"/>
      <c r="T1021" s="194"/>
      <c r="U1021" s="194"/>
      <c r="V1021" s="194"/>
      <c r="W1021" s="194"/>
      <c r="X1021" s="194"/>
      <c r="Y1021" s="194"/>
      <c r="Z1021" s="194"/>
      <c r="AA1021" s="194"/>
      <c r="AB1021" s="194"/>
      <c r="AC1021" s="194"/>
      <c r="AD1021" s="194"/>
      <c r="AE1021" s="194"/>
      <c r="AF1021" s="194"/>
    </row>
    <row r="1022" spans="1:32" x14ac:dyDescent="0.25">
      <c r="A1022" s="194"/>
      <c r="B1022" s="194"/>
      <c r="C1022" s="194"/>
      <c r="D1022" s="194"/>
      <c r="E1022" s="194"/>
      <c r="F1022" s="194"/>
      <c r="G1022" s="194"/>
      <c r="H1022" s="194"/>
      <c r="I1022" s="194"/>
      <c r="J1022" s="194"/>
      <c r="K1022" s="194"/>
      <c r="L1022" s="194"/>
      <c r="M1022" s="194"/>
      <c r="N1022" s="194"/>
      <c r="O1022" s="194"/>
      <c r="P1022" s="194"/>
      <c r="Q1022" s="194"/>
      <c r="R1022" s="194"/>
      <c r="S1022" s="194"/>
      <c r="T1022" s="194"/>
      <c r="U1022" s="194"/>
      <c r="V1022" s="194"/>
      <c r="W1022" s="194"/>
      <c r="X1022" s="194"/>
      <c r="Y1022" s="194"/>
      <c r="Z1022" s="194"/>
      <c r="AA1022" s="194"/>
      <c r="AB1022" s="194"/>
      <c r="AC1022" s="194"/>
      <c r="AD1022" s="194"/>
      <c r="AE1022" s="194"/>
      <c r="AF1022" s="194"/>
    </row>
    <row r="1023" spans="1:32" x14ac:dyDescent="0.25">
      <c r="A1023" s="194"/>
      <c r="B1023" s="194"/>
      <c r="C1023" s="194"/>
      <c r="D1023" s="194"/>
      <c r="E1023" s="194"/>
      <c r="F1023" s="194"/>
      <c r="G1023" s="194"/>
      <c r="H1023" s="194"/>
      <c r="I1023" s="194"/>
      <c r="J1023" s="194"/>
      <c r="K1023" s="194"/>
      <c r="L1023" s="194"/>
      <c r="M1023" s="194"/>
      <c r="N1023" s="194"/>
      <c r="O1023" s="194"/>
      <c r="P1023" s="194"/>
      <c r="Q1023" s="194"/>
      <c r="R1023" s="194"/>
      <c r="S1023" s="194"/>
      <c r="T1023" s="194"/>
      <c r="U1023" s="194"/>
      <c r="V1023" s="194"/>
      <c r="W1023" s="194"/>
      <c r="X1023" s="194"/>
      <c r="Y1023" s="194"/>
      <c r="Z1023" s="194"/>
      <c r="AA1023" s="194"/>
      <c r="AB1023" s="194"/>
      <c r="AC1023" s="194"/>
      <c r="AD1023" s="194"/>
      <c r="AE1023" s="194"/>
      <c r="AF1023" s="194"/>
    </row>
    <row r="1024" spans="1:32" x14ac:dyDescent="0.25">
      <c r="A1024" s="194"/>
      <c r="B1024" s="194"/>
      <c r="C1024" s="194"/>
      <c r="D1024" s="194"/>
      <c r="E1024" s="194"/>
      <c r="F1024" s="194"/>
      <c r="G1024" s="194"/>
      <c r="H1024" s="194"/>
      <c r="I1024" s="194"/>
      <c r="J1024" s="194"/>
      <c r="K1024" s="194"/>
      <c r="L1024" s="194"/>
      <c r="M1024" s="194"/>
      <c r="N1024" s="194"/>
      <c r="O1024" s="194"/>
      <c r="P1024" s="194"/>
      <c r="Q1024" s="194"/>
      <c r="R1024" s="194"/>
      <c r="S1024" s="194"/>
      <c r="T1024" s="194"/>
      <c r="U1024" s="194"/>
      <c r="V1024" s="194"/>
      <c r="W1024" s="194"/>
      <c r="X1024" s="194"/>
      <c r="Y1024" s="194"/>
      <c r="Z1024" s="194"/>
      <c r="AA1024" s="194"/>
      <c r="AB1024" s="194"/>
      <c r="AC1024" s="194"/>
      <c r="AD1024" s="194"/>
      <c r="AE1024" s="194"/>
      <c r="AF1024" s="194"/>
    </row>
    <row r="1025" spans="1:32" x14ac:dyDescent="0.25">
      <c r="A1025" s="194"/>
      <c r="B1025" s="194"/>
      <c r="C1025" s="194"/>
      <c r="D1025" s="194"/>
      <c r="E1025" s="194"/>
      <c r="F1025" s="194"/>
      <c r="G1025" s="194"/>
      <c r="H1025" s="194"/>
      <c r="I1025" s="194"/>
      <c r="J1025" s="194"/>
      <c r="K1025" s="194"/>
      <c r="L1025" s="194"/>
      <c r="M1025" s="194"/>
      <c r="N1025" s="194"/>
      <c r="O1025" s="194"/>
      <c r="P1025" s="194"/>
      <c r="Q1025" s="194"/>
      <c r="R1025" s="194"/>
      <c r="S1025" s="194"/>
      <c r="T1025" s="194"/>
      <c r="U1025" s="194"/>
      <c r="V1025" s="194"/>
      <c r="W1025" s="194"/>
      <c r="X1025" s="194"/>
      <c r="Y1025" s="194"/>
      <c r="Z1025" s="194"/>
      <c r="AA1025" s="194"/>
      <c r="AB1025" s="194"/>
      <c r="AC1025" s="194"/>
      <c r="AD1025" s="194"/>
      <c r="AE1025" s="194"/>
      <c r="AF1025" s="194"/>
    </row>
    <row r="1026" spans="1:32" x14ac:dyDescent="0.25">
      <c r="A1026" s="194"/>
      <c r="B1026" s="194"/>
      <c r="C1026" s="194"/>
      <c r="D1026" s="194"/>
      <c r="E1026" s="194"/>
      <c r="F1026" s="194"/>
      <c r="G1026" s="194"/>
      <c r="H1026" s="194"/>
      <c r="I1026" s="194"/>
      <c r="J1026" s="194"/>
      <c r="K1026" s="194"/>
      <c r="L1026" s="194"/>
      <c r="M1026" s="194"/>
      <c r="N1026" s="194"/>
      <c r="O1026" s="194"/>
      <c r="P1026" s="194"/>
      <c r="Q1026" s="194"/>
      <c r="R1026" s="194"/>
      <c r="S1026" s="194"/>
      <c r="T1026" s="194"/>
      <c r="U1026" s="194"/>
      <c r="V1026" s="194"/>
      <c r="W1026" s="194"/>
      <c r="X1026" s="194"/>
      <c r="Y1026" s="194"/>
      <c r="Z1026" s="194"/>
      <c r="AA1026" s="194"/>
      <c r="AB1026" s="194"/>
      <c r="AC1026" s="194"/>
      <c r="AD1026" s="194"/>
      <c r="AE1026" s="194"/>
      <c r="AF1026" s="194"/>
    </row>
    <row r="1027" spans="1:32" x14ac:dyDescent="0.25">
      <c r="A1027" s="194"/>
      <c r="B1027" s="194"/>
      <c r="C1027" s="194"/>
      <c r="D1027" s="194"/>
      <c r="E1027" s="194"/>
      <c r="F1027" s="194"/>
      <c r="G1027" s="194"/>
      <c r="H1027" s="194"/>
      <c r="I1027" s="194"/>
      <c r="J1027" s="194"/>
      <c r="K1027" s="194"/>
      <c r="L1027" s="194"/>
      <c r="M1027" s="194"/>
      <c r="N1027" s="194"/>
      <c r="O1027" s="194"/>
      <c r="P1027" s="194"/>
      <c r="Q1027" s="194"/>
      <c r="R1027" s="194"/>
      <c r="S1027" s="194"/>
      <c r="T1027" s="194"/>
      <c r="U1027" s="194"/>
      <c r="V1027" s="194"/>
      <c r="W1027" s="194"/>
      <c r="X1027" s="194"/>
      <c r="Y1027" s="194"/>
      <c r="Z1027" s="194"/>
      <c r="AA1027" s="194"/>
      <c r="AB1027" s="194"/>
      <c r="AC1027" s="194"/>
      <c r="AD1027" s="194"/>
      <c r="AE1027" s="194"/>
      <c r="AF1027" s="194"/>
    </row>
    <row r="1028" spans="1:32" x14ac:dyDescent="0.25">
      <c r="A1028" s="194"/>
      <c r="B1028" s="194"/>
      <c r="C1028" s="194"/>
      <c r="D1028" s="194"/>
      <c r="E1028" s="194"/>
      <c r="F1028" s="194"/>
      <c r="G1028" s="194"/>
      <c r="H1028" s="194"/>
      <c r="I1028" s="194"/>
      <c r="J1028" s="194"/>
      <c r="K1028" s="194"/>
      <c r="L1028" s="194"/>
      <c r="M1028" s="194"/>
      <c r="N1028" s="194"/>
      <c r="O1028" s="194"/>
      <c r="P1028" s="194"/>
      <c r="Q1028" s="194"/>
      <c r="R1028" s="194"/>
      <c r="S1028" s="194"/>
      <c r="T1028" s="194"/>
      <c r="U1028" s="194"/>
      <c r="V1028" s="194"/>
      <c r="W1028" s="194"/>
      <c r="X1028" s="194"/>
      <c r="Y1028" s="194"/>
      <c r="Z1028" s="194"/>
      <c r="AA1028" s="194"/>
      <c r="AB1028" s="194"/>
      <c r="AC1028" s="194"/>
      <c r="AD1028" s="194"/>
      <c r="AE1028" s="194"/>
      <c r="AF1028" s="194"/>
    </row>
    <row r="1029" spans="1:32" x14ac:dyDescent="0.25">
      <c r="A1029" s="194"/>
      <c r="B1029" s="194"/>
      <c r="C1029" s="194"/>
      <c r="D1029" s="194"/>
      <c r="E1029" s="194"/>
      <c r="F1029" s="194"/>
      <c r="G1029" s="194"/>
      <c r="H1029" s="194"/>
      <c r="I1029" s="194"/>
      <c r="J1029" s="194"/>
      <c r="K1029" s="194"/>
      <c r="L1029" s="194"/>
      <c r="M1029" s="194"/>
      <c r="N1029" s="194"/>
      <c r="O1029" s="194"/>
      <c r="P1029" s="194"/>
      <c r="Q1029" s="194"/>
      <c r="R1029" s="194"/>
      <c r="S1029" s="194"/>
      <c r="T1029" s="194"/>
      <c r="U1029" s="194"/>
      <c r="V1029" s="194"/>
      <c r="W1029" s="194"/>
      <c r="X1029" s="194"/>
      <c r="Y1029" s="194"/>
      <c r="Z1029" s="194"/>
      <c r="AA1029" s="194"/>
      <c r="AB1029" s="194"/>
      <c r="AC1029" s="194"/>
      <c r="AD1029" s="194"/>
      <c r="AE1029" s="194"/>
      <c r="AF1029" s="194"/>
    </row>
    <row r="1030" spans="1:32" x14ac:dyDescent="0.25">
      <c r="A1030" s="194"/>
      <c r="B1030" s="194"/>
      <c r="C1030" s="194"/>
      <c r="D1030" s="194"/>
      <c r="E1030" s="194"/>
      <c r="F1030" s="194"/>
      <c r="G1030" s="194"/>
      <c r="H1030" s="194"/>
      <c r="I1030" s="194"/>
      <c r="J1030" s="194"/>
      <c r="K1030" s="194"/>
      <c r="L1030" s="194"/>
      <c r="M1030" s="194"/>
      <c r="N1030" s="194"/>
      <c r="O1030" s="194"/>
      <c r="P1030" s="194"/>
      <c r="Q1030" s="194"/>
      <c r="R1030" s="194"/>
      <c r="S1030" s="194"/>
      <c r="T1030" s="194"/>
      <c r="U1030" s="194"/>
      <c r="V1030" s="194"/>
      <c r="W1030" s="194"/>
      <c r="X1030" s="194"/>
      <c r="Y1030" s="194"/>
      <c r="Z1030" s="194"/>
      <c r="AA1030" s="194"/>
      <c r="AB1030" s="194"/>
      <c r="AC1030" s="194"/>
      <c r="AD1030" s="194"/>
      <c r="AE1030" s="194"/>
      <c r="AF1030" s="194"/>
    </row>
    <row r="1031" spans="1:32" x14ac:dyDescent="0.25">
      <c r="A1031" s="194"/>
      <c r="B1031" s="194"/>
      <c r="C1031" s="194"/>
      <c r="D1031" s="194"/>
      <c r="E1031" s="194"/>
      <c r="F1031" s="194"/>
      <c r="G1031" s="194"/>
      <c r="H1031" s="194"/>
      <c r="I1031" s="194"/>
      <c r="J1031" s="194"/>
      <c r="K1031" s="194"/>
      <c r="L1031" s="194"/>
      <c r="M1031" s="194"/>
      <c r="N1031" s="194"/>
      <c r="O1031" s="194"/>
      <c r="P1031" s="194"/>
      <c r="Q1031" s="194"/>
      <c r="R1031" s="194"/>
      <c r="S1031" s="194"/>
      <c r="T1031" s="194"/>
      <c r="U1031" s="194"/>
      <c r="V1031" s="194"/>
      <c r="W1031" s="194"/>
      <c r="X1031" s="194"/>
      <c r="Y1031" s="194"/>
      <c r="Z1031" s="194"/>
      <c r="AA1031" s="194"/>
      <c r="AB1031" s="194"/>
      <c r="AC1031" s="194"/>
      <c r="AD1031" s="194"/>
      <c r="AE1031" s="194"/>
      <c r="AF1031" s="194"/>
    </row>
    <row r="1032" spans="1:32" x14ac:dyDescent="0.25">
      <c r="A1032" s="194"/>
      <c r="B1032" s="194"/>
      <c r="C1032" s="194"/>
      <c r="D1032" s="194"/>
      <c r="E1032" s="194"/>
      <c r="F1032" s="194"/>
      <c r="G1032" s="194"/>
      <c r="H1032" s="194"/>
      <c r="I1032" s="194"/>
      <c r="J1032" s="194"/>
      <c r="K1032" s="194"/>
      <c r="L1032" s="194"/>
      <c r="M1032" s="194"/>
      <c r="N1032" s="194"/>
      <c r="O1032" s="194"/>
      <c r="P1032" s="194"/>
      <c r="Q1032" s="194"/>
      <c r="R1032" s="194"/>
      <c r="S1032" s="194"/>
      <c r="T1032" s="194"/>
      <c r="U1032" s="194"/>
      <c r="V1032" s="194"/>
      <c r="W1032" s="194"/>
      <c r="X1032" s="194"/>
      <c r="Y1032" s="194"/>
      <c r="Z1032" s="194"/>
      <c r="AA1032" s="194"/>
      <c r="AB1032" s="194"/>
      <c r="AC1032" s="194"/>
      <c r="AD1032" s="194"/>
      <c r="AE1032" s="194"/>
      <c r="AF1032" s="194"/>
    </row>
    <row r="1033" spans="1:32" x14ac:dyDescent="0.25">
      <c r="A1033" s="194"/>
      <c r="B1033" s="194"/>
      <c r="C1033" s="194"/>
      <c r="D1033" s="194"/>
      <c r="E1033" s="194"/>
      <c r="F1033" s="194"/>
      <c r="G1033" s="194"/>
      <c r="H1033" s="194"/>
      <c r="I1033" s="194"/>
      <c r="J1033" s="194"/>
      <c r="K1033" s="194"/>
      <c r="L1033" s="194"/>
      <c r="M1033" s="194"/>
      <c r="N1033" s="194"/>
      <c r="O1033" s="194"/>
      <c r="P1033" s="194"/>
      <c r="Q1033" s="194"/>
      <c r="R1033" s="194"/>
      <c r="S1033" s="194"/>
      <c r="T1033" s="194"/>
      <c r="U1033" s="194"/>
      <c r="V1033" s="194"/>
      <c r="W1033" s="194"/>
      <c r="X1033" s="194"/>
      <c r="Y1033" s="194"/>
      <c r="Z1033" s="194"/>
      <c r="AA1033" s="194"/>
      <c r="AB1033" s="194"/>
      <c r="AC1033" s="194"/>
      <c r="AD1033" s="194"/>
      <c r="AE1033" s="194"/>
      <c r="AF1033" s="194"/>
    </row>
    <row r="1034" spans="1:32" x14ac:dyDescent="0.25">
      <c r="A1034" s="194"/>
      <c r="B1034" s="194"/>
      <c r="C1034" s="194"/>
      <c r="D1034" s="194"/>
      <c r="E1034" s="194"/>
      <c r="F1034" s="194"/>
      <c r="G1034" s="194"/>
      <c r="H1034" s="194"/>
      <c r="I1034" s="194"/>
      <c r="J1034" s="194"/>
      <c r="K1034" s="194"/>
      <c r="L1034" s="194"/>
      <c r="M1034" s="194"/>
      <c r="N1034" s="194"/>
      <c r="O1034" s="194"/>
      <c r="P1034" s="194"/>
      <c r="Q1034" s="194"/>
      <c r="R1034" s="194"/>
      <c r="S1034" s="194"/>
      <c r="T1034" s="194"/>
      <c r="U1034" s="194"/>
      <c r="V1034" s="194"/>
      <c r="W1034" s="194"/>
      <c r="X1034" s="194"/>
      <c r="Y1034" s="194"/>
      <c r="Z1034" s="194"/>
      <c r="AA1034" s="194"/>
      <c r="AB1034" s="194"/>
      <c r="AC1034" s="194"/>
      <c r="AD1034" s="194"/>
      <c r="AE1034" s="194"/>
      <c r="AF1034" s="194"/>
    </row>
    <row r="1035" spans="1:32" x14ac:dyDescent="0.25">
      <c r="A1035" s="194"/>
      <c r="B1035" s="194"/>
      <c r="C1035" s="194"/>
      <c r="D1035" s="194"/>
      <c r="E1035" s="194"/>
      <c r="F1035" s="194"/>
      <c r="G1035" s="194"/>
      <c r="H1035" s="194"/>
      <c r="I1035" s="194"/>
      <c r="J1035" s="194"/>
      <c r="K1035" s="194"/>
      <c r="L1035" s="194"/>
      <c r="M1035" s="194"/>
      <c r="N1035" s="194"/>
      <c r="O1035" s="194"/>
      <c r="P1035" s="194"/>
      <c r="Q1035" s="194"/>
      <c r="R1035" s="194"/>
      <c r="S1035" s="194"/>
      <c r="T1035" s="194"/>
      <c r="U1035" s="194"/>
      <c r="V1035" s="194"/>
      <c r="W1035" s="194"/>
      <c r="X1035" s="194"/>
      <c r="Y1035" s="194"/>
      <c r="Z1035" s="194"/>
      <c r="AA1035" s="194"/>
      <c r="AB1035" s="194"/>
      <c r="AC1035" s="194"/>
      <c r="AD1035" s="194"/>
      <c r="AE1035" s="194"/>
      <c r="AF1035" s="194"/>
    </row>
    <row r="1036" spans="1:32" x14ac:dyDescent="0.25">
      <c r="A1036" s="194"/>
      <c r="B1036" s="194"/>
      <c r="C1036" s="194"/>
      <c r="D1036" s="194"/>
      <c r="E1036" s="194"/>
      <c r="F1036" s="194"/>
      <c r="G1036" s="194"/>
      <c r="H1036" s="194"/>
      <c r="I1036" s="194"/>
      <c r="J1036" s="194"/>
      <c r="K1036" s="194"/>
      <c r="L1036" s="194"/>
      <c r="M1036" s="194"/>
      <c r="N1036" s="194"/>
      <c r="O1036" s="194"/>
      <c r="P1036" s="194"/>
      <c r="Q1036" s="194"/>
      <c r="R1036" s="194"/>
      <c r="S1036" s="194"/>
      <c r="T1036" s="194"/>
      <c r="U1036" s="194"/>
      <c r="V1036" s="194"/>
      <c r="W1036" s="194"/>
      <c r="X1036" s="194"/>
      <c r="Y1036" s="194"/>
      <c r="Z1036" s="194"/>
      <c r="AA1036" s="194"/>
      <c r="AB1036" s="194"/>
      <c r="AC1036" s="194"/>
      <c r="AD1036" s="194"/>
      <c r="AE1036" s="194"/>
      <c r="AF1036" s="194"/>
    </row>
    <row r="1037" spans="1:32" x14ac:dyDescent="0.25">
      <c r="A1037" s="194"/>
      <c r="B1037" s="194"/>
      <c r="C1037" s="194"/>
      <c r="D1037" s="194"/>
      <c r="E1037" s="194"/>
      <c r="F1037" s="194"/>
      <c r="G1037" s="194"/>
      <c r="H1037" s="194"/>
      <c r="I1037" s="194"/>
      <c r="J1037" s="194"/>
      <c r="K1037" s="194"/>
      <c r="L1037" s="194"/>
      <c r="M1037" s="194"/>
      <c r="N1037" s="194"/>
      <c r="O1037" s="194"/>
      <c r="P1037" s="194"/>
      <c r="Q1037" s="194"/>
      <c r="R1037" s="194"/>
      <c r="S1037" s="194"/>
      <c r="T1037" s="194"/>
      <c r="U1037" s="194"/>
      <c r="V1037" s="194"/>
      <c r="W1037" s="194"/>
      <c r="X1037" s="194"/>
      <c r="Y1037" s="194"/>
      <c r="Z1037" s="194"/>
      <c r="AA1037" s="194"/>
      <c r="AB1037" s="194"/>
      <c r="AC1037" s="194"/>
      <c r="AD1037" s="194"/>
      <c r="AE1037" s="194"/>
      <c r="AF1037" s="194"/>
    </row>
    <row r="1038" spans="1:32" x14ac:dyDescent="0.25">
      <c r="A1038" s="194"/>
      <c r="B1038" s="194"/>
      <c r="C1038" s="194"/>
      <c r="D1038" s="194"/>
      <c r="E1038" s="194"/>
      <c r="F1038" s="194"/>
      <c r="G1038" s="194"/>
      <c r="H1038" s="194"/>
      <c r="I1038" s="194"/>
      <c r="J1038" s="194"/>
      <c r="K1038" s="194"/>
      <c r="L1038" s="194"/>
      <c r="M1038" s="194"/>
      <c r="N1038" s="194"/>
      <c r="O1038" s="194"/>
      <c r="P1038" s="194"/>
      <c r="Q1038" s="194"/>
      <c r="R1038" s="194"/>
      <c r="S1038" s="194"/>
      <c r="T1038" s="194"/>
      <c r="U1038" s="194"/>
      <c r="V1038" s="194"/>
      <c r="W1038" s="194"/>
      <c r="X1038" s="194"/>
      <c r="Y1038" s="194"/>
      <c r="Z1038" s="194"/>
      <c r="AA1038" s="194"/>
      <c r="AB1038" s="194"/>
      <c r="AC1038" s="194"/>
      <c r="AD1038" s="194"/>
      <c r="AE1038" s="194"/>
      <c r="AF1038" s="194"/>
    </row>
    <row r="1039" spans="1:32" x14ac:dyDescent="0.25">
      <c r="A1039" s="194"/>
      <c r="B1039" s="194"/>
      <c r="C1039" s="194"/>
      <c r="D1039" s="194"/>
      <c r="E1039" s="194"/>
      <c r="F1039" s="194"/>
      <c r="G1039" s="194"/>
      <c r="H1039" s="194"/>
      <c r="I1039" s="194"/>
      <c r="J1039" s="194"/>
      <c r="K1039" s="194"/>
      <c r="L1039" s="194"/>
      <c r="M1039" s="194"/>
      <c r="N1039" s="194"/>
      <c r="O1039" s="194"/>
      <c r="P1039" s="194"/>
      <c r="Q1039" s="194"/>
      <c r="R1039" s="194"/>
      <c r="S1039" s="194"/>
      <c r="T1039" s="194"/>
      <c r="U1039" s="194"/>
      <c r="V1039" s="194"/>
      <c r="W1039" s="194"/>
      <c r="X1039" s="194"/>
      <c r="Y1039" s="194"/>
      <c r="Z1039" s="194"/>
      <c r="AA1039" s="194"/>
      <c r="AB1039" s="194"/>
      <c r="AC1039" s="194"/>
      <c r="AD1039" s="194"/>
      <c r="AE1039" s="194"/>
      <c r="AF1039" s="194"/>
    </row>
    <row r="1040" spans="1:32" x14ac:dyDescent="0.25">
      <c r="A1040" s="194"/>
      <c r="B1040" s="194"/>
      <c r="C1040" s="194"/>
      <c r="D1040" s="194"/>
      <c r="E1040" s="194"/>
      <c r="F1040" s="194"/>
      <c r="G1040" s="194"/>
      <c r="H1040" s="194"/>
      <c r="I1040" s="194"/>
      <c r="J1040" s="194"/>
      <c r="K1040" s="194"/>
      <c r="L1040" s="194"/>
      <c r="M1040" s="194"/>
      <c r="N1040" s="194"/>
      <c r="O1040" s="194"/>
      <c r="P1040" s="194"/>
      <c r="Q1040" s="194"/>
      <c r="R1040" s="194"/>
      <c r="S1040" s="194"/>
      <c r="T1040" s="194"/>
      <c r="U1040" s="194"/>
      <c r="V1040" s="194"/>
      <c r="W1040" s="194"/>
      <c r="X1040" s="194"/>
      <c r="Y1040" s="194"/>
      <c r="Z1040" s="194"/>
      <c r="AA1040" s="194"/>
      <c r="AB1040" s="194"/>
      <c r="AC1040" s="194"/>
      <c r="AD1040" s="194"/>
      <c r="AE1040" s="194"/>
      <c r="AF1040" s="194"/>
    </row>
    <row r="1041" spans="1:32" x14ac:dyDescent="0.25">
      <c r="A1041" s="194"/>
      <c r="B1041" s="194"/>
      <c r="C1041" s="194"/>
      <c r="D1041" s="194"/>
      <c r="E1041" s="194"/>
      <c r="F1041" s="194"/>
      <c r="G1041" s="194"/>
      <c r="H1041" s="194"/>
      <c r="I1041" s="194"/>
      <c r="J1041" s="194"/>
      <c r="K1041" s="194"/>
      <c r="L1041" s="194"/>
      <c r="M1041" s="194"/>
      <c r="N1041" s="194"/>
      <c r="O1041" s="194"/>
      <c r="P1041" s="194"/>
      <c r="Q1041" s="194"/>
      <c r="R1041" s="194"/>
      <c r="S1041" s="194"/>
      <c r="T1041" s="194"/>
      <c r="U1041" s="194"/>
      <c r="V1041" s="194"/>
      <c r="W1041" s="194"/>
      <c r="X1041" s="194"/>
      <c r="Y1041" s="194"/>
      <c r="Z1041" s="194"/>
      <c r="AA1041" s="194"/>
      <c r="AB1041" s="194"/>
      <c r="AC1041" s="194"/>
      <c r="AD1041" s="194"/>
      <c r="AE1041" s="194"/>
      <c r="AF1041" s="194"/>
    </row>
    <row r="1042" spans="1:32" x14ac:dyDescent="0.25">
      <c r="A1042" s="194"/>
      <c r="B1042" s="194"/>
      <c r="C1042" s="194"/>
      <c r="D1042" s="194"/>
      <c r="E1042" s="194"/>
      <c r="F1042" s="194"/>
      <c r="G1042" s="194"/>
      <c r="H1042" s="194"/>
      <c r="I1042" s="194"/>
      <c r="J1042" s="194"/>
      <c r="K1042" s="194"/>
      <c r="L1042" s="194"/>
      <c r="M1042" s="194"/>
      <c r="N1042" s="194"/>
      <c r="O1042" s="194"/>
      <c r="P1042" s="194"/>
      <c r="Q1042" s="194"/>
      <c r="R1042" s="194"/>
      <c r="S1042" s="194"/>
      <c r="T1042" s="194"/>
      <c r="U1042" s="194"/>
      <c r="V1042" s="194"/>
      <c r="W1042" s="194"/>
      <c r="X1042" s="194"/>
      <c r="Y1042" s="194"/>
      <c r="Z1042" s="194"/>
      <c r="AA1042" s="194"/>
      <c r="AB1042" s="194"/>
      <c r="AC1042" s="194"/>
      <c r="AD1042" s="194"/>
      <c r="AE1042" s="194"/>
      <c r="AF1042" s="194"/>
    </row>
    <row r="1043" spans="1:32" x14ac:dyDescent="0.25">
      <c r="A1043" s="194"/>
      <c r="B1043" s="194"/>
      <c r="C1043" s="194"/>
      <c r="D1043" s="194"/>
      <c r="E1043" s="194"/>
      <c r="F1043" s="194"/>
      <c r="G1043" s="194"/>
      <c r="H1043" s="194"/>
      <c r="I1043" s="194"/>
      <c r="J1043" s="194"/>
      <c r="K1043" s="194"/>
      <c r="L1043" s="194"/>
      <c r="M1043" s="194"/>
      <c r="N1043" s="194"/>
      <c r="O1043" s="194"/>
      <c r="P1043" s="194"/>
      <c r="Q1043" s="194"/>
      <c r="R1043" s="194"/>
      <c r="S1043" s="194"/>
      <c r="T1043" s="194"/>
      <c r="U1043" s="194"/>
      <c r="V1043" s="194"/>
      <c r="W1043" s="194"/>
      <c r="X1043" s="194"/>
      <c r="Y1043" s="194"/>
      <c r="Z1043" s="194"/>
      <c r="AA1043" s="194"/>
      <c r="AB1043" s="194"/>
      <c r="AC1043" s="194"/>
      <c r="AD1043" s="194"/>
      <c r="AE1043" s="194"/>
      <c r="AF1043" s="194"/>
    </row>
    <row r="1044" spans="1:32" x14ac:dyDescent="0.25">
      <c r="A1044" s="194"/>
      <c r="B1044" s="194"/>
      <c r="C1044" s="194"/>
      <c r="D1044" s="194"/>
      <c r="E1044" s="194"/>
      <c r="F1044" s="194"/>
      <c r="G1044" s="194"/>
      <c r="H1044" s="194"/>
      <c r="I1044" s="194"/>
      <c r="J1044" s="194"/>
      <c r="K1044" s="194"/>
      <c r="L1044" s="194"/>
      <c r="M1044" s="194"/>
      <c r="N1044" s="194"/>
      <c r="O1044" s="194"/>
      <c r="P1044" s="194"/>
      <c r="Q1044" s="194"/>
      <c r="R1044" s="194"/>
      <c r="S1044" s="194"/>
      <c r="T1044" s="194"/>
      <c r="U1044" s="194"/>
      <c r="V1044" s="194"/>
      <c r="W1044" s="194"/>
      <c r="X1044" s="194"/>
      <c r="Y1044" s="194"/>
      <c r="Z1044" s="194"/>
      <c r="AA1044" s="194"/>
      <c r="AB1044" s="194"/>
      <c r="AC1044" s="194"/>
      <c r="AD1044" s="194"/>
      <c r="AE1044" s="194"/>
      <c r="AF1044" s="194"/>
    </row>
    <row r="1045" spans="1:32" x14ac:dyDescent="0.25">
      <c r="A1045" s="194"/>
      <c r="B1045" s="194"/>
      <c r="C1045" s="194"/>
      <c r="D1045" s="194"/>
      <c r="E1045" s="194"/>
      <c r="F1045" s="194"/>
      <c r="G1045" s="194"/>
      <c r="H1045" s="194"/>
      <c r="I1045" s="194"/>
      <c r="J1045" s="194"/>
      <c r="K1045" s="194"/>
      <c r="L1045" s="194"/>
      <c r="M1045" s="194"/>
      <c r="N1045" s="194"/>
      <c r="O1045" s="194"/>
      <c r="P1045" s="194"/>
      <c r="Q1045" s="194"/>
      <c r="R1045" s="194"/>
      <c r="S1045" s="194"/>
      <c r="T1045" s="194"/>
      <c r="U1045" s="194"/>
      <c r="V1045" s="194"/>
      <c r="W1045" s="194"/>
      <c r="X1045" s="194"/>
      <c r="Y1045" s="194"/>
      <c r="Z1045" s="194"/>
      <c r="AA1045" s="194"/>
      <c r="AB1045" s="194"/>
      <c r="AC1045" s="194"/>
      <c r="AD1045" s="194"/>
      <c r="AE1045" s="194"/>
      <c r="AF1045" s="194"/>
    </row>
    <row r="1046" spans="1:32" x14ac:dyDescent="0.25">
      <c r="A1046" s="194"/>
      <c r="B1046" s="194"/>
      <c r="C1046" s="194"/>
      <c r="D1046" s="194"/>
      <c r="E1046" s="194"/>
      <c r="F1046" s="194"/>
      <c r="G1046" s="194"/>
      <c r="H1046" s="194"/>
      <c r="I1046" s="194"/>
      <c r="J1046" s="194"/>
      <c r="K1046" s="194"/>
      <c r="L1046" s="194"/>
      <c r="M1046" s="194"/>
      <c r="N1046" s="194"/>
      <c r="O1046" s="194"/>
      <c r="P1046" s="194"/>
      <c r="Q1046" s="194"/>
      <c r="R1046" s="194"/>
      <c r="S1046" s="194"/>
      <c r="T1046" s="194"/>
      <c r="U1046" s="194"/>
      <c r="V1046" s="194"/>
      <c r="W1046" s="194"/>
      <c r="X1046" s="194"/>
      <c r="Y1046" s="194"/>
      <c r="Z1046" s="194"/>
      <c r="AA1046" s="194"/>
      <c r="AB1046" s="194"/>
      <c r="AC1046" s="194"/>
      <c r="AD1046" s="194"/>
      <c r="AE1046" s="194"/>
      <c r="AF1046" s="194"/>
    </row>
    <row r="1047" spans="1:32" x14ac:dyDescent="0.25">
      <c r="A1047" s="194"/>
      <c r="B1047" s="194"/>
      <c r="C1047" s="194"/>
      <c r="D1047" s="194"/>
      <c r="E1047" s="194"/>
      <c r="F1047" s="194"/>
      <c r="G1047" s="194"/>
      <c r="H1047" s="194"/>
      <c r="I1047" s="194"/>
      <c r="J1047" s="194"/>
      <c r="K1047" s="194"/>
      <c r="L1047" s="194"/>
      <c r="M1047" s="194"/>
      <c r="N1047" s="194"/>
      <c r="O1047" s="194"/>
      <c r="P1047" s="194"/>
      <c r="Q1047" s="194"/>
      <c r="R1047" s="194"/>
      <c r="S1047" s="194"/>
      <c r="T1047" s="194"/>
      <c r="U1047" s="194"/>
      <c r="V1047" s="194"/>
      <c r="W1047" s="194"/>
      <c r="X1047" s="194"/>
      <c r="Y1047" s="194"/>
      <c r="Z1047" s="194"/>
      <c r="AA1047" s="194"/>
      <c r="AB1047" s="194"/>
      <c r="AC1047" s="194"/>
      <c r="AD1047" s="194"/>
      <c r="AE1047" s="194"/>
      <c r="AF1047" s="194"/>
    </row>
    <row r="1048" spans="1:32" x14ac:dyDescent="0.25">
      <c r="A1048" s="194"/>
      <c r="B1048" s="194"/>
      <c r="C1048" s="194"/>
      <c r="D1048" s="194"/>
      <c r="E1048" s="194"/>
      <c r="F1048" s="194"/>
      <c r="G1048" s="194"/>
      <c r="H1048" s="194"/>
      <c r="I1048" s="194"/>
      <c r="J1048" s="194"/>
      <c r="K1048" s="194"/>
      <c r="L1048" s="194"/>
      <c r="M1048" s="194"/>
      <c r="N1048" s="194"/>
      <c r="O1048" s="194"/>
      <c r="P1048" s="194"/>
      <c r="Q1048" s="194"/>
      <c r="R1048" s="194"/>
      <c r="S1048" s="194"/>
      <c r="T1048" s="194"/>
      <c r="U1048" s="194"/>
      <c r="V1048" s="194"/>
      <c r="W1048" s="194"/>
      <c r="X1048" s="194"/>
      <c r="Y1048" s="194"/>
      <c r="Z1048" s="194"/>
      <c r="AA1048" s="194"/>
      <c r="AB1048" s="194"/>
      <c r="AC1048" s="194"/>
      <c r="AD1048" s="194"/>
      <c r="AE1048" s="194"/>
      <c r="AF1048" s="194"/>
    </row>
    <row r="1049" spans="1:32" x14ac:dyDescent="0.25">
      <c r="A1049" s="194"/>
      <c r="B1049" s="194"/>
      <c r="C1049" s="194"/>
      <c r="D1049" s="194"/>
      <c r="E1049" s="194"/>
      <c r="F1049" s="194"/>
      <c r="G1049" s="194"/>
      <c r="H1049" s="194"/>
      <c r="I1049" s="194"/>
      <c r="J1049" s="194"/>
      <c r="K1049" s="194"/>
      <c r="L1049" s="194"/>
      <c r="M1049" s="194"/>
      <c r="N1049" s="194"/>
      <c r="O1049" s="194"/>
      <c r="P1049" s="194"/>
      <c r="Q1049" s="194"/>
      <c r="R1049" s="194"/>
      <c r="S1049" s="194"/>
      <c r="T1049" s="194"/>
      <c r="U1049" s="194"/>
      <c r="V1049" s="194"/>
      <c r="W1049" s="194"/>
      <c r="X1049" s="194"/>
      <c r="Y1049" s="194"/>
      <c r="Z1049" s="194"/>
      <c r="AA1049" s="194"/>
      <c r="AB1049" s="194"/>
      <c r="AC1049" s="194"/>
      <c r="AD1049" s="194"/>
      <c r="AE1049" s="194"/>
      <c r="AF1049" s="194"/>
    </row>
    <row r="1050" spans="1:32" x14ac:dyDescent="0.25">
      <c r="A1050" s="194"/>
      <c r="B1050" s="194"/>
      <c r="C1050" s="194"/>
      <c r="D1050" s="194"/>
      <c r="E1050" s="194"/>
      <c r="F1050" s="194"/>
      <c r="G1050" s="194"/>
      <c r="H1050" s="194"/>
      <c r="I1050" s="194"/>
      <c r="J1050" s="194"/>
      <c r="K1050" s="194"/>
      <c r="L1050" s="194"/>
      <c r="M1050" s="194"/>
      <c r="N1050" s="194"/>
      <c r="O1050" s="194"/>
      <c r="P1050" s="194"/>
      <c r="Q1050" s="194"/>
      <c r="R1050" s="194"/>
      <c r="S1050" s="194"/>
      <c r="T1050" s="194"/>
      <c r="U1050" s="194"/>
      <c r="V1050" s="194"/>
      <c r="W1050" s="194"/>
      <c r="X1050" s="194"/>
      <c r="Y1050" s="194"/>
      <c r="Z1050" s="194"/>
      <c r="AA1050" s="194"/>
      <c r="AB1050" s="194"/>
      <c r="AC1050" s="194"/>
      <c r="AD1050" s="194"/>
      <c r="AE1050" s="194"/>
      <c r="AF1050" s="194"/>
    </row>
    <row r="1051" spans="1:32" x14ac:dyDescent="0.25">
      <c r="A1051" s="194"/>
      <c r="B1051" s="194"/>
      <c r="C1051" s="194"/>
      <c r="D1051" s="194"/>
      <c r="E1051" s="194"/>
      <c r="F1051" s="194"/>
      <c r="G1051" s="194"/>
      <c r="H1051" s="194"/>
      <c r="I1051" s="194"/>
      <c r="J1051" s="194"/>
      <c r="K1051" s="194"/>
      <c r="L1051" s="194"/>
      <c r="M1051" s="194"/>
      <c r="N1051" s="194"/>
      <c r="O1051" s="194"/>
      <c r="P1051" s="194"/>
      <c r="Q1051" s="194"/>
      <c r="R1051" s="194"/>
      <c r="S1051" s="194"/>
      <c r="T1051" s="194"/>
      <c r="U1051" s="194"/>
      <c r="V1051" s="194"/>
      <c r="W1051" s="194"/>
      <c r="X1051" s="194"/>
      <c r="Y1051" s="194"/>
      <c r="Z1051" s="194"/>
      <c r="AA1051" s="194"/>
      <c r="AB1051" s="194"/>
      <c r="AC1051" s="194"/>
      <c r="AD1051" s="194"/>
      <c r="AE1051" s="194"/>
      <c r="AF1051" s="194"/>
    </row>
    <row r="1052" spans="1:32" x14ac:dyDescent="0.25">
      <c r="A1052" s="194"/>
      <c r="B1052" s="194"/>
      <c r="C1052" s="194"/>
      <c r="D1052" s="194"/>
      <c r="E1052" s="194"/>
      <c r="F1052" s="194"/>
      <c r="G1052" s="194"/>
      <c r="H1052" s="194"/>
      <c r="I1052" s="194"/>
      <c r="J1052" s="194"/>
      <c r="K1052" s="194"/>
      <c r="L1052" s="194"/>
      <c r="M1052" s="194"/>
      <c r="N1052" s="194"/>
      <c r="O1052" s="194"/>
      <c r="P1052" s="194"/>
      <c r="Q1052" s="194"/>
      <c r="R1052" s="194"/>
      <c r="S1052" s="194"/>
      <c r="T1052" s="194"/>
      <c r="U1052" s="194"/>
      <c r="V1052" s="194"/>
      <c r="W1052" s="194"/>
      <c r="X1052" s="194"/>
      <c r="Y1052" s="194"/>
      <c r="Z1052" s="194"/>
      <c r="AA1052" s="194"/>
      <c r="AB1052" s="194"/>
      <c r="AC1052" s="194"/>
      <c r="AD1052" s="194"/>
      <c r="AE1052" s="194"/>
      <c r="AF1052" s="194"/>
    </row>
    <row r="1053" spans="1:32" x14ac:dyDescent="0.25">
      <c r="A1053" s="194"/>
      <c r="B1053" s="194"/>
      <c r="C1053" s="194"/>
      <c r="D1053" s="194"/>
      <c r="E1053" s="194"/>
      <c r="F1053" s="194"/>
      <c r="G1053" s="194"/>
      <c r="H1053" s="194"/>
      <c r="I1053" s="194"/>
      <c r="J1053" s="194"/>
      <c r="K1053" s="194"/>
      <c r="L1053" s="194"/>
      <c r="M1053" s="194"/>
      <c r="N1053" s="194"/>
      <c r="O1053" s="194"/>
      <c r="P1053" s="194"/>
      <c r="Q1053" s="194"/>
      <c r="R1053" s="194"/>
      <c r="S1053" s="194"/>
      <c r="T1053" s="194"/>
      <c r="U1053" s="194"/>
      <c r="V1053" s="194"/>
      <c r="W1053" s="194"/>
      <c r="X1053" s="194"/>
      <c r="Y1053" s="194"/>
      <c r="Z1053" s="194"/>
      <c r="AA1053" s="194"/>
      <c r="AB1053" s="194"/>
      <c r="AC1053" s="194"/>
      <c r="AD1053" s="194"/>
      <c r="AE1053" s="194"/>
      <c r="AF1053" s="194"/>
    </row>
    <row r="1054" spans="1:32" x14ac:dyDescent="0.25">
      <c r="A1054" s="194"/>
      <c r="B1054" s="194"/>
      <c r="C1054" s="194"/>
      <c r="D1054" s="194"/>
      <c r="E1054" s="194"/>
      <c r="F1054" s="194"/>
      <c r="G1054" s="194"/>
      <c r="H1054" s="194"/>
      <c r="I1054" s="194"/>
      <c r="J1054" s="194"/>
      <c r="K1054" s="194"/>
      <c r="L1054" s="194"/>
      <c r="M1054" s="194"/>
      <c r="N1054" s="194"/>
      <c r="O1054" s="194"/>
      <c r="P1054" s="194"/>
      <c r="Q1054" s="194"/>
      <c r="R1054" s="194"/>
      <c r="S1054" s="194"/>
      <c r="T1054" s="194"/>
      <c r="U1054" s="194"/>
      <c r="V1054" s="194"/>
      <c r="W1054" s="194"/>
      <c r="X1054" s="194"/>
      <c r="Y1054" s="194"/>
      <c r="Z1054" s="194"/>
      <c r="AA1054" s="194"/>
      <c r="AB1054" s="194"/>
      <c r="AC1054" s="194"/>
      <c r="AD1054" s="194"/>
      <c r="AE1054" s="194"/>
      <c r="AF1054" s="194"/>
    </row>
    <row r="1055" spans="1:32" x14ac:dyDescent="0.25">
      <c r="A1055" s="194"/>
      <c r="B1055" s="194"/>
      <c r="C1055" s="194"/>
      <c r="D1055" s="194"/>
      <c r="E1055" s="194"/>
      <c r="F1055" s="194"/>
      <c r="G1055" s="194"/>
      <c r="H1055" s="194"/>
      <c r="I1055" s="194"/>
      <c r="J1055" s="194"/>
      <c r="K1055" s="194"/>
      <c r="L1055" s="194"/>
      <c r="M1055" s="194"/>
      <c r="N1055" s="194"/>
      <c r="O1055" s="194"/>
      <c r="P1055" s="194"/>
      <c r="Q1055" s="194"/>
      <c r="R1055" s="194"/>
      <c r="S1055" s="194"/>
      <c r="T1055" s="194"/>
      <c r="U1055" s="194"/>
      <c r="V1055" s="194"/>
      <c r="W1055" s="194"/>
      <c r="X1055" s="194"/>
      <c r="Y1055" s="194"/>
      <c r="Z1055" s="194"/>
      <c r="AA1055" s="194"/>
      <c r="AB1055" s="194"/>
      <c r="AC1055" s="194"/>
      <c r="AD1055" s="194"/>
      <c r="AE1055" s="194"/>
      <c r="AF1055" s="194"/>
    </row>
    <row r="1056" spans="1:32" x14ac:dyDescent="0.25">
      <c r="A1056" s="194"/>
      <c r="B1056" s="194"/>
      <c r="C1056" s="194"/>
      <c r="D1056" s="194"/>
      <c r="E1056" s="194"/>
      <c r="F1056" s="194"/>
      <c r="G1056" s="194"/>
      <c r="H1056" s="194"/>
      <c r="I1056" s="194"/>
      <c r="J1056" s="194"/>
      <c r="K1056" s="194"/>
      <c r="L1056" s="194"/>
      <c r="M1056" s="194"/>
      <c r="N1056" s="194"/>
      <c r="O1056" s="194"/>
      <c r="P1056" s="194"/>
      <c r="Q1056" s="194"/>
      <c r="R1056" s="194"/>
      <c r="S1056" s="194"/>
      <c r="T1056" s="194"/>
      <c r="U1056" s="194"/>
      <c r="V1056" s="194"/>
      <c r="W1056" s="194"/>
      <c r="X1056" s="194"/>
      <c r="Y1056" s="194"/>
      <c r="Z1056" s="194"/>
      <c r="AA1056" s="194"/>
      <c r="AB1056" s="194"/>
      <c r="AC1056" s="194"/>
      <c r="AD1056" s="194"/>
      <c r="AE1056" s="194"/>
      <c r="AF1056" s="194"/>
    </row>
    <row r="1057" spans="1:32" x14ac:dyDescent="0.25">
      <c r="A1057" s="194"/>
      <c r="B1057" s="194"/>
      <c r="C1057" s="194"/>
      <c r="D1057" s="194"/>
      <c r="E1057" s="194"/>
      <c r="F1057" s="194"/>
      <c r="G1057" s="194"/>
      <c r="H1057" s="194"/>
      <c r="I1057" s="194"/>
      <c r="J1057" s="194"/>
      <c r="K1057" s="194"/>
      <c r="L1057" s="194"/>
      <c r="M1057" s="194"/>
      <c r="N1057" s="194"/>
      <c r="O1057" s="194"/>
      <c r="P1057" s="194"/>
      <c r="Q1057" s="194"/>
      <c r="R1057" s="194"/>
      <c r="S1057" s="194"/>
      <c r="T1057" s="194"/>
      <c r="U1057" s="194"/>
      <c r="V1057" s="194"/>
      <c r="W1057" s="194"/>
      <c r="X1057" s="194"/>
      <c r="Y1057" s="194"/>
      <c r="Z1057" s="194"/>
      <c r="AA1057" s="194"/>
      <c r="AB1057" s="194"/>
      <c r="AC1057" s="194"/>
      <c r="AD1057" s="194"/>
      <c r="AE1057" s="194"/>
      <c r="AF1057" s="194"/>
    </row>
    <row r="1058" spans="1:32" x14ac:dyDescent="0.25">
      <c r="A1058" s="194"/>
      <c r="B1058" s="194"/>
      <c r="C1058" s="194"/>
      <c r="D1058" s="194"/>
      <c r="E1058" s="194"/>
      <c r="F1058" s="194"/>
      <c r="G1058" s="194"/>
      <c r="H1058" s="194"/>
      <c r="I1058" s="194"/>
      <c r="J1058" s="194"/>
      <c r="K1058" s="194"/>
      <c r="L1058" s="194"/>
      <c r="M1058" s="194"/>
      <c r="N1058" s="194"/>
      <c r="O1058" s="194"/>
      <c r="P1058" s="194"/>
      <c r="Q1058" s="194"/>
      <c r="R1058" s="194"/>
      <c r="S1058" s="194"/>
      <c r="T1058" s="194"/>
      <c r="U1058" s="194"/>
      <c r="V1058" s="194"/>
      <c r="W1058" s="194"/>
      <c r="X1058" s="194"/>
      <c r="Y1058" s="194"/>
      <c r="Z1058" s="194"/>
      <c r="AA1058" s="194"/>
      <c r="AB1058" s="194"/>
      <c r="AC1058" s="194"/>
      <c r="AD1058" s="194"/>
      <c r="AE1058" s="194"/>
      <c r="AF1058" s="194"/>
    </row>
    <row r="1059" spans="1:32" x14ac:dyDescent="0.25">
      <c r="A1059" s="194"/>
      <c r="B1059" s="194"/>
      <c r="C1059" s="194"/>
      <c r="D1059" s="194"/>
      <c r="E1059" s="194"/>
      <c r="F1059" s="194"/>
      <c r="G1059" s="194"/>
      <c r="H1059" s="194"/>
      <c r="I1059" s="194"/>
      <c r="J1059" s="194"/>
      <c r="K1059" s="194"/>
      <c r="L1059" s="194"/>
      <c r="M1059" s="194"/>
      <c r="N1059" s="194"/>
      <c r="O1059" s="194"/>
      <c r="P1059" s="194"/>
      <c r="Q1059" s="194"/>
      <c r="R1059" s="194"/>
      <c r="S1059" s="194"/>
      <c r="T1059" s="194"/>
      <c r="U1059" s="194"/>
      <c r="V1059" s="194"/>
      <c r="W1059" s="194"/>
      <c r="X1059" s="194"/>
      <c r="Y1059" s="194"/>
      <c r="Z1059" s="194"/>
      <c r="AA1059" s="194"/>
      <c r="AB1059" s="194"/>
      <c r="AC1059" s="194"/>
      <c r="AD1059" s="194"/>
      <c r="AE1059" s="194"/>
      <c r="AF1059" s="194"/>
    </row>
    <row r="1060" spans="1:32" x14ac:dyDescent="0.25">
      <c r="A1060" s="194"/>
      <c r="B1060" s="194"/>
      <c r="C1060" s="194"/>
      <c r="D1060" s="194"/>
      <c r="E1060" s="194"/>
      <c r="F1060" s="194"/>
      <c r="G1060" s="194"/>
      <c r="H1060" s="194"/>
      <c r="I1060" s="194"/>
      <c r="J1060" s="194"/>
      <c r="K1060" s="194"/>
      <c r="L1060" s="194"/>
      <c r="M1060" s="194"/>
      <c r="N1060" s="194"/>
      <c r="O1060" s="194"/>
      <c r="P1060" s="194"/>
      <c r="Q1060" s="194"/>
      <c r="R1060" s="194"/>
      <c r="S1060" s="194"/>
      <c r="T1060" s="194"/>
      <c r="U1060" s="194"/>
      <c r="V1060" s="194"/>
      <c r="W1060" s="194"/>
      <c r="X1060" s="194"/>
      <c r="Y1060" s="194"/>
      <c r="Z1060" s="194"/>
      <c r="AA1060" s="194"/>
      <c r="AB1060" s="194"/>
      <c r="AC1060" s="194"/>
      <c r="AD1060" s="194"/>
      <c r="AE1060" s="194"/>
      <c r="AF1060" s="194"/>
    </row>
    <row r="1061" spans="1:32" x14ac:dyDescent="0.25">
      <c r="A1061" s="194"/>
      <c r="B1061" s="194"/>
      <c r="C1061" s="194"/>
      <c r="D1061" s="194"/>
      <c r="E1061" s="194"/>
      <c r="F1061" s="194"/>
      <c r="G1061" s="194"/>
      <c r="H1061" s="194"/>
      <c r="I1061" s="194"/>
      <c r="J1061" s="194"/>
      <c r="K1061" s="194"/>
      <c r="L1061" s="194"/>
      <c r="M1061" s="194"/>
      <c r="N1061" s="194"/>
      <c r="O1061" s="194"/>
      <c r="P1061" s="194"/>
      <c r="Q1061" s="194"/>
      <c r="R1061" s="194"/>
      <c r="S1061" s="194"/>
      <c r="T1061" s="194"/>
      <c r="U1061" s="194"/>
      <c r="V1061" s="194"/>
      <c r="W1061" s="194"/>
      <c r="X1061" s="194"/>
      <c r="Y1061" s="194"/>
      <c r="Z1061" s="194"/>
      <c r="AA1061" s="194"/>
      <c r="AB1061" s="194"/>
      <c r="AC1061" s="194"/>
      <c r="AD1061" s="194"/>
      <c r="AE1061" s="194"/>
      <c r="AF1061" s="194"/>
    </row>
    <row r="1062" spans="1:32" x14ac:dyDescent="0.25">
      <c r="A1062" s="194"/>
      <c r="B1062" s="194"/>
      <c r="C1062" s="194"/>
      <c r="D1062" s="194"/>
      <c r="E1062" s="194"/>
      <c r="F1062" s="194"/>
      <c r="G1062" s="194"/>
      <c r="H1062" s="194"/>
      <c r="I1062" s="194"/>
      <c r="J1062" s="194"/>
      <c r="K1062" s="194"/>
      <c r="L1062" s="194"/>
      <c r="M1062" s="194"/>
      <c r="N1062" s="194"/>
      <c r="O1062" s="194"/>
      <c r="P1062" s="194"/>
      <c r="Q1062" s="194"/>
      <c r="R1062" s="194"/>
      <c r="S1062" s="194"/>
      <c r="T1062" s="194"/>
      <c r="U1062" s="194"/>
      <c r="V1062" s="194"/>
      <c r="W1062" s="194"/>
      <c r="X1062" s="194"/>
      <c r="Y1062" s="194"/>
      <c r="Z1062" s="194"/>
      <c r="AA1062" s="194"/>
      <c r="AB1062" s="194"/>
      <c r="AC1062" s="194"/>
      <c r="AD1062" s="194"/>
      <c r="AE1062" s="194"/>
      <c r="AF1062" s="194"/>
    </row>
    <row r="1063" spans="1:32" x14ac:dyDescent="0.25">
      <c r="A1063" s="194"/>
      <c r="B1063" s="194"/>
      <c r="C1063" s="194"/>
      <c r="D1063" s="194"/>
      <c r="E1063" s="194"/>
      <c r="F1063" s="194"/>
      <c r="G1063" s="194"/>
      <c r="H1063" s="194"/>
      <c r="I1063" s="194"/>
      <c r="J1063" s="194"/>
      <c r="K1063" s="194"/>
      <c r="L1063" s="194"/>
      <c r="M1063" s="194"/>
      <c r="N1063" s="194"/>
      <c r="O1063" s="194"/>
      <c r="P1063" s="194"/>
      <c r="Q1063" s="194"/>
      <c r="R1063" s="194"/>
      <c r="S1063" s="194"/>
      <c r="T1063" s="194"/>
      <c r="U1063" s="194"/>
      <c r="V1063" s="194"/>
      <c r="W1063" s="194"/>
      <c r="X1063" s="194"/>
      <c r="Y1063" s="194"/>
      <c r="Z1063" s="194"/>
      <c r="AA1063" s="194"/>
      <c r="AB1063" s="194"/>
      <c r="AC1063" s="194"/>
      <c r="AD1063" s="194"/>
      <c r="AE1063" s="194"/>
      <c r="AF1063" s="194"/>
    </row>
    <row r="1064" spans="1:32" x14ac:dyDescent="0.25">
      <c r="A1064" s="194"/>
      <c r="B1064" s="194"/>
      <c r="C1064" s="194"/>
      <c r="D1064" s="194"/>
      <c r="E1064" s="194"/>
      <c r="F1064" s="194"/>
      <c r="G1064" s="194"/>
      <c r="H1064" s="194"/>
      <c r="I1064" s="194"/>
      <c r="J1064" s="194"/>
      <c r="K1064" s="194"/>
      <c r="L1064" s="194"/>
      <c r="M1064" s="194"/>
      <c r="N1064" s="194"/>
      <c r="O1064" s="194"/>
      <c r="P1064" s="194"/>
      <c r="Q1064" s="194"/>
      <c r="R1064" s="194"/>
      <c r="S1064" s="194"/>
      <c r="T1064" s="194"/>
      <c r="U1064" s="194"/>
      <c r="V1064" s="194"/>
      <c r="W1064" s="194"/>
      <c r="X1064" s="194"/>
      <c r="Y1064" s="194"/>
      <c r="Z1064" s="194"/>
      <c r="AA1064" s="194"/>
      <c r="AB1064" s="194"/>
      <c r="AC1064" s="194"/>
      <c r="AD1064" s="194"/>
      <c r="AE1064" s="194"/>
      <c r="AF1064" s="194"/>
    </row>
    <row r="1065" spans="1:32" x14ac:dyDescent="0.25">
      <c r="A1065" s="194"/>
      <c r="B1065" s="194"/>
      <c r="C1065" s="194"/>
      <c r="D1065" s="194"/>
      <c r="E1065" s="194"/>
      <c r="F1065" s="194"/>
      <c r="G1065" s="194"/>
      <c r="H1065" s="194"/>
      <c r="I1065" s="194"/>
      <c r="J1065" s="194"/>
      <c r="K1065" s="194"/>
      <c r="L1065" s="194"/>
      <c r="M1065" s="194"/>
      <c r="N1065" s="194"/>
      <c r="O1065" s="194"/>
      <c r="P1065" s="194"/>
      <c r="Q1065" s="194"/>
      <c r="R1065" s="194"/>
      <c r="S1065" s="194"/>
      <c r="T1065" s="194"/>
      <c r="U1065" s="194"/>
      <c r="V1065" s="194"/>
      <c r="W1065" s="194"/>
      <c r="X1065" s="194"/>
      <c r="Y1065" s="194"/>
      <c r="Z1065" s="194"/>
      <c r="AA1065" s="194"/>
      <c r="AB1065" s="194"/>
      <c r="AC1065" s="194"/>
      <c r="AD1065" s="194"/>
      <c r="AE1065" s="194"/>
      <c r="AF1065" s="194"/>
    </row>
    <row r="1066" spans="1:32" x14ac:dyDescent="0.25">
      <c r="A1066" s="194"/>
      <c r="B1066" s="194"/>
      <c r="C1066" s="194"/>
      <c r="D1066" s="194"/>
      <c r="E1066" s="194"/>
      <c r="F1066" s="194"/>
      <c r="G1066" s="194"/>
      <c r="H1066" s="194"/>
      <c r="I1066" s="194"/>
      <c r="J1066" s="194"/>
      <c r="K1066" s="194"/>
      <c r="L1066" s="194"/>
      <c r="M1066" s="194"/>
      <c r="N1066" s="194"/>
      <c r="O1066" s="194"/>
      <c r="P1066" s="194"/>
      <c r="Q1066" s="194"/>
      <c r="R1066" s="194"/>
      <c r="S1066" s="194"/>
      <c r="T1066" s="194"/>
      <c r="U1066" s="194"/>
      <c r="V1066" s="194"/>
      <c r="W1066" s="194"/>
      <c r="X1066" s="194"/>
      <c r="Y1066" s="194"/>
      <c r="Z1066" s="194"/>
      <c r="AA1066" s="194"/>
      <c r="AB1066" s="194"/>
      <c r="AC1066" s="194"/>
      <c r="AD1066" s="194"/>
      <c r="AE1066" s="194"/>
      <c r="AF1066" s="194"/>
    </row>
    <row r="1067" spans="1:32" x14ac:dyDescent="0.25">
      <c r="A1067" s="194"/>
      <c r="B1067" s="194"/>
      <c r="C1067" s="194"/>
      <c r="D1067" s="194"/>
      <c r="E1067" s="194"/>
      <c r="F1067" s="194"/>
      <c r="G1067" s="194"/>
      <c r="H1067" s="194"/>
      <c r="I1067" s="194"/>
      <c r="J1067" s="194"/>
      <c r="K1067" s="194"/>
      <c r="L1067" s="194"/>
      <c r="M1067" s="194"/>
      <c r="N1067" s="194"/>
      <c r="O1067" s="194"/>
      <c r="P1067" s="194"/>
      <c r="Q1067" s="194"/>
      <c r="R1067" s="194"/>
      <c r="S1067" s="194"/>
      <c r="T1067" s="194"/>
      <c r="U1067" s="194"/>
      <c r="V1067" s="194"/>
      <c r="W1067" s="194"/>
      <c r="X1067" s="194"/>
      <c r="Y1067" s="194"/>
      <c r="Z1067" s="194"/>
      <c r="AA1067" s="194"/>
      <c r="AB1067" s="194"/>
      <c r="AC1067" s="194"/>
      <c r="AD1067" s="194"/>
      <c r="AE1067" s="194"/>
      <c r="AF1067" s="194"/>
    </row>
    <row r="1068" spans="1:32" x14ac:dyDescent="0.25">
      <c r="A1068" s="194"/>
      <c r="B1068" s="194"/>
      <c r="C1068" s="194"/>
      <c r="D1068" s="194"/>
      <c r="E1068" s="194"/>
      <c r="F1068" s="194"/>
      <c r="G1068" s="194"/>
      <c r="H1068" s="194"/>
      <c r="I1068" s="194"/>
      <c r="J1068" s="194"/>
      <c r="K1068" s="194"/>
      <c r="L1068" s="194"/>
      <c r="M1068" s="194"/>
      <c r="N1068" s="194"/>
      <c r="O1068" s="194"/>
      <c r="P1068" s="194"/>
      <c r="Q1068" s="194"/>
      <c r="R1068" s="194"/>
      <c r="S1068" s="194"/>
      <c r="T1068" s="194"/>
      <c r="U1068" s="194"/>
      <c r="V1068" s="194"/>
      <c r="W1068" s="194"/>
      <c r="X1068" s="194"/>
      <c r="Y1068" s="194"/>
      <c r="Z1068" s="194"/>
      <c r="AA1068" s="194"/>
      <c r="AB1068" s="194"/>
      <c r="AC1068" s="194"/>
      <c r="AD1068" s="194"/>
      <c r="AE1068" s="194"/>
      <c r="AF1068" s="194"/>
    </row>
    <row r="1069" spans="1:32" x14ac:dyDescent="0.25">
      <c r="A1069" s="194"/>
      <c r="B1069" s="194"/>
      <c r="C1069" s="194"/>
      <c r="D1069" s="194"/>
      <c r="E1069" s="194"/>
      <c r="F1069" s="194"/>
      <c r="G1069" s="194"/>
      <c r="H1069" s="194"/>
      <c r="I1069" s="194"/>
      <c r="J1069" s="194"/>
      <c r="K1069" s="194"/>
      <c r="L1069" s="194"/>
      <c r="M1069" s="194"/>
      <c r="N1069" s="194"/>
      <c r="O1069" s="194"/>
      <c r="P1069" s="194"/>
      <c r="Q1069" s="194"/>
      <c r="R1069" s="194"/>
      <c r="S1069" s="194"/>
      <c r="T1069" s="194"/>
      <c r="U1069" s="194"/>
      <c r="V1069" s="194"/>
      <c r="W1069" s="194"/>
      <c r="X1069" s="194"/>
      <c r="Y1069" s="194"/>
      <c r="Z1069" s="194"/>
      <c r="AA1069" s="194"/>
      <c r="AB1069" s="194"/>
      <c r="AC1069" s="194"/>
      <c r="AD1069" s="194"/>
      <c r="AE1069" s="194"/>
      <c r="AF1069" s="194"/>
    </row>
    <row r="1070" spans="1:32" x14ac:dyDescent="0.25">
      <c r="A1070" s="194"/>
      <c r="B1070" s="194"/>
      <c r="C1070" s="194"/>
      <c r="D1070" s="194"/>
      <c r="E1070" s="194"/>
      <c r="F1070" s="194"/>
      <c r="G1070" s="194"/>
      <c r="H1070" s="194"/>
      <c r="I1070" s="194"/>
      <c r="J1070" s="194"/>
      <c r="K1070" s="194"/>
      <c r="L1070" s="194"/>
      <c r="M1070" s="194"/>
      <c r="N1070" s="194"/>
      <c r="O1070" s="194"/>
      <c r="P1070" s="194"/>
      <c r="Q1070" s="194"/>
      <c r="R1070" s="194"/>
      <c r="S1070" s="194"/>
      <c r="T1070" s="194"/>
      <c r="U1070" s="194"/>
      <c r="V1070" s="194"/>
      <c r="W1070" s="194"/>
      <c r="X1070" s="194"/>
      <c r="Y1070" s="194"/>
      <c r="Z1070" s="194"/>
      <c r="AA1070" s="194"/>
      <c r="AB1070" s="194"/>
      <c r="AC1070" s="194"/>
      <c r="AD1070" s="194"/>
      <c r="AE1070" s="194"/>
      <c r="AF1070" s="194"/>
    </row>
    <row r="1071" spans="1:32" x14ac:dyDescent="0.25">
      <c r="A1071" s="194"/>
      <c r="B1071" s="194"/>
      <c r="C1071" s="194"/>
      <c r="D1071" s="194"/>
      <c r="E1071" s="194"/>
      <c r="F1071" s="194"/>
      <c r="G1071" s="194"/>
      <c r="H1071" s="194"/>
      <c r="I1071" s="194"/>
      <c r="J1071" s="194"/>
      <c r="K1071" s="194"/>
      <c r="L1071" s="194"/>
      <c r="M1071" s="194"/>
      <c r="N1071" s="194"/>
      <c r="O1071" s="194"/>
      <c r="P1071" s="194"/>
      <c r="Q1071" s="194"/>
      <c r="R1071" s="194"/>
      <c r="S1071" s="194"/>
      <c r="T1071" s="194"/>
      <c r="U1071" s="194"/>
      <c r="V1071" s="194"/>
      <c r="W1071" s="194"/>
      <c r="X1071" s="194"/>
      <c r="Y1071" s="194"/>
      <c r="Z1071" s="194"/>
      <c r="AA1071" s="194"/>
      <c r="AB1071" s="194"/>
      <c r="AC1071" s="194"/>
      <c r="AD1071" s="194"/>
      <c r="AE1071" s="194"/>
      <c r="AF1071" s="194"/>
    </row>
    <row r="1072" spans="1:32" x14ac:dyDescent="0.25">
      <c r="A1072" s="194"/>
      <c r="B1072" s="194"/>
      <c r="C1072" s="194"/>
      <c r="D1072" s="194"/>
      <c r="E1072" s="194"/>
      <c r="F1072" s="194"/>
      <c r="G1072" s="194"/>
      <c r="H1072" s="194"/>
      <c r="I1072" s="194"/>
      <c r="J1072" s="194"/>
      <c r="K1072" s="194"/>
      <c r="L1072" s="194"/>
      <c r="M1072" s="194"/>
      <c r="N1072" s="194"/>
      <c r="O1072" s="194"/>
      <c r="P1072" s="194"/>
      <c r="Q1072" s="194"/>
      <c r="R1072" s="194"/>
      <c r="S1072" s="194"/>
      <c r="T1072" s="194"/>
      <c r="U1072" s="194"/>
      <c r="V1072" s="194"/>
      <c r="W1072" s="194"/>
      <c r="X1072" s="194"/>
      <c r="Y1072" s="194"/>
      <c r="Z1072" s="194"/>
      <c r="AA1072" s="194"/>
      <c r="AB1072" s="194"/>
      <c r="AC1072" s="194"/>
      <c r="AD1072" s="194"/>
      <c r="AE1072" s="194"/>
      <c r="AF1072" s="194"/>
    </row>
    <row r="1073" spans="1:32" x14ac:dyDescent="0.25">
      <c r="A1073" s="194"/>
      <c r="B1073" s="194"/>
      <c r="C1073" s="194"/>
      <c r="D1073" s="194"/>
      <c r="E1073" s="194"/>
      <c r="F1073" s="194"/>
      <c r="G1073" s="194"/>
      <c r="H1073" s="194"/>
      <c r="I1073" s="194"/>
      <c r="J1073" s="194"/>
      <c r="K1073" s="194"/>
      <c r="L1073" s="194"/>
      <c r="M1073" s="194"/>
      <c r="N1073" s="194"/>
      <c r="O1073" s="194"/>
      <c r="P1073" s="194"/>
      <c r="Q1073" s="194"/>
      <c r="R1073" s="194"/>
      <c r="S1073" s="194"/>
      <c r="T1073" s="194"/>
      <c r="U1073" s="194"/>
      <c r="V1073" s="194"/>
      <c r="W1073" s="194"/>
      <c r="X1073" s="194"/>
      <c r="Y1073" s="194"/>
      <c r="Z1073" s="194"/>
      <c r="AA1073" s="194"/>
      <c r="AB1073" s="194"/>
      <c r="AC1073" s="194"/>
      <c r="AD1073" s="194"/>
      <c r="AE1073" s="194"/>
      <c r="AF1073" s="194"/>
    </row>
    <row r="1074" spans="1:32" x14ac:dyDescent="0.25">
      <c r="A1074" s="194"/>
      <c r="B1074" s="194"/>
      <c r="C1074" s="194"/>
      <c r="D1074" s="194"/>
      <c r="E1074" s="194"/>
      <c r="F1074" s="194"/>
      <c r="G1074" s="194"/>
      <c r="H1074" s="194"/>
      <c r="I1074" s="194"/>
      <c r="J1074" s="194"/>
      <c r="K1074" s="194"/>
      <c r="L1074" s="194"/>
      <c r="M1074" s="194"/>
      <c r="N1074" s="194"/>
      <c r="O1074" s="194"/>
      <c r="P1074" s="194"/>
      <c r="Q1074" s="194"/>
      <c r="R1074" s="194"/>
      <c r="S1074" s="194"/>
      <c r="T1074" s="194"/>
      <c r="U1074" s="194"/>
      <c r="V1074" s="194"/>
      <c r="W1074" s="194"/>
      <c r="X1074" s="194"/>
      <c r="Y1074" s="194"/>
      <c r="Z1074" s="194"/>
      <c r="AA1074" s="194"/>
      <c r="AB1074" s="194"/>
      <c r="AC1074" s="194"/>
      <c r="AD1074" s="194"/>
      <c r="AE1074" s="194"/>
      <c r="AF1074" s="194"/>
    </row>
    <row r="1075" spans="1:32" x14ac:dyDescent="0.25">
      <c r="A1075" s="194"/>
      <c r="B1075" s="194"/>
      <c r="C1075" s="194"/>
      <c r="D1075" s="194"/>
      <c r="E1075" s="194"/>
      <c r="F1075" s="194"/>
      <c r="G1075" s="194"/>
      <c r="H1075" s="194"/>
      <c r="I1075" s="194"/>
      <c r="J1075" s="194"/>
      <c r="K1075" s="194"/>
      <c r="L1075" s="194"/>
      <c r="M1075" s="194"/>
      <c r="N1075" s="194"/>
      <c r="O1075" s="194"/>
      <c r="P1075" s="194"/>
      <c r="Q1075" s="194"/>
      <c r="R1075" s="194"/>
      <c r="S1075" s="194"/>
      <c r="T1075" s="194"/>
      <c r="U1075" s="194"/>
      <c r="V1075" s="194"/>
      <c r="W1075" s="194"/>
      <c r="X1075" s="194"/>
      <c r="Y1075" s="194"/>
      <c r="Z1075" s="194"/>
      <c r="AA1075" s="194"/>
      <c r="AB1075" s="194"/>
      <c r="AC1075" s="194"/>
      <c r="AD1075" s="194"/>
      <c r="AE1075" s="194"/>
      <c r="AF1075" s="194"/>
    </row>
    <row r="1076" spans="1:32" x14ac:dyDescent="0.25">
      <c r="A1076" s="194"/>
      <c r="B1076" s="194"/>
      <c r="C1076" s="194"/>
      <c r="D1076" s="194"/>
      <c r="E1076" s="194"/>
      <c r="F1076" s="194"/>
      <c r="G1076" s="194"/>
      <c r="H1076" s="194"/>
      <c r="I1076" s="194"/>
      <c r="J1076" s="194"/>
      <c r="K1076" s="194"/>
      <c r="L1076" s="194"/>
      <c r="M1076" s="194"/>
      <c r="N1076" s="194"/>
      <c r="O1076" s="194"/>
      <c r="P1076" s="194"/>
      <c r="Q1076" s="194"/>
      <c r="R1076" s="194"/>
      <c r="S1076" s="194"/>
      <c r="T1076" s="194"/>
      <c r="U1076" s="194"/>
      <c r="V1076" s="194"/>
      <c r="W1076" s="194"/>
      <c r="X1076" s="194"/>
      <c r="Y1076" s="194"/>
      <c r="Z1076" s="194"/>
      <c r="AA1076" s="194"/>
      <c r="AB1076" s="194"/>
      <c r="AC1076" s="194"/>
      <c r="AD1076" s="194"/>
      <c r="AE1076" s="194"/>
      <c r="AF1076" s="194"/>
    </row>
    <row r="1077" spans="1:32" x14ac:dyDescent="0.25">
      <c r="A1077" s="194"/>
      <c r="B1077" s="194"/>
      <c r="C1077" s="194"/>
      <c r="D1077" s="194"/>
      <c r="E1077" s="194"/>
      <c r="F1077" s="194"/>
      <c r="G1077" s="194"/>
      <c r="H1077" s="194"/>
      <c r="I1077" s="194"/>
      <c r="J1077" s="194"/>
      <c r="K1077" s="194"/>
      <c r="L1077" s="194"/>
      <c r="M1077" s="194"/>
      <c r="N1077" s="194"/>
      <c r="O1077" s="194"/>
      <c r="P1077" s="194"/>
      <c r="Q1077" s="194"/>
      <c r="R1077" s="194"/>
      <c r="S1077" s="194"/>
      <c r="T1077" s="194"/>
      <c r="U1077" s="194"/>
      <c r="V1077" s="194"/>
      <c r="W1077" s="194"/>
      <c r="X1077" s="194"/>
      <c r="Y1077" s="194"/>
      <c r="Z1077" s="194"/>
      <c r="AA1077" s="194"/>
      <c r="AB1077" s="194"/>
      <c r="AC1077" s="194"/>
      <c r="AD1077" s="194"/>
      <c r="AE1077" s="194"/>
      <c r="AF1077" s="194"/>
    </row>
    <row r="1078" spans="1:32" x14ac:dyDescent="0.25">
      <c r="A1078" s="194"/>
      <c r="B1078" s="194"/>
      <c r="C1078" s="194"/>
      <c r="D1078" s="194"/>
      <c r="E1078" s="194"/>
      <c r="F1078" s="194"/>
      <c r="G1078" s="194"/>
      <c r="H1078" s="194"/>
      <c r="I1078" s="194"/>
      <c r="J1078" s="194"/>
      <c r="K1078" s="194"/>
      <c r="L1078" s="194"/>
      <c r="M1078" s="194"/>
      <c r="N1078" s="194"/>
      <c r="O1078" s="194"/>
      <c r="P1078" s="194"/>
      <c r="Q1078" s="194"/>
      <c r="R1078" s="194"/>
      <c r="S1078" s="194"/>
      <c r="T1078" s="194"/>
      <c r="U1078" s="194"/>
      <c r="V1078" s="194"/>
      <c r="W1078" s="194"/>
      <c r="X1078" s="194"/>
      <c r="Y1078" s="194"/>
      <c r="Z1078" s="194"/>
      <c r="AA1078" s="194"/>
      <c r="AB1078" s="194"/>
      <c r="AC1078" s="194"/>
      <c r="AD1078" s="194"/>
      <c r="AE1078" s="194"/>
      <c r="AF1078" s="194"/>
    </row>
    <row r="1079" spans="1:32" x14ac:dyDescent="0.25">
      <c r="A1079" s="194"/>
      <c r="B1079" s="194"/>
      <c r="C1079" s="194"/>
      <c r="D1079" s="194"/>
      <c r="E1079" s="194"/>
      <c r="F1079" s="194"/>
      <c r="G1079" s="194"/>
      <c r="H1079" s="194"/>
      <c r="I1079" s="194"/>
      <c r="J1079" s="194"/>
      <c r="K1079" s="194"/>
      <c r="L1079" s="194"/>
      <c r="M1079" s="194"/>
      <c r="N1079" s="194"/>
      <c r="O1079" s="194"/>
      <c r="P1079" s="194"/>
      <c r="Q1079" s="194"/>
      <c r="R1079" s="194"/>
      <c r="S1079" s="194"/>
      <c r="T1079" s="194"/>
      <c r="U1079" s="194"/>
      <c r="V1079" s="194"/>
      <c r="W1079" s="194"/>
      <c r="X1079" s="194"/>
      <c r="Y1079" s="194"/>
      <c r="Z1079" s="194"/>
      <c r="AA1079" s="194"/>
      <c r="AB1079" s="194"/>
      <c r="AC1079" s="194"/>
      <c r="AD1079" s="194"/>
      <c r="AE1079" s="194"/>
      <c r="AF1079" s="194"/>
    </row>
    <row r="1080" spans="1:32" x14ac:dyDescent="0.25">
      <c r="A1080" s="194"/>
      <c r="B1080" s="194"/>
      <c r="C1080" s="194"/>
      <c r="D1080" s="194"/>
      <c r="E1080" s="194"/>
      <c r="F1080" s="194"/>
      <c r="G1080" s="194"/>
      <c r="H1080" s="194"/>
      <c r="I1080" s="194"/>
      <c r="J1080" s="194"/>
      <c r="K1080" s="194"/>
      <c r="L1080" s="194"/>
      <c r="M1080" s="194"/>
      <c r="N1080" s="194"/>
      <c r="O1080" s="194"/>
      <c r="P1080" s="194"/>
      <c r="Q1080" s="194"/>
      <c r="R1080" s="194"/>
      <c r="S1080" s="194"/>
      <c r="T1080" s="194"/>
      <c r="U1080" s="194"/>
      <c r="V1080" s="194"/>
      <c r="W1080" s="194"/>
      <c r="X1080" s="194"/>
      <c r="Y1080" s="194"/>
      <c r="Z1080" s="194"/>
      <c r="AA1080" s="194"/>
      <c r="AB1080" s="194"/>
      <c r="AC1080" s="194"/>
      <c r="AD1080" s="194"/>
      <c r="AE1080" s="194"/>
      <c r="AF1080" s="194"/>
    </row>
    <row r="1081" spans="1:32" x14ac:dyDescent="0.25">
      <c r="A1081" s="194"/>
      <c r="B1081" s="194"/>
      <c r="C1081" s="194"/>
      <c r="D1081" s="194"/>
      <c r="E1081" s="194"/>
      <c r="F1081" s="194"/>
      <c r="G1081" s="194"/>
      <c r="H1081" s="194"/>
      <c r="I1081" s="194"/>
      <c r="J1081" s="194"/>
      <c r="K1081" s="194"/>
      <c r="L1081" s="194"/>
      <c r="M1081" s="194"/>
      <c r="N1081" s="194"/>
      <c r="O1081" s="194"/>
      <c r="P1081" s="194"/>
      <c r="Q1081" s="194"/>
      <c r="R1081" s="194"/>
      <c r="S1081" s="194"/>
      <c r="T1081" s="194"/>
      <c r="U1081" s="194"/>
      <c r="V1081" s="194"/>
      <c r="W1081" s="194"/>
      <c r="X1081" s="194"/>
      <c r="Y1081" s="194"/>
      <c r="Z1081" s="194"/>
      <c r="AA1081" s="194"/>
      <c r="AB1081" s="194"/>
      <c r="AC1081" s="194"/>
      <c r="AD1081" s="194"/>
      <c r="AE1081" s="194"/>
      <c r="AF1081" s="194"/>
    </row>
    <row r="1082" spans="1:32" x14ac:dyDescent="0.25">
      <c r="A1082" s="194"/>
      <c r="B1082" s="194"/>
      <c r="C1082" s="194"/>
      <c r="D1082" s="194"/>
      <c r="E1082" s="194"/>
      <c r="F1082" s="194"/>
      <c r="G1082" s="194"/>
      <c r="H1082" s="194"/>
      <c r="I1082" s="194"/>
      <c r="J1082" s="194"/>
      <c r="K1082" s="194"/>
      <c r="L1082" s="194"/>
      <c r="M1082" s="194"/>
      <c r="N1082" s="194"/>
      <c r="O1082" s="194"/>
      <c r="P1082" s="194"/>
      <c r="Q1082" s="194"/>
      <c r="R1082" s="194"/>
      <c r="S1082" s="194"/>
      <c r="T1082" s="194"/>
      <c r="U1082" s="194"/>
      <c r="V1082" s="194"/>
      <c r="W1082" s="194"/>
      <c r="X1082" s="194"/>
      <c r="Y1082" s="194"/>
      <c r="Z1082" s="194"/>
      <c r="AA1082" s="194"/>
      <c r="AB1082" s="194"/>
      <c r="AC1082" s="194"/>
      <c r="AD1082" s="194"/>
      <c r="AE1082" s="194"/>
      <c r="AF1082" s="194"/>
    </row>
    <row r="1083" spans="1:32" x14ac:dyDescent="0.25">
      <c r="A1083" s="194"/>
      <c r="B1083" s="194"/>
      <c r="C1083" s="194"/>
      <c r="D1083" s="194"/>
      <c r="E1083" s="194"/>
      <c r="F1083" s="194"/>
      <c r="G1083" s="194"/>
      <c r="H1083" s="194"/>
      <c r="I1083" s="194"/>
      <c r="J1083" s="194"/>
      <c r="K1083" s="194"/>
      <c r="L1083" s="194"/>
      <c r="M1083" s="194"/>
      <c r="N1083" s="194"/>
      <c r="O1083" s="194"/>
      <c r="P1083" s="194"/>
      <c r="Q1083" s="194"/>
      <c r="R1083" s="194"/>
      <c r="S1083" s="194"/>
      <c r="T1083" s="194"/>
      <c r="U1083" s="194"/>
      <c r="V1083" s="194"/>
      <c r="W1083" s="194"/>
      <c r="X1083" s="194"/>
      <c r="Y1083" s="194"/>
      <c r="Z1083" s="194"/>
      <c r="AA1083" s="194"/>
      <c r="AB1083" s="194"/>
      <c r="AC1083" s="194"/>
      <c r="AD1083" s="194"/>
      <c r="AE1083" s="194"/>
      <c r="AF1083" s="194"/>
    </row>
    <row r="1084" spans="1:32" x14ac:dyDescent="0.25">
      <c r="A1084" s="194"/>
      <c r="B1084" s="194"/>
      <c r="C1084" s="194"/>
      <c r="D1084" s="194"/>
      <c r="E1084" s="194"/>
      <c r="F1084" s="194"/>
      <c r="G1084" s="194"/>
      <c r="H1084" s="194"/>
      <c r="I1084" s="194"/>
      <c r="J1084" s="194"/>
      <c r="K1084" s="194"/>
      <c r="L1084" s="194"/>
      <c r="M1084" s="194"/>
      <c r="N1084" s="194"/>
      <c r="O1084" s="194"/>
      <c r="P1084" s="194"/>
      <c r="Q1084" s="194"/>
      <c r="R1084" s="194"/>
      <c r="S1084" s="194"/>
      <c r="T1084" s="194"/>
      <c r="U1084" s="194"/>
      <c r="V1084" s="194"/>
      <c r="W1084" s="194"/>
      <c r="X1084" s="194"/>
      <c r="Y1084" s="194"/>
      <c r="Z1084" s="194"/>
      <c r="AA1084" s="194"/>
      <c r="AB1084" s="194"/>
      <c r="AC1084" s="194"/>
      <c r="AD1084" s="194"/>
      <c r="AE1084" s="194"/>
      <c r="AF1084" s="194"/>
    </row>
    <row r="1085" spans="1:32" x14ac:dyDescent="0.25">
      <c r="A1085" s="194"/>
      <c r="B1085" s="194"/>
      <c r="C1085" s="194"/>
      <c r="D1085" s="194"/>
      <c r="E1085" s="194"/>
      <c r="F1085" s="194"/>
      <c r="G1085" s="194"/>
      <c r="H1085" s="194"/>
      <c r="I1085" s="194"/>
      <c r="J1085" s="194"/>
      <c r="K1085" s="194"/>
      <c r="L1085" s="194"/>
      <c r="M1085" s="194"/>
      <c r="N1085" s="194"/>
      <c r="O1085" s="194"/>
      <c r="P1085" s="194"/>
      <c r="Q1085" s="194"/>
      <c r="R1085" s="194"/>
      <c r="S1085" s="194"/>
      <c r="T1085" s="194"/>
      <c r="U1085" s="194"/>
      <c r="V1085" s="194"/>
      <c r="W1085" s="194"/>
      <c r="X1085" s="194"/>
      <c r="Y1085" s="194"/>
      <c r="Z1085" s="194"/>
      <c r="AA1085" s="194"/>
      <c r="AB1085" s="194"/>
      <c r="AC1085" s="194"/>
      <c r="AD1085" s="194"/>
      <c r="AE1085" s="194"/>
      <c r="AF1085" s="194"/>
    </row>
    <row r="1086" spans="1:32" x14ac:dyDescent="0.25">
      <c r="A1086" s="194"/>
      <c r="B1086" s="194"/>
      <c r="C1086" s="194"/>
      <c r="D1086" s="194"/>
      <c r="E1086" s="194"/>
      <c r="F1086" s="194"/>
      <c r="G1086" s="194"/>
      <c r="H1086" s="194"/>
      <c r="I1086" s="194"/>
      <c r="J1086" s="194"/>
      <c r="K1086" s="194"/>
      <c r="L1086" s="194"/>
      <c r="M1086" s="194"/>
      <c r="N1086" s="194"/>
      <c r="O1086" s="194"/>
      <c r="P1086" s="194"/>
      <c r="Q1086" s="194"/>
      <c r="R1086" s="194"/>
      <c r="S1086" s="194"/>
      <c r="T1086" s="194"/>
      <c r="U1086" s="194"/>
      <c r="V1086" s="194"/>
      <c r="W1086" s="194"/>
      <c r="X1086" s="194"/>
      <c r="Y1086" s="194"/>
      <c r="Z1086" s="194"/>
      <c r="AA1086" s="194"/>
      <c r="AB1086" s="194"/>
      <c r="AC1086" s="194"/>
      <c r="AD1086" s="194"/>
      <c r="AE1086" s="194"/>
      <c r="AF1086" s="194"/>
    </row>
    <row r="1087" spans="1:32" x14ac:dyDescent="0.25">
      <c r="A1087" s="194"/>
      <c r="B1087" s="194"/>
      <c r="C1087" s="194"/>
      <c r="D1087" s="194"/>
      <c r="E1087" s="194"/>
      <c r="F1087" s="194"/>
      <c r="G1087" s="194"/>
      <c r="H1087" s="194"/>
      <c r="I1087" s="194"/>
      <c r="J1087" s="194"/>
      <c r="K1087" s="194"/>
      <c r="L1087" s="194"/>
      <c r="M1087" s="194"/>
      <c r="N1087" s="194"/>
      <c r="O1087" s="194"/>
      <c r="P1087" s="194"/>
      <c r="Q1087" s="194"/>
      <c r="R1087" s="194"/>
      <c r="S1087" s="194"/>
      <c r="T1087" s="194"/>
      <c r="U1087" s="194"/>
      <c r="V1087" s="194"/>
      <c r="W1087" s="194"/>
      <c r="X1087" s="194"/>
      <c r="Y1087" s="194"/>
      <c r="Z1087" s="194"/>
      <c r="AA1087" s="194"/>
      <c r="AB1087" s="194"/>
      <c r="AC1087" s="194"/>
      <c r="AD1087" s="194"/>
      <c r="AE1087" s="194"/>
      <c r="AF1087" s="194"/>
    </row>
    <row r="1088" spans="1:32" x14ac:dyDescent="0.25">
      <c r="A1088" s="194"/>
      <c r="B1088" s="194"/>
      <c r="C1088" s="194"/>
      <c r="D1088" s="194"/>
      <c r="E1088" s="194"/>
      <c r="F1088" s="194"/>
      <c r="G1088" s="194"/>
      <c r="H1088" s="194"/>
      <c r="I1088" s="194"/>
      <c r="J1088" s="194"/>
      <c r="K1088" s="194"/>
      <c r="L1088" s="194"/>
      <c r="M1088" s="194"/>
      <c r="N1088" s="194"/>
      <c r="O1088" s="194"/>
      <c r="P1088" s="194"/>
      <c r="Q1088" s="194"/>
      <c r="R1088" s="194"/>
      <c r="S1088" s="194"/>
      <c r="T1088" s="194"/>
      <c r="U1088" s="194"/>
      <c r="V1088" s="194"/>
      <c r="W1088" s="194"/>
      <c r="X1088" s="194"/>
      <c r="Y1088" s="194"/>
      <c r="Z1088" s="194"/>
      <c r="AA1088" s="194"/>
      <c r="AB1088" s="194"/>
      <c r="AC1088" s="194"/>
      <c r="AD1088" s="194"/>
      <c r="AE1088" s="194"/>
      <c r="AF1088" s="194"/>
    </row>
    <row r="1089" spans="1:32" x14ac:dyDescent="0.25">
      <c r="A1089" s="194"/>
      <c r="B1089" s="194"/>
      <c r="C1089" s="194"/>
      <c r="D1089" s="194"/>
      <c r="E1089" s="194"/>
      <c r="F1089" s="194"/>
      <c r="G1089" s="194"/>
      <c r="H1089" s="194"/>
      <c r="I1089" s="194"/>
      <c r="J1089" s="194"/>
      <c r="K1089" s="194"/>
      <c r="L1089" s="194"/>
      <c r="M1089" s="194"/>
      <c r="N1089" s="194"/>
      <c r="O1089" s="194"/>
      <c r="P1089" s="194"/>
      <c r="Q1089" s="194"/>
      <c r="R1089" s="194"/>
      <c r="S1089" s="194"/>
      <c r="T1089" s="194"/>
      <c r="U1089" s="194"/>
      <c r="V1089" s="194"/>
      <c r="W1089" s="194"/>
      <c r="X1089" s="194"/>
      <c r="Y1089" s="194"/>
      <c r="Z1089" s="194"/>
      <c r="AA1089" s="194"/>
      <c r="AB1089" s="194"/>
      <c r="AC1089" s="194"/>
      <c r="AD1089" s="194"/>
      <c r="AE1089" s="194"/>
      <c r="AF1089" s="194"/>
    </row>
    <row r="1090" spans="1:32" x14ac:dyDescent="0.25">
      <c r="A1090" s="194"/>
      <c r="B1090" s="194"/>
      <c r="C1090" s="194"/>
      <c r="D1090" s="194"/>
      <c r="E1090" s="194"/>
      <c r="F1090" s="194"/>
      <c r="G1090" s="194"/>
      <c r="H1090" s="194"/>
      <c r="I1090" s="194"/>
      <c r="J1090" s="194"/>
      <c r="K1090" s="194"/>
      <c r="L1090" s="194"/>
      <c r="M1090" s="194"/>
      <c r="N1090" s="194"/>
      <c r="O1090" s="194"/>
      <c r="P1090" s="194"/>
      <c r="Q1090" s="194"/>
      <c r="R1090" s="194"/>
      <c r="S1090" s="194"/>
      <c r="T1090" s="194"/>
      <c r="U1090" s="194"/>
      <c r="V1090" s="194"/>
      <c r="W1090" s="194"/>
      <c r="X1090" s="194"/>
      <c r="Y1090" s="194"/>
      <c r="Z1090" s="194"/>
      <c r="AA1090" s="194"/>
      <c r="AB1090" s="194"/>
      <c r="AC1090" s="194"/>
      <c r="AD1090" s="194"/>
      <c r="AE1090" s="194"/>
      <c r="AF1090" s="194"/>
    </row>
    <row r="1091" spans="1:32" x14ac:dyDescent="0.25">
      <c r="A1091" s="194"/>
      <c r="B1091" s="194"/>
      <c r="C1091" s="194"/>
      <c r="D1091" s="194"/>
      <c r="E1091" s="194"/>
      <c r="F1091" s="194"/>
      <c r="G1091" s="194"/>
      <c r="H1091" s="194"/>
      <c r="I1091" s="194"/>
      <c r="J1091" s="194"/>
      <c r="K1091" s="194"/>
      <c r="L1091" s="194"/>
      <c r="M1091" s="194"/>
      <c r="N1091" s="194"/>
      <c r="O1091" s="194"/>
      <c r="P1091" s="194"/>
      <c r="Q1091" s="194"/>
      <c r="R1091" s="194"/>
      <c r="S1091" s="194"/>
      <c r="T1091" s="194"/>
      <c r="U1091" s="194"/>
      <c r="V1091" s="194"/>
      <c r="W1091" s="194"/>
      <c r="X1091" s="194"/>
      <c r="Y1091" s="194"/>
      <c r="Z1091" s="194"/>
      <c r="AA1091" s="194"/>
      <c r="AB1091" s="194"/>
      <c r="AC1091" s="194"/>
      <c r="AD1091" s="194"/>
      <c r="AE1091" s="194"/>
      <c r="AF1091" s="194"/>
    </row>
    <row r="1092" spans="1:32" x14ac:dyDescent="0.25">
      <c r="A1092" s="194"/>
      <c r="B1092" s="194"/>
      <c r="C1092" s="194"/>
      <c r="D1092" s="194"/>
      <c r="E1092" s="194"/>
      <c r="F1092" s="194"/>
      <c r="G1092" s="194"/>
      <c r="H1092" s="194"/>
      <c r="I1092" s="194"/>
      <c r="J1092" s="194"/>
      <c r="K1092" s="194"/>
      <c r="L1092" s="194"/>
      <c r="M1092" s="194"/>
      <c r="N1092" s="194"/>
      <c r="O1092" s="194"/>
      <c r="P1092" s="194"/>
      <c r="Q1092" s="194"/>
      <c r="R1092" s="194"/>
      <c r="S1092" s="194"/>
      <c r="T1092" s="194"/>
      <c r="U1092" s="194"/>
      <c r="V1092" s="194"/>
      <c r="W1092" s="194"/>
      <c r="X1092" s="194"/>
      <c r="Y1092" s="194"/>
      <c r="Z1092" s="194"/>
      <c r="AA1092" s="194"/>
      <c r="AB1092" s="194"/>
      <c r="AC1092" s="194"/>
      <c r="AD1092" s="194"/>
      <c r="AE1092" s="194"/>
      <c r="AF1092" s="194"/>
    </row>
    <row r="1093" spans="1:32" x14ac:dyDescent="0.25">
      <c r="A1093" s="194"/>
      <c r="B1093" s="194"/>
      <c r="C1093" s="194"/>
      <c r="D1093" s="194"/>
      <c r="E1093" s="194"/>
      <c r="F1093" s="194"/>
      <c r="G1093" s="194"/>
      <c r="H1093" s="194"/>
      <c r="I1093" s="194"/>
      <c r="J1093" s="194"/>
      <c r="K1093" s="194"/>
      <c r="L1093" s="194"/>
      <c r="M1093" s="194"/>
      <c r="N1093" s="194"/>
      <c r="O1093" s="194"/>
      <c r="P1093" s="194"/>
      <c r="Q1093" s="194"/>
      <c r="R1093" s="194"/>
      <c r="S1093" s="194"/>
      <c r="T1093" s="194"/>
      <c r="U1093" s="194"/>
      <c r="V1093" s="194"/>
      <c r="W1093" s="194"/>
      <c r="X1093" s="194"/>
      <c r="Y1093" s="194"/>
      <c r="Z1093" s="194"/>
      <c r="AA1093" s="194"/>
      <c r="AB1093" s="194"/>
      <c r="AC1093" s="194"/>
      <c r="AD1093" s="194"/>
      <c r="AE1093" s="194"/>
      <c r="AF1093" s="194"/>
    </row>
    <row r="1094" spans="1:32" x14ac:dyDescent="0.25">
      <c r="A1094" s="194"/>
      <c r="B1094" s="194"/>
      <c r="C1094" s="194"/>
      <c r="D1094" s="194"/>
      <c r="E1094" s="194"/>
      <c r="F1094" s="194"/>
      <c r="G1094" s="194"/>
      <c r="H1094" s="194"/>
      <c r="I1094" s="194"/>
      <c r="J1094" s="194"/>
      <c r="K1094" s="194"/>
      <c r="L1094" s="194"/>
      <c r="M1094" s="194"/>
      <c r="N1094" s="194"/>
      <c r="O1094" s="194"/>
      <c r="P1094" s="194"/>
      <c r="Q1094" s="194"/>
      <c r="R1094" s="194"/>
      <c r="S1094" s="194"/>
      <c r="T1094" s="194"/>
      <c r="U1094" s="194"/>
      <c r="V1094" s="194"/>
      <c r="W1094" s="194"/>
      <c r="X1094" s="194"/>
      <c r="Y1094" s="194"/>
      <c r="Z1094" s="194"/>
      <c r="AA1094" s="194"/>
      <c r="AB1094" s="194"/>
      <c r="AC1094" s="194"/>
      <c r="AD1094" s="194"/>
      <c r="AE1094" s="194"/>
      <c r="AF1094" s="194"/>
    </row>
    <row r="1095" spans="1:32" x14ac:dyDescent="0.25">
      <c r="A1095" s="194"/>
      <c r="B1095" s="194"/>
      <c r="C1095" s="194"/>
      <c r="D1095" s="194"/>
      <c r="E1095" s="194"/>
      <c r="F1095" s="194"/>
      <c r="G1095" s="194"/>
      <c r="H1095" s="194"/>
      <c r="I1095" s="194"/>
      <c r="J1095" s="194"/>
      <c r="K1095" s="194"/>
      <c r="L1095" s="194"/>
      <c r="M1095" s="194"/>
      <c r="N1095" s="194"/>
      <c r="O1095" s="194"/>
      <c r="P1095" s="194"/>
      <c r="Q1095" s="194"/>
      <c r="R1095" s="194"/>
      <c r="S1095" s="194"/>
      <c r="T1095" s="194"/>
      <c r="U1095" s="194"/>
      <c r="V1095" s="194"/>
      <c r="W1095" s="194"/>
      <c r="X1095" s="194"/>
      <c r="Y1095" s="194"/>
      <c r="Z1095" s="194"/>
      <c r="AA1095" s="194"/>
      <c r="AB1095" s="194"/>
      <c r="AC1095" s="194"/>
      <c r="AD1095" s="194"/>
      <c r="AE1095" s="194"/>
      <c r="AF1095" s="194"/>
    </row>
    <row r="1096" spans="1:32" x14ac:dyDescent="0.25">
      <c r="A1096" s="194"/>
      <c r="B1096" s="194"/>
      <c r="C1096" s="194"/>
      <c r="D1096" s="194"/>
      <c r="E1096" s="194"/>
      <c r="F1096" s="194"/>
      <c r="G1096" s="194"/>
      <c r="H1096" s="194"/>
      <c r="I1096" s="194"/>
      <c r="J1096" s="194"/>
      <c r="K1096" s="194"/>
      <c r="L1096" s="194"/>
      <c r="M1096" s="194"/>
      <c r="N1096" s="194"/>
      <c r="O1096" s="194"/>
      <c r="P1096" s="194"/>
      <c r="Q1096" s="194"/>
      <c r="R1096" s="194"/>
      <c r="S1096" s="194"/>
      <c r="T1096" s="194"/>
      <c r="U1096" s="194"/>
      <c r="V1096" s="194"/>
      <c r="W1096" s="194"/>
      <c r="X1096" s="194"/>
      <c r="Y1096" s="194"/>
      <c r="Z1096" s="194"/>
      <c r="AA1096" s="194"/>
      <c r="AB1096" s="194"/>
      <c r="AC1096" s="194"/>
      <c r="AD1096" s="194"/>
      <c r="AE1096" s="194"/>
      <c r="AF1096" s="194"/>
    </row>
    <row r="1097" spans="1:32" x14ac:dyDescent="0.25">
      <c r="A1097" s="194"/>
      <c r="B1097" s="194"/>
      <c r="C1097" s="194"/>
      <c r="D1097" s="194"/>
      <c r="E1097" s="194"/>
      <c r="F1097" s="194"/>
      <c r="G1097" s="194"/>
      <c r="H1097" s="194"/>
      <c r="I1097" s="194"/>
      <c r="J1097" s="194"/>
      <c r="K1097" s="194"/>
      <c r="L1097" s="194"/>
      <c r="M1097" s="194"/>
      <c r="N1097" s="194"/>
      <c r="O1097" s="194"/>
      <c r="P1097" s="194"/>
      <c r="Q1097" s="194"/>
      <c r="R1097" s="194"/>
      <c r="S1097" s="194"/>
      <c r="T1097" s="194"/>
      <c r="U1097" s="194"/>
      <c r="V1097" s="194"/>
      <c r="W1097" s="194"/>
      <c r="X1097" s="194"/>
      <c r="Y1097" s="194"/>
      <c r="Z1097" s="194"/>
      <c r="AA1097" s="194"/>
      <c r="AB1097" s="194"/>
      <c r="AC1097" s="194"/>
      <c r="AD1097" s="194"/>
      <c r="AE1097" s="194"/>
      <c r="AF1097" s="194"/>
    </row>
    <row r="1098" spans="1:32" x14ac:dyDescent="0.25">
      <c r="A1098" s="194"/>
      <c r="B1098" s="194"/>
      <c r="C1098" s="194"/>
      <c r="D1098" s="194"/>
      <c r="E1098" s="194"/>
      <c r="F1098" s="194"/>
      <c r="G1098" s="194"/>
      <c r="H1098" s="194"/>
      <c r="I1098" s="194"/>
      <c r="J1098" s="194"/>
      <c r="K1098" s="194"/>
      <c r="L1098" s="194"/>
      <c r="M1098" s="194"/>
      <c r="N1098" s="194"/>
      <c r="O1098" s="194"/>
      <c r="P1098" s="194"/>
      <c r="Q1098" s="194"/>
      <c r="R1098" s="194"/>
      <c r="S1098" s="194"/>
      <c r="T1098" s="194"/>
      <c r="U1098" s="194"/>
      <c r="V1098" s="194"/>
      <c r="W1098" s="194"/>
      <c r="X1098" s="194"/>
      <c r="Y1098" s="194"/>
      <c r="Z1098" s="194"/>
      <c r="AA1098" s="194"/>
      <c r="AB1098" s="194"/>
      <c r="AC1098" s="194"/>
      <c r="AD1098" s="194"/>
      <c r="AE1098" s="194"/>
      <c r="AF1098" s="194"/>
    </row>
    <row r="1099" spans="1:32" x14ac:dyDescent="0.25">
      <c r="A1099" s="194"/>
      <c r="B1099" s="194"/>
      <c r="C1099" s="194"/>
      <c r="D1099" s="194"/>
      <c r="E1099" s="194"/>
      <c r="F1099" s="194"/>
      <c r="G1099" s="194"/>
      <c r="H1099" s="194"/>
      <c r="I1099" s="194"/>
      <c r="J1099" s="194"/>
      <c r="K1099" s="194"/>
      <c r="L1099" s="194"/>
      <c r="M1099" s="194"/>
      <c r="N1099" s="194"/>
      <c r="O1099" s="194"/>
      <c r="P1099" s="194"/>
      <c r="Q1099" s="194"/>
      <c r="R1099" s="194"/>
      <c r="S1099" s="194"/>
      <c r="T1099" s="194"/>
      <c r="U1099" s="194"/>
      <c r="V1099" s="194"/>
      <c r="W1099" s="194"/>
      <c r="X1099" s="194"/>
      <c r="Y1099" s="194"/>
      <c r="Z1099" s="194"/>
      <c r="AA1099" s="194"/>
      <c r="AB1099" s="194"/>
      <c r="AC1099" s="194"/>
      <c r="AD1099" s="194"/>
      <c r="AE1099" s="194"/>
      <c r="AF1099" s="194"/>
    </row>
    <row r="1100" spans="1:32" x14ac:dyDescent="0.25">
      <c r="A1100" s="194"/>
      <c r="B1100" s="194"/>
      <c r="C1100" s="194"/>
      <c r="D1100" s="194"/>
      <c r="E1100" s="194"/>
      <c r="F1100" s="194"/>
      <c r="G1100" s="194"/>
      <c r="H1100" s="194"/>
      <c r="I1100" s="194"/>
      <c r="J1100" s="194"/>
      <c r="K1100" s="194"/>
      <c r="L1100" s="194"/>
      <c r="M1100" s="194"/>
      <c r="N1100" s="194"/>
      <c r="O1100" s="194"/>
      <c r="P1100" s="194"/>
      <c r="Q1100" s="194"/>
      <c r="R1100" s="194"/>
      <c r="S1100" s="194"/>
      <c r="T1100" s="194"/>
      <c r="U1100" s="194"/>
      <c r="V1100" s="194"/>
      <c r="W1100" s="194"/>
      <c r="X1100" s="194"/>
      <c r="Y1100" s="194"/>
      <c r="Z1100" s="194"/>
      <c r="AA1100" s="194"/>
      <c r="AB1100" s="194"/>
      <c r="AC1100" s="194"/>
      <c r="AD1100" s="194"/>
      <c r="AE1100" s="194"/>
      <c r="AF1100" s="194"/>
    </row>
    <row r="1101" spans="1:32" x14ac:dyDescent="0.25">
      <c r="A1101" s="194"/>
      <c r="B1101" s="194"/>
      <c r="C1101" s="194"/>
      <c r="D1101" s="194"/>
      <c r="E1101" s="194"/>
      <c r="F1101" s="194"/>
      <c r="G1101" s="194"/>
      <c r="H1101" s="194"/>
      <c r="I1101" s="194"/>
      <c r="J1101" s="194"/>
      <c r="K1101" s="194"/>
      <c r="L1101" s="194"/>
      <c r="M1101" s="194"/>
      <c r="N1101" s="194"/>
      <c r="O1101" s="194"/>
      <c r="P1101" s="194"/>
      <c r="Q1101" s="194"/>
      <c r="R1101" s="194"/>
      <c r="S1101" s="194"/>
      <c r="T1101" s="194"/>
      <c r="U1101" s="194"/>
      <c r="V1101" s="194"/>
      <c r="W1101" s="194"/>
      <c r="X1101" s="194"/>
      <c r="Y1101" s="194"/>
      <c r="Z1101" s="194"/>
      <c r="AA1101" s="194"/>
      <c r="AB1101" s="194"/>
      <c r="AC1101" s="194"/>
      <c r="AD1101" s="194"/>
      <c r="AE1101" s="194"/>
      <c r="AF1101" s="194"/>
    </row>
    <row r="1102" spans="1:32" x14ac:dyDescent="0.25">
      <c r="A1102" s="194"/>
      <c r="B1102" s="194"/>
      <c r="C1102" s="194"/>
      <c r="D1102" s="194"/>
      <c r="E1102" s="194"/>
      <c r="F1102" s="194"/>
      <c r="G1102" s="194"/>
      <c r="H1102" s="194"/>
      <c r="I1102" s="194"/>
      <c r="J1102" s="194"/>
      <c r="K1102" s="194"/>
      <c r="L1102" s="194"/>
      <c r="M1102" s="194"/>
      <c r="N1102" s="194"/>
      <c r="O1102" s="194"/>
      <c r="P1102" s="194"/>
      <c r="Q1102" s="194"/>
      <c r="R1102" s="194"/>
      <c r="S1102" s="194"/>
      <c r="T1102" s="194"/>
      <c r="U1102" s="194"/>
      <c r="V1102" s="194"/>
      <c r="W1102" s="194"/>
      <c r="X1102" s="194"/>
      <c r="Y1102" s="194"/>
      <c r="Z1102" s="194"/>
      <c r="AA1102" s="194"/>
      <c r="AB1102" s="194"/>
      <c r="AC1102" s="194"/>
      <c r="AD1102" s="194"/>
      <c r="AE1102" s="194"/>
      <c r="AF1102" s="194"/>
    </row>
    <row r="1103" spans="1:32" x14ac:dyDescent="0.25">
      <c r="A1103" s="194"/>
      <c r="B1103" s="194"/>
      <c r="C1103" s="194"/>
      <c r="D1103" s="194"/>
      <c r="E1103" s="194"/>
      <c r="F1103" s="194"/>
      <c r="G1103" s="194"/>
      <c r="H1103" s="194"/>
      <c r="I1103" s="194"/>
      <c r="J1103" s="194"/>
      <c r="K1103" s="194"/>
      <c r="L1103" s="194"/>
      <c r="M1103" s="194"/>
      <c r="N1103" s="194"/>
      <c r="O1103" s="194"/>
      <c r="P1103" s="194"/>
      <c r="Q1103" s="194"/>
      <c r="R1103" s="194"/>
      <c r="S1103" s="194"/>
      <c r="T1103" s="194"/>
      <c r="U1103" s="194"/>
      <c r="V1103" s="194"/>
      <c r="W1103" s="194"/>
      <c r="X1103" s="194"/>
      <c r="Y1103" s="194"/>
      <c r="Z1103" s="194"/>
      <c r="AA1103" s="194"/>
      <c r="AB1103" s="194"/>
      <c r="AC1103" s="194"/>
      <c r="AD1103" s="194"/>
      <c r="AE1103" s="194"/>
      <c r="AF1103" s="194"/>
    </row>
    <row r="1104" spans="1:32" x14ac:dyDescent="0.25">
      <c r="A1104" s="194"/>
      <c r="B1104" s="194"/>
      <c r="C1104" s="194"/>
      <c r="D1104" s="194"/>
      <c r="E1104" s="194"/>
      <c r="F1104" s="194"/>
      <c r="G1104" s="194"/>
      <c r="H1104" s="194"/>
      <c r="I1104" s="194"/>
      <c r="J1104" s="194"/>
      <c r="K1104" s="194"/>
      <c r="L1104" s="194"/>
      <c r="M1104" s="194"/>
      <c r="N1104" s="194"/>
      <c r="O1104" s="194"/>
      <c r="P1104" s="194"/>
      <c r="Q1104" s="194"/>
      <c r="R1104" s="194"/>
      <c r="S1104" s="194"/>
      <c r="T1104" s="194"/>
      <c r="U1104" s="194"/>
      <c r="V1104" s="194"/>
      <c r="W1104" s="194"/>
      <c r="X1104" s="194"/>
      <c r="Y1104" s="194"/>
      <c r="Z1104" s="194"/>
      <c r="AA1104" s="194"/>
      <c r="AB1104" s="194"/>
      <c r="AC1104" s="194"/>
      <c r="AD1104" s="194"/>
      <c r="AE1104" s="194"/>
      <c r="AF1104" s="194"/>
    </row>
    <row r="1105" spans="1:32" x14ac:dyDescent="0.25">
      <c r="A1105" s="194"/>
      <c r="B1105" s="194"/>
      <c r="C1105" s="194"/>
      <c r="D1105" s="194"/>
      <c r="E1105" s="194"/>
      <c r="F1105" s="194"/>
      <c r="G1105" s="194"/>
      <c r="H1105" s="194"/>
      <c r="I1105" s="194"/>
      <c r="J1105" s="194"/>
      <c r="K1105" s="194"/>
      <c r="L1105" s="194"/>
      <c r="M1105" s="194"/>
      <c r="N1105" s="194"/>
      <c r="O1105" s="194"/>
      <c r="P1105" s="194"/>
      <c r="Q1105" s="194"/>
      <c r="R1105" s="194"/>
      <c r="S1105" s="194"/>
      <c r="T1105" s="194"/>
      <c r="U1105" s="194"/>
      <c r="V1105" s="194"/>
      <c r="W1105" s="194"/>
      <c r="X1105" s="194"/>
      <c r="Y1105" s="194"/>
      <c r="Z1105" s="194"/>
      <c r="AA1105" s="194"/>
      <c r="AB1105" s="194"/>
      <c r="AC1105" s="194"/>
      <c r="AD1105" s="194"/>
      <c r="AE1105" s="194"/>
      <c r="AF1105" s="194"/>
    </row>
    <row r="1106" spans="1:32" x14ac:dyDescent="0.25">
      <c r="A1106" s="194"/>
      <c r="B1106" s="194"/>
      <c r="C1106" s="194"/>
      <c r="D1106" s="194"/>
      <c r="E1106" s="194"/>
      <c r="F1106" s="194"/>
      <c r="G1106" s="194"/>
      <c r="H1106" s="194"/>
      <c r="I1106" s="194"/>
      <c r="J1106" s="194"/>
      <c r="K1106" s="194"/>
      <c r="L1106" s="194"/>
      <c r="M1106" s="194"/>
      <c r="N1106" s="194"/>
      <c r="O1106" s="194"/>
      <c r="P1106" s="194"/>
      <c r="Q1106" s="194"/>
      <c r="R1106" s="194"/>
      <c r="S1106" s="194"/>
      <c r="T1106" s="194"/>
      <c r="U1106" s="194"/>
      <c r="V1106" s="194"/>
      <c r="W1106" s="194"/>
      <c r="X1106" s="194"/>
      <c r="Y1106" s="194"/>
      <c r="Z1106" s="194"/>
      <c r="AA1106" s="194"/>
      <c r="AB1106" s="194"/>
      <c r="AC1106" s="194"/>
      <c r="AD1106" s="194"/>
      <c r="AE1106" s="194"/>
      <c r="AF1106" s="194"/>
    </row>
    <row r="1107" spans="1:32" x14ac:dyDescent="0.25">
      <c r="A1107" s="194"/>
      <c r="B1107" s="194"/>
      <c r="C1107" s="194"/>
      <c r="D1107" s="194"/>
      <c r="E1107" s="194"/>
      <c r="F1107" s="194"/>
      <c r="G1107" s="194"/>
      <c r="H1107" s="194"/>
      <c r="I1107" s="194"/>
      <c r="J1107" s="194"/>
      <c r="K1107" s="194"/>
      <c r="L1107" s="194"/>
      <c r="M1107" s="194"/>
      <c r="N1107" s="194"/>
      <c r="O1107" s="194"/>
      <c r="P1107" s="194"/>
      <c r="Q1107" s="194"/>
      <c r="R1107" s="194"/>
      <c r="S1107" s="194"/>
      <c r="T1107" s="194"/>
      <c r="U1107" s="194"/>
      <c r="V1107" s="194"/>
      <c r="W1107" s="194"/>
      <c r="X1107" s="194"/>
      <c r="Y1107" s="194"/>
      <c r="Z1107" s="194"/>
      <c r="AA1107" s="194"/>
      <c r="AB1107" s="194"/>
      <c r="AC1107" s="194"/>
      <c r="AD1107" s="194"/>
      <c r="AE1107" s="194"/>
      <c r="AF1107" s="194"/>
    </row>
    <row r="1108" spans="1:32" x14ac:dyDescent="0.25">
      <c r="A1108" s="194"/>
      <c r="B1108" s="194"/>
      <c r="C1108" s="194"/>
      <c r="D1108" s="194"/>
      <c r="E1108" s="194"/>
      <c r="F1108" s="194"/>
      <c r="G1108" s="194"/>
      <c r="H1108" s="194"/>
      <c r="I1108" s="194"/>
      <c r="J1108" s="194"/>
      <c r="K1108" s="194"/>
      <c r="L1108" s="194"/>
      <c r="M1108" s="194"/>
      <c r="N1108" s="194"/>
      <c r="O1108" s="194"/>
      <c r="P1108" s="194"/>
      <c r="Q1108" s="194"/>
      <c r="R1108" s="194"/>
      <c r="S1108" s="194"/>
      <c r="T1108" s="194"/>
      <c r="U1108" s="194"/>
      <c r="V1108" s="194"/>
      <c r="W1108" s="194"/>
      <c r="X1108" s="194"/>
      <c r="Y1108" s="194"/>
      <c r="Z1108" s="194"/>
      <c r="AA1108" s="194"/>
      <c r="AB1108" s="194"/>
      <c r="AC1108" s="194"/>
      <c r="AD1108" s="194"/>
      <c r="AE1108" s="194"/>
      <c r="AF1108" s="194"/>
    </row>
    <row r="1109" spans="1:32" x14ac:dyDescent="0.25">
      <c r="A1109" s="194"/>
      <c r="B1109" s="194"/>
      <c r="C1109" s="194"/>
      <c r="D1109" s="194"/>
      <c r="E1109" s="194"/>
      <c r="F1109" s="194"/>
      <c r="G1109" s="194"/>
      <c r="H1109" s="194"/>
      <c r="I1109" s="194"/>
      <c r="J1109" s="194"/>
      <c r="K1109" s="194"/>
      <c r="L1109" s="194"/>
      <c r="M1109" s="194"/>
      <c r="N1109" s="194"/>
      <c r="O1109" s="194"/>
      <c r="P1109" s="194"/>
      <c r="Q1109" s="194"/>
      <c r="R1109" s="194"/>
      <c r="S1109" s="194"/>
      <c r="T1109" s="194"/>
      <c r="U1109" s="194"/>
      <c r="V1109" s="194"/>
      <c r="W1109" s="194"/>
      <c r="X1109" s="194"/>
      <c r="Y1109" s="194"/>
      <c r="Z1109" s="194"/>
      <c r="AA1109" s="194"/>
      <c r="AB1109" s="194"/>
      <c r="AC1109" s="194"/>
      <c r="AD1109" s="194"/>
      <c r="AE1109" s="194"/>
      <c r="AF1109" s="194"/>
    </row>
    <row r="1110" spans="1:32" x14ac:dyDescent="0.25">
      <c r="A1110" s="194"/>
      <c r="B1110" s="194"/>
      <c r="C1110" s="194"/>
      <c r="D1110" s="194"/>
      <c r="E1110" s="194"/>
      <c r="F1110" s="194"/>
      <c r="G1110" s="194"/>
      <c r="H1110" s="194"/>
      <c r="I1110" s="194"/>
      <c r="J1110" s="194"/>
      <c r="K1110" s="194"/>
      <c r="L1110" s="194"/>
      <c r="M1110" s="194"/>
      <c r="N1110" s="194"/>
      <c r="O1110" s="194"/>
      <c r="P1110" s="194"/>
      <c r="Q1110" s="194"/>
      <c r="R1110" s="194"/>
      <c r="S1110" s="194"/>
      <c r="T1110" s="194"/>
      <c r="U1110" s="194"/>
      <c r="V1110" s="194"/>
      <c r="W1110" s="194"/>
      <c r="X1110" s="194"/>
      <c r="Y1110" s="194"/>
      <c r="Z1110" s="194"/>
      <c r="AA1110" s="194"/>
      <c r="AB1110" s="194"/>
      <c r="AC1110" s="194"/>
      <c r="AD1110" s="194"/>
      <c r="AE1110" s="194"/>
      <c r="AF1110" s="194"/>
    </row>
    <row r="1111" spans="1:32" x14ac:dyDescent="0.25">
      <c r="A1111" s="194"/>
      <c r="B1111" s="194"/>
      <c r="C1111" s="194"/>
      <c r="D1111" s="194"/>
      <c r="E1111" s="194"/>
      <c r="F1111" s="194"/>
      <c r="G1111" s="194"/>
      <c r="H1111" s="194"/>
      <c r="I1111" s="194"/>
      <c r="J1111" s="194"/>
      <c r="K1111" s="194"/>
      <c r="L1111" s="194"/>
      <c r="M1111" s="194"/>
      <c r="N1111" s="194"/>
      <c r="O1111" s="194"/>
      <c r="P1111" s="194"/>
      <c r="Q1111" s="194"/>
      <c r="R1111" s="194"/>
      <c r="S1111" s="194"/>
      <c r="T1111" s="194"/>
      <c r="U1111" s="194"/>
      <c r="V1111" s="194"/>
      <c r="W1111" s="194"/>
      <c r="X1111" s="194"/>
      <c r="Y1111" s="194"/>
      <c r="Z1111" s="194"/>
      <c r="AA1111" s="194"/>
      <c r="AB1111" s="194"/>
      <c r="AC1111" s="194"/>
      <c r="AD1111" s="194"/>
      <c r="AE1111" s="194"/>
      <c r="AF1111" s="194"/>
    </row>
    <row r="1112" spans="1:32" x14ac:dyDescent="0.25">
      <c r="A1112" s="194"/>
      <c r="B1112" s="194"/>
      <c r="C1112" s="194"/>
      <c r="D1112" s="194"/>
      <c r="E1112" s="194"/>
      <c r="F1112" s="194"/>
      <c r="G1112" s="194"/>
      <c r="H1112" s="194"/>
      <c r="I1112" s="194"/>
      <c r="J1112" s="194"/>
      <c r="K1112" s="194"/>
      <c r="L1112" s="194"/>
      <c r="M1112" s="194"/>
      <c r="N1112" s="194"/>
      <c r="O1112" s="194"/>
      <c r="P1112" s="194"/>
      <c r="Q1112" s="194"/>
      <c r="R1112" s="194"/>
      <c r="S1112" s="194"/>
      <c r="T1112" s="194"/>
      <c r="U1112" s="194"/>
      <c r="V1112" s="194"/>
      <c r="W1112" s="194"/>
      <c r="X1112" s="194"/>
      <c r="Y1112" s="194"/>
      <c r="Z1112" s="194"/>
      <c r="AA1112" s="194"/>
      <c r="AB1112" s="194"/>
      <c r="AC1112" s="194"/>
      <c r="AD1112" s="194"/>
      <c r="AE1112" s="194"/>
      <c r="AF1112" s="194"/>
    </row>
    <row r="1113" spans="1:32" x14ac:dyDescent="0.25">
      <c r="A1113" s="194"/>
      <c r="B1113" s="194"/>
      <c r="C1113" s="194"/>
      <c r="D1113" s="194"/>
      <c r="E1113" s="194"/>
      <c r="F1113" s="194"/>
      <c r="G1113" s="194"/>
      <c r="H1113" s="194"/>
      <c r="I1113" s="194"/>
      <c r="J1113" s="194"/>
      <c r="K1113" s="194"/>
      <c r="L1113" s="194"/>
      <c r="M1113" s="194"/>
      <c r="N1113" s="194"/>
      <c r="O1113" s="194"/>
      <c r="P1113" s="194"/>
      <c r="Q1113" s="194"/>
      <c r="R1113" s="194"/>
      <c r="S1113" s="194"/>
      <c r="T1113" s="194"/>
      <c r="U1113" s="194"/>
      <c r="V1113" s="194"/>
      <c r="W1113" s="194"/>
      <c r="X1113" s="194"/>
      <c r="Y1113" s="194"/>
      <c r="Z1113" s="194"/>
      <c r="AA1113" s="194"/>
      <c r="AB1113" s="194"/>
      <c r="AC1113" s="194"/>
      <c r="AD1113" s="194"/>
      <c r="AE1113" s="194"/>
      <c r="AF1113" s="194"/>
    </row>
    <row r="1114" spans="1:32" x14ac:dyDescent="0.25">
      <c r="A1114" s="194"/>
      <c r="B1114" s="194"/>
      <c r="C1114" s="194"/>
      <c r="D1114" s="194"/>
      <c r="E1114" s="194"/>
      <c r="F1114" s="194"/>
      <c r="G1114" s="194"/>
      <c r="H1114" s="194"/>
      <c r="I1114" s="194"/>
      <c r="J1114" s="194"/>
      <c r="K1114" s="194"/>
      <c r="L1114" s="194"/>
      <c r="M1114" s="194"/>
      <c r="N1114" s="194"/>
      <c r="O1114" s="194"/>
      <c r="P1114" s="194"/>
      <c r="Q1114" s="194"/>
      <c r="R1114" s="194"/>
      <c r="S1114" s="194"/>
      <c r="T1114" s="194"/>
      <c r="U1114" s="194"/>
      <c r="V1114" s="194"/>
      <c r="W1114" s="194"/>
      <c r="X1114" s="194"/>
      <c r="Y1114" s="194"/>
      <c r="Z1114" s="194"/>
      <c r="AA1114" s="194"/>
      <c r="AB1114" s="194"/>
      <c r="AC1114" s="194"/>
      <c r="AD1114" s="194"/>
      <c r="AE1114" s="194"/>
      <c r="AF1114" s="194"/>
    </row>
    <row r="1115" spans="1:32" x14ac:dyDescent="0.25">
      <c r="A1115" s="194"/>
      <c r="B1115" s="194"/>
      <c r="C1115" s="194"/>
      <c r="D1115" s="194"/>
      <c r="E1115" s="194"/>
      <c r="F1115" s="194"/>
      <c r="G1115" s="194"/>
      <c r="H1115" s="194"/>
      <c r="I1115" s="194"/>
      <c r="J1115" s="194"/>
      <c r="K1115" s="194"/>
      <c r="L1115" s="194"/>
      <c r="M1115" s="194"/>
      <c r="N1115" s="194"/>
      <c r="O1115" s="194"/>
      <c r="P1115" s="194"/>
      <c r="Q1115" s="194"/>
      <c r="R1115" s="194"/>
      <c r="S1115" s="194"/>
      <c r="T1115" s="194"/>
      <c r="U1115" s="194"/>
      <c r="V1115" s="194"/>
      <c r="W1115" s="194"/>
      <c r="X1115" s="194"/>
      <c r="Y1115" s="194"/>
      <c r="Z1115" s="194"/>
      <c r="AA1115" s="194"/>
      <c r="AB1115" s="194"/>
      <c r="AC1115" s="194"/>
      <c r="AD1115" s="194"/>
      <c r="AE1115" s="194"/>
      <c r="AF1115" s="194"/>
    </row>
    <row r="1116" spans="1:32" x14ac:dyDescent="0.25">
      <c r="A1116" s="194"/>
      <c r="B1116" s="194"/>
      <c r="C1116" s="194"/>
      <c r="D1116" s="194"/>
      <c r="E1116" s="194"/>
      <c r="F1116" s="194"/>
      <c r="G1116" s="194"/>
      <c r="H1116" s="194"/>
      <c r="I1116" s="194"/>
      <c r="J1116" s="194"/>
      <c r="K1116" s="194"/>
      <c r="L1116" s="194"/>
      <c r="M1116" s="194"/>
      <c r="N1116" s="194"/>
      <c r="O1116" s="194"/>
      <c r="P1116" s="194"/>
      <c r="Q1116" s="194"/>
      <c r="R1116" s="194"/>
      <c r="S1116" s="194"/>
      <c r="T1116" s="194"/>
      <c r="U1116" s="194"/>
      <c r="V1116" s="194"/>
      <c r="W1116" s="194"/>
      <c r="X1116" s="194"/>
      <c r="Y1116" s="194"/>
      <c r="Z1116" s="194"/>
      <c r="AA1116" s="194"/>
      <c r="AB1116" s="194"/>
      <c r="AC1116" s="194"/>
      <c r="AD1116" s="194"/>
      <c r="AE1116" s="194"/>
      <c r="AF1116" s="194"/>
    </row>
    <row r="1117" spans="1:32" x14ac:dyDescent="0.25">
      <c r="A1117" s="194"/>
      <c r="B1117" s="194"/>
      <c r="C1117" s="194"/>
      <c r="D1117" s="194"/>
      <c r="E1117" s="194"/>
      <c r="F1117" s="194"/>
      <c r="G1117" s="194"/>
      <c r="H1117" s="194"/>
      <c r="I1117" s="194"/>
      <c r="J1117" s="194"/>
      <c r="K1117" s="194"/>
      <c r="L1117" s="194"/>
      <c r="M1117" s="194"/>
      <c r="N1117" s="194"/>
      <c r="O1117" s="194"/>
      <c r="P1117" s="194"/>
      <c r="Q1117" s="194"/>
      <c r="R1117" s="194"/>
      <c r="S1117" s="194"/>
      <c r="T1117" s="194"/>
      <c r="U1117" s="194"/>
      <c r="V1117" s="194"/>
      <c r="W1117" s="194"/>
      <c r="X1117" s="194"/>
      <c r="Y1117" s="194"/>
      <c r="Z1117" s="194"/>
      <c r="AA1117" s="194"/>
      <c r="AB1117" s="194"/>
      <c r="AC1117" s="194"/>
      <c r="AD1117" s="194"/>
      <c r="AE1117" s="194"/>
      <c r="AF1117" s="194"/>
    </row>
    <row r="1118" spans="1:32" x14ac:dyDescent="0.25">
      <c r="A1118" s="194"/>
      <c r="B1118" s="194"/>
      <c r="C1118" s="194"/>
      <c r="D1118" s="194"/>
      <c r="E1118" s="194"/>
      <c r="F1118" s="194"/>
      <c r="G1118" s="194"/>
      <c r="H1118" s="194"/>
      <c r="I1118" s="194"/>
      <c r="J1118" s="194"/>
      <c r="K1118" s="194"/>
      <c r="L1118" s="194"/>
      <c r="M1118" s="194"/>
      <c r="N1118" s="194"/>
      <c r="O1118" s="194"/>
      <c r="P1118" s="194"/>
      <c r="Q1118" s="194"/>
      <c r="R1118" s="194"/>
      <c r="S1118" s="194"/>
      <c r="T1118" s="194"/>
      <c r="U1118" s="194"/>
      <c r="V1118" s="194"/>
      <c r="W1118" s="194"/>
      <c r="X1118" s="194"/>
      <c r="Y1118" s="194"/>
      <c r="Z1118" s="194"/>
      <c r="AA1118" s="194"/>
      <c r="AB1118" s="194"/>
      <c r="AC1118" s="194"/>
      <c r="AD1118" s="194"/>
      <c r="AE1118" s="194"/>
      <c r="AF1118" s="194"/>
    </row>
    <row r="1119" spans="1:32" x14ac:dyDescent="0.25">
      <c r="A1119" s="194"/>
      <c r="B1119" s="194"/>
      <c r="C1119" s="194"/>
      <c r="D1119" s="194"/>
      <c r="E1119" s="194"/>
      <c r="F1119" s="194"/>
      <c r="G1119" s="194"/>
      <c r="H1119" s="194"/>
      <c r="I1119" s="194"/>
      <c r="J1119" s="194"/>
      <c r="K1119" s="194"/>
      <c r="L1119" s="194"/>
      <c r="M1119" s="194"/>
      <c r="N1119" s="194"/>
      <c r="O1119" s="194"/>
      <c r="P1119" s="194"/>
      <c r="Q1119" s="194"/>
      <c r="R1119" s="194"/>
      <c r="S1119" s="194"/>
      <c r="T1119" s="194"/>
      <c r="U1119" s="194"/>
      <c r="V1119" s="194"/>
      <c r="W1119" s="194"/>
      <c r="X1119" s="194"/>
      <c r="Y1119" s="194"/>
      <c r="Z1119" s="194"/>
      <c r="AA1119" s="194"/>
      <c r="AB1119" s="194"/>
      <c r="AC1119" s="194"/>
      <c r="AD1119" s="194"/>
      <c r="AE1119" s="194"/>
      <c r="AF1119" s="194"/>
    </row>
    <row r="1120" spans="1:32" x14ac:dyDescent="0.25">
      <c r="A1120" s="194"/>
      <c r="B1120" s="194"/>
      <c r="C1120" s="194"/>
      <c r="D1120" s="194"/>
      <c r="E1120" s="194"/>
      <c r="F1120" s="194"/>
      <c r="G1120" s="194"/>
      <c r="H1120" s="194"/>
      <c r="I1120" s="194"/>
      <c r="J1120" s="194"/>
      <c r="K1120" s="194"/>
      <c r="L1120" s="194"/>
      <c r="M1120" s="194"/>
      <c r="N1120" s="194"/>
      <c r="O1120" s="194"/>
      <c r="P1120" s="194"/>
      <c r="Q1120" s="194"/>
      <c r="R1120" s="194"/>
      <c r="S1120" s="194"/>
      <c r="T1120" s="194"/>
      <c r="U1120" s="194"/>
      <c r="V1120" s="194"/>
      <c r="W1120" s="194"/>
      <c r="X1120" s="194"/>
      <c r="Y1120" s="194"/>
      <c r="Z1120" s="194"/>
      <c r="AA1120" s="194"/>
      <c r="AB1120" s="194"/>
      <c r="AC1120" s="194"/>
      <c r="AD1120" s="194"/>
      <c r="AE1120" s="194"/>
      <c r="AF1120" s="194"/>
    </row>
    <row r="1121" spans="1:32" x14ac:dyDescent="0.25">
      <c r="A1121" s="194"/>
      <c r="B1121" s="194"/>
      <c r="C1121" s="194"/>
      <c r="D1121" s="194"/>
      <c r="E1121" s="194"/>
      <c r="F1121" s="194"/>
      <c r="G1121" s="194"/>
      <c r="H1121" s="194"/>
      <c r="I1121" s="194"/>
      <c r="J1121" s="194"/>
      <c r="K1121" s="194"/>
      <c r="L1121" s="194"/>
      <c r="M1121" s="194"/>
      <c r="N1121" s="194"/>
      <c r="O1121" s="194"/>
      <c r="P1121" s="194"/>
      <c r="Q1121" s="194"/>
      <c r="R1121" s="194"/>
      <c r="S1121" s="194"/>
      <c r="T1121" s="194"/>
      <c r="U1121" s="194"/>
      <c r="V1121" s="194"/>
      <c r="W1121" s="194"/>
      <c r="X1121" s="194"/>
      <c r="Y1121" s="194"/>
      <c r="Z1121" s="194"/>
      <c r="AA1121" s="194"/>
      <c r="AB1121" s="194"/>
      <c r="AC1121" s="194"/>
      <c r="AD1121" s="194"/>
      <c r="AE1121" s="194"/>
      <c r="AF1121" s="194"/>
    </row>
    <row r="1122" spans="1:32" x14ac:dyDescent="0.25">
      <c r="A1122" s="194"/>
      <c r="B1122" s="194"/>
      <c r="C1122" s="194"/>
      <c r="D1122" s="194"/>
      <c r="E1122" s="194"/>
      <c r="F1122" s="194"/>
      <c r="G1122" s="194"/>
      <c r="H1122" s="194"/>
      <c r="I1122" s="194"/>
      <c r="J1122" s="194"/>
      <c r="K1122" s="194"/>
      <c r="L1122" s="194"/>
      <c r="M1122" s="194"/>
      <c r="N1122" s="194"/>
      <c r="O1122" s="194"/>
      <c r="P1122" s="194"/>
      <c r="Q1122" s="194"/>
      <c r="R1122" s="194"/>
      <c r="S1122" s="194"/>
      <c r="T1122" s="194"/>
      <c r="U1122" s="194"/>
      <c r="V1122" s="194"/>
      <c r="W1122" s="194"/>
      <c r="X1122" s="194"/>
      <c r="Y1122" s="194"/>
      <c r="Z1122" s="194"/>
      <c r="AA1122" s="194"/>
      <c r="AB1122" s="194"/>
      <c r="AC1122" s="194"/>
      <c r="AD1122" s="194"/>
      <c r="AE1122" s="194"/>
      <c r="AF1122" s="194"/>
    </row>
    <row r="1123" spans="1:32" x14ac:dyDescent="0.25">
      <c r="A1123" s="194"/>
      <c r="B1123" s="194"/>
      <c r="C1123" s="194"/>
      <c r="D1123" s="194"/>
      <c r="E1123" s="194"/>
      <c r="F1123" s="194"/>
      <c r="G1123" s="194"/>
      <c r="H1123" s="194"/>
      <c r="I1123" s="194"/>
      <c r="J1123" s="194"/>
      <c r="K1123" s="194"/>
      <c r="L1123" s="194"/>
      <c r="M1123" s="194"/>
      <c r="N1123" s="194"/>
      <c r="O1123" s="194"/>
      <c r="P1123" s="194"/>
      <c r="Q1123" s="194"/>
      <c r="R1123" s="194"/>
      <c r="S1123" s="194"/>
      <c r="T1123" s="194"/>
      <c r="U1123" s="194"/>
      <c r="V1123" s="194"/>
      <c r="W1123" s="194"/>
      <c r="X1123" s="194"/>
      <c r="Y1123" s="194"/>
      <c r="Z1123" s="194"/>
      <c r="AA1123" s="194"/>
      <c r="AB1123" s="194"/>
      <c r="AC1123" s="194"/>
      <c r="AD1123" s="194"/>
      <c r="AE1123" s="194"/>
      <c r="AF1123" s="194"/>
    </row>
    <row r="1124" spans="1:32" x14ac:dyDescent="0.25">
      <c r="A1124" s="194"/>
      <c r="B1124" s="194"/>
      <c r="C1124" s="194"/>
      <c r="D1124" s="194"/>
      <c r="E1124" s="194"/>
      <c r="F1124" s="194"/>
      <c r="G1124" s="194"/>
      <c r="H1124" s="194"/>
      <c r="I1124" s="194"/>
      <c r="J1124" s="194"/>
      <c r="K1124" s="194"/>
      <c r="L1124" s="194"/>
      <c r="M1124" s="194"/>
      <c r="N1124" s="194"/>
      <c r="O1124" s="194"/>
      <c r="P1124" s="194"/>
      <c r="Q1124" s="194"/>
      <c r="R1124" s="194"/>
      <c r="S1124" s="194"/>
      <c r="T1124" s="194"/>
      <c r="U1124" s="194"/>
      <c r="V1124" s="194"/>
      <c r="W1124" s="194"/>
      <c r="X1124" s="194"/>
      <c r="Y1124" s="194"/>
      <c r="Z1124" s="194"/>
      <c r="AA1124" s="194"/>
      <c r="AB1124" s="194"/>
      <c r="AC1124" s="194"/>
      <c r="AD1124" s="194"/>
      <c r="AE1124" s="194"/>
      <c r="AF1124" s="194"/>
    </row>
    <row r="1125" spans="1:32" x14ac:dyDescent="0.25">
      <c r="A1125" s="194"/>
      <c r="B1125" s="194"/>
      <c r="C1125" s="194"/>
      <c r="D1125" s="194"/>
      <c r="E1125" s="194"/>
      <c r="F1125" s="194"/>
      <c r="G1125" s="194"/>
      <c r="H1125" s="194"/>
      <c r="I1125" s="194"/>
      <c r="J1125" s="194"/>
      <c r="K1125" s="194"/>
      <c r="L1125" s="194"/>
      <c r="M1125" s="194"/>
      <c r="N1125" s="194"/>
      <c r="O1125" s="194"/>
      <c r="P1125" s="194"/>
      <c r="Q1125" s="194"/>
      <c r="R1125" s="194"/>
      <c r="S1125" s="194"/>
      <c r="T1125" s="194"/>
      <c r="U1125" s="194"/>
      <c r="V1125" s="194"/>
      <c r="W1125" s="194"/>
      <c r="X1125" s="194"/>
      <c r="Y1125" s="194"/>
      <c r="Z1125" s="194"/>
      <c r="AA1125" s="194"/>
      <c r="AB1125" s="194"/>
      <c r="AC1125" s="194"/>
      <c r="AD1125" s="194"/>
      <c r="AE1125" s="194"/>
      <c r="AF1125" s="194"/>
    </row>
    <row r="1126" spans="1:32" x14ac:dyDescent="0.25">
      <c r="A1126" s="194"/>
      <c r="B1126" s="194"/>
      <c r="C1126" s="194"/>
      <c r="D1126" s="194"/>
      <c r="E1126" s="194"/>
      <c r="F1126" s="194"/>
      <c r="G1126" s="194"/>
      <c r="H1126" s="194"/>
      <c r="I1126" s="194"/>
      <c r="J1126" s="194"/>
      <c r="K1126" s="194"/>
      <c r="L1126" s="194"/>
      <c r="M1126" s="194"/>
      <c r="N1126" s="194"/>
      <c r="O1126" s="194"/>
      <c r="P1126" s="194"/>
      <c r="Q1126" s="194"/>
      <c r="R1126" s="194"/>
      <c r="S1126" s="194"/>
      <c r="T1126" s="194"/>
      <c r="U1126" s="194"/>
      <c r="V1126" s="194"/>
      <c r="W1126" s="194"/>
      <c r="X1126" s="194"/>
      <c r="Y1126" s="194"/>
      <c r="Z1126" s="194"/>
      <c r="AA1126" s="194"/>
      <c r="AB1126" s="194"/>
      <c r="AC1126" s="194"/>
      <c r="AD1126" s="194"/>
      <c r="AE1126" s="194"/>
      <c r="AF1126" s="194"/>
    </row>
    <row r="1127" spans="1:32" x14ac:dyDescent="0.25">
      <c r="A1127" s="194"/>
      <c r="B1127" s="194"/>
      <c r="C1127" s="194"/>
      <c r="D1127" s="194"/>
      <c r="E1127" s="194"/>
      <c r="F1127" s="194"/>
      <c r="G1127" s="194"/>
      <c r="H1127" s="194"/>
      <c r="I1127" s="194"/>
      <c r="J1127" s="194"/>
      <c r="K1127" s="194"/>
      <c r="L1127" s="194"/>
      <c r="M1127" s="194"/>
      <c r="N1127" s="194"/>
      <c r="O1127" s="194"/>
      <c r="P1127" s="194"/>
      <c r="Q1127" s="194"/>
      <c r="R1127" s="194"/>
      <c r="S1127" s="194"/>
      <c r="T1127" s="194"/>
      <c r="U1127" s="194"/>
      <c r="V1127" s="194"/>
      <c r="W1127" s="194"/>
      <c r="X1127" s="194"/>
      <c r="Y1127" s="194"/>
      <c r="Z1127" s="194"/>
      <c r="AA1127" s="194"/>
      <c r="AB1127" s="194"/>
      <c r="AC1127" s="194"/>
      <c r="AD1127" s="194"/>
      <c r="AE1127" s="194"/>
      <c r="AF1127" s="194"/>
    </row>
    <row r="1128" spans="1:32" x14ac:dyDescent="0.25">
      <c r="A1128" s="194"/>
      <c r="B1128" s="194"/>
      <c r="C1128" s="194"/>
      <c r="D1128" s="194"/>
      <c r="E1128" s="194"/>
      <c r="F1128" s="194"/>
      <c r="G1128" s="194"/>
      <c r="H1128" s="194"/>
      <c r="I1128" s="194"/>
      <c r="J1128" s="194"/>
      <c r="K1128" s="194"/>
      <c r="L1128" s="194"/>
      <c r="M1128" s="194"/>
      <c r="N1128" s="194"/>
      <c r="O1128" s="194"/>
      <c r="P1128" s="194"/>
      <c r="Q1128" s="194"/>
      <c r="R1128" s="194"/>
      <c r="S1128" s="194"/>
      <c r="T1128" s="194"/>
      <c r="U1128" s="194"/>
      <c r="V1128" s="194"/>
      <c r="W1128" s="194"/>
      <c r="X1128" s="194"/>
      <c r="Y1128" s="194"/>
      <c r="Z1128" s="194"/>
      <c r="AA1128" s="194"/>
      <c r="AB1128" s="194"/>
      <c r="AC1128" s="194"/>
      <c r="AD1128" s="194"/>
      <c r="AE1128" s="194"/>
      <c r="AF1128" s="194"/>
    </row>
    <row r="1129" spans="1:32" x14ac:dyDescent="0.25">
      <c r="A1129" s="194"/>
      <c r="B1129" s="194"/>
      <c r="C1129" s="194"/>
      <c r="D1129" s="194"/>
      <c r="E1129" s="194"/>
      <c r="F1129" s="194"/>
      <c r="G1129" s="194"/>
      <c r="H1129" s="194"/>
      <c r="I1129" s="194"/>
      <c r="J1129" s="194"/>
      <c r="K1129" s="194"/>
      <c r="L1129" s="194"/>
      <c r="M1129" s="194"/>
      <c r="N1129" s="194"/>
      <c r="O1129" s="194"/>
      <c r="P1129" s="194"/>
      <c r="Q1129" s="194"/>
      <c r="R1129" s="194"/>
      <c r="S1129" s="194"/>
      <c r="T1129" s="194"/>
      <c r="U1129" s="194"/>
      <c r="V1129" s="194"/>
      <c r="W1129" s="194"/>
      <c r="X1129" s="194"/>
      <c r="Y1129" s="194"/>
      <c r="Z1129" s="194"/>
      <c r="AA1129" s="194"/>
      <c r="AB1129" s="194"/>
      <c r="AC1129" s="194"/>
      <c r="AD1129" s="194"/>
      <c r="AE1129" s="194"/>
      <c r="AF1129" s="194"/>
    </row>
    <row r="1130" spans="1:32" x14ac:dyDescent="0.25">
      <c r="A1130" s="194"/>
      <c r="B1130" s="194"/>
      <c r="C1130" s="194"/>
      <c r="D1130" s="194"/>
      <c r="E1130" s="194"/>
      <c r="F1130" s="194"/>
      <c r="G1130" s="194"/>
      <c r="H1130" s="194"/>
      <c r="I1130" s="194"/>
      <c r="J1130" s="194"/>
      <c r="K1130" s="194"/>
      <c r="L1130" s="194"/>
      <c r="M1130" s="194"/>
      <c r="N1130" s="194"/>
      <c r="O1130" s="194"/>
      <c r="P1130" s="194"/>
      <c r="Q1130" s="194"/>
      <c r="R1130" s="194"/>
      <c r="S1130" s="194"/>
      <c r="T1130" s="194"/>
      <c r="U1130" s="194"/>
      <c r="V1130" s="194"/>
      <c r="W1130" s="194"/>
      <c r="X1130" s="194"/>
      <c r="Y1130" s="194"/>
      <c r="Z1130" s="194"/>
      <c r="AA1130" s="194"/>
      <c r="AB1130" s="194"/>
      <c r="AC1130" s="194"/>
      <c r="AD1130" s="194"/>
      <c r="AE1130" s="194"/>
      <c r="AF1130" s="194"/>
    </row>
    <row r="1131" spans="1:32" x14ac:dyDescent="0.25">
      <c r="A1131" s="194"/>
      <c r="B1131" s="194"/>
      <c r="C1131" s="194"/>
      <c r="D1131" s="194"/>
      <c r="E1131" s="194"/>
      <c r="F1131" s="194"/>
      <c r="G1131" s="194"/>
      <c r="H1131" s="194"/>
      <c r="I1131" s="194"/>
      <c r="J1131" s="194"/>
      <c r="K1131" s="194"/>
      <c r="L1131" s="194"/>
      <c r="M1131" s="194"/>
      <c r="N1131" s="194"/>
      <c r="O1131" s="194"/>
      <c r="P1131" s="194"/>
      <c r="Q1131" s="194"/>
      <c r="R1131" s="194"/>
      <c r="S1131" s="194"/>
      <c r="T1131" s="194"/>
      <c r="U1131" s="194"/>
      <c r="V1131" s="194"/>
      <c r="W1131" s="194"/>
      <c r="X1131" s="194"/>
      <c r="Y1131" s="194"/>
      <c r="Z1131" s="194"/>
      <c r="AA1131" s="194"/>
      <c r="AB1131" s="194"/>
      <c r="AC1131" s="194"/>
      <c r="AD1131" s="194"/>
      <c r="AE1131" s="194"/>
      <c r="AF1131" s="194"/>
    </row>
    <row r="1132" spans="1:32" x14ac:dyDescent="0.25">
      <c r="A1132" s="194"/>
      <c r="B1132" s="194"/>
      <c r="C1132" s="194"/>
      <c r="D1132" s="194"/>
      <c r="E1132" s="194"/>
      <c r="F1132" s="194"/>
      <c r="G1132" s="194"/>
      <c r="H1132" s="194"/>
      <c r="I1132" s="194"/>
      <c r="J1132" s="194"/>
      <c r="K1132" s="194"/>
      <c r="L1132" s="194"/>
      <c r="M1132" s="194"/>
      <c r="N1132" s="194"/>
      <c r="O1132" s="194"/>
      <c r="P1132" s="194"/>
      <c r="Q1132" s="194"/>
      <c r="R1132" s="194"/>
      <c r="S1132" s="194"/>
      <c r="T1132" s="194"/>
      <c r="U1132" s="194"/>
      <c r="V1132" s="194"/>
      <c r="W1132" s="194"/>
      <c r="X1132" s="194"/>
      <c r="Y1132" s="194"/>
      <c r="Z1132" s="194"/>
      <c r="AA1132" s="194"/>
      <c r="AB1132" s="194"/>
      <c r="AC1132" s="194"/>
      <c r="AD1132" s="194"/>
      <c r="AE1132" s="194"/>
      <c r="AF1132" s="194"/>
    </row>
    <row r="1133" spans="1:32" x14ac:dyDescent="0.25">
      <c r="A1133" s="194"/>
      <c r="B1133" s="194"/>
      <c r="C1133" s="194"/>
      <c r="D1133" s="194"/>
      <c r="E1133" s="194"/>
      <c r="F1133" s="194"/>
      <c r="G1133" s="194"/>
      <c r="H1133" s="194"/>
      <c r="I1133" s="194"/>
      <c r="J1133" s="194"/>
      <c r="K1133" s="194"/>
      <c r="L1133" s="194"/>
      <c r="M1133" s="194"/>
      <c r="N1133" s="194"/>
      <c r="O1133" s="194"/>
      <c r="P1133" s="194"/>
      <c r="Q1133" s="194"/>
      <c r="R1133" s="194"/>
      <c r="S1133" s="194"/>
      <c r="T1133" s="194"/>
      <c r="U1133" s="194"/>
      <c r="V1133" s="194"/>
      <c r="W1133" s="194"/>
      <c r="X1133" s="194"/>
      <c r="Y1133" s="194"/>
      <c r="Z1133" s="194"/>
      <c r="AA1133" s="194"/>
      <c r="AB1133" s="194"/>
      <c r="AC1133" s="194"/>
      <c r="AD1133" s="194"/>
      <c r="AE1133" s="194"/>
      <c r="AF1133" s="194"/>
    </row>
    <row r="1134" spans="1:32" x14ac:dyDescent="0.25">
      <c r="A1134" s="194"/>
      <c r="B1134" s="194"/>
      <c r="C1134" s="194"/>
      <c r="D1134" s="194"/>
      <c r="E1134" s="194"/>
      <c r="F1134" s="194"/>
      <c r="G1134" s="194"/>
      <c r="H1134" s="194"/>
      <c r="I1134" s="194"/>
      <c r="J1134" s="194"/>
      <c r="K1134" s="194"/>
      <c r="L1134" s="194"/>
      <c r="M1134" s="194"/>
      <c r="N1134" s="194"/>
      <c r="O1134" s="194"/>
      <c r="P1134" s="194"/>
      <c r="Q1134" s="194"/>
      <c r="R1134" s="194"/>
      <c r="S1134" s="194"/>
      <c r="T1134" s="194"/>
      <c r="U1134" s="194"/>
      <c r="V1134" s="194"/>
      <c r="W1134" s="194"/>
      <c r="X1134" s="194"/>
      <c r="Y1134" s="194"/>
      <c r="Z1134" s="194"/>
      <c r="AA1134" s="194"/>
      <c r="AB1134" s="194"/>
      <c r="AC1134" s="194"/>
      <c r="AD1134" s="194"/>
      <c r="AE1134" s="194"/>
      <c r="AF1134" s="194"/>
    </row>
    <row r="1135" spans="1:32" x14ac:dyDescent="0.25">
      <c r="A1135" s="194"/>
      <c r="B1135" s="194"/>
      <c r="C1135" s="194"/>
      <c r="D1135" s="194"/>
      <c r="E1135" s="194"/>
      <c r="F1135" s="194"/>
      <c r="G1135" s="194"/>
      <c r="H1135" s="194"/>
      <c r="I1135" s="194"/>
      <c r="J1135" s="194"/>
      <c r="K1135" s="194"/>
      <c r="L1135" s="194"/>
      <c r="M1135" s="194"/>
      <c r="N1135" s="194"/>
      <c r="O1135" s="194"/>
      <c r="P1135" s="194"/>
      <c r="Q1135" s="194"/>
      <c r="R1135" s="194"/>
      <c r="S1135" s="194"/>
      <c r="T1135" s="194"/>
      <c r="U1135" s="194"/>
      <c r="V1135" s="194"/>
      <c r="W1135" s="194"/>
      <c r="X1135" s="194"/>
      <c r="Y1135" s="194"/>
      <c r="Z1135" s="194"/>
      <c r="AA1135" s="194"/>
      <c r="AB1135" s="194"/>
      <c r="AC1135" s="194"/>
      <c r="AD1135" s="194"/>
      <c r="AE1135" s="194"/>
      <c r="AF1135" s="194"/>
    </row>
    <row r="1136" spans="1:32" x14ac:dyDescent="0.25">
      <c r="A1136" s="194"/>
      <c r="B1136" s="194"/>
      <c r="C1136" s="194"/>
      <c r="D1136" s="194"/>
      <c r="E1136" s="194"/>
      <c r="F1136" s="194"/>
      <c r="G1136" s="194"/>
      <c r="H1136" s="194"/>
      <c r="I1136" s="194"/>
      <c r="J1136" s="194"/>
      <c r="K1136" s="194"/>
      <c r="L1136" s="194"/>
      <c r="M1136" s="194"/>
      <c r="N1136" s="194"/>
      <c r="O1136" s="194"/>
      <c r="P1136" s="194"/>
      <c r="Q1136" s="194"/>
      <c r="R1136" s="194"/>
      <c r="S1136" s="194"/>
      <c r="T1136" s="194"/>
      <c r="U1136" s="194"/>
      <c r="V1136" s="194"/>
      <c r="W1136" s="194"/>
      <c r="X1136" s="194"/>
      <c r="Y1136" s="194"/>
      <c r="Z1136" s="194"/>
      <c r="AA1136" s="194"/>
      <c r="AB1136" s="194"/>
      <c r="AC1136" s="194"/>
      <c r="AD1136" s="194"/>
      <c r="AE1136" s="194"/>
      <c r="AF1136" s="194"/>
    </row>
    <row r="1137" spans="1:32" x14ac:dyDescent="0.25">
      <c r="A1137" s="194"/>
      <c r="B1137" s="194"/>
      <c r="C1137" s="194"/>
      <c r="D1137" s="194"/>
      <c r="E1137" s="194"/>
      <c r="F1137" s="194"/>
      <c r="G1137" s="194"/>
      <c r="H1137" s="194"/>
      <c r="I1137" s="194"/>
      <c r="J1137" s="194"/>
      <c r="K1137" s="194"/>
      <c r="L1137" s="194"/>
      <c r="M1137" s="194"/>
      <c r="N1137" s="194"/>
      <c r="O1137" s="194"/>
      <c r="P1137" s="194"/>
      <c r="Q1137" s="194"/>
      <c r="R1137" s="194"/>
      <c r="S1137" s="194"/>
      <c r="T1137" s="194"/>
      <c r="U1137" s="194"/>
      <c r="V1137" s="194"/>
      <c r="W1137" s="194"/>
      <c r="X1137" s="194"/>
      <c r="Y1137" s="194"/>
      <c r="Z1137" s="194"/>
      <c r="AA1137" s="194"/>
      <c r="AB1137" s="194"/>
      <c r="AC1137" s="194"/>
      <c r="AD1137" s="194"/>
      <c r="AE1137" s="194"/>
      <c r="AF1137" s="194"/>
    </row>
    <row r="1138" spans="1:32" x14ac:dyDescent="0.25">
      <c r="A1138" s="194"/>
      <c r="B1138" s="194"/>
      <c r="C1138" s="194"/>
      <c r="D1138" s="194"/>
      <c r="E1138" s="194"/>
      <c r="F1138" s="194"/>
      <c r="G1138" s="194"/>
      <c r="H1138" s="194"/>
      <c r="I1138" s="194"/>
      <c r="J1138" s="194"/>
      <c r="K1138" s="194"/>
      <c r="L1138" s="194"/>
      <c r="M1138" s="194"/>
      <c r="N1138" s="194"/>
      <c r="O1138" s="194"/>
      <c r="P1138" s="194"/>
      <c r="Q1138" s="194"/>
      <c r="R1138" s="194"/>
      <c r="S1138" s="194"/>
      <c r="T1138" s="194"/>
      <c r="U1138" s="194"/>
      <c r="V1138" s="194"/>
      <c r="W1138" s="194"/>
      <c r="X1138" s="194"/>
      <c r="Y1138" s="194"/>
      <c r="Z1138" s="194"/>
      <c r="AA1138" s="194"/>
      <c r="AB1138" s="194"/>
      <c r="AC1138" s="194"/>
      <c r="AD1138" s="194"/>
      <c r="AE1138" s="194"/>
      <c r="AF1138" s="194"/>
    </row>
    <row r="1139" spans="1:32" x14ac:dyDescent="0.25">
      <c r="A1139" s="194"/>
      <c r="B1139" s="194"/>
      <c r="C1139" s="194"/>
      <c r="D1139" s="194"/>
      <c r="E1139" s="194"/>
      <c r="F1139" s="194"/>
      <c r="G1139" s="194"/>
      <c r="H1139" s="194"/>
      <c r="I1139" s="194"/>
      <c r="J1139" s="194"/>
      <c r="K1139" s="194"/>
      <c r="L1139" s="194"/>
      <c r="M1139" s="194"/>
      <c r="N1139" s="194"/>
      <c r="O1139" s="194"/>
      <c r="P1139" s="194"/>
      <c r="Q1139" s="194"/>
      <c r="R1139" s="194"/>
      <c r="S1139" s="194"/>
      <c r="T1139" s="194"/>
      <c r="U1139" s="194"/>
      <c r="V1139" s="194"/>
      <c r="W1139" s="194"/>
      <c r="X1139" s="194"/>
      <c r="Y1139" s="194"/>
      <c r="Z1139" s="194"/>
      <c r="AA1139" s="194"/>
      <c r="AB1139" s="194"/>
      <c r="AC1139" s="194"/>
      <c r="AD1139" s="194"/>
      <c r="AE1139" s="194"/>
      <c r="AF1139" s="194"/>
    </row>
    <row r="1140" spans="1:32" x14ac:dyDescent="0.25">
      <c r="A1140" s="194"/>
      <c r="B1140" s="194"/>
      <c r="C1140" s="194"/>
      <c r="D1140" s="194"/>
      <c r="E1140" s="194"/>
      <c r="F1140" s="194"/>
      <c r="G1140" s="194"/>
      <c r="H1140" s="194"/>
      <c r="I1140" s="194"/>
      <c r="J1140" s="194"/>
      <c r="K1140" s="194"/>
      <c r="L1140" s="194"/>
      <c r="M1140" s="194"/>
      <c r="N1140" s="194"/>
      <c r="O1140" s="194"/>
      <c r="P1140" s="194"/>
      <c r="Q1140" s="194"/>
      <c r="R1140" s="194"/>
      <c r="S1140" s="194"/>
      <c r="T1140" s="194"/>
      <c r="U1140" s="194"/>
      <c r="V1140" s="194"/>
      <c r="W1140" s="194"/>
      <c r="X1140" s="194"/>
      <c r="Y1140" s="194"/>
      <c r="Z1140" s="194"/>
      <c r="AA1140" s="194"/>
      <c r="AB1140" s="194"/>
      <c r="AC1140" s="194"/>
      <c r="AD1140" s="194"/>
      <c r="AE1140" s="194"/>
      <c r="AF1140" s="194"/>
    </row>
    <row r="1141" spans="1:32" x14ac:dyDescent="0.25">
      <c r="A1141" s="194"/>
      <c r="B1141" s="194"/>
      <c r="C1141" s="194"/>
      <c r="D1141" s="194"/>
      <c r="E1141" s="194"/>
      <c r="F1141" s="194"/>
      <c r="G1141" s="194"/>
      <c r="H1141" s="194"/>
      <c r="I1141" s="194"/>
      <c r="J1141" s="194"/>
      <c r="K1141" s="194"/>
      <c r="L1141" s="194"/>
      <c r="M1141" s="194"/>
      <c r="N1141" s="194"/>
      <c r="O1141" s="194"/>
      <c r="P1141" s="194"/>
      <c r="Q1141" s="194"/>
      <c r="R1141" s="194"/>
      <c r="S1141" s="194"/>
      <c r="T1141" s="194"/>
      <c r="U1141" s="194"/>
      <c r="V1141" s="194"/>
      <c r="W1141" s="194"/>
      <c r="X1141" s="194"/>
      <c r="Y1141" s="194"/>
      <c r="Z1141" s="194"/>
      <c r="AA1141" s="194"/>
      <c r="AB1141" s="194"/>
      <c r="AC1141" s="194"/>
      <c r="AD1141" s="194"/>
      <c r="AE1141" s="194"/>
      <c r="AF1141" s="194"/>
    </row>
    <row r="1142" spans="1:32" x14ac:dyDescent="0.25">
      <c r="A1142" s="194"/>
      <c r="B1142" s="194"/>
      <c r="C1142" s="194"/>
      <c r="D1142" s="194"/>
      <c r="E1142" s="194"/>
      <c r="F1142" s="194"/>
      <c r="G1142" s="194"/>
      <c r="H1142" s="194"/>
      <c r="I1142" s="194"/>
      <c r="J1142" s="194"/>
      <c r="K1142" s="194"/>
      <c r="L1142" s="194"/>
      <c r="M1142" s="194"/>
      <c r="N1142" s="194"/>
      <c r="O1142" s="194"/>
      <c r="P1142" s="194"/>
      <c r="Q1142" s="194"/>
      <c r="R1142" s="194"/>
      <c r="S1142" s="194"/>
      <c r="T1142" s="194"/>
      <c r="U1142" s="194"/>
      <c r="V1142" s="194"/>
      <c r="W1142" s="194"/>
      <c r="X1142" s="194"/>
      <c r="Y1142" s="194"/>
      <c r="Z1142" s="194"/>
      <c r="AA1142" s="194"/>
      <c r="AB1142" s="194"/>
      <c r="AC1142" s="194"/>
      <c r="AD1142" s="194"/>
      <c r="AE1142" s="194"/>
      <c r="AF1142" s="194"/>
    </row>
    <row r="1143" spans="1:32" x14ac:dyDescent="0.25">
      <c r="A1143" s="194"/>
      <c r="B1143" s="194"/>
      <c r="C1143" s="194"/>
      <c r="D1143" s="194"/>
      <c r="E1143" s="194"/>
      <c r="F1143" s="194"/>
      <c r="G1143" s="194"/>
      <c r="H1143" s="194"/>
      <c r="I1143" s="194"/>
      <c r="J1143" s="194"/>
      <c r="K1143" s="194"/>
      <c r="L1143" s="194"/>
      <c r="M1143" s="194"/>
      <c r="N1143" s="194"/>
      <c r="O1143" s="194"/>
      <c r="P1143" s="194"/>
      <c r="Q1143" s="194"/>
      <c r="R1143" s="194"/>
      <c r="S1143" s="194"/>
      <c r="T1143" s="194"/>
      <c r="U1143" s="194"/>
      <c r="V1143" s="194"/>
      <c r="W1143" s="194"/>
      <c r="X1143" s="194"/>
      <c r="Y1143" s="194"/>
      <c r="Z1143" s="194"/>
      <c r="AA1143" s="194"/>
      <c r="AB1143" s="194"/>
      <c r="AC1143" s="194"/>
      <c r="AD1143" s="194"/>
      <c r="AE1143" s="194"/>
      <c r="AF1143" s="194"/>
    </row>
    <row r="1144" spans="1:32" x14ac:dyDescent="0.25">
      <c r="A1144" s="194"/>
      <c r="B1144" s="194"/>
      <c r="C1144" s="194"/>
      <c r="D1144" s="194"/>
      <c r="E1144" s="194"/>
      <c r="F1144" s="194"/>
      <c r="G1144" s="194"/>
      <c r="H1144" s="194"/>
      <c r="I1144" s="194"/>
      <c r="J1144" s="194"/>
      <c r="K1144" s="194"/>
      <c r="L1144" s="194"/>
      <c r="M1144" s="194"/>
      <c r="N1144" s="194"/>
      <c r="O1144" s="194"/>
      <c r="P1144" s="194"/>
      <c r="Q1144" s="194"/>
      <c r="R1144" s="194"/>
      <c r="S1144" s="194"/>
      <c r="T1144" s="194"/>
      <c r="U1144" s="194"/>
      <c r="V1144" s="194"/>
      <c r="W1144" s="194"/>
      <c r="X1144" s="194"/>
      <c r="Y1144" s="194"/>
      <c r="Z1144" s="194"/>
      <c r="AA1144" s="194"/>
      <c r="AB1144" s="194"/>
      <c r="AC1144" s="194"/>
      <c r="AD1144" s="194"/>
      <c r="AE1144" s="194"/>
      <c r="AF1144" s="194"/>
    </row>
    <row r="1145" spans="1:32" x14ac:dyDescent="0.25">
      <c r="A1145" s="194"/>
      <c r="B1145" s="194"/>
      <c r="C1145" s="194"/>
      <c r="D1145" s="194"/>
      <c r="E1145" s="194"/>
      <c r="F1145" s="194"/>
      <c r="G1145" s="194"/>
      <c r="H1145" s="194"/>
      <c r="I1145" s="194"/>
      <c r="J1145" s="194"/>
      <c r="K1145" s="194"/>
      <c r="L1145" s="194"/>
      <c r="M1145" s="194"/>
      <c r="N1145" s="194"/>
      <c r="O1145" s="194"/>
      <c r="P1145" s="194"/>
      <c r="Q1145" s="194"/>
      <c r="R1145" s="194"/>
      <c r="S1145" s="194"/>
      <c r="T1145" s="194"/>
      <c r="U1145" s="194"/>
      <c r="V1145" s="194"/>
      <c r="W1145" s="194"/>
      <c r="X1145" s="194"/>
      <c r="Y1145" s="194"/>
      <c r="Z1145" s="194"/>
      <c r="AA1145" s="194"/>
      <c r="AB1145" s="194"/>
      <c r="AC1145" s="194"/>
      <c r="AD1145" s="194"/>
      <c r="AE1145" s="194"/>
      <c r="AF1145" s="194"/>
    </row>
    <row r="1146" spans="1:32" x14ac:dyDescent="0.25">
      <c r="A1146" s="194"/>
      <c r="B1146" s="194"/>
      <c r="C1146" s="194"/>
      <c r="D1146" s="194"/>
      <c r="E1146" s="194"/>
      <c r="F1146" s="194"/>
      <c r="G1146" s="194"/>
      <c r="H1146" s="194"/>
      <c r="I1146" s="194"/>
      <c r="J1146" s="194"/>
      <c r="K1146" s="194"/>
      <c r="L1146" s="194"/>
      <c r="M1146" s="194"/>
      <c r="N1146" s="194"/>
      <c r="O1146" s="194"/>
      <c r="P1146" s="194"/>
      <c r="Q1146" s="194"/>
      <c r="R1146" s="194"/>
      <c r="S1146" s="194"/>
      <c r="T1146" s="194"/>
      <c r="U1146" s="194"/>
      <c r="V1146" s="194"/>
      <c r="W1146" s="194"/>
      <c r="X1146" s="194"/>
      <c r="Y1146" s="194"/>
      <c r="Z1146" s="194"/>
      <c r="AA1146" s="194"/>
      <c r="AB1146" s="194"/>
      <c r="AC1146" s="194"/>
      <c r="AD1146" s="194"/>
      <c r="AE1146" s="194"/>
      <c r="AF1146" s="194"/>
    </row>
    <row r="1147" spans="1:32" x14ac:dyDescent="0.25">
      <c r="A1147" s="194"/>
      <c r="B1147" s="194"/>
      <c r="C1147" s="194"/>
      <c r="D1147" s="194"/>
      <c r="E1147" s="194"/>
      <c r="F1147" s="194"/>
      <c r="G1147" s="194"/>
      <c r="H1147" s="194"/>
      <c r="I1147" s="194"/>
      <c r="J1147" s="194"/>
      <c r="K1147" s="194"/>
      <c r="L1147" s="194"/>
      <c r="M1147" s="194"/>
      <c r="N1147" s="194"/>
      <c r="O1147" s="194"/>
      <c r="P1147" s="194"/>
      <c r="Q1147" s="194"/>
      <c r="R1147" s="194"/>
      <c r="S1147" s="194"/>
      <c r="T1147" s="194"/>
      <c r="U1147" s="194"/>
      <c r="V1147" s="194"/>
      <c r="W1147" s="194"/>
      <c r="X1147" s="194"/>
      <c r="Y1147" s="194"/>
      <c r="Z1147" s="194"/>
      <c r="AA1147" s="194"/>
      <c r="AB1147" s="194"/>
      <c r="AC1147" s="194"/>
      <c r="AD1147" s="194"/>
      <c r="AE1147" s="194"/>
      <c r="AF1147" s="194"/>
    </row>
    <row r="1148" spans="1:32" x14ac:dyDescent="0.25">
      <c r="A1148" s="194"/>
      <c r="B1148" s="194"/>
      <c r="C1148" s="194"/>
      <c r="D1148" s="194"/>
      <c r="E1148" s="194"/>
      <c r="F1148" s="194"/>
      <c r="G1148" s="194"/>
      <c r="H1148" s="194"/>
      <c r="I1148" s="194"/>
      <c r="J1148" s="194"/>
      <c r="K1148" s="194"/>
      <c r="L1148" s="194"/>
      <c r="M1148" s="194"/>
      <c r="N1148" s="194"/>
      <c r="O1148" s="194"/>
      <c r="P1148" s="194"/>
      <c r="Q1148" s="194"/>
      <c r="R1148" s="194"/>
      <c r="S1148" s="194"/>
      <c r="T1148" s="194"/>
      <c r="U1148" s="194"/>
      <c r="V1148" s="194"/>
      <c r="W1148" s="194"/>
      <c r="X1148" s="194"/>
      <c r="Y1148" s="194"/>
      <c r="Z1148" s="194"/>
      <c r="AA1148" s="194"/>
      <c r="AB1148" s="194"/>
      <c r="AC1148" s="194"/>
      <c r="AD1148" s="194"/>
      <c r="AE1148" s="194"/>
      <c r="AF1148" s="194"/>
    </row>
    <row r="1149" spans="1:32" x14ac:dyDescent="0.25">
      <c r="A1149" s="194"/>
      <c r="B1149" s="194"/>
      <c r="C1149" s="194"/>
      <c r="D1149" s="194"/>
      <c r="E1149" s="194"/>
      <c r="F1149" s="194"/>
      <c r="G1149" s="194"/>
      <c r="H1149" s="194"/>
      <c r="I1149" s="194"/>
      <c r="J1149" s="194"/>
      <c r="K1149" s="194"/>
      <c r="L1149" s="194"/>
      <c r="M1149" s="194"/>
      <c r="N1149" s="194"/>
      <c r="O1149" s="194"/>
      <c r="P1149" s="194"/>
      <c r="Q1149" s="194"/>
      <c r="R1149" s="194"/>
      <c r="S1149" s="194"/>
      <c r="T1149" s="194"/>
      <c r="U1149" s="194"/>
      <c r="V1149" s="194"/>
      <c r="W1149" s="194"/>
      <c r="X1149" s="194"/>
      <c r="Y1149" s="194"/>
      <c r="Z1149" s="194"/>
      <c r="AA1149" s="194"/>
      <c r="AB1149" s="194"/>
      <c r="AC1149" s="194"/>
      <c r="AD1149" s="194"/>
      <c r="AE1149" s="194"/>
      <c r="AF1149" s="194"/>
    </row>
    <row r="1150" spans="1:32" x14ac:dyDescent="0.25">
      <c r="A1150" s="194"/>
      <c r="B1150" s="194"/>
      <c r="C1150" s="194"/>
      <c r="D1150" s="194"/>
      <c r="E1150" s="194"/>
      <c r="F1150" s="194"/>
      <c r="G1150" s="194"/>
      <c r="H1150" s="194"/>
      <c r="I1150" s="194"/>
      <c r="J1150" s="194"/>
      <c r="K1150" s="194"/>
      <c r="L1150" s="194"/>
      <c r="M1150" s="194"/>
      <c r="N1150" s="194"/>
      <c r="O1150" s="194"/>
      <c r="P1150" s="194"/>
      <c r="Q1150" s="194"/>
      <c r="R1150" s="194"/>
      <c r="S1150" s="194"/>
      <c r="T1150" s="194"/>
      <c r="U1150" s="194"/>
      <c r="V1150" s="194"/>
      <c r="W1150" s="194"/>
      <c r="X1150" s="194"/>
      <c r="Y1150" s="194"/>
      <c r="Z1150" s="194"/>
      <c r="AA1150" s="194"/>
      <c r="AB1150" s="194"/>
      <c r="AC1150" s="194"/>
      <c r="AD1150" s="194"/>
      <c r="AE1150" s="194"/>
      <c r="AF1150" s="194"/>
    </row>
    <row r="1151" spans="1:32" x14ac:dyDescent="0.25">
      <c r="A1151" s="194"/>
      <c r="B1151" s="194"/>
      <c r="C1151" s="194"/>
      <c r="D1151" s="194"/>
      <c r="E1151" s="194"/>
      <c r="F1151" s="194"/>
      <c r="G1151" s="194"/>
      <c r="H1151" s="194"/>
      <c r="I1151" s="194"/>
      <c r="J1151" s="194"/>
      <c r="K1151" s="194"/>
      <c r="L1151" s="194"/>
      <c r="M1151" s="194"/>
      <c r="N1151" s="194"/>
      <c r="O1151" s="194"/>
      <c r="P1151" s="194"/>
      <c r="Q1151" s="194"/>
      <c r="R1151" s="194"/>
      <c r="S1151" s="194"/>
      <c r="T1151" s="194"/>
      <c r="U1151" s="194"/>
      <c r="V1151" s="194"/>
      <c r="W1151" s="194"/>
      <c r="X1151" s="194"/>
      <c r="Y1151" s="194"/>
      <c r="Z1151" s="194"/>
      <c r="AA1151" s="194"/>
      <c r="AB1151" s="194"/>
      <c r="AC1151" s="194"/>
      <c r="AD1151" s="194"/>
      <c r="AE1151" s="194"/>
      <c r="AF1151" s="194"/>
    </row>
    <row r="1152" spans="1:32" x14ac:dyDescent="0.25">
      <c r="A1152" s="194"/>
      <c r="B1152" s="194"/>
      <c r="C1152" s="194"/>
      <c r="D1152" s="194"/>
      <c r="E1152" s="194"/>
      <c r="F1152" s="194"/>
      <c r="G1152" s="194"/>
      <c r="H1152" s="194"/>
      <c r="I1152" s="194"/>
      <c r="J1152" s="194"/>
      <c r="K1152" s="194"/>
      <c r="L1152" s="194"/>
      <c r="M1152" s="194"/>
      <c r="N1152" s="194"/>
      <c r="O1152" s="194"/>
      <c r="P1152" s="194"/>
      <c r="Q1152" s="194"/>
      <c r="R1152" s="194"/>
      <c r="S1152" s="194"/>
      <c r="T1152" s="194"/>
      <c r="U1152" s="194"/>
      <c r="V1152" s="194"/>
      <c r="W1152" s="194"/>
      <c r="X1152" s="194"/>
      <c r="Y1152" s="194"/>
      <c r="Z1152" s="194"/>
      <c r="AA1152" s="194"/>
      <c r="AB1152" s="194"/>
      <c r="AC1152" s="194"/>
      <c r="AD1152" s="194"/>
      <c r="AE1152" s="194"/>
      <c r="AF1152" s="194"/>
    </row>
    <row r="1153" spans="1:32" x14ac:dyDescent="0.25">
      <c r="A1153" s="194"/>
      <c r="B1153" s="194"/>
      <c r="C1153" s="194"/>
      <c r="D1153" s="194"/>
      <c r="E1153" s="194"/>
      <c r="F1153" s="194"/>
      <c r="G1153" s="194"/>
      <c r="H1153" s="194"/>
      <c r="I1153" s="194"/>
      <c r="J1153" s="194"/>
      <c r="K1153" s="194"/>
      <c r="L1153" s="194"/>
      <c r="M1153" s="194"/>
      <c r="N1153" s="194"/>
      <c r="O1153" s="194"/>
      <c r="P1153" s="194"/>
      <c r="Q1153" s="194"/>
      <c r="R1153" s="194"/>
      <c r="S1153" s="194"/>
      <c r="T1153" s="194"/>
      <c r="U1153" s="194"/>
      <c r="V1153" s="194"/>
      <c r="W1153" s="194"/>
      <c r="X1153" s="194"/>
      <c r="Y1153" s="194"/>
      <c r="Z1153" s="194"/>
      <c r="AA1153" s="194"/>
      <c r="AB1153" s="194"/>
      <c r="AC1153" s="194"/>
      <c r="AD1153" s="194"/>
      <c r="AE1153" s="194"/>
      <c r="AF1153" s="194"/>
    </row>
    <row r="1154" spans="1:32" x14ac:dyDescent="0.25">
      <c r="A1154" s="194"/>
      <c r="B1154" s="194"/>
      <c r="C1154" s="194"/>
      <c r="D1154" s="194"/>
      <c r="E1154" s="194"/>
      <c r="F1154" s="194"/>
      <c r="G1154" s="194"/>
      <c r="H1154" s="194"/>
      <c r="I1154" s="194"/>
      <c r="J1154" s="194"/>
      <c r="K1154" s="194"/>
      <c r="L1154" s="194"/>
      <c r="M1154" s="194"/>
      <c r="N1154" s="194"/>
      <c r="O1154" s="194"/>
      <c r="P1154" s="194"/>
      <c r="Q1154" s="194"/>
      <c r="R1154" s="194"/>
      <c r="S1154" s="194"/>
      <c r="T1154" s="194"/>
      <c r="U1154" s="194"/>
      <c r="V1154" s="194"/>
      <c r="W1154" s="194"/>
      <c r="X1154" s="194"/>
      <c r="Y1154" s="194"/>
      <c r="Z1154" s="194"/>
      <c r="AA1154" s="194"/>
      <c r="AB1154" s="194"/>
      <c r="AC1154" s="194"/>
      <c r="AD1154" s="194"/>
      <c r="AE1154" s="194"/>
      <c r="AF1154" s="194"/>
    </row>
    <row r="1155" spans="1:32" x14ac:dyDescent="0.25">
      <c r="A1155" s="194"/>
      <c r="B1155" s="194"/>
      <c r="C1155" s="194"/>
      <c r="D1155" s="194"/>
      <c r="E1155" s="194"/>
      <c r="F1155" s="194"/>
      <c r="G1155" s="194"/>
      <c r="H1155" s="194"/>
      <c r="I1155" s="194"/>
      <c r="J1155" s="194"/>
      <c r="K1155" s="194"/>
      <c r="L1155" s="194"/>
      <c r="M1155" s="194"/>
      <c r="N1155" s="194"/>
      <c r="O1155" s="194"/>
      <c r="P1155" s="194"/>
      <c r="Q1155" s="194"/>
      <c r="R1155" s="194"/>
      <c r="S1155" s="194"/>
      <c r="T1155" s="194"/>
      <c r="U1155" s="194"/>
      <c r="V1155" s="194"/>
      <c r="W1155" s="194"/>
      <c r="X1155" s="194"/>
      <c r="Y1155" s="194"/>
      <c r="Z1155" s="194"/>
      <c r="AA1155" s="194"/>
      <c r="AB1155" s="194"/>
      <c r="AC1155" s="194"/>
      <c r="AD1155" s="194"/>
      <c r="AE1155" s="194"/>
      <c r="AF1155" s="194"/>
    </row>
    <row r="1156" spans="1:32" x14ac:dyDescent="0.25">
      <c r="A1156" s="194"/>
      <c r="B1156" s="194"/>
      <c r="C1156" s="194"/>
      <c r="D1156" s="194"/>
      <c r="E1156" s="194"/>
      <c r="F1156" s="194"/>
      <c r="G1156" s="194"/>
      <c r="H1156" s="194"/>
      <c r="I1156" s="194"/>
      <c r="J1156" s="194"/>
      <c r="K1156" s="194"/>
      <c r="L1156" s="194"/>
      <c r="M1156" s="194"/>
      <c r="N1156" s="194"/>
      <c r="O1156" s="194"/>
      <c r="P1156" s="194"/>
      <c r="Q1156" s="194"/>
      <c r="R1156" s="194"/>
      <c r="S1156" s="194"/>
      <c r="T1156" s="194"/>
      <c r="U1156" s="194"/>
      <c r="V1156" s="194"/>
      <c r="W1156" s="194"/>
      <c r="X1156" s="194"/>
      <c r="Y1156" s="194"/>
      <c r="Z1156" s="194"/>
      <c r="AA1156" s="194"/>
      <c r="AB1156" s="194"/>
      <c r="AC1156" s="194"/>
      <c r="AD1156" s="194"/>
      <c r="AE1156" s="194"/>
      <c r="AF1156" s="194"/>
    </row>
    <row r="1157" spans="1:32" x14ac:dyDescent="0.25">
      <c r="A1157" s="194"/>
      <c r="B1157" s="194"/>
      <c r="C1157" s="194"/>
      <c r="D1157" s="194"/>
      <c r="E1157" s="194"/>
      <c r="F1157" s="194"/>
      <c r="G1157" s="194"/>
      <c r="H1157" s="194"/>
      <c r="I1157" s="194"/>
      <c r="J1157" s="194"/>
      <c r="K1157" s="194"/>
      <c r="L1157" s="194"/>
      <c r="M1157" s="194"/>
      <c r="N1157" s="194"/>
      <c r="O1157" s="194"/>
      <c r="P1157" s="194"/>
      <c r="Q1157" s="194"/>
      <c r="R1157" s="194"/>
      <c r="S1157" s="194"/>
      <c r="T1157" s="194"/>
      <c r="U1157" s="194"/>
      <c r="V1157" s="194"/>
      <c r="W1157" s="194"/>
      <c r="X1157" s="194"/>
      <c r="Y1157" s="194"/>
      <c r="Z1157" s="194"/>
      <c r="AA1157" s="194"/>
      <c r="AB1157" s="194"/>
      <c r="AC1157" s="194"/>
      <c r="AD1157" s="194"/>
      <c r="AE1157" s="194"/>
      <c r="AF1157" s="194"/>
    </row>
    <row r="1158" spans="1:32" x14ac:dyDescent="0.25">
      <c r="A1158" s="194"/>
      <c r="B1158" s="194"/>
      <c r="C1158" s="194"/>
      <c r="D1158" s="194"/>
      <c r="E1158" s="194"/>
      <c r="F1158" s="194"/>
      <c r="G1158" s="194"/>
      <c r="H1158" s="194"/>
      <c r="I1158" s="194"/>
      <c r="J1158" s="194"/>
      <c r="K1158" s="194"/>
      <c r="L1158" s="194"/>
      <c r="M1158" s="194"/>
      <c r="N1158" s="194"/>
      <c r="O1158" s="194"/>
      <c r="P1158" s="194"/>
      <c r="Q1158" s="194"/>
      <c r="R1158" s="194"/>
      <c r="S1158" s="194"/>
      <c r="T1158" s="194"/>
      <c r="U1158" s="194"/>
      <c r="V1158" s="194"/>
      <c r="W1158" s="194"/>
      <c r="X1158" s="194"/>
      <c r="Y1158" s="194"/>
      <c r="Z1158" s="194"/>
      <c r="AA1158" s="194"/>
      <c r="AB1158" s="194"/>
      <c r="AC1158" s="194"/>
      <c r="AD1158" s="194"/>
      <c r="AE1158" s="194"/>
      <c r="AF1158" s="194"/>
    </row>
    <row r="1159" spans="1:32" x14ac:dyDescent="0.25">
      <c r="A1159" s="194"/>
      <c r="B1159" s="194"/>
      <c r="C1159" s="194"/>
      <c r="D1159" s="194"/>
      <c r="E1159" s="194"/>
      <c r="F1159" s="194"/>
      <c r="G1159" s="194"/>
      <c r="H1159" s="194"/>
      <c r="I1159" s="194"/>
      <c r="J1159" s="194"/>
      <c r="K1159" s="194"/>
      <c r="L1159" s="194"/>
      <c r="M1159" s="194"/>
      <c r="N1159" s="194"/>
      <c r="O1159" s="194"/>
      <c r="P1159" s="194"/>
      <c r="Q1159" s="194"/>
      <c r="R1159" s="194"/>
      <c r="S1159" s="194"/>
      <c r="T1159" s="194"/>
      <c r="U1159" s="194"/>
      <c r="V1159" s="194"/>
      <c r="W1159" s="194"/>
      <c r="X1159" s="194"/>
      <c r="Y1159" s="194"/>
      <c r="Z1159" s="194"/>
      <c r="AA1159" s="194"/>
      <c r="AB1159" s="194"/>
      <c r="AC1159" s="194"/>
      <c r="AD1159" s="194"/>
      <c r="AE1159" s="194"/>
      <c r="AF1159" s="194"/>
    </row>
    <row r="1160" spans="1:32" x14ac:dyDescent="0.25">
      <c r="A1160" s="194"/>
      <c r="B1160" s="194"/>
      <c r="C1160" s="194"/>
      <c r="D1160" s="194"/>
      <c r="E1160" s="194"/>
      <c r="F1160" s="194"/>
      <c r="G1160" s="194"/>
      <c r="H1160" s="194"/>
      <c r="I1160" s="194"/>
      <c r="J1160" s="194"/>
      <c r="K1160" s="194"/>
      <c r="L1160" s="194"/>
      <c r="M1160" s="194"/>
      <c r="N1160" s="194"/>
      <c r="O1160" s="194"/>
      <c r="P1160" s="194"/>
      <c r="Q1160" s="194"/>
      <c r="R1160" s="194"/>
      <c r="S1160" s="194"/>
      <c r="T1160" s="194"/>
      <c r="U1160" s="194"/>
      <c r="V1160" s="194"/>
      <c r="W1160" s="194"/>
      <c r="X1160" s="194"/>
      <c r="Y1160" s="194"/>
      <c r="Z1160" s="194"/>
      <c r="AA1160" s="194"/>
      <c r="AB1160" s="194"/>
      <c r="AC1160" s="194"/>
      <c r="AD1160" s="194"/>
      <c r="AE1160" s="194"/>
      <c r="AF1160" s="194"/>
    </row>
    <row r="1161" spans="1:32" x14ac:dyDescent="0.25">
      <c r="A1161" s="194"/>
      <c r="B1161" s="194"/>
      <c r="C1161" s="194"/>
      <c r="D1161" s="194"/>
      <c r="E1161" s="194"/>
      <c r="F1161" s="194"/>
      <c r="G1161" s="194"/>
      <c r="H1161" s="194"/>
      <c r="I1161" s="194"/>
      <c r="J1161" s="194"/>
      <c r="K1161" s="194"/>
      <c r="L1161" s="194"/>
      <c r="M1161" s="194"/>
      <c r="N1161" s="194"/>
      <c r="O1161" s="194"/>
      <c r="P1161" s="194"/>
      <c r="Q1161" s="194"/>
      <c r="R1161" s="194"/>
      <c r="S1161" s="194"/>
      <c r="T1161" s="194"/>
      <c r="U1161" s="194"/>
      <c r="V1161" s="194"/>
      <c r="W1161" s="194"/>
      <c r="X1161" s="194"/>
      <c r="Y1161" s="194"/>
      <c r="Z1161" s="194"/>
      <c r="AA1161" s="194"/>
      <c r="AB1161" s="194"/>
      <c r="AC1161" s="194"/>
      <c r="AD1161" s="194"/>
      <c r="AE1161" s="194"/>
      <c r="AF1161" s="194"/>
    </row>
    <row r="1162" spans="1:32" x14ac:dyDescent="0.25">
      <c r="A1162" s="194"/>
      <c r="B1162" s="194"/>
      <c r="C1162" s="194"/>
      <c r="D1162" s="194"/>
      <c r="E1162" s="194"/>
      <c r="F1162" s="194"/>
      <c r="G1162" s="194"/>
      <c r="H1162" s="194"/>
      <c r="I1162" s="194"/>
      <c r="J1162" s="194"/>
      <c r="K1162" s="194"/>
      <c r="L1162" s="194"/>
      <c r="M1162" s="194"/>
      <c r="N1162" s="194"/>
      <c r="O1162" s="194"/>
      <c r="P1162" s="194"/>
      <c r="Q1162" s="194"/>
      <c r="R1162" s="194"/>
      <c r="S1162" s="194"/>
      <c r="T1162" s="194"/>
      <c r="U1162" s="194"/>
      <c r="V1162" s="194"/>
      <c r="W1162" s="194"/>
      <c r="X1162" s="194"/>
      <c r="Y1162" s="194"/>
      <c r="Z1162" s="194"/>
      <c r="AA1162" s="194"/>
      <c r="AB1162" s="194"/>
      <c r="AC1162" s="194"/>
      <c r="AD1162" s="194"/>
      <c r="AE1162" s="194"/>
      <c r="AF1162" s="194"/>
    </row>
    <row r="1163" spans="1:32" x14ac:dyDescent="0.25">
      <c r="A1163" s="194"/>
      <c r="B1163" s="194"/>
      <c r="C1163" s="194"/>
      <c r="D1163" s="194"/>
      <c r="E1163" s="194"/>
      <c r="F1163" s="194"/>
      <c r="G1163" s="194"/>
      <c r="H1163" s="194"/>
      <c r="I1163" s="194"/>
      <c r="J1163" s="194"/>
      <c r="K1163" s="194"/>
      <c r="L1163" s="194"/>
      <c r="M1163" s="194"/>
      <c r="N1163" s="194"/>
      <c r="O1163" s="194"/>
      <c r="P1163" s="194"/>
      <c r="Q1163" s="194"/>
      <c r="R1163" s="194"/>
      <c r="S1163" s="194"/>
      <c r="T1163" s="194"/>
      <c r="U1163" s="194"/>
      <c r="V1163" s="194"/>
      <c r="W1163" s="194"/>
      <c r="X1163" s="194"/>
      <c r="Y1163" s="194"/>
      <c r="Z1163" s="194"/>
      <c r="AA1163" s="194"/>
      <c r="AB1163" s="194"/>
      <c r="AC1163" s="194"/>
      <c r="AD1163" s="194"/>
      <c r="AE1163" s="194"/>
      <c r="AF1163" s="194"/>
    </row>
    <row r="1164" spans="1:32" x14ac:dyDescent="0.25">
      <c r="A1164" s="194"/>
      <c r="B1164" s="194"/>
      <c r="C1164" s="194"/>
      <c r="D1164" s="194"/>
      <c r="E1164" s="194"/>
      <c r="F1164" s="194"/>
      <c r="G1164" s="194"/>
      <c r="H1164" s="194"/>
      <c r="I1164" s="194"/>
      <c r="J1164" s="194"/>
      <c r="K1164" s="194"/>
      <c r="L1164" s="194"/>
      <c r="M1164" s="194"/>
      <c r="N1164" s="194"/>
      <c r="O1164" s="194"/>
      <c r="P1164" s="194"/>
      <c r="Q1164" s="194"/>
      <c r="R1164" s="194"/>
      <c r="S1164" s="194"/>
      <c r="T1164" s="194"/>
      <c r="U1164" s="194"/>
      <c r="V1164" s="194"/>
      <c r="W1164" s="194"/>
      <c r="X1164" s="194"/>
      <c r="Y1164" s="194"/>
      <c r="Z1164" s="194"/>
      <c r="AA1164" s="194"/>
      <c r="AB1164" s="194"/>
      <c r="AC1164" s="194"/>
      <c r="AD1164" s="194"/>
      <c r="AE1164" s="194"/>
      <c r="AF1164" s="194"/>
    </row>
    <row r="1165" spans="1:32" x14ac:dyDescent="0.25">
      <c r="A1165" s="194"/>
      <c r="B1165" s="194"/>
      <c r="C1165" s="194"/>
      <c r="D1165" s="194"/>
      <c r="E1165" s="194"/>
      <c r="F1165" s="194"/>
      <c r="G1165" s="194"/>
      <c r="H1165" s="194"/>
      <c r="I1165" s="194"/>
      <c r="J1165" s="194"/>
      <c r="K1165" s="194"/>
      <c r="L1165" s="194"/>
      <c r="M1165" s="194"/>
      <c r="N1165" s="194"/>
      <c r="O1165" s="194"/>
      <c r="P1165" s="194"/>
      <c r="Q1165" s="194"/>
      <c r="R1165" s="194"/>
      <c r="S1165" s="194"/>
      <c r="T1165" s="194"/>
      <c r="U1165" s="194"/>
      <c r="V1165" s="194"/>
      <c r="W1165" s="194"/>
      <c r="X1165" s="194"/>
      <c r="Y1165" s="194"/>
      <c r="Z1165" s="194"/>
      <c r="AA1165" s="194"/>
      <c r="AB1165" s="194"/>
      <c r="AC1165" s="194"/>
      <c r="AD1165" s="194"/>
      <c r="AE1165" s="194"/>
      <c r="AF1165" s="194"/>
    </row>
    <row r="1166" spans="1:32" x14ac:dyDescent="0.25">
      <c r="A1166" s="194"/>
      <c r="B1166" s="194"/>
      <c r="C1166" s="194"/>
      <c r="D1166" s="194"/>
      <c r="E1166" s="194"/>
      <c r="F1166" s="194"/>
      <c r="G1166" s="194"/>
      <c r="H1166" s="194"/>
      <c r="I1166" s="194"/>
      <c r="J1166" s="194"/>
      <c r="K1166" s="194"/>
      <c r="L1166" s="194"/>
      <c r="M1166" s="194"/>
      <c r="N1166" s="194"/>
      <c r="O1166" s="194"/>
      <c r="P1166" s="194"/>
      <c r="Q1166" s="194"/>
      <c r="R1166" s="194"/>
      <c r="S1166" s="194"/>
      <c r="T1166" s="194"/>
      <c r="U1166" s="194"/>
      <c r="V1166" s="194"/>
      <c r="W1166" s="194"/>
      <c r="X1166" s="194"/>
      <c r="Y1166" s="194"/>
      <c r="Z1166" s="194"/>
      <c r="AA1166" s="194"/>
      <c r="AB1166" s="194"/>
      <c r="AC1166" s="194"/>
      <c r="AD1166" s="194"/>
      <c r="AE1166" s="194"/>
      <c r="AF1166" s="194"/>
    </row>
    <row r="1167" spans="1:32" x14ac:dyDescent="0.25">
      <c r="A1167" s="194"/>
      <c r="B1167" s="194"/>
      <c r="C1167" s="194"/>
      <c r="D1167" s="194"/>
      <c r="E1167" s="194"/>
      <c r="F1167" s="194"/>
      <c r="G1167" s="194"/>
      <c r="H1167" s="194"/>
      <c r="I1167" s="194"/>
      <c r="J1167" s="194"/>
      <c r="K1167" s="194"/>
      <c r="L1167" s="194"/>
      <c r="M1167" s="194"/>
      <c r="N1167" s="194"/>
      <c r="O1167" s="194"/>
      <c r="P1167" s="194"/>
      <c r="Q1167" s="194"/>
      <c r="R1167" s="194"/>
      <c r="S1167" s="194"/>
      <c r="T1167" s="194"/>
      <c r="U1167" s="194"/>
      <c r="V1167" s="194"/>
      <c r="W1167" s="194"/>
      <c r="X1167" s="194"/>
      <c r="Y1167" s="194"/>
      <c r="Z1167" s="194"/>
      <c r="AA1167" s="194"/>
      <c r="AB1167" s="194"/>
      <c r="AC1167" s="194"/>
      <c r="AD1167" s="194"/>
      <c r="AE1167" s="194"/>
      <c r="AF1167" s="194"/>
    </row>
    <row r="1168" spans="1:32" x14ac:dyDescent="0.25">
      <c r="A1168" s="194"/>
      <c r="B1168" s="194"/>
      <c r="C1168" s="194"/>
      <c r="D1168" s="194"/>
      <c r="E1168" s="194"/>
      <c r="F1168" s="194"/>
      <c r="G1168" s="194"/>
      <c r="H1168" s="194"/>
      <c r="I1168" s="194"/>
      <c r="J1168" s="194"/>
      <c r="K1168" s="194"/>
      <c r="L1168" s="194"/>
      <c r="M1168" s="194"/>
      <c r="N1168" s="194"/>
      <c r="O1168" s="194"/>
      <c r="P1168" s="194"/>
      <c r="Q1168" s="194"/>
      <c r="R1168" s="194"/>
      <c r="S1168" s="194"/>
      <c r="T1168" s="194"/>
      <c r="U1168" s="194"/>
      <c r="V1168" s="194"/>
      <c r="W1168" s="194"/>
      <c r="X1168" s="194"/>
      <c r="Y1168" s="194"/>
      <c r="Z1168" s="194"/>
      <c r="AA1168" s="194"/>
      <c r="AB1168" s="194"/>
      <c r="AC1168" s="194"/>
      <c r="AD1168" s="194"/>
      <c r="AE1168" s="194"/>
      <c r="AF1168" s="194"/>
    </row>
    <row r="1169" spans="1:32" x14ac:dyDescent="0.25">
      <c r="A1169" s="194"/>
      <c r="B1169" s="194"/>
      <c r="C1169" s="194"/>
      <c r="D1169" s="194"/>
      <c r="E1169" s="194"/>
      <c r="F1169" s="194"/>
      <c r="G1169" s="194"/>
      <c r="H1169" s="194"/>
      <c r="I1169" s="194"/>
      <c r="J1169" s="194"/>
      <c r="K1169" s="194"/>
      <c r="L1169" s="194"/>
      <c r="M1169" s="194"/>
      <c r="N1169" s="194"/>
      <c r="O1169" s="194"/>
      <c r="P1169" s="194"/>
      <c r="Q1169" s="194"/>
      <c r="R1169" s="194"/>
      <c r="S1169" s="194"/>
      <c r="T1169" s="194"/>
      <c r="U1169" s="194"/>
      <c r="V1169" s="194"/>
      <c r="W1169" s="194"/>
      <c r="X1169" s="194"/>
      <c r="Y1169" s="194"/>
      <c r="Z1169" s="194"/>
      <c r="AA1169" s="194"/>
      <c r="AB1169" s="194"/>
      <c r="AC1169" s="194"/>
      <c r="AD1169" s="194"/>
      <c r="AE1169" s="194"/>
      <c r="AF1169" s="194"/>
    </row>
    <row r="1170" spans="1:32" x14ac:dyDescent="0.25">
      <c r="A1170" s="194"/>
      <c r="B1170" s="194"/>
      <c r="C1170" s="194"/>
      <c r="D1170" s="194"/>
      <c r="E1170" s="194"/>
      <c r="F1170" s="194"/>
      <c r="G1170" s="194"/>
      <c r="H1170" s="194"/>
      <c r="I1170" s="194"/>
      <c r="J1170" s="194"/>
      <c r="K1170" s="194"/>
      <c r="L1170" s="194"/>
      <c r="M1170" s="194"/>
      <c r="N1170" s="194"/>
      <c r="O1170" s="194"/>
      <c r="P1170" s="194"/>
      <c r="Q1170" s="194"/>
      <c r="R1170" s="194"/>
      <c r="S1170" s="194"/>
      <c r="T1170" s="194"/>
      <c r="U1170" s="194"/>
      <c r="V1170" s="194"/>
      <c r="W1170" s="194"/>
      <c r="X1170" s="194"/>
      <c r="Y1170" s="194"/>
      <c r="Z1170" s="194"/>
      <c r="AA1170" s="194"/>
      <c r="AB1170" s="194"/>
      <c r="AC1170" s="194"/>
      <c r="AD1170" s="194"/>
      <c r="AE1170" s="194"/>
      <c r="AF1170" s="194"/>
    </row>
    <row r="1171" spans="1:32" x14ac:dyDescent="0.25">
      <c r="A1171" s="194"/>
      <c r="B1171" s="194"/>
      <c r="C1171" s="194"/>
      <c r="D1171" s="194"/>
      <c r="E1171" s="194"/>
      <c r="F1171" s="194"/>
      <c r="G1171" s="194"/>
      <c r="H1171" s="194"/>
      <c r="I1171" s="194"/>
      <c r="J1171" s="194"/>
      <c r="K1171" s="194"/>
      <c r="L1171" s="194"/>
      <c r="M1171" s="194"/>
      <c r="N1171" s="194"/>
      <c r="O1171" s="194"/>
      <c r="P1171" s="194"/>
      <c r="Q1171" s="194"/>
      <c r="R1171" s="194"/>
      <c r="S1171" s="194"/>
      <c r="T1171" s="194"/>
      <c r="U1171" s="194"/>
      <c r="V1171" s="194"/>
      <c r="W1171" s="194"/>
      <c r="X1171" s="194"/>
      <c r="Y1171" s="194"/>
      <c r="Z1171" s="194"/>
      <c r="AA1171" s="194"/>
      <c r="AB1171" s="194"/>
      <c r="AC1171" s="194"/>
      <c r="AD1171" s="194"/>
      <c r="AE1171" s="194"/>
      <c r="AF1171" s="194"/>
    </row>
    <row r="1172" spans="1:32" x14ac:dyDescent="0.25">
      <c r="A1172" s="194"/>
      <c r="B1172" s="194"/>
      <c r="C1172" s="194"/>
      <c r="D1172" s="194"/>
      <c r="E1172" s="194"/>
      <c r="F1172" s="194"/>
      <c r="G1172" s="194"/>
      <c r="H1172" s="194"/>
      <c r="I1172" s="194"/>
      <c r="J1172" s="194"/>
      <c r="K1172" s="194"/>
      <c r="L1172" s="194"/>
      <c r="M1172" s="194"/>
      <c r="N1172" s="194"/>
      <c r="O1172" s="194"/>
      <c r="P1172" s="194"/>
      <c r="Q1172" s="194"/>
      <c r="R1172" s="194"/>
      <c r="S1172" s="194"/>
      <c r="T1172" s="194"/>
      <c r="U1172" s="194"/>
      <c r="V1172" s="194"/>
      <c r="W1172" s="194"/>
      <c r="X1172" s="194"/>
      <c r="Y1172" s="194"/>
      <c r="Z1172" s="194"/>
      <c r="AA1172" s="194"/>
      <c r="AB1172" s="194"/>
      <c r="AC1172" s="194"/>
      <c r="AD1172" s="194"/>
      <c r="AE1172" s="194"/>
      <c r="AF1172" s="194"/>
    </row>
    <row r="1173" spans="1:32" x14ac:dyDescent="0.25">
      <c r="A1173" s="194"/>
      <c r="B1173" s="194"/>
      <c r="C1173" s="194"/>
      <c r="D1173" s="194"/>
      <c r="E1173" s="194"/>
      <c r="F1173" s="194"/>
      <c r="G1173" s="194"/>
      <c r="H1173" s="194"/>
      <c r="I1173" s="194"/>
      <c r="J1173" s="194"/>
      <c r="K1173" s="194"/>
      <c r="L1173" s="194"/>
      <c r="M1173" s="194"/>
      <c r="N1173" s="194"/>
      <c r="O1173" s="194"/>
      <c r="P1173" s="194"/>
      <c r="Q1173" s="194"/>
      <c r="R1173" s="194"/>
      <c r="S1173" s="194"/>
      <c r="T1173" s="194"/>
      <c r="U1173" s="194"/>
      <c r="V1173" s="194"/>
      <c r="W1173" s="194"/>
      <c r="X1173" s="194"/>
      <c r="Y1173" s="194"/>
      <c r="Z1173" s="194"/>
      <c r="AA1173" s="194"/>
      <c r="AB1173" s="194"/>
      <c r="AC1173" s="194"/>
      <c r="AD1173" s="194"/>
      <c r="AE1173" s="194"/>
      <c r="AF1173" s="194"/>
    </row>
    <row r="1174" spans="1:32" x14ac:dyDescent="0.25">
      <c r="A1174" s="194"/>
      <c r="B1174" s="194"/>
      <c r="C1174" s="194"/>
      <c r="D1174" s="194"/>
      <c r="E1174" s="194"/>
      <c r="F1174" s="194"/>
      <c r="G1174" s="194"/>
      <c r="H1174" s="194"/>
      <c r="I1174" s="194"/>
      <c r="J1174" s="194"/>
      <c r="K1174" s="194"/>
      <c r="L1174" s="194"/>
      <c r="M1174" s="194"/>
      <c r="N1174" s="194"/>
      <c r="O1174" s="194"/>
      <c r="P1174" s="194"/>
      <c r="Q1174" s="194"/>
      <c r="R1174" s="194"/>
      <c r="S1174" s="194"/>
      <c r="T1174" s="194"/>
      <c r="U1174" s="194"/>
      <c r="V1174" s="194"/>
      <c r="W1174" s="194"/>
      <c r="X1174" s="194"/>
      <c r="Y1174" s="194"/>
      <c r="Z1174" s="194"/>
      <c r="AA1174" s="194"/>
      <c r="AB1174" s="194"/>
      <c r="AC1174" s="194"/>
      <c r="AD1174" s="194"/>
      <c r="AE1174" s="194"/>
      <c r="AF1174" s="194"/>
    </row>
    <row r="1175" spans="1:32" x14ac:dyDescent="0.25">
      <c r="A1175" s="194"/>
      <c r="B1175" s="194"/>
      <c r="C1175" s="194"/>
      <c r="D1175" s="194"/>
      <c r="E1175" s="194"/>
      <c r="F1175" s="194"/>
      <c r="G1175" s="194"/>
      <c r="H1175" s="194"/>
      <c r="I1175" s="194"/>
      <c r="J1175" s="194"/>
      <c r="K1175" s="194"/>
      <c r="L1175" s="194"/>
      <c r="M1175" s="194"/>
      <c r="N1175" s="194"/>
      <c r="O1175" s="194"/>
      <c r="P1175" s="194"/>
      <c r="Q1175" s="194"/>
      <c r="R1175" s="194"/>
      <c r="S1175" s="194"/>
      <c r="T1175" s="194"/>
      <c r="U1175" s="194"/>
      <c r="V1175" s="194"/>
      <c r="W1175" s="194"/>
      <c r="X1175" s="194"/>
      <c r="Y1175" s="194"/>
      <c r="Z1175" s="194"/>
      <c r="AA1175" s="194"/>
      <c r="AB1175" s="194"/>
      <c r="AC1175" s="194"/>
      <c r="AD1175" s="194"/>
      <c r="AE1175" s="194"/>
      <c r="AF1175" s="194"/>
    </row>
    <row r="1176" spans="1:32" x14ac:dyDescent="0.25">
      <c r="A1176" s="194"/>
      <c r="B1176" s="194"/>
      <c r="C1176" s="194"/>
      <c r="D1176" s="194"/>
      <c r="E1176" s="194"/>
      <c r="F1176" s="194"/>
      <c r="G1176" s="194"/>
      <c r="H1176" s="194"/>
      <c r="I1176" s="194"/>
      <c r="J1176" s="194"/>
      <c r="K1176" s="194"/>
      <c r="L1176" s="194"/>
      <c r="M1176" s="194"/>
      <c r="N1176" s="194"/>
      <c r="O1176" s="194"/>
      <c r="P1176" s="194"/>
      <c r="Q1176" s="194"/>
      <c r="R1176" s="194"/>
      <c r="S1176" s="194"/>
      <c r="T1176" s="194"/>
      <c r="U1176" s="194"/>
      <c r="V1176" s="194"/>
      <c r="W1176" s="194"/>
      <c r="X1176" s="194"/>
      <c r="Y1176" s="194"/>
      <c r="Z1176" s="194"/>
      <c r="AA1176" s="194"/>
      <c r="AB1176" s="194"/>
      <c r="AC1176" s="194"/>
      <c r="AD1176" s="194"/>
      <c r="AE1176" s="194"/>
      <c r="AF1176" s="194"/>
    </row>
    <row r="1177" spans="1:32" x14ac:dyDescent="0.25">
      <c r="A1177" s="194"/>
      <c r="B1177" s="194"/>
      <c r="C1177" s="194"/>
      <c r="D1177" s="194"/>
      <c r="E1177" s="194"/>
      <c r="F1177" s="194"/>
      <c r="G1177" s="194"/>
      <c r="H1177" s="194"/>
      <c r="I1177" s="194"/>
      <c r="J1177" s="194"/>
      <c r="K1177" s="194"/>
      <c r="L1177" s="194"/>
      <c r="M1177" s="194"/>
      <c r="N1177" s="194"/>
      <c r="O1177" s="194"/>
      <c r="P1177" s="194"/>
      <c r="Q1177" s="194"/>
      <c r="R1177" s="194"/>
      <c r="S1177" s="194"/>
      <c r="T1177" s="194"/>
      <c r="U1177" s="194"/>
      <c r="V1177" s="194"/>
      <c r="W1177" s="194"/>
      <c r="X1177" s="194"/>
      <c r="Y1177" s="194"/>
      <c r="Z1177" s="194"/>
      <c r="AA1177" s="194"/>
      <c r="AB1177" s="194"/>
      <c r="AC1177" s="194"/>
      <c r="AD1177" s="194"/>
      <c r="AE1177" s="194"/>
      <c r="AF1177" s="194"/>
    </row>
    <row r="1178" spans="1:32" x14ac:dyDescent="0.25">
      <c r="A1178" s="194"/>
      <c r="B1178" s="194"/>
      <c r="C1178" s="194"/>
      <c r="D1178" s="194"/>
      <c r="E1178" s="194"/>
      <c r="F1178" s="194"/>
      <c r="G1178" s="194"/>
      <c r="H1178" s="194"/>
      <c r="I1178" s="194"/>
      <c r="J1178" s="194"/>
      <c r="K1178" s="194"/>
      <c r="L1178" s="194"/>
      <c r="M1178" s="194"/>
      <c r="N1178" s="194"/>
      <c r="O1178" s="194"/>
      <c r="P1178" s="194"/>
      <c r="Q1178" s="194"/>
      <c r="R1178" s="194"/>
      <c r="S1178" s="194"/>
      <c r="T1178" s="194"/>
      <c r="U1178" s="194"/>
      <c r="V1178" s="194"/>
      <c r="W1178" s="194"/>
      <c r="X1178" s="194"/>
      <c r="Y1178" s="194"/>
      <c r="Z1178" s="194"/>
      <c r="AA1178" s="194"/>
      <c r="AB1178" s="194"/>
      <c r="AC1178" s="194"/>
      <c r="AD1178" s="194"/>
      <c r="AE1178" s="194"/>
      <c r="AF1178" s="194"/>
    </row>
    <row r="1179" spans="1:32" x14ac:dyDescent="0.25">
      <c r="A1179" s="194"/>
      <c r="B1179" s="194"/>
      <c r="C1179" s="194"/>
      <c r="D1179" s="194"/>
      <c r="E1179" s="194"/>
      <c r="F1179" s="194"/>
      <c r="G1179" s="194"/>
      <c r="H1179" s="194"/>
      <c r="I1179" s="194"/>
      <c r="J1179" s="194"/>
      <c r="K1179" s="194"/>
      <c r="L1179" s="194"/>
      <c r="M1179" s="194"/>
      <c r="N1179" s="194"/>
      <c r="O1179" s="194"/>
      <c r="P1179" s="194"/>
      <c r="Q1179" s="194"/>
      <c r="R1179" s="194"/>
      <c r="S1179" s="194"/>
      <c r="T1179" s="194"/>
      <c r="U1179" s="194"/>
      <c r="V1179" s="194"/>
      <c r="W1179" s="194"/>
      <c r="X1179" s="194"/>
      <c r="Y1179" s="194"/>
      <c r="Z1179" s="194"/>
      <c r="AA1179" s="194"/>
      <c r="AB1179" s="194"/>
      <c r="AC1179" s="194"/>
      <c r="AD1179" s="194"/>
      <c r="AE1179" s="194"/>
      <c r="AF1179" s="194"/>
    </row>
    <row r="1180" spans="1:32" x14ac:dyDescent="0.25">
      <c r="A1180" s="194"/>
      <c r="B1180" s="194"/>
      <c r="C1180" s="194"/>
      <c r="D1180" s="194"/>
      <c r="E1180" s="194"/>
      <c r="F1180" s="194"/>
      <c r="G1180" s="194"/>
      <c r="H1180" s="194"/>
      <c r="I1180" s="194"/>
      <c r="J1180" s="194"/>
      <c r="K1180" s="194"/>
      <c r="L1180" s="194"/>
      <c r="M1180" s="194"/>
      <c r="N1180" s="194"/>
      <c r="O1180" s="194"/>
      <c r="P1180" s="194"/>
      <c r="Q1180" s="194"/>
      <c r="R1180" s="194"/>
      <c r="S1180" s="194"/>
      <c r="T1180" s="194"/>
      <c r="U1180" s="194"/>
      <c r="V1180" s="194"/>
      <c r="W1180" s="194"/>
      <c r="X1180" s="194"/>
      <c r="Y1180" s="194"/>
      <c r="Z1180" s="194"/>
      <c r="AA1180" s="194"/>
      <c r="AB1180" s="194"/>
      <c r="AC1180" s="194"/>
      <c r="AD1180" s="194"/>
      <c r="AE1180" s="194"/>
      <c r="AF1180" s="194"/>
    </row>
    <row r="1181" spans="1:32" x14ac:dyDescent="0.25">
      <c r="A1181" s="194"/>
      <c r="B1181" s="194"/>
      <c r="C1181" s="194"/>
      <c r="D1181" s="194"/>
      <c r="E1181" s="194"/>
      <c r="F1181" s="194"/>
      <c r="G1181" s="194"/>
      <c r="H1181" s="194"/>
      <c r="I1181" s="194"/>
      <c r="J1181" s="194"/>
      <c r="K1181" s="194"/>
      <c r="L1181" s="194"/>
      <c r="M1181" s="194"/>
      <c r="N1181" s="194"/>
      <c r="O1181" s="194"/>
      <c r="P1181" s="194"/>
      <c r="Q1181" s="194"/>
      <c r="R1181" s="194"/>
      <c r="S1181" s="194"/>
      <c r="T1181" s="194"/>
      <c r="U1181" s="194"/>
      <c r="V1181" s="194"/>
      <c r="W1181" s="194"/>
      <c r="X1181" s="194"/>
      <c r="Y1181" s="194"/>
      <c r="Z1181" s="194"/>
      <c r="AA1181" s="194"/>
      <c r="AB1181" s="194"/>
      <c r="AC1181" s="194"/>
      <c r="AD1181" s="194"/>
      <c r="AE1181" s="194"/>
      <c r="AF1181" s="194"/>
    </row>
    <row r="1182" spans="1:32" x14ac:dyDescent="0.25">
      <c r="A1182" s="194"/>
      <c r="B1182" s="194"/>
      <c r="C1182" s="194"/>
      <c r="D1182" s="194"/>
      <c r="E1182" s="194"/>
      <c r="F1182" s="194"/>
      <c r="G1182" s="194"/>
      <c r="H1182" s="194"/>
      <c r="I1182" s="194"/>
      <c r="J1182" s="194"/>
      <c r="K1182" s="194"/>
      <c r="L1182" s="194"/>
      <c r="M1182" s="194"/>
      <c r="N1182" s="194"/>
      <c r="O1182" s="194"/>
      <c r="P1182" s="194"/>
      <c r="Q1182" s="194"/>
      <c r="R1182" s="194"/>
      <c r="S1182" s="194"/>
      <c r="T1182" s="194"/>
      <c r="U1182" s="194"/>
      <c r="V1182" s="194"/>
      <c r="W1182" s="194"/>
      <c r="X1182" s="194"/>
      <c r="Y1182" s="194"/>
      <c r="Z1182" s="194"/>
      <c r="AA1182" s="194"/>
      <c r="AB1182" s="194"/>
      <c r="AC1182" s="194"/>
      <c r="AD1182" s="194"/>
      <c r="AE1182" s="194"/>
      <c r="AF1182" s="194"/>
    </row>
    <row r="1183" spans="1:32" x14ac:dyDescent="0.25">
      <c r="A1183" s="194"/>
      <c r="B1183" s="194"/>
      <c r="C1183" s="194"/>
      <c r="D1183" s="194"/>
      <c r="E1183" s="194"/>
      <c r="F1183" s="194"/>
      <c r="G1183" s="194"/>
      <c r="H1183" s="194"/>
      <c r="I1183" s="194"/>
      <c r="J1183" s="194"/>
      <c r="K1183" s="194"/>
      <c r="L1183" s="194"/>
      <c r="M1183" s="194"/>
      <c r="N1183" s="194"/>
      <c r="O1183" s="194"/>
      <c r="P1183" s="194"/>
      <c r="Q1183" s="194"/>
      <c r="R1183" s="194"/>
      <c r="S1183" s="194"/>
      <c r="T1183" s="194"/>
      <c r="U1183" s="194"/>
      <c r="V1183" s="194"/>
      <c r="W1183" s="194"/>
      <c r="X1183" s="194"/>
      <c r="Y1183" s="194"/>
      <c r="Z1183" s="194"/>
      <c r="AA1183" s="194"/>
      <c r="AB1183" s="194"/>
      <c r="AC1183" s="194"/>
      <c r="AD1183" s="194"/>
      <c r="AE1183" s="194"/>
      <c r="AF1183" s="194"/>
    </row>
    <row r="1184" spans="1:32" x14ac:dyDescent="0.25">
      <c r="A1184" s="194"/>
      <c r="B1184" s="194"/>
      <c r="C1184" s="194"/>
      <c r="D1184" s="194"/>
      <c r="E1184" s="194"/>
      <c r="F1184" s="194"/>
      <c r="G1184" s="194"/>
      <c r="H1184" s="194"/>
      <c r="I1184" s="194"/>
      <c r="J1184" s="194"/>
      <c r="K1184" s="194"/>
      <c r="L1184" s="194"/>
      <c r="M1184" s="194"/>
      <c r="N1184" s="194"/>
      <c r="O1184" s="194"/>
      <c r="P1184" s="194"/>
      <c r="Q1184" s="194"/>
      <c r="R1184" s="194"/>
      <c r="S1184" s="194"/>
      <c r="T1184" s="194"/>
      <c r="U1184" s="194"/>
      <c r="V1184" s="194"/>
      <c r="W1184" s="194"/>
      <c r="X1184" s="194"/>
      <c r="Y1184" s="194"/>
      <c r="Z1184" s="194"/>
      <c r="AA1184" s="194"/>
      <c r="AB1184" s="194"/>
      <c r="AC1184" s="194"/>
      <c r="AD1184" s="194"/>
      <c r="AE1184" s="194"/>
      <c r="AF1184" s="194"/>
    </row>
    <row r="1185" spans="1:32" x14ac:dyDescent="0.25">
      <c r="A1185" s="194"/>
      <c r="B1185" s="194"/>
      <c r="C1185" s="194"/>
      <c r="D1185" s="194"/>
      <c r="E1185" s="194"/>
      <c r="F1185" s="194"/>
      <c r="G1185" s="194"/>
      <c r="H1185" s="194"/>
      <c r="I1185" s="194"/>
      <c r="J1185" s="194"/>
      <c r="K1185" s="194"/>
      <c r="L1185" s="194"/>
      <c r="M1185" s="194"/>
      <c r="N1185" s="194"/>
      <c r="O1185" s="194"/>
      <c r="P1185" s="194"/>
      <c r="Q1185" s="194"/>
      <c r="R1185" s="194"/>
      <c r="S1185" s="194"/>
      <c r="T1185" s="194"/>
      <c r="U1185" s="194"/>
      <c r="V1185" s="194"/>
      <c r="W1185" s="194"/>
      <c r="X1185" s="194"/>
      <c r="Y1185" s="194"/>
      <c r="Z1185" s="194"/>
      <c r="AA1185" s="194"/>
      <c r="AB1185" s="194"/>
      <c r="AC1185" s="194"/>
      <c r="AD1185" s="194"/>
      <c r="AE1185" s="194"/>
      <c r="AF1185" s="194"/>
    </row>
    <row r="1186" spans="1:32" x14ac:dyDescent="0.25">
      <c r="A1186" s="194"/>
      <c r="B1186" s="194"/>
      <c r="C1186" s="194"/>
      <c r="D1186" s="194"/>
      <c r="E1186" s="194"/>
      <c r="F1186" s="194"/>
      <c r="G1186" s="194"/>
      <c r="H1186" s="194"/>
      <c r="I1186" s="194"/>
      <c r="J1186" s="194"/>
      <c r="K1186" s="194"/>
      <c r="L1186" s="194"/>
      <c r="M1186" s="194"/>
      <c r="N1186" s="194"/>
      <c r="O1186" s="194"/>
      <c r="P1186" s="194"/>
      <c r="Q1186" s="194"/>
      <c r="R1186" s="194"/>
      <c r="S1186" s="194"/>
      <c r="T1186" s="194"/>
      <c r="U1186" s="194"/>
      <c r="V1186" s="194"/>
      <c r="W1186" s="194"/>
      <c r="X1186" s="194"/>
      <c r="Y1186" s="194"/>
      <c r="Z1186" s="194"/>
      <c r="AA1186" s="194"/>
      <c r="AB1186" s="194"/>
      <c r="AC1186" s="194"/>
      <c r="AD1186" s="194"/>
      <c r="AE1186" s="194"/>
      <c r="AF1186" s="194"/>
    </row>
    <row r="1187" spans="1:32" x14ac:dyDescent="0.25">
      <c r="A1187" s="194"/>
      <c r="B1187" s="194"/>
      <c r="C1187" s="194"/>
      <c r="D1187" s="194"/>
      <c r="E1187" s="194"/>
      <c r="F1187" s="194"/>
      <c r="G1187" s="194"/>
      <c r="H1187" s="194"/>
      <c r="I1187" s="194"/>
      <c r="J1187" s="194"/>
      <c r="K1187" s="194"/>
      <c r="L1187" s="194"/>
      <c r="M1187" s="194"/>
      <c r="N1187" s="194"/>
      <c r="O1187" s="194"/>
      <c r="P1187" s="194"/>
      <c r="Q1187" s="194"/>
      <c r="R1187" s="194"/>
      <c r="S1187" s="194"/>
      <c r="T1187" s="194"/>
      <c r="U1187" s="194"/>
      <c r="V1187" s="194"/>
      <c r="W1187" s="194"/>
      <c r="X1187" s="194"/>
      <c r="Y1187" s="194"/>
      <c r="Z1187" s="194"/>
      <c r="AA1187" s="194"/>
      <c r="AB1187" s="194"/>
      <c r="AC1187" s="194"/>
      <c r="AD1187" s="194"/>
      <c r="AE1187" s="194"/>
      <c r="AF1187" s="194"/>
    </row>
    <row r="1188" spans="1:32" x14ac:dyDescent="0.25">
      <c r="A1188" s="194"/>
      <c r="B1188" s="194"/>
      <c r="C1188" s="194"/>
      <c r="D1188" s="194"/>
      <c r="E1188" s="194"/>
      <c r="F1188" s="194"/>
      <c r="G1188" s="194"/>
      <c r="H1188" s="194"/>
      <c r="I1188" s="194"/>
      <c r="J1188" s="194"/>
      <c r="K1188" s="194"/>
      <c r="L1188" s="194"/>
      <c r="M1188" s="194"/>
      <c r="N1188" s="194"/>
      <c r="O1188" s="194"/>
      <c r="P1188" s="194"/>
      <c r="Q1188" s="194"/>
      <c r="R1188" s="194"/>
      <c r="S1188" s="194"/>
      <c r="T1188" s="194"/>
      <c r="U1188" s="194"/>
      <c r="V1188" s="194"/>
      <c r="W1188" s="194"/>
      <c r="X1188" s="194"/>
      <c r="Y1188" s="194"/>
      <c r="Z1188" s="194"/>
      <c r="AA1188" s="194"/>
      <c r="AB1188" s="194"/>
      <c r="AC1188" s="194"/>
      <c r="AD1188" s="194"/>
      <c r="AE1188" s="194"/>
      <c r="AF1188" s="194"/>
    </row>
    <row r="1189" spans="1:32" x14ac:dyDescent="0.25">
      <c r="A1189" s="194"/>
      <c r="B1189" s="194"/>
      <c r="C1189" s="194"/>
      <c r="D1189" s="194"/>
      <c r="E1189" s="194"/>
      <c r="F1189" s="194"/>
      <c r="G1189" s="194"/>
      <c r="H1189" s="194"/>
      <c r="I1189" s="194"/>
      <c r="J1189" s="194"/>
      <c r="K1189" s="194"/>
      <c r="L1189" s="194"/>
      <c r="M1189" s="194"/>
      <c r="N1189" s="194"/>
      <c r="O1189" s="194"/>
      <c r="P1189" s="194"/>
      <c r="Q1189" s="194"/>
      <c r="R1189" s="194"/>
      <c r="S1189" s="194"/>
      <c r="T1189" s="194"/>
      <c r="U1189" s="194"/>
      <c r="V1189" s="194"/>
      <c r="W1189" s="194"/>
      <c r="X1189" s="194"/>
      <c r="Y1189" s="194"/>
      <c r="Z1189" s="194"/>
      <c r="AA1189" s="194"/>
      <c r="AB1189" s="194"/>
      <c r="AC1189" s="194"/>
      <c r="AD1189" s="194"/>
      <c r="AE1189" s="194"/>
      <c r="AF1189" s="194"/>
    </row>
    <row r="1190" spans="1:32" x14ac:dyDescent="0.25">
      <c r="A1190" s="194"/>
      <c r="B1190" s="194"/>
      <c r="C1190" s="194"/>
      <c r="D1190" s="194"/>
      <c r="E1190" s="194"/>
      <c r="F1190" s="194"/>
      <c r="G1190" s="194"/>
      <c r="H1190" s="194"/>
      <c r="I1190" s="194"/>
      <c r="J1190" s="194"/>
      <c r="K1190" s="194"/>
      <c r="L1190" s="194"/>
      <c r="M1190" s="194"/>
      <c r="N1190" s="194"/>
      <c r="O1190" s="194"/>
      <c r="P1190" s="194"/>
      <c r="Q1190" s="194"/>
      <c r="R1190" s="194"/>
      <c r="S1190" s="194"/>
      <c r="T1190" s="194"/>
      <c r="U1190" s="194"/>
      <c r="V1190" s="194"/>
      <c r="W1190" s="194"/>
      <c r="X1190" s="194"/>
      <c r="Y1190" s="194"/>
      <c r="Z1190" s="194"/>
      <c r="AA1190" s="194"/>
      <c r="AB1190" s="194"/>
      <c r="AC1190" s="194"/>
      <c r="AD1190" s="194"/>
      <c r="AE1190" s="194"/>
      <c r="AF1190" s="194"/>
    </row>
    <row r="1191" spans="1:32" x14ac:dyDescent="0.25">
      <c r="A1191" s="194"/>
      <c r="B1191" s="194"/>
      <c r="C1191" s="194"/>
      <c r="D1191" s="194"/>
      <c r="E1191" s="194"/>
      <c r="F1191" s="194"/>
      <c r="G1191" s="194"/>
      <c r="H1191" s="194"/>
      <c r="I1191" s="194"/>
      <c r="J1191" s="194"/>
      <c r="K1191" s="194"/>
      <c r="L1191" s="194"/>
      <c r="M1191" s="194"/>
      <c r="N1191" s="194"/>
      <c r="O1191" s="194"/>
      <c r="P1191" s="194"/>
      <c r="Q1191" s="194"/>
      <c r="R1191" s="194"/>
      <c r="S1191" s="194"/>
      <c r="T1191" s="194"/>
      <c r="U1191" s="194"/>
      <c r="V1191" s="194"/>
      <c r="W1191" s="194"/>
      <c r="X1191" s="194"/>
      <c r="Y1191" s="194"/>
      <c r="Z1191" s="194"/>
      <c r="AA1191" s="194"/>
      <c r="AB1191" s="194"/>
      <c r="AC1191" s="194"/>
      <c r="AD1191" s="194"/>
      <c r="AE1191" s="194"/>
      <c r="AF1191" s="194"/>
    </row>
    <row r="1192" spans="1:32" x14ac:dyDescent="0.25">
      <c r="A1192" s="194"/>
      <c r="B1192" s="194"/>
      <c r="C1192" s="194"/>
      <c r="D1192" s="194"/>
      <c r="E1192" s="194"/>
      <c r="F1192" s="194"/>
      <c r="G1192" s="194"/>
      <c r="H1192" s="194"/>
      <c r="I1192" s="194"/>
      <c r="J1192" s="194"/>
      <c r="K1192" s="194"/>
      <c r="L1192" s="194"/>
      <c r="M1192" s="194"/>
      <c r="N1192" s="194"/>
      <c r="O1192" s="194"/>
      <c r="P1192" s="194"/>
      <c r="Q1192" s="194"/>
      <c r="R1192" s="194"/>
      <c r="S1192" s="194"/>
      <c r="T1192" s="194"/>
      <c r="U1192" s="194"/>
      <c r="V1192" s="194"/>
      <c r="W1192" s="194"/>
      <c r="X1192" s="194"/>
      <c r="Y1192" s="194"/>
      <c r="Z1192" s="194"/>
      <c r="AA1192" s="194"/>
      <c r="AB1192" s="194"/>
      <c r="AC1192" s="194"/>
      <c r="AD1192" s="194"/>
      <c r="AE1192" s="194"/>
      <c r="AF1192" s="194"/>
    </row>
    <row r="1193" spans="1:32" x14ac:dyDescent="0.25">
      <c r="A1193" s="194"/>
      <c r="B1193" s="194"/>
      <c r="C1193" s="194"/>
      <c r="D1193" s="194"/>
      <c r="E1193" s="194"/>
      <c r="F1193" s="194"/>
      <c r="G1193" s="194"/>
      <c r="H1193" s="194"/>
      <c r="I1193" s="194"/>
      <c r="J1193" s="194"/>
      <c r="K1193" s="194"/>
      <c r="L1193" s="194"/>
      <c r="M1193" s="194"/>
      <c r="N1193" s="194"/>
      <c r="O1193" s="194"/>
      <c r="P1193" s="194"/>
      <c r="Q1193" s="194"/>
      <c r="R1193" s="194"/>
      <c r="S1193" s="194"/>
      <c r="T1193" s="194"/>
      <c r="U1193" s="194"/>
      <c r="V1193" s="194"/>
      <c r="W1193" s="194"/>
      <c r="X1193" s="194"/>
      <c r="Y1193" s="194"/>
      <c r="Z1193" s="194"/>
      <c r="AA1193" s="194"/>
      <c r="AB1193" s="194"/>
      <c r="AC1193" s="194"/>
      <c r="AD1193" s="194"/>
      <c r="AE1193" s="194"/>
      <c r="AF1193" s="194"/>
    </row>
    <row r="1194" spans="1:32" x14ac:dyDescent="0.25">
      <c r="A1194" s="194"/>
      <c r="B1194" s="194"/>
      <c r="C1194" s="194"/>
      <c r="D1194" s="194"/>
      <c r="E1194" s="194"/>
      <c r="F1194" s="194"/>
      <c r="G1194" s="194"/>
      <c r="H1194" s="194"/>
      <c r="I1194" s="194"/>
      <c r="J1194" s="194"/>
      <c r="K1194" s="194"/>
      <c r="L1194" s="194"/>
      <c r="M1194" s="194"/>
      <c r="N1194" s="194"/>
      <c r="O1194" s="194"/>
      <c r="P1194" s="194"/>
      <c r="Q1194" s="194"/>
      <c r="R1194" s="194"/>
      <c r="S1194" s="194"/>
      <c r="T1194" s="194"/>
      <c r="U1194" s="194"/>
      <c r="V1194" s="194"/>
      <c r="W1194" s="194"/>
      <c r="X1194" s="194"/>
      <c r="Y1194" s="194"/>
      <c r="Z1194" s="194"/>
      <c r="AA1194" s="194"/>
      <c r="AB1194" s="194"/>
      <c r="AC1194" s="194"/>
      <c r="AD1194" s="194"/>
      <c r="AE1194" s="194"/>
      <c r="AF1194" s="194"/>
    </row>
    <row r="1195" spans="1:32" x14ac:dyDescent="0.25">
      <c r="A1195" s="194"/>
      <c r="B1195" s="194"/>
      <c r="C1195" s="194"/>
      <c r="D1195" s="194"/>
      <c r="E1195" s="194"/>
      <c r="F1195" s="194"/>
      <c r="G1195" s="194"/>
      <c r="H1195" s="194"/>
      <c r="I1195" s="194"/>
      <c r="J1195" s="194"/>
      <c r="K1195" s="194"/>
      <c r="L1195" s="194"/>
      <c r="M1195" s="194"/>
      <c r="N1195" s="194"/>
      <c r="O1195" s="194"/>
      <c r="P1195" s="194"/>
      <c r="Q1195" s="194"/>
      <c r="R1195" s="194"/>
      <c r="S1195" s="194"/>
      <c r="T1195" s="194"/>
      <c r="U1195" s="194"/>
      <c r="V1195" s="194"/>
      <c r="W1195" s="194"/>
      <c r="X1195" s="194"/>
      <c r="Y1195" s="194"/>
      <c r="Z1195" s="194"/>
      <c r="AA1195" s="194"/>
      <c r="AB1195" s="194"/>
      <c r="AC1195" s="194"/>
      <c r="AD1195" s="194"/>
      <c r="AE1195" s="194"/>
      <c r="AF1195" s="194"/>
    </row>
    <row r="1196" spans="1:32" x14ac:dyDescent="0.25">
      <c r="A1196" s="194"/>
      <c r="B1196" s="194"/>
      <c r="C1196" s="194"/>
      <c r="D1196" s="194"/>
      <c r="E1196" s="194"/>
      <c r="F1196" s="194"/>
      <c r="G1196" s="194"/>
      <c r="H1196" s="194"/>
      <c r="I1196" s="194"/>
      <c r="J1196" s="194"/>
      <c r="K1196" s="194"/>
      <c r="L1196" s="194"/>
      <c r="M1196" s="194"/>
      <c r="N1196" s="194"/>
      <c r="O1196" s="194"/>
      <c r="P1196" s="194"/>
      <c r="Q1196" s="194"/>
      <c r="R1196" s="194"/>
      <c r="S1196" s="194"/>
      <c r="T1196" s="194"/>
      <c r="U1196" s="194"/>
      <c r="V1196" s="194"/>
      <c r="W1196" s="194"/>
      <c r="X1196" s="194"/>
      <c r="Y1196" s="194"/>
      <c r="Z1196" s="194"/>
      <c r="AA1196" s="194"/>
      <c r="AB1196" s="194"/>
      <c r="AC1196" s="194"/>
      <c r="AD1196" s="194"/>
      <c r="AE1196" s="194"/>
      <c r="AF1196" s="194"/>
    </row>
    <row r="1197" spans="1:32" x14ac:dyDescent="0.25">
      <c r="A1197" s="194"/>
      <c r="B1197" s="194"/>
      <c r="C1197" s="194"/>
      <c r="D1197" s="194"/>
      <c r="E1197" s="194"/>
      <c r="F1197" s="194"/>
      <c r="G1197" s="194"/>
      <c r="H1197" s="194"/>
      <c r="I1197" s="194"/>
      <c r="J1197" s="194"/>
      <c r="K1197" s="194"/>
      <c r="L1197" s="194"/>
      <c r="M1197" s="194"/>
      <c r="N1197" s="194"/>
      <c r="O1197" s="194"/>
      <c r="P1197" s="194"/>
      <c r="Q1197" s="194"/>
      <c r="R1197" s="194"/>
      <c r="S1197" s="194"/>
      <c r="T1197" s="194"/>
      <c r="U1197" s="194"/>
      <c r="V1197" s="194"/>
      <c r="W1197" s="194"/>
      <c r="X1197" s="194"/>
      <c r="Y1197" s="194"/>
      <c r="Z1197" s="194"/>
      <c r="AA1197" s="194"/>
      <c r="AB1197" s="194"/>
      <c r="AC1197" s="194"/>
      <c r="AD1197" s="194"/>
      <c r="AE1197" s="194"/>
      <c r="AF1197" s="194"/>
    </row>
    <row r="1198" spans="1:32" x14ac:dyDescent="0.25">
      <c r="A1198" s="194"/>
      <c r="B1198" s="194"/>
      <c r="C1198" s="194"/>
      <c r="D1198" s="194"/>
      <c r="E1198" s="194"/>
      <c r="F1198" s="194"/>
      <c r="G1198" s="194"/>
      <c r="H1198" s="194"/>
      <c r="I1198" s="194"/>
      <c r="J1198" s="194"/>
      <c r="K1198" s="194"/>
      <c r="L1198" s="194"/>
      <c r="M1198" s="194"/>
      <c r="N1198" s="194"/>
      <c r="O1198" s="194"/>
      <c r="P1198" s="194"/>
      <c r="Q1198" s="194"/>
      <c r="R1198" s="194"/>
      <c r="S1198" s="194"/>
      <c r="T1198" s="194"/>
      <c r="U1198" s="194"/>
      <c r="V1198" s="194"/>
      <c r="W1198" s="194"/>
      <c r="X1198" s="194"/>
      <c r="Y1198" s="194"/>
      <c r="Z1198" s="194"/>
      <c r="AA1198" s="194"/>
      <c r="AB1198" s="194"/>
      <c r="AC1198" s="194"/>
      <c r="AD1198" s="194"/>
      <c r="AE1198" s="194"/>
      <c r="AF1198" s="194"/>
    </row>
    <row r="1199" spans="1:32" x14ac:dyDescent="0.25">
      <c r="A1199" s="194"/>
      <c r="B1199" s="194"/>
      <c r="C1199" s="194"/>
      <c r="D1199" s="194"/>
      <c r="E1199" s="194"/>
      <c r="F1199" s="194"/>
      <c r="G1199" s="194"/>
      <c r="H1199" s="194"/>
      <c r="I1199" s="194"/>
      <c r="J1199" s="194"/>
      <c r="K1199" s="194"/>
      <c r="L1199" s="194"/>
      <c r="M1199" s="194"/>
      <c r="N1199" s="194"/>
      <c r="O1199" s="194"/>
      <c r="P1199" s="194"/>
      <c r="Q1199" s="194"/>
      <c r="R1199" s="194"/>
      <c r="S1199" s="194"/>
      <c r="T1199" s="194"/>
      <c r="U1199" s="194"/>
      <c r="V1199" s="194"/>
      <c r="W1199" s="194"/>
      <c r="X1199" s="194"/>
      <c r="Y1199" s="194"/>
      <c r="Z1199" s="194"/>
      <c r="AA1199" s="194"/>
      <c r="AB1199" s="194"/>
      <c r="AC1199" s="194"/>
      <c r="AD1199" s="194"/>
      <c r="AE1199" s="194"/>
      <c r="AF1199" s="194"/>
    </row>
    <row r="1200" spans="1:32" x14ac:dyDescent="0.25">
      <c r="A1200" s="194"/>
      <c r="B1200" s="194"/>
      <c r="C1200" s="194"/>
      <c r="D1200" s="194"/>
      <c r="E1200" s="194"/>
      <c r="F1200" s="194"/>
      <c r="G1200" s="194"/>
      <c r="H1200" s="194"/>
      <c r="I1200" s="194"/>
      <c r="J1200" s="194"/>
      <c r="K1200" s="194"/>
      <c r="L1200" s="194"/>
      <c r="M1200" s="194"/>
      <c r="N1200" s="194"/>
      <c r="O1200" s="194"/>
      <c r="P1200" s="194"/>
      <c r="Q1200" s="194"/>
      <c r="R1200" s="194"/>
      <c r="S1200" s="194"/>
      <c r="T1200" s="194"/>
      <c r="U1200" s="194"/>
      <c r="V1200" s="194"/>
      <c r="W1200" s="194"/>
      <c r="X1200" s="194"/>
      <c r="Y1200" s="194"/>
      <c r="Z1200" s="194"/>
      <c r="AA1200" s="194"/>
      <c r="AB1200" s="194"/>
      <c r="AC1200" s="194"/>
      <c r="AD1200" s="194"/>
      <c r="AE1200" s="194"/>
      <c r="AF1200" s="194"/>
    </row>
    <row r="1201" spans="1:32" x14ac:dyDescent="0.25">
      <c r="A1201" s="194"/>
      <c r="B1201" s="194"/>
      <c r="C1201" s="194"/>
      <c r="D1201" s="194"/>
      <c r="E1201" s="194"/>
      <c r="F1201" s="194"/>
      <c r="G1201" s="194"/>
      <c r="H1201" s="194"/>
      <c r="I1201" s="194"/>
      <c r="J1201" s="194"/>
      <c r="K1201" s="194"/>
      <c r="L1201" s="194"/>
      <c r="M1201" s="194"/>
      <c r="N1201" s="194"/>
      <c r="O1201" s="194"/>
      <c r="P1201" s="194"/>
      <c r="Q1201" s="194"/>
      <c r="R1201" s="194"/>
      <c r="S1201" s="194"/>
      <c r="T1201" s="194"/>
      <c r="U1201" s="194"/>
      <c r="V1201" s="194"/>
      <c r="W1201" s="194"/>
      <c r="X1201" s="194"/>
      <c r="Y1201" s="194"/>
      <c r="Z1201" s="194"/>
      <c r="AA1201" s="194"/>
      <c r="AB1201" s="194"/>
      <c r="AC1201" s="194"/>
      <c r="AD1201" s="194"/>
      <c r="AE1201" s="194"/>
      <c r="AF1201" s="194"/>
    </row>
    <row r="1202" spans="1:32" x14ac:dyDescent="0.25">
      <c r="A1202" s="194"/>
      <c r="B1202" s="194"/>
      <c r="C1202" s="194"/>
      <c r="D1202" s="194"/>
      <c r="E1202" s="194"/>
      <c r="F1202" s="194"/>
      <c r="G1202" s="194"/>
      <c r="H1202" s="194"/>
      <c r="I1202" s="194"/>
      <c r="J1202" s="194"/>
      <c r="K1202" s="194"/>
      <c r="L1202" s="194"/>
      <c r="M1202" s="194"/>
      <c r="N1202" s="194"/>
      <c r="O1202" s="194"/>
      <c r="P1202" s="194"/>
      <c r="Q1202" s="194"/>
      <c r="R1202" s="194"/>
      <c r="S1202" s="194"/>
      <c r="T1202" s="194"/>
      <c r="U1202" s="194"/>
      <c r="V1202" s="194"/>
      <c r="W1202" s="194"/>
      <c r="X1202" s="194"/>
      <c r="Y1202" s="194"/>
      <c r="Z1202" s="194"/>
      <c r="AA1202" s="194"/>
      <c r="AB1202" s="194"/>
      <c r="AC1202" s="194"/>
      <c r="AD1202" s="194"/>
      <c r="AE1202" s="194"/>
      <c r="AF1202" s="194"/>
    </row>
    <row r="1203" spans="1:32" x14ac:dyDescent="0.25">
      <c r="A1203" s="194"/>
      <c r="B1203" s="194"/>
      <c r="C1203" s="194"/>
      <c r="D1203" s="194"/>
      <c r="E1203" s="194"/>
      <c r="F1203" s="194"/>
      <c r="G1203" s="194"/>
      <c r="H1203" s="194"/>
      <c r="I1203" s="194"/>
      <c r="J1203" s="194"/>
      <c r="K1203" s="194"/>
      <c r="L1203" s="194"/>
      <c r="M1203" s="194"/>
      <c r="N1203" s="194"/>
      <c r="O1203" s="194"/>
      <c r="P1203" s="194"/>
      <c r="Q1203" s="194"/>
      <c r="R1203" s="194"/>
      <c r="S1203" s="194"/>
      <c r="T1203" s="194"/>
      <c r="U1203" s="194"/>
      <c r="V1203" s="194"/>
      <c r="W1203" s="194"/>
      <c r="X1203" s="194"/>
      <c r="Y1203" s="194"/>
      <c r="Z1203" s="194"/>
      <c r="AA1203" s="194"/>
      <c r="AB1203" s="194"/>
      <c r="AC1203" s="194"/>
      <c r="AD1203" s="194"/>
      <c r="AE1203" s="194"/>
      <c r="AF1203" s="194"/>
    </row>
    <row r="1204" spans="1:32" x14ac:dyDescent="0.25">
      <c r="A1204" s="194"/>
      <c r="B1204" s="194"/>
      <c r="C1204" s="194"/>
      <c r="D1204" s="194"/>
      <c r="E1204" s="194"/>
      <c r="F1204" s="194"/>
      <c r="G1204" s="194"/>
      <c r="H1204" s="194"/>
      <c r="I1204" s="194"/>
      <c r="J1204" s="194"/>
      <c r="K1204" s="194"/>
      <c r="L1204" s="194"/>
      <c r="M1204" s="194"/>
      <c r="N1204" s="194"/>
      <c r="O1204" s="194"/>
      <c r="P1204" s="194"/>
      <c r="Q1204" s="194"/>
      <c r="R1204" s="194"/>
      <c r="S1204" s="194"/>
      <c r="T1204" s="194"/>
      <c r="U1204" s="194"/>
      <c r="V1204" s="194"/>
      <c r="W1204" s="194"/>
      <c r="X1204" s="194"/>
      <c r="Y1204" s="194"/>
      <c r="Z1204" s="194"/>
      <c r="AA1204" s="194"/>
      <c r="AB1204" s="194"/>
      <c r="AC1204" s="194"/>
      <c r="AD1204" s="194"/>
      <c r="AE1204" s="194"/>
      <c r="AF1204" s="194"/>
    </row>
    <row r="1205" spans="1:32" x14ac:dyDescent="0.25">
      <c r="A1205" s="194"/>
      <c r="B1205" s="194"/>
      <c r="C1205" s="194"/>
      <c r="D1205" s="194"/>
      <c r="E1205" s="194"/>
      <c r="F1205" s="194"/>
      <c r="G1205" s="194"/>
      <c r="H1205" s="194"/>
      <c r="I1205" s="194"/>
      <c r="J1205" s="194"/>
      <c r="K1205" s="194"/>
      <c r="L1205" s="194"/>
      <c r="M1205" s="194"/>
      <c r="N1205" s="194"/>
      <c r="O1205" s="194"/>
      <c r="P1205" s="194"/>
      <c r="Q1205" s="194"/>
      <c r="R1205" s="194"/>
      <c r="S1205" s="194"/>
      <c r="T1205" s="194"/>
      <c r="U1205" s="194"/>
      <c r="V1205" s="194"/>
      <c r="W1205" s="194"/>
      <c r="X1205" s="194"/>
      <c r="Y1205" s="194"/>
      <c r="Z1205" s="194"/>
      <c r="AA1205" s="194"/>
      <c r="AB1205" s="194"/>
      <c r="AC1205" s="194"/>
      <c r="AD1205" s="194"/>
      <c r="AE1205" s="194"/>
      <c r="AF1205" s="194"/>
    </row>
    <row r="1206" spans="1:32" x14ac:dyDescent="0.25">
      <c r="A1206" s="194"/>
      <c r="B1206" s="194"/>
      <c r="C1206" s="194"/>
      <c r="D1206" s="194"/>
      <c r="E1206" s="194"/>
      <c r="F1206" s="194"/>
      <c r="G1206" s="194"/>
      <c r="H1206" s="194"/>
      <c r="I1206" s="194"/>
      <c r="J1206" s="194"/>
      <c r="K1206" s="194"/>
      <c r="L1206" s="194"/>
      <c r="M1206" s="194"/>
      <c r="N1206" s="194"/>
      <c r="O1206" s="194"/>
      <c r="P1206" s="194"/>
      <c r="Q1206" s="194"/>
      <c r="R1206" s="194"/>
      <c r="S1206" s="194"/>
      <c r="T1206" s="194"/>
      <c r="U1206" s="194"/>
      <c r="V1206" s="194"/>
      <c r="W1206" s="194"/>
      <c r="X1206" s="194"/>
      <c r="Y1206" s="194"/>
      <c r="Z1206" s="194"/>
      <c r="AA1206" s="194"/>
      <c r="AB1206" s="194"/>
      <c r="AC1206" s="194"/>
      <c r="AD1206" s="194"/>
      <c r="AE1206" s="194"/>
      <c r="AF1206" s="194"/>
    </row>
    <row r="1207" spans="1:32" x14ac:dyDescent="0.25">
      <c r="A1207" s="194"/>
      <c r="B1207" s="194"/>
      <c r="C1207" s="194"/>
      <c r="D1207" s="194"/>
      <c r="E1207" s="194"/>
      <c r="F1207" s="194"/>
      <c r="G1207" s="194"/>
      <c r="H1207" s="194"/>
      <c r="I1207" s="194"/>
      <c r="J1207" s="194"/>
      <c r="K1207" s="194"/>
      <c r="L1207" s="194"/>
      <c r="M1207" s="194"/>
      <c r="N1207" s="194"/>
      <c r="O1207" s="194"/>
      <c r="P1207" s="194"/>
      <c r="Q1207" s="194"/>
      <c r="R1207" s="194"/>
      <c r="S1207" s="194"/>
      <c r="T1207" s="194"/>
      <c r="U1207" s="194"/>
      <c r="V1207" s="194"/>
      <c r="W1207" s="194"/>
      <c r="X1207" s="194"/>
      <c r="Y1207" s="194"/>
      <c r="Z1207" s="194"/>
      <c r="AA1207" s="194"/>
      <c r="AB1207" s="194"/>
      <c r="AC1207" s="194"/>
      <c r="AD1207" s="194"/>
      <c r="AE1207" s="194"/>
      <c r="AF1207" s="194"/>
    </row>
    <row r="1208" spans="1:32" x14ac:dyDescent="0.25">
      <c r="A1208" s="194"/>
      <c r="B1208" s="194"/>
      <c r="C1208" s="194"/>
      <c r="D1208" s="194"/>
      <c r="E1208" s="194"/>
      <c r="F1208" s="194"/>
      <c r="G1208" s="194"/>
      <c r="H1208" s="194"/>
      <c r="I1208" s="194"/>
      <c r="J1208" s="194"/>
      <c r="K1208" s="194"/>
      <c r="L1208" s="194"/>
      <c r="M1208" s="194"/>
      <c r="N1208" s="194"/>
      <c r="O1208" s="194"/>
      <c r="P1208" s="194"/>
      <c r="Q1208" s="194"/>
      <c r="R1208" s="194"/>
      <c r="S1208" s="194"/>
      <c r="T1208" s="194"/>
      <c r="U1208" s="194"/>
      <c r="V1208" s="194"/>
      <c r="W1208" s="194"/>
      <c r="X1208" s="194"/>
      <c r="Y1208" s="194"/>
      <c r="Z1208" s="194"/>
      <c r="AA1208" s="194"/>
      <c r="AB1208" s="194"/>
      <c r="AC1208" s="194"/>
      <c r="AD1208" s="194"/>
      <c r="AE1208" s="194"/>
      <c r="AF1208" s="194"/>
    </row>
    <row r="1209" spans="1:32" x14ac:dyDescent="0.25">
      <c r="A1209" s="194"/>
      <c r="B1209" s="194"/>
      <c r="C1209" s="194"/>
      <c r="D1209" s="194"/>
      <c r="E1209" s="194"/>
      <c r="F1209" s="194"/>
      <c r="G1209" s="194"/>
      <c r="H1209" s="194"/>
      <c r="I1209" s="194"/>
      <c r="J1209" s="194"/>
      <c r="K1209" s="194"/>
      <c r="L1209" s="194"/>
      <c r="M1209" s="194"/>
      <c r="N1209" s="194"/>
      <c r="O1209" s="194"/>
      <c r="P1209" s="194"/>
      <c r="Q1209" s="194"/>
      <c r="R1209" s="194"/>
      <c r="S1209" s="194"/>
      <c r="T1209" s="194"/>
      <c r="U1209" s="194"/>
      <c r="V1209" s="194"/>
      <c r="W1209" s="194"/>
      <c r="X1209" s="194"/>
      <c r="Y1209" s="194"/>
      <c r="Z1209" s="194"/>
      <c r="AA1209" s="194"/>
      <c r="AB1209" s="194"/>
      <c r="AC1209" s="194"/>
      <c r="AD1209" s="194"/>
      <c r="AE1209" s="194"/>
      <c r="AF1209" s="194"/>
    </row>
    <row r="1210" spans="1:32" x14ac:dyDescent="0.25">
      <c r="A1210" s="194"/>
      <c r="B1210" s="194"/>
      <c r="C1210" s="194"/>
      <c r="D1210" s="194"/>
      <c r="E1210" s="194"/>
      <c r="F1210" s="194"/>
      <c r="G1210" s="194"/>
      <c r="H1210" s="194"/>
      <c r="I1210" s="194"/>
      <c r="J1210" s="194"/>
      <c r="K1210" s="194"/>
      <c r="L1210" s="194"/>
      <c r="M1210" s="194"/>
      <c r="N1210" s="194"/>
      <c r="O1210" s="194"/>
      <c r="P1210" s="194"/>
      <c r="Q1210" s="194"/>
      <c r="R1210" s="194"/>
      <c r="S1210" s="194"/>
      <c r="T1210" s="194"/>
      <c r="U1210" s="194"/>
      <c r="V1210" s="194"/>
      <c r="W1210" s="194"/>
      <c r="X1210" s="194"/>
      <c r="Y1210" s="194"/>
      <c r="Z1210" s="194"/>
      <c r="AA1210" s="194"/>
      <c r="AB1210" s="194"/>
      <c r="AC1210" s="194"/>
      <c r="AD1210" s="194"/>
      <c r="AE1210" s="194"/>
      <c r="AF1210" s="194"/>
    </row>
    <row r="1211" spans="1:32" x14ac:dyDescent="0.25">
      <c r="A1211" s="194"/>
      <c r="B1211" s="194"/>
      <c r="C1211" s="194"/>
      <c r="D1211" s="194"/>
      <c r="E1211" s="194"/>
      <c r="F1211" s="194"/>
      <c r="G1211" s="194"/>
      <c r="H1211" s="194"/>
      <c r="I1211" s="194"/>
      <c r="J1211" s="194"/>
      <c r="K1211" s="194"/>
      <c r="L1211" s="194"/>
      <c r="M1211" s="194"/>
      <c r="N1211" s="194"/>
      <c r="O1211" s="194"/>
      <c r="P1211" s="194"/>
      <c r="Q1211" s="194"/>
      <c r="R1211" s="194"/>
      <c r="S1211" s="194"/>
      <c r="T1211" s="194"/>
      <c r="U1211" s="194"/>
      <c r="V1211" s="194"/>
      <c r="W1211" s="194"/>
      <c r="X1211" s="194"/>
      <c r="Y1211" s="194"/>
      <c r="Z1211" s="194"/>
      <c r="AA1211" s="194"/>
      <c r="AB1211" s="194"/>
      <c r="AC1211" s="194"/>
      <c r="AD1211" s="194"/>
      <c r="AE1211" s="194"/>
      <c r="AF1211" s="194"/>
    </row>
    <row r="1212" spans="1:32" x14ac:dyDescent="0.25">
      <c r="A1212" s="194"/>
      <c r="B1212" s="194"/>
      <c r="C1212" s="194"/>
      <c r="D1212" s="194"/>
      <c r="E1212" s="194"/>
      <c r="F1212" s="194"/>
      <c r="G1212" s="194"/>
      <c r="H1212" s="194"/>
      <c r="I1212" s="194"/>
      <c r="J1212" s="194"/>
      <c r="K1212" s="194"/>
      <c r="L1212" s="194"/>
      <c r="M1212" s="194"/>
      <c r="N1212" s="194"/>
      <c r="O1212" s="194"/>
      <c r="P1212" s="194"/>
      <c r="Q1212" s="194"/>
      <c r="R1212" s="194"/>
      <c r="S1212" s="194"/>
      <c r="T1212" s="194"/>
      <c r="U1212" s="194"/>
      <c r="V1212" s="194"/>
      <c r="W1212" s="194"/>
      <c r="X1212" s="194"/>
      <c r="Y1212" s="194"/>
      <c r="Z1212" s="194"/>
      <c r="AA1212" s="194"/>
      <c r="AB1212" s="194"/>
      <c r="AC1212" s="194"/>
      <c r="AD1212" s="194"/>
      <c r="AE1212" s="194"/>
      <c r="AF1212" s="194"/>
    </row>
    <row r="1213" spans="1:32" x14ac:dyDescent="0.25">
      <c r="A1213" s="194"/>
      <c r="B1213" s="194"/>
      <c r="C1213" s="194"/>
      <c r="D1213" s="194"/>
      <c r="E1213" s="194"/>
      <c r="F1213" s="194"/>
      <c r="G1213" s="194"/>
      <c r="H1213" s="194"/>
      <c r="I1213" s="194"/>
      <c r="J1213" s="194"/>
      <c r="K1213" s="194"/>
      <c r="L1213" s="194"/>
      <c r="M1213" s="194"/>
      <c r="N1213" s="194"/>
      <c r="O1213" s="194"/>
      <c r="P1213" s="194"/>
      <c r="Q1213" s="194"/>
      <c r="R1213" s="194"/>
      <c r="S1213" s="194"/>
      <c r="T1213" s="194"/>
      <c r="U1213" s="194"/>
      <c r="V1213" s="194"/>
      <c r="W1213" s="194"/>
      <c r="X1213" s="194"/>
      <c r="Y1213" s="194"/>
      <c r="Z1213" s="194"/>
      <c r="AA1213" s="194"/>
      <c r="AB1213" s="194"/>
      <c r="AC1213" s="194"/>
      <c r="AD1213" s="194"/>
      <c r="AE1213" s="194"/>
      <c r="AF1213" s="194"/>
    </row>
    <row r="1214" spans="1:32" x14ac:dyDescent="0.25">
      <c r="A1214" s="194"/>
      <c r="B1214" s="194"/>
      <c r="C1214" s="194"/>
      <c r="D1214" s="194"/>
      <c r="E1214" s="194"/>
      <c r="F1214" s="194"/>
      <c r="G1214" s="194"/>
      <c r="H1214" s="194"/>
      <c r="I1214" s="194"/>
      <c r="J1214" s="194"/>
      <c r="K1214" s="194"/>
      <c r="L1214" s="194"/>
      <c r="M1214" s="194"/>
      <c r="N1214" s="194"/>
      <c r="O1214" s="194"/>
      <c r="P1214" s="194"/>
      <c r="Q1214" s="194"/>
      <c r="R1214" s="194"/>
      <c r="S1214" s="194"/>
      <c r="T1214" s="194"/>
      <c r="U1214" s="194"/>
      <c r="V1214" s="194"/>
      <c r="W1214" s="194"/>
      <c r="X1214" s="194"/>
      <c r="Y1214" s="194"/>
      <c r="Z1214" s="194"/>
      <c r="AA1214" s="194"/>
      <c r="AB1214" s="194"/>
      <c r="AC1214" s="194"/>
      <c r="AD1214" s="194"/>
      <c r="AE1214" s="194"/>
      <c r="AF1214" s="194"/>
    </row>
    <row r="1215" spans="1:32" x14ac:dyDescent="0.25">
      <c r="A1215" s="194"/>
      <c r="B1215" s="194"/>
      <c r="C1215" s="194"/>
      <c r="D1215" s="194"/>
      <c r="E1215" s="194"/>
      <c r="F1215" s="194"/>
      <c r="G1215" s="194"/>
      <c r="H1215" s="194"/>
      <c r="I1215" s="194"/>
      <c r="J1215" s="194"/>
      <c r="K1215" s="194"/>
      <c r="L1215" s="194"/>
      <c r="M1215" s="194"/>
      <c r="N1215" s="194"/>
      <c r="O1215" s="194"/>
      <c r="P1215" s="194"/>
      <c r="Q1215" s="194"/>
      <c r="R1215" s="194"/>
      <c r="S1215" s="194"/>
      <c r="T1215" s="194"/>
      <c r="U1215" s="194"/>
      <c r="V1215" s="194"/>
      <c r="W1215" s="194"/>
      <c r="X1215" s="194"/>
      <c r="Y1215" s="194"/>
      <c r="Z1215" s="194"/>
      <c r="AA1215" s="194"/>
      <c r="AB1215" s="194"/>
      <c r="AC1215" s="194"/>
      <c r="AD1215" s="194"/>
      <c r="AE1215" s="194"/>
      <c r="AF1215" s="194"/>
    </row>
    <row r="1216" spans="1:32" x14ac:dyDescent="0.25">
      <c r="A1216" s="194"/>
      <c r="B1216" s="194"/>
      <c r="C1216" s="194"/>
      <c r="D1216" s="194"/>
      <c r="E1216" s="194"/>
      <c r="F1216" s="194"/>
      <c r="G1216" s="194"/>
      <c r="H1216" s="194"/>
      <c r="I1216" s="194"/>
      <c r="J1216" s="194"/>
      <c r="K1216" s="194"/>
      <c r="L1216" s="194"/>
      <c r="M1216" s="194"/>
      <c r="N1216" s="194"/>
      <c r="O1216" s="194"/>
      <c r="P1216" s="194"/>
      <c r="Q1216" s="194"/>
      <c r="R1216" s="194"/>
      <c r="S1216" s="194"/>
      <c r="T1216" s="194"/>
      <c r="U1216" s="194"/>
      <c r="V1216" s="194"/>
      <c r="W1216" s="194"/>
      <c r="X1216" s="194"/>
      <c r="Y1216" s="194"/>
      <c r="Z1216" s="194"/>
      <c r="AA1216" s="194"/>
      <c r="AB1216" s="194"/>
      <c r="AC1216" s="194"/>
      <c r="AD1216" s="194"/>
      <c r="AE1216" s="194"/>
      <c r="AF1216" s="194"/>
    </row>
    <row r="1217" spans="1:32" x14ac:dyDescent="0.25">
      <c r="A1217" s="194"/>
      <c r="B1217" s="194"/>
      <c r="C1217" s="194"/>
      <c r="D1217" s="194"/>
      <c r="E1217" s="194"/>
      <c r="F1217" s="194"/>
      <c r="G1217" s="194"/>
      <c r="H1217" s="194"/>
      <c r="I1217" s="194"/>
      <c r="J1217" s="194"/>
      <c r="K1217" s="194"/>
      <c r="L1217" s="194"/>
      <c r="M1217" s="194"/>
      <c r="N1217" s="194"/>
      <c r="O1217" s="194"/>
      <c r="P1217" s="194"/>
      <c r="Q1217" s="194"/>
      <c r="R1217" s="194"/>
      <c r="S1217" s="194"/>
      <c r="T1217" s="194"/>
      <c r="U1217" s="194"/>
      <c r="V1217" s="194"/>
      <c r="W1217" s="194"/>
      <c r="X1217" s="194"/>
      <c r="Y1217" s="194"/>
      <c r="Z1217" s="194"/>
      <c r="AA1217" s="194"/>
      <c r="AB1217" s="194"/>
      <c r="AC1217" s="194"/>
      <c r="AD1217" s="194"/>
      <c r="AE1217" s="194"/>
      <c r="AF1217" s="194"/>
    </row>
    <row r="1218" spans="1:32" x14ac:dyDescent="0.25">
      <c r="A1218" s="194"/>
      <c r="B1218" s="194"/>
      <c r="C1218" s="194"/>
      <c r="D1218" s="194"/>
      <c r="E1218" s="194"/>
      <c r="F1218" s="194"/>
      <c r="G1218" s="194"/>
      <c r="H1218" s="194"/>
      <c r="I1218" s="194"/>
      <c r="J1218" s="194"/>
      <c r="K1218" s="194"/>
      <c r="L1218" s="194"/>
      <c r="M1218" s="194"/>
      <c r="N1218" s="194"/>
      <c r="O1218" s="194"/>
      <c r="P1218" s="194"/>
      <c r="Q1218" s="194"/>
      <c r="R1218" s="194"/>
      <c r="S1218" s="194"/>
      <c r="T1218" s="194"/>
      <c r="U1218" s="194"/>
      <c r="V1218" s="194"/>
      <c r="W1218" s="194"/>
      <c r="X1218" s="194"/>
      <c r="Y1218" s="194"/>
      <c r="Z1218" s="194"/>
      <c r="AA1218" s="194"/>
      <c r="AB1218" s="194"/>
      <c r="AC1218" s="194"/>
      <c r="AD1218" s="194"/>
      <c r="AE1218" s="194"/>
      <c r="AF1218" s="194"/>
    </row>
    <row r="1219" spans="1:32" x14ac:dyDescent="0.25">
      <c r="A1219" s="194"/>
      <c r="B1219" s="194"/>
      <c r="C1219" s="194"/>
      <c r="D1219" s="194"/>
      <c r="E1219" s="194"/>
      <c r="F1219" s="194"/>
      <c r="G1219" s="194"/>
      <c r="H1219" s="194"/>
      <c r="I1219" s="194"/>
      <c r="J1219" s="194"/>
      <c r="K1219" s="194"/>
      <c r="L1219" s="194"/>
      <c r="M1219" s="194"/>
      <c r="N1219" s="194"/>
      <c r="O1219" s="194"/>
      <c r="P1219" s="194"/>
      <c r="Q1219" s="194"/>
      <c r="R1219" s="194"/>
      <c r="S1219" s="194"/>
      <c r="T1219" s="194"/>
      <c r="U1219" s="194"/>
      <c r="V1219" s="194"/>
      <c r="W1219" s="194"/>
      <c r="X1219" s="194"/>
      <c r="Y1219" s="194"/>
      <c r="Z1219" s="194"/>
      <c r="AA1219" s="194"/>
      <c r="AB1219" s="194"/>
      <c r="AC1219" s="194"/>
      <c r="AD1219" s="194"/>
      <c r="AE1219" s="194"/>
      <c r="AF1219" s="194"/>
    </row>
    <row r="1220" spans="1:32" x14ac:dyDescent="0.25">
      <c r="A1220" s="194"/>
      <c r="B1220" s="194"/>
      <c r="C1220" s="194"/>
      <c r="D1220" s="194"/>
      <c r="E1220" s="194"/>
      <c r="F1220" s="194"/>
      <c r="G1220" s="194"/>
      <c r="H1220" s="194"/>
      <c r="I1220" s="194"/>
      <c r="J1220" s="194"/>
      <c r="K1220" s="194"/>
      <c r="L1220" s="194"/>
      <c r="M1220" s="194"/>
      <c r="N1220" s="194"/>
      <c r="O1220" s="194"/>
      <c r="P1220" s="194"/>
      <c r="Q1220" s="194"/>
      <c r="R1220" s="194"/>
      <c r="S1220" s="194"/>
      <c r="T1220" s="194"/>
      <c r="U1220" s="194"/>
      <c r="V1220" s="194"/>
      <c r="W1220" s="194"/>
      <c r="X1220" s="194"/>
      <c r="Y1220" s="194"/>
      <c r="Z1220" s="194"/>
      <c r="AA1220" s="194"/>
      <c r="AB1220" s="194"/>
      <c r="AC1220" s="194"/>
      <c r="AD1220" s="194"/>
      <c r="AE1220" s="194"/>
      <c r="AF1220" s="194"/>
    </row>
    <row r="1221" spans="1:32" x14ac:dyDescent="0.25">
      <c r="A1221" s="194"/>
      <c r="B1221" s="194"/>
      <c r="C1221" s="194"/>
      <c r="D1221" s="194"/>
      <c r="E1221" s="194"/>
      <c r="F1221" s="194"/>
      <c r="G1221" s="194"/>
      <c r="H1221" s="194"/>
      <c r="I1221" s="194"/>
      <c r="J1221" s="194"/>
      <c r="K1221" s="194"/>
      <c r="L1221" s="194"/>
      <c r="M1221" s="194"/>
      <c r="N1221" s="194"/>
      <c r="O1221" s="194"/>
      <c r="P1221" s="194"/>
      <c r="Q1221" s="194"/>
      <c r="R1221" s="194"/>
      <c r="S1221" s="194"/>
      <c r="T1221" s="194"/>
      <c r="U1221" s="194"/>
      <c r="V1221" s="194"/>
      <c r="W1221" s="194"/>
      <c r="X1221" s="194"/>
      <c r="Y1221" s="194"/>
      <c r="Z1221" s="194"/>
      <c r="AA1221" s="194"/>
      <c r="AB1221" s="194"/>
      <c r="AC1221" s="194"/>
      <c r="AD1221" s="194"/>
      <c r="AE1221" s="194"/>
      <c r="AF1221" s="194"/>
    </row>
    <row r="1222" spans="1:32" x14ac:dyDescent="0.25">
      <c r="A1222" s="194"/>
      <c r="B1222" s="194"/>
      <c r="C1222" s="194"/>
      <c r="D1222" s="194"/>
      <c r="E1222" s="194"/>
      <c r="F1222" s="194"/>
      <c r="G1222" s="194"/>
      <c r="H1222" s="194"/>
      <c r="I1222" s="194"/>
      <c r="J1222" s="194"/>
      <c r="K1222" s="194"/>
      <c r="L1222" s="194"/>
      <c r="M1222" s="194"/>
      <c r="N1222" s="194"/>
      <c r="O1222" s="194"/>
      <c r="P1222" s="194"/>
      <c r="Q1222" s="194"/>
      <c r="R1222" s="194"/>
      <c r="S1222" s="194"/>
      <c r="T1222" s="194"/>
      <c r="U1222" s="194"/>
      <c r="V1222" s="194"/>
      <c r="W1222" s="194"/>
      <c r="X1222" s="194"/>
      <c r="Y1222" s="194"/>
      <c r="Z1222" s="194"/>
      <c r="AA1222" s="194"/>
      <c r="AB1222" s="194"/>
      <c r="AC1222" s="194"/>
      <c r="AD1222" s="194"/>
      <c r="AE1222" s="194"/>
      <c r="AF1222" s="194"/>
    </row>
    <row r="1223" spans="1:32" x14ac:dyDescent="0.25">
      <c r="A1223" s="194"/>
      <c r="B1223" s="194"/>
      <c r="C1223" s="194"/>
      <c r="D1223" s="194"/>
      <c r="E1223" s="194"/>
      <c r="F1223" s="194"/>
      <c r="G1223" s="194"/>
      <c r="H1223" s="194"/>
      <c r="I1223" s="194"/>
      <c r="J1223" s="194"/>
      <c r="K1223" s="194"/>
      <c r="L1223" s="194"/>
      <c r="M1223" s="194"/>
      <c r="N1223" s="194"/>
      <c r="O1223" s="194"/>
      <c r="P1223" s="194"/>
      <c r="Q1223" s="194"/>
      <c r="R1223" s="194"/>
      <c r="S1223" s="194"/>
      <c r="T1223" s="194"/>
      <c r="U1223" s="194"/>
      <c r="V1223" s="194"/>
      <c r="W1223" s="194"/>
      <c r="X1223" s="194"/>
      <c r="Y1223" s="194"/>
      <c r="Z1223" s="194"/>
      <c r="AA1223" s="194"/>
      <c r="AB1223" s="194"/>
      <c r="AC1223" s="194"/>
      <c r="AD1223" s="194"/>
      <c r="AE1223" s="194"/>
      <c r="AF1223" s="194"/>
    </row>
    <row r="1224" spans="1:32" x14ac:dyDescent="0.25">
      <c r="A1224" s="194"/>
      <c r="B1224" s="194"/>
      <c r="C1224" s="194"/>
      <c r="D1224" s="194"/>
      <c r="E1224" s="194"/>
      <c r="F1224" s="194"/>
      <c r="G1224" s="194"/>
      <c r="H1224" s="194"/>
      <c r="I1224" s="194"/>
      <c r="J1224" s="194"/>
      <c r="K1224" s="194"/>
      <c r="L1224" s="194"/>
      <c r="M1224" s="194"/>
      <c r="N1224" s="194"/>
      <c r="O1224" s="194"/>
      <c r="P1224" s="194"/>
      <c r="Q1224" s="194"/>
      <c r="R1224" s="194"/>
      <c r="S1224" s="194"/>
      <c r="T1224" s="194"/>
      <c r="U1224" s="194"/>
      <c r="V1224" s="194"/>
      <c r="W1224" s="194"/>
      <c r="X1224" s="194"/>
      <c r="Y1224" s="194"/>
      <c r="Z1224" s="194"/>
      <c r="AA1224" s="194"/>
      <c r="AB1224" s="194"/>
      <c r="AC1224" s="194"/>
      <c r="AD1224" s="194"/>
      <c r="AE1224" s="194"/>
      <c r="AF1224" s="194"/>
    </row>
    <row r="1225" spans="1:32" x14ac:dyDescent="0.25">
      <c r="A1225" s="194"/>
      <c r="B1225" s="194"/>
      <c r="C1225" s="194"/>
      <c r="D1225" s="194"/>
      <c r="E1225" s="194"/>
      <c r="F1225" s="194"/>
      <c r="G1225" s="194"/>
      <c r="H1225" s="194"/>
      <c r="I1225" s="194"/>
      <c r="J1225" s="194"/>
      <c r="K1225" s="194"/>
      <c r="L1225" s="194"/>
      <c r="M1225" s="194"/>
      <c r="N1225" s="194"/>
      <c r="O1225" s="194"/>
      <c r="P1225" s="194"/>
      <c r="Q1225" s="194"/>
      <c r="R1225" s="194"/>
      <c r="S1225" s="194"/>
      <c r="T1225" s="194"/>
      <c r="U1225" s="194"/>
      <c r="V1225" s="194"/>
      <c r="W1225" s="194"/>
      <c r="X1225" s="194"/>
      <c r="Y1225" s="194"/>
      <c r="Z1225" s="194"/>
      <c r="AA1225" s="194"/>
      <c r="AB1225" s="194"/>
      <c r="AC1225" s="194"/>
      <c r="AD1225" s="194"/>
      <c r="AE1225" s="194"/>
      <c r="AF1225" s="194"/>
    </row>
    <row r="1226" spans="1:32" x14ac:dyDescent="0.25">
      <c r="A1226" s="194"/>
      <c r="B1226" s="194"/>
      <c r="C1226" s="194"/>
      <c r="D1226" s="194"/>
      <c r="E1226" s="194"/>
      <c r="F1226" s="194"/>
      <c r="G1226" s="194"/>
      <c r="H1226" s="194"/>
      <c r="I1226" s="194"/>
      <c r="J1226" s="194"/>
      <c r="K1226" s="194"/>
      <c r="L1226" s="194"/>
      <c r="M1226" s="194"/>
      <c r="N1226" s="194"/>
      <c r="O1226" s="194"/>
      <c r="P1226" s="194"/>
      <c r="Q1226" s="194"/>
      <c r="R1226" s="194"/>
      <c r="S1226" s="194"/>
      <c r="T1226" s="194"/>
      <c r="U1226" s="194"/>
      <c r="V1226" s="194"/>
      <c r="W1226" s="194"/>
      <c r="X1226" s="194"/>
      <c r="Y1226" s="194"/>
      <c r="Z1226" s="194"/>
      <c r="AA1226" s="194"/>
      <c r="AB1226" s="194"/>
      <c r="AC1226" s="194"/>
      <c r="AD1226" s="194"/>
      <c r="AE1226" s="194"/>
      <c r="AF1226" s="194"/>
    </row>
    <row r="1227" spans="1:32" x14ac:dyDescent="0.25">
      <c r="A1227" s="194"/>
      <c r="B1227" s="194"/>
      <c r="C1227" s="194"/>
      <c r="D1227" s="194"/>
      <c r="E1227" s="194"/>
      <c r="F1227" s="194"/>
      <c r="G1227" s="194"/>
      <c r="H1227" s="194"/>
      <c r="I1227" s="194"/>
      <c r="J1227" s="194"/>
      <c r="K1227" s="194"/>
      <c r="L1227" s="194"/>
      <c r="M1227" s="194"/>
      <c r="N1227" s="194"/>
      <c r="O1227" s="194"/>
      <c r="P1227" s="194"/>
      <c r="Q1227" s="194"/>
      <c r="R1227" s="194"/>
      <c r="S1227" s="194"/>
      <c r="T1227" s="194"/>
      <c r="U1227" s="194"/>
      <c r="V1227" s="194"/>
      <c r="W1227" s="194"/>
      <c r="X1227" s="194"/>
      <c r="Y1227" s="194"/>
      <c r="Z1227" s="194"/>
      <c r="AA1227" s="194"/>
      <c r="AB1227" s="194"/>
      <c r="AC1227" s="194"/>
      <c r="AD1227" s="194"/>
      <c r="AE1227" s="194"/>
      <c r="AF1227" s="194"/>
    </row>
    <row r="1228" spans="1:32" x14ac:dyDescent="0.25">
      <c r="A1228" s="194"/>
      <c r="B1228" s="194"/>
      <c r="C1228" s="194"/>
      <c r="D1228" s="194"/>
      <c r="E1228" s="194"/>
      <c r="F1228" s="194"/>
      <c r="G1228" s="194"/>
      <c r="H1228" s="194"/>
      <c r="I1228" s="194"/>
      <c r="J1228" s="194"/>
      <c r="K1228" s="194"/>
      <c r="L1228" s="194"/>
      <c r="M1228" s="194"/>
      <c r="N1228" s="194"/>
      <c r="O1228" s="194"/>
      <c r="P1228" s="194"/>
      <c r="Q1228" s="194"/>
      <c r="R1228" s="194"/>
      <c r="S1228" s="194"/>
      <c r="T1228" s="194"/>
      <c r="U1228" s="194"/>
      <c r="V1228" s="194"/>
      <c r="W1228" s="194"/>
      <c r="X1228" s="194"/>
      <c r="Y1228" s="194"/>
      <c r="Z1228" s="194"/>
      <c r="AA1228" s="194"/>
      <c r="AB1228" s="194"/>
      <c r="AC1228" s="194"/>
      <c r="AD1228" s="194"/>
      <c r="AE1228" s="194"/>
      <c r="AF1228" s="194"/>
    </row>
    <row r="1229" spans="1:32" x14ac:dyDescent="0.25">
      <c r="A1229" s="194"/>
      <c r="B1229" s="194"/>
      <c r="C1229" s="194"/>
      <c r="D1229" s="194"/>
      <c r="E1229" s="194"/>
      <c r="F1229" s="194"/>
      <c r="G1229" s="194"/>
      <c r="H1229" s="194"/>
      <c r="I1229" s="194"/>
      <c r="J1229" s="194"/>
      <c r="K1229" s="194"/>
      <c r="L1229" s="194"/>
      <c r="M1229" s="194"/>
      <c r="N1229" s="194"/>
      <c r="O1229" s="194"/>
      <c r="P1229" s="194"/>
      <c r="Q1229" s="194"/>
      <c r="R1229" s="194"/>
      <c r="S1229" s="194"/>
      <c r="T1229" s="194"/>
      <c r="U1229" s="194"/>
      <c r="V1229" s="194"/>
      <c r="W1229" s="194"/>
      <c r="X1229" s="194"/>
      <c r="Y1229" s="194"/>
      <c r="Z1229" s="194"/>
      <c r="AA1229" s="194"/>
      <c r="AB1229" s="194"/>
      <c r="AC1229" s="194"/>
      <c r="AD1229" s="194"/>
      <c r="AE1229" s="194"/>
      <c r="AF1229" s="194"/>
    </row>
    <row r="1230" spans="1:32" x14ac:dyDescent="0.25">
      <c r="A1230" s="194"/>
      <c r="B1230" s="194"/>
      <c r="C1230" s="194"/>
      <c r="D1230" s="194"/>
      <c r="E1230" s="194"/>
      <c r="F1230" s="194"/>
      <c r="G1230" s="194"/>
      <c r="H1230" s="194"/>
      <c r="I1230" s="194"/>
      <c r="J1230" s="194"/>
      <c r="K1230" s="194"/>
      <c r="L1230" s="194"/>
      <c r="M1230" s="194"/>
      <c r="N1230" s="194"/>
      <c r="O1230" s="194"/>
      <c r="P1230" s="194"/>
      <c r="Q1230" s="194"/>
      <c r="R1230" s="194"/>
      <c r="S1230" s="194"/>
      <c r="T1230" s="194"/>
      <c r="U1230" s="194"/>
      <c r="V1230" s="194"/>
      <c r="W1230" s="194"/>
      <c r="X1230" s="194"/>
      <c r="Y1230" s="194"/>
      <c r="Z1230" s="194"/>
      <c r="AA1230" s="194"/>
      <c r="AB1230" s="194"/>
      <c r="AC1230" s="194"/>
      <c r="AD1230" s="194"/>
      <c r="AE1230" s="194"/>
      <c r="AF1230" s="194"/>
    </row>
    <row r="1231" spans="1:32" x14ac:dyDescent="0.25">
      <c r="A1231" s="194"/>
      <c r="B1231" s="194"/>
      <c r="C1231" s="194"/>
      <c r="D1231" s="194"/>
      <c r="E1231" s="194"/>
      <c r="F1231" s="194"/>
      <c r="G1231" s="194"/>
      <c r="H1231" s="194"/>
      <c r="I1231" s="194"/>
      <c r="J1231" s="194"/>
      <c r="K1231" s="194"/>
      <c r="L1231" s="194"/>
      <c r="M1231" s="194"/>
      <c r="N1231" s="194"/>
      <c r="O1231" s="194"/>
      <c r="P1231" s="194"/>
      <c r="Q1231" s="194"/>
      <c r="R1231" s="194"/>
      <c r="S1231" s="194"/>
      <c r="T1231" s="194"/>
      <c r="U1231" s="194"/>
      <c r="V1231" s="194"/>
      <c r="W1231" s="194"/>
      <c r="X1231" s="194"/>
      <c r="Y1231" s="194"/>
      <c r="Z1231" s="194"/>
      <c r="AA1231" s="194"/>
      <c r="AB1231" s="194"/>
      <c r="AC1231" s="194"/>
      <c r="AD1231" s="194"/>
      <c r="AE1231" s="194"/>
      <c r="AF1231" s="194"/>
    </row>
  </sheetData>
  <mergeCells count="9">
    <mergeCell ref="G235:L235"/>
    <mergeCell ref="M235:R235"/>
    <mergeCell ref="B2:H2"/>
    <mergeCell ref="J2:K2"/>
    <mergeCell ref="B53:E53"/>
    <mergeCell ref="C222:F222"/>
    <mergeCell ref="G222:L222"/>
    <mergeCell ref="M222:R222"/>
    <mergeCell ref="C235:F235"/>
  </mergeCells>
  <hyperlinks>
    <hyperlink ref="B51" r:id="rId1" xr:uid="{00000000-0004-0000-1600-000000000000}"/>
    <hyperlink ref="B52" r:id="rId2" xr:uid="{00000000-0004-0000-1600-000001000000}"/>
    <hyperlink ref="B126" r:id="rId3" xr:uid="{00000000-0004-0000-1600-000002000000}"/>
  </hyperlinks>
  <pageMargins left="0.7" right="0.7" top="0.75" bottom="0.75" header="0" footer="0"/>
  <pageSetup orientation="portrait"/>
  <ignoredErrors>
    <ignoredError sqref="C103:H103" formulaRange="1"/>
    <ignoredError sqref="M228:Q228" formula="1"/>
  </ignoredErrors>
  <legacy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737B1-9F2A-4D04-A4B6-85042CA9B0B9}">
  <sheetPr>
    <outlinePr summaryBelow="0" summaryRight="0"/>
  </sheetPr>
  <dimension ref="A1:Z959"/>
  <sheetViews>
    <sheetView workbookViewId="0"/>
  </sheetViews>
  <sheetFormatPr defaultColWidth="16.83203125" defaultRowHeight="11.25" x14ac:dyDescent="0.2"/>
  <cols>
    <col min="1" max="1" width="5.1640625" style="2060" bestFit="1" customWidth="1"/>
    <col min="2" max="2" width="50" style="2060" bestFit="1" customWidth="1"/>
    <col min="3" max="3" width="36.33203125" style="2060" bestFit="1" customWidth="1"/>
    <col min="4" max="4" width="28.1640625" style="2060" customWidth="1"/>
    <col min="5" max="5" width="12.5" style="2060" bestFit="1" customWidth="1"/>
    <col min="6" max="6" width="6.33203125" style="2060" bestFit="1" customWidth="1"/>
    <col min="7" max="7" width="12.6640625" style="2060" bestFit="1" customWidth="1"/>
    <col min="8" max="16384" width="16.83203125" style="2060"/>
  </cols>
  <sheetData>
    <row r="1" spans="1:26" ht="12" x14ac:dyDescent="0.2">
      <c r="A1" s="9" t="s">
        <v>692</v>
      </c>
      <c r="B1" s="9" t="s">
        <v>1953</v>
      </c>
      <c r="C1" s="9" t="s">
        <v>1954</v>
      </c>
      <c r="D1" s="9" t="s">
        <v>1955</v>
      </c>
      <c r="E1" s="9" t="s">
        <v>162</v>
      </c>
      <c r="F1" s="9" t="s">
        <v>113</v>
      </c>
      <c r="G1" s="2063" t="s">
        <v>27</v>
      </c>
      <c r="J1" s="2058"/>
      <c r="K1" s="2058"/>
      <c r="L1" s="2058"/>
      <c r="M1" s="2058"/>
      <c r="N1" s="2058"/>
      <c r="O1" s="2058"/>
      <c r="P1" s="2058"/>
      <c r="Q1" s="2058"/>
      <c r="R1" s="2058"/>
      <c r="S1" s="2058"/>
      <c r="T1" s="2058"/>
      <c r="U1" s="2058"/>
      <c r="V1" s="2058"/>
      <c r="W1" s="2058"/>
      <c r="X1" s="2058"/>
      <c r="Y1" s="2058"/>
      <c r="Z1" s="2058"/>
    </row>
    <row r="2" spans="1:26" ht="12" x14ac:dyDescent="0.2">
      <c r="A2" s="9" t="str">
        <f>MID(Summary!$B$1,FIND(" ",Summary!$B$1,1)+1,4)</f>
        <v>2023</v>
      </c>
      <c r="B2" s="9" t="s">
        <v>1956</v>
      </c>
      <c r="C2" s="9" t="s">
        <v>67</v>
      </c>
      <c r="D2" s="9" t="s">
        <v>72</v>
      </c>
      <c r="E2" s="9" t="s">
        <v>10</v>
      </c>
      <c r="F2" s="9" t="s">
        <v>1957</v>
      </c>
      <c r="G2" s="2063">
        <f>Summary!E14</f>
        <v>2.0288820964991947</v>
      </c>
      <c r="H2" s="2061"/>
      <c r="I2" s="2058"/>
      <c r="J2" s="2058"/>
      <c r="K2" s="2058"/>
      <c r="L2" s="2058"/>
      <c r="M2" s="2058"/>
      <c r="N2" s="2058"/>
      <c r="O2" s="2058"/>
      <c r="P2" s="2058"/>
      <c r="Q2" s="2058"/>
      <c r="R2" s="2058"/>
      <c r="S2" s="2058"/>
      <c r="T2" s="2058"/>
      <c r="U2" s="2058"/>
      <c r="V2" s="2058"/>
      <c r="W2" s="2058"/>
      <c r="X2" s="2058"/>
      <c r="Y2" s="2058"/>
      <c r="Z2" s="2058"/>
    </row>
    <row r="3" spans="1:26" ht="12" x14ac:dyDescent="0.2">
      <c r="A3" s="9" t="str">
        <f>MID(Summary!$B$1,FIND(" ",Summary!$B$1,1)+1,4)</f>
        <v>2023</v>
      </c>
      <c r="B3" s="9" t="s">
        <v>1956</v>
      </c>
      <c r="C3" s="9" t="s">
        <v>67</v>
      </c>
      <c r="D3" s="9" t="s">
        <v>72</v>
      </c>
      <c r="E3" s="9" t="s">
        <v>13</v>
      </c>
      <c r="F3" s="9" t="s">
        <v>1957</v>
      </c>
      <c r="G3" s="2063">
        <f>Summary!E15</f>
        <v>6.8701764779503897E-3</v>
      </c>
      <c r="H3" s="2058"/>
      <c r="I3" s="2058"/>
      <c r="J3" s="2058"/>
      <c r="K3" s="2058"/>
      <c r="L3" s="2058"/>
      <c r="M3" s="2058"/>
      <c r="N3" s="2058"/>
      <c r="O3" s="2058"/>
      <c r="P3" s="2058"/>
      <c r="Q3" s="2058"/>
      <c r="R3" s="2058"/>
      <c r="S3" s="2058"/>
      <c r="T3" s="2058"/>
      <c r="U3" s="2058"/>
      <c r="V3" s="2058"/>
      <c r="W3" s="2058"/>
      <c r="X3" s="2058"/>
      <c r="Y3" s="2058"/>
      <c r="Z3" s="2058"/>
    </row>
    <row r="4" spans="1:26" ht="12" x14ac:dyDescent="0.2">
      <c r="A4" s="9" t="str">
        <f>MID(Summary!$B$1,FIND(" ",Summary!$B$1,1)+1,4)</f>
        <v>2023</v>
      </c>
      <c r="B4" s="9" t="s">
        <v>1956</v>
      </c>
      <c r="C4" s="9" t="s">
        <v>67</v>
      </c>
      <c r="D4" s="9" t="s">
        <v>72</v>
      </c>
      <c r="E4" s="9" t="s">
        <v>14</v>
      </c>
      <c r="F4" s="9" t="s">
        <v>1957</v>
      </c>
      <c r="G4" s="2063">
        <f>Summary!E16</f>
        <v>9.7940647114379813E-3</v>
      </c>
      <c r="H4" s="2058"/>
      <c r="I4" s="2058"/>
      <c r="J4" s="2058"/>
      <c r="K4" s="2058"/>
      <c r="L4" s="2058"/>
      <c r="M4" s="2058"/>
      <c r="N4" s="2058"/>
      <c r="O4" s="2058"/>
      <c r="P4" s="2058"/>
      <c r="Q4" s="2058"/>
      <c r="R4" s="2058"/>
      <c r="S4" s="2058"/>
      <c r="T4" s="2058"/>
      <c r="U4" s="2058"/>
      <c r="V4" s="2058"/>
      <c r="W4" s="2058"/>
      <c r="X4" s="2058"/>
      <c r="Y4" s="2058"/>
      <c r="Z4" s="2058"/>
    </row>
    <row r="5" spans="1:26" ht="12" x14ac:dyDescent="0.2">
      <c r="A5" s="9" t="str">
        <f>MID(Summary!$B$1,FIND(" ",Summary!$B$1,1)+1,4)</f>
        <v>2023</v>
      </c>
      <c r="B5" s="9" t="s">
        <v>1956</v>
      </c>
      <c r="C5" s="9" t="s">
        <v>67</v>
      </c>
      <c r="D5" s="9" t="s">
        <v>29</v>
      </c>
      <c r="E5" s="9" t="s">
        <v>10</v>
      </c>
      <c r="F5" s="9" t="s">
        <v>1957</v>
      </c>
      <c r="G5" s="2063">
        <f>Summary!E18</f>
        <v>6.1475896222033191</v>
      </c>
      <c r="H5" s="2058"/>
      <c r="I5" s="2058"/>
      <c r="J5" s="2058"/>
      <c r="K5" s="2058"/>
      <c r="L5" s="2058"/>
      <c r="M5" s="2058"/>
      <c r="N5" s="2058"/>
      <c r="O5" s="2058"/>
      <c r="P5" s="2058"/>
      <c r="Q5" s="2058"/>
      <c r="R5" s="2058"/>
      <c r="S5" s="2058"/>
      <c r="T5" s="2058"/>
      <c r="U5" s="2058"/>
      <c r="V5" s="2058"/>
      <c r="W5" s="2058"/>
      <c r="X5" s="2058"/>
      <c r="Y5" s="2058"/>
      <c r="Z5" s="2058"/>
    </row>
    <row r="6" spans="1:26" ht="12" x14ac:dyDescent="0.2">
      <c r="A6" s="9" t="str">
        <f>MID(Summary!$B$1,FIND(" ",Summary!$B$1,1)+1,4)</f>
        <v>2023</v>
      </c>
      <c r="B6" s="9" t="s">
        <v>1956</v>
      </c>
      <c r="C6" s="9" t="s">
        <v>67</v>
      </c>
      <c r="D6" s="9" t="s">
        <v>29</v>
      </c>
      <c r="E6" s="9" t="s">
        <v>13</v>
      </c>
      <c r="F6" s="9" t="s">
        <v>1957</v>
      </c>
      <c r="G6" s="2063">
        <f>Summary!E19</f>
        <v>3.6364198547336837E-3</v>
      </c>
      <c r="H6" s="2058"/>
      <c r="I6" s="2058"/>
      <c r="J6" s="2058"/>
      <c r="K6" s="2058"/>
      <c r="L6" s="2058"/>
      <c r="M6" s="2058"/>
      <c r="N6" s="2058"/>
      <c r="O6" s="2058"/>
      <c r="P6" s="2058"/>
      <c r="Q6" s="2058"/>
      <c r="R6" s="2058"/>
      <c r="S6" s="2058"/>
      <c r="T6" s="2058"/>
      <c r="U6" s="2058"/>
      <c r="V6" s="2058"/>
      <c r="W6" s="2058"/>
      <c r="X6" s="2058"/>
      <c r="Y6" s="2058"/>
      <c r="Z6" s="2058"/>
    </row>
    <row r="7" spans="1:26" ht="12" x14ac:dyDescent="0.2">
      <c r="A7" s="9" t="str">
        <f>MID(Summary!$B$1,FIND(" ",Summary!$B$1,1)+1,4)</f>
        <v>2023</v>
      </c>
      <c r="B7" s="9" t="s">
        <v>1956</v>
      </c>
      <c r="C7" s="9" t="s">
        <v>67</v>
      </c>
      <c r="D7" s="9" t="s">
        <v>29</v>
      </c>
      <c r="E7" s="9" t="s">
        <v>14</v>
      </c>
      <c r="F7" s="9" t="s">
        <v>1957</v>
      </c>
      <c r="G7" s="2063">
        <f>Summary!E20</f>
        <v>4.9961371327576932E-3</v>
      </c>
      <c r="H7" s="2058"/>
      <c r="I7" s="2058"/>
      <c r="J7" s="2058"/>
      <c r="K7" s="2058"/>
      <c r="L7" s="2058"/>
      <c r="M7" s="2058"/>
      <c r="N7" s="2058"/>
      <c r="O7" s="2058"/>
      <c r="P7" s="2058"/>
      <c r="Q7" s="2058"/>
      <c r="R7" s="2058"/>
      <c r="S7" s="2058"/>
      <c r="T7" s="2058"/>
      <c r="U7" s="2058"/>
      <c r="V7" s="2058"/>
      <c r="W7" s="2058"/>
      <c r="X7" s="2058"/>
      <c r="Y7" s="2058"/>
      <c r="Z7" s="2058"/>
    </row>
    <row r="8" spans="1:26" ht="12" x14ac:dyDescent="0.2">
      <c r="A8" s="9" t="str">
        <f>MID(Summary!$B$1,FIND(" ",Summary!$B$1,1)+1,4)</f>
        <v>2023</v>
      </c>
      <c r="B8" s="9" t="s">
        <v>1956</v>
      </c>
      <c r="C8" s="9" t="s">
        <v>67</v>
      </c>
      <c r="D8" s="9" t="s">
        <v>94</v>
      </c>
      <c r="E8" s="9" t="s">
        <v>10</v>
      </c>
      <c r="F8" s="9" t="s">
        <v>1957</v>
      </c>
      <c r="G8" s="2063">
        <f>Summary!E22</f>
        <v>0.10068322764775174</v>
      </c>
      <c r="H8" s="2058"/>
      <c r="I8" s="2058"/>
      <c r="J8" s="2058"/>
      <c r="K8" s="2058"/>
      <c r="L8" s="2058"/>
      <c r="M8" s="2058"/>
      <c r="N8" s="2058"/>
      <c r="O8" s="2058"/>
      <c r="P8" s="2058"/>
      <c r="Q8" s="2058"/>
      <c r="R8" s="2058"/>
      <c r="S8" s="2058"/>
      <c r="T8" s="2058"/>
      <c r="U8" s="2058"/>
      <c r="V8" s="2058"/>
      <c r="W8" s="2058"/>
      <c r="X8" s="2058"/>
      <c r="Y8" s="2058"/>
      <c r="Z8" s="2058"/>
    </row>
    <row r="9" spans="1:26" ht="12" x14ac:dyDescent="0.2">
      <c r="A9" s="9" t="str">
        <f>MID(Summary!$B$1,FIND(" ",Summary!$B$1,1)+1,4)</f>
        <v>2023</v>
      </c>
      <c r="B9" s="9" t="s">
        <v>1956</v>
      </c>
      <c r="C9" s="9" t="s">
        <v>67</v>
      </c>
      <c r="D9" s="9" t="s">
        <v>94</v>
      </c>
      <c r="E9" s="9" t="s">
        <v>13</v>
      </c>
      <c r="F9" s="9" t="s">
        <v>1957</v>
      </c>
      <c r="G9" s="2063">
        <f>Summary!E23</f>
        <v>2.0279162818310283E-4</v>
      </c>
      <c r="H9" s="2058"/>
      <c r="I9" s="2058"/>
      <c r="J9" s="2058"/>
      <c r="K9" s="2058"/>
      <c r="L9" s="2058"/>
      <c r="M9" s="2058"/>
      <c r="N9" s="2058"/>
      <c r="O9" s="2058"/>
      <c r="P9" s="2058"/>
      <c r="Q9" s="2058"/>
      <c r="R9" s="2058"/>
      <c r="S9" s="2058"/>
      <c r="T9" s="2058"/>
      <c r="U9" s="2058"/>
      <c r="V9" s="2058"/>
      <c r="W9" s="2058"/>
      <c r="X9" s="2058"/>
      <c r="Y9" s="2058"/>
      <c r="Z9" s="2058"/>
    </row>
    <row r="10" spans="1:26" ht="12" x14ac:dyDescent="0.2">
      <c r="A10" s="9" t="str">
        <f>MID(Summary!$B$1,FIND(" ",Summary!$B$1,1)+1,4)</f>
        <v>2023</v>
      </c>
      <c r="B10" s="9" t="s">
        <v>1956</v>
      </c>
      <c r="C10" s="9" t="s">
        <v>67</v>
      </c>
      <c r="D10" s="9" t="s">
        <v>94</v>
      </c>
      <c r="E10" s="9" t="s">
        <v>14</v>
      </c>
      <c r="F10" s="9" t="s">
        <v>1957</v>
      </c>
      <c r="G10" s="2063">
        <f>Summary!E24</f>
        <v>1.9629507243868561E-4</v>
      </c>
      <c r="H10" s="2058"/>
      <c r="I10" s="2058"/>
      <c r="J10" s="2058"/>
      <c r="K10" s="2058"/>
      <c r="L10" s="2058"/>
      <c r="M10" s="2058"/>
      <c r="N10" s="2058"/>
      <c r="O10" s="2058"/>
      <c r="P10" s="2058"/>
      <c r="Q10" s="2058"/>
      <c r="R10" s="2058"/>
      <c r="S10" s="2058"/>
      <c r="T10" s="2058"/>
      <c r="U10" s="2058"/>
      <c r="V10" s="2058"/>
      <c r="W10" s="2058"/>
      <c r="X10" s="2058"/>
      <c r="Y10" s="2058"/>
      <c r="Z10" s="2058"/>
    </row>
    <row r="11" spans="1:26" ht="12" x14ac:dyDescent="0.2">
      <c r="A11" s="9" t="str">
        <f>MID(Summary!$B$1,FIND(" ",Summary!$B$1,1)+1,4)</f>
        <v>2023</v>
      </c>
      <c r="B11" s="9" t="s">
        <v>1956</v>
      </c>
      <c r="C11" s="9" t="s">
        <v>67</v>
      </c>
      <c r="D11" s="9" t="s">
        <v>95</v>
      </c>
      <c r="E11" s="9" t="s">
        <v>10</v>
      </c>
      <c r="F11" s="9" t="s">
        <v>1957</v>
      </c>
      <c r="G11" s="2063">
        <f>Summary!E26</f>
        <v>0</v>
      </c>
      <c r="H11" s="2058"/>
      <c r="I11" s="2058"/>
      <c r="J11" s="2058"/>
      <c r="K11" s="2058"/>
      <c r="L11" s="2058"/>
      <c r="M11" s="2058"/>
      <c r="N11" s="2058"/>
      <c r="O11" s="2058"/>
      <c r="P11" s="2058"/>
      <c r="Q11" s="2058"/>
      <c r="R11" s="2058"/>
      <c r="S11" s="2058"/>
      <c r="T11" s="2058"/>
      <c r="U11" s="2058"/>
      <c r="V11" s="2058"/>
      <c r="W11" s="2058"/>
      <c r="X11" s="2058"/>
      <c r="Y11" s="2058"/>
      <c r="Z11" s="2058"/>
    </row>
    <row r="12" spans="1:26" ht="12" x14ac:dyDescent="0.2">
      <c r="A12" s="9" t="str">
        <f>MID(Summary!$B$1,FIND(" ",Summary!$B$1,1)+1,4)</f>
        <v>2023</v>
      </c>
      <c r="B12" s="9" t="s">
        <v>1956</v>
      </c>
      <c r="C12" s="9" t="s">
        <v>67</v>
      </c>
      <c r="D12" s="9" t="s">
        <v>95</v>
      </c>
      <c r="E12" s="9" t="s">
        <v>13</v>
      </c>
      <c r="F12" s="9" t="s">
        <v>1957</v>
      </c>
      <c r="G12" s="2063">
        <f>Summary!E27</f>
        <v>0</v>
      </c>
      <c r="H12" s="2058"/>
      <c r="I12" s="2058"/>
      <c r="J12" s="2058"/>
      <c r="K12" s="2058"/>
      <c r="L12" s="2058"/>
      <c r="M12" s="2058"/>
      <c r="N12" s="2058"/>
      <c r="O12" s="2058"/>
      <c r="P12" s="2058"/>
      <c r="Q12" s="2058"/>
      <c r="R12" s="2058"/>
      <c r="S12" s="2058"/>
      <c r="T12" s="2058"/>
      <c r="U12" s="2058"/>
      <c r="V12" s="2058"/>
      <c r="W12" s="2058"/>
      <c r="X12" s="2058"/>
      <c r="Y12" s="2058"/>
      <c r="Z12" s="2058"/>
    </row>
    <row r="13" spans="1:26" ht="12" x14ac:dyDescent="0.2">
      <c r="A13" s="9" t="str">
        <f>MID(Summary!$B$1,FIND(" ",Summary!$B$1,1)+1,4)</f>
        <v>2023</v>
      </c>
      <c r="B13" s="9" t="s">
        <v>1956</v>
      </c>
      <c r="C13" s="9" t="s">
        <v>67</v>
      </c>
      <c r="D13" s="9" t="s">
        <v>95</v>
      </c>
      <c r="E13" s="9" t="s">
        <v>14</v>
      </c>
      <c r="F13" s="9" t="s">
        <v>1957</v>
      </c>
      <c r="G13" s="2063">
        <f>Summary!E28</f>
        <v>0</v>
      </c>
      <c r="H13" s="2058"/>
      <c r="I13" s="2058"/>
      <c r="J13" s="2058"/>
      <c r="K13" s="2058"/>
      <c r="L13" s="2058"/>
      <c r="M13" s="2058"/>
      <c r="N13" s="2058"/>
      <c r="O13" s="2058"/>
      <c r="P13" s="2058"/>
      <c r="Q13" s="2058"/>
      <c r="R13" s="2058"/>
      <c r="S13" s="2058"/>
      <c r="T13" s="2058"/>
      <c r="U13" s="2058"/>
      <c r="V13" s="2058"/>
      <c r="W13" s="2058"/>
      <c r="X13" s="2058"/>
      <c r="Y13" s="2058"/>
      <c r="Z13" s="2058"/>
    </row>
    <row r="14" spans="1:26" ht="12" x14ac:dyDescent="0.2">
      <c r="A14" s="9" t="str">
        <f>MID(Summary!$B$1,FIND(" ",Summary!$B$1,1)+1,4)</f>
        <v>2023</v>
      </c>
      <c r="B14" s="9" t="s">
        <v>1956</v>
      </c>
      <c r="C14" s="9" t="s">
        <v>1958</v>
      </c>
      <c r="D14" s="9" t="s">
        <v>1958</v>
      </c>
      <c r="E14" s="9" t="s">
        <v>10</v>
      </c>
      <c r="F14" s="9" t="s">
        <v>1957</v>
      </c>
      <c r="G14" s="2063">
        <f>Summary!E29</f>
        <v>8.2547704037796912</v>
      </c>
      <c r="H14" s="2058"/>
      <c r="I14" s="2058"/>
      <c r="J14" s="2058"/>
      <c r="K14" s="2058"/>
      <c r="L14" s="2058"/>
      <c r="M14" s="2058"/>
      <c r="N14" s="2058"/>
      <c r="O14" s="2058"/>
      <c r="P14" s="2058"/>
      <c r="Q14" s="2058"/>
      <c r="R14" s="2058"/>
      <c r="S14" s="2058"/>
      <c r="T14" s="2058"/>
      <c r="U14" s="2058"/>
      <c r="V14" s="2058"/>
      <c r="W14" s="2058"/>
      <c r="X14" s="2058"/>
      <c r="Y14" s="2058"/>
      <c r="Z14" s="2058"/>
    </row>
    <row r="15" spans="1:26" ht="12" x14ac:dyDescent="0.2">
      <c r="A15" s="9" t="str">
        <f>MID(Summary!$B$1,FIND(" ",Summary!$B$1,1)+1,4)</f>
        <v>2023</v>
      </c>
      <c r="B15" s="9" t="s">
        <v>1956</v>
      </c>
      <c r="C15" s="9" t="s">
        <v>1958</v>
      </c>
      <c r="D15" s="9" t="s">
        <v>1958</v>
      </c>
      <c r="E15" s="9" t="s">
        <v>13</v>
      </c>
      <c r="F15" s="9" t="s">
        <v>1957</v>
      </c>
      <c r="G15" s="2063"/>
      <c r="H15" s="2058"/>
      <c r="I15" s="2058"/>
      <c r="J15" s="2058"/>
      <c r="K15" s="2058"/>
      <c r="L15" s="2058"/>
      <c r="M15" s="2058"/>
      <c r="N15" s="2058"/>
      <c r="O15" s="2058"/>
      <c r="P15" s="2058"/>
      <c r="Q15" s="2058"/>
      <c r="R15" s="2058"/>
      <c r="S15" s="2058"/>
      <c r="T15" s="2058"/>
      <c r="U15" s="2058"/>
      <c r="V15" s="2058"/>
      <c r="W15" s="2058"/>
      <c r="X15" s="2058"/>
      <c r="Y15" s="2058"/>
      <c r="Z15" s="2058"/>
    </row>
    <row r="16" spans="1:26" ht="12" x14ac:dyDescent="0.2">
      <c r="A16" s="9" t="str">
        <f>MID(Summary!$B$1,FIND(" ",Summary!$B$1,1)+1,4)</f>
        <v>2023</v>
      </c>
      <c r="B16" s="9" t="s">
        <v>1956</v>
      </c>
      <c r="C16" s="9" t="s">
        <v>1958</v>
      </c>
      <c r="D16" s="9" t="s">
        <v>1958</v>
      </c>
      <c r="E16" s="9" t="s">
        <v>14</v>
      </c>
      <c r="F16" s="9" t="s">
        <v>1957</v>
      </c>
      <c r="G16" s="2063"/>
      <c r="H16" s="2058"/>
      <c r="I16" s="2058"/>
      <c r="J16" s="2058"/>
      <c r="K16" s="2058"/>
      <c r="L16" s="2058"/>
      <c r="M16" s="2058"/>
      <c r="N16" s="2058"/>
      <c r="O16" s="2058"/>
      <c r="P16" s="2058"/>
      <c r="Q16" s="2058"/>
      <c r="R16" s="2058"/>
      <c r="S16" s="2058"/>
      <c r="T16" s="2058"/>
      <c r="U16" s="2058"/>
      <c r="V16" s="2058"/>
      <c r="W16" s="2058"/>
      <c r="X16" s="2058"/>
      <c r="Y16" s="2058"/>
      <c r="Z16" s="2058"/>
    </row>
    <row r="17" spans="1:26" ht="12" x14ac:dyDescent="0.2">
      <c r="A17" s="9" t="str">
        <f>MID(Summary!$B$1,FIND(" ",Summary!$B$1,1)+1,4)</f>
        <v>2023</v>
      </c>
      <c r="B17" s="9" t="s">
        <v>1956</v>
      </c>
      <c r="C17" s="9" t="s">
        <v>67</v>
      </c>
      <c r="D17" s="9" t="s">
        <v>72</v>
      </c>
      <c r="E17" s="9" t="s">
        <v>10</v>
      </c>
      <c r="F17" s="9" t="s">
        <v>1959</v>
      </c>
      <c r="G17" s="2063">
        <f>Summary!D14</f>
        <v>2.0288820964991947</v>
      </c>
      <c r="H17" s="2058"/>
      <c r="I17" s="2058"/>
      <c r="J17" s="2058"/>
      <c r="K17" s="2058"/>
      <c r="L17" s="2058"/>
      <c r="M17" s="2058"/>
      <c r="N17" s="2058"/>
      <c r="O17" s="2058"/>
      <c r="P17" s="2058"/>
      <c r="Q17" s="2058"/>
      <c r="R17" s="2058"/>
      <c r="S17" s="2058"/>
      <c r="T17" s="2058"/>
      <c r="U17" s="2058"/>
      <c r="V17" s="2058"/>
      <c r="W17" s="2058"/>
      <c r="X17" s="2058"/>
      <c r="Y17" s="2058"/>
      <c r="Z17" s="2058"/>
    </row>
    <row r="18" spans="1:26" ht="12" x14ac:dyDescent="0.2">
      <c r="A18" s="9" t="str">
        <f>MID(Summary!$B$1,FIND(" ",Summary!$B$1,1)+1,4)</f>
        <v>2023</v>
      </c>
      <c r="B18" s="9" t="s">
        <v>1956</v>
      </c>
      <c r="C18" s="9" t="s">
        <v>67</v>
      </c>
      <c r="D18" s="9" t="s">
        <v>72</v>
      </c>
      <c r="E18" s="9" t="s">
        <v>13</v>
      </c>
      <c r="F18" s="9" t="s">
        <v>1959</v>
      </c>
      <c r="G18" s="2063">
        <f>Summary!D15</f>
        <v>1.9994922222565294E-2</v>
      </c>
      <c r="H18" s="2058"/>
      <c r="I18" s="2058"/>
      <c r="J18" s="2058"/>
      <c r="K18" s="2058"/>
      <c r="L18" s="2058"/>
      <c r="M18" s="2058"/>
      <c r="N18" s="2058"/>
      <c r="O18" s="2058"/>
      <c r="P18" s="2058"/>
      <c r="Q18" s="2058"/>
      <c r="R18" s="2058"/>
      <c r="S18" s="2058"/>
      <c r="T18" s="2058"/>
      <c r="U18" s="2058"/>
      <c r="V18" s="2058"/>
      <c r="W18" s="2058"/>
      <c r="X18" s="2058"/>
      <c r="Y18" s="2058"/>
      <c r="Z18" s="2058"/>
    </row>
    <row r="19" spans="1:26" ht="12" x14ac:dyDescent="0.2">
      <c r="A19" s="9" t="str">
        <f>MID(Summary!$B$1,FIND(" ",Summary!$B$1,1)+1,4)</f>
        <v>2023</v>
      </c>
      <c r="B19" s="9" t="s">
        <v>1956</v>
      </c>
      <c r="C19" s="9" t="s">
        <v>67</v>
      </c>
      <c r="D19" s="9" t="s">
        <v>72</v>
      </c>
      <c r="E19" s="9" t="s">
        <v>14</v>
      </c>
      <c r="F19" s="9" t="s">
        <v>1959</v>
      </c>
      <c r="G19" s="2063">
        <f>Summary!D16</f>
        <v>9.7940647114379813E-3</v>
      </c>
      <c r="H19" s="2058"/>
      <c r="I19" s="2058"/>
      <c r="J19" s="2058"/>
      <c r="K19" s="2058"/>
      <c r="L19" s="2058"/>
      <c r="M19" s="2058"/>
      <c r="N19" s="2058"/>
      <c r="O19" s="2058"/>
      <c r="P19" s="2058"/>
      <c r="Q19" s="2058"/>
      <c r="R19" s="2058"/>
      <c r="S19" s="2058"/>
      <c r="T19" s="2058"/>
      <c r="U19" s="2058"/>
      <c r="V19" s="2058"/>
      <c r="W19" s="2058"/>
      <c r="X19" s="2058"/>
      <c r="Y19" s="2058"/>
      <c r="Z19" s="2058"/>
    </row>
    <row r="20" spans="1:26" ht="12" x14ac:dyDescent="0.2">
      <c r="A20" s="9" t="str">
        <f>MID(Summary!$B$1,FIND(" ",Summary!$B$1,1)+1,4)</f>
        <v>2023</v>
      </c>
      <c r="B20" s="9" t="s">
        <v>1956</v>
      </c>
      <c r="C20" s="9" t="s">
        <v>67</v>
      </c>
      <c r="D20" s="9" t="s">
        <v>29</v>
      </c>
      <c r="E20" s="9" t="s">
        <v>10</v>
      </c>
      <c r="F20" s="9" t="s">
        <v>1959</v>
      </c>
      <c r="G20" s="2063">
        <f>Summary!D18</f>
        <v>6.1475896222033191</v>
      </c>
      <c r="H20" s="2058"/>
      <c r="I20" s="2058"/>
      <c r="J20" s="2058"/>
      <c r="K20" s="2058"/>
      <c r="L20" s="2058"/>
      <c r="M20" s="2058"/>
      <c r="N20" s="2058"/>
      <c r="O20" s="2058"/>
      <c r="P20" s="2058"/>
      <c r="Q20" s="2058"/>
      <c r="R20" s="2058"/>
      <c r="S20" s="2058"/>
      <c r="T20" s="2058"/>
      <c r="U20" s="2058"/>
      <c r="V20" s="2058"/>
      <c r="W20" s="2058"/>
      <c r="X20" s="2058"/>
      <c r="Y20" s="2058"/>
      <c r="Z20" s="2058"/>
    </row>
    <row r="21" spans="1:26" ht="12" x14ac:dyDescent="0.2">
      <c r="A21" s="9" t="str">
        <f>MID(Summary!$B$1,FIND(" ",Summary!$B$1,1)+1,4)</f>
        <v>2023</v>
      </c>
      <c r="B21" s="9" t="s">
        <v>1956</v>
      </c>
      <c r="C21" s="9" t="s">
        <v>67</v>
      </c>
      <c r="D21" s="9" t="s">
        <v>29</v>
      </c>
      <c r="E21" s="9" t="s">
        <v>13</v>
      </c>
      <c r="F21" s="9" t="s">
        <v>1959</v>
      </c>
      <c r="G21" s="2063">
        <f>Summary!D19</f>
        <v>1.0583415491196242E-2</v>
      </c>
      <c r="H21" s="2058"/>
      <c r="I21" s="2058"/>
      <c r="J21" s="2058"/>
      <c r="K21" s="2058"/>
      <c r="L21" s="2058"/>
      <c r="M21" s="2058"/>
      <c r="N21" s="2058"/>
      <c r="O21" s="2058"/>
      <c r="P21" s="2058"/>
      <c r="Q21" s="2058"/>
      <c r="R21" s="2058"/>
      <c r="S21" s="2058"/>
      <c r="T21" s="2058"/>
      <c r="U21" s="2058"/>
      <c r="V21" s="2058"/>
      <c r="W21" s="2058"/>
      <c r="X21" s="2058"/>
      <c r="Y21" s="2058"/>
      <c r="Z21" s="2058"/>
    </row>
    <row r="22" spans="1:26" ht="12" x14ac:dyDescent="0.2">
      <c r="A22" s="9" t="str">
        <f>MID(Summary!$B$1,FIND(" ",Summary!$B$1,1)+1,4)</f>
        <v>2023</v>
      </c>
      <c r="B22" s="9" t="s">
        <v>1956</v>
      </c>
      <c r="C22" s="9" t="s">
        <v>67</v>
      </c>
      <c r="D22" s="9" t="s">
        <v>29</v>
      </c>
      <c r="E22" s="9" t="s">
        <v>14</v>
      </c>
      <c r="F22" s="9" t="s">
        <v>1959</v>
      </c>
      <c r="G22" s="2063">
        <f>Summary!D20</f>
        <v>4.9961371327576932E-3</v>
      </c>
      <c r="H22" s="2058"/>
      <c r="I22" s="2058"/>
      <c r="J22" s="2058"/>
      <c r="K22" s="2058"/>
      <c r="L22" s="2058"/>
      <c r="M22" s="2058"/>
      <c r="N22" s="2058"/>
      <c r="O22" s="2058"/>
      <c r="P22" s="2058"/>
      <c r="Q22" s="2058"/>
      <c r="R22" s="2058"/>
      <c r="S22" s="2058"/>
      <c r="T22" s="2058"/>
      <c r="U22" s="2058"/>
      <c r="V22" s="2058"/>
      <c r="W22" s="2058"/>
      <c r="X22" s="2058"/>
      <c r="Y22" s="2058"/>
      <c r="Z22" s="2058"/>
    </row>
    <row r="23" spans="1:26" ht="12" x14ac:dyDescent="0.2">
      <c r="A23" s="9" t="str">
        <f>MID(Summary!$B$1,FIND(" ",Summary!$B$1,1)+1,4)</f>
        <v>2023</v>
      </c>
      <c r="B23" s="9" t="s">
        <v>1956</v>
      </c>
      <c r="C23" s="9" t="s">
        <v>67</v>
      </c>
      <c r="D23" s="9" t="s">
        <v>94</v>
      </c>
      <c r="E23" s="9" t="s">
        <v>10</v>
      </c>
      <c r="F23" s="9" t="s">
        <v>1959</v>
      </c>
      <c r="G23" s="2063">
        <f>Summary!D22</f>
        <v>0.10068322764775174</v>
      </c>
      <c r="H23" s="2058"/>
      <c r="I23" s="2058"/>
      <c r="J23" s="2058"/>
      <c r="K23" s="2058"/>
      <c r="L23" s="2058"/>
      <c r="M23" s="2058"/>
      <c r="N23" s="2058"/>
      <c r="O23" s="2058"/>
      <c r="P23" s="2058"/>
      <c r="Q23" s="2058"/>
      <c r="R23" s="2058"/>
      <c r="S23" s="2058"/>
      <c r="T23" s="2058"/>
      <c r="U23" s="2058"/>
      <c r="V23" s="2058"/>
      <c r="W23" s="2058"/>
      <c r="X23" s="2058"/>
      <c r="Y23" s="2058"/>
      <c r="Z23" s="2058"/>
    </row>
    <row r="24" spans="1:26" ht="12" x14ac:dyDescent="0.2">
      <c r="A24" s="9" t="str">
        <f>MID(Summary!$B$1,FIND(" ",Summary!$B$1,1)+1,4)</f>
        <v>2023</v>
      </c>
      <c r="B24" s="9" t="s">
        <v>1956</v>
      </c>
      <c r="C24" s="9" t="s">
        <v>67</v>
      </c>
      <c r="D24" s="9" t="s">
        <v>94</v>
      </c>
      <c r="E24" s="9" t="s">
        <v>13</v>
      </c>
      <c r="F24" s="9" t="s">
        <v>1959</v>
      </c>
      <c r="G24" s="2063">
        <f>Summary!D23</f>
        <v>5.9020359170136019E-4</v>
      </c>
      <c r="H24" s="2058"/>
      <c r="I24" s="2058"/>
      <c r="J24" s="2058"/>
      <c r="K24" s="2058"/>
      <c r="L24" s="2058"/>
      <c r="M24" s="2058"/>
      <c r="N24" s="2058"/>
      <c r="O24" s="2058"/>
      <c r="P24" s="2058"/>
      <c r="Q24" s="2058"/>
      <c r="R24" s="2058"/>
      <c r="S24" s="2058"/>
      <c r="T24" s="2058"/>
      <c r="U24" s="2058"/>
      <c r="V24" s="2058"/>
      <c r="W24" s="2058"/>
      <c r="X24" s="2058"/>
      <c r="Y24" s="2058"/>
      <c r="Z24" s="2058"/>
    </row>
    <row r="25" spans="1:26" ht="12" x14ac:dyDescent="0.2">
      <c r="A25" s="9" t="str">
        <f>MID(Summary!$B$1,FIND(" ",Summary!$B$1,1)+1,4)</f>
        <v>2023</v>
      </c>
      <c r="B25" s="9" t="s">
        <v>1956</v>
      </c>
      <c r="C25" s="9" t="s">
        <v>67</v>
      </c>
      <c r="D25" s="9" t="s">
        <v>94</v>
      </c>
      <c r="E25" s="9" t="s">
        <v>14</v>
      </c>
      <c r="F25" s="9" t="s">
        <v>1959</v>
      </c>
      <c r="G25" s="2063">
        <f>Summary!D24</f>
        <v>1.9629507243868561E-4</v>
      </c>
      <c r="H25" s="2058"/>
      <c r="I25" s="2058"/>
      <c r="J25" s="2058"/>
      <c r="K25" s="2058"/>
      <c r="L25" s="2058"/>
      <c r="M25" s="2058"/>
      <c r="N25" s="2058"/>
      <c r="O25" s="2058"/>
      <c r="P25" s="2058"/>
      <c r="Q25" s="2058"/>
      <c r="R25" s="2058"/>
      <c r="S25" s="2058"/>
      <c r="T25" s="2058"/>
      <c r="U25" s="2058"/>
      <c r="V25" s="2058"/>
      <c r="W25" s="2058"/>
      <c r="X25" s="2058"/>
      <c r="Y25" s="2058"/>
      <c r="Z25" s="2058"/>
    </row>
    <row r="26" spans="1:26" ht="12" x14ac:dyDescent="0.2">
      <c r="A26" s="9" t="str">
        <f>MID(Summary!$B$1,FIND(" ",Summary!$B$1,1)+1,4)</f>
        <v>2023</v>
      </c>
      <c r="B26" s="9" t="s">
        <v>1956</v>
      </c>
      <c r="C26" s="9" t="s">
        <v>67</v>
      </c>
      <c r="D26" s="9" t="s">
        <v>95</v>
      </c>
      <c r="E26" s="9" t="s">
        <v>10</v>
      </c>
      <c r="F26" s="9" t="s">
        <v>1959</v>
      </c>
      <c r="G26" s="2063">
        <f>Summary!D26</f>
        <v>0</v>
      </c>
      <c r="H26" s="2058"/>
      <c r="I26" s="2058"/>
      <c r="J26" s="2058"/>
      <c r="K26" s="2058"/>
      <c r="L26" s="2058"/>
      <c r="M26" s="2058"/>
      <c r="N26" s="2058"/>
      <c r="O26" s="2058"/>
      <c r="P26" s="2058"/>
      <c r="Q26" s="2058"/>
      <c r="R26" s="2058"/>
      <c r="S26" s="2058"/>
      <c r="T26" s="2058"/>
      <c r="U26" s="2058"/>
      <c r="V26" s="2058"/>
      <c r="W26" s="2058"/>
      <c r="X26" s="2058"/>
      <c r="Y26" s="2058"/>
      <c r="Z26" s="2058"/>
    </row>
    <row r="27" spans="1:26" ht="12" x14ac:dyDescent="0.2">
      <c r="A27" s="9" t="str">
        <f>MID(Summary!$B$1,FIND(" ",Summary!$B$1,1)+1,4)</f>
        <v>2023</v>
      </c>
      <c r="B27" s="9" t="s">
        <v>1956</v>
      </c>
      <c r="C27" s="9" t="s">
        <v>67</v>
      </c>
      <c r="D27" s="9" t="s">
        <v>95</v>
      </c>
      <c r="E27" s="9" t="s">
        <v>13</v>
      </c>
      <c r="F27" s="9" t="s">
        <v>1959</v>
      </c>
      <c r="G27" s="2063">
        <f>Summary!D27</f>
        <v>0</v>
      </c>
      <c r="H27" s="2058"/>
      <c r="I27" s="2058"/>
      <c r="J27" s="2058"/>
      <c r="K27" s="2058"/>
      <c r="L27" s="2058"/>
      <c r="M27" s="2058"/>
      <c r="N27" s="2058"/>
      <c r="O27" s="2058"/>
      <c r="P27" s="2058"/>
      <c r="Q27" s="2058"/>
      <c r="R27" s="2058"/>
      <c r="S27" s="2058"/>
      <c r="T27" s="2058"/>
      <c r="U27" s="2058"/>
      <c r="V27" s="2058"/>
      <c r="W27" s="2058"/>
      <c r="X27" s="2058"/>
      <c r="Y27" s="2058"/>
      <c r="Z27" s="2058"/>
    </row>
    <row r="28" spans="1:26" ht="12" x14ac:dyDescent="0.2">
      <c r="A28" s="9" t="str">
        <f>MID(Summary!$B$1,FIND(" ",Summary!$B$1,1)+1,4)</f>
        <v>2023</v>
      </c>
      <c r="B28" s="9" t="s">
        <v>1956</v>
      </c>
      <c r="C28" s="9" t="s">
        <v>67</v>
      </c>
      <c r="D28" s="9" t="s">
        <v>95</v>
      </c>
      <c r="E28" s="9" t="s">
        <v>14</v>
      </c>
      <c r="F28" s="9" t="s">
        <v>1959</v>
      </c>
      <c r="G28" s="2063">
        <f>Summary!D28</f>
        <v>0</v>
      </c>
      <c r="H28" s="2058"/>
      <c r="I28" s="2058"/>
      <c r="J28" s="2058"/>
      <c r="K28" s="2058"/>
      <c r="L28" s="2058"/>
      <c r="M28" s="2058"/>
      <c r="N28" s="2058"/>
      <c r="O28" s="2058"/>
      <c r="P28" s="2058"/>
      <c r="Q28" s="2058"/>
      <c r="R28" s="2058"/>
      <c r="S28" s="2058"/>
      <c r="T28" s="2058"/>
      <c r="U28" s="2058"/>
      <c r="V28" s="2058"/>
      <c r="W28" s="2058"/>
      <c r="X28" s="2058"/>
      <c r="Y28" s="2058"/>
      <c r="Z28" s="2058"/>
    </row>
    <row r="29" spans="1:26" ht="12" x14ac:dyDescent="0.2">
      <c r="A29" s="9" t="str">
        <f>MID(Summary!$B$1,FIND(" ",Summary!$B$1,1)+1,4)</f>
        <v>2023</v>
      </c>
      <c r="B29" s="9" t="s">
        <v>1956</v>
      </c>
      <c r="C29" s="9" t="s">
        <v>1958</v>
      </c>
      <c r="D29" s="9" t="s">
        <v>1958</v>
      </c>
      <c r="E29" s="9" t="s">
        <v>10</v>
      </c>
      <c r="F29" s="9" t="s">
        <v>1959</v>
      </c>
      <c r="G29" s="2063">
        <f>Summary!D29</f>
        <v>8.2547704037796912</v>
      </c>
      <c r="H29" s="2058"/>
      <c r="I29" s="2058"/>
      <c r="J29" s="2058"/>
      <c r="K29" s="2058"/>
      <c r="L29" s="2058"/>
      <c r="M29" s="2058"/>
      <c r="N29" s="2058"/>
      <c r="O29" s="2058"/>
      <c r="P29" s="2058"/>
      <c r="Q29" s="2058"/>
      <c r="R29" s="2058"/>
      <c r="S29" s="2058"/>
      <c r="T29" s="2058"/>
      <c r="U29" s="2058"/>
      <c r="V29" s="2058"/>
      <c r="W29" s="2058"/>
      <c r="X29" s="2058"/>
      <c r="Y29" s="2058"/>
      <c r="Z29" s="2058"/>
    </row>
    <row r="30" spans="1:26" ht="12" x14ac:dyDescent="0.2">
      <c r="A30" s="9" t="str">
        <f>MID(Summary!$B$1,FIND(" ",Summary!$B$1,1)+1,4)</f>
        <v>2023</v>
      </c>
      <c r="B30" s="9" t="s">
        <v>1956</v>
      </c>
      <c r="C30" s="9" t="s">
        <v>1958</v>
      </c>
      <c r="D30" s="9" t="s">
        <v>1958</v>
      </c>
      <c r="E30" s="9" t="s">
        <v>13</v>
      </c>
      <c r="F30" s="9" t="s">
        <v>1959</v>
      </c>
      <c r="G30" s="2063"/>
      <c r="H30" s="2058"/>
      <c r="I30" s="2058"/>
      <c r="J30" s="2058"/>
      <c r="K30" s="2058"/>
      <c r="L30" s="2058"/>
      <c r="M30" s="2058"/>
      <c r="N30" s="2058"/>
      <c r="O30" s="2058"/>
      <c r="P30" s="2058"/>
      <c r="Q30" s="2058"/>
      <c r="R30" s="2058"/>
      <c r="S30" s="2058"/>
      <c r="T30" s="2058"/>
      <c r="U30" s="2058"/>
      <c r="V30" s="2058"/>
      <c r="W30" s="2058"/>
      <c r="X30" s="2058"/>
      <c r="Y30" s="2058"/>
      <c r="Z30" s="2058"/>
    </row>
    <row r="31" spans="1:26" ht="12" x14ac:dyDescent="0.2">
      <c r="A31" s="9" t="str">
        <f>MID(Summary!$B$1,FIND(" ",Summary!$B$1,1)+1,4)</f>
        <v>2023</v>
      </c>
      <c r="B31" s="9" t="s">
        <v>1956</v>
      </c>
      <c r="C31" s="9" t="s">
        <v>1958</v>
      </c>
      <c r="D31" s="9" t="s">
        <v>1958</v>
      </c>
      <c r="E31" s="9" t="s">
        <v>14</v>
      </c>
      <c r="F31" s="9" t="s">
        <v>1959</v>
      </c>
      <c r="G31" s="2063"/>
      <c r="H31" s="2058"/>
      <c r="I31" s="2058"/>
      <c r="J31" s="2058"/>
      <c r="K31" s="2058"/>
      <c r="L31" s="2058"/>
      <c r="M31" s="2058"/>
      <c r="N31" s="2058"/>
      <c r="O31" s="2058"/>
      <c r="P31" s="2058"/>
      <c r="Q31" s="2058"/>
      <c r="R31" s="2058"/>
      <c r="S31" s="2058"/>
      <c r="T31" s="2058"/>
      <c r="U31" s="2058"/>
      <c r="V31" s="2058"/>
      <c r="W31" s="2058"/>
      <c r="X31" s="2058"/>
      <c r="Y31" s="2058"/>
      <c r="Z31" s="2058"/>
    </row>
    <row r="32" spans="1:26" ht="12" x14ac:dyDescent="0.2">
      <c r="A32" s="9" t="str">
        <f>MID(Summary!$B$1,FIND(" ",Summary!$B$1,1)+1,4)</f>
        <v>2023</v>
      </c>
      <c r="B32" s="9" t="s">
        <v>1960</v>
      </c>
      <c r="C32" s="9" t="s">
        <v>33</v>
      </c>
      <c r="D32" s="9" t="s">
        <v>72</v>
      </c>
      <c r="E32" s="9" t="s">
        <v>10</v>
      </c>
      <c r="F32" s="9" t="s">
        <v>1957</v>
      </c>
      <c r="G32" s="2063">
        <f>Residential!C58</f>
        <v>0</v>
      </c>
      <c r="J32" s="2058"/>
      <c r="K32" s="2058"/>
      <c r="L32" s="2058"/>
      <c r="M32" s="2058"/>
      <c r="N32" s="2058"/>
      <c r="O32" s="2058"/>
      <c r="P32" s="2058"/>
      <c r="Q32" s="2058"/>
      <c r="R32" s="2058"/>
      <c r="S32" s="2058"/>
      <c r="T32" s="2058"/>
      <c r="U32" s="2058"/>
      <c r="V32" s="2058"/>
      <c r="W32" s="2058"/>
      <c r="X32" s="2058"/>
      <c r="Y32" s="2058"/>
      <c r="Z32" s="2058"/>
    </row>
    <row r="33" spans="1:26" ht="12" x14ac:dyDescent="0.2">
      <c r="A33" s="9" t="str">
        <f>MID(Summary!$B$1,FIND(" ",Summary!$B$1,1)+1,4)</f>
        <v>2023</v>
      </c>
      <c r="B33" s="9" t="s">
        <v>1960</v>
      </c>
      <c r="C33" s="9" t="s">
        <v>33</v>
      </c>
      <c r="D33" s="9" t="s">
        <v>72</v>
      </c>
      <c r="E33" s="9" t="s">
        <v>13</v>
      </c>
      <c r="F33" s="9" t="s">
        <v>1957</v>
      </c>
      <c r="G33" s="2063">
        <f>Residential!E58</f>
        <v>0</v>
      </c>
      <c r="J33" s="2058"/>
      <c r="K33" s="2058"/>
      <c r="L33" s="2058"/>
      <c r="M33" s="2058"/>
      <c r="N33" s="2058"/>
      <c r="O33" s="2058"/>
      <c r="P33" s="2058"/>
      <c r="Q33" s="2058"/>
      <c r="R33" s="2058"/>
      <c r="S33" s="2058"/>
      <c r="T33" s="2058"/>
      <c r="U33" s="2058"/>
      <c r="V33" s="2058"/>
      <c r="W33" s="2058"/>
      <c r="X33" s="2058"/>
      <c r="Y33" s="2058"/>
      <c r="Z33" s="2058"/>
    </row>
    <row r="34" spans="1:26" ht="12" x14ac:dyDescent="0.2">
      <c r="A34" s="9" t="str">
        <f>MID(Summary!$B$1,FIND(" ",Summary!$B$1,1)+1,4)</f>
        <v>2023</v>
      </c>
      <c r="B34" s="9" t="s">
        <v>1960</v>
      </c>
      <c r="C34" s="9" t="s">
        <v>33</v>
      </c>
      <c r="D34" s="9" t="s">
        <v>72</v>
      </c>
      <c r="E34" s="9" t="s">
        <v>14</v>
      </c>
      <c r="F34" s="9" t="s">
        <v>1957</v>
      </c>
      <c r="G34" s="2063">
        <f>Residential!D58</f>
        <v>0</v>
      </c>
      <c r="J34" s="2058"/>
      <c r="K34" s="2058"/>
      <c r="L34" s="2058"/>
      <c r="M34" s="2058"/>
      <c r="N34" s="2058"/>
      <c r="O34" s="2058"/>
      <c r="P34" s="2058"/>
      <c r="Q34" s="2058"/>
      <c r="R34" s="2058"/>
      <c r="S34" s="2058"/>
      <c r="T34" s="2058"/>
      <c r="U34" s="2058"/>
      <c r="V34" s="2058"/>
      <c r="W34" s="2058"/>
      <c r="X34" s="2058"/>
      <c r="Y34" s="2058"/>
      <c r="Z34" s="2058"/>
    </row>
    <row r="35" spans="1:26" ht="12" x14ac:dyDescent="0.2">
      <c r="A35" s="9" t="str">
        <f>MID(Summary!$B$1,FIND(" ",Summary!$B$1,1)+1,4)</f>
        <v>2023</v>
      </c>
      <c r="B35" s="9" t="s">
        <v>1960</v>
      </c>
      <c r="C35" s="9" t="s">
        <v>33</v>
      </c>
      <c r="D35" s="9" t="s">
        <v>137</v>
      </c>
      <c r="E35" s="9" t="s">
        <v>10</v>
      </c>
      <c r="F35" s="9" t="s">
        <v>1957</v>
      </c>
      <c r="G35" s="2063">
        <f>Residential!C59</f>
        <v>4.306919356875575</v>
      </c>
      <c r="J35" s="2058"/>
      <c r="K35" s="2058"/>
      <c r="L35" s="2058"/>
      <c r="M35" s="2058"/>
      <c r="N35" s="2058"/>
      <c r="O35" s="2058"/>
      <c r="P35" s="2058"/>
      <c r="Q35" s="2058"/>
      <c r="R35" s="2058"/>
      <c r="S35" s="2058"/>
      <c r="T35" s="2058"/>
      <c r="U35" s="2058"/>
      <c r="V35" s="2058"/>
      <c r="W35" s="2058"/>
      <c r="X35" s="2058"/>
      <c r="Y35" s="2058"/>
      <c r="Z35" s="2058"/>
    </row>
    <row r="36" spans="1:26" ht="12" x14ac:dyDescent="0.2">
      <c r="A36" s="9" t="str">
        <f>MID(Summary!$B$1,FIND(" ",Summary!$B$1,1)+1,4)</f>
        <v>2023</v>
      </c>
      <c r="B36" s="9" t="s">
        <v>1960</v>
      </c>
      <c r="C36" s="9" t="s">
        <v>33</v>
      </c>
      <c r="D36" s="9" t="s">
        <v>137</v>
      </c>
      <c r="E36" s="9" t="s">
        <v>13</v>
      </c>
      <c r="F36" s="9" t="s">
        <v>1957</v>
      </c>
      <c r="G36" s="2063">
        <f>Residential!E59</f>
        <v>1.1493853525666195E-2</v>
      </c>
      <c r="J36" s="2058"/>
      <c r="K36" s="2058"/>
      <c r="L36" s="2058"/>
      <c r="M36" s="2058"/>
      <c r="N36" s="2058"/>
      <c r="O36" s="2058"/>
      <c r="P36" s="2058"/>
      <c r="Q36" s="2058"/>
      <c r="R36" s="2058"/>
      <c r="S36" s="2058"/>
      <c r="T36" s="2058"/>
      <c r="U36" s="2058"/>
      <c r="V36" s="2058"/>
      <c r="W36" s="2058"/>
      <c r="X36" s="2058"/>
      <c r="Y36" s="2058"/>
      <c r="Z36" s="2058"/>
    </row>
    <row r="37" spans="1:26" ht="12" x14ac:dyDescent="0.2">
      <c r="A37" s="9" t="str">
        <f>MID(Summary!$B$1,FIND(" ",Summary!$B$1,1)+1,4)</f>
        <v>2023</v>
      </c>
      <c r="B37" s="9" t="s">
        <v>1960</v>
      </c>
      <c r="C37" s="9" t="s">
        <v>33</v>
      </c>
      <c r="D37" s="9" t="s">
        <v>137</v>
      </c>
      <c r="E37" s="9" t="s">
        <v>14</v>
      </c>
      <c r="F37" s="9" t="s">
        <v>1957</v>
      </c>
      <c r="G37" s="2063">
        <f>Residential!D59</f>
        <v>2.8884220503371024E-3</v>
      </c>
      <c r="J37" s="2058"/>
      <c r="K37" s="2058"/>
      <c r="L37" s="2058"/>
      <c r="M37" s="2058"/>
      <c r="N37" s="2058"/>
      <c r="O37" s="2058"/>
      <c r="P37" s="2058"/>
      <c r="Q37" s="2058"/>
      <c r="R37" s="2058"/>
      <c r="S37" s="2058"/>
      <c r="T37" s="2058"/>
      <c r="U37" s="2058"/>
      <c r="V37" s="2058"/>
      <c r="W37" s="2058"/>
      <c r="X37" s="2058"/>
      <c r="Y37" s="2058"/>
      <c r="Z37" s="2058"/>
    </row>
    <row r="38" spans="1:26" ht="12" x14ac:dyDescent="0.2">
      <c r="A38" s="9" t="str">
        <f>MID(Summary!$B$1,FIND(" ",Summary!$B$1,1)+1,4)</f>
        <v>2023</v>
      </c>
      <c r="B38" s="9" t="s">
        <v>1960</v>
      </c>
      <c r="C38" s="9" t="s">
        <v>33</v>
      </c>
      <c r="D38" s="9" t="s">
        <v>101</v>
      </c>
      <c r="E38" s="9" t="s">
        <v>10</v>
      </c>
      <c r="F38" s="9" t="s">
        <v>1957</v>
      </c>
      <c r="G38" s="2063">
        <f>Residential!C60</f>
        <v>1.0146321546932999</v>
      </c>
      <c r="J38" s="2058"/>
      <c r="K38" s="2058"/>
      <c r="L38" s="2058"/>
      <c r="M38" s="2058"/>
      <c r="N38" s="2058"/>
      <c r="O38" s="2058"/>
      <c r="P38" s="2058"/>
      <c r="Q38" s="2058"/>
      <c r="R38" s="2058"/>
      <c r="S38" s="2058"/>
      <c r="T38" s="2058"/>
      <c r="U38" s="2058"/>
      <c r="V38" s="2058"/>
      <c r="W38" s="2058"/>
      <c r="X38" s="2058"/>
      <c r="Y38" s="2058"/>
      <c r="Z38" s="2058"/>
    </row>
    <row r="39" spans="1:26" ht="12" x14ac:dyDescent="0.2">
      <c r="A39" s="9" t="str">
        <f>MID(Summary!$B$1,FIND(" ",Summary!$B$1,1)+1,4)</f>
        <v>2023</v>
      </c>
      <c r="B39" s="9" t="s">
        <v>1960</v>
      </c>
      <c r="C39" s="9" t="s">
        <v>33</v>
      </c>
      <c r="D39" s="9" t="s">
        <v>101</v>
      </c>
      <c r="E39" s="9" t="s">
        <v>13</v>
      </c>
      <c r="F39" s="9" t="s">
        <v>1957</v>
      </c>
      <c r="G39" s="2063">
        <f>Residential!E60</f>
        <v>3.8277472755511108E-3</v>
      </c>
      <c r="J39" s="2058"/>
      <c r="K39" s="2058"/>
      <c r="L39" s="2058"/>
      <c r="M39" s="2058"/>
      <c r="N39" s="2058"/>
      <c r="O39" s="2058"/>
      <c r="P39" s="2058"/>
      <c r="Q39" s="2058"/>
      <c r="R39" s="2058"/>
      <c r="S39" s="2058"/>
      <c r="T39" s="2058"/>
      <c r="U39" s="2058"/>
      <c r="V39" s="2058"/>
      <c r="W39" s="2058"/>
      <c r="X39" s="2058"/>
      <c r="Y39" s="2058"/>
      <c r="Z39" s="2058"/>
    </row>
    <row r="40" spans="1:26" ht="12" x14ac:dyDescent="0.2">
      <c r="A40" s="9" t="str">
        <f>MID(Summary!$B$1,FIND(" ",Summary!$B$1,1)+1,4)</f>
        <v>2023</v>
      </c>
      <c r="B40" s="9" t="s">
        <v>1960</v>
      </c>
      <c r="C40" s="9" t="s">
        <v>33</v>
      </c>
      <c r="D40" s="9" t="s">
        <v>101</v>
      </c>
      <c r="E40" s="9" t="s">
        <v>14</v>
      </c>
      <c r="F40" s="9" t="s">
        <v>1957</v>
      </c>
      <c r="G40" s="2063">
        <f>Residential!D60</f>
        <v>2.2472580779042003E-3</v>
      </c>
      <c r="J40" s="2058"/>
      <c r="K40" s="2058"/>
      <c r="L40" s="2058"/>
      <c r="M40" s="2058"/>
      <c r="N40" s="2058"/>
      <c r="O40" s="2058"/>
      <c r="P40" s="2058"/>
      <c r="Q40" s="2058"/>
      <c r="R40" s="2058"/>
      <c r="S40" s="2058"/>
      <c r="T40" s="2058"/>
      <c r="U40" s="2058"/>
      <c r="V40" s="2058"/>
      <c r="W40" s="2058"/>
      <c r="X40" s="2058"/>
      <c r="Y40" s="2058"/>
      <c r="Z40" s="2058"/>
    </row>
    <row r="41" spans="1:26" ht="12" x14ac:dyDescent="0.2">
      <c r="A41" s="9" t="str">
        <f>MID(Summary!$B$1,FIND(" ",Summary!$B$1,1)+1,4)</f>
        <v>2023</v>
      </c>
      <c r="B41" s="9" t="s">
        <v>1960</v>
      </c>
      <c r="C41" s="9" t="s">
        <v>33</v>
      </c>
      <c r="D41" s="9" t="s">
        <v>95</v>
      </c>
      <c r="E41" s="9" t="s">
        <v>10</v>
      </c>
      <c r="F41" s="9" t="s">
        <v>1957</v>
      </c>
      <c r="G41" s="2063">
        <f>Residential!C61</f>
        <v>0</v>
      </c>
      <c r="J41" s="2058"/>
      <c r="K41" s="2058"/>
      <c r="L41" s="2058"/>
      <c r="M41" s="2058"/>
      <c r="N41" s="2058"/>
      <c r="O41" s="2058"/>
      <c r="P41" s="2058"/>
      <c r="Q41" s="2058"/>
      <c r="R41" s="2058"/>
      <c r="S41" s="2058"/>
      <c r="T41" s="2058"/>
      <c r="U41" s="2058"/>
      <c r="V41" s="2058"/>
      <c r="W41" s="2058"/>
      <c r="X41" s="2058"/>
      <c r="Y41" s="2058"/>
      <c r="Z41" s="2058"/>
    </row>
    <row r="42" spans="1:26" ht="12" x14ac:dyDescent="0.2">
      <c r="A42" s="9" t="str">
        <f>MID(Summary!$B$1,FIND(" ",Summary!$B$1,1)+1,4)</f>
        <v>2023</v>
      </c>
      <c r="B42" s="9" t="s">
        <v>1960</v>
      </c>
      <c r="C42" s="9" t="s">
        <v>33</v>
      </c>
      <c r="D42" s="9" t="s">
        <v>95</v>
      </c>
      <c r="E42" s="9" t="s">
        <v>13</v>
      </c>
      <c r="F42" s="9" t="s">
        <v>1957</v>
      </c>
      <c r="G42" s="2063">
        <f>Residential!E61</f>
        <v>4.4642431639146544E-2</v>
      </c>
      <c r="J42" s="2058"/>
      <c r="K42" s="2058"/>
      <c r="L42" s="2058"/>
      <c r="M42" s="2058"/>
      <c r="N42" s="2058"/>
      <c r="O42" s="2058"/>
      <c r="P42" s="2058"/>
      <c r="Q42" s="2058"/>
      <c r="R42" s="2058"/>
      <c r="S42" s="2058"/>
      <c r="T42" s="2058"/>
      <c r="U42" s="2058"/>
      <c r="V42" s="2058"/>
      <c r="W42" s="2058"/>
      <c r="X42" s="2058"/>
      <c r="Y42" s="2058"/>
      <c r="Z42" s="2058"/>
    </row>
    <row r="43" spans="1:26" ht="12" x14ac:dyDescent="0.2">
      <c r="A43" s="9" t="str">
        <f>MID(Summary!$B$1,FIND(" ",Summary!$B$1,1)+1,4)</f>
        <v>2023</v>
      </c>
      <c r="B43" s="9" t="s">
        <v>1960</v>
      </c>
      <c r="C43" s="9" t="s">
        <v>33</v>
      </c>
      <c r="D43" s="9" t="s">
        <v>95</v>
      </c>
      <c r="E43" s="9" t="s">
        <v>14</v>
      </c>
      <c r="F43" s="9" t="s">
        <v>1957</v>
      </c>
      <c r="G43" s="2063">
        <f>Residential!D61</f>
        <v>5.8243172461108755E-3</v>
      </c>
      <c r="J43" s="2058"/>
      <c r="K43" s="2058"/>
      <c r="L43" s="2058"/>
      <c r="M43" s="2058"/>
      <c r="N43" s="2058"/>
      <c r="O43" s="2058"/>
      <c r="P43" s="2058"/>
      <c r="Q43" s="2058"/>
      <c r="R43" s="2058"/>
      <c r="S43" s="2058"/>
      <c r="T43" s="2058"/>
      <c r="U43" s="2058"/>
      <c r="V43" s="2058"/>
      <c r="W43" s="2058"/>
      <c r="X43" s="2058"/>
      <c r="Y43" s="2058"/>
      <c r="Z43" s="2058"/>
    </row>
    <row r="44" spans="1:26" ht="12" x14ac:dyDescent="0.2">
      <c r="A44" s="9" t="str">
        <f>MID(Summary!$B$1,FIND(" ",Summary!$B$1,1)+1,4)</f>
        <v>2023</v>
      </c>
      <c r="B44" s="9" t="s">
        <v>1960</v>
      </c>
      <c r="C44" s="9" t="s">
        <v>33</v>
      </c>
      <c r="D44" s="9" t="s">
        <v>72</v>
      </c>
      <c r="E44" s="9" t="s">
        <v>10</v>
      </c>
      <c r="F44" s="9" t="s">
        <v>1959</v>
      </c>
      <c r="G44" s="2063">
        <f>Residential!C58/_xlfn.XLOOKUP(E44,Summary!C$4:C$7,Summary!E$4:E$7,"ERROR")*_xlfn.XLOOKUP(E44,Summary!C$4:C$7,Summary!D$4:D$7,"ERROR")</f>
        <v>0</v>
      </c>
      <c r="H44" s="2058"/>
      <c r="I44" s="2058"/>
      <c r="J44" s="2058"/>
      <c r="K44" s="2058"/>
      <c r="L44" s="2058"/>
      <c r="M44" s="2058"/>
      <c r="N44" s="2058"/>
      <c r="O44" s="2058"/>
      <c r="P44" s="2058"/>
      <c r="Q44" s="2058"/>
      <c r="R44" s="2058"/>
      <c r="S44" s="2058"/>
      <c r="T44" s="2058"/>
      <c r="U44" s="2058"/>
      <c r="V44" s="2058"/>
      <c r="W44" s="2058"/>
      <c r="X44" s="2058"/>
      <c r="Y44" s="2058"/>
      <c r="Z44" s="2058"/>
    </row>
    <row r="45" spans="1:26" ht="12" x14ac:dyDescent="0.2">
      <c r="A45" s="9" t="str">
        <f>MID(Summary!$B$1,FIND(" ",Summary!$B$1,1)+1,4)</f>
        <v>2023</v>
      </c>
      <c r="B45" s="9" t="s">
        <v>1960</v>
      </c>
      <c r="C45" s="9" t="s">
        <v>33</v>
      </c>
      <c r="D45" s="9" t="s">
        <v>72</v>
      </c>
      <c r="E45" s="9" t="s">
        <v>13</v>
      </c>
      <c r="F45" s="9" t="s">
        <v>1959</v>
      </c>
      <c r="G45" s="2063">
        <f>Residential!E58/_xlfn.XLOOKUP(E45,Summary!C$4:C$7,Summary!E$4:E$7,"ERROR")*_xlfn.XLOOKUP(E45,Summary!C$4:C$7,Summary!D$4:D$7,"ERROR")</f>
        <v>0</v>
      </c>
      <c r="H45" s="2058"/>
      <c r="I45" s="2058"/>
      <c r="J45" s="2058"/>
      <c r="K45" s="2058"/>
      <c r="L45" s="2058"/>
      <c r="M45" s="2058"/>
      <c r="N45" s="2058"/>
      <c r="O45" s="2058"/>
      <c r="P45" s="2058"/>
      <c r="Q45" s="2058"/>
      <c r="R45" s="2058"/>
      <c r="S45" s="2058"/>
      <c r="T45" s="2058"/>
      <c r="U45" s="2058"/>
      <c r="V45" s="2058"/>
      <c r="W45" s="2058"/>
      <c r="X45" s="2058"/>
      <c r="Y45" s="2058"/>
      <c r="Z45" s="2058"/>
    </row>
    <row r="46" spans="1:26" ht="12" x14ac:dyDescent="0.2">
      <c r="A46" s="9" t="str">
        <f>MID(Summary!$B$1,FIND(" ",Summary!$B$1,1)+1,4)</f>
        <v>2023</v>
      </c>
      <c r="B46" s="9" t="s">
        <v>1960</v>
      </c>
      <c r="C46" s="9" t="s">
        <v>33</v>
      </c>
      <c r="D46" s="9" t="s">
        <v>72</v>
      </c>
      <c r="E46" s="9" t="s">
        <v>14</v>
      </c>
      <c r="F46" s="9" t="s">
        <v>1959</v>
      </c>
      <c r="G46" s="2063">
        <f>Residential!D58/_xlfn.XLOOKUP(E46,Summary!C$4:C$7,Summary!E$4:E$7,"ERROR")*_xlfn.XLOOKUP(E46,Summary!C$4:C$7,Summary!D$4:D$7,"ERROR")</f>
        <v>0</v>
      </c>
      <c r="H46" s="2058"/>
      <c r="I46" s="2058"/>
      <c r="J46" s="2058"/>
      <c r="K46" s="2058"/>
      <c r="L46" s="2058"/>
      <c r="M46" s="2058"/>
      <c r="N46" s="2058"/>
      <c r="O46" s="2058"/>
      <c r="P46" s="2058"/>
      <c r="Q46" s="2058"/>
      <c r="R46" s="2058"/>
      <c r="S46" s="2058"/>
      <c r="T46" s="2058"/>
      <c r="U46" s="2058"/>
      <c r="V46" s="2058"/>
      <c r="W46" s="2058"/>
      <c r="X46" s="2058"/>
      <c r="Y46" s="2058"/>
      <c r="Z46" s="2058"/>
    </row>
    <row r="47" spans="1:26" ht="12" x14ac:dyDescent="0.2">
      <c r="A47" s="9" t="str">
        <f>MID(Summary!$B$1,FIND(" ",Summary!$B$1,1)+1,4)</f>
        <v>2023</v>
      </c>
      <c r="B47" s="9" t="s">
        <v>1960</v>
      </c>
      <c r="C47" s="9" t="s">
        <v>33</v>
      </c>
      <c r="D47" s="9" t="s">
        <v>137</v>
      </c>
      <c r="E47" s="9" t="s">
        <v>10</v>
      </c>
      <c r="F47" s="9" t="s">
        <v>1959</v>
      </c>
      <c r="G47" s="2063">
        <f>Residential!C59/_xlfn.XLOOKUP(E47,Summary!C$4:C$7,Summary!E$4:E$7,"ERROR")*_xlfn.XLOOKUP(E47,Summary!C$4:C$7,Summary!D$4:D$7,"ERROR")</f>
        <v>4.306919356875575</v>
      </c>
      <c r="H47" s="2058"/>
      <c r="I47" s="2058"/>
      <c r="J47" s="2058"/>
      <c r="K47" s="2058"/>
      <c r="L47" s="2058"/>
      <c r="M47" s="2058"/>
      <c r="N47" s="2058"/>
      <c r="O47" s="2058"/>
      <c r="P47" s="2058"/>
      <c r="Q47" s="2058"/>
      <c r="R47" s="2058"/>
      <c r="S47" s="2058"/>
      <c r="T47" s="2058"/>
      <c r="U47" s="2058"/>
      <c r="V47" s="2058"/>
      <c r="W47" s="2058"/>
      <c r="X47" s="2058"/>
      <c r="Y47" s="2058"/>
      <c r="Z47" s="2058"/>
    </row>
    <row r="48" spans="1:26" ht="12" x14ac:dyDescent="0.2">
      <c r="A48" s="9" t="str">
        <f>MID(Summary!$B$1,FIND(" ",Summary!$B$1,1)+1,4)</f>
        <v>2023</v>
      </c>
      <c r="B48" s="9" t="s">
        <v>1960</v>
      </c>
      <c r="C48" s="9" t="s">
        <v>33</v>
      </c>
      <c r="D48" s="9" t="s">
        <v>137</v>
      </c>
      <c r="E48" s="9" t="s">
        <v>13</v>
      </c>
      <c r="F48" s="9" t="s">
        <v>1959</v>
      </c>
      <c r="G48" s="2063">
        <f>Residential!E59/_xlfn.XLOOKUP(E48,Summary!C$4:C$7,Summary!E$4:E$7,"ERROR")*_xlfn.XLOOKUP(E48,Summary!C$4:C$7,Summary!D$4:D$7,"ERROR")</f>
        <v>3.3451645386526702E-2</v>
      </c>
      <c r="H48" s="2058"/>
      <c r="I48" s="2058"/>
      <c r="J48" s="2058"/>
      <c r="K48" s="2058"/>
      <c r="L48" s="2058"/>
      <c r="M48" s="2058"/>
      <c r="N48" s="2058"/>
      <c r="O48" s="2058"/>
      <c r="P48" s="2058"/>
      <c r="Q48" s="2058"/>
      <c r="R48" s="2058"/>
      <c r="S48" s="2058"/>
      <c r="T48" s="2058"/>
      <c r="U48" s="2058"/>
      <c r="V48" s="2058"/>
      <c r="W48" s="2058"/>
      <c r="X48" s="2058"/>
      <c r="Y48" s="2058"/>
      <c r="Z48" s="2058"/>
    </row>
    <row r="49" spans="1:26" ht="12" x14ac:dyDescent="0.2">
      <c r="A49" s="9" t="str">
        <f>MID(Summary!$B$1,FIND(" ",Summary!$B$1,1)+1,4)</f>
        <v>2023</v>
      </c>
      <c r="B49" s="9" t="s">
        <v>1960</v>
      </c>
      <c r="C49" s="9" t="s">
        <v>33</v>
      </c>
      <c r="D49" s="9" t="s">
        <v>137</v>
      </c>
      <c r="E49" s="9" t="s">
        <v>14</v>
      </c>
      <c r="F49" s="9" t="s">
        <v>1959</v>
      </c>
      <c r="G49" s="2063">
        <f>Residential!D59/_xlfn.XLOOKUP(E49,Summary!C$4:C$7,Summary!E$4:E$7,"ERROR")*_xlfn.XLOOKUP(E49,Summary!C$4:C$7,Summary!D$4:D$7,"ERROR")</f>
        <v>2.8884220503371024E-3</v>
      </c>
      <c r="H49" s="2058"/>
      <c r="I49" s="2058"/>
      <c r="J49" s="2058"/>
      <c r="K49" s="2058"/>
      <c r="L49" s="2058"/>
      <c r="M49" s="2058"/>
      <c r="N49" s="2058"/>
      <c r="O49" s="2058"/>
      <c r="P49" s="2058"/>
      <c r="Q49" s="2058"/>
      <c r="R49" s="2058"/>
      <c r="S49" s="2058"/>
      <c r="T49" s="2058"/>
      <c r="U49" s="2058"/>
      <c r="V49" s="2058"/>
      <c r="W49" s="2058"/>
      <c r="X49" s="2058"/>
      <c r="Y49" s="2058"/>
      <c r="Z49" s="2058"/>
    </row>
    <row r="50" spans="1:26" ht="12" x14ac:dyDescent="0.2">
      <c r="A50" s="9" t="str">
        <f>MID(Summary!$B$1,FIND(" ",Summary!$B$1,1)+1,4)</f>
        <v>2023</v>
      </c>
      <c r="B50" s="9" t="s">
        <v>1960</v>
      </c>
      <c r="C50" s="9" t="s">
        <v>33</v>
      </c>
      <c r="D50" s="9" t="s">
        <v>101</v>
      </c>
      <c r="E50" s="9" t="s">
        <v>10</v>
      </c>
      <c r="F50" s="9" t="s">
        <v>1959</v>
      </c>
      <c r="G50" s="2063">
        <f>Residential!C60/_xlfn.XLOOKUP(E50,Summary!C$4:C$7,Summary!E$4:E$7,"ERROR")*_xlfn.XLOOKUP(E50,Summary!C$4:C$7,Summary!D$4:D$7,"ERROR")</f>
        <v>1.0146321546932999</v>
      </c>
      <c r="H50" s="2058"/>
      <c r="I50" s="2058"/>
      <c r="J50" s="2058"/>
      <c r="K50" s="2058"/>
      <c r="L50" s="2058"/>
      <c r="M50" s="2058"/>
      <c r="N50" s="2058"/>
      <c r="O50" s="2058"/>
      <c r="P50" s="2058"/>
      <c r="Q50" s="2058"/>
      <c r="R50" s="2058"/>
      <c r="S50" s="2058"/>
      <c r="T50" s="2058"/>
      <c r="U50" s="2058"/>
      <c r="V50" s="2058"/>
      <c r="W50" s="2058"/>
      <c r="X50" s="2058"/>
      <c r="Y50" s="2058"/>
      <c r="Z50" s="2058"/>
    </row>
    <row r="51" spans="1:26" ht="12" x14ac:dyDescent="0.2">
      <c r="A51" s="9" t="str">
        <f>MID(Summary!$B$1,FIND(" ",Summary!$B$1,1)+1,4)</f>
        <v>2023</v>
      </c>
      <c r="B51" s="9" t="s">
        <v>1960</v>
      </c>
      <c r="C51" s="9" t="s">
        <v>33</v>
      </c>
      <c r="D51" s="9" t="s">
        <v>101</v>
      </c>
      <c r="E51" s="9" t="s">
        <v>13</v>
      </c>
      <c r="F51" s="9" t="s">
        <v>1959</v>
      </c>
      <c r="G51" s="2063">
        <f>Residential!E60/_xlfn.XLOOKUP(E51,Summary!C$4:C$7,Summary!E$4:E$7,"ERROR")*_xlfn.XLOOKUP(E51,Summary!C$4:C$7,Summary!D$4:D$7,"ERROR")</f>
        <v>1.1140253719525098E-2</v>
      </c>
      <c r="H51" s="2058"/>
      <c r="I51" s="2058"/>
      <c r="J51" s="2058"/>
      <c r="K51" s="2058"/>
      <c r="L51" s="2058"/>
      <c r="M51" s="2058"/>
      <c r="N51" s="2058"/>
      <c r="O51" s="2058"/>
      <c r="P51" s="2058"/>
      <c r="Q51" s="2058"/>
      <c r="R51" s="2058"/>
      <c r="S51" s="2058"/>
      <c r="T51" s="2058"/>
      <c r="U51" s="2058"/>
      <c r="V51" s="2058"/>
      <c r="W51" s="2058"/>
      <c r="X51" s="2058"/>
      <c r="Y51" s="2058"/>
      <c r="Z51" s="2058"/>
    </row>
    <row r="52" spans="1:26" ht="12" x14ac:dyDescent="0.2">
      <c r="A52" s="9" t="str">
        <f>MID(Summary!$B$1,FIND(" ",Summary!$B$1,1)+1,4)</f>
        <v>2023</v>
      </c>
      <c r="B52" s="9" t="s">
        <v>1960</v>
      </c>
      <c r="C52" s="9" t="s">
        <v>33</v>
      </c>
      <c r="D52" s="9" t="s">
        <v>101</v>
      </c>
      <c r="E52" s="9" t="s">
        <v>14</v>
      </c>
      <c r="F52" s="9" t="s">
        <v>1959</v>
      </c>
      <c r="G52" s="2063">
        <f>Residential!D60/_xlfn.XLOOKUP(E52,Summary!C$4:C$7,Summary!E$4:E$7,"ERROR")*_xlfn.XLOOKUP(E52,Summary!C$4:C$7,Summary!D$4:D$7,"ERROR")</f>
        <v>2.2472580779042003E-3</v>
      </c>
      <c r="H52" s="2058"/>
      <c r="I52" s="2058"/>
      <c r="J52" s="2058"/>
      <c r="K52" s="2058"/>
      <c r="L52" s="2058"/>
      <c r="M52" s="2058"/>
      <c r="N52" s="2058"/>
      <c r="O52" s="2058"/>
      <c r="P52" s="2058"/>
      <c r="Q52" s="2058"/>
      <c r="R52" s="2058"/>
      <c r="S52" s="2058"/>
      <c r="T52" s="2058"/>
      <c r="U52" s="2058"/>
      <c r="V52" s="2058"/>
      <c r="W52" s="2058"/>
      <c r="X52" s="2058"/>
      <c r="Y52" s="2058"/>
      <c r="Z52" s="2058"/>
    </row>
    <row r="53" spans="1:26" ht="12" x14ac:dyDescent="0.2">
      <c r="A53" s="9" t="str">
        <f>MID(Summary!$B$1,FIND(" ",Summary!$B$1,1)+1,4)</f>
        <v>2023</v>
      </c>
      <c r="B53" s="9" t="s">
        <v>1960</v>
      </c>
      <c r="C53" s="9" t="s">
        <v>33</v>
      </c>
      <c r="D53" s="9" t="s">
        <v>95</v>
      </c>
      <c r="E53" s="9" t="s">
        <v>10</v>
      </c>
      <c r="F53" s="9" t="s">
        <v>1959</v>
      </c>
      <c r="G53" s="2063">
        <f>Residential!C61/_xlfn.XLOOKUP(E53,Summary!C$4:C$7,Summary!E$4:E$7,"ERROR")*_xlfn.XLOOKUP(E53,Summary!C$4:C$7,Summary!D$4:D$7,"ERROR")</f>
        <v>0</v>
      </c>
      <c r="H53" s="2058"/>
      <c r="I53" s="2058"/>
      <c r="J53" s="2058"/>
      <c r="K53" s="2058"/>
      <c r="L53" s="2058"/>
      <c r="M53" s="2058"/>
      <c r="N53" s="2058"/>
      <c r="O53" s="2058"/>
      <c r="P53" s="2058"/>
      <c r="Q53" s="2058"/>
      <c r="R53" s="2058"/>
      <c r="S53" s="2058"/>
      <c r="T53" s="2058"/>
      <c r="U53" s="2058"/>
      <c r="V53" s="2058"/>
      <c r="W53" s="2058"/>
      <c r="X53" s="2058"/>
      <c r="Y53" s="2058"/>
      <c r="Z53" s="2058"/>
    </row>
    <row r="54" spans="1:26" ht="12" x14ac:dyDescent="0.2">
      <c r="A54" s="9" t="str">
        <f>MID(Summary!$B$1,FIND(" ",Summary!$B$1,1)+1,4)</f>
        <v>2023</v>
      </c>
      <c r="B54" s="9" t="s">
        <v>1960</v>
      </c>
      <c r="C54" s="9" t="s">
        <v>33</v>
      </c>
      <c r="D54" s="9" t="s">
        <v>95</v>
      </c>
      <c r="E54" s="9" t="s">
        <v>13</v>
      </c>
      <c r="F54" s="9" t="s">
        <v>1959</v>
      </c>
      <c r="G54" s="2063">
        <f>Residential!E61/_xlfn.XLOOKUP(E54,Summary!C$4:C$7,Summary!E$4:E$7,"ERROR")*_xlfn.XLOOKUP(E54,Summary!C$4:C$7,Summary!D$4:D$7,"ERROR")</f>
        <v>0.12992707702862721</v>
      </c>
      <c r="H54" s="2058"/>
      <c r="I54" s="2058"/>
      <c r="J54" s="2058"/>
      <c r="K54" s="2058"/>
      <c r="L54" s="2058"/>
      <c r="M54" s="2058"/>
      <c r="N54" s="2058"/>
      <c r="O54" s="2058"/>
      <c r="P54" s="2058"/>
      <c r="Q54" s="2058"/>
      <c r="R54" s="2058"/>
      <c r="S54" s="2058"/>
      <c r="T54" s="2058"/>
      <c r="U54" s="2058"/>
      <c r="V54" s="2058"/>
      <c r="W54" s="2058"/>
      <c r="X54" s="2058"/>
      <c r="Y54" s="2058"/>
      <c r="Z54" s="2058"/>
    </row>
    <row r="55" spans="1:26" ht="12" x14ac:dyDescent="0.2">
      <c r="A55" s="9" t="str">
        <f>MID(Summary!$B$1,FIND(" ",Summary!$B$1,1)+1,4)</f>
        <v>2023</v>
      </c>
      <c r="B55" s="9" t="s">
        <v>1960</v>
      </c>
      <c r="C55" s="9" t="s">
        <v>33</v>
      </c>
      <c r="D55" s="9" t="s">
        <v>95</v>
      </c>
      <c r="E55" s="9" t="s">
        <v>14</v>
      </c>
      <c r="F55" s="9" t="s">
        <v>1959</v>
      </c>
      <c r="G55" s="2063">
        <f>Residential!D61/_xlfn.XLOOKUP(E55,Summary!C$4:C$7,Summary!E$4:E$7,"ERROR")*_xlfn.XLOOKUP(E55,Summary!C$4:C$7,Summary!D$4:D$7,"ERROR")</f>
        <v>5.8243172461108755E-3</v>
      </c>
      <c r="H55" s="2058"/>
      <c r="J55" s="2058"/>
      <c r="K55" s="2058"/>
      <c r="L55" s="2058"/>
      <c r="M55" s="2058"/>
      <c r="N55" s="2058"/>
      <c r="O55" s="2058"/>
      <c r="P55" s="2058"/>
      <c r="Q55" s="2058"/>
      <c r="R55" s="2058"/>
      <c r="S55" s="2058"/>
      <c r="T55" s="2058"/>
      <c r="U55" s="2058"/>
      <c r="V55" s="2058"/>
      <c r="W55" s="2058"/>
      <c r="X55" s="2058"/>
      <c r="Y55" s="2058"/>
      <c r="Z55" s="2058"/>
    </row>
    <row r="56" spans="1:26" ht="12" x14ac:dyDescent="0.2">
      <c r="A56" s="9" t="str">
        <f>MID(Summary!$B$1,FIND(" ",Summary!$B$1,1)+1,4)</f>
        <v>2023</v>
      </c>
      <c r="B56" s="9" t="s">
        <v>1960</v>
      </c>
      <c r="C56" s="9" t="s">
        <v>39</v>
      </c>
      <c r="D56" s="9" t="s">
        <v>72</v>
      </c>
      <c r="E56" s="9" t="s">
        <v>10</v>
      </c>
      <c r="F56" s="9" t="s">
        <v>1957</v>
      </c>
      <c r="G56" s="2063">
        <f>Commercial!C66</f>
        <v>0</v>
      </c>
      <c r="L56" s="2058"/>
      <c r="M56" s="2058"/>
      <c r="N56" s="2058"/>
      <c r="O56" s="2058"/>
      <c r="P56" s="2058"/>
      <c r="Q56" s="2058"/>
      <c r="R56" s="2058"/>
      <c r="S56" s="2058"/>
      <c r="T56" s="2058"/>
      <c r="U56" s="2058"/>
      <c r="V56" s="2058"/>
      <c r="W56" s="2058"/>
      <c r="X56" s="2058"/>
      <c r="Y56" s="2058"/>
      <c r="Z56" s="2058"/>
    </row>
    <row r="57" spans="1:26" ht="12" x14ac:dyDescent="0.2">
      <c r="A57" s="9" t="str">
        <f>MID(Summary!$B$1,FIND(" ",Summary!$B$1,1)+1,4)</f>
        <v>2023</v>
      </c>
      <c r="B57" s="9" t="s">
        <v>1960</v>
      </c>
      <c r="C57" s="9" t="s">
        <v>39</v>
      </c>
      <c r="D57" s="9" t="s">
        <v>72</v>
      </c>
      <c r="E57" s="9" t="s">
        <v>13</v>
      </c>
      <c r="F57" s="9" t="s">
        <v>1957</v>
      </c>
      <c r="G57" s="2063">
        <f>Commercial!D66</f>
        <v>0</v>
      </c>
      <c r="L57" s="2058"/>
      <c r="M57" s="2058"/>
      <c r="N57" s="2058"/>
      <c r="O57" s="2058"/>
      <c r="P57" s="2058"/>
      <c r="Q57" s="2058"/>
      <c r="R57" s="2058"/>
      <c r="S57" s="2058"/>
      <c r="T57" s="2058"/>
      <c r="U57" s="2058"/>
      <c r="V57" s="2058"/>
      <c r="W57" s="2058"/>
      <c r="X57" s="2058"/>
      <c r="Y57" s="2058"/>
      <c r="Z57" s="2058"/>
    </row>
    <row r="58" spans="1:26" ht="12" x14ac:dyDescent="0.2">
      <c r="A58" s="9" t="str">
        <f>MID(Summary!$B$1,FIND(" ",Summary!$B$1,1)+1,4)</f>
        <v>2023</v>
      </c>
      <c r="B58" s="9" t="s">
        <v>1960</v>
      </c>
      <c r="C58" s="9" t="s">
        <v>39</v>
      </c>
      <c r="D58" s="9" t="s">
        <v>72</v>
      </c>
      <c r="E58" s="9" t="s">
        <v>14</v>
      </c>
      <c r="F58" s="9" t="s">
        <v>1957</v>
      </c>
      <c r="G58" s="2063">
        <f>Commercial!E66</f>
        <v>0</v>
      </c>
      <c r="L58" s="2058"/>
      <c r="M58" s="2058"/>
      <c r="N58" s="2058"/>
      <c r="O58" s="2058"/>
      <c r="P58" s="2058"/>
      <c r="Q58" s="2058"/>
      <c r="R58" s="2058"/>
      <c r="S58" s="2058"/>
      <c r="T58" s="2058"/>
      <c r="U58" s="2058"/>
      <c r="V58" s="2058"/>
      <c r="W58" s="2058"/>
      <c r="X58" s="2058"/>
      <c r="Y58" s="2058"/>
      <c r="Z58" s="2058"/>
    </row>
    <row r="59" spans="1:26" ht="12" x14ac:dyDescent="0.2">
      <c r="A59" s="9" t="str">
        <f>MID(Summary!$B$1,FIND(" ",Summary!$B$1,1)+1,4)</f>
        <v>2023</v>
      </c>
      <c r="B59" s="9" t="s">
        <v>1960</v>
      </c>
      <c r="C59" s="9" t="s">
        <v>39</v>
      </c>
      <c r="D59" s="9" t="s">
        <v>137</v>
      </c>
      <c r="E59" s="9" t="s">
        <v>10</v>
      </c>
      <c r="F59" s="9" t="s">
        <v>1957</v>
      </c>
      <c r="G59" s="2063">
        <f>Commercial!C67</f>
        <v>3.9056599105356251</v>
      </c>
      <c r="L59" s="2058"/>
      <c r="M59" s="2058"/>
      <c r="N59" s="2058"/>
      <c r="O59" s="2058"/>
      <c r="P59" s="2058"/>
      <c r="Q59" s="2058"/>
      <c r="R59" s="2058"/>
      <c r="S59" s="2058"/>
      <c r="T59" s="2058"/>
      <c r="U59" s="2058"/>
      <c r="V59" s="2058"/>
      <c r="W59" s="2058"/>
      <c r="X59" s="2058"/>
      <c r="Y59" s="2058"/>
      <c r="Z59" s="2058"/>
    </row>
    <row r="60" spans="1:26" ht="12" x14ac:dyDescent="0.2">
      <c r="A60" s="9" t="str">
        <f>MID(Summary!$B$1,FIND(" ",Summary!$B$1,1)+1,4)</f>
        <v>2023</v>
      </c>
      <c r="B60" s="9" t="s">
        <v>1960</v>
      </c>
      <c r="C60" s="9" t="s">
        <v>39</v>
      </c>
      <c r="D60" s="9" t="s">
        <v>137</v>
      </c>
      <c r="E60" s="9" t="s">
        <v>13</v>
      </c>
      <c r="F60" s="9" t="s">
        <v>1957</v>
      </c>
      <c r="G60" s="2063">
        <f>Commercial!D67</f>
        <v>1.0098613798868636E-2</v>
      </c>
      <c r="L60" s="2058"/>
      <c r="M60" s="2058"/>
      <c r="N60" s="2058"/>
      <c r="O60" s="2058"/>
      <c r="P60" s="2058"/>
      <c r="Q60" s="2058"/>
      <c r="R60" s="2058"/>
      <c r="S60" s="2058"/>
      <c r="T60" s="2058"/>
      <c r="U60" s="2058"/>
      <c r="V60" s="2058"/>
      <c r="W60" s="2058"/>
      <c r="X60" s="2058"/>
      <c r="Y60" s="2058"/>
      <c r="Z60" s="2058"/>
    </row>
    <row r="61" spans="1:26" ht="12" x14ac:dyDescent="0.2">
      <c r="A61" s="9" t="str">
        <f>MID(Summary!$B$1,FIND(" ",Summary!$B$1,1)+1,4)</f>
        <v>2023</v>
      </c>
      <c r="B61" s="9" t="s">
        <v>1960</v>
      </c>
      <c r="C61" s="9" t="s">
        <v>39</v>
      </c>
      <c r="D61" s="9" t="s">
        <v>137</v>
      </c>
      <c r="E61" s="9" t="s">
        <v>14</v>
      </c>
      <c r="F61" s="9" t="s">
        <v>1957</v>
      </c>
      <c r="G61" s="2063">
        <f>Commercial!E67</f>
        <v>2.2675382876493531E-3</v>
      </c>
      <c r="L61" s="2058"/>
      <c r="M61" s="2058"/>
      <c r="N61" s="2058"/>
      <c r="O61" s="2058"/>
      <c r="P61" s="2058"/>
      <c r="Q61" s="2058"/>
      <c r="R61" s="2058"/>
      <c r="S61" s="2058"/>
      <c r="T61" s="2058"/>
      <c r="U61" s="2058"/>
      <c r="V61" s="2058"/>
      <c r="W61" s="2058"/>
      <c r="X61" s="2058"/>
      <c r="Y61" s="2058"/>
      <c r="Z61" s="2058"/>
    </row>
    <row r="62" spans="1:26" ht="12" x14ac:dyDescent="0.2">
      <c r="A62" s="9" t="str">
        <f>MID(Summary!$B$1,FIND(" ",Summary!$B$1,1)+1,4)</f>
        <v>2023</v>
      </c>
      <c r="B62" s="9" t="s">
        <v>1960</v>
      </c>
      <c r="C62" s="9" t="s">
        <v>39</v>
      </c>
      <c r="D62" s="9" t="s">
        <v>101</v>
      </c>
      <c r="E62" s="9" t="s">
        <v>10</v>
      </c>
      <c r="F62" s="9" t="s">
        <v>1957</v>
      </c>
      <c r="G62" s="2063">
        <f>Commercial!C68</f>
        <v>1.130920493992575</v>
      </c>
      <c r="L62" s="2058"/>
      <c r="M62" s="2058"/>
      <c r="N62" s="2058"/>
      <c r="O62" s="2058"/>
      <c r="P62" s="2058"/>
      <c r="Q62" s="2058"/>
      <c r="R62" s="2058"/>
      <c r="S62" s="2058"/>
      <c r="T62" s="2058"/>
      <c r="U62" s="2058"/>
      <c r="V62" s="2058"/>
      <c r="W62" s="2058"/>
      <c r="X62" s="2058"/>
      <c r="Y62" s="2058"/>
      <c r="Z62" s="2058"/>
    </row>
    <row r="63" spans="1:26" ht="12" x14ac:dyDescent="0.2">
      <c r="A63" s="9" t="str">
        <f>MID(Summary!$B$1,FIND(" ",Summary!$B$1,1)+1,4)</f>
        <v>2023</v>
      </c>
      <c r="B63" s="9" t="s">
        <v>1960</v>
      </c>
      <c r="C63" s="9" t="s">
        <v>39</v>
      </c>
      <c r="D63" s="9" t="s">
        <v>101</v>
      </c>
      <c r="E63" s="9" t="s">
        <v>13</v>
      </c>
      <c r="F63" s="9" t="s">
        <v>1957</v>
      </c>
      <c r="G63" s="2063">
        <f>Commercial!D68</f>
        <v>4.3789227489666018E-3</v>
      </c>
      <c r="L63" s="2058"/>
      <c r="M63" s="2058"/>
      <c r="N63" s="2058"/>
      <c r="O63" s="2058"/>
      <c r="P63" s="2058"/>
      <c r="Q63" s="2058"/>
      <c r="R63" s="2058"/>
      <c r="S63" s="2058"/>
      <c r="T63" s="2058"/>
      <c r="U63" s="2058"/>
      <c r="V63" s="2058"/>
      <c r="W63" s="2058"/>
      <c r="X63" s="2058"/>
      <c r="Y63" s="2058"/>
      <c r="Z63" s="2058"/>
    </row>
    <row r="64" spans="1:26" ht="12" x14ac:dyDescent="0.2">
      <c r="A64" s="9" t="str">
        <f>MID(Summary!$B$1,FIND(" ",Summary!$B$1,1)+1,4)</f>
        <v>2023</v>
      </c>
      <c r="B64" s="9" t="s">
        <v>1960</v>
      </c>
      <c r="C64" s="9" t="s">
        <v>39</v>
      </c>
      <c r="D64" s="9" t="s">
        <v>101</v>
      </c>
      <c r="E64" s="9" t="s">
        <v>14</v>
      </c>
      <c r="F64" s="9" t="s">
        <v>1957</v>
      </c>
      <c r="G64" s="2063">
        <f>Commercial!E68</f>
        <v>2.5708514203610366E-3</v>
      </c>
      <c r="J64" s="2058"/>
      <c r="K64" s="2058"/>
      <c r="L64" s="2058"/>
      <c r="M64" s="2058"/>
      <c r="N64" s="2058"/>
      <c r="O64" s="2058"/>
      <c r="P64" s="2058"/>
      <c r="Q64" s="2058"/>
      <c r="R64" s="2058"/>
      <c r="S64" s="2058"/>
      <c r="T64" s="2058"/>
      <c r="U64" s="2058"/>
      <c r="V64" s="2058"/>
      <c r="W64" s="2058"/>
      <c r="X64" s="2058"/>
      <c r="Y64" s="2058"/>
      <c r="Z64" s="2058"/>
    </row>
    <row r="65" spans="1:26" ht="12" x14ac:dyDescent="0.2">
      <c r="A65" s="9" t="str">
        <f>MID(Summary!$B$1,FIND(" ",Summary!$B$1,1)+1,4)</f>
        <v>2023</v>
      </c>
      <c r="B65" s="9" t="s">
        <v>1960</v>
      </c>
      <c r="C65" s="9" t="s">
        <v>39</v>
      </c>
      <c r="D65" s="9" t="s">
        <v>95</v>
      </c>
      <c r="E65" s="9" t="s">
        <v>10</v>
      </c>
      <c r="F65" s="9" t="s">
        <v>1957</v>
      </c>
      <c r="G65" s="2063">
        <f>Commercial!C69</f>
        <v>0</v>
      </c>
      <c r="L65" s="2058"/>
      <c r="M65" s="2058"/>
      <c r="N65" s="2058"/>
      <c r="O65" s="2058"/>
      <c r="P65" s="2058"/>
      <c r="Q65" s="2058"/>
      <c r="R65" s="2058"/>
      <c r="S65" s="2058"/>
      <c r="T65" s="2058"/>
      <c r="U65" s="2058"/>
      <c r="V65" s="2058"/>
      <c r="W65" s="2058"/>
      <c r="X65" s="2058"/>
      <c r="Y65" s="2058"/>
      <c r="Z65" s="2058"/>
    </row>
    <row r="66" spans="1:26" ht="12" x14ac:dyDescent="0.2">
      <c r="A66" s="9" t="str">
        <f>MID(Summary!$B$1,FIND(" ",Summary!$B$1,1)+1,4)</f>
        <v>2023</v>
      </c>
      <c r="B66" s="9" t="s">
        <v>1960</v>
      </c>
      <c r="C66" s="9" t="s">
        <v>39</v>
      </c>
      <c r="D66" s="9" t="s">
        <v>95</v>
      </c>
      <c r="E66" s="9" t="s">
        <v>13</v>
      </c>
      <c r="F66" s="9" t="s">
        <v>1957</v>
      </c>
      <c r="G66" s="2063">
        <f>Commercial!D69</f>
        <v>9.8631400505929979E-3</v>
      </c>
      <c r="K66" s="2058"/>
      <c r="L66" s="2058"/>
      <c r="M66" s="2058"/>
      <c r="N66" s="2058"/>
      <c r="O66" s="2058"/>
      <c r="P66" s="2058"/>
      <c r="Q66" s="2058"/>
      <c r="R66" s="2058"/>
      <c r="S66" s="2058"/>
      <c r="T66" s="2058"/>
      <c r="U66" s="2058"/>
      <c r="V66" s="2058"/>
      <c r="W66" s="2058"/>
      <c r="X66" s="2058"/>
      <c r="Y66" s="2058"/>
      <c r="Z66" s="2058"/>
    </row>
    <row r="67" spans="1:26" ht="12" x14ac:dyDescent="0.2">
      <c r="A67" s="9" t="str">
        <f>MID(Summary!$B$1,FIND(" ",Summary!$B$1,1)+1,4)</f>
        <v>2023</v>
      </c>
      <c r="B67" s="9" t="s">
        <v>1960</v>
      </c>
      <c r="C67" s="9" t="s">
        <v>39</v>
      </c>
      <c r="D67" s="9" t="s">
        <v>95</v>
      </c>
      <c r="E67" s="9" t="s">
        <v>14</v>
      </c>
      <c r="F67" s="9" t="s">
        <v>1957</v>
      </c>
      <c r="G67" s="2063">
        <f>Commercial!E69</f>
        <v>1.2868039349160758E-3</v>
      </c>
      <c r="J67" s="2058"/>
      <c r="K67" s="2058"/>
      <c r="L67" s="2058"/>
      <c r="M67" s="2058"/>
      <c r="N67" s="2058"/>
      <c r="O67" s="2058"/>
      <c r="P67" s="2058"/>
      <c r="Q67" s="2058"/>
      <c r="R67" s="2058"/>
      <c r="S67" s="2058"/>
      <c r="T67" s="2058"/>
      <c r="U67" s="2058"/>
      <c r="V67" s="2058"/>
      <c r="W67" s="2058"/>
      <c r="X67" s="2058"/>
      <c r="Y67" s="2058"/>
      <c r="Z67" s="2058"/>
    </row>
    <row r="68" spans="1:26" ht="12" x14ac:dyDescent="0.2">
      <c r="A68" s="9" t="str">
        <f>MID(Summary!$B$1,FIND(" ",Summary!$B$1,1)+1,4)</f>
        <v>2023</v>
      </c>
      <c r="B68" s="9" t="s">
        <v>1960</v>
      </c>
      <c r="C68" s="9" t="s">
        <v>39</v>
      </c>
      <c r="D68" s="9" t="s">
        <v>72</v>
      </c>
      <c r="E68" s="9" t="s">
        <v>10</v>
      </c>
      <c r="F68" s="9" t="s">
        <v>1959</v>
      </c>
      <c r="G68" s="2063">
        <f>Commercial!C66/_xlfn.XLOOKUP(E68,Summary!C$4:C$7,Summary!E$4:E$7,"ERROR")*_xlfn.XLOOKUP(E68,Summary!C$4:C$7,Summary!D$4:D$7,"ERROR")</f>
        <v>0</v>
      </c>
      <c r="H68" s="2058"/>
      <c r="I68" s="2058"/>
      <c r="J68" s="2058"/>
      <c r="K68" s="2058"/>
      <c r="L68" s="2058"/>
      <c r="M68" s="2058"/>
      <c r="N68" s="2058"/>
      <c r="O68" s="2058"/>
      <c r="P68" s="2058"/>
      <c r="Q68" s="2058"/>
      <c r="R68" s="2058"/>
      <c r="S68" s="2058"/>
      <c r="T68" s="2058"/>
      <c r="U68" s="2058"/>
      <c r="V68" s="2058"/>
      <c r="W68" s="2058"/>
      <c r="X68" s="2058"/>
      <c r="Y68" s="2058"/>
      <c r="Z68" s="2058"/>
    </row>
    <row r="69" spans="1:26" ht="12" x14ac:dyDescent="0.2">
      <c r="A69" s="9" t="str">
        <f>MID(Summary!$B$1,FIND(" ",Summary!$B$1,1)+1,4)</f>
        <v>2023</v>
      </c>
      <c r="B69" s="9" t="s">
        <v>1960</v>
      </c>
      <c r="C69" s="9" t="s">
        <v>39</v>
      </c>
      <c r="D69" s="9" t="s">
        <v>72</v>
      </c>
      <c r="E69" s="9" t="s">
        <v>13</v>
      </c>
      <c r="F69" s="9" t="s">
        <v>1959</v>
      </c>
      <c r="G69" s="2063">
        <f>Commercial!D66/_xlfn.XLOOKUP(E69,Summary!C$4:C$7,Summary!E$4:E$7,"ERROR")*_xlfn.XLOOKUP(E69,Summary!C$4:C$7,Summary!D$4:D$7,"ERROR")</f>
        <v>0</v>
      </c>
      <c r="H69" s="2058"/>
      <c r="I69" s="2058"/>
      <c r="J69" s="2058"/>
      <c r="K69" s="2058"/>
      <c r="L69" s="2058"/>
      <c r="M69" s="2058"/>
      <c r="N69" s="2058"/>
      <c r="O69" s="2058"/>
      <c r="P69" s="2058"/>
      <c r="Q69" s="2058"/>
      <c r="R69" s="2058"/>
      <c r="S69" s="2058"/>
      <c r="T69" s="2058"/>
      <c r="U69" s="2058"/>
      <c r="V69" s="2058"/>
      <c r="W69" s="2058"/>
      <c r="X69" s="2058"/>
      <c r="Y69" s="2058"/>
      <c r="Z69" s="2058"/>
    </row>
    <row r="70" spans="1:26" ht="12" x14ac:dyDescent="0.2">
      <c r="A70" s="9" t="str">
        <f>MID(Summary!$B$1,FIND(" ",Summary!$B$1,1)+1,4)</f>
        <v>2023</v>
      </c>
      <c r="B70" s="9" t="s">
        <v>1960</v>
      </c>
      <c r="C70" s="9" t="s">
        <v>39</v>
      </c>
      <c r="D70" s="9" t="s">
        <v>72</v>
      </c>
      <c r="E70" s="9" t="s">
        <v>14</v>
      </c>
      <c r="F70" s="9" t="s">
        <v>1959</v>
      </c>
      <c r="G70" s="2063">
        <f>Commercial!E66/_xlfn.XLOOKUP(E70,Summary!C$4:C$7,Summary!E$4:E$7,"ERROR")*_xlfn.XLOOKUP(E70,Summary!C$4:C$7,Summary!D$4:D$7,"ERROR")</f>
        <v>0</v>
      </c>
      <c r="H70" s="2058"/>
      <c r="I70" s="2058"/>
      <c r="J70" s="2058"/>
      <c r="K70" s="2058"/>
      <c r="L70" s="2058"/>
      <c r="M70" s="2058"/>
      <c r="N70" s="2058"/>
      <c r="O70" s="2058"/>
      <c r="P70" s="2058"/>
      <c r="Q70" s="2058"/>
      <c r="R70" s="2058"/>
      <c r="S70" s="2058"/>
      <c r="T70" s="2058"/>
      <c r="U70" s="2058"/>
      <c r="V70" s="2058"/>
      <c r="W70" s="2058"/>
      <c r="X70" s="2058"/>
      <c r="Y70" s="2058"/>
      <c r="Z70" s="2058"/>
    </row>
    <row r="71" spans="1:26" ht="12" x14ac:dyDescent="0.2">
      <c r="A71" s="9" t="str">
        <f>MID(Summary!$B$1,FIND(" ",Summary!$B$1,1)+1,4)</f>
        <v>2023</v>
      </c>
      <c r="B71" s="9" t="s">
        <v>1960</v>
      </c>
      <c r="C71" s="9" t="s">
        <v>39</v>
      </c>
      <c r="D71" s="9" t="s">
        <v>137</v>
      </c>
      <c r="E71" s="9" t="s">
        <v>10</v>
      </c>
      <c r="F71" s="9" t="s">
        <v>1959</v>
      </c>
      <c r="G71" s="2063">
        <f>Commercial!C67/_xlfn.XLOOKUP(E71,Summary!C$4:C$7,Summary!E$4:E$7,"ERROR")*_xlfn.XLOOKUP(E71,Summary!C$4:C$7,Summary!D$4:D$7,"ERROR")</f>
        <v>3.9056599105356251</v>
      </c>
      <c r="H71" s="2058"/>
      <c r="I71" s="2058"/>
      <c r="J71" s="2058"/>
      <c r="K71" s="2058"/>
      <c r="L71" s="2058"/>
      <c r="M71" s="2058"/>
      <c r="N71" s="2058"/>
      <c r="O71" s="2058"/>
      <c r="P71" s="2058"/>
      <c r="Q71" s="2058"/>
      <c r="R71" s="2058"/>
      <c r="S71" s="2058"/>
      <c r="T71" s="2058"/>
      <c r="U71" s="2058"/>
      <c r="V71" s="2058"/>
      <c r="W71" s="2058"/>
      <c r="X71" s="2058"/>
      <c r="Y71" s="2058"/>
      <c r="Z71" s="2058"/>
    </row>
    <row r="72" spans="1:26" ht="12" x14ac:dyDescent="0.2">
      <c r="A72" s="9" t="str">
        <f>MID(Summary!$B$1,FIND(" ",Summary!$B$1,1)+1,4)</f>
        <v>2023</v>
      </c>
      <c r="B72" s="9" t="s">
        <v>1960</v>
      </c>
      <c r="C72" s="9" t="s">
        <v>39</v>
      </c>
      <c r="D72" s="9" t="s">
        <v>137</v>
      </c>
      <c r="E72" s="9" t="s">
        <v>13</v>
      </c>
      <c r="F72" s="9" t="s">
        <v>1959</v>
      </c>
      <c r="G72" s="2063">
        <f>Commercial!D67/_xlfn.XLOOKUP(E72,Summary!C$4:C$7,Summary!E$4:E$7,"ERROR")*_xlfn.XLOOKUP(E72,Summary!C$4:C$7,Summary!D$4:D$7,"ERROR")</f>
        <v>2.9390947687029868E-2</v>
      </c>
      <c r="H72" s="2058"/>
      <c r="I72" s="2058"/>
      <c r="J72" s="2058"/>
      <c r="K72" s="2058"/>
      <c r="L72" s="2058"/>
      <c r="M72" s="2058"/>
      <c r="N72" s="2058"/>
      <c r="O72" s="2058"/>
      <c r="P72" s="2058"/>
      <c r="Q72" s="2058"/>
      <c r="R72" s="2058"/>
      <c r="S72" s="2058"/>
      <c r="T72" s="2058"/>
      <c r="U72" s="2058"/>
      <c r="V72" s="2058"/>
      <c r="W72" s="2058"/>
      <c r="X72" s="2058"/>
      <c r="Y72" s="2058"/>
      <c r="Z72" s="2058"/>
    </row>
    <row r="73" spans="1:26" ht="12" x14ac:dyDescent="0.2">
      <c r="A73" s="9" t="str">
        <f>MID(Summary!$B$1,FIND(" ",Summary!$B$1,1)+1,4)</f>
        <v>2023</v>
      </c>
      <c r="B73" s="9" t="s">
        <v>1960</v>
      </c>
      <c r="C73" s="9" t="s">
        <v>39</v>
      </c>
      <c r="D73" s="9" t="s">
        <v>137</v>
      </c>
      <c r="E73" s="9" t="s">
        <v>14</v>
      </c>
      <c r="F73" s="9" t="s">
        <v>1959</v>
      </c>
      <c r="G73" s="2063">
        <f>Commercial!E67/_xlfn.XLOOKUP(E73,Summary!C$4:C$7,Summary!E$4:E$7,"ERROR")*_xlfn.XLOOKUP(E73,Summary!C$4:C$7,Summary!D$4:D$7,"ERROR")</f>
        <v>2.2675382876493531E-3</v>
      </c>
      <c r="H73" s="2058"/>
      <c r="I73" s="2058"/>
      <c r="J73" s="2058"/>
      <c r="K73" s="2058"/>
      <c r="L73" s="2058"/>
      <c r="M73" s="2058"/>
      <c r="N73" s="2058"/>
      <c r="O73" s="2058"/>
      <c r="P73" s="2058"/>
      <c r="Q73" s="2058"/>
      <c r="R73" s="2058"/>
      <c r="S73" s="2058"/>
      <c r="T73" s="2058"/>
      <c r="U73" s="2058"/>
      <c r="V73" s="2058"/>
      <c r="W73" s="2058"/>
      <c r="X73" s="2058"/>
      <c r="Y73" s="2058"/>
      <c r="Z73" s="2058"/>
    </row>
    <row r="74" spans="1:26" ht="12" x14ac:dyDescent="0.2">
      <c r="A74" s="9" t="str">
        <f>MID(Summary!$B$1,FIND(" ",Summary!$B$1,1)+1,4)</f>
        <v>2023</v>
      </c>
      <c r="B74" s="9" t="s">
        <v>1960</v>
      </c>
      <c r="C74" s="9" t="s">
        <v>39</v>
      </c>
      <c r="D74" s="9" t="s">
        <v>101</v>
      </c>
      <c r="E74" s="9" t="s">
        <v>10</v>
      </c>
      <c r="F74" s="9" t="s">
        <v>1959</v>
      </c>
      <c r="G74" s="2063">
        <f>Commercial!C68/_xlfn.XLOOKUP(E74,Summary!C$4:C$7,Summary!E$4:E$7,"ERROR")*_xlfn.XLOOKUP(E74,Summary!C$4:C$7,Summary!D$4:D$7,"ERROR")</f>
        <v>1.130920493992575</v>
      </c>
      <c r="H74" s="2058"/>
      <c r="I74" s="2058"/>
      <c r="J74" s="2058"/>
      <c r="K74" s="2058"/>
      <c r="L74" s="2058"/>
      <c r="M74" s="2058"/>
      <c r="N74" s="2058"/>
      <c r="O74" s="2058"/>
      <c r="P74" s="2058"/>
      <c r="Q74" s="2058"/>
      <c r="R74" s="2058"/>
      <c r="S74" s="2058"/>
      <c r="T74" s="2058"/>
      <c r="U74" s="2058"/>
      <c r="V74" s="2058"/>
      <c r="W74" s="2058"/>
      <c r="X74" s="2058"/>
      <c r="Y74" s="2058"/>
      <c r="Z74" s="2058"/>
    </row>
    <row r="75" spans="1:26" ht="12" x14ac:dyDescent="0.2">
      <c r="A75" s="9" t="str">
        <f>MID(Summary!$B$1,FIND(" ",Summary!$B$1,1)+1,4)</f>
        <v>2023</v>
      </c>
      <c r="B75" s="9" t="s">
        <v>1960</v>
      </c>
      <c r="C75" s="9" t="s">
        <v>39</v>
      </c>
      <c r="D75" s="9" t="s">
        <v>101</v>
      </c>
      <c r="E75" s="9" t="s">
        <v>13</v>
      </c>
      <c r="F75" s="9" t="s">
        <v>1959</v>
      </c>
      <c r="G75" s="2063">
        <f>Commercial!D68/_xlfn.XLOOKUP(E75,Summary!C$4:C$7,Summary!E$4:E$7,"ERROR")*_xlfn.XLOOKUP(E75,Summary!C$4:C$7,Summary!D$4:D$7,"ERROR")</f>
        <v>1.2744391656490614E-2</v>
      </c>
      <c r="H75" s="2058"/>
      <c r="I75" s="2058"/>
      <c r="J75" s="2058"/>
      <c r="K75" s="2058"/>
      <c r="L75" s="2058"/>
      <c r="M75" s="2058"/>
      <c r="N75" s="2058"/>
      <c r="O75" s="2058"/>
      <c r="P75" s="2058"/>
      <c r="Q75" s="2058"/>
      <c r="R75" s="2058"/>
      <c r="S75" s="2058"/>
      <c r="T75" s="2058"/>
      <c r="U75" s="2058"/>
      <c r="V75" s="2058"/>
      <c r="W75" s="2058"/>
      <c r="X75" s="2058"/>
      <c r="Y75" s="2058"/>
      <c r="Z75" s="2058"/>
    </row>
    <row r="76" spans="1:26" ht="12" x14ac:dyDescent="0.2">
      <c r="A76" s="9" t="str">
        <f>MID(Summary!$B$1,FIND(" ",Summary!$B$1,1)+1,4)</f>
        <v>2023</v>
      </c>
      <c r="B76" s="9" t="s">
        <v>1960</v>
      </c>
      <c r="C76" s="9" t="s">
        <v>39</v>
      </c>
      <c r="D76" s="9" t="s">
        <v>101</v>
      </c>
      <c r="E76" s="9" t="s">
        <v>14</v>
      </c>
      <c r="F76" s="9" t="s">
        <v>1959</v>
      </c>
      <c r="G76" s="2063">
        <f>Commercial!E68/_xlfn.XLOOKUP(E76,Summary!C$4:C$7,Summary!E$4:E$7,"ERROR")*_xlfn.XLOOKUP(E76,Summary!C$4:C$7,Summary!D$4:D$7,"ERROR")</f>
        <v>2.5708514203610366E-3</v>
      </c>
      <c r="H76" s="2058"/>
      <c r="I76" s="2058"/>
      <c r="J76" s="2058"/>
      <c r="K76" s="2058"/>
      <c r="L76" s="2058"/>
      <c r="M76" s="2058"/>
      <c r="N76" s="2058"/>
      <c r="O76" s="2058"/>
      <c r="P76" s="2058"/>
      <c r="Q76" s="2058"/>
      <c r="R76" s="2058"/>
      <c r="S76" s="2058"/>
      <c r="T76" s="2058"/>
      <c r="U76" s="2058"/>
      <c r="V76" s="2058"/>
      <c r="W76" s="2058"/>
      <c r="X76" s="2058"/>
      <c r="Y76" s="2058"/>
      <c r="Z76" s="2058"/>
    </row>
    <row r="77" spans="1:26" ht="12" x14ac:dyDescent="0.2">
      <c r="A77" s="9" t="str">
        <f>MID(Summary!$B$1,FIND(" ",Summary!$B$1,1)+1,4)</f>
        <v>2023</v>
      </c>
      <c r="B77" s="9" t="s">
        <v>1960</v>
      </c>
      <c r="C77" s="9" t="s">
        <v>39</v>
      </c>
      <c r="D77" s="9" t="s">
        <v>95</v>
      </c>
      <c r="E77" s="9" t="s">
        <v>10</v>
      </c>
      <c r="F77" s="9" t="s">
        <v>1959</v>
      </c>
      <c r="G77" s="2063">
        <f>Commercial!C69/_xlfn.XLOOKUP(E77,Summary!C$4:C$7,Summary!E$4:E$7,"ERROR")*_xlfn.XLOOKUP(E77,Summary!C$4:C$7,Summary!D$4:D$7,"ERROR")</f>
        <v>0</v>
      </c>
      <c r="H77" s="2058"/>
      <c r="I77" s="2058"/>
      <c r="J77" s="2058"/>
      <c r="K77" s="2058"/>
      <c r="L77" s="2058"/>
      <c r="M77" s="2058"/>
      <c r="N77" s="2058"/>
      <c r="O77" s="2058"/>
      <c r="P77" s="2058"/>
      <c r="Q77" s="2058"/>
      <c r="R77" s="2058"/>
      <c r="S77" s="2058"/>
      <c r="T77" s="2058"/>
      <c r="U77" s="2058"/>
      <c r="V77" s="2058"/>
      <c r="W77" s="2058"/>
      <c r="X77" s="2058"/>
      <c r="Y77" s="2058"/>
      <c r="Z77" s="2058"/>
    </row>
    <row r="78" spans="1:26" ht="12" x14ac:dyDescent="0.2">
      <c r="A78" s="9" t="str">
        <f>MID(Summary!$B$1,FIND(" ",Summary!$B$1,1)+1,4)</f>
        <v>2023</v>
      </c>
      <c r="B78" s="9" t="s">
        <v>1960</v>
      </c>
      <c r="C78" s="9" t="s">
        <v>39</v>
      </c>
      <c r="D78" s="9" t="s">
        <v>95</v>
      </c>
      <c r="E78" s="9" t="s">
        <v>13</v>
      </c>
      <c r="F78" s="9" t="s">
        <v>1959</v>
      </c>
      <c r="G78" s="2063">
        <f>Commercial!D69/_xlfn.XLOOKUP(E78,Summary!C$4:C$7,Summary!E$4:E$7,"ERROR")*_xlfn.XLOOKUP(E78,Summary!C$4:C$7,Summary!D$4:D$7,"ERROR")</f>
        <v>2.8705626240435538E-2</v>
      </c>
      <c r="H78" s="2058"/>
      <c r="I78" s="2058"/>
      <c r="J78" s="2058"/>
      <c r="K78" s="2058"/>
      <c r="L78" s="2058"/>
      <c r="M78" s="2058"/>
      <c r="N78" s="2058"/>
      <c r="O78" s="2058"/>
      <c r="P78" s="2058"/>
      <c r="Q78" s="2058"/>
      <c r="R78" s="2058"/>
      <c r="S78" s="2058"/>
      <c r="T78" s="2058"/>
      <c r="U78" s="2058"/>
      <c r="V78" s="2058"/>
      <c r="W78" s="2058"/>
      <c r="X78" s="2058"/>
      <c r="Y78" s="2058"/>
      <c r="Z78" s="2058"/>
    </row>
    <row r="79" spans="1:26" ht="12" x14ac:dyDescent="0.2">
      <c r="A79" s="9" t="str">
        <f>MID(Summary!$B$1,FIND(" ",Summary!$B$1,1)+1,4)</f>
        <v>2023</v>
      </c>
      <c r="B79" s="9" t="s">
        <v>1960</v>
      </c>
      <c r="C79" s="9" t="s">
        <v>39</v>
      </c>
      <c r="D79" s="9" t="s">
        <v>95</v>
      </c>
      <c r="E79" s="9" t="s">
        <v>14</v>
      </c>
      <c r="F79" s="9" t="s">
        <v>1959</v>
      </c>
      <c r="G79" s="2063">
        <f>Commercial!E69/_xlfn.XLOOKUP(E79,Summary!C$4:C$7,Summary!E$4:E$7,"ERROR")*_xlfn.XLOOKUP(E79,Summary!C$4:C$7,Summary!D$4:D$7,"ERROR")</f>
        <v>1.2868039349160758E-3</v>
      </c>
      <c r="H79" s="2058"/>
      <c r="J79" s="2058"/>
      <c r="K79" s="2058"/>
      <c r="L79" s="2058"/>
      <c r="M79" s="2058"/>
      <c r="N79" s="2058"/>
      <c r="O79" s="2058"/>
      <c r="P79" s="2058"/>
      <c r="Q79" s="2058"/>
      <c r="R79" s="2058"/>
      <c r="S79" s="2058"/>
      <c r="T79" s="2058"/>
      <c r="U79" s="2058"/>
      <c r="V79" s="2058"/>
      <c r="W79" s="2058"/>
      <c r="X79" s="2058"/>
      <c r="Y79" s="2058"/>
      <c r="Z79" s="2058"/>
    </row>
    <row r="80" spans="1:26" ht="12" x14ac:dyDescent="0.2">
      <c r="A80" s="9" t="str">
        <f>MID(Summary!$B$1,FIND(" ",Summary!$B$1,1)+1,4)</f>
        <v>2023</v>
      </c>
      <c r="B80" s="9" t="s">
        <v>1960</v>
      </c>
      <c r="C80" s="9" t="s">
        <v>42</v>
      </c>
      <c r="D80" s="9" t="s">
        <v>72</v>
      </c>
      <c r="E80" s="9" t="s">
        <v>10</v>
      </c>
      <c r="F80" s="9" t="s">
        <v>1957</v>
      </c>
      <c r="G80" s="2063">
        <f>Industrial!C129</f>
        <v>0.8205408638187115</v>
      </c>
      <c r="L80" s="2058"/>
      <c r="M80" s="2058"/>
      <c r="N80" s="2058"/>
      <c r="O80" s="2058"/>
      <c r="P80" s="2058"/>
      <c r="Q80" s="2058"/>
      <c r="R80" s="2058"/>
      <c r="S80" s="2058"/>
      <c r="T80" s="2058"/>
      <c r="U80" s="2058"/>
      <c r="V80" s="2058"/>
      <c r="W80" s="2058"/>
      <c r="X80" s="2058"/>
      <c r="Y80" s="2058"/>
      <c r="Z80" s="2058"/>
    </row>
    <row r="81" spans="1:26" ht="12" x14ac:dyDescent="0.2">
      <c r="A81" s="9" t="str">
        <f>MID(Summary!$B$1,FIND(" ",Summary!$B$1,1)+1,4)</f>
        <v>2023</v>
      </c>
      <c r="B81" s="9" t="s">
        <v>1960</v>
      </c>
      <c r="C81" s="9" t="s">
        <v>42</v>
      </c>
      <c r="D81" s="9" t="s">
        <v>72</v>
      </c>
      <c r="E81" s="9" t="s">
        <v>13</v>
      </c>
      <c r="F81" s="9" t="s">
        <v>1957</v>
      </c>
      <c r="G81" s="2063">
        <f>Industrial!D129</f>
        <v>2.347441911720803E-3</v>
      </c>
      <c r="L81" s="2058"/>
      <c r="M81" s="2058"/>
      <c r="N81" s="2058"/>
      <c r="O81" s="2058"/>
      <c r="P81" s="2058"/>
      <c r="Q81" s="2058"/>
      <c r="R81" s="2058"/>
      <c r="S81" s="2058"/>
      <c r="T81" s="2058"/>
      <c r="U81" s="2058"/>
      <c r="V81" s="2058"/>
      <c r="W81" s="2058"/>
      <c r="X81" s="2058"/>
      <c r="Y81" s="2058"/>
      <c r="Z81" s="2058"/>
    </row>
    <row r="82" spans="1:26" ht="12" x14ac:dyDescent="0.2">
      <c r="A82" s="9" t="str">
        <f>MID(Summary!$B$1,FIND(" ",Summary!$B$1,1)+1,4)</f>
        <v>2023</v>
      </c>
      <c r="B82" s="9" t="s">
        <v>1960</v>
      </c>
      <c r="C82" s="9" t="s">
        <v>42</v>
      </c>
      <c r="D82" s="9" t="s">
        <v>72</v>
      </c>
      <c r="E82" s="9" t="s">
        <v>14</v>
      </c>
      <c r="F82" s="9" t="s">
        <v>1957</v>
      </c>
      <c r="G82" s="2063">
        <f>Industrial!E129</f>
        <v>3.4454389349450501E-3</v>
      </c>
      <c r="L82" s="2058"/>
      <c r="M82" s="2058"/>
      <c r="N82" s="2058"/>
      <c r="O82" s="2058"/>
      <c r="P82" s="2058"/>
      <c r="Q82" s="2058"/>
      <c r="R82" s="2058"/>
      <c r="S82" s="2058"/>
      <c r="T82" s="2058"/>
      <c r="U82" s="2058"/>
      <c r="V82" s="2058"/>
      <c r="W82" s="2058"/>
      <c r="X82" s="2058"/>
      <c r="Y82" s="2058"/>
      <c r="Z82" s="2058"/>
    </row>
    <row r="83" spans="1:26" ht="12" x14ac:dyDescent="0.2">
      <c r="A83" s="9" t="str">
        <f>MID(Summary!$B$1,FIND(" ",Summary!$B$1,1)+1,4)</f>
        <v>2023</v>
      </c>
      <c r="B83" s="9" t="s">
        <v>1960</v>
      </c>
      <c r="C83" s="9" t="s">
        <v>42</v>
      </c>
      <c r="D83" s="9" t="s">
        <v>137</v>
      </c>
      <c r="E83" s="9" t="s">
        <v>10</v>
      </c>
      <c r="F83" s="9" t="s">
        <v>1957</v>
      </c>
      <c r="G83" s="2063">
        <f>Industrial!C130</f>
        <v>0.84101205266866175</v>
      </c>
      <c r="L83" s="2058"/>
      <c r="M83" s="2058"/>
      <c r="N83" s="2058"/>
      <c r="O83" s="2058"/>
      <c r="P83" s="2058"/>
      <c r="Q83" s="2058"/>
      <c r="R83" s="2058"/>
      <c r="S83" s="2058"/>
      <c r="T83" s="2058"/>
      <c r="U83" s="2058"/>
      <c r="V83" s="2058"/>
      <c r="W83" s="2058"/>
      <c r="X83" s="2058"/>
      <c r="Y83" s="2058"/>
      <c r="Z83" s="2058"/>
    </row>
    <row r="84" spans="1:26" ht="12" x14ac:dyDescent="0.2">
      <c r="A84" s="9" t="str">
        <f>MID(Summary!$B$1,FIND(" ",Summary!$B$1,1)+1,4)</f>
        <v>2023</v>
      </c>
      <c r="B84" s="9" t="s">
        <v>1960</v>
      </c>
      <c r="C84" s="9" t="s">
        <v>42</v>
      </c>
      <c r="D84" s="9" t="s">
        <v>137</v>
      </c>
      <c r="E84" s="9" t="s">
        <v>13</v>
      </c>
      <c r="F84" s="9" t="s">
        <v>1957</v>
      </c>
      <c r="G84" s="2063">
        <f>Industrial!D130</f>
        <v>4.0985334554158076E-4</v>
      </c>
      <c r="K84" s="2058"/>
      <c r="L84" s="2058"/>
      <c r="M84" s="2058"/>
      <c r="N84" s="2058"/>
      <c r="O84" s="2058"/>
      <c r="P84" s="2058"/>
      <c r="Q84" s="2058"/>
      <c r="R84" s="2058"/>
      <c r="S84" s="2058"/>
      <c r="T84" s="2058"/>
      <c r="U84" s="2058"/>
      <c r="V84" s="2058"/>
      <c r="W84" s="2058"/>
      <c r="X84" s="2058"/>
      <c r="Y84" s="2058"/>
      <c r="Z84" s="2058"/>
    </row>
    <row r="85" spans="1:26" ht="12" x14ac:dyDescent="0.2">
      <c r="A85" s="9" t="str">
        <f>MID(Summary!$B$1,FIND(" ",Summary!$B$1,1)+1,4)</f>
        <v>2023</v>
      </c>
      <c r="B85" s="9" t="s">
        <v>1960</v>
      </c>
      <c r="C85" s="9" t="s">
        <v>42</v>
      </c>
      <c r="D85" s="9" t="s">
        <v>137</v>
      </c>
      <c r="E85" s="9" t="s">
        <v>14</v>
      </c>
      <c r="F85" s="9" t="s">
        <v>1957</v>
      </c>
      <c r="G85" s="2063">
        <f>Industrial!E130</f>
        <v>4.2106415738942698E-4</v>
      </c>
      <c r="J85" s="2058"/>
      <c r="K85" s="2058"/>
      <c r="L85" s="2058"/>
      <c r="M85" s="2058"/>
      <c r="N85" s="2058"/>
      <c r="O85" s="2058"/>
      <c r="P85" s="2058"/>
      <c r="Q85" s="2058"/>
      <c r="R85" s="2058"/>
      <c r="S85" s="2058"/>
      <c r="T85" s="2058"/>
      <c r="U85" s="2058"/>
      <c r="V85" s="2058"/>
      <c r="W85" s="2058"/>
      <c r="X85" s="2058"/>
      <c r="Y85" s="2058"/>
      <c r="Z85" s="2058"/>
    </row>
    <row r="86" spans="1:26" ht="12" x14ac:dyDescent="0.2">
      <c r="A86" s="9" t="str">
        <f>MID(Summary!$B$1,FIND(" ",Summary!$B$1,1)+1,4)</f>
        <v>2023</v>
      </c>
      <c r="B86" s="9" t="s">
        <v>1960</v>
      </c>
      <c r="C86" s="9" t="s">
        <v>42</v>
      </c>
      <c r="D86" s="9" t="s">
        <v>101</v>
      </c>
      <c r="E86" s="9" t="s">
        <v>10</v>
      </c>
      <c r="F86" s="9" t="s">
        <v>1957</v>
      </c>
      <c r="G86" s="2063">
        <f>Industrial!C131</f>
        <v>0.77855197014101385</v>
      </c>
      <c r="J86" s="2058"/>
      <c r="K86" s="2058"/>
      <c r="L86" s="2058"/>
      <c r="M86" s="2058"/>
      <c r="N86" s="2058"/>
      <c r="O86" s="2058"/>
      <c r="P86" s="2058"/>
      <c r="Q86" s="2058"/>
      <c r="R86" s="2058"/>
      <c r="S86" s="2058"/>
      <c r="T86" s="2058"/>
      <c r="U86" s="2058"/>
      <c r="V86" s="2058"/>
      <c r="W86" s="2058"/>
      <c r="X86" s="2058"/>
      <c r="Y86" s="2058"/>
      <c r="Z86" s="2058"/>
    </row>
    <row r="87" spans="1:26" ht="12" x14ac:dyDescent="0.2">
      <c r="A87" s="9" t="str">
        <f>MID(Summary!$B$1,FIND(" ",Summary!$B$1,1)+1,4)</f>
        <v>2023</v>
      </c>
      <c r="B87" s="9" t="s">
        <v>1960</v>
      </c>
      <c r="C87" s="9" t="s">
        <v>42</v>
      </c>
      <c r="D87" s="9" t="s">
        <v>101</v>
      </c>
      <c r="E87" s="9" t="s">
        <v>13</v>
      </c>
      <c r="F87" s="9" t="s">
        <v>1957</v>
      </c>
      <c r="G87" s="2063">
        <f>Industrial!D131</f>
        <v>7.4500376993040334E-4</v>
      </c>
      <c r="J87" s="2058"/>
      <c r="K87" s="2058"/>
      <c r="L87" s="2058"/>
      <c r="M87" s="2058"/>
      <c r="N87" s="2058"/>
      <c r="O87" s="2058"/>
      <c r="P87" s="2058"/>
      <c r="Q87" s="2058"/>
      <c r="R87" s="2058"/>
      <c r="S87" s="2058"/>
      <c r="T87" s="2058"/>
      <c r="U87" s="2058"/>
      <c r="V87" s="2058"/>
      <c r="W87" s="2058"/>
      <c r="X87" s="2058"/>
      <c r="Y87" s="2058"/>
      <c r="Z87" s="2058"/>
    </row>
    <row r="88" spans="1:26" ht="12" x14ac:dyDescent="0.2">
      <c r="A88" s="9" t="str">
        <f>MID(Summary!$B$1,FIND(" ",Summary!$B$1,1)+1,4)</f>
        <v>2023</v>
      </c>
      <c r="B88" s="9" t="s">
        <v>1960</v>
      </c>
      <c r="C88" s="9" t="s">
        <v>42</v>
      </c>
      <c r="D88" s="9" t="s">
        <v>101</v>
      </c>
      <c r="E88" s="9" t="s">
        <v>14</v>
      </c>
      <c r="F88" s="9" t="s">
        <v>1957</v>
      </c>
      <c r="G88" s="2063">
        <f>Industrial!E131</f>
        <v>1.4579643669605739E-3</v>
      </c>
      <c r="J88" s="2058"/>
      <c r="K88" s="2058"/>
      <c r="L88" s="2058"/>
      <c r="M88" s="2058"/>
      <c r="N88" s="2058"/>
      <c r="O88" s="2058"/>
      <c r="P88" s="2058"/>
      <c r="Q88" s="2058"/>
      <c r="R88" s="2058"/>
      <c r="S88" s="2058"/>
      <c r="T88" s="2058"/>
      <c r="U88" s="2058"/>
      <c r="V88" s="2058"/>
      <c r="W88" s="2058"/>
      <c r="X88" s="2058"/>
      <c r="Y88" s="2058"/>
      <c r="Z88" s="2058"/>
    </row>
    <row r="89" spans="1:26" ht="12" x14ac:dyDescent="0.2">
      <c r="A89" s="9" t="str">
        <f>MID(Summary!$B$1,FIND(" ",Summary!$B$1,1)+1,4)</f>
        <v>2023</v>
      </c>
      <c r="B89" s="9" t="s">
        <v>1960</v>
      </c>
      <c r="C89" s="9" t="s">
        <v>42</v>
      </c>
      <c r="D89" s="9" t="s">
        <v>95</v>
      </c>
      <c r="E89" s="9" t="s">
        <v>10</v>
      </c>
      <c r="F89" s="9" t="s">
        <v>1957</v>
      </c>
      <c r="G89" s="2063">
        <f>Industrial!C132</f>
        <v>0</v>
      </c>
      <c r="J89" s="2058"/>
      <c r="K89" s="2058"/>
      <c r="L89" s="2058"/>
      <c r="M89" s="2058"/>
      <c r="N89" s="2058"/>
      <c r="O89" s="2058"/>
      <c r="P89" s="2058"/>
      <c r="Q89" s="2058"/>
      <c r="R89" s="2058"/>
      <c r="S89" s="2058"/>
      <c r="T89" s="2058"/>
      <c r="U89" s="2058"/>
      <c r="V89" s="2058"/>
      <c r="W89" s="2058"/>
      <c r="X89" s="2058"/>
      <c r="Y89" s="2058"/>
      <c r="Z89" s="2058"/>
    </row>
    <row r="90" spans="1:26" ht="12" x14ac:dyDescent="0.2">
      <c r="A90" s="9" t="str">
        <f>MID(Summary!$B$1,FIND(" ",Summary!$B$1,1)+1,4)</f>
        <v>2023</v>
      </c>
      <c r="B90" s="9" t="s">
        <v>1960</v>
      </c>
      <c r="C90" s="9" t="s">
        <v>42</v>
      </c>
      <c r="D90" s="9" t="s">
        <v>95</v>
      </c>
      <c r="E90" s="9" t="s">
        <v>13</v>
      </c>
      <c r="F90" s="9" t="s">
        <v>1957</v>
      </c>
      <c r="G90" s="2063">
        <f>Industrial!D132</f>
        <v>3.759279003972996E-4</v>
      </c>
      <c r="J90" s="2058"/>
      <c r="K90" s="2058"/>
      <c r="L90" s="2058"/>
      <c r="M90" s="2058"/>
      <c r="N90" s="2058"/>
      <c r="O90" s="2058"/>
      <c r="P90" s="2058"/>
      <c r="Q90" s="2058"/>
      <c r="R90" s="2058"/>
      <c r="S90" s="2058"/>
      <c r="T90" s="2058"/>
      <c r="U90" s="2058"/>
      <c r="V90" s="2058"/>
      <c r="W90" s="2058"/>
      <c r="X90" s="2058"/>
      <c r="Y90" s="2058"/>
      <c r="Z90" s="2058"/>
    </row>
    <row r="91" spans="1:26" ht="12" x14ac:dyDescent="0.2">
      <c r="A91" s="9" t="str">
        <f>MID(Summary!$B$1,FIND(" ",Summary!$B$1,1)+1,4)</f>
        <v>2023</v>
      </c>
      <c r="B91" s="9" t="s">
        <v>1960</v>
      </c>
      <c r="C91" s="9" t="s">
        <v>42</v>
      </c>
      <c r="D91" s="9" t="s">
        <v>95</v>
      </c>
      <c r="E91" s="9" t="s">
        <v>14</v>
      </c>
      <c r="F91" s="9" t="s">
        <v>1957</v>
      </c>
      <c r="G91" s="2063">
        <f>Industrial!E132</f>
        <v>4.904579058946847E-4</v>
      </c>
      <c r="J91" s="2058"/>
      <c r="K91" s="2058"/>
      <c r="L91" s="2058"/>
      <c r="M91" s="2058"/>
      <c r="N91" s="2058"/>
      <c r="O91" s="2058"/>
      <c r="P91" s="2058"/>
      <c r="Q91" s="2058"/>
      <c r="R91" s="2058"/>
      <c r="S91" s="2058"/>
      <c r="T91" s="2058"/>
      <c r="U91" s="2058"/>
      <c r="V91" s="2058"/>
      <c r="W91" s="2058"/>
      <c r="X91" s="2058"/>
      <c r="Y91" s="2058"/>
      <c r="Z91" s="2058"/>
    </row>
    <row r="92" spans="1:26" ht="12" x14ac:dyDescent="0.2">
      <c r="A92" s="9" t="str">
        <f>MID(Summary!$B$1,FIND(" ",Summary!$B$1,1)+1,4)</f>
        <v>2023</v>
      </c>
      <c r="B92" s="9" t="s">
        <v>1960</v>
      </c>
      <c r="C92" s="9" t="s">
        <v>42</v>
      </c>
      <c r="D92" s="9" t="s">
        <v>72</v>
      </c>
      <c r="E92" s="9" t="s">
        <v>10</v>
      </c>
      <c r="F92" s="9" t="s">
        <v>1959</v>
      </c>
      <c r="G92" s="2063">
        <f>Industrial!C129/_xlfn.XLOOKUP(E92,Summary!C$4:C$7,Summary!E$4:E$7,"ERROR")*_xlfn.XLOOKUP(E92,Summary!C$4:C$7,Summary!D$4:D$7,"ERROR")</f>
        <v>0.8205408638187115</v>
      </c>
      <c r="H92" s="2058"/>
      <c r="I92" s="2058"/>
      <c r="J92" s="2058"/>
      <c r="K92" s="2058"/>
      <c r="L92" s="2058"/>
      <c r="M92" s="2058"/>
      <c r="N92" s="2058"/>
      <c r="O92" s="2058"/>
      <c r="P92" s="2058"/>
      <c r="Q92" s="2058"/>
      <c r="R92" s="2058"/>
      <c r="S92" s="2058"/>
      <c r="T92" s="2058"/>
      <c r="U92" s="2058"/>
      <c r="V92" s="2058"/>
      <c r="W92" s="2058"/>
      <c r="X92" s="2058"/>
      <c r="Y92" s="2058"/>
      <c r="Z92" s="2058"/>
    </row>
    <row r="93" spans="1:26" ht="12" x14ac:dyDescent="0.2">
      <c r="A93" s="9" t="str">
        <f>MID(Summary!$B$1,FIND(" ",Summary!$B$1,1)+1,4)</f>
        <v>2023</v>
      </c>
      <c r="B93" s="9" t="s">
        <v>1960</v>
      </c>
      <c r="C93" s="9" t="s">
        <v>42</v>
      </c>
      <c r="D93" s="9" t="s">
        <v>72</v>
      </c>
      <c r="E93" s="9" t="s">
        <v>13</v>
      </c>
      <c r="F93" s="9" t="s">
        <v>1959</v>
      </c>
      <c r="G93" s="2063">
        <f>Industrial!D129/_xlfn.XLOOKUP(E93,Summary!C$4:C$7,Summary!E$4:E$7,"ERROR")*_xlfn.XLOOKUP(E93,Summary!C$4:C$7,Summary!D$4:D$7,"ERROR")</f>
        <v>6.8319814778397565E-3</v>
      </c>
      <c r="H93" s="2058"/>
      <c r="I93" s="2058"/>
      <c r="J93" s="2058"/>
      <c r="K93" s="2058"/>
      <c r="L93" s="2058"/>
      <c r="M93" s="2058"/>
      <c r="N93" s="2058"/>
      <c r="O93" s="2058"/>
      <c r="P93" s="2058"/>
      <c r="Q93" s="2058"/>
      <c r="R93" s="2058"/>
      <c r="S93" s="2058"/>
      <c r="T93" s="2058"/>
      <c r="U93" s="2058"/>
      <c r="V93" s="2058"/>
      <c r="W93" s="2058"/>
      <c r="X93" s="2058"/>
      <c r="Y93" s="2058"/>
      <c r="Z93" s="2058"/>
    </row>
    <row r="94" spans="1:26" ht="12" x14ac:dyDescent="0.2">
      <c r="A94" s="9" t="str">
        <f>MID(Summary!$B$1,FIND(" ",Summary!$B$1,1)+1,4)</f>
        <v>2023</v>
      </c>
      <c r="B94" s="9" t="s">
        <v>1960</v>
      </c>
      <c r="C94" s="9" t="s">
        <v>42</v>
      </c>
      <c r="D94" s="9" t="s">
        <v>72</v>
      </c>
      <c r="E94" s="9" t="s">
        <v>14</v>
      </c>
      <c r="F94" s="9" t="s">
        <v>1959</v>
      </c>
      <c r="G94" s="2063">
        <f>Industrial!E129/_xlfn.XLOOKUP(E94,Summary!C$4:C$7,Summary!E$4:E$7,"ERROR")*_xlfn.XLOOKUP(E94,Summary!C$4:C$7,Summary!D$4:D$7,"ERROR")</f>
        <v>3.4454389349450501E-3</v>
      </c>
      <c r="H94" s="2058"/>
      <c r="I94" s="2058"/>
      <c r="J94" s="2058"/>
      <c r="K94" s="2058"/>
      <c r="L94" s="2058"/>
      <c r="M94" s="2058"/>
      <c r="N94" s="2058"/>
      <c r="O94" s="2058"/>
      <c r="P94" s="2058"/>
      <c r="Q94" s="2058"/>
      <c r="R94" s="2058"/>
      <c r="S94" s="2058"/>
      <c r="T94" s="2058"/>
      <c r="U94" s="2058"/>
      <c r="V94" s="2058"/>
      <c r="W94" s="2058"/>
      <c r="X94" s="2058"/>
      <c r="Y94" s="2058"/>
      <c r="Z94" s="2058"/>
    </row>
    <row r="95" spans="1:26" ht="12" x14ac:dyDescent="0.2">
      <c r="A95" s="9" t="str">
        <f>MID(Summary!$B$1,FIND(" ",Summary!$B$1,1)+1,4)</f>
        <v>2023</v>
      </c>
      <c r="B95" s="9" t="s">
        <v>1960</v>
      </c>
      <c r="C95" s="9" t="s">
        <v>42</v>
      </c>
      <c r="D95" s="9" t="s">
        <v>137</v>
      </c>
      <c r="E95" s="9" t="s">
        <v>10</v>
      </c>
      <c r="F95" s="9" t="s">
        <v>1959</v>
      </c>
      <c r="G95" s="2063">
        <f>Industrial!C130/_xlfn.XLOOKUP(E95,Summary!C$4:C$7,Summary!E$4:E$7,"ERROR")*_xlfn.XLOOKUP(E95,Summary!C$4:C$7,Summary!D$4:D$7,"ERROR")</f>
        <v>0.84101205266866175</v>
      </c>
      <c r="H95" s="2058"/>
      <c r="I95" s="2058"/>
      <c r="J95" s="2058"/>
      <c r="K95" s="2058"/>
      <c r="L95" s="2058"/>
      <c r="M95" s="2058"/>
      <c r="N95" s="2058"/>
      <c r="O95" s="2058"/>
      <c r="P95" s="2058"/>
      <c r="Q95" s="2058"/>
      <c r="R95" s="2058"/>
      <c r="S95" s="2058"/>
      <c r="T95" s="2058"/>
      <c r="U95" s="2058"/>
      <c r="V95" s="2058"/>
      <c r="W95" s="2058"/>
      <c r="X95" s="2058"/>
      <c r="Y95" s="2058"/>
      <c r="Z95" s="2058"/>
    </row>
    <row r="96" spans="1:26" ht="12" x14ac:dyDescent="0.2">
      <c r="A96" s="9" t="str">
        <f>MID(Summary!$B$1,FIND(" ",Summary!$B$1,1)+1,4)</f>
        <v>2023</v>
      </c>
      <c r="B96" s="9" t="s">
        <v>1960</v>
      </c>
      <c r="C96" s="9" t="s">
        <v>42</v>
      </c>
      <c r="D96" s="9" t="s">
        <v>137</v>
      </c>
      <c r="E96" s="9" t="s">
        <v>13</v>
      </c>
      <c r="F96" s="9" t="s">
        <v>1959</v>
      </c>
      <c r="G96" s="2063">
        <f>Industrial!D130/_xlfn.XLOOKUP(E96,Summary!C$4:C$7,Summary!E$4:E$7,"ERROR")*_xlfn.XLOOKUP(E96,Summary!C$4:C$7,Summary!D$4:D$7,"ERROR")</f>
        <v>1.1928348264507655E-3</v>
      </c>
      <c r="H96" s="2058"/>
      <c r="I96" s="2058"/>
      <c r="J96" s="2058"/>
      <c r="K96" s="2058"/>
      <c r="L96" s="2058"/>
      <c r="M96" s="2058"/>
      <c r="N96" s="2058"/>
      <c r="O96" s="2058"/>
      <c r="P96" s="2058"/>
      <c r="Q96" s="2058"/>
      <c r="R96" s="2058"/>
      <c r="S96" s="2058"/>
      <c r="T96" s="2058"/>
      <c r="U96" s="2058"/>
      <c r="V96" s="2058"/>
      <c r="W96" s="2058"/>
      <c r="X96" s="2058"/>
      <c r="Y96" s="2058"/>
      <c r="Z96" s="2058"/>
    </row>
    <row r="97" spans="1:26" ht="12" x14ac:dyDescent="0.2">
      <c r="A97" s="9" t="str">
        <f>MID(Summary!$B$1,FIND(" ",Summary!$B$1,1)+1,4)</f>
        <v>2023</v>
      </c>
      <c r="B97" s="9" t="s">
        <v>1960</v>
      </c>
      <c r="C97" s="9" t="s">
        <v>42</v>
      </c>
      <c r="D97" s="9" t="s">
        <v>137</v>
      </c>
      <c r="E97" s="9" t="s">
        <v>14</v>
      </c>
      <c r="F97" s="9" t="s">
        <v>1959</v>
      </c>
      <c r="G97" s="2063">
        <f>Industrial!E130/_xlfn.XLOOKUP(E97,Summary!C$4:C$7,Summary!E$4:E$7,"ERROR")*_xlfn.XLOOKUP(E97,Summary!C$4:C$7,Summary!D$4:D$7,"ERROR")</f>
        <v>4.2106415738942703E-4</v>
      </c>
      <c r="H97" s="2058"/>
      <c r="I97" s="2058"/>
      <c r="J97" s="2058"/>
      <c r="K97" s="2058"/>
      <c r="L97" s="2058"/>
      <c r="M97" s="2058"/>
      <c r="N97" s="2058"/>
      <c r="O97" s="2058"/>
      <c r="P97" s="2058"/>
      <c r="Q97" s="2058"/>
      <c r="R97" s="2058"/>
      <c r="S97" s="2058"/>
      <c r="T97" s="2058"/>
      <c r="U97" s="2058"/>
      <c r="V97" s="2058"/>
      <c r="W97" s="2058"/>
      <c r="X97" s="2058"/>
      <c r="Y97" s="2058"/>
      <c r="Z97" s="2058"/>
    </row>
    <row r="98" spans="1:26" ht="12" x14ac:dyDescent="0.2">
      <c r="A98" s="9" t="str">
        <f>MID(Summary!$B$1,FIND(" ",Summary!$B$1,1)+1,4)</f>
        <v>2023</v>
      </c>
      <c r="B98" s="9" t="s">
        <v>1960</v>
      </c>
      <c r="C98" s="9" t="s">
        <v>42</v>
      </c>
      <c r="D98" s="9" t="s">
        <v>101</v>
      </c>
      <c r="E98" s="9" t="s">
        <v>10</v>
      </c>
      <c r="F98" s="9" t="s">
        <v>1959</v>
      </c>
      <c r="G98" s="2063">
        <f>Industrial!C131/_xlfn.XLOOKUP(E98,Summary!C$4:C$7,Summary!E$4:E$7,"ERROR")*_xlfn.XLOOKUP(E98,Summary!C$4:C$7,Summary!D$4:D$7,"ERROR")</f>
        <v>0.77855197014101385</v>
      </c>
      <c r="H98" s="2058"/>
      <c r="I98" s="2058"/>
      <c r="J98" s="2058"/>
      <c r="K98" s="2058"/>
      <c r="L98" s="2058"/>
      <c r="M98" s="2058"/>
      <c r="N98" s="2058"/>
      <c r="O98" s="2058"/>
      <c r="P98" s="2058"/>
      <c r="Q98" s="2058"/>
      <c r="R98" s="2058"/>
      <c r="S98" s="2058"/>
      <c r="T98" s="2058"/>
      <c r="U98" s="2058"/>
      <c r="V98" s="2058"/>
      <c r="W98" s="2058"/>
      <c r="X98" s="2058"/>
      <c r="Y98" s="2058"/>
      <c r="Z98" s="2058"/>
    </row>
    <row r="99" spans="1:26" ht="12" x14ac:dyDescent="0.2">
      <c r="A99" s="9" t="str">
        <f>MID(Summary!$B$1,FIND(" ",Summary!$B$1,1)+1,4)</f>
        <v>2023</v>
      </c>
      <c r="B99" s="9" t="s">
        <v>1960</v>
      </c>
      <c r="C99" s="9" t="s">
        <v>42</v>
      </c>
      <c r="D99" s="9" t="s">
        <v>101</v>
      </c>
      <c r="E99" s="9" t="s">
        <v>13</v>
      </c>
      <c r="F99" s="9" t="s">
        <v>1959</v>
      </c>
      <c r="G99" s="2063">
        <f>Industrial!D131/_xlfn.XLOOKUP(E99,Summary!C$4:C$7,Summary!E$4:E$7,"ERROR")*_xlfn.XLOOKUP(E99,Summary!C$4:C$7,Summary!D$4:D$7,"ERROR")</f>
        <v>2.168254699582393E-3</v>
      </c>
      <c r="H99" s="2058"/>
      <c r="I99" s="2058"/>
      <c r="J99" s="2058"/>
      <c r="K99" s="2058"/>
      <c r="L99" s="2058"/>
      <c r="M99" s="2058"/>
      <c r="N99" s="2058"/>
      <c r="O99" s="2058"/>
      <c r="P99" s="2058"/>
      <c r="Q99" s="2058"/>
      <c r="R99" s="2058"/>
      <c r="S99" s="2058"/>
      <c r="T99" s="2058"/>
      <c r="U99" s="2058"/>
      <c r="V99" s="2058"/>
      <c r="W99" s="2058"/>
      <c r="X99" s="2058"/>
      <c r="Y99" s="2058"/>
      <c r="Z99" s="2058"/>
    </row>
    <row r="100" spans="1:26" ht="12" x14ac:dyDescent="0.2">
      <c r="A100" s="9" t="str">
        <f>MID(Summary!$B$1,FIND(" ",Summary!$B$1,1)+1,4)</f>
        <v>2023</v>
      </c>
      <c r="B100" s="9" t="s">
        <v>1960</v>
      </c>
      <c r="C100" s="9" t="s">
        <v>42</v>
      </c>
      <c r="D100" s="9" t="s">
        <v>101</v>
      </c>
      <c r="E100" s="9" t="s">
        <v>14</v>
      </c>
      <c r="F100" s="9" t="s">
        <v>1959</v>
      </c>
      <c r="G100" s="2063">
        <f>Industrial!E131/_xlfn.XLOOKUP(E100,Summary!C$4:C$7,Summary!E$4:E$7,"ERROR")*_xlfn.XLOOKUP(E100,Summary!C$4:C$7,Summary!D$4:D$7,"ERROR")</f>
        <v>1.4579643669605739E-3</v>
      </c>
      <c r="H100" s="2058"/>
      <c r="I100" s="2058"/>
      <c r="J100" s="2058"/>
      <c r="K100" s="2058"/>
      <c r="L100" s="2058"/>
      <c r="M100" s="2058"/>
      <c r="N100" s="2058"/>
      <c r="O100" s="2058"/>
      <c r="P100" s="2058"/>
      <c r="Q100" s="2058"/>
      <c r="R100" s="2058"/>
      <c r="S100" s="2058"/>
      <c r="T100" s="2058"/>
      <c r="U100" s="2058"/>
      <c r="V100" s="2058"/>
      <c r="W100" s="2058"/>
      <c r="X100" s="2058"/>
      <c r="Y100" s="2058"/>
      <c r="Z100" s="2058"/>
    </row>
    <row r="101" spans="1:26" ht="12" x14ac:dyDescent="0.2">
      <c r="A101" s="9" t="str">
        <f>MID(Summary!$B$1,FIND(" ",Summary!$B$1,1)+1,4)</f>
        <v>2023</v>
      </c>
      <c r="B101" s="9" t="s">
        <v>1960</v>
      </c>
      <c r="C101" s="9" t="s">
        <v>42</v>
      </c>
      <c r="D101" s="9" t="s">
        <v>95</v>
      </c>
      <c r="E101" s="9" t="s">
        <v>10</v>
      </c>
      <c r="F101" s="9" t="s">
        <v>1959</v>
      </c>
      <c r="G101" s="2063">
        <f>Industrial!C132/_xlfn.XLOOKUP(E101,Summary!C$4:C$7,Summary!E$4:E$7,"ERROR")*_xlfn.XLOOKUP(E101,Summary!C$4:C$7,Summary!D$4:D$7,"ERROR")</f>
        <v>0</v>
      </c>
      <c r="H101" s="2058"/>
      <c r="I101" s="2058"/>
      <c r="J101" s="2058"/>
      <c r="K101" s="2058"/>
      <c r="L101" s="2058"/>
      <c r="M101" s="2058"/>
      <c r="N101" s="2058"/>
      <c r="O101" s="2058"/>
      <c r="P101" s="2058"/>
      <c r="Q101" s="2058"/>
      <c r="R101" s="2058"/>
      <c r="S101" s="2058"/>
      <c r="T101" s="2058"/>
      <c r="U101" s="2058"/>
      <c r="V101" s="2058"/>
      <c r="W101" s="2058"/>
      <c r="X101" s="2058"/>
      <c r="Y101" s="2058"/>
      <c r="Z101" s="2058"/>
    </row>
    <row r="102" spans="1:26" ht="12" x14ac:dyDescent="0.2">
      <c r="A102" s="9" t="str">
        <f>MID(Summary!$B$1,FIND(" ",Summary!$B$1,1)+1,4)</f>
        <v>2023</v>
      </c>
      <c r="B102" s="9" t="s">
        <v>1960</v>
      </c>
      <c r="C102" s="9" t="s">
        <v>42</v>
      </c>
      <c r="D102" s="9" t="s">
        <v>95</v>
      </c>
      <c r="E102" s="9" t="s">
        <v>13</v>
      </c>
      <c r="F102" s="9" t="s">
        <v>1959</v>
      </c>
      <c r="G102" s="2063">
        <f>Industrial!D132/_xlfn.XLOOKUP(E102,Summary!C$4:C$7,Summary!E$4:E$7,"ERROR")*_xlfn.XLOOKUP(E102,Summary!C$4:C$7,Summary!D$4:D$7,"ERROR")</f>
        <v>1.0940984054573738E-3</v>
      </c>
      <c r="H102" s="2058"/>
      <c r="I102" s="2058"/>
      <c r="J102" s="2058"/>
      <c r="K102" s="2058"/>
      <c r="L102" s="2058"/>
      <c r="M102" s="2058"/>
      <c r="N102" s="2058"/>
      <c r="O102" s="2058"/>
      <c r="P102" s="2058"/>
      <c r="Q102" s="2058"/>
      <c r="R102" s="2058"/>
      <c r="S102" s="2058"/>
      <c r="T102" s="2058"/>
      <c r="U102" s="2058"/>
      <c r="V102" s="2058"/>
      <c r="W102" s="2058"/>
      <c r="X102" s="2058"/>
      <c r="Y102" s="2058"/>
      <c r="Z102" s="2058"/>
    </row>
    <row r="103" spans="1:26" ht="12" x14ac:dyDescent="0.2">
      <c r="A103" s="9" t="str">
        <f>MID(Summary!$B$1,FIND(" ",Summary!$B$1,1)+1,4)</f>
        <v>2023</v>
      </c>
      <c r="B103" s="9" t="s">
        <v>1960</v>
      </c>
      <c r="C103" s="9" t="s">
        <v>42</v>
      </c>
      <c r="D103" s="9" t="s">
        <v>95</v>
      </c>
      <c r="E103" s="9" t="s">
        <v>14</v>
      </c>
      <c r="F103" s="9" t="s">
        <v>1959</v>
      </c>
      <c r="G103" s="2063">
        <f>Industrial!E132/_xlfn.XLOOKUP(E103,Summary!C$4:C$7,Summary!E$4:E$7,"ERROR")*_xlfn.XLOOKUP(E103,Summary!C$4:C$7,Summary!D$4:D$7,"ERROR")</f>
        <v>4.904579058946847E-4</v>
      </c>
      <c r="H103" s="2058"/>
      <c r="I103" s="2058"/>
      <c r="J103" s="2058"/>
      <c r="K103" s="2058"/>
      <c r="L103" s="2058"/>
      <c r="M103" s="2058"/>
      <c r="N103" s="2058"/>
      <c r="O103" s="2058"/>
      <c r="P103" s="2058"/>
      <c r="Q103" s="2058"/>
      <c r="R103" s="2058"/>
      <c r="S103" s="2058"/>
      <c r="T103" s="2058"/>
      <c r="U103" s="2058"/>
      <c r="V103" s="2058"/>
      <c r="W103" s="2058"/>
      <c r="X103" s="2058"/>
      <c r="Y103" s="2058"/>
      <c r="Z103" s="2058"/>
    </row>
    <row r="104" spans="1:26" ht="12" x14ac:dyDescent="0.2">
      <c r="A104" s="9" t="str">
        <f>MID(Summary!$B$1,FIND(" ",Summary!$B$1,1)+1,4)</f>
        <v>2023</v>
      </c>
      <c r="B104" s="9" t="s">
        <v>43</v>
      </c>
      <c r="C104" s="9" t="s">
        <v>1961</v>
      </c>
      <c r="D104" s="9" t="s">
        <v>181</v>
      </c>
      <c r="E104" s="9" t="s">
        <v>10</v>
      </c>
      <c r="F104" s="9" t="s">
        <v>1957</v>
      </c>
      <c r="G104" s="2063">
        <f>Summary!E49</f>
        <v>20.582046233656232</v>
      </c>
      <c r="J104" s="2058"/>
      <c r="K104" s="2058"/>
      <c r="L104" s="2058"/>
      <c r="M104" s="2058"/>
      <c r="N104" s="2058"/>
      <c r="O104" s="2058"/>
      <c r="P104" s="2058"/>
      <c r="Q104" s="2058"/>
      <c r="R104" s="2058"/>
      <c r="S104" s="2058"/>
      <c r="T104" s="2058"/>
      <c r="U104" s="2058"/>
      <c r="V104" s="2058"/>
      <c r="W104" s="2058"/>
      <c r="X104" s="2058"/>
      <c r="Y104" s="2058"/>
      <c r="Z104" s="2058"/>
    </row>
    <row r="105" spans="1:26" ht="12" x14ac:dyDescent="0.2">
      <c r="A105" s="9" t="str">
        <f>MID(Summary!$B$1,FIND(" ",Summary!$B$1,1)+1,4)</f>
        <v>2023</v>
      </c>
      <c r="B105" s="9" t="s">
        <v>43</v>
      </c>
      <c r="C105" s="9" t="s">
        <v>1961</v>
      </c>
      <c r="D105" s="9" t="s">
        <v>181</v>
      </c>
      <c r="E105" s="9" t="s">
        <v>13</v>
      </c>
      <c r="F105" s="9" t="s">
        <v>1957</v>
      </c>
      <c r="G105" s="2063">
        <f>Summary!E50</f>
        <v>2.284363464606045E-2</v>
      </c>
      <c r="J105" s="2058"/>
      <c r="K105" s="2058"/>
      <c r="L105" s="2058"/>
      <c r="M105" s="2058"/>
      <c r="N105" s="2058"/>
      <c r="O105" s="2058"/>
      <c r="P105" s="2058"/>
      <c r="Q105" s="2058"/>
      <c r="R105" s="2058"/>
      <c r="S105" s="2058"/>
      <c r="T105" s="2058"/>
      <c r="U105" s="2058"/>
      <c r="V105" s="2058"/>
      <c r="W105" s="2058"/>
      <c r="X105" s="2058"/>
      <c r="Y105" s="2058"/>
      <c r="Z105" s="2058"/>
    </row>
    <row r="106" spans="1:26" ht="12" x14ac:dyDescent="0.2">
      <c r="A106" s="9" t="str">
        <f>MID(Summary!$B$1,FIND(" ",Summary!$B$1,1)+1,4)</f>
        <v>2023</v>
      </c>
      <c r="B106" s="9" t="s">
        <v>43</v>
      </c>
      <c r="C106" s="9" t="s">
        <v>1961</v>
      </c>
      <c r="D106" s="9" t="s">
        <v>181</v>
      </c>
      <c r="E106" s="9" t="s">
        <v>14</v>
      </c>
      <c r="F106" s="9" t="s">
        <v>1957</v>
      </c>
      <c r="G106" s="2063">
        <f>Summary!E51</f>
        <v>9.4599852120355876E-2</v>
      </c>
      <c r="K106" s="2058"/>
      <c r="L106" s="2058"/>
      <c r="M106" s="2058"/>
      <c r="N106" s="2058"/>
      <c r="O106" s="2058"/>
      <c r="P106" s="2058"/>
      <c r="Q106" s="2058"/>
      <c r="R106" s="2058"/>
      <c r="S106" s="2058"/>
      <c r="T106" s="2058"/>
      <c r="U106" s="2058"/>
      <c r="V106" s="2058"/>
      <c r="W106" s="2058"/>
      <c r="X106" s="2058"/>
      <c r="Y106" s="2058"/>
      <c r="Z106" s="2058"/>
    </row>
    <row r="107" spans="1:26" ht="12" x14ac:dyDescent="0.2">
      <c r="A107" s="9" t="str">
        <f>MID(Summary!$B$1,FIND(" ",Summary!$B$1,1)+1,4)</f>
        <v>2023</v>
      </c>
      <c r="B107" s="9" t="s">
        <v>43</v>
      </c>
      <c r="C107" s="9" t="s">
        <v>1961</v>
      </c>
      <c r="D107" s="9" t="s">
        <v>194</v>
      </c>
      <c r="E107" s="9" t="s">
        <v>10</v>
      </c>
      <c r="F107" s="9" t="s">
        <v>1957</v>
      </c>
      <c r="G107" s="2063">
        <f>Summary!E57</f>
        <v>4.8337259219430573</v>
      </c>
      <c r="J107" s="2058"/>
      <c r="K107" s="2058"/>
      <c r="L107" s="2058"/>
      <c r="M107" s="2058"/>
      <c r="N107" s="2058"/>
      <c r="O107" s="2058"/>
      <c r="P107" s="2058"/>
      <c r="Q107" s="2058"/>
      <c r="R107" s="2058"/>
      <c r="S107" s="2058"/>
      <c r="T107" s="2058"/>
      <c r="U107" s="2058"/>
      <c r="V107" s="2058"/>
      <c r="W107" s="2058"/>
      <c r="X107" s="2058"/>
      <c r="Y107" s="2058"/>
      <c r="Z107" s="2058"/>
    </row>
    <row r="108" spans="1:26" ht="12" x14ac:dyDescent="0.2">
      <c r="A108" s="9" t="str">
        <f>MID(Summary!$B$1,FIND(" ",Summary!$B$1,1)+1,4)</f>
        <v>2023</v>
      </c>
      <c r="B108" s="9" t="s">
        <v>43</v>
      </c>
      <c r="C108" s="9" t="s">
        <v>1961</v>
      </c>
      <c r="D108" s="9" t="s">
        <v>194</v>
      </c>
      <c r="E108" s="9" t="s">
        <v>13</v>
      </c>
      <c r="F108" s="9" t="s">
        <v>1957</v>
      </c>
      <c r="G108" s="2063">
        <f>Summary!E58</f>
        <v>2.952250674224415E-3</v>
      </c>
      <c r="J108" s="2058"/>
      <c r="K108" s="2058"/>
      <c r="L108" s="2058"/>
      <c r="M108" s="2058"/>
      <c r="N108" s="2058"/>
      <c r="O108" s="2058"/>
      <c r="P108" s="2058"/>
      <c r="Q108" s="2058"/>
      <c r="R108" s="2058"/>
      <c r="S108" s="2058"/>
      <c r="T108" s="2058"/>
      <c r="U108" s="2058"/>
      <c r="V108" s="2058"/>
      <c r="W108" s="2058"/>
      <c r="X108" s="2058"/>
      <c r="Y108" s="2058"/>
      <c r="Z108" s="2058"/>
    </row>
    <row r="109" spans="1:26" ht="12" x14ac:dyDescent="0.2">
      <c r="A109" s="9" t="str">
        <f>MID(Summary!$B$1,FIND(" ",Summary!$B$1,1)+1,4)</f>
        <v>2023</v>
      </c>
      <c r="B109" s="9" t="s">
        <v>43</v>
      </c>
      <c r="C109" s="9" t="s">
        <v>1961</v>
      </c>
      <c r="D109" s="9" t="s">
        <v>194</v>
      </c>
      <c r="E109" s="9" t="s">
        <v>14</v>
      </c>
      <c r="F109" s="9" t="s">
        <v>1957</v>
      </c>
      <c r="G109" s="2063">
        <f>Summary!E59</f>
        <v>0.15278597424944754</v>
      </c>
      <c r="J109" s="2058"/>
      <c r="K109" s="2058"/>
      <c r="L109" s="2058"/>
      <c r="M109" s="2058"/>
      <c r="N109" s="2058"/>
      <c r="O109" s="2058"/>
      <c r="P109" s="2058"/>
      <c r="Q109" s="2058"/>
      <c r="R109" s="2058"/>
      <c r="S109" s="2058"/>
      <c r="T109" s="2058"/>
      <c r="U109" s="2058"/>
      <c r="V109" s="2058"/>
      <c r="W109" s="2058"/>
      <c r="X109" s="2058"/>
      <c r="Y109" s="2058"/>
      <c r="Z109" s="2058"/>
    </row>
    <row r="110" spans="1:26" ht="12" x14ac:dyDescent="0.2">
      <c r="A110" s="9" t="str">
        <f>MID(Summary!$B$1,FIND(" ",Summary!$B$1,1)+1,4)</f>
        <v>2023</v>
      </c>
      <c r="B110" s="9" t="s">
        <v>43</v>
      </c>
      <c r="C110" s="9" t="s">
        <v>1962</v>
      </c>
      <c r="D110" s="9" t="s">
        <v>187</v>
      </c>
      <c r="E110" s="9" t="s">
        <v>10</v>
      </c>
      <c r="F110" s="9" t="s">
        <v>1957</v>
      </c>
      <c r="G110" s="2063">
        <f>Summary!E53</f>
        <v>0.99784781517169341</v>
      </c>
      <c r="J110" s="2058"/>
      <c r="K110" s="2058"/>
      <c r="L110" s="2058"/>
      <c r="M110" s="2058"/>
      <c r="N110" s="2058"/>
      <c r="O110" s="2058"/>
      <c r="P110" s="2058"/>
      <c r="Q110" s="2058"/>
      <c r="R110" s="2058"/>
      <c r="S110" s="2058"/>
      <c r="T110" s="2058"/>
      <c r="U110" s="2058"/>
      <c r="V110" s="2058"/>
      <c r="W110" s="2058"/>
      <c r="X110" s="2058"/>
      <c r="Y110" s="2058"/>
      <c r="Z110" s="2058"/>
    </row>
    <row r="111" spans="1:26" ht="12" x14ac:dyDescent="0.2">
      <c r="A111" s="9" t="str">
        <f>MID(Summary!$B$1,FIND(" ",Summary!$B$1,1)+1,4)</f>
        <v>2023</v>
      </c>
      <c r="B111" s="9" t="s">
        <v>43</v>
      </c>
      <c r="C111" s="9" t="s">
        <v>1962</v>
      </c>
      <c r="D111" s="9" t="s">
        <v>187</v>
      </c>
      <c r="E111" s="9" t="s">
        <v>13</v>
      </c>
      <c r="F111" s="9" t="s">
        <v>1957</v>
      </c>
      <c r="G111" s="2063">
        <f>Summary!E54</f>
        <v>2.2864710372580827E-2</v>
      </c>
      <c r="J111" s="2058"/>
      <c r="K111" s="2058"/>
      <c r="L111" s="2058"/>
      <c r="M111" s="2058"/>
      <c r="N111" s="2058"/>
      <c r="O111" s="2058"/>
      <c r="P111" s="2058"/>
      <c r="Q111" s="2058"/>
      <c r="R111" s="2058"/>
      <c r="S111" s="2058"/>
      <c r="T111" s="2058"/>
      <c r="U111" s="2058"/>
      <c r="V111" s="2058"/>
      <c r="W111" s="2058"/>
      <c r="X111" s="2058"/>
      <c r="Y111" s="2058"/>
      <c r="Z111" s="2058"/>
    </row>
    <row r="112" spans="1:26" ht="12" x14ac:dyDescent="0.2">
      <c r="A112" s="9" t="str">
        <f>MID(Summary!$B$1,FIND(" ",Summary!$B$1,1)+1,4)</f>
        <v>2023</v>
      </c>
      <c r="B112" s="9" t="s">
        <v>43</v>
      </c>
      <c r="C112" s="9" t="s">
        <v>1962</v>
      </c>
      <c r="D112" s="9" t="s">
        <v>187</v>
      </c>
      <c r="E112" s="9" t="s">
        <v>14</v>
      </c>
      <c r="F112" s="9" t="s">
        <v>1957</v>
      </c>
      <c r="G112" s="2063">
        <f>Summary!E55</f>
        <v>0</v>
      </c>
      <c r="J112" s="2058"/>
      <c r="K112" s="2058"/>
      <c r="L112" s="2058"/>
      <c r="M112" s="2058"/>
      <c r="N112" s="2058"/>
      <c r="O112" s="2058"/>
      <c r="P112" s="2058"/>
      <c r="Q112" s="2058"/>
      <c r="R112" s="2058"/>
      <c r="S112" s="2058"/>
      <c r="T112" s="2058"/>
      <c r="U112" s="2058"/>
      <c r="V112" s="2058"/>
      <c r="W112" s="2058"/>
      <c r="X112" s="2058"/>
      <c r="Y112" s="2058"/>
      <c r="Z112" s="2058"/>
    </row>
    <row r="113" spans="1:26" ht="12" x14ac:dyDescent="0.2">
      <c r="A113" s="9" t="str">
        <f>MID(Summary!$B$1,FIND(" ",Summary!$B$1,1)+1,4)</f>
        <v>2023</v>
      </c>
      <c r="B113" s="9" t="s">
        <v>43</v>
      </c>
      <c r="C113" s="9" t="s">
        <v>1962</v>
      </c>
      <c r="D113" s="9" t="s">
        <v>200</v>
      </c>
      <c r="E113" s="9" t="s">
        <v>10</v>
      </c>
      <c r="F113" s="9" t="s">
        <v>1957</v>
      </c>
      <c r="G113" s="2063">
        <f>Summary!E61</f>
        <v>1.1273049745609898</v>
      </c>
      <c r="J113" s="2058"/>
      <c r="K113" s="2058"/>
      <c r="L113" s="2058"/>
      <c r="M113" s="2058"/>
      <c r="N113" s="2058"/>
      <c r="O113" s="2058"/>
      <c r="P113" s="2058"/>
      <c r="Q113" s="2058"/>
      <c r="R113" s="2058"/>
      <c r="S113" s="2058"/>
      <c r="T113" s="2058"/>
      <c r="U113" s="2058"/>
      <c r="V113" s="2058"/>
      <c r="W113" s="2058"/>
      <c r="X113" s="2058"/>
      <c r="Y113" s="2058"/>
      <c r="Z113" s="2058"/>
    </row>
    <row r="114" spans="1:26" ht="12" x14ac:dyDescent="0.2">
      <c r="A114" s="9" t="str">
        <f>MID(Summary!$B$1,FIND(" ",Summary!$B$1,1)+1,4)</f>
        <v>2023</v>
      </c>
      <c r="B114" s="9" t="s">
        <v>43</v>
      </c>
      <c r="C114" s="9" t="s">
        <v>1962</v>
      </c>
      <c r="D114" s="9" t="s">
        <v>200</v>
      </c>
      <c r="E114" s="9" t="s">
        <v>13</v>
      </c>
      <c r="F114" s="9" t="s">
        <v>1957</v>
      </c>
      <c r="G114" s="2063">
        <f>Summary!E62</f>
        <v>4.7046974405941689E-4</v>
      </c>
      <c r="J114" s="2058"/>
      <c r="K114" s="2058"/>
      <c r="L114" s="2058"/>
      <c r="M114" s="2058"/>
      <c r="N114" s="2058"/>
      <c r="O114" s="2058"/>
      <c r="P114" s="2058"/>
      <c r="Q114" s="2058"/>
      <c r="R114" s="2058"/>
      <c r="S114" s="2058"/>
      <c r="T114" s="2058"/>
      <c r="U114" s="2058"/>
      <c r="V114" s="2058"/>
      <c r="W114" s="2058"/>
      <c r="X114" s="2058"/>
      <c r="Y114" s="2058"/>
      <c r="Z114" s="2058"/>
    </row>
    <row r="115" spans="1:26" ht="12" x14ac:dyDescent="0.2">
      <c r="A115" s="9" t="str">
        <f>MID(Summary!$B$1,FIND(" ",Summary!$B$1,1)+1,4)</f>
        <v>2023</v>
      </c>
      <c r="B115" s="9" t="s">
        <v>43</v>
      </c>
      <c r="C115" s="9" t="s">
        <v>1962</v>
      </c>
      <c r="D115" s="9" t="s">
        <v>200</v>
      </c>
      <c r="E115" s="9" t="s">
        <v>14</v>
      </c>
      <c r="F115" s="9" t="s">
        <v>1957</v>
      </c>
      <c r="G115" s="2063">
        <f>Summary!E63</f>
        <v>0</v>
      </c>
      <c r="J115" s="2058"/>
      <c r="K115" s="2058"/>
      <c r="L115" s="2058"/>
      <c r="M115" s="2058"/>
      <c r="N115" s="2058"/>
      <c r="O115" s="2058"/>
      <c r="P115" s="2058"/>
      <c r="Q115" s="2058"/>
      <c r="R115" s="2058"/>
      <c r="S115" s="2058"/>
      <c r="T115" s="2058"/>
      <c r="U115" s="2058"/>
      <c r="V115" s="2058"/>
      <c r="W115" s="2058"/>
      <c r="X115" s="2058"/>
      <c r="Y115" s="2058"/>
      <c r="Z115" s="2058"/>
    </row>
    <row r="116" spans="1:26" ht="12" x14ac:dyDescent="0.2">
      <c r="A116" s="9" t="str">
        <f>MID(Summary!$B$1,FIND(" ",Summary!$B$1,1)+1,4)</f>
        <v>2023</v>
      </c>
      <c r="B116" s="9" t="s">
        <v>43</v>
      </c>
      <c r="C116" s="9" t="s">
        <v>1962</v>
      </c>
      <c r="D116" s="9" t="s">
        <v>206</v>
      </c>
      <c r="E116" s="9" t="s">
        <v>10</v>
      </c>
      <c r="F116" s="9" t="s">
        <v>1957</v>
      </c>
      <c r="G116" s="2063">
        <f>Summary!E65</f>
        <v>0.3148291497443686</v>
      </c>
      <c r="J116" s="2058"/>
      <c r="K116" s="2058"/>
      <c r="L116" s="2058"/>
      <c r="M116" s="2058"/>
      <c r="N116" s="2058"/>
      <c r="O116" s="2058"/>
      <c r="P116" s="2058"/>
      <c r="Q116" s="2058"/>
      <c r="R116" s="2058"/>
      <c r="S116" s="2058"/>
      <c r="T116" s="2058"/>
      <c r="U116" s="2058"/>
      <c r="V116" s="2058"/>
      <c r="W116" s="2058"/>
      <c r="X116" s="2058"/>
      <c r="Y116" s="2058"/>
      <c r="Z116" s="2058"/>
    </row>
    <row r="117" spans="1:26" ht="12" x14ac:dyDescent="0.2">
      <c r="A117" s="9" t="str">
        <f>MID(Summary!$B$1,FIND(" ",Summary!$B$1,1)+1,4)</f>
        <v>2023</v>
      </c>
      <c r="B117" s="9" t="s">
        <v>43</v>
      </c>
      <c r="C117" s="9" t="s">
        <v>1962</v>
      </c>
      <c r="D117" s="9" t="s">
        <v>206</v>
      </c>
      <c r="E117" s="9" t="s">
        <v>13</v>
      </c>
      <c r="F117" s="9" t="s">
        <v>1957</v>
      </c>
      <c r="G117" s="2063">
        <f>Summary!E66</f>
        <v>1.9870784108000001E-3</v>
      </c>
      <c r="J117" s="2058"/>
      <c r="K117" s="2058"/>
      <c r="L117" s="2058"/>
      <c r="M117" s="2058"/>
      <c r="N117" s="2058"/>
      <c r="O117" s="2058"/>
      <c r="P117" s="2058"/>
      <c r="Q117" s="2058"/>
      <c r="R117" s="2058"/>
      <c r="S117" s="2058"/>
      <c r="T117" s="2058"/>
      <c r="U117" s="2058"/>
      <c r="V117" s="2058"/>
      <c r="W117" s="2058"/>
      <c r="X117" s="2058"/>
      <c r="Y117" s="2058"/>
      <c r="Z117" s="2058"/>
    </row>
    <row r="118" spans="1:26" ht="12" x14ac:dyDescent="0.2">
      <c r="A118" s="9" t="str">
        <f>MID(Summary!$B$1,FIND(" ",Summary!$B$1,1)+1,4)</f>
        <v>2023</v>
      </c>
      <c r="B118" s="9" t="s">
        <v>43</v>
      </c>
      <c r="C118" s="9" t="s">
        <v>1962</v>
      </c>
      <c r="D118" s="9" t="s">
        <v>206</v>
      </c>
      <c r="E118" s="9" t="s">
        <v>14</v>
      </c>
      <c r="F118" s="9" t="s">
        <v>1957</v>
      </c>
      <c r="G118" s="2063">
        <f>Summary!E67</f>
        <v>2.1378222902399997E-3</v>
      </c>
      <c r="J118" s="2058"/>
      <c r="K118" s="2058"/>
      <c r="L118" s="2058"/>
      <c r="M118" s="2058"/>
      <c r="N118" s="2058"/>
      <c r="O118" s="2058"/>
      <c r="P118" s="2058"/>
      <c r="Q118" s="2058"/>
      <c r="R118" s="2058"/>
      <c r="S118" s="2058"/>
      <c r="T118" s="2058"/>
      <c r="U118" s="2058"/>
      <c r="V118" s="2058"/>
      <c r="W118" s="2058"/>
      <c r="X118" s="2058"/>
      <c r="Y118" s="2058"/>
      <c r="Z118" s="2058"/>
    </row>
    <row r="119" spans="1:26" ht="12" x14ac:dyDescent="0.2">
      <c r="A119" s="9" t="str">
        <f>MID(Summary!$B$1,FIND(" ",Summary!$B$1,1)+1,4)</f>
        <v>2023</v>
      </c>
      <c r="B119" s="9" t="s">
        <v>43</v>
      </c>
      <c r="C119" s="9" t="s">
        <v>1962</v>
      </c>
      <c r="D119" s="9" t="s">
        <v>212</v>
      </c>
      <c r="E119" s="9" t="s">
        <v>10</v>
      </c>
      <c r="F119" s="9" t="s">
        <v>1957</v>
      </c>
      <c r="G119" s="2063">
        <f>Summary!E69</f>
        <v>8.9851745858525511E-2</v>
      </c>
      <c r="J119" s="2058"/>
      <c r="K119" s="2058"/>
      <c r="L119" s="2058"/>
      <c r="M119" s="2058"/>
      <c r="N119" s="2058"/>
      <c r="O119" s="2058"/>
      <c r="P119" s="2058"/>
      <c r="Q119" s="2058"/>
      <c r="R119" s="2058"/>
      <c r="S119" s="2058"/>
      <c r="T119" s="2058"/>
      <c r="U119" s="2058"/>
      <c r="V119" s="2058"/>
      <c r="W119" s="2058"/>
      <c r="X119" s="2058"/>
      <c r="Y119" s="2058"/>
      <c r="Z119" s="2058"/>
    </row>
    <row r="120" spans="1:26" ht="12" x14ac:dyDescent="0.2">
      <c r="A120" s="9" t="str">
        <f>MID(Summary!$B$1,FIND(" ",Summary!$B$1,1)+1,4)</f>
        <v>2023</v>
      </c>
      <c r="B120" s="9" t="s">
        <v>43</v>
      </c>
      <c r="C120" s="9" t="s">
        <v>1962</v>
      </c>
      <c r="D120" s="9" t="s">
        <v>212</v>
      </c>
      <c r="E120" s="9" t="s">
        <v>13</v>
      </c>
      <c r="F120" s="9" t="s">
        <v>1957</v>
      </c>
      <c r="G120" s="2063">
        <f>Summary!E70</f>
        <v>3.0452274858112794E-3</v>
      </c>
      <c r="J120" s="2058"/>
      <c r="K120" s="2058"/>
      <c r="L120" s="2058"/>
      <c r="M120" s="2058"/>
      <c r="N120" s="2058"/>
      <c r="O120" s="2058"/>
      <c r="P120" s="2058"/>
      <c r="Q120" s="2058"/>
      <c r="R120" s="2058"/>
      <c r="S120" s="2058"/>
      <c r="T120" s="2058"/>
      <c r="U120" s="2058"/>
      <c r="V120" s="2058"/>
      <c r="W120" s="2058"/>
      <c r="X120" s="2058"/>
      <c r="Y120" s="2058"/>
      <c r="Z120" s="2058"/>
    </row>
    <row r="121" spans="1:26" ht="12" x14ac:dyDescent="0.2">
      <c r="A121" s="9" t="str">
        <f>MID(Summary!$B$1,FIND(" ",Summary!$B$1,1)+1,4)</f>
        <v>2023</v>
      </c>
      <c r="B121" s="9" t="s">
        <v>43</v>
      </c>
      <c r="C121" s="9" t="s">
        <v>1962</v>
      </c>
      <c r="D121" s="9" t="s">
        <v>212</v>
      </c>
      <c r="E121" s="9" t="s">
        <v>14</v>
      </c>
      <c r="F121" s="9" t="s">
        <v>1957</v>
      </c>
      <c r="G121" s="2063">
        <f>Summary!E71</f>
        <v>5.265396589635E-4</v>
      </c>
      <c r="J121" s="2058"/>
      <c r="K121" s="2058"/>
      <c r="L121" s="2058"/>
      <c r="M121" s="2058"/>
      <c r="N121" s="2058"/>
      <c r="O121" s="2058"/>
      <c r="P121" s="2058"/>
      <c r="Q121" s="2058"/>
      <c r="R121" s="2058"/>
      <c r="S121" s="2058"/>
      <c r="T121" s="2058"/>
      <c r="U121" s="2058"/>
      <c r="V121" s="2058"/>
      <c r="W121" s="2058"/>
      <c r="X121" s="2058"/>
      <c r="Y121" s="2058"/>
      <c r="Z121" s="2058"/>
    </row>
    <row r="122" spans="1:26" ht="12" x14ac:dyDescent="0.2">
      <c r="A122" s="9" t="str">
        <f>MID(Summary!$B$1,FIND(" ",Summary!$B$1,1)+1,4)</f>
        <v>2023</v>
      </c>
      <c r="B122" s="9" t="s">
        <v>43</v>
      </c>
      <c r="C122" s="9" t="s">
        <v>1962</v>
      </c>
      <c r="D122" s="9" t="s">
        <v>222</v>
      </c>
      <c r="E122" s="9" t="s">
        <v>10</v>
      </c>
      <c r="F122" s="9" t="s">
        <v>1957</v>
      </c>
      <c r="G122" s="2063">
        <f>Summary!E73</f>
        <v>0.32548565543867947</v>
      </c>
      <c r="J122" s="2058"/>
      <c r="K122" s="2058"/>
      <c r="L122" s="2058"/>
      <c r="M122" s="2058"/>
      <c r="N122" s="2058"/>
      <c r="O122" s="2058"/>
      <c r="P122" s="2058"/>
      <c r="Q122" s="2058"/>
      <c r="R122" s="2058"/>
      <c r="S122" s="2058"/>
      <c r="T122" s="2058"/>
      <c r="U122" s="2058"/>
      <c r="V122" s="2058"/>
      <c r="W122" s="2058"/>
      <c r="X122" s="2058"/>
      <c r="Y122" s="2058"/>
      <c r="Z122" s="2058"/>
    </row>
    <row r="123" spans="1:26" ht="12" x14ac:dyDescent="0.2">
      <c r="A123" s="9" t="str">
        <f>MID(Summary!$B$1,FIND(" ",Summary!$B$1,1)+1,4)</f>
        <v>2023</v>
      </c>
      <c r="B123" s="9" t="s">
        <v>43</v>
      </c>
      <c r="C123" s="9" t="s">
        <v>1962</v>
      </c>
      <c r="D123" s="9" t="s">
        <v>222</v>
      </c>
      <c r="E123" s="9" t="s">
        <v>13</v>
      </c>
      <c r="F123" s="9" t="s">
        <v>1957</v>
      </c>
      <c r="G123" s="2063">
        <f>Summary!E74</f>
        <v>1.2411593555152553E-2</v>
      </c>
      <c r="J123" s="2058"/>
      <c r="K123" s="2058"/>
      <c r="L123" s="2058"/>
      <c r="M123" s="2058"/>
      <c r="N123" s="2058"/>
      <c r="O123" s="2058"/>
      <c r="P123" s="2058"/>
      <c r="Q123" s="2058"/>
      <c r="R123" s="2058"/>
      <c r="S123" s="2058"/>
      <c r="T123" s="2058"/>
      <c r="U123" s="2058"/>
      <c r="V123" s="2058"/>
      <c r="W123" s="2058"/>
      <c r="X123" s="2058"/>
      <c r="Y123" s="2058"/>
      <c r="Z123" s="2058"/>
    </row>
    <row r="124" spans="1:26" ht="12" x14ac:dyDescent="0.2">
      <c r="A124" s="9" t="str">
        <f>MID(Summary!$B$1,FIND(" ",Summary!$B$1,1)+1,4)</f>
        <v>2023</v>
      </c>
      <c r="B124" s="9" t="s">
        <v>43</v>
      </c>
      <c r="C124" s="9" t="s">
        <v>1962</v>
      </c>
      <c r="D124" s="9" t="s">
        <v>222</v>
      </c>
      <c r="E124" s="9" t="s">
        <v>14</v>
      </c>
      <c r="F124" s="9" t="s">
        <v>1957</v>
      </c>
      <c r="G124" s="2063">
        <f>Summary!E75</f>
        <v>5.3719994672221422E-4</v>
      </c>
      <c r="J124" s="2058"/>
      <c r="K124" s="2058"/>
      <c r="L124" s="2058"/>
      <c r="M124" s="2058"/>
      <c r="N124" s="2058"/>
      <c r="O124" s="2058"/>
      <c r="P124" s="2058"/>
      <c r="Q124" s="2058"/>
      <c r="R124" s="2058"/>
      <c r="S124" s="2058"/>
      <c r="T124" s="2058"/>
      <c r="U124" s="2058"/>
      <c r="V124" s="2058"/>
      <c r="W124" s="2058"/>
      <c r="X124" s="2058"/>
      <c r="Y124" s="2058"/>
      <c r="Z124" s="2058"/>
    </row>
    <row r="125" spans="1:26" ht="12" x14ac:dyDescent="0.2">
      <c r="A125" s="9" t="str">
        <f>MID(Summary!$B$1,FIND(" ",Summary!$B$1,1)+1,4)</f>
        <v>2023</v>
      </c>
      <c r="B125" s="9" t="s">
        <v>43</v>
      </c>
      <c r="C125" s="9" t="s">
        <v>1962</v>
      </c>
      <c r="D125" s="9" t="s">
        <v>230</v>
      </c>
      <c r="E125" s="9" t="s">
        <v>10</v>
      </c>
      <c r="F125" s="9" t="s">
        <v>1957</v>
      </c>
      <c r="G125" s="2063">
        <f>Summary!E77</f>
        <v>2.7617744013616741</v>
      </c>
      <c r="J125" s="2058"/>
      <c r="K125" s="2058"/>
      <c r="L125" s="2058"/>
      <c r="M125" s="2058"/>
      <c r="N125" s="2058"/>
      <c r="O125" s="2058"/>
      <c r="P125" s="2058"/>
      <c r="Q125" s="2058"/>
      <c r="R125" s="2058"/>
      <c r="S125" s="2058"/>
      <c r="T125" s="2058"/>
      <c r="U125" s="2058"/>
      <c r="V125" s="2058"/>
      <c r="W125" s="2058"/>
      <c r="X125" s="2058"/>
      <c r="Y125" s="2058"/>
      <c r="Z125" s="2058"/>
    </row>
    <row r="126" spans="1:26" ht="12" x14ac:dyDescent="0.2">
      <c r="A126" s="9" t="str">
        <f>MID(Summary!$B$1,FIND(" ",Summary!$B$1,1)+1,4)</f>
        <v>2023</v>
      </c>
      <c r="B126" s="9" t="s">
        <v>43</v>
      </c>
      <c r="C126" s="9" t="s">
        <v>1962</v>
      </c>
      <c r="D126" s="9" t="s">
        <v>230</v>
      </c>
      <c r="E126" s="9" t="s">
        <v>13</v>
      </c>
      <c r="F126" s="9" t="s">
        <v>1957</v>
      </c>
      <c r="G126" s="2063">
        <f>Summary!E78</f>
        <v>7.0420451203200016E-3</v>
      </c>
      <c r="J126" s="2058"/>
      <c r="K126" s="2058"/>
      <c r="L126" s="2058"/>
      <c r="M126" s="2058"/>
      <c r="N126" s="2058"/>
      <c r="O126" s="2058"/>
      <c r="P126" s="2058"/>
      <c r="Q126" s="2058"/>
      <c r="R126" s="2058"/>
      <c r="S126" s="2058"/>
      <c r="T126" s="2058"/>
      <c r="U126" s="2058"/>
      <c r="V126" s="2058"/>
      <c r="W126" s="2058"/>
      <c r="X126" s="2058"/>
      <c r="Y126" s="2058"/>
      <c r="Z126" s="2058"/>
    </row>
    <row r="127" spans="1:26" ht="12" x14ac:dyDescent="0.2">
      <c r="A127" s="9" t="str">
        <f>MID(Summary!$B$1,FIND(" ",Summary!$B$1,1)+1,4)</f>
        <v>2023</v>
      </c>
      <c r="B127" s="9" t="s">
        <v>43</v>
      </c>
      <c r="C127" s="9" t="s">
        <v>1962</v>
      </c>
      <c r="D127" s="9" t="s">
        <v>230</v>
      </c>
      <c r="E127" s="9" t="s">
        <v>14</v>
      </c>
      <c r="F127" s="9" t="s">
        <v>1957</v>
      </c>
      <c r="G127" s="2063">
        <f>Summary!E79</f>
        <v>2.3137756736639998E-2</v>
      </c>
      <c r="J127" s="2058"/>
      <c r="K127" s="2058"/>
      <c r="L127" s="2058"/>
      <c r="M127" s="2058"/>
      <c r="N127" s="2058"/>
      <c r="O127" s="2058"/>
      <c r="P127" s="2058"/>
      <c r="Q127" s="2058"/>
      <c r="R127" s="2058"/>
      <c r="S127" s="2058"/>
      <c r="T127" s="2058"/>
      <c r="U127" s="2058"/>
      <c r="V127" s="2058"/>
      <c r="W127" s="2058"/>
      <c r="X127" s="2058"/>
      <c r="Y127" s="2058"/>
      <c r="Z127" s="2058"/>
    </row>
    <row r="128" spans="1:26" ht="12" x14ac:dyDescent="0.2">
      <c r="A128" s="9" t="str">
        <f>MID(Summary!$B$1,FIND(" ",Summary!$B$1,1)+1,4)</f>
        <v>2023</v>
      </c>
      <c r="B128" s="9" t="s">
        <v>43</v>
      </c>
      <c r="C128" s="9" t="s">
        <v>1961</v>
      </c>
      <c r="D128" s="9" t="s">
        <v>181</v>
      </c>
      <c r="E128" s="9" t="s">
        <v>10</v>
      </c>
      <c r="F128" s="9" t="s">
        <v>1959</v>
      </c>
      <c r="G128" s="2063">
        <f>Summary!D49</f>
        <v>20.582046233656232</v>
      </c>
      <c r="H128" s="2058"/>
      <c r="I128" s="2058"/>
      <c r="J128" s="2058"/>
      <c r="K128" s="2058"/>
      <c r="L128" s="2058"/>
      <c r="M128" s="2058"/>
      <c r="N128" s="2058"/>
      <c r="O128" s="2058"/>
      <c r="P128" s="2058"/>
      <c r="Q128" s="2058"/>
      <c r="R128" s="2058"/>
      <c r="S128" s="2058"/>
      <c r="T128" s="2058"/>
      <c r="U128" s="2058"/>
      <c r="V128" s="2058"/>
      <c r="W128" s="2058"/>
      <c r="X128" s="2058"/>
      <c r="Y128" s="2058"/>
      <c r="Z128" s="2058"/>
    </row>
    <row r="129" spans="1:26" ht="12" x14ac:dyDescent="0.2">
      <c r="A129" s="9" t="str">
        <f>MID(Summary!$B$1,FIND(" ",Summary!$B$1,1)+1,4)</f>
        <v>2023</v>
      </c>
      <c r="B129" s="9" t="s">
        <v>43</v>
      </c>
      <c r="C129" s="9" t="s">
        <v>1961</v>
      </c>
      <c r="D129" s="9" t="s">
        <v>181</v>
      </c>
      <c r="E129" s="9" t="s">
        <v>13</v>
      </c>
      <c r="F129" s="9" t="s">
        <v>1959</v>
      </c>
      <c r="G129" s="2063">
        <f>Summary!D50</f>
        <v>6.6483983270971644E-2</v>
      </c>
      <c r="H129" s="2058"/>
      <c r="I129" s="2058"/>
      <c r="J129" s="2058"/>
      <c r="K129" s="2058"/>
      <c r="L129" s="2058"/>
      <c r="M129" s="2058"/>
      <c r="N129" s="2058"/>
      <c r="O129" s="2058"/>
      <c r="P129" s="2058"/>
      <c r="Q129" s="2058"/>
      <c r="R129" s="2058"/>
      <c r="S129" s="2058"/>
      <c r="T129" s="2058"/>
      <c r="U129" s="2058"/>
      <c r="V129" s="2058"/>
      <c r="W129" s="2058"/>
      <c r="X129" s="2058"/>
      <c r="Y129" s="2058"/>
      <c r="Z129" s="2058"/>
    </row>
    <row r="130" spans="1:26" ht="12" x14ac:dyDescent="0.2">
      <c r="A130" s="9" t="str">
        <f>MID(Summary!$B$1,FIND(" ",Summary!$B$1,1)+1,4)</f>
        <v>2023</v>
      </c>
      <c r="B130" s="9" t="s">
        <v>43</v>
      </c>
      <c r="C130" s="9" t="s">
        <v>1961</v>
      </c>
      <c r="D130" s="9" t="s">
        <v>181</v>
      </c>
      <c r="E130" s="9" t="s">
        <v>14</v>
      </c>
      <c r="F130" s="9" t="s">
        <v>1959</v>
      </c>
      <c r="G130" s="2063">
        <f>Summary!D51</f>
        <v>9.4599852120355876E-2</v>
      </c>
      <c r="H130" s="2058"/>
      <c r="I130" s="2058"/>
      <c r="J130" s="2058"/>
      <c r="K130" s="2058"/>
      <c r="L130" s="2058"/>
      <c r="M130" s="2058"/>
      <c r="N130" s="2058"/>
      <c r="O130" s="2058"/>
      <c r="P130" s="2058"/>
      <c r="Q130" s="2058"/>
      <c r="R130" s="2058"/>
      <c r="S130" s="2058"/>
      <c r="T130" s="2058"/>
      <c r="U130" s="2058"/>
      <c r="V130" s="2058"/>
      <c r="W130" s="2058"/>
      <c r="X130" s="2058"/>
      <c r="Y130" s="2058"/>
      <c r="Z130" s="2058"/>
    </row>
    <row r="131" spans="1:26" ht="12" x14ac:dyDescent="0.2">
      <c r="A131" s="9" t="str">
        <f>MID(Summary!$B$1,FIND(" ",Summary!$B$1,1)+1,4)</f>
        <v>2023</v>
      </c>
      <c r="B131" s="9" t="s">
        <v>43</v>
      </c>
      <c r="C131" s="9" t="s">
        <v>1961</v>
      </c>
      <c r="D131" s="9" t="s">
        <v>194</v>
      </c>
      <c r="E131" s="9" t="s">
        <v>10</v>
      </c>
      <c r="F131" s="9" t="s">
        <v>1959</v>
      </c>
      <c r="G131" s="2063">
        <f>Summary!D57</f>
        <v>4.8337259219430573</v>
      </c>
      <c r="H131" s="2058"/>
      <c r="I131" s="2058"/>
      <c r="J131" s="2058"/>
      <c r="K131" s="2058"/>
      <c r="L131" s="2058"/>
      <c r="M131" s="2058"/>
      <c r="N131" s="2058"/>
      <c r="O131" s="2058"/>
      <c r="P131" s="2058"/>
      <c r="Q131" s="2058"/>
      <c r="R131" s="2058"/>
      <c r="S131" s="2058"/>
      <c r="T131" s="2058"/>
      <c r="U131" s="2058"/>
      <c r="V131" s="2058"/>
      <c r="W131" s="2058"/>
      <c r="X131" s="2058"/>
      <c r="Y131" s="2058"/>
      <c r="Z131" s="2058"/>
    </row>
    <row r="132" spans="1:26" ht="12" x14ac:dyDescent="0.2">
      <c r="A132" s="9" t="str">
        <f>MID(Summary!$B$1,FIND(" ",Summary!$B$1,1)+1,4)</f>
        <v>2023</v>
      </c>
      <c r="B132" s="9" t="s">
        <v>43</v>
      </c>
      <c r="C132" s="9" t="s">
        <v>1961</v>
      </c>
      <c r="D132" s="9" t="s">
        <v>194</v>
      </c>
      <c r="E132" s="9" t="s">
        <v>13</v>
      </c>
      <c r="F132" s="9" t="s">
        <v>1959</v>
      </c>
      <c r="G132" s="2063">
        <f>Summary!D58</f>
        <v>8.5922134317929222E-3</v>
      </c>
      <c r="H132" s="2058"/>
      <c r="I132" s="2058"/>
      <c r="J132" s="2058"/>
      <c r="K132" s="2058"/>
      <c r="L132" s="2058"/>
      <c r="M132" s="2058"/>
      <c r="N132" s="2058"/>
      <c r="O132" s="2058"/>
      <c r="P132" s="2058"/>
      <c r="Q132" s="2058"/>
      <c r="R132" s="2058"/>
      <c r="S132" s="2058"/>
      <c r="T132" s="2058"/>
      <c r="U132" s="2058"/>
      <c r="V132" s="2058"/>
      <c r="W132" s="2058"/>
      <c r="X132" s="2058"/>
      <c r="Y132" s="2058"/>
      <c r="Z132" s="2058"/>
    </row>
    <row r="133" spans="1:26" ht="12" x14ac:dyDescent="0.2">
      <c r="A133" s="9" t="str">
        <f>MID(Summary!$B$1,FIND(" ",Summary!$B$1,1)+1,4)</f>
        <v>2023</v>
      </c>
      <c r="B133" s="9" t="s">
        <v>43</v>
      </c>
      <c r="C133" s="9" t="s">
        <v>1961</v>
      </c>
      <c r="D133" s="9" t="s">
        <v>194</v>
      </c>
      <c r="E133" s="9" t="s">
        <v>14</v>
      </c>
      <c r="F133" s="9" t="s">
        <v>1959</v>
      </c>
      <c r="G133" s="2063">
        <f>Summary!D59</f>
        <v>0.15278597424944754</v>
      </c>
      <c r="H133" s="2058"/>
      <c r="I133" s="2058"/>
      <c r="J133" s="2058"/>
      <c r="K133" s="2058"/>
      <c r="L133" s="2058"/>
      <c r="M133" s="2058"/>
      <c r="N133" s="2058"/>
      <c r="O133" s="2058"/>
      <c r="P133" s="2058"/>
      <c r="Q133" s="2058"/>
      <c r="R133" s="2058"/>
      <c r="S133" s="2058"/>
      <c r="T133" s="2058"/>
      <c r="U133" s="2058"/>
      <c r="V133" s="2058"/>
      <c r="W133" s="2058"/>
      <c r="X133" s="2058"/>
      <c r="Y133" s="2058"/>
      <c r="Z133" s="2058"/>
    </row>
    <row r="134" spans="1:26" ht="12" x14ac:dyDescent="0.2">
      <c r="A134" s="9" t="str">
        <f>MID(Summary!$B$1,FIND(" ",Summary!$B$1,1)+1,4)</f>
        <v>2023</v>
      </c>
      <c r="B134" s="9" t="s">
        <v>43</v>
      </c>
      <c r="C134" s="9" t="s">
        <v>1962</v>
      </c>
      <c r="D134" s="9" t="s">
        <v>187</v>
      </c>
      <c r="E134" s="9" t="s">
        <v>10</v>
      </c>
      <c r="F134" s="9" t="s">
        <v>1959</v>
      </c>
      <c r="G134" s="2063">
        <f>Summary!D53</f>
        <v>0.99784781517169341</v>
      </c>
      <c r="H134" s="2058"/>
      <c r="I134" s="2058"/>
      <c r="J134" s="2058"/>
      <c r="K134" s="2058"/>
      <c r="L134" s="2058"/>
      <c r="M134" s="2058"/>
      <c r="N134" s="2058"/>
      <c r="O134" s="2058"/>
      <c r="P134" s="2058"/>
      <c r="Q134" s="2058"/>
      <c r="R134" s="2058"/>
      <c r="S134" s="2058"/>
      <c r="T134" s="2058"/>
      <c r="U134" s="2058"/>
      <c r="V134" s="2058"/>
      <c r="W134" s="2058"/>
      <c r="X134" s="2058"/>
      <c r="Y134" s="2058"/>
      <c r="Z134" s="2058"/>
    </row>
    <row r="135" spans="1:26" ht="12" x14ac:dyDescent="0.2">
      <c r="A135" s="9" t="str">
        <f>MID(Summary!$B$1,FIND(" ",Summary!$B$1,1)+1,4)</f>
        <v>2023</v>
      </c>
      <c r="B135" s="9" t="s">
        <v>43</v>
      </c>
      <c r="C135" s="9" t="s">
        <v>1962</v>
      </c>
      <c r="D135" s="9" t="s">
        <v>187</v>
      </c>
      <c r="E135" s="9" t="s">
        <v>13</v>
      </c>
      <c r="F135" s="9" t="s">
        <v>1959</v>
      </c>
      <c r="G135" s="2063">
        <f>Summary!D54</f>
        <v>6.6545321944572161E-2</v>
      </c>
      <c r="H135" s="2058"/>
      <c r="I135" s="2058"/>
      <c r="J135" s="2058"/>
      <c r="K135" s="2058"/>
      <c r="L135" s="2058"/>
      <c r="M135" s="2058"/>
      <c r="N135" s="2058"/>
      <c r="O135" s="2058"/>
      <c r="P135" s="2058"/>
      <c r="Q135" s="2058"/>
      <c r="R135" s="2058"/>
      <c r="S135" s="2058"/>
      <c r="T135" s="2058"/>
      <c r="U135" s="2058"/>
      <c r="V135" s="2058"/>
      <c r="W135" s="2058"/>
      <c r="X135" s="2058"/>
      <c r="Y135" s="2058"/>
      <c r="Z135" s="2058"/>
    </row>
    <row r="136" spans="1:26" ht="12" x14ac:dyDescent="0.2">
      <c r="A136" s="9" t="str">
        <f>MID(Summary!$B$1,FIND(" ",Summary!$B$1,1)+1,4)</f>
        <v>2023</v>
      </c>
      <c r="B136" s="9" t="s">
        <v>43</v>
      </c>
      <c r="C136" s="9" t="s">
        <v>1962</v>
      </c>
      <c r="D136" s="9" t="s">
        <v>187</v>
      </c>
      <c r="E136" s="9" t="s">
        <v>14</v>
      </c>
      <c r="F136" s="9" t="s">
        <v>1959</v>
      </c>
      <c r="G136" s="2063">
        <f>Summary!D55</f>
        <v>0</v>
      </c>
      <c r="H136" s="2058"/>
      <c r="I136" s="2058"/>
      <c r="J136" s="2058"/>
      <c r="K136" s="2058"/>
      <c r="L136" s="2058"/>
      <c r="M136" s="2058"/>
      <c r="N136" s="2058"/>
      <c r="O136" s="2058"/>
      <c r="P136" s="2058"/>
      <c r="Q136" s="2058"/>
      <c r="R136" s="2058"/>
      <c r="S136" s="2058"/>
      <c r="T136" s="2058"/>
      <c r="U136" s="2058"/>
      <c r="V136" s="2058"/>
      <c r="W136" s="2058"/>
      <c r="X136" s="2058"/>
      <c r="Y136" s="2058"/>
      <c r="Z136" s="2058"/>
    </row>
    <row r="137" spans="1:26" ht="12" x14ac:dyDescent="0.2">
      <c r="A137" s="9" t="str">
        <f>MID(Summary!$B$1,FIND(" ",Summary!$B$1,1)+1,4)</f>
        <v>2023</v>
      </c>
      <c r="B137" s="9" t="s">
        <v>43</v>
      </c>
      <c r="C137" s="9" t="s">
        <v>1962</v>
      </c>
      <c r="D137" s="9" t="s">
        <v>200</v>
      </c>
      <c r="E137" s="9" t="s">
        <v>10</v>
      </c>
      <c r="F137" s="9" t="s">
        <v>1959</v>
      </c>
      <c r="G137" s="2063">
        <f>Summary!D61</f>
        <v>1.1273049745609898</v>
      </c>
      <c r="H137" s="2058"/>
      <c r="I137" s="2058"/>
      <c r="J137" s="2058"/>
      <c r="K137" s="2058"/>
      <c r="L137" s="2058"/>
      <c r="M137" s="2058"/>
      <c r="N137" s="2058"/>
      <c r="O137" s="2058"/>
      <c r="P137" s="2058"/>
      <c r="Q137" s="2058"/>
      <c r="R137" s="2058"/>
      <c r="S137" s="2058"/>
      <c r="T137" s="2058"/>
      <c r="U137" s="2058"/>
      <c r="V137" s="2058"/>
      <c r="W137" s="2058"/>
      <c r="X137" s="2058"/>
      <c r="Y137" s="2058"/>
      <c r="Z137" s="2058"/>
    </row>
    <row r="138" spans="1:26" ht="12" x14ac:dyDescent="0.2">
      <c r="A138" s="9" t="str">
        <f>MID(Summary!$B$1,FIND(" ",Summary!$B$1,1)+1,4)</f>
        <v>2023</v>
      </c>
      <c r="B138" s="9" t="s">
        <v>43</v>
      </c>
      <c r="C138" s="9" t="s">
        <v>1962</v>
      </c>
      <c r="D138" s="9" t="s">
        <v>200</v>
      </c>
      <c r="E138" s="9" t="s">
        <v>13</v>
      </c>
      <c r="F138" s="9" t="s">
        <v>1959</v>
      </c>
      <c r="G138" s="2063">
        <f>Summary!D62</f>
        <v>1.3692524450761524E-3</v>
      </c>
      <c r="H138" s="2058"/>
      <c r="I138" s="2058"/>
      <c r="J138" s="2058"/>
      <c r="K138" s="2058"/>
      <c r="L138" s="2058"/>
      <c r="M138" s="2058"/>
      <c r="N138" s="2058"/>
      <c r="O138" s="2058"/>
      <c r="P138" s="2058"/>
      <c r="Q138" s="2058"/>
      <c r="R138" s="2058"/>
      <c r="S138" s="2058"/>
      <c r="T138" s="2058"/>
      <c r="U138" s="2058"/>
      <c r="V138" s="2058"/>
      <c r="W138" s="2058"/>
      <c r="X138" s="2058"/>
      <c r="Y138" s="2058"/>
      <c r="Z138" s="2058"/>
    </row>
    <row r="139" spans="1:26" ht="12" x14ac:dyDescent="0.2">
      <c r="A139" s="9" t="str">
        <f>MID(Summary!$B$1,FIND(" ",Summary!$B$1,1)+1,4)</f>
        <v>2023</v>
      </c>
      <c r="B139" s="9" t="s">
        <v>43</v>
      </c>
      <c r="C139" s="9" t="s">
        <v>1962</v>
      </c>
      <c r="D139" s="9" t="s">
        <v>200</v>
      </c>
      <c r="E139" s="9" t="s">
        <v>14</v>
      </c>
      <c r="F139" s="9" t="s">
        <v>1959</v>
      </c>
      <c r="G139" s="2063">
        <f>Summary!D63</f>
        <v>0</v>
      </c>
      <c r="H139" s="2058"/>
      <c r="I139" s="2058"/>
      <c r="J139" s="2058"/>
      <c r="K139" s="2058"/>
      <c r="L139" s="2058"/>
      <c r="M139" s="2058"/>
      <c r="N139" s="2058"/>
      <c r="O139" s="2058"/>
      <c r="P139" s="2058"/>
      <c r="Q139" s="2058"/>
      <c r="R139" s="2058"/>
      <c r="S139" s="2058"/>
      <c r="T139" s="2058"/>
      <c r="U139" s="2058"/>
      <c r="V139" s="2058"/>
      <c r="W139" s="2058"/>
      <c r="X139" s="2058"/>
      <c r="Y139" s="2058"/>
      <c r="Z139" s="2058"/>
    </row>
    <row r="140" spans="1:26" ht="12" x14ac:dyDescent="0.2">
      <c r="A140" s="9" t="str">
        <f>MID(Summary!$B$1,FIND(" ",Summary!$B$1,1)+1,4)</f>
        <v>2023</v>
      </c>
      <c r="B140" s="9" t="s">
        <v>43</v>
      </c>
      <c r="C140" s="9" t="s">
        <v>1962</v>
      </c>
      <c r="D140" s="9" t="s">
        <v>206</v>
      </c>
      <c r="E140" s="9" t="s">
        <v>10</v>
      </c>
      <c r="F140" s="9" t="s">
        <v>1959</v>
      </c>
      <c r="G140" s="2063">
        <f>Summary!D65</f>
        <v>0.3148291497443686</v>
      </c>
      <c r="H140" s="2058"/>
      <c r="I140" s="2058"/>
      <c r="J140" s="2058"/>
      <c r="K140" s="2058"/>
      <c r="L140" s="2058"/>
      <c r="M140" s="2058"/>
      <c r="N140" s="2058"/>
      <c r="O140" s="2058"/>
      <c r="P140" s="2058"/>
      <c r="Q140" s="2058"/>
      <c r="R140" s="2058"/>
      <c r="S140" s="2058"/>
      <c r="T140" s="2058"/>
      <c r="U140" s="2058"/>
      <c r="V140" s="2058"/>
      <c r="W140" s="2058"/>
      <c r="X140" s="2058"/>
      <c r="Y140" s="2058"/>
      <c r="Z140" s="2058"/>
    </row>
    <row r="141" spans="1:26" ht="12" x14ac:dyDescent="0.2">
      <c r="A141" s="9" t="str">
        <f>MID(Summary!$B$1,FIND(" ",Summary!$B$1,1)+1,4)</f>
        <v>2023</v>
      </c>
      <c r="B141" s="9" t="s">
        <v>43</v>
      </c>
      <c r="C141" s="9" t="s">
        <v>1962</v>
      </c>
      <c r="D141" s="9" t="s">
        <v>206</v>
      </c>
      <c r="E141" s="9" t="s">
        <v>13</v>
      </c>
      <c r="F141" s="9" t="s">
        <v>1959</v>
      </c>
      <c r="G141" s="2063">
        <f>Summary!D66</f>
        <v>5.7831816113605751E-3</v>
      </c>
      <c r="H141" s="2058"/>
      <c r="I141" s="2058"/>
      <c r="J141" s="2058"/>
      <c r="K141" s="2058"/>
      <c r="L141" s="2058"/>
      <c r="M141" s="2058"/>
      <c r="N141" s="2058"/>
      <c r="O141" s="2058"/>
      <c r="P141" s="2058"/>
      <c r="Q141" s="2058"/>
      <c r="R141" s="2058"/>
      <c r="S141" s="2058"/>
      <c r="T141" s="2058"/>
      <c r="U141" s="2058"/>
      <c r="V141" s="2058"/>
      <c r="W141" s="2058"/>
      <c r="X141" s="2058"/>
      <c r="Y141" s="2058"/>
      <c r="Z141" s="2058"/>
    </row>
    <row r="142" spans="1:26" ht="12" x14ac:dyDescent="0.2">
      <c r="A142" s="9" t="str">
        <f>MID(Summary!$B$1,FIND(" ",Summary!$B$1,1)+1,4)</f>
        <v>2023</v>
      </c>
      <c r="B142" s="9" t="s">
        <v>43</v>
      </c>
      <c r="C142" s="9" t="s">
        <v>1962</v>
      </c>
      <c r="D142" s="9" t="s">
        <v>206</v>
      </c>
      <c r="E142" s="9" t="s">
        <v>14</v>
      </c>
      <c r="F142" s="9" t="s">
        <v>1959</v>
      </c>
      <c r="G142" s="2063">
        <f>Summary!D67</f>
        <v>2.1378222902399997E-3</v>
      </c>
      <c r="H142" s="2058"/>
      <c r="I142" s="2058"/>
      <c r="J142" s="2058"/>
      <c r="K142" s="2058"/>
      <c r="L142" s="2058"/>
      <c r="M142" s="2058"/>
      <c r="N142" s="2058"/>
      <c r="O142" s="2058"/>
      <c r="P142" s="2058"/>
      <c r="Q142" s="2058"/>
      <c r="R142" s="2058"/>
      <c r="S142" s="2058"/>
      <c r="T142" s="2058"/>
      <c r="U142" s="2058"/>
      <c r="V142" s="2058"/>
      <c r="W142" s="2058"/>
      <c r="X142" s="2058"/>
      <c r="Y142" s="2058"/>
      <c r="Z142" s="2058"/>
    </row>
    <row r="143" spans="1:26" ht="12" x14ac:dyDescent="0.2">
      <c r="A143" s="9" t="str">
        <f>MID(Summary!$B$1,FIND(" ",Summary!$B$1,1)+1,4)</f>
        <v>2023</v>
      </c>
      <c r="B143" s="9" t="s">
        <v>43</v>
      </c>
      <c r="C143" s="9" t="s">
        <v>1962</v>
      </c>
      <c r="D143" s="9" t="s">
        <v>212</v>
      </c>
      <c r="E143" s="9" t="s">
        <v>10</v>
      </c>
      <c r="F143" s="9" t="s">
        <v>1959</v>
      </c>
      <c r="G143" s="2063">
        <f>Summary!D69</f>
        <v>8.9851745858525511E-2</v>
      </c>
      <c r="H143" s="2058"/>
      <c r="I143" s="2058"/>
      <c r="J143" s="2058"/>
      <c r="K143" s="2058"/>
      <c r="L143" s="2058"/>
      <c r="M143" s="2058"/>
      <c r="N143" s="2058"/>
      <c r="O143" s="2058"/>
      <c r="P143" s="2058"/>
      <c r="Q143" s="2058"/>
      <c r="R143" s="2058"/>
      <c r="S143" s="2058"/>
      <c r="T143" s="2058"/>
      <c r="U143" s="2058"/>
      <c r="V143" s="2058"/>
      <c r="W143" s="2058"/>
      <c r="X143" s="2058"/>
      <c r="Y143" s="2058"/>
      <c r="Z143" s="2058"/>
    </row>
    <row r="144" spans="1:26" ht="12" x14ac:dyDescent="0.2">
      <c r="A144" s="9" t="str">
        <f>MID(Summary!$B$1,FIND(" ",Summary!$B$1,1)+1,4)</f>
        <v>2023</v>
      </c>
      <c r="B144" s="9" t="s">
        <v>43</v>
      </c>
      <c r="C144" s="9" t="s">
        <v>1962</v>
      </c>
      <c r="D144" s="9" t="s">
        <v>212</v>
      </c>
      <c r="E144" s="9" t="s">
        <v>13</v>
      </c>
      <c r="F144" s="9" t="s">
        <v>1959</v>
      </c>
      <c r="G144" s="2063">
        <f>Summary!D70</f>
        <v>8.862812611034979E-3</v>
      </c>
      <c r="H144" s="2058"/>
      <c r="I144" s="2058"/>
      <c r="J144" s="2058"/>
      <c r="K144" s="2058"/>
      <c r="L144" s="2058"/>
      <c r="M144" s="2058"/>
      <c r="N144" s="2058"/>
      <c r="O144" s="2058"/>
      <c r="P144" s="2058"/>
      <c r="Q144" s="2058"/>
      <c r="R144" s="2058"/>
      <c r="S144" s="2058"/>
      <c r="T144" s="2058"/>
      <c r="U144" s="2058"/>
      <c r="V144" s="2058"/>
      <c r="W144" s="2058"/>
      <c r="X144" s="2058"/>
      <c r="Y144" s="2058"/>
      <c r="Z144" s="2058"/>
    </row>
    <row r="145" spans="1:26" ht="12" x14ac:dyDescent="0.2">
      <c r="A145" s="9" t="str">
        <f>MID(Summary!$B$1,FIND(" ",Summary!$B$1,1)+1,4)</f>
        <v>2023</v>
      </c>
      <c r="B145" s="9" t="s">
        <v>43</v>
      </c>
      <c r="C145" s="9" t="s">
        <v>1962</v>
      </c>
      <c r="D145" s="9" t="s">
        <v>212</v>
      </c>
      <c r="E145" s="9" t="s">
        <v>14</v>
      </c>
      <c r="F145" s="9" t="s">
        <v>1959</v>
      </c>
      <c r="G145" s="2063">
        <f>Summary!D71</f>
        <v>5.265396589635E-4</v>
      </c>
      <c r="H145" s="2058"/>
      <c r="I145" s="2058"/>
      <c r="J145" s="2058"/>
      <c r="K145" s="2058"/>
      <c r="L145" s="2058"/>
      <c r="M145" s="2058"/>
      <c r="N145" s="2058"/>
      <c r="O145" s="2058"/>
      <c r="P145" s="2058"/>
      <c r="Q145" s="2058"/>
      <c r="R145" s="2058"/>
      <c r="S145" s="2058"/>
      <c r="T145" s="2058"/>
      <c r="U145" s="2058"/>
      <c r="V145" s="2058"/>
      <c r="W145" s="2058"/>
      <c r="X145" s="2058"/>
      <c r="Y145" s="2058"/>
      <c r="Z145" s="2058"/>
    </row>
    <row r="146" spans="1:26" ht="12" x14ac:dyDescent="0.2">
      <c r="A146" s="9" t="str">
        <f>MID(Summary!$B$1,FIND(" ",Summary!$B$1,1)+1,4)</f>
        <v>2023</v>
      </c>
      <c r="B146" s="9" t="s">
        <v>43</v>
      </c>
      <c r="C146" s="9" t="s">
        <v>1962</v>
      </c>
      <c r="D146" s="9" t="s">
        <v>222</v>
      </c>
      <c r="E146" s="9" t="s">
        <v>10</v>
      </c>
      <c r="F146" s="9" t="s">
        <v>1959</v>
      </c>
      <c r="G146" s="2063">
        <f>Summary!D73</f>
        <v>0.32548565543867947</v>
      </c>
      <c r="H146" s="2058"/>
      <c r="I146" s="2058"/>
      <c r="J146" s="2058"/>
      <c r="K146" s="2058"/>
      <c r="L146" s="2058"/>
      <c r="M146" s="2058"/>
      <c r="N146" s="2058"/>
      <c r="O146" s="2058"/>
      <c r="P146" s="2058"/>
      <c r="Q146" s="2058"/>
      <c r="R146" s="2058"/>
      <c r="S146" s="2058"/>
      <c r="T146" s="2058"/>
      <c r="U146" s="2058"/>
      <c r="V146" s="2058"/>
      <c r="W146" s="2058"/>
      <c r="X146" s="2058"/>
      <c r="Y146" s="2058"/>
      <c r="Z146" s="2058"/>
    </row>
    <row r="147" spans="1:26" ht="12" x14ac:dyDescent="0.2">
      <c r="A147" s="9" t="str">
        <f>MID(Summary!$B$1,FIND(" ",Summary!$B$1,1)+1,4)</f>
        <v>2023</v>
      </c>
      <c r="B147" s="9" t="s">
        <v>43</v>
      </c>
      <c r="C147" s="9" t="s">
        <v>1962</v>
      </c>
      <c r="D147" s="9" t="s">
        <v>222</v>
      </c>
      <c r="E147" s="9" t="s">
        <v>13</v>
      </c>
      <c r="F147" s="9" t="s">
        <v>1959</v>
      </c>
      <c r="G147" s="2063">
        <f>Summary!D74</f>
        <v>3.6122630705318542E-2</v>
      </c>
      <c r="H147" s="2058"/>
      <c r="I147" s="2058"/>
      <c r="J147" s="2058"/>
      <c r="K147" s="2058"/>
      <c r="L147" s="2058"/>
      <c r="M147" s="2058"/>
      <c r="N147" s="2058"/>
      <c r="O147" s="2058"/>
      <c r="P147" s="2058"/>
      <c r="Q147" s="2058"/>
      <c r="R147" s="2058"/>
      <c r="S147" s="2058"/>
      <c r="T147" s="2058"/>
      <c r="U147" s="2058"/>
      <c r="V147" s="2058"/>
      <c r="W147" s="2058"/>
      <c r="X147" s="2058"/>
      <c r="Y147" s="2058"/>
      <c r="Z147" s="2058"/>
    </row>
    <row r="148" spans="1:26" ht="12" x14ac:dyDescent="0.2">
      <c r="A148" s="9" t="str">
        <f>MID(Summary!$B$1,FIND(" ",Summary!$B$1,1)+1,4)</f>
        <v>2023</v>
      </c>
      <c r="B148" s="9" t="s">
        <v>43</v>
      </c>
      <c r="C148" s="9" t="s">
        <v>1962</v>
      </c>
      <c r="D148" s="9" t="s">
        <v>222</v>
      </c>
      <c r="E148" s="9" t="s">
        <v>14</v>
      </c>
      <c r="F148" s="9" t="s">
        <v>1959</v>
      </c>
      <c r="G148" s="2063">
        <f>Summary!D75</f>
        <v>5.3719994672221422E-4</v>
      </c>
      <c r="H148" s="2058"/>
      <c r="I148" s="2058"/>
      <c r="J148" s="2058"/>
      <c r="K148" s="2058"/>
      <c r="L148" s="2058"/>
      <c r="M148" s="2058"/>
      <c r="N148" s="2058"/>
      <c r="O148" s="2058"/>
      <c r="P148" s="2058"/>
      <c r="Q148" s="2058"/>
      <c r="R148" s="2058"/>
      <c r="S148" s="2058"/>
      <c r="T148" s="2058"/>
      <c r="U148" s="2058"/>
      <c r="V148" s="2058"/>
      <c r="W148" s="2058"/>
      <c r="X148" s="2058"/>
      <c r="Y148" s="2058"/>
      <c r="Z148" s="2058"/>
    </row>
    <row r="149" spans="1:26" ht="12" x14ac:dyDescent="0.2">
      <c r="A149" s="9" t="str">
        <f>MID(Summary!$B$1,FIND(" ",Summary!$B$1,1)+1,4)</f>
        <v>2023</v>
      </c>
      <c r="B149" s="9" t="s">
        <v>43</v>
      </c>
      <c r="C149" s="9" t="s">
        <v>1962</v>
      </c>
      <c r="D149" s="9" t="s">
        <v>230</v>
      </c>
      <c r="E149" s="9" t="s">
        <v>10</v>
      </c>
      <c r="F149" s="9" t="s">
        <v>1959</v>
      </c>
      <c r="G149" s="2063">
        <f>Summary!D77</f>
        <v>2.7617744013616741</v>
      </c>
      <c r="H149" s="2058"/>
      <c r="I149" s="2058"/>
      <c r="J149" s="2058"/>
      <c r="K149" s="2058"/>
      <c r="L149" s="2058"/>
      <c r="M149" s="2058"/>
      <c r="N149" s="2058"/>
      <c r="O149" s="2058"/>
      <c r="P149" s="2058"/>
      <c r="Q149" s="2058"/>
      <c r="R149" s="2058"/>
      <c r="S149" s="2058"/>
      <c r="T149" s="2058"/>
      <c r="U149" s="2058"/>
      <c r="V149" s="2058"/>
      <c r="W149" s="2058"/>
      <c r="X149" s="2058"/>
      <c r="Y149" s="2058"/>
      <c r="Z149" s="2058"/>
    </row>
    <row r="150" spans="1:26" ht="12" x14ac:dyDescent="0.2">
      <c r="A150" s="9" t="str">
        <f>MID(Summary!$B$1,FIND(" ",Summary!$B$1,1)+1,4)</f>
        <v>2023</v>
      </c>
      <c r="B150" s="9" t="s">
        <v>43</v>
      </c>
      <c r="C150" s="9" t="s">
        <v>1962</v>
      </c>
      <c r="D150" s="9" t="s">
        <v>230</v>
      </c>
      <c r="E150" s="9" t="s">
        <v>13</v>
      </c>
      <c r="F150" s="9" t="s">
        <v>1959</v>
      </c>
      <c r="G150" s="2063">
        <f>Summary!D78</f>
        <v>2.049512773369119E-2</v>
      </c>
      <c r="H150" s="2058"/>
      <c r="I150" s="2058"/>
      <c r="J150" s="2058"/>
      <c r="K150" s="2058"/>
      <c r="L150" s="2058"/>
      <c r="M150" s="2058"/>
      <c r="N150" s="2058"/>
      <c r="O150" s="2058"/>
      <c r="P150" s="2058"/>
      <c r="Q150" s="2058"/>
      <c r="R150" s="2058"/>
      <c r="S150" s="2058"/>
      <c r="T150" s="2058"/>
      <c r="U150" s="2058"/>
      <c r="V150" s="2058"/>
      <c r="W150" s="2058"/>
      <c r="X150" s="2058"/>
      <c r="Y150" s="2058"/>
      <c r="Z150" s="2058"/>
    </row>
    <row r="151" spans="1:26" ht="12" x14ac:dyDescent="0.2">
      <c r="A151" s="9" t="str">
        <f>MID(Summary!$B$1,FIND(" ",Summary!$B$1,1)+1,4)</f>
        <v>2023</v>
      </c>
      <c r="B151" s="9" t="s">
        <v>43</v>
      </c>
      <c r="C151" s="9" t="s">
        <v>1962</v>
      </c>
      <c r="D151" s="9" t="s">
        <v>230</v>
      </c>
      <c r="E151" s="9" t="s">
        <v>14</v>
      </c>
      <c r="F151" s="9" t="s">
        <v>1959</v>
      </c>
      <c r="G151" s="2063">
        <f>Summary!D79</f>
        <v>2.3137756736639998E-2</v>
      </c>
      <c r="H151" s="2058"/>
      <c r="I151" s="2058"/>
      <c r="J151" s="2058"/>
      <c r="K151" s="2058"/>
      <c r="L151" s="2058"/>
      <c r="M151" s="2058"/>
      <c r="N151" s="2058"/>
      <c r="O151" s="2058"/>
      <c r="P151" s="2058"/>
      <c r="Q151" s="2058"/>
      <c r="R151" s="2058"/>
      <c r="S151" s="2058"/>
      <c r="T151" s="2058"/>
      <c r="U151" s="2058"/>
      <c r="V151" s="2058"/>
      <c r="W151" s="2058"/>
      <c r="X151" s="2058"/>
      <c r="Y151" s="2058"/>
      <c r="Z151" s="2058"/>
    </row>
    <row r="152" spans="1:26" ht="12" x14ac:dyDescent="0.2">
      <c r="A152" s="9" t="str">
        <f>MID(Summary!$B$1,FIND(" ",Summary!$B$1,1)+1,4)</f>
        <v>2023</v>
      </c>
      <c r="B152" s="9" t="s">
        <v>242</v>
      </c>
      <c r="C152" s="9" t="s">
        <v>243</v>
      </c>
      <c r="D152" s="9"/>
      <c r="E152" s="9" t="s">
        <v>10</v>
      </c>
      <c r="F152" s="9" t="s">
        <v>1957</v>
      </c>
      <c r="G152" s="2063">
        <f>Summary!E82</f>
        <v>1.4884796825887354</v>
      </c>
      <c r="J152" s="2058"/>
      <c r="K152" s="2058"/>
      <c r="L152" s="2058"/>
      <c r="M152" s="2058"/>
      <c r="N152" s="2058"/>
      <c r="O152" s="2058"/>
      <c r="P152" s="2058"/>
      <c r="Q152" s="2058"/>
      <c r="R152" s="2058"/>
      <c r="S152" s="2058"/>
      <c r="T152" s="2058"/>
      <c r="U152" s="2058"/>
      <c r="V152" s="2058"/>
      <c r="W152" s="2058"/>
      <c r="X152" s="2058"/>
      <c r="Y152" s="2058"/>
      <c r="Z152" s="2058"/>
    </row>
    <row r="153" spans="1:26" ht="12" x14ac:dyDescent="0.2">
      <c r="A153" s="9" t="str">
        <f>MID(Summary!$B$1,FIND(" ",Summary!$B$1,1)+1,4)</f>
        <v>2023</v>
      </c>
      <c r="B153" s="9" t="s">
        <v>242</v>
      </c>
      <c r="C153" s="9" t="s">
        <v>243</v>
      </c>
      <c r="D153" s="9"/>
      <c r="E153" s="9" t="s">
        <v>13</v>
      </c>
      <c r="F153" s="9" t="s">
        <v>1957</v>
      </c>
      <c r="G153" s="2063">
        <f>Summary!E83</f>
        <v>1.0135693292859447</v>
      </c>
      <c r="J153" s="2058"/>
      <c r="K153" s="2058"/>
      <c r="L153" s="2058"/>
      <c r="M153" s="2058"/>
      <c r="N153" s="2058"/>
      <c r="O153" s="2058"/>
      <c r="P153" s="2058"/>
      <c r="Q153" s="2058"/>
      <c r="R153" s="2058"/>
      <c r="S153" s="2058"/>
      <c r="T153" s="2058"/>
      <c r="U153" s="2058"/>
      <c r="V153" s="2058"/>
      <c r="W153" s="2058"/>
      <c r="X153" s="2058"/>
      <c r="Y153" s="2058"/>
      <c r="Z153" s="2058"/>
    </row>
    <row r="154" spans="1:26" ht="12" x14ac:dyDescent="0.2">
      <c r="A154" s="9" t="str">
        <f>MID(Summary!$B$1,FIND(" ",Summary!$B$1,1)+1,4)</f>
        <v>2023</v>
      </c>
      <c r="B154" s="9" t="s">
        <v>242</v>
      </c>
      <c r="C154" s="9" t="s">
        <v>243</v>
      </c>
      <c r="D154" s="9"/>
      <c r="E154" s="9" t="s">
        <v>14</v>
      </c>
      <c r="F154" s="9" t="s">
        <v>1957</v>
      </c>
      <c r="G154" s="2063">
        <f>Summary!E84</f>
        <v>7.290416208261555E-4</v>
      </c>
      <c r="J154" s="2058"/>
      <c r="K154" s="2058"/>
      <c r="L154" s="2058"/>
      <c r="M154" s="2058"/>
      <c r="N154" s="2058"/>
      <c r="O154" s="2058"/>
      <c r="P154" s="2058"/>
      <c r="Q154" s="2058"/>
      <c r="R154" s="2058"/>
      <c r="S154" s="2058"/>
      <c r="T154" s="2058"/>
      <c r="U154" s="2058"/>
      <c r="V154" s="2058"/>
      <c r="W154" s="2058"/>
      <c r="X154" s="2058"/>
      <c r="Y154" s="2058"/>
      <c r="Z154" s="2058"/>
    </row>
    <row r="155" spans="1:26" ht="12" x14ac:dyDescent="0.2">
      <c r="A155" s="9" t="str">
        <f>MID(Summary!$B$1,FIND(" ",Summary!$B$1,1)+1,4)</f>
        <v>2023</v>
      </c>
      <c r="B155" s="9" t="s">
        <v>242</v>
      </c>
      <c r="C155" s="9" t="s">
        <v>251</v>
      </c>
      <c r="D155" s="9"/>
      <c r="E155" s="9" t="s">
        <v>10</v>
      </c>
      <c r="F155" s="9" t="s">
        <v>1957</v>
      </c>
      <c r="G155" s="2063">
        <f>Summary!E86</f>
        <v>0</v>
      </c>
      <c r="J155" s="2058"/>
      <c r="K155" s="2058"/>
      <c r="L155" s="2058"/>
      <c r="M155" s="2058"/>
      <c r="N155" s="2058"/>
      <c r="O155" s="2058"/>
      <c r="P155" s="2058"/>
      <c r="Q155" s="2058"/>
      <c r="R155" s="2058"/>
      <c r="S155" s="2058"/>
      <c r="T155" s="2058"/>
      <c r="U155" s="2058"/>
      <c r="V155" s="2058"/>
      <c r="W155" s="2058"/>
      <c r="X155" s="2058"/>
      <c r="Y155" s="2058"/>
      <c r="Z155" s="2058"/>
    </row>
    <row r="156" spans="1:26" ht="12" x14ac:dyDescent="0.2">
      <c r="A156" s="9" t="str">
        <f>MID(Summary!$B$1,FIND(" ",Summary!$B$1,1)+1,4)</f>
        <v>2023</v>
      </c>
      <c r="B156" s="9" t="s">
        <v>242</v>
      </c>
      <c r="C156" s="9" t="s">
        <v>251</v>
      </c>
      <c r="D156" s="9"/>
      <c r="E156" s="9" t="s">
        <v>13</v>
      </c>
      <c r="F156" s="9" t="s">
        <v>1957</v>
      </c>
      <c r="G156" s="2063">
        <f>Summary!E87</f>
        <v>0</v>
      </c>
      <c r="J156" s="2058"/>
      <c r="K156" s="2058"/>
      <c r="L156" s="2058"/>
      <c r="M156" s="2058"/>
      <c r="N156" s="2058"/>
      <c r="O156" s="2058"/>
      <c r="P156" s="2058"/>
      <c r="Q156" s="2058"/>
      <c r="R156" s="2058"/>
      <c r="S156" s="2058"/>
      <c r="T156" s="2058"/>
      <c r="U156" s="2058"/>
      <c r="V156" s="2058"/>
      <c r="W156" s="2058"/>
      <c r="X156" s="2058"/>
      <c r="Y156" s="2058"/>
      <c r="Z156" s="2058"/>
    </row>
    <row r="157" spans="1:26" ht="12" x14ac:dyDescent="0.2">
      <c r="A157" s="9" t="str">
        <f>MID(Summary!$B$1,FIND(" ",Summary!$B$1,1)+1,4)</f>
        <v>2023</v>
      </c>
      <c r="B157" s="9" t="s">
        <v>242</v>
      </c>
      <c r="C157" s="9" t="s">
        <v>251</v>
      </c>
      <c r="D157" s="9"/>
      <c r="E157" s="9" t="s">
        <v>14</v>
      </c>
      <c r="F157" s="9" t="s">
        <v>1957</v>
      </c>
      <c r="G157" s="2063">
        <f>Summary!E88</f>
        <v>0</v>
      </c>
      <c r="J157" s="2058"/>
      <c r="K157" s="2058"/>
      <c r="L157" s="2058"/>
      <c r="M157" s="2058"/>
      <c r="N157" s="2058"/>
      <c r="O157" s="2058"/>
      <c r="P157" s="2058"/>
      <c r="Q157" s="2058"/>
      <c r="R157" s="2058"/>
      <c r="S157" s="2058"/>
      <c r="T157" s="2058"/>
      <c r="U157" s="2058"/>
      <c r="V157" s="2058"/>
      <c r="W157" s="2058"/>
      <c r="X157" s="2058"/>
      <c r="Y157" s="2058"/>
      <c r="Z157" s="2058"/>
    </row>
    <row r="158" spans="1:26" ht="12" x14ac:dyDescent="0.2">
      <c r="A158" s="9" t="str">
        <f>MID(Summary!$B$1,FIND(" ",Summary!$B$1,1)+1,4)</f>
        <v>2023</v>
      </c>
      <c r="B158" s="9" t="s">
        <v>242</v>
      </c>
      <c r="C158" s="9" t="s">
        <v>256</v>
      </c>
      <c r="D158" s="9"/>
      <c r="E158" s="9" t="s">
        <v>10</v>
      </c>
      <c r="F158" s="9" t="s">
        <v>1957</v>
      </c>
      <c r="G158" s="2063">
        <f>Summary!E90</f>
        <v>0</v>
      </c>
      <c r="J158" s="2058"/>
      <c r="K158" s="2058"/>
      <c r="L158" s="2058"/>
      <c r="M158" s="2058"/>
      <c r="N158" s="2058"/>
      <c r="O158" s="2058"/>
      <c r="P158" s="2058"/>
      <c r="Q158" s="2058"/>
      <c r="R158" s="2058"/>
      <c r="S158" s="2058"/>
      <c r="T158" s="2058"/>
      <c r="U158" s="2058"/>
      <c r="V158" s="2058"/>
      <c r="W158" s="2058"/>
      <c r="X158" s="2058"/>
      <c r="Y158" s="2058"/>
      <c r="Z158" s="2058"/>
    </row>
    <row r="159" spans="1:26" ht="12" x14ac:dyDescent="0.2">
      <c r="A159" s="9" t="str">
        <f>MID(Summary!$B$1,FIND(" ",Summary!$B$1,1)+1,4)</f>
        <v>2023</v>
      </c>
      <c r="B159" s="9" t="s">
        <v>242</v>
      </c>
      <c r="C159" s="9" t="s">
        <v>256</v>
      </c>
      <c r="D159" s="9"/>
      <c r="E159" s="9" t="s">
        <v>13</v>
      </c>
      <c r="F159" s="9" t="s">
        <v>1957</v>
      </c>
      <c r="G159" s="2063">
        <f>Summary!E91</f>
        <v>8.1167095170030082E-2</v>
      </c>
      <c r="J159" s="2058"/>
      <c r="K159" s="2058"/>
      <c r="L159" s="2058"/>
      <c r="M159" s="2058"/>
      <c r="N159" s="2058"/>
      <c r="O159" s="2058"/>
      <c r="P159" s="2058"/>
      <c r="Q159" s="2058"/>
      <c r="R159" s="2058"/>
      <c r="S159" s="2058"/>
      <c r="T159" s="2058"/>
      <c r="U159" s="2058"/>
      <c r="V159" s="2058"/>
      <c r="W159" s="2058"/>
      <c r="X159" s="2058"/>
      <c r="Y159" s="2058"/>
      <c r="Z159" s="2058"/>
    </row>
    <row r="160" spans="1:26" ht="12" x14ac:dyDescent="0.2">
      <c r="A160" s="9" t="str">
        <f>MID(Summary!$B$1,FIND(" ",Summary!$B$1,1)+1,4)</f>
        <v>2023</v>
      </c>
      <c r="B160" s="9" t="s">
        <v>242</v>
      </c>
      <c r="C160" s="9" t="s">
        <v>256</v>
      </c>
      <c r="D160" s="9"/>
      <c r="E160" s="9" t="s">
        <v>14</v>
      </c>
      <c r="F160" s="9" t="s">
        <v>1957</v>
      </c>
      <c r="G160" s="2063">
        <f>Summary!E92</f>
        <v>0</v>
      </c>
      <c r="I160" s="2058"/>
      <c r="J160" s="2058"/>
      <c r="K160" s="2058"/>
      <c r="L160" s="2058"/>
      <c r="M160" s="2058"/>
      <c r="N160" s="2058"/>
      <c r="O160" s="2058"/>
      <c r="P160" s="2058"/>
      <c r="Q160" s="2058"/>
      <c r="R160" s="2058"/>
      <c r="S160" s="2058"/>
      <c r="T160" s="2058"/>
      <c r="U160" s="2058"/>
      <c r="V160" s="2058"/>
      <c r="W160" s="2058"/>
      <c r="X160" s="2058"/>
      <c r="Y160" s="2058"/>
      <c r="Z160" s="2058"/>
    </row>
    <row r="161" spans="1:26" ht="12" x14ac:dyDescent="0.2">
      <c r="A161" s="9" t="str">
        <f>MID(Summary!$B$1,FIND(" ",Summary!$B$1,1)+1,4)</f>
        <v>2023</v>
      </c>
      <c r="B161" s="9" t="s">
        <v>242</v>
      </c>
      <c r="C161" s="9" t="s">
        <v>243</v>
      </c>
      <c r="D161" s="9"/>
      <c r="E161" s="9" t="s">
        <v>10</v>
      </c>
      <c r="F161" s="9" t="s">
        <v>1959</v>
      </c>
      <c r="G161" s="2063">
        <f>Summary!D82</f>
        <v>1.4884796825887354</v>
      </c>
      <c r="H161" s="2058"/>
      <c r="I161" s="2058"/>
      <c r="J161" s="2058"/>
      <c r="K161" s="2058"/>
      <c r="L161" s="2058"/>
      <c r="M161" s="2058"/>
      <c r="N161" s="2058"/>
      <c r="O161" s="2058"/>
      <c r="P161" s="2058"/>
      <c r="Q161" s="2058"/>
      <c r="R161" s="2058"/>
      <c r="S161" s="2058"/>
      <c r="T161" s="2058"/>
      <c r="U161" s="2058"/>
      <c r="V161" s="2058"/>
      <c r="W161" s="2058"/>
      <c r="X161" s="2058"/>
      <c r="Y161" s="2058"/>
      <c r="Z161" s="2058"/>
    </row>
    <row r="162" spans="1:26" ht="12" x14ac:dyDescent="0.2">
      <c r="A162" s="9" t="str">
        <f>MID(Summary!$B$1,FIND(" ",Summary!$B$1,1)+1,4)</f>
        <v>2023</v>
      </c>
      <c r="B162" s="9" t="s">
        <v>242</v>
      </c>
      <c r="C162" s="9" t="s">
        <v>243</v>
      </c>
      <c r="D162" s="9"/>
      <c r="E162" s="9" t="s">
        <v>13</v>
      </c>
      <c r="F162" s="9" t="s">
        <v>1959</v>
      </c>
      <c r="G162" s="2063">
        <f>Summary!D83</f>
        <v>2.9498863633698464</v>
      </c>
      <c r="H162" s="2058"/>
      <c r="I162" s="2058"/>
      <c r="J162" s="2058"/>
      <c r="K162" s="2058"/>
      <c r="L162" s="2058"/>
      <c r="M162" s="2058"/>
      <c r="N162" s="2058"/>
      <c r="O162" s="2058"/>
      <c r="P162" s="2058"/>
      <c r="Q162" s="2058"/>
      <c r="R162" s="2058"/>
      <c r="S162" s="2058"/>
      <c r="T162" s="2058"/>
      <c r="U162" s="2058"/>
      <c r="V162" s="2058"/>
      <c r="W162" s="2058"/>
      <c r="X162" s="2058"/>
      <c r="Y162" s="2058"/>
      <c r="Z162" s="2058"/>
    </row>
    <row r="163" spans="1:26" ht="12" x14ac:dyDescent="0.2">
      <c r="A163" s="9" t="str">
        <f>MID(Summary!$B$1,FIND(" ",Summary!$B$1,1)+1,4)</f>
        <v>2023</v>
      </c>
      <c r="B163" s="9" t="s">
        <v>242</v>
      </c>
      <c r="C163" s="9" t="s">
        <v>243</v>
      </c>
      <c r="D163" s="9"/>
      <c r="E163" s="9" t="s">
        <v>14</v>
      </c>
      <c r="F163" s="9" t="s">
        <v>1959</v>
      </c>
      <c r="G163" s="2063">
        <f>Summary!D84</f>
        <v>7.290416208261555E-4</v>
      </c>
      <c r="H163" s="2058"/>
      <c r="I163" s="2058"/>
      <c r="J163" s="2058"/>
      <c r="K163" s="2058"/>
      <c r="L163" s="2058"/>
      <c r="M163" s="2058"/>
      <c r="N163" s="2058"/>
      <c r="O163" s="2058"/>
      <c r="P163" s="2058"/>
      <c r="Q163" s="2058"/>
      <c r="R163" s="2058"/>
      <c r="S163" s="2058"/>
      <c r="T163" s="2058"/>
      <c r="U163" s="2058"/>
      <c r="V163" s="2058"/>
      <c r="W163" s="2058"/>
      <c r="X163" s="2058"/>
      <c r="Y163" s="2058"/>
      <c r="Z163" s="2058"/>
    </row>
    <row r="164" spans="1:26" ht="12" x14ac:dyDescent="0.2">
      <c r="A164" s="9" t="str">
        <f>MID(Summary!$B$1,FIND(" ",Summary!$B$1,1)+1,4)</f>
        <v>2023</v>
      </c>
      <c r="B164" s="9" t="s">
        <v>242</v>
      </c>
      <c r="C164" s="9" t="s">
        <v>251</v>
      </c>
      <c r="D164" s="9"/>
      <c r="E164" s="9" t="s">
        <v>10</v>
      </c>
      <c r="F164" s="9" t="s">
        <v>1959</v>
      </c>
      <c r="G164" s="2063">
        <f>Summary!D86</f>
        <v>0</v>
      </c>
      <c r="H164" s="2058"/>
      <c r="I164" s="2058"/>
      <c r="J164" s="2058"/>
      <c r="K164" s="2058"/>
      <c r="L164" s="2058"/>
      <c r="M164" s="2058"/>
      <c r="N164" s="2058"/>
      <c r="O164" s="2058"/>
      <c r="P164" s="2058"/>
      <c r="Q164" s="2058"/>
      <c r="R164" s="2058"/>
      <c r="S164" s="2058"/>
      <c r="T164" s="2058"/>
      <c r="U164" s="2058"/>
      <c r="V164" s="2058"/>
      <c r="W164" s="2058"/>
      <c r="X164" s="2058"/>
      <c r="Y164" s="2058"/>
      <c r="Z164" s="2058"/>
    </row>
    <row r="165" spans="1:26" ht="12" x14ac:dyDescent="0.2">
      <c r="A165" s="9" t="str">
        <f>MID(Summary!$B$1,FIND(" ",Summary!$B$1,1)+1,4)</f>
        <v>2023</v>
      </c>
      <c r="B165" s="9" t="s">
        <v>242</v>
      </c>
      <c r="C165" s="9" t="s">
        <v>251</v>
      </c>
      <c r="D165" s="9"/>
      <c r="E165" s="9" t="s">
        <v>13</v>
      </c>
      <c r="F165" s="9" t="s">
        <v>1959</v>
      </c>
      <c r="G165" s="2063">
        <f>Summary!D87</f>
        <v>0</v>
      </c>
      <c r="H165" s="2058"/>
      <c r="I165" s="2058"/>
      <c r="J165" s="2058"/>
      <c r="K165" s="2058"/>
      <c r="L165" s="2058"/>
      <c r="M165" s="2058"/>
      <c r="N165" s="2058"/>
      <c r="O165" s="2058"/>
      <c r="P165" s="2058"/>
      <c r="Q165" s="2058"/>
      <c r="R165" s="2058"/>
      <c r="S165" s="2058"/>
      <c r="T165" s="2058"/>
      <c r="U165" s="2058"/>
      <c r="V165" s="2058"/>
      <c r="W165" s="2058"/>
      <c r="X165" s="2058"/>
      <c r="Y165" s="2058"/>
      <c r="Z165" s="2058"/>
    </row>
    <row r="166" spans="1:26" ht="12" x14ac:dyDescent="0.2">
      <c r="A166" s="9" t="str">
        <f>MID(Summary!$B$1,FIND(" ",Summary!$B$1,1)+1,4)</f>
        <v>2023</v>
      </c>
      <c r="B166" s="9" t="s">
        <v>242</v>
      </c>
      <c r="C166" s="9" t="s">
        <v>251</v>
      </c>
      <c r="D166" s="9"/>
      <c r="E166" s="9" t="s">
        <v>14</v>
      </c>
      <c r="F166" s="9" t="s">
        <v>1959</v>
      </c>
      <c r="G166" s="2063">
        <f>Summary!D88</f>
        <v>0</v>
      </c>
      <c r="H166" s="2058"/>
      <c r="I166" s="2058"/>
      <c r="J166" s="2058"/>
      <c r="K166" s="2058"/>
      <c r="L166" s="2058"/>
      <c r="M166" s="2058"/>
      <c r="N166" s="2058"/>
      <c r="O166" s="2058"/>
      <c r="P166" s="2058"/>
      <c r="Q166" s="2058"/>
      <c r="R166" s="2058"/>
      <c r="S166" s="2058"/>
      <c r="T166" s="2058"/>
      <c r="U166" s="2058"/>
      <c r="V166" s="2058"/>
      <c r="W166" s="2058"/>
      <c r="X166" s="2058"/>
      <c r="Y166" s="2058"/>
      <c r="Z166" s="2058"/>
    </row>
    <row r="167" spans="1:26" ht="12" x14ac:dyDescent="0.2">
      <c r="A167" s="9" t="str">
        <f>MID(Summary!$B$1,FIND(" ",Summary!$B$1,1)+1,4)</f>
        <v>2023</v>
      </c>
      <c r="B167" s="9" t="s">
        <v>242</v>
      </c>
      <c r="C167" s="9" t="s">
        <v>256</v>
      </c>
      <c r="D167" s="9"/>
      <c r="E167" s="9" t="s">
        <v>10</v>
      </c>
      <c r="F167" s="9" t="s">
        <v>1959</v>
      </c>
      <c r="G167" s="2063">
        <f>Summary!D90</f>
        <v>0</v>
      </c>
      <c r="H167" s="2058"/>
      <c r="I167" s="2058"/>
      <c r="J167" s="2058"/>
      <c r="K167" s="2058"/>
      <c r="L167" s="2058"/>
      <c r="M167" s="2058"/>
      <c r="N167" s="2058"/>
      <c r="O167" s="2058"/>
      <c r="P167" s="2058"/>
      <c r="Q167" s="2058"/>
      <c r="R167" s="2058"/>
      <c r="S167" s="2058"/>
      <c r="T167" s="2058"/>
      <c r="U167" s="2058"/>
      <c r="V167" s="2058"/>
      <c r="W167" s="2058"/>
      <c r="X167" s="2058"/>
      <c r="Y167" s="2058"/>
      <c r="Z167" s="2058"/>
    </row>
    <row r="168" spans="1:26" ht="12" x14ac:dyDescent="0.2">
      <c r="A168" s="9" t="str">
        <f>MID(Summary!$B$1,FIND(" ",Summary!$B$1,1)+1,4)</f>
        <v>2023</v>
      </c>
      <c r="B168" s="9" t="s">
        <v>242</v>
      </c>
      <c r="C168" s="9" t="s">
        <v>256</v>
      </c>
      <c r="D168" s="9"/>
      <c r="E168" s="9" t="s">
        <v>13</v>
      </c>
      <c r="F168" s="9" t="s">
        <v>1959</v>
      </c>
      <c r="G168" s="2063">
        <f>Summary!D91</f>
        <v>0.23622824830847466</v>
      </c>
      <c r="H168" s="2058"/>
      <c r="I168" s="2058"/>
      <c r="J168" s="2058"/>
      <c r="K168" s="2058"/>
      <c r="L168" s="2058"/>
      <c r="M168" s="2058"/>
      <c r="N168" s="2058"/>
      <c r="O168" s="2058"/>
      <c r="P168" s="2058"/>
      <c r="Q168" s="2058"/>
      <c r="R168" s="2058"/>
      <c r="S168" s="2058"/>
      <c r="T168" s="2058"/>
      <c r="U168" s="2058"/>
      <c r="V168" s="2058"/>
      <c r="W168" s="2058"/>
      <c r="X168" s="2058"/>
      <c r="Y168" s="2058"/>
      <c r="Z168" s="2058"/>
    </row>
    <row r="169" spans="1:26" ht="12" x14ac:dyDescent="0.2">
      <c r="A169" s="9" t="str">
        <f>MID(Summary!$B$1,FIND(" ",Summary!$B$1,1)+1,4)</f>
        <v>2023</v>
      </c>
      <c r="B169" s="9" t="s">
        <v>242</v>
      </c>
      <c r="C169" s="9" t="s">
        <v>256</v>
      </c>
      <c r="D169" s="9"/>
      <c r="E169" s="9" t="s">
        <v>14</v>
      </c>
      <c r="F169" s="9" t="s">
        <v>1959</v>
      </c>
      <c r="G169" s="2063">
        <f>Summary!D92</f>
        <v>0</v>
      </c>
      <c r="H169" s="2058"/>
      <c r="I169" s="2058"/>
      <c r="J169" s="2058"/>
      <c r="K169" s="2058"/>
      <c r="L169" s="2058"/>
      <c r="M169" s="2058"/>
      <c r="N169" s="2058"/>
      <c r="O169" s="2058"/>
      <c r="P169" s="2058"/>
      <c r="Q169" s="2058"/>
      <c r="R169" s="2058"/>
      <c r="S169" s="2058"/>
      <c r="T169" s="2058"/>
      <c r="U169" s="2058"/>
      <c r="V169" s="2058"/>
      <c r="W169" s="2058"/>
      <c r="X169" s="2058"/>
      <c r="Y169" s="2058"/>
      <c r="Z169" s="2058"/>
    </row>
    <row r="170" spans="1:26" ht="12" x14ac:dyDescent="0.2">
      <c r="A170" s="9" t="str">
        <f>MID(Summary!$B$1,FIND(" ",Summary!$B$1,1)+1,4)</f>
        <v>2023</v>
      </c>
      <c r="B170" s="9" t="s">
        <v>262</v>
      </c>
      <c r="C170" s="9" t="s">
        <v>266</v>
      </c>
      <c r="D170"/>
      <c r="E170" s="9" t="s">
        <v>10</v>
      </c>
      <c r="F170" s="9" t="s">
        <v>1957</v>
      </c>
      <c r="G170" s="2063">
        <f>Summary!E95</f>
        <v>1.523930612083491</v>
      </c>
      <c r="J170" s="2058"/>
      <c r="K170" s="2058"/>
      <c r="L170" s="2058"/>
      <c r="M170" s="2058"/>
      <c r="N170" s="2058"/>
      <c r="O170" s="2058"/>
      <c r="P170" s="2058"/>
      <c r="Q170" s="2058"/>
      <c r="R170" s="2058"/>
      <c r="S170" s="2058"/>
      <c r="T170" s="2058"/>
      <c r="U170" s="2058"/>
      <c r="V170" s="2058"/>
      <c r="W170" s="2058"/>
      <c r="X170" s="2058"/>
      <c r="Y170" s="2058"/>
      <c r="Z170" s="2058"/>
    </row>
    <row r="171" spans="1:26" ht="12" x14ac:dyDescent="0.2">
      <c r="A171" s="9" t="str">
        <f>MID(Summary!$B$1,FIND(" ",Summary!$B$1,1)+1,4)</f>
        <v>2023</v>
      </c>
      <c r="B171" s="9" t="s">
        <v>262</v>
      </c>
      <c r="C171" s="9" t="s">
        <v>266</v>
      </c>
      <c r="D171"/>
      <c r="E171" s="9" t="s">
        <v>13</v>
      </c>
      <c r="F171" s="9" t="s">
        <v>1957</v>
      </c>
      <c r="G171" s="2063">
        <f>Summary!E96</f>
        <v>0</v>
      </c>
      <c r="J171" s="2058"/>
      <c r="K171" s="2058"/>
      <c r="L171" s="2058"/>
      <c r="M171" s="2058"/>
      <c r="N171" s="2058"/>
      <c r="O171" s="2058"/>
      <c r="P171" s="2058"/>
      <c r="Q171" s="2058"/>
      <c r="R171" s="2058"/>
      <c r="S171" s="2058"/>
      <c r="T171" s="2058"/>
      <c r="U171" s="2058"/>
      <c r="V171" s="2058"/>
      <c r="W171" s="2058"/>
      <c r="X171" s="2058"/>
      <c r="Y171" s="2058"/>
      <c r="Z171" s="2058"/>
    </row>
    <row r="172" spans="1:26" ht="12" x14ac:dyDescent="0.2">
      <c r="A172" s="9" t="str">
        <f>MID(Summary!$B$1,FIND(" ",Summary!$B$1,1)+1,4)</f>
        <v>2023</v>
      </c>
      <c r="B172" s="9" t="s">
        <v>262</v>
      </c>
      <c r="C172" s="9" t="s">
        <v>266</v>
      </c>
      <c r="D172"/>
      <c r="E172" s="9" t="s">
        <v>14</v>
      </c>
      <c r="F172" s="9" t="s">
        <v>1957</v>
      </c>
      <c r="G172" s="2063">
        <f>Summary!E97</f>
        <v>0</v>
      </c>
      <c r="J172" s="2058"/>
      <c r="K172" s="2058"/>
      <c r="L172" s="2058"/>
      <c r="M172" s="2058"/>
      <c r="N172" s="2058"/>
      <c r="O172" s="2058"/>
      <c r="P172" s="2058"/>
      <c r="Q172" s="2058"/>
      <c r="R172" s="2058"/>
      <c r="S172" s="2058"/>
      <c r="T172" s="2058"/>
      <c r="U172" s="2058"/>
      <c r="V172" s="2058"/>
      <c r="W172" s="2058"/>
      <c r="X172" s="2058"/>
      <c r="Y172" s="2058"/>
      <c r="Z172" s="2058"/>
    </row>
    <row r="173" spans="1:26" ht="12" x14ac:dyDescent="0.2">
      <c r="A173" s="9" t="str">
        <f>MID(Summary!$B$1,FIND(" ",Summary!$B$1,1)+1,4)</f>
        <v>2023</v>
      </c>
      <c r="B173" s="9" t="s">
        <v>262</v>
      </c>
      <c r="C173" s="9" t="s">
        <v>275</v>
      </c>
      <c r="D173"/>
      <c r="E173" s="9" t="s">
        <v>10</v>
      </c>
      <c r="F173" s="9" t="s">
        <v>1957</v>
      </c>
      <c r="G173" s="2063">
        <f>Summary!E99</f>
        <v>0.2232934</v>
      </c>
      <c r="J173" s="2058"/>
      <c r="K173" s="2058"/>
      <c r="L173" s="2058"/>
      <c r="M173" s="2058"/>
      <c r="N173" s="2058"/>
      <c r="O173" s="2058"/>
      <c r="P173" s="2058"/>
      <c r="Q173" s="2058"/>
      <c r="R173" s="2058"/>
      <c r="S173" s="2058"/>
      <c r="T173" s="2058"/>
      <c r="U173" s="2058"/>
      <c r="V173" s="2058"/>
      <c r="W173" s="2058"/>
      <c r="X173" s="2058"/>
      <c r="Y173" s="2058"/>
      <c r="Z173" s="2058"/>
    </row>
    <row r="174" spans="1:26" ht="12" x14ac:dyDescent="0.2">
      <c r="A174" s="9" t="str">
        <f>MID(Summary!$B$1,FIND(" ",Summary!$B$1,1)+1,4)</f>
        <v>2023</v>
      </c>
      <c r="B174" s="9" t="s">
        <v>262</v>
      </c>
      <c r="C174" s="9" t="s">
        <v>275</v>
      </c>
      <c r="D174"/>
      <c r="E174" s="9" t="s">
        <v>13</v>
      </c>
      <c r="F174" s="9" t="s">
        <v>1957</v>
      </c>
      <c r="G174" s="2063">
        <f>Summary!E100</f>
        <v>0</v>
      </c>
      <c r="J174" s="2058"/>
      <c r="K174" s="2058"/>
      <c r="L174" s="2058"/>
      <c r="M174" s="2058"/>
      <c r="N174" s="2058"/>
      <c r="O174" s="2058"/>
      <c r="P174" s="2058"/>
      <c r="Q174" s="2058"/>
      <c r="R174" s="2058"/>
      <c r="S174" s="2058"/>
      <c r="T174" s="2058"/>
      <c r="U174" s="2058"/>
      <c r="V174" s="2058"/>
      <c r="W174" s="2058"/>
      <c r="X174" s="2058"/>
      <c r="Y174" s="2058"/>
      <c r="Z174" s="2058"/>
    </row>
    <row r="175" spans="1:26" ht="12" x14ac:dyDescent="0.2">
      <c r="A175" s="9" t="str">
        <f>MID(Summary!$B$1,FIND(" ",Summary!$B$1,1)+1,4)</f>
        <v>2023</v>
      </c>
      <c r="B175" s="9" t="s">
        <v>262</v>
      </c>
      <c r="C175" s="9" t="s">
        <v>275</v>
      </c>
      <c r="D175"/>
      <c r="E175" s="9" t="s">
        <v>14</v>
      </c>
      <c r="F175" s="9" t="s">
        <v>1957</v>
      </c>
      <c r="G175" s="2063">
        <f>Summary!E101</f>
        <v>0</v>
      </c>
      <c r="J175" s="2058"/>
      <c r="K175" s="2058"/>
      <c r="L175" s="2058"/>
      <c r="M175" s="2058"/>
      <c r="N175" s="2058"/>
      <c r="O175" s="2058"/>
      <c r="P175" s="2058"/>
      <c r="Q175" s="2058"/>
      <c r="R175" s="2058"/>
      <c r="S175" s="2058"/>
      <c r="T175" s="2058"/>
      <c r="U175" s="2058"/>
      <c r="V175" s="2058"/>
      <c r="W175" s="2058"/>
      <c r="X175" s="2058"/>
      <c r="Y175" s="2058"/>
      <c r="Z175" s="2058"/>
    </row>
    <row r="176" spans="1:26" ht="12" x14ac:dyDescent="0.2">
      <c r="A176" s="9" t="str">
        <f>MID(Summary!$B$1,FIND(" ",Summary!$B$1,1)+1,4)</f>
        <v>2023</v>
      </c>
      <c r="B176" s="9" t="s">
        <v>262</v>
      </c>
      <c r="C176" s="9" t="s">
        <v>282</v>
      </c>
      <c r="D176"/>
      <c r="E176" s="9" t="s">
        <v>10</v>
      </c>
      <c r="F176" s="9" t="s">
        <v>1957</v>
      </c>
      <c r="G176" s="2063">
        <f>Summary!E103</f>
        <v>3.4139559999999999E-2</v>
      </c>
      <c r="J176" s="2058"/>
      <c r="K176" s="2058"/>
      <c r="L176" s="2058"/>
      <c r="M176" s="2058"/>
      <c r="N176" s="2058"/>
      <c r="O176" s="2058"/>
      <c r="P176" s="2058"/>
      <c r="Q176" s="2058"/>
      <c r="R176" s="2058"/>
      <c r="S176" s="2058"/>
      <c r="T176" s="2058"/>
      <c r="U176" s="2058"/>
      <c r="V176" s="2058"/>
      <c r="W176" s="2058"/>
      <c r="X176" s="2058"/>
      <c r="Y176" s="2058"/>
      <c r="Z176" s="2058"/>
    </row>
    <row r="177" spans="1:26" ht="12" x14ac:dyDescent="0.2">
      <c r="A177" s="9" t="str">
        <f>MID(Summary!$B$1,FIND(" ",Summary!$B$1,1)+1,4)</f>
        <v>2023</v>
      </c>
      <c r="B177" s="9" t="s">
        <v>262</v>
      </c>
      <c r="C177" s="9" t="s">
        <v>282</v>
      </c>
      <c r="D177"/>
      <c r="E177" s="9" t="s">
        <v>13</v>
      </c>
      <c r="F177" s="9" t="s">
        <v>1957</v>
      </c>
      <c r="G177" s="2063">
        <f>Summary!E104</f>
        <v>0</v>
      </c>
      <c r="J177" s="2058"/>
      <c r="K177" s="2058"/>
      <c r="L177" s="2058"/>
      <c r="M177" s="2058"/>
      <c r="N177" s="2058"/>
      <c r="O177" s="2058"/>
      <c r="P177" s="2058"/>
      <c r="Q177" s="2058"/>
      <c r="R177" s="2058"/>
      <c r="S177" s="2058"/>
      <c r="T177" s="2058"/>
      <c r="U177" s="2058"/>
      <c r="V177" s="2058"/>
      <c r="W177" s="2058"/>
      <c r="X177" s="2058"/>
      <c r="Y177" s="2058"/>
      <c r="Z177" s="2058"/>
    </row>
    <row r="178" spans="1:26" ht="12" x14ac:dyDescent="0.2">
      <c r="A178" s="9" t="str">
        <f>MID(Summary!$B$1,FIND(" ",Summary!$B$1,1)+1,4)</f>
        <v>2023</v>
      </c>
      <c r="B178" s="9" t="s">
        <v>262</v>
      </c>
      <c r="C178" s="9" t="s">
        <v>282</v>
      </c>
      <c r="D178"/>
      <c r="E178" s="9" t="s">
        <v>14</v>
      </c>
      <c r="F178" s="9" t="s">
        <v>1957</v>
      </c>
      <c r="G178" s="2063">
        <f>Summary!E105</f>
        <v>0</v>
      </c>
      <c r="J178" s="2058"/>
      <c r="K178" s="2058"/>
      <c r="L178" s="2058"/>
      <c r="M178" s="2058"/>
      <c r="N178" s="2058"/>
      <c r="O178" s="2058"/>
      <c r="P178" s="2058"/>
      <c r="Q178" s="2058"/>
      <c r="R178" s="2058"/>
      <c r="S178" s="2058"/>
      <c r="T178" s="2058"/>
      <c r="U178" s="2058"/>
      <c r="V178" s="2058"/>
      <c r="W178" s="2058"/>
      <c r="X178" s="2058"/>
      <c r="Y178" s="2058"/>
      <c r="Z178" s="2058"/>
    </row>
    <row r="179" spans="1:26" ht="12" x14ac:dyDescent="0.2">
      <c r="A179" s="9" t="str">
        <f>MID(Summary!$B$1,FIND(" ",Summary!$B$1,1)+1,4)</f>
        <v>2023</v>
      </c>
      <c r="B179" s="9" t="s">
        <v>262</v>
      </c>
      <c r="C179" s="9" t="s">
        <v>292</v>
      </c>
      <c r="D179"/>
      <c r="E179" s="9" t="s">
        <v>10</v>
      </c>
      <c r="F179" s="9" t="s">
        <v>1957</v>
      </c>
      <c r="G179" s="2063">
        <f>Summary!E107</f>
        <v>0</v>
      </c>
      <c r="J179" s="2058"/>
      <c r="K179" s="2058"/>
      <c r="L179" s="2058"/>
      <c r="M179" s="2058"/>
      <c r="N179" s="2058"/>
      <c r="O179" s="2058"/>
      <c r="P179" s="2058"/>
      <c r="Q179" s="2058"/>
      <c r="R179" s="2058"/>
      <c r="S179" s="2058"/>
      <c r="T179" s="2058"/>
      <c r="U179" s="2058"/>
      <c r="V179" s="2058"/>
      <c r="W179" s="2058"/>
      <c r="X179" s="2058"/>
      <c r="Y179" s="2058"/>
      <c r="Z179" s="2058"/>
    </row>
    <row r="180" spans="1:26" ht="12" x14ac:dyDescent="0.2">
      <c r="A180" s="9" t="str">
        <f>MID(Summary!$B$1,FIND(" ",Summary!$B$1,1)+1,4)</f>
        <v>2023</v>
      </c>
      <c r="B180" s="9" t="s">
        <v>262</v>
      </c>
      <c r="C180" s="9" t="s">
        <v>292</v>
      </c>
      <c r="D180"/>
      <c r="E180" s="9" t="s">
        <v>13</v>
      </c>
      <c r="F180" s="9" t="s">
        <v>1957</v>
      </c>
      <c r="G180" s="2063">
        <f>Summary!E108</f>
        <v>0</v>
      </c>
      <c r="J180" s="2058"/>
      <c r="K180" s="2058"/>
      <c r="L180" s="2058"/>
      <c r="M180" s="2058"/>
      <c r="N180" s="2058"/>
      <c r="O180" s="2058"/>
      <c r="P180" s="2058"/>
      <c r="Q180" s="2058"/>
      <c r="R180" s="2058"/>
      <c r="S180" s="2058"/>
      <c r="T180" s="2058"/>
      <c r="U180" s="2058"/>
      <c r="V180" s="2058"/>
      <c r="W180" s="2058"/>
      <c r="X180" s="2058"/>
      <c r="Y180" s="2058"/>
      <c r="Z180" s="2058"/>
    </row>
    <row r="181" spans="1:26" ht="12" x14ac:dyDescent="0.2">
      <c r="A181" s="9" t="str">
        <f>MID(Summary!$B$1,FIND(" ",Summary!$B$1,1)+1,4)</f>
        <v>2023</v>
      </c>
      <c r="B181" s="9" t="s">
        <v>262</v>
      </c>
      <c r="C181" s="9" t="s">
        <v>292</v>
      </c>
      <c r="D181"/>
      <c r="E181" s="9" t="s">
        <v>14</v>
      </c>
      <c r="F181" s="9" t="s">
        <v>1957</v>
      </c>
      <c r="G181" s="2063">
        <f>Summary!E109</f>
        <v>0</v>
      </c>
      <c r="J181" s="2058"/>
      <c r="K181" s="2058"/>
      <c r="L181" s="2058"/>
      <c r="M181" s="2058"/>
      <c r="N181" s="2058"/>
      <c r="O181" s="2058"/>
      <c r="P181" s="2058"/>
      <c r="Q181" s="2058"/>
      <c r="R181" s="2058"/>
      <c r="S181" s="2058"/>
      <c r="T181" s="2058"/>
      <c r="U181" s="2058"/>
      <c r="V181" s="2058"/>
      <c r="W181" s="2058"/>
      <c r="X181" s="2058"/>
      <c r="Y181" s="2058"/>
      <c r="Z181" s="2058"/>
    </row>
    <row r="182" spans="1:26" ht="12" x14ac:dyDescent="0.2">
      <c r="A182" s="9" t="str">
        <f>MID(Summary!$B$1,FIND(" ",Summary!$B$1,1)+1,4)</f>
        <v>2023</v>
      </c>
      <c r="B182" s="9" t="s">
        <v>262</v>
      </c>
      <c r="C182" s="9" t="s">
        <v>298</v>
      </c>
      <c r="D182"/>
      <c r="E182" s="9" t="s">
        <v>10</v>
      </c>
      <c r="F182" s="9" t="s">
        <v>1957</v>
      </c>
      <c r="G182" s="2063">
        <f>Summary!E111</f>
        <v>0</v>
      </c>
      <c r="J182" s="2058"/>
      <c r="K182" s="2058"/>
      <c r="L182" s="2058"/>
      <c r="M182" s="2058"/>
      <c r="N182" s="2058"/>
      <c r="O182" s="2058"/>
      <c r="P182" s="2058"/>
      <c r="Q182" s="2058"/>
      <c r="R182" s="2058"/>
      <c r="S182" s="2058"/>
      <c r="T182" s="2058"/>
      <c r="U182" s="2058"/>
      <c r="V182" s="2058"/>
      <c r="W182" s="2058"/>
      <c r="X182" s="2058"/>
      <c r="Y182" s="2058"/>
      <c r="Z182" s="2058"/>
    </row>
    <row r="183" spans="1:26" ht="12" x14ac:dyDescent="0.2">
      <c r="A183" s="9" t="str">
        <f>MID(Summary!$B$1,FIND(" ",Summary!$B$1,1)+1,4)</f>
        <v>2023</v>
      </c>
      <c r="B183" s="9" t="s">
        <v>262</v>
      </c>
      <c r="C183" s="9" t="s">
        <v>298</v>
      </c>
      <c r="D183"/>
      <c r="E183" s="9" t="s">
        <v>13</v>
      </c>
      <c r="F183" s="9" t="s">
        <v>1957</v>
      </c>
      <c r="G183" s="2063">
        <f>Summary!E112</f>
        <v>0</v>
      </c>
      <c r="J183" s="2058"/>
      <c r="K183" s="2058"/>
      <c r="L183" s="2058"/>
      <c r="M183" s="2058"/>
      <c r="N183" s="2058"/>
      <c r="O183" s="2058"/>
      <c r="P183" s="2058"/>
      <c r="Q183" s="2058"/>
      <c r="R183" s="2058"/>
      <c r="S183" s="2058"/>
      <c r="T183" s="2058"/>
      <c r="U183" s="2058"/>
      <c r="V183" s="2058"/>
      <c r="W183" s="2058"/>
      <c r="X183" s="2058"/>
      <c r="Y183" s="2058"/>
      <c r="Z183" s="2058"/>
    </row>
    <row r="184" spans="1:26" ht="12" x14ac:dyDescent="0.2">
      <c r="A184" s="9" t="str">
        <f>MID(Summary!$B$1,FIND(" ",Summary!$B$1,1)+1,4)</f>
        <v>2023</v>
      </c>
      <c r="B184" s="9" t="s">
        <v>262</v>
      </c>
      <c r="C184" s="9" t="s">
        <v>298</v>
      </c>
      <c r="D184"/>
      <c r="E184" s="9" t="s">
        <v>1963</v>
      </c>
      <c r="F184" s="9" t="s">
        <v>1957</v>
      </c>
      <c r="G184" s="2063">
        <f>Summary!E113</f>
        <v>3.945516056452361</v>
      </c>
      <c r="J184" s="2058"/>
      <c r="K184" s="2058"/>
      <c r="L184" s="2058"/>
      <c r="M184" s="2058"/>
      <c r="N184" s="2058"/>
      <c r="O184" s="2058"/>
      <c r="P184" s="2058"/>
      <c r="Q184" s="2058"/>
      <c r="R184" s="2058"/>
      <c r="S184" s="2058"/>
      <c r="T184" s="2058"/>
      <c r="U184" s="2058"/>
      <c r="V184" s="2058"/>
      <c r="W184" s="2058"/>
      <c r="X184" s="2058"/>
      <c r="Y184" s="2058"/>
      <c r="Z184" s="2058"/>
    </row>
    <row r="185" spans="1:26" ht="12" x14ac:dyDescent="0.2">
      <c r="A185" s="9" t="str">
        <f>MID(Summary!$B$1,FIND(" ",Summary!$B$1,1)+1,4)</f>
        <v>2023</v>
      </c>
      <c r="B185" s="9" t="s">
        <v>262</v>
      </c>
      <c r="C185" s="9" t="s">
        <v>304</v>
      </c>
      <c r="D185"/>
      <c r="E185" s="9" t="s">
        <v>10</v>
      </c>
      <c r="F185" s="9" t="s">
        <v>1957</v>
      </c>
      <c r="G185" s="2063">
        <f>Summary!E115</f>
        <v>0</v>
      </c>
      <c r="J185" s="2058"/>
      <c r="K185" s="2058"/>
      <c r="L185" s="2058"/>
      <c r="M185" s="2058"/>
      <c r="N185" s="2058"/>
      <c r="O185" s="2058"/>
      <c r="P185" s="2058"/>
      <c r="Q185" s="2058"/>
      <c r="R185" s="2058"/>
      <c r="S185" s="2058"/>
      <c r="T185" s="2058"/>
      <c r="U185" s="2058"/>
      <c r="V185" s="2058"/>
      <c r="W185" s="2058"/>
      <c r="X185" s="2058"/>
      <c r="Y185" s="2058"/>
      <c r="Z185" s="2058"/>
    </row>
    <row r="186" spans="1:26" ht="12" x14ac:dyDescent="0.2">
      <c r="A186" s="9" t="str">
        <f>MID(Summary!$B$1,FIND(" ",Summary!$B$1,1)+1,4)</f>
        <v>2023</v>
      </c>
      <c r="B186" s="9" t="s">
        <v>262</v>
      </c>
      <c r="C186" s="9" t="s">
        <v>304</v>
      </c>
      <c r="D186"/>
      <c r="E186" s="9" t="s">
        <v>13</v>
      </c>
      <c r="F186" s="9" t="s">
        <v>1957</v>
      </c>
      <c r="G186" s="2063">
        <f>Summary!E116</f>
        <v>0</v>
      </c>
      <c r="J186" s="2058"/>
      <c r="K186" s="2058"/>
      <c r="L186" s="2058"/>
      <c r="M186" s="2058"/>
      <c r="N186" s="2058"/>
      <c r="O186" s="2058"/>
      <c r="P186" s="2058"/>
      <c r="Q186" s="2058"/>
      <c r="R186" s="2058"/>
      <c r="S186" s="2058"/>
      <c r="T186" s="2058"/>
      <c r="U186" s="2058"/>
      <c r="V186" s="2058"/>
      <c r="W186" s="2058"/>
      <c r="X186" s="2058"/>
      <c r="Y186" s="2058"/>
      <c r="Z186" s="2058"/>
    </row>
    <row r="187" spans="1:26" ht="12" x14ac:dyDescent="0.2">
      <c r="A187" s="9" t="str">
        <f>MID(Summary!$B$1,FIND(" ",Summary!$B$1,1)+1,4)</f>
        <v>2023</v>
      </c>
      <c r="B187" s="9" t="s">
        <v>262</v>
      </c>
      <c r="C187" s="9" t="s">
        <v>304</v>
      </c>
      <c r="D187"/>
      <c r="E187" s="9" t="s">
        <v>1963</v>
      </c>
      <c r="F187" s="9" t="s">
        <v>1957</v>
      </c>
      <c r="G187" s="2063">
        <f>Summary!E117</f>
        <v>7.7759999999999996E-2</v>
      </c>
      <c r="J187" s="2058"/>
      <c r="K187" s="2058"/>
      <c r="L187" s="2058"/>
      <c r="M187" s="2058"/>
      <c r="N187" s="2058"/>
      <c r="O187" s="2058"/>
      <c r="P187" s="2058"/>
      <c r="Q187" s="2058"/>
      <c r="R187" s="2058"/>
      <c r="S187" s="2058"/>
      <c r="T187" s="2058"/>
      <c r="U187" s="2058"/>
      <c r="V187" s="2058"/>
      <c r="W187" s="2058"/>
      <c r="X187" s="2058"/>
      <c r="Y187" s="2058"/>
      <c r="Z187" s="2058"/>
    </row>
    <row r="188" spans="1:26" ht="12" x14ac:dyDescent="0.2">
      <c r="A188" s="9" t="str">
        <f>MID(Summary!$B$1,FIND(" ",Summary!$B$1,1)+1,4)</f>
        <v>2023</v>
      </c>
      <c r="B188" s="9" t="s">
        <v>262</v>
      </c>
      <c r="C188" s="9" t="s">
        <v>314</v>
      </c>
      <c r="D188"/>
      <c r="E188" s="9" t="s">
        <v>10</v>
      </c>
      <c r="F188" s="9" t="s">
        <v>1957</v>
      </c>
      <c r="G188" s="2063">
        <f>Summary!E119</f>
        <v>0</v>
      </c>
      <c r="J188" s="2058"/>
      <c r="K188" s="2058"/>
      <c r="L188" s="2058"/>
      <c r="M188" s="2058"/>
      <c r="N188" s="2058"/>
      <c r="O188" s="2058"/>
      <c r="P188" s="2058"/>
      <c r="Q188" s="2058"/>
      <c r="R188" s="2058"/>
      <c r="S188" s="2058"/>
      <c r="T188" s="2058"/>
      <c r="U188" s="2058"/>
      <c r="V188" s="2058"/>
      <c r="W188" s="2058"/>
      <c r="X188" s="2058"/>
      <c r="Y188" s="2058"/>
      <c r="Z188" s="2058"/>
    </row>
    <row r="189" spans="1:26" ht="12" x14ac:dyDescent="0.2">
      <c r="A189" s="9" t="str">
        <f>MID(Summary!$B$1,FIND(" ",Summary!$B$1,1)+1,4)</f>
        <v>2023</v>
      </c>
      <c r="B189" s="9" t="s">
        <v>262</v>
      </c>
      <c r="C189" s="9" t="s">
        <v>314</v>
      </c>
      <c r="D189"/>
      <c r="E189" s="9" t="s">
        <v>13</v>
      </c>
      <c r="F189" s="9" t="s">
        <v>1957</v>
      </c>
      <c r="G189" s="2063">
        <f>Summary!E120</f>
        <v>0</v>
      </c>
      <c r="J189" s="2058"/>
      <c r="K189" s="2058"/>
      <c r="L189" s="2058"/>
      <c r="M189" s="2058"/>
      <c r="N189" s="2058"/>
      <c r="O189" s="2058"/>
      <c r="P189" s="2058"/>
      <c r="Q189" s="2058"/>
      <c r="R189" s="2058"/>
      <c r="S189" s="2058"/>
      <c r="T189" s="2058"/>
      <c r="U189" s="2058"/>
      <c r="V189" s="2058"/>
      <c r="W189" s="2058"/>
      <c r="X189" s="2058"/>
      <c r="Y189" s="2058"/>
      <c r="Z189" s="2058"/>
    </row>
    <row r="190" spans="1:26" ht="12" x14ac:dyDescent="0.2">
      <c r="A190" s="9" t="str">
        <f>MID(Summary!$B$1,FIND(" ",Summary!$B$1,1)+1,4)</f>
        <v>2023</v>
      </c>
      <c r="B190" s="9" t="s">
        <v>262</v>
      </c>
      <c r="C190" s="9" t="s">
        <v>314</v>
      </c>
      <c r="D190"/>
      <c r="E190" s="9" t="s">
        <v>1963</v>
      </c>
      <c r="F190" s="9" t="s">
        <v>1957</v>
      </c>
      <c r="G190" s="2063">
        <f>Summary!E121</f>
        <v>0</v>
      </c>
      <c r="J190" s="2058"/>
      <c r="K190" s="2058"/>
      <c r="L190" s="2058"/>
      <c r="M190" s="2058"/>
      <c r="N190" s="2058"/>
      <c r="O190" s="2058"/>
      <c r="P190" s="2058"/>
      <c r="Q190" s="2058"/>
      <c r="R190" s="2058"/>
      <c r="S190" s="2058"/>
      <c r="T190" s="2058"/>
      <c r="U190" s="2058"/>
      <c r="V190" s="2058"/>
      <c r="W190" s="2058"/>
      <c r="X190" s="2058"/>
      <c r="Y190" s="2058"/>
      <c r="Z190" s="2058"/>
    </row>
    <row r="191" spans="1:26" ht="12" x14ac:dyDescent="0.2">
      <c r="A191" s="9" t="str">
        <f>MID(Summary!$B$1,FIND(" ",Summary!$B$1,1)+1,4)</f>
        <v>2023</v>
      </c>
      <c r="B191" s="9" t="s">
        <v>262</v>
      </c>
      <c r="C191" s="9" t="s">
        <v>321</v>
      </c>
      <c r="D191"/>
      <c r="E191" s="9" t="s">
        <v>10</v>
      </c>
      <c r="F191" s="9" t="s">
        <v>1957</v>
      </c>
      <c r="G191" s="2063">
        <f>Summary!E123</f>
        <v>1.1030300000000001E-3</v>
      </c>
      <c r="J191" s="2058"/>
      <c r="K191" s="2058"/>
      <c r="L191" s="2058"/>
      <c r="M191" s="2058"/>
      <c r="N191" s="2058"/>
      <c r="O191" s="2058"/>
      <c r="P191" s="2058"/>
      <c r="Q191" s="2058"/>
      <c r="R191" s="2058"/>
      <c r="S191" s="2058"/>
      <c r="T191" s="2058"/>
      <c r="U191" s="2058"/>
      <c r="V191" s="2058"/>
      <c r="W191" s="2058"/>
      <c r="X191" s="2058"/>
      <c r="Y191" s="2058"/>
      <c r="Z191" s="2058"/>
    </row>
    <row r="192" spans="1:26" ht="12" x14ac:dyDescent="0.2">
      <c r="A192" s="9" t="str">
        <f>MID(Summary!$B$1,FIND(" ",Summary!$B$1,1)+1,4)</f>
        <v>2023</v>
      </c>
      <c r="B192" s="9" t="s">
        <v>262</v>
      </c>
      <c r="C192" s="9" t="s">
        <v>321</v>
      </c>
      <c r="D192"/>
      <c r="E192" s="9" t="s">
        <v>13</v>
      </c>
      <c r="F192" s="9" t="s">
        <v>1957</v>
      </c>
      <c r="G192" s="2063">
        <f>Summary!E124</f>
        <v>0</v>
      </c>
      <c r="J192" s="2058"/>
      <c r="K192" s="2058"/>
      <c r="L192" s="2058"/>
      <c r="M192" s="2058"/>
      <c r="N192" s="2058"/>
      <c r="O192" s="2058"/>
      <c r="P192" s="2058"/>
      <c r="Q192" s="2058"/>
      <c r="R192" s="2058"/>
      <c r="S192" s="2058"/>
      <c r="T192" s="2058"/>
      <c r="U192" s="2058"/>
      <c r="V192" s="2058"/>
      <c r="W192" s="2058"/>
      <c r="X192" s="2058"/>
      <c r="Y192" s="2058"/>
      <c r="Z192" s="2058"/>
    </row>
    <row r="193" spans="1:26" ht="12" x14ac:dyDescent="0.2">
      <c r="A193" s="9" t="str">
        <f>MID(Summary!$B$1,FIND(" ",Summary!$B$1,1)+1,4)</f>
        <v>2023</v>
      </c>
      <c r="B193" s="9" t="s">
        <v>262</v>
      </c>
      <c r="C193" s="9" t="s">
        <v>321</v>
      </c>
      <c r="D193"/>
      <c r="E193" s="9" t="s">
        <v>1963</v>
      </c>
      <c r="F193" s="9" t="s">
        <v>1957</v>
      </c>
      <c r="G193" s="2063">
        <f>Summary!E125</f>
        <v>0</v>
      </c>
      <c r="J193" s="2058"/>
      <c r="K193" s="2058"/>
      <c r="L193" s="2058"/>
      <c r="M193" s="2058"/>
      <c r="N193" s="2058"/>
      <c r="O193" s="2058"/>
      <c r="P193" s="2058"/>
      <c r="Q193" s="2058"/>
      <c r="R193" s="2058"/>
      <c r="S193" s="2058"/>
      <c r="T193" s="2058"/>
      <c r="U193" s="2058"/>
      <c r="V193" s="2058"/>
      <c r="W193" s="2058"/>
      <c r="X193" s="2058"/>
      <c r="Y193" s="2058"/>
      <c r="Z193" s="2058"/>
    </row>
    <row r="194" spans="1:26" ht="12" x14ac:dyDescent="0.2">
      <c r="A194" s="9" t="str">
        <f>MID(Summary!$B$1,FIND(" ",Summary!$B$1,1)+1,4)</f>
        <v>2023</v>
      </c>
      <c r="B194" s="9" t="s">
        <v>262</v>
      </c>
      <c r="C194" s="9" t="s">
        <v>332</v>
      </c>
      <c r="D194"/>
      <c r="E194" s="9" t="s">
        <v>10</v>
      </c>
      <c r="F194" s="9" t="s">
        <v>1957</v>
      </c>
      <c r="G194" s="2063">
        <f>Summary!E127</f>
        <v>0</v>
      </c>
      <c r="J194" s="2058"/>
      <c r="K194" s="2058"/>
      <c r="L194" s="2058"/>
      <c r="M194" s="2058"/>
      <c r="N194" s="2058"/>
      <c r="O194" s="2058"/>
      <c r="P194" s="2058"/>
      <c r="Q194" s="2058"/>
      <c r="R194" s="2058"/>
      <c r="S194" s="2058"/>
      <c r="T194" s="2058"/>
      <c r="U194" s="2058"/>
      <c r="V194" s="2058"/>
      <c r="W194" s="2058"/>
      <c r="X194" s="2058"/>
      <c r="Y194" s="2058"/>
      <c r="Z194" s="2058"/>
    </row>
    <row r="195" spans="1:26" ht="12" x14ac:dyDescent="0.2">
      <c r="A195" s="9" t="str">
        <f>MID(Summary!$B$1,FIND(" ",Summary!$B$1,1)+1,4)</f>
        <v>2023</v>
      </c>
      <c r="B195" s="9" t="s">
        <v>262</v>
      </c>
      <c r="C195" s="9" t="s">
        <v>332</v>
      </c>
      <c r="D195"/>
      <c r="E195" s="9" t="s">
        <v>13</v>
      </c>
      <c r="F195" s="9" t="s">
        <v>1957</v>
      </c>
      <c r="G195" s="2063">
        <f>Summary!E128</f>
        <v>0</v>
      </c>
      <c r="J195" s="2058"/>
      <c r="K195" s="2058"/>
      <c r="L195" s="2058"/>
      <c r="M195" s="2058"/>
      <c r="N195" s="2058"/>
      <c r="O195" s="2058"/>
      <c r="P195" s="2058"/>
      <c r="Q195" s="2058"/>
      <c r="R195" s="2058"/>
      <c r="S195" s="2058"/>
      <c r="T195" s="2058"/>
      <c r="U195" s="2058"/>
      <c r="V195" s="2058"/>
      <c r="W195" s="2058"/>
      <c r="X195" s="2058"/>
      <c r="Y195" s="2058"/>
      <c r="Z195" s="2058"/>
    </row>
    <row r="196" spans="1:26" ht="12" x14ac:dyDescent="0.2">
      <c r="A196" s="9" t="str">
        <f>MID(Summary!$B$1,FIND(" ",Summary!$B$1,1)+1,4)</f>
        <v>2023</v>
      </c>
      <c r="B196" s="9" t="s">
        <v>262</v>
      </c>
      <c r="C196" s="9" t="s">
        <v>332</v>
      </c>
      <c r="D196"/>
      <c r="E196" s="9" t="s">
        <v>1963</v>
      </c>
      <c r="F196" s="9" t="s">
        <v>1957</v>
      </c>
      <c r="G196" s="2063">
        <f>Summary!E129</f>
        <v>0</v>
      </c>
      <c r="J196" s="2058"/>
      <c r="K196" s="2058"/>
      <c r="L196" s="2058"/>
      <c r="M196" s="2058"/>
      <c r="N196" s="2058"/>
      <c r="O196" s="2058"/>
      <c r="P196" s="2058"/>
      <c r="Q196" s="2058"/>
      <c r="R196" s="2058"/>
      <c r="S196" s="2058"/>
      <c r="T196" s="2058"/>
      <c r="U196" s="2058"/>
      <c r="V196" s="2058"/>
      <c r="W196" s="2058"/>
      <c r="X196" s="2058"/>
      <c r="Y196" s="2058"/>
      <c r="Z196" s="2058"/>
    </row>
    <row r="197" spans="1:26" ht="12" x14ac:dyDescent="0.2">
      <c r="A197" s="9" t="str">
        <f>MID(Summary!$B$1,FIND(" ",Summary!$B$1,1)+1,4)</f>
        <v>2023</v>
      </c>
      <c r="B197" s="9" t="s">
        <v>262</v>
      </c>
      <c r="C197" s="9" t="s">
        <v>266</v>
      </c>
      <c r="D197"/>
      <c r="E197" s="9" t="s">
        <v>10</v>
      </c>
      <c r="F197" s="9" t="s">
        <v>1959</v>
      </c>
      <c r="G197" s="2063">
        <f>Summary!D95</f>
        <v>1.523930612083491</v>
      </c>
      <c r="H197" s="2058"/>
      <c r="I197" s="2058"/>
      <c r="J197" s="2058"/>
      <c r="K197" s="2058"/>
      <c r="L197" s="2058"/>
      <c r="M197" s="2058"/>
      <c r="N197" s="2058"/>
      <c r="O197" s="2058"/>
      <c r="P197" s="2058"/>
      <c r="Q197" s="2058"/>
      <c r="R197" s="2058"/>
      <c r="S197" s="2058"/>
      <c r="T197" s="2058"/>
      <c r="U197" s="2058"/>
      <c r="V197" s="2058"/>
      <c r="W197" s="2058"/>
      <c r="X197" s="2058"/>
      <c r="Y197" s="2058"/>
      <c r="Z197" s="2058"/>
    </row>
    <row r="198" spans="1:26" ht="12" x14ac:dyDescent="0.2">
      <c r="A198" s="9" t="str">
        <f>MID(Summary!$B$1,FIND(" ",Summary!$B$1,1)+1,4)</f>
        <v>2023</v>
      </c>
      <c r="B198" s="9" t="s">
        <v>262</v>
      </c>
      <c r="C198" s="9" t="s">
        <v>266</v>
      </c>
      <c r="D198"/>
      <c r="E198" s="9" t="s">
        <v>13</v>
      </c>
      <c r="F198" s="9" t="s">
        <v>1959</v>
      </c>
      <c r="G198" s="2063">
        <f>Summary!D96</f>
        <v>0</v>
      </c>
      <c r="H198" s="2058"/>
      <c r="I198" s="2058"/>
      <c r="J198" s="2058"/>
      <c r="K198" s="2058"/>
      <c r="L198" s="2058"/>
      <c r="M198" s="2058"/>
      <c r="N198" s="2058"/>
      <c r="O198" s="2058"/>
      <c r="P198" s="2058"/>
      <c r="Q198" s="2058"/>
      <c r="R198" s="2058"/>
      <c r="S198" s="2058"/>
      <c r="T198" s="2058"/>
      <c r="U198" s="2058"/>
      <c r="V198" s="2058"/>
      <c r="W198" s="2058"/>
      <c r="X198" s="2058"/>
      <c r="Y198" s="2058"/>
      <c r="Z198" s="2058"/>
    </row>
    <row r="199" spans="1:26" ht="12" x14ac:dyDescent="0.2">
      <c r="A199" s="9" t="str">
        <f>MID(Summary!$B$1,FIND(" ",Summary!$B$1,1)+1,4)</f>
        <v>2023</v>
      </c>
      <c r="B199" s="9" t="s">
        <v>262</v>
      </c>
      <c r="C199" s="9" t="s">
        <v>266</v>
      </c>
      <c r="D199"/>
      <c r="E199" s="9" t="s">
        <v>14</v>
      </c>
      <c r="F199" s="9" t="s">
        <v>1959</v>
      </c>
      <c r="G199" s="2063">
        <f>Summary!D97</f>
        <v>0</v>
      </c>
      <c r="H199" s="2058"/>
      <c r="I199" s="2058"/>
      <c r="J199" s="2058"/>
      <c r="K199" s="2058"/>
      <c r="L199" s="2058"/>
      <c r="M199" s="2058"/>
      <c r="N199" s="2058"/>
      <c r="O199" s="2058"/>
      <c r="P199" s="2058"/>
      <c r="Q199" s="2058"/>
      <c r="R199" s="2058"/>
      <c r="S199" s="2058"/>
      <c r="T199" s="2058"/>
      <c r="U199" s="2058"/>
      <c r="V199" s="2058"/>
      <c r="W199" s="2058"/>
      <c r="X199" s="2058"/>
      <c r="Y199" s="2058"/>
      <c r="Z199" s="2058"/>
    </row>
    <row r="200" spans="1:26" ht="12" x14ac:dyDescent="0.2">
      <c r="A200" s="9" t="str">
        <f>MID(Summary!$B$1,FIND(" ",Summary!$B$1,1)+1,4)</f>
        <v>2023</v>
      </c>
      <c r="B200" s="9" t="s">
        <v>262</v>
      </c>
      <c r="C200" s="9" t="s">
        <v>275</v>
      </c>
      <c r="D200"/>
      <c r="E200" s="9" t="s">
        <v>10</v>
      </c>
      <c r="F200" s="9" t="s">
        <v>1959</v>
      </c>
      <c r="G200" s="2063">
        <f>Summary!D99</f>
        <v>0.2232934</v>
      </c>
      <c r="H200" s="2058"/>
      <c r="I200" s="2058"/>
      <c r="J200" s="2058"/>
      <c r="K200" s="2058"/>
      <c r="L200" s="2058"/>
      <c r="M200" s="2058"/>
      <c r="N200" s="2058"/>
      <c r="O200" s="2058"/>
      <c r="P200" s="2058"/>
      <c r="Q200" s="2058"/>
      <c r="R200" s="2058"/>
      <c r="S200" s="2058"/>
      <c r="T200" s="2058"/>
      <c r="U200" s="2058"/>
      <c r="V200" s="2058"/>
      <c r="W200" s="2058"/>
      <c r="X200" s="2058"/>
      <c r="Y200" s="2058"/>
      <c r="Z200" s="2058"/>
    </row>
    <row r="201" spans="1:26" ht="12" x14ac:dyDescent="0.2">
      <c r="A201" s="9" t="str">
        <f>MID(Summary!$B$1,FIND(" ",Summary!$B$1,1)+1,4)</f>
        <v>2023</v>
      </c>
      <c r="B201" s="9" t="s">
        <v>262</v>
      </c>
      <c r="C201" s="9" t="s">
        <v>275</v>
      </c>
      <c r="D201"/>
      <c r="E201" s="9" t="s">
        <v>13</v>
      </c>
      <c r="F201" s="9" t="s">
        <v>1959</v>
      </c>
      <c r="G201" s="2063">
        <f>Summary!D100</f>
        <v>0</v>
      </c>
      <c r="H201" s="2058"/>
      <c r="I201" s="2058"/>
      <c r="J201" s="2058"/>
      <c r="K201" s="2058"/>
      <c r="L201" s="2058"/>
      <c r="M201" s="2058"/>
      <c r="N201" s="2058"/>
      <c r="O201" s="2058"/>
      <c r="P201" s="2058"/>
      <c r="Q201" s="2058"/>
      <c r="R201" s="2058"/>
      <c r="S201" s="2058"/>
      <c r="T201" s="2058"/>
      <c r="U201" s="2058"/>
      <c r="V201" s="2058"/>
      <c r="W201" s="2058"/>
      <c r="X201" s="2058"/>
      <c r="Y201" s="2058"/>
      <c r="Z201" s="2058"/>
    </row>
    <row r="202" spans="1:26" ht="12" x14ac:dyDescent="0.2">
      <c r="A202" s="9" t="str">
        <f>MID(Summary!$B$1,FIND(" ",Summary!$B$1,1)+1,4)</f>
        <v>2023</v>
      </c>
      <c r="B202" s="9" t="s">
        <v>262</v>
      </c>
      <c r="C202" s="9" t="s">
        <v>275</v>
      </c>
      <c r="D202"/>
      <c r="E202" s="9" t="s">
        <v>14</v>
      </c>
      <c r="F202" s="9" t="s">
        <v>1959</v>
      </c>
      <c r="G202" s="2063">
        <f>Summary!D101</f>
        <v>0</v>
      </c>
      <c r="H202" s="2058"/>
      <c r="I202" s="2058"/>
      <c r="J202" s="2058"/>
      <c r="K202" s="2058"/>
      <c r="L202" s="2058"/>
      <c r="M202" s="2058"/>
      <c r="N202" s="2058"/>
      <c r="O202" s="2058"/>
      <c r="P202" s="2058"/>
      <c r="Q202" s="2058"/>
      <c r="R202" s="2058"/>
      <c r="S202" s="2058"/>
      <c r="T202" s="2058"/>
      <c r="U202" s="2058"/>
      <c r="V202" s="2058"/>
      <c r="W202" s="2058"/>
      <c r="X202" s="2058"/>
      <c r="Y202" s="2058"/>
      <c r="Z202" s="2058"/>
    </row>
    <row r="203" spans="1:26" ht="12" x14ac:dyDescent="0.2">
      <c r="A203" s="9" t="str">
        <f>MID(Summary!$B$1,FIND(" ",Summary!$B$1,1)+1,4)</f>
        <v>2023</v>
      </c>
      <c r="B203" s="9" t="s">
        <v>262</v>
      </c>
      <c r="C203" s="9" t="s">
        <v>282</v>
      </c>
      <c r="D203"/>
      <c r="E203" s="9" t="s">
        <v>10</v>
      </c>
      <c r="F203" s="9" t="s">
        <v>1959</v>
      </c>
      <c r="G203" s="2063">
        <f>Summary!D103</f>
        <v>3.4139559999999999E-2</v>
      </c>
      <c r="H203" s="2058"/>
      <c r="I203" s="2058"/>
      <c r="J203" s="2058"/>
      <c r="K203" s="2058"/>
      <c r="L203" s="2058"/>
      <c r="M203" s="2058"/>
      <c r="N203" s="2058"/>
      <c r="O203" s="2058"/>
      <c r="P203" s="2058"/>
      <c r="Q203" s="2058"/>
      <c r="R203" s="2058"/>
      <c r="S203" s="2058"/>
      <c r="T203" s="2058"/>
      <c r="U203" s="2058"/>
      <c r="V203" s="2058"/>
      <c r="W203" s="2058"/>
      <c r="X203" s="2058"/>
      <c r="Y203" s="2058"/>
      <c r="Z203" s="2058"/>
    </row>
    <row r="204" spans="1:26" ht="12" x14ac:dyDescent="0.2">
      <c r="A204" s="9" t="str">
        <f>MID(Summary!$B$1,FIND(" ",Summary!$B$1,1)+1,4)</f>
        <v>2023</v>
      </c>
      <c r="B204" s="9" t="s">
        <v>262</v>
      </c>
      <c r="C204" s="9" t="s">
        <v>282</v>
      </c>
      <c r="D204"/>
      <c r="E204" s="9" t="s">
        <v>13</v>
      </c>
      <c r="F204" s="9" t="s">
        <v>1959</v>
      </c>
      <c r="G204" s="2063">
        <f>Summary!D104</f>
        <v>0</v>
      </c>
      <c r="H204" s="2058"/>
      <c r="I204" s="2058"/>
      <c r="J204" s="2058"/>
      <c r="K204" s="2058"/>
      <c r="L204" s="2058"/>
      <c r="M204" s="2058"/>
      <c r="N204" s="2058"/>
      <c r="O204" s="2058"/>
      <c r="P204" s="2058"/>
      <c r="Q204" s="2058"/>
      <c r="R204" s="2058"/>
      <c r="S204" s="2058"/>
      <c r="T204" s="2058"/>
      <c r="U204" s="2058"/>
      <c r="V204" s="2058"/>
      <c r="W204" s="2058"/>
      <c r="X204" s="2058"/>
      <c r="Y204" s="2058"/>
      <c r="Z204" s="2058"/>
    </row>
    <row r="205" spans="1:26" ht="12" x14ac:dyDescent="0.2">
      <c r="A205" s="9" t="str">
        <f>MID(Summary!$B$1,FIND(" ",Summary!$B$1,1)+1,4)</f>
        <v>2023</v>
      </c>
      <c r="B205" s="9" t="s">
        <v>262</v>
      </c>
      <c r="C205" s="9" t="s">
        <v>282</v>
      </c>
      <c r="D205"/>
      <c r="E205" s="9" t="s">
        <v>14</v>
      </c>
      <c r="F205" s="9" t="s">
        <v>1959</v>
      </c>
      <c r="G205" s="2063">
        <f>Summary!D105</f>
        <v>0</v>
      </c>
      <c r="H205" s="2058"/>
      <c r="I205" s="2058"/>
      <c r="J205" s="2058"/>
      <c r="K205" s="2058"/>
      <c r="L205" s="2058"/>
      <c r="M205" s="2058"/>
      <c r="N205" s="2058"/>
      <c r="O205" s="2058"/>
      <c r="P205" s="2058"/>
      <c r="Q205" s="2058"/>
      <c r="R205" s="2058"/>
      <c r="S205" s="2058"/>
      <c r="T205" s="2058"/>
      <c r="U205" s="2058"/>
      <c r="V205" s="2058"/>
      <c r="W205" s="2058"/>
      <c r="X205" s="2058"/>
      <c r="Y205" s="2058"/>
      <c r="Z205" s="2058"/>
    </row>
    <row r="206" spans="1:26" ht="12" x14ac:dyDescent="0.2">
      <c r="A206" s="9" t="str">
        <f>MID(Summary!$B$1,FIND(" ",Summary!$B$1,1)+1,4)</f>
        <v>2023</v>
      </c>
      <c r="B206" s="9" t="s">
        <v>262</v>
      </c>
      <c r="C206" s="9" t="s">
        <v>292</v>
      </c>
      <c r="D206"/>
      <c r="E206" s="9" t="s">
        <v>10</v>
      </c>
      <c r="F206" s="9" t="s">
        <v>1959</v>
      </c>
      <c r="G206" s="2063">
        <f>Summary!D107</f>
        <v>0</v>
      </c>
      <c r="H206" s="2058"/>
      <c r="I206" s="2058"/>
      <c r="J206" s="2058"/>
      <c r="K206" s="2058"/>
      <c r="L206" s="2058"/>
      <c r="M206" s="2058"/>
      <c r="N206" s="2058"/>
      <c r="O206" s="2058"/>
      <c r="P206" s="2058"/>
      <c r="Q206" s="2058"/>
      <c r="R206" s="2058"/>
      <c r="S206" s="2058"/>
      <c r="T206" s="2058"/>
      <c r="U206" s="2058"/>
      <c r="V206" s="2058"/>
      <c r="W206" s="2058"/>
      <c r="X206" s="2058"/>
      <c r="Y206" s="2058"/>
      <c r="Z206" s="2058"/>
    </row>
    <row r="207" spans="1:26" ht="12" x14ac:dyDescent="0.2">
      <c r="A207" s="9" t="str">
        <f>MID(Summary!$B$1,FIND(" ",Summary!$B$1,1)+1,4)</f>
        <v>2023</v>
      </c>
      <c r="B207" s="9" t="s">
        <v>262</v>
      </c>
      <c r="C207" s="9" t="s">
        <v>292</v>
      </c>
      <c r="D207"/>
      <c r="E207" s="9" t="s">
        <v>13</v>
      </c>
      <c r="F207" s="9" t="s">
        <v>1959</v>
      </c>
      <c r="G207" s="2063">
        <f>Summary!D108</f>
        <v>0</v>
      </c>
      <c r="H207" s="2058"/>
      <c r="I207" s="2058"/>
      <c r="J207" s="2058"/>
      <c r="K207" s="2058"/>
      <c r="L207" s="2058"/>
      <c r="M207" s="2058"/>
      <c r="N207" s="2058"/>
      <c r="O207" s="2058"/>
      <c r="P207" s="2058"/>
      <c r="Q207" s="2058"/>
      <c r="R207" s="2058"/>
      <c r="S207" s="2058"/>
      <c r="T207" s="2058"/>
      <c r="U207" s="2058"/>
      <c r="V207" s="2058"/>
      <c r="W207" s="2058"/>
      <c r="X207" s="2058"/>
      <c r="Y207" s="2058"/>
      <c r="Z207" s="2058"/>
    </row>
    <row r="208" spans="1:26" ht="12" x14ac:dyDescent="0.2">
      <c r="A208" s="9" t="str">
        <f>MID(Summary!$B$1,FIND(" ",Summary!$B$1,1)+1,4)</f>
        <v>2023</v>
      </c>
      <c r="B208" s="9" t="s">
        <v>262</v>
      </c>
      <c r="C208" s="9" t="s">
        <v>292</v>
      </c>
      <c r="D208"/>
      <c r="E208" s="9" t="s">
        <v>14</v>
      </c>
      <c r="F208" s="9" t="s">
        <v>1959</v>
      </c>
      <c r="G208" s="2063">
        <f>Summary!D109</f>
        <v>0</v>
      </c>
      <c r="H208" s="2058"/>
      <c r="I208" s="2058"/>
      <c r="J208" s="2058"/>
      <c r="K208" s="2058"/>
      <c r="L208" s="2058"/>
      <c r="M208" s="2058"/>
      <c r="N208" s="2058"/>
      <c r="O208" s="2058"/>
      <c r="P208" s="2058"/>
      <c r="Q208" s="2058"/>
      <c r="R208" s="2058"/>
      <c r="S208" s="2058"/>
      <c r="T208" s="2058"/>
      <c r="U208" s="2058"/>
      <c r="V208" s="2058"/>
      <c r="W208" s="2058"/>
      <c r="X208" s="2058"/>
      <c r="Y208" s="2058"/>
      <c r="Z208" s="2058"/>
    </row>
    <row r="209" spans="1:26" ht="12" x14ac:dyDescent="0.2">
      <c r="A209" s="9" t="str">
        <f>MID(Summary!$B$1,FIND(" ",Summary!$B$1,1)+1,4)</f>
        <v>2023</v>
      </c>
      <c r="B209" s="9" t="s">
        <v>262</v>
      </c>
      <c r="C209" s="9" t="s">
        <v>298</v>
      </c>
      <c r="D209"/>
      <c r="E209" s="9" t="s">
        <v>10</v>
      </c>
      <c r="F209" s="9" t="s">
        <v>1959</v>
      </c>
      <c r="G209" s="2063">
        <f>Summary!D111</f>
        <v>0</v>
      </c>
      <c r="H209" s="2058"/>
      <c r="I209" s="2058"/>
      <c r="J209" s="2058"/>
      <c r="K209" s="2058"/>
      <c r="L209" s="2058"/>
      <c r="M209" s="2058"/>
      <c r="N209" s="2058"/>
      <c r="O209" s="2058"/>
      <c r="P209" s="2058"/>
      <c r="Q209" s="2058"/>
      <c r="R209" s="2058"/>
      <c r="S209" s="2058"/>
      <c r="T209" s="2058"/>
      <c r="U209" s="2058"/>
      <c r="V209" s="2058"/>
      <c r="W209" s="2058"/>
      <c r="X209" s="2058"/>
      <c r="Y209" s="2058"/>
      <c r="Z209" s="2058"/>
    </row>
    <row r="210" spans="1:26" ht="12" x14ac:dyDescent="0.2">
      <c r="A210" s="9" t="str">
        <f>MID(Summary!$B$1,FIND(" ",Summary!$B$1,1)+1,4)</f>
        <v>2023</v>
      </c>
      <c r="B210" s="9" t="s">
        <v>262</v>
      </c>
      <c r="C210" s="9" t="s">
        <v>298</v>
      </c>
      <c r="D210"/>
      <c r="E210" s="9" t="s">
        <v>13</v>
      </c>
      <c r="F210" s="9" t="s">
        <v>1959</v>
      </c>
      <c r="G210" s="2063">
        <f>Summary!D112</f>
        <v>0</v>
      </c>
      <c r="H210" s="2058"/>
      <c r="I210" s="2058"/>
      <c r="J210" s="2058"/>
      <c r="K210" s="2058"/>
      <c r="L210" s="2058"/>
      <c r="M210" s="2058"/>
      <c r="N210" s="2058"/>
      <c r="O210" s="2058"/>
      <c r="P210" s="2058"/>
      <c r="Q210" s="2058"/>
      <c r="R210" s="2058"/>
      <c r="S210" s="2058"/>
      <c r="T210" s="2058"/>
      <c r="U210" s="2058"/>
      <c r="V210" s="2058"/>
      <c r="W210" s="2058"/>
      <c r="X210" s="2058"/>
      <c r="Y210" s="2058"/>
      <c r="Z210" s="2058"/>
    </row>
    <row r="211" spans="1:26" ht="12" x14ac:dyDescent="0.2">
      <c r="A211" s="9" t="str">
        <f>MID(Summary!$B$1,FIND(" ",Summary!$B$1,1)+1,4)</f>
        <v>2023</v>
      </c>
      <c r="B211" s="9" t="s">
        <v>262</v>
      </c>
      <c r="C211" s="9" t="s">
        <v>298</v>
      </c>
      <c r="D211"/>
      <c r="E211" s="9" t="s">
        <v>1963</v>
      </c>
      <c r="F211" s="9" t="s">
        <v>1959</v>
      </c>
      <c r="G211" s="2063">
        <f>Summary!D113</f>
        <v>8.4785337175363775</v>
      </c>
      <c r="H211" s="2058"/>
      <c r="I211" s="2058"/>
      <c r="J211" s="2058"/>
      <c r="K211" s="2058"/>
      <c r="L211" s="2058"/>
      <c r="M211" s="2058"/>
      <c r="N211" s="2058"/>
      <c r="O211" s="2058"/>
      <c r="P211" s="2058"/>
      <c r="Q211" s="2058"/>
      <c r="R211" s="2058"/>
      <c r="S211" s="2058"/>
      <c r="T211" s="2058"/>
      <c r="U211" s="2058"/>
      <c r="V211" s="2058"/>
      <c r="W211" s="2058"/>
      <c r="X211" s="2058"/>
      <c r="Y211" s="2058"/>
      <c r="Z211" s="2058"/>
    </row>
    <row r="212" spans="1:26" ht="12" x14ac:dyDescent="0.2">
      <c r="A212" s="9" t="str">
        <f>MID(Summary!$B$1,FIND(" ",Summary!$B$1,1)+1,4)</f>
        <v>2023</v>
      </c>
      <c r="B212" s="9" t="s">
        <v>262</v>
      </c>
      <c r="C212" s="9" t="s">
        <v>304</v>
      </c>
      <c r="D212"/>
      <c r="E212" s="9" t="s">
        <v>10</v>
      </c>
      <c r="F212" s="9" t="s">
        <v>1959</v>
      </c>
      <c r="G212" s="2063">
        <f>Summary!D115</f>
        <v>0</v>
      </c>
      <c r="H212" s="2058"/>
      <c r="I212" s="2058"/>
      <c r="J212" s="2058"/>
      <c r="K212" s="2058"/>
      <c r="L212" s="2058"/>
      <c r="M212" s="2058"/>
      <c r="N212" s="2058"/>
      <c r="O212" s="2058"/>
      <c r="P212" s="2058"/>
      <c r="Q212" s="2058"/>
      <c r="R212" s="2058"/>
      <c r="S212" s="2058"/>
      <c r="T212" s="2058"/>
      <c r="U212" s="2058"/>
      <c r="V212" s="2058"/>
      <c r="W212" s="2058"/>
      <c r="X212" s="2058"/>
      <c r="Y212" s="2058"/>
      <c r="Z212" s="2058"/>
    </row>
    <row r="213" spans="1:26" ht="12" x14ac:dyDescent="0.2">
      <c r="A213" s="9" t="str">
        <f>MID(Summary!$B$1,FIND(" ",Summary!$B$1,1)+1,4)</f>
        <v>2023</v>
      </c>
      <c r="B213" s="9" t="s">
        <v>262</v>
      </c>
      <c r="C213" s="9" t="s">
        <v>304</v>
      </c>
      <c r="D213"/>
      <c r="E213" s="9" t="s">
        <v>13</v>
      </c>
      <c r="F213" s="9" t="s">
        <v>1959</v>
      </c>
      <c r="G213" s="2063">
        <f>Summary!D116</f>
        <v>0</v>
      </c>
      <c r="H213" s="2058"/>
      <c r="I213" s="2058"/>
      <c r="J213" s="2058"/>
      <c r="K213" s="2058"/>
      <c r="L213" s="2058"/>
      <c r="M213" s="2058"/>
      <c r="N213" s="2058"/>
      <c r="O213" s="2058"/>
      <c r="P213" s="2058"/>
      <c r="Q213" s="2058"/>
      <c r="R213" s="2058"/>
      <c r="S213" s="2058"/>
      <c r="T213" s="2058"/>
      <c r="U213" s="2058"/>
      <c r="V213" s="2058"/>
      <c r="W213" s="2058"/>
      <c r="X213" s="2058"/>
      <c r="Y213" s="2058"/>
      <c r="Z213" s="2058"/>
    </row>
    <row r="214" spans="1:26" ht="12" x14ac:dyDescent="0.2">
      <c r="A214" s="9" t="str">
        <f>MID(Summary!$B$1,FIND(" ",Summary!$B$1,1)+1,4)</f>
        <v>2023</v>
      </c>
      <c r="B214" s="9" t="s">
        <v>262</v>
      </c>
      <c r="C214" s="9" t="s">
        <v>304</v>
      </c>
      <c r="D214"/>
      <c r="E214" s="9" t="s">
        <v>1963</v>
      </c>
      <c r="F214" s="9" t="s">
        <v>1959</v>
      </c>
      <c r="G214" s="2063">
        <f>Summary!D117</f>
        <v>5.824E-2</v>
      </c>
      <c r="H214" s="2058"/>
      <c r="I214" s="2058"/>
      <c r="J214" s="2058"/>
      <c r="K214" s="2058"/>
      <c r="L214" s="2058"/>
      <c r="M214" s="2058"/>
      <c r="N214" s="2058"/>
      <c r="O214" s="2058"/>
      <c r="P214" s="2058"/>
      <c r="Q214" s="2058"/>
      <c r="R214" s="2058"/>
      <c r="S214" s="2058"/>
      <c r="T214" s="2058"/>
      <c r="U214" s="2058"/>
      <c r="V214" s="2058"/>
      <c r="W214" s="2058"/>
      <c r="X214" s="2058"/>
      <c r="Y214" s="2058"/>
      <c r="Z214" s="2058"/>
    </row>
    <row r="215" spans="1:26" ht="12" x14ac:dyDescent="0.2">
      <c r="A215" s="9" t="str">
        <f>MID(Summary!$B$1,FIND(" ",Summary!$B$1,1)+1,4)</f>
        <v>2023</v>
      </c>
      <c r="B215" s="9" t="s">
        <v>262</v>
      </c>
      <c r="C215" s="9" t="s">
        <v>314</v>
      </c>
      <c r="D215"/>
      <c r="E215" s="9" t="s">
        <v>10</v>
      </c>
      <c r="F215" s="9" t="s">
        <v>1959</v>
      </c>
      <c r="G215" s="2063">
        <f>Summary!D119</f>
        <v>0</v>
      </c>
      <c r="H215" s="2058"/>
      <c r="I215" s="2058"/>
      <c r="J215" s="2058"/>
      <c r="K215" s="2058"/>
      <c r="L215" s="2058"/>
      <c r="M215" s="2058"/>
      <c r="N215" s="2058"/>
      <c r="O215" s="2058"/>
      <c r="P215" s="2058"/>
      <c r="Q215" s="2058"/>
      <c r="R215" s="2058"/>
      <c r="S215" s="2058"/>
      <c r="T215" s="2058"/>
      <c r="U215" s="2058"/>
      <c r="V215" s="2058"/>
      <c r="W215" s="2058"/>
      <c r="X215" s="2058"/>
      <c r="Y215" s="2058"/>
      <c r="Z215" s="2058"/>
    </row>
    <row r="216" spans="1:26" ht="12" x14ac:dyDescent="0.2">
      <c r="A216" s="9" t="str">
        <f>MID(Summary!$B$1,FIND(" ",Summary!$B$1,1)+1,4)</f>
        <v>2023</v>
      </c>
      <c r="B216" s="9" t="s">
        <v>262</v>
      </c>
      <c r="C216" s="9" t="s">
        <v>314</v>
      </c>
      <c r="D216"/>
      <c r="E216" s="9" t="s">
        <v>13</v>
      </c>
      <c r="F216" s="9" t="s">
        <v>1959</v>
      </c>
      <c r="G216" s="2063">
        <f>Summary!D120</f>
        <v>0</v>
      </c>
      <c r="H216" s="2058"/>
      <c r="I216" s="2058"/>
      <c r="J216" s="2058"/>
      <c r="K216" s="2058"/>
      <c r="L216" s="2058"/>
      <c r="M216" s="2058"/>
      <c r="N216" s="2058"/>
      <c r="O216" s="2058"/>
      <c r="P216" s="2058"/>
      <c r="Q216" s="2058"/>
      <c r="R216" s="2058"/>
      <c r="S216" s="2058"/>
      <c r="T216" s="2058"/>
      <c r="U216" s="2058"/>
      <c r="V216" s="2058"/>
      <c r="W216" s="2058"/>
      <c r="X216" s="2058"/>
      <c r="Y216" s="2058"/>
      <c r="Z216" s="2058"/>
    </row>
    <row r="217" spans="1:26" ht="12" x14ac:dyDescent="0.2">
      <c r="A217" s="9" t="str">
        <f>MID(Summary!$B$1,FIND(" ",Summary!$B$1,1)+1,4)</f>
        <v>2023</v>
      </c>
      <c r="B217" s="9" t="s">
        <v>262</v>
      </c>
      <c r="C217" s="9" t="s">
        <v>314</v>
      </c>
      <c r="D217"/>
      <c r="E217" s="9" t="s">
        <v>1963</v>
      </c>
      <c r="F217" s="9" t="s">
        <v>1959</v>
      </c>
      <c r="G217" s="2063">
        <f>Summary!D121</f>
        <v>0</v>
      </c>
      <c r="H217" s="2058"/>
      <c r="I217" s="2058"/>
      <c r="J217" s="2058"/>
      <c r="K217" s="2058"/>
      <c r="L217" s="2058"/>
      <c r="M217" s="2058"/>
      <c r="N217" s="2058"/>
      <c r="O217" s="2058"/>
      <c r="P217" s="2058"/>
      <c r="Q217" s="2058"/>
      <c r="R217" s="2058"/>
      <c r="S217" s="2058"/>
      <c r="T217" s="2058"/>
      <c r="U217" s="2058"/>
      <c r="V217" s="2058"/>
      <c r="W217" s="2058"/>
      <c r="X217" s="2058"/>
      <c r="Y217" s="2058"/>
      <c r="Z217" s="2058"/>
    </row>
    <row r="218" spans="1:26" ht="12" x14ac:dyDescent="0.2">
      <c r="A218" s="9" t="str">
        <f>MID(Summary!$B$1,FIND(" ",Summary!$B$1,1)+1,4)</f>
        <v>2023</v>
      </c>
      <c r="B218" s="9" t="s">
        <v>262</v>
      </c>
      <c r="C218" s="9" t="s">
        <v>321</v>
      </c>
      <c r="D218"/>
      <c r="E218" s="9" t="s">
        <v>10</v>
      </c>
      <c r="F218" s="9" t="s">
        <v>1959</v>
      </c>
      <c r="G218" s="2063">
        <f>Summary!D123</f>
        <v>1.1030300000000001E-3</v>
      </c>
      <c r="H218" s="2058"/>
      <c r="I218" s="2058"/>
      <c r="J218" s="2058"/>
      <c r="K218" s="2058"/>
      <c r="L218" s="2058"/>
      <c r="M218" s="2058"/>
      <c r="N218" s="2058"/>
      <c r="O218" s="2058"/>
      <c r="P218" s="2058"/>
      <c r="Q218" s="2058"/>
      <c r="R218" s="2058"/>
      <c r="S218" s="2058"/>
      <c r="T218" s="2058"/>
      <c r="U218" s="2058"/>
      <c r="V218" s="2058"/>
      <c r="W218" s="2058"/>
      <c r="X218" s="2058"/>
      <c r="Y218" s="2058"/>
      <c r="Z218" s="2058"/>
    </row>
    <row r="219" spans="1:26" ht="12" x14ac:dyDescent="0.2">
      <c r="A219" s="9" t="str">
        <f>MID(Summary!$B$1,FIND(" ",Summary!$B$1,1)+1,4)</f>
        <v>2023</v>
      </c>
      <c r="B219" s="9" t="s">
        <v>262</v>
      </c>
      <c r="C219" s="9" t="s">
        <v>321</v>
      </c>
      <c r="D219"/>
      <c r="E219" s="9" t="s">
        <v>13</v>
      </c>
      <c r="F219" s="9" t="s">
        <v>1959</v>
      </c>
      <c r="G219" s="2063">
        <f>Summary!D124</f>
        <v>0</v>
      </c>
      <c r="H219" s="2058"/>
      <c r="I219" s="2058"/>
      <c r="J219" s="2058"/>
      <c r="K219" s="2058"/>
      <c r="L219" s="2058"/>
      <c r="M219" s="2058"/>
      <c r="N219" s="2058"/>
      <c r="O219" s="2058"/>
      <c r="P219" s="2058"/>
      <c r="Q219" s="2058"/>
      <c r="R219" s="2058"/>
      <c r="S219" s="2058"/>
      <c r="T219" s="2058"/>
      <c r="U219" s="2058"/>
      <c r="V219" s="2058"/>
      <c r="W219" s="2058"/>
      <c r="X219" s="2058"/>
      <c r="Y219" s="2058"/>
      <c r="Z219" s="2058"/>
    </row>
    <row r="220" spans="1:26" ht="12" x14ac:dyDescent="0.2">
      <c r="A220" s="9" t="str">
        <f>MID(Summary!$B$1,FIND(" ",Summary!$B$1,1)+1,4)</f>
        <v>2023</v>
      </c>
      <c r="B220" s="9" t="s">
        <v>262</v>
      </c>
      <c r="C220" s="9" t="s">
        <v>321</v>
      </c>
      <c r="D220"/>
      <c r="E220" s="9" t="s">
        <v>1963</v>
      </c>
      <c r="F220" s="9" t="s">
        <v>1959</v>
      </c>
      <c r="G220" s="2063">
        <f>Summary!D125</f>
        <v>0</v>
      </c>
      <c r="H220" s="2058"/>
      <c r="I220" s="2058"/>
      <c r="J220" s="2058"/>
      <c r="K220" s="2058"/>
      <c r="L220" s="2058"/>
      <c r="M220" s="2058"/>
      <c r="N220" s="2058"/>
      <c r="O220" s="2058"/>
      <c r="P220" s="2058"/>
      <c r="Q220" s="2058"/>
      <c r="R220" s="2058"/>
      <c r="S220" s="2058"/>
      <c r="T220" s="2058"/>
      <c r="U220" s="2058"/>
      <c r="V220" s="2058"/>
      <c r="W220" s="2058"/>
      <c r="X220" s="2058"/>
      <c r="Y220" s="2058"/>
      <c r="Z220" s="2058"/>
    </row>
    <row r="221" spans="1:26" ht="12" x14ac:dyDescent="0.2">
      <c r="A221" s="9" t="str">
        <f>MID(Summary!$B$1,FIND(" ",Summary!$B$1,1)+1,4)</f>
        <v>2023</v>
      </c>
      <c r="B221" s="9" t="s">
        <v>262</v>
      </c>
      <c r="C221" s="9" t="s">
        <v>332</v>
      </c>
      <c r="D221"/>
      <c r="E221" s="9" t="s">
        <v>10</v>
      </c>
      <c r="F221" s="9" t="s">
        <v>1959</v>
      </c>
      <c r="G221" s="2063">
        <f>Summary!D127</f>
        <v>0</v>
      </c>
      <c r="H221" s="2058"/>
      <c r="I221" s="2058"/>
      <c r="J221" s="2058"/>
      <c r="K221" s="2058"/>
      <c r="L221" s="2058"/>
      <c r="M221" s="2058"/>
      <c r="N221" s="2058"/>
      <c r="O221" s="2058"/>
      <c r="P221" s="2058"/>
      <c r="Q221" s="2058"/>
      <c r="R221" s="2058"/>
      <c r="S221" s="2058"/>
      <c r="T221" s="2058"/>
      <c r="U221" s="2058"/>
      <c r="V221" s="2058"/>
      <c r="W221" s="2058"/>
      <c r="X221" s="2058"/>
      <c r="Y221" s="2058"/>
      <c r="Z221" s="2058"/>
    </row>
    <row r="222" spans="1:26" ht="12" x14ac:dyDescent="0.2">
      <c r="A222" s="9" t="str">
        <f>MID(Summary!$B$1,FIND(" ",Summary!$B$1,1)+1,4)</f>
        <v>2023</v>
      </c>
      <c r="B222" s="9" t="s">
        <v>262</v>
      </c>
      <c r="C222" s="9" t="s">
        <v>332</v>
      </c>
      <c r="D222"/>
      <c r="E222" s="9" t="s">
        <v>13</v>
      </c>
      <c r="F222" s="9" t="s">
        <v>1959</v>
      </c>
      <c r="G222" s="2063">
        <f>Summary!D128</f>
        <v>0</v>
      </c>
      <c r="H222" s="2058"/>
      <c r="I222" s="2058"/>
      <c r="J222" s="2058"/>
      <c r="K222" s="2058"/>
      <c r="L222" s="2058"/>
      <c r="M222" s="2058"/>
      <c r="N222" s="2058"/>
      <c r="O222" s="2058"/>
      <c r="P222" s="2058"/>
      <c r="Q222" s="2058"/>
      <c r="R222" s="2058"/>
      <c r="S222" s="2058"/>
      <c r="T222" s="2058"/>
      <c r="U222" s="2058"/>
      <c r="V222" s="2058"/>
      <c r="W222" s="2058"/>
      <c r="X222" s="2058"/>
      <c r="Y222" s="2058"/>
      <c r="Z222" s="2058"/>
    </row>
    <row r="223" spans="1:26" ht="12" x14ac:dyDescent="0.2">
      <c r="A223" s="9" t="str">
        <f>MID(Summary!$B$1,FIND(" ",Summary!$B$1,1)+1,4)</f>
        <v>2023</v>
      </c>
      <c r="B223" s="9" t="s">
        <v>262</v>
      </c>
      <c r="C223" s="9" t="s">
        <v>332</v>
      </c>
      <c r="D223"/>
      <c r="E223" s="9" t="s">
        <v>1963</v>
      </c>
      <c r="F223" s="9" t="s">
        <v>1959</v>
      </c>
      <c r="G223" s="2063">
        <f>Summary!D129</f>
        <v>0</v>
      </c>
      <c r="H223" s="2058"/>
      <c r="I223" s="2058"/>
      <c r="J223" s="2058"/>
      <c r="K223" s="2058"/>
      <c r="L223" s="2058"/>
      <c r="M223" s="2058"/>
      <c r="N223" s="2058"/>
      <c r="O223" s="2058"/>
      <c r="P223" s="2058"/>
      <c r="Q223" s="2058"/>
      <c r="R223" s="2058"/>
      <c r="S223" s="2058"/>
      <c r="T223" s="2058"/>
      <c r="U223" s="2058"/>
      <c r="V223" s="2058"/>
      <c r="W223" s="2058"/>
      <c r="X223" s="2058"/>
      <c r="Y223" s="2058"/>
      <c r="Z223" s="2058"/>
    </row>
    <row r="224" spans="1:26" ht="12" x14ac:dyDescent="0.2">
      <c r="A224" s="9" t="str">
        <f>MID(Summary!$B$1,FIND(" ",Summary!$B$1,1)+1,4)</f>
        <v>2023</v>
      </c>
      <c r="B224" s="9" t="s">
        <v>337</v>
      </c>
      <c r="C224" s="9" t="s">
        <v>339</v>
      </c>
      <c r="D224" s="2064"/>
      <c r="E224" s="9" t="s">
        <v>10</v>
      </c>
      <c r="F224" s="9" t="s">
        <v>1957</v>
      </c>
      <c r="G224" s="2063">
        <f>Summary!E132</f>
        <v>0</v>
      </c>
      <c r="J224" s="2058"/>
      <c r="K224" s="2058"/>
      <c r="L224" s="2058"/>
      <c r="M224" s="2058"/>
      <c r="N224" s="2058"/>
      <c r="O224" s="2058"/>
      <c r="P224" s="2058"/>
      <c r="Q224" s="2058"/>
      <c r="R224" s="2058"/>
      <c r="S224" s="2058"/>
      <c r="T224" s="2058"/>
      <c r="U224" s="2058"/>
      <c r="V224" s="2058"/>
      <c r="W224" s="2058"/>
      <c r="X224" s="2058"/>
      <c r="Y224" s="2058"/>
      <c r="Z224" s="2058"/>
    </row>
    <row r="225" spans="1:26" ht="12" x14ac:dyDescent="0.2">
      <c r="A225" s="9" t="str">
        <f>MID(Summary!$B$1,FIND(" ",Summary!$B$1,1)+1,4)</f>
        <v>2023</v>
      </c>
      <c r="B225" s="9" t="s">
        <v>337</v>
      </c>
      <c r="C225" s="9" t="s">
        <v>339</v>
      </c>
      <c r="D225" s="2064"/>
      <c r="E225" s="9" t="s">
        <v>13</v>
      </c>
      <c r="F225" s="9" t="s">
        <v>1957</v>
      </c>
      <c r="G225" s="2063">
        <f>Summary!E133</f>
        <v>0.38707957799999998</v>
      </c>
      <c r="J225" s="2058"/>
      <c r="K225" s="2058"/>
      <c r="L225" s="2058"/>
      <c r="M225" s="2058"/>
      <c r="N225" s="2058"/>
      <c r="O225" s="2058"/>
      <c r="P225" s="2058"/>
      <c r="Q225" s="2058"/>
      <c r="R225" s="2058"/>
      <c r="S225" s="2058"/>
      <c r="T225" s="2058"/>
      <c r="U225" s="2058"/>
      <c r="V225" s="2058"/>
      <c r="W225" s="2058"/>
      <c r="X225" s="2058"/>
      <c r="Y225" s="2058"/>
      <c r="Z225" s="2058"/>
    </row>
    <row r="226" spans="1:26" ht="12" x14ac:dyDescent="0.2">
      <c r="A226" s="9" t="str">
        <f>MID(Summary!$B$1,FIND(" ",Summary!$B$1,1)+1,4)</f>
        <v>2023</v>
      </c>
      <c r="B226" s="9" t="s">
        <v>337</v>
      </c>
      <c r="C226" s="9" t="s">
        <v>339</v>
      </c>
      <c r="D226" s="2064"/>
      <c r="E226" s="9" t="s">
        <v>14</v>
      </c>
      <c r="F226" s="9" t="s">
        <v>1957</v>
      </c>
      <c r="G226" s="2063">
        <f>Summary!E134</f>
        <v>0</v>
      </c>
      <c r="J226" s="2058"/>
      <c r="K226" s="2058"/>
      <c r="L226" s="2058"/>
      <c r="M226" s="2058"/>
      <c r="N226" s="2058"/>
      <c r="O226" s="2058"/>
      <c r="P226" s="2058"/>
      <c r="Q226" s="2058"/>
      <c r="R226" s="2058"/>
      <c r="S226" s="2058"/>
      <c r="T226" s="2058"/>
      <c r="U226" s="2058"/>
      <c r="V226" s="2058"/>
      <c r="W226" s="2058"/>
      <c r="X226" s="2058"/>
      <c r="Y226" s="2058"/>
      <c r="Z226" s="2058"/>
    </row>
    <row r="227" spans="1:26" ht="12" x14ac:dyDescent="0.2">
      <c r="A227" s="9" t="str">
        <f>MID(Summary!$B$1,FIND(" ",Summary!$B$1,1)+1,4)</f>
        <v>2023</v>
      </c>
      <c r="B227" s="9" t="s">
        <v>337</v>
      </c>
      <c r="C227" s="9" t="s">
        <v>344</v>
      </c>
      <c r="D227" s="2064"/>
      <c r="E227" s="9" t="s">
        <v>10</v>
      </c>
      <c r="F227" s="9" t="s">
        <v>1957</v>
      </c>
      <c r="G227" s="2063">
        <f>Summary!E136</f>
        <v>0</v>
      </c>
      <c r="J227" s="2058"/>
      <c r="K227" s="2058"/>
      <c r="L227" s="2058"/>
      <c r="M227" s="2058"/>
      <c r="N227" s="2058"/>
      <c r="O227" s="2058"/>
      <c r="P227" s="2058"/>
      <c r="Q227" s="2058"/>
      <c r="R227" s="2058"/>
      <c r="S227" s="2058"/>
      <c r="T227" s="2058"/>
      <c r="U227" s="2058"/>
      <c r="V227" s="2058"/>
      <c r="W227" s="2058"/>
      <c r="X227" s="2058"/>
      <c r="Y227" s="2058"/>
      <c r="Z227" s="2058"/>
    </row>
    <row r="228" spans="1:26" ht="12" x14ac:dyDescent="0.2">
      <c r="A228" s="9" t="str">
        <f>MID(Summary!$B$1,FIND(" ",Summary!$B$1,1)+1,4)</f>
        <v>2023</v>
      </c>
      <c r="B228" s="9" t="s">
        <v>337</v>
      </c>
      <c r="C228" s="9" t="s">
        <v>344</v>
      </c>
      <c r="D228" s="2064"/>
      <c r="E228" s="9" t="s">
        <v>13</v>
      </c>
      <c r="F228" s="9" t="s">
        <v>1957</v>
      </c>
      <c r="G228" s="2063">
        <f>Summary!E137</f>
        <v>0.17802527450052164</v>
      </c>
      <c r="J228" s="2058"/>
      <c r="K228" s="2058"/>
      <c r="L228" s="2058"/>
      <c r="M228" s="2058"/>
      <c r="N228" s="2058"/>
      <c r="O228" s="2058"/>
      <c r="P228" s="2058"/>
      <c r="Q228" s="2058"/>
      <c r="R228" s="2058"/>
      <c r="S228" s="2058"/>
      <c r="T228" s="2058"/>
      <c r="U228" s="2058"/>
      <c r="V228" s="2058"/>
      <c r="W228" s="2058"/>
      <c r="X228" s="2058"/>
      <c r="Y228" s="2058"/>
      <c r="Z228" s="2058"/>
    </row>
    <row r="229" spans="1:26" ht="12" x14ac:dyDescent="0.2">
      <c r="A229" s="9" t="str">
        <f>MID(Summary!$B$1,FIND(" ",Summary!$B$1,1)+1,4)</f>
        <v>2023</v>
      </c>
      <c r="B229" s="9" t="s">
        <v>337</v>
      </c>
      <c r="C229" s="9" t="s">
        <v>344</v>
      </c>
      <c r="D229" s="2064"/>
      <c r="E229" s="9" t="s">
        <v>14</v>
      </c>
      <c r="F229" s="9" t="s">
        <v>1957</v>
      </c>
      <c r="G229" s="2063">
        <f>Summary!E138</f>
        <v>0.19655966118680038</v>
      </c>
      <c r="J229" s="2058"/>
      <c r="K229" s="2058"/>
      <c r="L229" s="2058"/>
      <c r="M229" s="2058"/>
      <c r="N229" s="2058"/>
      <c r="O229" s="2058"/>
      <c r="P229" s="2058"/>
      <c r="Q229" s="2058"/>
      <c r="R229" s="2058"/>
      <c r="S229" s="2058"/>
      <c r="T229" s="2058"/>
      <c r="U229" s="2058"/>
      <c r="V229" s="2058"/>
      <c r="W229" s="2058"/>
      <c r="X229" s="2058"/>
      <c r="Y229" s="2058"/>
      <c r="Z229" s="2058"/>
    </row>
    <row r="230" spans="1:26" ht="12" x14ac:dyDescent="0.2">
      <c r="A230" s="9" t="str">
        <f>MID(Summary!$B$1,FIND(" ",Summary!$B$1,1)+1,4)</f>
        <v>2023</v>
      </c>
      <c r="B230" s="9" t="s">
        <v>337</v>
      </c>
      <c r="C230" s="9" t="s">
        <v>351</v>
      </c>
      <c r="D230" s="2064"/>
      <c r="E230" s="9" t="s">
        <v>10</v>
      </c>
      <c r="F230" s="9" t="s">
        <v>1957</v>
      </c>
      <c r="G230" s="2063">
        <f>Summary!E140</f>
        <v>0</v>
      </c>
      <c r="J230" s="2058"/>
      <c r="K230" s="2058"/>
      <c r="L230" s="2058"/>
      <c r="M230" s="2058"/>
      <c r="N230" s="2058"/>
      <c r="O230" s="2058"/>
      <c r="P230" s="2058"/>
      <c r="Q230" s="2058"/>
      <c r="R230" s="2058"/>
      <c r="S230" s="2058"/>
      <c r="T230" s="2058"/>
      <c r="U230" s="2058"/>
      <c r="V230" s="2058"/>
      <c r="W230" s="2058"/>
      <c r="X230" s="2058"/>
      <c r="Y230" s="2058"/>
      <c r="Z230" s="2058"/>
    </row>
    <row r="231" spans="1:26" ht="12" x14ac:dyDescent="0.2">
      <c r="A231" s="9" t="str">
        <f>MID(Summary!$B$1,FIND(" ",Summary!$B$1,1)+1,4)</f>
        <v>2023</v>
      </c>
      <c r="B231" s="9" t="s">
        <v>337</v>
      </c>
      <c r="C231" s="9" t="s">
        <v>351</v>
      </c>
      <c r="D231" s="2064"/>
      <c r="E231" s="9" t="s">
        <v>13</v>
      </c>
      <c r="F231" s="9" t="s">
        <v>1957</v>
      </c>
      <c r="G231" s="2063">
        <f>Summary!E141</f>
        <v>0</v>
      </c>
      <c r="J231" s="2058"/>
      <c r="K231" s="2058"/>
      <c r="L231" s="2058"/>
      <c r="M231" s="2058"/>
      <c r="N231" s="2058"/>
      <c r="O231" s="2058"/>
      <c r="P231" s="2058"/>
      <c r="Q231" s="2058"/>
      <c r="R231" s="2058"/>
      <c r="S231" s="2058"/>
      <c r="T231" s="2058"/>
      <c r="U231" s="2058"/>
      <c r="V231" s="2058"/>
      <c r="W231" s="2058"/>
      <c r="X231" s="2058"/>
      <c r="Y231" s="2058"/>
      <c r="Z231" s="2058"/>
    </row>
    <row r="232" spans="1:26" ht="12" x14ac:dyDescent="0.2">
      <c r="A232" s="9" t="str">
        <f>MID(Summary!$B$1,FIND(" ",Summary!$B$1,1)+1,4)</f>
        <v>2023</v>
      </c>
      <c r="B232" s="9" t="s">
        <v>337</v>
      </c>
      <c r="C232" s="9" t="s">
        <v>351</v>
      </c>
      <c r="D232" s="2064"/>
      <c r="E232" s="9" t="s">
        <v>14</v>
      </c>
      <c r="F232" s="9" t="s">
        <v>1957</v>
      </c>
      <c r="G232" s="2063">
        <f>Summary!E142</f>
        <v>0.75413618561212881</v>
      </c>
      <c r="J232" s="2058"/>
      <c r="K232" s="2058"/>
      <c r="L232" s="2058"/>
      <c r="M232" s="2058"/>
      <c r="N232" s="2058"/>
      <c r="O232" s="2058"/>
      <c r="P232" s="2058"/>
      <c r="Q232" s="2058"/>
      <c r="R232" s="2058"/>
      <c r="S232" s="2058"/>
      <c r="T232" s="2058"/>
      <c r="U232" s="2058"/>
      <c r="V232" s="2058"/>
      <c r="W232" s="2058"/>
      <c r="X232" s="2058"/>
      <c r="Y232" s="2058"/>
      <c r="Z232" s="2058"/>
    </row>
    <row r="233" spans="1:26" ht="12" x14ac:dyDescent="0.2">
      <c r="A233" s="9" t="str">
        <f>MID(Summary!$B$1,FIND(" ",Summary!$B$1,1)+1,4)</f>
        <v>2023</v>
      </c>
      <c r="B233" s="9" t="s">
        <v>337</v>
      </c>
      <c r="C233" s="9" t="s">
        <v>359</v>
      </c>
      <c r="D233" s="2064"/>
      <c r="E233" s="9" t="s">
        <v>10</v>
      </c>
      <c r="F233" s="9" t="s">
        <v>1957</v>
      </c>
      <c r="G233" s="2063">
        <f>Summary!E144</f>
        <v>0</v>
      </c>
      <c r="J233" s="2058"/>
      <c r="K233" s="2058"/>
      <c r="L233" s="2058"/>
      <c r="M233" s="2058"/>
      <c r="N233" s="2058"/>
      <c r="O233" s="2058"/>
      <c r="P233" s="2058"/>
      <c r="Q233" s="2058"/>
      <c r="R233" s="2058"/>
      <c r="S233" s="2058"/>
      <c r="T233" s="2058"/>
      <c r="U233" s="2058"/>
      <c r="V233" s="2058"/>
      <c r="W233" s="2058"/>
      <c r="X233" s="2058"/>
      <c r="Y233" s="2058"/>
      <c r="Z233" s="2058"/>
    </row>
    <row r="234" spans="1:26" ht="12" x14ac:dyDescent="0.2">
      <c r="A234" s="9" t="str">
        <f>MID(Summary!$B$1,FIND(" ",Summary!$B$1,1)+1,4)</f>
        <v>2023</v>
      </c>
      <c r="B234" s="9" t="s">
        <v>337</v>
      </c>
      <c r="C234" s="9" t="s">
        <v>359</v>
      </c>
      <c r="D234" s="2064"/>
      <c r="E234" s="9" t="s">
        <v>13</v>
      </c>
      <c r="F234" s="9" t="s">
        <v>1957</v>
      </c>
      <c r="G234" s="2063">
        <f>Summary!E145</f>
        <v>4.9152888549545189E-4</v>
      </c>
      <c r="J234" s="2058"/>
      <c r="K234" s="2058"/>
      <c r="L234" s="2058"/>
      <c r="M234" s="2058"/>
      <c r="N234" s="2058"/>
      <c r="O234" s="2058"/>
      <c r="P234" s="2058"/>
      <c r="Q234" s="2058"/>
      <c r="R234" s="2058"/>
      <c r="S234" s="2058"/>
      <c r="T234" s="2058"/>
      <c r="U234" s="2058"/>
      <c r="V234" s="2058"/>
      <c r="W234" s="2058"/>
      <c r="X234" s="2058"/>
      <c r="Y234" s="2058"/>
      <c r="Z234" s="2058"/>
    </row>
    <row r="235" spans="1:26" ht="12" x14ac:dyDescent="0.2">
      <c r="A235" s="9" t="str">
        <f>MID(Summary!$B$1,FIND(" ",Summary!$B$1,1)+1,4)</f>
        <v>2023</v>
      </c>
      <c r="B235" s="9" t="s">
        <v>337</v>
      </c>
      <c r="C235" s="9" t="s">
        <v>359</v>
      </c>
      <c r="D235" s="2064"/>
      <c r="E235" s="9" t="s">
        <v>14</v>
      </c>
      <c r="F235" s="9" t="s">
        <v>1957</v>
      </c>
      <c r="G235" s="2063">
        <f>Summary!E146</f>
        <v>1.7542216336014445E-4</v>
      </c>
      <c r="J235" s="2058"/>
      <c r="K235" s="2058"/>
      <c r="L235" s="2058"/>
      <c r="M235" s="2058"/>
      <c r="N235" s="2058"/>
      <c r="O235" s="2058"/>
      <c r="P235" s="2058"/>
      <c r="Q235" s="2058"/>
      <c r="R235" s="2058"/>
      <c r="S235" s="2058"/>
      <c r="T235" s="2058"/>
      <c r="U235" s="2058"/>
      <c r="V235" s="2058"/>
      <c r="W235" s="2058"/>
      <c r="X235" s="2058"/>
      <c r="Y235" s="2058"/>
      <c r="Z235" s="2058"/>
    </row>
    <row r="236" spans="1:26" ht="12" x14ac:dyDescent="0.2">
      <c r="A236" s="9" t="str">
        <f>MID(Summary!$B$1,FIND(" ",Summary!$B$1,1)+1,4)</f>
        <v>2023</v>
      </c>
      <c r="B236" s="9" t="s">
        <v>337</v>
      </c>
      <c r="C236" s="9" t="s">
        <v>368</v>
      </c>
      <c r="D236" s="2064"/>
      <c r="E236" s="9" t="s">
        <v>10</v>
      </c>
      <c r="F236" s="9" t="s">
        <v>1957</v>
      </c>
      <c r="G236" s="2063">
        <f>Summary!E148</f>
        <v>0.12090668333333333</v>
      </c>
      <c r="J236" s="2058"/>
      <c r="K236" s="2058"/>
      <c r="L236" s="2058"/>
      <c r="M236" s="2058"/>
      <c r="N236" s="2058"/>
      <c r="O236" s="2058"/>
      <c r="P236" s="2058"/>
      <c r="Q236" s="2058"/>
      <c r="R236" s="2058"/>
      <c r="S236" s="2058"/>
      <c r="T236" s="2058"/>
      <c r="U236" s="2058"/>
      <c r="V236" s="2058"/>
      <c r="W236" s="2058"/>
      <c r="X236" s="2058"/>
      <c r="Y236" s="2058"/>
      <c r="Z236" s="2058"/>
    </row>
    <row r="237" spans="1:26" ht="12" x14ac:dyDescent="0.2">
      <c r="A237" s="9" t="str">
        <f>MID(Summary!$B$1,FIND(" ",Summary!$B$1,1)+1,4)</f>
        <v>2023</v>
      </c>
      <c r="B237" s="9" t="s">
        <v>337</v>
      </c>
      <c r="C237" s="9" t="s">
        <v>368</v>
      </c>
      <c r="D237" s="2064"/>
      <c r="E237" s="9" t="s">
        <v>13</v>
      </c>
      <c r="F237" s="9" t="s">
        <v>1957</v>
      </c>
      <c r="G237" s="2063">
        <f>Summary!E149</f>
        <v>0</v>
      </c>
      <c r="J237" s="2058"/>
      <c r="K237" s="2058"/>
      <c r="L237" s="2058"/>
      <c r="M237" s="2058"/>
      <c r="N237" s="2058"/>
      <c r="O237" s="2058"/>
      <c r="P237" s="2058"/>
      <c r="Q237" s="2058"/>
      <c r="R237" s="2058"/>
      <c r="S237" s="2058"/>
      <c r="T237" s="2058"/>
      <c r="U237" s="2058"/>
      <c r="V237" s="2058"/>
      <c r="W237" s="2058"/>
      <c r="X237" s="2058"/>
      <c r="Y237" s="2058"/>
      <c r="Z237" s="2058"/>
    </row>
    <row r="238" spans="1:26" ht="12" x14ac:dyDescent="0.2">
      <c r="A238" s="9" t="str">
        <f>MID(Summary!$B$1,FIND(" ",Summary!$B$1,1)+1,4)</f>
        <v>2023</v>
      </c>
      <c r="B238" s="9" t="s">
        <v>337</v>
      </c>
      <c r="C238" s="9" t="s">
        <v>368</v>
      </c>
      <c r="D238" s="2064"/>
      <c r="E238" s="9" t="s">
        <v>14</v>
      </c>
      <c r="F238" s="9" t="s">
        <v>1957</v>
      </c>
      <c r="G238" s="2063">
        <f>Summary!E150</f>
        <v>0</v>
      </c>
      <c r="J238" s="2058"/>
      <c r="K238" s="2058"/>
      <c r="L238" s="2058"/>
      <c r="M238" s="2058"/>
      <c r="N238" s="2058"/>
      <c r="O238" s="2058"/>
      <c r="P238" s="2058"/>
      <c r="Q238" s="2058"/>
      <c r="R238" s="2058"/>
      <c r="S238" s="2058"/>
      <c r="T238" s="2058"/>
      <c r="U238" s="2058"/>
      <c r="V238" s="2058"/>
      <c r="W238" s="2058"/>
      <c r="X238" s="2058"/>
      <c r="Y238" s="2058"/>
      <c r="Z238" s="2058"/>
    </row>
    <row r="239" spans="1:26" ht="12" x14ac:dyDescent="0.2">
      <c r="A239" s="9" t="str">
        <f>MID(Summary!$B$1,FIND(" ",Summary!$B$1,1)+1,4)</f>
        <v>2023</v>
      </c>
      <c r="B239" s="9" t="s">
        <v>337</v>
      </c>
      <c r="C239" s="9" t="s">
        <v>339</v>
      </c>
      <c r="D239" s="2064"/>
      <c r="E239" s="9" t="s">
        <v>10</v>
      </c>
      <c r="F239" s="9" t="s">
        <v>1959</v>
      </c>
      <c r="G239" s="2063">
        <f>Summary!D132</f>
        <v>0</v>
      </c>
      <c r="H239" s="2058"/>
      <c r="I239" s="2058"/>
      <c r="J239" s="2058"/>
      <c r="K239" s="2058"/>
      <c r="L239" s="2058"/>
      <c r="M239" s="2058"/>
      <c r="N239" s="2058"/>
      <c r="O239" s="2058"/>
      <c r="P239" s="2058"/>
      <c r="Q239" s="2058"/>
      <c r="R239" s="2058"/>
      <c r="S239" s="2058"/>
      <c r="T239" s="2058"/>
      <c r="U239" s="2058"/>
      <c r="V239" s="2058"/>
      <c r="W239" s="2058"/>
      <c r="X239" s="2058"/>
      <c r="Y239" s="2058"/>
      <c r="Z239" s="2058"/>
    </row>
    <row r="240" spans="1:26" ht="12" x14ac:dyDescent="0.2">
      <c r="A240" s="9" t="str">
        <f>MID(Summary!$B$1,FIND(" ",Summary!$B$1,1)+1,4)</f>
        <v>2023</v>
      </c>
      <c r="B240" s="9" t="s">
        <v>337</v>
      </c>
      <c r="C240" s="9" t="s">
        <v>339</v>
      </c>
      <c r="D240" s="2064"/>
      <c r="E240" s="9" t="s">
        <v>13</v>
      </c>
      <c r="F240" s="9" t="s">
        <v>1959</v>
      </c>
      <c r="G240" s="2063">
        <f>Summary!D133</f>
        <v>1.126554184</v>
      </c>
      <c r="H240" s="2058"/>
      <c r="I240" s="2058"/>
      <c r="J240" s="2058"/>
      <c r="K240" s="2058"/>
      <c r="L240" s="2058"/>
      <c r="M240" s="2058"/>
      <c r="N240" s="2058"/>
      <c r="O240" s="2058"/>
      <c r="P240" s="2058"/>
      <c r="Q240" s="2058"/>
      <c r="R240" s="2058"/>
      <c r="S240" s="2058"/>
      <c r="T240" s="2058"/>
      <c r="U240" s="2058"/>
      <c r="V240" s="2058"/>
      <c r="W240" s="2058"/>
      <c r="X240" s="2058"/>
      <c r="Y240" s="2058"/>
      <c r="Z240" s="2058"/>
    </row>
    <row r="241" spans="1:26" ht="12" x14ac:dyDescent="0.2">
      <c r="A241" s="9" t="str">
        <f>MID(Summary!$B$1,FIND(" ",Summary!$B$1,1)+1,4)</f>
        <v>2023</v>
      </c>
      <c r="B241" s="9" t="s">
        <v>337</v>
      </c>
      <c r="C241" s="9" t="s">
        <v>339</v>
      </c>
      <c r="D241" s="2064"/>
      <c r="E241" s="9" t="s">
        <v>14</v>
      </c>
      <c r="F241" s="9" t="s">
        <v>1959</v>
      </c>
      <c r="G241" s="2063">
        <f>Summary!D134</f>
        <v>0</v>
      </c>
      <c r="H241" s="2058"/>
      <c r="I241" s="2058"/>
      <c r="J241" s="2058"/>
      <c r="K241" s="2058"/>
      <c r="L241" s="2058"/>
      <c r="M241" s="2058"/>
      <c r="N241" s="2058"/>
      <c r="O241" s="2058"/>
      <c r="P241" s="2058"/>
      <c r="Q241" s="2058"/>
      <c r="R241" s="2058"/>
      <c r="S241" s="2058"/>
      <c r="T241" s="2058"/>
      <c r="U241" s="2058"/>
      <c r="V241" s="2058"/>
      <c r="W241" s="2058"/>
      <c r="X241" s="2058"/>
      <c r="Y241" s="2058"/>
      <c r="Z241" s="2058"/>
    </row>
    <row r="242" spans="1:26" ht="12" x14ac:dyDescent="0.2">
      <c r="A242" s="9" t="str">
        <f>MID(Summary!$B$1,FIND(" ",Summary!$B$1,1)+1,4)</f>
        <v>2023</v>
      </c>
      <c r="B242" s="9" t="s">
        <v>337</v>
      </c>
      <c r="C242" s="9" t="s">
        <v>344</v>
      </c>
      <c r="D242" s="2064"/>
      <c r="E242" s="9" t="s">
        <v>10</v>
      </c>
      <c r="F242" s="9" t="s">
        <v>1959</v>
      </c>
      <c r="G242" s="2063">
        <f>Summary!D136</f>
        <v>0</v>
      </c>
      <c r="H242" s="2058"/>
      <c r="I242" s="2058"/>
      <c r="J242" s="2058"/>
      <c r="K242" s="2058"/>
      <c r="L242" s="2058"/>
      <c r="M242" s="2058"/>
      <c r="N242" s="2058"/>
      <c r="O242" s="2058"/>
      <c r="P242" s="2058"/>
      <c r="Q242" s="2058"/>
      <c r="R242" s="2058"/>
      <c r="S242" s="2058"/>
      <c r="T242" s="2058"/>
      <c r="U242" s="2058"/>
      <c r="V242" s="2058"/>
      <c r="W242" s="2058"/>
      <c r="X242" s="2058"/>
      <c r="Y242" s="2058"/>
      <c r="Z242" s="2058"/>
    </row>
    <row r="243" spans="1:26" ht="12" x14ac:dyDescent="0.2">
      <c r="A243" s="9" t="str">
        <f>MID(Summary!$B$1,FIND(" ",Summary!$B$1,1)+1,4)</f>
        <v>2023</v>
      </c>
      <c r="B243" s="9" t="s">
        <v>337</v>
      </c>
      <c r="C243" s="9" t="s">
        <v>344</v>
      </c>
      <c r="D243" s="2064"/>
      <c r="E243" s="9" t="s">
        <v>13</v>
      </c>
      <c r="F243" s="9" t="s">
        <v>1959</v>
      </c>
      <c r="G243" s="2063">
        <f>Summary!D137</f>
        <v>0.51812373797284439</v>
      </c>
      <c r="H243" s="2058"/>
      <c r="I243" s="2058"/>
      <c r="J243" s="2058"/>
      <c r="K243" s="2058"/>
      <c r="L243" s="2058"/>
      <c r="M243" s="2058"/>
      <c r="N243" s="2058"/>
      <c r="O243" s="2058"/>
      <c r="P243" s="2058"/>
      <c r="Q243" s="2058"/>
      <c r="R243" s="2058"/>
      <c r="S243" s="2058"/>
      <c r="T243" s="2058"/>
      <c r="U243" s="2058"/>
      <c r="V243" s="2058"/>
      <c r="W243" s="2058"/>
      <c r="X243" s="2058"/>
      <c r="Y243" s="2058"/>
      <c r="Z243" s="2058"/>
    </row>
    <row r="244" spans="1:26" ht="12" x14ac:dyDescent="0.2">
      <c r="A244" s="9" t="str">
        <f>MID(Summary!$B$1,FIND(" ",Summary!$B$1,1)+1,4)</f>
        <v>2023</v>
      </c>
      <c r="B244" s="9" t="s">
        <v>337</v>
      </c>
      <c r="C244" s="9" t="s">
        <v>344</v>
      </c>
      <c r="D244" s="2064"/>
      <c r="E244" s="9" t="s">
        <v>14</v>
      </c>
      <c r="F244" s="9" t="s">
        <v>1959</v>
      </c>
      <c r="G244" s="2063">
        <f>Summary!D138</f>
        <v>0.19655966118680038</v>
      </c>
      <c r="H244" s="2058"/>
      <c r="I244" s="2058"/>
      <c r="J244" s="2058"/>
      <c r="K244" s="2058"/>
      <c r="L244" s="2058"/>
      <c r="M244" s="2058"/>
      <c r="N244" s="2058"/>
      <c r="O244" s="2058"/>
      <c r="P244" s="2058"/>
      <c r="Q244" s="2058"/>
      <c r="R244" s="2058"/>
      <c r="S244" s="2058"/>
      <c r="T244" s="2058"/>
      <c r="U244" s="2058"/>
      <c r="V244" s="2058"/>
      <c r="W244" s="2058"/>
      <c r="X244" s="2058"/>
      <c r="Y244" s="2058"/>
      <c r="Z244" s="2058"/>
    </row>
    <row r="245" spans="1:26" ht="12" x14ac:dyDescent="0.2">
      <c r="A245" s="9" t="str">
        <f>MID(Summary!$B$1,FIND(" ",Summary!$B$1,1)+1,4)</f>
        <v>2023</v>
      </c>
      <c r="B245" s="9" t="s">
        <v>337</v>
      </c>
      <c r="C245" s="9" t="s">
        <v>351</v>
      </c>
      <c r="D245" s="2064"/>
      <c r="E245" s="9" t="s">
        <v>10</v>
      </c>
      <c r="F245" s="9" t="s">
        <v>1959</v>
      </c>
      <c r="G245" s="2063">
        <f>Summary!D140</f>
        <v>0</v>
      </c>
      <c r="H245" s="2058"/>
      <c r="I245" s="2058"/>
      <c r="J245" s="2058"/>
      <c r="K245" s="2058"/>
      <c r="L245" s="2058"/>
      <c r="M245" s="2058"/>
      <c r="N245" s="2058"/>
      <c r="O245" s="2058"/>
      <c r="P245" s="2058"/>
      <c r="Q245" s="2058"/>
      <c r="R245" s="2058"/>
      <c r="S245" s="2058"/>
      <c r="T245" s="2058"/>
      <c r="U245" s="2058"/>
      <c r="V245" s="2058"/>
      <c r="W245" s="2058"/>
      <c r="X245" s="2058"/>
      <c r="Y245" s="2058"/>
      <c r="Z245" s="2058"/>
    </row>
    <row r="246" spans="1:26" ht="12" x14ac:dyDescent="0.2">
      <c r="A246" s="9" t="str">
        <f>MID(Summary!$B$1,FIND(" ",Summary!$B$1,1)+1,4)</f>
        <v>2023</v>
      </c>
      <c r="B246" s="9" t="s">
        <v>337</v>
      </c>
      <c r="C246" s="9" t="s">
        <v>351</v>
      </c>
      <c r="D246" s="2064"/>
      <c r="E246" s="9" t="s">
        <v>13</v>
      </c>
      <c r="F246" s="9" t="s">
        <v>1959</v>
      </c>
      <c r="G246" s="2063">
        <f>Summary!D141</f>
        <v>0</v>
      </c>
      <c r="H246" s="2058"/>
      <c r="I246" s="2058"/>
      <c r="J246" s="2058"/>
      <c r="K246" s="2058"/>
      <c r="L246" s="2058"/>
      <c r="M246" s="2058"/>
      <c r="N246" s="2058"/>
      <c r="O246" s="2058"/>
      <c r="P246" s="2058"/>
      <c r="Q246" s="2058"/>
      <c r="R246" s="2058"/>
      <c r="S246" s="2058"/>
      <c r="T246" s="2058"/>
      <c r="U246" s="2058"/>
      <c r="V246" s="2058"/>
      <c r="W246" s="2058"/>
      <c r="X246" s="2058"/>
      <c r="Y246" s="2058"/>
      <c r="Z246" s="2058"/>
    </row>
    <row r="247" spans="1:26" ht="12" x14ac:dyDescent="0.2">
      <c r="A247" s="9" t="str">
        <f>MID(Summary!$B$1,FIND(" ",Summary!$B$1,1)+1,4)</f>
        <v>2023</v>
      </c>
      <c r="B247" s="9" t="s">
        <v>337</v>
      </c>
      <c r="C247" s="9" t="s">
        <v>351</v>
      </c>
      <c r="D247" s="2064"/>
      <c r="E247" s="9" t="s">
        <v>14</v>
      </c>
      <c r="F247" s="9" t="s">
        <v>1959</v>
      </c>
      <c r="G247" s="2063">
        <f>Summary!D142</f>
        <v>0.75413618561212881</v>
      </c>
      <c r="J247" s="2058"/>
      <c r="K247" s="2058"/>
      <c r="L247" s="2058"/>
      <c r="M247" s="2058"/>
      <c r="N247" s="2058"/>
      <c r="O247" s="2058"/>
      <c r="P247" s="2058"/>
      <c r="Q247" s="2058"/>
      <c r="R247" s="2058"/>
      <c r="S247" s="2058"/>
      <c r="T247" s="2058"/>
      <c r="U247" s="2058"/>
      <c r="V247" s="2058"/>
      <c r="W247" s="2058"/>
      <c r="X247" s="2058"/>
      <c r="Y247" s="2058"/>
      <c r="Z247" s="2058"/>
    </row>
    <row r="248" spans="1:26" ht="12" x14ac:dyDescent="0.2">
      <c r="A248" s="9" t="str">
        <f>MID(Summary!$B$1,FIND(" ",Summary!$B$1,1)+1,4)</f>
        <v>2023</v>
      </c>
      <c r="B248" s="9" t="s">
        <v>337</v>
      </c>
      <c r="C248" s="9" t="s">
        <v>359</v>
      </c>
      <c r="D248" s="2064"/>
      <c r="E248" s="9" t="s">
        <v>10</v>
      </c>
      <c r="F248" s="9" t="s">
        <v>1959</v>
      </c>
      <c r="G248" s="2063">
        <f>Summary!D144</f>
        <v>0</v>
      </c>
      <c r="H248" s="2058"/>
      <c r="I248" s="2058"/>
      <c r="J248" s="2058"/>
      <c r="K248" s="2058"/>
      <c r="L248" s="2058"/>
      <c r="M248" s="2058"/>
      <c r="N248" s="2058"/>
      <c r="O248" s="2058"/>
      <c r="P248" s="2058"/>
      <c r="Q248" s="2058"/>
      <c r="R248" s="2058"/>
      <c r="S248" s="2058"/>
      <c r="T248" s="2058"/>
      <c r="U248" s="2058"/>
      <c r="V248" s="2058"/>
      <c r="W248" s="2058"/>
      <c r="X248" s="2058"/>
      <c r="Y248" s="2058"/>
      <c r="Z248" s="2058"/>
    </row>
    <row r="249" spans="1:26" ht="12" x14ac:dyDescent="0.2">
      <c r="A249" s="9" t="str">
        <f>MID(Summary!$B$1,FIND(" ",Summary!$B$1,1)+1,4)</f>
        <v>2023</v>
      </c>
      <c r="B249" s="9" t="s">
        <v>337</v>
      </c>
      <c r="C249" s="9" t="s">
        <v>359</v>
      </c>
      <c r="D249" s="2064"/>
      <c r="E249" s="9" t="s">
        <v>13</v>
      </c>
      <c r="F249" s="9" t="s">
        <v>1959</v>
      </c>
      <c r="G249" s="2063">
        <f>Summary!D145</f>
        <v>1.4305428495423188E-3</v>
      </c>
      <c r="H249" s="2058"/>
      <c r="I249" s="2058"/>
      <c r="J249" s="2058"/>
      <c r="K249" s="2058"/>
      <c r="L249" s="2058"/>
      <c r="M249" s="2058"/>
      <c r="N249" s="2058"/>
      <c r="O249" s="2058"/>
      <c r="P249" s="2058"/>
      <c r="Q249" s="2058"/>
      <c r="R249" s="2058"/>
      <c r="S249" s="2058"/>
      <c r="T249" s="2058"/>
      <c r="U249" s="2058"/>
      <c r="V249" s="2058"/>
      <c r="W249" s="2058"/>
      <c r="X249" s="2058"/>
      <c r="Y249" s="2058"/>
      <c r="Z249" s="2058"/>
    </row>
    <row r="250" spans="1:26" ht="12" x14ac:dyDescent="0.2">
      <c r="A250" s="9" t="str">
        <f>MID(Summary!$B$1,FIND(" ",Summary!$B$1,1)+1,4)</f>
        <v>2023</v>
      </c>
      <c r="B250" s="9" t="s">
        <v>337</v>
      </c>
      <c r="C250" s="9" t="s">
        <v>359</v>
      </c>
      <c r="D250" s="2064"/>
      <c r="E250" s="9" t="s">
        <v>14</v>
      </c>
      <c r="F250" s="9" t="s">
        <v>1959</v>
      </c>
      <c r="G250" s="2063">
        <f>Summary!D146</f>
        <v>1.7542216336014445E-4</v>
      </c>
      <c r="H250" s="2058"/>
      <c r="I250" s="2058"/>
      <c r="J250" s="2058"/>
      <c r="K250" s="2058"/>
      <c r="L250" s="2058"/>
      <c r="M250" s="2058"/>
      <c r="N250" s="2058"/>
      <c r="O250" s="2058"/>
      <c r="P250" s="2058"/>
      <c r="Q250" s="2058"/>
      <c r="R250" s="2058"/>
      <c r="S250" s="2058"/>
      <c r="T250" s="2058"/>
      <c r="U250" s="2058"/>
      <c r="V250" s="2058"/>
      <c r="W250" s="2058"/>
      <c r="X250" s="2058"/>
      <c r="Y250" s="2058"/>
      <c r="Z250" s="2058"/>
    </row>
    <row r="251" spans="1:26" ht="12" x14ac:dyDescent="0.2">
      <c r="A251" s="9" t="str">
        <f>MID(Summary!$B$1,FIND(" ",Summary!$B$1,1)+1,4)</f>
        <v>2023</v>
      </c>
      <c r="B251" s="9" t="s">
        <v>337</v>
      </c>
      <c r="C251" s="9" t="s">
        <v>368</v>
      </c>
      <c r="D251" s="2064"/>
      <c r="E251" s="9" t="s">
        <v>10</v>
      </c>
      <c r="F251" s="9" t="s">
        <v>1959</v>
      </c>
      <c r="G251" s="2063">
        <f>Summary!D148</f>
        <v>0.12090668333333333</v>
      </c>
      <c r="H251" s="2058"/>
      <c r="I251" s="2058"/>
      <c r="J251" s="2058"/>
      <c r="K251" s="2058"/>
      <c r="L251" s="2058"/>
      <c r="M251" s="2058"/>
      <c r="N251" s="2058"/>
      <c r="O251" s="2058"/>
      <c r="P251" s="2058"/>
      <c r="Q251" s="2058"/>
      <c r="R251" s="2058"/>
      <c r="S251" s="2058"/>
      <c r="T251" s="2058"/>
      <c r="U251" s="2058"/>
      <c r="V251" s="2058"/>
      <c r="W251" s="2058"/>
      <c r="X251" s="2058"/>
      <c r="Y251" s="2058"/>
      <c r="Z251" s="2058"/>
    </row>
    <row r="252" spans="1:26" ht="12" x14ac:dyDescent="0.2">
      <c r="A252" s="9" t="str">
        <f>MID(Summary!$B$1,FIND(" ",Summary!$B$1,1)+1,4)</f>
        <v>2023</v>
      </c>
      <c r="B252" s="9" t="s">
        <v>337</v>
      </c>
      <c r="C252" s="9" t="s">
        <v>368</v>
      </c>
      <c r="D252" s="2064"/>
      <c r="E252" s="9" t="s">
        <v>13</v>
      </c>
      <c r="F252" s="9" t="s">
        <v>1959</v>
      </c>
      <c r="G252" s="2063">
        <f>Summary!D149</f>
        <v>0</v>
      </c>
      <c r="H252" s="2058"/>
      <c r="I252" s="2058"/>
      <c r="J252" s="2058"/>
      <c r="K252" s="2058"/>
      <c r="L252" s="2058"/>
      <c r="M252" s="2058"/>
      <c r="N252" s="2058"/>
      <c r="O252" s="2058"/>
      <c r="P252" s="2058"/>
      <c r="Q252" s="2058"/>
      <c r="R252" s="2058"/>
      <c r="S252" s="2058"/>
      <c r="T252" s="2058"/>
      <c r="U252" s="2058"/>
      <c r="V252" s="2058"/>
      <c r="W252" s="2058"/>
      <c r="X252" s="2058"/>
      <c r="Y252" s="2058"/>
      <c r="Z252" s="2058"/>
    </row>
    <row r="253" spans="1:26" ht="12" x14ac:dyDescent="0.2">
      <c r="A253" s="9" t="str">
        <f>MID(Summary!$B$1,FIND(" ",Summary!$B$1,1)+1,4)</f>
        <v>2023</v>
      </c>
      <c r="B253" s="9" t="s">
        <v>337</v>
      </c>
      <c r="C253" s="9" t="s">
        <v>368</v>
      </c>
      <c r="D253" s="2064"/>
      <c r="E253" s="9" t="s">
        <v>14</v>
      </c>
      <c r="F253" s="9" t="s">
        <v>1959</v>
      </c>
      <c r="G253" s="2063">
        <f>Summary!D150</f>
        <v>0</v>
      </c>
      <c r="H253" s="2058"/>
      <c r="I253" s="2058"/>
      <c r="J253" s="2058"/>
      <c r="K253" s="2058"/>
      <c r="L253" s="2058"/>
      <c r="M253" s="2058"/>
      <c r="N253" s="2058"/>
      <c r="O253" s="2058"/>
      <c r="P253" s="2058"/>
      <c r="Q253" s="2058"/>
      <c r="R253" s="2058"/>
      <c r="S253" s="2058"/>
      <c r="T253" s="2058"/>
      <c r="U253" s="2058"/>
      <c r="V253" s="2058"/>
      <c r="W253" s="2058"/>
      <c r="X253" s="2058"/>
      <c r="Y253" s="2058"/>
      <c r="Z253" s="2058"/>
    </row>
    <row r="254" spans="1:26" ht="12" x14ac:dyDescent="0.2">
      <c r="A254" s="9" t="str">
        <f>MID(Summary!$B$1,FIND(" ",Summary!$B$1,1)+1,4)</f>
        <v>2023</v>
      </c>
      <c r="B254" s="9" t="s">
        <v>374</v>
      </c>
      <c r="C254" s="9" t="s">
        <v>375</v>
      </c>
      <c r="D254" s="2064"/>
      <c r="E254" s="9" t="s">
        <v>10</v>
      </c>
      <c r="F254" s="9" t="s">
        <v>1957</v>
      </c>
      <c r="G254" s="2063">
        <f>Summary!E153</f>
        <v>1.1871958784179502</v>
      </c>
      <c r="J254" s="2058"/>
      <c r="K254" s="2058"/>
      <c r="L254" s="2058"/>
      <c r="M254" s="2058"/>
      <c r="N254" s="2058"/>
      <c r="O254" s="2058"/>
      <c r="P254" s="2058"/>
      <c r="Q254" s="2058"/>
      <c r="R254" s="2058"/>
      <c r="S254" s="2058"/>
      <c r="T254" s="2058"/>
      <c r="U254" s="2058"/>
      <c r="V254" s="2058"/>
      <c r="W254" s="2058"/>
      <c r="X254" s="2058"/>
      <c r="Y254" s="2058"/>
      <c r="Z254" s="2058"/>
    </row>
    <row r="255" spans="1:26" ht="12" x14ac:dyDescent="0.2">
      <c r="A255" s="9" t="str">
        <f>MID(Summary!$B$1,FIND(" ",Summary!$B$1,1)+1,4)</f>
        <v>2023</v>
      </c>
      <c r="B255" s="9" t="s">
        <v>374</v>
      </c>
      <c r="C255" s="9" t="s">
        <v>375</v>
      </c>
      <c r="D255" s="2064"/>
      <c r="E255" s="9" t="s">
        <v>13</v>
      </c>
      <c r="F255" s="9" t="s">
        <v>1957</v>
      </c>
      <c r="G255" s="2063">
        <f>Summary!E154</f>
        <v>4.7664661096799994E-5</v>
      </c>
      <c r="J255" s="2058"/>
      <c r="K255" s="2058"/>
      <c r="L255" s="2058"/>
      <c r="M255" s="2058"/>
      <c r="N255" s="2058"/>
      <c r="O255" s="2058"/>
      <c r="P255" s="2058"/>
      <c r="Q255" s="2058"/>
      <c r="R255" s="2058"/>
      <c r="S255" s="2058"/>
      <c r="T255" s="2058"/>
      <c r="U255" s="2058"/>
      <c r="V255" s="2058"/>
      <c r="W255" s="2058"/>
      <c r="X255" s="2058"/>
      <c r="Y255" s="2058"/>
      <c r="Z255" s="2058"/>
    </row>
    <row r="256" spans="1:26" ht="12" x14ac:dyDescent="0.2">
      <c r="A256" s="9" t="str">
        <f>MID(Summary!$B$1,FIND(" ",Summary!$B$1,1)+1,4)</f>
        <v>2023</v>
      </c>
      <c r="B256" s="9" t="s">
        <v>374</v>
      </c>
      <c r="C256" s="9" t="s">
        <v>375</v>
      </c>
      <c r="D256" s="2064"/>
      <c r="E256" s="9" t="s">
        <v>14</v>
      </c>
      <c r="F256" s="9" t="s">
        <v>1957</v>
      </c>
      <c r="G256" s="2063">
        <f>Summary!E155</f>
        <v>7.9448820157980004E-3</v>
      </c>
      <c r="J256" s="2058"/>
      <c r="K256" s="2058"/>
      <c r="L256" s="2058"/>
      <c r="M256" s="2058"/>
      <c r="N256" s="2058"/>
      <c r="O256" s="2058"/>
      <c r="P256" s="2058"/>
      <c r="Q256" s="2058"/>
      <c r="R256" s="2058"/>
      <c r="S256" s="2058"/>
      <c r="T256" s="2058"/>
      <c r="U256" s="2058"/>
      <c r="V256" s="2058"/>
      <c r="W256" s="2058"/>
      <c r="X256" s="2058"/>
      <c r="Y256" s="2058"/>
      <c r="Z256" s="2058"/>
    </row>
    <row r="257" spans="1:26" ht="12" x14ac:dyDescent="0.2">
      <c r="A257" s="9" t="str">
        <f>MID(Summary!$B$1,FIND(" ",Summary!$B$1,1)+1,4)</f>
        <v>2023</v>
      </c>
      <c r="B257" s="9" t="s">
        <v>374</v>
      </c>
      <c r="C257" s="9" t="s">
        <v>380</v>
      </c>
      <c r="D257" s="2064"/>
      <c r="E257" s="9" t="s">
        <v>10</v>
      </c>
      <c r="F257" s="9" t="s">
        <v>1957</v>
      </c>
      <c r="G257" s="2063">
        <f>Summary!E157</f>
        <v>0.43606364838449641</v>
      </c>
      <c r="J257" s="2058"/>
      <c r="K257" s="2058"/>
      <c r="L257" s="2058"/>
      <c r="M257" s="2058"/>
      <c r="N257" s="2058"/>
      <c r="O257" s="2058"/>
      <c r="P257" s="2058"/>
      <c r="Q257" s="2058"/>
      <c r="R257" s="2058"/>
      <c r="S257" s="2058"/>
      <c r="T257" s="2058"/>
      <c r="U257" s="2058"/>
      <c r="V257" s="2058"/>
      <c r="W257" s="2058"/>
      <c r="X257" s="2058"/>
      <c r="Y257" s="2058"/>
      <c r="Z257" s="2058"/>
    </row>
    <row r="258" spans="1:26" ht="12" x14ac:dyDescent="0.2">
      <c r="A258" s="9" t="str">
        <f>MID(Summary!$B$1,FIND(" ",Summary!$B$1,1)+1,4)</f>
        <v>2023</v>
      </c>
      <c r="B258" s="9" t="s">
        <v>374</v>
      </c>
      <c r="C258" s="9" t="s">
        <v>380</v>
      </c>
      <c r="D258" s="2064"/>
      <c r="E258" s="9" t="s">
        <v>13</v>
      </c>
      <c r="F258" s="9" t="s">
        <v>1957</v>
      </c>
      <c r="G258" s="2063">
        <f>Summary!E158</f>
        <v>1.8585176858019747</v>
      </c>
      <c r="J258" s="2058"/>
      <c r="K258" s="2058"/>
      <c r="L258" s="2058"/>
      <c r="M258" s="2058"/>
      <c r="N258" s="2058"/>
      <c r="O258" s="2058"/>
      <c r="P258" s="2058"/>
      <c r="Q258" s="2058"/>
      <c r="R258" s="2058"/>
      <c r="S258" s="2058"/>
      <c r="T258" s="2058"/>
      <c r="U258" s="2058"/>
      <c r="V258" s="2058"/>
      <c r="W258" s="2058"/>
      <c r="X258" s="2058"/>
      <c r="Y258" s="2058"/>
      <c r="Z258" s="2058"/>
    </row>
    <row r="259" spans="1:26" ht="12" x14ac:dyDescent="0.2">
      <c r="A259" s="9" t="str">
        <f>MID(Summary!$B$1,FIND(" ",Summary!$B$1,1)+1,4)</f>
        <v>2023</v>
      </c>
      <c r="B259" s="9" t="s">
        <v>374</v>
      </c>
      <c r="C259" s="9" t="s">
        <v>380</v>
      </c>
      <c r="D259" s="2064"/>
      <c r="E259" s="9" t="s">
        <v>14</v>
      </c>
      <c r="F259" s="9" t="s">
        <v>1957</v>
      </c>
      <c r="G259" s="2063">
        <f>Summary!E159</f>
        <v>0</v>
      </c>
      <c r="J259" s="2058"/>
      <c r="K259" s="2058"/>
      <c r="L259" s="2058"/>
      <c r="M259" s="2058"/>
      <c r="N259" s="2058"/>
      <c r="O259" s="2058"/>
      <c r="P259" s="2058"/>
      <c r="Q259" s="2058"/>
      <c r="R259" s="2058"/>
      <c r="S259" s="2058"/>
      <c r="T259" s="2058"/>
      <c r="U259" s="2058"/>
      <c r="V259" s="2058"/>
      <c r="W259" s="2058"/>
      <c r="X259" s="2058"/>
      <c r="Y259" s="2058"/>
      <c r="Z259" s="2058"/>
    </row>
    <row r="260" spans="1:26" ht="12" x14ac:dyDescent="0.2">
      <c r="A260" s="9" t="str">
        <f>MID(Summary!$B$1,FIND(" ",Summary!$B$1,1)+1,4)</f>
        <v>2023</v>
      </c>
      <c r="B260" s="9" t="s">
        <v>374</v>
      </c>
      <c r="C260" s="9" t="s">
        <v>387</v>
      </c>
      <c r="D260" s="2064"/>
      <c r="E260" s="9" t="s">
        <v>10</v>
      </c>
      <c r="F260" s="9" t="s">
        <v>1957</v>
      </c>
      <c r="G260" s="2063">
        <f>Summary!E161</f>
        <v>0</v>
      </c>
      <c r="J260" s="2058"/>
      <c r="K260" s="2058"/>
      <c r="L260" s="2058"/>
      <c r="M260" s="2058"/>
      <c r="N260" s="2058"/>
      <c r="O260" s="2058"/>
      <c r="P260" s="2058"/>
      <c r="Q260" s="2058"/>
      <c r="R260" s="2058"/>
      <c r="S260" s="2058"/>
      <c r="T260" s="2058"/>
      <c r="U260" s="2058"/>
      <c r="V260" s="2058"/>
      <c r="W260" s="2058"/>
      <c r="X260" s="2058"/>
      <c r="Y260" s="2058"/>
      <c r="Z260" s="2058"/>
    </row>
    <row r="261" spans="1:26" ht="12" x14ac:dyDescent="0.2">
      <c r="A261" s="9" t="str">
        <f>MID(Summary!$B$1,FIND(" ",Summary!$B$1,1)+1,4)</f>
        <v>2023</v>
      </c>
      <c r="B261" s="9" t="s">
        <v>374</v>
      </c>
      <c r="C261" s="9" t="s">
        <v>387</v>
      </c>
      <c r="D261" s="2064"/>
      <c r="E261" s="9" t="s">
        <v>13</v>
      </c>
      <c r="F261" s="9" t="s">
        <v>1957</v>
      </c>
      <c r="G261" s="2063">
        <f>Summary!E162</f>
        <v>0.51805617919971447</v>
      </c>
      <c r="J261" s="2058"/>
      <c r="K261" s="2058"/>
      <c r="L261" s="2058"/>
      <c r="M261" s="2058"/>
      <c r="N261" s="2058"/>
      <c r="O261" s="2058"/>
      <c r="P261" s="2058"/>
      <c r="Q261" s="2058"/>
      <c r="R261" s="2058"/>
      <c r="S261" s="2058"/>
      <c r="T261" s="2058"/>
      <c r="U261" s="2058"/>
      <c r="V261" s="2058"/>
      <c r="W261" s="2058"/>
      <c r="X261" s="2058"/>
      <c r="Y261" s="2058"/>
      <c r="Z261" s="2058"/>
    </row>
    <row r="262" spans="1:26" ht="12" x14ac:dyDescent="0.2">
      <c r="A262" s="9" t="str">
        <f>MID(Summary!$B$1,FIND(" ",Summary!$B$1,1)+1,4)</f>
        <v>2023</v>
      </c>
      <c r="B262" s="9" t="s">
        <v>374</v>
      </c>
      <c r="C262" s="9" t="s">
        <v>387</v>
      </c>
      <c r="D262" s="2064"/>
      <c r="E262" s="9" t="s">
        <v>14</v>
      </c>
      <c r="F262" s="9" t="s">
        <v>1957</v>
      </c>
      <c r="G262" s="2063">
        <f>Summary!E163</f>
        <v>0.1245021060966361</v>
      </c>
      <c r="J262" s="2058"/>
      <c r="K262" s="2058"/>
      <c r="L262" s="2058"/>
      <c r="M262" s="2058"/>
      <c r="N262" s="2058"/>
      <c r="O262" s="2058"/>
      <c r="P262" s="2058"/>
      <c r="Q262" s="2058"/>
      <c r="R262" s="2058"/>
      <c r="S262" s="2058"/>
      <c r="T262" s="2058"/>
      <c r="U262" s="2058"/>
      <c r="V262" s="2058"/>
      <c r="W262" s="2058"/>
      <c r="X262" s="2058"/>
      <c r="Y262" s="2058"/>
      <c r="Z262" s="2058"/>
    </row>
    <row r="263" spans="1:26" ht="12" x14ac:dyDescent="0.2">
      <c r="A263" s="9" t="str">
        <f>MID(Summary!$B$1,FIND(" ",Summary!$B$1,1)+1,4)</f>
        <v>2023</v>
      </c>
      <c r="B263" s="9" t="s">
        <v>374</v>
      </c>
      <c r="C263" s="9" t="s">
        <v>398</v>
      </c>
      <c r="D263" s="2064"/>
      <c r="E263" s="9" t="s">
        <v>10</v>
      </c>
      <c r="F263" s="9" t="s">
        <v>1957</v>
      </c>
      <c r="G263" s="2063">
        <f>Summary!E165</f>
        <v>3.3000000000000002E-2</v>
      </c>
      <c r="J263" s="2058"/>
      <c r="K263" s="2058"/>
      <c r="L263" s="2058"/>
      <c r="M263" s="2058"/>
      <c r="N263" s="2058"/>
      <c r="O263" s="2058"/>
      <c r="P263" s="2058"/>
      <c r="Q263" s="2058"/>
      <c r="R263" s="2058"/>
      <c r="S263" s="2058"/>
      <c r="T263" s="2058"/>
      <c r="U263" s="2058"/>
      <c r="V263" s="2058"/>
      <c r="W263" s="2058"/>
      <c r="X263" s="2058"/>
      <c r="Y263" s="2058"/>
      <c r="Z263" s="2058"/>
    </row>
    <row r="264" spans="1:26" ht="12" x14ac:dyDescent="0.2">
      <c r="A264" s="9" t="str">
        <f>MID(Summary!$B$1,FIND(" ",Summary!$B$1,1)+1,4)</f>
        <v>2023</v>
      </c>
      <c r="B264" s="9" t="s">
        <v>374</v>
      </c>
      <c r="C264" s="9" t="s">
        <v>398</v>
      </c>
      <c r="D264" s="2064"/>
      <c r="E264" s="9" t="s">
        <v>13</v>
      </c>
      <c r="F264" s="9" t="s">
        <v>1957</v>
      </c>
      <c r="G264" s="2063">
        <f>Summary!E166</f>
        <v>0</v>
      </c>
      <c r="J264" s="2058"/>
      <c r="K264" s="2058"/>
      <c r="L264" s="2058"/>
      <c r="M264" s="2058"/>
      <c r="N264" s="2058"/>
      <c r="O264" s="2058"/>
      <c r="P264" s="2058"/>
      <c r="Q264" s="2058"/>
      <c r="R264" s="2058"/>
      <c r="S264" s="2058"/>
      <c r="T264" s="2058"/>
      <c r="U264" s="2058"/>
      <c r="V264" s="2058"/>
      <c r="W264" s="2058"/>
      <c r="X264" s="2058"/>
      <c r="Y264" s="2058"/>
      <c r="Z264" s="2058"/>
    </row>
    <row r="265" spans="1:26" ht="12" x14ac:dyDescent="0.2">
      <c r="A265" s="9" t="str">
        <f>MID(Summary!$B$1,FIND(" ",Summary!$B$1,1)+1,4)</f>
        <v>2023</v>
      </c>
      <c r="B265" s="9" t="s">
        <v>374</v>
      </c>
      <c r="C265" s="9" t="s">
        <v>398</v>
      </c>
      <c r="D265" s="2064"/>
      <c r="E265" s="9" t="s">
        <v>14</v>
      </c>
      <c r="F265" s="9" t="s">
        <v>1957</v>
      </c>
      <c r="G265" s="2063">
        <f>Summary!E167</f>
        <v>0</v>
      </c>
      <c r="J265" s="2058"/>
      <c r="K265" s="2058"/>
      <c r="L265" s="2058"/>
      <c r="M265" s="2058"/>
      <c r="N265" s="2058"/>
      <c r="O265" s="2058"/>
      <c r="P265" s="2058"/>
      <c r="Q265" s="2058"/>
      <c r="R265" s="2058"/>
      <c r="S265" s="2058"/>
      <c r="T265" s="2058"/>
      <c r="U265" s="2058"/>
      <c r="V265" s="2058"/>
      <c r="W265" s="2058"/>
      <c r="X265" s="2058"/>
      <c r="Y265" s="2058"/>
      <c r="Z265" s="2058"/>
    </row>
    <row r="266" spans="1:26" ht="12" x14ac:dyDescent="0.2">
      <c r="A266" s="9" t="str">
        <f>MID(Summary!$B$1,FIND(" ",Summary!$B$1,1)+1,4)</f>
        <v>2023</v>
      </c>
      <c r="B266" s="9" t="s">
        <v>374</v>
      </c>
      <c r="C266" s="9" t="s">
        <v>375</v>
      </c>
      <c r="D266" s="2064"/>
      <c r="E266" s="9" t="s">
        <v>10</v>
      </c>
      <c r="F266" s="9" t="s">
        <v>1959</v>
      </c>
      <c r="G266" s="2063">
        <f>Summary!D153</f>
        <v>1.1871958784179502</v>
      </c>
      <c r="H266" s="2058"/>
      <c r="I266" s="2058"/>
      <c r="J266" s="2058"/>
      <c r="K266" s="2058"/>
      <c r="L266" s="2058"/>
      <c r="M266" s="2058"/>
      <c r="N266" s="2058"/>
      <c r="O266" s="2058"/>
      <c r="P266" s="2058"/>
      <c r="Q266" s="2058"/>
      <c r="R266" s="2058"/>
      <c r="S266" s="2058"/>
      <c r="T266" s="2058"/>
      <c r="U266" s="2058"/>
      <c r="V266" s="2058"/>
      <c r="W266" s="2058"/>
      <c r="X266" s="2058"/>
      <c r="Y266" s="2058"/>
      <c r="Z266" s="2058"/>
    </row>
    <row r="267" spans="1:26" ht="12" x14ac:dyDescent="0.2">
      <c r="A267" s="9" t="str">
        <f>MID(Summary!$B$1,FIND(" ",Summary!$B$1,1)+1,4)</f>
        <v>2023</v>
      </c>
      <c r="B267" s="9" t="s">
        <v>374</v>
      </c>
      <c r="C267" s="9" t="s">
        <v>375</v>
      </c>
      <c r="D267" s="2064"/>
      <c r="E267" s="9" t="s">
        <v>13</v>
      </c>
      <c r="F267" s="9" t="s">
        <v>1959</v>
      </c>
      <c r="G267" s="2063">
        <f>Summary!D154</f>
        <v>1.3872295631039999E-4</v>
      </c>
      <c r="H267" s="2058"/>
      <c r="I267" s="2058"/>
      <c r="J267" s="2058"/>
      <c r="K267" s="2058"/>
      <c r="L267" s="2058"/>
      <c r="M267" s="2058"/>
      <c r="N267" s="2058"/>
      <c r="O267" s="2058"/>
      <c r="P267" s="2058"/>
      <c r="Q267" s="2058"/>
      <c r="R267" s="2058"/>
      <c r="S267" s="2058"/>
      <c r="T267" s="2058"/>
      <c r="U267" s="2058"/>
      <c r="V267" s="2058"/>
      <c r="W267" s="2058"/>
      <c r="X267" s="2058"/>
      <c r="Y267" s="2058"/>
      <c r="Z267" s="2058"/>
    </row>
    <row r="268" spans="1:26" ht="12" x14ac:dyDescent="0.2">
      <c r="A268" s="9" t="str">
        <f>MID(Summary!$B$1,FIND(" ",Summary!$B$1,1)+1,4)</f>
        <v>2023</v>
      </c>
      <c r="B268" s="9" t="s">
        <v>374</v>
      </c>
      <c r="C268" s="9" t="s">
        <v>375</v>
      </c>
      <c r="D268" s="2064"/>
      <c r="E268" s="9" t="s">
        <v>14</v>
      </c>
      <c r="F268" s="9" t="s">
        <v>1959</v>
      </c>
      <c r="G268" s="2063">
        <f>Summary!D155</f>
        <v>7.9448820157980004E-3</v>
      </c>
      <c r="H268" s="2058"/>
      <c r="I268" s="2058"/>
      <c r="J268" s="2058"/>
      <c r="K268" s="2058"/>
      <c r="L268" s="2058"/>
      <c r="M268" s="2058"/>
      <c r="N268" s="2058"/>
      <c r="O268" s="2058"/>
      <c r="P268" s="2058"/>
      <c r="Q268" s="2058"/>
      <c r="R268" s="2058"/>
      <c r="S268" s="2058"/>
      <c r="T268" s="2058"/>
      <c r="U268" s="2058"/>
      <c r="V268" s="2058"/>
      <c r="W268" s="2058"/>
      <c r="X268" s="2058"/>
      <c r="Y268" s="2058"/>
      <c r="Z268" s="2058"/>
    </row>
    <row r="269" spans="1:26" ht="12" x14ac:dyDescent="0.2">
      <c r="A269" s="9" t="str">
        <f>MID(Summary!$B$1,FIND(" ",Summary!$B$1,1)+1,4)</f>
        <v>2023</v>
      </c>
      <c r="B269" s="9" t="s">
        <v>374</v>
      </c>
      <c r="C269" s="9" t="s">
        <v>380</v>
      </c>
      <c r="D269" s="2064"/>
      <c r="E269" s="9" t="s">
        <v>10</v>
      </c>
      <c r="F269" s="9" t="s">
        <v>1959</v>
      </c>
      <c r="G269" s="2063">
        <f>Summary!D157</f>
        <v>0.43606364838449641</v>
      </c>
      <c r="H269" s="2058"/>
      <c r="I269" s="2058"/>
      <c r="J269" s="2058"/>
      <c r="K269" s="2058"/>
      <c r="L269" s="2058"/>
      <c r="M269" s="2058"/>
      <c r="N269" s="2058"/>
      <c r="O269" s="2058"/>
      <c r="P269" s="2058"/>
      <c r="Q269" s="2058"/>
      <c r="R269" s="2058"/>
      <c r="S269" s="2058"/>
      <c r="T269" s="2058"/>
      <c r="U269" s="2058"/>
      <c r="V269" s="2058"/>
      <c r="W269" s="2058"/>
      <c r="X269" s="2058"/>
      <c r="Y269" s="2058"/>
      <c r="Z269" s="2058"/>
    </row>
    <row r="270" spans="1:26" ht="12" x14ac:dyDescent="0.2">
      <c r="A270" s="9" t="str">
        <f>MID(Summary!$B$1,FIND(" ",Summary!$B$1,1)+1,4)</f>
        <v>2023</v>
      </c>
      <c r="B270" s="9" t="s">
        <v>374</v>
      </c>
      <c r="C270" s="9" t="s">
        <v>380</v>
      </c>
      <c r="D270" s="2064"/>
      <c r="E270" s="9" t="s">
        <v>13</v>
      </c>
      <c r="F270" s="9" t="s">
        <v>1959</v>
      </c>
      <c r="G270" s="2063">
        <f>Summary!D158</f>
        <v>5.4090192145921279</v>
      </c>
      <c r="H270" s="2058"/>
      <c r="I270" s="2058"/>
      <c r="J270" s="2058"/>
      <c r="K270" s="2058"/>
      <c r="L270" s="2058"/>
      <c r="M270" s="2058"/>
      <c r="N270" s="2058"/>
      <c r="O270" s="2058"/>
      <c r="P270" s="2058"/>
      <c r="Q270" s="2058"/>
      <c r="R270" s="2058"/>
      <c r="S270" s="2058"/>
      <c r="T270" s="2058"/>
      <c r="U270" s="2058"/>
      <c r="V270" s="2058"/>
      <c r="W270" s="2058"/>
      <c r="X270" s="2058"/>
      <c r="Y270" s="2058"/>
      <c r="Z270" s="2058"/>
    </row>
    <row r="271" spans="1:26" ht="12" x14ac:dyDescent="0.2">
      <c r="A271" s="9" t="str">
        <f>MID(Summary!$B$1,FIND(" ",Summary!$B$1,1)+1,4)</f>
        <v>2023</v>
      </c>
      <c r="B271" s="9" t="s">
        <v>374</v>
      </c>
      <c r="C271" s="9" t="s">
        <v>380</v>
      </c>
      <c r="D271" s="2064"/>
      <c r="E271" s="9" t="s">
        <v>14</v>
      </c>
      <c r="F271" s="9" t="s">
        <v>1959</v>
      </c>
      <c r="G271" s="2063">
        <f>Summary!D159</f>
        <v>0</v>
      </c>
      <c r="H271" s="2058"/>
      <c r="I271" s="2058"/>
      <c r="J271" s="2058"/>
      <c r="K271" s="2058"/>
      <c r="L271" s="2058"/>
      <c r="M271" s="2058"/>
      <c r="N271" s="2058"/>
      <c r="O271" s="2058"/>
      <c r="P271" s="2058"/>
      <c r="Q271" s="2058"/>
      <c r="R271" s="2058"/>
      <c r="S271" s="2058"/>
      <c r="T271" s="2058"/>
      <c r="U271" s="2058"/>
      <c r="V271" s="2058"/>
      <c r="W271" s="2058"/>
      <c r="X271" s="2058"/>
      <c r="Y271" s="2058"/>
      <c r="Z271" s="2058"/>
    </row>
    <row r="272" spans="1:26" ht="12" x14ac:dyDescent="0.2">
      <c r="A272" s="9" t="str">
        <f>MID(Summary!$B$1,FIND(" ",Summary!$B$1,1)+1,4)</f>
        <v>2023</v>
      </c>
      <c r="B272" s="9" t="s">
        <v>374</v>
      </c>
      <c r="C272" s="9" t="s">
        <v>387</v>
      </c>
      <c r="D272" s="2064"/>
      <c r="E272" s="9" t="s">
        <v>10</v>
      </c>
      <c r="F272" s="9" t="s">
        <v>1959</v>
      </c>
      <c r="G272" s="2063">
        <f>Summary!D161</f>
        <v>0</v>
      </c>
      <c r="H272" s="2058"/>
      <c r="I272" s="2058"/>
      <c r="J272" s="2058"/>
      <c r="K272" s="2058"/>
      <c r="L272" s="2058"/>
      <c r="M272" s="2058"/>
      <c r="N272" s="2058"/>
      <c r="O272" s="2058"/>
      <c r="P272" s="2058"/>
      <c r="Q272" s="2058"/>
      <c r="R272" s="2058"/>
      <c r="S272" s="2058"/>
      <c r="T272" s="2058"/>
      <c r="U272" s="2058"/>
      <c r="V272" s="2058"/>
      <c r="W272" s="2058"/>
      <c r="X272" s="2058"/>
      <c r="Y272" s="2058"/>
      <c r="Z272" s="2058"/>
    </row>
    <row r="273" spans="1:26" ht="12" x14ac:dyDescent="0.2">
      <c r="A273" s="9" t="str">
        <f>MID(Summary!$B$1,FIND(" ",Summary!$B$1,1)+1,4)</f>
        <v>2023</v>
      </c>
      <c r="B273" s="9" t="s">
        <v>374</v>
      </c>
      <c r="C273" s="9" t="s">
        <v>387</v>
      </c>
      <c r="D273" s="2064"/>
      <c r="E273" s="9" t="s">
        <v>13</v>
      </c>
      <c r="F273" s="9" t="s">
        <v>1959</v>
      </c>
      <c r="G273" s="2063">
        <f>Summary!D162</f>
        <v>1.5077477330113556</v>
      </c>
      <c r="H273" s="2058"/>
      <c r="I273" s="2058"/>
      <c r="J273" s="2058"/>
      <c r="K273" s="2058"/>
      <c r="L273" s="2058"/>
      <c r="M273" s="2058"/>
      <c r="N273" s="2058"/>
      <c r="O273" s="2058"/>
      <c r="P273" s="2058"/>
      <c r="Q273" s="2058"/>
      <c r="R273" s="2058"/>
      <c r="S273" s="2058"/>
      <c r="T273" s="2058"/>
      <c r="U273" s="2058"/>
      <c r="V273" s="2058"/>
      <c r="W273" s="2058"/>
      <c r="X273" s="2058"/>
      <c r="Y273" s="2058"/>
      <c r="Z273" s="2058"/>
    </row>
    <row r="274" spans="1:26" ht="12" x14ac:dyDescent="0.2">
      <c r="A274" s="9" t="str">
        <f>MID(Summary!$B$1,FIND(" ",Summary!$B$1,1)+1,4)</f>
        <v>2023</v>
      </c>
      <c r="B274" s="9" t="s">
        <v>374</v>
      </c>
      <c r="C274" s="9" t="s">
        <v>387</v>
      </c>
      <c r="D274" s="2064"/>
      <c r="E274" s="9" t="s">
        <v>14</v>
      </c>
      <c r="F274" s="9" t="s">
        <v>1959</v>
      </c>
      <c r="G274" s="2063">
        <f>Summary!D163</f>
        <v>0.1245021060966361</v>
      </c>
      <c r="H274" s="2058"/>
      <c r="I274" s="2058"/>
      <c r="J274" s="2058"/>
      <c r="K274" s="2058"/>
      <c r="L274" s="2058"/>
      <c r="M274" s="2058"/>
      <c r="N274" s="2058"/>
      <c r="O274" s="2058"/>
      <c r="P274" s="2058"/>
      <c r="Q274" s="2058"/>
      <c r="R274" s="2058"/>
      <c r="S274" s="2058"/>
      <c r="T274" s="2058"/>
      <c r="U274" s="2058"/>
      <c r="V274" s="2058"/>
      <c r="W274" s="2058"/>
      <c r="X274" s="2058"/>
      <c r="Y274" s="2058"/>
      <c r="Z274" s="2058"/>
    </row>
    <row r="275" spans="1:26" ht="12" x14ac:dyDescent="0.2">
      <c r="A275" s="9" t="str">
        <f>MID(Summary!$B$1,FIND(" ",Summary!$B$1,1)+1,4)</f>
        <v>2023</v>
      </c>
      <c r="B275" s="9" t="s">
        <v>374</v>
      </c>
      <c r="C275" s="9" t="s">
        <v>398</v>
      </c>
      <c r="D275" s="2064"/>
      <c r="E275" s="9" t="s">
        <v>10</v>
      </c>
      <c r="F275" s="9" t="s">
        <v>1959</v>
      </c>
      <c r="G275" s="2063">
        <f>Summary!D165</f>
        <v>3.3000000000000002E-2</v>
      </c>
      <c r="H275" s="2058"/>
      <c r="I275" s="2058"/>
      <c r="J275" s="2058"/>
      <c r="K275" s="2058"/>
      <c r="L275" s="2058"/>
      <c r="M275" s="2058"/>
      <c r="N275" s="2058"/>
      <c r="O275" s="2058"/>
      <c r="P275" s="2058"/>
      <c r="Q275" s="2058"/>
      <c r="R275" s="2058"/>
      <c r="S275" s="2058"/>
      <c r="T275" s="2058"/>
      <c r="U275" s="2058"/>
      <c r="V275" s="2058"/>
      <c r="W275" s="2058"/>
      <c r="X275" s="2058"/>
      <c r="Y275" s="2058"/>
      <c r="Z275" s="2058"/>
    </row>
    <row r="276" spans="1:26" ht="12" x14ac:dyDescent="0.2">
      <c r="A276" s="9" t="str">
        <f>MID(Summary!$B$1,FIND(" ",Summary!$B$1,1)+1,4)</f>
        <v>2023</v>
      </c>
      <c r="B276" s="9" t="s">
        <v>374</v>
      </c>
      <c r="C276" s="9" t="s">
        <v>398</v>
      </c>
      <c r="D276" s="2064"/>
      <c r="E276" s="9" t="s">
        <v>13</v>
      </c>
      <c r="F276" s="9" t="s">
        <v>1959</v>
      </c>
      <c r="G276" s="2063">
        <f>Summary!D166</f>
        <v>0</v>
      </c>
      <c r="H276" s="2058"/>
      <c r="I276" s="2058"/>
      <c r="J276" s="2058"/>
      <c r="K276" s="2058"/>
      <c r="L276" s="2058"/>
      <c r="M276" s="2058"/>
      <c r="N276" s="2058"/>
      <c r="O276" s="2058"/>
      <c r="P276" s="2058"/>
      <c r="Q276" s="2058"/>
      <c r="R276" s="2058"/>
      <c r="S276" s="2058"/>
      <c r="T276" s="2058"/>
      <c r="U276" s="2058"/>
      <c r="V276" s="2058"/>
      <c r="W276" s="2058"/>
      <c r="X276" s="2058"/>
      <c r="Y276" s="2058"/>
      <c r="Z276" s="2058"/>
    </row>
    <row r="277" spans="1:26" ht="12" x14ac:dyDescent="0.2">
      <c r="A277" s="9" t="str">
        <f>MID(Summary!$B$1,FIND(" ",Summary!$B$1,1)+1,4)</f>
        <v>2023</v>
      </c>
      <c r="B277" s="9" t="s">
        <v>374</v>
      </c>
      <c r="C277" s="9" t="s">
        <v>398</v>
      </c>
      <c r="D277" s="2064"/>
      <c r="E277" s="9" t="s">
        <v>14</v>
      </c>
      <c r="F277" s="9" t="s">
        <v>1959</v>
      </c>
      <c r="G277" s="2063">
        <f>Summary!D167</f>
        <v>0</v>
      </c>
      <c r="H277" s="2058"/>
      <c r="I277" s="2058"/>
      <c r="J277" s="2058"/>
      <c r="K277" s="2058"/>
      <c r="L277" s="2058"/>
      <c r="M277" s="2058"/>
      <c r="N277" s="2058"/>
      <c r="O277" s="2058"/>
      <c r="P277" s="2058"/>
      <c r="Q277" s="2058"/>
      <c r="R277" s="2058"/>
      <c r="S277" s="2058"/>
      <c r="T277" s="2058"/>
      <c r="U277" s="2058"/>
      <c r="V277" s="2058"/>
      <c r="W277" s="2058"/>
      <c r="X277" s="2058"/>
      <c r="Y277" s="2058"/>
      <c r="Z277" s="2058"/>
    </row>
    <row r="278" spans="1:26" ht="12" x14ac:dyDescent="0.2">
      <c r="A278" s="9" t="str">
        <f>MID(Summary!$B$1,FIND(" ",Summary!$B$1,1)+1,4)</f>
        <v>2023</v>
      </c>
      <c r="B278" s="9" t="s">
        <v>416</v>
      </c>
      <c r="C278" s="9" t="s">
        <v>424</v>
      </c>
      <c r="D278" s="2064"/>
      <c r="E278" s="9" t="s">
        <v>10</v>
      </c>
      <c r="F278" s="9" t="s">
        <v>1957</v>
      </c>
      <c r="G278" s="2063">
        <f>Summary!E171</f>
        <v>-8.5884259921962087</v>
      </c>
      <c r="J278" s="2058"/>
      <c r="K278" s="2058"/>
      <c r="L278" s="2058"/>
      <c r="M278" s="2058"/>
      <c r="N278" s="2058"/>
      <c r="O278" s="2058"/>
      <c r="P278" s="2058"/>
      <c r="Q278" s="2058"/>
      <c r="R278" s="2058"/>
      <c r="S278" s="2058"/>
      <c r="T278" s="2058"/>
      <c r="U278" s="2058"/>
      <c r="V278" s="2058"/>
      <c r="W278" s="2058"/>
      <c r="X278" s="2058"/>
      <c r="Y278" s="2058"/>
      <c r="Z278" s="2058"/>
    </row>
    <row r="279" spans="1:26" ht="12" x14ac:dyDescent="0.2">
      <c r="A279" s="9" t="str">
        <f>MID(Summary!$B$1,FIND(" ",Summary!$B$1,1)+1,4)</f>
        <v>2023</v>
      </c>
      <c r="B279" s="9" t="s">
        <v>416</v>
      </c>
      <c r="C279" s="9" t="s">
        <v>429</v>
      </c>
      <c r="D279" s="2064"/>
      <c r="E279" s="9" t="s">
        <v>10</v>
      </c>
      <c r="F279" s="9" t="s">
        <v>1957</v>
      </c>
      <c r="G279" s="2063">
        <f>Summary!E172</f>
        <v>-0.80628999999999995</v>
      </c>
      <c r="J279" s="2058"/>
      <c r="K279" s="2058"/>
      <c r="L279" s="2058"/>
      <c r="M279" s="2058"/>
      <c r="N279" s="2058"/>
      <c r="O279" s="2058"/>
      <c r="P279" s="2058"/>
      <c r="Q279" s="2058"/>
      <c r="R279" s="2058"/>
      <c r="S279" s="2058"/>
      <c r="T279" s="2058"/>
      <c r="U279" s="2058"/>
      <c r="V279" s="2058"/>
      <c r="W279" s="2058"/>
      <c r="X279" s="2058"/>
      <c r="Y279" s="2058"/>
      <c r="Z279" s="2058"/>
    </row>
    <row r="280" spans="1:26" ht="12" x14ac:dyDescent="0.2">
      <c r="A280" s="9" t="str">
        <f>MID(Summary!$B$1,FIND(" ",Summary!$B$1,1)+1,4)</f>
        <v>2023</v>
      </c>
      <c r="B280" s="9" t="s">
        <v>416</v>
      </c>
      <c r="C280" s="9" t="s">
        <v>434</v>
      </c>
      <c r="D280" s="2064"/>
      <c r="E280" s="9" t="s">
        <v>14</v>
      </c>
      <c r="F280" s="9" t="s">
        <v>1957</v>
      </c>
      <c r="G280" s="2063">
        <f>Summary!E174</f>
        <v>1.725438E-2</v>
      </c>
      <c r="J280" s="2058"/>
      <c r="K280" s="2058"/>
      <c r="L280" s="2058"/>
      <c r="M280" s="2058"/>
      <c r="N280" s="2058"/>
      <c r="O280" s="2058"/>
      <c r="P280" s="2058"/>
      <c r="Q280" s="2058"/>
      <c r="R280" s="2058"/>
      <c r="S280" s="2058"/>
      <c r="T280" s="2058"/>
      <c r="U280" s="2058"/>
      <c r="V280" s="2058"/>
      <c r="W280" s="2058"/>
      <c r="X280" s="2058"/>
      <c r="Y280" s="2058"/>
      <c r="Z280" s="2058"/>
    </row>
    <row r="281" spans="1:26" ht="12" x14ac:dyDescent="0.2">
      <c r="A281" s="9" t="str">
        <f>MID(Summary!$B$1,FIND(" ",Summary!$B$1,1)+1,4)</f>
        <v>2023</v>
      </c>
      <c r="B281" s="9" t="s">
        <v>416</v>
      </c>
      <c r="C281" s="9" t="s">
        <v>440</v>
      </c>
      <c r="D281" s="2064"/>
      <c r="E281" s="9" t="s">
        <v>13</v>
      </c>
      <c r="F281" s="9" t="s">
        <v>1957</v>
      </c>
      <c r="G281" s="2063">
        <f>Summary!E176</f>
        <v>0.10103530271990287</v>
      </c>
      <c r="J281" s="2058"/>
      <c r="K281" s="2058"/>
      <c r="L281" s="2058"/>
      <c r="M281" s="2058"/>
      <c r="N281" s="2058"/>
      <c r="O281" s="2058"/>
      <c r="P281" s="2058"/>
      <c r="Q281" s="2058"/>
      <c r="R281" s="2058"/>
      <c r="S281" s="2058"/>
      <c r="T281" s="2058"/>
      <c r="U281" s="2058"/>
      <c r="V281" s="2058"/>
      <c r="W281" s="2058"/>
      <c r="X281" s="2058"/>
      <c r="Y281" s="2058"/>
      <c r="Z281" s="2058"/>
    </row>
    <row r="282" spans="1:26" ht="12" x14ac:dyDescent="0.2">
      <c r="A282" s="9" t="str">
        <f>MID(Summary!$B$1,FIND(" ",Summary!$B$1,1)+1,4)</f>
        <v>2023</v>
      </c>
      <c r="B282" s="9" t="s">
        <v>416</v>
      </c>
      <c r="C282" s="9" t="s">
        <v>440</v>
      </c>
      <c r="D282" s="2064"/>
      <c r="E282" s="9" t="s">
        <v>14</v>
      </c>
      <c r="F282" s="9" t="s">
        <v>1957</v>
      </c>
      <c r="G282" s="2063">
        <f>Summary!E177</f>
        <v>2.9077206032609618E-2</v>
      </c>
      <c r="J282" s="2058"/>
      <c r="K282" s="2058"/>
      <c r="L282" s="2058"/>
      <c r="M282" s="2058"/>
      <c r="N282" s="2058"/>
      <c r="O282" s="2058"/>
      <c r="P282" s="2058"/>
      <c r="Q282" s="2058"/>
      <c r="R282" s="2058"/>
      <c r="S282" s="2058"/>
      <c r="T282" s="2058"/>
      <c r="U282" s="2058"/>
      <c r="V282" s="2058"/>
      <c r="W282" s="2058"/>
      <c r="X282" s="2058"/>
      <c r="Y282" s="2058"/>
      <c r="Z282" s="2058"/>
    </row>
    <row r="283" spans="1:26" ht="12" x14ac:dyDescent="0.2">
      <c r="A283" s="9" t="str">
        <f>MID(Summary!$B$1,FIND(" ",Summary!$B$1,1)+1,4)</f>
        <v>2023</v>
      </c>
      <c r="B283" s="9" t="s">
        <v>416</v>
      </c>
      <c r="C283" s="9" t="s">
        <v>455</v>
      </c>
      <c r="D283" s="2064"/>
      <c r="E283" s="9" t="s">
        <v>10</v>
      </c>
      <c r="F283" s="9" t="s">
        <v>1957</v>
      </c>
      <c r="G283" s="2063">
        <f>Summary!E178</f>
        <v>-0.936648598</v>
      </c>
      <c r="J283" s="2058"/>
      <c r="K283" s="2058"/>
      <c r="L283" s="2058"/>
      <c r="M283" s="2058"/>
      <c r="N283" s="2058"/>
      <c r="O283" s="2058"/>
      <c r="P283" s="2058"/>
      <c r="Q283" s="2058"/>
      <c r="R283" s="2058"/>
      <c r="S283" s="2058"/>
      <c r="T283" s="2058"/>
      <c r="U283" s="2058"/>
      <c r="V283" s="2058"/>
      <c r="W283" s="2058"/>
      <c r="X283" s="2058"/>
      <c r="Y283" s="2058"/>
      <c r="Z283" s="2058"/>
    </row>
    <row r="284" spans="1:26" ht="12" x14ac:dyDescent="0.2">
      <c r="A284" s="9" t="str">
        <f>MID(Summary!$B$1,FIND(" ",Summary!$B$1,1)+1,4)</f>
        <v>2023</v>
      </c>
      <c r="B284" s="9" t="s">
        <v>416</v>
      </c>
      <c r="C284" s="9" t="s">
        <v>460</v>
      </c>
      <c r="D284" s="2064"/>
      <c r="E284" s="9" t="s">
        <v>10</v>
      </c>
      <c r="F284" s="9" t="s">
        <v>1957</v>
      </c>
      <c r="G284" s="2063">
        <f>Summary!E180</f>
        <v>-0.53901440970355763</v>
      </c>
      <c r="J284" s="2058"/>
      <c r="K284" s="2058"/>
      <c r="L284" s="2058"/>
      <c r="M284" s="2058"/>
      <c r="N284" s="2058"/>
      <c r="O284" s="2058"/>
      <c r="P284" s="2058"/>
      <c r="Q284" s="2058"/>
      <c r="R284" s="2058"/>
      <c r="S284" s="2058"/>
      <c r="T284" s="2058"/>
      <c r="U284" s="2058"/>
      <c r="V284" s="2058"/>
      <c r="W284" s="2058"/>
      <c r="X284" s="2058"/>
      <c r="Y284" s="2058"/>
      <c r="Z284" s="2058"/>
    </row>
    <row r="285" spans="1:26" ht="12" x14ac:dyDescent="0.2">
      <c r="A285" s="9" t="str">
        <f>MID(Summary!$B$1,FIND(" ",Summary!$B$1,1)+1,4)</f>
        <v>2023</v>
      </c>
      <c r="B285" s="9" t="s">
        <v>416</v>
      </c>
      <c r="C285" s="9" t="s">
        <v>460</v>
      </c>
      <c r="D285" s="2064"/>
      <c r="E285" s="9" t="s">
        <v>13</v>
      </c>
      <c r="F285" s="9" t="s">
        <v>1957</v>
      </c>
      <c r="G285" s="2063">
        <f>Summary!E181</f>
        <v>0.29262377885785096</v>
      </c>
      <c r="J285" s="2058"/>
      <c r="K285" s="2058"/>
      <c r="L285" s="2058"/>
      <c r="M285" s="2058"/>
      <c r="N285" s="2058"/>
      <c r="O285" s="2058"/>
      <c r="P285" s="2058"/>
      <c r="Q285" s="2058"/>
      <c r="R285" s="2058"/>
      <c r="S285" s="2058"/>
      <c r="T285" s="2058"/>
      <c r="U285" s="2058"/>
      <c r="V285" s="2058"/>
      <c r="W285" s="2058"/>
      <c r="X285" s="2058"/>
      <c r="Y285" s="2058"/>
      <c r="Z285" s="2058"/>
    </row>
    <row r="286" spans="1:26" ht="12" x14ac:dyDescent="0.2">
      <c r="A286" s="9" t="str">
        <f>MID(Summary!$B$1,FIND(" ",Summary!$B$1,1)+1,4)</f>
        <v>2023</v>
      </c>
      <c r="B286" s="9" t="s">
        <v>416</v>
      </c>
      <c r="C286" s="9" t="s">
        <v>424</v>
      </c>
      <c r="D286" s="2064"/>
      <c r="E286" s="9" t="s">
        <v>10</v>
      </c>
      <c r="F286" s="9" t="s">
        <v>1959</v>
      </c>
      <c r="G286" s="2063">
        <f>Summary!D171</f>
        <v>-8.5884259921962087</v>
      </c>
      <c r="H286" s="2058"/>
      <c r="I286" s="2058"/>
      <c r="J286" s="2058"/>
      <c r="K286" s="2058"/>
      <c r="L286" s="2058"/>
      <c r="M286" s="2058"/>
      <c r="N286" s="2058"/>
      <c r="O286" s="2058"/>
      <c r="P286" s="2058"/>
      <c r="Q286" s="2058"/>
      <c r="R286" s="2058"/>
      <c r="S286" s="2058"/>
      <c r="T286" s="2058"/>
      <c r="U286" s="2058"/>
      <c r="V286" s="2058"/>
      <c r="W286" s="2058"/>
      <c r="X286" s="2058"/>
      <c r="Y286" s="2058"/>
      <c r="Z286" s="2058"/>
    </row>
    <row r="287" spans="1:26" ht="12" x14ac:dyDescent="0.2">
      <c r="A287" s="9" t="str">
        <f>MID(Summary!$B$1,FIND(" ",Summary!$B$1,1)+1,4)</f>
        <v>2023</v>
      </c>
      <c r="B287" s="9" t="s">
        <v>416</v>
      </c>
      <c r="C287" s="9" t="s">
        <v>429</v>
      </c>
      <c r="D287" s="2064"/>
      <c r="E287" s="9" t="s">
        <v>10</v>
      </c>
      <c r="F287" s="9" t="s">
        <v>1959</v>
      </c>
      <c r="G287" s="2063">
        <f>Summary!D172</f>
        <v>-0.80628999999999995</v>
      </c>
      <c r="H287" s="2058"/>
      <c r="I287" s="2058"/>
      <c r="J287" s="2058"/>
      <c r="K287" s="2058"/>
      <c r="L287" s="2058"/>
      <c r="M287" s="2058"/>
      <c r="N287" s="2058"/>
      <c r="O287" s="2058"/>
      <c r="P287" s="2058"/>
      <c r="Q287" s="2058"/>
      <c r="R287" s="2058"/>
      <c r="S287" s="2058"/>
      <c r="T287" s="2058"/>
      <c r="U287" s="2058"/>
      <c r="V287" s="2058"/>
      <c r="W287" s="2058"/>
      <c r="X287" s="2058"/>
      <c r="Y287" s="2058"/>
      <c r="Z287" s="2058"/>
    </row>
    <row r="288" spans="1:26" ht="12" x14ac:dyDescent="0.2">
      <c r="A288" s="9" t="str">
        <f>MID(Summary!$B$1,FIND(" ",Summary!$B$1,1)+1,4)</f>
        <v>2023</v>
      </c>
      <c r="B288" s="9" t="s">
        <v>416</v>
      </c>
      <c r="C288" s="9" t="s">
        <v>434</v>
      </c>
      <c r="D288" s="2064"/>
      <c r="E288" s="9" t="s">
        <v>14</v>
      </c>
      <c r="F288" s="9" t="s">
        <v>1959</v>
      </c>
      <c r="G288" s="2063">
        <f>Summary!D174</f>
        <v>1.725438E-2</v>
      </c>
      <c r="H288" s="2058"/>
      <c r="I288" s="2058"/>
      <c r="J288" s="2058"/>
      <c r="K288" s="2058"/>
      <c r="L288" s="2058"/>
      <c r="M288" s="2058"/>
      <c r="N288" s="2058"/>
      <c r="O288" s="2058"/>
      <c r="P288" s="2058"/>
      <c r="Q288" s="2058"/>
      <c r="R288" s="2058"/>
      <c r="S288" s="2058"/>
      <c r="T288" s="2058"/>
      <c r="U288" s="2058"/>
      <c r="V288" s="2058"/>
      <c r="W288" s="2058"/>
      <c r="X288" s="2058"/>
      <c r="Y288" s="2058"/>
      <c r="Z288" s="2058"/>
    </row>
    <row r="289" spans="1:26" ht="12" x14ac:dyDescent="0.2">
      <c r="A289" s="9" t="str">
        <f>MID(Summary!$B$1,FIND(" ",Summary!$B$1,1)+1,4)</f>
        <v>2023</v>
      </c>
      <c r="B289" s="9" t="s">
        <v>416</v>
      </c>
      <c r="C289" s="9" t="s">
        <v>440</v>
      </c>
      <c r="D289" s="2064"/>
      <c r="E289" s="9" t="s">
        <v>13</v>
      </c>
      <c r="F289" s="9" t="s">
        <v>1959</v>
      </c>
      <c r="G289" s="2063">
        <f>Summary!D176</f>
        <v>0.29405256562208293</v>
      </c>
      <c r="H289" s="2058"/>
      <c r="I289" s="2058"/>
      <c r="J289" s="2058"/>
      <c r="K289" s="2058"/>
      <c r="L289" s="2058"/>
      <c r="M289" s="2058"/>
      <c r="N289" s="2058"/>
      <c r="O289" s="2058"/>
      <c r="P289" s="2058"/>
      <c r="Q289" s="2058"/>
      <c r="R289" s="2058"/>
      <c r="S289" s="2058"/>
      <c r="T289" s="2058"/>
      <c r="U289" s="2058"/>
      <c r="V289" s="2058"/>
      <c r="W289" s="2058"/>
      <c r="X289" s="2058"/>
      <c r="Y289" s="2058"/>
      <c r="Z289" s="2058"/>
    </row>
    <row r="290" spans="1:26" ht="12" x14ac:dyDescent="0.2">
      <c r="A290" s="9" t="str">
        <f>MID(Summary!$B$1,FIND(" ",Summary!$B$1,1)+1,4)</f>
        <v>2023</v>
      </c>
      <c r="B290" s="9" t="s">
        <v>416</v>
      </c>
      <c r="C290" s="9" t="s">
        <v>440</v>
      </c>
      <c r="D290" s="2064"/>
      <c r="E290" s="9" t="s">
        <v>14</v>
      </c>
      <c r="F290" s="9" t="s">
        <v>1959</v>
      </c>
      <c r="G290" s="2063">
        <f>Summary!D177</f>
        <v>2.9077206032609618E-2</v>
      </c>
      <c r="H290" s="2058"/>
      <c r="I290" s="2058"/>
      <c r="J290" s="2058"/>
      <c r="K290" s="2058"/>
      <c r="L290" s="2058"/>
      <c r="M290" s="2058"/>
      <c r="N290" s="2058"/>
      <c r="O290" s="2058"/>
      <c r="P290" s="2058"/>
      <c r="Q290" s="2058"/>
      <c r="R290" s="2058"/>
      <c r="S290" s="2058"/>
      <c r="T290" s="2058"/>
      <c r="U290" s="2058"/>
      <c r="V290" s="2058"/>
      <c r="W290" s="2058"/>
      <c r="X290" s="2058"/>
      <c r="Y290" s="2058"/>
      <c r="Z290" s="2058"/>
    </row>
    <row r="291" spans="1:26" ht="12" x14ac:dyDescent="0.2">
      <c r="A291" s="9" t="str">
        <f>MID(Summary!$B$1,FIND(" ",Summary!$B$1,1)+1,4)</f>
        <v>2023</v>
      </c>
      <c r="B291" s="9" t="s">
        <v>416</v>
      </c>
      <c r="C291" s="9" t="s">
        <v>455</v>
      </c>
      <c r="D291" s="2064"/>
      <c r="E291" s="9" t="s">
        <v>10</v>
      </c>
      <c r="F291" s="9" t="s">
        <v>1959</v>
      </c>
      <c r="G291" s="2063">
        <f>Summary!D178</f>
        <v>-0.936648598</v>
      </c>
      <c r="H291" s="2058"/>
      <c r="I291" s="2058"/>
      <c r="J291" s="2058"/>
      <c r="K291" s="2058"/>
      <c r="L291" s="2058"/>
      <c r="M291" s="2058"/>
      <c r="N291" s="2058"/>
      <c r="O291" s="2058"/>
      <c r="P291" s="2058"/>
      <c r="Q291" s="2058"/>
      <c r="R291" s="2058"/>
      <c r="S291" s="2058"/>
      <c r="T291" s="2058"/>
      <c r="U291" s="2058"/>
      <c r="V291" s="2058"/>
      <c r="W291" s="2058"/>
      <c r="X291" s="2058"/>
      <c r="Y291" s="2058"/>
      <c r="Z291" s="2058"/>
    </row>
    <row r="292" spans="1:26" ht="12" x14ac:dyDescent="0.2">
      <c r="A292" s="9" t="str">
        <f>MID(Summary!$B$1,FIND(" ",Summary!$B$1,1)+1,4)</f>
        <v>2023</v>
      </c>
      <c r="B292" s="9" t="s">
        <v>416</v>
      </c>
      <c r="C292" s="9" t="s">
        <v>460</v>
      </c>
      <c r="D292" s="2064"/>
      <c r="E292" s="9" t="s">
        <v>10</v>
      </c>
      <c r="F292" s="9" t="s">
        <v>1959</v>
      </c>
      <c r="G292" s="2063">
        <f>Summary!D180</f>
        <v>-0.53901440970355763</v>
      </c>
      <c r="H292" s="2058"/>
      <c r="I292" s="2058"/>
      <c r="J292" s="2058"/>
      <c r="K292" s="2058"/>
      <c r="L292" s="2058"/>
      <c r="M292" s="2058"/>
      <c r="N292" s="2058"/>
      <c r="O292" s="2058"/>
      <c r="P292" s="2058"/>
      <c r="Q292" s="2058"/>
      <c r="R292" s="2058"/>
      <c r="S292" s="2058"/>
      <c r="T292" s="2058"/>
      <c r="U292" s="2058"/>
      <c r="V292" s="2058"/>
      <c r="W292" s="2058"/>
      <c r="X292" s="2058"/>
      <c r="Y292" s="2058"/>
      <c r="Z292" s="2058"/>
    </row>
    <row r="293" spans="1:26" ht="12" x14ac:dyDescent="0.2">
      <c r="A293" s="9" t="str">
        <f>MID(Summary!$B$1,FIND(" ",Summary!$B$1,1)+1,4)</f>
        <v>2023</v>
      </c>
      <c r="B293" s="9" t="s">
        <v>416</v>
      </c>
      <c r="C293" s="9" t="s">
        <v>460</v>
      </c>
      <c r="D293" s="2064"/>
      <c r="E293" s="9" t="s">
        <v>13</v>
      </c>
      <c r="F293" s="9" t="s">
        <v>1959</v>
      </c>
      <c r="G293" s="2063">
        <f>Summary!D181</f>
        <v>0.85165056785869175</v>
      </c>
      <c r="H293" s="2058"/>
      <c r="I293" s="2058"/>
      <c r="J293" s="2058"/>
      <c r="K293" s="2058"/>
      <c r="L293" s="2058"/>
      <c r="M293" s="2058"/>
      <c r="N293" s="2058"/>
      <c r="O293" s="2058"/>
      <c r="P293" s="2058"/>
      <c r="Q293" s="2058"/>
      <c r="R293" s="2058"/>
      <c r="S293" s="2058"/>
      <c r="T293" s="2058"/>
      <c r="U293" s="2058"/>
      <c r="V293" s="2058"/>
      <c r="W293" s="2058"/>
      <c r="X293" s="2058"/>
      <c r="Y293" s="2058"/>
      <c r="Z293" s="2058"/>
    </row>
    <row r="294" spans="1:26" ht="12" x14ac:dyDescent="0.2">
      <c r="A294" s="2058"/>
      <c r="B294" s="2058"/>
      <c r="C294" s="2058"/>
      <c r="D294" s="2058"/>
      <c r="E294" s="2058"/>
      <c r="F294" s="2058"/>
      <c r="G294" s="2059"/>
      <c r="H294" s="2058"/>
      <c r="I294" s="2058"/>
      <c r="J294" s="2058"/>
      <c r="K294" s="2058"/>
      <c r="L294" s="2058"/>
      <c r="M294" s="2058"/>
      <c r="N294" s="2058"/>
      <c r="O294" s="2058"/>
      <c r="P294" s="2058"/>
      <c r="Q294" s="2058"/>
      <c r="R294" s="2058"/>
      <c r="S294" s="2058"/>
      <c r="T294" s="2058"/>
      <c r="U294" s="2058"/>
      <c r="V294" s="2058"/>
      <c r="W294" s="2058"/>
      <c r="X294" s="2058"/>
      <c r="Y294" s="2058"/>
      <c r="Z294" s="2058"/>
    </row>
    <row r="295" spans="1:26" ht="12" x14ac:dyDescent="0.2">
      <c r="A295" s="2058"/>
      <c r="B295" s="2058"/>
      <c r="C295" s="2058"/>
      <c r="D295" s="2058"/>
      <c r="E295" s="2058"/>
      <c r="F295" s="2058"/>
      <c r="G295" s="2059"/>
      <c r="H295" s="2058"/>
      <c r="I295" s="2058"/>
      <c r="J295" s="2058"/>
      <c r="K295" s="2058"/>
      <c r="L295" s="2058"/>
      <c r="M295" s="2058"/>
      <c r="N295" s="2058"/>
      <c r="O295" s="2058"/>
      <c r="P295" s="2058"/>
      <c r="Q295" s="2058"/>
      <c r="R295" s="2058"/>
      <c r="S295" s="2058"/>
      <c r="T295" s="2058"/>
      <c r="U295" s="2058"/>
      <c r="V295" s="2058"/>
      <c r="W295" s="2058"/>
      <c r="X295" s="2058"/>
      <c r="Y295" s="2058"/>
      <c r="Z295" s="2058"/>
    </row>
    <row r="296" spans="1:26" ht="12" x14ac:dyDescent="0.2">
      <c r="A296" s="2058"/>
      <c r="B296" s="2058"/>
      <c r="C296" s="2058"/>
      <c r="D296" s="2058"/>
      <c r="E296" s="2058"/>
      <c r="F296" s="2058"/>
      <c r="G296" s="2059"/>
      <c r="H296" s="2058"/>
      <c r="I296" s="2058"/>
      <c r="J296" s="2058"/>
      <c r="K296" s="2058"/>
      <c r="L296" s="2058"/>
      <c r="M296" s="2058"/>
      <c r="N296" s="2058"/>
      <c r="O296" s="2058"/>
      <c r="P296" s="2058"/>
      <c r="Q296" s="2058"/>
      <c r="R296" s="2058"/>
      <c r="S296" s="2058"/>
      <c r="T296" s="2058"/>
      <c r="U296" s="2058"/>
      <c r="V296" s="2058"/>
      <c r="W296" s="2058"/>
      <c r="X296" s="2058"/>
      <c r="Y296" s="2058"/>
      <c r="Z296" s="2058"/>
    </row>
    <row r="297" spans="1:26" ht="12" x14ac:dyDescent="0.2">
      <c r="A297" s="2058"/>
      <c r="B297" s="2058"/>
      <c r="C297" s="2058"/>
      <c r="D297" s="2058"/>
      <c r="E297" s="2058"/>
      <c r="F297" s="2058"/>
      <c r="G297" s="2059"/>
      <c r="H297" s="2058"/>
      <c r="I297" s="2058"/>
      <c r="J297" s="2058"/>
      <c r="K297" s="2058"/>
      <c r="L297" s="2058"/>
      <c r="M297" s="2058"/>
      <c r="N297" s="2058"/>
      <c r="O297" s="2058"/>
      <c r="P297" s="2058"/>
      <c r="Q297" s="2058"/>
      <c r="R297" s="2058"/>
      <c r="S297" s="2058"/>
      <c r="T297" s="2058"/>
      <c r="U297" s="2058"/>
      <c r="V297" s="2058"/>
      <c r="W297" s="2058"/>
      <c r="X297" s="2058"/>
      <c r="Y297" s="2058"/>
      <c r="Z297" s="2058"/>
    </row>
    <row r="298" spans="1:26" ht="12" x14ac:dyDescent="0.2">
      <c r="A298" s="2058"/>
      <c r="B298" s="2058"/>
      <c r="C298" s="2058"/>
      <c r="D298" s="2058"/>
      <c r="E298" s="2058"/>
      <c r="F298" s="2058"/>
      <c r="G298" s="2059"/>
      <c r="H298" s="2058"/>
      <c r="I298" s="2058"/>
      <c r="J298" s="2058"/>
      <c r="K298" s="2058"/>
      <c r="L298" s="2058"/>
      <c r="M298" s="2058"/>
      <c r="N298" s="2058"/>
      <c r="O298" s="2058"/>
      <c r="P298" s="2058"/>
      <c r="Q298" s="2058"/>
      <c r="R298" s="2058"/>
      <c r="S298" s="2058"/>
      <c r="T298" s="2058"/>
      <c r="U298" s="2058"/>
      <c r="V298" s="2058"/>
      <c r="W298" s="2058"/>
      <c r="X298" s="2058"/>
      <c r="Y298" s="2058"/>
      <c r="Z298" s="2058"/>
    </row>
    <row r="299" spans="1:26" ht="12" x14ac:dyDescent="0.2">
      <c r="A299" s="2058"/>
      <c r="B299" s="2058"/>
      <c r="C299" s="2058"/>
      <c r="D299" s="2058"/>
      <c r="E299" s="2058"/>
      <c r="F299" s="2058"/>
      <c r="G299" s="2059"/>
      <c r="H299" s="2058"/>
      <c r="I299" s="2058"/>
      <c r="J299" s="2058"/>
      <c r="K299" s="2058"/>
      <c r="L299" s="2058"/>
      <c r="M299" s="2058"/>
      <c r="N299" s="2058"/>
      <c r="O299" s="2058"/>
      <c r="P299" s="2058"/>
      <c r="Q299" s="2058"/>
      <c r="R299" s="2058"/>
      <c r="S299" s="2058"/>
      <c r="T299" s="2058"/>
      <c r="U299" s="2058"/>
      <c r="V299" s="2058"/>
      <c r="W299" s="2058"/>
      <c r="X299" s="2058"/>
      <c r="Y299" s="2058"/>
      <c r="Z299" s="2058"/>
    </row>
    <row r="300" spans="1:26" ht="12" x14ac:dyDescent="0.2">
      <c r="A300" s="2058"/>
      <c r="B300" s="2058"/>
      <c r="C300" s="2058"/>
      <c r="D300" s="2058"/>
      <c r="E300" s="2058"/>
      <c r="F300" s="2058"/>
      <c r="G300" s="2059"/>
      <c r="H300" s="2058"/>
      <c r="I300" s="2058"/>
      <c r="J300" s="2058"/>
      <c r="K300" s="2058"/>
      <c r="L300" s="2058"/>
      <c r="M300" s="2058"/>
      <c r="N300" s="2058"/>
      <c r="O300" s="2058"/>
      <c r="P300" s="2058"/>
      <c r="Q300" s="2058"/>
      <c r="R300" s="2058"/>
      <c r="S300" s="2058"/>
      <c r="T300" s="2058"/>
      <c r="U300" s="2058"/>
      <c r="V300" s="2058"/>
      <c r="W300" s="2058"/>
      <c r="X300" s="2058"/>
      <c r="Y300" s="2058"/>
      <c r="Z300" s="2058"/>
    </row>
    <row r="301" spans="1:26" ht="12" x14ac:dyDescent="0.2">
      <c r="A301" s="2058"/>
      <c r="B301" s="2058"/>
      <c r="C301" s="2058"/>
      <c r="D301" s="2058"/>
      <c r="E301" s="2058"/>
      <c r="F301" s="2058"/>
      <c r="G301" s="2059"/>
      <c r="H301" s="2058"/>
      <c r="I301" s="2058"/>
      <c r="J301" s="2058"/>
      <c r="K301" s="2058"/>
      <c r="L301" s="2058"/>
      <c r="M301" s="2058"/>
      <c r="N301" s="2058"/>
      <c r="O301" s="2058"/>
      <c r="P301" s="2058"/>
      <c r="Q301" s="2058"/>
      <c r="R301" s="2058"/>
      <c r="S301" s="2058"/>
      <c r="T301" s="2058"/>
      <c r="U301" s="2058"/>
      <c r="V301" s="2058"/>
      <c r="W301" s="2058"/>
      <c r="X301" s="2058"/>
      <c r="Y301" s="2058"/>
      <c r="Z301" s="2058"/>
    </row>
    <row r="302" spans="1:26" ht="12" x14ac:dyDescent="0.2">
      <c r="A302" s="2058"/>
      <c r="B302" s="2058"/>
      <c r="C302" s="2058"/>
      <c r="D302" s="2058"/>
      <c r="E302" s="2058"/>
      <c r="F302" s="2058"/>
      <c r="G302" s="2059"/>
      <c r="H302" s="2058"/>
      <c r="I302" s="2058"/>
      <c r="J302" s="2058"/>
      <c r="K302" s="2058"/>
      <c r="L302" s="2058"/>
      <c r="M302" s="2058"/>
      <c r="N302" s="2058"/>
      <c r="O302" s="2058"/>
      <c r="P302" s="2058"/>
      <c r="Q302" s="2058"/>
      <c r="R302" s="2058"/>
      <c r="S302" s="2058"/>
      <c r="T302" s="2058"/>
      <c r="U302" s="2058"/>
      <c r="V302" s="2058"/>
      <c r="W302" s="2058"/>
      <c r="X302" s="2058"/>
      <c r="Y302" s="2058"/>
      <c r="Z302" s="2058"/>
    </row>
    <row r="303" spans="1:26" ht="12" x14ac:dyDescent="0.2">
      <c r="A303" s="2058"/>
      <c r="B303" s="2058"/>
      <c r="C303" s="2058"/>
      <c r="D303" s="2058"/>
      <c r="E303" s="2058"/>
      <c r="F303" s="2058"/>
      <c r="G303" s="2059"/>
      <c r="H303" s="2058"/>
      <c r="I303" s="2058"/>
      <c r="J303" s="2058"/>
      <c r="K303" s="2058"/>
      <c r="L303" s="2058"/>
      <c r="M303" s="2058"/>
      <c r="N303" s="2058"/>
      <c r="O303" s="2058"/>
      <c r="P303" s="2058"/>
      <c r="Q303" s="2058"/>
      <c r="R303" s="2058"/>
      <c r="S303" s="2058"/>
      <c r="T303" s="2058"/>
      <c r="U303" s="2058"/>
      <c r="V303" s="2058"/>
      <c r="W303" s="2058"/>
      <c r="X303" s="2058"/>
      <c r="Y303" s="2058"/>
      <c r="Z303" s="2058"/>
    </row>
    <row r="304" spans="1:26" ht="12" x14ac:dyDescent="0.2">
      <c r="A304" s="2058"/>
      <c r="B304" s="2058"/>
      <c r="C304" s="2058"/>
      <c r="D304" s="2058"/>
      <c r="E304" s="2058"/>
      <c r="F304" s="2058"/>
      <c r="G304" s="2059"/>
      <c r="H304" s="2058"/>
      <c r="I304" s="2058"/>
      <c r="J304" s="2058"/>
      <c r="K304" s="2058"/>
      <c r="L304" s="2058"/>
      <c r="M304" s="2058"/>
      <c r="N304" s="2058"/>
      <c r="O304" s="2058"/>
      <c r="P304" s="2058"/>
      <c r="Q304" s="2058"/>
      <c r="R304" s="2058"/>
      <c r="S304" s="2058"/>
      <c r="T304" s="2058"/>
      <c r="U304" s="2058"/>
      <c r="V304" s="2058"/>
      <c r="W304" s="2058"/>
      <c r="X304" s="2058"/>
      <c r="Y304" s="2058"/>
      <c r="Z304" s="2058"/>
    </row>
    <row r="305" spans="1:26" ht="12" x14ac:dyDescent="0.2">
      <c r="A305" s="2058"/>
      <c r="B305" s="2058"/>
      <c r="C305" s="2058"/>
      <c r="D305" s="2058"/>
      <c r="E305" s="2058"/>
      <c r="F305" s="2058"/>
      <c r="G305" s="2059"/>
      <c r="H305" s="2058"/>
      <c r="I305" s="2058"/>
      <c r="J305" s="2058"/>
      <c r="K305" s="2058"/>
      <c r="L305" s="2058"/>
      <c r="M305" s="2058"/>
      <c r="N305" s="2058"/>
      <c r="O305" s="2058"/>
      <c r="P305" s="2058"/>
      <c r="Q305" s="2058"/>
      <c r="R305" s="2058"/>
      <c r="S305" s="2058"/>
      <c r="T305" s="2058"/>
      <c r="U305" s="2058"/>
      <c r="V305" s="2058"/>
      <c r="W305" s="2058"/>
      <c r="X305" s="2058"/>
      <c r="Y305" s="2058"/>
      <c r="Z305" s="2058"/>
    </row>
    <row r="306" spans="1:26" ht="12" x14ac:dyDescent="0.2">
      <c r="A306" s="2058"/>
      <c r="B306" s="2058"/>
      <c r="C306" s="2058"/>
      <c r="D306" s="2058"/>
      <c r="E306" s="2058"/>
      <c r="F306" s="2058"/>
      <c r="G306" s="2059"/>
      <c r="H306" s="2058"/>
      <c r="I306" s="2058"/>
      <c r="J306" s="2058"/>
      <c r="K306" s="2058"/>
      <c r="L306" s="2058"/>
      <c r="M306" s="2058"/>
      <c r="N306" s="2058"/>
      <c r="O306" s="2058"/>
      <c r="P306" s="2058"/>
      <c r="Q306" s="2058"/>
      <c r="R306" s="2058"/>
      <c r="S306" s="2058"/>
      <c r="T306" s="2058"/>
      <c r="U306" s="2058"/>
      <c r="V306" s="2058"/>
      <c r="W306" s="2058"/>
      <c r="X306" s="2058"/>
      <c r="Y306" s="2058"/>
      <c r="Z306" s="2058"/>
    </row>
    <row r="307" spans="1:26" ht="12" x14ac:dyDescent="0.2">
      <c r="A307" s="2058"/>
      <c r="B307" s="2058"/>
      <c r="C307" s="2058"/>
      <c r="D307" s="2058"/>
      <c r="E307" s="2058"/>
      <c r="F307" s="2058"/>
      <c r="G307" s="2059"/>
      <c r="H307" s="2058"/>
      <c r="I307" s="2058"/>
      <c r="J307" s="2058"/>
      <c r="K307" s="2058"/>
      <c r="L307" s="2058"/>
      <c r="M307" s="2058"/>
      <c r="N307" s="2058"/>
      <c r="O307" s="2058"/>
      <c r="P307" s="2058"/>
      <c r="Q307" s="2058"/>
      <c r="R307" s="2058"/>
      <c r="S307" s="2058"/>
      <c r="T307" s="2058"/>
      <c r="U307" s="2058"/>
      <c r="V307" s="2058"/>
      <c r="W307" s="2058"/>
      <c r="X307" s="2058"/>
      <c r="Y307" s="2058"/>
      <c r="Z307" s="2058"/>
    </row>
    <row r="308" spans="1:26" ht="12" x14ac:dyDescent="0.2">
      <c r="A308" s="2058"/>
      <c r="B308" s="2058"/>
      <c r="C308" s="2058"/>
      <c r="D308" s="2058"/>
      <c r="E308" s="2058"/>
      <c r="F308" s="2058"/>
      <c r="G308" s="2059"/>
      <c r="H308" s="2058"/>
      <c r="I308" s="2058"/>
      <c r="J308" s="2058"/>
      <c r="K308" s="2058"/>
      <c r="L308" s="2058"/>
      <c r="M308" s="2058"/>
      <c r="N308" s="2058"/>
      <c r="O308" s="2058"/>
      <c r="P308" s="2058"/>
      <c r="Q308" s="2058"/>
      <c r="R308" s="2058"/>
      <c r="S308" s="2058"/>
      <c r="T308" s="2058"/>
      <c r="U308" s="2058"/>
      <c r="V308" s="2058"/>
      <c r="W308" s="2058"/>
      <c r="X308" s="2058"/>
      <c r="Y308" s="2058"/>
      <c r="Z308" s="2058"/>
    </row>
    <row r="309" spans="1:26" ht="12" x14ac:dyDescent="0.2">
      <c r="A309" s="2058"/>
      <c r="B309" s="2058"/>
      <c r="C309" s="2058"/>
      <c r="D309" s="2058"/>
      <c r="E309" s="2058"/>
      <c r="F309" s="2058"/>
      <c r="G309" s="2059"/>
      <c r="H309" s="2058"/>
      <c r="I309" s="2058"/>
      <c r="J309" s="2058"/>
      <c r="K309" s="2058"/>
      <c r="L309" s="2058"/>
      <c r="M309" s="2058"/>
      <c r="N309" s="2058"/>
      <c r="O309" s="2058"/>
      <c r="P309" s="2058"/>
      <c r="Q309" s="2058"/>
      <c r="R309" s="2058"/>
      <c r="S309" s="2058"/>
      <c r="T309" s="2058"/>
      <c r="U309" s="2058"/>
      <c r="V309" s="2058"/>
      <c r="W309" s="2058"/>
      <c r="X309" s="2058"/>
      <c r="Y309" s="2058"/>
      <c r="Z309" s="2058"/>
    </row>
    <row r="310" spans="1:26" ht="12" x14ac:dyDescent="0.2">
      <c r="A310" s="2058"/>
      <c r="B310" s="2058"/>
      <c r="C310" s="2058"/>
      <c r="D310" s="2058"/>
      <c r="E310" s="2058"/>
      <c r="F310" s="2058"/>
      <c r="G310" s="2059"/>
      <c r="H310" s="2058"/>
      <c r="I310" s="2058"/>
      <c r="J310" s="2058"/>
      <c r="K310" s="2058"/>
      <c r="L310" s="2058"/>
      <c r="M310" s="2058"/>
      <c r="N310" s="2058"/>
      <c r="O310" s="2058"/>
      <c r="P310" s="2058"/>
      <c r="Q310" s="2058"/>
      <c r="R310" s="2058"/>
      <c r="S310" s="2058"/>
      <c r="T310" s="2058"/>
      <c r="U310" s="2058"/>
      <c r="V310" s="2058"/>
      <c r="W310" s="2058"/>
      <c r="X310" s="2058"/>
      <c r="Y310" s="2058"/>
      <c r="Z310" s="2058"/>
    </row>
    <row r="311" spans="1:26" ht="12" x14ac:dyDescent="0.2">
      <c r="A311" s="2058"/>
      <c r="B311" s="2058"/>
      <c r="C311" s="2058"/>
      <c r="D311" s="2058"/>
      <c r="E311" s="2058"/>
      <c r="F311" s="2058"/>
      <c r="G311" s="2059"/>
      <c r="H311" s="2058"/>
      <c r="I311" s="2058"/>
      <c r="J311" s="2058"/>
      <c r="K311" s="2058"/>
      <c r="L311" s="2058"/>
      <c r="M311" s="2058"/>
      <c r="N311" s="2058"/>
      <c r="O311" s="2058"/>
      <c r="P311" s="2058"/>
      <c r="Q311" s="2058"/>
      <c r="R311" s="2058"/>
      <c r="S311" s="2058"/>
      <c r="T311" s="2058"/>
      <c r="U311" s="2058"/>
      <c r="V311" s="2058"/>
      <c r="W311" s="2058"/>
      <c r="X311" s="2058"/>
      <c r="Y311" s="2058"/>
      <c r="Z311" s="2058"/>
    </row>
    <row r="312" spans="1:26" ht="12" x14ac:dyDescent="0.2">
      <c r="A312" s="2058"/>
      <c r="B312" s="2058"/>
      <c r="C312" s="2058"/>
      <c r="D312" s="2058"/>
      <c r="E312" s="2058"/>
      <c r="F312" s="2058"/>
      <c r="G312" s="2059"/>
      <c r="H312" s="2058"/>
      <c r="I312" s="2058"/>
      <c r="J312" s="2058"/>
      <c r="K312" s="2058"/>
      <c r="L312" s="2058"/>
      <c r="M312" s="2058"/>
      <c r="N312" s="2058"/>
      <c r="O312" s="2058"/>
      <c r="P312" s="2058"/>
      <c r="Q312" s="2058"/>
      <c r="R312" s="2058"/>
      <c r="S312" s="2058"/>
      <c r="T312" s="2058"/>
      <c r="U312" s="2058"/>
      <c r="V312" s="2058"/>
      <c r="W312" s="2058"/>
      <c r="X312" s="2058"/>
      <c r="Y312" s="2058"/>
      <c r="Z312" s="2058"/>
    </row>
    <row r="313" spans="1:26" ht="12" x14ac:dyDescent="0.2">
      <c r="A313" s="2058"/>
      <c r="B313" s="2058"/>
      <c r="C313" s="2058"/>
      <c r="D313" s="2058"/>
      <c r="E313" s="2058"/>
      <c r="F313" s="2058"/>
      <c r="G313" s="2059"/>
      <c r="H313" s="2058"/>
      <c r="I313" s="2058"/>
      <c r="J313" s="2058"/>
      <c r="K313" s="2058"/>
      <c r="L313" s="2058"/>
      <c r="M313" s="2058"/>
      <c r="N313" s="2058"/>
      <c r="O313" s="2058"/>
      <c r="P313" s="2058"/>
      <c r="Q313" s="2058"/>
      <c r="R313" s="2058"/>
      <c r="S313" s="2058"/>
      <c r="T313" s="2058"/>
      <c r="U313" s="2058"/>
      <c r="V313" s="2058"/>
      <c r="W313" s="2058"/>
      <c r="X313" s="2058"/>
      <c r="Y313" s="2058"/>
      <c r="Z313" s="2058"/>
    </row>
    <row r="314" spans="1:26" ht="12" x14ac:dyDescent="0.2">
      <c r="A314" s="2058"/>
      <c r="B314" s="2058"/>
      <c r="C314" s="2058"/>
      <c r="D314" s="2058"/>
      <c r="E314" s="2058"/>
      <c r="F314" s="2058"/>
      <c r="G314" s="2059"/>
      <c r="H314" s="2058"/>
      <c r="I314" s="2058"/>
      <c r="J314" s="2058"/>
      <c r="K314" s="2058"/>
      <c r="L314" s="2058"/>
      <c r="M314" s="2058"/>
      <c r="N314" s="2058"/>
      <c r="O314" s="2058"/>
      <c r="P314" s="2058"/>
      <c r="Q314" s="2058"/>
      <c r="R314" s="2058"/>
      <c r="S314" s="2058"/>
      <c r="T314" s="2058"/>
      <c r="U314" s="2058"/>
      <c r="V314" s="2058"/>
      <c r="W314" s="2058"/>
      <c r="X314" s="2058"/>
      <c r="Y314" s="2058"/>
      <c r="Z314" s="2058"/>
    </row>
    <row r="315" spans="1:26" ht="12" x14ac:dyDescent="0.2">
      <c r="A315" s="2058"/>
      <c r="B315" s="2058"/>
      <c r="C315" s="2058"/>
      <c r="D315" s="2058"/>
      <c r="E315" s="2058"/>
      <c r="F315" s="2058"/>
      <c r="G315" s="2059"/>
      <c r="H315" s="2058"/>
      <c r="I315" s="2058"/>
      <c r="J315" s="2058"/>
      <c r="K315" s="2058"/>
      <c r="L315" s="2058"/>
      <c r="M315" s="2058"/>
      <c r="N315" s="2058"/>
      <c r="O315" s="2058"/>
      <c r="P315" s="2058"/>
      <c r="Q315" s="2058"/>
      <c r="R315" s="2058"/>
      <c r="S315" s="2058"/>
      <c r="T315" s="2058"/>
      <c r="U315" s="2058"/>
      <c r="V315" s="2058"/>
      <c r="W315" s="2058"/>
      <c r="X315" s="2058"/>
      <c r="Y315" s="2058"/>
      <c r="Z315" s="2058"/>
    </row>
    <row r="316" spans="1:26" ht="12" x14ac:dyDescent="0.2">
      <c r="A316" s="2058"/>
      <c r="B316" s="2058"/>
      <c r="C316" s="2058"/>
      <c r="D316" s="2058"/>
      <c r="E316" s="2058"/>
      <c r="F316" s="2058"/>
      <c r="G316" s="2059"/>
      <c r="H316" s="2058"/>
      <c r="I316" s="2058"/>
      <c r="J316" s="2058"/>
      <c r="K316" s="2058"/>
      <c r="L316" s="2058"/>
      <c r="M316" s="2058"/>
      <c r="N316" s="2058"/>
      <c r="O316" s="2058"/>
      <c r="P316" s="2058"/>
      <c r="Q316" s="2058"/>
      <c r="R316" s="2058"/>
      <c r="S316" s="2058"/>
      <c r="T316" s="2058"/>
      <c r="U316" s="2058"/>
      <c r="V316" s="2058"/>
      <c r="W316" s="2058"/>
      <c r="X316" s="2058"/>
      <c r="Y316" s="2058"/>
      <c r="Z316" s="2058"/>
    </row>
    <row r="317" spans="1:26" ht="12" x14ac:dyDescent="0.2">
      <c r="A317" s="2058"/>
      <c r="B317" s="2058"/>
      <c r="C317" s="2058"/>
      <c r="D317" s="2058"/>
      <c r="E317" s="2058"/>
      <c r="F317" s="2058"/>
      <c r="G317" s="2059"/>
      <c r="H317" s="2058"/>
      <c r="I317" s="2058"/>
      <c r="J317" s="2058"/>
      <c r="K317" s="2058"/>
      <c r="L317" s="2058"/>
      <c r="M317" s="2058"/>
      <c r="N317" s="2058"/>
      <c r="O317" s="2058"/>
      <c r="P317" s="2058"/>
      <c r="Q317" s="2058"/>
      <c r="R317" s="2058"/>
      <c r="S317" s="2058"/>
      <c r="T317" s="2058"/>
      <c r="U317" s="2058"/>
      <c r="V317" s="2058"/>
      <c r="W317" s="2058"/>
      <c r="X317" s="2058"/>
      <c r="Y317" s="2058"/>
      <c r="Z317" s="2058"/>
    </row>
    <row r="318" spans="1:26" ht="12" x14ac:dyDescent="0.2">
      <c r="A318" s="2058"/>
      <c r="B318" s="2058"/>
      <c r="C318" s="2058"/>
      <c r="D318" s="2058"/>
      <c r="E318" s="2058"/>
      <c r="F318" s="2058"/>
      <c r="G318" s="2059"/>
      <c r="H318" s="2058"/>
      <c r="I318" s="2058"/>
      <c r="J318" s="2058"/>
      <c r="K318" s="2058"/>
      <c r="L318" s="2058"/>
      <c r="M318" s="2058"/>
      <c r="N318" s="2058"/>
      <c r="O318" s="2058"/>
      <c r="P318" s="2058"/>
      <c r="Q318" s="2058"/>
      <c r="R318" s="2058"/>
      <c r="S318" s="2058"/>
      <c r="T318" s="2058"/>
      <c r="U318" s="2058"/>
      <c r="V318" s="2058"/>
      <c r="W318" s="2058"/>
      <c r="X318" s="2058"/>
      <c r="Y318" s="2058"/>
      <c r="Z318" s="2058"/>
    </row>
    <row r="319" spans="1:26" ht="12" x14ac:dyDescent="0.2">
      <c r="A319" s="2058"/>
      <c r="B319" s="2058"/>
      <c r="C319" s="2058"/>
      <c r="D319" s="2058"/>
      <c r="E319" s="2058"/>
      <c r="F319" s="2058"/>
      <c r="G319" s="2059"/>
      <c r="H319" s="2058"/>
      <c r="I319" s="2058"/>
      <c r="J319" s="2058"/>
      <c r="K319" s="2058"/>
      <c r="L319" s="2058"/>
      <c r="M319" s="2058"/>
      <c r="N319" s="2058"/>
      <c r="O319" s="2058"/>
      <c r="P319" s="2058"/>
      <c r="Q319" s="2058"/>
      <c r="R319" s="2058"/>
      <c r="S319" s="2058"/>
      <c r="T319" s="2058"/>
      <c r="U319" s="2058"/>
      <c r="V319" s="2058"/>
      <c r="W319" s="2058"/>
      <c r="X319" s="2058"/>
      <c r="Y319" s="2058"/>
      <c r="Z319" s="2058"/>
    </row>
    <row r="320" spans="1:26" ht="12" x14ac:dyDescent="0.2">
      <c r="A320" s="2058"/>
      <c r="B320" s="2058"/>
      <c r="C320" s="2058"/>
      <c r="D320" s="2058"/>
      <c r="E320" s="2058"/>
      <c r="F320" s="2058"/>
      <c r="G320" s="2059"/>
      <c r="H320" s="2058"/>
      <c r="I320" s="2058"/>
      <c r="J320" s="2058"/>
      <c r="K320" s="2058"/>
      <c r="L320" s="2058"/>
      <c r="M320" s="2058"/>
      <c r="N320" s="2058"/>
      <c r="O320" s="2058"/>
      <c r="P320" s="2058"/>
      <c r="Q320" s="2058"/>
      <c r="R320" s="2058"/>
      <c r="S320" s="2058"/>
      <c r="T320" s="2058"/>
      <c r="U320" s="2058"/>
      <c r="V320" s="2058"/>
      <c r="W320" s="2058"/>
      <c r="X320" s="2058"/>
      <c r="Y320" s="2058"/>
      <c r="Z320" s="2058"/>
    </row>
    <row r="321" spans="1:26" ht="12" x14ac:dyDescent="0.2">
      <c r="A321" s="2058"/>
      <c r="B321" s="2058"/>
      <c r="C321" s="2058"/>
      <c r="D321" s="2058"/>
      <c r="E321" s="2058"/>
      <c r="F321" s="2058"/>
      <c r="G321" s="2059"/>
      <c r="H321" s="2058"/>
      <c r="I321" s="2058"/>
      <c r="J321" s="2058"/>
      <c r="K321" s="2058"/>
      <c r="L321" s="2058"/>
      <c r="M321" s="2058"/>
      <c r="N321" s="2058"/>
      <c r="O321" s="2058"/>
      <c r="P321" s="2058"/>
      <c r="Q321" s="2058"/>
      <c r="R321" s="2058"/>
      <c r="S321" s="2058"/>
      <c r="T321" s="2058"/>
      <c r="U321" s="2058"/>
      <c r="V321" s="2058"/>
      <c r="W321" s="2058"/>
      <c r="X321" s="2058"/>
      <c r="Y321" s="2058"/>
      <c r="Z321" s="2058"/>
    </row>
    <row r="322" spans="1:26" ht="12" x14ac:dyDescent="0.2">
      <c r="A322" s="2058"/>
      <c r="B322" s="2058"/>
      <c r="C322" s="2058"/>
      <c r="D322" s="2058"/>
      <c r="E322" s="2058"/>
      <c r="F322" s="2058"/>
      <c r="G322" s="2059"/>
      <c r="H322" s="2058"/>
      <c r="I322" s="2058"/>
      <c r="J322" s="2058"/>
      <c r="K322" s="2058"/>
      <c r="L322" s="2058"/>
      <c r="M322" s="2058"/>
      <c r="N322" s="2058"/>
      <c r="O322" s="2058"/>
      <c r="P322" s="2058"/>
      <c r="Q322" s="2058"/>
      <c r="R322" s="2058"/>
      <c r="S322" s="2058"/>
      <c r="T322" s="2058"/>
      <c r="U322" s="2058"/>
      <c r="V322" s="2058"/>
      <c r="W322" s="2058"/>
      <c r="X322" s="2058"/>
      <c r="Y322" s="2058"/>
      <c r="Z322" s="2058"/>
    </row>
    <row r="323" spans="1:26" ht="12" x14ac:dyDescent="0.2">
      <c r="A323" s="2058"/>
      <c r="B323" s="2058"/>
      <c r="C323" s="2058"/>
      <c r="D323" s="2058"/>
      <c r="E323" s="2058"/>
      <c r="F323" s="2058"/>
      <c r="G323" s="2059"/>
      <c r="H323" s="2058"/>
      <c r="I323" s="2058"/>
      <c r="J323" s="2058"/>
      <c r="K323" s="2058"/>
      <c r="L323" s="2058"/>
      <c r="M323" s="2058"/>
      <c r="N323" s="2058"/>
      <c r="O323" s="2058"/>
      <c r="P323" s="2058"/>
      <c r="Q323" s="2058"/>
      <c r="R323" s="2058"/>
      <c r="S323" s="2058"/>
      <c r="T323" s="2058"/>
      <c r="U323" s="2058"/>
      <c r="V323" s="2058"/>
      <c r="W323" s="2058"/>
      <c r="X323" s="2058"/>
      <c r="Y323" s="2058"/>
      <c r="Z323" s="2058"/>
    </row>
    <row r="324" spans="1:26" ht="12" x14ac:dyDescent="0.2">
      <c r="A324" s="2058"/>
      <c r="B324" s="2058"/>
      <c r="C324" s="2058"/>
      <c r="D324" s="2058"/>
      <c r="E324" s="2058"/>
      <c r="F324" s="2058"/>
      <c r="G324" s="2059"/>
      <c r="H324" s="2058"/>
      <c r="I324" s="2058"/>
      <c r="J324" s="2058"/>
      <c r="K324" s="2058"/>
      <c r="L324" s="2058"/>
      <c r="M324" s="2058"/>
      <c r="N324" s="2058"/>
      <c r="O324" s="2058"/>
      <c r="P324" s="2058"/>
      <c r="Q324" s="2058"/>
      <c r="R324" s="2058"/>
      <c r="S324" s="2058"/>
      <c r="T324" s="2058"/>
      <c r="U324" s="2058"/>
      <c r="V324" s="2058"/>
      <c r="W324" s="2058"/>
      <c r="X324" s="2058"/>
      <c r="Y324" s="2058"/>
      <c r="Z324" s="2058"/>
    </row>
    <row r="325" spans="1:26" ht="12" x14ac:dyDescent="0.2">
      <c r="A325" s="2058"/>
      <c r="B325" s="2058"/>
      <c r="C325" s="2058"/>
      <c r="D325" s="2058"/>
      <c r="E325" s="2058"/>
      <c r="F325" s="2058"/>
      <c r="G325" s="2059"/>
      <c r="H325" s="2058"/>
      <c r="I325" s="2058"/>
      <c r="J325" s="2058"/>
      <c r="K325" s="2058"/>
      <c r="L325" s="2058"/>
      <c r="M325" s="2058"/>
      <c r="N325" s="2058"/>
      <c r="O325" s="2058"/>
      <c r="P325" s="2058"/>
      <c r="Q325" s="2058"/>
      <c r="R325" s="2058"/>
      <c r="S325" s="2058"/>
      <c r="T325" s="2058"/>
      <c r="U325" s="2058"/>
      <c r="V325" s="2058"/>
      <c r="W325" s="2058"/>
      <c r="X325" s="2058"/>
      <c r="Y325" s="2058"/>
      <c r="Z325" s="2058"/>
    </row>
    <row r="326" spans="1:26" ht="12" x14ac:dyDescent="0.2">
      <c r="A326" s="2058"/>
      <c r="B326" s="2058"/>
      <c r="C326" s="2058"/>
      <c r="D326" s="2058"/>
      <c r="E326" s="2058"/>
      <c r="F326" s="2058"/>
      <c r="G326" s="2059"/>
      <c r="H326" s="2058"/>
      <c r="I326" s="2058"/>
      <c r="J326" s="2058"/>
      <c r="K326" s="2058"/>
      <c r="L326" s="2058"/>
      <c r="M326" s="2058"/>
      <c r="N326" s="2058"/>
      <c r="O326" s="2058"/>
      <c r="P326" s="2058"/>
      <c r="Q326" s="2058"/>
      <c r="R326" s="2058"/>
      <c r="S326" s="2058"/>
      <c r="T326" s="2058"/>
      <c r="U326" s="2058"/>
      <c r="V326" s="2058"/>
      <c r="W326" s="2058"/>
      <c r="X326" s="2058"/>
      <c r="Y326" s="2058"/>
      <c r="Z326" s="2058"/>
    </row>
    <row r="327" spans="1:26" ht="12" x14ac:dyDescent="0.2">
      <c r="A327" s="2058"/>
      <c r="B327" s="2058"/>
      <c r="C327" s="2058"/>
      <c r="D327" s="2058"/>
      <c r="E327" s="2058"/>
      <c r="F327" s="2058"/>
      <c r="G327" s="2059"/>
      <c r="H327" s="2058"/>
      <c r="I327" s="2058"/>
      <c r="J327" s="2058"/>
      <c r="K327" s="2058"/>
      <c r="L327" s="2058"/>
      <c r="M327" s="2058"/>
      <c r="N327" s="2058"/>
      <c r="O327" s="2058"/>
      <c r="P327" s="2058"/>
      <c r="Q327" s="2058"/>
      <c r="R327" s="2058"/>
      <c r="S327" s="2058"/>
      <c r="T327" s="2058"/>
      <c r="U327" s="2058"/>
      <c r="V327" s="2058"/>
      <c r="W327" s="2058"/>
      <c r="X327" s="2058"/>
      <c r="Y327" s="2058"/>
      <c r="Z327" s="2058"/>
    </row>
    <row r="328" spans="1:26" ht="12" x14ac:dyDescent="0.2">
      <c r="A328" s="2058"/>
      <c r="B328" s="2058"/>
      <c r="C328" s="2058"/>
      <c r="D328" s="2058"/>
      <c r="E328" s="2058"/>
      <c r="F328" s="2058"/>
      <c r="G328" s="2059"/>
      <c r="H328" s="2058"/>
      <c r="I328" s="2058"/>
      <c r="J328" s="2058"/>
      <c r="K328" s="2058"/>
      <c r="L328" s="2058"/>
      <c r="M328" s="2058"/>
      <c r="N328" s="2058"/>
      <c r="O328" s="2058"/>
      <c r="P328" s="2058"/>
      <c r="Q328" s="2058"/>
      <c r="R328" s="2058"/>
      <c r="S328" s="2058"/>
      <c r="T328" s="2058"/>
      <c r="U328" s="2058"/>
      <c r="V328" s="2058"/>
      <c r="W328" s="2058"/>
      <c r="X328" s="2058"/>
      <c r="Y328" s="2058"/>
      <c r="Z328" s="2058"/>
    </row>
    <row r="329" spans="1:26" ht="12" x14ac:dyDescent="0.2">
      <c r="A329" s="2058"/>
      <c r="B329" s="2058"/>
      <c r="C329" s="2058"/>
      <c r="D329" s="2058"/>
      <c r="E329" s="2058"/>
      <c r="F329" s="2058"/>
      <c r="G329" s="2059"/>
      <c r="H329" s="2058"/>
      <c r="I329" s="2058"/>
      <c r="J329" s="2058"/>
      <c r="K329" s="2058"/>
      <c r="L329" s="2058"/>
      <c r="M329" s="2058"/>
      <c r="N329" s="2058"/>
      <c r="O329" s="2058"/>
      <c r="P329" s="2058"/>
      <c r="Q329" s="2058"/>
      <c r="R329" s="2058"/>
      <c r="S329" s="2058"/>
      <c r="T329" s="2058"/>
      <c r="U329" s="2058"/>
      <c r="V329" s="2058"/>
      <c r="W329" s="2058"/>
      <c r="X329" s="2058"/>
      <c r="Y329" s="2058"/>
      <c r="Z329" s="2058"/>
    </row>
    <row r="330" spans="1:26" ht="12" x14ac:dyDescent="0.2">
      <c r="A330" s="2058"/>
      <c r="B330" s="2058"/>
      <c r="C330" s="2058"/>
      <c r="D330" s="2058"/>
      <c r="E330" s="2058"/>
      <c r="F330" s="2058"/>
      <c r="G330" s="2059"/>
      <c r="H330" s="2058"/>
      <c r="I330" s="2058"/>
      <c r="J330" s="2058"/>
      <c r="K330" s="2058"/>
      <c r="L330" s="2058"/>
      <c r="M330" s="2058"/>
      <c r="N330" s="2058"/>
      <c r="O330" s="2058"/>
      <c r="P330" s="2058"/>
      <c r="Q330" s="2058"/>
      <c r="R330" s="2058"/>
      <c r="S330" s="2058"/>
      <c r="T330" s="2058"/>
      <c r="U330" s="2058"/>
      <c r="V330" s="2058"/>
      <c r="W330" s="2058"/>
      <c r="X330" s="2058"/>
      <c r="Y330" s="2058"/>
      <c r="Z330" s="2058"/>
    </row>
    <row r="331" spans="1:26" ht="12" x14ac:dyDescent="0.2">
      <c r="A331" s="2058"/>
      <c r="B331" s="2058"/>
      <c r="C331" s="2058"/>
      <c r="D331" s="2058"/>
      <c r="E331" s="2058"/>
      <c r="F331" s="2058"/>
      <c r="G331" s="2059"/>
      <c r="H331" s="2058"/>
      <c r="I331" s="2058"/>
      <c r="J331" s="2058"/>
      <c r="K331" s="2058"/>
      <c r="L331" s="2058"/>
      <c r="M331" s="2058"/>
      <c r="N331" s="2058"/>
      <c r="O331" s="2058"/>
      <c r="P331" s="2058"/>
      <c r="Q331" s="2058"/>
      <c r="R331" s="2058"/>
      <c r="S331" s="2058"/>
      <c r="T331" s="2058"/>
      <c r="U331" s="2058"/>
      <c r="V331" s="2058"/>
      <c r="W331" s="2058"/>
      <c r="X331" s="2058"/>
      <c r="Y331" s="2058"/>
      <c r="Z331" s="2058"/>
    </row>
    <row r="332" spans="1:26" ht="12" x14ac:dyDescent="0.2">
      <c r="A332" s="2058"/>
      <c r="B332" s="2058"/>
      <c r="C332" s="2058"/>
      <c r="D332" s="2058"/>
      <c r="E332" s="2058"/>
      <c r="F332" s="2058"/>
      <c r="G332" s="2059"/>
      <c r="H332" s="2058"/>
      <c r="I332" s="2058"/>
      <c r="J332" s="2058"/>
      <c r="K332" s="2058"/>
      <c r="L332" s="2058"/>
      <c r="M332" s="2058"/>
      <c r="N332" s="2058"/>
      <c r="O332" s="2058"/>
      <c r="P332" s="2058"/>
      <c r="Q332" s="2058"/>
      <c r="R332" s="2058"/>
      <c r="S332" s="2058"/>
      <c r="T332" s="2058"/>
      <c r="U332" s="2058"/>
      <c r="V332" s="2058"/>
      <c r="W332" s="2058"/>
      <c r="X332" s="2058"/>
      <c r="Y332" s="2058"/>
      <c r="Z332" s="2058"/>
    </row>
    <row r="333" spans="1:26" ht="12" x14ac:dyDescent="0.2">
      <c r="A333" s="2058"/>
      <c r="B333" s="2058"/>
      <c r="C333" s="2058"/>
      <c r="D333" s="2058"/>
      <c r="E333" s="2058"/>
      <c r="F333" s="2058"/>
      <c r="G333" s="2059"/>
      <c r="H333" s="2058"/>
      <c r="I333" s="2058"/>
      <c r="J333" s="2058"/>
      <c r="K333" s="2058"/>
      <c r="L333" s="2058"/>
      <c r="M333" s="2058"/>
      <c r="N333" s="2058"/>
      <c r="O333" s="2058"/>
      <c r="P333" s="2058"/>
      <c r="Q333" s="2058"/>
      <c r="R333" s="2058"/>
      <c r="S333" s="2058"/>
      <c r="T333" s="2058"/>
      <c r="U333" s="2058"/>
      <c r="V333" s="2058"/>
      <c r="W333" s="2058"/>
      <c r="X333" s="2058"/>
      <c r="Y333" s="2058"/>
      <c r="Z333" s="2058"/>
    </row>
    <row r="334" spans="1:26" ht="12" x14ac:dyDescent="0.2">
      <c r="A334" s="2058"/>
      <c r="B334" s="2058"/>
      <c r="C334" s="2058"/>
      <c r="D334" s="2058"/>
      <c r="E334" s="2058"/>
      <c r="F334" s="2058"/>
      <c r="G334" s="2059"/>
      <c r="H334" s="2058"/>
      <c r="I334" s="2058"/>
      <c r="J334" s="2058"/>
      <c r="K334" s="2058"/>
      <c r="L334" s="2058"/>
      <c r="M334" s="2058"/>
      <c r="N334" s="2058"/>
      <c r="O334" s="2058"/>
      <c r="P334" s="2058"/>
      <c r="Q334" s="2058"/>
      <c r="R334" s="2058"/>
      <c r="S334" s="2058"/>
      <c r="T334" s="2058"/>
      <c r="U334" s="2058"/>
      <c r="V334" s="2058"/>
      <c r="W334" s="2058"/>
      <c r="X334" s="2058"/>
      <c r="Y334" s="2058"/>
      <c r="Z334" s="2058"/>
    </row>
    <row r="335" spans="1:26" ht="12" x14ac:dyDescent="0.2">
      <c r="A335" s="2058"/>
      <c r="B335" s="2058"/>
      <c r="C335" s="2058"/>
      <c r="D335" s="2058"/>
      <c r="E335" s="2058"/>
      <c r="F335" s="2058"/>
      <c r="G335" s="2059"/>
      <c r="H335" s="2058"/>
      <c r="I335" s="2058"/>
      <c r="J335" s="2058"/>
      <c r="K335" s="2058"/>
      <c r="L335" s="2058"/>
      <c r="M335" s="2058"/>
      <c r="N335" s="2058"/>
      <c r="O335" s="2058"/>
      <c r="P335" s="2058"/>
      <c r="Q335" s="2058"/>
      <c r="R335" s="2058"/>
      <c r="S335" s="2058"/>
      <c r="T335" s="2058"/>
      <c r="U335" s="2058"/>
      <c r="V335" s="2058"/>
      <c r="W335" s="2058"/>
      <c r="X335" s="2058"/>
      <c r="Y335" s="2058"/>
      <c r="Z335" s="2058"/>
    </row>
    <row r="336" spans="1:26" ht="12" x14ac:dyDescent="0.2">
      <c r="A336" s="2058"/>
      <c r="B336" s="2058"/>
      <c r="C336" s="2058"/>
      <c r="D336" s="2058"/>
      <c r="E336" s="2058"/>
      <c r="F336" s="2058"/>
      <c r="G336" s="2059"/>
      <c r="H336" s="2058"/>
      <c r="I336" s="2058"/>
      <c r="J336" s="2058"/>
      <c r="K336" s="2058"/>
      <c r="L336" s="2058"/>
      <c r="M336" s="2058"/>
      <c r="N336" s="2058"/>
      <c r="O336" s="2058"/>
      <c r="P336" s="2058"/>
      <c r="Q336" s="2058"/>
      <c r="R336" s="2058"/>
      <c r="S336" s="2058"/>
      <c r="T336" s="2058"/>
      <c r="U336" s="2058"/>
      <c r="V336" s="2058"/>
      <c r="W336" s="2058"/>
      <c r="X336" s="2058"/>
      <c r="Y336" s="2058"/>
      <c r="Z336" s="2058"/>
    </row>
    <row r="337" spans="1:26" ht="12" x14ac:dyDescent="0.2">
      <c r="A337" s="2058"/>
      <c r="B337" s="2058"/>
      <c r="C337" s="2058"/>
      <c r="D337" s="2058"/>
      <c r="E337" s="2058"/>
      <c r="F337" s="2058"/>
      <c r="G337" s="2059"/>
      <c r="H337" s="2058"/>
      <c r="I337" s="2058"/>
      <c r="J337" s="2058"/>
      <c r="K337" s="2058"/>
      <c r="L337" s="2058"/>
      <c r="M337" s="2058"/>
      <c r="N337" s="2058"/>
      <c r="O337" s="2058"/>
      <c r="P337" s="2058"/>
      <c r="Q337" s="2058"/>
      <c r="R337" s="2058"/>
      <c r="S337" s="2058"/>
      <c r="T337" s="2058"/>
      <c r="U337" s="2058"/>
      <c r="V337" s="2058"/>
      <c r="W337" s="2058"/>
      <c r="X337" s="2058"/>
      <c r="Y337" s="2058"/>
      <c r="Z337" s="2058"/>
    </row>
    <row r="338" spans="1:26" ht="12" x14ac:dyDescent="0.2">
      <c r="A338" s="2058"/>
      <c r="B338" s="2058"/>
      <c r="C338" s="2058"/>
      <c r="D338" s="2058"/>
      <c r="E338" s="2058"/>
      <c r="F338" s="2058"/>
      <c r="G338" s="2059"/>
      <c r="H338" s="2058"/>
      <c r="I338" s="2058"/>
      <c r="J338" s="2058"/>
      <c r="K338" s="2058"/>
      <c r="L338" s="2058"/>
      <c r="M338" s="2058"/>
      <c r="N338" s="2058"/>
      <c r="O338" s="2058"/>
      <c r="P338" s="2058"/>
      <c r="Q338" s="2058"/>
      <c r="R338" s="2058"/>
      <c r="S338" s="2058"/>
      <c r="T338" s="2058"/>
      <c r="U338" s="2058"/>
      <c r="V338" s="2058"/>
      <c r="W338" s="2058"/>
      <c r="X338" s="2058"/>
      <c r="Y338" s="2058"/>
      <c r="Z338" s="2058"/>
    </row>
    <row r="339" spans="1:26" ht="12" x14ac:dyDescent="0.2">
      <c r="A339" s="2058"/>
      <c r="B339" s="2058"/>
      <c r="C339" s="2058"/>
      <c r="D339" s="2058"/>
      <c r="E339" s="2058"/>
      <c r="F339" s="2058"/>
      <c r="G339" s="2059"/>
      <c r="H339" s="2058"/>
      <c r="I339" s="2058"/>
      <c r="J339" s="2058"/>
      <c r="K339" s="2058"/>
      <c r="L339" s="2058"/>
      <c r="M339" s="2058"/>
      <c r="N339" s="2058"/>
      <c r="O339" s="2058"/>
      <c r="P339" s="2058"/>
      <c r="Q339" s="2058"/>
      <c r="R339" s="2058"/>
      <c r="S339" s="2058"/>
      <c r="T339" s="2058"/>
      <c r="U339" s="2058"/>
      <c r="V339" s="2058"/>
      <c r="W339" s="2058"/>
      <c r="X339" s="2058"/>
      <c r="Y339" s="2058"/>
      <c r="Z339" s="2058"/>
    </row>
    <row r="340" spans="1:26" ht="12" x14ac:dyDescent="0.2">
      <c r="A340" s="2058"/>
      <c r="B340" s="2058"/>
      <c r="C340" s="2058"/>
      <c r="D340" s="2058"/>
      <c r="E340" s="2058"/>
      <c r="F340" s="2058"/>
      <c r="G340" s="2059"/>
      <c r="H340" s="2058"/>
      <c r="I340" s="2058"/>
      <c r="J340" s="2058"/>
      <c r="K340" s="2058"/>
      <c r="L340" s="2058"/>
      <c r="M340" s="2058"/>
      <c r="N340" s="2058"/>
      <c r="O340" s="2058"/>
      <c r="P340" s="2058"/>
      <c r="Q340" s="2058"/>
      <c r="R340" s="2058"/>
      <c r="S340" s="2058"/>
      <c r="T340" s="2058"/>
      <c r="U340" s="2058"/>
      <c r="V340" s="2058"/>
      <c r="W340" s="2058"/>
      <c r="X340" s="2058"/>
      <c r="Y340" s="2058"/>
      <c r="Z340" s="2058"/>
    </row>
    <row r="341" spans="1:26" ht="12" x14ac:dyDescent="0.2">
      <c r="A341" s="2058"/>
      <c r="B341" s="2058"/>
      <c r="C341" s="2058"/>
      <c r="D341" s="2058"/>
      <c r="E341" s="2058"/>
      <c r="F341" s="2058"/>
      <c r="G341" s="2059"/>
      <c r="H341" s="2058"/>
      <c r="I341" s="2058"/>
      <c r="J341" s="2058"/>
      <c r="K341" s="2058"/>
      <c r="L341" s="2058"/>
      <c r="M341" s="2058"/>
      <c r="N341" s="2058"/>
      <c r="O341" s="2058"/>
      <c r="P341" s="2058"/>
      <c r="Q341" s="2058"/>
      <c r="R341" s="2058"/>
      <c r="S341" s="2058"/>
      <c r="T341" s="2058"/>
      <c r="U341" s="2058"/>
      <c r="V341" s="2058"/>
      <c r="W341" s="2058"/>
      <c r="X341" s="2058"/>
      <c r="Y341" s="2058"/>
      <c r="Z341" s="2058"/>
    </row>
    <row r="342" spans="1:26" ht="12" x14ac:dyDescent="0.2">
      <c r="A342" s="2058"/>
      <c r="B342" s="2058"/>
      <c r="C342" s="2058"/>
      <c r="D342" s="2058"/>
      <c r="E342" s="2058"/>
      <c r="F342" s="2058"/>
      <c r="G342" s="2059"/>
      <c r="H342" s="2058"/>
      <c r="I342" s="2058"/>
      <c r="J342" s="2058"/>
      <c r="K342" s="2058"/>
      <c r="L342" s="2058"/>
      <c r="M342" s="2058"/>
      <c r="N342" s="2058"/>
      <c r="O342" s="2058"/>
      <c r="P342" s="2058"/>
      <c r="Q342" s="2058"/>
      <c r="R342" s="2058"/>
      <c r="S342" s="2058"/>
      <c r="T342" s="2058"/>
      <c r="U342" s="2058"/>
      <c r="V342" s="2058"/>
      <c r="W342" s="2058"/>
      <c r="X342" s="2058"/>
      <c r="Y342" s="2058"/>
      <c r="Z342" s="2058"/>
    </row>
    <row r="343" spans="1:26" ht="12" x14ac:dyDescent="0.2">
      <c r="A343" s="2058"/>
      <c r="B343" s="2058"/>
      <c r="C343" s="2058"/>
      <c r="D343" s="2058"/>
      <c r="E343" s="2058"/>
      <c r="F343" s="2058"/>
      <c r="G343" s="2059"/>
      <c r="H343" s="2058"/>
      <c r="I343" s="2058"/>
      <c r="J343" s="2058"/>
      <c r="K343" s="2058"/>
      <c r="L343" s="2058"/>
      <c r="M343" s="2058"/>
      <c r="N343" s="2058"/>
      <c r="O343" s="2058"/>
      <c r="P343" s="2058"/>
      <c r="Q343" s="2058"/>
      <c r="R343" s="2058"/>
      <c r="S343" s="2058"/>
      <c r="T343" s="2058"/>
      <c r="U343" s="2058"/>
      <c r="V343" s="2058"/>
      <c r="W343" s="2058"/>
      <c r="X343" s="2058"/>
      <c r="Y343" s="2058"/>
      <c r="Z343" s="2058"/>
    </row>
    <row r="344" spans="1:26" ht="12" x14ac:dyDescent="0.2">
      <c r="A344" s="2058"/>
      <c r="B344" s="2058"/>
      <c r="C344" s="2058"/>
      <c r="D344" s="2058"/>
      <c r="E344" s="2058"/>
      <c r="F344" s="2058"/>
      <c r="G344" s="2059"/>
      <c r="H344" s="2058"/>
      <c r="I344" s="2058"/>
      <c r="J344" s="2058"/>
      <c r="K344" s="2058"/>
      <c r="L344" s="2058"/>
      <c r="M344" s="2058"/>
      <c r="N344" s="2058"/>
      <c r="O344" s="2058"/>
      <c r="P344" s="2058"/>
      <c r="Q344" s="2058"/>
      <c r="R344" s="2058"/>
      <c r="S344" s="2058"/>
      <c r="T344" s="2058"/>
      <c r="U344" s="2058"/>
      <c r="V344" s="2058"/>
      <c r="W344" s="2058"/>
      <c r="X344" s="2058"/>
      <c r="Y344" s="2058"/>
      <c r="Z344" s="2058"/>
    </row>
    <row r="345" spans="1:26" ht="12" x14ac:dyDescent="0.2">
      <c r="A345" s="2058"/>
      <c r="B345" s="2058"/>
      <c r="C345" s="2058"/>
      <c r="D345" s="2058"/>
      <c r="E345" s="2058"/>
      <c r="F345" s="2058"/>
      <c r="G345" s="2059"/>
      <c r="H345" s="2058"/>
      <c r="I345" s="2058"/>
      <c r="J345" s="2058"/>
      <c r="K345" s="2058"/>
      <c r="L345" s="2058"/>
      <c r="M345" s="2058"/>
      <c r="N345" s="2058"/>
      <c r="O345" s="2058"/>
      <c r="P345" s="2058"/>
      <c r="Q345" s="2058"/>
      <c r="R345" s="2058"/>
      <c r="S345" s="2058"/>
      <c r="T345" s="2058"/>
      <c r="U345" s="2058"/>
      <c r="V345" s="2058"/>
      <c r="W345" s="2058"/>
      <c r="X345" s="2058"/>
      <c r="Y345" s="2058"/>
      <c r="Z345" s="2058"/>
    </row>
    <row r="346" spans="1:26" ht="12" x14ac:dyDescent="0.2">
      <c r="A346" s="2058"/>
      <c r="B346" s="2058"/>
      <c r="C346" s="2058"/>
      <c r="D346" s="2058"/>
      <c r="E346" s="2058"/>
      <c r="F346" s="2058"/>
      <c r="G346" s="2059"/>
      <c r="H346" s="2058"/>
      <c r="I346" s="2058"/>
      <c r="J346" s="2058"/>
      <c r="K346" s="2058"/>
      <c r="L346" s="2058"/>
      <c r="M346" s="2058"/>
      <c r="N346" s="2058"/>
      <c r="O346" s="2058"/>
      <c r="P346" s="2058"/>
      <c r="Q346" s="2058"/>
      <c r="R346" s="2058"/>
      <c r="S346" s="2058"/>
      <c r="T346" s="2058"/>
      <c r="U346" s="2058"/>
      <c r="V346" s="2058"/>
      <c r="W346" s="2058"/>
      <c r="X346" s="2058"/>
      <c r="Y346" s="2058"/>
      <c r="Z346" s="2058"/>
    </row>
    <row r="347" spans="1:26" ht="12" x14ac:dyDescent="0.2">
      <c r="A347" s="2058"/>
      <c r="B347" s="2058"/>
      <c r="C347" s="2058"/>
      <c r="D347" s="2058"/>
      <c r="E347" s="2058"/>
      <c r="F347" s="2058"/>
      <c r="G347" s="2059"/>
      <c r="H347" s="2058"/>
      <c r="I347" s="2058"/>
      <c r="J347" s="2058"/>
      <c r="K347" s="2058"/>
      <c r="L347" s="2058"/>
      <c r="M347" s="2058"/>
      <c r="N347" s="2058"/>
      <c r="O347" s="2058"/>
      <c r="P347" s="2058"/>
      <c r="Q347" s="2058"/>
      <c r="R347" s="2058"/>
      <c r="S347" s="2058"/>
      <c r="T347" s="2058"/>
      <c r="U347" s="2058"/>
      <c r="V347" s="2058"/>
      <c r="W347" s="2058"/>
      <c r="X347" s="2058"/>
      <c r="Y347" s="2058"/>
      <c r="Z347" s="2058"/>
    </row>
    <row r="348" spans="1:26" ht="12" x14ac:dyDescent="0.2">
      <c r="A348" s="2058"/>
      <c r="B348" s="2058"/>
      <c r="C348" s="2058"/>
      <c r="D348" s="2058"/>
      <c r="E348" s="2058"/>
      <c r="F348" s="2058"/>
      <c r="G348" s="2059"/>
      <c r="H348" s="2058"/>
      <c r="I348" s="2058"/>
      <c r="J348" s="2058"/>
      <c r="K348" s="2058"/>
      <c r="L348" s="2058"/>
      <c r="M348" s="2058"/>
      <c r="N348" s="2058"/>
      <c r="O348" s="2058"/>
      <c r="P348" s="2058"/>
      <c r="Q348" s="2058"/>
      <c r="R348" s="2058"/>
      <c r="S348" s="2058"/>
      <c r="T348" s="2058"/>
      <c r="U348" s="2058"/>
      <c r="V348" s="2058"/>
      <c r="W348" s="2058"/>
      <c r="X348" s="2058"/>
      <c r="Y348" s="2058"/>
      <c r="Z348" s="2058"/>
    </row>
    <row r="349" spans="1:26" ht="12" x14ac:dyDescent="0.2">
      <c r="A349" s="2058"/>
      <c r="B349" s="2058"/>
      <c r="C349" s="2058"/>
      <c r="D349" s="2058"/>
      <c r="E349" s="2058"/>
      <c r="F349" s="2058"/>
      <c r="G349" s="2059"/>
      <c r="H349" s="2058"/>
      <c r="I349" s="2058"/>
      <c r="J349" s="2058"/>
      <c r="K349" s="2058"/>
      <c r="L349" s="2058"/>
      <c r="M349" s="2058"/>
      <c r="N349" s="2058"/>
      <c r="O349" s="2058"/>
      <c r="P349" s="2058"/>
      <c r="Q349" s="2058"/>
      <c r="R349" s="2058"/>
      <c r="S349" s="2058"/>
      <c r="T349" s="2058"/>
      <c r="U349" s="2058"/>
      <c r="V349" s="2058"/>
      <c r="W349" s="2058"/>
      <c r="X349" s="2058"/>
      <c r="Y349" s="2058"/>
      <c r="Z349" s="2058"/>
    </row>
    <row r="350" spans="1:26" ht="12" x14ac:dyDescent="0.2">
      <c r="A350" s="2058"/>
      <c r="B350" s="2058"/>
      <c r="C350" s="2058"/>
      <c r="D350" s="2058"/>
      <c r="E350" s="2058"/>
      <c r="F350" s="2058"/>
      <c r="G350" s="2059"/>
      <c r="H350" s="2058"/>
      <c r="I350" s="2058"/>
      <c r="J350" s="2058"/>
      <c r="K350" s="2058"/>
      <c r="L350" s="2058"/>
      <c r="M350" s="2058"/>
      <c r="N350" s="2058"/>
      <c r="O350" s="2058"/>
      <c r="P350" s="2058"/>
      <c r="Q350" s="2058"/>
      <c r="R350" s="2058"/>
      <c r="S350" s="2058"/>
      <c r="T350" s="2058"/>
      <c r="U350" s="2058"/>
      <c r="V350" s="2058"/>
      <c r="W350" s="2058"/>
      <c r="X350" s="2058"/>
      <c r="Y350" s="2058"/>
      <c r="Z350" s="2058"/>
    </row>
    <row r="351" spans="1:26" ht="12" x14ac:dyDescent="0.2">
      <c r="A351" s="2058"/>
      <c r="B351" s="2058"/>
      <c r="C351" s="2058"/>
      <c r="D351" s="2058"/>
      <c r="E351" s="2058"/>
      <c r="F351" s="2058"/>
      <c r="G351" s="2059"/>
      <c r="H351" s="2058"/>
      <c r="I351" s="2058"/>
      <c r="J351" s="2058"/>
      <c r="K351" s="2058"/>
      <c r="L351" s="2058"/>
      <c r="M351" s="2058"/>
      <c r="N351" s="2058"/>
      <c r="O351" s="2058"/>
      <c r="P351" s="2058"/>
      <c r="Q351" s="2058"/>
      <c r="R351" s="2058"/>
      <c r="S351" s="2058"/>
      <c r="T351" s="2058"/>
      <c r="U351" s="2058"/>
      <c r="V351" s="2058"/>
      <c r="W351" s="2058"/>
      <c r="X351" s="2058"/>
      <c r="Y351" s="2058"/>
      <c r="Z351" s="2058"/>
    </row>
    <row r="352" spans="1:26" ht="12" x14ac:dyDescent="0.2">
      <c r="A352" s="2058"/>
      <c r="B352" s="2058"/>
      <c r="C352" s="2058"/>
      <c r="D352" s="2058"/>
      <c r="E352" s="2058"/>
      <c r="F352" s="2058"/>
      <c r="G352" s="2059"/>
      <c r="H352" s="2058"/>
      <c r="I352" s="2058"/>
      <c r="J352" s="2058"/>
      <c r="K352" s="2058"/>
      <c r="L352" s="2058"/>
      <c r="M352" s="2058"/>
      <c r="N352" s="2058"/>
      <c r="O352" s="2058"/>
      <c r="P352" s="2058"/>
      <c r="Q352" s="2058"/>
      <c r="R352" s="2058"/>
      <c r="S352" s="2058"/>
      <c r="T352" s="2058"/>
      <c r="U352" s="2058"/>
      <c r="V352" s="2058"/>
      <c r="W352" s="2058"/>
      <c r="X352" s="2058"/>
      <c r="Y352" s="2058"/>
      <c r="Z352" s="2058"/>
    </row>
    <row r="353" spans="1:26" ht="12" x14ac:dyDescent="0.2">
      <c r="A353" s="2058"/>
      <c r="B353" s="2058"/>
      <c r="C353" s="2058"/>
      <c r="D353" s="2058"/>
      <c r="E353" s="2058"/>
      <c r="F353" s="2058"/>
      <c r="G353" s="2059"/>
      <c r="H353" s="2058"/>
      <c r="I353" s="2058"/>
      <c r="J353" s="2058"/>
      <c r="K353" s="2058"/>
      <c r="L353" s="2058"/>
      <c r="M353" s="2058"/>
      <c r="N353" s="2058"/>
      <c r="O353" s="2058"/>
      <c r="P353" s="2058"/>
      <c r="Q353" s="2058"/>
      <c r="R353" s="2058"/>
      <c r="S353" s="2058"/>
      <c r="T353" s="2058"/>
      <c r="U353" s="2058"/>
      <c r="V353" s="2058"/>
      <c r="W353" s="2058"/>
      <c r="X353" s="2058"/>
      <c r="Y353" s="2058"/>
      <c r="Z353" s="2058"/>
    </row>
    <row r="354" spans="1:26" ht="12" x14ac:dyDescent="0.2">
      <c r="A354" s="2058"/>
      <c r="B354" s="2058"/>
      <c r="C354" s="2058"/>
      <c r="D354" s="2058"/>
      <c r="E354" s="2058"/>
      <c r="F354" s="2058"/>
      <c r="G354" s="2059"/>
      <c r="H354" s="2058"/>
      <c r="I354" s="2058"/>
      <c r="J354" s="2058"/>
      <c r="K354" s="2058"/>
      <c r="L354" s="2058"/>
      <c r="M354" s="2058"/>
      <c r="N354" s="2058"/>
      <c r="O354" s="2058"/>
      <c r="P354" s="2058"/>
      <c r="Q354" s="2058"/>
      <c r="R354" s="2058"/>
      <c r="S354" s="2058"/>
      <c r="T354" s="2058"/>
      <c r="U354" s="2058"/>
      <c r="V354" s="2058"/>
      <c r="W354" s="2058"/>
      <c r="X354" s="2058"/>
      <c r="Y354" s="2058"/>
      <c r="Z354" s="2058"/>
    </row>
    <row r="355" spans="1:26" ht="12" x14ac:dyDescent="0.2">
      <c r="A355" s="2058"/>
      <c r="B355" s="2058"/>
      <c r="C355" s="2058"/>
      <c r="D355" s="2058"/>
      <c r="E355" s="2058"/>
      <c r="F355" s="2058"/>
      <c r="G355" s="2059"/>
      <c r="H355" s="2058"/>
      <c r="I355" s="2058"/>
      <c r="J355" s="2058"/>
      <c r="K355" s="2058"/>
      <c r="L355" s="2058"/>
      <c r="M355" s="2058"/>
      <c r="N355" s="2058"/>
      <c r="O355" s="2058"/>
      <c r="P355" s="2058"/>
      <c r="Q355" s="2058"/>
      <c r="R355" s="2058"/>
      <c r="S355" s="2058"/>
      <c r="T355" s="2058"/>
      <c r="U355" s="2058"/>
      <c r="V355" s="2058"/>
      <c r="W355" s="2058"/>
      <c r="X355" s="2058"/>
      <c r="Y355" s="2058"/>
      <c r="Z355" s="2058"/>
    </row>
    <row r="356" spans="1:26" ht="12" x14ac:dyDescent="0.2">
      <c r="A356" s="2058"/>
      <c r="B356" s="2058"/>
      <c r="C356" s="2058"/>
      <c r="D356" s="2058"/>
      <c r="E356" s="2058"/>
      <c r="F356" s="2058"/>
      <c r="G356" s="2059"/>
      <c r="H356" s="2058"/>
      <c r="I356" s="2058"/>
      <c r="J356" s="2058"/>
      <c r="K356" s="2058"/>
      <c r="L356" s="2058"/>
      <c r="M356" s="2058"/>
      <c r="N356" s="2058"/>
      <c r="O356" s="2058"/>
      <c r="P356" s="2058"/>
      <c r="Q356" s="2058"/>
      <c r="R356" s="2058"/>
      <c r="S356" s="2058"/>
      <c r="T356" s="2058"/>
      <c r="U356" s="2058"/>
      <c r="V356" s="2058"/>
      <c r="W356" s="2058"/>
      <c r="X356" s="2058"/>
      <c r="Y356" s="2058"/>
      <c r="Z356" s="2058"/>
    </row>
    <row r="357" spans="1:26" ht="12" x14ac:dyDescent="0.2">
      <c r="A357" s="2058"/>
      <c r="B357" s="2058"/>
      <c r="C357" s="2058"/>
      <c r="D357" s="2058"/>
      <c r="E357" s="2058"/>
      <c r="F357" s="2058"/>
      <c r="G357" s="2059"/>
      <c r="H357" s="2058"/>
      <c r="I357" s="2058"/>
      <c r="J357" s="2058"/>
      <c r="K357" s="2058"/>
      <c r="L357" s="2058"/>
      <c r="M357" s="2058"/>
      <c r="N357" s="2058"/>
      <c r="O357" s="2058"/>
      <c r="P357" s="2058"/>
      <c r="Q357" s="2058"/>
      <c r="R357" s="2058"/>
      <c r="S357" s="2058"/>
      <c r="T357" s="2058"/>
      <c r="U357" s="2058"/>
      <c r="V357" s="2058"/>
      <c r="W357" s="2058"/>
      <c r="X357" s="2058"/>
      <c r="Y357" s="2058"/>
      <c r="Z357" s="2058"/>
    </row>
    <row r="358" spans="1:26" ht="12" x14ac:dyDescent="0.2">
      <c r="A358" s="2058"/>
      <c r="B358" s="2058"/>
      <c r="C358" s="2058"/>
      <c r="D358" s="2058"/>
      <c r="E358" s="2058"/>
      <c r="F358" s="2058"/>
      <c r="G358" s="2059"/>
      <c r="H358" s="2058"/>
      <c r="I358" s="2058"/>
      <c r="J358" s="2058"/>
      <c r="K358" s="2058"/>
      <c r="L358" s="2058"/>
      <c r="M358" s="2058"/>
      <c r="N358" s="2058"/>
      <c r="O358" s="2058"/>
      <c r="P358" s="2058"/>
      <c r="Q358" s="2058"/>
      <c r="R358" s="2058"/>
      <c r="S358" s="2058"/>
      <c r="T358" s="2058"/>
      <c r="U358" s="2058"/>
      <c r="V358" s="2058"/>
      <c r="W358" s="2058"/>
      <c r="X358" s="2058"/>
      <c r="Y358" s="2058"/>
      <c r="Z358" s="2058"/>
    </row>
    <row r="359" spans="1:26" ht="12" x14ac:dyDescent="0.2">
      <c r="A359" s="2058"/>
      <c r="B359" s="2058"/>
      <c r="C359" s="2058"/>
      <c r="D359" s="2058"/>
      <c r="E359" s="2058"/>
      <c r="F359" s="2058"/>
      <c r="G359" s="2059"/>
      <c r="H359" s="2058"/>
      <c r="I359" s="2058"/>
      <c r="J359" s="2058"/>
      <c r="K359" s="2058"/>
      <c r="L359" s="2058"/>
      <c r="M359" s="2058"/>
      <c r="N359" s="2058"/>
      <c r="O359" s="2058"/>
      <c r="P359" s="2058"/>
      <c r="Q359" s="2058"/>
      <c r="R359" s="2058"/>
      <c r="S359" s="2058"/>
      <c r="T359" s="2058"/>
      <c r="U359" s="2058"/>
      <c r="V359" s="2058"/>
      <c r="W359" s="2058"/>
      <c r="X359" s="2058"/>
      <c r="Y359" s="2058"/>
      <c r="Z359" s="2058"/>
    </row>
    <row r="360" spans="1:26" ht="12" x14ac:dyDescent="0.2">
      <c r="A360" s="2058"/>
      <c r="B360" s="2058"/>
      <c r="C360" s="2058"/>
      <c r="D360" s="2058"/>
      <c r="E360" s="2058"/>
      <c r="F360" s="2058"/>
      <c r="G360" s="2059"/>
      <c r="H360" s="2058"/>
      <c r="I360" s="2058"/>
      <c r="J360" s="2058"/>
      <c r="K360" s="2058"/>
      <c r="L360" s="2058"/>
      <c r="M360" s="2058"/>
      <c r="N360" s="2058"/>
      <c r="O360" s="2058"/>
      <c r="P360" s="2058"/>
      <c r="Q360" s="2058"/>
      <c r="R360" s="2058"/>
      <c r="S360" s="2058"/>
      <c r="T360" s="2058"/>
      <c r="U360" s="2058"/>
      <c r="V360" s="2058"/>
      <c r="W360" s="2058"/>
      <c r="X360" s="2058"/>
      <c r="Y360" s="2058"/>
      <c r="Z360" s="2058"/>
    </row>
    <row r="361" spans="1:26" ht="12" x14ac:dyDescent="0.2">
      <c r="A361" s="2058"/>
      <c r="B361" s="2058"/>
      <c r="C361" s="2058"/>
      <c r="D361" s="2058"/>
      <c r="E361" s="2058"/>
      <c r="F361" s="2058"/>
      <c r="G361" s="2059"/>
      <c r="H361" s="2058"/>
      <c r="I361" s="2058"/>
      <c r="J361" s="2058"/>
      <c r="K361" s="2058"/>
      <c r="L361" s="2058"/>
      <c r="M361" s="2058"/>
      <c r="N361" s="2058"/>
      <c r="O361" s="2058"/>
      <c r="P361" s="2058"/>
      <c r="Q361" s="2058"/>
      <c r="R361" s="2058"/>
      <c r="S361" s="2058"/>
      <c r="T361" s="2058"/>
      <c r="U361" s="2058"/>
      <c r="V361" s="2058"/>
      <c r="W361" s="2058"/>
      <c r="X361" s="2058"/>
      <c r="Y361" s="2058"/>
      <c r="Z361" s="2058"/>
    </row>
    <row r="362" spans="1:26" ht="12" x14ac:dyDescent="0.2">
      <c r="A362" s="2058"/>
      <c r="B362" s="2058"/>
      <c r="C362" s="2058"/>
      <c r="D362" s="2058"/>
      <c r="E362" s="2058"/>
      <c r="F362" s="2058"/>
      <c r="G362" s="2059"/>
      <c r="H362" s="2058"/>
      <c r="I362" s="2058"/>
      <c r="J362" s="2058"/>
      <c r="K362" s="2058"/>
      <c r="L362" s="2058"/>
      <c r="M362" s="2058"/>
      <c r="N362" s="2058"/>
      <c r="O362" s="2058"/>
      <c r="P362" s="2058"/>
      <c r="Q362" s="2058"/>
      <c r="R362" s="2058"/>
      <c r="S362" s="2058"/>
      <c r="T362" s="2058"/>
      <c r="U362" s="2058"/>
      <c r="V362" s="2058"/>
      <c r="W362" s="2058"/>
      <c r="X362" s="2058"/>
      <c r="Y362" s="2058"/>
      <c r="Z362" s="2058"/>
    </row>
    <row r="363" spans="1:26" ht="12" x14ac:dyDescent="0.2">
      <c r="A363" s="2058"/>
      <c r="B363" s="2058"/>
      <c r="C363" s="2058"/>
      <c r="D363" s="2058"/>
      <c r="E363" s="2058"/>
      <c r="F363" s="2058"/>
      <c r="G363" s="2059"/>
      <c r="H363" s="2058"/>
      <c r="I363" s="2058"/>
      <c r="J363" s="2058"/>
      <c r="K363" s="2058"/>
      <c r="L363" s="2058"/>
      <c r="M363" s="2058"/>
      <c r="N363" s="2058"/>
      <c r="O363" s="2058"/>
      <c r="P363" s="2058"/>
      <c r="Q363" s="2058"/>
      <c r="R363" s="2058"/>
      <c r="S363" s="2058"/>
      <c r="T363" s="2058"/>
      <c r="U363" s="2058"/>
      <c r="V363" s="2058"/>
      <c r="W363" s="2058"/>
      <c r="X363" s="2058"/>
      <c r="Y363" s="2058"/>
      <c r="Z363" s="2058"/>
    </row>
    <row r="364" spans="1:26" ht="12" x14ac:dyDescent="0.2">
      <c r="A364" s="2058"/>
      <c r="B364" s="2058"/>
      <c r="C364" s="2058"/>
      <c r="D364" s="2058"/>
      <c r="E364" s="2058"/>
      <c r="F364" s="2058"/>
      <c r="G364" s="2059"/>
      <c r="H364" s="2058"/>
      <c r="I364" s="2058"/>
      <c r="J364" s="2058"/>
      <c r="K364" s="2058"/>
      <c r="L364" s="2058"/>
      <c r="M364" s="2058"/>
      <c r="N364" s="2058"/>
      <c r="O364" s="2058"/>
      <c r="P364" s="2058"/>
      <c r="Q364" s="2058"/>
      <c r="R364" s="2058"/>
      <c r="S364" s="2058"/>
      <c r="T364" s="2058"/>
      <c r="U364" s="2058"/>
      <c r="V364" s="2058"/>
      <c r="W364" s="2058"/>
      <c r="X364" s="2058"/>
      <c r="Y364" s="2058"/>
      <c r="Z364" s="2058"/>
    </row>
    <row r="365" spans="1:26" ht="12" x14ac:dyDescent="0.2">
      <c r="A365" s="2058"/>
      <c r="B365" s="2058"/>
      <c r="C365" s="2058"/>
      <c r="D365" s="2058"/>
      <c r="E365" s="2058"/>
      <c r="F365" s="2058"/>
      <c r="G365" s="2059"/>
      <c r="H365" s="2058"/>
      <c r="I365" s="2058"/>
      <c r="J365" s="2058"/>
      <c r="K365" s="2058"/>
      <c r="L365" s="2058"/>
      <c r="M365" s="2058"/>
      <c r="N365" s="2058"/>
      <c r="O365" s="2058"/>
      <c r="P365" s="2058"/>
      <c r="Q365" s="2058"/>
      <c r="R365" s="2058"/>
      <c r="S365" s="2058"/>
      <c r="T365" s="2058"/>
      <c r="U365" s="2058"/>
      <c r="V365" s="2058"/>
      <c r="W365" s="2058"/>
      <c r="X365" s="2058"/>
      <c r="Y365" s="2058"/>
      <c r="Z365" s="2058"/>
    </row>
    <row r="366" spans="1:26" ht="12" x14ac:dyDescent="0.2">
      <c r="A366" s="2058"/>
      <c r="B366" s="2058"/>
      <c r="C366" s="2058"/>
      <c r="D366" s="2058"/>
      <c r="E366" s="2058"/>
      <c r="F366" s="2058"/>
      <c r="G366" s="2059"/>
      <c r="H366" s="2058"/>
      <c r="I366" s="2058"/>
      <c r="J366" s="2058"/>
      <c r="K366" s="2058"/>
      <c r="L366" s="2058"/>
      <c r="M366" s="2058"/>
      <c r="N366" s="2058"/>
      <c r="O366" s="2058"/>
      <c r="P366" s="2058"/>
      <c r="Q366" s="2058"/>
      <c r="R366" s="2058"/>
      <c r="S366" s="2058"/>
      <c r="T366" s="2058"/>
      <c r="U366" s="2058"/>
      <c r="V366" s="2058"/>
      <c r="W366" s="2058"/>
      <c r="X366" s="2058"/>
      <c r="Y366" s="2058"/>
      <c r="Z366" s="2058"/>
    </row>
    <row r="367" spans="1:26" ht="12" x14ac:dyDescent="0.2">
      <c r="A367" s="2058"/>
      <c r="B367" s="2058"/>
      <c r="C367" s="2058"/>
      <c r="D367" s="2058"/>
      <c r="E367" s="2058"/>
      <c r="F367" s="2058"/>
      <c r="G367" s="2059"/>
      <c r="H367" s="2058"/>
      <c r="I367" s="2058"/>
      <c r="J367" s="2058"/>
      <c r="K367" s="2058"/>
      <c r="L367" s="2058"/>
      <c r="M367" s="2058"/>
      <c r="N367" s="2058"/>
      <c r="O367" s="2058"/>
      <c r="P367" s="2058"/>
      <c r="Q367" s="2058"/>
      <c r="R367" s="2058"/>
      <c r="S367" s="2058"/>
      <c r="T367" s="2058"/>
      <c r="U367" s="2058"/>
      <c r="V367" s="2058"/>
      <c r="W367" s="2058"/>
      <c r="X367" s="2058"/>
      <c r="Y367" s="2058"/>
      <c r="Z367" s="2058"/>
    </row>
    <row r="368" spans="1:26" ht="12" x14ac:dyDescent="0.2">
      <c r="A368" s="2058"/>
      <c r="B368" s="2058"/>
      <c r="C368" s="2058"/>
      <c r="D368" s="2058"/>
      <c r="E368" s="2058"/>
      <c r="F368" s="2058"/>
      <c r="G368" s="2059"/>
      <c r="H368" s="2058"/>
      <c r="I368" s="2058"/>
      <c r="J368" s="2058"/>
      <c r="K368" s="2058"/>
      <c r="L368" s="2058"/>
      <c r="M368" s="2058"/>
      <c r="N368" s="2058"/>
      <c r="O368" s="2058"/>
      <c r="P368" s="2058"/>
      <c r="Q368" s="2058"/>
      <c r="R368" s="2058"/>
      <c r="S368" s="2058"/>
      <c r="T368" s="2058"/>
      <c r="U368" s="2058"/>
      <c r="V368" s="2058"/>
      <c r="W368" s="2058"/>
      <c r="X368" s="2058"/>
      <c r="Y368" s="2058"/>
      <c r="Z368" s="2058"/>
    </row>
    <row r="369" spans="1:26" ht="12" x14ac:dyDescent="0.2">
      <c r="A369" s="2058"/>
      <c r="B369" s="2058"/>
      <c r="C369" s="2058"/>
      <c r="D369" s="2058"/>
      <c r="E369" s="2058"/>
      <c r="F369" s="2058"/>
      <c r="G369" s="2059"/>
      <c r="H369" s="2058"/>
      <c r="I369" s="2058"/>
      <c r="J369" s="2058"/>
      <c r="K369" s="2058"/>
      <c r="L369" s="2058"/>
      <c r="M369" s="2058"/>
      <c r="N369" s="2058"/>
      <c r="O369" s="2058"/>
      <c r="P369" s="2058"/>
      <c r="Q369" s="2058"/>
      <c r="R369" s="2058"/>
      <c r="S369" s="2058"/>
      <c r="T369" s="2058"/>
      <c r="U369" s="2058"/>
      <c r="V369" s="2058"/>
      <c r="W369" s="2058"/>
      <c r="X369" s="2058"/>
      <c r="Y369" s="2058"/>
      <c r="Z369" s="2058"/>
    </row>
    <row r="370" spans="1:26" ht="12" x14ac:dyDescent="0.2">
      <c r="A370" s="2058"/>
      <c r="B370" s="2058"/>
      <c r="C370" s="2058"/>
      <c r="D370" s="2058"/>
      <c r="E370" s="2058"/>
      <c r="F370" s="2058"/>
      <c r="G370" s="2059"/>
      <c r="H370" s="2058"/>
      <c r="I370" s="2058"/>
      <c r="J370" s="2058"/>
      <c r="K370" s="2058"/>
      <c r="L370" s="2058"/>
      <c r="M370" s="2058"/>
      <c r="N370" s="2058"/>
      <c r="O370" s="2058"/>
      <c r="P370" s="2058"/>
      <c r="Q370" s="2058"/>
      <c r="R370" s="2058"/>
      <c r="S370" s="2058"/>
      <c r="T370" s="2058"/>
      <c r="U370" s="2058"/>
      <c r="V370" s="2058"/>
      <c r="W370" s="2058"/>
      <c r="X370" s="2058"/>
      <c r="Y370" s="2058"/>
      <c r="Z370" s="2058"/>
    </row>
    <row r="371" spans="1:26" ht="12" x14ac:dyDescent="0.2">
      <c r="A371" s="2058"/>
      <c r="B371" s="2058"/>
      <c r="C371" s="2058"/>
      <c r="D371" s="2058"/>
      <c r="E371" s="2058"/>
      <c r="F371" s="2058"/>
      <c r="G371" s="2059"/>
      <c r="H371" s="2058"/>
      <c r="I371" s="2058"/>
      <c r="J371" s="2058"/>
      <c r="K371" s="2058"/>
      <c r="L371" s="2058"/>
      <c r="M371" s="2058"/>
      <c r="N371" s="2058"/>
      <c r="O371" s="2058"/>
      <c r="P371" s="2058"/>
      <c r="Q371" s="2058"/>
      <c r="R371" s="2058"/>
      <c r="S371" s="2058"/>
      <c r="T371" s="2058"/>
      <c r="U371" s="2058"/>
      <c r="V371" s="2058"/>
      <c r="W371" s="2058"/>
      <c r="X371" s="2058"/>
      <c r="Y371" s="2058"/>
      <c r="Z371" s="2058"/>
    </row>
    <row r="372" spans="1:26" ht="12" x14ac:dyDescent="0.2">
      <c r="A372" s="2058"/>
      <c r="B372" s="2058"/>
      <c r="C372" s="2058"/>
      <c r="D372" s="2058"/>
      <c r="E372" s="2058"/>
      <c r="F372" s="2058"/>
      <c r="G372" s="2059"/>
      <c r="H372" s="2058"/>
      <c r="I372" s="2058"/>
      <c r="J372" s="2058"/>
      <c r="K372" s="2058"/>
      <c r="L372" s="2058"/>
      <c r="M372" s="2058"/>
      <c r="N372" s="2058"/>
      <c r="O372" s="2058"/>
      <c r="P372" s="2058"/>
      <c r="Q372" s="2058"/>
      <c r="R372" s="2058"/>
      <c r="S372" s="2058"/>
      <c r="T372" s="2058"/>
      <c r="U372" s="2058"/>
      <c r="V372" s="2058"/>
      <c r="W372" s="2058"/>
      <c r="X372" s="2058"/>
      <c r="Y372" s="2058"/>
      <c r="Z372" s="2058"/>
    </row>
    <row r="373" spans="1:26" ht="12" x14ac:dyDescent="0.2">
      <c r="A373" s="2058"/>
      <c r="B373" s="2058"/>
      <c r="C373" s="2058"/>
      <c r="D373" s="2058"/>
      <c r="E373" s="2058"/>
      <c r="F373" s="2058"/>
      <c r="G373" s="2059"/>
      <c r="H373" s="2058"/>
      <c r="I373" s="2058"/>
      <c r="J373" s="2058"/>
      <c r="K373" s="2058"/>
      <c r="L373" s="2058"/>
      <c r="M373" s="2058"/>
      <c r="N373" s="2058"/>
      <c r="O373" s="2058"/>
      <c r="P373" s="2058"/>
      <c r="Q373" s="2058"/>
      <c r="R373" s="2058"/>
      <c r="S373" s="2058"/>
      <c r="T373" s="2058"/>
      <c r="U373" s="2058"/>
      <c r="V373" s="2058"/>
      <c r="W373" s="2058"/>
      <c r="X373" s="2058"/>
      <c r="Y373" s="2058"/>
      <c r="Z373" s="2058"/>
    </row>
    <row r="374" spans="1:26" ht="12" x14ac:dyDescent="0.2">
      <c r="A374" s="2058"/>
      <c r="B374" s="2058"/>
      <c r="C374" s="2058"/>
      <c r="D374" s="2058"/>
      <c r="E374" s="2058"/>
      <c r="F374" s="2058"/>
      <c r="G374" s="2059"/>
      <c r="H374" s="2058"/>
      <c r="I374" s="2058"/>
      <c r="J374" s="2058"/>
      <c r="K374" s="2058"/>
      <c r="L374" s="2058"/>
      <c r="M374" s="2058"/>
      <c r="N374" s="2058"/>
      <c r="O374" s="2058"/>
      <c r="P374" s="2058"/>
      <c r="Q374" s="2058"/>
      <c r="R374" s="2058"/>
      <c r="S374" s="2058"/>
      <c r="T374" s="2058"/>
      <c r="U374" s="2058"/>
      <c r="V374" s="2058"/>
      <c r="W374" s="2058"/>
      <c r="X374" s="2058"/>
      <c r="Y374" s="2058"/>
      <c r="Z374" s="2058"/>
    </row>
    <row r="375" spans="1:26" ht="12" x14ac:dyDescent="0.2">
      <c r="A375" s="2058"/>
      <c r="B375" s="2058"/>
      <c r="C375" s="2058"/>
      <c r="D375" s="2058"/>
      <c r="E375" s="2058"/>
      <c r="F375" s="2058"/>
      <c r="G375" s="2059"/>
      <c r="H375" s="2058"/>
      <c r="I375" s="2058"/>
      <c r="J375" s="2058"/>
      <c r="K375" s="2058"/>
      <c r="L375" s="2058"/>
      <c r="M375" s="2058"/>
      <c r="N375" s="2058"/>
      <c r="O375" s="2058"/>
      <c r="P375" s="2058"/>
      <c r="Q375" s="2058"/>
      <c r="R375" s="2058"/>
      <c r="S375" s="2058"/>
      <c r="T375" s="2058"/>
      <c r="U375" s="2058"/>
      <c r="V375" s="2058"/>
      <c r="W375" s="2058"/>
      <c r="X375" s="2058"/>
      <c r="Y375" s="2058"/>
      <c r="Z375" s="2058"/>
    </row>
    <row r="376" spans="1:26" ht="12" x14ac:dyDescent="0.2">
      <c r="A376" s="2058"/>
      <c r="B376" s="2058"/>
      <c r="C376" s="2058"/>
      <c r="D376" s="2058"/>
      <c r="E376" s="2058"/>
      <c r="F376" s="2058"/>
      <c r="G376" s="2059"/>
      <c r="H376" s="2058"/>
      <c r="I376" s="2058"/>
      <c r="J376" s="2058"/>
      <c r="K376" s="2058"/>
      <c r="L376" s="2058"/>
      <c r="M376" s="2058"/>
      <c r="N376" s="2058"/>
      <c r="O376" s="2058"/>
      <c r="P376" s="2058"/>
      <c r="Q376" s="2058"/>
      <c r="R376" s="2058"/>
      <c r="S376" s="2058"/>
      <c r="T376" s="2058"/>
      <c r="U376" s="2058"/>
      <c r="V376" s="2058"/>
      <c r="W376" s="2058"/>
      <c r="X376" s="2058"/>
      <c r="Y376" s="2058"/>
      <c r="Z376" s="2058"/>
    </row>
    <row r="377" spans="1:26" ht="12" x14ac:dyDescent="0.2">
      <c r="A377" s="2058"/>
      <c r="B377" s="2058"/>
      <c r="C377" s="2058"/>
      <c r="D377" s="2058"/>
      <c r="E377" s="2058"/>
      <c r="F377" s="2058"/>
      <c r="G377" s="2059"/>
      <c r="H377" s="2058"/>
      <c r="I377" s="2058"/>
      <c r="J377" s="2058"/>
      <c r="K377" s="2058"/>
      <c r="L377" s="2058"/>
      <c r="M377" s="2058"/>
      <c r="N377" s="2058"/>
      <c r="O377" s="2058"/>
      <c r="P377" s="2058"/>
      <c r="Q377" s="2058"/>
      <c r="R377" s="2058"/>
      <c r="S377" s="2058"/>
      <c r="T377" s="2058"/>
      <c r="U377" s="2058"/>
      <c r="V377" s="2058"/>
      <c r="W377" s="2058"/>
      <c r="X377" s="2058"/>
      <c r="Y377" s="2058"/>
      <c r="Z377" s="2058"/>
    </row>
    <row r="378" spans="1:26" ht="12" x14ac:dyDescent="0.2">
      <c r="A378" s="2058"/>
      <c r="B378" s="2058"/>
      <c r="C378" s="2058"/>
      <c r="D378" s="2058"/>
      <c r="E378" s="2058"/>
      <c r="F378" s="2058"/>
      <c r="G378" s="2059"/>
      <c r="H378" s="2058"/>
      <c r="I378" s="2058"/>
      <c r="J378" s="2058"/>
      <c r="K378" s="2058"/>
      <c r="L378" s="2058"/>
      <c r="M378" s="2058"/>
      <c r="N378" s="2058"/>
      <c r="O378" s="2058"/>
      <c r="P378" s="2058"/>
      <c r="Q378" s="2058"/>
      <c r="R378" s="2058"/>
      <c r="S378" s="2058"/>
      <c r="T378" s="2058"/>
      <c r="U378" s="2058"/>
      <c r="V378" s="2058"/>
      <c r="W378" s="2058"/>
      <c r="X378" s="2058"/>
      <c r="Y378" s="2058"/>
      <c r="Z378" s="2058"/>
    </row>
    <row r="379" spans="1:26" ht="12" x14ac:dyDescent="0.2">
      <c r="A379" s="2058"/>
      <c r="B379" s="2058"/>
      <c r="C379" s="2058"/>
      <c r="D379" s="2058"/>
      <c r="E379" s="2058"/>
      <c r="F379" s="2058"/>
      <c r="G379" s="2059"/>
      <c r="H379" s="2058"/>
      <c r="I379" s="2058"/>
      <c r="J379" s="2058"/>
      <c r="K379" s="2058"/>
      <c r="L379" s="2058"/>
      <c r="M379" s="2058"/>
      <c r="N379" s="2058"/>
      <c r="O379" s="2058"/>
      <c r="P379" s="2058"/>
      <c r="Q379" s="2058"/>
      <c r="R379" s="2058"/>
      <c r="S379" s="2058"/>
      <c r="T379" s="2058"/>
      <c r="U379" s="2058"/>
      <c r="V379" s="2058"/>
      <c r="W379" s="2058"/>
      <c r="X379" s="2058"/>
      <c r="Y379" s="2058"/>
      <c r="Z379" s="2058"/>
    </row>
    <row r="380" spans="1:26" ht="12" x14ac:dyDescent="0.2">
      <c r="A380" s="2058"/>
      <c r="B380" s="2058"/>
      <c r="C380" s="2058"/>
      <c r="D380" s="2058"/>
      <c r="E380" s="2058"/>
      <c r="F380" s="2058"/>
      <c r="G380" s="2059"/>
      <c r="H380" s="2058"/>
      <c r="I380" s="2058"/>
      <c r="J380" s="2058"/>
      <c r="K380" s="2058"/>
      <c r="L380" s="2058"/>
      <c r="M380" s="2058"/>
      <c r="N380" s="2058"/>
      <c r="O380" s="2058"/>
      <c r="P380" s="2058"/>
      <c r="Q380" s="2058"/>
      <c r="R380" s="2058"/>
      <c r="S380" s="2058"/>
      <c r="T380" s="2058"/>
      <c r="U380" s="2058"/>
      <c r="V380" s="2058"/>
      <c r="W380" s="2058"/>
      <c r="X380" s="2058"/>
      <c r="Y380" s="2058"/>
      <c r="Z380" s="2058"/>
    </row>
    <row r="381" spans="1:26" ht="12" x14ac:dyDescent="0.2">
      <c r="A381" s="2058"/>
      <c r="B381" s="2058"/>
      <c r="C381" s="2058"/>
      <c r="D381" s="2058"/>
      <c r="E381" s="2058"/>
      <c r="F381" s="2058"/>
      <c r="G381" s="2059"/>
      <c r="H381" s="2058"/>
      <c r="I381" s="2058"/>
      <c r="J381" s="2058"/>
      <c r="K381" s="2058"/>
      <c r="L381" s="2058"/>
      <c r="M381" s="2058"/>
      <c r="N381" s="2058"/>
      <c r="O381" s="2058"/>
      <c r="P381" s="2058"/>
      <c r="Q381" s="2058"/>
      <c r="R381" s="2058"/>
      <c r="S381" s="2058"/>
      <c r="T381" s="2058"/>
      <c r="U381" s="2058"/>
      <c r="V381" s="2058"/>
      <c r="W381" s="2058"/>
      <c r="X381" s="2058"/>
      <c r="Y381" s="2058"/>
      <c r="Z381" s="2058"/>
    </row>
    <row r="382" spans="1:26" ht="12" x14ac:dyDescent="0.2">
      <c r="A382" s="2058"/>
      <c r="B382" s="2058"/>
      <c r="C382" s="2058"/>
      <c r="D382" s="2058"/>
      <c r="E382" s="2058"/>
      <c r="F382" s="2058"/>
      <c r="G382" s="2059"/>
      <c r="H382" s="2058"/>
      <c r="I382" s="2058"/>
      <c r="J382" s="2058"/>
      <c r="K382" s="2058"/>
      <c r="L382" s="2058"/>
      <c r="M382" s="2058"/>
      <c r="N382" s="2058"/>
      <c r="O382" s="2058"/>
      <c r="P382" s="2058"/>
      <c r="Q382" s="2058"/>
      <c r="R382" s="2058"/>
      <c r="S382" s="2058"/>
      <c r="T382" s="2058"/>
      <c r="U382" s="2058"/>
      <c r="V382" s="2058"/>
      <c r="W382" s="2058"/>
      <c r="X382" s="2058"/>
      <c r="Y382" s="2058"/>
      <c r="Z382" s="2058"/>
    </row>
    <row r="383" spans="1:26" ht="12" x14ac:dyDescent="0.2">
      <c r="A383" s="2058"/>
      <c r="B383" s="2058"/>
      <c r="C383" s="2058"/>
      <c r="D383" s="2058"/>
      <c r="E383" s="2058"/>
      <c r="F383" s="2058"/>
      <c r="G383" s="2059"/>
      <c r="H383" s="2058"/>
      <c r="I383" s="2058"/>
      <c r="J383" s="2058"/>
      <c r="K383" s="2058"/>
      <c r="L383" s="2058"/>
      <c r="M383" s="2058"/>
      <c r="N383" s="2058"/>
      <c r="O383" s="2058"/>
      <c r="P383" s="2058"/>
      <c r="Q383" s="2058"/>
      <c r="R383" s="2058"/>
      <c r="S383" s="2058"/>
      <c r="T383" s="2058"/>
      <c r="U383" s="2058"/>
      <c r="V383" s="2058"/>
      <c r="W383" s="2058"/>
      <c r="X383" s="2058"/>
      <c r="Y383" s="2058"/>
      <c r="Z383" s="2058"/>
    </row>
    <row r="384" spans="1:26" ht="12" x14ac:dyDescent="0.2">
      <c r="A384" s="2058"/>
      <c r="B384" s="2058"/>
      <c r="C384" s="2058"/>
      <c r="D384" s="2058"/>
      <c r="E384" s="2058"/>
      <c r="F384" s="2058"/>
      <c r="G384" s="2059"/>
      <c r="H384" s="2058"/>
      <c r="I384" s="2058"/>
      <c r="J384" s="2058"/>
      <c r="K384" s="2058"/>
      <c r="L384" s="2058"/>
      <c r="M384" s="2058"/>
      <c r="N384" s="2058"/>
      <c r="O384" s="2058"/>
      <c r="P384" s="2058"/>
      <c r="Q384" s="2058"/>
      <c r="R384" s="2058"/>
      <c r="S384" s="2058"/>
      <c r="T384" s="2058"/>
      <c r="U384" s="2058"/>
      <c r="V384" s="2058"/>
      <c r="W384" s="2058"/>
      <c r="X384" s="2058"/>
      <c r="Y384" s="2058"/>
      <c r="Z384" s="2058"/>
    </row>
    <row r="385" spans="1:26" ht="12" x14ac:dyDescent="0.2">
      <c r="A385" s="2058"/>
      <c r="B385" s="2058"/>
      <c r="C385" s="2058"/>
      <c r="D385" s="2058"/>
      <c r="E385" s="2058"/>
      <c r="F385" s="2058"/>
      <c r="G385" s="2059"/>
      <c r="H385" s="2058"/>
      <c r="I385" s="2058"/>
      <c r="J385" s="2058"/>
      <c r="K385" s="2058"/>
      <c r="L385" s="2058"/>
      <c r="M385" s="2058"/>
      <c r="N385" s="2058"/>
      <c r="O385" s="2058"/>
      <c r="P385" s="2058"/>
      <c r="Q385" s="2058"/>
      <c r="R385" s="2058"/>
      <c r="S385" s="2058"/>
      <c r="T385" s="2058"/>
      <c r="U385" s="2058"/>
      <c r="V385" s="2058"/>
      <c r="W385" s="2058"/>
      <c r="X385" s="2058"/>
      <c r="Y385" s="2058"/>
      <c r="Z385" s="2058"/>
    </row>
    <row r="386" spans="1:26" ht="12" x14ac:dyDescent="0.2">
      <c r="A386" s="2058"/>
      <c r="B386" s="2058"/>
      <c r="C386" s="2058"/>
      <c r="D386" s="2058"/>
      <c r="E386" s="2058"/>
      <c r="F386" s="2058"/>
      <c r="G386" s="2059"/>
      <c r="H386" s="2058"/>
      <c r="I386" s="2058"/>
      <c r="J386" s="2058"/>
      <c r="K386" s="2058"/>
      <c r="L386" s="2058"/>
      <c r="M386" s="2058"/>
      <c r="N386" s="2058"/>
      <c r="O386" s="2058"/>
      <c r="P386" s="2058"/>
      <c r="Q386" s="2058"/>
      <c r="R386" s="2058"/>
      <c r="S386" s="2058"/>
      <c r="T386" s="2058"/>
      <c r="U386" s="2058"/>
      <c r="V386" s="2058"/>
      <c r="W386" s="2058"/>
      <c r="X386" s="2058"/>
      <c r="Y386" s="2058"/>
      <c r="Z386" s="2058"/>
    </row>
    <row r="387" spans="1:26" ht="12" x14ac:dyDescent="0.2">
      <c r="A387" s="2058"/>
      <c r="B387" s="2058"/>
      <c r="C387" s="2058"/>
      <c r="D387" s="2058"/>
      <c r="E387" s="2058"/>
      <c r="F387" s="2058"/>
      <c r="G387" s="2059"/>
      <c r="H387" s="2058"/>
      <c r="I387" s="2058"/>
      <c r="J387" s="2058"/>
      <c r="K387" s="2058"/>
      <c r="L387" s="2058"/>
      <c r="M387" s="2058"/>
      <c r="N387" s="2058"/>
      <c r="O387" s="2058"/>
      <c r="P387" s="2058"/>
      <c r="Q387" s="2058"/>
      <c r="R387" s="2058"/>
      <c r="S387" s="2058"/>
      <c r="T387" s="2058"/>
      <c r="U387" s="2058"/>
      <c r="V387" s="2058"/>
      <c r="W387" s="2058"/>
      <c r="X387" s="2058"/>
      <c r="Y387" s="2058"/>
      <c r="Z387" s="2058"/>
    </row>
    <row r="388" spans="1:26" ht="12" x14ac:dyDescent="0.2">
      <c r="A388" s="2058"/>
      <c r="B388" s="2058"/>
      <c r="C388" s="2058"/>
      <c r="D388" s="2058"/>
      <c r="E388" s="2058"/>
      <c r="F388" s="2058"/>
      <c r="G388" s="2059"/>
      <c r="H388" s="2058"/>
      <c r="I388" s="2058"/>
      <c r="J388" s="2058"/>
      <c r="K388" s="2058"/>
      <c r="L388" s="2058"/>
      <c r="M388" s="2058"/>
      <c r="N388" s="2058"/>
      <c r="O388" s="2058"/>
      <c r="P388" s="2058"/>
      <c r="Q388" s="2058"/>
      <c r="R388" s="2058"/>
      <c r="S388" s="2058"/>
      <c r="T388" s="2058"/>
      <c r="U388" s="2058"/>
      <c r="V388" s="2058"/>
      <c r="W388" s="2058"/>
      <c r="X388" s="2058"/>
      <c r="Y388" s="2058"/>
      <c r="Z388" s="2058"/>
    </row>
    <row r="389" spans="1:26" ht="12" x14ac:dyDescent="0.2">
      <c r="A389" s="2058"/>
      <c r="B389" s="2058"/>
      <c r="C389" s="2058"/>
      <c r="D389" s="2058"/>
      <c r="E389" s="2058"/>
      <c r="F389" s="2058"/>
      <c r="G389" s="2059"/>
      <c r="H389" s="2058"/>
      <c r="I389" s="2058"/>
      <c r="J389" s="2058"/>
      <c r="K389" s="2058"/>
      <c r="L389" s="2058"/>
      <c r="M389" s="2058"/>
      <c r="N389" s="2058"/>
      <c r="O389" s="2058"/>
      <c r="P389" s="2058"/>
      <c r="Q389" s="2058"/>
      <c r="R389" s="2058"/>
      <c r="S389" s="2058"/>
      <c r="T389" s="2058"/>
      <c r="U389" s="2058"/>
      <c r="V389" s="2058"/>
      <c r="W389" s="2058"/>
      <c r="X389" s="2058"/>
      <c r="Y389" s="2058"/>
      <c r="Z389" s="2058"/>
    </row>
    <row r="390" spans="1:26" ht="12" x14ac:dyDescent="0.2">
      <c r="A390" s="2058"/>
      <c r="B390" s="2058"/>
      <c r="C390" s="2058"/>
      <c r="D390" s="2058"/>
      <c r="E390" s="2058"/>
      <c r="F390" s="2058"/>
      <c r="G390" s="2059"/>
      <c r="H390" s="2058"/>
      <c r="I390" s="2058"/>
      <c r="J390" s="2058"/>
      <c r="K390" s="2058"/>
      <c r="L390" s="2058"/>
      <c r="M390" s="2058"/>
      <c r="N390" s="2058"/>
      <c r="O390" s="2058"/>
      <c r="P390" s="2058"/>
      <c r="Q390" s="2058"/>
      <c r="R390" s="2058"/>
      <c r="S390" s="2058"/>
      <c r="T390" s="2058"/>
      <c r="U390" s="2058"/>
      <c r="V390" s="2058"/>
      <c r="W390" s="2058"/>
      <c r="X390" s="2058"/>
      <c r="Y390" s="2058"/>
      <c r="Z390" s="2058"/>
    </row>
    <row r="391" spans="1:26" ht="12" x14ac:dyDescent="0.2">
      <c r="A391" s="2058"/>
      <c r="B391" s="2058"/>
      <c r="C391" s="2058"/>
      <c r="D391" s="2058"/>
      <c r="E391" s="2058"/>
      <c r="F391" s="2058"/>
      <c r="G391" s="2059"/>
      <c r="H391" s="2058"/>
      <c r="I391" s="2058"/>
      <c r="J391" s="2058"/>
      <c r="K391" s="2058"/>
      <c r="L391" s="2058"/>
      <c r="M391" s="2058"/>
      <c r="N391" s="2058"/>
      <c r="O391" s="2058"/>
      <c r="P391" s="2058"/>
      <c r="Q391" s="2058"/>
      <c r="R391" s="2058"/>
      <c r="S391" s="2058"/>
      <c r="T391" s="2058"/>
      <c r="U391" s="2058"/>
      <c r="V391" s="2058"/>
      <c r="W391" s="2058"/>
      <c r="X391" s="2058"/>
      <c r="Y391" s="2058"/>
      <c r="Z391" s="2058"/>
    </row>
    <row r="392" spans="1:26" ht="12" x14ac:dyDescent="0.2">
      <c r="A392" s="2058"/>
      <c r="B392" s="2058"/>
      <c r="C392" s="2058"/>
      <c r="D392" s="2058"/>
      <c r="E392" s="2058"/>
      <c r="F392" s="2058"/>
      <c r="G392" s="2059"/>
      <c r="H392" s="2058"/>
      <c r="I392" s="2058"/>
      <c r="J392" s="2058"/>
      <c r="K392" s="2058"/>
      <c r="L392" s="2058"/>
      <c r="M392" s="2058"/>
      <c r="N392" s="2058"/>
      <c r="O392" s="2058"/>
      <c r="P392" s="2058"/>
      <c r="Q392" s="2058"/>
      <c r="R392" s="2058"/>
      <c r="S392" s="2058"/>
      <c r="T392" s="2058"/>
      <c r="U392" s="2058"/>
      <c r="V392" s="2058"/>
      <c r="W392" s="2058"/>
      <c r="X392" s="2058"/>
      <c r="Y392" s="2058"/>
      <c r="Z392" s="2058"/>
    </row>
    <row r="393" spans="1:26" ht="12" x14ac:dyDescent="0.2">
      <c r="A393" s="2058"/>
      <c r="B393" s="2058"/>
      <c r="C393" s="2058"/>
      <c r="D393" s="2058"/>
      <c r="E393" s="2058"/>
      <c r="F393" s="2058"/>
      <c r="G393" s="2059"/>
      <c r="H393" s="2058"/>
      <c r="I393" s="2058"/>
      <c r="J393" s="2058"/>
      <c r="K393" s="2058"/>
      <c r="L393" s="2058"/>
      <c r="M393" s="2058"/>
      <c r="N393" s="2058"/>
      <c r="O393" s="2058"/>
      <c r="P393" s="2058"/>
      <c r="Q393" s="2058"/>
      <c r="R393" s="2058"/>
      <c r="S393" s="2058"/>
      <c r="T393" s="2058"/>
      <c r="U393" s="2058"/>
      <c r="V393" s="2058"/>
      <c r="W393" s="2058"/>
      <c r="X393" s="2058"/>
      <c r="Y393" s="2058"/>
      <c r="Z393" s="2058"/>
    </row>
    <row r="394" spans="1:26" ht="12" x14ac:dyDescent="0.2">
      <c r="A394" s="2058"/>
      <c r="B394" s="2058"/>
      <c r="C394" s="2058"/>
      <c r="D394" s="2058"/>
      <c r="E394" s="2058"/>
      <c r="F394" s="2058"/>
      <c r="G394" s="2059"/>
      <c r="H394" s="2058"/>
      <c r="I394" s="2058"/>
      <c r="J394" s="2058"/>
      <c r="K394" s="2058"/>
      <c r="L394" s="2058"/>
      <c r="M394" s="2058"/>
      <c r="N394" s="2058"/>
      <c r="O394" s="2058"/>
      <c r="P394" s="2058"/>
      <c r="Q394" s="2058"/>
      <c r="R394" s="2058"/>
      <c r="S394" s="2058"/>
      <c r="T394" s="2058"/>
      <c r="U394" s="2058"/>
      <c r="V394" s="2058"/>
      <c r="W394" s="2058"/>
      <c r="X394" s="2058"/>
      <c r="Y394" s="2058"/>
      <c r="Z394" s="2058"/>
    </row>
    <row r="395" spans="1:26" ht="12" x14ac:dyDescent="0.2">
      <c r="A395" s="2058"/>
      <c r="B395" s="2058"/>
      <c r="C395" s="2058"/>
      <c r="D395" s="2058"/>
      <c r="E395" s="2058"/>
      <c r="F395" s="2058"/>
      <c r="G395" s="2059"/>
      <c r="H395" s="2058"/>
      <c r="I395" s="2058"/>
      <c r="J395" s="2058"/>
      <c r="K395" s="2058"/>
      <c r="L395" s="2058"/>
      <c r="M395" s="2058"/>
      <c r="N395" s="2058"/>
      <c r="O395" s="2058"/>
      <c r="P395" s="2058"/>
      <c r="Q395" s="2058"/>
      <c r="R395" s="2058"/>
      <c r="S395" s="2058"/>
      <c r="T395" s="2058"/>
      <c r="U395" s="2058"/>
      <c r="V395" s="2058"/>
      <c r="W395" s="2058"/>
      <c r="X395" s="2058"/>
      <c r="Y395" s="2058"/>
      <c r="Z395" s="2058"/>
    </row>
    <row r="396" spans="1:26" ht="12" x14ac:dyDescent="0.2">
      <c r="A396" s="2058"/>
      <c r="B396" s="2058"/>
      <c r="C396" s="2058"/>
      <c r="D396" s="2058"/>
      <c r="E396" s="2058"/>
      <c r="F396" s="2058"/>
      <c r="G396" s="2059"/>
      <c r="H396" s="2058"/>
      <c r="I396" s="2058"/>
      <c r="J396" s="2058"/>
      <c r="K396" s="2058"/>
      <c r="L396" s="2058"/>
      <c r="M396" s="2058"/>
      <c r="N396" s="2058"/>
      <c r="O396" s="2058"/>
      <c r="P396" s="2058"/>
      <c r="Q396" s="2058"/>
      <c r="R396" s="2058"/>
      <c r="S396" s="2058"/>
      <c r="T396" s="2058"/>
      <c r="U396" s="2058"/>
      <c r="V396" s="2058"/>
      <c r="W396" s="2058"/>
      <c r="X396" s="2058"/>
      <c r="Y396" s="2058"/>
      <c r="Z396" s="2058"/>
    </row>
    <row r="397" spans="1:26" ht="12" x14ac:dyDescent="0.2">
      <c r="A397" s="2058"/>
      <c r="B397" s="2058"/>
      <c r="C397" s="2058"/>
      <c r="D397" s="2058"/>
      <c r="E397" s="2058"/>
      <c r="F397" s="2058"/>
      <c r="G397" s="2059"/>
      <c r="H397" s="2058"/>
      <c r="I397" s="2058"/>
      <c r="J397" s="2058"/>
      <c r="K397" s="2058"/>
      <c r="L397" s="2058"/>
      <c r="M397" s="2058"/>
      <c r="N397" s="2058"/>
      <c r="O397" s="2058"/>
      <c r="P397" s="2058"/>
      <c r="Q397" s="2058"/>
      <c r="R397" s="2058"/>
      <c r="S397" s="2058"/>
      <c r="T397" s="2058"/>
      <c r="U397" s="2058"/>
      <c r="V397" s="2058"/>
      <c r="W397" s="2058"/>
      <c r="X397" s="2058"/>
      <c r="Y397" s="2058"/>
      <c r="Z397" s="2058"/>
    </row>
    <row r="398" spans="1:26" ht="12" x14ac:dyDescent="0.2">
      <c r="A398" s="2058"/>
      <c r="B398" s="2058"/>
      <c r="C398" s="2058"/>
      <c r="D398" s="2058"/>
      <c r="E398" s="2058"/>
      <c r="F398" s="2058"/>
      <c r="G398" s="2059"/>
      <c r="H398" s="2058"/>
      <c r="I398" s="2058"/>
      <c r="J398" s="2058"/>
      <c r="K398" s="2058"/>
      <c r="L398" s="2058"/>
      <c r="M398" s="2058"/>
      <c r="N398" s="2058"/>
      <c r="O398" s="2058"/>
      <c r="P398" s="2058"/>
      <c r="Q398" s="2058"/>
      <c r="R398" s="2058"/>
      <c r="S398" s="2058"/>
      <c r="T398" s="2058"/>
      <c r="U398" s="2058"/>
      <c r="V398" s="2058"/>
      <c r="W398" s="2058"/>
      <c r="X398" s="2058"/>
      <c r="Y398" s="2058"/>
      <c r="Z398" s="2058"/>
    </row>
    <row r="399" spans="1:26" ht="12" x14ac:dyDescent="0.2">
      <c r="A399" s="2058"/>
      <c r="B399" s="2058"/>
      <c r="C399" s="2058"/>
      <c r="D399" s="2058"/>
      <c r="E399" s="2058"/>
      <c r="F399" s="2058"/>
      <c r="G399" s="2059"/>
      <c r="H399" s="2058"/>
      <c r="I399" s="2058"/>
      <c r="J399" s="2058"/>
      <c r="K399" s="2058"/>
      <c r="L399" s="2058"/>
      <c r="M399" s="2058"/>
      <c r="N399" s="2058"/>
      <c r="O399" s="2058"/>
      <c r="P399" s="2058"/>
      <c r="Q399" s="2058"/>
      <c r="R399" s="2058"/>
      <c r="S399" s="2058"/>
      <c r="T399" s="2058"/>
      <c r="U399" s="2058"/>
      <c r="V399" s="2058"/>
      <c r="W399" s="2058"/>
      <c r="X399" s="2058"/>
      <c r="Y399" s="2058"/>
      <c r="Z399" s="2058"/>
    </row>
    <row r="400" spans="1:26" ht="12" x14ac:dyDescent="0.2">
      <c r="A400" s="2058"/>
      <c r="B400" s="2058"/>
      <c r="C400" s="2058"/>
      <c r="D400" s="2058"/>
      <c r="E400" s="2058"/>
      <c r="F400" s="2058"/>
      <c r="G400" s="2059"/>
      <c r="H400" s="2058"/>
      <c r="I400" s="2058"/>
      <c r="J400" s="2058"/>
      <c r="K400" s="2058"/>
      <c r="L400" s="2058"/>
      <c r="M400" s="2058"/>
      <c r="N400" s="2058"/>
      <c r="O400" s="2058"/>
      <c r="P400" s="2058"/>
      <c r="Q400" s="2058"/>
      <c r="R400" s="2058"/>
      <c r="S400" s="2058"/>
      <c r="T400" s="2058"/>
      <c r="U400" s="2058"/>
      <c r="V400" s="2058"/>
      <c r="W400" s="2058"/>
      <c r="X400" s="2058"/>
      <c r="Y400" s="2058"/>
      <c r="Z400" s="2058"/>
    </row>
    <row r="401" spans="1:26" ht="12" x14ac:dyDescent="0.2">
      <c r="A401" s="2058"/>
      <c r="B401" s="2058"/>
      <c r="C401" s="2058"/>
      <c r="D401" s="2058"/>
      <c r="E401" s="2058"/>
      <c r="F401" s="2058"/>
      <c r="G401" s="2059"/>
      <c r="H401" s="2058"/>
      <c r="I401" s="2058"/>
      <c r="J401" s="2058"/>
      <c r="K401" s="2058"/>
      <c r="L401" s="2058"/>
      <c r="M401" s="2058"/>
      <c r="N401" s="2058"/>
      <c r="O401" s="2058"/>
      <c r="P401" s="2058"/>
      <c r="Q401" s="2058"/>
      <c r="R401" s="2058"/>
      <c r="S401" s="2058"/>
      <c r="T401" s="2058"/>
      <c r="U401" s="2058"/>
      <c r="V401" s="2058"/>
      <c r="W401" s="2058"/>
      <c r="X401" s="2058"/>
      <c r="Y401" s="2058"/>
      <c r="Z401" s="2058"/>
    </row>
    <row r="402" spans="1:26" ht="12" x14ac:dyDescent="0.2">
      <c r="A402" s="2058"/>
      <c r="B402" s="2058"/>
      <c r="C402" s="2058"/>
      <c r="D402" s="2058"/>
      <c r="E402" s="2058"/>
      <c r="F402" s="2058"/>
      <c r="G402" s="2059"/>
      <c r="H402" s="2058"/>
      <c r="I402" s="2058"/>
      <c r="J402" s="2058"/>
      <c r="K402" s="2058"/>
      <c r="L402" s="2058"/>
      <c r="M402" s="2058"/>
      <c r="N402" s="2058"/>
      <c r="O402" s="2058"/>
      <c r="P402" s="2058"/>
      <c r="Q402" s="2058"/>
      <c r="R402" s="2058"/>
      <c r="S402" s="2058"/>
      <c r="T402" s="2058"/>
      <c r="U402" s="2058"/>
      <c r="V402" s="2058"/>
      <c r="W402" s="2058"/>
      <c r="X402" s="2058"/>
      <c r="Y402" s="2058"/>
      <c r="Z402" s="2058"/>
    </row>
    <row r="403" spans="1:26" ht="12" x14ac:dyDescent="0.2">
      <c r="A403" s="2058"/>
      <c r="B403" s="2058"/>
      <c r="C403" s="2058"/>
      <c r="D403" s="2058"/>
      <c r="E403" s="2058"/>
      <c r="F403" s="2058"/>
      <c r="G403" s="2059"/>
      <c r="H403" s="2058"/>
      <c r="I403" s="2058"/>
      <c r="J403" s="2058"/>
      <c r="K403" s="2058"/>
      <c r="L403" s="2058"/>
      <c r="M403" s="2058"/>
      <c r="N403" s="2058"/>
      <c r="O403" s="2058"/>
      <c r="P403" s="2058"/>
      <c r="Q403" s="2058"/>
      <c r="R403" s="2058"/>
      <c r="S403" s="2058"/>
      <c r="T403" s="2058"/>
      <c r="U403" s="2058"/>
      <c r="V403" s="2058"/>
      <c r="W403" s="2058"/>
      <c r="X403" s="2058"/>
      <c r="Y403" s="2058"/>
      <c r="Z403" s="2058"/>
    </row>
    <row r="404" spans="1:26" ht="12" x14ac:dyDescent="0.2">
      <c r="A404" s="2058"/>
      <c r="B404" s="2058"/>
      <c r="C404" s="2058"/>
      <c r="D404" s="2058"/>
      <c r="E404" s="2058"/>
      <c r="F404" s="2058"/>
      <c r="G404" s="2059"/>
      <c r="H404" s="2058"/>
      <c r="I404" s="2058"/>
      <c r="J404" s="2058"/>
      <c r="K404" s="2058"/>
      <c r="L404" s="2058"/>
      <c r="M404" s="2058"/>
      <c r="N404" s="2058"/>
      <c r="O404" s="2058"/>
      <c r="P404" s="2058"/>
      <c r="Q404" s="2058"/>
      <c r="R404" s="2058"/>
      <c r="S404" s="2058"/>
      <c r="T404" s="2058"/>
      <c r="U404" s="2058"/>
      <c r="V404" s="2058"/>
      <c r="W404" s="2058"/>
      <c r="X404" s="2058"/>
      <c r="Y404" s="2058"/>
      <c r="Z404" s="2058"/>
    </row>
    <row r="405" spans="1:26" ht="12" x14ac:dyDescent="0.2">
      <c r="A405" s="2058"/>
      <c r="B405" s="2058"/>
      <c r="C405" s="2058"/>
      <c r="D405" s="2058"/>
      <c r="E405" s="2058"/>
      <c r="F405" s="2058"/>
      <c r="G405" s="2059"/>
      <c r="H405" s="2058"/>
      <c r="I405" s="2058"/>
      <c r="J405" s="2058"/>
      <c r="K405" s="2058"/>
      <c r="L405" s="2058"/>
      <c r="M405" s="2058"/>
      <c r="N405" s="2058"/>
      <c r="O405" s="2058"/>
      <c r="P405" s="2058"/>
      <c r="Q405" s="2058"/>
      <c r="R405" s="2058"/>
      <c r="S405" s="2058"/>
      <c r="T405" s="2058"/>
      <c r="U405" s="2058"/>
      <c r="V405" s="2058"/>
      <c r="W405" s="2058"/>
      <c r="X405" s="2058"/>
      <c r="Y405" s="2058"/>
      <c r="Z405" s="2058"/>
    </row>
    <row r="406" spans="1:26" ht="12" x14ac:dyDescent="0.2">
      <c r="A406" s="2058"/>
      <c r="B406" s="2058"/>
      <c r="C406" s="2058"/>
      <c r="D406" s="2058"/>
      <c r="E406" s="2058"/>
      <c r="F406" s="2058"/>
      <c r="G406" s="2059"/>
      <c r="H406" s="2058"/>
      <c r="I406" s="2058"/>
      <c r="J406" s="2058"/>
      <c r="K406" s="2058"/>
      <c r="L406" s="2058"/>
      <c r="M406" s="2058"/>
      <c r="N406" s="2058"/>
      <c r="O406" s="2058"/>
      <c r="P406" s="2058"/>
      <c r="Q406" s="2058"/>
      <c r="R406" s="2058"/>
      <c r="S406" s="2058"/>
      <c r="T406" s="2058"/>
      <c r="U406" s="2058"/>
      <c r="V406" s="2058"/>
      <c r="W406" s="2058"/>
      <c r="X406" s="2058"/>
      <c r="Y406" s="2058"/>
      <c r="Z406" s="2058"/>
    </row>
    <row r="407" spans="1:26" ht="12" x14ac:dyDescent="0.2">
      <c r="A407" s="2058"/>
      <c r="B407" s="2058"/>
      <c r="C407" s="2058"/>
      <c r="D407" s="2058"/>
      <c r="E407" s="2058"/>
      <c r="F407" s="2058"/>
      <c r="G407" s="2059"/>
      <c r="H407" s="2058"/>
      <c r="I407" s="2058"/>
      <c r="J407" s="2058"/>
      <c r="K407" s="2058"/>
      <c r="L407" s="2058"/>
      <c r="M407" s="2058"/>
      <c r="N407" s="2058"/>
      <c r="O407" s="2058"/>
      <c r="P407" s="2058"/>
      <c r="Q407" s="2058"/>
      <c r="R407" s="2058"/>
      <c r="S407" s="2058"/>
      <c r="T407" s="2058"/>
      <c r="U407" s="2058"/>
      <c r="V407" s="2058"/>
      <c r="W407" s="2058"/>
      <c r="X407" s="2058"/>
      <c r="Y407" s="2058"/>
      <c r="Z407" s="2058"/>
    </row>
    <row r="408" spans="1:26" ht="12" x14ac:dyDescent="0.2">
      <c r="A408" s="2058"/>
      <c r="B408" s="2058"/>
      <c r="C408" s="2058"/>
      <c r="D408" s="2058"/>
      <c r="E408" s="2058"/>
      <c r="F408" s="2058"/>
      <c r="G408" s="2059"/>
      <c r="H408" s="2058"/>
      <c r="I408" s="2058"/>
      <c r="J408" s="2058"/>
      <c r="K408" s="2058"/>
      <c r="L408" s="2058"/>
      <c r="M408" s="2058"/>
      <c r="N408" s="2058"/>
      <c r="O408" s="2058"/>
      <c r="P408" s="2058"/>
      <c r="Q408" s="2058"/>
      <c r="R408" s="2058"/>
      <c r="S408" s="2058"/>
      <c r="T408" s="2058"/>
      <c r="U408" s="2058"/>
      <c r="V408" s="2058"/>
      <c r="W408" s="2058"/>
      <c r="X408" s="2058"/>
      <c r="Y408" s="2058"/>
      <c r="Z408" s="2058"/>
    </row>
    <row r="409" spans="1:26" ht="12" x14ac:dyDescent="0.2">
      <c r="A409" s="2058"/>
      <c r="B409" s="2058"/>
      <c r="C409" s="2058"/>
      <c r="D409" s="2058"/>
      <c r="E409" s="2058"/>
      <c r="F409" s="2058"/>
      <c r="G409" s="2059"/>
      <c r="H409" s="2058"/>
      <c r="I409" s="2058"/>
      <c r="J409" s="2058"/>
      <c r="K409" s="2058"/>
      <c r="L409" s="2058"/>
      <c r="M409" s="2058"/>
      <c r="N409" s="2058"/>
      <c r="O409" s="2058"/>
      <c r="P409" s="2058"/>
      <c r="Q409" s="2058"/>
      <c r="R409" s="2058"/>
      <c r="S409" s="2058"/>
      <c r="T409" s="2058"/>
      <c r="U409" s="2058"/>
      <c r="V409" s="2058"/>
      <c r="W409" s="2058"/>
      <c r="X409" s="2058"/>
      <c r="Y409" s="2058"/>
      <c r="Z409" s="2058"/>
    </row>
    <row r="410" spans="1:26" ht="12" x14ac:dyDescent="0.2">
      <c r="A410" s="2058"/>
      <c r="B410" s="2058"/>
      <c r="C410" s="2058"/>
      <c r="D410" s="2058"/>
      <c r="E410" s="2058"/>
      <c r="F410" s="2058"/>
      <c r="G410" s="2059"/>
      <c r="H410" s="2058"/>
      <c r="I410" s="2058"/>
      <c r="J410" s="2058"/>
      <c r="K410" s="2058"/>
      <c r="L410" s="2058"/>
      <c r="M410" s="2058"/>
      <c r="N410" s="2058"/>
      <c r="O410" s="2058"/>
      <c r="P410" s="2058"/>
      <c r="Q410" s="2058"/>
      <c r="R410" s="2058"/>
      <c r="S410" s="2058"/>
      <c r="T410" s="2058"/>
      <c r="U410" s="2058"/>
      <c r="V410" s="2058"/>
      <c r="W410" s="2058"/>
      <c r="X410" s="2058"/>
      <c r="Y410" s="2058"/>
      <c r="Z410" s="2058"/>
    </row>
    <row r="411" spans="1:26" ht="12" x14ac:dyDescent="0.2">
      <c r="A411" s="2058"/>
      <c r="B411" s="2058"/>
      <c r="C411" s="2058"/>
      <c r="D411" s="2058"/>
      <c r="E411" s="2058"/>
      <c r="F411" s="2058"/>
      <c r="G411" s="2059"/>
      <c r="H411" s="2058"/>
      <c r="I411" s="2058"/>
      <c r="J411" s="2058"/>
      <c r="K411" s="2058"/>
      <c r="L411" s="2058"/>
      <c r="M411" s="2058"/>
      <c r="N411" s="2058"/>
      <c r="O411" s="2058"/>
      <c r="P411" s="2058"/>
      <c r="Q411" s="2058"/>
      <c r="R411" s="2058"/>
      <c r="S411" s="2058"/>
      <c r="T411" s="2058"/>
      <c r="U411" s="2058"/>
      <c r="V411" s="2058"/>
      <c r="W411" s="2058"/>
      <c r="X411" s="2058"/>
      <c r="Y411" s="2058"/>
      <c r="Z411" s="2058"/>
    </row>
    <row r="412" spans="1:26" ht="12" x14ac:dyDescent="0.2">
      <c r="A412" s="2058"/>
      <c r="B412" s="2058"/>
      <c r="C412" s="2058"/>
      <c r="D412" s="2058"/>
      <c r="E412" s="2058"/>
      <c r="F412" s="2058"/>
      <c r="G412" s="2059"/>
      <c r="H412" s="2058"/>
      <c r="I412" s="2058"/>
      <c r="J412" s="2058"/>
      <c r="K412" s="2058"/>
      <c r="L412" s="2058"/>
      <c r="M412" s="2058"/>
      <c r="N412" s="2058"/>
      <c r="O412" s="2058"/>
      <c r="P412" s="2058"/>
      <c r="Q412" s="2058"/>
      <c r="R412" s="2058"/>
      <c r="S412" s="2058"/>
      <c r="T412" s="2058"/>
      <c r="U412" s="2058"/>
      <c r="V412" s="2058"/>
      <c r="W412" s="2058"/>
      <c r="X412" s="2058"/>
      <c r="Y412" s="2058"/>
      <c r="Z412" s="2058"/>
    </row>
    <row r="413" spans="1:26" ht="12" x14ac:dyDescent="0.2">
      <c r="A413" s="2058"/>
      <c r="B413" s="2058"/>
      <c r="C413" s="2058"/>
      <c r="D413" s="2058"/>
      <c r="E413" s="2058"/>
      <c r="F413" s="2058"/>
      <c r="G413" s="2059"/>
      <c r="H413" s="2058"/>
      <c r="I413" s="2058"/>
      <c r="J413" s="2058"/>
      <c r="K413" s="2058"/>
      <c r="L413" s="2058"/>
      <c r="M413" s="2058"/>
      <c r="N413" s="2058"/>
      <c r="O413" s="2058"/>
      <c r="P413" s="2058"/>
      <c r="Q413" s="2058"/>
      <c r="R413" s="2058"/>
      <c r="S413" s="2058"/>
      <c r="T413" s="2058"/>
      <c r="U413" s="2058"/>
      <c r="V413" s="2058"/>
      <c r="W413" s="2058"/>
      <c r="X413" s="2058"/>
      <c r="Y413" s="2058"/>
      <c r="Z413" s="2058"/>
    </row>
    <row r="414" spans="1:26" ht="12" x14ac:dyDescent="0.2">
      <c r="A414" s="2058"/>
      <c r="B414" s="2058"/>
      <c r="C414" s="2058"/>
      <c r="D414" s="2058"/>
      <c r="E414" s="2058"/>
      <c r="F414" s="2058"/>
      <c r="G414" s="2059"/>
      <c r="H414" s="2058"/>
      <c r="I414" s="2058"/>
      <c r="J414" s="2058"/>
      <c r="K414" s="2058"/>
      <c r="L414" s="2058"/>
      <c r="M414" s="2058"/>
      <c r="N414" s="2058"/>
      <c r="O414" s="2058"/>
      <c r="P414" s="2058"/>
      <c r="Q414" s="2058"/>
      <c r="R414" s="2058"/>
      <c r="S414" s="2058"/>
      <c r="T414" s="2058"/>
      <c r="U414" s="2058"/>
      <c r="V414" s="2058"/>
      <c r="W414" s="2058"/>
      <c r="X414" s="2058"/>
      <c r="Y414" s="2058"/>
      <c r="Z414" s="2058"/>
    </row>
    <row r="415" spans="1:26" ht="12" x14ac:dyDescent="0.2">
      <c r="A415" s="2058"/>
      <c r="B415" s="2058"/>
      <c r="C415" s="2058"/>
      <c r="D415" s="2058"/>
      <c r="E415" s="2058"/>
      <c r="F415" s="2058"/>
      <c r="G415" s="2059"/>
      <c r="H415" s="2058"/>
      <c r="I415" s="2058"/>
      <c r="J415" s="2058"/>
      <c r="K415" s="2058"/>
      <c r="L415" s="2058"/>
      <c r="M415" s="2058"/>
      <c r="N415" s="2058"/>
      <c r="O415" s="2058"/>
      <c r="P415" s="2058"/>
      <c r="Q415" s="2058"/>
      <c r="R415" s="2058"/>
      <c r="S415" s="2058"/>
      <c r="T415" s="2058"/>
      <c r="U415" s="2058"/>
      <c r="V415" s="2058"/>
      <c r="W415" s="2058"/>
      <c r="X415" s="2058"/>
      <c r="Y415" s="2058"/>
      <c r="Z415" s="2058"/>
    </row>
    <row r="416" spans="1:26" ht="12" x14ac:dyDescent="0.2">
      <c r="A416" s="2058"/>
      <c r="B416" s="2058"/>
      <c r="C416" s="2058"/>
      <c r="D416" s="2058"/>
      <c r="E416" s="2058"/>
      <c r="F416" s="2058"/>
      <c r="G416" s="2059"/>
      <c r="H416" s="2058"/>
      <c r="I416" s="2058"/>
      <c r="J416" s="2058"/>
      <c r="K416" s="2058"/>
      <c r="L416" s="2058"/>
      <c r="M416" s="2058"/>
      <c r="N416" s="2058"/>
      <c r="O416" s="2058"/>
      <c r="P416" s="2058"/>
      <c r="Q416" s="2058"/>
      <c r="R416" s="2058"/>
      <c r="S416" s="2058"/>
      <c r="T416" s="2058"/>
      <c r="U416" s="2058"/>
      <c r="V416" s="2058"/>
      <c r="W416" s="2058"/>
      <c r="X416" s="2058"/>
      <c r="Y416" s="2058"/>
      <c r="Z416" s="2058"/>
    </row>
    <row r="417" spans="1:26" ht="12" x14ac:dyDescent="0.2">
      <c r="A417" s="2058"/>
      <c r="B417" s="2058"/>
      <c r="C417" s="2058"/>
      <c r="D417" s="2058"/>
      <c r="E417" s="2058"/>
      <c r="F417" s="2058"/>
      <c r="G417" s="2059"/>
      <c r="H417" s="2058"/>
      <c r="I417" s="2058"/>
      <c r="J417" s="2058"/>
      <c r="K417" s="2058"/>
      <c r="L417" s="2058"/>
      <c r="M417" s="2058"/>
      <c r="N417" s="2058"/>
      <c r="O417" s="2058"/>
      <c r="P417" s="2058"/>
      <c r="Q417" s="2058"/>
      <c r="R417" s="2058"/>
      <c r="S417" s="2058"/>
      <c r="T417" s="2058"/>
      <c r="U417" s="2058"/>
      <c r="V417" s="2058"/>
      <c r="W417" s="2058"/>
      <c r="X417" s="2058"/>
      <c r="Y417" s="2058"/>
      <c r="Z417" s="2058"/>
    </row>
    <row r="418" spans="1:26" ht="12" x14ac:dyDescent="0.2">
      <c r="A418" s="2058"/>
      <c r="B418" s="2058"/>
      <c r="C418" s="2058"/>
      <c r="D418" s="2058"/>
      <c r="E418" s="2058"/>
      <c r="F418" s="2058"/>
      <c r="G418" s="2059"/>
      <c r="H418" s="2058"/>
      <c r="I418" s="2058"/>
      <c r="J418" s="2058"/>
      <c r="K418" s="2058"/>
      <c r="L418" s="2058"/>
      <c r="M418" s="2058"/>
      <c r="N418" s="2058"/>
      <c r="O418" s="2058"/>
      <c r="P418" s="2058"/>
      <c r="Q418" s="2058"/>
      <c r="R418" s="2058"/>
      <c r="S418" s="2058"/>
      <c r="T418" s="2058"/>
      <c r="U418" s="2058"/>
      <c r="V418" s="2058"/>
      <c r="W418" s="2058"/>
      <c r="X418" s="2058"/>
      <c r="Y418" s="2058"/>
      <c r="Z418" s="2058"/>
    </row>
    <row r="419" spans="1:26" ht="12" x14ac:dyDescent="0.2">
      <c r="A419" s="2058"/>
      <c r="B419" s="2058"/>
      <c r="C419" s="2058"/>
      <c r="D419" s="2058"/>
      <c r="E419" s="2058"/>
      <c r="F419" s="2058"/>
      <c r="G419" s="2059"/>
      <c r="H419" s="2058"/>
      <c r="I419" s="2058"/>
      <c r="J419" s="2058"/>
      <c r="K419" s="2058"/>
      <c r="L419" s="2058"/>
      <c r="M419" s="2058"/>
      <c r="N419" s="2058"/>
      <c r="O419" s="2058"/>
      <c r="P419" s="2058"/>
      <c r="Q419" s="2058"/>
      <c r="R419" s="2058"/>
      <c r="S419" s="2058"/>
      <c r="T419" s="2058"/>
      <c r="U419" s="2058"/>
      <c r="V419" s="2058"/>
      <c r="W419" s="2058"/>
      <c r="X419" s="2058"/>
      <c r="Y419" s="2058"/>
      <c r="Z419" s="2058"/>
    </row>
    <row r="420" spans="1:26" ht="12" x14ac:dyDescent="0.2">
      <c r="A420" s="2058"/>
      <c r="B420" s="2058"/>
      <c r="C420" s="2058"/>
      <c r="D420" s="2058"/>
      <c r="E420" s="2058"/>
      <c r="F420" s="2058"/>
      <c r="G420" s="2059"/>
      <c r="H420" s="2058"/>
      <c r="I420" s="2058"/>
      <c r="J420" s="2058"/>
      <c r="K420" s="2058"/>
      <c r="L420" s="2058"/>
      <c r="M420" s="2058"/>
      <c r="N420" s="2058"/>
      <c r="O420" s="2058"/>
      <c r="P420" s="2058"/>
      <c r="Q420" s="2058"/>
      <c r="R420" s="2058"/>
      <c r="S420" s="2058"/>
      <c r="T420" s="2058"/>
      <c r="U420" s="2058"/>
      <c r="V420" s="2058"/>
      <c r="W420" s="2058"/>
      <c r="X420" s="2058"/>
      <c r="Y420" s="2058"/>
      <c r="Z420" s="2058"/>
    </row>
    <row r="421" spans="1:26" ht="12" x14ac:dyDescent="0.2">
      <c r="A421" s="2058"/>
      <c r="B421" s="2058"/>
      <c r="C421" s="2058"/>
      <c r="D421" s="2058"/>
      <c r="E421" s="2058"/>
      <c r="F421" s="2058"/>
      <c r="G421" s="2059"/>
      <c r="H421" s="2058"/>
      <c r="I421" s="2058"/>
      <c r="J421" s="2058"/>
      <c r="K421" s="2058"/>
      <c r="L421" s="2058"/>
      <c r="M421" s="2058"/>
      <c r="N421" s="2058"/>
      <c r="O421" s="2058"/>
      <c r="P421" s="2058"/>
      <c r="Q421" s="2058"/>
      <c r="R421" s="2058"/>
      <c r="S421" s="2058"/>
      <c r="T421" s="2058"/>
      <c r="U421" s="2058"/>
      <c r="V421" s="2058"/>
      <c r="W421" s="2058"/>
      <c r="X421" s="2058"/>
      <c r="Y421" s="2058"/>
      <c r="Z421" s="2058"/>
    </row>
    <row r="422" spans="1:26" ht="12" x14ac:dyDescent="0.2">
      <c r="A422" s="2058"/>
      <c r="B422" s="2058"/>
      <c r="C422" s="2058"/>
      <c r="D422" s="2058"/>
      <c r="E422" s="2058"/>
      <c r="F422" s="2058"/>
      <c r="G422" s="2059"/>
      <c r="H422" s="2058"/>
      <c r="I422" s="2058"/>
      <c r="J422" s="2058"/>
      <c r="K422" s="2058"/>
      <c r="L422" s="2058"/>
      <c r="M422" s="2058"/>
      <c r="N422" s="2058"/>
      <c r="O422" s="2058"/>
      <c r="P422" s="2058"/>
      <c r="Q422" s="2058"/>
      <c r="R422" s="2058"/>
      <c r="S422" s="2058"/>
      <c r="T422" s="2058"/>
      <c r="U422" s="2058"/>
      <c r="V422" s="2058"/>
      <c r="W422" s="2058"/>
      <c r="X422" s="2058"/>
      <c r="Y422" s="2058"/>
      <c r="Z422" s="2058"/>
    </row>
    <row r="423" spans="1:26" ht="12" x14ac:dyDescent="0.2">
      <c r="A423" s="2058"/>
      <c r="B423" s="2058"/>
      <c r="C423" s="2058"/>
      <c r="D423" s="2058"/>
      <c r="E423" s="2058"/>
      <c r="F423" s="2058"/>
      <c r="G423" s="2059"/>
      <c r="H423" s="2058"/>
      <c r="I423" s="2058"/>
      <c r="J423" s="2058"/>
      <c r="K423" s="2058"/>
      <c r="L423" s="2058"/>
      <c r="M423" s="2058"/>
      <c r="N423" s="2058"/>
      <c r="O423" s="2058"/>
      <c r="P423" s="2058"/>
      <c r="Q423" s="2058"/>
      <c r="R423" s="2058"/>
      <c r="S423" s="2058"/>
      <c r="T423" s="2058"/>
      <c r="U423" s="2058"/>
      <c r="V423" s="2058"/>
      <c r="W423" s="2058"/>
      <c r="X423" s="2058"/>
      <c r="Y423" s="2058"/>
      <c r="Z423" s="2058"/>
    </row>
    <row r="424" spans="1:26" ht="12" x14ac:dyDescent="0.2">
      <c r="A424" s="2058"/>
      <c r="B424" s="2058"/>
      <c r="C424" s="2058"/>
      <c r="D424" s="2058"/>
      <c r="E424" s="2058"/>
      <c r="F424" s="2058"/>
      <c r="G424" s="2059"/>
      <c r="H424" s="2058"/>
      <c r="I424" s="2058"/>
      <c r="J424" s="2058"/>
      <c r="K424" s="2058"/>
      <c r="L424" s="2058"/>
      <c r="M424" s="2058"/>
      <c r="N424" s="2058"/>
      <c r="O424" s="2058"/>
      <c r="P424" s="2058"/>
      <c r="Q424" s="2058"/>
      <c r="R424" s="2058"/>
      <c r="S424" s="2058"/>
      <c r="T424" s="2058"/>
      <c r="U424" s="2058"/>
      <c r="V424" s="2058"/>
      <c r="W424" s="2058"/>
      <c r="X424" s="2058"/>
      <c r="Y424" s="2058"/>
      <c r="Z424" s="2058"/>
    </row>
    <row r="425" spans="1:26" ht="12" x14ac:dyDescent="0.2">
      <c r="A425" s="2058"/>
      <c r="B425" s="2058"/>
      <c r="C425" s="2058"/>
      <c r="D425" s="2058"/>
      <c r="E425" s="2058"/>
      <c r="F425" s="2058"/>
      <c r="G425" s="2059"/>
      <c r="H425" s="2058"/>
      <c r="I425" s="2058"/>
      <c r="J425" s="2058"/>
      <c r="K425" s="2058"/>
      <c r="L425" s="2058"/>
      <c r="M425" s="2058"/>
      <c r="N425" s="2058"/>
      <c r="O425" s="2058"/>
      <c r="P425" s="2058"/>
      <c r="Q425" s="2058"/>
      <c r="R425" s="2058"/>
      <c r="S425" s="2058"/>
      <c r="T425" s="2058"/>
      <c r="U425" s="2058"/>
      <c r="V425" s="2058"/>
      <c r="W425" s="2058"/>
      <c r="X425" s="2058"/>
      <c r="Y425" s="2058"/>
      <c r="Z425" s="2058"/>
    </row>
    <row r="426" spans="1:26" ht="12" x14ac:dyDescent="0.2">
      <c r="A426" s="2058"/>
      <c r="B426" s="2058"/>
      <c r="C426" s="2058"/>
      <c r="D426" s="2058"/>
      <c r="E426" s="2058"/>
      <c r="F426" s="2058"/>
      <c r="G426" s="2059"/>
      <c r="H426" s="2058"/>
      <c r="I426" s="2058"/>
      <c r="J426" s="2058"/>
      <c r="K426" s="2058"/>
      <c r="L426" s="2058"/>
      <c r="M426" s="2058"/>
      <c r="N426" s="2058"/>
      <c r="O426" s="2058"/>
      <c r="P426" s="2058"/>
      <c r="Q426" s="2058"/>
      <c r="R426" s="2058"/>
      <c r="S426" s="2058"/>
      <c r="T426" s="2058"/>
      <c r="U426" s="2058"/>
      <c r="V426" s="2058"/>
      <c r="W426" s="2058"/>
      <c r="X426" s="2058"/>
      <c r="Y426" s="2058"/>
      <c r="Z426" s="2058"/>
    </row>
    <row r="427" spans="1:26" ht="12" x14ac:dyDescent="0.2">
      <c r="A427" s="2058"/>
      <c r="B427" s="2058"/>
      <c r="C427" s="2058"/>
      <c r="D427" s="2058"/>
      <c r="E427" s="2058"/>
      <c r="F427" s="2058"/>
      <c r="G427" s="2059"/>
      <c r="H427" s="2058"/>
      <c r="I427" s="2058"/>
      <c r="J427" s="2058"/>
      <c r="K427" s="2058"/>
      <c r="L427" s="2058"/>
      <c r="M427" s="2058"/>
      <c r="N427" s="2058"/>
      <c r="O427" s="2058"/>
      <c r="P427" s="2058"/>
      <c r="Q427" s="2058"/>
      <c r="R427" s="2058"/>
      <c r="S427" s="2058"/>
      <c r="T427" s="2058"/>
      <c r="U427" s="2058"/>
      <c r="V427" s="2058"/>
      <c r="W427" s="2058"/>
      <c r="X427" s="2058"/>
      <c r="Y427" s="2058"/>
      <c r="Z427" s="2058"/>
    </row>
    <row r="428" spans="1:26" ht="12" x14ac:dyDescent="0.2">
      <c r="A428" s="2058"/>
      <c r="B428" s="2058"/>
      <c r="C428" s="2058"/>
      <c r="D428" s="2058"/>
      <c r="E428" s="2058"/>
      <c r="F428" s="2058"/>
      <c r="G428" s="2059"/>
      <c r="H428" s="2058"/>
      <c r="I428" s="2058"/>
      <c r="J428" s="2058"/>
      <c r="K428" s="2058"/>
      <c r="L428" s="2058"/>
      <c r="M428" s="2058"/>
      <c r="N428" s="2058"/>
      <c r="O428" s="2058"/>
      <c r="P428" s="2058"/>
      <c r="Q428" s="2058"/>
      <c r="R428" s="2058"/>
      <c r="S428" s="2058"/>
      <c r="T428" s="2058"/>
      <c r="U428" s="2058"/>
      <c r="V428" s="2058"/>
      <c r="W428" s="2058"/>
      <c r="X428" s="2058"/>
      <c r="Y428" s="2058"/>
      <c r="Z428" s="2058"/>
    </row>
    <row r="429" spans="1:26" ht="12" x14ac:dyDescent="0.2">
      <c r="A429" s="2058"/>
      <c r="B429" s="2058"/>
      <c r="C429" s="2058"/>
      <c r="D429" s="2058"/>
      <c r="E429" s="2058"/>
      <c r="F429" s="2058"/>
      <c r="G429" s="2059"/>
      <c r="H429" s="2058"/>
      <c r="I429" s="2058"/>
      <c r="J429" s="2058"/>
      <c r="K429" s="2058"/>
      <c r="L429" s="2058"/>
      <c r="M429" s="2058"/>
      <c r="N429" s="2058"/>
      <c r="O429" s="2058"/>
      <c r="P429" s="2058"/>
      <c r="Q429" s="2058"/>
      <c r="R429" s="2058"/>
      <c r="S429" s="2058"/>
      <c r="T429" s="2058"/>
      <c r="U429" s="2058"/>
      <c r="V429" s="2058"/>
      <c r="W429" s="2058"/>
      <c r="X429" s="2058"/>
      <c r="Y429" s="2058"/>
      <c r="Z429" s="2058"/>
    </row>
    <row r="430" spans="1:26" ht="12" x14ac:dyDescent="0.2">
      <c r="A430" s="2058"/>
      <c r="B430" s="2058"/>
      <c r="C430" s="2058"/>
      <c r="D430" s="2058"/>
      <c r="E430" s="2058"/>
      <c r="F430" s="2058"/>
      <c r="G430" s="2059"/>
      <c r="H430" s="2058"/>
      <c r="I430" s="2058"/>
      <c r="J430" s="2058"/>
      <c r="K430" s="2058"/>
      <c r="L430" s="2058"/>
      <c r="M430" s="2058"/>
      <c r="N430" s="2058"/>
      <c r="O430" s="2058"/>
      <c r="P430" s="2058"/>
      <c r="Q430" s="2058"/>
      <c r="R430" s="2058"/>
      <c r="S430" s="2058"/>
      <c r="T430" s="2058"/>
      <c r="U430" s="2058"/>
      <c r="V430" s="2058"/>
      <c r="W430" s="2058"/>
      <c r="X430" s="2058"/>
      <c r="Y430" s="2058"/>
      <c r="Z430" s="2058"/>
    </row>
    <row r="431" spans="1:26" ht="12" x14ac:dyDescent="0.2">
      <c r="A431" s="2058"/>
      <c r="B431" s="2058"/>
      <c r="C431" s="2058"/>
      <c r="D431" s="2058"/>
      <c r="E431" s="2058"/>
      <c r="F431" s="2058"/>
      <c r="G431" s="2059"/>
      <c r="H431" s="2058"/>
      <c r="I431" s="2058"/>
      <c r="J431" s="2058"/>
      <c r="K431" s="2058"/>
      <c r="L431" s="2058"/>
      <c r="M431" s="2058"/>
      <c r="N431" s="2058"/>
      <c r="O431" s="2058"/>
      <c r="P431" s="2058"/>
      <c r="Q431" s="2058"/>
      <c r="R431" s="2058"/>
      <c r="S431" s="2058"/>
      <c r="T431" s="2058"/>
      <c r="U431" s="2058"/>
      <c r="V431" s="2058"/>
      <c r="W431" s="2058"/>
      <c r="X431" s="2058"/>
      <c r="Y431" s="2058"/>
      <c r="Z431" s="2058"/>
    </row>
    <row r="432" spans="1:26" ht="12" x14ac:dyDescent="0.2">
      <c r="A432" s="2058"/>
      <c r="B432" s="2058"/>
      <c r="C432" s="2058"/>
      <c r="D432" s="2058"/>
      <c r="E432" s="2058"/>
      <c r="F432" s="2058"/>
      <c r="G432" s="2059"/>
      <c r="H432" s="2058"/>
      <c r="I432" s="2058"/>
      <c r="J432" s="2058"/>
      <c r="K432" s="2058"/>
      <c r="L432" s="2058"/>
      <c r="M432" s="2058"/>
      <c r="N432" s="2058"/>
      <c r="O432" s="2058"/>
      <c r="P432" s="2058"/>
      <c r="Q432" s="2058"/>
      <c r="R432" s="2058"/>
      <c r="S432" s="2058"/>
      <c r="T432" s="2058"/>
      <c r="U432" s="2058"/>
      <c r="V432" s="2058"/>
      <c r="W432" s="2058"/>
      <c r="X432" s="2058"/>
      <c r="Y432" s="2058"/>
      <c r="Z432" s="2058"/>
    </row>
    <row r="433" spans="1:26" ht="12" x14ac:dyDescent="0.2">
      <c r="A433" s="2058"/>
      <c r="B433" s="2058"/>
      <c r="C433" s="2058"/>
      <c r="D433" s="2058"/>
      <c r="E433" s="2058"/>
      <c r="F433" s="2058"/>
      <c r="G433" s="2059"/>
      <c r="H433" s="2058"/>
      <c r="I433" s="2058"/>
      <c r="J433" s="2058"/>
      <c r="K433" s="2058"/>
      <c r="L433" s="2058"/>
      <c r="M433" s="2058"/>
      <c r="N433" s="2058"/>
      <c r="O433" s="2058"/>
      <c r="P433" s="2058"/>
      <c r="Q433" s="2058"/>
      <c r="R433" s="2058"/>
      <c r="S433" s="2058"/>
      <c r="T433" s="2058"/>
      <c r="U433" s="2058"/>
      <c r="V433" s="2058"/>
      <c r="W433" s="2058"/>
      <c r="X433" s="2058"/>
      <c r="Y433" s="2058"/>
      <c r="Z433" s="2058"/>
    </row>
    <row r="434" spans="1:26" ht="12" x14ac:dyDescent="0.2">
      <c r="A434" s="2058"/>
      <c r="B434" s="2058"/>
      <c r="C434" s="2058"/>
      <c r="D434" s="2058"/>
      <c r="E434" s="2058"/>
      <c r="F434" s="2058"/>
      <c r="G434" s="2059"/>
      <c r="H434" s="2058"/>
      <c r="I434" s="2058"/>
      <c r="J434" s="2058"/>
      <c r="K434" s="2058"/>
      <c r="L434" s="2058"/>
      <c r="M434" s="2058"/>
      <c r="N434" s="2058"/>
      <c r="O434" s="2058"/>
      <c r="P434" s="2058"/>
      <c r="Q434" s="2058"/>
      <c r="R434" s="2058"/>
      <c r="S434" s="2058"/>
      <c r="T434" s="2058"/>
      <c r="U434" s="2058"/>
      <c r="V434" s="2058"/>
      <c r="W434" s="2058"/>
      <c r="X434" s="2058"/>
      <c r="Y434" s="2058"/>
      <c r="Z434" s="2058"/>
    </row>
    <row r="435" spans="1:26" ht="12" x14ac:dyDescent="0.2">
      <c r="A435" s="2058"/>
      <c r="B435" s="2058"/>
      <c r="C435" s="2058"/>
      <c r="D435" s="2058"/>
      <c r="E435" s="2058"/>
      <c r="F435" s="2058"/>
      <c r="G435" s="2059"/>
      <c r="H435" s="2058"/>
      <c r="I435" s="2058"/>
      <c r="J435" s="2058"/>
      <c r="K435" s="2058"/>
      <c r="L435" s="2058"/>
      <c r="M435" s="2058"/>
      <c r="N435" s="2058"/>
      <c r="O435" s="2058"/>
      <c r="P435" s="2058"/>
      <c r="Q435" s="2058"/>
      <c r="R435" s="2058"/>
      <c r="S435" s="2058"/>
      <c r="T435" s="2058"/>
      <c r="U435" s="2058"/>
      <c r="V435" s="2058"/>
      <c r="W435" s="2058"/>
      <c r="X435" s="2058"/>
      <c r="Y435" s="2058"/>
      <c r="Z435" s="2058"/>
    </row>
    <row r="436" spans="1:26" ht="12" x14ac:dyDescent="0.2">
      <c r="A436" s="2058"/>
      <c r="B436" s="2058"/>
      <c r="C436" s="2058"/>
      <c r="D436" s="2058"/>
      <c r="E436" s="2058"/>
      <c r="F436" s="2058"/>
      <c r="G436" s="2059"/>
      <c r="H436" s="2058"/>
      <c r="I436" s="2058"/>
      <c r="J436" s="2058"/>
      <c r="K436" s="2058"/>
      <c r="L436" s="2058"/>
      <c r="M436" s="2058"/>
      <c r="N436" s="2058"/>
      <c r="O436" s="2058"/>
      <c r="P436" s="2058"/>
      <c r="Q436" s="2058"/>
      <c r="R436" s="2058"/>
      <c r="S436" s="2058"/>
      <c r="T436" s="2058"/>
      <c r="U436" s="2058"/>
      <c r="V436" s="2058"/>
      <c r="W436" s="2058"/>
      <c r="X436" s="2058"/>
      <c r="Y436" s="2058"/>
      <c r="Z436" s="2058"/>
    </row>
    <row r="437" spans="1:26" ht="12" x14ac:dyDescent="0.2">
      <c r="A437" s="2058"/>
      <c r="B437" s="2058"/>
      <c r="C437" s="2058"/>
      <c r="D437" s="2058"/>
      <c r="E437" s="2058"/>
      <c r="F437" s="2058"/>
      <c r="G437" s="2059"/>
      <c r="H437" s="2058"/>
      <c r="I437" s="2058"/>
      <c r="J437" s="2058"/>
      <c r="K437" s="2058"/>
      <c r="L437" s="2058"/>
      <c r="M437" s="2058"/>
      <c r="N437" s="2058"/>
      <c r="O437" s="2058"/>
      <c r="P437" s="2058"/>
      <c r="Q437" s="2058"/>
      <c r="R437" s="2058"/>
      <c r="S437" s="2058"/>
      <c r="T437" s="2058"/>
      <c r="U437" s="2058"/>
      <c r="V437" s="2058"/>
      <c r="W437" s="2058"/>
      <c r="X437" s="2058"/>
      <c r="Y437" s="2058"/>
      <c r="Z437" s="2058"/>
    </row>
    <row r="438" spans="1:26" ht="12" x14ac:dyDescent="0.2">
      <c r="A438" s="2058"/>
      <c r="B438" s="2058"/>
      <c r="C438" s="2058"/>
      <c r="D438" s="2058"/>
      <c r="E438" s="2058"/>
      <c r="F438" s="2058"/>
      <c r="G438" s="2059"/>
      <c r="H438" s="2058"/>
      <c r="I438" s="2058"/>
      <c r="J438" s="2058"/>
      <c r="K438" s="2058"/>
      <c r="L438" s="2058"/>
      <c r="M438" s="2058"/>
      <c r="N438" s="2058"/>
      <c r="O438" s="2058"/>
      <c r="P438" s="2058"/>
      <c r="Q438" s="2058"/>
      <c r="R438" s="2058"/>
      <c r="S438" s="2058"/>
      <c r="T438" s="2058"/>
      <c r="U438" s="2058"/>
      <c r="V438" s="2058"/>
      <c r="W438" s="2058"/>
      <c r="X438" s="2058"/>
      <c r="Y438" s="2058"/>
      <c r="Z438" s="2058"/>
    </row>
    <row r="439" spans="1:26" ht="12" x14ac:dyDescent="0.2">
      <c r="A439" s="2058"/>
      <c r="B439" s="2058"/>
      <c r="C439" s="2058"/>
      <c r="D439" s="2058"/>
      <c r="E439" s="2058"/>
      <c r="F439" s="2058"/>
      <c r="G439" s="2059"/>
      <c r="H439" s="2058"/>
      <c r="I439" s="2058"/>
      <c r="J439" s="2058"/>
      <c r="K439" s="2058"/>
      <c r="L439" s="2058"/>
      <c r="M439" s="2058"/>
      <c r="N439" s="2058"/>
      <c r="O439" s="2058"/>
      <c r="P439" s="2058"/>
      <c r="Q439" s="2058"/>
      <c r="R439" s="2058"/>
      <c r="S439" s="2058"/>
      <c r="T439" s="2058"/>
      <c r="U439" s="2058"/>
      <c r="V439" s="2058"/>
      <c r="W439" s="2058"/>
      <c r="X439" s="2058"/>
      <c r="Y439" s="2058"/>
      <c r="Z439" s="2058"/>
    </row>
    <row r="440" spans="1:26" ht="12" x14ac:dyDescent="0.2">
      <c r="A440" s="2058"/>
      <c r="B440" s="2058"/>
      <c r="C440" s="2058"/>
      <c r="D440" s="2058"/>
      <c r="E440" s="2058"/>
      <c r="F440" s="2058"/>
      <c r="G440" s="2059"/>
      <c r="H440" s="2058"/>
      <c r="I440" s="2058"/>
      <c r="J440" s="2058"/>
      <c r="K440" s="2058"/>
      <c r="L440" s="2058"/>
      <c r="M440" s="2058"/>
      <c r="N440" s="2058"/>
      <c r="O440" s="2058"/>
      <c r="P440" s="2058"/>
      <c r="Q440" s="2058"/>
      <c r="R440" s="2058"/>
      <c r="S440" s="2058"/>
      <c r="T440" s="2058"/>
      <c r="U440" s="2058"/>
      <c r="V440" s="2058"/>
      <c r="W440" s="2058"/>
      <c r="X440" s="2058"/>
      <c r="Y440" s="2058"/>
      <c r="Z440" s="2058"/>
    </row>
    <row r="441" spans="1:26" ht="12" x14ac:dyDescent="0.2">
      <c r="A441" s="2058"/>
      <c r="B441" s="2058"/>
      <c r="C441" s="2058"/>
      <c r="D441" s="2058"/>
      <c r="E441" s="2058"/>
      <c r="F441" s="2058"/>
      <c r="G441" s="2059"/>
      <c r="H441" s="2058"/>
      <c r="I441" s="2058"/>
      <c r="J441" s="2058"/>
      <c r="K441" s="2058"/>
      <c r="L441" s="2058"/>
      <c r="M441" s="2058"/>
      <c r="N441" s="2058"/>
      <c r="O441" s="2058"/>
      <c r="P441" s="2058"/>
      <c r="Q441" s="2058"/>
      <c r="R441" s="2058"/>
      <c r="S441" s="2058"/>
      <c r="T441" s="2058"/>
      <c r="U441" s="2058"/>
      <c r="V441" s="2058"/>
      <c r="W441" s="2058"/>
      <c r="X441" s="2058"/>
      <c r="Y441" s="2058"/>
      <c r="Z441" s="2058"/>
    </row>
    <row r="442" spans="1:26" ht="12" x14ac:dyDescent="0.2">
      <c r="A442" s="2058"/>
      <c r="B442" s="2058"/>
      <c r="C442" s="2058"/>
      <c r="D442" s="2058"/>
      <c r="E442" s="2058"/>
      <c r="F442" s="2058"/>
      <c r="G442" s="2059"/>
      <c r="H442" s="2058"/>
      <c r="I442" s="2058"/>
      <c r="J442" s="2058"/>
      <c r="K442" s="2058"/>
      <c r="L442" s="2058"/>
      <c r="M442" s="2058"/>
      <c r="N442" s="2058"/>
      <c r="O442" s="2058"/>
      <c r="P442" s="2058"/>
      <c r="Q442" s="2058"/>
      <c r="R442" s="2058"/>
      <c r="S442" s="2058"/>
      <c r="T442" s="2058"/>
      <c r="U442" s="2058"/>
      <c r="V442" s="2058"/>
      <c r="W442" s="2058"/>
      <c r="X442" s="2058"/>
      <c r="Y442" s="2058"/>
      <c r="Z442" s="2058"/>
    </row>
    <row r="443" spans="1:26" ht="12" x14ac:dyDescent="0.2">
      <c r="A443" s="2058"/>
      <c r="B443" s="2058"/>
      <c r="C443" s="2058"/>
      <c r="D443" s="2058"/>
      <c r="E443" s="2058"/>
      <c r="F443" s="2058"/>
      <c r="G443" s="2059"/>
      <c r="H443" s="2058"/>
      <c r="I443" s="2058"/>
      <c r="J443" s="2058"/>
      <c r="K443" s="2058"/>
      <c r="L443" s="2058"/>
      <c r="M443" s="2058"/>
      <c r="N443" s="2058"/>
      <c r="O443" s="2058"/>
      <c r="P443" s="2058"/>
      <c r="Q443" s="2058"/>
      <c r="R443" s="2058"/>
      <c r="S443" s="2058"/>
      <c r="T443" s="2058"/>
      <c r="U443" s="2058"/>
      <c r="V443" s="2058"/>
      <c r="W443" s="2058"/>
      <c r="X443" s="2058"/>
      <c r="Y443" s="2058"/>
      <c r="Z443" s="2058"/>
    </row>
    <row r="444" spans="1:26" ht="12" x14ac:dyDescent="0.2">
      <c r="A444" s="2058"/>
      <c r="B444" s="2058"/>
      <c r="C444" s="2058"/>
      <c r="D444" s="2058"/>
      <c r="E444" s="2058"/>
      <c r="F444" s="2058"/>
      <c r="G444" s="2059"/>
      <c r="H444" s="2058"/>
      <c r="I444" s="2058"/>
      <c r="J444" s="2058"/>
      <c r="K444" s="2058"/>
      <c r="L444" s="2058"/>
      <c r="M444" s="2058"/>
      <c r="N444" s="2058"/>
      <c r="O444" s="2058"/>
      <c r="P444" s="2058"/>
      <c r="Q444" s="2058"/>
      <c r="R444" s="2058"/>
      <c r="S444" s="2058"/>
      <c r="T444" s="2058"/>
      <c r="U444" s="2058"/>
      <c r="V444" s="2058"/>
      <c r="W444" s="2058"/>
      <c r="X444" s="2058"/>
      <c r="Y444" s="2058"/>
      <c r="Z444" s="2058"/>
    </row>
    <row r="445" spans="1:26" ht="12" x14ac:dyDescent="0.2">
      <c r="A445" s="2058"/>
      <c r="B445" s="2058"/>
      <c r="C445" s="2058"/>
      <c r="D445" s="2058"/>
      <c r="E445" s="2058"/>
      <c r="F445" s="2058"/>
      <c r="G445" s="2059"/>
      <c r="H445" s="2058"/>
      <c r="I445" s="2058"/>
      <c r="J445" s="2058"/>
      <c r="K445" s="2058"/>
      <c r="L445" s="2058"/>
      <c r="M445" s="2058"/>
      <c r="N445" s="2058"/>
      <c r="O445" s="2058"/>
      <c r="P445" s="2058"/>
      <c r="Q445" s="2058"/>
      <c r="R445" s="2058"/>
      <c r="S445" s="2058"/>
      <c r="T445" s="2058"/>
      <c r="U445" s="2058"/>
      <c r="V445" s="2058"/>
      <c r="W445" s="2058"/>
      <c r="X445" s="2058"/>
      <c r="Y445" s="2058"/>
      <c r="Z445" s="2058"/>
    </row>
    <row r="446" spans="1:26" ht="12" x14ac:dyDescent="0.2">
      <c r="A446" s="2058"/>
      <c r="B446" s="2058"/>
      <c r="C446" s="2058"/>
      <c r="D446" s="2058"/>
      <c r="E446" s="2058"/>
      <c r="F446" s="2058"/>
      <c r="G446" s="2059"/>
      <c r="H446" s="2058"/>
      <c r="I446" s="2058"/>
      <c r="J446" s="2058"/>
      <c r="K446" s="2058"/>
      <c r="L446" s="2058"/>
      <c r="M446" s="2058"/>
      <c r="N446" s="2058"/>
      <c r="O446" s="2058"/>
      <c r="P446" s="2058"/>
      <c r="Q446" s="2058"/>
      <c r="R446" s="2058"/>
      <c r="S446" s="2058"/>
      <c r="T446" s="2058"/>
      <c r="U446" s="2058"/>
      <c r="V446" s="2058"/>
      <c r="W446" s="2058"/>
      <c r="X446" s="2058"/>
      <c r="Y446" s="2058"/>
      <c r="Z446" s="2058"/>
    </row>
    <row r="447" spans="1:26" ht="12" x14ac:dyDescent="0.2">
      <c r="A447" s="2058"/>
      <c r="B447" s="2058"/>
      <c r="C447" s="2058"/>
      <c r="D447" s="2058"/>
      <c r="E447" s="2058"/>
      <c r="F447" s="2058"/>
      <c r="G447" s="2059"/>
      <c r="H447" s="2058"/>
      <c r="I447" s="2058"/>
      <c r="J447" s="2058"/>
      <c r="K447" s="2058"/>
      <c r="L447" s="2058"/>
      <c r="M447" s="2058"/>
      <c r="N447" s="2058"/>
      <c r="O447" s="2058"/>
      <c r="P447" s="2058"/>
      <c r="Q447" s="2058"/>
      <c r="R447" s="2058"/>
      <c r="S447" s="2058"/>
      <c r="T447" s="2058"/>
      <c r="U447" s="2058"/>
      <c r="V447" s="2058"/>
      <c r="W447" s="2058"/>
      <c r="X447" s="2058"/>
      <c r="Y447" s="2058"/>
      <c r="Z447" s="2058"/>
    </row>
    <row r="448" spans="1:26" ht="12" x14ac:dyDescent="0.2">
      <c r="A448" s="2058"/>
      <c r="B448" s="2058"/>
      <c r="C448" s="2058"/>
      <c r="D448" s="2058"/>
      <c r="E448" s="2058"/>
      <c r="F448" s="2058"/>
      <c r="G448" s="2059"/>
      <c r="H448" s="2058"/>
      <c r="I448" s="2058"/>
      <c r="J448" s="2058"/>
      <c r="K448" s="2058"/>
      <c r="L448" s="2058"/>
      <c r="M448" s="2058"/>
      <c r="N448" s="2058"/>
      <c r="O448" s="2058"/>
      <c r="P448" s="2058"/>
      <c r="Q448" s="2058"/>
      <c r="R448" s="2058"/>
      <c r="S448" s="2058"/>
      <c r="T448" s="2058"/>
      <c r="U448" s="2058"/>
      <c r="V448" s="2058"/>
      <c r="W448" s="2058"/>
      <c r="X448" s="2058"/>
      <c r="Y448" s="2058"/>
      <c r="Z448" s="2058"/>
    </row>
    <row r="449" spans="1:26" ht="12" x14ac:dyDescent="0.2">
      <c r="A449" s="2058"/>
      <c r="B449" s="2058"/>
      <c r="C449" s="2058"/>
      <c r="D449" s="2058"/>
      <c r="E449" s="2058"/>
      <c r="F449" s="2058"/>
      <c r="G449" s="2059"/>
      <c r="H449" s="2058"/>
      <c r="I449" s="2058"/>
      <c r="J449" s="2058"/>
      <c r="K449" s="2058"/>
      <c r="L449" s="2058"/>
      <c r="M449" s="2058"/>
      <c r="N449" s="2058"/>
      <c r="O449" s="2058"/>
      <c r="P449" s="2058"/>
      <c r="Q449" s="2058"/>
      <c r="R449" s="2058"/>
      <c r="S449" s="2058"/>
      <c r="T449" s="2058"/>
      <c r="U449" s="2058"/>
      <c r="V449" s="2058"/>
      <c r="W449" s="2058"/>
      <c r="X449" s="2058"/>
      <c r="Y449" s="2058"/>
      <c r="Z449" s="2058"/>
    </row>
    <row r="450" spans="1:26" ht="12" x14ac:dyDescent="0.2">
      <c r="A450" s="2058"/>
      <c r="B450" s="2058"/>
      <c r="C450" s="2058"/>
      <c r="D450" s="2058"/>
      <c r="E450" s="2058"/>
      <c r="F450" s="2058"/>
      <c r="G450" s="2059"/>
      <c r="H450" s="2058"/>
      <c r="I450" s="2058"/>
      <c r="J450" s="2058"/>
      <c r="K450" s="2058"/>
      <c r="L450" s="2058"/>
      <c r="M450" s="2058"/>
      <c r="N450" s="2058"/>
      <c r="O450" s="2058"/>
      <c r="P450" s="2058"/>
      <c r="Q450" s="2058"/>
      <c r="R450" s="2058"/>
      <c r="S450" s="2058"/>
      <c r="T450" s="2058"/>
      <c r="U450" s="2058"/>
      <c r="V450" s="2058"/>
      <c r="W450" s="2058"/>
      <c r="X450" s="2058"/>
      <c r="Y450" s="2058"/>
      <c r="Z450" s="2058"/>
    </row>
    <row r="451" spans="1:26" ht="12" x14ac:dyDescent="0.2">
      <c r="A451" s="2058"/>
      <c r="B451" s="2058"/>
      <c r="C451" s="2058"/>
      <c r="D451" s="2058"/>
      <c r="E451" s="2058"/>
      <c r="F451" s="2058"/>
      <c r="G451" s="2059"/>
      <c r="H451" s="2058"/>
      <c r="I451" s="2058"/>
      <c r="J451" s="2058"/>
      <c r="K451" s="2058"/>
      <c r="L451" s="2058"/>
      <c r="M451" s="2058"/>
      <c r="N451" s="2058"/>
      <c r="O451" s="2058"/>
      <c r="P451" s="2058"/>
      <c r="Q451" s="2058"/>
      <c r="R451" s="2058"/>
      <c r="S451" s="2058"/>
      <c r="T451" s="2058"/>
      <c r="U451" s="2058"/>
      <c r="V451" s="2058"/>
      <c r="W451" s="2058"/>
      <c r="X451" s="2058"/>
      <c r="Y451" s="2058"/>
      <c r="Z451" s="2058"/>
    </row>
    <row r="452" spans="1:26" ht="12" x14ac:dyDescent="0.2">
      <c r="A452" s="2058"/>
      <c r="B452" s="2058"/>
      <c r="C452" s="2058"/>
      <c r="D452" s="2058"/>
      <c r="E452" s="2058"/>
      <c r="F452" s="2058"/>
      <c r="G452" s="2059"/>
      <c r="H452" s="2058"/>
      <c r="I452" s="2058"/>
      <c r="J452" s="2058"/>
      <c r="K452" s="2058"/>
      <c r="L452" s="2058"/>
      <c r="M452" s="2058"/>
      <c r="N452" s="2058"/>
      <c r="O452" s="2058"/>
      <c r="P452" s="2058"/>
      <c r="Q452" s="2058"/>
      <c r="R452" s="2058"/>
      <c r="S452" s="2058"/>
      <c r="T452" s="2058"/>
      <c r="U452" s="2058"/>
      <c r="V452" s="2058"/>
      <c r="W452" s="2058"/>
      <c r="X452" s="2058"/>
      <c r="Y452" s="2058"/>
      <c r="Z452" s="2058"/>
    </row>
    <row r="453" spans="1:26" ht="12" x14ac:dyDescent="0.2">
      <c r="A453" s="2058"/>
      <c r="B453" s="2058"/>
      <c r="C453" s="2058"/>
      <c r="D453" s="2058"/>
      <c r="E453" s="2058"/>
      <c r="F453" s="2058"/>
      <c r="G453" s="2059"/>
      <c r="H453" s="2058"/>
      <c r="I453" s="2058"/>
      <c r="J453" s="2058"/>
      <c r="K453" s="2058"/>
      <c r="L453" s="2058"/>
      <c r="M453" s="2058"/>
      <c r="N453" s="2058"/>
      <c r="O453" s="2058"/>
      <c r="P453" s="2058"/>
      <c r="Q453" s="2058"/>
      <c r="R453" s="2058"/>
      <c r="S453" s="2058"/>
      <c r="T453" s="2058"/>
      <c r="U453" s="2058"/>
      <c r="V453" s="2058"/>
      <c r="W453" s="2058"/>
      <c r="X453" s="2058"/>
      <c r="Y453" s="2058"/>
      <c r="Z453" s="2058"/>
    </row>
    <row r="454" spans="1:26" ht="12" x14ac:dyDescent="0.2">
      <c r="A454" s="2058"/>
      <c r="B454" s="2058"/>
      <c r="C454" s="2058"/>
      <c r="D454" s="2058"/>
      <c r="E454" s="2058"/>
      <c r="F454" s="2058"/>
      <c r="G454" s="2059"/>
      <c r="H454" s="2058"/>
      <c r="I454" s="2058"/>
      <c r="J454" s="2058"/>
      <c r="K454" s="2058"/>
      <c r="L454" s="2058"/>
      <c r="M454" s="2058"/>
      <c r="N454" s="2058"/>
      <c r="O454" s="2058"/>
      <c r="P454" s="2058"/>
      <c r="Q454" s="2058"/>
      <c r="R454" s="2058"/>
      <c r="S454" s="2058"/>
      <c r="T454" s="2058"/>
      <c r="U454" s="2058"/>
      <c r="V454" s="2058"/>
      <c r="W454" s="2058"/>
      <c r="X454" s="2058"/>
      <c r="Y454" s="2058"/>
      <c r="Z454" s="2058"/>
    </row>
    <row r="455" spans="1:26" ht="12" x14ac:dyDescent="0.2">
      <c r="A455" s="2058"/>
      <c r="B455" s="2058"/>
      <c r="C455" s="2058"/>
      <c r="D455" s="2058"/>
      <c r="E455" s="2058"/>
      <c r="F455" s="2058"/>
      <c r="G455" s="2059"/>
      <c r="H455" s="2058"/>
      <c r="I455" s="2058"/>
      <c r="J455" s="2058"/>
      <c r="K455" s="2058"/>
      <c r="L455" s="2058"/>
      <c r="M455" s="2058"/>
      <c r="N455" s="2058"/>
      <c r="O455" s="2058"/>
      <c r="P455" s="2058"/>
      <c r="Q455" s="2058"/>
      <c r="R455" s="2058"/>
      <c r="S455" s="2058"/>
      <c r="T455" s="2058"/>
      <c r="U455" s="2058"/>
      <c r="V455" s="2058"/>
      <c r="W455" s="2058"/>
      <c r="X455" s="2058"/>
      <c r="Y455" s="2058"/>
      <c r="Z455" s="2058"/>
    </row>
    <row r="456" spans="1:26" ht="12" x14ac:dyDescent="0.2">
      <c r="A456" s="2058"/>
      <c r="B456" s="2058"/>
      <c r="C456" s="2058"/>
      <c r="D456" s="2058"/>
      <c r="E456" s="2058"/>
      <c r="F456" s="2058"/>
      <c r="G456" s="2059"/>
      <c r="H456" s="2058"/>
      <c r="I456" s="2058"/>
      <c r="J456" s="2058"/>
      <c r="K456" s="2058"/>
      <c r="L456" s="2058"/>
      <c r="M456" s="2058"/>
      <c r="N456" s="2058"/>
      <c r="O456" s="2058"/>
      <c r="P456" s="2058"/>
      <c r="Q456" s="2058"/>
      <c r="R456" s="2058"/>
      <c r="S456" s="2058"/>
      <c r="T456" s="2058"/>
      <c r="U456" s="2058"/>
      <c r="V456" s="2058"/>
      <c r="W456" s="2058"/>
      <c r="X456" s="2058"/>
      <c r="Y456" s="2058"/>
      <c r="Z456" s="2058"/>
    </row>
    <row r="457" spans="1:26" ht="12" x14ac:dyDescent="0.2">
      <c r="A457" s="2058"/>
      <c r="B457" s="2058"/>
      <c r="C457" s="2058"/>
      <c r="D457" s="2058"/>
      <c r="E457" s="2058"/>
      <c r="F457" s="2058"/>
      <c r="G457" s="2059"/>
      <c r="H457" s="2058"/>
      <c r="I457" s="2058"/>
      <c r="J457" s="2058"/>
      <c r="K457" s="2058"/>
      <c r="L457" s="2058"/>
      <c r="M457" s="2058"/>
      <c r="N457" s="2058"/>
      <c r="O457" s="2058"/>
      <c r="P457" s="2058"/>
      <c r="Q457" s="2058"/>
      <c r="R457" s="2058"/>
      <c r="S457" s="2058"/>
      <c r="T457" s="2058"/>
      <c r="U457" s="2058"/>
      <c r="V457" s="2058"/>
      <c r="W457" s="2058"/>
      <c r="X457" s="2058"/>
      <c r="Y457" s="2058"/>
      <c r="Z457" s="2058"/>
    </row>
    <row r="458" spans="1:26" ht="12" x14ac:dyDescent="0.2">
      <c r="A458" s="2058"/>
      <c r="B458" s="2058"/>
      <c r="C458" s="2058"/>
      <c r="D458" s="2058"/>
      <c r="E458" s="2058"/>
      <c r="F458" s="2058"/>
      <c r="G458" s="2059"/>
      <c r="H458" s="2058"/>
      <c r="I458" s="2058"/>
      <c r="J458" s="2058"/>
      <c r="K458" s="2058"/>
      <c r="L458" s="2058"/>
      <c r="M458" s="2058"/>
      <c r="N458" s="2058"/>
      <c r="O458" s="2058"/>
      <c r="P458" s="2058"/>
      <c r="Q458" s="2058"/>
      <c r="R458" s="2058"/>
      <c r="S458" s="2058"/>
      <c r="T458" s="2058"/>
      <c r="U458" s="2058"/>
      <c r="V458" s="2058"/>
      <c r="W458" s="2058"/>
      <c r="X458" s="2058"/>
      <c r="Y458" s="2058"/>
      <c r="Z458" s="2058"/>
    </row>
    <row r="459" spans="1:26" ht="12" x14ac:dyDescent="0.2">
      <c r="A459" s="2058"/>
      <c r="B459" s="2058"/>
      <c r="C459" s="2058"/>
      <c r="D459" s="2058"/>
      <c r="E459" s="2058"/>
      <c r="F459" s="2058"/>
      <c r="G459" s="2059"/>
      <c r="H459" s="2058"/>
      <c r="I459" s="2058"/>
      <c r="J459" s="2058"/>
      <c r="K459" s="2058"/>
      <c r="L459" s="2058"/>
      <c r="M459" s="2058"/>
      <c r="N459" s="2058"/>
      <c r="O459" s="2058"/>
      <c r="P459" s="2058"/>
      <c r="Q459" s="2058"/>
      <c r="R459" s="2058"/>
      <c r="S459" s="2058"/>
      <c r="T459" s="2058"/>
      <c r="U459" s="2058"/>
      <c r="V459" s="2058"/>
      <c r="W459" s="2058"/>
      <c r="X459" s="2058"/>
      <c r="Y459" s="2058"/>
      <c r="Z459" s="2058"/>
    </row>
    <row r="460" spans="1:26" ht="12" x14ac:dyDescent="0.2">
      <c r="A460" s="2058"/>
      <c r="B460" s="2058"/>
      <c r="C460" s="2058"/>
      <c r="D460" s="2058"/>
      <c r="E460" s="2058"/>
      <c r="F460" s="2058"/>
      <c r="G460" s="2059"/>
      <c r="H460" s="2058"/>
      <c r="I460" s="2058"/>
      <c r="J460" s="2058"/>
      <c r="K460" s="2058"/>
      <c r="L460" s="2058"/>
      <c r="M460" s="2058"/>
      <c r="N460" s="2058"/>
      <c r="O460" s="2058"/>
      <c r="P460" s="2058"/>
      <c r="Q460" s="2058"/>
      <c r="R460" s="2058"/>
      <c r="S460" s="2058"/>
      <c r="T460" s="2058"/>
      <c r="U460" s="2058"/>
      <c r="V460" s="2058"/>
      <c r="W460" s="2058"/>
      <c r="X460" s="2058"/>
      <c r="Y460" s="2058"/>
      <c r="Z460" s="2058"/>
    </row>
    <row r="461" spans="1:26" ht="12" x14ac:dyDescent="0.2">
      <c r="A461" s="2058"/>
      <c r="B461" s="2058"/>
      <c r="C461" s="2058"/>
      <c r="D461" s="2058"/>
      <c r="E461" s="2058"/>
      <c r="F461" s="2058"/>
      <c r="G461" s="2059"/>
      <c r="H461" s="2058"/>
      <c r="I461" s="2058"/>
      <c r="J461" s="2058"/>
      <c r="K461" s="2058"/>
      <c r="L461" s="2058"/>
      <c r="M461" s="2058"/>
      <c r="N461" s="2058"/>
      <c r="O461" s="2058"/>
      <c r="P461" s="2058"/>
      <c r="Q461" s="2058"/>
      <c r="R461" s="2058"/>
      <c r="S461" s="2058"/>
      <c r="T461" s="2058"/>
      <c r="U461" s="2058"/>
      <c r="V461" s="2058"/>
      <c r="W461" s="2058"/>
      <c r="X461" s="2058"/>
      <c r="Y461" s="2058"/>
      <c r="Z461" s="2058"/>
    </row>
    <row r="462" spans="1:26" ht="12" x14ac:dyDescent="0.2">
      <c r="A462" s="2058"/>
      <c r="B462" s="2058"/>
      <c r="C462" s="2058"/>
      <c r="D462" s="2058"/>
      <c r="E462" s="2058"/>
      <c r="F462" s="2058"/>
      <c r="G462" s="2059"/>
      <c r="H462" s="2058"/>
      <c r="I462" s="2058"/>
      <c r="J462" s="2058"/>
      <c r="K462" s="2058"/>
      <c r="L462" s="2058"/>
      <c r="M462" s="2058"/>
      <c r="N462" s="2058"/>
      <c r="O462" s="2058"/>
      <c r="P462" s="2058"/>
      <c r="Q462" s="2058"/>
      <c r="R462" s="2058"/>
      <c r="S462" s="2058"/>
      <c r="T462" s="2058"/>
      <c r="U462" s="2058"/>
      <c r="V462" s="2058"/>
      <c r="W462" s="2058"/>
      <c r="X462" s="2058"/>
      <c r="Y462" s="2058"/>
      <c r="Z462" s="2058"/>
    </row>
    <row r="463" spans="1:26" ht="12" x14ac:dyDescent="0.2">
      <c r="A463" s="2058"/>
      <c r="B463" s="2058"/>
      <c r="C463" s="2058"/>
      <c r="D463" s="2058"/>
      <c r="E463" s="2058"/>
      <c r="F463" s="2058"/>
      <c r="G463" s="2059"/>
      <c r="H463" s="2058"/>
      <c r="I463" s="2058"/>
      <c r="J463" s="2058"/>
      <c r="K463" s="2058"/>
      <c r="L463" s="2058"/>
      <c r="M463" s="2058"/>
      <c r="N463" s="2058"/>
      <c r="O463" s="2058"/>
      <c r="P463" s="2058"/>
      <c r="Q463" s="2058"/>
      <c r="R463" s="2058"/>
      <c r="S463" s="2058"/>
      <c r="T463" s="2058"/>
      <c r="U463" s="2058"/>
      <c r="V463" s="2058"/>
      <c r="W463" s="2058"/>
      <c r="X463" s="2058"/>
      <c r="Y463" s="2058"/>
      <c r="Z463" s="2058"/>
    </row>
    <row r="464" spans="1:26" ht="12" x14ac:dyDescent="0.2">
      <c r="A464" s="2058"/>
      <c r="B464" s="2058"/>
      <c r="C464" s="2058"/>
      <c r="D464" s="2058"/>
      <c r="E464" s="2058"/>
      <c r="F464" s="2058"/>
      <c r="G464" s="2059"/>
      <c r="H464" s="2058"/>
      <c r="I464" s="2058"/>
      <c r="J464" s="2058"/>
      <c r="K464" s="2058"/>
      <c r="L464" s="2058"/>
      <c r="M464" s="2058"/>
      <c r="N464" s="2058"/>
      <c r="O464" s="2058"/>
      <c r="P464" s="2058"/>
      <c r="Q464" s="2058"/>
      <c r="R464" s="2058"/>
      <c r="S464" s="2058"/>
      <c r="T464" s="2058"/>
      <c r="U464" s="2058"/>
      <c r="V464" s="2058"/>
      <c r="W464" s="2058"/>
      <c r="X464" s="2058"/>
      <c r="Y464" s="2058"/>
      <c r="Z464" s="2058"/>
    </row>
    <row r="465" spans="1:26" ht="12" x14ac:dyDescent="0.2">
      <c r="A465" s="2058"/>
      <c r="B465" s="2058"/>
      <c r="C465" s="2058"/>
      <c r="D465" s="2058"/>
      <c r="E465" s="2058"/>
      <c r="F465" s="2058"/>
      <c r="G465" s="2059"/>
      <c r="H465" s="2058"/>
      <c r="I465" s="2058"/>
      <c r="J465" s="2058"/>
      <c r="K465" s="2058"/>
      <c r="L465" s="2058"/>
      <c r="M465" s="2058"/>
      <c r="N465" s="2058"/>
      <c r="O465" s="2058"/>
      <c r="P465" s="2058"/>
      <c r="Q465" s="2058"/>
      <c r="R465" s="2058"/>
      <c r="S465" s="2058"/>
      <c r="T465" s="2058"/>
      <c r="U465" s="2058"/>
      <c r="V465" s="2058"/>
      <c r="W465" s="2058"/>
      <c r="X465" s="2058"/>
      <c r="Y465" s="2058"/>
      <c r="Z465" s="2058"/>
    </row>
    <row r="466" spans="1:26" ht="12" x14ac:dyDescent="0.2">
      <c r="A466" s="2058"/>
      <c r="B466" s="2058"/>
      <c r="C466" s="2058"/>
      <c r="D466" s="2058"/>
      <c r="E466" s="2058"/>
      <c r="F466" s="2058"/>
      <c r="G466" s="2059"/>
      <c r="H466" s="2058"/>
      <c r="I466" s="2058"/>
      <c r="J466" s="2058"/>
      <c r="K466" s="2058"/>
      <c r="L466" s="2058"/>
      <c r="M466" s="2058"/>
      <c r="N466" s="2058"/>
      <c r="O466" s="2058"/>
      <c r="P466" s="2058"/>
      <c r="Q466" s="2058"/>
      <c r="R466" s="2058"/>
      <c r="S466" s="2058"/>
      <c r="T466" s="2058"/>
      <c r="U466" s="2058"/>
      <c r="V466" s="2058"/>
      <c r="W466" s="2058"/>
      <c r="X466" s="2058"/>
      <c r="Y466" s="2058"/>
      <c r="Z466" s="2058"/>
    </row>
    <row r="467" spans="1:26" ht="12" x14ac:dyDescent="0.2">
      <c r="A467" s="2058"/>
      <c r="B467" s="2058"/>
      <c r="C467" s="2058"/>
      <c r="D467" s="2058"/>
      <c r="E467" s="2058"/>
      <c r="F467" s="2058"/>
      <c r="G467" s="2059"/>
      <c r="H467" s="2058"/>
      <c r="I467" s="2058"/>
      <c r="J467" s="2058"/>
      <c r="K467" s="2058"/>
      <c r="L467" s="2058"/>
      <c r="M467" s="2058"/>
      <c r="N467" s="2058"/>
      <c r="O467" s="2058"/>
      <c r="P467" s="2058"/>
      <c r="Q467" s="2058"/>
      <c r="R467" s="2058"/>
      <c r="S467" s="2058"/>
      <c r="T467" s="2058"/>
      <c r="U467" s="2058"/>
      <c r="V467" s="2058"/>
      <c r="W467" s="2058"/>
      <c r="X467" s="2058"/>
      <c r="Y467" s="2058"/>
      <c r="Z467" s="2058"/>
    </row>
    <row r="468" spans="1:26" ht="12" x14ac:dyDescent="0.2">
      <c r="A468" s="2058"/>
      <c r="B468" s="2058"/>
      <c r="C468" s="2058"/>
      <c r="D468" s="2058"/>
      <c r="E468" s="2058"/>
      <c r="F468" s="2058"/>
      <c r="G468" s="2059"/>
      <c r="H468" s="2058"/>
      <c r="I468" s="2058"/>
      <c r="J468" s="2058"/>
      <c r="K468" s="2058"/>
      <c r="L468" s="2058"/>
      <c r="M468" s="2058"/>
      <c r="N468" s="2058"/>
      <c r="O468" s="2058"/>
      <c r="P468" s="2058"/>
      <c r="Q468" s="2058"/>
      <c r="R468" s="2058"/>
      <c r="S468" s="2058"/>
      <c r="T468" s="2058"/>
      <c r="U468" s="2058"/>
      <c r="V468" s="2058"/>
      <c r="W468" s="2058"/>
      <c r="X468" s="2058"/>
      <c r="Y468" s="2058"/>
      <c r="Z468" s="2058"/>
    </row>
    <row r="469" spans="1:26" ht="12" x14ac:dyDescent="0.2">
      <c r="A469" s="2058"/>
      <c r="B469" s="2058"/>
      <c r="C469" s="2058"/>
      <c r="D469" s="2058"/>
      <c r="E469" s="2058"/>
      <c r="F469" s="2058"/>
      <c r="G469" s="2059"/>
      <c r="H469" s="2058"/>
      <c r="I469" s="2058"/>
      <c r="J469" s="2058"/>
      <c r="K469" s="2058"/>
      <c r="L469" s="2058"/>
      <c r="M469" s="2058"/>
      <c r="N469" s="2058"/>
      <c r="O469" s="2058"/>
      <c r="P469" s="2058"/>
      <c r="Q469" s="2058"/>
      <c r="R469" s="2058"/>
      <c r="S469" s="2058"/>
      <c r="T469" s="2058"/>
      <c r="U469" s="2058"/>
      <c r="V469" s="2058"/>
      <c r="W469" s="2058"/>
      <c r="X469" s="2058"/>
      <c r="Y469" s="2058"/>
      <c r="Z469" s="2058"/>
    </row>
    <row r="470" spans="1:26" ht="12" x14ac:dyDescent="0.2">
      <c r="A470" s="2058"/>
      <c r="B470" s="2058"/>
      <c r="C470" s="2058"/>
      <c r="D470" s="2058"/>
      <c r="E470" s="2058"/>
      <c r="F470" s="2058"/>
      <c r="G470" s="2059"/>
      <c r="H470" s="2058"/>
      <c r="I470" s="2058"/>
      <c r="J470" s="2058"/>
      <c r="K470" s="2058"/>
      <c r="L470" s="2058"/>
      <c r="M470" s="2058"/>
      <c r="N470" s="2058"/>
      <c r="O470" s="2058"/>
      <c r="P470" s="2058"/>
      <c r="Q470" s="2058"/>
      <c r="R470" s="2058"/>
      <c r="S470" s="2058"/>
      <c r="T470" s="2058"/>
      <c r="U470" s="2058"/>
      <c r="V470" s="2058"/>
      <c r="W470" s="2058"/>
      <c r="X470" s="2058"/>
      <c r="Y470" s="2058"/>
      <c r="Z470" s="2058"/>
    </row>
    <row r="471" spans="1:26" ht="12" x14ac:dyDescent="0.2">
      <c r="A471" s="2058"/>
      <c r="B471" s="2058"/>
      <c r="C471" s="2058"/>
      <c r="D471" s="2058"/>
      <c r="E471" s="2058"/>
      <c r="F471" s="2058"/>
      <c r="G471" s="2059"/>
      <c r="H471" s="2058"/>
      <c r="I471" s="2058"/>
      <c r="J471" s="2058"/>
      <c r="K471" s="2058"/>
      <c r="L471" s="2058"/>
      <c r="M471" s="2058"/>
      <c r="N471" s="2058"/>
      <c r="O471" s="2058"/>
      <c r="P471" s="2058"/>
      <c r="Q471" s="2058"/>
      <c r="R471" s="2058"/>
      <c r="S471" s="2058"/>
      <c r="T471" s="2058"/>
      <c r="U471" s="2058"/>
      <c r="V471" s="2058"/>
      <c r="W471" s="2058"/>
      <c r="X471" s="2058"/>
      <c r="Y471" s="2058"/>
      <c r="Z471" s="2058"/>
    </row>
    <row r="472" spans="1:26" ht="12" x14ac:dyDescent="0.2">
      <c r="A472" s="2058"/>
      <c r="B472" s="2058"/>
      <c r="C472" s="2058"/>
      <c r="D472" s="2058"/>
      <c r="E472" s="2058"/>
      <c r="F472" s="2058"/>
      <c r="G472" s="2059"/>
      <c r="H472" s="2058"/>
      <c r="I472" s="2058"/>
      <c r="J472" s="2058"/>
      <c r="K472" s="2058"/>
      <c r="L472" s="2058"/>
      <c r="M472" s="2058"/>
      <c r="N472" s="2058"/>
      <c r="O472" s="2058"/>
      <c r="P472" s="2058"/>
      <c r="Q472" s="2058"/>
      <c r="R472" s="2058"/>
      <c r="S472" s="2058"/>
      <c r="T472" s="2058"/>
      <c r="U472" s="2058"/>
      <c r="V472" s="2058"/>
      <c r="W472" s="2058"/>
      <c r="X472" s="2058"/>
      <c r="Y472" s="2058"/>
      <c r="Z472" s="2058"/>
    </row>
    <row r="473" spans="1:26" ht="12" x14ac:dyDescent="0.2">
      <c r="A473" s="2058"/>
      <c r="B473" s="2058"/>
      <c r="C473" s="2058"/>
      <c r="D473" s="2058"/>
      <c r="E473" s="2058"/>
      <c r="F473" s="2058"/>
      <c r="G473" s="2059"/>
      <c r="H473" s="2058"/>
      <c r="I473" s="2058"/>
      <c r="J473" s="2058"/>
      <c r="K473" s="2058"/>
      <c r="L473" s="2058"/>
      <c r="M473" s="2058"/>
      <c r="N473" s="2058"/>
      <c r="O473" s="2058"/>
      <c r="P473" s="2058"/>
      <c r="Q473" s="2058"/>
      <c r="R473" s="2058"/>
      <c r="S473" s="2058"/>
      <c r="T473" s="2058"/>
      <c r="U473" s="2058"/>
      <c r="V473" s="2058"/>
      <c r="W473" s="2058"/>
      <c r="X473" s="2058"/>
      <c r="Y473" s="2058"/>
      <c r="Z473" s="2058"/>
    </row>
    <row r="474" spans="1:26" ht="12" x14ac:dyDescent="0.2">
      <c r="A474" s="2058"/>
      <c r="B474" s="2058"/>
      <c r="C474" s="2058"/>
      <c r="D474" s="2058"/>
      <c r="E474" s="2058"/>
      <c r="F474" s="2058"/>
      <c r="G474" s="2059"/>
      <c r="H474" s="2058"/>
      <c r="I474" s="2058"/>
      <c r="J474" s="2058"/>
      <c r="K474" s="2058"/>
      <c r="L474" s="2058"/>
      <c r="M474" s="2058"/>
      <c r="N474" s="2058"/>
      <c r="O474" s="2058"/>
      <c r="P474" s="2058"/>
      <c r="Q474" s="2058"/>
      <c r="R474" s="2058"/>
      <c r="S474" s="2058"/>
      <c r="T474" s="2058"/>
      <c r="U474" s="2058"/>
      <c r="V474" s="2058"/>
      <c r="W474" s="2058"/>
      <c r="X474" s="2058"/>
      <c r="Y474" s="2058"/>
      <c r="Z474" s="2058"/>
    </row>
    <row r="475" spans="1:26" ht="12" x14ac:dyDescent="0.2">
      <c r="A475" s="2058"/>
      <c r="B475" s="2058"/>
      <c r="C475" s="2058"/>
      <c r="D475" s="2058"/>
      <c r="E475" s="2058"/>
      <c r="F475" s="2058"/>
      <c r="G475" s="2059"/>
      <c r="H475" s="2058"/>
      <c r="I475" s="2058"/>
      <c r="J475" s="2058"/>
      <c r="K475" s="2058"/>
      <c r="L475" s="2058"/>
      <c r="M475" s="2058"/>
      <c r="N475" s="2058"/>
      <c r="O475" s="2058"/>
      <c r="P475" s="2058"/>
      <c r="Q475" s="2058"/>
      <c r="R475" s="2058"/>
      <c r="S475" s="2058"/>
      <c r="T475" s="2058"/>
      <c r="U475" s="2058"/>
      <c r="V475" s="2058"/>
      <c r="W475" s="2058"/>
      <c r="X475" s="2058"/>
      <c r="Y475" s="2058"/>
      <c r="Z475" s="2058"/>
    </row>
    <row r="476" spans="1:26" ht="12" x14ac:dyDescent="0.2">
      <c r="A476" s="2058"/>
      <c r="B476" s="2058"/>
      <c r="C476" s="2058"/>
      <c r="D476" s="2058"/>
      <c r="E476" s="2058"/>
      <c r="F476" s="2058"/>
      <c r="G476" s="2059"/>
      <c r="H476" s="2058"/>
      <c r="I476" s="2058"/>
      <c r="J476" s="2058"/>
      <c r="K476" s="2058"/>
      <c r="L476" s="2058"/>
      <c r="M476" s="2058"/>
      <c r="N476" s="2058"/>
      <c r="O476" s="2058"/>
      <c r="P476" s="2058"/>
      <c r="Q476" s="2058"/>
      <c r="R476" s="2058"/>
      <c r="S476" s="2058"/>
      <c r="T476" s="2058"/>
      <c r="U476" s="2058"/>
      <c r="V476" s="2058"/>
      <c r="W476" s="2058"/>
      <c r="X476" s="2058"/>
      <c r="Y476" s="2058"/>
      <c r="Z476" s="2058"/>
    </row>
    <row r="477" spans="1:26" ht="12" x14ac:dyDescent="0.2">
      <c r="A477" s="2058"/>
      <c r="B477" s="2058"/>
      <c r="C477" s="2058"/>
      <c r="D477" s="2058"/>
      <c r="E477" s="2058"/>
      <c r="F477" s="2058"/>
      <c r="G477" s="2059"/>
      <c r="H477" s="2058"/>
      <c r="I477" s="2058"/>
      <c r="J477" s="2058"/>
      <c r="K477" s="2058"/>
      <c r="L477" s="2058"/>
      <c r="M477" s="2058"/>
      <c r="N477" s="2058"/>
      <c r="O477" s="2058"/>
      <c r="P477" s="2058"/>
      <c r="Q477" s="2058"/>
      <c r="R477" s="2058"/>
      <c r="S477" s="2058"/>
      <c r="T477" s="2058"/>
      <c r="U477" s="2058"/>
      <c r="V477" s="2058"/>
      <c r="W477" s="2058"/>
      <c r="X477" s="2058"/>
      <c r="Y477" s="2058"/>
      <c r="Z477" s="2058"/>
    </row>
    <row r="478" spans="1:26" ht="12" x14ac:dyDescent="0.2">
      <c r="A478" s="2058"/>
      <c r="B478" s="2058"/>
      <c r="C478" s="2058"/>
      <c r="D478" s="2058"/>
      <c r="E478" s="2058"/>
      <c r="F478" s="2058"/>
      <c r="G478" s="2059"/>
      <c r="H478" s="2058"/>
      <c r="I478" s="2058"/>
      <c r="J478" s="2058"/>
      <c r="K478" s="2058"/>
      <c r="L478" s="2058"/>
      <c r="M478" s="2058"/>
      <c r="N478" s="2058"/>
      <c r="O478" s="2058"/>
      <c r="P478" s="2058"/>
      <c r="Q478" s="2058"/>
      <c r="R478" s="2058"/>
      <c r="S478" s="2058"/>
      <c r="T478" s="2058"/>
      <c r="U478" s="2058"/>
      <c r="V478" s="2058"/>
      <c r="W478" s="2058"/>
      <c r="X478" s="2058"/>
      <c r="Y478" s="2058"/>
      <c r="Z478" s="2058"/>
    </row>
    <row r="479" spans="1:26" ht="12" x14ac:dyDescent="0.2">
      <c r="A479" s="2058"/>
      <c r="B479" s="2058"/>
      <c r="C479" s="2058"/>
      <c r="D479" s="2058"/>
      <c r="E479" s="2058"/>
      <c r="F479" s="2058"/>
      <c r="G479" s="2059"/>
      <c r="H479" s="2058"/>
      <c r="I479" s="2058"/>
      <c r="J479" s="2058"/>
      <c r="K479" s="2058"/>
      <c r="L479" s="2058"/>
      <c r="M479" s="2058"/>
      <c r="N479" s="2058"/>
      <c r="O479" s="2058"/>
      <c r="P479" s="2058"/>
      <c r="Q479" s="2058"/>
      <c r="R479" s="2058"/>
      <c r="S479" s="2058"/>
      <c r="T479" s="2058"/>
      <c r="U479" s="2058"/>
      <c r="V479" s="2058"/>
      <c r="W479" s="2058"/>
      <c r="X479" s="2058"/>
      <c r="Y479" s="2058"/>
      <c r="Z479" s="2058"/>
    </row>
    <row r="480" spans="1:26" ht="12" x14ac:dyDescent="0.2">
      <c r="A480" s="2058"/>
      <c r="B480" s="2058"/>
      <c r="C480" s="2058"/>
      <c r="D480" s="2058"/>
      <c r="E480" s="2058"/>
      <c r="F480" s="2058"/>
      <c r="G480" s="2059"/>
      <c r="H480" s="2058"/>
      <c r="I480" s="2058"/>
      <c r="J480" s="2058"/>
      <c r="K480" s="2058"/>
      <c r="L480" s="2058"/>
      <c r="M480" s="2058"/>
      <c r="N480" s="2058"/>
      <c r="O480" s="2058"/>
      <c r="P480" s="2058"/>
      <c r="Q480" s="2058"/>
      <c r="R480" s="2058"/>
      <c r="S480" s="2058"/>
      <c r="T480" s="2058"/>
      <c r="U480" s="2058"/>
      <c r="V480" s="2058"/>
      <c r="W480" s="2058"/>
      <c r="X480" s="2058"/>
      <c r="Y480" s="2058"/>
      <c r="Z480" s="2058"/>
    </row>
    <row r="481" spans="1:26" ht="12" x14ac:dyDescent="0.2">
      <c r="A481" s="2058"/>
      <c r="B481" s="2058"/>
      <c r="C481" s="2058"/>
      <c r="D481" s="2058"/>
      <c r="E481" s="2058"/>
      <c r="F481" s="2058"/>
      <c r="G481" s="2059"/>
      <c r="H481" s="2058"/>
      <c r="I481" s="2058"/>
      <c r="J481" s="2058"/>
      <c r="K481" s="2058"/>
      <c r="L481" s="2058"/>
      <c r="M481" s="2058"/>
      <c r="N481" s="2058"/>
      <c r="O481" s="2058"/>
      <c r="P481" s="2058"/>
      <c r="Q481" s="2058"/>
      <c r="R481" s="2058"/>
      <c r="S481" s="2058"/>
      <c r="T481" s="2058"/>
      <c r="U481" s="2058"/>
      <c r="V481" s="2058"/>
      <c r="W481" s="2058"/>
      <c r="X481" s="2058"/>
      <c r="Y481" s="2058"/>
      <c r="Z481" s="2058"/>
    </row>
    <row r="482" spans="1:26" ht="12" x14ac:dyDescent="0.2">
      <c r="A482" s="2058"/>
      <c r="B482" s="2058"/>
      <c r="C482" s="2058"/>
      <c r="D482" s="2058"/>
      <c r="E482" s="2058"/>
      <c r="F482" s="2058"/>
      <c r="G482" s="2059"/>
      <c r="H482" s="2058"/>
      <c r="I482" s="2058"/>
      <c r="J482" s="2058"/>
      <c r="K482" s="2058"/>
      <c r="L482" s="2058"/>
      <c r="M482" s="2058"/>
      <c r="N482" s="2058"/>
      <c r="O482" s="2058"/>
      <c r="P482" s="2058"/>
      <c r="Q482" s="2058"/>
      <c r="R482" s="2058"/>
      <c r="S482" s="2058"/>
      <c r="T482" s="2058"/>
      <c r="U482" s="2058"/>
      <c r="V482" s="2058"/>
      <c r="W482" s="2058"/>
      <c r="X482" s="2058"/>
      <c r="Y482" s="2058"/>
      <c r="Z482" s="2058"/>
    </row>
    <row r="483" spans="1:26" ht="12" x14ac:dyDescent="0.2">
      <c r="A483" s="2058"/>
      <c r="B483" s="2058"/>
      <c r="C483" s="2058"/>
      <c r="D483" s="2058"/>
      <c r="E483" s="2058"/>
      <c r="F483" s="2058"/>
      <c r="G483" s="2059"/>
      <c r="H483" s="2058"/>
      <c r="I483" s="2058"/>
      <c r="J483" s="2058"/>
      <c r="K483" s="2058"/>
      <c r="L483" s="2058"/>
      <c r="M483" s="2058"/>
      <c r="N483" s="2058"/>
      <c r="O483" s="2058"/>
      <c r="P483" s="2058"/>
      <c r="Q483" s="2058"/>
      <c r="R483" s="2058"/>
      <c r="S483" s="2058"/>
      <c r="T483" s="2058"/>
      <c r="U483" s="2058"/>
      <c r="V483" s="2058"/>
      <c r="W483" s="2058"/>
      <c r="X483" s="2058"/>
      <c r="Y483" s="2058"/>
      <c r="Z483" s="2058"/>
    </row>
    <row r="484" spans="1:26" ht="12" x14ac:dyDescent="0.2">
      <c r="A484" s="2058"/>
      <c r="B484" s="2058"/>
      <c r="C484" s="2058"/>
      <c r="D484" s="2058"/>
      <c r="E484" s="2058"/>
      <c r="F484" s="2058"/>
      <c r="G484" s="2059"/>
      <c r="H484" s="2058"/>
      <c r="I484" s="2058"/>
      <c r="J484" s="2058"/>
      <c r="K484" s="2058"/>
      <c r="L484" s="2058"/>
      <c r="M484" s="2058"/>
      <c r="N484" s="2058"/>
      <c r="O484" s="2058"/>
      <c r="P484" s="2058"/>
      <c r="Q484" s="2058"/>
      <c r="R484" s="2058"/>
      <c r="S484" s="2058"/>
      <c r="T484" s="2058"/>
      <c r="U484" s="2058"/>
      <c r="V484" s="2058"/>
      <c r="W484" s="2058"/>
      <c r="X484" s="2058"/>
      <c r="Y484" s="2058"/>
      <c r="Z484" s="2058"/>
    </row>
    <row r="485" spans="1:26" ht="12" x14ac:dyDescent="0.2">
      <c r="A485" s="2058"/>
      <c r="B485" s="2058"/>
      <c r="C485" s="2058"/>
      <c r="D485" s="2058"/>
      <c r="E485" s="2058"/>
      <c r="F485" s="2058"/>
      <c r="G485" s="2059"/>
      <c r="H485" s="2058"/>
      <c r="I485" s="2058"/>
      <c r="J485" s="2058"/>
      <c r="K485" s="2058"/>
      <c r="L485" s="2058"/>
      <c r="M485" s="2058"/>
      <c r="N485" s="2058"/>
      <c r="O485" s="2058"/>
      <c r="P485" s="2058"/>
      <c r="Q485" s="2058"/>
      <c r="R485" s="2058"/>
      <c r="S485" s="2058"/>
      <c r="T485" s="2058"/>
      <c r="U485" s="2058"/>
      <c r="V485" s="2058"/>
      <c r="W485" s="2058"/>
      <c r="X485" s="2058"/>
      <c r="Y485" s="2058"/>
      <c r="Z485" s="2058"/>
    </row>
    <row r="486" spans="1:26" ht="12" x14ac:dyDescent="0.2">
      <c r="A486" s="2058"/>
      <c r="B486" s="2058"/>
      <c r="C486" s="2058"/>
      <c r="D486" s="2058"/>
      <c r="E486" s="2058"/>
      <c r="F486" s="2058"/>
      <c r="G486" s="2059"/>
      <c r="H486" s="2058"/>
      <c r="I486" s="2058"/>
      <c r="J486" s="2058"/>
      <c r="K486" s="2058"/>
      <c r="L486" s="2058"/>
      <c r="M486" s="2058"/>
      <c r="N486" s="2058"/>
      <c r="O486" s="2058"/>
      <c r="P486" s="2058"/>
      <c r="Q486" s="2058"/>
      <c r="R486" s="2058"/>
      <c r="S486" s="2058"/>
      <c r="T486" s="2058"/>
      <c r="U486" s="2058"/>
      <c r="V486" s="2058"/>
      <c r="W486" s="2058"/>
      <c r="X486" s="2058"/>
      <c r="Y486" s="2058"/>
      <c r="Z486" s="2058"/>
    </row>
    <row r="487" spans="1:26" ht="12" x14ac:dyDescent="0.2">
      <c r="A487" s="2058"/>
      <c r="B487" s="2058"/>
      <c r="C487" s="2058"/>
      <c r="D487" s="2058"/>
      <c r="E487" s="2058"/>
      <c r="F487" s="2058"/>
      <c r="G487" s="2059"/>
      <c r="H487" s="2058"/>
      <c r="I487" s="2058"/>
      <c r="J487" s="2058"/>
      <c r="K487" s="2058"/>
      <c r="L487" s="2058"/>
      <c r="M487" s="2058"/>
      <c r="N487" s="2058"/>
      <c r="O487" s="2058"/>
      <c r="P487" s="2058"/>
      <c r="Q487" s="2058"/>
      <c r="R487" s="2058"/>
      <c r="S487" s="2058"/>
      <c r="T487" s="2058"/>
      <c r="U487" s="2058"/>
      <c r="V487" s="2058"/>
      <c r="W487" s="2058"/>
      <c r="X487" s="2058"/>
      <c r="Y487" s="2058"/>
      <c r="Z487" s="2058"/>
    </row>
    <row r="488" spans="1:26" ht="12" x14ac:dyDescent="0.2">
      <c r="A488" s="2058"/>
      <c r="B488" s="2058"/>
      <c r="C488" s="2058"/>
      <c r="D488" s="2058"/>
      <c r="E488" s="2058"/>
      <c r="F488" s="2058"/>
      <c r="G488" s="2059"/>
      <c r="H488" s="2058"/>
      <c r="I488" s="2058"/>
      <c r="J488" s="2058"/>
      <c r="K488" s="2058"/>
      <c r="L488" s="2058"/>
      <c r="M488" s="2058"/>
      <c r="N488" s="2058"/>
      <c r="O488" s="2058"/>
      <c r="P488" s="2058"/>
      <c r="Q488" s="2058"/>
      <c r="R488" s="2058"/>
      <c r="S488" s="2058"/>
      <c r="T488" s="2058"/>
      <c r="U488" s="2058"/>
      <c r="V488" s="2058"/>
      <c r="W488" s="2058"/>
      <c r="X488" s="2058"/>
      <c r="Y488" s="2058"/>
      <c r="Z488" s="2058"/>
    </row>
    <row r="489" spans="1:26" ht="12" x14ac:dyDescent="0.2">
      <c r="A489" s="2058"/>
      <c r="B489" s="2058"/>
      <c r="C489" s="2058"/>
      <c r="D489" s="2058"/>
      <c r="E489" s="2058"/>
      <c r="F489" s="2058"/>
      <c r="G489" s="2059"/>
      <c r="H489" s="2058"/>
      <c r="I489" s="2058"/>
      <c r="J489" s="2058"/>
      <c r="K489" s="2058"/>
      <c r="L489" s="2058"/>
      <c r="M489" s="2058"/>
      <c r="N489" s="2058"/>
      <c r="O489" s="2058"/>
      <c r="P489" s="2058"/>
      <c r="Q489" s="2058"/>
      <c r="R489" s="2058"/>
      <c r="S489" s="2058"/>
      <c r="T489" s="2058"/>
      <c r="U489" s="2058"/>
      <c r="V489" s="2058"/>
      <c r="W489" s="2058"/>
      <c r="X489" s="2058"/>
      <c r="Y489" s="2058"/>
      <c r="Z489" s="2058"/>
    </row>
    <row r="490" spans="1:26" ht="12" x14ac:dyDescent="0.2">
      <c r="A490" s="2058"/>
      <c r="B490" s="2058"/>
      <c r="C490" s="2058"/>
      <c r="D490" s="2058"/>
      <c r="E490" s="2058"/>
      <c r="F490" s="2058"/>
      <c r="G490" s="2059"/>
      <c r="H490" s="2058"/>
      <c r="I490" s="2058"/>
      <c r="J490" s="2058"/>
      <c r="K490" s="2058"/>
      <c r="L490" s="2058"/>
      <c r="M490" s="2058"/>
      <c r="N490" s="2058"/>
      <c r="O490" s="2058"/>
      <c r="P490" s="2058"/>
      <c r="Q490" s="2058"/>
      <c r="R490" s="2058"/>
      <c r="S490" s="2058"/>
      <c r="T490" s="2058"/>
      <c r="U490" s="2058"/>
      <c r="V490" s="2058"/>
      <c r="W490" s="2058"/>
      <c r="X490" s="2058"/>
      <c r="Y490" s="2058"/>
      <c r="Z490" s="2058"/>
    </row>
    <row r="491" spans="1:26" ht="12" x14ac:dyDescent="0.2">
      <c r="A491" s="2058"/>
      <c r="B491" s="2058"/>
      <c r="C491" s="2058"/>
      <c r="D491" s="2058"/>
      <c r="E491" s="2058"/>
      <c r="F491" s="2058"/>
      <c r="G491" s="2059"/>
      <c r="H491" s="2058"/>
      <c r="I491" s="2058"/>
      <c r="J491" s="2058"/>
      <c r="K491" s="2058"/>
      <c r="L491" s="2058"/>
      <c r="M491" s="2058"/>
      <c r="N491" s="2058"/>
      <c r="O491" s="2058"/>
      <c r="P491" s="2058"/>
      <c r="Q491" s="2058"/>
      <c r="R491" s="2058"/>
      <c r="S491" s="2058"/>
      <c r="T491" s="2058"/>
      <c r="U491" s="2058"/>
      <c r="V491" s="2058"/>
      <c r="W491" s="2058"/>
      <c r="X491" s="2058"/>
      <c r="Y491" s="2058"/>
      <c r="Z491" s="2058"/>
    </row>
    <row r="492" spans="1:26" ht="12" x14ac:dyDescent="0.2">
      <c r="A492" s="2058"/>
      <c r="B492" s="2058"/>
      <c r="C492" s="2058"/>
      <c r="D492" s="2058"/>
      <c r="E492" s="2058"/>
      <c r="F492" s="2058"/>
      <c r="G492" s="2059"/>
      <c r="H492" s="2058"/>
      <c r="I492" s="2058"/>
      <c r="J492" s="2058"/>
      <c r="K492" s="2058"/>
      <c r="L492" s="2058"/>
      <c r="M492" s="2058"/>
      <c r="N492" s="2058"/>
      <c r="O492" s="2058"/>
      <c r="P492" s="2058"/>
      <c r="Q492" s="2058"/>
      <c r="R492" s="2058"/>
      <c r="S492" s="2058"/>
      <c r="T492" s="2058"/>
      <c r="U492" s="2058"/>
      <c r="V492" s="2058"/>
      <c r="W492" s="2058"/>
      <c r="X492" s="2058"/>
      <c r="Y492" s="2058"/>
      <c r="Z492" s="2058"/>
    </row>
    <row r="493" spans="1:26" ht="12" x14ac:dyDescent="0.2">
      <c r="A493" s="2058"/>
      <c r="B493" s="2058"/>
      <c r="C493" s="2058"/>
      <c r="D493" s="2058"/>
      <c r="E493" s="2058"/>
      <c r="F493" s="2058"/>
      <c r="G493" s="2059"/>
      <c r="H493" s="2058"/>
      <c r="I493" s="2058"/>
      <c r="J493" s="2058"/>
      <c r="K493" s="2058"/>
      <c r="L493" s="2058"/>
      <c r="M493" s="2058"/>
      <c r="N493" s="2058"/>
      <c r="O493" s="2058"/>
      <c r="P493" s="2058"/>
      <c r="Q493" s="2058"/>
      <c r="R493" s="2058"/>
      <c r="S493" s="2058"/>
      <c r="T493" s="2058"/>
      <c r="U493" s="2058"/>
      <c r="V493" s="2058"/>
      <c r="W493" s="2058"/>
      <c r="X493" s="2058"/>
      <c r="Y493" s="2058"/>
      <c r="Z493" s="2058"/>
    </row>
    <row r="494" spans="1:26" ht="12" x14ac:dyDescent="0.2">
      <c r="A494" s="2058"/>
      <c r="B494" s="2058"/>
      <c r="C494" s="2058"/>
      <c r="D494" s="2058"/>
      <c r="E494" s="2058"/>
      <c r="F494" s="2058"/>
      <c r="G494" s="2059"/>
      <c r="H494" s="2058"/>
      <c r="I494" s="2058"/>
      <c r="J494" s="2058"/>
      <c r="K494" s="2058"/>
      <c r="L494" s="2058"/>
      <c r="M494" s="2058"/>
      <c r="N494" s="2058"/>
      <c r="O494" s="2058"/>
      <c r="P494" s="2058"/>
      <c r="Q494" s="2058"/>
      <c r="R494" s="2058"/>
      <c r="S494" s="2058"/>
      <c r="T494" s="2058"/>
      <c r="U494" s="2058"/>
      <c r="V494" s="2058"/>
      <c r="W494" s="2058"/>
      <c r="X494" s="2058"/>
      <c r="Y494" s="2058"/>
      <c r="Z494" s="2058"/>
    </row>
    <row r="495" spans="1:26" ht="12" x14ac:dyDescent="0.2">
      <c r="A495" s="2058"/>
      <c r="B495" s="2058"/>
      <c r="C495" s="2058"/>
      <c r="D495" s="2058"/>
      <c r="E495" s="2058"/>
      <c r="F495" s="2058"/>
      <c r="G495" s="2059"/>
      <c r="H495" s="2058"/>
      <c r="I495" s="2058"/>
      <c r="J495" s="2058"/>
      <c r="K495" s="2058"/>
      <c r="L495" s="2058"/>
      <c r="M495" s="2058"/>
      <c r="N495" s="2058"/>
      <c r="O495" s="2058"/>
      <c r="P495" s="2058"/>
      <c r="Q495" s="2058"/>
      <c r="R495" s="2058"/>
      <c r="S495" s="2058"/>
      <c r="T495" s="2058"/>
      <c r="U495" s="2058"/>
      <c r="V495" s="2058"/>
      <c r="W495" s="2058"/>
      <c r="X495" s="2058"/>
      <c r="Y495" s="2058"/>
      <c r="Z495" s="2058"/>
    </row>
    <row r="496" spans="1:26" ht="12" x14ac:dyDescent="0.2">
      <c r="A496" s="2058"/>
      <c r="B496" s="2058"/>
      <c r="C496" s="2058"/>
      <c r="D496" s="2058"/>
      <c r="E496" s="2058"/>
      <c r="F496" s="2058"/>
      <c r="G496" s="2059"/>
      <c r="H496" s="2058"/>
      <c r="I496" s="2058"/>
      <c r="J496" s="2058"/>
      <c r="K496" s="2058"/>
      <c r="L496" s="2058"/>
      <c r="M496" s="2058"/>
      <c r="N496" s="2058"/>
      <c r="O496" s="2058"/>
      <c r="P496" s="2058"/>
      <c r="Q496" s="2058"/>
      <c r="R496" s="2058"/>
      <c r="S496" s="2058"/>
      <c r="T496" s="2058"/>
      <c r="U496" s="2058"/>
      <c r="V496" s="2058"/>
      <c r="W496" s="2058"/>
      <c r="X496" s="2058"/>
      <c r="Y496" s="2058"/>
      <c r="Z496" s="2058"/>
    </row>
    <row r="497" spans="1:26" ht="12" x14ac:dyDescent="0.2">
      <c r="A497" s="2058"/>
      <c r="B497" s="2058"/>
      <c r="C497" s="2058"/>
      <c r="D497" s="2058"/>
      <c r="E497" s="2058"/>
      <c r="F497" s="2058"/>
      <c r="G497" s="2059"/>
      <c r="H497" s="2058"/>
      <c r="I497" s="2058"/>
      <c r="J497" s="2058"/>
      <c r="K497" s="2058"/>
      <c r="L497" s="2058"/>
      <c r="M497" s="2058"/>
      <c r="N497" s="2058"/>
      <c r="O497" s="2058"/>
      <c r="P497" s="2058"/>
      <c r="Q497" s="2058"/>
      <c r="R497" s="2058"/>
      <c r="S497" s="2058"/>
      <c r="T497" s="2058"/>
      <c r="U497" s="2058"/>
      <c r="V497" s="2058"/>
      <c r="W497" s="2058"/>
      <c r="X497" s="2058"/>
      <c r="Y497" s="2058"/>
      <c r="Z497" s="2058"/>
    </row>
    <row r="498" spans="1:26" ht="12" x14ac:dyDescent="0.2">
      <c r="A498" s="2058"/>
      <c r="B498" s="2058"/>
      <c r="C498" s="2058"/>
      <c r="D498" s="2058"/>
      <c r="E498" s="2058"/>
      <c r="F498" s="2058"/>
      <c r="G498" s="2059"/>
      <c r="H498" s="2058"/>
      <c r="I498" s="2058"/>
      <c r="J498" s="2058"/>
      <c r="K498" s="2058"/>
      <c r="L498" s="2058"/>
      <c r="M498" s="2058"/>
      <c r="N498" s="2058"/>
      <c r="O498" s="2058"/>
      <c r="P498" s="2058"/>
      <c r="Q498" s="2058"/>
      <c r="R498" s="2058"/>
      <c r="S498" s="2058"/>
      <c r="T498" s="2058"/>
      <c r="U498" s="2058"/>
      <c r="V498" s="2058"/>
      <c r="W498" s="2058"/>
      <c r="X498" s="2058"/>
      <c r="Y498" s="2058"/>
      <c r="Z498" s="2058"/>
    </row>
    <row r="499" spans="1:26" ht="12" x14ac:dyDescent="0.2">
      <c r="A499" s="2058"/>
      <c r="B499" s="2058"/>
      <c r="C499" s="2058"/>
      <c r="D499" s="2058"/>
      <c r="E499" s="2058"/>
      <c r="F499" s="2058"/>
      <c r="G499" s="2059"/>
      <c r="H499" s="2058"/>
      <c r="I499" s="2058"/>
      <c r="J499" s="2058"/>
      <c r="K499" s="2058"/>
      <c r="L499" s="2058"/>
      <c r="M499" s="2058"/>
      <c r="N499" s="2058"/>
      <c r="O499" s="2058"/>
      <c r="P499" s="2058"/>
      <c r="Q499" s="2058"/>
      <c r="R499" s="2058"/>
      <c r="S499" s="2058"/>
      <c r="T499" s="2058"/>
      <c r="U499" s="2058"/>
      <c r="V499" s="2058"/>
      <c r="W499" s="2058"/>
      <c r="X499" s="2058"/>
      <c r="Y499" s="2058"/>
      <c r="Z499" s="2058"/>
    </row>
    <row r="500" spans="1:26" ht="12" x14ac:dyDescent="0.2">
      <c r="A500" s="2058"/>
      <c r="B500" s="2058"/>
      <c r="C500" s="2058"/>
      <c r="D500" s="2058"/>
      <c r="E500" s="2058"/>
      <c r="F500" s="2058"/>
      <c r="G500" s="2059"/>
      <c r="H500" s="2058"/>
      <c r="I500" s="2058"/>
      <c r="J500" s="2058"/>
      <c r="K500" s="2058"/>
      <c r="L500" s="2058"/>
      <c r="M500" s="2058"/>
      <c r="N500" s="2058"/>
      <c r="O500" s="2058"/>
      <c r="P500" s="2058"/>
      <c r="Q500" s="2058"/>
      <c r="R500" s="2058"/>
      <c r="S500" s="2058"/>
      <c r="T500" s="2058"/>
      <c r="U500" s="2058"/>
      <c r="V500" s="2058"/>
      <c r="W500" s="2058"/>
      <c r="X500" s="2058"/>
      <c r="Y500" s="2058"/>
      <c r="Z500" s="2058"/>
    </row>
    <row r="501" spans="1:26" ht="12" x14ac:dyDescent="0.2">
      <c r="A501" s="2058"/>
      <c r="B501" s="2058"/>
      <c r="C501" s="2058"/>
      <c r="D501" s="2058"/>
      <c r="E501" s="2058"/>
      <c r="F501" s="2058"/>
      <c r="G501" s="2059"/>
      <c r="H501" s="2058"/>
      <c r="I501" s="2058"/>
      <c r="J501" s="2058"/>
      <c r="K501" s="2058"/>
      <c r="L501" s="2058"/>
      <c r="M501" s="2058"/>
      <c r="N501" s="2058"/>
      <c r="O501" s="2058"/>
      <c r="P501" s="2058"/>
      <c r="Q501" s="2058"/>
      <c r="R501" s="2058"/>
      <c r="S501" s="2058"/>
      <c r="T501" s="2058"/>
      <c r="U501" s="2058"/>
      <c r="V501" s="2058"/>
      <c r="W501" s="2058"/>
      <c r="X501" s="2058"/>
      <c r="Y501" s="2058"/>
      <c r="Z501" s="2058"/>
    </row>
    <row r="502" spans="1:26" ht="12" x14ac:dyDescent="0.2">
      <c r="A502" s="2058"/>
      <c r="B502" s="2058"/>
      <c r="C502" s="2058"/>
      <c r="D502" s="2058"/>
      <c r="E502" s="2058"/>
      <c r="F502" s="2058"/>
      <c r="G502" s="2059"/>
      <c r="H502" s="2058"/>
      <c r="I502" s="2058"/>
      <c r="J502" s="2058"/>
      <c r="K502" s="2058"/>
      <c r="L502" s="2058"/>
      <c r="M502" s="2058"/>
      <c r="N502" s="2058"/>
      <c r="O502" s="2058"/>
      <c r="P502" s="2058"/>
      <c r="Q502" s="2058"/>
      <c r="R502" s="2058"/>
      <c r="S502" s="2058"/>
      <c r="T502" s="2058"/>
      <c r="U502" s="2058"/>
      <c r="V502" s="2058"/>
      <c r="W502" s="2058"/>
      <c r="X502" s="2058"/>
      <c r="Y502" s="2058"/>
      <c r="Z502" s="2058"/>
    </row>
    <row r="503" spans="1:26" ht="12" x14ac:dyDescent="0.2">
      <c r="A503" s="2058"/>
      <c r="B503" s="2058"/>
      <c r="C503" s="2058"/>
      <c r="D503" s="2058"/>
      <c r="E503" s="2058"/>
      <c r="F503" s="2058"/>
      <c r="G503" s="2059"/>
      <c r="H503" s="2058"/>
      <c r="I503" s="2058"/>
      <c r="J503" s="2058"/>
      <c r="K503" s="2058"/>
      <c r="L503" s="2058"/>
      <c r="M503" s="2058"/>
      <c r="N503" s="2058"/>
      <c r="O503" s="2058"/>
      <c r="P503" s="2058"/>
      <c r="Q503" s="2058"/>
      <c r="R503" s="2058"/>
      <c r="S503" s="2058"/>
      <c r="T503" s="2058"/>
      <c r="U503" s="2058"/>
      <c r="V503" s="2058"/>
      <c r="W503" s="2058"/>
      <c r="X503" s="2058"/>
      <c r="Y503" s="2058"/>
      <c r="Z503" s="2058"/>
    </row>
    <row r="504" spans="1:26" ht="12" x14ac:dyDescent="0.2">
      <c r="A504" s="2058"/>
      <c r="B504" s="2058"/>
      <c r="C504" s="2058"/>
      <c r="D504" s="2058"/>
      <c r="E504" s="2058"/>
      <c r="F504" s="2058"/>
      <c r="G504" s="2059"/>
      <c r="H504" s="2058"/>
      <c r="I504" s="2058"/>
      <c r="J504" s="2058"/>
      <c r="K504" s="2058"/>
      <c r="L504" s="2058"/>
      <c r="M504" s="2058"/>
      <c r="N504" s="2058"/>
      <c r="O504" s="2058"/>
      <c r="P504" s="2058"/>
      <c r="Q504" s="2058"/>
      <c r="R504" s="2058"/>
      <c r="S504" s="2058"/>
      <c r="T504" s="2058"/>
      <c r="U504" s="2058"/>
      <c r="V504" s="2058"/>
      <c r="W504" s="2058"/>
      <c r="X504" s="2058"/>
      <c r="Y504" s="2058"/>
      <c r="Z504" s="2058"/>
    </row>
    <row r="505" spans="1:26" ht="12" x14ac:dyDescent="0.2">
      <c r="A505" s="2058"/>
      <c r="B505" s="2058"/>
      <c r="C505" s="2058"/>
      <c r="D505" s="2058"/>
      <c r="E505" s="2058"/>
      <c r="F505" s="2058"/>
      <c r="G505" s="2059"/>
      <c r="H505" s="2058"/>
      <c r="I505" s="2058"/>
      <c r="J505" s="2058"/>
      <c r="K505" s="2058"/>
      <c r="L505" s="2058"/>
      <c r="M505" s="2058"/>
      <c r="N505" s="2058"/>
      <c r="O505" s="2058"/>
      <c r="P505" s="2058"/>
      <c r="Q505" s="2058"/>
      <c r="R505" s="2058"/>
      <c r="S505" s="2058"/>
      <c r="T505" s="2058"/>
      <c r="U505" s="2058"/>
      <c r="V505" s="2058"/>
      <c r="W505" s="2058"/>
      <c r="X505" s="2058"/>
      <c r="Y505" s="2058"/>
      <c r="Z505" s="2058"/>
    </row>
    <row r="506" spans="1:26" ht="12" x14ac:dyDescent="0.2">
      <c r="A506" s="2058"/>
      <c r="B506" s="2058"/>
      <c r="C506" s="2058"/>
      <c r="D506" s="2058"/>
      <c r="E506" s="2058"/>
      <c r="F506" s="2058"/>
      <c r="G506" s="2059"/>
      <c r="H506" s="2058"/>
      <c r="I506" s="2058"/>
      <c r="J506" s="2058"/>
      <c r="K506" s="2058"/>
      <c r="L506" s="2058"/>
      <c r="M506" s="2058"/>
      <c r="N506" s="2058"/>
      <c r="O506" s="2058"/>
      <c r="P506" s="2058"/>
      <c r="Q506" s="2058"/>
      <c r="R506" s="2058"/>
      <c r="S506" s="2058"/>
      <c r="T506" s="2058"/>
      <c r="U506" s="2058"/>
      <c r="V506" s="2058"/>
      <c r="W506" s="2058"/>
      <c r="X506" s="2058"/>
      <c r="Y506" s="2058"/>
      <c r="Z506" s="2058"/>
    </row>
    <row r="507" spans="1:26" ht="12" x14ac:dyDescent="0.2">
      <c r="A507" s="2058"/>
      <c r="B507" s="2058"/>
      <c r="C507" s="2058"/>
      <c r="D507" s="2058"/>
      <c r="E507" s="2058"/>
      <c r="F507" s="2058"/>
      <c r="G507" s="2059"/>
      <c r="H507" s="2058"/>
      <c r="I507" s="2058"/>
      <c r="J507" s="2058"/>
      <c r="K507" s="2058"/>
      <c r="L507" s="2058"/>
      <c r="M507" s="2058"/>
      <c r="N507" s="2058"/>
      <c r="O507" s="2058"/>
      <c r="P507" s="2058"/>
      <c r="Q507" s="2058"/>
      <c r="R507" s="2058"/>
      <c r="S507" s="2058"/>
      <c r="T507" s="2058"/>
      <c r="U507" s="2058"/>
      <c r="V507" s="2058"/>
      <c r="W507" s="2058"/>
      <c r="X507" s="2058"/>
      <c r="Y507" s="2058"/>
      <c r="Z507" s="2058"/>
    </row>
    <row r="508" spans="1:26" ht="12" x14ac:dyDescent="0.2">
      <c r="A508" s="2058"/>
      <c r="B508" s="2058"/>
      <c r="C508" s="2058"/>
      <c r="D508" s="2058"/>
      <c r="E508" s="2058"/>
      <c r="F508" s="2058"/>
      <c r="G508" s="2059"/>
      <c r="H508" s="2058"/>
      <c r="I508" s="2058"/>
      <c r="J508" s="2058"/>
      <c r="K508" s="2058"/>
      <c r="L508" s="2058"/>
      <c r="M508" s="2058"/>
      <c r="N508" s="2058"/>
      <c r="O508" s="2058"/>
      <c r="P508" s="2058"/>
      <c r="Q508" s="2058"/>
      <c r="R508" s="2058"/>
      <c r="S508" s="2058"/>
      <c r="T508" s="2058"/>
      <c r="U508" s="2058"/>
      <c r="V508" s="2058"/>
      <c r="W508" s="2058"/>
      <c r="X508" s="2058"/>
      <c r="Y508" s="2058"/>
      <c r="Z508" s="2058"/>
    </row>
    <row r="509" spans="1:26" ht="12" x14ac:dyDescent="0.2">
      <c r="A509" s="2058"/>
      <c r="B509" s="2058"/>
      <c r="C509" s="2058"/>
      <c r="D509" s="2058"/>
      <c r="E509" s="2058"/>
      <c r="F509" s="2058"/>
      <c r="G509" s="2059"/>
      <c r="H509" s="2058"/>
      <c r="I509" s="2058"/>
      <c r="J509" s="2058"/>
      <c r="K509" s="2058"/>
      <c r="L509" s="2058"/>
      <c r="M509" s="2058"/>
      <c r="N509" s="2058"/>
      <c r="O509" s="2058"/>
      <c r="P509" s="2058"/>
      <c r="Q509" s="2058"/>
      <c r="R509" s="2058"/>
      <c r="S509" s="2058"/>
      <c r="T509" s="2058"/>
      <c r="U509" s="2058"/>
      <c r="V509" s="2058"/>
      <c r="W509" s="2058"/>
      <c r="X509" s="2058"/>
      <c r="Y509" s="2058"/>
      <c r="Z509" s="2058"/>
    </row>
    <row r="510" spans="1:26" ht="12" x14ac:dyDescent="0.2">
      <c r="A510" s="2058"/>
      <c r="B510" s="2058"/>
      <c r="C510" s="2058"/>
      <c r="D510" s="2058"/>
      <c r="E510" s="2058"/>
      <c r="F510" s="2058"/>
      <c r="G510" s="2059"/>
      <c r="H510" s="2058"/>
      <c r="I510" s="2058"/>
      <c r="J510" s="2058"/>
      <c r="K510" s="2058"/>
      <c r="L510" s="2058"/>
      <c r="M510" s="2058"/>
      <c r="N510" s="2058"/>
      <c r="O510" s="2058"/>
      <c r="P510" s="2058"/>
      <c r="Q510" s="2058"/>
      <c r="R510" s="2058"/>
      <c r="S510" s="2058"/>
      <c r="T510" s="2058"/>
      <c r="U510" s="2058"/>
      <c r="V510" s="2058"/>
      <c r="W510" s="2058"/>
      <c r="X510" s="2058"/>
      <c r="Y510" s="2058"/>
      <c r="Z510" s="2058"/>
    </row>
    <row r="511" spans="1:26" ht="12" x14ac:dyDescent="0.2">
      <c r="A511" s="2058"/>
      <c r="B511" s="2058"/>
      <c r="C511" s="2058"/>
      <c r="D511" s="2058"/>
      <c r="E511" s="2058"/>
      <c r="F511" s="2058"/>
      <c r="G511" s="2059"/>
      <c r="H511" s="2058"/>
      <c r="I511" s="2058"/>
      <c r="J511" s="2058"/>
      <c r="K511" s="2058"/>
      <c r="L511" s="2058"/>
      <c r="M511" s="2058"/>
      <c r="N511" s="2058"/>
      <c r="O511" s="2058"/>
      <c r="P511" s="2058"/>
      <c r="Q511" s="2058"/>
      <c r="R511" s="2058"/>
      <c r="S511" s="2058"/>
      <c r="T511" s="2058"/>
      <c r="U511" s="2058"/>
      <c r="V511" s="2058"/>
      <c r="W511" s="2058"/>
      <c r="X511" s="2058"/>
      <c r="Y511" s="2058"/>
      <c r="Z511" s="2058"/>
    </row>
    <row r="512" spans="1:26" ht="12" x14ac:dyDescent="0.2">
      <c r="A512" s="2058"/>
      <c r="B512" s="2058"/>
      <c r="C512" s="2058"/>
      <c r="D512" s="2058"/>
      <c r="E512" s="2058"/>
      <c r="F512" s="2058"/>
      <c r="G512" s="2059"/>
      <c r="H512" s="2058"/>
      <c r="I512" s="2058"/>
      <c r="J512" s="2058"/>
      <c r="K512" s="2058"/>
      <c r="L512" s="2058"/>
      <c r="M512" s="2058"/>
      <c r="N512" s="2058"/>
      <c r="O512" s="2058"/>
      <c r="P512" s="2058"/>
      <c r="Q512" s="2058"/>
      <c r="R512" s="2058"/>
      <c r="S512" s="2058"/>
      <c r="T512" s="2058"/>
      <c r="U512" s="2058"/>
      <c r="V512" s="2058"/>
      <c r="W512" s="2058"/>
      <c r="X512" s="2058"/>
      <c r="Y512" s="2058"/>
      <c r="Z512" s="2058"/>
    </row>
    <row r="513" spans="1:26" ht="12" x14ac:dyDescent="0.2">
      <c r="A513" s="2058"/>
      <c r="B513" s="2058"/>
      <c r="C513" s="2058"/>
      <c r="D513" s="2058"/>
      <c r="E513" s="2058"/>
      <c r="F513" s="2058"/>
      <c r="G513" s="2059"/>
      <c r="H513" s="2058"/>
      <c r="I513" s="2058"/>
      <c r="J513" s="2058"/>
      <c r="K513" s="2058"/>
      <c r="L513" s="2058"/>
      <c r="M513" s="2058"/>
      <c r="N513" s="2058"/>
      <c r="O513" s="2058"/>
      <c r="P513" s="2058"/>
      <c r="Q513" s="2058"/>
      <c r="R513" s="2058"/>
      <c r="S513" s="2058"/>
      <c r="T513" s="2058"/>
      <c r="U513" s="2058"/>
      <c r="V513" s="2058"/>
      <c r="W513" s="2058"/>
      <c r="X513" s="2058"/>
      <c r="Y513" s="2058"/>
      <c r="Z513" s="2058"/>
    </row>
    <row r="514" spans="1:26" ht="12" x14ac:dyDescent="0.2">
      <c r="A514" s="2058"/>
      <c r="B514" s="2058"/>
      <c r="C514" s="2058"/>
      <c r="D514" s="2058"/>
      <c r="E514" s="2058"/>
      <c r="F514" s="2058"/>
      <c r="G514" s="2059"/>
      <c r="H514" s="2058"/>
      <c r="I514" s="2058"/>
      <c r="J514" s="2058"/>
      <c r="K514" s="2058"/>
      <c r="L514" s="2058"/>
      <c r="M514" s="2058"/>
      <c r="N514" s="2058"/>
      <c r="O514" s="2058"/>
      <c r="P514" s="2058"/>
      <c r="Q514" s="2058"/>
      <c r="R514" s="2058"/>
      <c r="S514" s="2058"/>
      <c r="T514" s="2058"/>
      <c r="U514" s="2058"/>
      <c r="V514" s="2058"/>
      <c r="W514" s="2058"/>
      <c r="X514" s="2058"/>
      <c r="Y514" s="2058"/>
      <c r="Z514" s="2058"/>
    </row>
    <row r="515" spans="1:26" ht="12" x14ac:dyDescent="0.2">
      <c r="A515" s="2058"/>
      <c r="B515" s="2058"/>
      <c r="C515" s="2058"/>
      <c r="D515" s="2058"/>
      <c r="E515" s="2058"/>
      <c r="F515" s="2058"/>
      <c r="G515" s="2059"/>
      <c r="H515" s="2058"/>
      <c r="I515" s="2058"/>
      <c r="J515" s="2058"/>
      <c r="K515" s="2058"/>
      <c r="L515" s="2058"/>
      <c r="M515" s="2058"/>
      <c r="N515" s="2058"/>
      <c r="O515" s="2058"/>
      <c r="P515" s="2058"/>
      <c r="Q515" s="2058"/>
      <c r="R515" s="2058"/>
      <c r="S515" s="2058"/>
      <c r="T515" s="2058"/>
      <c r="U515" s="2058"/>
      <c r="V515" s="2058"/>
      <c r="W515" s="2058"/>
      <c r="X515" s="2058"/>
      <c r="Y515" s="2058"/>
      <c r="Z515" s="2058"/>
    </row>
    <row r="516" spans="1:26" ht="12" x14ac:dyDescent="0.2">
      <c r="A516" s="2058"/>
      <c r="B516" s="2058"/>
      <c r="C516" s="2058"/>
      <c r="D516" s="2058"/>
      <c r="E516" s="2058"/>
      <c r="F516" s="2058"/>
      <c r="G516" s="2059"/>
      <c r="H516" s="2058"/>
      <c r="I516" s="2058"/>
      <c r="J516" s="2058"/>
      <c r="K516" s="2058"/>
      <c r="L516" s="2058"/>
      <c r="M516" s="2058"/>
      <c r="N516" s="2058"/>
      <c r="O516" s="2058"/>
      <c r="P516" s="2058"/>
      <c r="Q516" s="2058"/>
      <c r="R516" s="2058"/>
      <c r="S516" s="2058"/>
      <c r="T516" s="2058"/>
      <c r="U516" s="2058"/>
      <c r="V516" s="2058"/>
      <c r="W516" s="2058"/>
      <c r="X516" s="2058"/>
      <c r="Y516" s="2058"/>
      <c r="Z516" s="2058"/>
    </row>
    <row r="517" spans="1:26" ht="12" x14ac:dyDescent="0.2">
      <c r="A517" s="2058"/>
      <c r="B517" s="2058"/>
      <c r="C517" s="2058"/>
      <c r="D517" s="2058"/>
      <c r="E517" s="2058"/>
      <c r="F517" s="2058"/>
      <c r="G517" s="2059"/>
      <c r="H517" s="2058"/>
      <c r="I517" s="2058"/>
      <c r="J517" s="2058"/>
      <c r="K517" s="2058"/>
      <c r="L517" s="2058"/>
      <c r="M517" s="2058"/>
      <c r="N517" s="2058"/>
      <c r="O517" s="2058"/>
      <c r="P517" s="2058"/>
      <c r="Q517" s="2058"/>
      <c r="R517" s="2058"/>
      <c r="S517" s="2058"/>
      <c r="T517" s="2058"/>
      <c r="U517" s="2058"/>
      <c r="V517" s="2058"/>
      <c r="W517" s="2058"/>
      <c r="X517" s="2058"/>
      <c r="Y517" s="2058"/>
      <c r="Z517" s="2058"/>
    </row>
    <row r="518" spans="1:26" ht="12" x14ac:dyDescent="0.2">
      <c r="A518" s="2058"/>
      <c r="B518" s="2058"/>
      <c r="C518" s="2058"/>
      <c r="D518" s="2058"/>
      <c r="E518" s="2058"/>
      <c r="F518" s="2058"/>
      <c r="G518" s="2059"/>
      <c r="H518" s="2058"/>
      <c r="I518" s="2058"/>
      <c r="J518" s="2058"/>
      <c r="K518" s="2058"/>
      <c r="L518" s="2058"/>
      <c r="M518" s="2058"/>
      <c r="N518" s="2058"/>
      <c r="O518" s="2058"/>
      <c r="P518" s="2058"/>
      <c r="Q518" s="2058"/>
      <c r="R518" s="2058"/>
      <c r="S518" s="2058"/>
      <c r="T518" s="2058"/>
      <c r="U518" s="2058"/>
      <c r="V518" s="2058"/>
      <c r="W518" s="2058"/>
      <c r="X518" s="2058"/>
      <c r="Y518" s="2058"/>
      <c r="Z518" s="2058"/>
    </row>
    <row r="519" spans="1:26" ht="12" x14ac:dyDescent="0.2">
      <c r="A519" s="2058"/>
      <c r="B519" s="2058"/>
      <c r="C519" s="2058"/>
      <c r="D519" s="2058"/>
      <c r="E519" s="2058"/>
      <c r="F519" s="2058"/>
      <c r="G519" s="2059"/>
      <c r="H519" s="2058"/>
      <c r="I519" s="2058"/>
      <c r="J519" s="2058"/>
      <c r="K519" s="2058"/>
      <c r="L519" s="2058"/>
      <c r="M519" s="2058"/>
      <c r="N519" s="2058"/>
      <c r="O519" s="2058"/>
      <c r="P519" s="2058"/>
      <c r="Q519" s="2058"/>
      <c r="R519" s="2058"/>
      <c r="S519" s="2058"/>
      <c r="T519" s="2058"/>
      <c r="U519" s="2058"/>
      <c r="V519" s="2058"/>
      <c r="W519" s="2058"/>
      <c r="X519" s="2058"/>
      <c r="Y519" s="2058"/>
      <c r="Z519" s="2058"/>
    </row>
    <row r="520" spans="1:26" ht="12" x14ac:dyDescent="0.2">
      <c r="A520" s="2058"/>
      <c r="B520" s="2058"/>
      <c r="C520" s="2058"/>
      <c r="D520" s="2058"/>
      <c r="E520" s="2058"/>
      <c r="F520" s="2058"/>
      <c r="G520" s="2059"/>
      <c r="H520" s="2058"/>
      <c r="I520" s="2058"/>
      <c r="J520" s="2058"/>
      <c r="K520" s="2058"/>
      <c r="L520" s="2058"/>
      <c r="M520" s="2058"/>
      <c r="N520" s="2058"/>
      <c r="O520" s="2058"/>
      <c r="P520" s="2058"/>
      <c r="Q520" s="2058"/>
      <c r="R520" s="2058"/>
      <c r="S520" s="2058"/>
      <c r="T520" s="2058"/>
      <c r="U520" s="2058"/>
      <c r="V520" s="2058"/>
      <c r="W520" s="2058"/>
      <c r="X520" s="2058"/>
      <c r="Y520" s="2058"/>
      <c r="Z520" s="2058"/>
    </row>
    <row r="521" spans="1:26" ht="12" x14ac:dyDescent="0.2">
      <c r="A521" s="2058"/>
      <c r="B521" s="2058"/>
      <c r="C521" s="2058"/>
      <c r="D521" s="2058"/>
      <c r="E521" s="2058"/>
      <c r="F521" s="2058"/>
      <c r="G521" s="2059"/>
      <c r="H521" s="2058"/>
      <c r="I521" s="2058"/>
      <c r="J521" s="2058"/>
      <c r="K521" s="2058"/>
      <c r="L521" s="2058"/>
      <c r="M521" s="2058"/>
      <c r="N521" s="2058"/>
      <c r="O521" s="2058"/>
      <c r="P521" s="2058"/>
      <c r="Q521" s="2058"/>
      <c r="R521" s="2058"/>
      <c r="S521" s="2058"/>
      <c r="T521" s="2058"/>
      <c r="U521" s="2058"/>
      <c r="V521" s="2058"/>
      <c r="W521" s="2058"/>
      <c r="X521" s="2058"/>
      <c r="Y521" s="2058"/>
      <c r="Z521" s="2058"/>
    </row>
    <row r="522" spans="1:26" ht="12" x14ac:dyDescent="0.2">
      <c r="A522" s="2058"/>
      <c r="B522" s="2058"/>
      <c r="C522" s="2058"/>
      <c r="D522" s="2058"/>
      <c r="E522" s="2058"/>
      <c r="F522" s="2058"/>
      <c r="G522" s="2059"/>
      <c r="H522" s="2058"/>
      <c r="I522" s="2058"/>
      <c r="J522" s="2058"/>
      <c r="K522" s="2058"/>
      <c r="L522" s="2058"/>
      <c r="M522" s="2058"/>
      <c r="N522" s="2058"/>
      <c r="O522" s="2058"/>
      <c r="P522" s="2058"/>
      <c r="Q522" s="2058"/>
      <c r="R522" s="2058"/>
      <c r="S522" s="2058"/>
      <c r="T522" s="2058"/>
      <c r="U522" s="2058"/>
      <c r="V522" s="2058"/>
      <c r="W522" s="2058"/>
      <c r="X522" s="2058"/>
      <c r="Y522" s="2058"/>
      <c r="Z522" s="2058"/>
    </row>
    <row r="523" spans="1:26" ht="12" x14ac:dyDescent="0.2">
      <c r="A523" s="2058"/>
      <c r="B523" s="2058"/>
      <c r="C523" s="2058"/>
      <c r="D523" s="2058"/>
      <c r="E523" s="2058"/>
      <c r="F523" s="2058"/>
      <c r="G523" s="2059"/>
      <c r="H523" s="2058"/>
      <c r="I523" s="2058"/>
      <c r="J523" s="2058"/>
      <c r="K523" s="2058"/>
      <c r="L523" s="2058"/>
      <c r="M523" s="2058"/>
      <c r="N523" s="2058"/>
      <c r="O523" s="2058"/>
      <c r="P523" s="2058"/>
      <c r="Q523" s="2058"/>
      <c r="R523" s="2058"/>
      <c r="S523" s="2058"/>
      <c r="T523" s="2058"/>
      <c r="U523" s="2058"/>
      <c r="V523" s="2058"/>
      <c r="W523" s="2058"/>
      <c r="X523" s="2058"/>
      <c r="Y523" s="2058"/>
      <c r="Z523" s="2058"/>
    </row>
    <row r="524" spans="1:26" ht="12" x14ac:dyDescent="0.2">
      <c r="A524" s="2058"/>
      <c r="B524" s="2058"/>
      <c r="C524" s="2058"/>
      <c r="D524" s="2058"/>
      <c r="E524" s="2058"/>
      <c r="F524" s="2058"/>
      <c r="G524" s="2059"/>
      <c r="H524" s="2058"/>
      <c r="I524" s="2058"/>
      <c r="J524" s="2058"/>
      <c r="K524" s="2058"/>
      <c r="L524" s="2058"/>
      <c r="M524" s="2058"/>
      <c r="N524" s="2058"/>
      <c r="O524" s="2058"/>
      <c r="P524" s="2058"/>
      <c r="Q524" s="2058"/>
      <c r="R524" s="2058"/>
      <c r="S524" s="2058"/>
      <c r="T524" s="2058"/>
      <c r="U524" s="2058"/>
      <c r="V524" s="2058"/>
      <c r="W524" s="2058"/>
      <c r="X524" s="2058"/>
      <c r="Y524" s="2058"/>
      <c r="Z524" s="2058"/>
    </row>
    <row r="525" spans="1:26" ht="12" x14ac:dyDescent="0.2">
      <c r="A525" s="2058"/>
      <c r="B525" s="2058"/>
      <c r="C525" s="2058"/>
      <c r="D525" s="2058"/>
      <c r="E525" s="2058"/>
      <c r="F525" s="2058"/>
      <c r="G525" s="2059"/>
      <c r="H525" s="2058"/>
      <c r="I525" s="2058"/>
      <c r="J525" s="2058"/>
      <c r="K525" s="2058"/>
      <c r="L525" s="2058"/>
      <c r="M525" s="2058"/>
      <c r="N525" s="2058"/>
      <c r="O525" s="2058"/>
      <c r="P525" s="2058"/>
      <c r="Q525" s="2058"/>
      <c r="R525" s="2058"/>
      <c r="S525" s="2058"/>
      <c r="T525" s="2058"/>
      <c r="U525" s="2058"/>
      <c r="V525" s="2058"/>
      <c r="W525" s="2058"/>
      <c r="X525" s="2058"/>
      <c r="Y525" s="2058"/>
      <c r="Z525" s="2058"/>
    </row>
    <row r="526" spans="1:26" ht="12" x14ac:dyDescent="0.2">
      <c r="A526" s="2058"/>
      <c r="B526" s="2058"/>
      <c r="C526" s="2058"/>
      <c r="D526" s="2058"/>
      <c r="E526" s="2058"/>
      <c r="F526" s="2058"/>
      <c r="G526" s="2059"/>
      <c r="H526" s="2058"/>
      <c r="I526" s="2058"/>
      <c r="J526" s="2058"/>
      <c r="K526" s="2058"/>
      <c r="L526" s="2058"/>
      <c r="M526" s="2058"/>
      <c r="N526" s="2058"/>
      <c r="O526" s="2058"/>
      <c r="P526" s="2058"/>
      <c r="Q526" s="2058"/>
      <c r="R526" s="2058"/>
      <c r="S526" s="2058"/>
      <c r="T526" s="2058"/>
      <c r="U526" s="2058"/>
      <c r="V526" s="2058"/>
      <c r="W526" s="2058"/>
      <c r="X526" s="2058"/>
      <c r="Y526" s="2058"/>
      <c r="Z526" s="2058"/>
    </row>
    <row r="527" spans="1:26" ht="12" x14ac:dyDescent="0.2">
      <c r="A527" s="2058"/>
      <c r="B527" s="2058"/>
      <c r="C527" s="2058"/>
      <c r="D527" s="2058"/>
      <c r="E527" s="2058"/>
      <c r="F527" s="2058"/>
      <c r="G527" s="2059"/>
      <c r="H527" s="2058"/>
      <c r="I527" s="2058"/>
      <c r="J527" s="2058"/>
      <c r="K527" s="2058"/>
      <c r="L527" s="2058"/>
      <c r="M527" s="2058"/>
      <c r="N527" s="2058"/>
      <c r="O527" s="2058"/>
      <c r="P527" s="2058"/>
      <c r="Q527" s="2058"/>
      <c r="R527" s="2058"/>
      <c r="S527" s="2058"/>
      <c r="T527" s="2058"/>
      <c r="U527" s="2058"/>
      <c r="V527" s="2058"/>
      <c r="W527" s="2058"/>
      <c r="X527" s="2058"/>
      <c r="Y527" s="2058"/>
      <c r="Z527" s="2058"/>
    </row>
    <row r="528" spans="1:26" ht="12" x14ac:dyDescent="0.2">
      <c r="A528" s="2058"/>
      <c r="B528" s="2058"/>
      <c r="C528" s="2058"/>
      <c r="D528" s="2058"/>
      <c r="E528" s="2058"/>
      <c r="F528" s="2058"/>
      <c r="G528" s="2059"/>
      <c r="H528" s="2058"/>
      <c r="I528" s="2058"/>
      <c r="J528" s="2058"/>
      <c r="K528" s="2058"/>
      <c r="L528" s="2058"/>
      <c r="M528" s="2058"/>
      <c r="N528" s="2058"/>
      <c r="O528" s="2058"/>
      <c r="P528" s="2058"/>
      <c r="Q528" s="2058"/>
      <c r="R528" s="2058"/>
      <c r="S528" s="2058"/>
      <c r="T528" s="2058"/>
      <c r="U528" s="2058"/>
      <c r="V528" s="2058"/>
      <c r="W528" s="2058"/>
      <c r="X528" s="2058"/>
      <c r="Y528" s="2058"/>
      <c r="Z528" s="2058"/>
    </row>
    <row r="529" spans="1:26" ht="12" x14ac:dyDescent="0.2">
      <c r="A529" s="2058"/>
      <c r="B529" s="2058"/>
      <c r="C529" s="2058"/>
      <c r="D529" s="2058"/>
      <c r="E529" s="2058"/>
      <c r="F529" s="2058"/>
      <c r="G529" s="2059"/>
      <c r="H529" s="2058"/>
      <c r="I529" s="2058"/>
      <c r="J529" s="2058"/>
      <c r="K529" s="2058"/>
      <c r="L529" s="2058"/>
      <c r="M529" s="2058"/>
      <c r="N529" s="2058"/>
      <c r="O529" s="2058"/>
      <c r="P529" s="2058"/>
      <c r="Q529" s="2058"/>
      <c r="R529" s="2058"/>
      <c r="S529" s="2058"/>
      <c r="T529" s="2058"/>
      <c r="U529" s="2058"/>
      <c r="V529" s="2058"/>
      <c r="W529" s="2058"/>
      <c r="X529" s="2058"/>
      <c r="Y529" s="2058"/>
      <c r="Z529" s="2058"/>
    </row>
    <row r="530" spans="1:26" ht="12" x14ac:dyDescent="0.2">
      <c r="A530" s="2058"/>
      <c r="B530" s="2058"/>
      <c r="C530" s="2058"/>
      <c r="D530" s="2058"/>
      <c r="E530" s="2058"/>
      <c r="F530" s="2058"/>
      <c r="G530" s="2059"/>
      <c r="H530" s="2058"/>
      <c r="I530" s="2058"/>
      <c r="J530" s="2058"/>
      <c r="K530" s="2058"/>
      <c r="L530" s="2058"/>
      <c r="M530" s="2058"/>
      <c r="N530" s="2058"/>
      <c r="O530" s="2058"/>
      <c r="P530" s="2058"/>
      <c r="Q530" s="2058"/>
      <c r="R530" s="2058"/>
      <c r="S530" s="2058"/>
      <c r="T530" s="2058"/>
      <c r="U530" s="2058"/>
      <c r="V530" s="2058"/>
      <c r="W530" s="2058"/>
      <c r="X530" s="2058"/>
      <c r="Y530" s="2058"/>
      <c r="Z530" s="2058"/>
    </row>
    <row r="531" spans="1:26" ht="12" x14ac:dyDescent="0.2">
      <c r="A531" s="2058"/>
      <c r="B531" s="2058"/>
      <c r="C531" s="2058"/>
      <c r="D531" s="2058"/>
      <c r="E531" s="2058"/>
      <c r="F531" s="2058"/>
      <c r="G531" s="2059"/>
      <c r="H531" s="2058"/>
      <c r="I531" s="2058"/>
      <c r="J531" s="2058"/>
      <c r="K531" s="2058"/>
      <c r="L531" s="2058"/>
      <c r="M531" s="2058"/>
      <c r="N531" s="2058"/>
      <c r="O531" s="2058"/>
      <c r="P531" s="2058"/>
      <c r="Q531" s="2058"/>
      <c r="R531" s="2058"/>
      <c r="S531" s="2058"/>
      <c r="T531" s="2058"/>
      <c r="U531" s="2058"/>
      <c r="V531" s="2058"/>
      <c r="W531" s="2058"/>
      <c r="X531" s="2058"/>
      <c r="Y531" s="2058"/>
      <c r="Z531" s="2058"/>
    </row>
    <row r="532" spans="1:26" ht="12" x14ac:dyDescent="0.2">
      <c r="A532" s="2058"/>
      <c r="B532" s="2058"/>
      <c r="C532" s="2058"/>
      <c r="D532" s="2058"/>
      <c r="E532" s="2058"/>
      <c r="F532" s="2058"/>
      <c r="G532" s="2059"/>
      <c r="H532" s="2058"/>
      <c r="I532" s="2058"/>
      <c r="J532" s="2058"/>
      <c r="K532" s="2058"/>
      <c r="L532" s="2058"/>
      <c r="M532" s="2058"/>
      <c r="N532" s="2058"/>
      <c r="O532" s="2058"/>
      <c r="P532" s="2058"/>
      <c r="Q532" s="2058"/>
      <c r="R532" s="2058"/>
      <c r="S532" s="2058"/>
      <c r="T532" s="2058"/>
      <c r="U532" s="2058"/>
      <c r="V532" s="2058"/>
      <c r="W532" s="2058"/>
      <c r="X532" s="2058"/>
      <c r="Y532" s="2058"/>
      <c r="Z532" s="2058"/>
    </row>
    <row r="533" spans="1:26" ht="12" x14ac:dyDescent="0.2">
      <c r="A533" s="2058"/>
      <c r="B533" s="2058"/>
      <c r="C533" s="2058"/>
      <c r="D533" s="2058"/>
      <c r="E533" s="2058"/>
      <c r="F533" s="2058"/>
      <c r="G533" s="2059"/>
      <c r="H533" s="2058"/>
      <c r="I533" s="2058"/>
      <c r="J533" s="2058"/>
      <c r="K533" s="2058"/>
      <c r="L533" s="2058"/>
      <c r="M533" s="2058"/>
      <c r="N533" s="2058"/>
      <c r="O533" s="2058"/>
      <c r="P533" s="2058"/>
      <c r="Q533" s="2058"/>
      <c r="R533" s="2058"/>
      <c r="S533" s="2058"/>
      <c r="T533" s="2058"/>
      <c r="U533" s="2058"/>
      <c r="V533" s="2058"/>
      <c r="W533" s="2058"/>
      <c r="X533" s="2058"/>
      <c r="Y533" s="2058"/>
      <c r="Z533" s="2058"/>
    </row>
    <row r="534" spans="1:26" ht="12" x14ac:dyDescent="0.2">
      <c r="A534" s="2058"/>
      <c r="B534" s="2058"/>
      <c r="C534" s="2058"/>
      <c r="D534" s="2058"/>
      <c r="E534" s="2058"/>
      <c r="F534" s="2058"/>
      <c r="G534" s="2059"/>
      <c r="H534" s="2058"/>
      <c r="I534" s="2058"/>
      <c r="J534" s="2058"/>
      <c r="K534" s="2058"/>
      <c r="L534" s="2058"/>
      <c r="M534" s="2058"/>
      <c r="N534" s="2058"/>
      <c r="O534" s="2058"/>
      <c r="P534" s="2058"/>
      <c r="Q534" s="2058"/>
      <c r="R534" s="2058"/>
      <c r="S534" s="2058"/>
      <c r="T534" s="2058"/>
      <c r="U534" s="2058"/>
      <c r="V534" s="2058"/>
      <c r="W534" s="2058"/>
      <c r="X534" s="2058"/>
      <c r="Y534" s="2058"/>
      <c r="Z534" s="2058"/>
    </row>
    <row r="535" spans="1:26" ht="12" x14ac:dyDescent="0.2">
      <c r="A535" s="2058"/>
      <c r="B535" s="2058"/>
      <c r="C535" s="2058"/>
      <c r="D535" s="2058"/>
      <c r="E535" s="2058"/>
      <c r="F535" s="2058"/>
      <c r="G535" s="2059"/>
      <c r="H535" s="2058"/>
      <c r="I535" s="2058"/>
      <c r="J535" s="2058"/>
      <c r="K535" s="2058"/>
      <c r="L535" s="2058"/>
      <c r="M535" s="2058"/>
      <c r="N535" s="2058"/>
      <c r="O535" s="2058"/>
      <c r="P535" s="2058"/>
      <c r="Q535" s="2058"/>
      <c r="R535" s="2058"/>
      <c r="S535" s="2058"/>
      <c r="T535" s="2058"/>
      <c r="U535" s="2058"/>
      <c r="V535" s="2058"/>
      <c r="W535" s="2058"/>
      <c r="X535" s="2058"/>
      <c r="Y535" s="2058"/>
      <c r="Z535" s="2058"/>
    </row>
    <row r="536" spans="1:26" ht="12" x14ac:dyDescent="0.2">
      <c r="A536" s="2058"/>
      <c r="B536" s="2058"/>
      <c r="C536" s="2058"/>
      <c r="D536" s="2058"/>
      <c r="E536" s="2058"/>
      <c r="F536" s="2058"/>
      <c r="G536" s="2059"/>
      <c r="H536" s="2058"/>
      <c r="I536" s="2058"/>
      <c r="J536" s="2058"/>
      <c r="K536" s="2058"/>
      <c r="L536" s="2058"/>
      <c r="M536" s="2058"/>
      <c r="N536" s="2058"/>
      <c r="O536" s="2058"/>
      <c r="P536" s="2058"/>
      <c r="Q536" s="2058"/>
      <c r="R536" s="2058"/>
      <c r="S536" s="2058"/>
      <c r="T536" s="2058"/>
      <c r="U536" s="2058"/>
      <c r="V536" s="2058"/>
      <c r="W536" s="2058"/>
      <c r="X536" s="2058"/>
      <c r="Y536" s="2058"/>
      <c r="Z536" s="2058"/>
    </row>
    <row r="537" spans="1:26" ht="12" x14ac:dyDescent="0.2">
      <c r="A537" s="2058"/>
      <c r="B537" s="2058"/>
      <c r="C537" s="2058"/>
      <c r="D537" s="2058"/>
      <c r="E537" s="2058"/>
      <c r="F537" s="2058"/>
      <c r="G537" s="2059"/>
      <c r="H537" s="2058"/>
      <c r="I537" s="2058"/>
      <c r="J537" s="2058"/>
      <c r="K537" s="2058"/>
      <c r="L537" s="2058"/>
      <c r="M537" s="2058"/>
      <c r="N537" s="2058"/>
      <c r="O537" s="2058"/>
      <c r="P537" s="2058"/>
      <c r="Q537" s="2058"/>
      <c r="R537" s="2058"/>
      <c r="S537" s="2058"/>
      <c r="T537" s="2058"/>
      <c r="U537" s="2058"/>
      <c r="V537" s="2058"/>
      <c r="W537" s="2058"/>
      <c r="X537" s="2058"/>
      <c r="Y537" s="2058"/>
      <c r="Z537" s="2058"/>
    </row>
    <row r="538" spans="1:26" ht="12" x14ac:dyDescent="0.2">
      <c r="A538" s="2058"/>
      <c r="B538" s="2058"/>
      <c r="C538" s="2058"/>
      <c r="D538" s="2058"/>
      <c r="E538" s="2058"/>
      <c r="F538" s="2058"/>
      <c r="G538" s="2059"/>
      <c r="H538" s="2058"/>
      <c r="I538" s="2058"/>
      <c r="J538" s="2058"/>
      <c r="K538" s="2058"/>
      <c r="L538" s="2058"/>
      <c r="M538" s="2058"/>
      <c r="N538" s="2058"/>
      <c r="O538" s="2058"/>
      <c r="P538" s="2058"/>
      <c r="Q538" s="2058"/>
      <c r="R538" s="2058"/>
      <c r="S538" s="2058"/>
      <c r="T538" s="2058"/>
      <c r="U538" s="2058"/>
      <c r="V538" s="2058"/>
      <c r="W538" s="2058"/>
      <c r="X538" s="2058"/>
      <c r="Y538" s="2058"/>
      <c r="Z538" s="2058"/>
    </row>
    <row r="539" spans="1:26" ht="12" x14ac:dyDescent="0.2">
      <c r="A539" s="2058"/>
      <c r="B539" s="2058"/>
      <c r="C539" s="2058"/>
      <c r="D539" s="2058"/>
      <c r="E539" s="2058"/>
      <c r="F539" s="2058"/>
      <c r="G539" s="2059"/>
      <c r="H539" s="2058"/>
      <c r="I539" s="2058"/>
      <c r="J539" s="2058"/>
      <c r="K539" s="2058"/>
      <c r="L539" s="2058"/>
      <c r="M539" s="2058"/>
      <c r="N539" s="2058"/>
      <c r="O539" s="2058"/>
      <c r="P539" s="2058"/>
      <c r="Q539" s="2058"/>
      <c r="R539" s="2058"/>
      <c r="S539" s="2058"/>
      <c r="T539" s="2058"/>
      <c r="U539" s="2058"/>
      <c r="V539" s="2058"/>
      <c r="W539" s="2058"/>
      <c r="X539" s="2058"/>
      <c r="Y539" s="2058"/>
      <c r="Z539" s="2058"/>
    </row>
    <row r="540" spans="1:26" ht="12" x14ac:dyDescent="0.2">
      <c r="A540" s="2058"/>
      <c r="B540" s="2058"/>
      <c r="C540" s="2058"/>
      <c r="D540" s="2058"/>
      <c r="E540" s="2058"/>
      <c r="F540" s="2058"/>
      <c r="G540" s="2059"/>
      <c r="H540" s="2058"/>
      <c r="I540" s="2058"/>
      <c r="J540" s="2058"/>
      <c r="K540" s="2058"/>
      <c r="L540" s="2058"/>
      <c r="M540" s="2058"/>
      <c r="N540" s="2058"/>
      <c r="O540" s="2058"/>
      <c r="P540" s="2058"/>
      <c r="Q540" s="2058"/>
      <c r="R540" s="2058"/>
      <c r="S540" s="2058"/>
      <c r="T540" s="2058"/>
      <c r="U540" s="2058"/>
      <c r="V540" s="2058"/>
      <c r="W540" s="2058"/>
      <c r="X540" s="2058"/>
      <c r="Y540" s="2058"/>
      <c r="Z540" s="2058"/>
    </row>
    <row r="541" spans="1:26" ht="12" x14ac:dyDescent="0.2">
      <c r="A541" s="2058"/>
      <c r="B541" s="2058"/>
      <c r="C541" s="2058"/>
      <c r="D541" s="2058"/>
      <c r="E541" s="2058"/>
      <c r="F541" s="2058"/>
      <c r="G541" s="2059"/>
      <c r="H541" s="2058"/>
      <c r="I541" s="2058"/>
      <c r="J541" s="2058"/>
      <c r="K541" s="2058"/>
      <c r="L541" s="2058"/>
      <c r="M541" s="2058"/>
      <c r="N541" s="2058"/>
      <c r="O541" s="2058"/>
      <c r="P541" s="2058"/>
      <c r="Q541" s="2058"/>
      <c r="R541" s="2058"/>
      <c r="S541" s="2058"/>
      <c r="T541" s="2058"/>
      <c r="U541" s="2058"/>
      <c r="V541" s="2058"/>
      <c r="W541" s="2058"/>
      <c r="X541" s="2058"/>
      <c r="Y541" s="2058"/>
      <c r="Z541" s="2058"/>
    </row>
    <row r="542" spans="1:26" ht="12" x14ac:dyDescent="0.2">
      <c r="A542" s="2058"/>
      <c r="B542" s="2058"/>
      <c r="C542" s="2058"/>
      <c r="D542" s="2058"/>
      <c r="E542" s="2058"/>
      <c r="F542" s="2058"/>
      <c r="G542" s="2059"/>
      <c r="H542" s="2058"/>
      <c r="I542" s="2058"/>
      <c r="J542" s="2058"/>
      <c r="K542" s="2058"/>
      <c r="L542" s="2058"/>
      <c r="M542" s="2058"/>
      <c r="N542" s="2058"/>
      <c r="O542" s="2058"/>
      <c r="P542" s="2058"/>
      <c r="Q542" s="2058"/>
      <c r="R542" s="2058"/>
      <c r="S542" s="2058"/>
      <c r="T542" s="2058"/>
      <c r="U542" s="2058"/>
      <c r="V542" s="2058"/>
      <c r="W542" s="2058"/>
      <c r="X542" s="2058"/>
      <c r="Y542" s="2058"/>
      <c r="Z542" s="2058"/>
    </row>
    <row r="543" spans="1:26" ht="12" x14ac:dyDescent="0.2">
      <c r="A543" s="2058"/>
      <c r="B543" s="2058"/>
      <c r="C543" s="2058"/>
      <c r="D543" s="2058"/>
      <c r="E543" s="2058"/>
      <c r="F543" s="2058"/>
      <c r="G543" s="2059"/>
      <c r="H543" s="2058"/>
      <c r="I543" s="2058"/>
      <c r="J543" s="2058"/>
      <c r="K543" s="2058"/>
      <c r="L543" s="2058"/>
      <c r="M543" s="2058"/>
      <c r="N543" s="2058"/>
      <c r="O543" s="2058"/>
      <c r="P543" s="2058"/>
      <c r="Q543" s="2058"/>
      <c r="R543" s="2058"/>
      <c r="S543" s="2058"/>
      <c r="T543" s="2058"/>
      <c r="U543" s="2058"/>
      <c r="V543" s="2058"/>
      <c r="W543" s="2058"/>
      <c r="X543" s="2058"/>
      <c r="Y543" s="2058"/>
      <c r="Z543" s="2058"/>
    </row>
    <row r="544" spans="1:26" ht="12" x14ac:dyDescent="0.2">
      <c r="A544" s="2058"/>
      <c r="B544" s="2058"/>
      <c r="C544" s="2058"/>
      <c r="D544" s="2058"/>
      <c r="E544" s="2058"/>
      <c r="F544" s="2058"/>
      <c r="G544" s="2059"/>
      <c r="H544" s="2058"/>
      <c r="I544" s="2058"/>
      <c r="J544" s="2058"/>
      <c r="K544" s="2058"/>
      <c r="L544" s="2058"/>
      <c r="M544" s="2058"/>
      <c r="N544" s="2058"/>
      <c r="O544" s="2058"/>
      <c r="P544" s="2058"/>
      <c r="Q544" s="2058"/>
      <c r="R544" s="2058"/>
      <c r="S544" s="2058"/>
      <c r="T544" s="2058"/>
      <c r="U544" s="2058"/>
      <c r="V544" s="2058"/>
      <c r="W544" s="2058"/>
      <c r="X544" s="2058"/>
      <c r="Y544" s="2058"/>
      <c r="Z544" s="2058"/>
    </row>
    <row r="545" spans="1:26" ht="12" x14ac:dyDescent="0.2">
      <c r="A545" s="2058"/>
      <c r="B545" s="2058"/>
      <c r="C545" s="2058"/>
      <c r="D545" s="2058"/>
      <c r="E545" s="2058"/>
      <c r="F545" s="2058"/>
      <c r="G545" s="2059"/>
      <c r="H545" s="2058"/>
      <c r="I545" s="2058"/>
      <c r="J545" s="2058"/>
      <c r="K545" s="2058"/>
      <c r="L545" s="2058"/>
      <c r="M545" s="2058"/>
      <c r="N545" s="2058"/>
      <c r="O545" s="2058"/>
      <c r="P545" s="2058"/>
      <c r="Q545" s="2058"/>
      <c r="R545" s="2058"/>
      <c r="S545" s="2058"/>
      <c r="T545" s="2058"/>
      <c r="U545" s="2058"/>
      <c r="V545" s="2058"/>
      <c r="W545" s="2058"/>
      <c r="X545" s="2058"/>
      <c r="Y545" s="2058"/>
      <c r="Z545" s="2058"/>
    </row>
    <row r="546" spans="1:26" ht="12" x14ac:dyDescent="0.2">
      <c r="A546" s="2058"/>
      <c r="B546" s="2058"/>
      <c r="C546" s="2058"/>
      <c r="D546" s="2058"/>
      <c r="E546" s="2058"/>
      <c r="F546" s="2058"/>
      <c r="G546" s="2059"/>
      <c r="H546" s="2058"/>
      <c r="I546" s="2058"/>
      <c r="J546" s="2058"/>
      <c r="K546" s="2058"/>
      <c r="L546" s="2058"/>
      <c r="M546" s="2058"/>
      <c r="N546" s="2058"/>
      <c r="O546" s="2058"/>
      <c r="P546" s="2058"/>
      <c r="Q546" s="2058"/>
      <c r="R546" s="2058"/>
      <c r="S546" s="2058"/>
      <c r="T546" s="2058"/>
      <c r="U546" s="2058"/>
      <c r="V546" s="2058"/>
      <c r="W546" s="2058"/>
      <c r="X546" s="2058"/>
      <c r="Y546" s="2058"/>
      <c r="Z546" s="2058"/>
    </row>
    <row r="547" spans="1:26" ht="12" x14ac:dyDescent="0.2">
      <c r="A547" s="2058"/>
      <c r="B547" s="2058"/>
      <c r="C547" s="2058"/>
      <c r="D547" s="2058"/>
      <c r="E547" s="2058"/>
      <c r="F547" s="2058"/>
      <c r="G547" s="2059"/>
      <c r="H547" s="2058"/>
      <c r="I547" s="2058"/>
      <c r="J547" s="2058"/>
      <c r="K547" s="2058"/>
      <c r="L547" s="2058"/>
      <c r="M547" s="2058"/>
      <c r="N547" s="2058"/>
      <c r="O547" s="2058"/>
      <c r="P547" s="2058"/>
      <c r="Q547" s="2058"/>
      <c r="R547" s="2058"/>
      <c r="S547" s="2058"/>
      <c r="T547" s="2058"/>
      <c r="U547" s="2058"/>
      <c r="V547" s="2058"/>
      <c r="W547" s="2058"/>
      <c r="X547" s="2058"/>
      <c r="Y547" s="2058"/>
      <c r="Z547" s="2058"/>
    </row>
    <row r="548" spans="1:26" ht="12" x14ac:dyDescent="0.2">
      <c r="A548" s="2058"/>
      <c r="B548" s="2058"/>
      <c r="C548" s="2058"/>
      <c r="D548" s="2058"/>
      <c r="E548" s="2058"/>
      <c r="F548" s="2058"/>
      <c r="G548" s="2059"/>
      <c r="H548" s="2058"/>
      <c r="I548" s="2058"/>
      <c r="J548" s="2058"/>
      <c r="K548" s="2058"/>
      <c r="L548" s="2058"/>
      <c r="M548" s="2058"/>
      <c r="N548" s="2058"/>
      <c r="O548" s="2058"/>
      <c r="P548" s="2058"/>
      <c r="Q548" s="2058"/>
      <c r="R548" s="2058"/>
      <c r="S548" s="2058"/>
      <c r="T548" s="2058"/>
      <c r="U548" s="2058"/>
      <c r="V548" s="2058"/>
      <c r="W548" s="2058"/>
      <c r="X548" s="2058"/>
      <c r="Y548" s="2058"/>
      <c r="Z548" s="2058"/>
    </row>
    <row r="549" spans="1:26" ht="12" x14ac:dyDescent="0.2">
      <c r="A549" s="2058"/>
      <c r="B549" s="2058"/>
      <c r="C549" s="2058"/>
      <c r="D549" s="2058"/>
      <c r="E549" s="2058"/>
      <c r="F549" s="2058"/>
      <c r="G549" s="2059"/>
      <c r="H549" s="2058"/>
      <c r="I549" s="2058"/>
      <c r="J549" s="2058"/>
      <c r="K549" s="2058"/>
      <c r="L549" s="2058"/>
      <c r="M549" s="2058"/>
      <c r="N549" s="2058"/>
      <c r="O549" s="2058"/>
      <c r="P549" s="2058"/>
      <c r="Q549" s="2058"/>
      <c r="R549" s="2058"/>
      <c r="S549" s="2058"/>
      <c r="T549" s="2058"/>
      <c r="U549" s="2058"/>
      <c r="V549" s="2058"/>
      <c r="W549" s="2058"/>
      <c r="X549" s="2058"/>
      <c r="Y549" s="2058"/>
      <c r="Z549" s="2058"/>
    </row>
    <row r="550" spans="1:26" ht="12" x14ac:dyDescent="0.2">
      <c r="A550" s="2058"/>
      <c r="B550" s="2058"/>
      <c r="C550" s="2058"/>
      <c r="D550" s="2058"/>
      <c r="E550" s="2058"/>
      <c r="F550" s="2058"/>
      <c r="G550" s="2059"/>
      <c r="H550" s="2058"/>
      <c r="I550" s="2058"/>
      <c r="J550" s="2058"/>
      <c r="K550" s="2058"/>
      <c r="L550" s="2058"/>
      <c r="M550" s="2058"/>
      <c r="N550" s="2058"/>
      <c r="O550" s="2058"/>
      <c r="P550" s="2058"/>
      <c r="Q550" s="2058"/>
      <c r="R550" s="2058"/>
      <c r="S550" s="2058"/>
      <c r="T550" s="2058"/>
      <c r="U550" s="2058"/>
      <c r="V550" s="2058"/>
      <c r="W550" s="2058"/>
      <c r="X550" s="2058"/>
      <c r="Y550" s="2058"/>
      <c r="Z550" s="2058"/>
    </row>
    <row r="551" spans="1:26" ht="12" x14ac:dyDescent="0.2">
      <c r="A551" s="2058"/>
      <c r="B551" s="2058"/>
      <c r="C551" s="2058"/>
      <c r="D551" s="2058"/>
      <c r="E551" s="2058"/>
      <c r="F551" s="2058"/>
      <c r="G551" s="2059"/>
      <c r="H551" s="2058"/>
      <c r="I551" s="2058"/>
      <c r="J551" s="2058"/>
      <c r="K551" s="2058"/>
      <c r="L551" s="2058"/>
      <c r="M551" s="2058"/>
      <c r="N551" s="2058"/>
      <c r="O551" s="2058"/>
      <c r="P551" s="2058"/>
      <c r="Q551" s="2058"/>
      <c r="R551" s="2058"/>
      <c r="S551" s="2058"/>
      <c r="T551" s="2058"/>
      <c r="U551" s="2058"/>
      <c r="V551" s="2058"/>
      <c r="W551" s="2058"/>
      <c r="X551" s="2058"/>
      <c r="Y551" s="2058"/>
      <c r="Z551" s="2058"/>
    </row>
    <row r="552" spans="1:26" ht="12" x14ac:dyDescent="0.2">
      <c r="A552" s="2058"/>
      <c r="B552" s="2058"/>
      <c r="C552" s="2058"/>
      <c r="D552" s="2058"/>
      <c r="E552" s="2058"/>
      <c r="F552" s="2058"/>
      <c r="G552" s="2059"/>
      <c r="H552" s="2058"/>
      <c r="I552" s="2058"/>
      <c r="J552" s="2058"/>
      <c r="K552" s="2058"/>
      <c r="L552" s="2058"/>
      <c r="M552" s="2058"/>
      <c r="N552" s="2058"/>
      <c r="O552" s="2058"/>
      <c r="P552" s="2058"/>
      <c r="Q552" s="2058"/>
      <c r="R552" s="2058"/>
      <c r="S552" s="2058"/>
      <c r="T552" s="2058"/>
      <c r="U552" s="2058"/>
      <c r="V552" s="2058"/>
      <c r="W552" s="2058"/>
      <c r="X552" s="2058"/>
      <c r="Y552" s="2058"/>
      <c r="Z552" s="2058"/>
    </row>
    <row r="553" spans="1:26" ht="12" x14ac:dyDescent="0.2">
      <c r="A553" s="2058"/>
      <c r="B553" s="2058"/>
      <c r="C553" s="2058"/>
      <c r="D553" s="2058"/>
      <c r="E553" s="2058"/>
      <c r="F553" s="2058"/>
      <c r="G553" s="2059"/>
      <c r="H553" s="2058"/>
      <c r="I553" s="2058"/>
      <c r="J553" s="2058"/>
      <c r="K553" s="2058"/>
      <c r="L553" s="2058"/>
      <c r="M553" s="2058"/>
      <c r="N553" s="2058"/>
      <c r="O553" s="2058"/>
      <c r="P553" s="2058"/>
      <c r="Q553" s="2058"/>
      <c r="R553" s="2058"/>
      <c r="S553" s="2058"/>
      <c r="T553" s="2058"/>
      <c r="U553" s="2058"/>
      <c r="V553" s="2058"/>
      <c r="W553" s="2058"/>
      <c r="X553" s="2058"/>
      <c r="Y553" s="2058"/>
      <c r="Z553" s="2058"/>
    </row>
    <row r="554" spans="1:26" ht="12" x14ac:dyDescent="0.2">
      <c r="A554" s="2058"/>
      <c r="B554" s="2058"/>
      <c r="C554" s="2058"/>
      <c r="D554" s="2058"/>
      <c r="E554" s="2058"/>
      <c r="F554" s="2058"/>
      <c r="G554" s="2059"/>
      <c r="H554" s="2058"/>
      <c r="I554" s="2058"/>
      <c r="J554" s="2058"/>
      <c r="K554" s="2058"/>
      <c r="L554" s="2058"/>
      <c r="M554" s="2058"/>
      <c r="N554" s="2058"/>
      <c r="O554" s="2058"/>
      <c r="P554" s="2058"/>
      <c r="Q554" s="2058"/>
      <c r="R554" s="2058"/>
      <c r="S554" s="2058"/>
      <c r="T554" s="2058"/>
      <c r="U554" s="2058"/>
      <c r="V554" s="2058"/>
      <c r="W554" s="2058"/>
      <c r="X554" s="2058"/>
      <c r="Y554" s="2058"/>
      <c r="Z554" s="2058"/>
    </row>
    <row r="555" spans="1:26" ht="12" x14ac:dyDescent="0.2">
      <c r="A555" s="2058"/>
      <c r="B555" s="2058"/>
      <c r="C555" s="2058"/>
      <c r="D555" s="2058"/>
      <c r="E555" s="2058"/>
      <c r="F555" s="2058"/>
      <c r="G555" s="2059"/>
      <c r="H555" s="2058"/>
      <c r="I555" s="2058"/>
      <c r="J555" s="2058"/>
      <c r="K555" s="2058"/>
      <c r="L555" s="2058"/>
      <c r="M555" s="2058"/>
      <c r="N555" s="2058"/>
      <c r="O555" s="2058"/>
      <c r="P555" s="2058"/>
      <c r="Q555" s="2058"/>
      <c r="R555" s="2058"/>
      <c r="S555" s="2058"/>
      <c r="T555" s="2058"/>
      <c r="U555" s="2058"/>
      <c r="V555" s="2058"/>
      <c r="W555" s="2058"/>
      <c r="X555" s="2058"/>
      <c r="Y555" s="2058"/>
      <c r="Z555" s="2058"/>
    </row>
    <row r="556" spans="1:26" ht="12" x14ac:dyDescent="0.2">
      <c r="A556" s="2058"/>
      <c r="B556" s="2058"/>
      <c r="C556" s="2058"/>
      <c r="D556" s="2058"/>
      <c r="E556" s="2058"/>
      <c r="F556" s="2058"/>
      <c r="G556" s="2059"/>
      <c r="H556" s="2058"/>
      <c r="I556" s="2058"/>
      <c r="J556" s="2058"/>
      <c r="K556" s="2058"/>
      <c r="L556" s="2058"/>
      <c r="M556" s="2058"/>
      <c r="N556" s="2058"/>
      <c r="O556" s="2058"/>
      <c r="P556" s="2058"/>
      <c r="Q556" s="2058"/>
      <c r="R556" s="2058"/>
      <c r="S556" s="2058"/>
      <c r="T556" s="2058"/>
      <c r="U556" s="2058"/>
      <c r="V556" s="2058"/>
      <c r="W556" s="2058"/>
      <c r="X556" s="2058"/>
      <c r="Y556" s="2058"/>
      <c r="Z556" s="2058"/>
    </row>
    <row r="557" spans="1:26" ht="12" x14ac:dyDescent="0.2">
      <c r="A557" s="2058"/>
      <c r="B557" s="2058"/>
      <c r="C557" s="2058"/>
      <c r="D557" s="2058"/>
      <c r="E557" s="2058"/>
      <c r="F557" s="2058"/>
      <c r="G557" s="2059"/>
      <c r="H557" s="2058"/>
      <c r="I557" s="2058"/>
      <c r="J557" s="2058"/>
      <c r="K557" s="2058"/>
      <c r="L557" s="2058"/>
      <c r="M557" s="2058"/>
      <c r="N557" s="2058"/>
      <c r="O557" s="2058"/>
      <c r="P557" s="2058"/>
      <c r="Q557" s="2058"/>
      <c r="R557" s="2058"/>
      <c r="S557" s="2058"/>
      <c r="T557" s="2058"/>
      <c r="U557" s="2058"/>
      <c r="V557" s="2058"/>
      <c r="W557" s="2058"/>
      <c r="X557" s="2058"/>
      <c r="Y557" s="2058"/>
      <c r="Z557" s="2058"/>
    </row>
    <row r="558" spans="1:26" ht="12" x14ac:dyDescent="0.2">
      <c r="A558" s="2058"/>
      <c r="B558" s="2058"/>
      <c r="C558" s="2058"/>
      <c r="D558" s="2058"/>
      <c r="E558" s="2058"/>
      <c r="F558" s="2058"/>
      <c r="G558" s="2059"/>
      <c r="H558" s="2058"/>
      <c r="I558" s="2058"/>
      <c r="J558" s="2058"/>
      <c r="K558" s="2058"/>
      <c r="L558" s="2058"/>
      <c r="M558" s="2058"/>
      <c r="N558" s="2058"/>
      <c r="O558" s="2058"/>
      <c r="P558" s="2058"/>
      <c r="Q558" s="2058"/>
      <c r="R558" s="2058"/>
      <c r="S558" s="2058"/>
      <c r="T558" s="2058"/>
      <c r="U558" s="2058"/>
      <c r="V558" s="2058"/>
      <c r="W558" s="2058"/>
      <c r="X558" s="2058"/>
      <c r="Y558" s="2058"/>
      <c r="Z558" s="2058"/>
    </row>
    <row r="559" spans="1:26" ht="12" x14ac:dyDescent="0.2">
      <c r="A559" s="2058"/>
      <c r="B559" s="2058"/>
      <c r="C559" s="2058"/>
      <c r="D559" s="2058"/>
      <c r="E559" s="2058"/>
      <c r="F559" s="2058"/>
      <c r="G559" s="2059"/>
      <c r="H559" s="2058"/>
      <c r="I559" s="2058"/>
      <c r="J559" s="2058"/>
      <c r="K559" s="2058"/>
      <c r="L559" s="2058"/>
      <c r="M559" s="2058"/>
      <c r="N559" s="2058"/>
      <c r="O559" s="2058"/>
      <c r="P559" s="2058"/>
      <c r="Q559" s="2058"/>
      <c r="R559" s="2058"/>
      <c r="S559" s="2058"/>
      <c r="T559" s="2058"/>
      <c r="U559" s="2058"/>
      <c r="V559" s="2058"/>
      <c r="W559" s="2058"/>
      <c r="X559" s="2058"/>
      <c r="Y559" s="2058"/>
      <c r="Z559" s="2058"/>
    </row>
    <row r="560" spans="1:26" ht="12" x14ac:dyDescent="0.2">
      <c r="A560" s="2058"/>
      <c r="B560" s="2058"/>
      <c r="C560" s="2058"/>
      <c r="D560" s="2058"/>
      <c r="E560" s="2058"/>
      <c r="F560" s="2058"/>
      <c r="G560" s="2059"/>
      <c r="H560" s="2058"/>
      <c r="I560" s="2058"/>
      <c r="J560" s="2058"/>
      <c r="K560" s="2058"/>
      <c r="L560" s="2058"/>
      <c r="M560" s="2058"/>
      <c r="N560" s="2058"/>
      <c r="O560" s="2058"/>
      <c r="P560" s="2058"/>
      <c r="Q560" s="2058"/>
      <c r="R560" s="2058"/>
      <c r="S560" s="2058"/>
      <c r="T560" s="2058"/>
      <c r="U560" s="2058"/>
      <c r="V560" s="2058"/>
      <c r="W560" s="2058"/>
      <c r="X560" s="2058"/>
      <c r="Y560" s="2058"/>
      <c r="Z560" s="2058"/>
    </row>
    <row r="561" spans="1:26" ht="12" x14ac:dyDescent="0.2">
      <c r="A561" s="2058"/>
      <c r="B561" s="2058"/>
      <c r="C561" s="2058"/>
      <c r="D561" s="2058"/>
      <c r="E561" s="2058"/>
      <c r="F561" s="2058"/>
      <c r="G561" s="2059"/>
      <c r="H561" s="2058"/>
      <c r="I561" s="2058"/>
      <c r="J561" s="2058"/>
      <c r="K561" s="2058"/>
      <c r="L561" s="2058"/>
      <c r="M561" s="2058"/>
      <c r="N561" s="2058"/>
      <c r="O561" s="2058"/>
      <c r="P561" s="2058"/>
      <c r="Q561" s="2058"/>
      <c r="R561" s="2058"/>
      <c r="S561" s="2058"/>
      <c r="T561" s="2058"/>
      <c r="U561" s="2058"/>
      <c r="V561" s="2058"/>
      <c r="W561" s="2058"/>
      <c r="X561" s="2058"/>
      <c r="Y561" s="2058"/>
      <c r="Z561" s="2058"/>
    </row>
    <row r="562" spans="1:26" ht="12" x14ac:dyDescent="0.2">
      <c r="A562" s="2058"/>
      <c r="B562" s="2058"/>
      <c r="C562" s="2058"/>
      <c r="D562" s="2058"/>
      <c r="E562" s="2058"/>
      <c r="F562" s="2058"/>
      <c r="G562" s="2059"/>
      <c r="H562" s="2058"/>
      <c r="I562" s="2058"/>
      <c r="J562" s="2058"/>
      <c r="K562" s="2058"/>
      <c r="L562" s="2058"/>
      <c r="M562" s="2058"/>
      <c r="N562" s="2058"/>
      <c r="O562" s="2058"/>
      <c r="P562" s="2058"/>
      <c r="Q562" s="2058"/>
      <c r="R562" s="2058"/>
      <c r="S562" s="2058"/>
      <c r="T562" s="2058"/>
      <c r="U562" s="2058"/>
      <c r="V562" s="2058"/>
      <c r="W562" s="2058"/>
      <c r="X562" s="2058"/>
      <c r="Y562" s="2058"/>
      <c r="Z562" s="2058"/>
    </row>
    <row r="563" spans="1:26" ht="12" x14ac:dyDescent="0.2">
      <c r="A563" s="2058"/>
      <c r="B563" s="2058"/>
      <c r="C563" s="2058"/>
      <c r="D563" s="2058"/>
      <c r="E563" s="2058"/>
      <c r="F563" s="2058"/>
      <c r="G563" s="2059"/>
      <c r="H563" s="2058"/>
      <c r="I563" s="2058"/>
      <c r="J563" s="2058"/>
      <c r="K563" s="2058"/>
      <c r="L563" s="2058"/>
      <c r="M563" s="2058"/>
      <c r="N563" s="2058"/>
      <c r="O563" s="2058"/>
      <c r="P563" s="2058"/>
      <c r="Q563" s="2058"/>
      <c r="R563" s="2058"/>
      <c r="S563" s="2058"/>
      <c r="T563" s="2058"/>
      <c r="U563" s="2058"/>
      <c r="V563" s="2058"/>
      <c r="W563" s="2058"/>
      <c r="X563" s="2058"/>
      <c r="Y563" s="2058"/>
      <c r="Z563" s="2058"/>
    </row>
    <row r="564" spans="1:26" ht="12" x14ac:dyDescent="0.2">
      <c r="A564" s="2058"/>
      <c r="B564" s="2058"/>
      <c r="C564" s="2058"/>
      <c r="D564" s="2058"/>
      <c r="E564" s="2058"/>
      <c r="F564" s="2058"/>
      <c r="G564" s="2059"/>
      <c r="H564" s="2058"/>
      <c r="I564" s="2058"/>
      <c r="J564" s="2058"/>
      <c r="K564" s="2058"/>
      <c r="L564" s="2058"/>
      <c r="M564" s="2058"/>
      <c r="N564" s="2058"/>
      <c r="O564" s="2058"/>
      <c r="P564" s="2058"/>
      <c r="Q564" s="2058"/>
      <c r="R564" s="2058"/>
      <c r="S564" s="2058"/>
      <c r="T564" s="2058"/>
      <c r="U564" s="2058"/>
      <c r="V564" s="2058"/>
      <c r="W564" s="2058"/>
      <c r="X564" s="2058"/>
      <c r="Y564" s="2058"/>
      <c r="Z564" s="2058"/>
    </row>
    <row r="565" spans="1:26" ht="12" x14ac:dyDescent="0.2">
      <c r="A565" s="2058"/>
      <c r="B565" s="2058"/>
      <c r="C565" s="2058"/>
      <c r="D565" s="2058"/>
      <c r="E565" s="2058"/>
      <c r="F565" s="2058"/>
      <c r="G565" s="2059"/>
      <c r="H565" s="2058"/>
      <c r="I565" s="2058"/>
      <c r="J565" s="2058"/>
      <c r="K565" s="2058"/>
      <c r="L565" s="2058"/>
      <c r="M565" s="2058"/>
      <c r="N565" s="2058"/>
      <c r="O565" s="2058"/>
      <c r="P565" s="2058"/>
      <c r="Q565" s="2058"/>
      <c r="R565" s="2058"/>
      <c r="S565" s="2058"/>
      <c r="T565" s="2058"/>
      <c r="U565" s="2058"/>
      <c r="V565" s="2058"/>
      <c r="W565" s="2058"/>
      <c r="X565" s="2058"/>
      <c r="Y565" s="2058"/>
      <c r="Z565" s="2058"/>
    </row>
    <row r="566" spans="1:26" ht="12" x14ac:dyDescent="0.2">
      <c r="A566" s="2058"/>
      <c r="B566" s="2058"/>
      <c r="C566" s="2058"/>
      <c r="D566" s="2058"/>
      <c r="E566" s="2058"/>
      <c r="F566" s="2058"/>
      <c r="G566" s="2059"/>
      <c r="H566" s="2058"/>
      <c r="I566" s="2058"/>
      <c r="J566" s="2058"/>
      <c r="K566" s="2058"/>
      <c r="L566" s="2058"/>
      <c r="M566" s="2058"/>
      <c r="N566" s="2058"/>
      <c r="O566" s="2058"/>
      <c r="P566" s="2058"/>
      <c r="Q566" s="2058"/>
      <c r="R566" s="2058"/>
      <c r="S566" s="2058"/>
      <c r="T566" s="2058"/>
      <c r="U566" s="2058"/>
      <c r="V566" s="2058"/>
      <c r="W566" s="2058"/>
      <c r="X566" s="2058"/>
      <c r="Y566" s="2058"/>
      <c r="Z566" s="2058"/>
    </row>
    <row r="567" spans="1:26" ht="12" x14ac:dyDescent="0.2">
      <c r="A567" s="2058"/>
      <c r="B567" s="2058"/>
      <c r="C567" s="2058"/>
      <c r="D567" s="2058"/>
      <c r="E567" s="2058"/>
      <c r="F567" s="2058"/>
      <c r="G567" s="2059"/>
      <c r="H567" s="2058"/>
      <c r="I567" s="2058"/>
      <c r="J567" s="2058"/>
      <c r="K567" s="2058"/>
      <c r="L567" s="2058"/>
      <c r="M567" s="2058"/>
      <c r="N567" s="2058"/>
      <c r="O567" s="2058"/>
      <c r="P567" s="2058"/>
      <c r="Q567" s="2058"/>
      <c r="R567" s="2058"/>
      <c r="S567" s="2058"/>
      <c r="T567" s="2058"/>
      <c r="U567" s="2058"/>
      <c r="V567" s="2058"/>
      <c r="W567" s="2058"/>
      <c r="X567" s="2058"/>
      <c r="Y567" s="2058"/>
      <c r="Z567" s="2058"/>
    </row>
    <row r="568" spans="1:26" ht="12" x14ac:dyDescent="0.2">
      <c r="A568" s="2058"/>
      <c r="B568" s="2058"/>
      <c r="C568" s="2058"/>
      <c r="D568" s="2058"/>
      <c r="E568" s="2058"/>
      <c r="F568" s="2058"/>
      <c r="G568" s="2059"/>
      <c r="H568" s="2058"/>
      <c r="I568" s="2058"/>
      <c r="J568" s="2058"/>
      <c r="K568" s="2058"/>
      <c r="L568" s="2058"/>
      <c r="M568" s="2058"/>
      <c r="N568" s="2058"/>
      <c r="O568" s="2058"/>
      <c r="P568" s="2058"/>
      <c r="Q568" s="2058"/>
      <c r="R568" s="2058"/>
      <c r="S568" s="2058"/>
      <c r="T568" s="2058"/>
      <c r="U568" s="2058"/>
      <c r="V568" s="2058"/>
      <c r="W568" s="2058"/>
      <c r="X568" s="2058"/>
      <c r="Y568" s="2058"/>
      <c r="Z568" s="2058"/>
    </row>
    <row r="569" spans="1:26" ht="12" x14ac:dyDescent="0.2">
      <c r="A569" s="2058"/>
      <c r="B569" s="2058"/>
      <c r="C569" s="2058"/>
      <c r="D569" s="2058"/>
      <c r="E569" s="2058"/>
      <c r="F569" s="2058"/>
      <c r="G569" s="2059"/>
      <c r="H569" s="2058"/>
      <c r="I569" s="2058"/>
      <c r="J569" s="2058"/>
      <c r="K569" s="2058"/>
      <c r="L569" s="2058"/>
      <c r="M569" s="2058"/>
      <c r="N569" s="2058"/>
      <c r="O569" s="2058"/>
      <c r="P569" s="2058"/>
      <c r="Q569" s="2058"/>
      <c r="R569" s="2058"/>
      <c r="S569" s="2058"/>
      <c r="T569" s="2058"/>
      <c r="U569" s="2058"/>
      <c r="V569" s="2058"/>
      <c r="W569" s="2058"/>
      <c r="X569" s="2058"/>
      <c r="Y569" s="2058"/>
      <c r="Z569" s="2058"/>
    </row>
    <row r="570" spans="1:26" ht="12" x14ac:dyDescent="0.2">
      <c r="A570" s="2058"/>
      <c r="B570" s="2058"/>
      <c r="C570" s="2058"/>
      <c r="D570" s="2058"/>
      <c r="E570" s="2058"/>
      <c r="F570" s="2058"/>
      <c r="G570" s="2059"/>
      <c r="H570" s="2058"/>
      <c r="I570" s="2058"/>
      <c r="J570" s="2058"/>
      <c r="K570" s="2058"/>
      <c r="L570" s="2058"/>
      <c r="M570" s="2058"/>
      <c r="N570" s="2058"/>
      <c r="O570" s="2058"/>
      <c r="P570" s="2058"/>
      <c r="Q570" s="2058"/>
      <c r="R570" s="2058"/>
      <c r="S570" s="2058"/>
      <c r="T570" s="2058"/>
      <c r="U570" s="2058"/>
      <c r="V570" s="2058"/>
      <c r="W570" s="2058"/>
      <c r="X570" s="2058"/>
      <c r="Y570" s="2058"/>
      <c r="Z570" s="2058"/>
    </row>
    <row r="571" spans="1:26" ht="12" x14ac:dyDescent="0.2">
      <c r="A571" s="2058"/>
      <c r="B571" s="2058"/>
      <c r="C571" s="2058"/>
      <c r="D571" s="2058"/>
      <c r="E571" s="2058"/>
      <c r="F571" s="2058"/>
      <c r="G571" s="2059"/>
      <c r="H571" s="2058"/>
      <c r="I571" s="2058"/>
      <c r="J571" s="2058"/>
      <c r="K571" s="2058"/>
      <c r="L571" s="2058"/>
      <c r="M571" s="2058"/>
      <c r="N571" s="2058"/>
      <c r="O571" s="2058"/>
      <c r="P571" s="2058"/>
      <c r="Q571" s="2058"/>
      <c r="R571" s="2058"/>
      <c r="S571" s="2058"/>
      <c r="T571" s="2058"/>
      <c r="U571" s="2058"/>
      <c r="V571" s="2058"/>
      <c r="W571" s="2058"/>
      <c r="X571" s="2058"/>
      <c r="Y571" s="2058"/>
      <c r="Z571" s="2058"/>
    </row>
    <row r="572" spans="1:26" ht="12" x14ac:dyDescent="0.2">
      <c r="A572" s="2058"/>
      <c r="B572" s="2058"/>
      <c r="C572" s="2058"/>
      <c r="D572" s="2058"/>
      <c r="E572" s="2058"/>
      <c r="F572" s="2058"/>
      <c r="G572" s="2059"/>
      <c r="H572" s="2058"/>
      <c r="I572" s="2058"/>
      <c r="J572" s="2058"/>
      <c r="K572" s="2058"/>
      <c r="L572" s="2058"/>
      <c r="M572" s="2058"/>
      <c r="N572" s="2058"/>
      <c r="O572" s="2058"/>
      <c r="P572" s="2058"/>
      <c r="Q572" s="2058"/>
      <c r="R572" s="2058"/>
      <c r="S572" s="2058"/>
      <c r="T572" s="2058"/>
      <c r="U572" s="2058"/>
      <c r="V572" s="2058"/>
      <c r="W572" s="2058"/>
      <c r="X572" s="2058"/>
      <c r="Y572" s="2058"/>
      <c r="Z572" s="2058"/>
    </row>
    <row r="573" spans="1:26" ht="12" x14ac:dyDescent="0.2">
      <c r="A573" s="2058"/>
      <c r="B573" s="2058"/>
      <c r="C573" s="2058"/>
      <c r="D573" s="2058"/>
      <c r="E573" s="2058"/>
      <c r="F573" s="2058"/>
      <c r="G573" s="2059"/>
      <c r="H573" s="2058"/>
      <c r="I573" s="2058"/>
      <c r="J573" s="2058"/>
      <c r="K573" s="2058"/>
      <c r="L573" s="2058"/>
      <c r="M573" s="2058"/>
      <c r="N573" s="2058"/>
      <c r="O573" s="2058"/>
      <c r="P573" s="2058"/>
      <c r="Q573" s="2058"/>
      <c r="R573" s="2058"/>
      <c r="S573" s="2058"/>
      <c r="T573" s="2058"/>
      <c r="U573" s="2058"/>
      <c r="V573" s="2058"/>
      <c r="W573" s="2058"/>
      <c r="X573" s="2058"/>
      <c r="Y573" s="2058"/>
      <c r="Z573" s="2058"/>
    </row>
    <row r="574" spans="1:26" ht="12" x14ac:dyDescent="0.2">
      <c r="A574" s="2058"/>
      <c r="B574" s="2058"/>
      <c r="C574" s="2058"/>
      <c r="D574" s="2058"/>
      <c r="E574" s="2058"/>
      <c r="F574" s="2058"/>
      <c r="G574" s="2059"/>
      <c r="H574" s="2058"/>
      <c r="I574" s="2058"/>
      <c r="J574" s="2058"/>
      <c r="K574" s="2058"/>
      <c r="L574" s="2058"/>
      <c r="M574" s="2058"/>
      <c r="N574" s="2058"/>
      <c r="O574" s="2058"/>
      <c r="P574" s="2058"/>
      <c r="Q574" s="2058"/>
      <c r="R574" s="2058"/>
      <c r="S574" s="2058"/>
      <c r="T574" s="2058"/>
      <c r="U574" s="2058"/>
      <c r="V574" s="2058"/>
      <c r="W574" s="2058"/>
      <c r="X574" s="2058"/>
      <c r="Y574" s="2058"/>
      <c r="Z574" s="2058"/>
    </row>
    <row r="575" spans="1:26" ht="12" x14ac:dyDescent="0.2">
      <c r="A575" s="2058"/>
      <c r="B575" s="2058"/>
      <c r="C575" s="2058"/>
      <c r="D575" s="2058"/>
      <c r="E575" s="2058"/>
      <c r="F575" s="2058"/>
      <c r="G575" s="2059"/>
      <c r="H575" s="2058"/>
      <c r="I575" s="2058"/>
      <c r="J575" s="2058"/>
      <c r="K575" s="2058"/>
      <c r="L575" s="2058"/>
      <c r="M575" s="2058"/>
      <c r="N575" s="2058"/>
      <c r="O575" s="2058"/>
      <c r="P575" s="2058"/>
      <c r="Q575" s="2058"/>
      <c r="R575" s="2058"/>
      <c r="S575" s="2058"/>
      <c r="T575" s="2058"/>
      <c r="U575" s="2058"/>
      <c r="V575" s="2058"/>
      <c r="W575" s="2058"/>
      <c r="X575" s="2058"/>
      <c r="Y575" s="2058"/>
      <c r="Z575" s="2058"/>
    </row>
    <row r="576" spans="1:26" ht="12" x14ac:dyDescent="0.2">
      <c r="A576" s="2058"/>
      <c r="B576" s="2058"/>
      <c r="C576" s="2058"/>
      <c r="D576" s="2058"/>
      <c r="E576" s="2058"/>
      <c r="F576" s="2058"/>
      <c r="G576" s="2059"/>
      <c r="H576" s="2058"/>
      <c r="I576" s="2058"/>
      <c r="J576" s="2058"/>
      <c r="K576" s="2058"/>
      <c r="L576" s="2058"/>
      <c r="M576" s="2058"/>
      <c r="N576" s="2058"/>
      <c r="O576" s="2058"/>
      <c r="P576" s="2058"/>
      <c r="Q576" s="2058"/>
      <c r="R576" s="2058"/>
      <c r="S576" s="2058"/>
      <c r="T576" s="2058"/>
      <c r="U576" s="2058"/>
      <c r="V576" s="2058"/>
      <c r="W576" s="2058"/>
      <c r="X576" s="2058"/>
      <c r="Y576" s="2058"/>
      <c r="Z576" s="2058"/>
    </row>
    <row r="577" spans="1:26" ht="12" x14ac:dyDescent="0.2">
      <c r="A577" s="2058"/>
      <c r="B577" s="2058"/>
      <c r="C577" s="2058"/>
      <c r="D577" s="2058"/>
      <c r="E577" s="2058"/>
      <c r="F577" s="2058"/>
      <c r="G577" s="2059"/>
      <c r="H577" s="2058"/>
      <c r="I577" s="2058"/>
      <c r="J577" s="2058"/>
      <c r="K577" s="2058"/>
      <c r="L577" s="2058"/>
      <c r="M577" s="2058"/>
      <c r="N577" s="2058"/>
      <c r="O577" s="2058"/>
      <c r="P577" s="2058"/>
      <c r="Q577" s="2058"/>
      <c r="R577" s="2058"/>
      <c r="S577" s="2058"/>
      <c r="T577" s="2058"/>
      <c r="U577" s="2058"/>
      <c r="V577" s="2058"/>
      <c r="W577" s="2058"/>
      <c r="X577" s="2058"/>
      <c r="Y577" s="2058"/>
      <c r="Z577" s="2058"/>
    </row>
    <row r="578" spans="1:26" ht="12" x14ac:dyDescent="0.2">
      <c r="A578" s="2058"/>
      <c r="B578" s="2058"/>
      <c r="C578" s="2058"/>
      <c r="D578" s="2058"/>
      <c r="E578" s="2058"/>
      <c r="F578" s="2058"/>
      <c r="G578" s="2059"/>
      <c r="H578" s="2058"/>
      <c r="I578" s="2058"/>
      <c r="J578" s="2058"/>
      <c r="K578" s="2058"/>
      <c r="L578" s="2058"/>
      <c r="M578" s="2058"/>
      <c r="N578" s="2058"/>
      <c r="O578" s="2058"/>
      <c r="P578" s="2058"/>
      <c r="Q578" s="2058"/>
      <c r="R578" s="2058"/>
      <c r="S578" s="2058"/>
      <c r="T578" s="2058"/>
      <c r="U578" s="2058"/>
      <c r="V578" s="2058"/>
      <c r="W578" s="2058"/>
      <c r="X578" s="2058"/>
      <c r="Y578" s="2058"/>
      <c r="Z578" s="2058"/>
    </row>
    <row r="579" spans="1:26" ht="12" x14ac:dyDescent="0.2">
      <c r="A579" s="2058"/>
      <c r="B579" s="2058"/>
      <c r="C579" s="2058"/>
      <c r="D579" s="2058"/>
      <c r="E579" s="2058"/>
      <c r="F579" s="2058"/>
      <c r="G579" s="2059"/>
      <c r="H579" s="2058"/>
      <c r="I579" s="2058"/>
      <c r="J579" s="2058"/>
      <c r="K579" s="2058"/>
      <c r="L579" s="2058"/>
      <c r="M579" s="2058"/>
      <c r="N579" s="2058"/>
      <c r="O579" s="2058"/>
      <c r="P579" s="2058"/>
      <c r="Q579" s="2058"/>
      <c r="R579" s="2058"/>
      <c r="S579" s="2058"/>
      <c r="T579" s="2058"/>
      <c r="U579" s="2058"/>
      <c r="V579" s="2058"/>
      <c r="W579" s="2058"/>
      <c r="X579" s="2058"/>
      <c r="Y579" s="2058"/>
      <c r="Z579" s="2058"/>
    </row>
    <row r="580" spans="1:26" ht="12" x14ac:dyDescent="0.2">
      <c r="A580" s="2058"/>
      <c r="B580" s="2058"/>
      <c r="C580" s="2058"/>
      <c r="D580" s="2058"/>
      <c r="E580" s="2058"/>
      <c r="F580" s="2058"/>
      <c r="G580" s="2059"/>
      <c r="H580" s="2058"/>
      <c r="I580" s="2058"/>
      <c r="J580" s="2058"/>
      <c r="K580" s="2058"/>
      <c r="L580" s="2058"/>
      <c r="M580" s="2058"/>
      <c r="N580" s="2058"/>
      <c r="O580" s="2058"/>
      <c r="P580" s="2058"/>
      <c r="Q580" s="2058"/>
      <c r="R580" s="2058"/>
      <c r="S580" s="2058"/>
      <c r="T580" s="2058"/>
      <c r="U580" s="2058"/>
      <c r="V580" s="2058"/>
      <c r="W580" s="2058"/>
      <c r="X580" s="2058"/>
      <c r="Y580" s="2058"/>
      <c r="Z580" s="2058"/>
    </row>
    <row r="581" spans="1:26" ht="12" x14ac:dyDescent="0.2">
      <c r="A581" s="2058"/>
      <c r="B581" s="2058"/>
      <c r="C581" s="2058"/>
      <c r="D581" s="2058"/>
      <c r="E581" s="2058"/>
      <c r="F581" s="2058"/>
      <c r="G581" s="2059"/>
      <c r="H581" s="2058"/>
      <c r="I581" s="2058"/>
      <c r="J581" s="2058"/>
      <c r="K581" s="2058"/>
      <c r="L581" s="2058"/>
      <c r="M581" s="2058"/>
      <c r="N581" s="2058"/>
      <c r="O581" s="2058"/>
      <c r="P581" s="2058"/>
      <c r="Q581" s="2058"/>
      <c r="R581" s="2058"/>
      <c r="S581" s="2058"/>
      <c r="T581" s="2058"/>
      <c r="U581" s="2058"/>
      <c r="V581" s="2058"/>
      <c r="W581" s="2058"/>
      <c r="X581" s="2058"/>
      <c r="Y581" s="2058"/>
      <c r="Z581" s="2058"/>
    </row>
    <row r="582" spans="1:26" ht="12" x14ac:dyDescent="0.2">
      <c r="A582" s="2058"/>
      <c r="B582" s="2058"/>
      <c r="C582" s="2058"/>
      <c r="D582" s="2058"/>
      <c r="E582" s="2058"/>
      <c r="F582" s="2058"/>
      <c r="G582" s="2059"/>
      <c r="H582" s="2058"/>
      <c r="I582" s="2058"/>
      <c r="J582" s="2058"/>
      <c r="K582" s="2058"/>
      <c r="L582" s="2058"/>
      <c r="M582" s="2058"/>
      <c r="N582" s="2058"/>
      <c r="O582" s="2058"/>
      <c r="P582" s="2058"/>
      <c r="Q582" s="2058"/>
      <c r="R582" s="2058"/>
      <c r="S582" s="2058"/>
      <c r="T582" s="2058"/>
      <c r="U582" s="2058"/>
      <c r="V582" s="2058"/>
      <c r="W582" s="2058"/>
      <c r="X582" s="2058"/>
      <c r="Y582" s="2058"/>
      <c r="Z582" s="2058"/>
    </row>
    <row r="583" spans="1:26" ht="12" x14ac:dyDescent="0.2">
      <c r="A583" s="2058"/>
      <c r="B583" s="2058"/>
      <c r="C583" s="2058"/>
      <c r="D583" s="2058"/>
      <c r="E583" s="2058"/>
      <c r="F583" s="2058"/>
      <c r="G583" s="2059"/>
      <c r="H583" s="2058"/>
      <c r="I583" s="2058"/>
      <c r="J583" s="2058"/>
      <c r="K583" s="2058"/>
      <c r="L583" s="2058"/>
      <c r="M583" s="2058"/>
      <c r="N583" s="2058"/>
      <c r="O583" s="2058"/>
      <c r="P583" s="2058"/>
      <c r="Q583" s="2058"/>
      <c r="R583" s="2058"/>
      <c r="S583" s="2058"/>
      <c r="T583" s="2058"/>
      <c r="U583" s="2058"/>
      <c r="V583" s="2058"/>
      <c r="W583" s="2058"/>
      <c r="X583" s="2058"/>
      <c r="Y583" s="2058"/>
      <c r="Z583" s="2058"/>
    </row>
    <row r="584" spans="1:26" ht="12" x14ac:dyDescent="0.2">
      <c r="A584" s="2058"/>
      <c r="B584" s="2058"/>
      <c r="C584" s="2058"/>
      <c r="D584" s="2058"/>
      <c r="E584" s="2058"/>
      <c r="F584" s="2058"/>
      <c r="G584" s="2059"/>
      <c r="H584" s="2058"/>
      <c r="I584" s="2058"/>
      <c r="J584" s="2058"/>
      <c r="K584" s="2058"/>
      <c r="L584" s="2058"/>
      <c r="M584" s="2058"/>
      <c r="N584" s="2058"/>
      <c r="O584" s="2058"/>
      <c r="P584" s="2058"/>
      <c r="Q584" s="2058"/>
      <c r="R584" s="2058"/>
      <c r="S584" s="2058"/>
      <c r="T584" s="2058"/>
      <c r="U584" s="2058"/>
      <c r="V584" s="2058"/>
      <c r="W584" s="2058"/>
      <c r="X584" s="2058"/>
      <c r="Y584" s="2058"/>
      <c r="Z584" s="2058"/>
    </row>
    <row r="585" spans="1:26" ht="12" x14ac:dyDescent="0.2">
      <c r="A585" s="2058"/>
      <c r="B585" s="2058"/>
      <c r="C585" s="2058"/>
      <c r="D585" s="2058"/>
      <c r="E585" s="2058"/>
      <c r="F585" s="2058"/>
      <c r="G585" s="2059"/>
      <c r="H585" s="2058"/>
      <c r="I585" s="2058"/>
      <c r="J585" s="2058"/>
      <c r="K585" s="2058"/>
      <c r="L585" s="2058"/>
      <c r="M585" s="2058"/>
      <c r="N585" s="2058"/>
      <c r="O585" s="2058"/>
      <c r="P585" s="2058"/>
      <c r="Q585" s="2058"/>
      <c r="R585" s="2058"/>
      <c r="S585" s="2058"/>
      <c r="T585" s="2058"/>
      <c r="U585" s="2058"/>
      <c r="V585" s="2058"/>
      <c r="W585" s="2058"/>
      <c r="X585" s="2058"/>
      <c r="Y585" s="2058"/>
      <c r="Z585" s="2058"/>
    </row>
    <row r="586" spans="1:26" ht="12" x14ac:dyDescent="0.2">
      <c r="A586" s="2058"/>
      <c r="B586" s="2058"/>
      <c r="C586" s="2058"/>
      <c r="D586" s="2058"/>
      <c r="E586" s="2058"/>
      <c r="F586" s="2058"/>
      <c r="G586" s="2059"/>
      <c r="H586" s="2058"/>
      <c r="I586" s="2058"/>
      <c r="J586" s="2058"/>
      <c r="K586" s="2058"/>
      <c r="L586" s="2058"/>
      <c r="M586" s="2058"/>
      <c r="N586" s="2058"/>
      <c r="O586" s="2058"/>
      <c r="P586" s="2058"/>
      <c r="Q586" s="2058"/>
      <c r="R586" s="2058"/>
      <c r="S586" s="2058"/>
      <c r="T586" s="2058"/>
      <c r="U586" s="2058"/>
      <c r="V586" s="2058"/>
      <c r="W586" s="2058"/>
      <c r="X586" s="2058"/>
      <c r="Y586" s="2058"/>
      <c r="Z586" s="2058"/>
    </row>
    <row r="587" spans="1:26" ht="12" x14ac:dyDescent="0.2">
      <c r="A587" s="2058"/>
      <c r="B587" s="2058"/>
      <c r="C587" s="2058"/>
      <c r="D587" s="2058"/>
      <c r="E587" s="2058"/>
      <c r="F587" s="2058"/>
      <c r="G587" s="2059"/>
      <c r="H587" s="2058"/>
      <c r="I587" s="2058"/>
      <c r="J587" s="2058"/>
      <c r="K587" s="2058"/>
      <c r="L587" s="2058"/>
      <c r="M587" s="2058"/>
      <c r="N587" s="2058"/>
      <c r="O587" s="2058"/>
      <c r="P587" s="2058"/>
      <c r="Q587" s="2058"/>
      <c r="R587" s="2058"/>
      <c r="S587" s="2058"/>
      <c r="T587" s="2058"/>
      <c r="U587" s="2058"/>
      <c r="V587" s="2058"/>
      <c r="W587" s="2058"/>
      <c r="X587" s="2058"/>
      <c r="Y587" s="2058"/>
      <c r="Z587" s="2058"/>
    </row>
    <row r="588" spans="1:26" ht="12" x14ac:dyDescent="0.2">
      <c r="A588" s="2058"/>
      <c r="B588" s="2058"/>
      <c r="C588" s="2058"/>
      <c r="D588" s="2058"/>
      <c r="E588" s="2058"/>
      <c r="F588" s="2058"/>
      <c r="G588" s="2059"/>
      <c r="H588" s="2058"/>
      <c r="I588" s="2058"/>
      <c r="J588" s="2058"/>
      <c r="K588" s="2058"/>
      <c r="L588" s="2058"/>
      <c r="M588" s="2058"/>
      <c r="N588" s="2058"/>
      <c r="O588" s="2058"/>
      <c r="P588" s="2058"/>
      <c r="Q588" s="2058"/>
      <c r="R588" s="2058"/>
      <c r="S588" s="2058"/>
      <c r="T588" s="2058"/>
      <c r="U588" s="2058"/>
      <c r="V588" s="2058"/>
      <c r="W588" s="2058"/>
      <c r="X588" s="2058"/>
      <c r="Y588" s="2058"/>
      <c r="Z588" s="2058"/>
    </row>
    <row r="589" spans="1:26" ht="12" x14ac:dyDescent="0.2">
      <c r="A589" s="2058"/>
      <c r="B589" s="2058"/>
      <c r="C589" s="2058"/>
      <c r="D589" s="2058"/>
      <c r="E589" s="2058"/>
      <c r="F589" s="2058"/>
      <c r="G589" s="2059"/>
      <c r="H589" s="2058"/>
      <c r="I589" s="2058"/>
      <c r="J589" s="2058"/>
      <c r="K589" s="2058"/>
      <c r="L589" s="2058"/>
      <c r="M589" s="2058"/>
      <c r="N589" s="2058"/>
      <c r="O589" s="2058"/>
      <c r="P589" s="2058"/>
      <c r="Q589" s="2058"/>
      <c r="R589" s="2058"/>
      <c r="S589" s="2058"/>
      <c r="T589" s="2058"/>
      <c r="U589" s="2058"/>
      <c r="V589" s="2058"/>
      <c r="W589" s="2058"/>
      <c r="X589" s="2058"/>
      <c r="Y589" s="2058"/>
      <c r="Z589" s="2058"/>
    </row>
    <row r="590" spans="1:26" ht="12" x14ac:dyDescent="0.2">
      <c r="A590" s="2058"/>
      <c r="B590" s="2058"/>
      <c r="C590" s="2058"/>
      <c r="D590" s="2058"/>
      <c r="E590" s="2058"/>
      <c r="F590" s="2058"/>
      <c r="G590" s="2059"/>
      <c r="H590" s="2058"/>
      <c r="I590" s="2058"/>
      <c r="J590" s="2058"/>
      <c r="K590" s="2058"/>
      <c r="L590" s="2058"/>
      <c r="M590" s="2058"/>
      <c r="N590" s="2058"/>
      <c r="O590" s="2058"/>
      <c r="P590" s="2058"/>
      <c r="Q590" s="2058"/>
      <c r="R590" s="2058"/>
      <c r="S590" s="2058"/>
      <c r="T590" s="2058"/>
      <c r="U590" s="2058"/>
      <c r="V590" s="2058"/>
      <c r="W590" s="2058"/>
      <c r="X590" s="2058"/>
      <c r="Y590" s="2058"/>
      <c r="Z590" s="2058"/>
    </row>
    <row r="591" spans="1:26" ht="12" x14ac:dyDescent="0.2">
      <c r="A591" s="2058"/>
      <c r="B591" s="2058"/>
      <c r="C591" s="2058"/>
      <c r="D591" s="2058"/>
      <c r="E591" s="2058"/>
      <c r="F591" s="2058"/>
      <c r="G591" s="2059"/>
      <c r="H591" s="2058"/>
      <c r="I591" s="2058"/>
      <c r="J591" s="2058"/>
      <c r="K591" s="2058"/>
      <c r="L591" s="2058"/>
      <c r="M591" s="2058"/>
      <c r="N591" s="2058"/>
      <c r="O591" s="2058"/>
      <c r="P591" s="2058"/>
      <c r="Q591" s="2058"/>
      <c r="R591" s="2058"/>
      <c r="S591" s="2058"/>
      <c r="T591" s="2058"/>
      <c r="U591" s="2058"/>
      <c r="V591" s="2058"/>
      <c r="W591" s="2058"/>
      <c r="X591" s="2058"/>
      <c r="Y591" s="2058"/>
      <c r="Z591" s="2058"/>
    </row>
    <row r="592" spans="1:26" ht="12" x14ac:dyDescent="0.2">
      <c r="A592" s="2058"/>
      <c r="B592" s="2058"/>
      <c r="C592" s="2058"/>
      <c r="D592" s="2058"/>
      <c r="E592" s="2058"/>
      <c r="F592" s="2058"/>
      <c r="G592" s="2059"/>
      <c r="H592" s="2058"/>
      <c r="I592" s="2058"/>
      <c r="J592" s="2058"/>
      <c r="K592" s="2058"/>
      <c r="L592" s="2058"/>
      <c r="M592" s="2058"/>
      <c r="N592" s="2058"/>
      <c r="O592" s="2058"/>
      <c r="P592" s="2058"/>
      <c r="Q592" s="2058"/>
      <c r="R592" s="2058"/>
      <c r="S592" s="2058"/>
      <c r="T592" s="2058"/>
      <c r="U592" s="2058"/>
      <c r="V592" s="2058"/>
      <c r="W592" s="2058"/>
      <c r="X592" s="2058"/>
      <c r="Y592" s="2058"/>
      <c r="Z592" s="2058"/>
    </row>
    <row r="593" spans="1:26" ht="12" x14ac:dyDescent="0.2">
      <c r="A593" s="2058"/>
      <c r="B593" s="2058"/>
      <c r="C593" s="2058"/>
      <c r="D593" s="2058"/>
      <c r="E593" s="2058"/>
      <c r="F593" s="2058"/>
      <c r="G593" s="2059"/>
      <c r="H593" s="2058"/>
      <c r="I593" s="2058"/>
      <c r="J593" s="2058"/>
      <c r="K593" s="2058"/>
      <c r="L593" s="2058"/>
      <c r="M593" s="2058"/>
      <c r="N593" s="2058"/>
      <c r="O593" s="2058"/>
      <c r="P593" s="2058"/>
      <c r="Q593" s="2058"/>
      <c r="R593" s="2058"/>
      <c r="S593" s="2058"/>
      <c r="T593" s="2058"/>
      <c r="U593" s="2058"/>
      <c r="V593" s="2058"/>
      <c r="W593" s="2058"/>
      <c r="X593" s="2058"/>
      <c r="Y593" s="2058"/>
      <c r="Z593" s="2058"/>
    </row>
    <row r="594" spans="1:26" ht="12" x14ac:dyDescent="0.2">
      <c r="A594" s="2058"/>
      <c r="B594" s="2058"/>
      <c r="C594" s="2058"/>
      <c r="D594" s="2058"/>
      <c r="E594" s="2058"/>
      <c r="F594" s="2058"/>
      <c r="G594" s="2059"/>
      <c r="H594" s="2058"/>
      <c r="I594" s="2058"/>
      <c r="J594" s="2058"/>
      <c r="K594" s="2058"/>
      <c r="L594" s="2058"/>
      <c r="M594" s="2058"/>
      <c r="N594" s="2058"/>
      <c r="O594" s="2058"/>
      <c r="P594" s="2058"/>
      <c r="Q594" s="2058"/>
      <c r="R594" s="2058"/>
      <c r="S594" s="2058"/>
      <c r="T594" s="2058"/>
      <c r="U594" s="2058"/>
      <c r="V594" s="2058"/>
      <c r="W594" s="2058"/>
      <c r="X594" s="2058"/>
      <c r="Y594" s="2058"/>
      <c r="Z594" s="2058"/>
    </row>
    <row r="595" spans="1:26" ht="12" x14ac:dyDescent="0.2">
      <c r="A595" s="2058"/>
      <c r="B595" s="2058"/>
      <c r="C595" s="2058"/>
      <c r="D595" s="2058"/>
      <c r="E595" s="2058"/>
      <c r="F595" s="2058"/>
      <c r="G595" s="2059"/>
      <c r="H595" s="2058"/>
      <c r="I595" s="2058"/>
      <c r="J595" s="2058"/>
      <c r="K595" s="2058"/>
      <c r="L595" s="2058"/>
      <c r="M595" s="2058"/>
      <c r="N595" s="2058"/>
      <c r="O595" s="2058"/>
      <c r="P595" s="2058"/>
      <c r="Q595" s="2058"/>
      <c r="R595" s="2058"/>
      <c r="S595" s="2058"/>
      <c r="T595" s="2058"/>
      <c r="U595" s="2058"/>
      <c r="V595" s="2058"/>
      <c r="W595" s="2058"/>
      <c r="X595" s="2058"/>
      <c r="Y595" s="2058"/>
      <c r="Z595" s="2058"/>
    </row>
    <row r="596" spans="1:26" ht="12" x14ac:dyDescent="0.2">
      <c r="A596" s="2058"/>
      <c r="B596" s="2058"/>
      <c r="C596" s="2058"/>
      <c r="D596" s="2058"/>
      <c r="E596" s="2058"/>
      <c r="F596" s="2058"/>
      <c r="G596" s="2059"/>
      <c r="H596" s="2058"/>
      <c r="I596" s="2058"/>
      <c r="J596" s="2058"/>
      <c r="K596" s="2058"/>
      <c r="L596" s="2058"/>
      <c r="M596" s="2058"/>
      <c r="N596" s="2058"/>
      <c r="O596" s="2058"/>
      <c r="P596" s="2058"/>
      <c r="Q596" s="2058"/>
      <c r="R596" s="2058"/>
      <c r="S596" s="2058"/>
      <c r="T596" s="2058"/>
      <c r="U596" s="2058"/>
      <c r="V596" s="2058"/>
      <c r="W596" s="2058"/>
      <c r="X596" s="2058"/>
      <c r="Y596" s="2058"/>
      <c r="Z596" s="2058"/>
    </row>
    <row r="597" spans="1:26" ht="12" x14ac:dyDescent="0.2">
      <c r="A597" s="2058"/>
      <c r="B597" s="2058"/>
      <c r="C597" s="2058"/>
      <c r="D597" s="2058"/>
      <c r="E597" s="2058"/>
      <c r="F597" s="2058"/>
      <c r="G597" s="2059"/>
      <c r="H597" s="2058"/>
      <c r="I597" s="2058"/>
      <c r="J597" s="2058"/>
      <c r="K597" s="2058"/>
      <c r="L597" s="2058"/>
      <c r="M597" s="2058"/>
      <c r="N597" s="2058"/>
      <c r="O597" s="2058"/>
      <c r="P597" s="2058"/>
      <c r="Q597" s="2058"/>
      <c r="R597" s="2058"/>
      <c r="S597" s="2058"/>
      <c r="T597" s="2058"/>
      <c r="U597" s="2058"/>
      <c r="V597" s="2058"/>
      <c r="W597" s="2058"/>
      <c r="X597" s="2058"/>
      <c r="Y597" s="2058"/>
      <c r="Z597" s="2058"/>
    </row>
    <row r="598" spans="1:26" ht="12" x14ac:dyDescent="0.2">
      <c r="A598" s="2058"/>
      <c r="B598" s="2058"/>
      <c r="C598" s="2058"/>
      <c r="D598" s="2058"/>
      <c r="E598" s="2058"/>
      <c r="F598" s="2058"/>
      <c r="G598" s="2059"/>
      <c r="H598" s="2058"/>
      <c r="I598" s="2058"/>
      <c r="J598" s="2058"/>
      <c r="K598" s="2058"/>
      <c r="L598" s="2058"/>
      <c r="M598" s="2058"/>
      <c r="N598" s="2058"/>
      <c r="O598" s="2058"/>
      <c r="P598" s="2058"/>
      <c r="Q598" s="2058"/>
      <c r="R598" s="2058"/>
      <c r="S598" s="2058"/>
      <c r="T598" s="2058"/>
      <c r="U598" s="2058"/>
      <c r="V598" s="2058"/>
      <c r="W598" s="2058"/>
      <c r="X598" s="2058"/>
      <c r="Y598" s="2058"/>
      <c r="Z598" s="2058"/>
    </row>
    <row r="599" spans="1:26" ht="12" x14ac:dyDescent="0.2">
      <c r="A599" s="2058"/>
      <c r="B599" s="2058"/>
      <c r="C599" s="2058"/>
      <c r="D599" s="2058"/>
      <c r="E599" s="2058"/>
      <c r="F599" s="2058"/>
      <c r="G599" s="2059"/>
      <c r="H599" s="2058"/>
      <c r="I599" s="2058"/>
      <c r="J599" s="2058"/>
      <c r="K599" s="2058"/>
      <c r="L599" s="2058"/>
      <c r="M599" s="2058"/>
      <c r="N599" s="2058"/>
      <c r="O599" s="2058"/>
      <c r="P599" s="2058"/>
      <c r="Q599" s="2058"/>
      <c r="R599" s="2058"/>
      <c r="S599" s="2058"/>
      <c r="T599" s="2058"/>
      <c r="U599" s="2058"/>
      <c r="V599" s="2058"/>
      <c r="W599" s="2058"/>
      <c r="X599" s="2058"/>
      <c r="Y599" s="2058"/>
      <c r="Z599" s="2058"/>
    </row>
    <row r="600" spans="1:26" ht="12" x14ac:dyDescent="0.2">
      <c r="A600" s="2058"/>
      <c r="B600" s="2058"/>
      <c r="C600" s="2058"/>
      <c r="D600" s="2058"/>
      <c r="E600" s="2058"/>
      <c r="F600" s="2058"/>
      <c r="G600" s="2059"/>
      <c r="H600" s="2058"/>
      <c r="I600" s="2058"/>
      <c r="J600" s="2058"/>
      <c r="K600" s="2058"/>
      <c r="L600" s="2058"/>
      <c r="M600" s="2058"/>
      <c r="N600" s="2058"/>
      <c r="O600" s="2058"/>
      <c r="P600" s="2058"/>
      <c r="Q600" s="2058"/>
      <c r="R600" s="2058"/>
      <c r="S600" s="2058"/>
      <c r="T600" s="2058"/>
      <c r="U600" s="2058"/>
      <c r="V600" s="2058"/>
      <c r="W600" s="2058"/>
      <c r="X600" s="2058"/>
      <c r="Y600" s="2058"/>
      <c r="Z600" s="2058"/>
    </row>
    <row r="601" spans="1:26" ht="12" x14ac:dyDescent="0.2">
      <c r="A601" s="2058"/>
      <c r="B601" s="2058"/>
      <c r="C601" s="2058"/>
      <c r="D601" s="2058"/>
      <c r="E601" s="2058"/>
      <c r="F601" s="2058"/>
      <c r="G601" s="2059"/>
      <c r="H601" s="2058"/>
      <c r="I601" s="2058"/>
      <c r="J601" s="2058"/>
      <c r="K601" s="2058"/>
      <c r="L601" s="2058"/>
      <c r="M601" s="2058"/>
      <c r="N601" s="2058"/>
      <c r="O601" s="2058"/>
      <c r="P601" s="2058"/>
      <c r="Q601" s="2058"/>
      <c r="R601" s="2058"/>
      <c r="S601" s="2058"/>
      <c r="T601" s="2058"/>
      <c r="U601" s="2058"/>
      <c r="V601" s="2058"/>
      <c r="W601" s="2058"/>
      <c r="X601" s="2058"/>
      <c r="Y601" s="2058"/>
      <c r="Z601" s="2058"/>
    </row>
    <row r="602" spans="1:26" ht="12" x14ac:dyDescent="0.2">
      <c r="A602" s="2058"/>
      <c r="B602" s="2058"/>
      <c r="C602" s="2058"/>
      <c r="D602" s="2058"/>
      <c r="E602" s="2058"/>
      <c r="F602" s="2058"/>
      <c r="G602" s="2059"/>
      <c r="H602" s="2058"/>
      <c r="I602" s="2058"/>
      <c r="J602" s="2058"/>
      <c r="K602" s="2058"/>
      <c r="L602" s="2058"/>
      <c r="M602" s="2058"/>
      <c r="N602" s="2058"/>
      <c r="O602" s="2058"/>
      <c r="P602" s="2058"/>
      <c r="Q602" s="2058"/>
      <c r="R602" s="2058"/>
      <c r="S602" s="2058"/>
      <c r="T602" s="2058"/>
      <c r="U602" s="2058"/>
      <c r="V602" s="2058"/>
      <c r="W602" s="2058"/>
      <c r="X602" s="2058"/>
      <c r="Y602" s="2058"/>
      <c r="Z602" s="2058"/>
    </row>
    <row r="603" spans="1:26" ht="12" x14ac:dyDescent="0.2">
      <c r="A603" s="2058"/>
      <c r="B603" s="2058"/>
      <c r="C603" s="2058"/>
      <c r="D603" s="2058"/>
      <c r="E603" s="2058"/>
      <c r="F603" s="2058"/>
      <c r="G603" s="2059"/>
      <c r="H603" s="2058"/>
      <c r="I603" s="2058"/>
      <c r="J603" s="2058"/>
      <c r="K603" s="2058"/>
      <c r="L603" s="2058"/>
      <c r="M603" s="2058"/>
      <c r="N603" s="2058"/>
      <c r="O603" s="2058"/>
      <c r="P603" s="2058"/>
      <c r="Q603" s="2058"/>
      <c r="R603" s="2058"/>
      <c r="S603" s="2058"/>
      <c r="T603" s="2058"/>
      <c r="U603" s="2058"/>
      <c r="V603" s="2058"/>
      <c r="W603" s="2058"/>
      <c r="X603" s="2058"/>
      <c r="Y603" s="2058"/>
      <c r="Z603" s="2058"/>
    </row>
    <row r="604" spans="1:26" ht="12" x14ac:dyDescent="0.2">
      <c r="A604" s="2058"/>
      <c r="B604" s="2058"/>
      <c r="C604" s="2058"/>
      <c r="D604" s="2058"/>
      <c r="E604" s="2058"/>
      <c r="F604" s="2058"/>
      <c r="G604" s="2059"/>
      <c r="H604" s="2058"/>
      <c r="I604" s="2058"/>
      <c r="J604" s="2058"/>
      <c r="K604" s="2058"/>
      <c r="L604" s="2058"/>
      <c r="M604" s="2058"/>
      <c r="N604" s="2058"/>
      <c r="O604" s="2058"/>
      <c r="P604" s="2058"/>
      <c r="Q604" s="2058"/>
      <c r="R604" s="2058"/>
      <c r="S604" s="2058"/>
      <c r="T604" s="2058"/>
      <c r="U604" s="2058"/>
      <c r="V604" s="2058"/>
      <c r="W604" s="2058"/>
      <c r="X604" s="2058"/>
      <c r="Y604" s="2058"/>
      <c r="Z604" s="2058"/>
    </row>
    <row r="605" spans="1:26" ht="12" x14ac:dyDescent="0.2">
      <c r="A605" s="2058"/>
      <c r="B605" s="2058"/>
      <c r="C605" s="2058"/>
      <c r="D605" s="2058"/>
      <c r="E605" s="2058"/>
      <c r="F605" s="2058"/>
      <c r="G605" s="2059"/>
      <c r="H605" s="2058"/>
      <c r="I605" s="2058"/>
      <c r="J605" s="2058"/>
      <c r="K605" s="2058"/>
      <c r="L605" s="2058"/>
      <c r="M605" s="2058"/>
      <c r="N605" s="2058"/>
      <c r="O605" s="2058"/>
      <c r="P605" s="2058"/>
      <c r="Q605" s="2058"/>
      <c r="R605" s="2058"/>
      <c r="S605" s="2058"/>
      <c r="T605" s="2058"/>
      <c r="U605" s="2058"/>
      <c r="V605" s="2058"/>
      <c r="W605" s="2058"/>
      <c r="X605" s="2058"/>
      <c r="Y605" s="2058"/>
      <c r="Z605" s="2058"/>
    </row>
    <row r="606" spans="1:26" ht="12" x14ac:dyDescent="0.2">
      <c r="A606" s="2058"/>
      <c r="B606" s="2058"/>
      <c r="C606" s="2058"/>
      <c r="D606" s="2058"/>
      <c r="E606" s="2058"/>
      <c r="F606" s="2058"/>
      <c r="G606" s="2059"/>
      <c r="H606" s="2058"/>
      <c r="I606" s="2058"/>
      <c r="J606" s="2058"/>
      <c r="K606" s="2058"/>
      <c r="L606" s="2058"/>
      <c r="M606" s="2058"/>
      <c r="N606" s="2058"/>
      <c r="O606" s="2058"/>
      <c r="P606" s="2058"/>
      <c r="Q606" s="2058"/>
      <c r="R606" s="2058"/>
      <c r="S606" s="2058"/>
      <c r="T606" s="2058"/>
      <c r="U606" s="2058"/>
      <c r="V606" s="2058"/>
      <c r="W606" s="2058"/>
      <c r="X606" s="2058"/>
      <c r="Y606" s="2058"/>
      <c r="Z606" s="2058"/>
    </row>
    <row r="607" spans="1:26" ht="12" x14ac:dyDescent="0.2">
      <c r="A607" s="2058"/>
      <c r="B607" s="2058"/>
      <c r="C607" s="2058"/>
      <c r="D607" s="2058"/>
      <c r="E607" s="2058"/>
      <c r="F607" s="2058"/>
      <c r="G607" s="2059"/>
      <c r="H607" s="2058"/>
      <c r="I607" s="2058"/>
      <c r="J607" s="2058"/>
      <c r="K607" s="2058"/>
      <c r="L607" s="2058"/>
      <c r="M607" s="2058"/>
      <c r="N607" s="2058"/>
      <c r="O607" s="2058"/>
      <c r="P607" s="2058"/>
      <c r="Q607" s="2058"/>
      <c r="R607" s="2058"/>
      <c r="S607" s="2058"/>
      <c r="T607" s="2058"/>
      <c r="U607" s="2058"/>
      <c r="V607" s="2058"/>
      <c r="W607" s="2058"/>
      <c r="X607" s="2058"/>
      <c r="Y607" s="2058"/>
      <c r="Z607" s="2058"/>
    </row>
    <row r="608" spans="1:26" ht="12" x14ac:dyDescent="0.2">
      <c r="A608" s="2058"/>
      <c r="B608" s="2058"/>
      <c r="C608" s="2058"/>
      <c r="D608" s="2058"/>
      <c r="E608" s="2058"/>
      <c r="F608" s="2058"/>
      <c r="G608" s="2059"/>
      <c r="H608" s="2058"/>
      <c r="I608" s="2058"/>
      <c r="J608" s="2058"/>
      <c r="K608" s="2058"/>
      <c r="L608" s="2058"/>
      <c r="M608" s="2058"/>
      <c r="N608" s="2058"/>
      <c r="O608" s="2058"/>
      <c r="P608" s="2058"/>
      <c r="Q608" s="2058"/>
      <c r="R608" s="2058"/>
      <c r="S608" s="2058"/>
      <c r="T608" s="2058"/>
      <c r="U608" s="2058"/>
      <c r="V608" s="2058"/>
      <c r="W608" s="2058"/>
      <c r="X608" s="2058"/>
      <c r="Y608" s="2058"/>
      <c r="Z608" s="2058"/>
    </row>
    <row r="609" spans="1:26" ht="12" x14ac:dyDescent="0.2">
      <c r="A609" s="2058"/>
      <c r="B609" s="2058"/>
      <c r="C609" s="2058"/>
      <c r="D609" s="2058"/>
      <c r="E609" s="2058"/>
      <c r="F609" s="2058"/>
      <c r="G609" s="2059"/>
      <c r="H609" s="2058"/>
      <c r="I609" s="2058"/>
      <c r="J609" s="2058"/>
      <c r="K609" s="2058"/>
      <c r="L609" s="2058"/>
      <c r="M609" s="2058"/>
      <c r="N609" s="2058"/>
      <c r="O609" s="2058"/>
      <c r="P609" s="2058"/>
      <c r="Q609" s="2058"/>
      <c r="R609" s="2058"/>
      <c r="S609" s="2058"/>
      <c r="T609" s="2058"/>
      <c r="U609" s="2058"/>
      <c r="V609" s="2058"/>
      <c r="W609" s="2058"/>
      <c r="X609" s="2058"/>
      <c r="Y609" s="2058"/>
      <c r="Z609" s="2058"/>
    </row>
    <row r="610" spans="1:26" ht="12" x14ac:dyDescent="0.2">
      <c r="A610" s="2058"/>
      <c r="B610" s="2058"/>
      <c r="C610" s="2058"/>
      <c r="D610" s="2058"/>
      <c r="E610" s="2058"/>
      <c r="F610" s="2058"/>
      <c r="G610" s="2059"/>
      <c r="H610" s="2058"/>
      <c r="I610" s="2058"/>
      <c r="J610" s="2058"/>
      <c r="K610" s="2058"/>
      <c r="L610" s="2058"/>
      <c r="M610" s="2058"/>
      <c r="N610" s="2058"/>
      <c r="O610" s="2058"/>
      <c r="P610" s="2058"/>
      <c r="Q610" s="2058"/>
      <c r="R610" s="2058"/>
      <c r="S610" s="2058"/>
      <c r="T610" s="2058"/>
      <c r="U610" s="2058"/>
      <c r="V610" s="2058"/>
      <c r="W610" s="2058"/>
      <c r="X610" s="2058"/>
      <c r="Y610" s="2058"/>
      <c r="Z610" s="2058"/>
    </row>
    <row r="611" spans="1:26" ht="12" x14ac:dyDescent="0.2">
      <c r="A611" s="2058"/>
      <c r="B611" s="2058"/>
      <c r="C611" s="2058"/>
      <c r="D611" s="2058"/>
      <c r="E611" s="2058"/>
      <c r="F611" s="2058"/>
      <c r="G611" s="2059"/>
      <c r="H611" s="2058"/>
      <c r="I611" s="2058"/>
      <c r="J611" s="2058"/>
      <c r="K611" s="2058"/>
      <c r="L611" s="2058"/>
      <c r="M611" s="2058"/>
      <c r="N611" s="2058"/>
      <c r="O611" s="2058"/>
      <c r="P611" s="2058"/>
      <c r="Q611" s="2058"/>
      <c r="R611" s="2058"/>
      <c r="S611" s="2058"/>
      <c r="T611" s="2058"/>
      <c r="U611" s="2058"/>
      <c r="V611" s="2058"/>
      <c r="W611" s="2058"/>
      <c r="X611" s="2058"/>
      <c r="Y611" s="2058"/>
      <c r="Z611" s="2058"/>
    </row>
    <row r="612" spans="1:26" ht="12" x14ac:dyDescent="0.2">
      <c r="A612" s="2058"/>
      <c r="B612" s="2058"/>
      <c r="C612" s="2058"/>
      <c r="D612" s="2058"/>
      <c r="E612" s="2058"/>
      <c r="F612" s="2058"/>
      <c r="G612" s="2059"/>
      <c r="H612" s="2058"/>
      <c r="I612" s="2058"/>
      <c r="J612" s="2058"/>
      <c r="K612" s="2058"/>
      <c r="L612" s="2058"/>
      <c r="M612" s="2058"/>
      <c r="N612" s="2058"/>
      <c r="O612" s="2058"/>
      <c r="P612" s="2058"/>
      <c r="Q612" s="2058"/>
      <c r="R612" s="2058"/>
      <c r="S612" s="2058"/>
      <c r="T612" s="2058"/>
      <c r="U612" s="2058"/>
      <c r="V612" s="2058"/>
      <c r="W612" s="2058"/>
      <c r="X612" s="2058"/>
      <c r="Y612" s="2058"/>
      <c r="Z612" s="2058"/>
    </row>
    <row r="613" spans="1:26" ht="12" x14ac:dyDescent="0.2">
      <c r="A613" s="2058"/>
      <c r="B613" s="2058"/>
      <c r="C613" s="2058"/>
      <c r="D613" s="2058"/>
      <c r="E613" s="2058"/>
      <c r="F613" s="2058"/>
      <c r="G613" s="2059"/>
      <c r="H613" s="2058"/>
      <c r="I613" s="2058"/>
      <c r="J613" s="2058"/>
      <c r="K613" s="2058"/>
      <c r="L613" s="2058"/>
      <c r="M613" s="2058"/>
      <c r="N613" s="2058"/>
      <c r="O613" s="2058"/>
      <c r="P613" s="2058"/>
      <c r="Q613" s="2058"/>
      <c r="R613" s="2058"/>
      <c r="S613" s="2058"/>
      <c r="T613" s="2058"/>
      <c r="U613" s="2058"/>
      <c r="V613" s="2058"/>
      <c r="W613" s="2058"/>
      <c r="X613" s="2058"/>
      <c r="Y613" s="2058"/>
      <c r="Z613" s="2058"/>
    </row>
    <row r="614" spans="1:26" ht="12" x14ac:dyDescent="0.2">
      <c r="A614" s="2058"/>
      <c r="B614" s="2058"/>
      <c r="C614" s="2058"/>
      <c r="D614" s="2058"/>
      <c r="E614" s="2058"/>
      <c r="F614" s="2058"/>
      <c r="G614" s="2059"/>
      <c r="H614" s="2058"/>
      <c r="I614" s="2058"/>
      <c r="J614" s="2058"/>
      <c r="K614" s="2058"/>
      <c r="L614" s="2058"/>
      <c r="M614" s="2058"/>
      <c r="N614" s="2058"/>
      <c r="O614" s="2058"/>
      <c r="P614" s="2058"/>
      <c r="Q614" s="2058"/>
      <c r="R614" s="2058"/>
      <c r="S614" s="2058"/>
      <c r="T614" s="2058"/>
      <c r="U614" s="2058"/>
      <c r="V614" s="2058"/>
      <c r="W614" s="2058"/>
      <c r="X614" s="2058"/>
      <c r="Y614" s="2058"/>
      <c r="Z614" s="2058"/>
    </row>
    <row r="615" spans="1:26" ht="12" x14ac:dyDescent="0.2">
      <c r="A615" s="2058"/>
      <c r="B615" s="2058"/>
      <c r="C615" s="2058"/>
      <c r="D615" s="2058"/>
      <c r="E615" s="2058"/>
      <c r="F615" s="2058"/>
      <c r="G615" s="2059"/>
      <c r="H615" s="2058"/>
      <c r="I615" s="2058"/>
      <c r="J615" s="2058"/>
      <c r="K615" s="2058"/>
      <c r="L615" s="2058"/>
      <c r="M615" s="2058"/>
      <c r="N615" s="2058"/>
      <c r="O615" s="2058"/>
      <c r="P615" s="2058"/>
      <c r="Q615" s="2058"/>
      <c r="R615" s="2058"/>
      <c r="S615" s="2058"/>
      <c r="T615" s="2058"/>
      <c r="U615" s="2058"/>
      <c r="V615" s="2058"/>
      <c r="W615" s="2058"/>
      <c r="X615" s="2058"/>
      <c r="Y615" s="2058"/>
      <c r="Z615" s="2058"/>
    </row>
    <row r="616" spans="1:26" ht="12" x14ac:dyDescent="0.2">
      <c r="A616" s="2058"/>
      <c r="B616" s="2058"/>
      <c r="C616" s="2058"/>
      <c r="D616" s="2058"/>
      <c r="E616" s="2058"/>
      <c r="F616" s="2058"/>
      <c r="G616" s="2059"/>
      <c r="H616" s="2058"/>
      <c r="I616" s="2058"/>
      <c r="J616" s="2058"/>
      <c r="K616" s="2058"/>
      <c r="L616" s="2058"/>
      <c r="M616" s="2058"/>
      <c r="N616" s="2058"/>
      <c r="O616" s="2058"/>
      <c r="P616" s="2058"/>
      <c r="Q616" s="2058"/>
      <c r="R616" s="2058"/>
      <c r="S616" s="2058"/>
      <c r="T616" s="2058"/>
      <c r="U616" s="2058"/>
      <c r="V616" s="2058"/>
      <c r="W616" s="2058"/>
      <c r="X616" s="2058"/>
      <c r="Y616" s="2058"/>
      <c r="Z616" s="2058"/>
    </row>
    <row r="617" spans="1:26" ht="12" x14ac:dyDescent="0.2">
      <c r="A617" s="2058"/>
      <c r="B617" s="2058"/>
      <c r="C617" s="2058"/>
      <c r="D617" s="2058"/>
      <c r="E617" s="2058"/>
      <c r="F617" s="2058"/>
      <c r="G617" s="2059"/>
      <c r="H617" s="2058"/>
      <c r="I617" s="2058"/>
      <c r="J617" s="2058"/>
      <c r="K617" s="2058"/>
      <c r="L617" s="2058"/>
      <c r="M617" s="2058"/>
      <c r="N617" s="2058"/>
      <c r="O617" s="2058"/>
      <c r="P617" s="2058"/>
      <c r="Q617" s="2058"/>
      <c r="R617" s="2058"/>
      <c r="S617" s="2058"/>
      <c r="T617" s="2058"/>
      <c r="U617" s="2058"/>
      <c r="V617" s="2058"/>
      <c r="W617" s="2058"/>
      <c r="X617" s="2058"/>
      <c r="Y617" s="2058"/>
      <c r="Z617" s="2058"/>
    </row>
    <row r="618" spans="1:26" ht="12" x14ac:dyDescent="0.2">
      <c r="A618" s="2058"/>
      <c r="B618" s="2058"/>
      <c r="C618" s="2058"/>
      <c r="D618" s="2058"/>
      <c r="E618" s="2058"/>
      <c r="F618" s="2058"/>
      <c r="G618" s="2059"/>
      <c r="H618" s="2058"/>
      <c r="I618" s="2058"/>
      <c r="J618" s="2058"/>
      <c r="K618" s="2058"/>
      <c r="L618" s="2058"/>
      <c r="M618" s="2058"/>
      <c r="N618" s="2058"/>
      <c r="O618" s="2058"/>
      <c r="P618" s="2058"/>
      <c r="Q618" s="2058"/>
      <c r="R618" s="2058"/>
      <c r="S618" s="2058"/>
      <c r="T618" s="2058"/>
      <c r="U618" s="2058"/>
      <c r="V618" s="2058"/>
      <c r="W618" s="2058"/>
      <c r="X618" s="2058"/>
      <c r="Y618" s="2058"/>
      <c r="Z618" s="2058"/>
    </row>
    <row r="619" spans="1:26" ht="12" x14ac:dyDescent="0.2">
      <c r="A619" s="2058"/>
      <c r="B619" s="2058"/>
      <c r="C619" s="2058"/>
      <c r="D619" s="2058"/>
      <c r="E619" s="2058"/>
      <c r="F619" s="2058"/>
      <c r="G619" s="2059"/>
      <c r="H619" s="2058"/>
      <c r="I619" s="2058"/>
      <c r="J619" s="2058"/>
      <c r="K619" s="2058"/>
      <c r="L619" s="2058"/>
      <c r="M619" s="2058"/>
      <c r="N619" s="2058"/>
      <c r="O619" s="2058"/>
      <c r="P619" s="2058"/>
      <c r="Q619" s="2058"/>
      <c r="R619" s="2058"/>
      <c r="S619" s="2058"/>
      <c r="T619" s="2058"/>
      <c r="U619" s="2058"/>
      <c r="V619" s="2058"/>
      <c r="W619" s="2058"/>
      <c r="X619" s="2058"/>
      <c r="Y619" s="2058"/>
      <c r="Z619" s="2058"/>
    </row>
    <row r="620" spans="1:26" ht="12" x14ac:dyDescent="0.2">
      <c r="A620" s="2058"/>
      <c r="B620" s="2058"/>
      <c r="C620" s="2058"/>
      <c r="D620" s="2058"/>
      <c r="E620" s="2058"/>
      <c r="F620" s="2058"/>
      <c r="G620" s="2059"/>
      <c r="H620" s="2058"/>
      <c r="I620" s="2058"/>
      <c r="J620" s="2058"/>
      <c r="K620" s="2058"/>
      <c r="L620" s="2058"/>
      <c r="M620" s="2058"/>
      <c r="N620" s="2058"/>
      <c r="O620" s="2058"/>
      <c r="P620" s="2058"/>
      <c r="Q620" s="2058"/>
      <c r="R620" s="2058"/>
      <c r="S620" s="2058"/>
      <c r="T620" s="2058"/>
      <c r="U620" s="2058"/>
      <c r="V620" s="2058"/>
      <c r="W620" s="2058"/>
      <c r="X620" s="2058"/>
      <c r="Y620" s="2058"/>
      <c r="Z620" s="2058"/>
    </row>
    <row r="621" spans="1:26" ht="12" x14ac:dyDescent="0.2">
      <c r="A621" s="2058"/>
      <c r="B621" s="2058"/>
      <c r="C621" s="2058"/>
      <c r="D621" s="2058"/>
      <c r="E621" s="2058"/>
      <c r="F621" s="2058"/>
      <c r="G621" s="2059"/>
      <c r="H621" s="2058"/>
      <c r="I621" s="2058"/>
      <c r="J621" s="2058"/>
      <c r="K621" s="2058"/>
      <c r="L621" s="2058"/>
      <c r="M621" s="2058"/>
      <c r="N621" s="2058"/>
      <c r="O621" s="2058"/>
      <c r="P621" s="2058"/>
      <c r="Q621" s="2058"/>
      <c r="R621" s="2058"/>
      <c r="S621" s="2058"/>
      <c r="T621" s="2058"/>
      <c r="U621" s="2058"/>
      <c r="V621" s="2058"/>
      <c r="W621" s="2058"/>
      <c r="X621" s="2058"/>
      <c r="Y621" s="2058"/>
      <c r="Z621" s="2058"/>
    </row>
    <row r="622" spans="1:26" ht="12" x14ac:dyDescent="0.2">
      <c r="A622" s="2058"/>
      <c r="B622" s="2058"/>
      <c r="C622" s="2058"/>
      <c r="D622" s="2058"/>
      <c r="E622" s="2058"/>
      <c r="F622" s="2058"/>
      <c r="G622" s="2059"/>
      <c r="H622" s="2058"/>
      <c r="I622" s="2058"/>
      <c r="J622" s="2058"/>
      <c r="K622" s="2058"/>
      <c r="L622" s="2058"/>
      <c r="M622" s="2058"/>
      <c r="N622" s="2058"/>
      <c r="O622" s="2058"/>
      <c r="P622" s="2058"/>
      <c r="Q622" s="2058"/>
      <c r="R622" s="2058"/>
      <c r="S622" s="2058"/>
      <c r="T622" s="2058"/>
      <c r="U622" s="2058"/>
      <c r="V622" s="2058"/>
      <c r="W622" s="2058"/>
      <c r="X622" s="2058"/>
      <c r="Y622" s="2058"/>
      <c r="Z622" s="2058"/>
    </row>
    <row r="623" spans="1:26" ht="12" x14ac:dyDescent="0.2">
      <c r="A623" s="2058"/>
      <c r="B623" s="2058"/>
      <c r="C623" s="2058"/>
      <c r="D623" s="2058"/>
      <c r="E623" s="2058"/>
      <c r="F623" s="2058"/>
      <c r="G623" s="2059"/>
      <c r="H623" s="2058"/>
      <c r="I623" s="2058"/>
      <c r="J623" s="2058"/>
      <c r="K623" s="2058"/>
      <c r="L623" s="2058"/>
      <c r="M623" s="2058"/>
      <c r="N623" s="2058"/>
      <c r="O623" s="2058"/>
      <c r="P623" s="2058"/>
      <c r="Q623" s="2058"/>
      <c r="R623" s="2058"/>
      <c r="S623" s="2058"/>
      <c r="T623" s="2058"/>
      <c r="U623" s="2058"/>
      <c r="V623" s="2058"/>
      <c r="W623" s="2058"/>
      <c r="X623" s="2058"/>
      <c r="Y623" s="2058"/>
      <c r="Z623" s="2058"/>
    </row>
    <row r="624" spans="1:26" ht="12" x14ac:dyDescent="0.2">
      <c r="A624" s="2058"/>
      <c r="B624" s="2058"/>
      <c r="C624" s="2058"/>
      <c r="D624" s="2058"/>
      <c r="E624" s="2058"/>
      <c r="F624" s="2058"/>
      <c r="G624" s="2059"/>
      <c r="H624" s="2058"/>
      <c r="I624" s="2058"/>
      <c r="J624" s="2058"/>
      <c r="K624" s="2058"/>
      <c r="L624" s="2058"/>
      <c r="M624" s="2058"/>
      <c r="N624" s="2058"/>
      <c r="O624" s="2058"/>
      <c r="P624" s="2058"/>
      <c r="Q624" s="2058"/>
      <c r="R624" s="2058"/>
      <c r="S624" s="2058"/>
      <c r="T624" s="2058"/>
      <c r="U624" s="2058"/>
      <c r="V624" s="2058"/>
      <c r="W624" s="2058"/>
      <c r="X624" s="2058"/>
      <c r="Y624" s="2058"/>
      <c r="Z624" s="2058"/>
    </row>
    <row r="625" spans="1:26" ht="12" x14ac:dyDescent="0.2">
      <c r="A625" s="2058"/>
      <c r="B625" s="2058"/>
      <c r="C625" s="2058"/>
      <c r="D625" s="2058"/>
      <c r="E625" s="2058"/>
      <c r="F625" s="2058"/>
      <c r="G625" s="2059"/>
      <c r="H625" s="2058"/>
      <c r="I625" s="2058"/>
      <c r="J625" s="2058"/>
      <c r="K625" s="2058"/>
      <c r="L625" s="2058"/>
      <c r="M625" s="2058"/>
      <c r="N625" s="2058"/>
      <c r="O625" s="2058"/>
      <c r="P625" s="2058"/>
      <c r="Q625" s="2058"/>
      <c r="R625" s="2058"/>
      <c r="S625" s="2058"/>
      <c r="T625" s="2058"/>
      <c r="U625" s="2058"/>
      <c r="V625" s="2058"/>
      <c r="W625" s="2058"/>
      <c r="X625" s="2058"/>
      <c r="Y625" s="2058"/>
      <c r="Z625" s="2058"/>
    </row>
    <row r="626" spans="1:26" ht="12" x14ac:dyDescent="0.2">
      <c r="A626" s="2058"/>
      <c r="B626" s="2058"/>
      <c r="C626" s="2058"/>
      <c r="D626" s="2058"/>
      <c r="E626" s="2058"/>
      <c r="F626" s="2058"/>
      <c r="G626" s="2059"/>
      <c r="H626" s="2058"/>
      <c r="I626" s="2058"/>
      <c r="J626" s="2058"/>
      <c r="K626" s="2058"/>
      <c r="L626" s="2058"/>
      <c r="M626" s="2058"/>
      <c r="N626" s="2058"/>
      <c r="O626" s="2058"/>
      <c r="P626" s="2058"/>
      <c r="Q626" s="2058"/>
      <c r="R626" s="2058"/>
      <c r="S626" s="2058"/>
      <c r="T626" s="2058"/>
      <c r="U626" s="2058"/>
      <c r="V626" s="2058"/>
      <c r="W626" s="2058"/>
      <c r="X626" s="2058"/>
      <c r="Y626" s="2058"/>
      <c r="Z626" s="2058"/>
    </row>
    <row r="627" spans="1:26" ht="12" x14ac:dyDescent="0.2">
      <c r="A627" s="2058"/>
      <c r="B627" s="2058"/>
      <c r="C627" s="2058"/>
      <c r="D627" s="2058"/>
      <c r="E627" s="2058"/>
      <c r="F627" s="2058"/>
      <c r="G627" s="2059"/>
      <c r="H627" s="2058"/>
      <c r="I627" s="2058"/>
      <c r="J627" s="2058"/>
      <c r="K627" s="2058"/>
      <c r="L627" s="2058"/>
      <c r="M627" s="2058"/>
      <c r="N627" s="2058"/>
      <c r="O627" s="2058"/>
      <c r="P627" s="2058"/>
      <c r="Q627" s="2058"/>
      <c r="R627" s="2058"/>
      <c r="S627" s="2058"/>
      <c r="T627" s="2058"/>
      <c r="U627" s="2058"/>
      <c r="V627" s="2058"/>
      <c r="W627" s="2058"/>
      <c r="X627" s="2058"/>
      <c r="Y627" s="2058"/>
      <c r="Z627" s="2058"/>
    </row>
    <row r="628" spans="1:26" ht="12" x14ac:dyDescent="0.2">
      <c r="A628" s="2058"/>
      <c r="B628" s="2058"/>
      <c r="C628" s="2058"/>
      <c r="D628" s="2058"/>
      <c r="E628" s="2058"/>
      <c r="F628" s="2058"/>
      <c r="G628" s="2059"/>
      <c r="H628" s="2058"/>
      <c r="I628" s="2058"/>
      <c r="J628" s="2058"/>
      <c r="K628" s="2058"/>
      <c r="L628" s="2058"/>
      <c r="M628" s="2058"/>
      <c r="N628" s="2058"/>
      <c r="O628" s="2058"/>
      <c r="P628" s="2058"/>
      <c r="Q628" s="2058"/>
      <c r="R628" s="2058"/>
      <c r="S628" s="2058"/>
      <c r="T628" s="2058"/>
      <c r="U628" s="2058"/>
      <c r="V628" s="2058"/>
      <c r="W628" s="2058"/>
      <c r="X628" s="2058"/>
      <c r="Y628" s="2058"/>
      <c r="Z628" s="2058"/>
    </row>
    <row r="629" spans="1:26" ht="12" x14ac:dyDescent="0.2">
      <c r="A629" s="2058"/>
      <c r="B629" s="2058"/>
      <c r="C629" s="2058"/>
      <c r="D629" s="2058"/>
      <c r="E629" s="2058"/>
      <c r="F629" s="2058"/>
      <c r="G629" s="2059"/>
      <c r="H629" s="2058"/>
      <c r="I629" s="2058"/>
      <c r="J629" s="2058"/>
      <c r="K629" s="2058"/>
      <c r="L629" s="2058"/>
      <c r="M629" s="2058"/>
      <c r="N629" s="2058"/>
      <c r="O629" s="2058"/>
      <c r="P629" s="2058"/>
      <c r="Q629" s="2058"/>
      <c r="R629" s="2058"/>
      <c r="S629" s="2058"/>
      <c r="T629" s="2058"/>
      <c r="U629" s="2058"/>
      <c r="V629" s="2058"/>
      <c r="W629" s="2058"/>
      <c r="X629" s="2058"/>
      <c r="Y629" s="2058"/>
      <c r="Z629" s="2058"/>
    </row>
    <row r="630" spans="1:26" ht="12" x14ac:dyDescent="0.2">
      <c r="A630" s="2058"/>
      <c r="B630" s="2058"/>
      <c r="C630" s="2058"/>
      <c r="D630" s="2058"/>
      <c r="E630" s="2058"/>
      <c r="F630" s="2058"/>
      <c r="G630" s="2059"/>
      <c r="H630" s="2058"/>
      <c r="I630" s="2058"/>
      <c r="J630" s="2058"/>
      <c r="K630" s="2058"/>
      <c r="L630" s="2058"/>
      <c r="M630" s="2058"/>
      <c r="N630" s="2058"/>
      <c r="O630" s="2058"/>
      <c r="P630" s="2058"/>
      <c r="Q630" s="2058"/>
      <c r="R630" s="2058"/>
      <c r="S630" s="2058"/>
      <c r="T630" s="2058"/>
      <c r="U630" s="2058"/>
      <c r="V630" s="2058"/>
      <c r="W630" s="2058"/>
      <c r="X630" s="2058"/>
      <c r="Y630" s="2058"/>
      <c r="Z630" s="2058"/>
    </row>
    <row r="631" spans="1:26" ht="12" x14ac:dyDescent="0.2">
      <c r="A631" s="2058"/>
      <c r="B631" s="2058"/>
      <c r="C631" s="2058"/>
      <c r="D631" s="2058"/>
      <c r="E631" s="2058"/>
      <c r="F631" s="2058"/>
      <c r="G631" s="2059"/>
      <c r="H631" s="2058"/>
      <c r="I631" s="2058"/>
      <c r="J631" s="2058"/>
      <c r="K631" s="2058"/>
      <c r="L631" s="2058"/>
      <c r="M631" s="2058"/>
      <c r="N631" s="2058"/>
      <c r="O631" s="2058"/>
      <c r="P631" s="2058"/>
      <c r="Q631" s="2058"/>
      <c r="R631" s="2058"/>
      <c r="S631" s="2058"/>
      <c r="T631" s="2058"/>
      <c r="U631" s="2058"/>
      <c r="V631" s="2058"/>
      <c r="W631" s="2058"/>
      <c r="X631" s="2058"/>
      <c r="Y631" s="2058"/>
      <c r="Z631" s="2058"/>
    </row>
    <row r="632" spans="1:26" ht="12" x14ac:dyDescent="0.2">
      <c r="A632" s="2058"/>
      <c r="B632" s="2058"/>
      <c r="C632" s="2058"/>
      <c r="D632" s="2058"/>
      <c r="E632" s="2058"/>
      <c r="F632" s="2058"/>
      <c r="G632" s="2059"/>
      <c r="H632" s="2058"/>
      <c r="I632" s="2058"/>
      <c r="J632" s="2058"/>
      <c r="K632" s="2058"/>
      <c r="L632" s="2058"/>
      <c r="M632" s="2058"/>
      <c r="N632" s="2058"/>
      <c r="O632" s="2058"/>
      <c r="P632" s="2058"/>
      <c r="Q632" s="2058"/>
      <c r="R632" s="2058"/>
      <c r="S632" s="2058"/>
      <c r="T632" s="2058"/>
      <c r="U632" s="2058"/>
      <c r="V632" s="2058"/>
      <c r="W632" s="2058"/>
      <c r="X632" s="2058"/>
      <c r="Y632" s="2058"/>
      <c r="Z632" s="2058"/>
    </row>
    <row r="633" spans="1:26" ht="12" x14ac:dyDescent="0.2">
      <c r="A633" s="2058"/>
      <c r="B633" s="2058"/>
      <c r="C633" s="2058"/>
      <c r="D633" s="2058"/>
      <c r="E633" s="2058"/>
      <c r="F633" s="2058"/>
      <c r="G633" s="2059"/>
      <c r="H633" s="2058"/>
      <c r="I633" s="2058"/>
      <c r="J633" s="2058"/>
      <c r="K633" s="2058"/>
      <c r="L633" s="2058"/>
      <c r="M633" s="2058"/>
      <c r="N633" s="2058"/>
      <c r="O633" s="2058"/>
      <c r="P633" s="2058"/>
      <c r="Q633" s="2058"/>
      <c r="R633" s="2058"/>
      <c r="S633" s="2058"/>
      <c r="T633" s="2058"/>
      <c r="U633" s="2058"/>
      <c r="V633" s="2058"/>
      <c r="W633" s="2058"/>
      <c r="X633" s="2058"/>
      <c r="Y633" s="2058"/>
      <c r="Z633" s="2058"/>
    </row>
    <row r="634" spans="1:26" ht="12" x14ac:dyDescent="0.2">
      <c r="A634" s="2058"/>
      <c r="B634" s="2058"/>
      <c r="C634" s="2058"/>
      <c r="D634" s="2058"/>
      <c r="E634" s="2058"/>
      <c r="F634" s="2058"/>
      <c r="G634" s="2059"/>
      <c r="H634" s="2058"/>
      <c r="I634" s="2058"/>
      <c r="J634" s="2058"/>
      <c r="K634" s="2058"/>
      <c r="L634" s="2058"/>
      <c r="M634" s="2058"/>
      <c r="N634" s="2058"/>
      <c r="O634" s="2058"/>
      <c r="P634" s="2058"/>
      <c r="Q634" s="2058"/>
      <c r="R634" s="2058"/>
      <c r="S634" s="2058"/>
      <c r="T634" s="2058"/>
      <c r="U634" s="2058"/>
      <c r="V634" s="2058"/>
      <c r="W634" s="2058"/>
      <c r="X634" s="2058"/>
      <c r="Y634" s="2058"/>
      <c r="Z634" s="2058"/>
    </row>
    <row r="635" spans="1:26" ht="12" x14ac:dyDescent="0.2">
      <c r="A635" s="2058"/>
      <c r="B635" s="2058"/>
      <c r="C635" s="2058"/>
      <c r="D635" s="2058"/>
      <c r="E635" s="2058"/>
      <c r="F635" s="2058"/>
      <c r="G635" s="2059"/>
      <c r="H635" s="2058"/>
      <c r="I635" s="2058"/>
      <c r="J635" s="2058"/>
      <c r="K635" s="2058"/>
      <c r="L635" s="2058"/>
      <c r="M635" s="2058"/>
      <c r="N635" s="2058"/>
      <c r="O635" s="2058"/>
      <c r="P635" s="2058"/>
      <c r="Q635" s="2058"/>
      <c r="R635" s="2058"/>
      <c r="S635" s="2058"/>
      <c r="T635" s="2058"/>
      <c r="U635" s="2058"/>
      <c r="V635" s="2058"/>
      <c r="W635" s="2058"/>
      <c r="X635" s="2058"/>
      <c r="Y635" s="2058"/>
      <c r="Z635" s="2058"/>
    </row>
    <row r="636" spans="1:26" ht="12" x14ac:dyDescent="0.2">
      <c r="A636" s="2058"/>
      <c r="B636" s="2058"/>
      <c r="C636" s="2058"/>
      <c r="D636" s="2058"/>
      <c r="E636" s="2058"/>
      <c r="F636" s="2058"/>
      <c r="G636" s="2059"/>
      <c r="H636" s="2058"/>
      <c r="I636" s="2058"/>
      <c r="J636" s="2058"/>
      <c r="K636" s="2058"/>
      <c r="L636" s="2058"/>
      <c r="M636" s="2058"/>
      <c r="N636" s="2058"/>
      <c r="O636" s="2058"/>
      <c r="P636" s="2058"/>
      <c r="Q636" s="2058"/>
      <c r="R636" s="2058"/>
      <c r="S636" s="2058"/>
      <c r="T636" s="2058"/>
      <c r="U636" s="2058"/>
      <c r="V636" s="2058"/>
      <c r="W636" s="2058"/>
      <c r="X636" s="2058"/>
      <c r="Y636" s="2058"/>
      <c r="Z636" s="2058"/>
    </row>
    <row r="637" spans="1:26" ht="12" x14ac:dyDescent="0.2">
      <c r="A637" s="2058"/>
      <c r="B637" s="2058"/>
      <c r="C637" s="2058"/>
      <c r="D637" s="2058"/>
      <c r="E637" s="2058"/>
      <c r="F637" s="2058"/>
      <c r="G637" s="2059"/>
      <c r="H637" s="2058"/>
      <c r="I637" s="2058"/>
      <c r="J637" s="2058"/>
      <c r="K637" s="2058"/>
      <c r="L637" s="2058"/>
      <c r="M637" s="2058"/>
      <c r="N637" s="2058"/>
      <c r="O637" s="2058"/>
      <c r="P637" s="2058"/>
      <c r="Q637" s="2058"/>
      <c r="R637" s="2058"/>
      <c r="S637" s="2058"/>
      <c r="T637" s="2058"/>
      <c r="U637" s="2058"/>
      <c r="V637" s="2058"/>
      <c r="W637" s="2058"/>
      <c r="X637" s="2058"/>
      <c r="Y637" s="2058"/>
      <c r="Z637" s="2058"/>
    </row>
    <row r="638" spans="1:26" ht="12" x14ac:dyDescent="0.2">
      <c r="A638" s="2058"/>
      <c r="B638" s="2058"/>
      <c r="C638" s="2058"/>
      <c r="D638" s="2058"/>
      <c r="E638" s="2058"/>
      <c r="F638" s="2058"/>
      <c r="G638" s="2059"/>
      <c r="H638" s="2058"/>
      <c r="I638" s="2058"/>
      <c r="J638" s="2058"/>
      <c r="K638" s="2058"/>
      <c r="L638" s="2058"/>
      <c r="M638" s="2058"/>
      <c r="N638" s="2058"/>
      <c r="O638" s="2058"/>
      <c r="P638" s="2058"/>
      <c r="Q638" s="2058"/>
      <c r="R638" s="2058"/>
      <c r="S638" s="2058"/>
      <c r="T638" s="2058"/>
      <c r="U638" s="2058"/>
      <c r="V638" s="2058"/>
      <c r="W638" s="2058"/>
      <c r="X638" s="2058"/>
      <c r="Y638" s="2058"/>
      <c r="Z638" s="2058"/>
    </row>
    <row r="639" spans="1:26" ht="12" x14ac:dyDescent="0.2">
      <c r="A639" s="2058"/>
      <c r="B639" s="2058"/>
      <c r="C639" s="2058"/>
      <c r="D639" s="2058"/>
      <c r="E639" s="2058"/>
      <c r="F639" s="2058"/>
      <c r="G639" s="2059"/>
      <c r="H639" s="2058"/>
      <c r="I639" s="2058"/>
      <c r="J639" s="2058"/>
      <c r="K639" s="2058"/>
      <c r="L639" s="2058"/>
      <c r="M639" s="2058"/>
      <c r="N639" s="2058"/>
      <c r="O639" s="2058"/>
      <c r="P639" s="2058"/>
      <c r="Q639" s="2058"/>
      <c r="R639" s="2058"/>
      <c r="S639" s="2058"/>
      <c r="T639" s="2058"/>
      <c r="U639" s="2058"/>
      <c r="V639" s="2058"/>
      <c r="W639" s="2058"/>
      <c r="X639" s="2058"/>
      <c r="Y639" s="2058"/>
      <c r="Z639" s="2058"/>
    </row>
    <row r="640" spans="1:26" ht="12" x14ac:dyDescent="0.2">
      <c r="A640" s="2058"/>
      <c r="B640" s="2058"/>
      <c r="C640" s="2058"/>
      <c r="D640" s="2058"/>
      <c r="E640" s="2058"/>
      <c r="F640" s="2058"/>
      <c r="G640" s="2059"/>
      <c r="H640" s="2058"/>
      <c r="I640" s="2058"/>
      <c r="J640" s="2058"/>
      <c r="K640" s="2058"/>
      <c r="L640" s="2058"/>
      <c r="M640" s="2058"/>
      <c r="N640" s="2058"/>
      <c r="O640" s="2058"/>
      <c r="P640" s="2058"/>
      <c r="Q640" s="2058"/>
      <c r="R640" s="2058"/>
      <c r="S640" s="2058"/>
      <c r="T640" s="2058"/>
      <c r="U640" s="2058"/>
      <c r="V640" s="2058"/>
      <c r="W640" s="2058"/>
      <c r="X640" s="2058"/>
      <c r="Y640" s="2058"/>
      <c r="Z640" s="2058"/>
    </row>
    <row r="641" spans="1:26" ht="12" x14ac:dyDescent="0.2">
      <c r="A641" s="2058"/>
      <c r="B641" s="2058"/>
      <c r="C641" s="2058"/>
      <c r="D641" s="2058"/>
      <c r="E641" s="2058"/>
      <c r="F641" s="2058"/>
      <c r="G641" s="2059"/>
      <c r="H641" s="2058"/>
      <c r="I641" s="2058"/>
      <c r="J641" s="2058"/>
      <c r="K641" s="2058"/>
      <c r="L641" s="2058"/>
      <c r="M641" s="2058"/>
      <c r="N641" s="2058"/>
      <c r="O641" s="2058"/>
      <c r="P641" s="2058"/>
      <c r="Q641" s="2058"/>
      <c r="R641" s="2058"/>
      <c r="S641" s="2058"/>
      <c r="T641" s="2058"/>
      <c r="U641" s="2058"/>
      <c r="V641" s="2058"/>
      <c r="W641" s="2058"/>
      <c r="X641" s="2058"/>
      <c r="Y641" s="2058"/>
      <c r="Z641" s="2058"/>
    </row>
    <row r="642" spans="1:26" ht="12" x14ac:dyDescent="0.2">
      <c r="A642" s="2058"/>
      <c r="B642" s="2058"/>
      <c r="C642" s="2058"/>
      <c r="D642" s="2058"/>
      <c r="E642" s="2058"/>
      <c r="F642" s="2058"/>
      <c r="G642" s="2059"/>
      <c r="H642" s="2058"/>
      <c r="I642" s="2058"/>
      <c r="J642" s="2058"/>
      <c r="K642" s="2058"/>
      <c r="L642" s="2058"/>
      <c r="M642" s="2058"/>
      <c r="N642" s="2058"/>
      <c r="O642" s="2058"/>
      <c r="P642" s="2058"/>
      <c r="Q642" s="2058"/>
      <c r="R642" s="2058"/>
      <c r="S642" s="2058"/>
      <c r="T642" s="2058"/>
      <c r="U642" s="2058"/>
      <c r="V642" s="2058"/>
      <c r="W642" s="2058"/>
      <c r="X642" s="2058"/>
      <c r="Y642" s="2058"/>
      <c r="Z642" s="2058"/>
    </row>
    <row r="643" spans="1:26" ht="12" x14ac:dyDescent="0.2">
      <c r="A643" s="2058"/>
      <c r="B643" s="2058"/>
      <c r="C643" s="2058"/>
      <c r="D643" s="2058"/>
      <c r="E643" s="2058"/>
      <c r="F643" s="2058"/>
      <c r="G643" s="2059"/>
      <c r="H643" s="2058"/>
      <c r="I643" s="2058"/>
      <c r="J643" s="2058"/>
      <c r="K643" s="2058"/>
      <c r="L643" s="2058"/>
      <c r="M643" s="2058"/>
      <c r="N643" s="2058"/>
      <c r="O643" s="2058"/>
      <c r="P643" s="2058"/>
      <c r="Q643" s="2058"/>
      <c r="R643" s="2058"/>
      <c r="S643" s="2058"/>
      <c r="T643" s="2058"/>
      <c r="U643" s="2058"/>
      <c r="V643" s="2058"/>
      <c r="W643" s="2058"/>
      <c r="X643" s="2058"/>
      <c r="Y643" s="2058"/>
      <c r="Z643" s="2058"/>
    </row>
    <row r="644" spans="1:26" ht="12" x14ac:dyDescent="0.2">
      <c r="A644" s="2058"/>
      <c r="B644" s="2058"/>
      <c r="C644" s="2058"/>
      <c r="D644" s="2058"/>
      <c r="E644" s="2058"/>
      <c r="F644" s="2058"/>
      <c r="G644" s="2059"/>
      <c r="H644" s="2058"/>
      <c r="I644" s="2058"/>
      <c r="J644" s="2058"/>
      <c r="K644" s="2058"/>
      <c r="L644" s="2058"/>
      <c r="M644" s="2058"/>
      <c r="N644" s="2058"/>
      <c r="O644" s="2058"/>
      <c r="P644" s="2058"/>
      <c r="Q644" s="2058"/>
      <c r="R644" s="2058"/>
      <c r="S644" s="2058"/>
      <c r="T644" s="2058"/>
      <c r="U644" s="2058"/>
      <c r="V644" s="2058"/>
      <c r="W644" s="2058"/>
      <c r="X644" s="2058"/>
      <c r="Y644" s="2058"/>
      <c r="Z644" s="2058"/>
    </row>
    <row r="645" spans="1:26" ht="12" x14ac:dyDescent="0.2">
      <c r="A645" s="2058"/>
      <c r="B645" s="2058"/>
      <c r="C645" s="2058"/>
      <c r="D645" s="2058"/>
      <c r="E645" s="2058"/>
      <c r="F645" s="2058"/>
      <c r="G645" s="2059"/>
      <c r="H645" s="2058"/>
      <c r="I645" s="2058"/>
      <c r="J645" s="2058"/>
      <c r="K645" s="2058"/>
      <c r="L645" s="2058"/>
      <c r="M645" s="2058"/>
      <c r="N645" s="2058"/>
      <c r="O645" s="2058"/>
      <c r="P645" s="2058"/>
      <c r="Q645" s="2058"/>
      <c r="R645" s="2058"/>
      <c r="S645" s="2058"/>
      <c r="T645" s="2058"/>
      <c r="U645" s="2058"/>
      <c r="V645" s="2058"/>
      <c r="W645" s="2058"/>
      <c r="X645" s="2058"/>
      <c r="Y645" s="2058"/>
      <c r="Z645" s="2058"/>
    </row>
    <row r="646" spans="1:26" ht="12" x14ac:dyDescent="0.2">
      <c r="A646" s="2058"/>
      <c r="B646" s="2058"/>
      <c r="C646" s="2058"/>
      <c r="D646" s="2058"/>
      <c r="E646" s="2058"/>
      <c r="F646" s="2058"/>
      <c r="G646" s="2059"/>
      <c r="H646" s="2058"/>
      <c r="I646" s="2058"/>
      <c r="J646" s="2058"/>
      <c r="K646" s="2058"/>
      <c r="L646" s="2058"/>
      <c r="M646" s="2058"/>
      <c r="N646" s="2058"/>
      <c r="O646" s="2058"/>
      <c r="P646" s="2058"/>
      <c r="Q646" s="2058"/>
      <c r="R646" s="2058"/>
      <c r="S646" s="2058"/>
      <c r="T646" s="2058"/>
      <c r="U646" s="2058"/>
      <c r="V646" s="2058"/>
      <c r="W646" s="2058"/>
      <c r="X646" s="2058"/>
      <c r="Y646" s="2058"/>
      <c r="Z646" s="2058"/>
    </row>
    <row r="647" spans="1:26" ht="12" x14ac:dyDescent="0.2">
      <c r="A647" s="2058"/>
      <c r="B647" s="2058"/>
      <c r="C647" s="2058"/>
      <c r="D647" s="2058"/>
      <c r="E647" s="2058"/>
      <c r="F647" s="2058"/>
      <c r="G647" s="2059"/>
      <c r="H647" s="2058"/>
      <c r="I647" s="2058"/>
      <c r="J647" s="2058"/>
      <c r="K647" s="2058"/>
      <c r="L647" s="2058"/>
      <c r="M647" s="2058"/>
      <c r="N647" s="2058"/>
      <c r="O647" s="2058"/>
      <c r="P647" s="2058"/>
      <c r="Q647" s="2058"/>
      <c r="R647" s="2058"/>
      <c r="S647" s="2058"/>
      <c r="T647" s="2058"/>
      <c r="U647" s="2058"/>
      <c r="V647" s="2058"/>
      <c r="W647" s="2058"/>
      <c r="X647" s="2058"/>
      <c r="Y647" s="2058"/>
      <c r="Z647" s="2058"/>
    </row>
    <row r="648" spans="1:26" ht="12" x14ac:dyDescent="0.2">
      <c r="A648" s="2058"/>
      <c r="B648" s="2058"/>
      <c r="C648" s="2058"/>
      <c r="D648" s="2058"/>
      <c r="E648" s="2058"/>
      <c r="F648" s="2058"/>
      <c r="G648" s="2059"/>
      <c r="H648" s="2058"/>
      <c r="I648" s="2058"/>
      <c r="J648" s="2058"/>
      <c r="K648" s="2058"/>
      <c r="L648" s="2058"/>
      <c r="M648" s="2058"/>
      <c r="N648" s="2058"/>
      <c r="O648" s="2058"/>
      <c r="P648" s="2058"/>
      <c r="Q648" s="2058"/>
      <c r="R648" s="2058"/>
      <c r="S648" s="2058"/>
      <c r="T648" s="2058"/>
      <c r="U648" s="2058"/>
      <c r="V648" s="2058"/>
      <c r="W648" s="2058"/>
      <c r="X648" s="2058"/>
      <c r="Y648" s="2058"/>
      <c r="Z648" s="2058"/>
    </row>
    <row r="649" spans="1:26" ht="12" x14ac:dyDescent="0.2">
      <c r="A649" s="2058"/>
      <c r="B649" s="2058"/>
      <c r="C649" s="2058"/>
      <c r="D649" s="2058"/>
      <c r="E649" s="2058"/>
      <c r="F649" s="2058"/>
      <c r="G649" s="2059"/>
      <c r="H649" s="2058"/>
      <c r="I649" s="2058"/>
      <c r="J649" s="2058"/>
      <c r="K649" s="2058"/>
      <c r="L649" s="2058"/>
      <c r="M649" s="2058"/>
      <c r="N649" s="2058"/>
      <c r="O649" s="2058"/>
      <c r="P649" s="2058"/>
      <c r="Q649" s="2058"/>
      <c r="R649" s="2058"/>
      <c r="S649" s="2058"/>
      <c r="T649" s="2058"/>
      <c r="U649" s="2058"/>
      <c r="V649" s="2058"/>
      <c r="W649" s="2058"/>
      <c r="X649" s="2058"/>
      <c r="Y649" s="2058"/>
      <c r="Z649" s="2058"/>
    </row>
    <row r="650" spans="1:26" ht="12" x14ac:dyDescent="0.2">
      <c r="A650" s="2058"/>
      <c r="B650" s="2058"/>
      <c r="C650" s="2058"/>
      <c r="D650" s="2058"/>
      <c r="E650" s="2058"/>
      <c r="F650" s="2058"/>
      <c r="G650" s="2059"/>
      <c r="H650" s="2058"/>
      <c r="I650" s="2058"/>
      <c r="J650" s="2058"/>
      <c r="K650" s="2058"/>
      <c r="L650" s="2058"/>
      <c r="M650" s="2058"/>
      <c r="N650" s="2058"/>
      <c r="O650" s="2058"/>
      <c r="P650" s="2058"/>
      <c r="Q650" s="2058"/>
      <c r="R650" s="2058"/>
      <c r="S650" s="2058"/>
      <c r="T650" s="2058"/>
      <c r="U650" s="2058"/>
      <c r="V650" s="2058"/>
      <c r="W650" s="2058"/>
      <c r="X650" s="2058"/>
      <c r="Y650" s="2058"/>
      <c r="Z650" s="2058"/>
    </row>
    <row r="651" spans="1:26" ht="12" x14ac:dyDescent="0.2">
      <c r="A651" s="2058"/>
      <c r="B651" s="2058"/>
      <c r="C651" s="2058"/>
      <c r="D651" s="2058"/>
      <c r="E651" s="2058"/>
      <c r="F651" s="2058"/>
      <c r="G651" s="2059"/>
      <c r="H651" s="2058"/>
      <c r="I651" s="2058"/>
      <c r="J651" s="2058"/>
      <c r="K651" s="2058"/>
      <c r="L651" s="2058"/>
      <c r="M651" s="2058"/>
      <c r="N651" s="2058"/>
      <c r="O651" s="2058"/>
      <c r="P651" s="2058"/>
      <c r="Q651" s="2058"/>
      <c r="R651" s="2058"/>
      <c r="S651" s="2058"/>
      <c r="T651" s="2058"/>
      <c r="U651" s="2058"/>
      <c r="V651" s="2058"/>
      <c r="W651" s="2058"/>
      <c r="X651" s="2058"/>
      <c r="Y651" s="2058"/>
      <c r="Z651" s="2058"/>
    </row>
    <row r="652" spans="1:26" ht="12" x14ac:dyDescent="0.2">
      <c r="A652" s="2058"/>
      <c r="B652" s="2058"/>
      <c r="C652" s="2058"/>
      <c r="D652" s="2058"/>
      <c r="E652" s="2058"/>
      <c r="F652" s="2058"/>
      <c r="G652" s="2059"/>
      <c r="H652" s="2058"/>
      <c r="I652" s="2058"/>
      <c r="J652" s="2058"/>
      <c r="K652" s="2058"/>
      <c r="L652" s="2058"/>
      <c r="M652" s="2058"/>
      <c r="N652" s="2058"/>
      <c r="O652" s="2058"/>
      <c r="P652" s="2058"/>
      <c r="Q652" s="2058"/>
      <c r="R652" s="2058"/>
      <c r="S652" s="2058"/>
      <c r="T652" s="2058"/>
      <c r="U652" s="2058"/>
      <c r="V652" s="2058"/>
      <c r="W652" s="2058"/>
      <c r="X652" s="2058"/>
      <c r="Y652" s="2058"/>
      <c r="Z652" s="2058"/>
    </row>
    <row r="653" spans="1:26" ht="12" x14ac:dyDescent="0.2">
      <c r="A653" s="2058"/>
      <c r="B653" s="2058"/>
      <c r="C653" s="2058"/>
      <c r="D653" s="2058"/>
      <c r="E653" s="2058"/>
      <c r="F653" s="2058"/>
      <c r="G653" s="2059"/>
      <c r="H653" s="2058"/>
      <c r="I653" s="2058"/>
      <c r="J653" s="2058"/>
      <c r="K653" s="2058"/>
      <c r="L653" s="2058"/>
      <c r="M653" s="2058"/>
      <c r="N653" s="2058"/>
      <c r="O653" s="2058"/>
      <c r="P653" s="2058"/>
      <c r="Q653" s="2058"/>
      <c r="R653" s="2058"/>
      <c r="S653" s="2058"/>
      <c r="T653" s="2058"/>
      <c r="U653" s="2058"/>
      <c r="V653" s="2058"/>
      <c r="W653" s="2058"/>
      <c r="X653" s="2058"/>
      <c r="Y653" s="2058"/>
      <c r="Z653" s="2058"/>
    </row>
    <row r="654" spans="1:26" ht="12" x14ac:dyDescent="0.2">
      <c r="A654" s="2058"/>
      <c r="B654" s="2058"/>
      <c r="C654" s="2058"/>
      <c r="D654" s="2058"/>
      <c r="E654" s="2058"/>
      <c r="F654" s="2058"/>
      <c r="G654" s="2059"/>
      <c r="H654" s="2058"/>
      <c r="I654" s="2058"/>
      <c r="J654" s="2058"/>
      <c r="K654" s="2058"/>
      <c r="L654" s="2058"/>
      <c r="M654" s="2058"/>
      <c r="N654" s="2058"/>
      <c r="O654" s="2058"/>
      <c r="P654" s="2058"/>
      <c r="Q654" s="2058"/>
      <c r="R654" s="2058"/>
      <c r="S654" s="2058"/>
      <c r="T654" s="2058"/>
      <c r="U654" s="2058"/>
      <c r="V654" s="2058"/>
      <c r="W654" s="2058"/>
      <c r="X654" s="2058"/>
      <c r="Y654" s="2058"/>
      <c r="Z654" s="2058"/>
    </row>
    <row r="655" spans="1:26" ht="12" x14ac:dyDescent="0.2">
      <c r="A655" s="2058"/>
      <c r="B655" s="2058"/>
      <c r="C655" s="2058"/>
      <c r="D655" s="2058"/>
      <c r="E655" s="2058"/>
      <c r="F655" s="2058"/>
      <c r="G655" s="2059"/>
      <c r="H655" s="2058"/>
      <c r="I655" s="2058"/>
      <c r="J655" s="2058"/>
      <c r="K655" s="2058"/>
      <c r="L655" s="2058"/>
      <c r="M655" s="2058"/>
      <c r="N655" s="2058"/>
      <c r="O655" s="2058"/>
      <c r="P655" s="2058"/>
      <c r="Q655" s="2058"/>
      <c r="R655" s="2058"/>
      <c r="S655" s="2058"/>
      <c r="T655" s="2058"/>
      <c r="U655" s="2058"/>
      <c r="V655" s="2058"/>
      <c r="W655" s="2058"/>
      <c r="X655" s="2058"/>
      <c r="Y655" s="2058"/>
      <c r="Z655" s="2058"/>
    </row>
    <row r="656" spans="1:26" ht="12" x14ac:dyDescent="0.2">
      <c r="A656" s="2058"/>
      <c r="B656" s="2058"/>
      <c r="C656" s="2058"/>
      <c r="D656" s="2058"/>
      <c r="E656" s="2058"/>
      <c r="F656" s="2058"/>
      <c r="G656" s="2059"/>
      <c r="H656" s="2058"/>
      <c r="I656" s="2058"/>
      <c r="J656" s="2058"/>
      <c r="K656" s="2058"/>
      <c r="L656" s="2058"/>
      <c r="M656" s="2058"/>
      <c r="N656" s="2058"/>
      <c r="O656" s="2058"/>
      <c r="P656" s="2058"/>
      <c r="Q656" s="2058"/>
      <c r="R656" s="2058"/>
      <c r="S656" s="2058"/>
      <c r="T656" s="2058"/>
      <c r="U656" s="2058"/>
      <c r="V656" s="2058"/>
      <c r="W656" s="2058"/>
      <c r="X656" s="2058"/>
      <c r="Y656" s="2058"/>
      <c r="Z656" s="2058"/>
    </row>
    <row r="657" spans="1:26" ht="12" x14ac:dyDescent="0.2">
      <c r="A657" s="2058"/>
      <c r="B657" s="2058"/>
      <c r="C657" s="2058"/>
      <c r="D657" s="2058"/>
      <c r="E657" s="2058"/>
      <c r="F657" s="2058"/>
      <c r="G657" s="2059"/>
      <c r="H657" s="2058"/>
      <c r="I657" s="2058"/>
      <c r="J657" s="2058"/>
      <c r="K657" s="2058"/>
      <c r="L657" s="2058"/>
      <c r="M657" s="2058"/>
      <c r="N657" s="2058"/>
      <c r="O657" s="2058"/>
      <c r="P657" s="2058"/>
      <c r="Q657" s="2058"/>
      <c r="R657" s="2058"/>
      <c r="S657" s="2058"/>
      <c r="T657" s="2058"/>
      <c r="U657" s="2058"/>
      <c r="V657" s="2058"/>
      <c r="W657" s="2058"/>
      <c r="X657" s="2058"/>
      <c r="Y657" s="2058"/>
      <c r="Z657" s="2058"/>
    </row>
    <row r="658" spans="1:26" ht="12" x14ac:dyDescent="0.2">
      <c r="A658" s="2058"/>
      <c r="B658" s="2058"/>
      <c r="C658" s="2058"/>
      <c r="D658" s="2058"/>
      <c r="E658" s="2058"/>
      <c r="F658" s="2058"/>
      <c r="G658" s="2059"/>
      <c r="H658" s="2058"/>
      <c r="I658" s="2058"/>
      <c r="J658" s="2058"/>
      <c r="K658" s="2058"/>
      <c r="L658" s="2058"/>
      <c r="M658" s="2058"/>
      <c r="N658" s="2058"/>
      <c r="O658" s="2058"/>
      <c r="P658" s="2058"/>
      <c r="Q658" s="2058"/>
      <c r="R658" s="2058"/>
      <c r="S658" s="2058"/>
      <c r="T658" s="2058"/>
      <c r="U658" s="2058"/>
      <c r="V658" s="2058"/>
      <c r="W658" s="2058"/>
      <c r="X658" s="2058"/>
      <c r="Y658" s="2058"/>
      <c r="Z658" s="2058"/>
    </row>
    <row r="659" spans="1:26" ht="12" x14ac:dyDescent="0.2">
      <c r="A659" s="2058"/>
      <c r="B659" s="2058"/>
      <c r="C659" s="2058"/>
      <c r="D659" s="2058"/>
      <c r="E659" s="2058"/>
      <c r="F659" s="2058"/>
      <c r="G659" s="2059"/>
      <c r="H659" s="2058"/>
      <c r="I659" s="2058"/>
      <c r="J659" s="2058"/>
      <c r="K659" s="2058"/>
      <c r="L659" s="2058"/>
      <c r="M659" s="2058"/>
      <c r="N659" s="2058"/>
      <c r="O659" s="2058"/>
      <c r="P659" s="2058"/>
      <c r="Q659" s="2058"/>
      <c r="R659" s="2058"/>
      <c r="S659" s="2058"/>
      <c r="T659" s="2058"/>
      <c r="U659" s="2058"/>
      <c r="V659" s="2058"/>
      <c r="W659" s="2058"/>
      <c r="X659" s="2058"/>
      <c r="Y659" s="2058"/>
      <c r="Z659" s="2058"/>
    </row>
    <row r="660" spans="1:26" ht="12" x14ac:dyDescent="0.2">
      <c r="A660" s="2058"/>
      <c r="B660" s="2058"/>
      <c r="C660" s="2058"/>
      <c r="D660" s="2058"/>
      <c r="E660" s="2058"/>
      <c r="F660" s="2058"/>
      <c r="G660" s="2059"/>
      <c r="H660" s="2058"/>
      <c r="I660" s="2058"/>
      <c r="J660" s="2058"/>
      <c r="K660" s="2058"/>
      <c r="L660" s="2058"/>
      <c r="M660" s="2058"/>
      <c r="N660" s="2058"/>
      <c r="O660" s="2058"/>
      <c r="P660" s="2058"/>
      <c r="Q660" s="2058"/>
      <c r="R660" s="2058"/>
      <c r="S660" s="2058"/>
      <c r="T660" s="2058"/>
      <c r="U660" s="2058"/>
      <c r="V660" s="2058"/>
      <c r="W660" s="2058"/>
      <c r="X660" s="2058"/>
      <c r="Y660" s="2058"/>
      <c r="Z660" s="2058"/>
    </row>
    <row r="661" spans="1:26" ht="12" x14ac:dyDescent="0.2">
      <c r="A661" s="2058"/>
      <c r="B661" s="2058"/>
      <c r="C661" s="2058"/>
      <c r="D661" s="2058"/>
      <c r="E661" s="2058"/>
      <c r="F661" s="2058"/>
      <c r="G661" s="2059"/>
      <c r="H661" s="2058"/>
      <c r="I661" s="2058"/>
      <c r="J661" s="2058"/>
      <c r="K661" s="2058"/>
      <c r="L661" s="2058"/>
      <c r="M661" s="2058"/>
      <c r="N661" s="2058"/>
      <c r="O661" s="2058"/>
      <c r="P661" s="2058"/>
      <c r="Q661" s="2058"/>
      <c r="R661" s="2058"/>
      <c r="S661" s="2058"/>
      <c r="T661" s="2058"/>
      <c r="U661" s="2058"/>
      <c r="V661" s="2058"/>
      <c r="W661" s="2058"/>
      <c r="X661" s="2058"/>
      <c r="Y661" s="2058"/>
      <c r="Z661" s="2058"/>
    </row>
    <row r="662" spans="1:26" ht="12" x14ac:dyDescent="0.2">
      <c r="A662" s="2058"/>
      <c r="B662" s="2058"/>
      <c r="C662" s="2058"/>
      <c r="D662" s="2058"/>
      <c r="E662" s="2058"/>
      <c r="F662" s="2058"/>
      <c r="G662" s="2059"/>
      <c r="H662" s="2058"/>
      <c r="I662" s="2058"/>
      <c r="J662" s="2058"/>
      <c r="K662" s="2058"/>
      <c r="L662" s="2058"/>
      <c r="M662" s="2058"/>
      <c r="N662" s="2058"/>
      <c r="O662" s="2058"/>
      <c r="P662" s="2058"/>
      <c r="Q662" s="2058"/>
      <c r="R662" s="2058"/>
      <c r="S662" s="2058"/>
      <c r="T662" s="2058"/>
      <c r="U662" s="2058"/>
      <c r="V662" s="2058"/>
      <c r="W662" s="2058"/>
      <c r="X662" s="2058"/>
      <c r="Y662" s="2058"/>
      <c r="Z662" s="2058"/>
    </row>
    <row r="663" spans="1:26" ht="12" x14ac:dyDescent="0.2">
      <c r="A663" s="2058"/>
      <c r="B663" s="2058"/>
      <c r="C663" s="2058"/>
      <c r="D663" s="2058"/>
      <c r="E663" s="2058"/>
      <c r="F663" s="2058"/>
      <c r="G663" s="2059"/>
      <c r="H663" s="2058"/>
      <c r="I663" s="2058"/>
      <c r="J663" s="2058"/>
      <c r="K663" s="2058"/>
      <c r="L663" s="2058"/>
      <c r="M663" s="2058"/>
      <c r="N663" s="2058"/>
      <c r="O663" s="2058"/>
      <c r="P663" s="2058"/>
      <c r="Q663" s="2058"/>
      <c r="R663" s="2058"/>
      <c r="S663" s="2058"/>
      <c r="T663" s="2058"/>
      <c r="U663" s="2058"/>
      <c r="V663" s="2058"/>
      <c r="W663" s="2058"/>
      <c r="X663" s="2058"/>
      <c r="Y663" s="2058"/>
      <c r="Z663" s="2058"/>
    </row>
    <row r="664" spans="1:26" ht="12" x14ac:dyDescent="0.2">
      <c r="A664" s="2058"/>
      <c r="B664" s="2058"/>
      <c r="C664" s="2058"/>
      <c r="D664" s="2058"/>
      <c r="E664" s="2058"/>
      <c r="F664" s="2058"/>
      <c r="G664" s="2059"/>
      <c r="H664" s="2058"/>
      <c r="I664" s="2058"/>
      <c r="J664" s="2058"/>
      <c r="K664" s="2058"/>
      <c r="L664" s="2058"/>
      <c r="M664" s="2058"/>
      <c r="N664" s="2058"/>
      <c r="O664" s="2058"/>
      <c r="P664" s="2058"/>
      <c r="Q664" s="2058"/>
      <c r="R664" s="2058"/>
      <c r="S664" s="2058"/>
      <c r="T664" s="2058"/>
      <c r="U664" s="2058"/>
      <c r="V664" s="2058"/>
      <c r="W664" s="2058"/>
      <c r="X664" s="2058"/>
      <c r="Y664" s="2058"/>
      <c r="Z664" s="2058"/>
    </row>
    <row r="665" spans="1:26" ht="12" x14ac:dyDescent="0.2">
      <c r="A665" s="2058"/>
      <c r="B665" s="2058"/>
      <c r="C665" s="2058"/>
      <c r="D665" s="2058"/>
      <c r="E665" s="2058"/>
      <c r="F665" s="2058"/>
      <c r="G665" s="2059"/>
      <c r="H665" s="2058"/>
      <c r="I665" s="2058"/>
      <c r="J665" s="2058"/>
      <c r="K665" s="2058"/>
      <c r="L665" s="2058"/>
      <c r="M665" s="2058"/>
      <c r="N665" s="2058"/>
      <c r="O665" s="2058"/>
      <c r="P665" s="2058"/>
      <c r="Q665" s="2058"/>
      <c r="R665" s="2058"/>
      <c r="S665" s="2058"/>
      <c r="T665" s="2058"/>
      <c r="U665" s="2058"/>
      <c r="V665" s="2058"/>
      <c r="W665" s="2058"/>
      <c r="X665" s="2058"/>
      <c r="Y665" s="2058"/>
      <c r="Z665" s="2058"/>
    </row>
    <row r="666" spans="1:26" ht="12" x14ac:dyDescent="0.2">
      <c r="A666" s="2058"/>
      <c r="B666" s="2058"/>
      <c r="C666" s="2058"/>
      <c r="D666" s="2058"/>
      <c r="E666" s="2058"/>
      <c r="F666" s="2058"/>
      <c r="G666" s="2059"/>
      <c r="H666" s="2058"/>
      <c r="I666" s="2058"/>
      <c r="J666" s="2058"/>
      <c r="K666" s="2058"/>
      <c r="L666" s="2058"/>
      <c r="M666" s="2058"/>
      <c r="N666" s="2058"/>
      <c r="O666" s="2058"/>
      <c r="P666" s="2058"/>
      <c r="Q666" s="2058"/>
      <c r="R666" s="2058"/>
      <c r="S666" s="2058"/>
      <c r="T666" s="2058"/>
      <c r="U666" s="2058"/>
      <c r="V666" s="2058"/>
      <c r="W666" s="2058"/>
      <c r="X666" s="2058"/>
      <c r="Y666" s="2058"/>
      <c r="Z666" s="2058"/>
    </row>
    <row r="667" spans="1:26" ht="12" x14ac:dyDescent="0.2">
      <c r="A667" s="2058"/>
      <c r="B667" s="2058"/>
      <c r="C667" s="2058"/>
      <c r="D667" s="2058"/>
      <c r="E667" s="2058"/>
      <c r="F667" s="2058"/>
      <c r="G667" s="2059"/>
      <c r="H667" s="2058"/>
      <c r="I667" s="2058"/>
      <c r="J667" s="2058"/>
      <c r="K667" s="2058"/>
      <c r="L667" s="2058"/>
      <c r="M667" s="2058"/>
      <c r="N667" s="2058"/>
      <c r="O667" s="2058"/>
      <c r="P667" s="2058"/>
      <c r="Q667" s="2058"/>
      <c r="R667" s="2058"/>
      <c r="S667" s="2058"/>
      <c r="T667" s="2058"/>
      <c r="U667" s="2058"/>
      <c r="V667" s="2058"/>
      <c r="W667" s="2058"/>
      <c r="X667" s="2058"/>
      <c r="Y667" s="2058"/>
      <c r="Z667" s="2058"/>
    </row>
    <row r="668" spans="1:26" ht="12" x14ac:dyDescent="0.2">
      <c r="A668" s="2058"/>
      <c r="B668" s="2058"/>
      <c r="C668" s="2058"/>
      <c r="D668" s="2058"/>
      <c r="E668" s="2058"/>
      <c r="F668" s="2058"/>
      <c r="G668" s="2059"/>
      <c r="H668" s="2058"/>
      <c r="I668" s="2058"/>
      <c r="J668" s="2058"/>
      <c r="K668" s="2058"/>
      <c r="L668" s="2058"/>
      <c r="M668" s="2058"/>
      <c r="N668" s="2058"/>
      <c r="O668" s="2058"/>
      <c r="P668" s="2058"/>
      <c r="Q668" s="2058"/>
      <c r="R668" s="2058"/>
      <c r="S668" s="2058"/>
      <c r="T668" s="2058"/>
      <c r="U668" s="2058"/>
      <c r="V668" s="2058"/>
      <c r="W668" s="2058"/>
      <c r="X668" s="2058"/>
      <c r="Y668" s="2058"/>
      <c r="Z668" s="2058"/>
    </row>
    <row r="669" spans="1:26" ht="12" x14ac:dyDescent="0.2">
      <c r="A669" s="2058"/>
      <c r="B669" s="2058"/>
      <c r="C669" s="2058"/>
      <c r="D669" s="2058"/>
      <c r="E669" s="2058"/>
      <c r="F669" s="2058"/>
      <c r="G669" s="2059"/>
      <c r="H669" s="2058"/>
      <c r="I669" s="2058"/>
      <c r="J669" s="2058"/>
      <c r="K669" s="2058"/>
      <c r="L669" s="2058"/>
      <c r="M669" s="2058"/>
      <c r="N669" s="2058"/>
      <c r="O669" s="2058"/>
      <c r="P669" s="2058"/>
      <c r="Q669" s="2058"/>
      <c r="R669" s="2058"/>
      <c r="S669" s="2058"/>
      <c r="T669" s="2058"/>
      <c r="U669" s="2058"/>
      <c r="V669" s="2058"/>
      <c r="W669" s="2058"/>
      <c r="X669" s="2058"/>
      <c r="Y669" s="2058"/>
      <c r="Z669" s="2058"/>
    </row>
    <row r="670" spans="1:26" ht="12" x14ac:dyDescent="0.2">
      <c r="A670" s="2058"/>
      <c r="B670" s="2058"/>
      <c r="C670" s="2058"/>
      <c r="D670" s="2058"/>
      <c r="E670" s="2058"/>
      <c r="F670" s="2058"/>
      <c r="G670" s="2059"/>
      <c r="H670" s="2058"/>
      <c r="I670" s="2058"/>
      <c r="J670" s="2058"/>
      <c r="K670" s="2058"/>
      <c r="L670" s="2058"/>
      <c r="M670" s="2058"/>
      <c r="N670" s="2058"/>
      <c r="O670" s="2058"/>
      <c r="P670" s="2058"/>
      <c r="Q670" s="2058"/>
      <c r="R670" s="2058"/>
      <c r="S670" s="2058"/>
      <c r="T670" s="2058"/>
      <c r="U670" s="2058"/>
      <c r="V670" s="2058"/>
      <c r="W670" s="2058"/>
      <c r="X670" s="2058"/>
      <c r="Y670" s="2058"/>
      <c r="Z670" s="2058"/>
    </row>
    <row r="671" spans="1:26" ht="12" x14ac:dyDescent="0.2">
      <c r="A671" s="2058"/>
      <c r="B671" s="2058"/>
      <c r="C671" s="2058"/>
      <c r="D671" s="2058"/>
      <c r="E671" s="2058"/>
      <c r="F671" s="2058"/>
      <c r="G671" s="2059"/>
      <c r="H671" s="2058"/>
      <c r="I671" s="2058"/>
      <c r="J671" s="2058"/>
      <c r="K671" s="2058"/>
      <c r="L671" s="2058"/>
      <c r="M671" s="2058"/>
      <c r="N671" s="2058"/>
      <c r="O671" s="2058"/>
      <c r="P671" s="2058"/>
      <c r="Q671" s="2058"/>
      <c r="R671" s="2058"/>
      <c r="S671" s="2058"/>
      <c r="T671" s="2058"/>
      <c r="U671" s="2058"/>
      <c r="V671" s="2058"/>
      <c r="W671" s="2058"/>
      <c r="X671" s="2058"/>
      <c r="Y671" s="2058"/>
      <c r="Z671" s="2058"/>
    </row>
    <row r="672" spans="1:26" ht="12" x14ac:dyDescent="0.2">
      <c r="A672" s="2058"/>
      <c r="B672" s="2058"/>
      <c r="C672" s="2058"/>
      <c r="D672" s="2058"/>
      <c r="E672" s="2058"/>
      <c r="F672" s="2058"/>
      <c r="G672" s="2059"/>
      <c r="H672" s="2058"/>
      <c r="I672" s="2058"/>
      <c r="J672" s="2058"/>
      <c r="K672" s="2058"/>
      <c r="L672" s="2058"/>
      <c r="M672" s="2058"/>
      <c r="N672" s="2058"/>
      <c r="O672" s="2058"/>
      <c r="P672" s="2058"/>
      <c r="Q672" s="2058"/>
      <c r="R672" s="2058"/>
      <c r="S672" s="2058"/>
      <c r="T672" s="2058"/>
      <c r="U672" s="2058"/>
      <c r="V672" s="2058"/>
      <c r="W672" s="2058"/>
      <c r="X672" s="2058"/>
      <c r="Y672" s="2058"/>
      <c r="Z672" s="2058"/>
    </row>
    <row r="673" spans="1:26" ht="12" x14ac:dyDescent="0.2">
      <c r="A673" s="2058"/>
      <c r="B673" s="2058"/>
      <c r="C673" s="2058"/>
      <c r="D673" s="2058"/>
      <c r="E673" s="2058"/>
      <c r="F673" s="2058"/>
      <c r="G673" s="2059"/>
      <c r="H673" s="2058"/>
      <c r="I673" s="2058"/>
      <c r="J673" s="2058"/>
      <c r="K673" s="2058"/>
      <c r="L673" s="2058"/>
      <c r="M673" s="2058"/>
      <c r="N673" s="2058"/>
      <c r="O673" s="2058"/>
      <c r="P673" s="2058"/>
      <c r="Q673" s="2058"/>
      <c r="R673" s="2058"/>
      <c r="S673" s="2058"/>
      <c r="T673" s="2058"/>
      <c r="U673" s="2058"/>
      <c r="V673" s="2058"/>
      <c r="W673" s="2058"/>
      <c r="X673" s="2058"/>
      <c r="Y673" s="2058"/>
      <c r="Z673" s="2058"/>
    </row>
    <row r="674" spans="1:26" ht="12" x14ac:dyDescent="0.2">
      <c r="A674" s="2058"/>
      <c r="B674" s="2058"/>
      <c r="C674" s="2058"/>
      <c r="D674" s="2058"/>
      <c r="E674" s="2058"/>
      <c r="F674" s="2058"/>
      <c r="G674" s="2059"/>
      <c r="H674" s="2058"/>
      <c r="I674" s="2058"/>
      <c r="J674" s="2058"/>
      <c r="K674" s="2058"/>
      <c r="L674" s="2058"/>
      <c r="M674" s="2058"/>
      <c r="N674" s="2058"/>
      <c r="O674" s="2058"/>
      <c r="P674" s="2058"/>
      <c r="Q674" s="2058"/>
      <c r="R674" s="2058"/>
      <c r="S674" s="2058"/>
      <c r="T674" s="2058"/>
      <c r="U674" s="2058"/>
      <c r="V674" s="2058"/>
      <c r="W674" s="2058"/>
      <c r="X674" s="2058"/>
      <c r="Y674" s="2058"/>
      <c r="Z674" s="2058"/>
    </row>
    <row r="675" spans="1:26" ht="12" x14ac:dyDescent="0.2">
      <c r="A675" s="2058"/>
      <c r="B675" s="2058"/>
      <c r="C675" s="2058"/>
      <c r="D675" s="2058"/>
      <c r="E675" s="2058"/>
      <c r="F675" s="2058"/>
      <c r="G675" s="2059"/>
      <c r="H675" s="2058"/>
      <c r="I675" s="2058"/>
      <c r="J675" s="2058"/>
      <c r="K675" s="2058"/>
      <c r="L675" s="2058"/>
      <c r="M675" s="2058"/>
      <c r="N675" s="2058"/>
      <c r="O675" s="2058"/>
      <c r="P675" s="2058"/>
      <c r="Q675" s="2058"/>
      <c r="R675" s="2058"/>
      <c r="S675" s="2058"/>
      <c r="T675" s="2058"/>
      <c r="U675" s="2058"/>
      <c r="V675" s="2058"/>
      <c r="W675" s="2058"/>
      <c r="X675" s="2058"/>
      <c r="Y675" s="2058"/>
      <c r="Z675" s="2058"/>
    </row>
    <row r="676" spans="1:26" ht="12" x14ac:dyDescent="0.2">
      <c r="A676" s="2058"/>
      <c r="B676" s="2058"/>
      <c r="C676" s="2058"/>
      <c r="D676" s="2058"/>
      <c r="E676" s="2058"/>
      <c r="F676" s="2058"/>
      <c r="G676" s="2059"/>
      <c r="H676" s="2058"/>
      <c r="I676" s="2058"/>
      <c r="J676" s="2058"/>
      <c r="K676" s="2058"/>
      <c r="L676" s="2058"/>
      <c r="M676" s="2058"/>
      <c r="N676" s="2058"/>
      <c r="O676" s="2058"/>
      <c r="P676" s="2058"/>
      <c r="Q676" s="2058"/>
      <c r="R676" s="2058"/>
      <c r="S676" s="2058"/>
      <c r="T676" s="2058"/>
      <c r="U676" s="2058"/>
      <c r="V676" s="2058"/>
      <c r="W676" s="2058"/>
      <c r="X676" s="2058"/>
      <c r="Y676" s="2058"/>
      <c r="Z676" s="2058"/>
    </row>
    <row r="677" spans="1:26" ht="12" x14ac:dyDescent="0.2">
      <c r="A677" s="2058"/>
      <c r="B677" s="2058"/>
      <c r="C677" s="2058"/>
      <c r="D677" s="2058"/>
      <c r="E677" s="2058"/>
      <c r="F677" s="2058"/>
      <c r="G677" s="2059"/>
      <c r="H677" s="2058"/>
      <c r="I677" s="2058"/>
      <c r="J677" s="2058"/>
      <c r="K677" s="2058"/>
      <c r="L677" s="2058"/>
      <c r="M677" s="2058"/>
      <c r="N677" s="2058"/>
      <c r="O677" s="2058"/>
      <c r="P677" s="2058"/>
      <c r="Q677" s="2058"/>
      <c r="R677" s="2058"/>
      <c r="S677" s="2058"/>
      <c r="T677" s="2058"/>
      <c r="U677" s="2058"/>
      <c r="V677" s="2058"/>
      <c r="W677" s="2058"/>
      <c r="X677" s="2058"/>
      <c r="Y677" s="2058"/>
      <c r="Z677" s="2058"/>
    </row>
    <row r="678" spans="1:26" ht="12" x14ac:dyDescent="0.2">
      <c r="A678" s="2058"/>
      <c r="B678" s="2058"/>
      <c r="C678" s="2058"/>
      <c r="D678" s="2058"/>
      <c r="E678" s="2058"/>
      <c r="F678" s="2058"/>
      <c r="G678" s="2059"/>
      <c r="H678" s="2058"/>
      <c r="I678" s="2058"/>
      <c r="J678" s="2058"/>
      <c r="K678" s="2058"/>
      <c r="L678" s="2058"/>
      <c r="M678" s="2058"/>
      <c r="N678" s="2058"/>
      <c r="O678" s="2058"/>
      <c r="P678" s="2058"/>
      <c r="Q678" s="2058"/>
      <c r="R678" s="2058"/>
      <c r="S678" s="2058"/>
      <c r="T678" s="2058"/>
      <c r="U678" s="2058"/>
      <c r="V678" s="2058"/>
      <c r="W678" s="2058"/>
      <c r="X678" s="2058"/>
      <c r="Y678" s="2058"/>
      <c r="Z678" s="2058"/>
    </row>
    <row r="679" spans="1:26" ht="12" x14ac:dyDescent="0.2">
      <c r="A679" s="2058"/>
      <c r="B679" s="2058"/>
      <c r="C679" s="2058"/>
      <c r="D679" s="2058"/>
      <c r="E679" s="2058"/>
      <c r="F679" s="2058"/>
      <c r="G679" s="2059"/>
      <c r="H679" s="2058"/>
      <c r="I679" s="2058"/>
      <c r="J679" s="2058"/>
      <c r="K679" s="2058"/>
      <c r="L679" s="2058"/>
      <c r="M679" s="2058"/>
      <c r="N679" s="2058"/>
      <c r="O679" s="2058"/>
      <c r="P679" s="2058"/>
      <c r="Q679" s="2058"/>
      <c r="R679" s="2058"/>
      <c r="S679" s="2058"/>
      <c r="T679" s="2058"/>
      <c r="U679" s="2058"/>
      <c r="V679" s="2058"/>
      <c r="W679" s="2058"/>
      <c r="X679" s="2058"/>
      <c r="Y679" s="2058"/>
      <c r="Z679" s="2058"/>
    </row>
    <row r="680" spans="1:26" ht="12" x14ac:dyDescent="0.2">
      <c r="A680" s="2058"/>
      <c r="B680" s="2058"/>
      <c r="C680" s="2058"/>
      <c r="D680" s="2058"/>
      <c r="E680" s="2058"/>
      <c r="F680" s="2058"/>
      <c r="G680" s="2059"/>
      <c r="H680" s="2058"/>
      <c r="I680" s="2058"/>
      <c r="J680" s="2058"/>
      <c r="K680" s="2058"/>
      <c r="L680" s="2058"/>
      <c r="M680" s="2058"/>
      <c r="N680" s="2058"/>
      <c r="O680" s="2058"/>
      <c r="P680" s="2058"/>
      <c r="Q680" s="2058"/>
      <c r="R680" s="2058"/>
      <c r="S680" s="2058"/>
      <c r="T680" s="2058"/>
      <c r="U680" s="2058"/>
      <c r="V680" s="2058"/>
      <c r="W680" s="2058"/>
      <c r="X680" s="2058"/>
      <c r="Y680" s="2058"/>
      <c r="Z680" s="2058"/>
    </row>
    <row r="681" spans="1:26" ht="12" x14ac:dyDescent="0.2">
      <c r="A681" s="2058"/>
      <c r="B681" s="2058"/>
      <c r="C681" s="2058"/>
      <c r="D681" s="2058"/>
      <c r="E681" s="2058"/>
      <c r="F681" s="2058"/>
      <c r="G681" s="2059"/>
      <c r="H681" s="2058"/>
      <c r="I681" s="2058"/>
      <c r="J681" s="2058"/>
      <c r="K681" s="2058"/>
      <c r="L681" s="2058"/>
      <c r="M681" s="2058"/>
      <c r="N681" s="2058"/>
      <c r="O681" s="2058"/>
      <c r="P681" s="2058"/>
      <c r="Q681" s="2058"/>
      <c r="R681" s="2058"/>
      <c r="S681" s="2058"/>
      <c r="T681" s="2058"/>
      <c r="U681" s="2058"/>
      <c r="V681" s="2058"/>
      <c r="W681" s="2058"/>
      <c r="X681" s="2058"/>
      <c r="Y681" s="2058"/>
      <c r="Z681" s="2058"/>
    </row>
    <row r="682" spans="1:26" ht="12" x14ac:dyDescent="0.2">
      <c r="A682" s="2058"/>
      <c r="B682" s="2058"/>
      <c r="C682" s="2058"/>
      <c r="D682" s="2058"/>
      <c r="E682" s="2058"/>
      <c r="F682" s="2058"/>
      <c r="G682" s="2059"/>
      <c r="H682" s="2058"/>
      <c r="I682" s="2058"/>
      <c r="J682" s="2058"/>
      <c r="K682" s="2058"/>
      <c r="L682" s="2058"/>
      <c r="M682" s="2058"/>
      <c r="N682" s="2058"/>
      <c r="O682" s="2058"/>
      <c r="P682" s="2058"/>
      <c r="Q682" s="2058"/>
      <c r="R682" s="2058"/>
      <c r="S682" s="2058"/>
      <c r="T682" s="2058"/>
      <c r="U682" s="2058"/>
      <c r="V682" s="2058"/>
      <c r="W682" s="2058"/>
      <c r="X682" s="2058"/>
      <c r="Y682" s="2058"/>
      <c r="Z682" s="2058"/>
    </row>
    <row r="683" spans="1:26" ht="12" x14ac:dyDescent="0.2">
      <c r="A683" s="2058"/>
      <c r="B683" s="2058"/>
      <c r="C683" s="2058"/>
      <c r="D683" s="2058"/>
      <c r="E683" s="2058"/>
      <c r="F683" s="2058"/>
      <c r="G683" s="2059"/>
      <c r="H683" s="2058"/>
      <c r="I683" s="2058"/>
      <c r="J683" s="2058"/>
      <c r="K683" s="2058"/>
      <c r="L683" s="2058"/>
      <c r="M683" s="2058"/>
      <c r="N683" s="2058"/>
      <c r="O683" s="2058"/>
      <c r="P683" s="2058"/>
      <c r="Q683" s="2058"/>
      <c r="R683" s="2058"/>
      <c r="S683" s="2058"/>
      <c r="T683" s="2058"/>
      <c r="U683" s="2058"/>
      <c r="V683" s="2058"/>
      <c r="W683" s="2058"/>
      <c r="X683" s="2058"/>
      <c r="Y683" s="2058"/>
      <c r="Z683" s="2058"/>
    </row>
    <row r="684" spans="1:26" ht="12" x14ac:dyDescent="0.2">
      <c r="A684" s="2058"/>
      <c r="B684" s="2058"/>
      <c r="C684" s="2058"/>
      <c r="D684" s="2058"/>
      <c r="E684" s="2058"/>
      <c r="F684" s="2058"/>
      <c r="G684" s="2059"/>
      <c r="H684" s="2058"/>
      <c r="I684" s="2058"/>
      <c r="J684" s="2058"/>
      <c r="K684" s="2058"/>
      <c r="L684" s="2058"/>
      <c r="M684" s="2058"/>
      <c r="N684" s="2058"/>
      <c r="O684" s="2058"/>
      <c r="P684" s="2058"/>
      <c r="Q684" s="2058"/>
      <c r="R684" s="2058"/>
      <c r="S684" s="2058"/>
      <c r="T684" s="2058"/>
      <c r="U684" s="2058"/>
      <c r="V684" s="2058"/>
      <c r="W684" s="2058"/>
      <c r="X684" s="2058"/>
      <c r="Y684" s="2058"/>
      <c r="Z684" s="2058"/>
    </row>
    <row r="685" spans="1:26" ht="12" x14ac:dyDescent="0.2">
      <c r="A685" s="2058"/>
      <c r="B685" s="2058"/>
      <c r="C685" s="2058"/>
      <c r="D685" s="2058"/>
      <c r="E685" s="2058"/>
      <c r="F685" s="2058"/>
      <c r="G685" s="2059"/>
      <c r="H685" s="2058"/>
      <c r="I685" s="2058"/>
      <c r="J685" s="2058"/>
      <c r="K685" s="2058"/>
      <c r="L685" s="2058"/>
      <c r="M685" s="2058"/>
      <c r="N685" s="2058"/>
      <c r="O685" s="2058"/>
      <c r="P685" s="2058"/>
      <c r="Q685" s="2058"/>
      <c r="R685" s="2058"/>
      <c r="S685" s="2058"/>
      <c r="T685" s="2058"/>
      <c r="U685" s="2058"/>
      <c r="V685" s="2058"/>
      <c r="W685" s="2058"/>
      <c r="X685" s="2058"/>
      <c r="Y685" s="2058"/>
      <c r="Z685" s="2058"/>
    </row>
    <row r="686" spans="1:26" ht="12" x14ac:dyDescent="0.2">
      <c r="A686" s="2058"/>
      <c r="B686" s="2058"/>
      <c r="C686" s="2058"/>
      <c r="D686" s="2058"/>
      <c r="E686" s="2058"/>
      <c r="F686" s="2058"/>
      <c r="G686" s="2059"/>
      <c r="H686" s="2058"/>
      <c r="I686" s="2058"/>
      <c r="J686" s="2058"/>
      <c r="K686" s="2058"/>
      <c r="L686" s="2058"/>
      <c r="M686" s="2058"/>
      <c r="N686" s="2058"/>
      <c r="O686" s="2058"/>
      <c r="P686" s="2058"/>
      <c r="Q686" s="2058"/>
      <c r="R686" s="2058"/>
      <c r="S686" s="2058"/>
      <c r="T686" s="2058"/>
      <c r="U686" s="2058"/>
      <c r="V686" s="2058"/>
      <c r="W686" s="2058"/>
      <c r="X686" s="2058"/>
      <c r="Y686" s="2058"/>
      <c r="Z686" s="2058"/>
    </row>
    <row r="687" spans="1:26" ht="12" x14ac:dyDescent="0.2">
      <c r="A687" s="2058"/>
      <c r="B687" s="2058"/>
      <c r="C687" s="2058"/>
      <c r="D687" s="2058"/>
      <c r="E687" s="2058"/>
      <c r="F687" s="2058"/>
      <c r="G687" s="2059"/>
      <c r="H687" s="2058"/>
      <c r="I687" s="2058"/>
      <c r="J687" s="2058"/>
      <c r="K687" s="2058"/>
      <c r="L687" s="2058"/>
      <c r="M687" s="2058"/>
      <c r="N687" s="2058"/>
      <c r="O687" s="2058"/>
      <c r="P687" s="2058"/>
      <c r="Q687" s="2058"/>
      <c r="R687" s="2058"/>
      <c r="S687" s="2058"/>
      <c r="T687" s="2058"/>
      <c r="U687" s="2058"/>
      <c r="V687" s="2058"/>
      <c r="W687" s="2058"/>
      <c r="X687" s="2058"/>
      <c r="Y687" s="2058"/>
      <c r="Z687" s="2058"/>
    </row>
    <row r="688" spans="1:26" ht="12" x14ac:dyDescent="0.2">
      <c r="A688" s="2058"/>
      <c r="B688" s="2058"/>
      <c r="C688" s="2058"/>
      <c r="D688" s="2058"/>
      <c r="E688" s="2058"/>
      <c r="F688" s="2058"/>
      <c r="G688" s="2059"/>
      <c r="H688" s="2058"/>
      <c r="I688" s="2058"/>
      <c r="J688" s="2058"/>
      <c r="K688" s="2058"/>
      <c r="L688" s="2058"/>
      <c r="M688" s="2058"/>
      <c r="N688" s="2058"/>
      <c r="O688" s="2058"/>
      <c r="P688" s="2058"/>
      <c r="Q688" s="2058"/>
      <c r="R688" s="2058"/>
      <c r="S688" s="2058"/>
      <c r="T688" s="2058"/>
      <c r="U688" s="2058"/>
      <c r="V688" s="2058"/>
      <c r="W688" s="2058"/>
      <c r="X688" s="2058"/>
      <c r="Y688" s="2058"/>
      <c r="Z688" s="2058"/>
    </row>
    <row r="689" spans="1:26" ht="12" x14ac:dyDescent="0.2">
      <c r="A689" s="2058"/>
      <c r="B689" s="2058"/>
      <c r="C689" s="2058"/>
      <c r="D689" s="2058"/>
      <c r="E689" s="2058"/>
      <c r="F689" s="2058"/>
      <c r="G689" s="2059"/>
      <c r="H689" s="2058"/>
      <c r="I689" s="2058"/>
      <c r="J689" s="2058"/>
      <c r="K689" s="2058"/>
      <c r="L689" s="2058"/>
      <c r="M689" s="2058"/>
      <c r="N689" s="2058"/>
      <c r="O689" s="2058"/>
      <c r="P689" s="2058"/>
      <c r="Q689" s="2058"/>
      <c r="R689" s="2058"/>
      <c r="S689" s="2058"/>
      <c r="T689" s="2058"/>
      <c r="U689" s="2058"/>
      <c r="V689" s="2058"/>
      <c r="W689" s="2058"/>
      <c r="X689" s="2058"/>
      <c r="Y689" s="2058"/>
      <c r="Z689" s="2058"/>
    </row>
    <row r="690" spans="1:26" ht="12" x14ac:dyDescent="0.2">
      <c r="A690" s="2058"/>
      <c r="B690" s="2058"/>
      <c r="C690" s="2058"/>
      <c r="D690" s="2058"/>
      <c r="E690" s="2058"/>
      <c r="F690" s="2058"/>
      <c r="G690" s="2059"/>
      <c r="H690" s="2058"/>
      <c r="I690" s="2058"/>
      <c r="J690" s="2058"/>
      <c r="K690" s="2058"/>
      <c r="L690" s="2058"/>
      <c r="M690" s="2058"/>
      <c r="N690" s="2058"/>
      <c r="O690" s="2058"/>
      <c r="P690" s="2058"/>
      <c r="Q690" s="2058"/>
      <c r="R690" s="2058"/>
      <c r="S690" s="2058"/>
      <c r="T690" s="2058"/>
      <c r="U690" s="2058"/>
      <c r="V690" s="2058"/>
      <c r="W690" s="2058"/>
      <c r="X690" s="2058"/>
      <c r="Y690" s="2058"/>
      <c r="Z690" s="2058"/>
    </row>
    <row r="691" spans="1:26" ht="12" x14ac:dyDescent="0.2">
      <c r="A691" s="2058"/>
      <c r="B691" s="2058"/>
      <c r="C691" s="2058"/>
      <c r="D691" s="2058"/>
      <c r="E691" s="2058"/>
      <c r="F691" s="2058"/>
      <c r="G691" s="2059"/>
      <c r="H691" s="2058"/>
      <c r="I691" s="2058"/>
      <c r="J691" s="2058"/>
      <c r="K691" s="2058"/>
      <c r="L691" s="2058"/>
      <c r="M691" s="2058"/>
      <c r="N691" s="2058"/>
      <c r="O691" s="2058"/>
      <c r="P691" s="2058"/>
      <c r="Q691" s="2058"/>
      <c r="R691" s="2058"/>
      <c r="S691" s="2058"/>
      <c r="T691" s="2058"/>
      <c r="U691" s="2058"/>
      <c r="V691" s="2058"/>
      <c r="W691" s="2058"/>
      <c r="X691" s="2058"/>
      <c r="Y691" s="2058"/>
      <c r="Z691" s="2058"/>
    </row>
    <row r="692" spans="1:26" ht="12" x14ac:dyDescent="0.2">
      <c r="A692" s="2058"/>
      <c r="B692" s="2058"/>
      <c r="C692" s="2058"/>
      <c r="D692" s="2058"/>
      <c r="E692" s="2058"/>
      <c r="F692" s="2058"/>
      <c r="G692" s="2059"/>
      <c r="H692" s="2058"/>
      <c r="I692" s="2058"/>
      <c r="J692" s="2058"/>
      <c r="K692" s="2058"/>
      <c r="L692" s="2058"/>
      <c r="M692" s="2058"/>
      <c r="N692" s="2058"/>
      <c r="O692" s="2058"/>
      <c r="P692" s="2058"/>
      <c r="Q692" s="2058"/>
      <c r="R692" s="2058"/>
      <c r="S692" s="2058"/>
      <c r="T692" s="2058"/>
      <c r="U692" s="2058"/>
      <c r="V692" s="2058"/>
      <c r="W692" s="2058"/>
      <c r="X692" s="2058"/>
      <c r="Y692" s="2058"/>
      <c r="Z692" s="2058"/>
    </row>
    <row r="693" spans="1:26" ht="12" x14ac:dyDescent="0.2">
      <c r="A693" s="2058"/>
      <c r="B693" s="2058"/>
      <c r="C693" s="2058"/>
      <c r="D693" s="2058"/>
      <c r="E693" s="2058"/>
      <c r="F693" s="2058"/>
      <c r="G693" s="2059"/>
      <c r="H693" s="2058"/>
      <c r="I693" s="2058"/>
      <c r="J693" s="2058"/>
      <c r="K693" s="2058"/>
      <c r="L693" s="2058"/>
      <c r="M693" s="2058"/>
      <c r="N693" s="2058"/>
      <c r="O693" s="2058"/>
      <c r="P693" s="2058"/>
      <c r="Q693" s="2058"/>
      <c r="R693" s="2058"/>
      <c r="S693" s="2058"/>
      <c r="T693" s="2058"/>
      <c r="U693" s="2058"/>
      <c r="V693" s="2058"/>
      <c r="W693" s="2058"/>
      <c r="X693" s="2058"/>
      <c r="Y693" s="2058"/>
      <c r="Z693" s="2058"/>
    </row>
    <row r="694" spans="1:26" ht="12" x14ac:dyDescent="0.2">
      <c r="A694" s="2058"/>
      <c r="B694" s="2058"/>
      <c r="C694" s="2058"/>
      <c r="D694" s="2058"/>
      <c r="E694" s="2058"/>
      <c r="F694" s="2058"/>
      <c r="G694" s="2059"/>
      <c r="H694" s="2058"/>
      <c r="I694" s="2058"/>
      <c r="J694" s="2058"/>
      <c r="K694" s="2058"/>
      <c r="L694" s="2058"/>
      <c r="M694" s="2058"/>
      <c r="N694" s="2058"/>
      <c r="O694" s="2058"/>
      <c r="P694" s="2058"/>
      <c r="Q694" s="2058"/>
      <c r="R694" s="2058"/>
      <c r="S694" s="2058"/>
      <c r="T694" s="2058"/>
      <c r="U694" s="2058"/>
      <c r="V694" s="2058"/>
      <c r="W694" s="2058"/>
      <c r="X694" s="2058"/>
      <c r="Y694" s="2058"/>
      <c r="Z694" s="2058"/>
    </row>
    <row r="695" spans="1:26" ht="12" x14ac:dyDescent="0.2">
      <c r="A695" s="2058"/>
      <c r="B695" s="2058"/>
      <c r="C695" s="2058"/>
      <c r="D695" s="2058"/>
      <c r="E695" s="2058"/>
      <c r="F695" s="2058"/>
      <c r="G695" s="2059"/>
      <c r="H695" s="2058"/>
      <c r="I695" s="2058"/>
      <c r="J695" s="2058"/>
      <c r="K695" s="2058"/>
      <c r="L695" s="2058"/>
      <c r="M695" s="2058"/>
      <c r="N695" s="2058"/>
      <c r="O695" s="2058"/>
      <c r="P695" s="2058"/>
      <c r="Q695" s="2058"/>
      <c r="R695" s="2058"/>
      <c r="S695" s="2058"/>
      <c r="T695" s="2058"/>
      <c r="U695" s="2058"/>
      <c r="V695" s="2058"/>
      <c r="W695" s="2058"/>
      <c r="X695" s="2058"/>
      <c r="Y695" s="2058"/>
      <c r="Z695" s="2058"/>
    </row>
    <row r="696" spans="1:26" ht="12" x14ac:dyDescent="0.2">
      <c r="A696" s="2058"/>
      <c r="B696" s="2058"/>
      <c r="C696" s="2058"/>
      <c r="D696" s="2058"/>
      <c r="E696" s="2058"/>
      <c r="F696" s="2058"/>
      <c r="G696" s="2059"/>
      <c r="H696" s="2058"/>
      <c r="I696" s="2058"/>
      <c r="J696" s="2058"/>
      <c r="K696" s="2058"/>
      <c r="L696" s="2058"/>
      <c r="M696" s="2058"/>
      <c r="N696" s="2058"/>
      <c r="O696" s="2058"/>
      <c r="P696" s="2058"/>
      <c r="Q696" s="2058"/>
      <c r="R696" s="2058"/>
      <c r="S696" s="2058"/>
      <c r="T696" s="2058"/>
      <c r="U696" s="2058"/>
      <c r="V696" s="2058"/>
      <c r="W696" s="2058"/>
      <c r="X696" s="2058"/>
      <c r="Y696" s="2058"/>
      <c r="Z696" s="2058"/>
    </row>
    <row r="697" spans="1:26" ht="12" x14ac:dyDescent="0.2">
      <c r="A697" s="2058"/>
      <c r="B697" s="2058"/>
      <c r="C697" s="2058"/>
      <c r="D697" s="2058"/>
      <c r="E697" s="2058"/>
      <c r="F697" s="2058"/>
      <c r="G697" s="2059"/>
      <c r="H697" s="2058"/>
      <c r="I697" s="2058"/>
      <c r="J697" s="2058"/>
      <c r="K697" s="2058"/>
      <c r="L697" s="2058"/>
      <c r="M697" s="2058"/>
      <c r="N697" s="2058"/>
      <c r="O697" s="2058"/>
      <c r="P697" s="2058"/>
      <c r="Q697" s="2058"/>
      <c r="R697" s="2058"/>
      <c r="S697" s="2058"/>
      <c r="T697" s="2058"/>
      <c r="U697" s="2058"/>
      <c r="V697" s="2058"/>
      <c r="W697" s="2058"/>
      <c r="X697" s="2058"/>
      <c r="Y697" s="2058"/>
      <c r="Z697" s="2058"/>
    </row>
    <row r="698" spans="1:26" ht="12" x14ac:dyDescent="0.2">
      <c r="A698" s="2058"/>
      <c r="B698" s="2058"/>
      <c r="C698" s="2058"/>
      <c r="D698" s="2058"/>
      <c r="E698" s="2058"/>
      <c r="F698" s="2058"/>
      <c r="G698" s="2059"/>
      <c r="H698" s="2058"/>
      <c r="I698" s="2058"/>
      <c r="J698" s="2058"/>
      <c r="K698" s="2058"/>
      <c r="L698" s="2058"/>
      <c r="M698" s="2058"/>
      <c r="N698" s="2058"/>
      <c r="O698" s="2058"/>
      <c r="P698" s="2058"/>
      <c r="Q698" s="2058"/>
      <c r="R698" s="2058"/>
      <c r="S698" s="2058"/>
      <c r="T698" s="2058"/>
      <c r="U698" s="2058"/>
      <c r="V698" s="2058"/>
      <c r="W698" s="2058"/>
      <c r="X698" s="2058"/>
      <c r="Y698" s="2058"/>
      <c r="Z698" s="2058"/>
    </row>
    <row r="699" spans="1:26" ht="12" x14ac:dyDescent="0.2">
      <c r="A699" s="2058"/>
      <c r="B699" s="2058"/>
      <c r="C699" s="2058"/>
      <c r="D699" s="2058"/>
      <c r="E699" s="2058"/>
      <c r="F699" s="2058"/>
      <c r="G699" s="2059"/>
      <c r="H699" s="2058"/>
      <c r="I699" s="2058"/>
      <c r="J699" s="2058"/>
      <c r="K699" s="2058"/>
      <c r="L699" s="2058"/>
      <c r="M699" s="2058"/>
      <c r="N699" s="2058"/>
      <c r="O699" s="2058"/>
      <c r="P699" s="2058"/>
      <c r="Q699" s="2058"/>
      <c r="R699" s="2058"/>
      <c r="S699" s="2058"/>
      <c r="T699" s="2058"/>
      <c r="U699" s="2058"/>
      <c r="V699" s="2058"/>
      <c r="W699" s="2058"/>
      <c r="X699" s="2058"/>
      <c r="Y699" s="2058"/>
      <c r="Z699" s="2058"/>
    </row>
    <row r="700" spans="1:26" ht="12" x14ac:dyDescent="0.2">
      <c r="A700" s="2058"/>
      <c r="B700" s="2058"/>
      <c r="C700" s="2058"/>
      <c r="D700" s="2058"/>
      <c r="E700" s="2058"/>
      <c r="F700" s="2058"/>
      <c r="G700" s="2059"/>
      <c r="H700" s="2058"/>
      <c r="I700" s="2058"/>
      <c r="J700" s="2058"/>
      <c r="K700" s="2058"/>
      <c r="L700" s="2058"/>
      <c r="M700" s="2058"/>
      <c r="N700" s="2058"/>
      <c r="O700" s="2058"/>
      <c r="P700" s="2058"/>
      <c r="Q700" s="2058"/>
      <c r="R700" s="2058"/>
      <c r="S700" s="2058"/>
      <c r="T700" s="2058"/>
      <c r="U700" s="2058"/>
      <c r="V700" s="2058"/>
      <c r="W700" s="2058"/>
      <c r="X700" s="2058"/>
      <c r="Y700" s="2058"/>
      <c r="Z700" s="2058"/>
    </row>
    <row r="701" spans="1:26" ht="12" x14ac:dyDescent="0.2">
      <c r="A701" s="2058"/>
      <c r="B701" s="2058"/>
      <c r="C701" s="2058"/>
      <c r="D701" s="2058"/>
      <c r="E701" s="2058"/>
      <c r="F701" s="2058"/>
      <c r="G701" s="2059"/>
      <c r="H701" s="2058"/>
      <c r="I701" s="2058"/>
      <c r="J701" s="2058"/>
      <c r="K701" s="2058"/>
      <c r="L701" s="2058"/>
      <c r="M701" s="2058"/>
      <c r="N701" s="2058"/>
      <c r="O701" s="2058"/>
      <c r="P701" s="2058"/>
      <c r="Q701" s="2058"/>
      <c r="R701" s="2058"/>
      <c r="S701" s="2058"/>
      <c r="T701" s="2058"/>
      <c r="U701" s="2058"/>
      <c r="V701" s="2058"/>
      <c r="W701" s="2058"/>
      <c r="X701" s="2058"/>
      <c r="Y701" s="2058"/>
      <c r="Z701" s="2058"/>
    </row>
    <row r="702" spans="1:26" ht="12" x14ac:dyDescent="0.2">
      <c r="A702" s="2058"/>
      <c r="B702" s="2058"/>
      <c r="C702" s="2058"/>
      <c r="D702" s="2058"/>
      <c r="E702" s="2058"/>
      <c r="F702" s="2058"/>
      <c r="G702" s="2059"/>
      <c r="H702" s="2058"/>
      <c r="I702" s="2058"/>
      <c r="J702" s="2058"/>
      <c r="K702" s="2058"/>
      <c r="L702" s="2058"/>
      <c r="M702" s="2058"/>
      <c r="N702" s="2058"/>
      <c r="O702" s="2058"/>
      <c r="P702" s="2058"/>
      <c r="Q702" s="2058"/>
      <c r="R702" s="2058"/>
      <c r="S702" s="2058"/>
      <c r="T702" s="2058"/>
      <c r="U702" s="2058"/>
      <c r="V702" s="2058"/>
      <c r="W702" s="2058"/>
      <c r="X702" s="2058"/>
      <c r="Y702" s="2058"/>
      <c r="Z702" s="2058"/>
    </row>
    <row r="703" spans="1:26" ht="12" x14ac:dyDescent="0.2">
      <c r="A703" s="2058"/>
      <c r="B703" s="2058"/>
      <c r="C703" s="2058"/>
      <c r="D703" s="2058"/>
      <c r="E703" s="2058"/>
      <c r="F703" s="2058"/>
      <c r="G703" s="2059"/>
      <c r="H703" s="2058"/>
      <c r="I703" s="2058"/>
      <c r="J703" s="2058"/>
      <c r="K703" s="2058"/>
      <c r="L703" s="2058"/>
      <c r="M703" s="2058"/>
      <c r="N703" s="2058"/>
      <c r="O703" s="2058"/>
      <c r="P703" s="2058"/>
      <c r="Q703" s="2058"/>
      <c r="R703" s="2058"/>
      <c r="S703" s="2058"/>
      <c r="T703" s="2058"/>
      <c r="U703" s="2058"/>
      <c r="V703" s="2058"/>
      <c r="W703" s="2058"/>
      <c r="X703" s="2058"/>
      <c r="Y703" s="2058"/>
      <c r="Z703" s="2058"/>
    </row>
    <row r="704" spans="1:26" ht="12" x14ac:dyDescent="0.2">
      <c r="A704" s="2058"/>
      <c r="B704" s="2058"/>
      <c r="C704" s="2058"/>
      <c r="D704" s="2058"/>
      <c r="E704" s="2058"/>
      <c r="F704" s="2058"/>
      <c r="G704" s="2059"/>
      <c r="H704" s="2058"/>
      <c r="I704" s="2058"/>
      <c r="J704" s="2058"/>
      <c r="K704" s="2058"/>
      <c r="L704" s="2058"/>
      <c r="M704" s="2058"/>
      <c r="N704" s="2058"/>
      <c r="O704" s="2058"/>
      <c r="P704" s="2058"/>
      <c r="Q704" s="2058"/>
      <c r="R704" s="2058"/>
      <c r="S704" s="2058"/>
      <c r="T704" s="2058"/>
      <c r="U704" s="2058"/>
      <c r="V704" s="2058"/>
      <c r="W704" s="2058"/>
      <c r="X704" s="2058"/>
      <c r="Y704" s="2058"/>
      <c r="Z704" s="2058"/>
    </row>
    <row r="705" spans="1:26" ht="12" x14ac:dyDescent="0.2">
      <c r="A705" s="2058"/>
      <c r="B705" s="2058"/>
      <c r="C705" s="2058"/>
      <c r="D705" s="2058"/>
      <c r="E705" s="2058"/>
      <c r="F705" s="2058"/>
      <c r="G705" s="2059"/>
      <c r="H705" s="2058"/>
      <c r="I705" s="2058"/>
      <c r="J705" s="2058"/>
      <c r="K705" s="2058"/>
      <c r="L705" s="2058"/>
      <c r="M705" s="2058"/>
      <c r="N705" s="2058"/>
      <c r="O705" s="2058"/>
      <c r="P705" s="2058"/>
      <c r="Q705" s="2058"/>
      <c r="R705" s="2058"/>
      <c r="S705" s="2058"/>
      <c r="T705" s="2058"/>
      <c r="U705" s="2058"/>
      <c r="V705" s="2058"/>
      <c r="W705" s="2058"/>
      <c r="X705" s="2058"/>
      <c r="Y705" s="2058"/>
      <c r="Z705" s="2058"/>
    </row>
    <row r="706" spans="1:26" ht="12" x14ac:dyDescent="0.2">
      <c r="A706" s="2058"/>
      <c r="B706" s="2058"/>
      <c r="C706" s="2058"/>
      <c r="D706" s="2058"/>
      <c r="E706" s="2058"/>
      <c r="F706" s="2058"/>
      <c r="G706" s="2059"/>
      <c r="H706" s="2058"/>
      <c r="I706" s="2058"/>
      <c r="J706" s="2058"/>
      <c r="K706" s="2058"/>
      <c r="L706" s="2058"/>
      <c r="M706" s="2058"/>
      <c r="N706" s="2058"/>
      <c r="O706" s="2058"/>
      <c r="P706" s="2058"/>
      <c r="Q706" s="2058"/>
      <c r="R706" s="2058"/>
      <c r="S706" s="2058"/>
      <c r="T706" s="2058"/>
      <c r="U706" s="2058"/>
      <c r="V706" s="2058"/>
      <c r="W706" s="2058"/>
      <c r="X706" s="2058"/>
      <c r="Y706" s="2058"/>
      <c r="Z706" s="2058"/>
    </row>
    <row r="707" spans="1:26" ht="12" x14ac:dyDescent="0.2">
      <c r="A707" s="2058"/>
      <c r="B707" s="2058"/>
      <c r="C707" s="2058"/>
      <c r="D707" s="2058"/>
      <c r="E707" s="2058"/>
      <c r="F707" s="2058"/>
      <c r="G707" s="2059"/>
      <c r="H707" s="2058"/>
      <c r="I707" s="2058"/>
      <c r="J707" s="2058"/>
      <c r="K707" s="2058"/>
      <c r="L707" s="2058"/>
      <c r="M707" s="2058"/>
      <c r="N707" s="2058"/>
      <c r="O707" s="2058"/>
      <c r="P707" s="2058"/>
      <c r="Q707" s="2058"/>
      <c r="R707" s="2058"/>
      <c r="S707" s="2058"/>
      <c r="T707" s="2058"/>
      <c r="U707" s="2058"/>
      <c r="V707" s="2058"/>
      <c r="W707" s="2058"/>
      <c r="X707" s="2058"/>
      <c r="Y707" s="2058"/>
      <c r="Z707" s="2058"/>
    </row>
    <row r="708" spans="1:26" ht="12" x14ac:dyDescent="0.2">
      <c r="A708" s="2058"/>
      <c r="B708" s="2058"/>
      <c r="C708" s="2058"/>
      <c r="D708" s="2058"/>
      <c r="E708" s="2058"/>
      <c r="F708" s="2058"/>
      <c r="G708" s="2059"/>
      <c r="H708" s="2058"/>
      <c r="I708" s="2058"/>
      <c r="J708" s="2058"/>
      <c r="K708" s="2058"/>
      <c r="L708" s="2058"/>
      <c r="M708" s="2058"/>
      <c r="N708" s="2058"/>
      <c r="O708" s="2058"/>
      <c r="P708" s="2058"/>
      <c r="Q708" s="2058"/>
      <c r="R708" s="2058"/>
      <c r="S708" s="2058"/>
      <c r="T708" s="2058"/>
      <c r="U708" s="2058"/>
      <c r="V708" s="2058"/>
      <c r="W708" s="2058"/>
      <c r="X708" s="2058"/>
      <c r="Y708" s="2058"/>
      <c r="Z708" s="2058"/>
    </row>
    <row r="709" spans="1:26" ht="12" x14ac:dyDescent="0.2">
      <c r="A709" s="2058"/>
      <c r="B709" s="2058"/>
      <c r="C709" s="2058"/>
      <c r="D709" s="2058"/>
      <c r="E709" s="2058"/>
      <c r="F709" s="2058"/>
      <c r="G709" s="2059"/>
      <c r="H709" s="2058"/>
      <c r="I709" s="2058"/>
      <c r="J709" s="2058"/>
      <c r="K709" s="2058"/>
      <c r="L709" s="2058"/>
      <c r="M709" s="2058"/>
      <c r="N709" s="2058"/>
      <c r="O709" s="2058"/>
      <c r="P709" s="2058"/>
      <c r="Q709" s="2058"/>
      <c r="R709" s="2058"/>
      <c r="S709" s="2058"/>
      <c r="T709" s="2058"/>
      <c r="U709" s="2058"/>
      <c r="V709" s="2058"/>
      <c r="W709" s="2058"/>
      <c r="X709" s="2058"/>
      <c r="Y709" s="2058"/>
      <c r="Z709" s="2058"/>
    </row>
    <row r="710" spans="1:26" ht="12" x14ac:dyDescent="0.2">
      <c r="A710" s="2058"/>
      <c r="B710" s="2058"/>
      <c r="C710" s="2058"/>
      <c r="D710" s="2058"/>
      <c r="E710" s="2058"/>
      <c r="F710" s="2058"/>
      <c r="G710" s="2059"/>
      <c r="H710" s="2058"/>
      <c r="I710" s="2058"/>
      <c r="J710" s="2058"/>
      <c r="K710" s="2058"/>
      <c r="L710" s="2058"/>
      <c r="M710" s="2058"/>
      <c r="N710" s="2058"/>
      <c r="O710" s="2058"/>
      <c r="P710" s="2058"/>
      <c r="Q710" s="2058"/>
      <c r="R710" s="2058"/>
      <c r="S710" s="2058"/>
      <c r="T710" s="2058"/>
      <c r="U710" s="2058"/>
      <c r="V710" s="2058"/>
      <c r="W710" s="2058"/>
      <c r="X710" s="2058"/>
      <c r="Y710" s="2058"/>
      <c r="Z710" s="2058"/>
    </row>
    <row r="711" spans="1:26" ht="12" x14ac:dyDescent="0.2">
      <c r="A711" s="2058"/>
      <c r="B711" s="2058"/>
      <c r="C711" s="2058"/>
      <c r="D711" s="2058"/>
      <c r="E711" s="2058"/>
      <c r="F711" s="2058"/>
      <c r="G711" s="2059"/>
      <c r="H711" s="2058"/>
      <c r="I711" s="2058"/>
      <c r="J711" s="2058"/>
      <c r="K711" s="2058"/>
      <c r="L711" s="2058"/>
      <c r="M711" s="2058"/>
      <c r="N711" s="2058"/>
      <c r="O711" s="2058"/>
      <c r="P711" s="2058"/>
      <c r="Q711" s="2058"/>
      <c r="R711" s="2058"/>
      <c r="S711" s="2058"/>
      <c r="T711" s="2058"/>
      <c r="U711" s="2058"/>
      <c r="V711" s="2058"/>
      <c r="W711" s="2058"/>
      <c r="X711" s="2058"/>
      <c r="Y711" s="2058"/>
      <c r="Z711" s="2058"/>
    </row>
    <row r="712" spans="1:26" ht="12" x14ac:dyDescent="0.2">
      <c r="A712" s="2058"/>
      <c r="B712" s="2058"/>
      <c r="C712" s="2058"/>
      <c r="D712" s="2058"/>
      <c r="E712" s="2058"/>
      <c r="F712" s="2058"/>
      <c r="G712" s="2059"/>
      <c r="H712" s="2058"/>
      <c r="I712" s="2058"/>
      <c r="J712" s="2058"/>
      <c r="K712" s="2058"/>
      <c r="L712" s="2058"/>
      <c r="M712" s="2058"/>
      <c r="N712" s="2058"/>
      <c r="O712" s="2058"/>
      <c r="P712" s="2058"/>
      <c r="Q712" s="2058"/>
      <c r="R712" s="2058"/>
      <c r="S712" s="2058"/>
      <c r="T712" s="2058"/>
      <c r="U712" s="2058"/>
      <c r="V712" s="2058"/>
      <c r="W712" s="2058"/>
      <c r="X712" s="2058"/>
      <c r="Y712" s="2058"/>
      <c r="Z712" s="2058"/>
    </row>
    <row r="713" spans="1:26" ht="12" x14ac:dyDescent="0.2">
      <c r="A713" s="2058"/>
      <c r="B713" s="2058"/>
      <c r="C713" s="2058"/>
      <c r="D713" s="2058"/>
      <c r="E713" s="2058"/>
      <c r="F713" s="2058"/>
      <c r="G713" s="2059"/>
      <c r="H713" s="2058"/>
      <c r="I713" s="2058"/>
      <c r="J713" s="2058"/>
      <c r="K713" s="2058"/>
      <c r="L713" s="2058"/>
      <c r="M713" s="2058"/>
      <c r="N713" s="2058"/>
      <c r="O713" s="2058"/>
      <c r="P713" s="2058"/>
      <c r="Q713" s="2058"/>
      <c r="R713" s="2058"/>
      <c r="S713" s="2058"/>
      <c r="T713" s="2058"/>
      <c r="U713" s="2058"/>
      <c r="V713" s="2058"/>
      <c r="W713" s="2058"/>
      <c r="X713" s="2058"/>
      <c r="Y713" s="2058"/>
      <c r="Z713" s="2058"/>
    </row>
    <row r="714" spans="1:26" ht="12" x14ac:dyDescent="0.2">
      <c r="A714" s="2058"/>
      <c r="B714" s="2058"/>
      <c r="C714" s="2058"/>
      <c r="D714" s="2058"/>
      <c r="E714" s="2058"/>
      <c r="F714" s="2058"/>
      <c r="G714" s="2059"/>
      <c r="H714" s="2058"/>
      <c r="I714" s="2058"/>
      <c r="J714" s="2058"/>
      <c r="K714" s="2058"/>
      <c r="L714" s="2058"/>
      <c r="M714" s="2058"/>
      <c r="N714" s="2058"/>
      <c r="O714" s="2058"/>
      <c r="P714" s="2058"/>
      <c r="Q714" s="2058"/>
      <c r="R714" s="2058"/>
      <c r="S714" s="2058"/>
      <c r="T714" s="2058"/>
      <c r="U714" s="2058"/>
      <c r="V714" s="2058"/>
      <c r="W714" s="2058"/>
      <c r="X714" s="2058"/>
      <c r="Y714" s="2058"/>
      <c r="Z714" s="2058"/>
    </row>
    <row r="715" spans="1:26" ht="12" x14ac:dyDescent="0.2">
      <c r="A715" s="2058"/>
      <c r="B715" s="2058"/>
      <c r="C715" s="2058"/>
      <c r="D715" s="2058"/>
      <c r="E715" s="2058"/>
      <c r="F715" s="2058"/>
      <c r="G715" s="2059"/>
      <c r="H715" s="2058"/>
      <c r="I715" s="2058"/>
      <c r="J715" s="2058"/>
      <c r="K715" s="2058"/>
      <c r="L715" s="2058"/>
      <c r="M715" s="2058"/>
      <c r="N715" s="2058"/>
      <c r="O715" s="2058"/>
      <c r="P715" s="2058"/>
      <c r="Q715" s="2058"/>
      <c r="R715" s="2058"/>
      <c r="S715" s="2058"/>
      <c r="T715" s="2058"/>
      <c r="U715" s="2058"/>
      <c r="V715" s="2058"/>
      <c r="W715" s="2058"/>
      <c r="X715" s="2058"/>
      <c r="Y715" s="2058"/>
      <c r="Z715" s="2058"/>
    </row>
    <row r="716" spans="1:26" ht="12" x14ac:dyDescent="0.2">
      <c r="A716" s="2058"/>
      <c r="B716" s="2058"/>
      <c r="C716" s="2058"/>
      <c r="D716" s="2058"/>
      <c r="E716" s="2058"/>
      <c r="F716" s="2058"/>
      <c r="G716" s="2059"/>
      <c r="H716" s="2058"/>
      <c r="I716" s="2058"/>
      <c r="J716" s="2058"/>
      <c r="K716" s="2058"/>
      <c r="L716" s="2058"/>
      <c r="M716" s="2058"/>
      <c r="N716" s="2058"/>
      <c r="O716" s="2058"/>
      <c r="P716" s="2058"/>
      <c r="Q716" s="2058"/>
      <c r="R716" s="2058"/>
      <c r="S716" s="2058"/>
      <c r="T716" s="2058"/>
      <c r="U716" s="2058"/>
      <c r="V716" s="2058"/>
      <c r="W716" s="2058"/>
      <c r="X716" s="2058"/>
      <c r="Y716" s="2058"/>
      <c r="Z716" s="2058"/>
    </row>
    <row r="717" spans="1:26" ht="12" x14ac:dyDescent="0.2">
      <c r="A717" s="2058"/>
      <c r="B717" s="2058"/>
      <c r="C717" s="2058"/>
      <c r="D717" s="2058"/>
      <c r="E717" s="2058"/>
      <c r="F717" s="2058"/>
      <c r="G717" s="2059"/>
      <c r="H717" s="2058"/>
      <c r="I717" s="2058"/>
      <c r="J717" s="2058"/>
      <c r="K717" s="2058"/>
      <c r="L717" s="2058"/>
      <c r="M717" s="2058"/>
      <c r="N717" s="2058"/>
      <c r="O717" s="2058"/>
      <c r="P717" s="2058"/>
      <c r="Q717" s="2058"/>
      <c r="R717" s="2058"/>
      <c r="S717" s="2058"/>
      <c r="T717" s="2058"/>
      <c r="U717" s="2058"/>
      <c r="V717" s="2058"/>
      <c r="W717" s="2058"/>
      <c r="X717" s="2058"/>
      <c r="Y717" s="2058"/>
      <c r="Z717" s="2058"/>
    </row>
    <row r="718" spans="1:26" ht="12" x14ac:dyDescent="0.2">
      <c r="A718" s="2058"/>
      <c r="B718" s="2058"/>
      <c r="C718" s="2058"/>
      <c r="D718" s="2058"/>
      <c r="E718" s="2058"/>
      <c r="F718" s="2058"/>
      <c r="G718" s="2059"/>
      <c r="H718" s="2058"/>
      <c r="I718" s="2058"/>
      <c r="J718" s="2058"/>
      <c r="K718" s="2058"/>
      <c r="L718" s="2058"/>
      <c r="M718" s="2058"/>
      <c r="N718" s="2058"/>
      <c r="O718" s="2058"/>
      <c r="P718" s="2058"/>
      <c r="Q718" s="2058"/>
      <c r="R718" s="2058"/>
      <c r="S718" s="2058"/>
      <c r="T718" s="2058"/>
      <c r="U718" s="2058"/>
      <c r="V718" s="2058"/>
      <c r="W718" s="2058"/>
      <c r="X718" s="2058"/>
      <c r="Y718" s="2058"/>
      <c r="Z718" s="2058"/>
    </row>
    <row r="719" spans="1:26" ht="12" x14ac:dyDescent="0.2">
      <c r="A719" s="2058"/>
      <c r="B719" s="2058"/>
      <c r="C719" s="2058"/>
      <c r="D719" s="2058"/>
      <c r="E719" s="2058"/>
      <c r="F719" s="2058"/>
      <c r="G719" s="2059"/>
      <c r="H719" s="2058"/>
      <c r="I719" s="2058"/>
      <c r="J719" s="2058"/>
      <c r="K719" s="2058"/>
      <c r="L719" s="2058"/>
      <c r="M719" s="2058"/>
      <c r="N719" s="2058"/>
      <c r="O719" s="2058"/>
      <c r="P719" s="2058"/>
      <c r="Q719" s="2058"/>
      <c r="R719" s="2058"/>
      <c r="S719" s="2058"/>
      <c r="T719" s="2058"/>
      <c r="U719" s="2058"/>
      <c r="V719" s="2058"/>
      <c r="W719" s="2058"/>
      <c r="X719" s="2058"/>
      <c r="Y719" s="2058"/>
      <c r="Z719" s="2058"/>
    </row>
    <row r="720" spans="1:26" ht="12" x14ac:dyDescent="0.2">
      <c r="A720" s="2058"/>
      <c r="B720" s="2058"/>
      <c r="C720" s="2058"/>
      <c r="D720" s="2058"/>
      <c r="E720" s="2058"/>
      <c r="F720" s="2058"/>
      <c r="G720" s="2059"/>
      <c r="H720" s="2058"/>
      <c r="I720" s="2058"/>
      <c r="J720" s="2058"/>
      <c r="K720" s="2058"/>
      <c r="L720" s="2058"/>
      <c r="M720" s="2058"/>
      <c r="N720" s="2058"/>
      <c r="O720" s="2058"/>
      <c r="P720" s="2058"/>
      <c r="Q720" s="2058"/>
      <c r="R720" s="2058"/>
      <c r="S720" s="2058"/>
      <c r="T720" s="2058"/>
      <c r="U720" s="2058"/>
      <c r="V720" s="2058"/>
      <c r="W720" s="2058"/>
      <c r="X720" s="2058"/>
      <c r="Y720" s="2058"/>
      <c r="Z720" s="2058"/>
    </row>
    <row r="721" spans="1:26" ht="12" x14ac:dyDescent="0.2">
      <c r="A721" s="2058"/>
      <c r="B721" s="2058"/>
      <c r="C721" s="2058"/>
      <c r="D721" s="2058"/>
      <c r="E721" s="2058"/>
      <c r="F721" s="2058"/>
      <c r="G721" s="2059"/>
      <c r="H721" s="2058"/>
      <c r="I721" s="2058"/>
      <c r="J721" s="2058"/>
      <c r="K721" s="2058"/>
      <c r="L721" s="2058"/>
      <c r="M721" s="2058"/>
      <c r="N721" s="2058"/>
      <c r="O721" s="2058"/>
      <c r="P721" s="2058"/>
      <c r="Q721" s="2058"/>
      <c r="R721" s="2058"/>
      <c r="S721" s="2058"/>
      <c r="T721" s="2058"/>
      <c r="U721" s="2058"/>
      <c r="V721" s="2058"/>
      <c r="W721" s="2058"/>
      <c r="X721" s="2058"/>
      <c r="Y721" s="2058"/>
      <c r="Z721" s="2058"/>
    </row>
    <row r="722" spans="1:26" ht="12" x14ac:dyDescent="0.2">
      <c r="A722" s="2058"/>
      <c r="B722" s="2058"/>
      <c r="C722" s="2058"/>
      <c r="D722" s="2058"/>
      <c r="E722" s="2058"/>
      <c r="F722" s="2058"/>
      <c r="G722" s="2059"/>
      <c r="H722" s="2058"/>
      <c r="I722" s="2058"/>
      <c r="J722" s="2058"/>
      <c r="K722" s="2058"/>
      <c r="L722" s="2058"/>
      <c r="M722" s="2058"/>
      <c r="N722" s="2058"/>
      <c r="O722" s="2058"/>
      <c r="P722" s="2058"/>
      <c r="Q722" s="2058"/>
      <c r="R722" s="2058"/>
      <c r="S722" s="2058"/>
      <c r="T722" s="2058"/>
      <c r="U722" s="2058"/>
      <c r="V722" s="2058"/>
      <c r="W722" s="2058"/>
      <c r="X722" s="2058"/>
      <c r="Y722" s="2058"/>
      <c r="Z722" s="2058"/>
    </row>
    <row r="723" spans="1:26" ht="12" x14ac:dyDescent="0.2">
      <c r="A723" s="2058"/>
      <c r="B723" s="2058"/>
      <c r="C723" s="2058"/>
      <c r="D723" s="2058"/>
      <c r="E723" s="2058"/>
      <c r="F723" s="2058"/>
      <c r="G723" s="2059"/>
      <c r="H723" s="2058"/>
      <c r="I723" s="2058"/>
      <c r="J723" s="2058"/>
      <c r="K723" s="2058"/>
      <c r="L723" s="2058"/>
      <c r="M723" s="2058"/>
      <c r="N723" s="2058"/>
      <c r="O723" s="2058"/>
      <c r="P723" s="2058"/>
      <c r="Q723" s="2058"/>
      <c r="R723" s="2058"/>
      <c r="S723" s="2058"/>
      <c r="T723" s="2058"/>
      <c r="U723" s="2058"/>
      <c r="V723" s="2058"/>
      <c r="W723" s="2058"/>
      <c r="X723" s="2058"/>
      <c r="Y723" s="2058"/>
      <c r="Z723" s="2058"/>
    </row>
    <row r="724" spans="1:26" ht="12" x14ac:dyDescent="0.2">
      <c r="A724" s="2058"/>
      <c r="B724" s="2058"/>
      <c r="C724" s="2058"/>
      <c r="D724" s="2058"/>
      <c r="E724" s="2058"/>
      <c r="F724" s="2058"/>
      <c r="G724" s="2059"/>
      <c r="H724" s="2058"/>
      <c r="I724" s="2058"/>
      <c r="J724" s="2058"/>
      <c r="K724" s="2058"/>
      <c r="L724" s="2058"/>
      <c r="M724" s="2058"/>
      <c r="N724" s="2058"/>
      <c r="O724" s="2058"/>
      <c r="P724" s="2058"/>
      <c r="Q724" s="2058"/>
      <c r="R724" s="2058"/>
      <c r="S724" s="2058"/>
      <c r="T724" s="2058"/>
      <c r="U724" s="2058"/>
      <c r="V724" s="2058"/>
      <c r="W724" s="2058"/>
      <c r="X724" s="2058"/>
      <c r="Y724" s="2058"/>
      <c r="Z724" s="2058"/>
    </row>
    <row r="725" spans="1:26" ht="12" x14ac:dyDescent="0.2">
      <c r="A725" s="2058"/>
      <c r="B725" s="2058"/>
      <c r="C725" s="2058"/>
      <c r="D725" s="2058"/>
      <c r="E725" s="2058"/>
      <c r="F725" s="2058"/>
      <c r="G725" s="2059"/>
      <c r="H725" s="2058"/>
      <c r="I725" s="2058"/>
      <c r="J725" s="2058"/>
      <c r="K725" s="2058"/>
      <c r="L725" s="2058"/>
      <c r="M725" s="2058"/>
      <c r="N725" s="2058"/>
      <c r="O725" s="2058"/>
      <c r="P725" s="2058"/>
      <c r="Q725" s="2058"/>
      <c r="R725" s="2058"/>
      <c r="S725" s="2058"/>
      <c r="T725" s="2058"/>
      <c r="U725" s="2058"/>
      <c r="V725" s="2058"/>
      <c r="W725" s="2058"/>
      <c r="X725" s="2058"/>
      <c r="Y725" s="2058"/>
      <c r="Z725" s="2058"/>
    </row>
    <row r="726" spans="1:26" ht="12" x14ac:dyDescent="0.2">
      <c r="A726" s="2058"/>
      <c r="B726" s="2058"/>
      <c r="C726" s="2058"/>
      <c r="D726" s="2058"/>
      <c r="E726" s="2058"/>
      <c r="F726" s="2058"/>
      <c r="G726" s="2059"/>
      <c r="H726" s="2058"/>
      <c r="I726" s="2058"/>
      <c r="J726" s="2058"/>
      <c r="K726" s="2058"/>
      <c r="L726" s="2058"/>
      <c r="M726" s="2058"/>
      <c r="N726" s="2058"/>
      <c r="O726" s="2058"/>
      <c r="P726" s="2058"/>
      <c r="Q726" s="2058"/>
      <c r="R726" s="2058"/>
      <c r="S726" s="2058"/>
      <c r="T726" s="2058"/>
      <c r="U726" s="2058"/>
      <c r="V726" s="2058"/>
      <c r="W726" s="2058"/>
      <c r="X726" s="2058"/>
      <c r="Y726" s="2058"/>
      <c r="Z726" s="2058"/>
    </row>
    <row r="727" spans="1:26" ht="12" x14ac:dyDescent="0.2">
      <c r="A727" s="2058"/>
      <c r="B727" s="2058"/>
      <c r="C727" s="2058"/>
      <c r="D727" s="2058"/>
      <c r="E727" s="2058"/>
      <c r="F727" s="2058"/>
      <c r="G727" s="2059"/>
      <c r="H727" s="2058"/>
      <c r="I727" s="2058"/>
      <c r="J727" s="2058"/>
      <c r="K727" s="2058"/>
      <c r="L727" s="2058"/>
      <c r="M727" s="2058"/>
      <c r="N727" s="2058"/>
      <c r="O727" s="2058"/>
      <c r="P727" s="2058"/>
      <c r="Q727" s="2058"/>
      <c r="R727" s="2058"/>
      <c r="S727" s="2058"/>
      <c r="T727" s="2058"/>
      <c r="U727" s="2058"/>
      <c r="V727" s="2058"/>
      <c r="W727" s="2058"/>
      <c r="X727" s="2058"/>
      <c r="Y727" s="2058"/>
      <c r="Z727" s="2058"/>
    </row>
    <row r="728" spans="1:26" ht="12" x14ac:dyDescent="0.2">
      <c r="A728" s="2058"/>
      <c r="B728" s="2058"/>
      <c r="C728" s="2058"/>
      <c r="D728" s="2058"/>
      <c r="E728" s="2058"/>
      <c r="F728" s="2058"/>
      <c r="G728" s="2059"/>
      <c r="H728" s="2058"/>
      <c r="I728" s="2058"/>
      <c r="J728" s="2058"/>
      <c r="K728" s="2058"/>
      <c r="L728" s="2058"/>
      <c r="M728" s="2058"/>
      <c r="N728" s="2058"/>
      <c r="O728" s="2058"/>
      <c r="P728" s="2058"/>
      <c r="Q728" s="2058"/>
      <c r="R728" s="2058"/>
      <c r="S728" s="2058"/>
      <c r="T728" s="2058"/>
      <c r="U728" s="2058"/>
      <c r="V728" s="2058"/>
      <c r="W728" s="2058"/>
      <c r="X728" s="2058"/>
      <c r="Y728" s="2058"/>
      <c r="Z728" s="2058"/>
    </row>
    <row r="729" spans="1:26" ht="12" x14ac:dyDescent="0.2">
      <c r="A729" s="2058"/>
      <c r="B729" s="2058"/>
      <c r="C729" s="2058"/>
      <c r="D729" s="2058"/>
      <c r="E729" s="2058"/>
      <c r="F729" s="2058"/>
      <c r="G729" s="2059"/>
      <c r="H729" s="2058"/>
      <c r="I729" s="2058"/>
      <c r="J729" s="2058"/>
      <c r="K729" s="2058"/>
      <c r="L729" s="2058"/>
      <c r="M729" s="2058"/>
      <c r="N729" s="2058"/>
      <c r="O729" s="2058"/>
      <c r="P729" s="2058"/>
      <c r="Q729" s="2058"/>
      <c r="R729" s="2058"/>
      <c r="S729" s="2058"/>
      <c r="T729" s="2058"/>
      <c r="U729" s="2058"/>
      <c r="V729" s="2058"/>
      <c r="W729" s="2058"/>
      <c r="X729" s="2058"/>
      <c r="Y729" s="2058"/>
      <c r="Z729" s="2058"/>
    </row>
    <row r="730" spans="1:26" ht="12" x14ac:dyDescent="0.2">
      <c r="A730" s="2058"/>
      <c r="B730" s="2058"/>
      <c r="C730" s="2058"/>
      <c r="D730" s="2058"/>
      <c r="E730" s="2058"/>
      <c r="F730" s="2058"/>
      <c r="G730" s="2059"/>
      <c r="H730" s="2058"/>
      <c r="I730" s="2058"/>
      <c r="J730" s="2058"/>
      <c r="K730" s="2058"/>
      <c r="L730" s="2058"/>
      <c r="M730" s="2058"/>
      <c r="N730" s="2058"/>
      <c r="O730" s="2058"/>
      <c r="P730" s="2058"/>
      <c r="Q730" s="2058"/>
      <c r="R730" s="2058"/>
      <c r="S730" s="2058"/>
      <c r="T730" s="2058"/>
      <c r="U730" s="2058"/>
      <c r="V730" s="2058"/>
      <c r="W730" s="2058"/>
      <c r="X730" s="2058"/>
      <c r="Y730" s="2058"/>
      <c r="Z730" s="2058"/>
    </row>
    <row r="731" spans="1:26" ht="12" x14ac:dyDescent="0.2">
      <c r="A731" s="2058"/>
      <c r="B731" s="2058"/>
      <c r="C731" s="2058"/>
      <c r="D731" s="2058"/>
      <c r="E731" s="2058"/>
      <c r="F731" s="2058"/>
      <c r="G731" s="2059"/>
      <c r="H731" s="2058"/>
      <c r="I731" s="2058"/>
      <c r="J731" s="2058"/>
      <c r="K731" s="2058"/>
      <c r="L731" s="2058"/>
      <c r="M731" s="2058"/>
      <c r="N731" s="2058"/>
      <c r="O731" s="2058"/>
      <c r="P731" s="2058"/>
      <c r="Q731" s="2058"/>
      <c r="R731" s="2058"/>
      <c r="S731" s="2058"/>
      <c r="T731" s="2058"/>
      <c r="U731" s="2058"/>
      <c r="V731" s="2058"/>
      <c r="W731" s="2058"/>
      <c r="X731" s="2058"/>
      <c r="Y731" s="2058"/>
      <c r="Z731" s="2058"/>
    </row>
    <row r="732" spans="1:26" ht="12" x14ac:dyDescent="0.2">
      <c r="A732" s="2058"/>
      <c r="B732" s="2058"/>
      <c r="C732" s="2058"/>
      <c r="D732" s="2058"/>
      <c r="E732" s="2058"/>
      <c r="F732" s="2058"/>
      <c r="G732" s="2059"/>
      <c r="H732" s="2058"/>
      <c r="I732" s="2058"/>
      <c r="J732" s="2058"/>
      <c r="K732" s="2058"/>
      <c r="L732" s="2058"/>
      <c r="M732" s="2058"/>
      <c r="N732" s="2058"/>
      <c r="O732" s="2058"/>
      <c r="P732" s="2058"/>
      <c r="Q732" s="2058"/>
      <c r="R732" s="2058"/>
      <c r="S732" s="2058"/>
      <c r="T732" s="2058"/>
      <c r="U732" s="2058"/>
      <c r="V732" s="2058"/>
      <c r="W732" s="2058"/>
      <c r="X732" s="2058"/>
      <c r="Y732" s="2058"/>
      <c r="Z732" s="2058"/>
    </row>
    <row r="733" spans="1:26" ht="12" x14ac:dyDescent="0.2">
      <c r="A733" s="2058"/>
      <c r="B733" s="2058"/>
      <c r="C733" s="2058"/>
      <c r="D733" s="2058"/>
      <c r="E733" s="2058"/>
      <c r="F733" s="2058"/>
      <c r="G733" s="2059"/>
      <c r="H733" s="2058"/>
      <c r="I733" s="2058"/>
      <c r="J733" s="2058"/>
      <c r="K733" s="2058"/>
      <c r="L733" s="2058"/>
      <c r="M733" s="2058"/>
      <c r="N733" s="2058"/>
      <c r="O733" s="2058"/>
      <c r="P733" s="2058"/>
      <c r="Q733" s="2058"/>
      <c r="R733" s="2058"/>
      <c r="S733" s="2058"/>
      <c r="T733" s="2058"/>
      <c r="U733" s="2058"/>
      <c r="V733" s="2058"/>
      <c r="W733" s="2058"/>
      <c r="X733" s="2058"/>
      <c r="Y733" s="2058"/>
      <c r="Z733" s="2058"/>
    </row>
    <row r="734" spans="1:26" ht="12" x14ac:dyDescent="0.2">
      <c r="A734" s="2058"/>
      <c r="B734" s="2058"/>
      <c r="C734" s="2058"/>
      <c r="D734" s="2058"/>
      <c r="E734" s="2058"/>
      <c r="F734" s="2058"/>
      <c r="G734" s="2059"/>
      <c r="H734" s="2058"/>
      <c r="I734" s="2058"/>
      <c r="J734" s="2058"/>
      <c r="K734" s="2058"/>
      <c r="L734" s="2058"/>
      <c r="M734" s="2058"/>
      <c r="N734" s="2058"/>
      <c r="O734" s="2058"/>
      <c r="P734" s="2058"/>
      <c r="Q734" s="2058"/>
      <c r="R734" s="2058"/>
      <c r="S734" s="2058"/>
      <c r="T734" s="2058"/>
      <c r="U734" s="2058"/>
      <c r="V734" s="2058"/>
      <c r="W734" s="2058"/>
      <c r="X734" s="2058"/>
      <c r="Y734" s="2058"/>
      <c r="Z734" s="2058"/>
    </row>
    <row r="735" spans="1:26" ht="12" x14ac:dyDescent="0.2">
      <c r="A735" s="2058"/>
      <c r="B735" s="2058"/>
      <c r="C735" s="2058"/>
      <c r="D735" s="2058"/>
      <c r="E735" s="2058"/>
      <c r="F735" s="2058"/>
      <c r="G735" s="2059"/>
      <c r="H735" s="2058"/>
      <c r="I735" s="2058"/>
      <c r="J735" s="2058"/>
      <c r="K735" s="2058"/>
      <c r="L735" s="2058"/>
      <c r="M735" s="2058"/>
      <c r="N735" s="2058"/>
      <c r="O735" s="2058"/>
      <c r="P735" s="2058"/>
      <c r="Q735" s="2058"/>
      <c r="R735" s="2058"/>
      <c r="S735" s="2058"/>
      <c r="T735" s="2058"/>
      <c r="U735" s="2058"/>
      <c r="V735" s="2058"/>
      <c r="W735" s="2058"/>
      <c r="X735" s="2058"/>
      <c r="Y735" s="2058"/>
      <c r="Z735" s="2058"/>
    </row>
    <row r="736" spans="1:26" ht="12" x14ac:dyDescent="0.2">
      <c r="A736" s="2058"/>
      <c r="B736" s="2058"/>
      <c r="C736" s="2058"/>
      <c r="D736" s="2058"/>
      <c r="E736" s="2058"/>
      <c r="F736" s="2058"/>
      <c r="G736" s="2059"/>
      <c r="H736" s="2058"/>
      <c r="I736" s="2058"/>
      <c r="J736" s="2058"/>
      <c r="K736" s="2058"/>
      <c r="L736" s="2058"/>
      <c r="M736" s="2058"/>
      <c r="N736" s="2058"/>
      <c r="O736" s="2058"/>
      <c r="P736" s="2058"/>
      <c r="Q736" s="2058"/>
      <c r="R736" s="2058"/>
      <c r="S736" s="2058"/>
      <c r="T736" s="2058"/>
      <c r="U736" s="2058"/>
      <c r="V736" s="2058"/>
      <c r="W736" s="2058"/>
      <c r="X736" s="2058"/>
      <c r="Y736" s="2058"/>
      <c r="Z736" s="2058"/>
    </row>
    <row r="737" spans="1:26" ht="12" x14ac:dyDescent="0.2">
      <c r="A737" s="2058"/>
      <c r="B737" s="2058"/>
      <c r="C737" s="2058"/>
      <c r="D737" s="2058"/>
      <c r="E737" s="2058"/>
      <c r="F737" s="2058"/>
      <c r="G737" s="2059"/>
      <c r="H737" s="2058"/>
      <c r="I737" s="2058"/>
      <c r="J737" s="2058"/>
      <c r="K737" s="2058"/>
      <c r="L737" s="2058"/>
      <c r="M737" s="2058"/>
      <c r="N737" s="2058"/>
      <c r="O737" s="2058"/>
      <c r="P737" s="2058"/>
      <c r="Q737" s="2058"/>
      <c r="R737" s="2058"/>
      <c r="S737" s="2058"/>
      <c r="T737" s="2058"/>
      <c r="U737" s="2058"/>
      <c r="V737" s="2058"/>
      <c r="W737" s="2058"/>
      <c r="X737" s="2058"/>
      <c r="Y737" s="2058"/>
      <c r="Z737" s="2058"/>
    </row>
    <row r="738" spans="1:26" ht="12" x14ac:dyDescent="0.2">
      <c r="A738" s="2058"/>
      <c r="B738" s="2058"/>
      <c r="C738" s="2058"/>
      <c r="D738" s="2058"/>
      <c r="E738" s="2058"/>
      <c r="F738" s="2058"/>
      <c r="G738" s="2059"/>
      <c r="H738" s="2058"/>
      <c r="I738" s="2058"/>
      <c r="J738" s="2058"/>
      <c r="K738" s="2058"/>
      <c r="L738" s="2058"/>
      <c r="M738" s="2058"/>
      <c r="N738" s="2058"/>
      <c r="O738" s="2058"/>
      <c r="P738" s="2058"/>
      <c r="Q738" s="2058"/>
      <c r="R738" s="2058"/>
      <c r="S738" s="2058"/>
      <c r="T738" s="2058"/>
      <c r="U738" s="2058"/>
      <c r="V738" s="2058"/>
      <c r="W738" s="2058"/>
      <c r="X738" s="2058"/>
      <c r="Y738" s="2058"/>
      <c r="Z738" s="2058"/>
    </row>
    <row r="739" spans="1:26" ht="12" x14ac:dyDescent="0.2">
      <c r="A739" s="2058"/>
      <c r="B739" s="2058"/>
      <c r="C739" s="2058"/>
      <c r="D739" s="2058"/>
      <c r="E739" s="2058"/>
      <c r="F739" s="2058"/>
      <c r="G739" s="2059"/>
      <c r="H739" s="2058"/>
      <c r="I739" s="2058"/>
      <c r="J739" s="2058"/>
      <c r="K739" s="2058"/>
      <c r="L739" s="2058"/>
      <c r="M739" s="2058"/>
      <c r="N739" s="2058"/>
      <c r="O739" s="2058"/>
      <c r="P739" s="2058"/>
      <c r="Q739" s="2058"/>
      <c r="R739" s="2058"/>
      <c r="S739" s="2058"/>
      <c r="T739" s="2058"/>
      <c r="U739" s="2058"/>
      <c r="V739" s="2058"/>
      <c r="W739" s="2058"/>
      <c r="X739" s="2058"/>
      <c r="Y739" s="2058"/>
      <c r="Z739" s="2058"/>
    </row>
    <row r="740" spans="1:26" ht="12" x14ac:dyDescent="0.2">
      <c r="A740" s="2058"/>
      <c r="B740" s="2058"/>
      <c r="C740" s="2058"/>
      <c r="D740" s="2058"/>
      <c r="E740" s="2058"/>
      <c r="F740" s="2058"/>
      <c r="G740" s="2059"/>
      <c r="H740" s="2058"/>
      <c r="I740" s="2058"/>
      <c r="J740" s="2058"/>
      <c r="K740" s="2058"/>
      <c r="L740" s="2058"/>
      <c r="M740" s="2058"/>
      <c r="N740" s="2058"/>
      <c r="O740" s="2058"/>
      <c r="P740" s="2058"/>
      <c r="Q740" s="2058"/>
      <c r="R740" s="2058"/>
      <c r="S740" s="2058"/>
      <c r="T740" s="2058"/>
      <c r="U740" s="2058"/>
      <c r="V740" s="2058"/>
      <c r="W740" s="2058"/>
      <c r="X740" s="2058"/>
      <c r="Y740" s="2058"/>
      <c r="Z740" s="2058"/>
    </row>
    <row r="741" spans="1:26" ht="12" x14ac:dyDescent="0.2">
      <c r="A741" s="2058"/>
      <c r="B741" s="2058"/>
      <c r="C741" s="2058"/>
      <c r="D741" s="2058"/>
      <c r="E741" s="2058"/>
      <c r="F741" s="2058"/>
      <c r="G741" s="2059"/>
      <c r="H741" s="2058"/>
      <c r="I741" s="2058"/>
      <c r="J741" s="2058"/>
      <c r="K741" s="2058"/>
      <c r="L741" s="2058"/>
      <c r="M741" s="2058"/>
      <c r="N741" s="2058"/>
      <c r="O741" s="2058"/>
      <c r="P741" s="2058"/>
      <c r="Q741" s="2058"/>
      <c r="R741" s="2058"/>
      <c r="S741" s="2058"/>
      <c r="T741" s="2058"/>
      <c r="U741" s="2058"/>
      <c r="V741" s="2058"/>
      <c r="W741" s="2058"/>
      <c r="X741" s="2058"/>
      <c r="Y741" s="2058"/>
      <c r="Z741" s="2058"/>
    </row>
    <row r="742" spans="1:26" ht="12" x14ac:dyDescent="0.2">
      <c r="A742" s="2058"/>
      <c r="B742" s="2058"/>
      <c r="C742" s="2058"/>
      <c r="D742" s="2058"/>
      <c r="E742" s="2058"/>
      <c r="F742" s="2058"/>
      <c r="G742" s="2059"/>
      <c r="H742" s="2058"/>
      <c r="I742" s="2058"/>
      <c r="J742" s="2058"/>
      <c r="K742" s="2058"/>
      <c r="L742" s="2058"/>
      <c r="M742" s="2058"/>
      <c r="N742" s="2058"/>
      <c r="O742" s="2058"/>
      <c r="P742" s="2058"/>
      <c r="Q742" s="2058"/>
      <c r="R742" s="2058"/>
      <c r="S742" s="2058"/>
      <c r="T742" s="2058"/>
      <c r="U742" s="2058"/>
      <c r="V742" s="2058"/>
      <c r="W742" s="2058"/>
      <c r="X742" s="2058"/>
      <c r="Y742" s="2058"/>
      <c r="Z742" s="2058"/>
    </row>
    <row r="743" spans="1:26" ht="12" x14ac:dyDescent="0.2">
      <c r="A743" s="2058"/>
      <c r="B743" s="2058"/>
      <c r="C743" s="2058"/>
      <c r="D743" s="2058"/>
      <c r="E743" s="2058"/>
      <c r="F743" s="2058"/>
      <c r="G743" s="2059"/>
      <c r="H743" s="2058"/>
      <c r="I743" s="2058"/>
      <c r="J743" s="2058"/>
      <c r="K743" s="2058"/>
      <c r="L743" s="2058"/>
      <c r="M743" s="2058"/>
      <c r="N743" s="2058"/>
      <c r="O743" s="2058"/>
      <c r="P743" s="2058"/>
      <c r="Q743" s="2058"/>
      <c r="R743" s="2058"/>
      <c r="S743" s="2058"/>
      <c r="T743" s="2058"/>
      <c r="U743" s="2058"/>
      <c r="V743" s="2058"/>
      <c r="W743" s="2058"/>
      <c r="X743" s="2058"/>
      <c r="Y743" s="2058"/>
      <c r="Z743" s="2058"/>
    </row>
    <row r="744" spans="1:26" ht="12" x14ac:dyDescent="0.2">
      <c r="A744" s="2058"/>
      <c r="B744" s="2058"/>
      <c r="C744" s="2058"/>
      <c r="D744" s="2058"/>
      <c r="E744" s="2058"/>
      <c r="F744" s="2058"/>
      <c r="G744" s="2059"/>
      <c r="H744" s="2058"/>
      <c r="I744" s="2058"/>
      <c r="J744" s="2058"/>
      <c r="K744" s="2058"/>
      <c r="L744" s="2058"/>
      <c r="M744" s="2058"/>
      <c r="N744" s="2058"/>
      <c r="O744" s="2058"/>
      <c r="P744" s="2058"/>
      <c r="Q744" s="2058"/>
      <c r="R744" s="2058"/>
      <c r="S744" s="2058"/>
      <c r="T744" s="2058"/>
      <c r="U744" s="2058"/>
      <c r="V744" s="2058"/>
      <c r="W744" s="2058"/>
      <c r="X744" s="2058"/>
      <c r="Y744" s="2058"/>
      <c r="Z744" s="2058"/>
    </row>
    <row r="745" spans="1:26" ht="12" x14ac:dyDescent="0.2">
      <c r="A745" s="2058"/>
      <c r="B745" s="2058"/>
      <c r="C745" s="2058"/>
      <c r="D745" s="2058"/>
      <c r="E745" s="2058"/>
      <c r="F745" s="2058"/>
      <c r="G745" s="2059"/>
      <c r="H745" s="2058"/>
      <c r="I745" s="2058"/>
      <c r="J745" s="2058"/>
      <c r="K745" s="2058"/>
      <c r="L745" s="2058"/>
      <c r="M745" s="2058"/>
      <c r="N745" s="2058"/>
      <c r="O745" s="2058"/>
      <c r="P745" s="2058"/>
      <c r="Q745" s="2058"/>
      <c r="R745" s="2058"/>
      <c r="S745" s="2058"/>
      <c r="T745" s="2058"/>
      <c r="U745" s="2058"/>
      <c r="V745" s="2058"/>
      <c r="W745" s="2058"/>
      <c r="X745" s="2058"/>
      <c r="Y745" s="2058"/>
      <c r="Z745" s="2058"/>
    </row>
    <row r="746" spans="1:26" ht="12" x14ac:dyDescent="0.2">
      <c r="A746" s="2058"/>
      <c r="B746" s="2058"/>
      <c r="C746" s="2058"/>
      <c r="D746" s="2058"/>
      <c r="E746" s="2058"/>
      <c r="F746" s="2058"/>
      <c r="G746" s="2059"/>
      <c r="H746" s="2058"/>
      <c r="I746" s="2058"/>
      <c r="J746" s="2058"/>
      <c r="K746" s="2058"/>
      <c r="L746" s="2058"/>
      <c r="M746" s="2058"/>
      <c r="N746" s="2058"/>
      <c r="O746" s="2058"/>
      <c r="P746" s="2058"/>
      <c r="Q746" s="2058"/>
      <c r="R746" s="2058"/>
      <c r="S746" s="2058"/>
      <c r="T746" s="2058"/>
      <c r="U746" s="2058"/>
      <c r="V746" s="2058"/>
      <c r="W746" s="2058"/>
      <c r="X746" s="2058"/>
      <c r="Y746" s="2058"/>
      <c r="Z746" s="2058"/>
    </row>
    <row r="747" spans="1:26" ht="12" x14ac:dyDescent="0.2">
      <c r="A747" s="2058"/>
      <c r="B747" s="2058"/>
      <c r="C747" s="2058"/>
      <c r="D747" s="2058"/>
      <c r="E747" s="2058"/>
      <c r="F747" s="2058"/>
      <c r="G747" s="2059"/>
      <c r="H747" s="2058"/>
      <c r="I747" s="2058"/>
      <c r="J747" s="2058"/>
      <c r="K747" s="2058"/>
      <c r="L747" s="2058"/>
      <c r="M747" s="2058"/>
      <c r="N747" s="2058"/>
      <c r="O747" s="2058"/>
      <c r="P747" s="2058"/>
      <c r="Q747" s="2058"/>
      <c r="R747" s="2058"/>
      <c r="S747" s="2058"/>
      <c r="T747" s="2058"/>
      <c r="U747" s="2058"/>
      <c r="V747" s="2058"/>
      <c r="W747" s="2058"/>
      <c r="X747" s="2058"/>
      <c r="Y747" s="2058"/>
      <c r="Z747" s="2058"/>
    </row>
    <row r="748" spans="1:26" ht="12" x14ac:dyDescent="0.2">
      <c r="A748" s="2058"/>
      <c r="B748" s="2058"/>
      <c r="C748" s="2058"/>
      <c r="D748" s="2058"/>
      <c r="E748" s="2058"/>
      <c r="F748" s="2058"/>
      <c r="G748" s="2059"/>
      <c r="H748" s="2058"/>
      <c r="I748" s="2058"/>
      <c r="J748" s="2058"/>
      <c r="K748" s="2058"/>
      <c r="L748" s="2058"/>
      <c r="M748" s="2058"/>
      <c r="N748" s="2058"/>
      <c r="O748" s="2058"/>
      <c r="P748" s="2058"/>
      <c r="Q748" s="2058"/>
      <c r="R748" s="2058"/>
      <c r="S748" s="2058"/>
      <c r="T748" s="2058"/>
      <c r="U748" s="2058"/>
      <c r="V748" s="2058"/>
      <c r="W748" s="2058"/>
      <c r="X748" s="2058"/>
      <c r="Y748" s="2058"/>
      <c r="Z748" s="2058"/>
    </row>
    <row r="749" spans="1:26" ht="12" x14ac:dyDescent="0.2">
      <c r="A749" s="2058"/>
      <c r="B749" s="2058"/>
      <c r="C749" s="2058"/>
      <c r="D749" s="2058"/>
      <c r="E749" s="2058"/>
      <c r="F749" s="2058"/>
      <c r="G749" s="2059"/>
      <c r="H749" s="2058"/>
      <c r="I749" s="2058"/>
      <c r="J749" s="2058"/>
      <c r="K749" s="2058"/>
      <c r="L749" s="2058"/>
      <c r="M749" s="2058"/>
      <c r="N749" s="2058"/>
      <c r="O749" s="2058"/>
      <c r="P749" s="2058"/>
      <c r="Q749" s="2058"/>
      <c r="R749" s="2058"/>
      <c r="S749" s="2058"/>
      <c r="T749" s="2058"/>
      <c r="U749" s="2058"/>
      <c r="V749" s="2058"/>
      <c r="W749" s="2058"/>
      <c r="X749" s="2058"/>
      <c r="Y749" s="2058"/>
      <c r="Z749" s="2058"/>
    </row>
    <row r="750" spans="1:26" ht="12" x14ac:dyDescent="0.2">
      <c r="A750" s="2058"/>
      <c r="B750" s="2058"/>
      <c r="C750" s="2058"/>
      <c r="D750" s="2058"/>
      <c r="E750" s="2058"/>
      <c r="F750" s="2058"/>
      <c r="G750" s="2059"/>
      <c r="H750" s="2058"/>
      <c r="I750" s="2058"/>
      <c r="J750" s="2058"/>
      <c r="K750" s="2058"/>
      <c r="L750" s="2058"/>
      <c r="M750" s="2058"/>
      <c r="N750" s="2058"/>
      <c r="O750" s="2058"/>
      <c r="P750" s="2058"/>
      <c r="Q750" s="2058"/>
      <c r="R750" s="2058"/>
      <c r="S750" s="2058"/>
      <c r="T750" s="2058"/>
      <c r="U750" s="2058"/>
      <c r="V750" s="2058"/>
      <c r="W750" s="2058"/>
      <c r="X750" s="2058"/>
      <c r="Y750" s="2058"/>
      <c r="Z750" s="2058"/>
    </row>
    <row r="751" spans="1:26" ht="12" x14ac:dyDescent="0.2">
      <c r="A751" s="2058"/>
      <c r="B751" s="2058"/>
      <c r="C751" s="2058"/>
      <c r="D751" s="2058"/>
      <c r="E751" s="2058"/>
      <c r="F751" s="2058"/>
      <c r="G751" s="2059"/>
      <c r="H751" s="2058"/>
      <c r="I751" s="2058"/>
      <c r="J751" s="2058"/>
      <c r="K751" s="2058"/>
      <c r="L751" s="2058"/>
      <c r="M751" s="2058"/>
      <c r="N751" s="2058"/>
      <c r="O751" s="2058"/>
      <c r="P751" s="2058"/>
      <c r="Q751" s="2058"/>
      <c r="R751" s="2058"/>
      <c r="S751" s="2058"/>
      <c r="T751" s="2058"/>
      <c r="U751" s="2058"/>
      <c r="V751" s="2058"/>
      <c r="W751" s="2058"/>
      <c r="X751" s="2058"/>
      <c r="Y751" s="2058"/>
      <c r="Z751" s="2058"/>
    </row>
    <row r="752" spans="1:26" ht="12" x14ac:dyDescent="0.2">
      <c r="A752" s="2058"/>
      <c r="B752" s="2058"/>
      <c r="C752" s="2058"/>
      <c r="D752" s="2058"/>
      <c r="E752" s="2058"/>
      <c r="F752" s="2058"/>
      <c r="G752" s="2059"/>
      <c r="H752" s="2058"/>
      <c r="I752" s="2058"/>
      <c r="J752" s="2058"/>
      <c r="K752" s="2058"/>
      <c r="L752" s="2058"/>
      <c r="M752" s="2058"/>
      <c r="N752" s="2058"/>
      <c r="O752" s="2058"/>
      <c r="P752" s="2058"/>
      <c r="Q752" s="2058"/>
      <c r="R752" s="2058"/>
      <c r="S752" s="2058"/>
      <c r="T752" s="2058"/>
      <c r="U752" s="2058"/>
      <c r="V752" s="2058"/>
      <c r="W752" s="2058"/>
      <c r="X752" s="2058"/>
      <c r="Y752" s="2058"/>
      <c r="Z752" s="2058"/>
    </row>
    <row r="753" spans="1:26" ht="12" x14ac:dyDescent="0.2">
      <c r="A753" s="2058"/>
      <c r="B753" s="2058"/>
      <c r="C753" s="2058"/>
      <c r="D753" s="2058"/>
      <c r="E753" s="2058"/>
      <c r="F753" s="2058"/>
      <c r="G753" s="2059"/>
      <c r="H753" s="2058"/>
      <c r="I753" s="2058"/>
      <c r="J753" s="2058"/>
      <c r="K753" s="2058"/>
      <c r="L753" s="2058"/>
      <c r="M753" s="2058"/>
      <c r="N753" s="2058"/>
      <c r="O753" s="2058"/>
      <c r="P753" s="2058"/>
      <c r="Q753" s="2058"/>
      <c r="R753" s="2058"/>
      <c r="S753" s="2058"/>
      <c r="T753" s="2058"/>
      <c r="U753" s="2058"/>
      <c r="V753" s="2058"/>
      <c r="W753" s="2058"/>
      <c r="X753" s="2058"/>
      <c r="Y753" s="2058"/>
      <c r="Z753" s="2058"/>
    </row>
    <row r="754" spans="1:26" ht="12" x14ac:dyDescent="0.2">
      <c r="A754" s="2058"/>
      <c r="B754" s="2058"/>
      <c r="C754" s="2058"/>
      <c r="D754" s="2058"/>
      <c r="E754" s="2058"/>
      <c r="F754" s="2058"/>
      <c r="G754" s="2059"/>
      <c r="H754" s="2058"/>
      <c r="I754" s="2058"/>
      <c r="J754" s="2058"/>
      <c r="K754" s="2058"/>
      <c r="L754" s="2058"/>
      <c r="M754" s="2058"/>
      <c r="N754" s="2058"/>
      <c r="O754" s="2058"/>
      <c r="P754" s="2058"/>
      <c r="Q754" s="2058"/>
      <c r="R754" s="2058"/>
      <c r="S754" s="2058"/>
      <c r="T754" s="2058"/>
      <c r="U754" s="2058"/>
      <c r="V754" s="2058"/>
      <c r="W754" s="2058"/>
      <c r="X754" s="2058"/>
      <c r="Y754" s="2058"/>
      <c r="Z754" s="2058"/>
    </row>
    <row r="755" spans="1:26" ht="12" x14ac:dyDescent="0.2">
      <c r="A755" s="2058"/>
      <c r="B755" s="2058"/>
      <c r="C755" s="2058"/>
      <c r="D755" s="2058"/>
      <c r="E755" s="2058"/>
      <c r="F755" s="2058"/>
      <c r="G755" s="2059"/>
      <c r="H755" s="2058"/>
      <c r="I755" s="2058"/>
      <c r="J755" s="2058"/>
      <c r="K755" s="2058"/>
      <c r="L755" s="2058"/>
      <c r="M755" s="2058"/>
      <c r="N755" s="2058"/>
      <c r="O755" s="2058"/>
      <c r="P755" s="2058"/>
      <c r="Q755" s="2058"/>
      <c r="R755" s="2058"/>
      <c r="S755" s="2058"/>
      <c r="T755" s="2058"/>
      <c r="U755" s="2058"/>
      <c r="V755" s="2058"/>
      <c r="W755" s="2058"/>
      <c r="X755" s="2058"/>
      <c r="Y755" s="2058"/>
      <c r="Z755" s="2058"/>
    </row>
    <row r="756" spans="1:26" ht="12" x14ac:dyDescent="0.2">
      <c r="A756" s="2058"/>
      <c r="B756" s="2058"/>
      <c r="C756" s="2058"/>
      <c r="D756" s="2058"/>
      <c r="E756" s="2058"/>
      <c r="F756" s="2058"/>
      <c r="G756" s="2059"/>
      <c r="H756" s="2058"/>
      <c r="I756" s="2058"/>
      <c r="J756" s="2058"/>
      <c r="K756" s="2058"/>
      <c r="L756" s="2058"/>
      <c r="M756" s="2058"/>
      <c r="N756" s="2058"/>
      <c r="O756" s="2058"/>
      <c r="P756" s="2058"/>
      <c r="Q756" s="2058"/>
      <c r="R756" s="2058"/>
      <c r="S756" s="2058"/>
      <c r="T756" s="2058"/>
      <c r="U756" s="2058"/>
      <c r="V756" s="2058"/>
      <c r="W756" s="2058"/>
      <c r="X756" s="2058"/>
      <c r="Y756" s="2058"/>
      <c r="Z756" s="2058"/>
    </row>
    <row r="757" spans="1:26" ht="12" x14ac:dyDescent="0.2">
      <c r="A757" s="2058"/>
      <c r="B757" s="2058"/>
      <c r="C757" s="2058"/>
      <c r="D757" s="2058"/>
      <c r="E757" s="2058"/>
      <c r="F757" s="2058"/>
      <c r="G757" s="2059"/>
      <c r="H757" s="2058"/>
      <c r="I757" s="2058"/>
      <c r="J757" s="2058"/>
      <c r="K757" s="2058"/>
      <c r="L757" s="2058"/>
      <c r="M757" s="2058"/>
      <c r="N757" s="2058"/>
      <c r="O757" s="2058"/>
      <c r="P757" s="2058"/>
      <c r="Q757" s="2058"/>
      <c r="R757" s="2058"/>
      <c r="S757" s="2058"/>
      <c r="T757" s="2058"/>
      <c r="U757" s="2058"/>
      <c r="V757" s="2058"/>
      <c r="W757" s="2058"/>
      <c r="X757" s="2058"/>
      <c r="Y757" s="2058"/>
      <c r="Z757" s="2058"/>
    </row>
    <row r="758" spans="1:26" ht="12" x14ac:dyDescent="0.2">
      <c r="A758" s="2058"/>
      <c r="B758" s="2058"/>
      <c r="C758" s="2058"/>
      <c r="D758" s="2058"/>
      <c r="E758" s="2058"/>
      <c r="F758" s="2058"/>
      <c r="G758" s="2059"/>
      <c r="H758" s="2058"/>
      <c r="I758" s="2058"/>
      <c r="J758" s="2058"/>
      <c r="K758" s="2058"/>
      <c r="L758" s="2058"/>
      <c r="M758" s="2058"/>
      <c r="N758" s="2058"/>
      <c r="O758" s="2058"/>
      <c r="P758" s="2058"/>
      <c r="Q758" s="2058"/>
      <c r="R758" s="2058"/>
      <c r="S758" s="2058"/>
      <c r="T758" s="2058"/>
      <c r="U758" s="2058"/>
      <c r="V758" s="2058"/>
      <c r="W758" s="2058"/>
      <c r="X758" s="2058"/>
      <c r="Y758" s="2058"/>
      <c r="Z758" s="2058"/>
    </row>
    <row r="759" spans="1:26" ht="12" x14ac:dyDescent="0.2">
      <c r="A759" s="2058"/>
      <c r="B759" s="2058"/>
      <c r="C759" s="2058"/>
      <c r="D759" s="2058"/>
      <c r="E759" s="2058"/>
      <c r="F759" s="2058"/>
      <c r="G759" s="2059"/>
      <c r="H759" s="2058"/>
      <c r="I759" s="2058"/>
      <c r="J759" s="2058"/>
      <c r="K759" s="2058"/>
      <c r="L759" s="2058"/>
      <c r="M759" s="2058"/>
      <c r="N759" s="2058"/>
      <c r="O759" s="2058"/>
      <c r="P759" s="2058"/>
      <c r="Q759" s="2058"/>
      <c r="R759" s="2058"/>
      <c r="S759" s="2058"/>
      <c r="T759" s="2058"/>
      <c r="U759" s="2058"/>
      <c r="V759" s="2058"/>
      <c r="W759" s="2058"/>
      <c r="X759" s="2058"/>
      <c r="Y759" s="2058"/>
      <c r="Z759" s="2058"/>
    </row>
    <row r="760" spans="1:26" ht="12" x14ac:dyDescent="0.2">
      <c r="A760" s="2058"/>
      <c r="B760" s="2058"/>
      <c r="C760" s="2058"/>
      <c r="D760" s="2058"/>
      <c r="E760" s="2058"/>
      <c r="F760" s="2058"/>
      <c r="G760" s="2059"/>
      <c r="H760" s="2058"/>
      <c r="I760" s="2058"/>
      <c r="J760" s="2058"/>
      <c r="K760" s="2058"/>
      <c r="L760" s="2058"/>
      <c r="M760" s="2058"/>
      <c r="N760" s="2058"/>
      <c r="O760" s="2058"/>
      <c r="P760" s="2058"/>
      <c r="Q760" s="2058"/>
      <c r="R760" s="2058"/>
      <c r="S760" s="2058"/>
      <c r="T760" s="2058"/>
      <c r="U760" s="2058"/>
      <c r="V760" s="2058"/>
      <c r="W760" s="2058"/>
      <c r="X760" s="2058"/>
      <c r="Y760" s="2058"/>
      <c r="Z760" s="2058"/>
    </row>
    <row r="761" spans="1:26" ht="12" x14ac:dyDescent="0.2">
      <c r="A761" s="2058"/>
      <c r="B761" s="2058"/>
      <c r="C761" s="2058"/>
      <c r="D761" s="2058"/>
      <c r="E761" s="2058"/>
      <c r="F761" s="2058"/>
      <c r="G761" s="2059"/>
      <c r="H761" s="2058"/>
      <c r="I761" s="2058"/>
      <c r="J761" s="2058"/>
      <c r="K761" s="2058"/>
      <c r="L761" s="2058"/>
      <c r="M761" s="2058"/>
      <c r="N761" s="2058"/>
      <c r="O761" s="2058"/>
      <c r="P761" s="2058"/>
      <c r="Q761" s="2058"/>
      <c r="R761" s="2058"/>
      <c r="S761" s="2058"/>
      <c r="T761" s="2058"/>
      <c r="U761" s="2058"/>
      <c r="V761" s="2058"/>
      <c r="W761" s="2058"/>
      <c r="X761" s="2058"/>
      <c r="Y761" s="2058"/>
      <c r="Z761" s="2058"/>
    </row>
    <row r="762" spans="1:26" ht="12" x14ac:dyDescent="0.2">
      <c r="A762" s="2058"/>
      <c r="B762" s="2058"/>
      <c r="C762" s="2058"/>
      <c r="D762" s="2058"/>
      <c r="E762" s="2058"/>
      <c r="F762" s="2058"/>
      <c r="G762" s="2059"/>
      <c r="H762" s="2058"/>
      <c r="I762" s="2058"/>
      <c r="J762" s="2058"/>
      <c r="K762" s="2058"/>
      <c r="L762" s="2058"/>
      <c r="M762" s="2058"/>
      <c r="N762" s="2058"/>
      <c r="O762" s="2058"/>
      <c r="P762" s="2058"/>
      <c r="Q762" s="2058"/>
      <c r="R762" s="2058"/>
      <c r="S762" s="2058"/>
      <c r="T762" s="2058"/>
      <c r="U762" s="2058"/>
      <c r="V762" s="2058"/>
      <c r="W762" s="2058"/>
      <c r="X762" s="2058"/>
      <c r="Y762" s="2058"/>
      <c r="Z762" s="2058"/>
    </row>
    <row r="763" spans="1:26" ht="12" x14ac:dyDescent="0.2">
      <c r="A763" s="2058"/>
      <c r="B763" s="2058"/>
      <c r="C763" s="2058"/>
      <c r="D763" s="2058"/>
      <c r="E763" s="2058"/>
      <c r="F763" s="2058"/>
      <c r="G763" s="2059"/>
      <c r="H763" s="2058"/>
      <c r="I763" s="2058"/>
      <c r="J763" s="2058"/>
      <c r="K763" s="2058"/>
      <c r="L763" s="2058"/>
      <c r="M763" s="2058"/>
      <c r="N763" s="2058"/>
      <c r="O763" s="2058"/>
      <c r="P763" s="2058"/>
      <c r="Q763" s="2058"/>
      <c r="R763" s="2058"/>
      <c r="S763" s="2058"/>
      <c r="T763" s="2058"/>
      <c r="U763" s="2058"/>
      <c r="V763" s="2058"/>
      <c r="W763" s="2058"/>
      <c r="X763" s="2058"/>
      <c r="Y763" s="2058"/>
      <c r="Z763" s="2058"/>
    </row>
    <row r="764" spans="1:26" ht="12" x14ac:dyDescent="0.2">
      <c r="A764" s="2058"/>
      <c r="B764" s="2058"/>
      <c r="C764" s="2058"/>
      <c r="D764" s="2058"/>
      <c r="E764" s="2058"/>
      <c r="F764" s="2058"/>
      <c r="G764" s="2059"/>
      <c r="H764" s="2058"/>
      <c r="I764" s="2058"/>
      <c r="J764" s="2058"/>
      <c r="K764" s="2058"/>
      <c r="L764" s="2058"/>
      <c r="M764" s="2058"/>
      <c r="N764" s="2058"/>
      <c r="O764" s="2058"/>
      <c r="P764" s="2058"/>
      <c r="Q764" s="2058"/>
      <c r="R764" s="2058"/>
      <c r="S764" s="2058"/>
      <c r="T764" s="2058"/>
      <c r="U764" s="2058"/>
      <c r="V764" s="2058"/>
      <c r="W764" s="2058"/>
      <c r="X764" s="2058"/>
      <c r="Y764" s="2058"/>
      <c r="Z764" s="2058"/>
    </row>
    <row r="765" spans="1:26" ht="12" x14ac:dyDescent="0.2">
      <c r="A765" s="2058"/>
      <c r="B765" s="2058"/>
      <c r="C765" s="2058"/>
      <c r="D765" s="2058"/>
      <c r="E765" s="2058"/>
      <c r="F765" s="2058"/>
      <c r="G765" s="2059"/>
      <c r="H765" s="2058"/>
      <c r="I765" s="2058"/>
      <c r="J765" s="2058"/>
      <c r="K765" s="2058"/>
      <c r="L765" s="2058"/>
      <c r="M765" s="2058"/>
      <c r="N765" s="2058"/>
      <c r="O765" s="2058"/>
      <c r="P765" s="2058"/>
      <c r="Q765" s="2058"/>
      <c r="R765" s="2058"/>
      <c r="S765" s="2058"/>
      <c r="T765" s="2058"/>
      <c r="U765" s="2058"/>
      <c r="V765" s="2058"/>
      <c r="W765" s="2058"/>
      <c r="X765" s="2058"/>
      <c r="Y765" s="2058"/>
      <c r="Z765" s="2058"/>
    </row>
    <row r="766" spans="1:26" ht="12" x14ac:dyDescent="0.2">
      <c r="A766" s="2058"/>
      <c r="B766" s="2058"/>
      <c r="C766" s="2058"/>
      <c r="D766" s="2058"/>
      <c r="E766" s="2058"/>
      <c r="F766" s="2058"/>
      <c r="G766" s="2059"/>
      <c r="H766" s="2058"/>
      <c r="I766" s="2058"/>
      <c r="J766" s="2058"/>
      <c r="K766" s="2058"/>
      <c r="L766" s="2058"/>
      <c r="M766" s="2058"/>
      <c r="N766" s="2058"/>
      <c r="O766" s="2058"/>
      <c r="P766" s="2058"/>
      <c r="Q766" s="2058"/>
      <c r="R766" s="2058"/>
      <c r="S766" s="2058"/>
      <c r="T766" s="2058"/>
      <c r="U766" s="2058"/>
      <c r="V766" s="2058"/>
      <c r="W766" s="2058"/>
      <c r="X766" s="2058"/>
      <c r="Y766" s="2058"/>
      <c r="Z766" s="2058"/>
    </row>
    <row r="767" spans="1:26" ht="12" x14ac:dyDescent="0.2">
      <c r="A767" s="2058"/>
      <c r="B767" s="2058"/>
      <c r="C767" s="2058"/>
      <c r="D767" s="2058"/>
      <c r="E767" s="2058"/>
      <c r="F767" s="2058"/>
      <c r="G767" s="2059"/>
      <c r="H767" s="2058"/>
      <c r="I767" s="2058"/>
      <c r="J767" s="2058"/>
      <c r="K767" s="2058"/>
      <c r="L767" s="2058"/>
      <c r="M767" s="2058"/>
      <c r="N767" s="2058"/>
      <c r="O767" s="2058"/>
      <c r="P767" s="2058"/>
      <c r="Q767" s="2058"/>
      <c r="R767" s="2058"/>
      <c r="S767" s="2058"/>
      <c r="T767" s="2058"/>
      <c r="U767" s="2058"/>
      <c r="V767" s="2058"/>
      <c r="W767" s="2058"/>
      <c r="X767" s="2058"/>
      <c r="Y767" s="2058"/>
      <c r="Z767" s="2058"/>
    </row>
    <row r="768" spans="1:26" ht="12" x14ac:dyDescent="0.2">
      <c r="A768" s="2058"/>
      <c r="B768" s="2058"/>
      <c r="C768" s="2058"/>
      <c r="D768" s="2058"/>
      <c r="E768" s="2058"/>
      <c r="F768" s="2058"/>
      <c r="G768" s="2059"/>
      <c r="H768" s="2058"/>
      <c r="I768" s="2058"/>
      <c r="J768" s="2058"/>
      <c r="K768" s="2058"/>
      <c r="L768" s="2058"/>
      <c r="M768" s="2058"/>
      <c r="N768" s="2058"/>
      <c r="O768" s="2058"/>
      <c r="P768" s="2058"/>
      <c r="Q768" s="2058"/>
      <c r="R768" s="2058"/>
      <c r="S768" s="2058"/>
      <c r="T768" s="2058"/>
      <c r="U768" s="2058"/>
      <c r="V768" s="2058"/>
      <c r="W768" s="2058"/>
      <c r="X768" s="2058"/>
      <c r="Y768" s="2058"/>
      <c r="Z768" s="2058"/>
    </row>
    <row r="769" spans="1:26" ht="12" x14ac:dyDescent="0.2">
      <c r="A769" s="2058"/>
      <c r="B769" s="2058"/>
      <c r="C769" s="2058"/>
      <c r="D769" s="2058"/>
      <c r="E769" s="2058"/>
      <c r="F769" s="2058"/>
      <c r="G769" s="2059"/>
      <c r="H769" s="2058"/>
      <c r="I769" s="2058"/>
      <c r="J769" s="2058"/>
      <c r="K769" s="2058"/>
      <c r="L769" s="2058"/>
      <c r="M769" s="2058"/>
      <c r="N769" s="2058"/>
      <c r="O769" s="2058"/>
      <c r="P769" s="2058"/>
      <c r="Q769" s="2058"/>
      <c r="R769" s="2058"/>
      <c r="S769" s="2058"/>
      <c r="T769" s="2058"/>
      <c r="U769" s="2058"/>
      <c r="V769" s="2058"/>
      <c r="W769" s="2058"/>
      <c r="X769" s="2058"/>
      <c r="Y769" s="2058"/>
      <c r="Z769" s="2058"/>
    </row>
    <row r="770" spans="1:26" ht="12" x14ac:dyDescent="0.2">
      <c r="A770" s="2058"/>
      <c r="B770" s="2058"/>
      <c r="C770" s="2058"/>
      <c r="D770" s="2058"/>
      <c r="E770" s="2058"/>
      <c r="F770" s="2058"/>
      <c r="G770" s="2059"/>
      <c r="H770" s="2058"/>
      <c r="I770" s="2058"/>
      <c r="J770" s="2058"/>
      <c r="K770" s="2058"/>
      <c r="L770" s="2058"/>
      <c r="M770" s="2058"/>
      <c r="N770" s="2058"/>
      <c r="O770" s="2058"/>
      <c r="P770" s="2058"/>
      <c r="Q770" s="2058"/>
      <c r="R770" s="2058"/>
      <c r="S770" s="2058"/>
      <c r="T770" s="2058"/>
      <c r="U770" s="2058"/>
      <c r="V770" s="2058"/>
      <c r="W770" s="2058"/>
      <c r="X770" s="2058"/>
      <c r="Y770" s="2058"/>
      <c r="Z770" s="2058"/>
    </row>
    <row r="771" spans="1:26" ht="12" x14ac:dyDescent="0.2">
      <c r="A771" s="2058"/>
      <c r="B771" s="2058"/>
      <c r="C771" s="2058"/>
      <c r="D771" s="2058"/>
      <c r="E771" s="2058"/>
      <c r="F771" s="2058"/>
      <c r="G771" s="2059"/>
      <c r="H771" s="2058"/>
      <c r="I771" s="2058"/>
      <c r="J771" s="2058"/>
      <c r="K771" s="2058"/>
      <c r="L771" s="2058"/>
      <c r="M771" s="2058"/>
      <c r="N771" s="2058"/>
      <c r="O771" s="2058"/>
      <c r="P771" s="2058"/>
      <c r="Q771" s="2058"/>
      <c r="R771" s="2058"/>
      <c r="S771" s="2058"/>
      <c r="T771" s="2058"/>
      <c r="U771" s="2058"/>
      <c r="V771" s="2058"/>
      <c r="W771" s="2058"/>
      <c r="X771" s="2058"/>
      <c r="Y771" s="2058"/>
      <c r="Z771" s="2058"/>
    </row>
    <row r="772" spans="1:26" ht="12" x14ac:dyDescent="0.2">
      <c r="A772" s="2058"/>
      <c r="B772" s="2058"/>
      <c r="C772" s="2058"/>
      <c r="D772" s="2058"/>
      <c r="E772" s="2058"/>
      <c r="F772" s="2058"/>
      <c r="G772" s="2059"/>
      <c r="H772" s="2058"/>
      <c r="I772" s="2058"/>
      <c r="J772" s="2058"/>
      <c r="K772" s="2058"/>
      <c r="L772" s="2058"/>
      <c r="M772" s="2058"/>
      <c r="N772" s="2058"/>
      <c r="O772" s="2058"/>
      <c r="P772" s="2058"/>
      <c r="Q772" s="2058"/>
      <c r="R772" s="2058"/>
      <c r="S772" s="2058"/>
      <c r="T772" s="2058"/>
      <c r="U772" s="2058"/>
      <c r="V772" s="2058"/>
      <c r="W772" s="2058"/>
      <c r="X772" s="2058"/>
      <c r="Y772" s="2058"/>
      <c r="Z772" s="2058"/>
    </row>
    <row r="773" spans="1:26" ht="12" x14ac:dyDescent="0.2">
      <c r="A773" s="2058"/>
      <c r="B773" s="2058"/>
      <c r="C773" s="2058"/>
      <c r="D773" s="2058"/>
      <c r="E773" s="2058"/>
      <c r="F773" s="2058"/>
      <c r="G773" s="2059"/>
      <c r="H773" s="2058"/>
      <c r="I773" s="2058"/>
      <c r="J773" s="2058"/>
      <c r="K773" s="2058"/>
      <c r="L773" s="2058"/>
      <c r="M773" s="2058"/>
      <c r="N773" s="2058"/>
      <c r="O773" s="2058"/>
      <c r="P773" s="2058"/>
      <c r="Q773" s="2058"/>
      <c r="R773" s="2058"/>
      <c r="S773" s="2058"/>
      <c r="T773" s="2058"/>
      <c r="U773" s="2058"/>
      <c r="V773" s="2058"/>
      <c r="W773" s="2058"/>
      <c r="X773" s="2058"/>
      <c r="Y773" s="2058"/>
      <c r="Z773" s="2058"/>
    </row>
    <row r="774" spans="1:26" ht="12" x14ac:dyDescent="0.2">
      <c r="A774" s="2058"/>
      <c r="B774" s="2058"/>
      <c r="C774" s="2058"/>
      <c r="D774" s="2058"/>
      <c r="E774" s="2058"/>
      <c r="F774" s="2058"/>
      <c r="G774" s="2059"/>
      <c r="H774" s="2058"/>
      <c r="I774" s="2058"/>
      <c r="J774" s="2058"/>
      <c r="K774" s="2058"/>
      <c r="L774" s="2058"/>
      <c r="M774" s="2058"/>
      <c r="N774" s="2058"/>
      <c r="O774" s="2058"/>
      <c r="P774" s="2058"/>
      <c r="Q774" s="2058"/>
      <c r="R774" s="2058"/>
      <c r="S774" s="2058"/>
      <c r="T774" s="2058"/>
      <c r="U774" s="2058"/>
      <c r="V774" s="2058"/>
      <c r="W774" s="2058"/>
      <c r="X774" s="2058"/>
      <c r="Y774" s="2058"/>
      <c r="Z774" s="2058"/>
    </row>
    <row r="775" spans="1:26" ht="12" x14ac:dyDescent="0.2">
      <c r="A775" s="2058"/>
      <c r="B775" s="2058"/>
      <c r="C775" s="2058"/>
      <c r="D775" s="2058"/>
      <c r="E775" s="2058"/>
      <c r="F775" s="2058"/>
      <c r="G775" s="2059"/>
      <c r="H775" s="2058"/>
      <c r="I775" s="2058"/>
      <c r="J775" s="2058"/>
      <c r="K775" s="2058"/>
      <c r="L775" s="2058"/>
      <c r="M775" s="2058"/>
      <c r="N775" s="2058"/>
      <c r="O775" s="2058"/>
      <c r="P775" s="2058"/>
      <c r="Q775" s="2058"/>
      <c r="R775" s="2058"/>
      <c r="S775" s="2058"/>
      <c r="T775" s="2058"/>
      <c r="U775" s="2058"/>
      <c r="V775" s="2058"/>
      <c r="W775" s="2058"/>
      <c r="X775" s="2058"/>
      <c r="Y775" s="2058"/>
      <c r="Z775" s="2058"/>
    </row>
    <row r="776" spans="1:26" ht="12" x14ac:dyDescent="0.2">
      <c r="A776" s="2058"/>
      <c r="B776" s="2058"/>
      <c r="C776" s="2058"/>
      <c r="D776" s="2058"/>
      <c r="E776" s="2058"/>
      <c r="F776" s="2058"/>
      <c r="G776" s="2059"/>
      <c r="H776" s="2058"/>
      <c r="I776" s="2058"/>
      <c r="J776" s="2058"/>
      <c r="K776" s="2058"/>
      <c r="L776" s="2058"/>
      <c r="M776" s="2058"/>
      <c r="N776" s="2058"/>
      <c r="O776" s="2058"/>
      <c r="P776" s="2058"/>
      <c r="Q776" s="2058"/>
      <c r="R776" s="2058"/>
      <c r="S776" s="2058"/>
      <c r="T776" s="2058"/>
      <c r="U776" s="2058"/>
      <c r="V776" s="2058"/>
      <c r="W776" s="2058"/>
      <c r="X776" s="2058"/>
      <c r="Y776" s="2058"/>
      <c r="Z776" s="2058"/>
    </row>
    <row r="777" spans="1:26" ht="12" x14ac:dyDescent="0.2">
      <c r="A777" s="2058"/>
      <c r="B777" s="2058"/>
      <c r="C777" s="2058"/>
      <c r="D777" s="2058"/>
      <c r="E777" s="2058"/>
      <c r="F777" s="2058"/>
      <c r="G777" s="2059"/>
      <c r="H777" s="2058"/>
      <c r="I777" s="2058"/>
      <c r="J777" s="2058"/>
      <c r="K777" s="2058"/>
      <c r="L777" s="2058"/>
      <c r="M777" s="2058"/>
      <c r="N777" s="2058"/>
      <c r="O777" s="2058"/>
      <c r="P777" s="2058"/>
      <c r="Q777" s="2058"/>
      <c r="R777" s="2058"/>
      <c r="S777" s="2058"/>
      <c r="T777" s="2058"/>
      <c r="U777" s="2058"/>
      <c r="V777" s="2058"/>
      <c r="W777" s="2058"/>
      <c r="X777" s="2058"/>
      <c r="Y777" s="2058"/>
      <c r="Z777" s="2058"/>
    </row>
    <row r="778" spans="1:26" ht="12" x14ac:dyDescent="0.2">
      <c r="A778" s="2058"/>
      <c r="B778" s="2058"/>
      <c r="C778" s="2058"/>
      <c r="D778" s="2058"/>
      <c r="E778" s="2058"/>
      <c r="F778" s="2058"/>
      <c r="G778" s="2059"/>
      <c r="H778" s="2058"/>
      <c r="I778" s="2058"/>
      <c r="J778" s="2058"/>
      <c r="K778" s="2058"/>
      <c r="L778" s="2058"/>
      <c r="M778" s="2058"/>
      <c r="N778" s="2058"/>
      <c r="O778" s="2058"/>
      <c r="P778" s="2058"/>
      <c r="Q778" s="2058"/>
      <c r="R778" s="2058"/>
      <c r="S778" s="2058"/>
      <c r="T778" s="2058"/>
      <c r="U778" s="2058"/>
      <c r="V778" s="2058"/>
      <c r="W778" s="2058"/>
      <c r="X778" s="2058"/>
      <c r="Y778" s="2058"/>
      <c r="Z778" s="2058"/>
    </row>
    <row r="779" spans="1:26" ht="12" x14ac:dyDescent="0.2">
      <c r="A779" s="2058"/>
      <c r="B779" s="2058"/>
      <c r="C779" s="2058"/>
      <c r="D779" s="2058"/>
      <c r="E779" s="2058"/>
      <c r="F779" s="2058"/>
      <c r="G779" s="2059"/>
      <c r="H779" s="2058"/>
      <c r="I779" s="2058"/>
      <c r="J779" s="2058"/>
      <c r="K779" s="2058"/>
      <c r="L779" s="2058"/>
      <c r="M779" s="2058"/>
      <c r="N779" s="2058"/>
      <c r="O779" s="2058"/>
      <c r="P779" s="2058"/>
      <c r="Q779" s="2058"/>
      <c r="R779" s="2058"/>
      <c r="S779" s="2058"/>
      <c r="T779" s="2058"/>
      <c r="U779" s="2058"/>
      <c r="V779" s="2058"/>
      <c r="W779" s="2058"/>
      <c r="X779" s="2058"/>
      <c r="Y779" s="2058"/>
      <c r="Z779" s="2058"/>
    </row>
    <row r="780" spans="1:26" ht="12" x14ac:dyDescent="0.2">
      <c r="A780" s="2058"/>
      <c r="B780" s="2058"/>
      <c r="C780" s="2058"/>
      <c r="D780" s="2058"/>
      <c r="E780" s="2058"/>
      <c r="F780" s="2058"/>
      <c r="G780" s="2059"/>
      <c r="H780" s="2058"/>
      <c r="I780" s="2058"/>
      <c r="J780" s="2058"/>
      <c r="K780" s="2058"/>
      <c r="L780" s="2058"/>
      <c r="M780" s="2058"/>
      <c r="N780" s="2058"/>
      <c r="O780" s="2058"/>
      <c r="P780" s="2058"/>
      <c r="Q780" s="2058"/>
      <c r="R780" s="2058"/>
      <c r="S780" s="2058"/>
      <c r="T780" s="2058"/>
      <c r="U780" s="2058"/>
      <c r="V780" s="2058"/>
      <c r="W780" s="2058"/>
      <c r="X780" s="2058"/>
      <c r="Y780" s="2058"/>
      <c r="Z780" s="2058"/>
    </row>
    <row r="781" spans="1:26" ht="12" x14ac:dyDescent="0.2">
      <c r="A781" s="2058"/>
      <c r="B781" s="2058"/>
      <c r="C781" s="2058"/>
      <c r="D781" s="2058"/>
      <c r="E781" s="2058"/>
      <c r="F781" s="2058"/>
      <c r="G781" s="2059"/>
      <c r="H781" s="2058"/>
      <c r="I781" s="2058"/>
      <c r="J781" s="2058"/>
      <c r="K781" s="2058"/>
      <c r="L781" s="2058"/>
      <c r="M781" s="2058"/>
      <c r="N781" s="2058"/>
      <c r="O781" s="2058"/>
      <c r="P781" s="2058"/>
      <c r="Q781" s="2058"/>
      <c r="R781" s="2058"/>
      <c r="S781" s="2058"/>
      <c r="T781" s="2058"/>
      <c r="U781" s="2058"/>
      <c r="V781" s="2058"/>
      <c r="W781" s="2058"/>
      <c r="X781" s="2058"/>
      <c r="Y781" s="2058"/>
      <c r="Z781" s="2058"/>
    </row>
    <row r="782" spans="1:26" ht="12" x14ac:dyDescent="0.2">
      <c r="A782" s="2058"/>
      <c r="B782" s="2058"/>
      <c r="C782" s="2058"/>
      <c r="D782" s="2058"/>
      <c r="E782" s="2058"/>
      <c r="F782" s="2058"/>
      <c r="G782" s="2059"/>
      <c r="H782" s="2058"/>
      <c r="I782" s="2058"/>
      <c r="J782" s="2058"/>
      <c r="K782" s="2058"/>
      <c r="L782" s="2058"/>
      <c r="M782" s="2058"/>
      <c r="N782" s="2058"/>
      <c r="O782" s="2058"/>
      <c r="P782" s="2058"/>
      <c r="Q782" s="2058"/>
      <c r="R782" s="2058"/>
      <c r="S782" s="2058"/>
      <c r="T782" s="2058"/>
      <c r="U782" s="2058"/>
      <c r="V782" s="2058"/>
      <c r="W782" s="2058"/>
      <c r="X782" s="2058"/>
      <c r="Y782" s="2058"/>
      <c r="Z782" s="2058"/>
    </row>
    <row r="783" spans="1:26" ht="12" x14ac:dyDescent="0.2">
      <c r="A783" s="2058"/>
      <c r="B783" s="2058"/>
      <c r="C783" s="2058"/>
      <c r="D783" s="2058"/>
      <c r="E783" s="2058"/>
      <c r="F783" s="2058"/>
      <c r="G783" s="2059"/>
      <c r="H783" s="2058"/>
      <c r="I783" s="2058"/>
      <c r="J783" s="2058"/>
      <c r="K783" s="2058"/>
      <c r="L783" s="2058"/>
      <c r="M783" s="2058"/>
      <c r="N783" s="2058"/>
      <c r="O783" s="2058"/>
      <c r="P783" s="2058"/>
      <c r="Q783" s="2058"/>
      <c r="R783" s="2058"/>
      <c r="S783" s="2058"/>
      <c r="T783" s="2058"/>
      <c r="U783" s="2058"/>
      <c r="V783" s="2058"/>
      <c r="W783" s="2058"/>
      <c r="X783" s="2058"/>
      <c r="Y783" s="2058"/>
      <c r="Z783" s="2058"/>
    </row>
    <row r="784" spans="1:26" ht="12" x14ac:dyDescent="0.2">
      <c r="A784" s="2058"/>
      <c r="B784" s="2058"/>
      <c r="C784" s="2058"/>
      <c r="D784" s="2058"/>
      <c r="E784" s="2058"/>
      <c r="F784" s="2058"/>
      <c r="G784" s="2059"/>
      <c r="H784" s="2058"/>
      <c r="I784" s="2058"/>
      <c r="J784" s="2058"/>
      <c r="K784" s="2058"/>
      <c r="L784" s="2058"/>
      <c r="M784" s="2058"/>
      <c r="N784" s="2058"/>
      <c r="O784" s="2058"/>
      <c r="P784" s="2058"/>
      <c r="Q784" s="2058"/>
      <c r="R784" s="2058"/>
      <c r="S784" s="2058"/>
      <c r="T784" s="2058"/>
      <c r="U784" s="2058"/>
      <c r="V784" s="2058"/>
      <c r="W784" s="2058"/>
      <c r="X784" s="2058"/>
      <c r="Y784" s="2058"/>
      <c r="Z784" s="2058"/>
    </row>
    <row r="785" spans="1:26" ht="12" x14ac:dyDescent="0.2">
      <c r="A785" s="2058"/>
      <c r="B785" s="2058"/>
      <c r="C785" s="2058"/>
      <c r="D785" s="2058"/>
      <c r="E785" s="2058"/>
      <c r="F785" s="2058"/>
      <c r="G785" s="2059"/>
      <c r="H785" s="2058"/>
      <c r="I785" s="2058"/>
      <c r="J785" s="2058"/>
      <c r="K785" s="2058"/>
      <c r="L785" s="2058"/>
      <c r="M785" s="2058"/>
      <c r="N785" s="2058"/>
      <c r="O785" s="2058"/>
      <c r="P785" s="2058"/>
      <c r="Q785" s="2058"/>
      <c r="R785" s="2058"/>
      <c r="S785" s="2058"/>
      <c r="T785" s="2058"/>
      <c r="U785" s="2058"/>
      <c r="V785" s="2058"/>
      <c r="W785" s="2058"/>
      <c r="X785" s="2058"/>
      <c r="Y785" s="2058"/>
      <c r="Z785" s="2058"/>
    </row>
    <row r="786" spans="1:26" ht="12" x14ac:dyDescent="0.2">
      <c r="A786" s="2058"/>
      <c r="B786" s="2058"/>
      <c r="C786" s="2058"/>
      <c r="D786" s="2058"/>
      <c r="E786" s="2058"/>
      <c r="F786" s="2058"/>
      <c r="G786" s="2059"/>
      <c r="H786" s="2058"/>
      <c r="I786" s="2058"/>
      <c r="J786" s="2058"/>
      <c r="K786" s="2058"/>
      <c r="L786" s="2058"/>
      <c r="M786" s="2058"/>
      <c r="N786" s="2058"/>
      <c r="O786" s="2058"/>
      <c r="P786" s="2058"/>
      <c r="Q786" s="2058"/>
      <c r="R786" s="2058"/>
      <c r="S786" s="2058"/>
      <c r="T786" s="2058"/>
      <c r="U786" s="2058"/>
      <c r="V786" s="2058"/>
      <c r="W786" s="2058"/>
      <c r="X786" s="2058"/>
      <c r="Y786" s="2058"/>
      <c r="Z786" s="2058"/>
    </row>
    <row r="787" spans="1:26" ht="12" x14ac:dyDescent="0.2">
      <c r="A787" s="2058"/>
      <c r="B787" s="2058"/>
      <c r="C787" s="2058"/>
      <c r="D787" s="2058"/>
      <c r="E787" s="2058"/>
      <c r="F787" s="2058"/>
      <c r="G787" s="2059"/>
      <c r="H787" s="2058"/>
      <c r="I787" s="2058"/>
      <c r="J787" s="2058"/>
      <c r="K787" s="2058"/>
      <c r="L787" s="2058"/>
      <c r="M787" s="2058"/>
      <c r="N787" s="2058"/>
      <c r="O787" s="2058"/>
      <c r="P787" s="2058"/>
      <c r="Q787" s="2058"/>
      <c r="R787" s="2058"/>
      <c r="S787" s="2058"/>
      <c r="T787" s="2058"/>
      <c r="U787" s="2058"/>
      <c r="V787" s="2058"/>
      <c r="W787" s="2058"/>
      <c r="X787" s="2058"/>
      <c r="Y787" s="2058"/>
      <c r="Z787" s="2058"/>
    </row>
    <row r="788" spans="1:26" ht="12" x14ac:dyDescent="0.2">
      <c r="A788" s="2058"/>
      <c r="B788" s="2058"/>
      <c r="C788" s="2058"/>
      <c r="D788" s="2058"/>
      <c r="E788" s="2058"/>
      <c r="F788" s="2058"/>
      <c r="G788" s="2059"/>
      <c r="H788" s="2058"/>
      <c r="I788" s="2058"/>
      <c r="J788" s="2058"/>
      <c r="K788" s="2058"/>
      <c r="L788" s="2058"/>
      <c r="M788" s="2058"/>
      <c r="N788" s="2058"/>
      <c r="O788" s="2058"/>
      <c r="P788" s="2058"/>
      <c r="Q788" s="2058"/>
      <c r="R788" s="2058"/>
      <c r="S788" s="2058"/>
      <c r="T788" s="2058"/>
      <c r="U788" s="2058"/>
      <c r="V788" s="2058"/>
      <c r="W788" s="2058"/>
      <c r="X788" s="2058"/>
      <c r="Y788" s="2058"/>
      <c r="Z788" s="2058"/>
    </row>
    <row r="789" spans="1:26" ht="12" x14ac:dyDescent="0.2">
      <c r="A789" s="2058"/>
      <c r="B789" s="2058"/>
      <c r="C789" s="2058"/>
      <c r="D789" s="2058"/>
      <c r="E789" s="2058"/>
      <c r="F789" s="2058"/>
      <c r="G789" s="2059"/>
      <c r="H789" s="2058"/>
      <c r="I789" s="2058"/>
      <c r="J789" s="2058"/>
      <c r="K789" s="2058"/>
      <c r="L789" s="2058"/>
      <c r="M789" s="2058"/>
      <c r="N789" s="2058"/>
      <c r="O789" s="2058"/>
      <c r="P789" s="2058"/>
      <c r="Q789" s="2058"/>
      <c r="R789" s="2058"/>
      <c r="S789" s="2058"/>
      <c r="T789" s="2058"/>
      <c r="U789" s="2058"/>
      <c r="V789" s="2058"/>
      <c r="W789" s="2058"/>
      <c r="X789" s="2058"/>
      <c r="Y789" s="2058"/>
      <c r="Z789" s="2058"/>
    </row>
    <row r="790" spans="1:26" ht="12" x14ac:dyDescent="0.2">
      <c r="A790" s="2058"/>
      <c r="B790" s="2058"/>
      <c r="C790" s="2058"/>
      <c r="D790" s="2058"/>
      <c r="E790" s="2058"/>
      <c r="F790" s="2058"/>
      <c r="G790" s="2059"/>
      <c r="H790" s="2058"/>
      <c r="I790" s="2058"/>
      <c r="J790" s="2058"/>
      <c r="K790" s="2058"/>
      <c r="L790" s="2058"/>
      <c r="M790" s="2058"/>
      <c r="N790" s="2058"/>
      <c r="O790" s="2058"/>
      <c r="P790" s="2058"/>
      <c r="Q790" s="2058"/>
      <c r="R790" s="2058"/>
      <c r="S790" s="2058"/>
      <c r="T790" s="2058"/>
      <c r="U790" s="2058"/>
      <c r="V790" s="2058"/>
      <c r="W790" s="2058"/>
      <c r="X790" s="2058"/>
      <c r="Y790" s="2058"/>
      <c r="Z790" s="2058"/>
    </row>
    <row r="791" spans="1:26" ht="12" x14ac:dyDescent="0.2">
      <c r="A791" s="2058"/>
      <c r="B791" s="2058"/>
      <c r="C791" s="2058"/>
      <c r="D791" s="2058"/>
      <c r="E791" s="2058"/>
      <c r="F791" s="2058"/>
      <c r="G791" s="2059"/>
      <c r="H791" s="2058"/>
      <c r="I791" s="2058"/>
      <c r="J791" s="2058"/>
      <c r="K791" s="2058"/>
      <c r="L791" s="2058"/>
      <c r="M791" s="2058"/>
      <c r="N791" s="2058"/>
      <c r="O791" s="2058"/>
      <c r="P791" s="2058"/>
      <c r="Q791" s="2058"/>
      <c r="R791" s="2058"/>
      <c r="S791" s="2058"/>
      <c r="T791" s="2058"/>
      <c r="U791" s="2058"/>
      <c r="V791" s="2058"/>
      <c r="W791" s="2058"/>
      <c r="X791" s="2058"/>
      <c r="Y791" s="2058"/>
      <c r="Z791" s="2058"/>
    </row>
    <row r="792" spans="1:26" ht="12" x14ac:dyDescent="0.2">
      <c r="A792" s="2058"/>
      <c r="B792" s="2058"/>
      <c r="C792" s="2058"/>
      <c r="D792" s="2058"/>
      <c r="E792" s="2058"/>
      <c r="F792" s="2058"/>
      <c r="G792" s="2059"/>
      <c r="H792" s="2058"/>
      <c r="I792" s="2058"/>
      <c r="J792" s="2058"/>
      <c r="K792" s="2058"/>
      <c r="L792" s="2058"/>
      <c r="M792" s="2058"/>
      <c r="N792" s="2058"/>
      <c r="O792" s="2058"/>
      <c r="P792" s="2058"/>
      <c r="Q792" s="2058"/>
      <c r="R792" s="2058"/>
      <c r="S792" s="2058"/>
      <c r="T792" s="2058"/>
      <c r="U792" s="2058"/>
      <c r="V792" s="2058"/>
      <c r="W792" s="2058"/>
      <c r="X792" s="2058"/>
      <c r="Y792" s="2058"/>
      <c r="Z792" s="2058"/>
    </row>
    <row r="793" spans="1:26" ht="12" x14ac:dyDescent="0.2">
      <c r="A793" s="2058"/>
      <c r="B793" s="2058"/>
      <c r="C793" s="2058"/>
      <c r="D793" s="2058"/>
      <c r="E793" s="2058"/>
      <c r="F793" s="2058"/>
      <c r="G793" s="2059"/>
      <c r="H793" s="2058"/>
      <c r="I793" s="2058"/>
      <c r="J793" s="2058"/>
      <c r="K793" s="2058"/>
      <c r="L793" s="2058"/>
      <c r="M793" s="2058"/>
      <c r="N793" s="2058"/>
      <c r="O793" s="2058"/>
      <c r="P793" s="2058"/>
      <c r="Q793" s="2058"/>
      <c r="R793" s="2058"/>
      <c r="S793" s="2058"/>
      <c r="T793" s="2058"/>
      <c r="U793" s="2058"/>
      <c r="V793" s="2058"/>
      <c r="W793" s="2058"/>
      <c r="X793" s="2058"/>
      <c r="Y793" s="2058"/>
      <c r="Z793" s="2058"/>
    </row>
    <row r="794" spans="1:26" ht="12" x14ac:dyDescent="0.2">
      <c r="A794" s="2058"/>
      <c r="B794" s="2058"/>
      <c r="C794" s="2058"/>
      <c r="D794" s="2058"/>
      <c r="E794" s="2058"/>
      <c r="F794" s="2058"/>
      <c r="G794" s="2059"/>
      <c r="H794" s="2058"/>
      <c r="I794" s="2058"/>
      <c r="J794" s="2058"/>
      <c r="K794" s="2058"/>
      <c r="L794" s="2058"/>
      <c r="M794" s="2058"/>
      <c r="N794" s="2058"/>
      <c r="O794" s="2058"/>
      <c r="P794" s="2058"/>
      <c r="Q794" s="2058"/>
      <c r="R794" s="2058"/>
      <c r="S794" s="2058"/>
      <c r="T794" s="2058"/>
      <c r="U794" s="2058"/>
      <c r="V794" s="2058"/>
      <c r="W794" s="2058"/>
      <c r="X794" s="2058"/>
      <c r="Y794" s="2058"/>
      <c r="Z794" s="2058"/>
    </row>
    <row r="795" spans="1:26" ht="12" x14ac:dyDescent="0.2">
      <c r="A795" s="2058"/>
      <c r="B795" s="2058"/>
      <c r="C795" s="2058"/>
      <c r="D795" s="2058"/>
      <c r="E795" s="2058"/>
      <c r="F795" s="2058"/>
      <c r="G795" s="2059"/>
      <c r="H795" s="2058"/>
      <c r="I795" s="2058"/>
      <c r="J795" s="2058"/>
      <c r="K795" s="2058"/>
      <c r="L795" s="2058"/>
      <c r="M795" s="2058"/>
      <c r="N795" s="2058"/>
      <c r="O795" s="2058"/>
      <c r="P795" s="2058"/>
      <c r="Q795" s="2058"/>
      <c r="R795" s="2058"/>
      <c r="S795" s="2058"/>
      <c r="T795" s="2058"/>
      <c r="U795" s="2058"/>
      <c r="V795" s="2058"/>
      <c r="W795" s="2058"/>
      <c r="X795" s="2058"/>
      <c r="Y795" s="2058"/>
      <c r="Z795" s="2058"/>
    </row>
    <row r="796" spans="1:26" ht="12" x14ac:dyDescent="0.2">
      <c r="A796" s="2058"/>
      <c r="B796" s="2058"/>
      <c r="C796" s="2058"/>
      <c r="D796" s="2058"/>
      <c r="E796" s="2058"/>
      <c r="F796" s="2058"/>
      <c r="G796" s="2059"/>
      <c r="H796" s="2058"/>
      <c r="I796" s="2058"/>
      <c r="J796" s="2058"/>
      <c r="K796" s="2058"/>
      <c r="L796" s="2058"/>
      <c r="M796" s="2058"/>
      <c r="N796" s="2058"/>
      <c r="O796" s="2058"/>
      <c r="P796" s="2058"/>
      <c r="Q796" s="2058"/>
      <c r="R796" s="2058"/>
      <c r="S796" s="2058"/>
      <c r="T796" s="2058"/>
      <c r="U796" s="2058"/>
      <c r="V796" s="2058"/>
      <c r="W796" s="2058"/>
      <c r="X796" s="2058"/>
      <c r="Y796" s="2058"/>
      <c r="Z796" s="2058"/>
    </row>
    <row r="797" spans="1:26" ht="12" x14ac:dyDescent="0.2">
      <c r="A797" s="2058"/>
      <c r="B797" s="2058"/>
      <c r="C797" s="2058"/>
      <c r="D797" s="2058"/>
      <c r="E797" s="2058"/>
      <c r="F797" s="2058"/>
      <c r="G797" s="2059"/>
      <c r="H797" s="2058"/>
      <c r="I797" s="2058"/>
      <c r="J797" s="2058"/>
      <c r="K797" s="2058"/>
      <c r="L797" s="2058"/>
      <c r="M797" s="2058"/>
      <c r="N797" s="2058"/>
      <c r="O797" s="2058"/>
      <c r="P797" s="2058"/>
      <c r="Q797" s="2058"/>
      <c r="R797" s="2058"/>
      <c r="S797" s="2058"/>
      <c r="T797" s="2058"/>
      <c r="U797" s="2058"/>
      <c r="V797" s="2058"/>
      <c r="W797" s="2058"/>
      <c r="X797" s="2058"/>
      <c r="Y797" s="2058"/>
      <c r="Z797" s="2058"/>
    </row>
    <row r="798" spans="1:26" ht="12" x14ac:dyDescent="0.2">
      <c r="A798" s="2058"/>
      <c r="B798" s="2058"/>
      <c r="C798" s="2058"/>
      <c r="D798" s="2058"/>
      <c r="E798" s="2058"/>
      <c r="F798" s="2058"/>
      <c r="G798" s="2059"/>
      <c r="H798" s="2058"/>
      <c r="I798" s="2058"/>
      <c r="J798" s="2058"/>
      <c r="K798" s="2058"/>
      <c r="L798" s="2058"/>
      <c r="M798" s="2058"/>
      <c r="N798" s="2058"/>
      <c r="O798" s="2058"/>
      <c r="P798" s="2058"/>
      <c r="Q798" s="2058"/>
      <c r="R798" s="2058"/>
      <c r="S798" s="2058"/>
      <c r="T798" s="2058"/>
      <c r="U798" s="2058"/>
      <c r="V798" s="2058"/>
      <c r="W798" s="2058"/>
      <c r="X798" s="2058"/>
      <c r="Y798" s="2058"/>
      <c r="Z798" s="2058"/>
    </row>
    <row r="799" spans="1:26" ht="12" x14ac:dyDescent="0.2">
      <c r="A799" s="2058"/>
      <c r="B799" s="2058"/>
      <c r="C799" s="2058"/>
      <c r="D799" s="2058"/>
      <c r="E799" s="2058"/>
      <c r="F799" s="2058"/>
      <c r="G799" s="2059"/>
      <c r="H799" s="2058"/>
      <c r="I799" s="2058"/>
      <c r="J799" s="2058"/>
      <c r="K799" s="2058"/>
      <c r="L799" s="2058"/>
      <c r="M799" s="2058"/>
      <c r="N799" s="2058"/>
      <c r="O799" s="2058"/>
      <c r="P799" s="2058"/>
      <c r="Q799" s="2058"/>
      <c r="R799" s="2058"/>
      <c r="S799" s="2058"/>
      <c r="T799" s="2058"/>
      <c r="U799" s="2058"/>
      <c r="V799" s="2058"/>
      <c r="W799" s="2058"/>
      <c r="X799" s="2058"/>
      <c r="Y799" s="2058"/>
      <c r="Z799" s="2058"/>
    </row>
    <row r="800" spans="1:26" ht="12" x14ac:dyDescent="0.2">
      <c r="A800" s="2058"/>
      <c r="B800" s="2058"/>
      <c r="C800" s="2058"/>
      <c r="D800" s="2058"/>
      <c r="E800" s="2058"/>
      <c r="F800" s="2058"/>
      <c r="G800" s="2059"/>
      <c r="H800" s="2058"/>
      <c r="I800" s="2058"/>
      <c r="J800" s="2058"/>
      <c r="K800" s="2058"/>
      <c r="L800" s="2058"/>
      <c r="M800" s="2058"/>
      <c r="N800" s="2058"/>
      <c r="O800" s="2058"/>
      <c r="P800" s="2058"/>
      <c r="Q800" s="2058"/>
      <c r="R800" s="2058"/>
      <c r="S800" s="2058"/>
      <c r="T800" s="2058"/>
      <c r="U800" s="2058"/>
      <c r="V800" s="2058"/>
      <c r="W800" s="2058"/>
      <c r="X800" s="2058"/>
      <c r="Y800" s="2058"/>
      <c r="Z800" s="2058"/>
    </row>
    <row r="801" spans="1:26" ht="12" x14ac:dyDescent="0.2">
      <c r="A801" s="2058"/>
      <c r="B801" s="2058"/>
      <c r="C801" s="2058"/>
      <c r="D801" s="2058"/>
      <c r="E801" s="2058"/>
      <c r="F801" s="2058"/>
      <c r="G801" s="2059"/>
      <c r="H801" s="2058"/>
      <c r="I801" s="2058"/>
      <c r="J801" s="2058"/>
      <c r="K801" s="2058"/>
      <c r="L801" s="2058"/>
      <c r="M801" s="2058"/>
      <c r="N801" s="2058"/>
      <c r="O801" s="2058"/>
      <c r="P801" s="2058"/>
      <c r="Q801" s="2058"/>
      <c r="R801" s="2058"/>
      <c r="S801" s="2058"/>
      <c r="T801" s="2058"/>
      <c r="U801" s="2058"/>
      <c r="V801" s="2058"/>
      <c r="W801" s="2058"/>
      <c r="X801" s="2058"/>
      <c r="Y801" s="2058"/>
      <c r="Z801" s="2058"/>
    </row>
    <row r="802" spans="1:26" ht="12" x14ac:dyDescent="0.2">
      <c r="A802" s="2058"/>
      <c r="B802" s="2058"/>
      <c r="C802" s="2058"/>
      <c r="D802" s="2058"/>
      <c r="E802" s="2058"/>
      <c r="F802" s="2058"/>
      <c r="G802" s="2059"/>
      <c r="H802" s="2058"/>
      <c r="I802" s="2058"/>
      <c r="J802" s="2058"/>
      <c r="K802" s="2058"/>
      <c r="L802" s="2058"/>
      <c r="M802" s="2058"/>
      <c r="N802" s="2058"/>
      <c r="O802" s="2058"/>
      <c r="P802" s="2058"/>
      <c r="Q802" s="2058"/>
      <c r="R802" s="2058"/>
      <c r="S802" s="2058"/>
      <c r="T802" s="2058"/>
      <c r="U802" s="2058"/>
      <c r="V802" s="2058"/>
      <c r="W802" s="2058"/>
      <c r="X802" s="2058"/>
      <c r="Y802" s="2058"/>
      <c r="Z802" s="2058"/>
    </row>
    <row r="803" spans="1:26" ht="12" x14ac:dyDescent="0.2">
      <c r="A803" s="2058"/>
      <c r="B803" s="2058"/>
      <c r="C803" s="2058"/>
      <c r="D803" s="2058"/>
      <c r="E803" s="2058"/>
      <c r="F803" s="2058"/>
      <c r="G803" s="2059"/>
      <c r="H803" s="2058"/>
      <c r="I803" s="2058"/>
      <c r="J803" s="2058"/>
      <c r="K803" s="2058"/>
      <c r="L803" s="2058"/>
      <c r="M803" s="2058"/>
      <c r="N803" s="2058"/>
      <c r="O803" s="2058"/>
      <c r="P803" s="2058"/>
      <c r="Q803" s="2058"/>
      <c r="R803" s="2058"/>
      <c r="S803" s="2058"/>
      <c r="T803" s="2058"/>
      <c r="U803" s="2058"/>
      <c r="V803" s="2058"/>
      <c r="W803" s="2058"/>
      <c r="X803" s="2058"/>
      <c r="Y803" s="2058"/>
      <c r="Z803" s="2058"/>
    </row>
    <row r="804" spans="1:26" ht="12" x14ac:dyDescent="0.2">
      <c r="A804" s="2058"/>
      <c r="B804" s="2058"/>
      <c r="C804" s="2058"/>
      <c r="D804" s="2058"/>
      <c r="E804" s="2058"/>
      <c r="F804" s="2058"/>
      <c r="G804" s="2059"/>
      <c r="H804" s="2058"/>
      <c r="I804" s="2058"/>
      <c r="J804" s="2058"/>
      <c r="K804" s="2058"/>
      <c r="L804" s="2058"/>
      <c r="M804" s="2058"/>
      <c r="N804" s="2058"/>
      <c r="O804" s="2058"/>
      <c r="P804" s="2058"/>
      <c r="Q804" s="2058"/>
      <c r="R804" s="2058"/>
      <c r="S804" s="2058"/>
      <c r="T804" s="2058"/>
      <c r="U804" s="2058"/>
      <c r="V804" s="2058"/>
      <c r="W804" s="2058"/>
      <c r="X804" s="2058"/>
      <c r="Y804" s="2058"/>
      <c r="Z804" s="2058"/>
    </row>
    <row r="805" spans="1:26" ht="12" x14ac:dyDescent="0.2">
      <c r="A805" s="2058"/>
      <c r="B805" s="2058"/>
      <c r="C805" s="2058"/>
      <c r="D805" s="2058"/>
      <c r="E805" s="2058"/>
      <c r="F805" s="2058"/>
      <c r="G805" s="2059"/>
      <c r="H805" s="2058"/>
      <c r="I805" s="2058"/>
      <c r="J805" s="2058"/>
      <c r="K805" s="2058"/>
      <c r="L805" s="2058"/>
      <c r="M805" s="2058"/>
      <c r="N805" s="2058"/>
      <c r="O805" s="2058"/>
      <c r="P805" s="2058"/>
      <c r="Q805" s="2058"/>
      <c r="R805" s="2058"/>
      <c r="S805" s="2058"/>
      <c r="T805" s="2058"/>
      <c r="U805" s="2058"/>
      <c r="V805" s="2058"/>
      <c r="W805" s="2058"/>
      <c r="X805" s="2058"/>
      <c r="Y805" s="2058"/>
      <c r="Z805" s="2058"/>
    </row>
    <row r="806" spans="1:26" ht="12" x14ac:dyDescent="0.2">
      <c r="A806" s="2058"/>
      <c r="B806" s="2058"/>
      <c r="C806" s="2058"/>
      <c r="D806" s="2058"/>
      <c r="E806" s="2058"/>
      <c r="F806" s="2058"/>
      <c r="G806" s="2059"/>
      <c r="H806" s="2058"/>
      <c r="I806" s="2058"/>
      <c r="J806" s="2058"/>
      <c r="K806" s="2058"/>
      <c r="L806" s="2058"/>
      <c r="M806" s="2058"/>
      <c r="N806" s="2058"/>
      <c r="O806" s="2058"/>
      <c r="P806" s="2058"/>
      <c r="Q806" s="2058"/>
      <c r="R806" s="2058"/>
      <c r="S806" s="2058"/>
      <c r="T806" s="2058"/>
      <c r="U806" s="2058"/>
      <c r="V806" s="2058"/>
      <c r="W806" s="2058"/>
      <c r="X806" s="2058"/>
      <c r="Y806" s="2058"/>
      <c r="Z806" s="2058"/>
    </row>
    <row r="807" spans="1:26" ht="12" x14ac:dyDescent="0.2">
      <c r="A807" s="2058"/>
      <c r="B807" s="2058"/>
      <c r="C807" s="2058"/>
      <c r="D807" s="2058"/>
      <c r="E807" s="2058"/>
      <c r="F807" s="2058"/>
      <c r="G807" s="2059"/>
      <c r="H807" s="2058"/>
      <c r="I807" s="2058"/>
      <c r="J807" s="2058"/>
      <c r="K807" s="2058"/>
      <c r="L807" s="2058"/>
      <c r="M807" s="2058"/>
      <c r="N807" s="2058"/>
      <c r="O807" s="2058"/>
      <c r="P807" s="2058"/>
      <c r="Q807" s="2058"/>
      <c r="R807" s="2058"/>
      <c r="S807" s="2058"/>
      <c r="T807" s="2058"/>
      <c r="U807" s="2058"/>
      <c r="V807" s="2058"/>
      <c r="W807" s="2058"/>
      <c r="X807" s="2058"/>
      <c r="Y807" s="2058"/>
      <c r="Z807" s="2058"/>
    </row>
    <row r="808" spans="1:26" ht="12" x14ac:dyDescent="0.2">
      <c r="A808" s="2058"/>
      <c r="B808" s="2058"/>
      <c r="C808" s="2058"/>
      <c r="D808" s="2058"/>
      <c r="E808" s="2058"/>
      <c r="F808" s="2058"/>
      <c r="G808" s="2059"/>
      <c r="H808" s="2058"/>
      <c r="I808" s="2058"/>
      <c r="J808" s="2058"/>
      <c r="K808" s="2058"/>
      <c r="L808" s="2058"/>
      <c r="M808" s="2058"/>
      <c r="N808" s="2058"/>
      <c r="O808" s="2058"/>
      <c r="P808" s="2058"/>
      <c r="Q808" s="2058"/>
      <c r="R808" s="2058"/>
      <c r="S808" s="2058"/>
      <c r="T808" s="2058"/>
      <c r="U808" s="2058"/>
      <c r="V808" s="2058"/>
      <c r="W808" s="2058"/>
      <c r="X808" s="2058"/>
      <c r="Y808" s="2058"/>
      <c r="Z808" s="2058"/>
    </row>
    <row r="809" spans="1:26" ht="12" x14ac:dyDescent="0.2">
      <c r="A809" s="2058"/>
      <c r="B809" s="2058"/>
      <c r="C809" s="2058"/>
      <c r="D809" s="2058"/>
      <c r="E809" s="2058"/>
      <c r="F809" s="2058"/>
      <c r="G809" s="2059"/>
      <c r="H809" s="2058"/>
      <c r="I809" s="2058"/>
      <c r="J809" s="2058"/>
      <c r="K809" s="2058"/>
      <c r="L809" s="2058"/>
      <c r="M809" s="2058"/>
      <c r="N809" s="2058"/>
      <c r="O809" s="2058"/>
      <c r="P809" s="2058"/>
      <c r="Q809" s="2058"/>
      <c r="R809" s="2058"/>
      <c r="S809" s="2058"/>
      <c r="T809" s="2058"/>
      <c r="U809" s="2058"/>
      <c r="V809" s="2058"/>
      <c r="W809" s="2058"/>
      <c r="X809" s="2058"/>
      <c r="Y809" s="2058"/>
      <c r="Z809" s="2058"/>
    </row>
    <row r="810" spans="1:26" ht="12" x14ac:dyDescent="0.2">
      <c r="A810" s="2058"/>
      <c r="B810" s="2058"/>
      <c r="C810" s="2058"/>
      <c r="D810" s="2058"/>
      <c r="E810" s="2058"/>
      <c r="F810" s="2058"/>
      <c r="G810" s="2059"/>
      <c r="H810" s="2058"/>
      <c r="I810" s="2058"/>
      <c r="J810" s="2058"/>
      <c r="K810" s="2058"/>
      <c r="L810" s="2058"/>
      <c r="M810" s="2058"/>
      <c r="N810" s="2058"/>
      <c r="O810" s="2058"/>
      <c r="P810" s="2058"/>
      <c r="Q810" s="2058"/>
      <c r="R810" s="2058"/>
      <c r="S810" s="2058"/>
      <c r="T810" s="2058"/>
      <c r="U810" s="2058"/>
      <c r="V810" s="2058"/>
      <c r="W810" s="2058"/>
      <c r="X810" s="2058"/>
      <c r="Y810" s="2058"/>
      <c r="Z810" s="2058"/>
    </row>
    <row r="811" spans="1:26" ht="12" x14ac:dyDescent="0.2">
      <c r="A811" s="2058"/>
      <c r="B811" s="2058"/>
      <c r="C811" s="2058"/>
      <c r="D811" s="2058"/>
      <c r="E811" s="2058"/>
      <c r="F811" s="2058"/>
      <c r="G811" s="2059"/>
      <c r="H811" s="2058"/>
      <c r="I811" s="2058"/>
      <c r="J811" s="2058"/>
      <c r="K811" s="2058"/>
      <c r="L811" s="2058"/>
      <c r="M811" s="2058"/>
      <c r="N811" s="2058"/>
      <c r="O811" s="2058"/>
      <c r="P811" s="2058"/>
      <c r="Q811" s="2058"/>
      <c r="R811" s="2058"/>
      <c r="S811" s="2058"/>
      <c r="T811" s="2058"/>
      <c r="U811" s="2058"/>
      <c r="V811" s="2058"/>
      <c r="W811" s="2058"/>
      <c r="X811" s="2058"/>
      <c r="Y811" s="2058"/>
      <c r="Z811" s="2058"/>
    </row>
    <row r="812" spans="1:26" ht="12" x14ac:dyDescent="0.2">
      <c r="A812" s="2058"/>
      <c r="B812" s="2058"/>
      <c r="C812" s="2058"/>
      <c r="D812" s="2058"/>
      <c r="E812" s="2058"/>
      <c r="F812" s="2058"/>
      <c r="G812" s="2059"/>
      <c r="H812" s="2058"/>
      <c r="I812" s="2058"/>
      <c r="J812" s="2058"/>
      <c r="K812" s="2058"/>
      <c r="L812" s="2058"/>
      <c r="M812" s="2058"/>
      <c r="N812" s="2058"/>
      <c r="O812" s="2058"/>
      <c r="P812" s="2058"/>
      <c r="Q812" s="2058"/>
      <c r="R812" s="2058"/>
      <c r="S812" s="2058"/>
      <c r="T812" s="2058"/>
      <c r="U812" s="2058"/>
      <c r="V812" s="2058"/>
      <c r="W812" s="2058"/>
      <c r="X812" s="2058"/>
      <c r="Y812" s="2058"/>
      <c r="Z812" s="2058"/>
    </row>
    <row r="813" spans="1:26" ht="12" x14ac:dyDescent="0.2">
      <c r="A813" s="2058"/>
      <c r="B813" s="2058"/>
      <c r="C813" s="2058"/>
      <c r="D813" s="2058"/>
      <c r="E813" s="2058"/>
      <c r="F813" s="2058"/>
      <c r="G813" s="2059"/>
      <c r="H813" s="2058"/>
      <c r="I813" s="2058"/>
      <c r="J813" s="2058"/>
      <c r="K813" s="2058"/>
      <c r="L813" s="2058"/>
      <c r="M813" s="2058"/>
      <c r="N813" s="2058"/>
      <c r="O813" s="2058"/>
      <c r="P813" s="2058"/>
      <c r="Q813" s="2058"/>
      <c r="R813" s="2058"/>
      <c r="S813" s="2058"/>
      <c r="T813" s="2058"/>
      <c r="U813" s="2058"/>
      <c r="V813" s="2058"/>
      <c r="W813" s="2058"/>
      <c r="X813" s="2058"/>
      <c r="Y813" s="2058"/>
      <c r="Z813" s="2058"/>
    </row>
    <row r="814" spans="1:26" ht="12" x14ac:dyDescent="0.2">
      <c r="A814" s="2058"/>
      <c r="B814" s="2058"/>
      <c r="C814" s="2058"/>
      <c r="D814" s="2058"/>
      <c r="E814" s="2058"/>
      <c r="F814" s="2058"/>
      <c r="G814" s="2059"/>
      <c r="H814" s="2058"/>
      <c r="I814" s="2058"/>
      <c r="J814" s="2058"/>
      <c r="K814" s="2058"/>
      <c r="L814" s="2058"/>
      <c r="M814" s="2058"/>
      <c r="N814" s="2058"/>
      <c r="O814" s="2058"/>
      <c r="P814" s="2058"/>
      <c r="Q814" s="2058"/>
      <c r="R814" s="2058"/>
      <c r="S814" s="2058"/>
      <c r="T814" s="2058"/>
      <c r="U814" s="2058"/>
      <c r="V814" s="2058"/>
      <c r="W814" s="2058"/>
      <c r="X814" s="2058"/>
      <c r="Y814" s="2058"/>
      <c r="Z814" s="2058"/>
    </row>
    <row r="815" spans="1:26" ht="12" x14ac:dyDescent="0.2">
      <c r="A815" s="2058"/>
      <c r="B815" s="2058"/>
      <c r="C815" s="2058"/>
      <c r="D815" s="2058"/>
      <c r="E815" s="2058"/>
      <c r="F815" s="2058"/>
      <c r="G815" s="2059"/>
      <c r="H815" s="2058"/>
      <c r="I815" s="2058"/>
      <c r="J815" s="2058"/>
      <c r="K815" s="2058"/>
      <c r="L815" s="2058"/>
      <c r="M815" s="2058"/>
      <c r="N815" s="2058"/>
      <c r="O815" s="2058"/>
      <c r="P815" s="2058"/>
      <c r="Q815" s="2058"/>
      <c r="R815" s="2058"/>
      <c r="S815" s="2058"/>
      <c r="T815" s="2058"/>
      <c r="U815" s="2058"/>
      <c r="V815" s="2058"/>
      <c r="W815" s="2058"/>
      <c r="X815" s="2058"/>
      <c r="Y815" s="2058"/>
      <c r="Z815" s="2058"/>
    </row>
    <row r="816" spans="1:26" ht="12" x14ac:dyDescent="0.2">
      <c r="A816" s="2058"/>
      <c r="B816" s="2058"/>
      <c r="C816" s="2058"/>
      <c r="D816" s="2058"/>
      <c r="E816" s="2058"/>
      <c r="F816" s="2058"/>
      <c r="G816" s="2059"/>
      <c r="H816" s="2058"/>
      <c r="I816" s="2058"/>
      <c r="J816" s="2058"/>
      <c r="K816" s="2058"/>
      <c r="L816" s="2058"/>
      <c r="M816" s="2058"/>
      <c r="N816" s="2058"/>
      <c r="O816" s="2058"/>
      <c r="P816" s="2058"/>
      <c r="Q816" s="2058"/>
      <c r="R816" s="2058"/>
      <c r="S816" s="2058"/>
      <c r="T816" s="2058"/>
      <c r="U816" s="2058"/>
      <c r="V816" s="2058"/>
      <c r="W816" s="2058"/>
      <c r="X816" s="2058"/>
      <c r="Y816" s="2058"/>
      <c r="Z816" s="2058"/>
    </row>
    <row r="817" spans="1:26" ht="12" x14ac:dyDescent="0.2">
      <c r="A817" s="2058"/>
      <c r="B817" s="2058"/>
      <c r="C817" s="2058"/>
      <c r="D817" s="2058"/>
      <c r="E817" s="2058"/>
      <c r="F817" s="2058"/>
      <c r="G817" s="2059"/>
      <c r="H817" s="2058"/>
      <c r="I817" s="2058"/>
      <c r="J817" s="2058"/>
      <c r="K817" s="2058"/>
      <c r="L817" s="2058"/>
      <c r="M817" s="2058"/>
      <c r="N817" s="2058"/>
      <c r="O817" s="2058"/>
      <c r="P817" s="2058"/>
      <c r="Q817" s="2058"/>
      <c r="R817" s="2058"/>
      <c r="S817" s="2058"/>
      <c r="T817" s="2058"/>
      <c r="U817" s="2058"/>
      <c r="V817" s="2058"/>
      <c r="W817" s="2058"/>
      <c r="X817" s="2058"/>
      <c r="Y817" s="2058"/>
      <c r="Z817" s="2058"/>
    </row>
    <row r="818" spans="1:26" ht="12" x14ac:dyDescent="0.2">
      <c r="A818" s="2058"/>
      <c r="B818" s="2058"/>
      <c r="C818" s="2058"/>
      <c r="D818" s="2058"/>
      <c r="E818" s="2058"/>
      <c r="F818" s="2058"/>
      <c r="G818" s="2059"/>
      <c r="H818" s="2058"/>
      <c r="I818" s="2058"/>
      <c r="J818" s="2058"/>
      <c r="K818" s="2058"/>
      <c r="L818" s="2058"/>
      <c r="M818" s="2058"/>
      <c r="N818" s="2058"/>
      <c r="O818" s="2058"/>
      <c r="P818" s="2058"/>
      <c r="Q818" s="2058"/>
      <c r="R818" s="2058"/>
      <c r="S818" s="2058"/>
      <c r="T818" s="2058"/>
      <c r="U818" s="2058"/>
      <c r="V818" s="2058"/>
      <c r="W818" s="2058"/>
      <c r="X818" s="2058"/>
      <c r="Y818" s="2058"/>
      <c r="Z818" s="2058"/>
    </row>
    <row r="819" spans="1:26" ht="12" x14ac:dyDescent="0.2">
      <c r="A819" s="2058"/>
      <c r="B819" s="2058"/>
      <c r="C819" s="2058"/>
      <c r="D819" s="2058"/>
      <c r="E819" s="2058"/>
      <c r="F819" s="2058"/>
      <c r="G819" s="2059"/>
      <c r="H819" s="2058"/>
      <c r="I819" s="2058"/>
      <c r="J819" s="2058"/>
      <c r="K819" s="2058"/>
      <c r="L819" s="2058"/>
      <c r="M819" s="2058"/>
      <c r="N819" s="2058"/>
      <c r="O819" s="2058"/>
      <c r="P819" s="2058"/>
      <c r="Q819" s="2058"/>
      <c r="R819" s="2058"/>
      <c r="S819" s="2058"/>
      <c r="T819" s="2058"/>
      <c r="U819" s="2058"/>
      <c r="V819" s="2058"/>
      <c r="W819" s="2058"/>
      <c r="X819" s="2058"/>
      <c r="Y819" s="2058"/>
      <c r="Z819" s="2058"/>
    </row>
    <row r="820" spans="1:26" ht="12" x14ac:dyDescent="0.2">
      <c r="A820" s="2058"/>
      <c r="B820" s="2058"/>
      <c r="C820" s="2058"/>
      <c r="D820" s="2058"/>
      <c r="E820" s="2058"/>
      <c r="F820" s="2058"/>
      <c r="G820" s="2059"/>
      <c r="H820" s="2058"/>
      <c r="I820" s="2058"/>
      <c r="J820" s="2058"/>
      <c r="K820" s="2058"/>
      <c r="L820" s="2058"/>
      <c r="M820" s="2058"/>
      <c r="N820" s="2058"/>
      <c r="O820" s="2058"/>
      <c r="P820" s="2058"/>
      <c r="Q820" s="2058"/>
      <c r="R820" s="2058"/>
      <c r="S820" s="2058"/>
      <c r="T820" s="2058"/>
      <c r="U820" s="2058"/>
      <c r="V820" s="2058"/>
      <c r="W820" s="2058"/>
      <c r="X820" s="2058"/>
      <c r="Y820" s="2058"/>
      <c r="Z820" s="2058"/>
    </row>
    <row r="821" spans="1:26" ht="12" x14ac:dyDescent="0.2">
      <c r="A821" s="2058"/>
      <c r="B821" s="2058"/>
      <c r="C821" s="2058"/>
      <c r="D821" s="2058"/>
      <c r="E821" s="2058"/>
      <c r="F821" s="2058"/>
      <c r="G821" s="2059"/>
      <c r="H821" s="2058"/>
      <c r="I821" s="2058"/>
      <c r="J821" s="2058"/>
      <c r="K821" s="2058"/>
      <c r="L821" s="2058"/>
      <c r="M821" s="2058"/>
      <c r="N821" s="2058"/>
      <c r="O821" s="2058"/>
      <c r="P821" s="2058"/>
      <c r="Q821" s="2058"/>
      <c r="R821" s="2058"/>
      <c r="S821" s="2058"/>
      <c r="T821" s="2058"/>
      <c r="U821" s="2058"/>
      <c r="V821" s="2058"/>
      <c r="W821" s="2058"/>
      <c r="X821" s="2058"/>
      <c r="Y821" s="2058"/>
      <c r="Z821" s="2058"/>
    </row>
    <row r="822" spans="1:26" ht="12" x14ac:dyDescent="0.2">
      <c r="A822" s="2058"/>
      <c r="B822" s="2058"/>
      <c r="C822" s="2058"/>
      <c r="D822" s="2058"/>
      <c r="E822" s="2058"/>
      <c r="F822" s="2058"/>
      <c r="G822" s="2059"/>
      <c r="H822" s="2058"/>
      <c r="I822" s="2058"/>
      <c r="J822" s="2058"/>
      <c r="K822" s="2058"/>
      <c r="L822" s="2058"/>
      <c r="M822" s="2058"/>
      <c r="N822" s="2058"/>
      <c r="O822" s="2058"/>
      <c r="P822" s="2058"/>
      <c r="Q822" s="2058"/>
      <c r="R822" s="2058"/>
      <c r="S822" s="2058"/>
      <c r="T822" s="2058"/>
      <c r="U822" s="2058"/>
      <c r="V822" s="2058"/>
      <c r="W822" s="2058"/>
      <c r="X822" s="2058"/>
      <c r="Y822" s="2058"/>
      <c r="Z822" s="2058"/>
    </row>
    <row r="823" spans="1:26" ht="12" x14ac:dyDescent="0.2">
      <c r="A823" s="2058"/>
      <c r="B823" s="2058"/>
      <c r="C823" s="2058"/>
      <c r="D823" s="2058"/>
      <c r="E823" s="2058"/>
      <c r="F823" s="2058"/>
      <c r="G823" s="2059"/>
      <c r="H823" s="2058"/>
      <c r="I823" s="2058"/>
      <c r="J823" s="2058"/>
      <c r="K823" s="2058"/>
      <c r="L823" s="2058"/>
      <c r="M823" s="2058"/>
      <c r="N823" s="2058"/>
      <c r="O823" s="2058"/>
      <c r="P823" s="2058"/>
      <c r="Q823" s="2058"/>
      <c r="R823" s="2058"/>
      <c r="S823" s="2058"/>
      <c r="T823" s="2058"/>
      <c r="U823" s="2058"/>
      <c r="V823" s="2058"/>
      <c r="W823" s="2058"/>
      <c r="X823" s="2058"/>
      <c r="Y823" s="2058"/>
      <c r="Z823" s="2058"/>
    </row>
    <row r="824" spans="1:26" ht="12" x14ac:dyDescent="0.2">
      <c r="A824" s="2058"/>
      <c r="B824" s="2058"/>
      <c r="C824" s="2058"/>
      <c r="D824" s="2058"/>
      <c r="E824" s="2058"/>
      <c r="F824" s="2058"/>
      <c r="G824" s="2059"/>
      <c r="H824" s="2058"/>
      <c r="I824" s="2058"/>
      <c r="J824" s="2058"/>
      <c r="K824" s="2058"/>
      <c r="L824" s="2058"/>
      <c r="M824" s="2058"/>
      <c r="N824" s="2058"/>
      <c r="O824" s="2058"/>
      <c r="P824" s="2058"/>
      <c r="Q824" s="2058"/>
      <c r="R824" s="2058"/>
      <c r="S824" s="2058"/>
      <c r="T824" s="2058"/>
      <c r="U824" s="2058"/>
      <c r="V824" s="2058"/>
      <c r="W824" s="2058"/>
      <c r="X824" s="2058"/>
      <c r="Y824" s="2058"/>
      <c r="Z824" s="2058"/>
    </row>
    <row r="825" spans="1:26" ht="12" x14ac:dyDescent="0.2">
      <c r="A825" s="2058"/>
      <c r="B825" s="2058"/>
      <c r="C825" s="2058"/>
      <c r="D825" s="2058"/>
      <c r="E825" s="2058"/>
      <c r="F825" s="2058"/>
      <c r="G825" s="2059"/>
      <c r="H825" s="2058"/>
      <c r="I825" s="2058"/>
      <c r="J825" s="2058"/>
      <c r="K825" s="2058"/>
      <c r="L825" s="2058"/>
      <c r="M825" s="2058"/>
      <c r="N825" s="2058"/>
      <c r="O825" s="2058"/>
      <c r="P825" s="2058"/>
      <c r="Q825" s="2058"/>
      <c r="R825" s="2058"/>
      <c r="S825" s="2058"/>
      <c r="T825" s="2058"/>
      <c r="U825" s="2058"/>
      <c r="V825" s="2058"/>
      <c r="W825" s="2058"/>
      <c r="X825" s="2058"/>
      <c r="Y825" s="2058"/>
      <c r="Z825" s="2058"/>
    </row>
    <row r="826" spans="1:26" ht="12" x14ac:dyDescent="0.2">
      <c r="A826" s="2058"/>
      <c r="B826" s="2058"/>
      <c r="C826" s="2058"/>
      <c r="D826" s="2058"/>
      <c r="E826" s="2058"/>
      <c r="F826" s="2058"/>
      <c r="G826" s="2059"/>
      <c r="H826" s="2058"/>
      <c r="I826" s="2058"/>
      <c r="J826" s="2058"/>
      <c r="K826" s="2058"/>
      <c r="L826" s="2058"/>
      <c r="M826" s="2058"/>
      <c r="N826" s="2058"/>
      <c r="O826" s="2058"/>
      <c r="P826" s="2058"/>
      <c r="Q826" s="2058"/>
      <c r="R826" s="2058"/>
      <c r="S826" s="2058"/>
      <c r="T826" s="2058"/>
      <c r="U826" s="2058"/>
      <c r="V826" s="2058"/>
      <c r="W826" s="2058"/>
      <c r="X826" s="2058"/>
      <c r="Y826" s="2058"/>
      <c r="Z826" s="2058"/>
    </row>
    <row r="827" spans="1:26" ht="12" x14ac:dyDescent="0.2">
      <c r="A827" s="2058"/>
      <c r="B827" s="2058"/>
      <c r="C827" s="2058"/>
      <c r="D827" s="2058"/>
      <c r="E827" s="2058"/>
      <c r="F827" s="2058"/>
      <c r="G827" s="2059"/>
      <c r="H827" s="2058"/>
      <c r="I827" s="2058"/>
      <c r="J827" s="2058"/>
      <c r="K827" s="2058"/>
      <c r="L827" s="2058"/>
      <c r="M827" s="2058"/>
      <c r="N827" s="2058"/>
      <c r="O827" s="2058"/>
      <c r="P827" s="2058"/>
      <c r="Q827" s="2058"/>
      <c r="R827" s="2058"/>
      <c r="S827" s="2058"/>
      <c r="T827" s="2058"/>
      <c r="U827" s="2058"/>
      <c r="V827" s="2058"/>
      <c r="W827" s="2058"/>
      <c r="X827" s="2058"/>
      <c r="Y827" s="2058"/>
      <c r="Z827" s="2058"/>
    </row>
    <row r="828" spans="1:26" ht="12" x14ac:dyDescent="0.2">
      <c r="A828" s="2058"/>
      <c r="B828" s="2058"/>
      <c r="C828" s="2058"/>
      <c r="D828" s="2058"/>
      <c r="E828" s="2058"/>
      <c r="F828" s="2058"/>
      <c r="G828" s="2059"/>
      <c r="H828" s="2058"/>
      <c r="I828" s="2058"/>
      <c r="J828" s="2058"/>
      <c r="K828" s="2058"/>
      <c r="L828" s="2058"/>
      <c r="M828" s="2058"/>
      <c r="N828" s="2058"/>
      <c r="O828" s="2058"/>
      <c r="P828" s="2058"/>
      <c r="Q828" s="2058"/>
      <c r="R828" s="2058"/>
      <c r="S828" s="2058"/>
      <c r="T828" s="2058"/>
      <c r="U828" s="2058"/>
      <c r="V828" s="2058"/>
      <c r="W828" s="2058"/>
      <c r="X828" s="2058"/>
      <c r="Y828" s="2058"/>
      <c r="Z828" s="2058"/>
    </row>
    <row r="829" spans="1:26" ht="12" x14ac:dyDescent="0.2">
      <c r="A829" s="2058"/>
      <c r="B829" s="2058"/>
      <c r="C829" s="2058"/>
      <c r="D829" s="2058"/>
      <c r="E829" s="2058"/>
      <c r="F829" s="2058"/>
      <c r="G829" s="2059"/>
      <c r="H829" s="2058"/>
      <c r="I829" s="2058"/>
      <c r="J829" s="2058"/>
      <c r="K829" s="2058"/>
      <c r="L829" s="2058"/>
      <c r="M829" s="2058"/>
      <c r="N829" s="2058"/>
      <c r="O829" s="2058"/>
      <c r="P829" s="2058"/>
      <c r="Q829" s="2058"/>
      <c r="R829" s="2058"/>
      <c r="S829" s="2058"/>
      <c r="T829" s="2058"/>
      <c r="U829" s="2058"/>
      <c r="V829" s="2058"/>
      <c r="W829" s="2058"/>
      <c r="X829" s="2058"/>
      <c r="Y829" s="2058"/>
      <c r="Z829" s="2058"/>
    </row>
    <row r="830" spans="1:26" ht="12" x14ac:dyDescent="0.2">
      <c r="A830" s="2058"/>
      <c r="B830" s="2058"/>
      <c r="C830" s="2058"/>
      <c r="D830" s="2058"/>
      <c r="E830" s="2058"/>
      <c r="F830" s="2058"/>
      <c r="G830" s="2059"/>
      <c r="H830" s="2058"/>
      <c r="I830" s="2058"/>
      <c r="J830" s="2058"/>
      <c r="K830" s="2058"/>
      <c r="L830" s="2058"/>
      <c r="M830" s="2058"/>
      <c r="N830" s="2058"/>
      <c r="O830" s="2058"/>
      <c r="P830" s="2058"/>
      <c r="Q830" s="2058"/>
      <c r="R830" s="2058"/>
      <c r="S830" s="2058"/>
      <c r="T830" s="2058"/>
      <c r="U830" s="2058"/>
      <c r="V830" s="2058"/>
      <c r="W830" s="2058"/>
      <c r="X830" s="2058"/>
      <c r="Y830" s="2058"/>
      <c r="Z830" s="2058"/>
    </row>
    <row r="831" spans="1:26" ht="12" x14ac:dyDescent="0.2">
      <c r="A831" s="2058"/>
      <c r="B831" s="2058"/>
      <c r="C831" s="2058"/>
      <c r="D831" s="2058"/>
      <c r="E831" s="2058"/>
      <c r="F831" s="2058"/>
      <c r="G831" s="2059"/>
      <c r="H831" s="2058"/>
      <c r="I831" s="2058"/>
      <c r="J831" s="2058"/>
      <c r="K831" s="2058"/>
      <c r="L831" s="2058"/>
      <c r="M831" s="2058"/>
      <c r="N831" s="2058"/>
      <c r="O831" s="2058"/>
      <c r="P831" s="2058"/>
      <c r="Q831" s="2058"/>
      <c r="R831" s="2058"/>
      <c r="S831" s="2058"/>
      <c r="T831" s="2058"/>
      <c r="U831" s="2058"/>
      <c r="V831" s="2058"/>
      <c r="W831" s="2058"/>
      <c r="X831" s="2058"/>
      <c r="Y831" s="2058"/>
      <c r="Z831" s="2058"/>
    </row>
    <row r="832" spans="1:26" ht="12" x14ac:dyDescent="0.2">
      <c r="A832" s="2058"/>
      <c r="B832" s="2058"/>
      <c r="C832" s="2058"/>
      <c r="D832" s="2058"/>
      <c r="E832" s="2058"/>
      <c r="F832" s="2058"/>
      <c r="G832" s="2059"/>
      <c r="H832" s="2058"/>
      <c r="I832" s="2058"/>
      <c r="J832" s="2058"/>
      <c r="K832" s="2058"/>
      <c r="L832" s="2058"/>
      <c r="M832" s="2058"/>
      <c r="N832" s="2058"/>
      <c r="O832" s="2058"/>
      <c r="P832" s="2058"/>
      <c r="Q832" s="2058"/>
      <c r="R832" s="2058"/>
      <c r="S832" s="2058"/>
      <c r="T832" s="2058"/>
      <c r="U832" s="2058"/>
      <c r="V832" s="2058"/>
      <c r="W832" s="2058"/>
      <c r="X832" s="2058"/>
      <c r="Y832" s="2058"/>
      <c r="Z832" s="2058"/>
    </row>
    <row r="833" spans="1:26" ht="12" x14ac:dyDescent="0.2">
      <c r="A833" s="2058"/>
      <c r="B833" s="2058"/>
      <c r="C833" s="2058"/>
      <c r="D833" s="2058"/>
      <c r="E833" s="2058"/>
      <c r="F833" s="2058"/>
      <c r="G833" s="2059"/>
      <c r="H833" s="2058"/>
      <c r="I833" s="2058"/>
      <c r="J833" s="2058"/>
      <c r="K833" s="2058"/>
      <c r="L833" s="2058"/>
      <c r="M833" s="2058"/>
      <c r="N833" s="2058"/>
      <c r="O833" s="2058"/>
      <c r="P833" s="2058"/>
      <c r="Q833" s="2058"/>
      <c r="R833" s="2058"/>
      <c r="S833" s="2058"/>
      <c r="T833" s="2058"/>
      <c r="U833" s="2058"/>
      <c r="V833" s="2058"/>
      <c r="W833" s="2058"/>
      <c r="X833" s="2058"/>
      <c r="Y833" s="2058"/>
      <c r="Z833" s="2058"/>
    </row>
    <row r="834" spans="1:26" ht="12" x14ac:dyDescent="0.2">
      <c r="A834" s="2058"/>
      <c r="B834" s="2058"/>
      <c r="C834" s="2058"/>
      <c r="D834" s="2058"/>
      <c r="E834" s="2058"/>
      <c r="F834" s="2058"/>
      <c r="G834" s="2059"/>
      <c r="H834" s="2058"/>
      <c r="I834" s="2058"/>
      <c r="J834" s="2058"/>
      <c r="K834" s="2058"/>
      <c r="L834" s="2058"/>
      <c r="M834" s="2058"/>
      <c r="N834" s="2058"/>
      <c r="O834" s="2058"/>
      <c r="P834" s="2058"/>
      <c r="Q834" s="2058"/>
      <c r="R834" s="2058"/>
      <c r="S834" s="2058"/>
      <c r="T834" s="2058"/>
      <c r="U834" s="2058"/>
      <c r="V834" s="2058"/>
      <c r="W834" s="2058"/>
      <c r="X834" s="2058"/>
      <c r="Y834" s="2058"/>
      <c r="Z834" s="2058"/>
    </row>
    <row r="835" spans="1:26" ht="12" x14ac:dyDescent="0.2">
      <c r="A835" s="2058"/>
      <c r="B835" s="2058"/>
      <c r="C835" s="2058"/>
      <c r="D835" s="2058"/>
      <c r="E835" s="2058"/>
      <c r="F835" s="2058"/>
      <c r="G835" s="2059"/>
      <c r="H835" s="2058"/>
      <c r="I835" s="2058"/>
      <c r="J835" s="2058"/>
      <c r="K835" s="2058"/>
      <c r="L835" s="2058"/>
      <c r="M835" s="2058"/>
      <c r="N835" s="2058"/>
      <c r="O835" s="2058"/>
      <c r="P835" s="2058"/>
      <c r="Q835" s="2058"/>
      <c r="R835" s="2058"/>
      <c r="S835" s="2058"/>
      <c r="T835" s="2058"/>
      <c r="U835" s="2058"/>
      <c r="V835" s="2058"/>
      <c r="W835" s="2058"/>
      <c r="X835" s="2058"/>
      <c r="Y835" s="2058"/>
      <c r="Z835" s="2058"/>
    </row>
    <row r="836" spans="1:26" ht="12" x14ac:dyDescent="0.2">
      <c r="A836" s="2058"/>
      <c r="B836" s="2058"/>
      <c r="C836" s="2058"/>
      <c r="D836" s="2058"/>
      <c r="E836" s="2058"/>
      <c r="F836" s="2058"/>
      <c r="G836" s="2059"/>
      <c r="H836" s="2058"/>
      <c r="I836" s="2058"/>
      <c r="J836" s="2058"/>
      <c r="K836" s="2058"/>
      <c r="L836" s="2058"/>
      <c r="M836" s="2058"/>
      <c r="N836" s="2058"/>
      <c r="O836" s="2058"/>
      <c r="P836" s="2058"/>
      <c r="Q836" s="2058"/>
      <c r="R836" s="2058"/>
      <c r="S836" s="2058"/>
      <c r="T836" s="2058"/>
      <c r="U836" s="2058"/>
      <c r="V836" s="2058"/>
      <c r="W836" s="2058"/>
      <c r="X836" s="2058"/>
      <c r="Y836" s="2058"/>
      <c r="Z836" s="2058"/>
    </row>
    <row r="837" spans="1:26" ht="12" x14ac:dyDescent="0.2">
      <c r="A837" s="2058"/>
      <c r="B837" s="2058"/>
      <c r="C837" s="2058"/>
      <c r="D837" s="2058"/>
      <c r="E837" s="2058"/>
      <c r="F837" s="2058"/>
      <c r="G837" s="2059"/>
      <c r="H837" s="2058"/>
      <c r="I837" s="2058"/>
      <c r="J837" s="2058"/>
      <c r="K837" s="2058"/>
      <c r="L837" s="2058"/>
      <c r="M837" s="2058"/>
      <c r="N837" s="2058"/>
      <c r="O837" s="2058"/>
      <c r="P837" s="2058"/>
      <c r="Q837" s="2058"/>
      <c r="R837" s="2058"/>
      <c r="S837" s="2058"/>
      <c r="T837" s="2058"/>
      <c r="U837" s="2058"/>
      <c r="V837" s="2058"/>
      <c r="W837" s="2058"/>
      <c r="X837" s="2058"/>
      <c r="Y837" s="2058"/>
      <c r="Z837" s="2058"/>
    </row>
    <row r="838" spans="1:26" ht="12" x14ac:dyDescent="0.2">
      <c r="A838" s="2058"/>
      <c r="B838" s="2058"/>
      <c r="C838" s="2058"/>
      <c r="D838" s="2058"/>
      <c r="E838" s="2058"/>
      <c r="F838" s="2058"/>
      <c r="G838" s="2059"/>
      <c r="H838" s="2058"/>
      <c r="I838" s="2058"/>
      <c r="J838" s="2058"/>
      <c r="K838" s="2058"/>
      <c r="L838" s="2058"/>
      <c r="M838" s="2058"/>
      <c r="N838" s="2058"/>
      <c r="O838" s="2058"/>
      <c r="P838" s="2058"/>
      <c r="Q838" s="2058"/>
      <c r="R838" s="2058"/>
      <c r="S838" s="2058"/>
      <c r="T838" s="2058"/>
      <c r="U838" s="2058"/>
      <c r="V838" s="2058"/>
      <c r="W838" s="2058"/>
      <c r="X838" s="2058"/>
      <c r="Y838" s="2058"/>
      <c r="Z838" s="2058"/>
    </row>
    <row r="839" spans="1:26" ht="12" x14ac:dyDescent="0.2">
      <c r="A839" s="2058"/>
      <c r="B839" s="2058"/>
      <c r="C839" s="2058"/>
      <c r="D839" s="2058"/>
      <c r="E839" s="2058"/>
      <c r="F839" s="2058"/>
      <c r="G839" s="2059"/>
      <c r="H839" s="2058"/>
      <c r="I839" s="2058"/>
      <c r="J839" s="2058"/>
      <c r="K839" s="2058"/>
      <c r="L839" s="2058"/>
      <c r="M839" s="2058"/>
      <c r="N839" s="2058"/>
      <c r="O839" s="2058"/>
      <c r="P839" s="2058"/>
      <c r="Q839" s="2058"/>
      <c r="R839" s="2058"/>
      <c r="S839" s="2058"/>
      <c r="T839" s="2058"/>
      <c r="U839" s="2058"/>
      <c r="V839" s="2058"/>
      <c r="W839" s="2058"/>
      <c r="X839" s="2058"/>
      <c r="Y839" s="2058"/>
      <c r="Z839" s="2058"/>
    </row>
    <row r="840" spans="1:26" ht="12" x14ac:dyDescent="0.2">
      <c r="A840" s="2058"/>
      <c r="B840" s="2058"/>
      <c r="C840" s="2058"/>
      <c r="D840" s="2058"/>
      <c r="E840" s="2058"/>
      <c r="F840" s="2058"/>
      <c r="G840" s="2059"/>
      <c r="H840" s="2058"/>
      <c r="I840" s="2058"/>
      <c r="J840" s="2058"/>
      <c r="K840" s="2058"/>
      <c r="L840" s="2058"/>
      <c r="M840" s="2058"/>
      <c r="N840" s="2058"/>
      <c r="O840" s="2058"/>
      <c r="P840" s="2058"/>
      <c r="Q840" s="2058"/>
      <c r="R840" s="2058"/>
      <c r="S840" s="2058"/>
      <c r="T840" s="2058"/>
      <c r="U840" s="2058"/>
      <c r="V840" s="2058"/>
      <c r="W840" s="2058"/>
      <c r="X840" s="2058"/>
      <c r="Y840" s="2058"/>
      <c r="Z840" s="2058"/>
    </row>
    <row r="841" spans="1:26" ht="12" x14ac:dyDescent="0.2">
      <c r="A841" s="2058"/>
      <c r="B841" s="2058"/>
      <c r="C841" s="2058"/>
      <c r="D841" s="2058"/>
      <c r="E841" s="2058"/>
      <c r="F841" s="2058"/>
      <c r="G841" s="2059"/>
      <c r="H841" s="2058"/>
      <c r="I841" s="2058"/>
      <c r="J841" s="2058"/>
      <c r="K841" s="2058"/>
      <c r="L841" s="2058"/>
      <c r="M841" s="2058"/>
      <c r="N841" s="2058"/>
      <c r="O841" s="2058"/>
      <c r="P841" s="2058"/>
      <c r="Q841" s="2058"/>
      <c r="R841" s="2058"/>
      <c r="S841" s="2058"/>
      <c r="T841" s="2058"/>
      <c r="U841" s="2058"/>
      <c r="V841" s="2058"/>
      <c r="W841" s="2058"/>
      <c r="X841" s="2058"/>
      <c r="Y841" s="2058"/>
      <c r="Z841" s="2058"/>
    </row>
    <row r="842" spans="1:26" ht="12" x14ac:dyDescent="0.2">
      <c r="A842" s="2058"/>
      <c r="B842" s="2058"/>
      <c r="C842" s="2058"/>
      <c r="D842" s="2058"/>
      <c r="E842" s="2058"/>
      <c r="F842" s="2058"/>
      <c r="G842" s="2059"/>
      <c r="H842" s="2058"/>
      <c r="I842" s="2058"/>
      <c r="J842" s="2058"/>
      <c r="K842" s="2058"/>
      <c r="L842" s="2058"/>
      <c r="M842" s="2058"/>
      <c r="N842" s="2058"/>
      <c r="O842" s="2058"/>
      <c r="P842" s="2058"/>
      <c r="Q842" s="2058"/>
      <c r="R842" s="2058"/>
      <c r="S842" s="2058"/>
      <c r="T842" s="2058"/>
      <c r="U842" s="2058"/>
      <c r="V842" s="2058"/>
      <c r="W842" s="2058"/>
      <c r="X842" s="2058"/>
      <c r="Y842" s="2058"/>
      <c r="Z842" s="2058"/>
    </row>
    <row r="843" spans="1:26" ht="12" x14ac:dyDescent="0.2">
      <c r="A843" s="2058"/>
      <c r="B843" s="2058"/>
      <c r="C843" s="2058"/>
      <c r="D843" s="2058"/>
      <c r="E843" s="2058"/>
      <c r="F843" s="2058"/>
      <c r="G843" s="2059"/>
      <c r="H843" s="2058"/>
      <c r="I843" s="2058"/>
      <c r="J843" s="2058"/>
      <c r="K843" s="2058"/>
      <c r="L843" s="2058"/>
      <c r="M843" s="2058"/>
      <c r="N843" s="2058"/>
      <c r="O843" s="2058"/>
      <c r="P843" s="2058"/>
      <c r="Q843" s="2058"/>
      <c r="R843" s="2058"/>
      <c r="S843" s="2058"/>
      <c r="T843" s="2058"/>
      <c r="U843" s="2058"/>
      <c r="V843" s="2058"/>
      <c r="W843" s="2058"/>
      <c r="X843" s="2058"/>
      <c r="Y843" s="2058"/>
      <c r="Z843" s="2058"/>
    </row>
    <row r="844" spans="1:26" ht="12" x14ac:dyDescent="0.2">
      <c r="A844" s="2058"/>
      <c r="B844" s="2058"/>
      <c r="C844" s="2058"/>
      <c r="D844" s="2058"/>
      <c r="E844" s="2058"/>
      <c r="F844" s="2058"/>
      <c r="G844" s="2059"/>
      <c r="H844" s="2058"/>
      <c r="I844" s="2058"/>
      <c r="J844" s="2058"/>
      <c r="K844" s="2058"/>
      <c r="L844" s="2058"/>
      <c r="M844" s="2058"/>
      <c r="N844" s="2058"/>
      <c r="O844" s="2058"/>
      <c r="P844" s="2058"/>
      <c r="Q844" s="2058"/>
      <c r="R844" s="2058"/>
      <c r="S844" s="2058"/>
      <c r="T844" s="2058"/>
      <c r="U844" s="2058"/>
      <c r="V844" s="2058"/>
      <c r="W844" s="2058"/>
      <c r="X844" s="2058"/>
      <c r="Y844" s="2058"/>
      <c r="Z844" s="2058"/>
    </row>
    <row r="845" spans="1:26" ht="12" x14ac:dyDescent="0.2">
      <c r="A845" s="2058"/>
      <c r="B845" s="2058"/>
      <c r="C845" s="2058"/>
      <c r="D845" s="2058"/>
      <c r="E845" s="2058"/>
      <c r="F845" s="2058"/>
      <c r="G845" s="2059"/>
      <c r="H845" s="2058"/>
      <c r="I845" s="2058"/>
      <c r="J845" s="2058"/>
      <c r="K845" s="2058"/>
      <c r="L845" s="2058"/>
      <c r="M845" s="2058"/>
      <c r="N845" s="2058"/>
      <c r="O845" s="2058"/>
      <c r="P845" s="2058"/>
      <c r="Q845" s="2058"/>
      <c r="R845" s="2058"/>
      <c r="S845" s="2058"/>
      <c r="T845" s="2058"/>
      <c r="U845" s="2058"/>
      <c r="V845" s="2058"/>
      <c r="W845" s="2058"/>
      <c r="X845" s="2058"/>
      <c r="Y845" s="2058"/>
      <c r="Z845" s="2058"/>
    </row>
    <row r="846" spans="1:26" ht="12" x14ac:dyDescent="0.2">
      <c r="A846" s="2058"/>
      <c r="B846" s="2058"/>
      <c r="C846" s="2058"/>
      <c r="D846" s="2058"/>
      <c r="E846" s="2058"/>
      <c r="F846" s="2058"/>
      <c r="G846" s="2059"/>
      <c r="H846" s="2058"/>
      <c r="I846" s="2058"/>
      <c r="J846" s="2058"/>
      <c r="K846" s="2058"/>
      <c r="L846" s="2058"/>
      <c r="M846" s="2058"/>
      <c r="N846" s="2058"/>
      <c r="O846" s="2058"/>
      <c r="P846" s="2058"/>
      <c r="Q846" s="2058"/>
      <c r="R846" s="2058"/>
      <c r="S846" s="2058"/>
      <c r="T846" s="2058"/>
      <c r="U846" s="2058"/>
      <c r="V846" s="2058"/>
      <c r="W846" s="2058"/>
      <c r="X846" s="2058"/>
      <c r="Y846" s="2058"/>
      <c r="Z846" s="2058"/>
    </row>
    <row r="847" spans="1:26" ht="12" x14ac:dyDescent="0.2">
      <c r="A847" s="2058"/>
      <c r="B847" s="2058"/>
      <c r="C847" s="2058"/>
      <c r="D847" s="2058"/>
      <c r="E847" s="2058"/>
      <c r="F847" s="2058"/>
      <c r="G847" s="2059"/>
      <c r="H847" s="2058"/>
      <c r="I847" s="2058"/>
      <c r="J847" s="2058"/>
      <c r="K847" s="2058"/>
      <c r="L847" s="2058"/>
      <c r="M847" s="2058"/>
      <c r="N847" s="2058"/>
      <c r="O847" s="2058"/>
      <c r="P847" s="2058"/>
      <c r="Q847" s="2058"/>
      <c r="R847" s="2058"/>
      <c r="S847" s="2058"/>
      <c r="T847" s="2058"/>
      <c r="U847" s="2058"/>
      <c r="V847" s="2058"/>
      <c r="W847" s="2058"/>
      <c r="X847" s="2058"/>
      <c r="Y847" s="2058"/>
      <c r="Z847" s="2058"/>
    </row>
    <row r="848" spans="1:26" ht="12" x14ac:dyDescent="0.2">
      <c r="A848" s="2058"/>
      <c r="B848" s="2058"/>
      <c r="C848" s="2058"/>
      <c r="D848" s="2058"/>
      <c r="E848" s="2058"/>
      <c r="F848" s="2058"/>
      <c r="G848" s="2059"/>
      <c r="H848" s="2058"/>
      <c r="I848" s="2058"/>
      <c r="J848" s="2058"/>
      <c r="K848" s="2058"/>
      <c r="L848" s="2058"/>
      <c r="M848" s="2058"/>
      <c r="N848" s="2058"/>
      <c r="O848" s="2058"/>
      <c r="P848" s="2058"/>
      <c r="Q848" s="2058"/>
      <c r="R848" s="2058"/>
      <c r="S848" s="2058"/>
      <c r="T848" s="2058"/>
      <c r="U848" s="2058"/>
      <c r="V848" s="2058"/>
      <c r="W848" s="2058"/>
      <c r="X848" s="2058"/>
      <c r="Y848" s="2058"/>
      <c r="Z848" s="2058"/>
    </row>
    <row r="849" spans="1:26" ht="12" x14ac:dyDescent="0.2">
      <c r="A849" s="2058"/>
      <c r="B849" s="2058"/>
      <c r="C849" s="2058"/>
      <c r="D849" s="2058"/>
      <c r="E849" s="2058"/>
      <c r="F849" s="2058"/>
      <c r="G849" s="2059"/>
      <c r="H849" s="2058"/>
      <c r="I849" s="2058"/>
      <c r="J849" s="2058"/>
      <c r="K849" s="2058"/>
      <c r="L849" s="2058"/>
      <c r="M849" s="2058"/>
      <c r="N849" s="2058"/>
      <c r="O849" s="2058"/>
      <c r="P849" s="2058"/>
      <c r="Q849" s="2058"/>
      <c r="R849" s="2058"/>
      <c r="S849" s="2058"/>
      <c r="T849" s="2058"/>
      <c r="U849" s="2058"/>
      <c r="V849" s="2058"/>
      <c r="W849" s="2058"/>
      <c r="X849" s="2058"/>
      <c r="Y849" s="2058"/>
      <c r="Z849" s="2058"/>
    </row>
    <row r="850" spans="1:26" ht="12" x14ac:dyDescent="0.2">
      <c r="A850" s="2058"/>
      <c r="B850" s="2058"/>
      <c r="C850" s="2058"/>
      <c r="D850" s="2058"/>
      <c r="E850" s="2058"/>
      <c r="F850" s="2058"/>
      <c r="G850" s="2059"/>
      <c r="H850" s="2058"/>
      <c r="I850" s="2058"/>
      <c r="J850" s="2058"/>
      <c r="K850" s="2058"/>
      <c r="L850" s="2058"/>
      <c r="M850" s="2058"/>
      <c r="N850" s="2058"/>
      <c r="O850" s="2058"/>
      <c r="P850" s="2058"/>
      <c r="Q850" s="2058"/>
      <c r="R850" s="2058"/>
      <c r="S850" s="2058"/>
      <c r="T850" s="2058"/>
      <c r="U850" s="2058"/>
      <c r="V850" s="2058"/>
      <c r="W850" s="2058"/>
      <c r="X850" s="2058"/>
      <c r="Y850" s="2058"/>
      <c r="Z850" s="2058"/>
    </row>
    <row r="851" spans="1:26" ht="12" x14ac:dyDescent="0.2">
      <c r="A851" s="2058"/>
      <c r="B851" s="2058"/>
      <c r="C851" s="2058"/>
      <c r="D851" s="2058"/>
      <c r="E851" s="2058"/>
      <c r="F851" s="2058"/>
      <c r="G851" s="2059"/>
      <c r="H851" s="2058"/>
      <c r="I851" s="2058"/>
      <c r="J851" s="2058"/>
      <c r="K851" s="2058"/>
      <c r="L851" s="2058"/>
      <c r="M851" s="2058"/>
      <c r="N851" s="2058"/>
      <c r="O851" s="2058"/>
      <c r="P851" s="2058"/>
      <c r="Q851" s="2058"/>
      <c r="R851" s="2058"/>
      <c r="S851" s="2058"/>
      <c r="T851" s="2058"/>
      <c r="U851" s="2058"/>
      <c r="V851" s="2058"/>
      <c r="W851" s="2058"/>
      <c r="X851" s="2058"/>
      <c r="Y851" s="2058"/>
      <c r="Z851" s="2058"/>
    </row>
    <row r="852" spans="1:26" ht="12" x14ac:dyDescent="0.2">
      <c r="A852" s="2058"/>
      <c r="B852" s="2058"/>
      <c r="C852" s="2058"/>
      <c r="D852" s="2058"/>
      <c r="E852" s="2058"/>
      <c r="F852" s="2058"/>
      <c r="G852" s="2059"/>
      <c r="H852" s="2058"/>
      <c r="I852" s="2058"/>
      <c r="J852" s="2058"/>
      <c r="K852" s="2058"/>
      <c r="L852" s="2058"/>
      <c r="M852" s="2058"/>
      <c r="N852" s="2058"/>
      <c r="O852" s="2058"/>
      <c r="P852" s="2058"/>
      <c r="Q852" s="2058"/>
      <c r="R852" s="2058"/>
      <c r="S852" s="2058"/>
      <c r="T852" s="2058"/>
      <c r="U852" s="2058"/>
      <c r="V852" s="2058"/>
      <c r="W852" s="2058"/>
      <c r="X852" s="2058"/>
      <c r="Y852" s="2058"/>
      <c r="Z852" s="2058"/>
    </row>
    <row r="853" spans="1:26" ht="12" x14ac:dyDescent="0.2">
      <c r="A853" s="2058"/>
      <c r="B853" s="2058"/>
      <c r="C853" s="2058"/>
      <c r="D853" s="2058"/>
      <c r="E853" s="2058"/>
      <c r="F853" s="2058"/>
      <c r="G853" s="2059"/>
      <c r="H853" s="2058"/>
      <c r="I853" s="2058"/>
      <c r="J853" s="2058"/>
      <c r="K853" s="2058"/>
      <c r="L853" s="2058"/>
      <c r="M853" s="2058"/>
      <c r="N853" s="2058"/>
      <c r="O853" s="2058"/>
      <c r="P853" s="2058"/>
      <c r="Q853" s="2058"/>
      <c r="R853" s="2058"/>
      <c r="S853" s="2058"/>
      <c r="T853" s="2058"/>
      <c r="U853" s="2058"/>
      <c r="V853" s="2058"/>
      <c r="W853" s="2058"/>
      <c r="X853" s="2058"/>
      <c r="Y853" s="2058"/>
      <c r="Z853" s="2058"/>
    </row>
    <row r="854" spans="1:26" ht="12" x14ac:dyDescent="0.2">
      <c r="A854" s="2058"/>
      <c r="B854" s="2058"/>
      <c r="C854" s="2058"/>
      <c r="D854" s="2058"/>
      <c r="E854" s="2058"/>
      <c r="F854" s="2058"/>
      <c r="G854" s="2059"/>
      <c r="H854" s="2058"/>
      <c r="I854" s="2058"/>
      <c r="J854" s="2058"/>
      <c r="K854" s="2058"/>
      <c r="L854" s="2058"/>
      <c r="M854" s="2058"/>
      <c r="N854" s="2058"/>
      <c r="O854" s="2058"/>
      <c r="P854" s="2058"/>
      <c r="Q854" s="2058"/>
      <c r="R854" s="2058"/>
      <c r="S854" s="2058"/>
      <c r="T854" s="2058"/>
      <c r="U854" s="2058"/>
      <c r="V854" s="2058"/>
      <c r="W854" s="2058"/>
      <c r="X854" s="2058"/>
      <c r="Y854" s="2058"/>
      <c r="Z854" s="2058"/>
    </row>
    <row r="855" spans="1:26" ht="12" x14ac:dyDescent="0.2">
      <c r="A855" s="2058"/>
      <c r="B855" s="2058"/>
      <c r="C855" s="2058"/>
      <c r="D855" s="2058"/>
      <c r="E855" s="2058"/>
      <c r="F855" s="2058"/>
      <c r="G855" s="2059"/>
      <c r="H855" s="2058"/>
      <c r="I855" s="2058"/>
      <c r="J855" s="2058"/>
      <c r="K855" s="2058"/>
      <c r="L855" s="2058"/>
      <c r="M855" s="2058"/>
      <c r="N855" s="2058"/>
      <c r="O855" s="2058"/>
      <c r="P855" s="2058"/>
      <c r="Q855" s="2058"/>
      <c r="R855" s="2058"/>
      <c r="S855" s="2058"/>
      <c r="T855" s="2058"/>
      <c r="U855" s="2058"/>
      <c r="V855" s="2058"/>
      <c r="W855" s="2058"/>
      <c r="X855" s="2058"/>
      <c r="Y855" s="2058"/>
      <c r="Z855" s="2058"/>
    </row>
    <row r="856" spans="1:26" ht="12" x14ac:dyDescent="0.2">
      <c r="A856" s="2058"/>
      <c r="B856" s="2058"/>
      <c r="C856" s="2058"/>
      <c r="D856" s="2058"/>
      <c r="E856" s="2058"/>
      <c r="F856" s="2058"/>
      <c r="G856" s="2059"/>
      <c r="H856" s="2058"/>
      <c r="I856" s="2058"/>
      <c r="J856" s="2058"/>
      <c r="K856" s="2058"/>
      <c r="L856" s="2058"/>
      <c r="M856" s="2058"/>
      <c r="N856" s="2058"/>
      <c r="O856" s="2058"/>
      <c r="P856" s="2058"/>
      <c r="Q856" s="2058"/>
      <c r="R856" s="2058"/>
      <c r="S856" s="2058"/>
      <c r="T856" s="2058"/>
      <c r="U856" s="2058"/>
      <c r="V856" s="2058"/>
      <c r="W856" s="2058"/>
      <c r="X856" s="2058"/>
      <c r="Y856" s="2058"/>
      <c r="Z856" s="2058"/>
    </row>
    <row r="857" spans="1:26" ht="12" x14ac:dyDescent="0.2">
      <c r="A857" s="2058"/>
      <c r="B857" s="2058"/>
      <c r="C857" s="2058"/>
      <c r="D857" s="2058"/>
      <c r="E857" s="2058"/>
      <c r="F857" s="2058"/>
      <c r="G857" s="2059"/>
      <c r="H857" s="2058"/>
      <c r="I857" s="2058"/>
      <c r="J857" s="2058"/>
      <c r="K857" s="2058"/>
      <c r="L857" s="2058"/>
      <c r="M857" s="2058"/>
      <c r="N857" s="2058"/>
      <c r="O857" s="2058"/>
      <c r="P857" s="2058"/>
      <c r="Q857" s="2058"/>
      <c r="R857" s="2058"/>
      <c r="S857" s="2058"/>
      <c r="T857" s="2058"/>
      <c r="U857" s="2058"/>
      <c r="V857" s="2058"/>
      <c r="W857" s="2058"/>
      <c r="X857" s="2058"/>
      <c r="Y857" s="2058"/>
      <c r="Z857" s="2058"/>
    </row>
    <row r="858" spans="1:26" ht="12" x14ac:dyDescent="0.2">
      <c r="A858" s="2058"/>
      <c r="B858" s="2058"/>
      <c r="C858" s="2058"/>
      <c r="D858" s="2058"/>
      <c r="E858" s="2058"/>
      <c r="F858" s="2058"/>
      <c r="G858" s="2059"/>
      <c r="H858" s="2058"/>
      <c r="I858" s="2058"/>
      <c r="J858" s="2058"/>
      <c r="K858" s="2058"/>
      <c r="L858" s="2058"/>
      <c r="M858" s="2058"/>
      <c r="N858" s="2058"/>
      <c r="O858" s="2058"/>
      <c r="P858" s="2058"/>
      <c r="Q858" s="2058"/>
      <c r="R858" s="2058"/>
      <c r="S858" s="2058"/>
      <c r="T858" s="2058"/>
      <c r="U858" s="2058"/>
      <c r="V858" s="2058"/>
      <c r="W858" s="2058"/>
      <c r="X858" s="2058"/>
      <c r="Y858" s="2058"/>
      <c r="Z858" s="2058"/>
    </row>
    <row r="859" spans="1:26" ht="12" x14ac:dyDescent="0.2">
      <c r="A859" s="2058"/>
      <c r="B859" s="2058"/>
      <c r="C859" s="2058"/>
      <c r="D859" s="2058"/>
      <c r="E859" s="2058"/>
      <c r="F859" s="2058"/>
      <c r="G859" s="2059"/>
      <c r="H859" s="2058"/>
      <c r="I859" s="2058"/>
      <c r="J859" s="2058"/>
      <c r="K859" s="2058"/>
      <c r="L859" s="2058"/>
      <c r="M859" s="2058"/>
      <c r="N859" s="2058"/>
      <c r="O859" s="2058"/>
      <c r="P859" s="2058"/>
      <c r="Q859" s="2058"/>
      <c r="R859" s="2058"/>
      <c r="S859" s="2058"/>
      <c r="T859" s="2058"/>
      <c r="U859" s="2058"/>
      <c r="V859" s="2058"/>
      <c r="W859" s="2058"/>
      <c r="X859" s="2058"/>
      <c r="Y859" s="2058"/>
      <c r="Z859" s="2058"/>
    </row>
    <row r="860" spans="1:26" ht="12" x14ac:dyDescent="0.2">
      <c r="A860" s="2058"/>
      <c r="B860" s="2058"/>
      <c r="C860" s="2058"/>
      <c r="D860" s="2058"/>
      <c r="E860" s="2058"/>
      <c r="F860" s="2058"/>
      <c r="G860" s="2059"/>
      <c r="H860" s="2058"/>
      <c r="I860" s="2058"/>
      <c r="J860" s="2058"/>
      <c r="K860" s="2058"/>
      <c r="L860" s="2058"/>
      <c r="M860" s="2058"/>
      <c r="N860" s="2058"/>
      <c r="O860" s="2058"/>
      <c r="P860" s="2058"/>
      <c r="Q860" s="2058"/>
      <c r="R860" s="2058"/>
      <c r="S860" s="2058"/>
      <c r="T860" s="2058"/>
      <c r="U860" s="2058"/>
      <c r="V860" s="2058"/>
      <c r="W860" s="2058"/>
      <c r="X860" s="2058"/>
      <c r="Y860" s="2058"/>
      <c r="Z860" s="2058"/>
    </row>
    <row r="861" spans="1:26" ht="12" x14ac:dyDescent="0.2">
      <c r="A861" s="2058"/>
      <c r="B861" s="2058"/>
      <c r="C861" s="2058"/>
      <c r="D861" s="2058"/>
      <c r="E861" s="2058"/>
      <c r="F861" s="2058"/>
      <c r="G861" s="2059"/>
      <c r="H861" s="2058"/>
      <c r="I861" s="2058"/>
      <c r="J861" s="2058"/>
      <c r="K861" s="2058"/>
      <c r="L861" s="2058"/>
      <c r="M861" s="2058"/>
      <c r="N861" s="2058"/>
      <c r="O861" s="2058"/>
      <c r="P861" s="2058"/>
      <c r="Q861" s="2058"/>
      <c r="R861" s="2058"/>
      <c r="S861" s="2058"/>
      <c r="T861" s="2058"/>
      <c r="U861" s="2058"/>
      <c r="V861" s="2058"/>
      <c r="W861" s="2058"/>
      <c r="X861" s="2058"/>
      <c r="Y861" s="2058"/>
      <c r="Z861" s="2058"/>
    </row>
    <row r="862" spans="1:26" ht="12" x14ac:dyDescent="0.2">
      <c r="A862" s="2058"/>
      <c r="B862" s="2058"/>
      <c r="C862" s="2058"/>
      <c r="D862" s="2058"/>
      <c r="E862" s="2058"/>
      <c r="F862" s="2058"/>
      <c r="G862" s="2059"/>
      <c r="H862" s="2058"/>
      <c r="I862" s="2058"/>
      <c r="J862" s="2058"/>
      <c r="K862" s="2058"/>
      <c r="L862" s="2058"/>
      <c r="M862" s="2058"/>
      <c r="N862" s="2058"/>
      <c r="O862" s="2058"/>
      <c r="P862" s="2058"/>
      <c r="Q862" s="2058"/>
      <c r="R862" s="2058"/>
      <c r="S862" s="2058"/>
      <c r="T862" s="2058"/>
      <c r="U862" s="2058"/>
      <c r="V862" s="2058"/>
      <c r="W862" s="2058"/>
      <c r="X862" s="2058"/>
      <c r="Y862" s="2058"/>
      <c r="Z862" s="2058"/>
    </row>
    <row r="863" spans="1:26" ht="12" x14ac:dyDescent="0.2">
      <c r="A863" s="2058"/>
      <c r="B863" s="2058"/>
      <c r="C863" s="2058"/>
      <c r="D863" s="2058"/>
      <c r="E863" s="2058"/>
      <c r="F863" s="2058"/>
      <c r="G863" s="2059"/>
      <c r="H863" s="2058"/>
      <c r="I863" s="2058"/>
      <c r="J863" s="2058"/>
      <c r="K863" s="2058"/>
      <c r="L863" s="2058"/>
      <c r="M863" s="2058"/>
      <c r="N863" s="2058"/>
      <c r="O863" s="2058"/>
      <c r="P863" s="2058"/>
      <c r="Q863" s="2058"/>
      <c r="R863" s="2058"/>
      <c r="S863" s="2058"/>
      <c r="T863" s="2058"/>
      <c r="U863" s="2058"/>
      <c r="V863" s="2058"/>
      <c r="W863" s="2058"/>
      <c r="X863" s="2058"/>
      <c r="Y863" s="2058"/>
      <c r="Z863" s="2058"/>
    </row>
    <row r="864" spans="1:26" ht="12" x14ac:dyDescent="0.2">
      <c r="A864" s="2058"/>
      <c r="B864" s="2058"/>
      <c r="C864" s="2058"/>
      <c r="D864" s="2058"/>
      <c r="E864" s="2058"/>
      <c r="F864" s="2058"/>
      <c r="G864" s="2059"/>
      <c r="H864" s="2058"/>
      <c r="I864" s="2058"/>
      <c r="J864" s="2058"/>
      <c r="K864" s="2058"/>
      <c r="L864" s="2058"/>
      <c r="M864" s="2058"/>
      <c r="N864" s="2058"/>
      <c r="O864" s="2058"/>
      <c r="P864" s="2058"/>
      <c r="Q864" s="2058"/>
      <c r="R864" s="2058"/>
      <c r="S864" s="2058"/>
      <c r="T864" s="2058"/>
      <c r="U864" s="2058"/>
      <c r="V864" s="2058"/>
      <c r="W864" s="2058"/>
      <c r="X864" s="2058"/>
      <c r="Y864" s="2058"/>
      <c r="Z864" s="2058"/>
    </row>
    <row r="865" spans="1:26" ht="12" x14ac:dyDescent="0.2">
      <c r="A865" s="2058"/>
      <c r="B865" s="2058"/>
      <c r="C865" s="2058"/>
      <c r="D865" s="2058"/>
      <c r="E865" s="2058"/>
      <c r="F865" s="2058"/>
      <c r="G865" s="2059"/>
      <c r="H865" s="2058"/>
      <c r="I865" s="2058"/>
      <c r="J865" s="2058"/>
      <c r="K865" s="2058"/>
      <c r="L865" s="2058"/>
      <c r="M865" s="2058"/>
      <c r="N865" s="2058"/>
      <c r="O865" s="2058"/>
      <c r="P865" s="2058"/>
      <c r="Q865" s="2058"/>
      <c r="R865" s="2058"/>
      <c r="S865" s="2058"/>
      <c r="T865" s="2058"/>
      <c r="U865" s="2058"/>
      <c r="V865" s="2058"/>
      <c r="W865" s="2058"/>
      <c r="X865" s="2058"/>
      <c r="Y865" s="2058"/>
      <c r="Z865" s="2058"/>
    </row>
    <row r="866" spans="1:26" ht="12" x14ac:dyDescent="0.2">
      <c r="A866" s="2058"/>
      <c r="B866" s="2058"/>
      <c r="C866" s="2058"/>
      <c r="D866" s="2058"/>
      <c r="E866" s="2058"/>
      <c r="F866" s="2058"/>
      <c r="G866" s="2059"/>
      <c r="H866" s="2058"/>
      <c r="I866" s="2058"/>
      <c r="J866" s="2058"/>
      <c r="K866" s="2058"/>
      <c r="L866" s="2058"/>
      <c r="M866" s="2058"/>
      <c r="N866" s="2058"/>
      <c r="O866" s="2058"/>
      <c r="P866" s="2058"/>
      <c r="Q866" s="2058"/>
      <c r="R866" s="2058"/>
      <c r="S866" s="2058"/>
      <c r="T866" s="2058"/>
      <c r="U866" s="2058"/>
      <c r="V866" s="2058"/>
      <c r="W866" s="2058"/>
      <c r="X866" s="2058"/>
      <c r="Y866" s="2058"/>
      <c r="Z866" s="2058"/>
    </row>
    <row r="867" spans="1:26" ht="12" x14ac:dyDescent="0.2">
      <c r="A867" s="2058"/>
      <c r="B867" s="2058"/>
      <c r="C867" s="2058"/>
      <c r="D867" s="2058"/>
      <c r="E867" s="2058"/>
      <c r="F867" s="2058"/>
      <c r="G867" s="2059"/>
      <c r="H867" s="2058"/>
      <c r="I867" s="2058"/>
      <c r="J867" s="2058"/>
      <c r="K867" s="2058"/>
      <c r="L867" s="2058"/>
      <c r="M867" s="2058"/>
      <c r="N867" s="2058"/>
      <c r="O867" s="2058"/>
      <c r="P867" s="2058"/>
      <c r="Q867" s="2058"/>
      <c r="R867" s="2058"/>
      <c r="S867" s="2058"/>
      <c r="T867" s="2058"/>
      <c r="U867" s="2058"/>
      <c r="V867" s="2058"/>
      <c r="W867" s="2058"/>
      <c r="X867" s="2058"/>
      <c r="Y867" s="2058"/>
      <c r="Z867" s="2058"/>
    </row>
    <row r="868" spans="1:26" ht="12" x14ac:dyDescent="0.2">
      <c r="A868" s="2058"/>
      <c r="B868" s="2058"/>
      <c r="C868" s="2058"/>
      <c r="D868" s="2058"/>
      <c r="E868" s="2058"/>
      <c r="F868" s="2058"/>
      <c r="G868" s="2059"/>
      <c r="H868" s="2058"/>
      <c r="I868" s="2058"/>
      <c r="J868" s="2058"/>
      <c r="K868" s="2058"/>
      <c r="L868" s="2058"/>
      <c r="M868" s="2058"/>
      <c r="N868" s="2058"/>
      <c r="O868" s="2058"/>
      <c r="P868" s="2058"/>
      <c r="Q868" s="2058"/>
      <c r="R868" s="2058"/>
      <c r="S868" s="2058"/>
      <c r="T868" s="2058"/>
      <c r="U868" s="2058"/>
      <c r="V868" s="2058"/>
      <c r="W868" s="2058"/>
      <c r="X868" s="2058"/>
      <c r="Y868" s="2058"/>
      <c r="Z868" s="2058"/>
    </row>
    <row r="869" spans="1:26" ht="12" x14ac:dyDescent="0.2">
      <c r="A869" s="2058"/>
      <c r="B869" s="2058"/>
      <c r="C869" s="2058"/>
      <c r="D869" s="2058"/>
      <c r="E869" s="2058"/>
      <c r="F869" s="2058"/>
      <c r="G869" s="2059"/>
      <c r="H869" s="2058"/>
      <c r="I869" s="2058"/>
      <c r="J869" s="2058"/>
      <c r="K869" s="2058"/>
      <c r="L869" s="2058"/>
      <c r="M869" s="2058"/>
      <c r="N869" s="2058"/>
      <c r="O869" s="2058"/>
      <c r="P869" s="2058"/>
      <c r="Q869" s="2058"/>
      <c r="R869" s="2058"/>
      <c r="S869" s="2058"/>
      <c r="T869" s="2058"/>
      <c r="U869" s="2058"/>
      <c r="V869" s="2058"/>
      <c r="W869" s="2058"/>
      <c r="X869" s="2058"/>
      <c r="Y869" s="2058"/>
      <c r="Z869" s="2058"/>
    </row>
    <row r="870" spans="1:26" ht="12" x14ac:dyDescent="0.2">
      <c r="A870" s="2058"/>
      <c r="B870" s="2058"/>
      <c r="C870" s="2058"/>
      <c r="D870" s="2058"/>
      <c r="E870" s="2058"/>
      <c r="F870" s="2058"/>
      <c r="G870" s="2059"/>
      <c r="H870" s="2058"/>
      <c r="I870" s="2058"/>
      <c r="J870" s="2058"/>
      <c r="K870" s="2058"/>
      <c r="L870" s="2058"/>
      <c r="M870" s="2058"/>
      <c r="N870" s="2058"/>
      <c r="O870" s="2058"/>
      <c r="P870" s="2058"/>
      <c r="Q870" s="2058"/>
      <c r="R870" s="2058"/>
      <c r="S870" s="2058"/>
      <c r="T870" s="2058"/>
      <c r="U870" s="2058"/>
      <c r="V870" s="2058"/>
      <c r="W870" s="2058"/>
      <c r="X870" s="2058"/>
      <c r="Y870" s="2058"/>
      <c r="Z870" s="2058"/>
    </row>
    <row r="871" spans="1:26" ht="12" x14ac:dyDescent="0.2">
      <c r="A871" s="2058"/>
      <c r="B871" s="2058"/>
      <c r="C871" s="2058"/>
      <c r="D871" s="2058"/>
      <c r="E871" s="2058"/>
      <c r="F871" s="2058"/>
      <c r="G871" s="2059"/>
      <c r="H871" s="2058"/>
      <c r="I871" s="2058"/>
      <c r="J871" s="2058"/>
      <c r="K871" s="2058"/>
      <c r="L871" s="2058"/>
      <c r="M871" s="2058"/>
      <c r="N871" s="2058"/>
      <c r="O871" s="2058"/>
      <c r="P871" s="2058"/>
      <c r="Q871" s="2058"/>
      <c r="R871" s="2058"/>
      <c r="S871" s="2058"/>
      <c r="T871" s="2058"/>
      <c r="U871" s="2058"/>
      <c r="V871" s="2058"/>
      <c r="W871" s="2058"/>
      <c r="X871" s="2058"/>
      <c r="Y871" s="2058"/>
      <c r="Z871" s="2058"/>
    </row>
    <row r="872" spans="1:26" ht="12" x14ac:dyDescent="0.2">
      <c r="A872" s="2058"/>
      <c r="B872" s="2058"/>
      <c r="C872" s="2058"/>
      <c r="D872" s="2058"/>
      <c r="E872" s="2058"/>
      <c r="F872" s="2058"/>
      <c r="G872" s="2059"/>
      <c r="H872" s="2058"/>
      <c r="I872" s="2058"/>
      <c r="J872" s="2058"/>
      <c r="K872" s="2058"/>
      <c r="L872" s="2058"/>
      <c r="M872" s="2058"/>
      <c r="N872" s="2058"/>
      <c r="O872" s="2058"/>
      <c r="P872" s="2058"/>
      <c r="Q872" s="2058"/>
      <c r="R872" s="2058"/>
      <c r="S872" s="2058"/>
      <c r="T872" s="2058"/>
      <c r="U872" s="2058"/>
      <c r="V872" s="2058"/>
      <c r="W872" s="2058"/>
      <c r="X872" s="2058"/>
      <c r="Y872" s="2058"/>
      <c r="Z872" s="2058"/>
    </row>
    <row r="873" spans="1:26" ht="12" x14ac:dyDescent="0.2">
      <c r="A873" s="2058"/>
      <c r="B873" s="2058"/>
      <c r="C873" s="2058"/>
      <c r="D873" s="2058"/>
      <c r="E873" s="2058"/>
      <c r="F873" s="2058"/>
      <c r="G873" s="2059"/>
      <c r="H873" s="2058"/>
      <c r="I873" s="2058"/>
      <c r="J873" s="2058"/>
      <c r="K873" s="2058"/>
      <c r="L873" s="2058"/>
      <c r="M873" s="2058"/>
      <c r="N873" s="2058"/>
      <c r="O873" s="2058"/>
      <c r="P873" s="2058"/>
      <c r="Q873" s="2058"/>
      <c r="R873" s="2058"/>
      <c r="S873" s="2058"/>
      <c r="T873" s="2058"/>
      <c r="U873" s="2058"/>
      <c r="V873" s="2058"/>
      <c r="W873" s="2058"/>
      <c r="X873" s="2058"/>
      <c r="Y873" s="2058"/>
      <c r="Z873" s="2058"/>
    </row>
    <row r="874" spans="1:26" ht="12" x14ac:dyDescent="0.2">
      <c r="A874" s="2058"/>
      <c r="B874" s="2058"/>
      <c r="C874" s="2058"/>
      <c r="D874" s="2058"/>
      <c r="E874" s="2058"/>
      <c r="F874" s="2058"/>
      <c r="G874" s="2059"/>
      <c r="H874" s="2058"/>
      <c r="I874" s="2058"/>
      <c r="J874" s="2058"/>
      <c r="K874" s="2058"/>
      <c r="L874" s="2058"/>
      <c r="M874" s="2058"/>
      <c r="N874" s="2058"/>
      <c r="O874" s="2058"/>
      <c r="P874" s="2058"/>
      <c r="Q874" s="2058"/>
      <c r="R874" s="2058"/>
      <c r="S874" s="2058"/>
      <c r="T874" s="2058"/>
      <c r="U874" s="2058"/>
      <c r="V874" s="2058"/>
      <c r="W874" s="2058"/>
      <c r="X874" s="2058"/>
      <c r="Y874" s="2058"/>
      <c r="Z874" s="2058"/>
    </row>
    <row r="875" spans="1:26" ht="12" x14ac:dyDescent="0.2">
      <c r="A875" s="2058"/>
      <c r="B875" s="2058"/>
      <c r="C875" s="2058"/>
      <c r="D875" s="2058"/>
      <c r="E875" s="2058"/>
      <c r="F875" s="2058"/>
      <c r="G875" s="2059"/>
      <c r="H875" s="2058"/>
      <c r="I875" s="2058"/>
      <c r="J875" s="2058"/>
      <c r="K875" s="2058"/>
      <c r="L875" s="2058"/>
      <c r="M875" s="2058"/>
      <c r="N875" s="2058"/>
      <c r="O875" s="2058"/>
      <c r="P875" s="2058"/>
      <c r="Q875" s="2058"/>
      <c r="R875" s="2058"/>
      <c r="S875" s="2058"/>
      <c r="T875" s="2058"/>
      <c r="U875" s="2058"/>
      <c r="V875" s="2058"/>
      <c r="W875" s="2058"/>
      <c r="X875" s="2058"/>
      <c r="Y875" s="2058"/>
      <c r="Z875" s="2058"/>
    </row>
    <row r="876" spans="1:26" ht="12" x14ac:dyDescent="0.2">
      <c r="A876" s="2058"/>
      <c r="B876" s="2058"/>
      <c r="C876" s="2058"/>
      <c r="D876" s="2058"/>
      <c r="E876" s="2058"/>
      <c r="F876" s="2058"/>
      <c r="G876" s="2059"/>
      <c r="H876" s="2058"/>
      <c r="I876" s="2058"/>
      <c r="J876" s="2058"/>
      <c r="K876" s="2058"/>
      <c r="L876" s="2058"/>
      <c r="M876" s="2058"/>
      <c r="N876" s="2058"/>
      <c r="O876" s="2058"/>
      <c r="P876" s="2058"/>
      <c r="Q876" s="2058"/>
      <c r="R876" s="2058"/>
      <c r="S876" s="2058"/>
      <c r="T876" s="2058"/>
      <c r="U876" s="2058"/>
      <c r="V876" s="2058"/>
      <c r="W876" s="2058"/>
      <c r="X876" s="2058"/>
      <c r="Y876" s="2058"/>
      <c r="Z876" s="2058"/>
    </row>
    <row r="877" spans="1:26" ht="12" x14ac:dyDescent="0.2">
      <c r="A877" s="2058"/>
      <c r="B877" s="2058"/>
      <c r="C877" s="2058"/>
      <c r="D877" s="2058"/>
      <c r="E877" s="2058"/>
      <c r="F877" s="2058"/>
      <c r="G877" s="2059"/>
      <c r="H877" s="2058"/>
      <c r="I877" s="2058"/>
      <c r="J877" s="2058"/>
      <c r="K877" s="2058"/>
      <c r="L877" s="2058"/>
      <c r="M877" s="2058"/>
      <c r="N877" s="2058"/>
      <c r="O877" s="2058"/>
      <c r="P877" s="2058"/>
      <c r="Q877" s="2058"/>
      <c r="R877" s="2058"/>
      <c r="S877" s="2058"/>
      <c r="T877" s="2058"/>
      <c r="U877" s="2058"/>
      <c r="V877" s="2058"/>
      <c r="W877" s="2058"/>
      <c r="X877" s="2058"/>
      <c r="Y877" s="2058"/>
      <c r="Z877" s="2058"/>
    </row>
    <row r="878" spans="1:26" ht="12" x14ac:dyDescent="0.2">
      <c r="A878" s="2058"/>
      <c r="B878" s="2058"/>
      <c r="C878" s="2058"/>
      <c r="D878" s="2058"/>
      <c r="E878" s="2058"/>
      <c r="F878" s="2058"/>
      <c r="G878" s="2059"/>
      <c r="H878" s="2058"/>
      <c r="I878" s="2058"/>
      <c r="J878" s="2058"/>
      <c r="K878" s="2058"/>
      <c r="L878" s="2058"/>
      <c r="M878" s="2058"/>
      <c r="N878" s="2058"/>
      <c r="O878" s="2058"/>
      <c r="P878" s="2058"/>
      <c r="Q878" s="2058"/>
      <c r="R878" s="2058"/>
      <c r="S878" s="2058"/>
      <c r="T878" s="2058"/>
      <c r="U878" s="2058"/>
      <c r="V878" s="2058"/>
      <c r="W878" s="2058"/>
      <c r="X878" s="2058"/>
      <c r="Y878" s="2058"/>
      <c r="Z878" s="2058"/>
    </row>
    <row r="879" spans="1:26" ht="12" x14ac:dyDescent="0.2">
      <c r="A879" s="2058"/>
      <c r="B879" s="2058"/>
      <c r="C879" s="2058"/>
      <c r="D879" s="2058"/>
      <c r="E879" s="2058"/>
      <c r="F879" s="2058"/>
      <c r="G879" s="2059"/>
      <c r="H879" s="2058"/>
      <c r="I879" s="2058"/>
      <c r="J879" s="2058"/>
      <c r="K879" s="2058"/>
      <c r="L879" s="2058"/>
      <c r="M879" s="2058"/>
      <c r="N879" s="2058"/>
      <c r="O879" s="2058"/>
      <c r="P879" s="2058"/>
      <c r="Q879" s="2058"/>
      <c r="R879" s="2058"/>
      <c r="S879" s="2058"/>
      <c r="T879" s="2058"/>
      <c r="U879" s="2058"/>
      <c r="V879" s="2058"/>
      <c r="W879" s="2058"/>
      <c r="X879" s="2058"/>
      <c r="Y879" s="2058"/>
      <c r="Z879" s="2058"/>
    </row>
    <row r="880" spans="1:26" ht="12" x14ac:dyDescent="0.2">
      <c r="A880" s="2058"/>
      <c r="B880" s="2058"/>
      <c r="C880" s="2058"/>
      <c r="D880" s="2058"/>
      <c r="E880" s="2058"/>
      <c r="F880" s="2058"/>
      <c r="G880" s="2059"/>
      <c r="H880" s="2058"/>
      <c r="I880" s="2058"/>
      <c r="J880" s="2058"/>
      <c r="K880" s="2058"/>
      <c r="L880" s="2058"/>
      <c r="M880" s="2058"/>
      <c r="N880" s="2058"/>
      <c r="O880" s="2058"/>
      <c r="P880" s="2058"/>
      <c r="Q880" s="2058"/>
      <c r="R880" s="2058"/>
      <c r="S880" s="2058"/>
      <c r="T880" s="2058"/>
      <c r="U880" s="2058"/>
      <c r="V880" s="2058"/>
      <c r="W880" s="2058"/>
      <c r="X880" s="2058"/>
      <c r="Y880" s="2058"/>
      <c r="Z880" s="2058"/>
    </row>
    <row r="881" spans="1:26" ht="12" x14ac:dyDescent="0.2">
      <c r="A881" s="2058"/>
      <c r="B881" s="2058"/>
      <c r="C881" s="2058"/>
      <c r="D881" s="2058"/>
      <c r="E881" s="2058"/>
      <c r="F881" s="2058"/>
      <c r="G881" s="2059"/>
      <c r="H881" s="2058"/>
      <c r="I881" s="2058"/>
      <c r="J881" s="2058"/>
      <c r="K881" s="2058"/>
      <c r="L881" s="2058"/>
      <c r="M881" s="2058"/>
      <c r="N881" s="2058"/>
      <c r="O881" s="2058"/>
      <c r="P881" s="2058"/>
      <c r="Q881" s="2058"/>
      <c r="R881" s="2058"/>
      <c r="S881" s="2058"/>
      <c r="T881" s="2058"/>
      <c r="U881" s="2058"/>
      <c r="V881" s="2058"/>
      <c r="W881" s="2058"/>
      <c r="X881" s="2058"/>
      <c r="Y881" s="2058"/>
      <c r="Z881" s="2058"/>
    </row>
    <row r="882" spans="1:26" ht="12" x14ac:dyDescent="0.2">
      <c r="A882" s="2058"/>
      <c r="B882" s="2058"/>
      <c r="C882" s="2058"/>
      <c r="D882" s="2058"/>
      <c r="E882" s="2058"/>
      <c r="F882" s="2058"/>
      <c r="G882" s="2059"/>
      <c r="H882" s="2058"/>
      <c r="I882" s="2058"/>
      <c r="J882" s="2058"/>
      <c r="K882" s="2058"/>
      <c r="L882" s="2058"/>
      <c r="M882" s="2058"/>
      <c r="N882" s="2058"/>
      <c r="O882" s="2058"/>
      <c r="P882" s="2058"/>
      <c r="Q882" s="2058"/>
      <c r="R882" s="2058"/>
      <c r="S882" s="2058"/>
      <c r="T882" s="2058"/>
      <c r="U882" s="2058"/>
      <c r="V882" s="2058"/>
      <c r="W882" s="2058"/>
      <c r="X882" s="2058"/>
      <c r="Y882" s="2058"/>
      <c r="Z882" s="2058"/>
    </row>
    <row r="883" spans="1:26" ht="12" x14ac:dyDescent="0.2">
      <c r="A883" s="2058"/>
      <c r="B883" s="2058"/>
      <c r="C883" s="2058"/>
      <c r="D883" s="2058"/>
      <c r="E883" s="2058"/>
      <c r="F883" s="2058"/>
      <c r="G883" s="2059"/>
      <c r="H883" s="2058"/>
      <c r="I883" s="2058"/>
      <c r="J883" s="2058"/>
      <c r="K883" s="2058"/>
      <c r="L883" s="2058"/>
      <c r="M883" s="2058"/>
      <c r="N883" s="2058"/>
      <c r="O883" s="2058"/>
      <c r="P883" s="2058"/>
      <c r="Q883" s="2058"/>
      <c r="R883" s="2058"/>
      <c r="S883" s="2058"/>
      <c r="T883" s="2058"/>
      <c r="U883" s="2058"/>
      <c r="V883" s="2058"/>
      <c r="W883" s="2058"/>
      <c r="X883" s="2058"/>
      <c r="Y883" s="2058"/>
      <c r="Z883" s="2058"/>
    </row>
    <row r="884" spans="1:26" ht="12" x14ac:dyDescent="0.2">
      <c r="A884" s="2058"/>
      <c r="B884" s="2058"/>
      <c r="C884" s="2058"/>
      <c r="D884" s="2058"/>
      <c r="E884" s="2058"/>
      <c r="F884" s="2058"/>
      <c r="G884" s="2059"/>
      <c r="H884" s="2058"/>
      <c r="I884" s="2058"/>
      <c r="J884" s="2058"/>
      <c r="K884" s="2058"/>
      <c r="L884" s="2058"/>
      <c r="M884" s="2058"/>
      <c r="N884" s="2058"/>
      <c r="O884" s="2058"/>
      <c r="P884" s="2058"/>
      <c r="Q884" s="2058"/>
      <c r="R884" s="2058"/>
      <c r="S884" s="2058"/>
      <c r="T884" s="2058"/>
      <c r="U884" s="2058"/>
      <c r="V884" s="2058"/>
      <c r="W884" s="2058"/>
      <c r="X884" s="2058"/>
      <c r="Y884" s="2058"/>
      <c r="Z884" s="2058"/>
    </row>
    <row r="885" spans="1:26" ht="12" x14ac:dyDescent="0.2">
      <c r="A885" s="2058"/>
      <c r="B885" s="2058"/>
      <c r="C885" s="2058"/>
      <c r="D885" s="2058"/>
      <c r="E885" s="2058"/>
      <c r="F885" s="2058"/>
      <c r="G885" s="2059"/>
      <c r="H885" s="2058"/>
      <c r="I885" s="2058"/>
      <c r="J885" s="2058"/>
      <c r="K885" s="2058"/>
      <c r="L885" s="2058"/>
      <c r="M885" s="2058"/>
      <c r="N885" s="2058"/>
      <c r="O885" s="2058"/>
      <c r="P885" s="2058"/>
      <c r="Q885" s="2058"/>
      <c r="R885" s="2058"/>
      <c r="S885" s="2058"/>
      <c r="T885" s="2058"/>
      <c r="U885" s="2058"/>
      <c r="V885" s="2058"/>
      <c r="W885" s="2058"/>
      <c r="X885" s="2058"/>
      <c r="Y885" s="2058"/>
      <c r="Z885" s="2058"/>
    </row>
    <row r="886" spans="1:26" ht="12" x14ac:dyDescent="0.2">
      <c r="A886" s="2058"/>
      <c r="B886" s="2058"/>
      <c r="C886" s="2058"/>
      <c r="D886" s="2058"/>
      <c r="E886" s="2058"/>
      <c r="F886" s="2058"/>
      <c r="G886" s="2059"/>
      <c r="H886" s="2058"/>
      <c r="I886" s="2058"/>
      <c r="J886" s="2058"/>
      <c r="K886" s="2058"/>
      <c r="L886" s="2058"/>
      <c r="M886" s="2058"/>
      <c r="N886" s="2058"/>
      <c r="O886" s="2058"/>
      <c r="P886" s="2058"/>
      <c r="Q886" s="2058"/>
      <c r="R886" s="2058"/>
      <c r="S886" s="2058"/>
      <c r="T886" s="2058"/>
      <c r="U886" s="2058"/>
      <c r="V886" s="2058"/>
      <c r="W886" s="2058"/>
      <c r="X886" s="2058"/>
      <c r="Y886" s="2058"/>
      <c r="Z886" s="2058"/>
    </row>
    <row r="887" spans="1:26" ht="12" x14ac:dyDescent="0.2">
      <c r="A887" s="2058"/>
      <c r="B887" s="2058"/>
      <c r="C887" s="2058"/>
      <c r="D887" s="2058"/>
      <c r="E887" s="2058"/>
      <c r="F887" s="2058"/>
      <c r="G887" s="2059"/>
      <c r="H887" s="2058"/>
      <c r="I887" s="2058"/>
      <c r="J887" s="2058"/>
      <c r="K887" s="2058"/>
      <c r="L887" s="2058"/>
      <c r="M887" s="2058"/>
      <c r="N887" s="2058"/>
      <c r="O887" s="2058"/>
      <c r="P887" s="2058"/>
      <c r="Q887" s="2058"/>
      <c r="R887" s="2058"/>
      <c r="S887" s="2058"/>
      <c r="T887" s="2058"/>
      <c r="U887" s="2058"/>
      <c r="V887" s="2058"/>
      <c r="W887" s="2058"/>
      <c r="X887" s="2058"/>
      <c r="Y887" s="2058"/>
      <c r="Z887" s="2058"/>
    </row>
    <row r="888" spans="1:26" ht="12" x14ac:dyDescent="0.2">
      <c r="A888" s="2058"/>
      <c r="B888" s="2058"/>
      <c r="C888" s="2058"/>
      <c r="D888" s="2058"/>
      <c r="E888" s="2058"/>
      <c r="F888" s="2058"/>
      <c r="G888" s="2059"/>
      <c r="H888" s="2058"/>
      <c r="I888" s="2058"/>
      <c r="J888" s="2058"/>
      <c r="K888" s="2058"/>
      <c r="L888" s="2058"/>
      <c r="M888" s="2058"/>
      <c r="N888" s="2058"/>
      <c r="O888" s="2058"/>
      <c r="P888" s="2058"/>
      <c r="Q888" s="2058"/>
      <c r="R888" s="2058"/>
      <c r="S888" s="2058"/>
      <c r="T888" s="2058"/>
      <c r="U888" s="2058"/>
      <c r="V888" s="2058"/>
      <c r="W888" s="2058"/>
      <c r="X888" s="2058"/>
      <c r="Y888" s="2058"/>
      <c r="Z888" s="2058"/>
    </row>
    <row r="889" spans="1:26" ht="12" x14ac:dyDescent="0.2">
      <c r="A889" s="2058"/>
      <c r="B889" s="2058"/>
      <c r="C889" s="2058"/>
      <c r="D889" s="2058"/>
      <c r="E889" s="2058"/>
      <c r="F889" s="2058"/>
      <c r="G889" s="2059"/>
      <c r="H889" s="2058"/>
      <c r="I889" s="2058"/>
      <c r="J889" s="2058"/>
      <c r="K889" s="2058"/>
      <c r="L889" s="2058"/>
      <c r="M889" s="2058"/>
      <c r="N889" s="2058"/>
      <c r="O889" s="2058"/>
      <c r="P889" s="2058"/>
      <c r="Q889" s="2058"/>
      <c r="R889" s="2058"/>
      <c r="S889" s="2058"/>
      <c r="T889" s="2058"/>
      <c r="U889" s="2058"/>
      <c r="V889" s="2058"/>
      <c r="W889" s="2058"/>
      <c r="X889" s="2058"/>
      <c r="Y889" s="2058"/>
      <c r="Z889" s="2058"/>
    </row>
    <row r="890" spans="1:26" ht="12" x14ac:dyDescent="0.2">
      <c r="A890" s="2058"/>
      <c r="B890" s="2058"/>
      <c r="C890" s="2058"/>
      <c r="D890" s="2058"/>
      <c r="E890" s="2058"/>
      <c r="F890" s="2058"/>
      <c r="G890" s="2059"/>
      <c r="H890" s="2058"/>
      <c r="I890" s="2058"/>
      <c r="J890" s="2058"/>
      <c r="K890" s="2058"/>
      <c r="L890" s="2058"/>
      <c r="M890" s="2058"/>
      <c r="N890" s="2058"/>
      <c r="O890" s="2058"/>
      <c r="P890" s="2058"/>
      <c r="Q890" s="2058"/>
      <c r="R890" s="2058"/>
      <c r="S890" s="2058"/>
      <c r="T890" s="2058"/>
      <c r="U890" s="2058"/>
      <c r="V890" s="2058"/>
      <c r="W890" s="2058"/>
      <c r="X890" s="2058"/>
      <c r="Y890" s="2058"/>
      <c r="Z890" s="2058"/>
    </row>
    <row r="891" spans="1:26" ht="12" x14ac:dyDescent="0.2">
      <c r="A891" s="2058"/>
      <c r="B891" s="2058"/>
      <c r="C891" s="2058"/>
      <c r="D891" s="2058"/>
      <c r="E891" s="2058"/>
      <c r="F891" s="2058"/>
      <c r="G891" s="2059"/>
      <c r="H891" s="2058"/>
      <c r="I891" s="2058"/>
      <c r="J891" s="2058"/>
      <c r="K891" s="2058"/>
      <c r="L891" s="2058"/>
      <c r="M891" s="2058"/>
      <c r="N891" s="2058"/>
      <c r="O891" s="2058"/>
      <c r="P891" s="2058"/>
      <c r="Q891" s="2058"/>
      <c r="R891" s="2058"/>
      <c r="S891" s="2058"/>
      <c r="T891" s="2058"/>
      <c r="U891" s="2058"/>
      <c r="V891" s="2058"/>
      <c r="W891" s="2058"/>
      <c r="X891" s="2058"/>
      <c r="Y891" s="2058"/>
      <c r="Z891" s="2058"/>
    </row>
    <row r="892" spans="1:26" ht="12" x14ac:dyDescent="0.2">
      <c r="A892" s="2058"/>
      <c r="B892" s="2058"/>
      <c r="C892" s="2058"/>
      <c r="D892" s="2058"/>
      <c r="E892" s="2058"/>
      <c r="F892" s="2058"/>
      <c r="G892" s="2059"/>
      <c r="H892" s="2058"/>
      <c r="I892" s="2058"/>
      <c r="J892" s="2058"/>
      <c r="K892" s="2058"/>
      <c r="L892" s="2058"/>
      <c r="M892" s="2058"/>
      <c r="N892" s="2058"/>
      <c r="O892" s="2058"/>
      <c r="P892" s="2058"/>
      <c r="Q892" s="2058"/>
      <c r="R892" s="2058"/>
      <c r="S892" s="2058"/>
      <c r="T892" s="2058"/>
      <c r="U892" s="2058"/>
      <c r="V892" s="2058"/>
      <c r="W892" s="2058"/>
      <c r="X892" s="2058"/>
      <c r="Y892" s="2058"/>
      <c r="Z892" s="2058"/>
    </row>
    <row r="893" spans="1:26" ht="12" x14ac:dyDescent="0.2">
      <c r="A893" s="2058"/>
      <c r="B893" s="2058"/>
      <c r="C893" s="2058"/>
      <c r="D893" s="2058"/>
      <c r="E893" s="2058"/>
      <c r="F893" s="2058"/>
      <c r="G893" s="2059"/>
      <c r="H893" s="2058"/>
      <c r="I893" s="2058"/>
      <c r="J893" s="2058"/>
      <c r="K893" s="2058"/>
      <c r="L893" s="2058"/>
      <c r="M893" s="2058"/>
      <c r="N893" s="2058"/>
      <c r="O893" s="2058"/>
      <c r="P893" s="2058"/>
      <c r="Q893" s="2058"/>
      <c r="R893" s="2058"/>
      <c r="S893" s="2058"/>
      <c r="T893" s="2058"/>
      <c r="U893" s="2058"/>
      <c r="V893" s="2058"/>
      <c r="W893" s="2058"/>
      <c r="X893" s="2058"/>
      <c r="Y893" s="2058"/>
      <c r="Z893" s="2058"/>
    </row>
    <row r="894" spans="1:26" ht="12" x14ac:dyDescent="0.2">
      <c r="A894" s="2058"/>
      <c r="B894" s="2058"/>
      <c r="C894" s="2058"/>
      <c r="D894" s="2058"/>
      <c r="E894" s="2058"/>
      <c r="F894" s="2058"/>
      <c r="G894" s="2059"/>
      <c r="H894" s="2058"/>
      <c r="I894" s="2058"/>
      <c r="J894" s="2058"/>
      <c r="K894" s="2058"/>
      <c r="L894" s="2058"/>
      <c r="M894" s="2058"/>
      <c r="N894" s="2058"/>
      <c r="O894" s="2058"/>
      <c r="P894" s="2058"/>
      <c r="Q894" s="2058"/>
      <c r="R894" s="2058"/>
      <c r="S894" s="2058"/>
      <c r="T894" s="2058"/>
      <c r="U894" s="2058"/>
      <c r="V894" s="2058"/>
      <c r="W894" s="2058"/>
      <c r="X894" s="2058"/>
      <c r="Y894" s="2058"/>
      <c r="Z894" s="2058"/>
    </row>
    <row r="895" spans="1:26" ht="12" x14ac:dyDescent="0.2">
      <c r="A895" s="2058"/>
      <c r="B895" s="2058"/>
      <c r="C895" s="2058"/>
      <c r="D895" s="2058"/>
      <c r="E895" s="2058"/>
      <c r="F895" s="2058"/>
      <c r="G895" s="2059"/>
      <c r="H895" s="2058"/>
      <c r="I895" s="2058"/>
      <c r="J895" s="2058"/>
      <c r="K895" s="2058"/>
      <c r="L895" s="2058"/>
      <c r="M895" s="2058"/>
      <c r="N895" s="2058"/>
      <c r="O895" s="2058"/>
      <c r="P895" s="2058"/>
      <c r="Q895" s="2058"/>
      <c r="R895" s="2058"/>
      <c r="S895" s="2058"/>
      <c r="T895" s="2058"/>
      <c r="U895" s="2058"/>
      <c r="V895" s="2058"/>
      <c r="W895" s="2058"/>
      <c r="X895" s="2058"/>
      <c r="Y895" s="2058"/>
      <c r="Z895" s="2058"/>
    </row>
    <row r="896" spans="1:26" ht="12" x14ac:dyDescent="0.2">
      <c r="A896" s="2058"/>
      <c r="B896" s="2058"/>
      <c r="C896" s="2058"/>
      <c r="D896" s="2058"/>
      <c r="E896" s="2058"/>
      <c r="F896" s="2058"/>
      <c r="G896" s="2059"/>
      <c r="H896" s="2058"/>
      <c r="I896" s="2058"/>
      <c r="J896" s="2058"/>
      <c r="K896" s="2058"/>
      <c r="L896" s="2058"/>
      <c r="M896" s="2058"/>
      <c r="N896" s="2058"/>
      <c r="O896" s="2058"/>
      <c r="P896" s="2058"/>
      <c r="Q896" s="2058"/>
      <c r="R896" s="2058"/>
      <c r="S896" s="2058"/>
      <c r="T896" s="2058"/>
      <c r="U896" s="2058"/>
      <c r="V896" s="2058"/>
      <c r="W896" s="2058"/>
      <c r="X896" s="2058"/>
      <c r="Y896" s="2058"/>
      <c r="Z896" s="2058"/>
    </row>
    <row r="897" spans="1:26" ht="12" x14ac:dyDescent="0.2">
      <c r="A897" s="2058"/>
      <c r="B897" s="2058"/>
      <c r="C897" s="2058"/>
      <c r="D897" s="2058"/>
      <c r="E897" s="2058"/>
      <c r="F897" s="2058"/>
      <c r="G897" s="2059"/>
      <c r="H897" s="2058"/>
      <c r="I897" s="2058"/>
      <c r="J897" s="2058"/>
      <c r="K897" s="2058"/>
      <c r="L897" s="2058"/>
      <c r="M897" s="2058"/>
      <c r="N897" s="2058"/>
      <c r="O897" s="2058"/>
      <c r="P897" s="2058"/>
      <c r="Q897" s="2058"/>
      <c r="R897" s="2058"/>
      <c r="S897" s="2058"/>
      <c r="T897" s="2058"/>
      <c r="U897" s="2058"/>
      <c r="V897" s="2058"/>
      <c r="W897" s="2058"/>
      <c r="X897" s="2058"/>
      <c r="Y897" s="2058"/>
      <c r="Z897" s="2058"/>
    </row>
    <row r="898" spans="1:26" ht="12" x14ac:dyDescent="0.2">
      <c r="A898" s="2058"/>
      <c r="B898" s="2058"/>
      <c r="C898" s="2058"/>
      <c r="D898" s="2058"/>
      <c r="E898" s="2058"/>
      <c r="F898" s="2058"/>
      <c r="G898" s="2059"/>
      <c r="H898" s="2058"/>
      <c r="I898" s="2058"/>
      <c r="J898" s="2058"/>
      <c r="K898" s="2058"/>
      <c r="L898" s="2058"/>
      <c r="M898" s="2058"/>
      <c r="N898" s="2058"/>
      <c r="O898" s="2058"/>
      <c r="P898" s="2058"/>
      <c r="Q898" s="2058"/>
      <c r="R898" s="2058"/>
      <c r="S898" s="2058"/>
      <c r="T898" s="2058"/>
      <c r="U898" s="2058"/>
      <c r="V898" s="2058"/>
      <c r="W898" s="2058"/>
      <c r="X898" s="2058"/>
      <c r="Y898" s="2058"/>
      <c r="Z898" s="2058"/>
    </row>
    <row r="899" spans="1:26" ht="12" x14ac:dyDescent="0.2">
      <c r="A899" s="2058"/>
      <c r="B899" s="2058"/>
      <c r="C899" s="2058"/>
      <c r="D899" s="2058"/>
      <c r="E899" s="2058"/>
      <c r="F899" s="2058"/>
      <c r="G899" s="2059"/>
      <c r="H899" s="2058"/>
      <c r="I899" s="2058"/>
      <c r="J899" s="2058"/>
      <c r="K899" s="2058"/>
      <c r="L899" s="2058"/>
      <c r="M899" s="2058"/>
      <c r="N899" s="2058"/>
      <c r="O899" s="2058"/>
      <c r="P899" s="2058"/>
      <c r="Q899" s="2058"/>
      <c r="R899" s="2058"/>
      <c r="S899" s="2058"/>
      <c r="T899" s="2058"/>
      <c r="U899" s="2058"/>
      <c r="V899" s="2058"/>
      <c r="W899" s="2058"/>
      <c r="X899" s="2058"/>
      <c r="Y899" s="2058"/>
      <c r="Z899" s="2058"/>
    </row>
    <row r="900" spans="1:26" ht="12" x14ac:dyDescent="0.2">
      <c r="A900" s="2058"/>
      <c r="B900" s="2058"/>
      <c r="C900" s="2058"/>
      <c r="D900" s="2058"/>
      <c r="E900" s="2058"/>
      <c r="F900" s="2058"/>
      <c r="G900" s="2059"/>
      <c r="H900" s="2058"/>
      <c r="I900" s="2058"/>
      <c r="J900" s="2058"/>
      <c r="K900" s="2058"/>
      <c r="L900" s="2058"/>
      <c r="M900" s="2058"/>
      <c r="N900" s="2058"/>
      <c r="O900" s="2058"/>
      <c r="P900" s="2058"/>
      <c r="Q900" s="2058"/>
      <c r="R900" s="2058"/>
      <c r="S900" s="2058"/>
      <c r="T900" s="2058"/>
      <c r="U900" s="2058"/>
      <c r="V900" s="2058"/>
      <c r="W900" s="2058"/>
      <c r="X900" s="2058"/>
      <c r="Y900" s="2058"/>
      <c r="Z900" s="2058"/>
    </row>
    <row r="901" spans="1:26" ht="12" x14ac:dyDescent="0.2">
      <c r="A901" s="2058"/>
      <c r="B901" s="2058"/>
      <c r="C901" s="2058"/>
      <c r="D901" s="2058"/>
      <c r="E901" s="2058"/>
      <c r="F901" s="2058"/>
      <c r="G901" s="2059"/>
      <c r="H901" s="2058"/>
      <c r="I901" s="2058"/>
      <c r="J901" s="2058"/>
      <c r="K901" s="2058"/>
      <c r="L901" s="2058"/>
      <c r="M901" s="2058"/>
      <c r="N901" s="2058"/>
      <c r="O901" s="2058"/>
      <c r="P901" s="2058"/>
      <c r="Q901" s="2058"/>
      <c r="R901" s="2058"/>
      <c r="S901" s="2058"/>
      <c r="T901" s="2058"/>
      <c r="U901" s="2058"/>
      <c r="V901" s="2058"/>
      <c r="W901" s="2058"/>
      <c r="X901" s="2058"/>
      <c r="Y901" s="2058"/>
      <c r="Z901" s="2058"/>
    </row>
    <row r="902" spans="1:26" ht="12" x14ac:dyDescent="0.2">
      <c r="A902" s="2058"/>
      <c r="B902" s="2058"/>
      <c r="C902" s="2058"/>
      <c r="D902" s="2058"/>
      <c r="E902" s="2058"/>
      <c r="F902" s="2058"/>
      <c r="G902" s="2059"/>
      <c r="H902" s="2058"/>
      <c r="I902" s="2058"/>
      <c r="J902" s="2058"/>
      <c r="K902" s="2058"/>
      <c r="L902" s="2058"/>
      <c r="M902" s="2058"/>
      <c r="N902" s="2058"/>
      <c r="O902" s="2058"/>
      <c r="P902" s="2058"/>
      <c r="Q902" s="2058"/>
      <c r="R902" s="2058"/>
      <c r="S902" s="2058"/>
      <c r="T902" s="2058"/>
      <c r="U902" s="2058"/>
      <c r="V902" s="2058"/>
      <c r="W902" s="2058"/>
      <c r="X902" s="2058"/>
      <c r="Y902" s="2058"/>
      <c r="Z902" s="2058"/>
    </row>
    <row r="903" spans="1:26" ht="12" x14ac:dyDescent="0.2">
      <c r="A903" s="2058"/>
      <c r="B903" s="2058"/>
      <c r="C903" s="2058"/>
      <c r="D903" s="2058"/>
      <c r="E903" s="2058"/>
      <c r="F903" s="2058"/>
      <c r="G903" s="2059"/>
      <c r="H903" s="2058"/>
      <c r="I903" s="2058"/>
      <c r="J903" s="2058"/>
      <c r="K903" s="2058"/>
      <c r="L903" s="2058"/>
      <c r="M903" s="2058"/>
      <c r="N903" s="2058"/>
      <c r="O903" s="2058"/>
      <c r="P903" s="2058"/>
      <c r="Q903" s="2058"/>
      <c r="R903" s="2058"/>
      <c r="S903" s="2058"/>
      <c r="T903" s="2058"/>
      <c r="U903" s="2058"/>
      <c r="V903" s="2058"/>
      <c r="W903" s="2058"/>
      <c r="X903" s="2058"/>
      <c r="Y903" s="2058"/>
      <c r="Z903" s="2058"/>
    </row>
    <row r="904" spans="1:26" ht="12" x14ac:dyDescent="0.2">
      <c r="A904" s="2058"/>
      <c r="B904" s="2058"/>
      <c r="C904" s="2058"/>
      <c r="D904" s="2058"/>
      <c r="E904" s="2058"/>
      <c r="F904" s="2058"/>
      <c r="G904" s="2059"/>
      <c r="H904" s="2058"/>
      <c r="I904" s="2058"/>
      <c r="J904" s="2058"/>
      <c r="K904" s="2058"/>
      <c r="L904" s="2058"/>
      <c r="M904" s="2058"/>
      <c r="N904" s="2058"/>
      <c r="O904" s="2058"/>
      <c r="P904" s="2058"/>
      <c r="Q904" s="2058"/>
      <c r="R904" s="2058"/>
      <c r="S904" s="2058"/>
      <c r="T904" s="2058"/>
      <c r="U904" s="2058"/>
      <c r="V904" s="2058"/>
      <c r="W904" s="2058"/>
      <c r="X904" s="2058"/>
      <c r="Y904" s="2058"/>
      <c r="Z904" s="2058"/>
    </row>
    <row r="905" spans="1:26" ht="12" x14ac:dyDescent="0.2">
      <c r="A905" s="2058"/>
      <c r="B905" s="2058"/>
      <c r="C905" s="2058"/>
      <c r="D905" s="2058"/>
      <c r="E905" s="2058"/>
      <c r="F905" s="2058"/>
      <c r="G905" s="2059"/>
      <c r="H905" s="2058"/>
      <c r="I905" s="2058"/>
      <c r="J905" s="2058"/>
      <c r="K905" s="2058"/>
      <c r="L905" s="2058"/>
      <c r="M905" s="2058"/>
      <c r="N905" s="2058"/>
      <c r="O905" s="2058"/>
      <c r="P905" s="2058"/>
      <c r="Q905" s="2058"/>
      <c r="R905" s="2058"/>
      <c r="S905" s="2058"/>
      <c r="T905" s="2058"/>
      <c r="U905" s="2058"/>
      <c r="V905" s="2058"/>
      <c r="W905" s="2058"/>
      <c r="X905" s="2058"/>
      <c r="Y905" s="2058"/>
      <c r="Z905" s="2058"/>
    </row>
    <row r="906" spans="1:26" ht="12" x14ac:dyDescent="0.2">
      <c r="A906" s="2058"/>
      <c r="B906" s="2058"/>
      <c r="C906" s="2058"/>
      <c r="D906" s="2058"/>
      <c r="E906" s="2058"/>
      <c r="F906" s="2058"/>
      <c r="G906" s="2059"/>
      <c r="H906" s="2058"/>
      <c r="I906" s="2058"/>
      <c r="J906" s="2058"/>
      <c r="K906" s="2058"/>
      <c r="L906" s="2058"/>
      <c r="M906" s="2058"/>
      <c r="N906" s="2058"/>
      <c r="O906" s="2058"/>
      <c r="P906" s="2058"/>
      <c r="Q906" s="2058"/>
      <c r="R906" s="2058"/>
      <c r="S906" s="2058"/>
      <c r="T906" s="2058"/>
      <c r="U906" s="2058"/>
      <c r="V906" s="2058"/>
      <c r="W906" s="2058"/>
      <c r="X906" s="2058"/>
      <c r="Y906" s="2058"/>
      <c r="Z906" s="2058"/>
    </row>
    <row r="907" spans="1:26" ht="12" x14ac:dyDescent="0.2">
      <c r="A907" s="2058"/>
      <c r="B907" s="2058"/>
      <c r="C907" s="2058"/>
      <c r="D907" s="2058"/>
      <c r="E907" s="2058"/>
      <c r="F907" s="2058"/>
      <c r="G907" s="2059"/>
      <c r="H907" s="2058"/>
      <c r="I907" s="2058"/>
      <c r="J907" s="2058"/>
      <c r="K907" s="2058"/>
      <c r="L907" s="2058"/>
      <c r="M907" s="2058"/>
      <c r="N907" s="2058"/>
      <c r="O907" s="2058"/>
      <c r="P907" s="2058"/>
      <c r="Q907" s="2058"/>
      <c r="R907" s="2058"/>
      <c r="S907" s="2058"/>
      <c r="T907" s="2058"/>
      <c r="U907" s="2058"/>
      <c r="V907" s="2058"/>
      <c r="W907" s="2058"/>
      <c r="X907" s="2058"/>
      <c r="Y907" s="2058"/>
      <c r="Z907" s="2058"/>
    </row>
    <row r="908" spans="1:26" ht="12" x14ac:dyDescent="0.2">
      <c r="A908" s="2058"/>
      <c r="B908" s="2058"/>
      <c r="C908" s="2058"/>
      <c r="D908" s="2058"/>
      <c r="E908" s="2058"/>
      <c r="F908" s="2058"/>
      <c r="G908" s="2059"/>
      <c r="H908" s="2058"/>
      <c r="I908" s="2058"/>
      <c r="J908" s="2058"/>
      <c r="K908" s="2058"/>
      <c r="L908" s="2058"/>
      <c r="M908" s="2058"/>
      <c r="N908" s="2058"/>
      <c r="O908" s="2058"/>
      <c r="P908" s="2058"/>
      <c r="Q908" s="2058"/>
      <c r="R908" s="2058"/>
      <c r="S908" s="2058"/>
      <c r="T908" s="2058"/>
      <c r="U908" s="2058"/>
      <c r="V908" s="2058"/>
      <c r="W908" s="2058"/>
      <c r="X908" s="2058"/>
      <c r="Y908" s="2058"/>
      <c r="Z908" s="2058"/>
    </row>
    <row r="909" spans="1:26" ht="12" x14ac:dyDescent="0.2">
      <c r="A909" s="2058"/>
      <c r="B909" s="2058"/>
      <c r="C909" s="2058"/>
      <c r="D909" s="2058"/>
      <c r="E909" s="2058"/>
      <c r="F909" s="2058"/>
      <c r="G909" s="2059"/>
      <c r="H909" s="2058"/>
      <c r="I909" s="2058"/>
      <c r="J909" s="2058"/>
      <c r="K909" s="2058"/>
      <c r="L909" s="2058"/>
      <c r="M909" s="2058"/>
      <c r="N909" s="2058"/>
      <c r="O909" s="2058"/>
      <c r="P909" s="2058"/>
      <c r="Q909" s="2058"/>
      <c r="R909" s="2058"/>
      <c r="S909" s="2058"/>
      <c r="T909" s="2058"/>
      <c r="U909" s="2058"/>
      <c r="V909" s="2058"/>
      <c r="W909" s="2058"/>
      <c r="X909" s="2058"/>
      <c r="Y909" s="2058"/>
      <c r="Z909" s="2058"/>
    </row>
    <row r="910" spans="1:26" ht="12" x14ac:dyDescent="0.2">
      <c r="A910" s="2058"/>
      <c r="B910" s="2058"/>
      <c r="C910" s="2058"/>
      <c r="D910" s="2058"/>
      <c r="E910" s="2058"/>
      <c r="F910" s="2058"/>
      <c r="G910" s="2059"/>
      <c r="H910" s="2058"/>
      <c r="I910" s="2058"/>
      <c r="J910" s="2058"/>
      <c r="K910" s="2058"/>
      <c r="L910" s="2058"/>
      <c r="M910" s="2058"/>
      <c r="N910" s="2058"/>
      <c r="O910" s="2058"/>
      <c r="P910" s="2058"/>
      <c r="Q910" s="2058"/>
      <c r="R910" s="2058"/>
      <c r="S910" s="2058"/>
      <c r="T910" s="2058"/>
      <c r="U910" s="2058"/>
      <c r="V910" s="2058"/>
      <c r="W910" s="2058"/>
      <c r="X910" s="2058"/>
      <c r="Y910" s="2058"/>
      <c r="Z910" s="2058"/>
    </row>
    <row r="911" spans="1:26" ht="12" x14ac:dyDescent="0.2">
      <c r="A911" s="2058"/>
      <c r="B911" s="2058"/>
      <c r="C911" s="2058"/>
      <c r="D911" s="2058"/>
      <c r="E911" s="2058"/>
      <c r="F911" s="2058"/>
      <c r="G911" s="2059"/>
      <c r="H911" s="2058"/>
      <c r="I911" s="2058"/>
      <c r="J911" s="2058"/>
      <c r="K911" s="2058"/>
      <c r="L911" s="2058"/>
      <c r="M911" s="2058"/>
      <c r="N911" s="2058"/>
      <c r="O911" s="2058"/>
      <c r="P911" s="2058"/>
      <c r="Q911" s="2058"/>
      <c r="R911" s="2058"/>
      <c r="S911" s="2058"/>
      <c r="T911" s="2058"/>
      <c r="U911" s="2058"/>
      <c r="V911" s="2058"/>
      <c r="W911" s="2058"/>
      <c r="X911" s="2058"/>
      <c r="Y911" s="2058"/>
      <c r="Z911" s="2058"/>
    </row>
    <row r="912" spans="1:26" ht="12" x14ac:dyDescent="0.2">
      <c r="A912" s="2058"/>
      <c r="B912" s="2058"/>
      <c r="C912" s="2058"/>
      <c r="D912" s="2058"/>
      <c r="E912" s="2058"/>
      <c r="F912" s="2058"/>
      <c r="G912" s="2059"/>
      <c r="H912" s="2058"/>
      <c r="I912" s="2058"/>
      <c r="J912" s="2058"/>
      <c r="K912" s="2058"/>
      <c r="L912" s="2058"/>
      <c r="M912" s="2058"/>
      <c r="N912" s="2058"/>
      <c r="O912" s="2058"/>
      <c r="P912" s="2058"/>
      <c r="Q912" s="2058"/>
      <c r="R912" s="2058"/>
      <c r="S912" s="2058"/>
      <c r="T912" s="2058"/>
      <c r="U912" s="2058"/>
      <c r="V912" s="2058"/>
      <c r="W912" s="2058"/>
      <c r="X912" s="2058"/>
      <c r="Y912" s="2058"/>
      <c r="Z912" s="2058"/>
    </row>
    <row r="913" spans="1:26" ht="12" x14ac:dyDescent="0.2">
      <c r="A913" s="2058"/>
      <c r="B913" s="2058"/>
      <c r="C913" s="2058"/>
      <c r="D913" s="2058"/>
      <c r="E913" s="2058"/>
      <c r="F913" s="2058"/>
      <c r="G913" s="2059"/>
      <c r="H913" s="2058"/>
      <c r="I913" s="2058"/>
      <c r="J913" s="2058"/>
      <c r="K913" s="2058"/>
      <c r="L913" s="2058"/>
      <c r="M913" s="2058"/>
      <c r="N913" s="2058"/>
      <c r="O913" s="2058"/>
      <c r="P913" s="2058"/>
      <c r="Q913" s="2058"/>
      <c r="R913" s="2058"/>
      <c r="S913" s="2058"/>
      <c r="T913" s="2058"/>
      <c r="U913" s="2058"/>
      <c r="V913" s="2058"/>
      <c r="W913" s="2058"/>
      <c r="X913" s="2058"/>
      <c r="Y913" s="2058"/>
      <c r="Z913" s="2058"/>
    </row>
    <row r="914" spans="1:26" ht="12" x14ac:dyDescent="0.2">
      <c r="A914" s="2058"/>
      <c r="B914" s="2058"/>
      <c r="C914" s="2058"/>
      <c r="D914" s="2058"/>
      <c r="E914" s="2058"/>
      <c r="F914" s="2058"/>
      <c r="G914" s="2059"/>
      <c r="H914" s="2058"/>
      <c r="I914" s="2058"/>
      <c r="J914" s="2058"/>
      <c r="K914" s="2058"/>
      <c r="L914" s="2058"/>
      <c r="M914" s="2058"/>
      <c r="N914" s="2058"/>
      <c r="O914" s="2058"/>
      <c r="P914" s="2058"/>
      <c r="Q914" s="2058"/>
      <c r="R914" s="2058"/>
      <c r="S914" s="2058"/>
      <c r="T914" s="2058"/>
      <c r="U914" s="2058"/>
      <c r="V914" s="2058"/>
      <c r="W914" s="2058"/>
      <c r="X914" s="2058"/>
      <c r="Y914" s="2058"/>
      <c r="Z914" s="2058"/>
    </row>
    <row r="915" spans="1:26" ht="12" x14ac:dyDescent="0.2">
      <c r="A915" s="2058"/>
      <c r="B915" s="2058"/>
      <c r="C915" s="2058"/>
      <c r="D915" s="2058"/>
      <c r="E915" s="2058"/>
      <c r="F915" s="2058"/>
      <c r="G915" s="2059"/>
      <c r="H915" s="2058"/>
      <c r="I915" s="2058"/>
      <c r="J915" s="2058"/>
      <c r="K915" s="2058"/>
      <c r="L915" s="2058"/>
      <c r="M915" s="2058"/>
      <c r="N915" s="2058"/>
      <c r="O915" s="2058"/>
      <c r="P915" s="2058"/>
      <c r="Q915" s="2058"/>
      <c r="R915" s="2058"/>
      <c r="S915" s="2058"/>
      <c r="T915" s="2058"/>
      <c r="U915" s="2058"/>
      <c r="V915" s="2058"/>
      <c r="W915" s="2058"/>
      <c r="X915" s="2058"/>
      <c r="Y915" s="2058"/>
      <c r="Z915" s="2058"/>
    </row>
    <row r="916" spans="1:26" ht="12" x14ac:dyDescent="0.2">
      <c r="A916" s="2058"/>
      <c r="B916" s="2058"/>
      <c r="C916" s="2058"/>
      <c r="D916" s="2058"/>
      <c r="E916" s="2058"/>
      <c r="F916" s="2058"/>
      <c r="G916" s="2059"/>
      <c r="H916" s="2058"/>
      <c r="I916" s="2058"/>
      <c r="J916" s="2058"/>
      <c r="K916" s="2058"/>
      <c r="L916" s="2058"/>
      <c r="M916" s="2058"/>
      <c r="N916" s="2058"/>
      <c r="O916" s="2058"/>
      <c r="P916" s="2058"/>
      <c r="Q916" s="2058"/>
      <c r="R916" s="2058"/>
      <c r="S916" s="2058"/>
      <c r="T916" s="2058"/>
      <c r="U916" s="2058"/>
      <c r="V916" s="2058"/>
      <c r="W916" s="2058"/>
      <c r="X916" s="2058"/>
      <c r="Y916" s="2058"/>
      <c r="Z916" s="2058"/>
    </row>
    <row r="917" spans="1:26" ht="12" x14ac:dyDescent="0.2">
      <c r="A917" s="2058"/>
      <c r="B917" s="2058"/>
      <c r="C917" s="2058"/>
      <c r="D917" s="2058"/>
      <c r="E917" s="2058"/>
      <c r="F917" s="2058"/>
      <c r="G917" s="2059"/>
      <c r="H917" s="2058"/>
      <c r="I917" s="2058"/>
      <c r="J917" s="2058"/>
      <c r="K917" s="2058"/>
      <c r="L917" s="2058"/>
      <c r="M917" s="2058"/>
      <c r="N917" s="2058"/>
      <c r="O917" s="2058"/>
      <c r="P917" s="2058"/>
      <c r="Q917" s="2058"/>
      <c r="R917" s="2058"/>
      <c r="S917" s="2058"/>
      <c r="T917" s="2058"/>
      <c r="U917" s="2058"/>
      <c r="V917" s="2058"/>
      <c r="W917" s="2058"/>
      <c r="X917" s="2058"/>
      <c r="Y917" s="2058"/>
      <c r="Z917" s="2058"/>
    </row>
    <row r="918" spans="1:26" ht="12" x14ac:dyDescent="0.2">
      <c r="A918" s="2058"/>
      <c r="B918" s="2058"/>
      <c r="C918" s="2058"/>
      <c r="D918" s="2058"/>
      <c r="E918" s="2058"/>
      <c r="F918" s="2058"/>
      <c r="G918" s="2059"/>
      <c r="H918" s="2058"/>
      <c r="I918" s="2058"/>
      <c r="J918" s="2058"/>
      <c r="K918" s="2058"/>
      <c r="L918" s="2058"/>
      <c r="M918" s="2058"/>
      <c r="N918" s="2058"/>
      <c r="O918" s="2058"/>
      <c r="P918" s="2058"/>
      <c r="Q918" s="2058"/>
      <c r="R918" s="2058"/>
      <c r="S918" s="2058"/>
      <c r="T918" s="2058"/>
      <c r="U918" s="2058"/>
      <c r="V918" s="2058"/>
      <c r="W918" s="2058"/>
      <c r="X918" s="2058"/>
      <c r="Y918" s="2058"/>
      <c r="Z918" s="2058"/>
    </row>
    <row r="919" spans="1:26" ht="12" x14ac:dyDescent="0.2">
      <c r="A919" s="2058"/>
      <c r="B919" s="2058"/>
      <c r="C919" s="2058"/>
      <c r="D919" s="2058"/>
      <c r="E919" s="2058"/>
      <c r="F919" s="2058"/>
      <c r="G919" s="2059"/>
      <c r="H919" s="2058"/>
      <c r="I919" s="2058"/>
      <c r="J919" s="2058"/>
      <c r="K919" s="2058"/>
      <c r="L919" s="2058"/>
      <c r="M919" s="2058"/>
      <c r="N919" s="2058"/>
      <c r="O919" s="2058"/>
      <c r="P919" s="2058"/>
      <c r="Q919" s="2058"/>
      <c r="R919" s="2058"/>
      <c r="S919" s="2058"/>
      <c r="T919" s="2058"/>
      <c r="U919" s="2058"/>
      <c r="V919" s="2058"/>
      <c r="W919" s="2058"/>
      <c r="X919" s="2058"/>
      <c r="Y919" s="2058"/>
      <c r="Z919" s="2058"/>
    </row>
    <row r="920" spans="1:26" ht="12" x14ac:dyDescent="0.2">
      <c r="A920" s="2058"/>
      <c r="B920" s="2058"/>
      <c r="C920" s="2058"/>
      <c r="D920" s="2058"/>
      <c r="E920" s="2058"/>
      <c r="F920" s="2058"/>
      <c r="G920" s="2059"/>
      <c r="H920" s="2058"/>
      <c r="I920" s="2058"/>
      <c r="J920" s="2058"/>
      <c r="K920" s="2058"/>
      <c r="L920" s="2058"/>
      <c r="M920" s="2058"/>
      <c r="N920" s="2058"/>
      <c r="O920" s="2058"/>
      <c r="P920" s="2058"/>
      <c r="Q920" s="2058"/>
      <c r="R920" s="2058"/>
      <c r="S920" s="2058"/>
      <c r="T920" s="2058"/>
      <c r="U920" s="2058"/>
      <c r="V920" s="2058"/>
      <c r="W920" s="2058"/>
      <c r="X920" s="2058"/>
      <c r="Y920" s="2058"/>
      <c r="Z920" s="2058"/>
    </row>
    <row r="921" spans="1:26" ht="12" x14ac:dyDescent="0.2">
      <c r="A921" s="2058"/>
      <c r="B921" s="2058"/>
      <c r="C921" s="2058"/>
      <c r="D921" s="2058"/>
      <c r="E921" s="2058"/>
      <c r="F921" s="2058"/>
      <c r="G921" s="2059"/>
      <c r="H921" s="2058"/>
      <c r="I921" s="2058"/>
      <c r="J921" s="2058"/>
      <c r="K921" s="2058"/>
      <c r="L921" s="2058"/>
      <c r="M921" s="2058"/>
      <c r="N921" s="2058"/>
      <c r="O921" s="2058"/>
      <c r="P921" s="2058"/>
      <c r="Q921" s="2058"/>
      <c r="R921" s="2058"/>
      <c r="S921" s="2058"/>
      <c r="T921" s="2058"/>
      <c r="U921" s="2058"/>
      <c r="V921" s="2058"/>
      <c r="W921" s="2058"/>
      <c r="X921" s="2058"/>
      <c r="Y921" s="2058"/>
      <c r="Z921" s="2058"/>
    </row>
    <row r="922" spans="1:26" ht="12" x14ac:dyDescent="0.2">
      <c r="A922" s="2058"/>
      <c r="B922" s="2058"/>
      <c r="C922" s="2058"/>
      <c r="D922" s="2058"/>
      <c r="E922" s="2058"/>
      <c r="F922" s="2058"/>
      <c r="G922" s="2059"/>
      <c r="H922" s="2058"/>
      <c r="I922" s="2058"/>
      <c r="J922" s="2058"/>
      <c r="K922" s="2058"/>
      <c r="L922" s="2058"/>
      <c r="M922" s="2058"/>
      <c r="N922" s="2058"/>
      <c r="O922" s="2058"/>
      <c r="P922" s="2058"/>
      <c r="Q922" s="2058"/>
      <c r="R922" s="2058"/>
      <c r="S922" s="2058"/>
      <c r="T922" s="2058"/>
      <c r="U922" s="2058"/>
      <c r="V922" s="2058"/>
      <c r="W922" s="2058"/>
      <c r="X922" s="2058"/>
      <c r="Y922" s="2058"/>
      <c r="Z922" s="2058"/>
    </row>
    <row r="923" spans="1:26" ht="12" x14ac:dyDescent="0.2">
      <c r="A923" s="2058"/>
      <c r="B923" s="2058"/>
      <c r="C923" s="2058"/>
      <c r="D923" s="2058"/>
      <c r="E923" s="2058"/>
      <c r="F923" s="2058"/>
      <c r="G923" s="2059"/>
      <c r="H923" s="2058"/>
      <c r="I923" s="2058"/>
      <c r="J923" s="2058"/>
      <c r="K923" s="2058"/>
      <c r="L923" s="2058"/>
      <c r="M923" s="2058"/>
      <c r="N923" s="2058"/>
      <c r="O923" s="2058"/>
      <c r="P923" s="2058"/>
      <c r="Q923" s="2058"/>
      <c r="R923" s="2058"/>
      <c r="S923" s="2058"/>
      <c r="T923" s="2058"/>
      <c r="U923" s="2058"/>
      <c r="V923" s="2058"/>
      <c r="W923" s="2058"/>
      <c r="X923" s="2058"/>
      <c r="Y923" s="2058"/>
      <c r="Z923" s="2058"/>
    </row>
    <row r="924" spans="1:26" ht="12" x14ac:dyDescent="0.2">
      <c r="A924" s="2058"/>
      <c r="B924" s="2058"/>
      <c r="C924" s="2058"/>
      <c r="D924" s="2058"/>
      <c r="E924" s="2058"/>
      <c r="F924" s="2058"/>
      <c r="G924" s="2059"/>
      <c r="H924" s="2058"/>
      <c r="I924" s="2058"/>
      <c r="J924" s="2058"/>
      <c r="K924" s="2058"/>
      <c r="L924" s="2058"/>
      <c r="M924" s="2058"/>
      <c r="N924" s="2058"/>
      <c r="O924" s="2058"/>
      <c r="P924" s="2058"/>
      <c r="Q924" s="2058"/>
      <c r="R924" s="2058"/>
      <c r="S924" s="2058"/>
      <c r="T924" s="2058"/>
      <c r="U924" s="2058"/>
      <c r="V924" s="2058"/>
      <c r="W924" s="2058"/>
      <c r="X924" s="2058"/>
      <c r="Y924" s="2058"/>
      <c r="Z924" s="2058"/>
    </row>
    <row r="925" spans="1:26" ht="12" x14ac:dyDescent="0.2">
      <c r="A925" s="2058"/>
      <c r="B925" s="2058"/>
      <c r="C925" s="2058"/>
      <c r="D925" s="2058"/>
      <c r="E925" s="2058"/>
      <c r="F925" s="2058"/>
      <c r="G925" s="2059"/>
      <c r="H925" s="2058"/>
      <c r="I925" s="2058"/>
      <c r="J925" s="2058"/>
      <c r="K925" s="2058"/>
      <c r="L925" s="2058"/>
      <c r="M925" s="2058"/>
      <c r="N925" s="2058"/>
      <c r="O925" s="2058"/>
      <c r="P925" s="2058"/>
      <c r="Q925" s="2058"/>
      <c r="R925" s="2058"/>
      <c r="S925" s="2058"/>
      <c r="T925" s="2058"/>
      <c r="U925" s="2058"/>
      <c r="V925" s="2058"/>
      <c r="W925" s="2058"/>
      <c r="X925" s="2058"/>
      <c r="Y925" s="2058"/>
      <c r="Z925" s="2058"/>
    </row>
    <row r="926" spans="1:26" ht="12" x14ac:dyDescent="0.2">
      <c r="A926" s="2058"/>
      <c r="B926" s="2058"/>
      <c r="C926" s="2058"/>
      <c r="D926" s="2058"/>
      <c r="E926" s="2058"/>
      <c r="F926" s="2058"/>
      <c r="G926" s="2059"/>
      <c r="H926" s="2058"/>
      <c r="I926" s="2058"/>
      <c r="J926" s="2058"/>
      <c r="K926" s="2058"/>
      <c r="L926" s="2058"/>
      <c r="M926" s="2058"/>
      <c r="N926" s="2058"/>
      <c r="O926" s="2058"/>
      <c r="P926" s="2058"/>
      <c r="Q926" s="2058"/>
      <c r="R926" s="2058"/>
      <c r="S926" s="2058"/>
      <c r="T926" s="2058"/>
      <c r="U926" s="2058"/>
      <c r="V926" s="2058"/>
      <c r="W926" s="2058"/>
      <c r="X926" s="2058"/>
      <c r="Y926" s="2058"/>
      <c r="Z926" s="2058"/>
    </row>
    <row r="927" spans="1:26" ht="12" x14ac:dyDescent="0.2">
      <c r="A927" s="2058"/>
      <c r="B927" s="2058"/>
      <c r="C927" s="2058"/>
      <c r="D927" s="2058"/>
      <c r="E927" s="2058"/>
      <c r="F927" s="2058"/>
      <c r="G927" s="2059"/>
      <c r="H927" s="2058"/>
      <c r="I927" s="2058"/>
      <c r="J927" s="2058"/>
      <c r="K927" s="2058"/>
      <c r="L927" s="2058"/>
      <c r="M927" s="2058"/>
      <c r="N927" s="2058"/>
      <c r="O927" s="2058"/>
      <c r="P927" s="2058"/>
      <c r="Q927" s="2058"/>
      <c r="R927" s="2058"/>
      <c r="S927" s="2058"/>
      <c r="T927" s="2058"/>
      <c r="U927" s="2058"/>
      <c r="V927" s="2058"/>
      <c r="W927" s="2058"/>
      <c r="X927" s="2058"/>
      <c r="Y927" s="2058"/>
      <c r="Z927" s="2058"/>
    </row>
    <row r="928" spans="1:26" ht="12" x14ac:dyDescent="0.2">
      <c r="A928" s="2058"/>
      <c r="B928" s="2058"/>
      <c r="C928" s="2058"/>
      <c r="D928" s="2058"/>
      <c r="E928" s="2058"/>
      <c r="F928" s="2058"/>
      <c r="G928" s="2059"/>
      <c r="H928" s="2058"/>
      <c r="I928" s="2058"/>
      <c r="J928" s="2058"/>
      <c r="K928" s="2058"/>
      <c r="L928" s="2058"/>
      <c r="M928" s="2058"/>
      <c r="N928" s="2058"/>
      <c r="O928" s="2058"/>
      <c r="P928" s="2058"/>
      <c r="Q928" s="2058"/>
      <c r="R928" s="2058"/>
      <c r="S928" s="2058"/>
      <c r="T928" s="2058"/>
      <c r="U928" s="2058"/>
      <c r="V928" s="2058"/>
      <c r="W928" s="2058"/>
      <c r="X928" s="2058"/>
      <c r="Y928" s="2058"/>
      <c r="Z928" s="2058"/>
    </row>
    <row r="929" spans="1:26" ht="12" x14ac:dyDescent="0.2">
      <c r="A929" s="2058"/>
      <c r="B929" s="2058"/>
      <c r="C929" s="2058"/>
      <c r="D929" s="2058"/>
      <c r="E929" s="2058"/>
      <c r="F929" s="2058"/>
      <c r="G929" s="2059"/>
      <c r="H929" s="2058"/>
      <c r="I929" s="2058"/>
      <c r="J929" s="2058"/>
      <c r="K929" s="2058"/>
      <c r="L929" s="2058"/>
      <c r="M929" s="2058"/>
      <c r="N929" s="2058"/>
      <c r="O929" s="2058"/>
      <c r="P929" s="2058"/>
      <c r="Q929" s="2058"/>
      <c r="R929" s="2058"/>
      <c r="S929" s="2058"/>
      <c r="T929" s="2058"/>
      <c r="U929" s="2058"/>
      <c r="V929" s="2058"/>
      <c r="W929" s="2058"/>
      <c r="X929" s="2058"/>
      <c r="Y929" s="2058"/>
      <c r="Z929" s="2058"/>
    </row>
    <row r="930" spans="1:26" ht="12" x14ac:dyDescent="0.2">
      <c r="A930" s="2058"/>
      <c r="B930" s="2058"/>
      <c r="C930" s="2058"/>
      <c r="D930" s="2058"/>
      <c r="E930" s="2058"/>
      <c r="F930" s="2058"/>
      <c r="G930" s="2059"/>
      <c r="H930" s="2058"/>
      <c r="I930" s="2058"/>
      <c r="J930" s="2058"/>
      <c r="K930" s="2058"/>
      <c r="L930" s="2058"/>
      <c r="M930" s="2058"/>
      <c r="N930" s="2058"/>
      <c r="O930" s="2058"/>
      <c r="P930" s="2058"/>
      <c r="Q930" s="2058"/>
      <c r="R930" s="2058"/>
      <c r="S930" s="2058"/>
      <c r="T930" s="2058"/>
      <c r="U930" s="2058"/>
      <c r="V930" s="2058"/>
      <c r="W930" s="2058"/>
      <c r="X930" s="2058"/>
      <c r="Y930" s="2058"/>
      <c r="Z930" s="2058"/>
    </row>
    <row r="931" spans="1:26" ht="12" x14ac:dyDescent="0.2">
      <c r="A931" s="2058"/>
      <c r="B931" s="2058"/>
      <c r="C931" s="2058"/>
      <c r="D931" s="2058"/>
      <c r="E931" s="2058"/>
      <c r="F931" s="2058"/>
      <c r="G931" s="2059"/>
      <c r="H931" s="2058"/>
      <c r="I931" s="2058"/>
      <c r="J931" s="2058"/>
      <c r="K931" s="2058"/>
      <c r="L931" s="2058"/>
      <c r="M931" s="2058"/>
      <c r="N931" s="2058"/>
      <c r="O931" s="2058"/>
      <c r="P931" s="2058"/>
      <c r="Q931" s="2058"/>
      <c r="R931" s="2058"/>
      <c r="S931" s="2058"/>
      <c r="T931" s="2058"/>
      <c r="U931" s="2058"/>
      <c r="V931" s="2058"/>
      <c r="W931" s="2058"/>
      <c r="X931" s="2058"/>
      <c r="Y931" s="2058"/>
      <c r="Z931" s="2058"/>
    </row>
    <row r="932" spans="1:26" ht="12" x14ac:dyDescent="0.2">
      <c r="A932" s="2058"/>
      <c r="B932" s="2058"/>
      <c r="C932" s="2058"/>
      <c r="D932" s="2058"/>
      <c r="E932" s="2058"/>
      <c r="F932" s="2058"/>
      <c r="G932" s="2059"/>
      <c r="H932" s="2058"/>
      <c r="I932" s="2058"/>
      <c r="J932" s="2058"/>
      <c r="K932" s="2058"/>
      <c r="L932" s="2058"/>
      <c r="M932" s="2058"/>
      <c r="N932" s="2058"/>
      <c r="O932" s="2058"/>
      <c r="P932" s="2058"/>
      <c r="Q932" s="2058"/>
      <c r="R932" s="2058"/>
      <c r="S932" s="2058"/>
      <c r="T932" s="2058"/>
      <c r="U932" s="2058"/>
      <c r="V932" s="2058"/>
      <c r="W932" s="2058"/>
      <c r="X932" s="2058"/>
      <c r="Y932" s="2058"/>
      <c r="Z932" s="2058"/>
    </row>
    <row r="933" spans="1:26" ht="12" x14ac:dyDescent="0.2">
      <c r="A933" s="2058"/>
      <c r="B933" s="2058"/>
      <c r="C933" s="2058"/>
      <c r="D933" s="2058"/>
      <c r="E933" s="2058"/>
      <c r="F933" s="2058"/>
      <c r="G933" s="2059"/>
      <c r="H933" s="2058"/>
      <c r="I933" s="2058"/>
      <c r="J933" s="2058"/>
      <c r="K933" s="2058"/>
      <c r="L933" s="2058"/>
      <c r="M933" s="2058"/>
      <c r="N933" s="2058"/>
      <c r="O933" s="2058"/>
      <c r="P933" s="2058"/>
      <c r="Q933" s="2058"/>
      <c r="R933" s="2058"/>
      <c r="S933" s="2058"/>
      <c r="T933" s="2058"/>
      <c r="U933" s="2058"/>
      <c r="V933" s="2058"/>
      <c r="W933" s="2058"/>
      <c r="X933" s="2058"/>
      <c r="Y933" s="2058"/>
      <c r="Z933" s="2058"/>
    </row>
    <row r="934" spans="1:26" ht="12" x14ac:dyDescent="0.2">
      <c r="A934" s="2058"/>
      <c r="B934" s="2058"/>
      <c r="C934" s="2058"/>
      <c r="D934" s="2058"/>
      <c r="E934" s="2058"/>
      <c r="F934" s="2058"/>
      <c r="G934" s="2059"/>
      <c r="H934" s="2058"/>
      <c r="I934" s="2058"/>
      <c r="J934" s="2058"/>
      <c r="K934" s="2058"/>
      <c r="L934" s="2058"/>
      <c r="M934" s="2058"/>
      <c r="N934" s="2058"/>
      <c r="O934" s="2058"/>
      <c r="P934" s="2058"/>
      <c r="Q934" s="2058"/>
      <c r="R934" s="2058"/>
      <c r="S934" s="2058"/>
      <c r="T934" s="2058"/>
      <c r="U934" s="2058"/>
      <c r="V934" s="2058"/>
      <c r="W934" s="2058"/>
      <c r="X934" s="2058"/>
      <c r="Y934" s="2058"/>
      <c r="Z934" s="2058"/>
    </row>
    <row r="935" spans="1:26" ht="12" x14ac:dyDescent="0.2">
      <c r="A935" s="2058"/>
      <c r="B935" s="2058"/>
      <c r="C935" s="2058"/>
      <c r="D935" s="2058"/>
      <c r="E935" s="2058"/>
      <c r="F935" s="2058"/>
      <c r="G935" s="2059"/>
      <c r="H935" s="2058"/>
      <c r="I935" s="2058"/>
      <c r="J935" s="2058"/>
      <c r="K935" s="2058"/>
      <c r="L935" s="2058"/>
      <c r="M935" s="2058"/>
      <c r="N935" s="2058"/>
      <c r="O935" s="2058"/>
      <c r="P935" s="2058"/>
      <c r="Q935" s="2058"/>
      <c r="R935" s="2058"/>
      <c r="S935" s="2058"/>
      <c r="T935" s="2058"/>
      <c r="U935" s="2058"/>
      <c r="V935" s="2058"/>
      <c r="W935" s="2058"/>
      <c r="X935" s="2058"/>
      <c r="Y935" s="2058"/>
      <c r="Z935" s="2058"/>
    </row>
    <row r="936" spans="1:26" ht="12" x14ac:dyDescent="0.2">
      <c r="A936" s="2058"/>
      <c r="B936" s="2058"/>
      <c r="C936" s="2058"/>
      <c r="D936" s="2058"/>
      <c r="E936" s="2058"/>
      <c r="F936" s="2058"/>
      <c r="G936" s="2059"/>
      <c r="H936" s="2058"/>
      <c r="I936" s="2058"/>
      <c r="J936" s="2058"/>
      <c r="K936" s="2058"/>
      <c r="L936" s="2058"/>
      <c r="M936" s="2058"/>
      <c r="N936" s="2058"/>
      <c r="O936" s="2058"/>
      <c r="P936" s="2058"/>
      <c r="Q936" s="2058"/>
      <c r="R936" s="2058"/>
      <c r="S936" s="2058"/>
      <c r="T936" s="2058"/>
      <c r="U936" s="2058"/>
      <c r="V936" s="2058"/>
      <c r="W936" s="2058"/>
      <c r="X936" s="2058"/>
      <c r="Y936" s="2058"/>
      <c r="Z936" s="2058"/>
    </row>
    <row r="937" spans="1:26" ht="12" x14ac:dyDescent="0.2">
      <c r="A937" s="2058"/>
      <c r="B937" s="2058"/>
      <c r="C937" s="2058"/>
      <c r="D937" s="2058"/>
      <c r="E937" s="2058"/>
      <c r="F937" s="2058"/>
      <c r="G937" s="2059"/>
      <c r="H937" s="2058"/>
      <c r="I937" s="2058"/>
      <c r="J937" s="2058"/>
      <c r="K937" s="2058"/>
      <c r="L937" s="2058"/>
      <c r="M937" s="2058"/>
      <c r="N937" s="2058"/>
      <c r="O937" s="2058"/>
      <c r="P937" s="2058"/>
      <c r="Q937" s="2058"/>
      <c r="R937" s="2058"/>
      <c r="S937" s="2058"/>
      <c r="T937" s="2058"/>
      <c r="U937" s="2058"/>
      <c r="V937" s="2058"/>
      <c r="W937" s="2058"/>
      <c r="X937" s="2058"/>
      <c r="Y937" s="2058"/>
      <c r="Z937" s="2058"/>
    </row>
    <row r="938" spans="1:26" ht="12" x14ac:dyDescent="0.2">
      <c r="A938" s="2058"/>
      <c r="B938" s="2058"/>
      <c r="C938" s="2058"/>
      <c r="D938" s="2058"/>
      <c r="E938" s="2058"/>
      <c r="F938" s="2058"/>
      <c r="G938" s="2059"/>
      <c r="H938" s="2058"/>
      <c r="I938" s="2058"/>
      <c r="J938" s="2058"/>
      <c r="K938" s="2058"/>
      <c r="L938" s="2058"/>
      <c r="M938" s="2058"/>
      <c r="N938" s="2058"/>
      <c r="O938" s="2058"/>
      <c r="P938" s="2058"/>
      <c r="Q938" s="2058"/>
      <c r="R938" s="2058"/>
      <c r="S938" s="2058"/>
      <c r="T938" s="2058"/>
      <c r="U938" s="2058"/>
      <c r="V938" s="2058"/>
      <c r="W938" s="2058"/>
      <c r="X938" s="2058"/>
      <c r="Y938" s="2058"/>
      <c r="Z938" s="2058"/>
    </row>
    <row r="939" spans="1:26" ht="12" x14ac:dyDescent="0.2">
      <c r="A939" s="2058"/>
      <c r="B939" s="2058"/>
      <c r="C939" s="2058"/>
      <c r="D939" s="2058"/>
      <c r="E939" s="2058"/>
      <c r="F939" s="2058"/>
      <c r="G939" s="2059"/>
      <c r="H939" s="2058"/>
      <c r="I939" s="2058"/>
      <c r="J939" s="2058"/>
      <c r="K939" s="2058"/>
      <c r="L939" s="2058"/>
      <c r="M939" s="2058"/>
      <c r="N939" s="2058"/>
      <c r="O939" s="2058"/>
      <c r="P939" s="2058"/>
      <c r="Q939" s="2058"/>
      <c r="R939" s="2058"/>
      <c r="S939" s="2058"/>
      <c r="T939" s="2058"/>
      <c r="U939" s="2058"/>
      <c r="V939" s="2058"/>
      <c r="W939" s="2058"/>
      <c r="X939" s="2058"/>
      <c r="Y939" s="2058"/>
      <c r="Z939" s="2058"/>
    </row>
    <row r="940" spans="1:26" ht="12" x14ac:dyDescent="0.2">
      <c r="A940" s="2058"/>
      <c r="B940" s="2058"/>
      <c r="C940" s="2058"/>
      <c r="D940" s="2058"/>
      <c r="E940" s="2058"/>
      <c r="F940" s="2058"/>
      <c r="G940" s="2059"/>
      <c r="H940" s="2058"/>
      <c r="I940" s="2058"/>
      <c r="J940" s="2058"/>
      <c r="K940" s="2058"/>
      <c r="L940" s="2058"/>
      <c r="M940" s="2058"/>
      <c r="N940" s="2058"/>
      <c r="O940" s="2058"/>
      <c r="P940" s="2058"/>
      <c r="Q940" s="2058"/>
      <c r="R940" s="2058"/>
      <c r="S940" s="2058"/>
      <c r="T940" s="2058"/>
      <c r="U940" s="2058"/>
      <c r="V940" s="2058"/>
      <c r="W940" s="2058"/>
      <c r="X940" s="2058"/>
      <c r="Y940" s="2058"/>
      <c r="Z940" s="2058"/>
    </row>
    <row r="941" spans="1:26" ht="12" x14ac:dyDescent="0.2">
      <c r="A941" s="2058"/>
      <c r="B941" s="2058"/>
      <c r="C941" s="2058"/>
      <c r="D941" s="2058"/>
      <c r="E941" s="2058"/>
      <c r="F941" s="2058"/>
      <c r="G941" s="2059"/>
      <c r="H941" s="2058"/>
      <c r="I941" s="2058"/>
      <c r="J941" s="2058"/>
      <c r="K941" s="2058"/>
      <c r="L941" s="2058"/>
      <c r="M941" s="2058"/>
      <c r="N941" s="2058"/>
      <c r="O941" s="2058"/>
      <c r="P941" s="2058"/>
      <c r="Q941" s="2058"/>
      <c r="R941" s="2058"/>
      <c r="S941" s="2058"/>
      <c r="T941" s="2058"/>
      <c r="U941" s="2058"/>
      <c r="V941" s="2058"/>
      <c r="W941" s="2058"/>
      <c r="X941" s="2058"/>
      <c r="Y941" s="2058"/>
      <c r="Z941" s="2058"/>
    </row>
    <row r="942" spans="1:26" ht="12" x14ac:dyDescent="0.2">
      <c r="A942" s="2058"/>
      <c r="B942" s="2058"/>
      <c r="C942" s="2058"/>
      <c r="D942" s="2058"/>
      <c r="E942" s="2058"/>
      <c r="F942" s="2058"/>
      <c r="G942" s="2059"/>
      <c r="H942" s="2058"/>
      <c r="I942" s="2058"/>
      <c r="J942" s="2058"/>
      <c r="K942" s="2058"/>
      <c r="L942" s="2058"/>
      <c r="M942" s="2058"/>
      <c r="N942" s="2058"/>
      <c r="O942" s="2058"/>
      <c r="P942" s="2058"/>
      <c r="Q942" s="2058"/>
      <c r="R942" s="2058"/>
      <c r="S942" s="2058"/>
      <c r="T942" s="2058"/>
      <c r="U942" s="2058"/>
      <c r="V942" s="2058"/>
      <c r="W942" s="2058"/>
      <c r="X942" s="2058"/>
      <c r="Y942" s="2058"/>
      <c r="Z942" s="2058"/>
    </row>
    <row r="943" spans="1:26" ht="12" x14ac:dyDescent="0.2">
      <c r="A943" s="2058"/>
      <c r="B943" s="2058"/>
      <c r="C943" s="2058"/>
      <c r="D943" s="2058"/>
      <c r="E943" s="2058"/>
      <c r="F943" s="2058"/>
      <c r="G943" s="2059"/>
      <c r="H943" s="2058"/>
      <c r="I943" s="2058"/>
      <c r="J943" s="2058"/>
      <c r="K943" s="2058"/>
      <c r="L943" s="2058"/>
      <c r="M943" s="2058"/>
      <c r="N943" s="2058"/>
      <c r="O943" s="2058"/>
      <c r="P943" s="2058"/>
      <c r="Q943" s="2058"/>
      <c r="R943" s="2058"/>
      <c r="S943" s="2058"/>
      <c r="T943" s="2058"/>
      <c r="U943" s="2058"/>
      <c r="V943" s="2058"/>
      <c r="W943" s="2058"/>
      <c r="X943" s="2058"/>
      <c r="Y943" s="2058"/>
      <c r="Z943" s="2058"/>
    </row>
    <row r="944" spans="1:26" ht="12" x14ac:dyDescent="0.2">
      <c r="A944" s="2058"/>
      <c r="B944" s="2058"/>
      <c r="C944" s="2058"/>
      <c r="D944" s="2058"/>
      <c r="E944" s="2058"/>
      <c r="F944" s="2058"/>
      <c r="G944" s="2059"/>
      <c r="H944" s="2058"/>
      <c r="I944" s="2058"/>
      <c r="J944" s="2058"/>
      <c r="K944" s="2058"/>
      <c r="L944" s="2058"/>
      <c r="M944" s="2058"/>
      <c r="N944" s="2058"/>
      <c r="O944" s="2058"/>
      <c r="P944" s="2058"/>
      <c r="Q944" s="2058"/>
      <c r="R944" s="2058"/>
      <c r="S944" s="2058"/>
      <c r="T944" s="2058"/>
      <c r="U944" s="2058"/>
      <c r="V944" s="2058"/>
      <c r="W944" s="2058"/>
      <c r="X944" s="2058"/>
      <c r="Y944" s="2058"/>
      <c r="Z944" s="2058"/>
    </row>
    <row r="945" spans="1:26" ht="12" x14ac:dyDescent="0.2">
      <c r="A945" s="2058"/>
      <c r="B945" s="2058"/>
      <c r="C945" s="2058"/>
      <c r="D945" s="2058"/>
      <c r="E945" s="2058"/>
      <c r="F945" s="2058"/>
      <c r="G945" s="2059"/>
      <c r="H945" s="2058"/>
      <c r="I945" s="2058"/>
      <c r="J945" s="2058"/>
      <c r="K945" s="2058"/>
      <c r="L945" s="2058"/>
      <c r="M945" s="2058"/>
      <c r="N945" s="2058"/>
      <c r="O945" s="2058"/>
      <c r="P945" s="2058"/>
      <c r="Q945" s="2058"/>
      <c r="R945" s="2058"/>
      <c r="S945" s="2058"/>
      <c r="T945" s="2058"/>
      <c r="U945" s="2058"/>
      <c r="V945" s="2058"/>
      <c r="W945" s="2058"/>
      <c r="X945" s="2058"/>
      <c r="Y945" s="2058"/>
      <c r="Z945" s="2058"/>
    </row>
    <row r="946" spans="1:26" ht="12" x14ac:dyDescent="0.2">
      <c r="A946" s="2058"/>
      <c r="B946" s="2058"/>
      <c r="C946" s="2058"/>
      <c r="D946" s="2058"/>
      <c r="E946" s="2058"/>
      <c r="F946" s="2058"/>
      <c r="G946" s="2059"/>
      <c r="H946" s="2058"/>
      <c r="I946" s="2058"/>
      <c r="J946" s="2058"/>
      <c r="K946" s="2058"/>
      <c r="L946" s="2058"/>
      <c r="M946" s="2058"/>
      <c r="N946" s="2058"/>
      <c r="O946" s="2058"/>
      <c r="P946" s="2058"/>
      <c r="Q946" s="2058"/>
      <c r="R946" s="2058"/>
      <c r="S946" s="2058"/>
      <c r="T946" s="2058"/>
      <c r="U946" s="2058"/>
      <c r="V946" s="2058"/>
      <c r="W946" s="2058"/>
      <c r="X946" s="2058"/>
      <c r="Y946" s="2058"/>
      <c r="Z946" s="2058"/>
    </row>
    <row r="947" spans="1:26" ht="12" x14ac:dyDescent="0.2">
      <c r="A947" s="2058"/>
      <c r="B947" s="2058"/>
      <c r="C947" s="2058"/>
      <c r="D947" s="2058"/>
      <c r="E947" s="2058"/>
      <c r="F947" s="2058"/>
      <c r="G947" s="2059"/>
      <c r="H947" s="2058"/>
      <c r="I947" s="2058"/>
      <c r="J947" s="2058"/>
      <c r="K947" s="2058"/>
      <c r="L947" s="2058"/>
      <c r="M947" s="2058"/>
      <c r="N947" s="2058"/>
      <c r="O947" s="2058"/>
      <c r="P947" s="2058"/>
      <c r="Q947" s="2058"/>
      <c r="R947" s="2058"/>
      <c r="S947" s="2058"/>
      <c r="T947" s="2058"/>
      <c r="U947" s="2058"/>
      <c r="V947" s="2058"/>
      <c r="W947" s="2058"/>
      <c r="X947" s="2058"/>
      <c r="Y947" s="2058"/>
      <c r="Z947" s="2058"/>
    </row>
    <row r="948" spans="1:26" ht="12" x14ac:dyDescent="0.2">
      <c r="A948" s="2058"/>
      <c r="B948" s="2058"/>
      <c r="C948" s="2058"/>
      <c r="D948" s="2058"/>
      <c r="E948" s="2058"/>
      <c r="F948" s="2058"/>
      <c r="G948" s="2059"/>
      <c r="H948" s="2058"/>
      <c r="I948" s="2058"/>
      <c r="J948" s="2058"/>
      <c r="K948" s="2058"/>
      <c r="L948" s="2058"/>
      <c r="M948" s="2058"/>
      <c r="N948" s="2058"/>
      <c r="O948" s="2058"/>
      <c r="P948" s="2058"/>
      <c r="Q948" s="2058"/>
      <c r="R948" s="2058"/>
      <c r="S948" s="2058"/>
      <c r="T948" s="2058"/>
      <c r="U948" s="2058"/>
      <c r="V948" s="2058"/>
      <c r="W948" s="2058"/>
      <c r="X948" s="2058"/>
      <c r="Y948" s="2058"/>
      <c r="Z948" s="2058"/>
    </row>
    <row r="949" spans="1:26" ht="12" x14ac:dyDescent="0.2">
      <c r="A949" s="2058"/>
      <c r="B949" s="2058"/>
      <c r="C949" s="2058"/>
      <c r="D949" s="2058"/>
      <c r="E949" s="2058"/>
      <c r="F949" s="2058"/>
      <c r="G949" s="2059"/>
      <c r="H949" s="2058"/>
      <c r="I949" s="2058"/>
      <c r="J949" s="2058"/>
      <c r="K949" s="2058"/>
      <c r="L949" s="2058"/>
      <c r="M949" s="2058"/>
      <c r="N949" s="2058"/>
      <c r="O949" s="2058"/>
      <c r="P949" s="2058"/>
      <c r="Q949" s="2058"/>
      <c r="R949" s="2058"/>
      <c r="S949" s="2058"/>
      <c r="T949" s="2058"/>
      <c r="U949" s="2058"/>
      <c r="V949" s="2058"/>
      <c r="W949" s="2058"/>
      <c r="X949" s="2058"/>
      <c r="Y949" s="2058"/>
      <c r="Z949" s="2058"/>
    </row>
    <row r="950" spans="1:26" ht="12" x14ac:dyDescent="0.2">
      <c r="A950" s="2058"/>
      <c r="B950" s="2058"/>
      <c r="C950" s="2058"/>
      <c r="D950" s="2058"/>
      <c r="E950" s="2058"/>
      <c r="F950" s="2058"/>
      <c r="G950" s="2059"/>
      <c r="H950" s="2058"/>
      <c r="I950" s="2058"/>
      <c r="J950" s="2058"/>
      <c r="K950" s="2058"/>
      <c r="L950" s="2058"/>
      <c r="M950" s="2058"/>
      <c r="N950" s="2058"/>
      <c r="O950" s="2058"/>
      <c r="P950" s="2058"/>
      <c r="Q950" s="2058"/>
      <c r="R950" s="2058"/>
      <c r="S950" s="2058"/>
      <c r="T950" s="2058"/>
      <c r="U950" s="2058"/>
      <c r="V950" s="2058"/>
      <c r="W950" s="2058"/>
      <c r="X950" s="2058"/>
      <c r="Y950" s="2058"/>
      <c r="Z950" s="2058"/>
    </row>
    <row r="951" spans="1:26" ht="12" x14ac:dyDescent="0.2">
      <c r="A951" s="2058"/>
      <c r="B951" s="2058"/>
      <c r="C951" s="2058"/>
      <c r="D951" s="2058"/>
      <c r="E951" s="2058"/>
      <c r="F951" s="2058"/>
      <c r="G951" s="2059"/>
      <c r="H951" s="2058"/>
      <c r="I951" s="2058"/>
      <c r="J951" s="2058"/>
      <c r="K951" s="2058"/>
      <c r="L951" s="2058"/>
      <c r="M951" s="2058"/>
      <c r="N951" s="2058"/>
      <c r="O951" s="2058"/>
      <c r="P951" s="2058"/>
      <c r="Q951" s="2058"/>
      <c r="R951" s="2058"/>
      <c r="S951" s="2058"/>
      <c r="T951" s="2058"/>
      <c r="U951" s="2058"/>
      <c r="V951" s="2058"/>
      <c r="W951" s="2058"/>
      <c r="X951" s="2058"/>
      <c r="Y951" s="2058"/>
      <c r="Z951" s="2058"/>
    </row>
    <row r="952" spans="1:26" ht="12" x14ac:dyDescent="0.2">
      <c r="A952" s="2058"/>
      <c r="B952" s="2058"/>
      <c r="C952" s="2058"/>
      <c r="D952" s="2058"/>
      <c r="E952" s="2058"/>
      <c r="F952" s="2058"/>
      <c r="G952" s="2059"/>
      <c r="H952" s="2058"/>
      <c r="I952" s="2058"/>
      <c r="J952" s="2058"/>
      <c r="K952" s="2058"/>
      <c r="L952" s="2058"/>
      <c r="M952" s="2058"/>
      <c r="N952" s="2058"/>
      <c r="O952" s="2058"/>
      <c r="P952" s="2058"/>
      <c r="Q952" s="2058"/>
      <c r="R952" s="2058"/>
      <c r="S952" s="2058"/>
      <c r="T952" s="2058"/>
      <c r="U952" s="2058"/>
      <c r="V952" s="2058"/>
      <c r="W952" s="2058"/>
      <c r="X952" s="2058"/>
      <c r="Y952" s="2058"/>
      <c r="Z952" s="2058"/>
    </row>
    <row r="953" spans="1:26" ht="12" x14ac:dyDescent="0.2">
      <c r="A953" s="2058"/>
      <c r="B953" s="2058"/>
      <c r="C953" s="2058"/>
      <c r="D953" s="2058"/>
      <c r="E953" s="2058"/>
      <c r="F953" s="2058"/>
      <c r="G953" s="2059"/>
      <c r="H953" s="2058"/>
      <c r="I953" s="2058"/>
      <c r="J953" s="2058"/>
      <c r="K953" s="2058"/>
      <c r="L953" s="2058"/>
      <c r="M953" s="2058"/>
      <c r="N953" s="2058"/>
      <c r="O953" s="2058"/>
      <c r="P953" s="2058"/>
      <c r="Q953" s="2058"/>
      <c r="R953" s="2058"/>
      <c r="S953" s="2058"/>
      <c r="T953" s="2058"/>
      <c r="U953" s="2058"/>
      <c r="V953" s="2058"/>
      <c r="W953" s="2058"/>
      <c r="X953" s="2058"/>
      <c r="Y953" s="2058"/>
      <c r="Z953" s="2058"/>
    </row>
    <row r="954" spans="1:26" ht="12" x14ac:dyDescent="0.2">
      <c r="A954" s="2058"/>
      <c r="B954" s="2058"/>
      <c r="C954" s="2058"/>
      <c r="D954" s="2058"/>
      <c r="E954" s="2058"/>
      <c r="F954" s="2058"/>
      <c r="G954" s="2059"/>
      <c r="H954" s="2058"/>
      <c r="I954" s="2058"/>
      <c r="J954" s="2058"/>
      <c r="K954" s="2058"/>
      <c r="L954" s="2058"/>
      <c r="M954" s="2058"/>
      <c r="N954" s="2058"/>
      <c r="O954" s="2058"/>
      <c r="P954" s="2058"/>
      <c r="Q954" s="2058"/>
      <c r="R954" s="2058"/>
      <c r="S954" s="2058"/>
      <c r="T954" s="2058"/>
      <c r="U954" s="2058"/>
      <c r="V954" s="2058"/>
      <c r="W954" s="2058"/>
      <c r="X954" s="2058"/>
      <c r="Y954" s="2058"/>
      <c r="Z954" s="2058"/>
    </row>
    <row r="955" spans="1:26" ht="12" x14ac:dyDescent="0.2">
      <c r="A955" s="2058"/>
      <c r="B955" s="2058"/>
      <c r="C955" s="2058"/>
      <c r="D955" s="2058"/>
      <c r="E955" s="2058"/>
      <c r="F955" s="2058"/>
      <c r="G955" s="2059"/>
      <c r="H955" s="2058"/>
      <c r="I955" s="2058"/>
      <c r="J955" s="2058"/>
      <c r="K955" s="2058"/>
      <c r="L955" s="2058"/>
      <c r="M955" s="2058"/>
      <c r="N955" s="2058"/>
      <c r="O955" s="2058"/>
      <c r="P955" s="2058"/>
      <c r="Q955" s="2058"/>
      <c r="R955" s="2058"/>
      <c r="S955" s="2058"/>
      <c r="T955" s="2058"/>
      <c r="U955" s="2058"/>
      <c r="V955" s="2058"/>
      <c r="W955" s="2058"/>
      <c r="X955" s="2058"/>
      <c r="Y955" s="2058"/>
      <c r="Z955" s="2058"/>
    </row>
    <row r="956" spans="1:26" ht="12" x14ac:dyDescent="0.2">
      <c r="A956" s="2058"/>
      <c r="B956" s="2058"/>
      <c r="C956" s="2058"/>
      <c r="D956" s="2058"/>
      <c r="E956" s="2058"/>
      <c r="F956" s="2058"/>
      <c r="G956" s="2059"/>
      <c r="H956" s="2058"/>
      <c r="I956" s="2058"/>
      <c r="J956" s="2058"/>
      <c r="K956" s="2058"/>
      <c r="L956" s="2058"/>
      <c r="M956" s="2058"/>
      <c r="N956" s="2058"/>
      <c r="O956" s="2058"/>
      <c r="P956" s="2058"/>
      <c r="Q956" s="2058"/>
      <c r="R956" s="2058"/>
      <c r="S956" s="2058"/>
      <c r="T956" s="2058"/>
      <c r="U956" s="2058"/>
      <c r="V956" s="2058"/>
      <c r="W956" s="2058"/>
      <c r="X956" s="2058"/>
      <c r="Y956" s="2058"/>
      <c r="Z956" s="2058"/>
    </row>
    <row r="957" spans="1:26" ht="12" x14ac:dyDescent="0.2">
      <c r="A957" s="2058"/>
      <c r="B957" s="2058"/>
      <c r="C957" s="2058"/>
      <c r="D957" s="2058"/>
      <c r="E957" s="2058"/>
      <c r="F957" s="2058"/>
      <c r="G957" s="2062"/>
      <c r="J957" s="2058"/>
      <c r="K957" s="2058"/>
      <c r="L957" s="2058"/>
      <c r="M957" s="2058"/>
      <c r="N957" s="2058"/>
      <c r="O957" s="2058"/>
      <c r="P957" s="2058"/>
      <c r="Q957" s="2058"/>
      <c r="R957" s="2058"/>
      <c r="S957" s="2058"/>
      <c r="T957" s="2058"/>
      <c r="U957" s="2058"/>
      <c r="V957" s="2058"/>
      <c r="W957" s="2058"/>
      <c r="X957" s="2058"/>
      <c r="Y957" s="2058"/>
      <c r="Z957" s="2058"/>
    </row>
    <row r="958" spans="1:26" ht="12" x14ac:dyDescent="0.2">
      <c r="A958" s="2058"/>
      <c r="B958" s="2058"/>
      <c r="C958" s="2058"/>
      <c r="D958" s="2058"/>
      <c r="E958" s="2058"/>
      <c r="F958" s="2058"/>
      <c r="G958" s="2062"/>
      <c r="J958" s="2058"/>
      <c r="K958" s="2058"/>
      <c r="L958" s="2058"/>
      <c r="M958" s="2058"/>
      <c r="N958" s="2058"/>
      <c r="O958" s="2058"/>
      <c r="P958" s="2058"/>
      <c r="Q958" s="2058"/>
      <c r="R958" s="2058"/>
      <c r="S958" s="2058"/>
      <c r="T958" s="2058"/>
      <c r="U958" s="2058"/>
      <c r="V958" s="2058"/>
      <c r="W958" s="2058"/>
      <c r="X958" s="2058"/>
      <c r="Y958" s="2058"/>
      <c r="Z958" s="2058"/>
    </row>
    <row r="959" spans="1:26" ht="12" x14ac:dyDescent="0.2">
      <c r="A959" s="2058"/>
      <c r="B959" s="2058"/>
      <c r="C959" s="2058"/>
      <c r="D959" s="2058"/>
      <c r="E959" s="2058"/>
      <c r="F959" s="2058"/>
      <c r="G959" s="2062"/>
      <c r="J959" s="2058"/>
      <c r="K959" s="2058"/>
      <c r="L959" s="2058"/>
      <c r="M959" s="2058"/>
      <c r="N959" s="2058"/>
      <c r="O959" s="2058"/>
      <c r="P959" s="2058"/>
      <c r="Q959" s="2058"/>
      <c r="R959" s="2058"/>
      <c r="S959" s="2058"/>
      <c r="T959" s="2058"/>
      <c r="U959" s="2058"/>
      <c r="V959" s="2058"/>
      <c r="W959" s="2058"/>
      <c r="X959" s="2058"/>
      <c r="Y959" s="2058"/>
      <c r="Z959" s="205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E6D3471F7F04449211EBF97CCD3EEF" ma:contentTypeVersion="11" ma:contentTypeDescription="Create a new document." ma:contentTypeScope="" ma:versionID="1fa121f0f7dadc83016221ac4c0a73d5">
  <xsd:schema xmlns:xsd="http://www.w3.org/2001/XMLSchema" xmlns:xs="http://www.w3.org/2001/XMLSchema" xmlns:p="http://schemas.microsoft.com/office/2006/metadata/properties" xmlns:ns1="http://schemas.microsoft.com/sharepoint/v3" targetNamespace="http://schemas.microsoft.com/office/2006/metadata/properties" ma:root="true" ma:fieldsID="0f1c3a5fe40b69cf375f6490498fc6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 ma:internalName="PublishingStartDate">
      <xsd:simpleType>
        <xsd:restriction base="dms:Unknown"/>
      </xsd:simpleType>
    </xsd:element>
    <xsd:element name="PublishingExpirationDate" ma:index="5" nillable="true" ma:displayName="Scheduling End Date"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5F3ADD30-029C-4C9D-A07D-EBA9DE083741}"/>
</file>

<file path=customXml/itemProps2.xml><?xml version="1.0" encoding="utf-8"?>
<ds:datastoreItem xmlns:ds="http://schemas.openxmlformats.org/officeDocument/2006/customXml" ds:itemID="{B2E5DB7F-67DB-438B-BB72-7BF6566731A2}"/>
</file>

<file path=customXml/itemProps3.xml><?xml version="1.0" encoding="utf-8"?>
<ds:datastoreItem xmlns:ds="http://schemas.openxmlformats.org/officeDocument/2006/customXml" ds:itemID="{F92A9F4F-AF63-4683-939F-F42C728B9A8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Summary</vt:lpstr>
      <vt:lpstr>In-State Electricity</vt:lpstr>
      <vt:lpstr>Imported Electricity</vt:lpstr>
      <vt:lpstr>Residential</vt:lpstr>
      <vt:lpstr>Commercial</vt:lpstr>
      <vt:lpstr>Industrial</vt:lpstr>
      <vt:lpstr>On-Road Transportation</vt:lpstr>
      <vt:lpstr>Non-Road Transportation</vt:lpstr>
      <vt:lpstr>Other Transportation</vt:lpstr>
      <vt:lpstr>Natural Gas</vt:lpstr>
      <vt:lpstr>Coal Mining</vt:lpstr>
      <vt:lpstr>Cement</vt:lpstr>
      <vt:lpstr>Iron And Steel</vt:lpstr>
      <vt:lpstr>LimeT&amp;DSoda</vt:lpstr>
      <vt:lpstr>ODSSubs 100-yr</vt:lpstr>
      <vt:lpstr>ODSSubs 20-yr</vt:lpstr>
      <vt:lpstr>Agriculture</vt:lpstr>
      <vt:lpstr>Incinerators</vt:lpstr>
      <vt:lpstr>Landfill_I</vt:lpstr>
      <vt:lpstr>LFGTE_II</vt:lpstr>
      <vt:lpstr>Wastewater</vt:lpstr>
      <vt:lpstr>OpenBurn</vt:lpstr>
      <vt:lpstr>Land_Use</vt:lpstr>
      <vt:lpstr>long_format_output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Thunell</dc:creator>
  <cp:lastModifiedBy>Vimal M Amin -MDE-</cp:lastModifiedBy>
  <dcterms:created xsi:type="dcterms:W3CDTF">2006-08-20T19:40:13Z</dcterms:created>
  <dcterms:modified xsi:type="dcterms:W3CDTF">2026-09-22T20:13:02Z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0x010100D5E6D3471F7F04449211EBF97CCD3EEF</vt:lpwstr>
  </property>
  <property fmtid="{D5CDD505-2E9C-101B-9397-08002B2CF9AE}" pid="3" name="Order">
    <vt:r8>30000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